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defaultThemeVersion="124226"/>
  <mc:AlternateContent xmlns:mc="http://schemas.openxmlformats.org/markup-compatibility/2006">
    <mc:Choice Requires="x15">
      <x15ac:absPath xmlns:x15ac="http://schemas.microsoft.com/office/spreadsheetml/2010/11/ac" url="H:\Website\Website Documents\"/>
    </mc:Choice>
  </mc:AlternateContent>
  <bookViews>
    <workbookView xWindow="0" yWindow="0" windowWidth="23040" windowHeight="10545"/>
  </bookViews>
  <sheets>
    <sheet name="2017 Summary" sheetId="5" r:id="rId1"/>
    <sheet name="16.17 Meter Data" sheetId="20" r:id="rId2"/>
    <sheet name="16.17 Raw Meter" sheetId="19" r:id="rId3"/>
    <sheet name="2016 Summary" sheetId="18" r:id="rId4"/>
    <sheet name="15.16 Meter Data" sheetId="16" r:id="rId5"/>
    <sheet name="15.16 Raw Meter" sheetId="17" r:id="rId6"/>
    <sheet name="2015 Summary" sheetId="15" r:id="rId7"/>
    <sheet name="14.15 Meter Data" sheetId="13" r:id="rId8"/>
    <sheet name="14.15 Raw Meter" sheetId="12" r:id="rId9"/>
    <sheet name="2014 Summary" sheetId="14" r:id="rId10"/>
    <sheet name="13.14 Meter Data" sheetId="11" r:id="rId11"/>
    <sheet name="13.14 Raw Meter" sheetId="10" r:id="rId12"/>
    <sheet name="12.13 Meter Data" sheetId="6" r:id="rId13"/>
    <sheet name="12.13 Raw Meter" sheetId="7" r:id="rId14"/>
    <sheet name="11.12 Meter Data" sheetId="8" r:id="rId15"/>
    <sheet name="11.12 Raw Meter" sheetId="9" r:id="rId16"/>
  </sheets>
  <externalReferences>
    <externalReference r:id="rId17"/>
    <externalReference r:id="rId18"/>
    <externalReference r:id="rId19"/>
  </externalReferences>
  <definedNames>
    <definedName name="_xlnm._FilterDatabase" localSheetId="0" hidden="1">'2017 Summary'!$K$3:$K$125</definedName>
    <definedName name="GALLONS">'13.14 Raw Meter'!#REF!</definedName>
    <definedName name="_xlnm.Print_Area" localSheetId="0">'2017 Summary'!$A$1:$BM$125</definedName>
    <definedName name="_xlnm.Print_Titles" localSheetId="0">'2017 Summary'!$2:$3</definedName>
  </definedNames>
  <calcPr calcId="171027"/>
</workbook>
</file>

<file path=xl/calcChain.xml><?xml version="1.0" encoding="utf-8"?>
<calcChain xmlns="http://schemas.openxmlformats.org/spreadsheetml/2006/main">
  <c r="T725" i="20" l="1"/>
  <c r="T1084" i="19"/>
  <c r="V90" i="5" l="1"/>
  <c r="T90" i="5"/>
  <c r="N90" i="5"/>
  <c r="M90" i="5"/>
  <c r="T832" i="20"/>
  <c r="T831" i="20"/>
  <c r="T830" i="20"/>
  <c r="T829" i="20"/>
  <c r="T828" i="20"/>
  <c r="T827" i="20"/>
  <c r="T826" i="20"/>
  <c r="P1269" i="19"/>
  <c r="O1269" i="19"/>
  <c r="N1269" i="19"/>
  <c r="M1269" i="19"/>
  <c r="L1269" i="19"/>
  <c r="K1269" i="19"/>
  <c r="J1269" i="19"/>
  <c r="I1269" i="19"/>
  <c r="H1269" i="19"/>
  <c r="G1269" i="19"/>
  <c r="F1269" i="19"/>
  <c r="E1269" i="19"/>
  <c r="P1268" i="19"/>
  <c r="O1268" i="19"/>
  <c r="N1268" i="19"/>
  <c r="M1268" i="19"/>
  <c r="L1268" i="19"/>
  <c r="K1268" i="19"/>
  <c r="J1268" i="19"/>
  <c r="I1268" i="19"/>
  <c r="H1268" i="19"/>
  <c r="G1268" i="19"/>
  <c r="F1268" i="19"/>
  <c r="E1268" i="19"/>
  <c r="P1267" i="19"/>
  <c r="O1267" i="19"/>
  <c r="N1267" i="19"/>
  <c r="M1267" i="19"/>
  <c r="L1267" i="19"/>
  <c r="K1267" i="19"/>
  <c r="J1267" i="19"/>
  <c r="I1267" i="19"/>
  <c r="H1267" i="19"/>
  <c r="G1267" i="19"/>
  <c r="F1267" i="19"/>
  <c r="E1267" i="19"/>
  <c r="P1266" i="19"/>
  <c r="O1266" i="19"/>
  <c r="N1266" i="19"/>
  <c r="M1266" i="19"/>
  <c r="L1266" i="19"/>
  <c r="K1266" i="19"/>
  <c r="J1266" i="19"/>
  <c r="I1266" i="19"/>
  <c r="H1266" i="19"/>
  <c r="G1266" i="19"/>
  <c r="F1266" i="19"/>
  <c r="E1266" i="19"/>
  <c r="Q1265" i="19"/>
  <c r="T1265" i="19" s="1"/>
  <c r="Q1264" i="19"/>
  <c r="T1264" i="19" s="1"/>
  <c r="Q1263" i="19"/>
  <c r="T1263" i="19" s="1"/>
  <c r="Q1262" i="19"/>
  <c r="T1262" i="19" s="1"/>
  <c r="T693" i="20"/>
  <c r="T124" i="20"/>
  <c r="T67" i="20"/>
  <c r="T106" i="20"/>
  <c r="T115" i="20"/>
  <c r="T274" i="20"/>
  <c r="T314" i="20"/>
  <c r="P1059" i="19"/>
  <c r="O1058" i="19"/>
  <c r="N1058" i="19"/>
  <c r="M1058" i="19"/>
  <c r="L1058" i="19"/>
  <c r="K1058" i="19"/>
  <c r="J1058" i="19"/>
  <c r="I1058" i="19"/>
  <c r="H1058" i="19"/>
  <c r="G1058" i="19"/>
  <c r="F1058" i="19"/>
  <c r="E1058" i="19"/>
  <c r="D1058" i="19"/>
  <c r="O1057" i="19"/>
  <c r="N1057" i="19"/>
  <c r="M1057" i="19"/>
  <c r="L1057" i="19"/>
  <c r="K1057" i="19"/>
  <c r="J1057" i="19"/>
  <c r="I1057" i="19"/>
  <c r="H1057" i="19"/>
  <c r="G1057" i="19"/>
  <c r="F1057" i="19"/>
  <c r="E1057" i="19"/>
  <c r="D1057" i="19"/>
  <c r="O1056" i="19"/>
  <c r="N1056" i="19"/>
  <c r="M1056" i="19"/>
  <c r="L1056" i="19"/>
  <c r="K1056" i="19"/>
  <c r="J1056" i="19"/>
  <c r="I1056" i="19"/>
  <c r="H1056" i="19"/>
  <c r="G1056" i="19"/>
  <c r="F1056" i="19"/>
  <c r="E1056" i="19"/>
  <c r="D1056" i="19"/>
  <c r="O1055" i="19"/>
  <c r="N1055" i="19"/>
  <c r="M1055" i="19"/>
  <c r="L1055" i="19"/>
  <c r="K1055" i="19"/>
  <c r="J1055" i="19"/>
  <c r="I1055" i="19"/>
  <c r="H1055" i="19"/>
  <c r="G1055" i="19"/>
  <c r="F1055" i="19"/>
  <c r="E1055" i="19"/>
  <c r="D1055" i="19"/>
  <c r="P1054" i="19"/>
  <c r="S1054" i="19" s="1"/>
  <c r="P1053" i="19"/>
  <c r="S1053" i="19" s="1"/>
  <c r="P1052" i="19"/>
  <c r="S1052" i="19" s="1"/>
  <c r="P1051" i="19"/>
  <c r="S1051" i="19" s="1"/>
  <c r="P1050" i="19"/>
  <c r="S1050" i="19" s="1"/>
  <c r="Q1268" i="19" l="1"/>
  <c r="P1057" i="19"/>
  <c r="P1055" i="19"/>
  <c r="Q1267" i="19"/>
  <c r="Q1269" i="19"/>
  <c r="Q1266" i="19"/>
  <c r="P1056" i="19"/>
  <c r="P1058" i="19"/>
  <c r="O949" i="19" l="1"/>
  <c r="N949" i="19"/>
  <c r="M949" i="19"/>
  <c r="L949" i="19"/>
  <c r="K949" i="19"/>
  <c r="J949" i="19"/>
  <c r="I949" i="19"/>
  <c r="H949" i="19"/>
  <c r="G949" i="19"/>
  <c r="F949" i="19"/>
  <c r="E949" i="19"/>
  <c r="D949" i="19"/>
  <c r="O948" i="19"/>
  <c r="N948" i="19"/>
  <c r="M948" i="19"/>
  <c r="L948" i="19"/>
  <c r="K948" i="19"/>
  <c r="J948" i="19"/>
  <c r="I948" i="19"/>
  <c r="H948" i="19"/>
  <c r="G948" i="19"/>
  <c r="F948" i="19"/>
  <c r="E948" i="19"/>
  <c r="D948" i="19"/>
  <c r="O947" i="19"/>
  <c r="N947" i="19"/>
  <c r="M947" i="19"/>
  <c r="L947" i="19"/>
  <c r="K947" i="19"/>
  <c r="J947" i="19"/>
  <c r="I947" i="19"/>
  <c r="H947" i="19"/>
  <c r="G947" i="19"/>
  <c r="F947" i="19"/>
  <c r="E947" i="19"/>
  <c r="D947" i="19"/>
  <c r="O946" i="19"/>
  <c r="N946" i="19"/>
  <c r="M946" i="19"/>
  <c r="L946" i="19"/>
  <c r="K946" i="19"/>
  <c r="J946" i="19"/>
  <c r="I946" i="19"/>
  <c r="H946" i="19"/>
  <c r="G946" i="19"/>
  <c r="F946" i="19"/>
  <c r="E946" i="19"/>
  <c r="D946" i="19"/>
  <c r="P945" i="19"/>
  <c r="S945" i="19" s="1"/>
  <c r="P944" i="19"/>
  <c r="S944" i="19" s="1"/>
  <c r="P943" i="19"/>
  <c r="S943" i="19" s="1"/>
  <c r="P942" i="19"/>
  <c r="S942" i="19" s="1"/>
  <c r="O937" i="19"/>
  <c r="N937" i="19"/>
  <c r="M937" i="19"/>
  <c r="L937" i="19"/>
  <c r="K937" i="19"/>
  <c r="J937" i="19"/>
  <c r="I937" i="19"/>
  <c r="H937" i="19"/>
  <c r="G937" i="19"/>
  <c r="F937" i="19"/>
  <c r="E937" i="19"/>
  <c r="D937" i="19"/>
  <c r="O936" i="19"/>
  <c r="N936" i="19"/>
  <c r="M936" i="19"/>
  <c r="L936" i="19"/>
  <c r="K936" i="19"/>
  <c r="J936" i="19"/>
  <c r="I936" i="19"/>
  <c r="H936" i="19"/>
  <c r="G936" i="19"/>
  <c r="F936" i="19"/>
  <c r="E936" i="19"/>
  <c r="D936" i="19"/>
  <c r="O935" i="19"/>
  <c r="N935" i="19"/>
  <c r="M935" i="19"/>
  <c r="L935" i="19"/>
  <c r="K935" i="19"/>
  <c r="J935" i="19"/>
  <c r="I935" i="19"/>
  <c r="H935" i="19"/>
  <c r="G935" i="19"/>
  <c r="F935" i="19"/>
  <c r="E935" i="19"/>
  <c r="D935" i="19"/>
  <c r="O934" i="19"/>
  <c r="N934" i="19"/>
  <c r="M934" i="19"/>
  <c r="L934" i="19"/>
  <c r="K934" i="19"/>
  <c r="J934" i="19"/>
  <c r="I934" i="19"/>
  <c r="H934" i="19"/>
  <c r="G934" i="19"/>
  <c r="F934" i="19"/>
  <c r="E934" i="19"/>
  <c r="D934" i="19"/>
  <c r="P933" i="19"/>
  <c r="S933" i="19" s="1"/>
  <c r="P932" i="19"/>
  <c r="S932" i="19" s="1"/>
  <c r="P931" i="19"/>
  <c r="S931" i="19" s="1"/>
  <c r="P930" i="19"/>
  <c r="S930" i="19" s="1"/>
  <c r="O910" i="19"/>
  <c r="N910" i="19"/>
  <c r="M910" i="19"/>
  <c r="L910" i="19"/>
  <c r="K910" i="19"/>
  <c r="J910" i="19"/>
  <c r="I910" i="19"/>
  <c r="H910" i="19"/>
  <c r="G910" i="19"/>
  <c r="F910" i="19"/>
  <c r="E910" i="19"/>
  <c r="D910" i="19"/>
  <c r="O909" i="19"/>
  <c r="N909" i="19"/>
  <c r="M909" i="19"/>
  <c r="L909" i="19"/>
  <c r="K909" i="19"/>
  <c r="J909" i="19"/>
  <c r="I909" i="19"/>
  <c r="H909" i="19"/>
  <c r="G909" i="19"/>
  <c r="F909" i="19"/>
  <c r="E909" i="19"/>
  <c r="D909" i="19"/>
  <c r="O908" i="19"/>
  <c r="N908" i="19"/>
  <c r="M908" i="19"/>
  <c r="L908" i="19"/>
  <c r="K908" i="19"/>
  <c r="J908" i="19"/>
  <c r="I908" i="19"/>
  <c r="H908" i="19"/>
  <c r="G908" i="19"/>
  <c r="F908" i="19"/>
  <c r="E908" i="19"/>
  <c r="D908" i="19"/>
  <c r="O907" i="19"/>
  <c r="N907" i="19"/>
  <c r="M907" i="19"/>
  <c r="L907" i="19"/>
  <c r="K907" i="19"/>
  <c r="J907" i="19"/>
  <c r="I907" i="19"/>
  <c r="H907" i="19"/>
  <c r="G907" i="19"/>
  <c r="F907" i="19"/>
  <c r="E907" i="19"/>
  <c r="D907" i="19"/>
  <c r="P906" i="19"/>
  <c r="S906" i="19" s="1"/>
  <c r="P905" i="19"/>
  <c r="S905" i="19" s="1"/>
  <c r="P904" i="19"/>
  <c r="S904" i="19" s="1"/>
  <c r="P903" i="19"/>
  <c r="S903" i="19" s="1"/>
  <c r="O882" i="19"/>
  <c r="N882" i="19"/>
  <c r="M882" i="19"/>
  <c r="L882" i="19"/>
  <c r="K882" i="19"/>
  <c r="J882" i="19"/>
  <c r="I882" i="19"/>
  <c r="H882" i="19"/>
  <c r="G882" i="19"/>
  <c r="F882" i="19"/>
  <c r="E882" i="19"/>
  <c r="D882" i="19"/>
  <c r="O881" i="19"/>
  <c r="N881" i="19"/>
  <c r="M881" i="19"/>
  <c r="L881" i="19"/>
  <c r="K881" i="19"/>
  <c r="J881" i="19"/>
  <c r="I881" i="19"/>
  <c r="H881" i="19"/>
  <c r="G881" i="19"/>
  <c r="F881" i="19"/>
  <c r="E881" i="19"/>
  <c r="D881" i="19"/>
  <c r="O880" i="19"/>
  <c r="N880" i="19"/>
  <c r="M880" i="19"/>
  <c r="L880" i="19"/>
  <c r="K880" i="19"/>
  <c r="J880" i="19"/>
  <c r="I880" i="19"/>
  <c r="H880" i="19"/>
  <c r="G880" i="19"/>
  <c r="F880" i="19"/>
  <c r="E880" i="19"/>
  <c r="D880" i="19"/>
  <c r="O879" i="19"/>
  <c r="N879" i="19"/>
  <c r="M879" i="19"/>
  <c r="L879" i="19"/>
  <c r="K879" i="19"/>
  <c r="J879" i="19"/>
  <c r="I879" i="19"/>
  <c r="H879" i="19"/>
  <c r="G879" i="19"/>
  <c r="F879" i="19"/>
  <c r="E879" i="19"/>
  <c r="D879" i="19"/>
  <c r="P878" i="19"/>
  <c r="S878" i="19" s="1"/>
  <c r="P877" i="19"/>
  <c r="S877" i="19" s="1"/>
  <c r="P876" i="19"/>
  <c r="S876" i="19" s="1"/>
  <c r="P875" i="19"/>
  <c r="S875" i="19" s="1"/>
  <c r="P946" i="19" l="1"/>
  <c r="P879" i="19"/>
  <c r="P934" i="19"/>
  <c r="P909" i="19"/>
  <c r="P935" i="19"/>
  <c r="P937" i="19"/>
  <c r="P880" i="19"/>
  <c r="P882" i="19"/>
  <c r="P949" i="19"/>
  <c r="P936" i="19"/>
  <c r="P881" i="19"/>
  <c r="P907" i="19"/>
  <c r="P908" i="19"/>
  <c r="P910" i="19"/>
  <c r="P948" i="19"/>
  <c r="P947" i="19"/>
  <c r="P778" i="19"/>
  <c r="O777" i="19"/>
  <c r="N777" i="19"/>
  <c r="M777" i="19"/>
  <c r="L777" i="19"/>
  <c r="K777" i="19"/>
  <c r="J777" i="19"/>
  <c r="I777" i="19"/>
  <c r="H777" i="19"/>
  <c r="G777" i="19"/>
  <c r="F777" i="19"/>
  <c r="E777" i="19"/>
  <c r="D777" i="19"/>
  <c r="O776" i="19"/>
  <c r="N776" i="19"/>
  <c r="M776" i="19"/>
  <c r="L776" i="19"/>
  <c r="K776" i="19"/>
  <c r="J776" i="19"/>
  <c r="I776" i="19"/>
  <c r="H776" i="19"/>
  <c r="G776" i="19"/>
  <c r="F776" i="19"/>
  <c r="E776" i="19"/>
  <c r="D776" i="19"/>
  <c r="O775" i="19"/>
  <c r="N775" i="19"/>
  <c r="M775" i="19"/>
  <c r="L775" i="19"/>
  <c r="K775" i="19"/>
  <c r="J775" i="19"/>
  <c r="I775" i="19"/>
  <c r="H775" i="19"/>
  <c r="G775" i="19"/>
  <c r="F775" i="19"/>
  <c r="E775" i="19"/>
  <c r="D775" i="19"/>
  <c r="O774" i="19"/>
  <c r="N774" i="19"/>
  <c r="M774" i="19"/>
  <c r="L774" i="19"/>
  <c r="K774" i="19"/>
  <c r="J774" i="19"/>
  <c r="I774" i="19"/>
  <c r="H774" i="19"/>
  <c r="G774" i="19"/>
  <c r="F774" i="19"/>
  <c r="E774" i="19"/>
  <c r="D774" i="19"/>
  <c r="P773" i="19"/>
  <c r="S773" i="19" s="1"/>
  <c r="P772" i="19"/>
  <c r="S772" i="19" s="1"/>
  <c r="P771" i="19"/>
  <c r="S771" i="19" s="1"/>
  <c r="P770" i="19"/>
  <c r="S770" i="19" s="1"/>
  <c r="P769" i="19"/>
  <c r="S769" i="19" s="1"/>
  <c r="O764" i="19"/>
  <c r="N764" i="19"/>
  <c r="M764" i="19"/>
  <c r="L764" i="19"/>
  <c r="K764" i="19"/>
  <c r="J764" i="19"/>
  <c r="I764" i="19"/>
  <c r="H764" i="19"/>
  <c r="G764" i="19"/>
  <c r="F764" i="19"/>
  <c r="E764" i="19"/>
  <c r="D764" i="19"/>
  <c r="O763" i="19"/>
  <c r="N763" i="19"/>
  <c r="M763" i="19"/>
  <c r="L763" i="19"/>
  <c r="K763" i="19"/>
  <c r="J763" i="19"/>
  <c r="I763" i="19"/>
  <c r="H763" i="19"/>
  <c r="G763" i="19"/>
  <c r="F763" i="19"/>
  <c r="E763" i="19"/>
  <c r="D763" i="19"/>
  <c r="O762" i="19"/>
  <c r="N762" i="19"/>
  <c r="M762" i="19"/>
  <c r="L762" i="19"/>
  <c r="K762" i="19"/>
  <c r="J762" i="19"/>
  <c r="I762" i="19"/>
  <c r="H762" i="19"/>
  <c r="G762" i="19"/>
  <c r="F762" i="19"/>
  <c r="E762" i="19"/>
  <c r="D762" i="19"/>
  <c r="O761" i="19"/>
  <c r="N761" i="19"/>
  <c r="M761" i="19"/>
  <c r="L761" i="19"/>
  <c r="K761" i="19"/>
  <c r="J761" i="19"/>
  <c r="I761" i="19"/>
  <c r="H761" i="19"/>
  <c r="G761" i="19"/>
  <c r="F761" i="19"/>
  <c r="E761" i="19"/>
  <c r="D761" i="19"/>
  <c r="P760" i="19"/>
  <c r="S760" i="19" s="1"/>
  <c r="P759" i="19"/>
  <c r="S759" i="19" s="1"/>
  <c r="P758" i="19"/>
  <c r="S758" i="19" s="1"/>
  <c r="P757" i="19"/>
  <c r="S757" i="19" s="1"/>
  <c r="P749" i="19"/>
  <c r="O748" i="19"/>
  <c r="N748" i="19"/>
  <c r="M748" i="19"/>
  <c r="L748" i="19"/>
  <c r="K748" i="19"/>
  <c r="J748" i="19"/>
  <c r="I748" i="19"/>
  <c r="H748" i="19"/>
  <c r="G748" i="19"/>
  <c r="F748" i="19"/>
  <c r="E748" i="19"/>
  <c r="D748" i="19"/>
  <c r="O747" i="19"/>
  <c r="N747" i="19"/>
  <c r="M747" i="19"/>
  <c r="L747" i="19"/>
  <c r="K747" i="19"/>
  <c r="J747" i="19"/>
  <c r="I747" i="19"/>
  <c r="H747" i="19"/>
  <c r="G747" i="19"/>
  <c r="F747" i="19"/>
  <c r="E747" i="19"/>
  <c r="D747" i="19"/>
  <c r="P746" i="19"/>
  <c r="S746" i="19" s="1"/>
  <c r="P745" i="19"/>
  <c r="S745" i="19" s="1"/>
  <c r="P744" i="19"/>
  <c r="S744" i="19" s="1"/>
  <c r="O468" i="19"/>
  <c r="N468" i="19"/>
  <c r="M468" i="19"/>
  <c r="L468" i="19"/>
  <c r="K468" i="19"/>
  <c r="J468" i="19"/>
  <c r="I468" i="19"/>
  <c r="H468" i="19"/>
  <c r="G468" i="19"/>
  <c r="F468" i="19"/>
  <c r="E468" i="19"/>
  <c r="D468" i="19"/>
  <c r="O467" i="19"/>
  <c r="N467" i="19"/>
  <c r="M467" i="19"/>
  <c r="L467" i="19"/>
  <c r="K467" i="19"/>
  <c r="J467" i="19"/>
  <c r="I467" i="19"/>
  <c r="H467" i="19"/>
  <c r="G467" i="19"/>
  <c r="F467" i="19"/>
  <c r="E467" i="19"/>
  <c r="D467" i="19"/>
  <c r="O466" i="19"/>
  <c r="N466" i="19"/>
  <c r="M466" i="19"/>
  <c r="L466" i="19"/>
  <c r="K466" i="19"/>
  <c r="J466" i="19"/>
  <c r="I466" i="19"/>
  <c r="H466" i="19"/>
  <c r="G466" i="19"/>
  <c r="F466" i="19"/>
  <c r="E466" i="19"/>
  <c r="D466" i="19"/>
  <c r="O465" i="19"/>
  <c r="N465" i="19"/>
  <c r="M465" i="19"/>
  <c r="L465" i="19"/>
  <c r="K465" i="19"/>
  <c r="J465" i="19"/>
  <c r="I465" i="19"/>
  <c r="H465" i="19"/>
  <c r="G465" i="19"/>
  <c r="F465" i="19"/>
  <c r="E465" i="19"/>
  <c r="D465" i="19"/>
  <c r="O464" i="19"/>
  <c r="N464" i="19"/>
  <c r="M464" i="19"/>
  <c r="L464" i="19"/>
  <c r="K464" i="19"/>
  <c r="J464" i="19"/>
  <c r="I464" i="19"/>
  <c r="H464" i="19"/>
  <c r="G464" i="19"/>
  <c r="F464" i="19"/>
  <c r="E464" i="19"/>
  <c r="D464" i="19"/>
  <c r="P463" i="19"/>
  <c r="P462" i="19"/>
  <c r="P461" i="19"/>
  <c r="S461" i="19" s="1"/>
  <c r="P460" i="19"/>
  <c r="S460" i="19" s="1"/>
  <c r="P459" i="19"/>
  <c r="S459" i="19" s="1"/>
  <c r="O141" i="19"/>
  <c r="N141" i="19"/>
  <c r="M141" i="19"/>
  <c r="L141" i="19"/>
  <c r="K141" i="19"/>
  <c r="J141" i="19"/>
  <c r="I141" i="19"/>
  <c r="H141" i="19"/>
  <c r="G141" i="19"/>
  <c r="F141" i="19"/>
  <c r="E141" i="19"/>
  <c r="D141" i="19"/>
  <c r="O140" i="19"/>
  <c r="N140" i="19"/>
  <c r="M140" i="19"/>
  <c r="L140" i="19"/>
  <c r="K140" i="19"/>
  <c r="J140" i="19"/>
  <c r="I140" i="19"/>
  <c r="H140" i="19"/>
  <c r="G140" i="19"/>
  <c r="F140" i="19"/>
  <c r="E140" i="19"/>
  <c r="D140" i="19"/>
  <c r="O139" i="19"/>
  <c r="N139" i="19"/>
  <c r="M139" i="19"/>
  <c r="L139" i="19"/>
  <c r="K139" i="19"/>
  <c r="J139" i="19"/>
  <c r="I139" i="19"/>
  <c r="H139" i="19"/>
  <c r="G139" i="19"/>
  <c r="F139" i="19"/>
  <c r="E139" i="19"/>
  <c r="D139" i="19"/>
  <c r="O138" i="19"/>
  <c r="N138" i="19"/>
  <c r="M138" i="19"/>
  <c r="L138" i="19"/>
  <c r="K138" i="19"/>
  <c r="J138" i="19"/>
  <c r="I138" i="19"/>
  <c r="H138" i="19"/>
  <c r="G138" i="19"/>
  <c r="F138" i="19"/>
  <c r="E138" i="19"/>
  <c r="D138" i="19"/>
  <c r="P137" i="19"/>
  <c r="S137" i="19" s="1"/>
  <c r="P136" i="19"/>
  <c r="S136" i="19" s="1"/>
  <c r="P135" i="19"/>
  <c r="S135" i="19" s="1"/>
  <c r="P134" i="19"/>
  <c r="S134" i="19" s="1"/>
  <c r="P776" i="19" l="1"/>
  <c r="P763" i="19"/>
  <c r="S462" i="19"/>
  <c r="P764" i="19"/>
  <c r="P777" i="19"/>
  <c r="P747" i="19"/>
  <c r="P775" i="19"/>
  <c r="P761" i="19"/>
  <c r="P762" i="19"/>
  <c r="P748" i="19"/>
  <c r="P774" i="19"/>
  <c r="P466" i="19"/>
  <c r="P465" i="19"/>
  <c r="P467" i="19"/>
  <c r="P139" i="19"/>
  <c r="P141" i="19"/>
  <c r="P140" i="19"/>
  <c r="P468" i="19"/>
  <c r="P138" i="19"/>
  <c r="P464" i="19"/>
  <c r="AS52" i="5" l="1"/>
  <c r="Q52" i="5"/>
  <c r="T485" i="20"/>
  <c r="W485" i="20" s="1"/>
  <c r="BB53" i="5" s="1"/>
  <c r="BD53" i="5" l="1"/>
  <c r="BC53" i="5"/>
  <c r="BE53" i="5"/>
  <c r="T508" i="20" l="1"/>
  <c r="T507" i="20"/>
  <c r="T506" i="20"/>
  <c r="T505" i="20"/>
  <c r="T504" i="20"/>
  <c r="T503" i="20"/>
  <c r="T502" i="20"/>
  <c r="T298" i="20" l="1"/>
  <c r="T299" i="20"/>
  <c r="T300" i="20"/>
  <c r="T301" i="20"/>
  <c r="T302" i="20"/>
  <c r="O127" i="19" l="1"/>
  <c r="O126" i="19"/>
  <c r="O125" i="19"/>
  <c r="O123" i="19"/>
  <c r="O122" i="19"/>
  <c r="O121" i="19"/>
  <c r="T108" i="20" l="1"/>
  <c r="O172" i="19"/>
  <c r="O171" i="19"/>
  <c r="O170" i="19"/>
  <c r="O168" i="19"/>
  <c r="O167" i="19"/>
  <c r="O166" i="19"/>
  <c r="T391" i="20" l="1"/>
  <c r="T395" i="20"/>
  <c r="T394" i="20"/>
  <c r="T393" i="20"/>
  <c r="W393" i="20" s="1"/>
  <c r="BB44" i="5" s="1"/>
  <c r="BE44" i="5" s="1"/>
  <c r="T392" i="20"/>
  <c r="BD44" i="5" l="1"/>
  <c r="Z30" i="20"/>
  <c r="O419" i="19"/>
  <c r="M419" i="19"/>
  <c r="L419" i="19"/>
  <c r="K419" i="19"/>
  <c r="J419" i="19"/>
  <c r="I419" i="19"/>
  <c r="G419" i="19"/>
  <c r="E419" i="19"/>
  <c r="D419" i="19"/>
  <c r="O416" i="19"/>
  <c r="M416" i="19"/>
  <c r="K416" i="19"/>
  <c r="I416" i="19"/>
  <c r="G416" i="19"/>
  <c r="E416" i="19"/>
  <c r="N343" i="19"/>
  <c r="M343" i="19"/>
  <c r="L343" i="19"/>
  <c r="K343" i="19"/>
  <c r="J343" i="19"/>
  <c r="I343" i="19"/>
  <c r="H343" i="19"/>
  <c r="G343" i="19"/>
  <c r="E343" i="19"/>
  <c r="D343" i="19"/>
  <c r="L340" i="19"/>
  <c r="H340" i="19"/>
  <c r="T343" i="19" l="1"/>
  <c r="T419" i="19"/>
  <c r="T416" i="19"/>
  <c r="T340" i="19"/>
  <c r="T699" i="20" l="1"/>
  <c r="W699" i="20" s="1"/>
  <c r="O1159" i="19" l="1"/>
  <c r="O1156" i="19"/>
  <c r="O1154" i="19"/>
  <c r="O1153" i="19"/>
  <c r="O1150" i="19"/>
  <c r="O1146" i="19"/>
  <c r="O1144" i="19"/>
  <c r="O1135" i="19"/>
  <c r="O1133" i="19"/>
  <c r="O1128" i="19"/>
  <c r="O1126" i="19"/>
  <c r="O635" i="19"/>
  <c r="O632" i="19"/>
  <c r="O630" i="19"/>
  <c r="O629" i="19"/>
  <c r="O628" i="19"/>
  <c r="O627" i="19"/>
  <c r="O624" i="19"/>
  <c r="O621" i="19"/>
  <c r="O619" i="19"/>
  <c r="O618" i="19"/>
  <c r="O617" i="19"/>
  <c r="O616" i="19"/>
  <c r="O613" i="19"/>
  <c r="O610" i="19"/>
  <c r="O607" i="19"/>
  <c r="O603" i="19"/>
  <c r="O601" i="19"/>
  <c r="O596" i="19"/>
  <c r="O595" i="19"/>
  <c r="O592" i="19"/>
  <c r="O591" i="19"/>
  <c r="O590" i="19"/>
  <c r="O589" i="19"/>
  <c r="O588" i="19"/>
  <c r="O696" i="19"/>
  <c r="O695" i="19"/>
  <c r="N691" i="19"/>
  <c r="M691" i="19"/>
  <c r="L691" i="19"/>
  <c r="K691" i="19"/>
  <c r="J691" i="19"/>
  <c r="I691" i="19"/>
  <c r="H691" i="19"/>
  <c r="G691" i="19"/>
  <c r="F691" i="19"/>
  <c r="E691" i="19"/>
  <c r="D691" i="19"/>
  <c r="O682" i="19"/>
  <c r="O681" i="19"/>
  <c r="O678" i="19"/>
  <c r="O677" i="19" s="1"/>
  <c r="O674" i="19"/>
  <c r="O673" i="19" s="1"/>
  <c r="O667" i="19"/>
  <c r="O665" i="19"/>
  <c r="O660" i="19"/>
  <c r="O658" i="19"/>
  <c r="O402" i="19"/>
  <c r="N399" i="19"/>
  <c r="M399" i="19"/>
  <c r="L399" i="19"/>
  <c r="K399" i="19"/>
  <c r="J399" i="19"/>
  <c r="I399" i="19"/>
  <c r="H399" i="19"/>
  <c r="G399" i="19"/>
  <c r="F399" i="19"/>
  <c r="E399" i="19"/>
  <c r="D399" i="19"/>
  <c r="C399" i="19"/>
  <c r="O396" i="19"/>
  <c r="O395" i="19"/>
  <c r="O394" i="19"/>
  <c r="O391" i="19"/>
  <c r="O390" i="19"/>
  <c r="O387" i="19"/>
  <c r="O383" i="19"/>
  <c r="O381" i="19"/>
  <c r="O372" i="19"/>
  <c r="O370" i="19"/>
  <c r="O1149" i="19" l="1"/>
  <c r="O602" i="19"/>
  <c r="O666" i="19"/>
  <c r="O1145" i="19"/>
  <c r="O382" i="19"/>
  <c r="O659" i="19"/>
  <c r="O691" i="19"/>
  <c r="O698" i="19"/>
  <c r="O1127" i="19"/>
  <c r="O606" i="19"/>
  <c r="O1134" i="19"/>
  <c r="O371" i="19"/>
  <c r="O399" i="19"/>
  <c r="O386" i="19"/>
  <c r="N1250" i="19"/>
  <c r="M1250" i="19"/>
  <c r="L1250" i="19"/>
  <c r="K1250" i="19"/>
  <c r="J1250" i="19"/>
  <c r="I1250" i="19"/>
  <c r="H1250" i="19"/>
  <c r="G1250" i="19"/>
  <c r="F1250" i="19"/>
  <c r="E1250" i="19"/>
  <c r="D1250" i="19"/>
  <c r="G1017" i="19"/>
  <c r="G895" i="19"/>
  <c r="M894" i="19"/>
  <c r="G817" i="19"/>
  <c r="M816" i="19"/>
  <c r="G804" i="19"/>
  <c r="M803" i="19"/>
  <c r="G802" i="19"/>
  <c r="G791" i="19"/>
  <c r="M308" i="19"/>
  <c r="E308" i="19"/>
  <c r="D308" i="19"/>
  <c r="C308" i="19"/>
  <c r="N300" i="19"/>
  <c r="M300" i="19"/>
  <c r="L300" i="19"/>
  <c r="K300" i="19"/>
  <c r="J300" i="19"/>
  <c r="I300" i="19"/>
  <c r="H300" i="19"/>
  <c r="G300" i="19"/>
  <c r="F300" i="19"/>
  <c r="E300" i="19"/>
  <c r="D300" i="19"/>
  <c r="C300" i="19"/>
  <c r="K292" i="19"/>
  <c r="J292" i="19"/>
  <c r="I292" i="19"/>
  <c r="H292" i="19"/>
  <c r="N286" i="19"/>
  <c r="N292" i="19" s="1"/>
  <c r="M286" i="19"/>
  <c r="M292" i="19" s="1"/>
  <c r="L286" i="19"/>
  <c r="L292" i="19" s="1"/>
  <c r="G286" i="19"/>
  <c r="G292" i="19" s="1"/>
  <c r="F286" i="19"/>
  <c r="F292" i="19" s="1"/>
  <c r="E286" i="19"/>
  <c r="E292" i="19" s="1"/>
  <c r="D286" i="19"/>
  <c r="D292" i="19" s="1"/>
  <c r="C286" i="19"/>
  <c r="C292" i="19" s="1"/>
  <c r="N284" i="19"/>
  <c r="M284" i="19"/>
  <c r="L284" i="19"/>
  <c r="K284" i="19"/>
  <c r="J284" i="19"/>
  <c r="I284" i="19"/>
  <c r="H284" i="19"/>
  <c r="G284" i="19"/>
  <c r="F284" i="19"/>
  <c r="E284" i="19"/>
  <c r="D284" i="19"/>
  <c r="C284" i="19"/>
  <c r="N275" i="19"/>
  <c r="M275" i="19"/>
  <c r="L275" i="19"/>
  <c r="K275" i="19"/>
  <c r="J275" i="19"/>
  <c r="I275" i="19"/>
  <c r="H275" i="19"/>
  <c r="G275" i="19"/>
  <c r="F275" i="19"/>
  <c r="E275" i="19"/>
  <c r="D275" i="19"/>
  <c r="C275" i="19"/>
  <c r="N267" i="19"/>
  <c r="M267" i="19"/>
  <c r="L267" i="19"/>
  <c r="K267" i="19"/>
  <c r="J267" i="19"/>
  <c r="I267" i="19"/>
  <c r="H267" i="19"/>
  <c r="G267" i="19"/>
  <c r="F267" i="19"/>
  <c r="E267" i="19"/>
  <c r="D267" i="19"/>
  <c r="N258" i="19"/>
  <c r="M258" i="19"/>
  <c r="L258" i="19"/>
  <c r="K258" i="19"/>
  <c r="J258" i="19"/>
  <c r="I258" i="19"/>
  <c r="H258" i="19"/>
  <c r="G258" i="19"/>
  <c r="F258" i="19"/>
  <c r="E258" i="19"/>
  <c r="D258" i="19"/>
  <c r="C258" i="19"/>
  <c r="N250" i="19"/>
  <c r="M250" i="19"/>
  <c r="L250" i="19"/>
  <c r="K250" i="19"/>
  <c r="J250" i="19"/>
  <c r="I250" i="19"/>
  <c r="H250" i="19"/>
  <c r="G250" i="19"/>
  <c r="F250" i="19"/>
  <c r="E250" i="19"/>
  <c r="D250" i="19"/>
  <c r="C250" i="19"/>
  <c r="T482" i="20" l="1"/>
  <c r="T379" i="20"/>
  <c r="D1034" i="19"/>
  <c r="D925" i="19"/>
  <c r="E832" i="19"/>
  <c r="D832" i="19"/>
  <c r="E723" i="19"/>
  <c r="D723" i="19"/>
  <c r="L454" i="19" l="1"/>
  <c r="L447" i="19" s="1"/>
  <c r="K454" i="19"/>
  <c r="K447" i="19" s="1"/>
  <c r="J454" i="19"/>
  <c r="J447" i="19" s="1"/>
  <c r="I454" i="19"/>
  <c r="I447" i="19" s="1"/>
  <c r="H454" i="19"/>
  <c r="H447" i="19" s="1"/>
  <c r="G454" i="19"/>
  <c r="G447" i="19" s="1"/>
  <c r="F454" i="19"/>
  <c r="F447" i="19" s="1"/>
  <c r="E454" i="19"/>
  <c r="E447" i="19" s="1"/>
  <c r="N452" i="19"/>
  <c r="M452" i="19"/>
  <c r="L452" i="19"/>
  <c r="K452" i="19"/>
  <c r="J452" i="19"/>
  <c r="I452" i="19"/>
  <c r="H452" i="19"/>
  <c r="G452" i="19"/>
  <c r="F452" i="19"/>
  <c r="E452" i="19"/>
  <c r="D452" i="19"/>
  <c r="C452" i="19"/>
  <c r="N450" i="19"/>
  <c r="N444" i="19" s="1"/>
  <c r="M450" i="19"/>
  <c r="M444" i="19" s="1"/>
  <c r="L450" i="19"/>
  <c r="L444" i="19" s="1"/>
  <c r="K450" i="19"/>
  <c r="K444" i="19" s="1"/>
  <c r="J450" i="19"/>
  <c r="J444" i="19" s="1"/>
  <c r="I450" i="19"/>
  <c r="I444" i="19" s="1"/>
  <c r="H450" i="19"/>
  <c r="H444" i="19" s="1"/>
  <c r="G450" i="19"/>
  <c r="G444" i="19" s="1"/>
  <c r="F450" i="19"/>
  <c r="F444" i="19" s="1"/>
  <c r="E450" i="19"/>
  <c r="E444" i="19" s="1"/>
  <c r="D450" i="19"/>
  <c r="D444" i="19" s="1"/>
  <c r="C450" i="19"/>
  <c r="C444" i="19" s="1"/>
  <c r="N447" i="19"/>
  <c r="M447" i="19"/>
  <c r="D447" i="19"/>
  <c r="C447" i="19"/>
  <c r="N446" i="19"/>
  <c r="M446" i="19"/>
  <c r="L446" i="19"/>
  <c r="K446" i="19"/>
  <c r="J446" i="19"/>
  <c r="I446" i="19"/>
  <c r="H446" i="19"/>
  <c r="G446" i="19"/>
  <c r="F446" i="19"/>
  <c r="E446" i="19"/>
  <c r="D446" i="19"/>
  <c r="C446" i="19"/>
  <c r="P444" i="19"/>
  <c r="O444" i="19"/>
  <c r="T51" i="20" l="1"/>
  <c r="W51" i="20" s="1"/>
  <c r="T50" i="20"/>
  <c r="W50" i="20" s="1"/>
  <c r="T49" i="20"/>
  <c r="W49" i="20" s="1"/>
  <c r="T48" i="20"/>
  <c r="W48" i="20" s="1"/>
  <c r="BB8" i="5" s="1"/>
  <c r="T47" i="20"/>
  <c r="W47" i="20" s="1"/>
  <c r="T46" i="20"/>
  <c r="W46" i="20" s="1"/>
  <c r="T45" i="20"/>
  <c r="W45" i="20" s="1"/>
  <c r="T36" i="20"/>
  <c r="T40" i="20"/>
  <c r="T39" i="20"/>
  <c r="T38" i="20"/>
  <c r="T37" i="20"/>
  <c r="W37" i="20" s="1"/>
  <c r="T35" i="20"/>
  <c r="T34" i="20"/>
  <c r="Y47" i="20" l="1"/>
  <c r="AA8" i="5" s="1"/>
  <c r="AG8" i="5" s="1"/>
  <c r="BE8" i="5"/>
  <c r="BC8" i="5"/>
  <c r="BD8" i="5"/>
  <c r="W52" i="20"/>
  <c r="AO8" i="5" s="1"/>
  <c r="T282" i="20"/>
  <c r="W282" i="20" s="1"/>
  <c r="T281" i="20"/>
  <c r="T280" i="20"/>
  <c r="T279" i="20"/>
  <c r="T278" i="20"/>
  <c r="W278" i="20" s="1"/>
  <c r="T277" i="20"/>
  <c r="T276" i="20"/>
  <c r="AE8" i="5" l="1"/>
  <c r="AR8" i="5"/>
  <c r="AQ8" i="5"/>
  <c r="T790" i="20"/>
  <c r="T789" i="20"/>
  <c r="W789" i="20" s="1"/>
  <c r="T785" i="20"/>
  <c r="W785" i="20" s="1"/>
  <c r="T788" i="20"/>
  <c r="T787" i="20"/>
  <c r="T786" i="20"/>
  <c r="T784" i="20"/>
  <c r="N1236" i="19" l="1"/>
  <c r="M1236" i="19"/>
  <c r="L1236" i="19"/>
  <c r="K1236" i="19"/>
  <c r="J1236" i="19"/>
  <c r="I1236" i="19"/>
  <c r="H1236" i="19"/>
  <c r="G1236" i="19"/>
  <c r="F1236" i="19"/>
  <c r="E1236" i="19"/>
  <c r="D1236" i="19"/>
  <c r="C1236" i="19"/>
  <c r="N1222" i="19"/>
  <c r="M1222" i="19"/>
  <c r="L1222" i="19"/>
  <c r="K1222" i="19"/>
  <c r="J1222" i="19"/>
  <c r="I1222" i="19"/>
  <c r="H1222" i="19"/>
  <c r="G1222" i="19"/>
  <c r="F1222" i="19"/>
  <c r="E1222" i="19"/>
  <c r="D1222" i="19"/>
  <c r="C1222" i="19"/>
  <c r="E1210" i="19"/>
  <c r="M1210" i="19" s="1"/>
  <c r="J1209" i="19"/>
  <c r="I1209" i="19"/>
  <c r="H1209" i="19"/>
  <c r="F1209" i="19"/>
  <c r="N110" i="19"/>
  <c r="M110" i="19"/>
  <c r="L110" i="19"/>
  <c r="K110" i="19"/>
  <c r="J110" i="19"/>
  <c r="I110" i="19"/>
  <c r="H110" i="19"/>
  <c r="G110" i="19"/>
  <c r="F110" i="19"/>
  <c r="E110" i="19"/>
  <c r="D110" i="19"/>
  <c r="C110" i="19"/>
  <c r="E83" i="19"/>
  <c r="M83" i="19" s="1"/>
  <c r="J82" i="19"/>
  <c r="I82" i="19"/>
  <c r="H82" i="19"/>
  <c r="G82" i="19"/>
  <c r="F82" i="19"/>
  <c r="G1209" i="19" l="1"/>
  <c r="E1209" i="19" s="1"/>
  <c r="M1209" i="19" s="1"/>
  <c r="E82" i="19"/>
  <c r="M82" i="19" s="1"/>
  <c r="Q84" i="5" l="1"/>
  <c r="AH84" i="5" s="1"/>
  <c r="AS84" i="5" s="1"/>
  <c r="BF84" i="5" s="1"/>
  <c r="O482" i="19" l="1"/>
  <c r="N482" i="19"/>
  <c r="M482" i="19"/>
  <c r="L482" i="19"/>
  <c r="K482" i="19"/>
  <c r="J482" i="19"/>
  <c r="I482" i="19"/>
  <c r="H482" i="19"/>
  <c r="G482" i="19"/>
  <c r="F482" i="19"/>
  <c r="E482" i="19"/>
  <c r="D482" i="19"/>
  <c r="C482" i="19"/>
  <c r="R481" i="19"/>
  <c r="R480" i="19"/>
  <c r="R477" i="19"/>
  <c r="R482" i="19" l="1"/>
  <c r="I968" i="19"/>
  <c r="H968" i="19"/>
  <c r="G968" i="19"/>
  <c r="F968" i="19"/>
  <c r="E968" i="19"/>
  <c r="D968" i="19"/>
  <c r="Q80" i="5" l="1"/>
  <c r="AH80" i="5" s="1"/>
  <c r="AS80" i="5" s="1"/>
  <c r="BF80" i="5" s="1"/>
  <c r="O318" i="19" l="1"/>
  <c r="N318" i="19"/>
  <c r="M318" i="19"/>
  <c r="L318" i="19"/>
  <c r="K318" i="19"/>
  <c r="J318" i="19"/>
  <c r="I318" i="19"/>
  <c r="H318" i="19"/>
  <c r="G318" i="19"/>
  <c r="F318" i="19"/>
  <c r="E318" i="19"/>
  <c r="D318" i="19"/>
  <c r="C318" i="19"/>
  <c r="O1178" i="19" l="1"/>
  <c r="D1174" i="19"/>
  <c r="N1173" i="19"/>
  <c r="N1178" i="19" s="1"/>
  <c r="M1173" i="19"/>
  <c r="M1178" i="19" s="1"/>
  <c r="L1173" i="19"/>
  <c r="L1178" i="19" s="1"/>
  <c r="K1173" i="19"/>
  <c r="K1178" i="19" s="1"/>
  <c r="J1173" i="19"/>
  <c r="J1178" i="19" s="1"/>
  <c r="I1173" i="19"/>
  <c r="I1178" i="19" s="1"/>
  <c r="H1173" i="19"/>
  <c r="H1178" i="19" s="1"/>
  <c r="G1173" i="19"/>
  <c r="G1178" i="19" s="1"/>
  <c r="F1173" i="19"/>
  <c r="F1178" i="19" s="1"/>
  <c r="E1173" i="19"/>
  <c r="E1178" i="19" s="1"/>
  <c r="D1173" i="19"/>
  <c r="D1178" i="19" s="1"/>
  <c r="C1173" i="19"/>
  <c r="C1178" i="19" s="1"/>
  <c r="O867" i="19"/>
  <c r="N867" i="19"/>
  <c r="M867" i="19"/>
  <c r="L867" i="19"/>
  <c r="J867" i="19"/>
  <c r="I867" i="19"/>
  <c r="H867" i="19"/>
  <c r="G867" i="19"/>
  <c r="F867" i="19"/>
  <c r="E867" i="19"/>
  <c r="D867" i="19"/>
  <c r="C867" i="19"/>
  <c r="K862" i="19"/>
  <c r="K867" i="19" s="1"/>
  <c r="O434" i="19"/>
  <c r="O433" i="19"/>
  <c r="N433" i="19"/>
  <c r="M433" i="19"/>
  <c r="L433" i="19"/>
  <c r="K433" i="19"/>
  <c r="J433" i="19"/>
  <c r="I433" i="19"/>
  <c r="H433" i="19"/>
  <c r="G433" i="19"/>
  <c r="F433" i="19"/>
  <c r="E433" i="19"/>
  <c r="D433" i="19"/>
  <c r="C433" i="19"/>
  <c r="O431" i="19"/>
  <c r="N431" i="19"/>
  <c r="M431" i="19"/>
  <c r="L431" i="19"/>
  <c r="K431" i="19"/>
  <c r="J431" i="19"/>
  <c r="I431" i="19"/>
  <c r="H431" i="19"/>
  <c r="G431" i="19"/>
  <c r="F431" i="19"/>
  <c r="E431" i="19"/>
  <c r="D431" i="19"/>
  <c r="C431" i="19"/>
  <c r="T709" i="20" l="1"/>
  <c r="W709" i="20" s="1"/>
  <c r="T708" i="20"/>
  <c r="W708" i="20" s="1"/>
  <c r="T707" i="20"/>
  <c r="W707" i="20" s="1"/>
  <c r="T706" i="20"/>
  <c r="W706" i="20" s="1"/>
  <c r="T705" i="20"/>
  <c r="W705" i="20" s="1"/>
  <c r="W790" i="20"/>
  <c r="W788" i="20"/>
  <c r="W787" i="20"/>
  <c r="BB83" i="5" s="1"/>
  <c r="W786" i="20"/>
  <c r="W784" i="20"/>
  <c r="T821" i="20"/>
  <c r="W821" i="20" s="1"/>
  <c r="T820" i="20"/>
  <c r="W820" i="20" s="1"/>
  <c r="T819" i="20"/>
  <c r="W819" i="20" s="1"/>
  <c r="BB88" i="5" s="1"/>
  <c r="T818" i="20"/>
  <c r="W818" i="20" s="1"/>
  <c r="T817" i="20"/>
  <c r="W817" i="20" s="1"/>
  <c r="Y818" i="20" s="1"/>
  <c r="AA88" i="5" s="1"/>
  <c r="T799" i="20"/>
  <c r="W799" i="20" s="1"/>
  <c r="T798" i="20"/>
  <c r="W798" i="20" s="1"/>
  <c r="T797" i="20"/>
  <c r="W797" i="20" s="1"/>
  <c r="BB84" i="5" s="1"/>
  <c r="T796" i="20"/>
  <c r="W796" i="20" s="1"/>
  <c r="T795" i="20"/>
  <c r="W795" i="20" s="1"/>
  <c r="W832" i="20"/>
  <c r="W831" i="20"/>
  <c r="W830" i="20"/>
  <c r="W829" i="20"/>
  <c r="BB89" i="5" s="1"/>
  <c r="W828" i="20"/>
  <c r="W827" i="20"/>
  <c r="W826" i="20"/>
  <c r="T812" i="20"/>
  <c r="W812" i="20" s="1"/>
  <c r="T811" i="20"/>
  <c r="W811" i="20" s="1"/>
  <c r="T810" i="20"/>
  <c r="W810" i="20" s="1"/>
  <c r="T809" i="20"/>
  <c r="W809" i="20" s="1"/>
  <c r="T808" i="20"/>
  <c r="W808" i="20" s="1"/>
  <c r="T807" i="20"/>
  <c r="W807" i="20" s="1"/>
  <c r="T806" i="20"/>
  <c r="W806" i="20" s="1"/>
  <c r="T805" i="20"/>
  <c r="W805" i="20" s="1"/>
  <c r="T804" i="20"/>
  <c r="W804" i="20" s="1"/>
  <c r="BE89" i="5" l="1"/>
  <c r="BD89" i="5"/>
  <c r="BE88" i="5"/>
  <c r="BD88" i="5"/>
  <c r="AG88" i="5"/>
  <c r="AB88" i="5"/>
  <c r="AE88" i="5"/>
  <c r="Y796" i="20"/>
  <c r="AA84" i="5" s="1"/>
  <c r="AE84" i="5" s="1"/>
  <c r="Y786" i="20"/>
  <c r="AA83" i="5" s="1"/>
  <c r="AE83" i="5" s="1"/>
  <c r="BE83" i="5"/>
  <c r="BD83" i="5"/>
  <c r="BE84" i="5"/>
  <c r="BD84" i="5"/>
  <c r="BC84" i="5"/>
  <c r="W800" i="20"/>
  <c r="AO84" i="5" s="1"/>
  <c r="Y706" i="20"/>
  <c r="W710" i="20"/>
  <c r="W791" i="20"/>
  <c r="AO83" i="5" s="1"/>
  <c r="W822" i="20"/>
  <c r="AO88" i="5" s="1"/>
  <c r="Y807" i="20"/>
  <c r="W813" i="20"/>
  <c r="W833" i="20"/>
  <c r="AO89" i="5" s="1"/>
  <c r="Y828" i="20"/>
  <c r="AA89" i="5" s="1"/>
  <c r="T779" i="20"/>
  <c r="W779" i="20" s="1"/>
  <c r="T778" i="20"/>
  <c r="W778" i="20" s="1"/>
  <c r="T777" i="20"/>
  <c r="W777" i="20" s="1"/>
  <c r="T776" i="20"/>
  <c r="W776" i="20" s="1"/>
  <c r="T775" i="20"/>
  <c r="W775" i="20" s="1"/>
  <c r="T774" i="20"/>
  <c r="W774" i="20" s="1"/>
  <c r="T773" i="20"/>
  <c r="W773" i="20" s="1"/>
  <c r="T772" i="20"/>
  <c r="W772" i="20" s="1"/>
  <c r="T771" i="20"/>
  <c r="W771" i="20" s="1"/>
  <c r="T766" i="20"/>
  <c r="W766" i="20" s="1"/>
  <c r="T765" i="20"/>
  <c r="W765" i="20" s="1"/>
  <c r="T764" i="20"/>
  <c r="W764" i="20" s="1"/>
  <c r="T763" i="20"/>
  <c r="W763" i="20" s="1"/>
  <c r="T762" i="20"/>
  <c r="W762" i="20" s="1"/>
  <c r="T757" i="20"/>
  <c r="W757" i="20" s="1"/>
  <c r="T756" i="20"/>
  <c r="W756" i="20" s="1"/>
  <c r="T755" i="20"/>
  <c r="W755" i="20" s="1"/>
  <c r="T754" i="20"/>
  <c r="W754" i="20" s="1"/>
  <c r="T753" i="20"/>
  <c r="W753" i="20" s="1"/>
  <c r="BB80" i="5" s="1"/>
  <c r="T752" i="20"/>
  <c r="W752" i="20" s="1"/>
  <c r="T751" i="20"/>
  <c r="W751" i="20" s="1"/>
  <c r="T750" i="20"/>
  <c r="W750" i="20" s="1"/>
  <c r="T749" i="20"/>
  <c r="W749" i="20" s="1"/>
  <c r="T744" i="20"/>
  <c r="W744" i="20" s="1"/>
  <c r="T743" i="20"/>
  <c r="W743" i="20" s="1"/>
  <c r="T742" i="20"/>
  <c r="W742" i="20" s="1"/>
  <c r="BB79" i="5" s="1"/>
  <c r="T741" i="20"/>
  <c r="W741" i="20" s="1"/>
  <c r="T740" i="20"/>
  <c r="W740" i="20" s="1"/>
  <c r="T735" i="20"/>
  <c r="W735" i="20" s="1"/>
  <c r="T734" i="20"/>
  <c r="W734" i="20" s="1"/>
  <c r="T733" i="20"/>
  <c r="W733" i="20" s="1"/>
  <c r="T732" i="20"/>
  <c r="W732" i="20" s="1"/>
  <c r="T731" i="20"/>
  <c r="W731" i="20" s="1"/>
  <c r="T730" i="20"/>
  <c r="W730" i="20" s="1"/>
  <c r="T729" i="20"/>
  <c r="W729" i="20" s="1"/>
  <c r="T728" i="20"/>
  <c r="W728" i="20" s="1"/>
  <c r="T727" i="20"/>
  <c r="W727" i="20" s="1"/>
  <c r="T722" i="20"/>
  <c r="W722" i="20" s="1"/>
  <c r="T721" i="20"/>
  <c r="W721" i="20" s="1"/>
  <c r="T720" i="20"/>
  <c r="W720" i="20" s="1"/>
  <c r="T719" i="20"/>
  <c r="W719" i="20" s="1"/>
  <c r="T718" i="20"/>
  <c r="W718" i="20" s="1"/>
  <c r="T717" i="20"/>
  <c r="W717" i="20" s="1"/>
  <c r="T716" i="20"/>
  <c r="W716" i="20" s="1"/>
  <c r="T715" i="20"/>
  <c r="W715" i="20" s="1"/>
  <c r="T714" i="20"/>
  <c r="W714" i="20" s="1"/>
  <c r="T700" i="20"/>
  <c r="W700" i="20" s="1"/>
  <c r="T698" i="20"/>
  <c r="W698" i="20" s="1"/>
  <c r="T697" i="20"/>
  <c r="W697" i="20" s="1"/>
  <c r="BB75" i="5" s="1"/>
  <c r="T696" i="20"/>
  <c r="W696" i="20" s="1"/>
  <c r="T695" i="20"/>
  <c r="W695" i="20" s="1"/>
  <c r="T690" i="20"/>
  <c r="W690" i="20" s="1"/>
  <c r="T689" i="20"/>
  <c r="W689" i="20" s="1"/>
  <c r="T688" i="20"/>
  <c r="W688" i="20" s="1"/>
  <c r="T687" i="20"/>
  <c r="W687" i="20" s="1"/>
  <c r="T686" i="20"/>
  <c r="W686" i="20" s="1"/>
  <c r="BB74" i="5" s="1"/>
  <c r="T685" i="20"/>
  <c r="W685" i="20" s="1"/>
  <c r="T684" i="20"/>
  <c r="W684" i="20" s="1"/>
  <c r="T683" i="20"/>
  <c r="W683" i="20" s="1"/>
  <c r="T682" i="20"/>
  <c r="W682" i="20" s="1"/>
  <c r="T671" i="20"/>
  <c r="W671" i="20" s="1"/>
  <c r="T670" i="20"/>
  <c r="W670" i="20" s="1"/>
  <c r="T669" i="20"/>
  <c r="W669" i="20" s="1"/>
  <c r="T664" i="20"/>
  <c r="W664" i="20" s="1"/>
  <c r="W665" i="20" s="1"/>
  <c r="AO70" i="5" s="1"/>
  <c r="T663" i="20"/>
  <c r="T662" i="20"/>
  <c r="W662" i="20" s="1"/>
  <c r="Y662" i="20" s="1"/>
  <c r="AA70" i="5" s="1"/>
  <c r="T657" i="20"/>
  <c r="W657" i="20" s="1"/>
  <c r="T656" i="20"/>
  <c r="W656" i="20" s="1"/>
  <c r="T655" i="20"/>
  <c r="W655" i="20" s="1"/>
  <c r="T654" i="20"/>
  <c r="W654" i="20" s="1"/>
  <c r="T653" i="20"/>
  <c r="W653" i="20" s="1"/>
  <c r="BB69" i="5" s="1"/>
  <c r="T652" i="20"/>
  <c r="W652" i="20" s="1"/>
  <c r="T651" i="20"/>
  <c r="W651" i="20" s="1"/>
  <c r="T650" i="20"/>
  <c r="W650" i="20" s="1"/>
  <c r="T649" i="20"/>
  <c r="W649" i="20" s="1"/>
  <c r="T644" i="20"/>
  <c r="W644" i="20" s="1"/>
  <c r="T643" i="20"/>
  <c r="W643" i="20" s="1"/>
  <c r="T642" i="20"/>
  <c r="W642" i="20" s="1"/>
  <c r="T641" i="20"/>
  <c r="W641" i="20" s="1"/>
  <c r="T640" i="20"/>
  <c r="W640" i="20" s="1"/>
  <c r="T639" i="20"/>
  <c r="W639" i="20" s="1"/>
  <c r="T638" i="20"/>
  <c r="W638" i="20" s="1"/>
  <c r="T637" i="20"/>
  <c r="W637" i="20" s="1"/>
  <c r="T636" i="20"/>
  <c r="W636" i="20" s="1"/>
  <c r="T630" i="20"/>
  <c r="W630" i="20" s="1"/>
  <c r="T629" i="20"/>
  <c r="W629" i="20" s="1"/>
  <c r="T628" i="20"/>
  <c r="W628" i="20" s="1"/>
  <c r="BB67" i="5" s="1"/>
  <c r="T627" i="20"/>
  <c r="W627" i="20" s="1"/>
  <c r="T626" i="20"/>
  <c r="W626" i="20" s="1"/>
  <c r="T621" i="20"/>
  <c r="W621" i="20" s="1"/>
  <c r="T620" i="20"/>
  <c r="W620" i="20" s="1"/>
  <c r="T619" i="20"/>
  <c r="W619" i="20" s="1"/>
  <c r="BB66" i="5" s="1"/>
  <c r="T618" i="20"/>
  <c r="W618" i="20" s="1"/>
  <c r="T617" i="20"/>
  <c r="W617" i="20" s="1"/>
  <c r="T612" i="20"/>
  <c r="W612" i="20" s="1"/>
  <c r="T611" i="20"/>
  <c r="W611" i="20" s="1"/>
  <c r="T610" i="20"/>
  <c r="W610" i="20" s="1"/>
  <c r="T609" i="20"/>
  <c r="W609" i="20" s="1"/>
  <c r="T608" i="20"/>
  <c r="W608" i="20" s="1"/>
  <c r="T603" i="20"/>
  <c r="W603" i="20" s="1"/>
  <c r="T602" i="20"/>
  <c r="W602" i="20" s="1"/>
  <c r="T601" i="20"/>
  <c r="W601" i="20" s="1"/>
  <c r="T600" i="20"/>
  <c r="W600" i="20" s="1"/>
  <c r="T599" i="20"/>
  <c r="W599" i="20" s="1"/>
  <c r="T594" i="20"/>
  <c r="W594" i="20" s="1"/>
  <c r="T593" i="20"/>
  <c r="W593" i="20" s="1"/>
  <c r="T592" i="20"/>
  <c r="W592" i="20" s="1"/>
  <c r="T591" i="20"/>
  <c r="W591" i="20" s="1"/>
  <c r="T590" i="20"/>
  <c r="W590" i="20" s="1"/>
  <c r="T585" i="20"/>
  <c r="W585" i="20" s="1"/>
  <c r="T584" i="20"/>
  <c r="W584" i="20" s="1"/>
  <c r="T583" i="20"/>
  <c r="W583" i="20" s="1"/>
  <c r="T582" i="20"/>
  <c r="W582" i="20" s="1"/>
  <c r="BB62" i="5" s="1"/>
  <c r="T581" i="20"/>
  <c r="W581" i="20" s="1"/>
  <c r="T580" i="20"/>
  <c r="W580" i="20" s="1"/>
  <c r="T579" i="20"/>
  <c r="W579" i="20" s="1"/>
  <c r="T574" i="20"/>
  <c r="W574" i="20" s="1"/>
  <c r="T573" i="20"/>
  <c r="W573" i="20" s="1"/>
  <c r="T572" i="20"/>
  <c r="W572" i="20" s="1"/>
  <c r="T571" i="20"/>
  <c r="W571" i="20" s="1"/>
  <c r="BB61" i="5" s="1"/>
  <c r="T570" i="20"/>
  <c r="W570" i="20" s="1"/>
  <c r="T569" i="20"/>
  <c r="W569" i="20" s="1"/>
  <c r="T568" i="20"/>
  <c r="W568" i="20" s="1"/>
  <c r="T563" i="20"/>
  <c r="W563" i="20" s="1"/>
  <c r="T562" i="20"/>
  <c r="W562" i="20" s="1"/>
  <c r="T561" i="20"/>
  <c r="W561" i="20" s="1"/>
  <c r="T560" i="20"/>
  <c r="T559" i="20"/>
  <c r="W559" i="20" s="1"/>
  <c r="T558" i="20"/>
  <c r="W558" i="20" s="1"/>
  <c r="T557" i="20"/>
  <c r="W557" i="20" s="1"/>
  <c r="T552" i="20"/>
  <c r="W552" i="20" s="1"/>
  <c r="T551" i="20"/>
  <c r="W551" i="20" s="1"/>
  <c r="T550" i="20"/>
  <c r="W550" i="20" s="1"/>
  <c r="T549" i="20"/>
  <c r="W549" i="20" s="1"/>
  <c r="BB59" i="5" s="1"/>
  <c r="T548" i="20"/>
  <c r="W548" i="20" s="1"/>
  <c r="T547" i="20"/>
  <c r="W547" i="20" s="1"/>
  <c r="T546" i="20"/>
  <c r="W546" i="20" s="1"/>
  <c r="T541" i="20"/>
  <c r="W541" i="20" s="1"/>
  <c r="T540" i="20"/>
  <c r="W540" i="20" s="1"/>
  <c r="T539" i="20"/>
  <c r="W539" i="20" s="1"/>
  <c r="T538" i="20"/>
  <c r="W538" i="20" s="1"/>
  <c r="T537" i="20"/>
  <c r="W537" i="20" s="1"/>
  <c r="T536" i="20"/>
  <c r="W536" i="20" s="1"/>
  <c r="T535" i="20"/>
  <c r="W535" i="20" s="1"/>
  <c r="T534" i="20"/>
  <c r="W534" i="20" s="1"/>
  <c r="T533" i="20"/>
  <c r="W533" i="20" s="1"/>
  <c r="T528" i="20"/>
  <c r="W528" i="20" s="1"/>
  <c r="T527" i="20"/>
  <c r="W527" i="20" s="1"/>
  <c r="T526" i="20"/>
  <c r="W526" i="20" s="1"/>
  <c r="BB57" i="5" s="1"/>
  <c r="T525" i="20"/>
  <c r="W525" i="20" s="1"/>
  <c r="T524" i="20"/>
  <c r="W524" i="20" s="1"/>
  <c r="T519" i="20"/>
  <c r="W519" i="20" s="1"/>
  <c r="T518" i="20"/>
  <c r="W518" i="20" s="1"/>
  <c r="T517" i="20"/>
  <c r="W517" i="20" s="1"/>
  <c r="T516" i="20"/>
  <c r="W516" i="20" s="1"/>
  <c r="BB56" i="5" s="1"/>
  <c r="T515" i="20"/>
  <c r="W515" i="20" s="1"/>
  <c r="T514" i="20"/>
  <c r="W514" i="20" s="1"/>
  <c r="T513" i="20"/>
  <c r="W513" i="20" s="1"/>
  <c r="W508" i="20"/>
  <c r="W507" i="20"/>
  <c r="W506" i="20"/>
  <c r="W505" i="20"/>
  <c r="W504" i="20"/>
  <c r="W503" i="20"/>
  <c r="W502" i="20"/>
  <c r="T497" i="20"/>
  <c r="W497" i="20" s="1"/>
  <c r="T496" i="20"/>
  <c r="W496" i="20" s="1"/>
  <c r="T495" i="20"/>
  <c r="W495" i="20" s="1"/>
  <c r="BB54" i="5" s="1"/>
  <c r="BE54" i="5" s="1"/>
  <c r="T494" i="20"/>
  <c r="W494" i="20" s="1"/>
  <c r="T493" i="20"/>
  <c r="W493" i="20" s="1"/>
  <c r="T488" i="20"/>
  <c r="W488" i="20" s="1"/>
  <c r="T487" i="20"/>
  <c r="W487" i="20" s="1"/>
  <c r="T486" i="20"/>
  <c r="W486" i="20" s="1"/>
  <c r="T484" i="20"/>
  <c r="W484" i="20" s="1"/>
  <c r="T483" i="20"/>
  <c r="W483" i="20" s="1"/>
  <c r="W482" i="20"/>
  <c r="T477" i="20"/>
  <c r="W477" i="20" s="1"/>
  <c r="T476" i="20"/>
  <c r="W476" i="20" s="1"/>
  <c r="T475" i="20"/>
  <c r="W475" i="20" s="1"/>
  <c r="BB52" i="5" s="1"/>
  <c r="T474" i="20"/>
  <c r="W474" i="20" s="1"/>
  <c r="T473" i="20"/>
  <c r="W473" i="20" s="1"/>
  <c r="T468" i="20"/>
  <c r="W468" i="20" s="1"/>
  <c r="T467" i="20"/>
  <c r="W467" i="20" s="1"/>
  <c r="T466" i="20"/>
  <c r="W466" i="20" s="1"/>
  <c r="BB51" i="5" s="1"/>
  <c r="T465" i="20"/>
  <c r="W465" i="20" s="1"/>
  <c r="T464" i="20"/>
  <c r="W464" i="20" s="1"/>
  <c r="T459" i="20"/>
  <c r="W459" i="20" s="1"/>
  <c r="T458" i="20"/>
  <c r="W458" i="20" s="1"/>
  <c r="T457" i="20"/>
  <c r="W457" i="20" s="1"/>
  <c r="BB50" i="5" s="1"/>
  <c r="T456" i="20"/>
  <c r="W456" i="20" s="1"/>
  <c r="T455" i="20"/>
  <c r="W455" i="20" s="1"/>
  <c r="T450" i="20"/>
  <c r="W450" i="20" s="1"/>
  <c r="T449" i="20"/>
  <c r="W449" i="20" s="1"/>
  <c r="T448" i="20"/>
  <c r="W448" i="20" s="1"/>
  <c r="T447" i="20"/>
  <c r="W447" i="20" s="1"/>
  <c r="T446" i="20"/>
  <c r="W446" i="20" s="1"/>
  <c r="BB49" i="5" s="1"/>
  <c r="T445" i="20"/>
  <c r="W445" i="20" s="1"/>
  <c r="T444" i="20"/>
  <c r="W444" i="20" s="1"/>
  <c r="T443" i="20"/>
  <c r="W443" i="20" s="1"/>
  <c r="T442" i="20"/>
  <c r="W442" i="20" s="1"/>
  <c r="T437" i="20"/>
  <c r="W437" i="20" s="1"/>
  <c r="T436" i="20"/>
  <c r="W436" i="20" s="1"/>
  <c r="T435" i="20"/>
  <c r="W435" i="20" s="1"/>
  <c r="T434" i="20"/>
  <c r="W434" i="20" s="1"/>
  <c r="BB48" i="5" s="1"/>
  <c r="T433" i="20"/>
  <c r="W433" i="20" s="1"/>
  <c r="T432" i="20"/>
  <c r="W432" i="20" s="1"/>
  <c r="T431" i="20"/>
  <c r="W431" i="20" s="1"/>
  <c r="T426" i="20"/>
  <c r="W426" i="20" s="1"/>
  <c r="T425" i="20"/>
  <c r="W425" i="20" s="1"/>
  <c r="T424" i="20"/>
  <c r="W424" i="20" s="1"/>
  <c r="T423" i="20"/>
  <c r="W423" i="20" s="1"/>
  <c r="T422" i="20"/>
  <c r="W422" i="20" s="1"/>
  <c r="T421" i="20"/>
  <c r="W421" i="20" s="1"/>
  <c r="T420" i="20"/>
  <c r="W420" i="20" s="1"/>
  <c r="T419" i="20"/>
  <c r="W419" i="20" s="1"/>
  <c r="T418" i="20"/>
  <c r="W418" i="20" s="1"/>
  <c r="T413" i="20"/>
  <c r="W413" i="20" s="1"/>
  <c r="T412" i="20"/>
  <c r="W412" i="20" s="1"/>
  <c r="T411" i="20"/>
  <c r="W411" i="20" s="1"/>
  <c r="BB46" i="5" s="1"/>
  <c r="T410" i="20"/>
  <c r="W410" i="20" s="1"/>
  <c r="T409" i="20"/>
  <c r="W409" i="20" s="1"/>
  <c r="T404" i="20"/>
  <c r="W404" i="20" s="1"/>
  <c r="T403" i="20"/>
  <c r="W403" i="20" s="1"/>
  <c r="T402" i="20"/>
  <c r="W402" i="20" s="1"/>
  <c r="T401" i="20"/>
  <c r="W401" i="20" s="1"/>
  <c r="T400" i="20"/>
  <c r="W400" i="20" s="1"/>
  <c r="W395" i="20"/>
  <c r="W394" i="20"/>
  <c r="W392" i="20"/>
  <c r="W391" i="20"/>
  <c r="T386" i="20"/>
  <c r="W386" i="20" s="1"/>
  <c r="T385" i="20"/>
  <c r="W385" i="20" s="1"/>
  <c r="T384" i="20"/>
  <c r="W384" i="20" s="1"/>
  <c r="T383" i="20"/>
  <c r="W383" i="20" s="1"/>
  <c r="T382" i="20"/>
  <c r="T381" i="20"/>
  <c r="W381" i="20" s="1"/>
  <c r="T380" i="20"/>
  <c r="W380" i="20" s="1"/>
  <c r="W379" i="20"/>
  <c r="T378" i="20"/>
  <c r="W378" i="20" s="1"/>
  <c r="T373" i="20"/>
  <c r="W373" i="20" s="1"/>
  <c r="T372" i="20"/>
  <c r="W372" i="20" s="1"/>
  <c r="T371" i="20"/>
  <c r="W371" i="20" s="1"/>
  <c r="T370" i="20"/>
  <c r="W370" i="20" s="1"/>
  <c r="T369" i="20"/>
  <c r="W369" i="20" s="1"/>
  <c r="BB42" i="5" s="1"/>
  <c r="T368" i="20"/>
  <c r="W368" i="20" s="1"/>
  <c r="T367" i="20"/>
  <c r="W367" i="20" s="1"/>
  <c r="T366" i="20"/>
  <c r="W366" i="20" s="1"/>
  <c r="T365" i="20"/>
  <c r="W365" i="20" s="1"/>
  <c r="T361" i="20"/>
  <c r="W361" i="20" s="1"/>
  <c r="T360" i="20"/>
  <c r="W360" i="20" s="1"/>
  <c r="T359" i="20"/>
  <c r="W359" i="20" s="1"/>
  <c r="T354" i="20"/>
  <c r="W354" i="20" s="1"/>
  <c r="W355" i="20" s="1"/>
  <c r="AO40" i="5" s="1"/>
  <c r="T353" i="20"/>
  <c r="W353" i="20" s="1"/>
  <c r="BB40" i="5" s="1"/>
  <c r="T352" i="20"/>
  <c r="W352" i="20" s="1"/>
  <c r="AA40" i="5" s="1"/>
  <c r="T347" i="20"/>
  <c r="W347" i="20" s="1"/>
  <c r="T346" i="20"/>
  <c r="W346" i="20" s="1"/>
  <c r="T345" i="20"/>
  <c r="W345" i="20" s="1"/>
  <c r="T344" i="20"/>
  <c r="W344" i="20" s="1"/>
  <c r="T343" i="20"/>
  <c r="W343" i="20" s="1"/>
  <c r="T338" i="20"/>
  <c r="W338" i="20" s="1"/>
  <c r="T337" i="20"/>
  <c r="W337" i="20" s="1"/>
  <c r="T336" i="20"/>
  <c r="W336" i="20" s="1"/>
  <c r="BB38" i="5" s="1"/>
  <c r="T335" i="20"/>
  <c r="W335" i="20" s="1"/>
  <c r="T334" i="20"/>
  <c r="W334" i="20" s="1"/>
  <c r="T329" i="20"/>
  <c r="W329" i="20" s="1"/>
  <c r="T328" i="20"/>
  <c r="W328" i="20" s="1"/>
  <c r="T327" i="20"/>
  <c r="W327" i="20" s="1"/>
  <c r="BB37" i="5" s="1"/>
  <c r="T326" i="20"/>
  <c r="W326" i="20" s="1"/>
  <c r="T325" i="20"/>
  <c r="W325" i="20" s="1"/>
  <c r="T320" i="20"/>
  <c r="W320" i="20" s="1"/>
  <c r="T319" i="20"/>
  <c r="W319" i="20" s="1"/>
  <c r="T318" i="20"/>
  <c r="W318" i="20" s="1"/>
  <c r="BB36" i="5" s="1"/>
  <c r="T317" i="20"/>
  <c r="W317" i="20" s="1"/>
  <c r="T316" i="20"/>
  <c r="W316" i="20" s="1"/>
  <c r="W302" i="20"/>
  <c r="W301" i="20"/>
  <c r="W300" i="20"/>
  <c r="BB34" i="5" s="1"/>
  <c r="W299" i="20"/>
  <c r="W298" i="20"/>
  <c r="T311" i="20"/>
  <c r="W311" i="20" s="1"/>
  <c r="T310" i="20"/>
  <c r="W310" i="20" s="1"/>
  <c r="T309" i="20"/>
  <c r="W309" i="20" s="1"/>
  <c r="T308" i="20"/>
  <c r="W308" i="20" s="1"/>
  <c r="T307" i="20"/>
  <c r="W307" i="20" s="1"/>
  <c r="T293" i="20"/>
  <c r="W293" i="20" s="1"/>
  <c r="T292" i="20"/>
  <c r="W292" i="20" s="1"/>
  <c r="T291" i="20"/>
  <c r="W291" i="20" s="1"/>
  <c r="T290" i="20"/>
  <c r="W290" i="20" s="1"/>
  <c r="BB33" i="5" s="1"/>
  <c r="T289" i="20"/>
  <c r="W289" i="20" s="1"/>
  <c r="T288" i="20"/>
  <c r="W288" i="20" s="1"/>
  <c r="T287" i="20"/>
  <c r="W287" i="20" s="1"/>
  <c r="W281" i="20"/>
  <c r="W280" i="20"/>
  <c r="W279" i="20"/>
  <c r="BB32" i="5" s="1"/>
  <c r="W277" i="20"/>
  <c r="W276" i="20"/>
  <c r="T271" i="20"/>
  <c r="W271" i="20" s="1"/>
  <c r="T270" i="20"/>
  <c r="W270" i="20" s="1"/>
  <c r="T269" i="20"/>
  <c r="W269" i="20" s="1"/>
  <c r="T268" i="20"/>
  <c r="W268" i="20" s="1"/>
  <c r="T267" i="20"/>
  <c r="W267" i="20" s="1"/>
  <c r="T266" i="20"/>
  <c r="W266" i="20" s="1"/>
  <c r="T265" i="20"/>
  <c r="W265" i="20" s="1"/>
  <c r="W260" i="20"/>
  <c r="W259" i="20"/>
  <c r="BB30" i="5" s="1"/>
  <c r="W258" i="20"/>
  <c r="AA30" i="5" s="1"/>
  <c r="T253" i="20"/>
  <c r="W253" i="20" s="1"/>
  <c r="T252" i="20"/>
  <c r="W252" i="20" s="1"/>
  <c r="T251" i="20"/>
  <c r="W251" i="20" s="1"/>
  <c r="T250" i="20"/>
  <c r="W250" i="20" s="1"/>
  <c r="BB29" i="5" s="1"/>
  <c r="T249" i="20"/>
  <c r="W249" i="20" s="1"/>
  <c r="T248" i="20"/>
  <c r="W248" i="20" s="1"/>
  <c r="T247" i="20"/>
  <c r="W247" i="20" s="1"/>
  <c r="T242" i="20"/>
  <c r="W242" i="20" s="1"/>
  <c r="AO28" i="5" s="1"/>
  <c r="T241" i="20"/>
  <c r="W241" i="20" s="1"/>
  <c r="BB28" i="5" s="1"/>
  <c r="T240" i="20"/>
  <c r="W240" i="20" s="1"/>
  <c r="AA28" i="5" s="1"/>
  <c r="W236" i="20"/>
  <c r="AO27" i="5" s="1"/>
  <c r="W235" i="20"/>
  <c r="BB27" i="5" s="1"/>
  <c r="W234" i="20"/>
  <c r="AA27" i="5" s="1"/>
  <c r="T221" i="20"/>
  <c r="W221" i="20" s="1"/>
  <c r="T220" i="20"/>
  <c r="W220" i="20" s="1"/>
  <c r="T219" i="20"/>
  <c r="W219" i="20" s="1"/>
  <c r="T229" i="20"/>
  <c r="W229" i="20" s="1"/>
  <c r="T228" i="20"/>
  <c r="W228" i="20" s="1"/>
  <c r="T227" i="20"/>
  <c r="W227" i="20" s="1"/>
  <c r="T226" i="20"/>
  <c r="W226" i="20" s="1"/>
  <c r="T225" i="20"/>
  <c r="W225" i="20" s="1"/>
  <c r="T215" i="20"/>
  <c r="W215" i="20" s="1"/>
  <c r="AO24" i="5" s="1"/>
  <c r="T214" i="20"/>
  <c r="W214" i="20" s="1"/>
  <c r="BB24" i="5" s="1"/>
  <c r="T213" i="20"/>
  <c r="W213" i="20" s="1"/>
  <c r="AA24" i="5" s="1"/>
  <c r="T208" i="20"/>
  <c r="W208" i="20" s="1"/>
  <c r="T207" i="20"/>
  <c r="W207" i="20" s="1"/>
  <c r="T206" i="20"/>
  <c r="W206" i="20" s="1"/>
  <c r="T205" i="20"/>
  <c r="W205" i="20" s="1"/>
  <c r="BB23" i="5" s="1"/>
  <c r="T204" i="20"/>
  <c r="W204" i="20" s="1"/>
  <c r="T203" i="20"/>
  <c r="W203" i="20" s="1"/>
  <c r="T202" i="20"/>
  <c r="W202" i="20" s="1"/>
  <c r="T197" i="20"/>
  <c r="W197" i="20" s="1"/>
  <c r="T196" i="20"/>
  <c r="W196" i="20" s="1"/>
  <c r="T195" i="20"/>
  <c r="W195" i="20" s="1"/>
  <c r="T194" i="20"/>
  <c r="W194" i="20" s="1"/>
  <c r="BB22" i="5" s="1"/>
  <c r="T193" i="20"/>
  <c r="W193" i="20" s="1"/>
  <c r="T192" i="20"/>
  <c r="W192" i="20" s="1"/>
  <c r="T191" i="20"/>
  <c r="W191" i="20" s="1"/>
  <c r="T186" i="20"/>
  <c r="W186" i="20" s="1"/>
  <c r="T185" i="20"/>
  <c r="W185" i="20" s="1"/>
  <c r="T184" i="20"/>
  <c r="W184" i="20" s="1"/>
  <c r="T183" i="20"/>
  <c r="W183" i="20" s="1"/>
  <c r="BB21" i="5" s="1"/>
  <c r="T182" i="20"/>
  <c r="W182" i="20" s="1"/>
  <c r="T181" i="20"/>
  <c r="W181" i="20" s="1"/>
  <c r="T180" i="20"/>
  <c r="W180" i="20" s="1"/>
  <c r="T179" i="20"/>
  <c r="W179" i="20" s="1"/>
  <c r="T174" i="20"/>
  <c r="W174" i="20" s="1"/>
  <c r="T173" i="20"/>
  <c r="W173" i="20" s="1"/>
  <c r="T172" i="20"/>
  <c r="W172" i="20" s="1"/>
  <c r="T171" i="20"/>
  <c r="W171" i="20" s="1"/>
  <c r="BB20" i="5" s="1"/>
  <c r="T170" i="20"/>
  <c r="W170" i="20" s="1"/>
  <c r="T169" i="20"/>
  <c r="W169" i="20" s="1"/>
  <c r="T168" i="20"/>
  <c r="W168" i="20" s="1"/>
  <c r="T163" i="20"/>
  <c r="W163" i="20" s="1"/>
  <c r="T162" i="20"/>
  <c r="W162" i="20" s="1"/>
  <c r="T161" i="20"/>
  <c r="W161" i="20" s="1"/>
  <c r="T160" i="20"/>
  <c r="W160" i="20" s="1"/>
  <c r="BB19" i="5" s="1"/>
  <c r="T159" i="20"/>
  <c r="W159" i="20" s="1"/>
  <c r="T158" i="20"/>
  <c r="W158" i="20" s="1"/>
  <c r="T157" i="20"/>
  <c r="W157" i="20" s="1"/>
  <c r="T152" i="20"/>
  <c r="W152" i="20" s="1"/>
  <c r="T151" i="20"/>
  <c r="W151" i="20" s="1"/>
  <c r="T150" i="20"/>
  <c r="W150" i="20" s="1"/>
  <c r="T149" i="20"/>
  <c r="W149" i="20" s="1"/>
  <c r="BB18" i="5" s="1"/>
  <c r="T148" i="20"/>
  <c r="W148" i="20" s="1"/>
  <c r="T147" i="20"/>
  <c r="W147" i="20" s="1"/>
  <c r="T146" i="20"/>
  <c r="W146" i="20" s="1"/>
  <c r="T141" i="20"/>
  <c r="W141" i="20" s="1"/>
  <c r="T140" i="20"/>
  <c r="W140" i="20" s="1"/>
  <c r="T139" i="20"/>
  <c r="W139" i="20" s="1"/>
  <c r="T138" i="20"/>
  <c r="W138" i="20" s="1"/>
  <c r="BB17" i="5" s="1"/>
  <c r="T137" i="20"/>
  <c r="W137" i="20" s="1"/>
  <c r="T136" i="20"/>
  <c r="W136" i="20" s="1"/>
  <c r="T135" i="20"/>
  <c r="W135" i="20" s="1"/>
  <c r="T130" i="20"/>
  <c r="W130" i="20" s="1"/>
  <c r="T129" i="20"/>
  <c r="W129" i="20" s="1"/>
  <c r="T128" i="20"/>
  <c r="W128" i="20" s="1"/>
  <c r="T127" i="20"/>
  <c r="W127" i="20" s="1"/>
  <c r="T126" i="20"/>
  <c r="W126" i="20" s="1"/>
  <c r="T121" i="20"/>
  <c r="W121" i="20" s="1"/>
  <c r="T120" i="20"/>
  <c r="W120" i="20" s="1"/>
  <c r="T119" i="20"/>
  <c r="W119" i="20" s="1"/>
  <c r="BB15" i="5" s="1"/>
  <c r="T118" i="20"/>
  <c r="W118" i="20" s="1"/>
  <c r="T117" i="20"/>
  <c r="W117" i="20" s="1"/>
  <c r="T103" i="20"/>
  <c r="W103" i="20" s="1"/>
  <c r="T102" i="20"/>
  <c r="W102" i="20" s="1"/>
  <c r="T101" i="20"/>
  <c r="W101" i="20" s="1"/>
  <c r="T100" i="20"/>
  <c r="W100" i="20" s="1"/>
  <c r="T99" i="20"/>
  <c r="W99" i="20" s="1"/>
  <c r="T98" i="20"/>
  <c r="W98" i="20" s="1"/>
  <c r="T97" i="20"/>
  <c r="W97" i="20" s="1"/>
  <c r="T96" i="20"/>
  <c r="W96" i="20" s="1"/>
  <c r="T95" i="20"/>
  <c r="W95" i="20" s="1"/>
  <c r="T112" i="20"/>
  <c r="W112" i="20" s="1"/>
  <c r="T111" i="20"/>
  <c r="W111" i="20" s="1"/>
  <c r="T110" i="20"/>
  <c r="W110" i="20" s="1"/>
  <c r="BB14" i="5" s="1"/>
  <c r="T109" i="20"/>
  <c r="W109" i="20" s="1"/>
  <c r="W108" i="20"/>
  <c r="T91" i="20"/>
  <c r="W91" i="20" s="1"/>
  <c r="AO12" i="5" s="1"/>
  <c r="T90" i="20"/>
  <c r="W90" i="20" s="1"/>
  <c r="BB12" i="5" s="1"/>
  <c r="T89" i="20"/>
  <c r="W89" i="20" s="1"/>
  <c r="AA12" i="5" s="1"/>
  <c r="T84" i="20"/>
  <c r="W84" i="20" s="1"/>
  <c r="T83" i="20"/>
  <c r="W83" i="20" s="1"/>
  <c r="T82" i="20"/>
  <c r="W82" i="20" s="1"/>
  <c r="T81" i="20"/>
  <c r="W81" i="20" s="1"/>
  <c r="BB11" i="5" s="1"/>
  <c r="T80" i="20"/>
  <c r="W80" i="20" s="1"/>
  <c r="T79" i="20"/>
  <c r="W79" i="20" s="1"/>
  <c r="T78" i="20"/>
  <c r="W78" i="20" s="1"/>
  <c r="T73" i="20"/>
  <c r="W73" i="20" s="1"/>
  <c r="T72" i="20"/>
  <c r="W72" i="20" s="1"/>
  <c r="T71" i="20"/>
  <c r="W71" i="20" s="1"/>
  <c r="BB10" i="5" s="1"/>
  <c r="T70" i="20"/>
  <c r="W70" i="20" s="1"/>
  <c r="T69" i="20"/>
  <c r="W69" i="20" s="1"/>
  <c r="T64" i="20"/>
  <c r="W64" i="20" s="1"/>
  <c r="T63" i="20"/>
  <c r="W63" i="20" s="1"/>
  <c r="T62" i="20"/>
  <c r="W62" i="20" s="1"/>
  <c r="T61" i="20"/>
  <c r="W61" i="20" s="1"/>
  <c r="T60" i="20"/>
  <c r="W60" i="20" s="1"/>
  <c r="BB9" i="5" s="1"/>
  <c r="T59" i="20"/>
  <c r="W59" i="20" s="1"/>
  <c r="T58" i="20"/>
  <c r="W58" i="20" s="1"/>
  <c r="T57" i="20"/>
  <c r="W57" i="20" s="1"/>
  <c r="T56" i="20"/>
  <c r="W56" i="20" s="1"/>
  <c r="W40" i="20"/>
  <c r="W39" i="20"/>
  <c r="W38" i="20"/>
  <c r="BB7" i="5"/>
  <c r="W36" i="20"/>
  <c r="W35" i="20"/>
  <c r="W34" i="20"/>
  <c r="T29" i="20"/>
  <c r="W29" i="20" s="1"/>
  <c r="T28" i="20"/>
  <c r="W28" i="20" s="1"/>
  <c r="T27" i="20"/>
  <c r="W27" i="20" s="1"/>
  <c r="T26" i="20"/>
  <c r="W26" i="20" s="1"/>
  <c r="T25" i="20"/>
  <c r="W25" i="20" s="1"/>
  <c r="T20" i="20"/>
  <c r="W20" i="20" s="1"/>
  <c r="T19" i="20"/>
  <c r="W19" i="20" s="1"/>
  <c r="T18" i="20"/>
  <c r="W18" i="20" s="1"/>
  <c r="T17" i="20"/>
  <c r="W17" i="20" s="1"/>
  <c r="T16" i="20"/>
  <c r="W16" i="20" s="1"/>
  <c r="T15" i="20"/>
  <c r="W15" i="20" s="1"/>
  <c r="T14" i="20"/>
  <c r="W14" i="20" s="1"/>
  <c r="T9" i="20"/>
  <c r="W9" i="20" s="1"/>
  <c r="T8" i="20"/>
  <c r="W8" i="20" s="1"/>
  <c r="T7" i="20"/>
  <c r="W7" i="20" s="1"/>
  <c r="BB4" i="5" s="1"/>
  <c r="T6" i="20"/>
  <c r="W6" i="20" s="1"/>
  <c r="T5" i="20"/>
  <c r="W5" i="20" s="1"/>
  <c r="W272" i="20" l="1"/>
  <c r="AO31" i="5" s="1"/>
  <c r="AQ31" i="5" s="1"/>
  <c r="AP89" i="5"/>
  <c r="AR89" i="5"/>
  <c r="AQ89" i="5"/>
  <c r="AG89" i="5"/>
  <c r="AE89" i="5"/>
  <c r="AB89" i="5"/>
  <c r="W758" i="20"/>
  <c r="AO80" i="5" s="1"/>
  <c r="AR80" i="5" s="1"/>
  <c r="BD80" i="5"/>
  <c r="BE80" i="5"/>
  <c r="BC61" i="5"/>
  <c r="BE61" i="5"/>
  <c r="BD61" i="5"/>
  <c r="BD74" i="5"/>
  <c r="BE74" i="5"/>
  <c r="BE62" i="5"/>
  <c r="BD62" i="5"/>
  <c r="BC62" i="5"/>
  <c r="BE59" i="5"/>
  <c r="BD59" i="5"/>
  <c r="BC59" i="5"/>
  <c r="BE49" i="5"/>
  <c r="BD49" i="5"/>
  <c r="BC49" i="5"/>
  <c r="BD56" i="5"/>
  <c r="BE56" i="5"/>
  <c r="BC56" i="5"/>
  <c r="BD48" i="5"/>
  <c r="BC48" i="5"/>
  <c r="BE48" i="5"/>
  <c r="BE11" i="5"/>
  <c r="BD11" i="5"/>
  <c r="AR31" i="5"/>
  <c r="W382" i="20"/>
  <c r="BB43" i="5" s="1"/>
  <c r="BC52" i="5"/>
  <c r="BE52" i="5"/>
  <c r="BD52" i="5"/>
  <c r="BD67" i="5"/>
  <c r="BE67" i="5"/>
  <c r="BD69" i="5"/>
  <c r="BE69" i="5"/>
  <c r="BD33" i="5"/>
  <c r="BE33" i="5"/>
  <c r="BE51" i="5"/>
  <c r="BD51" i="5"/>
  <c r="BC51" i="5"/>
  <c r="BE34" i="5"/>
  <c r="BC34" i="5"/>
  <c r="BD34" i="5"/>
  <c r="BE57" i="5"/>
  <c r="BC57" i="5"/>
  <c r="BD57" i="5"/>
  <c r="BE46" i="5"/>
  <c r="BD46" i="5"/>
  <c r="BE50" i="5"/>
  <c r="BC50" i="5"/>
  <c r="BD50" i="5"/>
  <c r="AQ88" i="5"/>
  <c r="AP88" i="5"/>
  <c r="AR88" i="5"/>
  <c r="AG84" i="5"/>
  <c r="W663" i="20"/>
  <c r="BB70" i="5" s="1"/>
  <c r="W560" i="20"/>
  <c r="BB60" i="5" s="1"/>
  <c r="AB84" i="5"/>
  <c r="BD14" i="5"/>
  <c r="BE14" i="5"/>
  <c r="BE30" i="5"/>
  <c r="BD30" i="5"/>
  <c r="BE15" i="5"/>
  <c r="BD15" i="5"/>
  <c r="BC15" i="5"/>
  <c r="AG30" i="5"/>
  <c r="AB30" i="5"/>
  <c r="AE30" i="5"/>
  <c r="BE10" i="5"/>
  <c r="BD10" i="5"/>
  <c r="AG27" i="5"/>
  <c r="AE27" i="5"/>
  <c r="AB27" i="5"/>
  <c r="BE23" i="5"/>
  <c r="BD23" i="5"/>
  <c r="BC23" i="5"/>
  <c r="BE27" i="5"/>
  <c r="BD27" i="5"/>
  <c r="BC27" i="5"/>
  <c r="BE29" i="5"/>
  <c r="BD29" i="5"/>
  <c r="BE75" i="5"/>
  <c r="BD75" i="5"/>
  <c r="AB83" i="5"/>
  <c r="BC22" i="5"/>
  <c r="BD22" i="5"/>
  <c r="BE22" i="5"/>
  <c r="BE20" i="5"/>
  <c r="BC20" i="5"/>
  <c r="BD20" i="5"/>
  <c r="BC19" i="5"/>
  <c r="BE19" i="5"/>
  <c r="BD19" i="5"/>
  <c r="BD42" i="5"/>
  <c r="BE42" i="5"/>
  <c r="AP27" i="5"/>
  <c r="AQ27" i="5"/>
  <c r="AR27" i="5"/>
  <c r="BC21" i="5"/>
  <c r="BD21" i="5"/>
  <c r="BE21" i="5"/>
  <c r="BE18" i="5"/>
  <c r="BC18" i="5"/>
  <c r="BD18" i="5"/>
  <c r="AG83" i="5"/>
  <c r="W622" i="20"/>
  <c r="AO66" i="5" s="1"/>
  <c r="AR66" i="5" s="1"/>
  <c r="AE12" i="5"/>
  <c r="AB12" i="5"/>
  <c r="AG12" i="5"/>
  <c r="AG70" i="5"/>
  <c r="AE70" i="5"/>
  <c r="AG28" i="5"/>
  <c r="AE28" i="5"/>
  <c r="AR70" i="5"/>
  <c r="AQ70" i="5"/>
  <c r="BE12" i="5"/>
  <c r="BD12" i="5"/>
  <c r="BD28" i="5"/>
  <c r="BC28" i="5"/>
  <c r="BE28" i="5"/>
  <c r="AQ28" i="5"/>
  <c r="AR28" i="5"/>
  <c r="AR83" i="5"/>
  <c r="AQ83" i="5"/>
  <c r="AP83" i="5"/>
  <c r="AQ12" i="5"/>
  <c r="AR12" i="5"/>
  <c r="BD17" i="5"/>
  <c r="BC17" i="5"/>
  <c r="BE17" i="5"/>
  <c r="BE7" i="5"/>
  <c r="BD7" i="5"/>
  <c r="BE32" i="5"/>
  <c r="BD32" i="5"/>
  <c r="AP84" i="5"/>
  <c r="AR84" i="5"/>
  <c r="AQ84" i="5"/>
  <c r="BE9" i="5"/>
  <c r="BD9" i="5"/>
  <c r="W303" i="20"/>
  <c r="AO34" i="5" s="1"/>
  <c r="BE38" i="5"/>
  <c r="BD38" i="5"/>
  <c r="BC38" i="5"/>
  <c r="BE24" i="5"/>
  <c r="BC24" i="5"/>
  <c r="BD24" i="5"/>
  <c r="BE40" i="5"/>
  <c r="BD40" i="5"/>
  <c r="AR24" i="5"/>
  <c r="AQ24" i="5"/>
  <c r="BE37" i="5"/>
  <c r="BD37" i="5"/>
  <c r="BD54" i="5"/>
  <c r="AE24" i="5"/>
  <c r="AG24" i="5"/>
  <c r="AG40" i="5"/>
  <c r="AE40" i="5"/>
  <c r="BC4" i="5"/>
  <c r="BE4" i="5"/>
  <c r="BD4" i="5"/>
  <c r="AQ40" i="5"/>
  <c r="AR40" i="5"/>
  <c r="BD66" i="5"/>
  <c r="BE66" i="5"/>
  <c r="BE36" i="5"/>
  <c r="BD36" i="5"/>
  <c r="BD79" i="5"/>
  <c r="BC79" i="5"/>
  <c r="BE79" i="5"/>
  <c r="W321" i="20"/>
  <c r="AO36" i="5" s="1"/>
  <c r="Y326" i="20"/>
  <c r="AA37" i="5" s="1"/>
  <c r="Y618" i="20"/>
  <c r="AA66" i="5" s="1"/>
  <c r="Y80" i="20"/>
  <c r="AA11" i="5" s="1"/>
  <c r="W460" i="20"/>
  <c r="AO50" i="5" s="1"/>
  <c r="W294" i="20"/>
  <c r="AO33" i="5" s="1"/>
  <c r="W348" i="20"/>
  <c r="Y627" i="20"/>
  <c r="AA67" i="5" s="1"/>
  <c r="W261" i="20"/>
  <c r="AO30" i="5" s="1"/>
  <c r="Y392" i="20"/>
  <c r="AA44" i="5" s="1"/>
  <c r="W198" i="20"/>
  <c r="AO22" i="5" s="1"/>
  <c r="Y465" i="20"/>
  <c r="AA51" i="5" s="1"/>
  <c r="Y639" i="20"/>
  <c r="Y685" i="20"/>
  <c r="AA74" i="5" s="1"/>
  <c r="W10" i="20"/>
  <c r="AO4" i="5" s="1"/>
  <c r="Y344" i="20"/>
  <c r="AA39" i="5" s="1"/>
  <c r="W405" i="20"/>
  <c r="Y570" i="20"/>
  <c r="AA61" i="5" s="1"/>
  <c r="Y26" i="20"/>
  <c r="Y410" i="20"/>
  <c r="AA46" i="5" s="1"/>
  <c r="Y484" i="20"/>
  <c r="AA53" i="5" s="1"/>
  <c r="Y609" i="20"/>
  <c r="Y696" i="20"/>
  <c r="AA75" i="5" s="1"/>
  <c r="Y118" i="20"/>
  <c r="AA15" i="5" s="1"/>
  <c r="Y226" i="20"/>
  <c r="W131" i="20"/>
  <c r="W745" i="20"/>
  <c r="AO79" i="5" s="1"/>
  <c r="Y127" i="20"/>
  <c r="Y368" i="20"/>
  <c r="AA42" i="5" s="1"/>
  <c r="W122" i="20"/>
  <c r="AO15" i="5" s="1"/>
  <c r="W254" i="20"/>
  <c r="AO29" i="5" s="1"/>
  <c r="Y433" i="20"/>
  <c r="AA48" i="5" s="1"/>
  <c r="Y267" i="20"/>
  <c r="AA31" i="5" s="1"/>
  <c r="Y456" i="20"/>
  <c r="AA50" i="5" s="1"/>
  <c r="W164" i="20"/>
  <c r="AO19" i="5" s="1"/>
  <c r="Y401" i="20"/>
  <c r="W613" i="20"/>
  <c r="W312" i="20"/>
  <c r="W330" i="20"/>
  <c r="AO37" i="5" s="1"/>
  <c r="W658" i="20"/>
  <c r="AO69" i="5" s="1"/>
  <c r="W74" i="20"/>
  <c r="AO10" i="5" s="1"/>
  <c r="Y774" i="20"/>
  <c r="W489" i="20"/>
  <c r="AO53" i="5" s="1"/>
  <c r="Y525" i="20"/>
  <c r="AA57" i="5" s="1"/>
  <c r="Y70" i="20"/>
  <c r="AA10" i="5" s="1"/>
  <c r="W175" i="20"/>
  <c r="AO20" i="5" s="1"/>
  <c r="Y278" i="20"/>
  <c r="AA32" i="5" s="1"/>
  <c r="Y289" i="20"/>
  <c r="AA33" i="5" s="1"/>
  <c r="W396" i="20"/>
  <c r="AO44" i="5" s="1"/>
  <c r="Y445" i="20"/>
  <c r="AA49" i="5" s="1"/>
  <c r="Y494" i="20"/>
  <c r="AA54" i="5" s="1"/>
  <c r="W767" i="20"/>
  <c r="Y741" i="20"/>
  <c r="AA79" i="5" s="1"/>
  <c r="W701" i="20"/>
  <c r="AO75" i="5" s="1"/>
  <c r="W645" i="20"/>
  <c r="W631" i="20"/>
  <c r="AO67" i="5" s="1"/>
  <c r="W604" i="20"/>
  <c r="W595" i="20"/>
  <c r="W564" i="20"/>
  <c r="AO60" i="5" s="1"/>
  <c r="Y548" i="20"/>
  <c r="AA59" i="5" s="1"/>
  <c r="Y536" i="20"/>
  <c r="W529" i="20"/>
  <c r="AO57" i="5" s="1"/>
  <c r="W509" i="20"/>
  <c r="AO55" i="5" s="1"/>
  <c r="Y504" i="20"/>
  <c r="AA55" i="5" s="1"/>
  <c r="W478" i="20"/>
  <c r="AO52" i="5" s="1"/>
  <c r="W438" i="20"/>
  <c r="AO48" i="5" s="1"/>
  <c r="W427" i="20"/>
  <c r="Y421" i="20"/>
  <c r="W339" i="20"/>
  <c r="AO38" i="5" s="1"/>
  <c r="W283" i="20"/>
  <c r="AO32" i="5" s="1"/>
  <c r="Y204" i="20"/>
  <c r="AA23" i="5" s="1"/>
  <c r="W209" i="20"/>
  <c r="AO23" i="5" s="1"/>
  <c r="Y193" i="20"/>
  <c r="AA22" i="5" s="1"/>
  <c r="W187" i="20"/>
  <c r="AO21" i="5" s="1"/>
  <c r="Y182" i="20"/>
  <c r="AA21" i="5" s="1"/>
  <c r="Y170" i="20"/>
  <c r="AA20" i="5" s="1"/>
  <c r="W153" i="20"/>
  <c r="AO18" i="5" s="1"/>
  <c r="Y148" i="20"/>
  <c r="AA18" i="5" s="1"/>
  <c r="Y137" i="20"/>
  <c r="AA17" i="5" s="1"/>
  <c r="W142" i="20"/>
  <c r="AO17" i="5" s="1"/>
  <c r="W104" i="20"/>
  <c r="W113" i="20"/>
  <c r="AO14" i="5" s="1"/>
  <c r="W85" i="20"/>
  <c r="AO11" i="5" s="1"/>
  <c r="Y36" i="20"/>
  <c r="AA7" i="5" s="1"/>
  <c r="W498" i="20"/>
  <c r="AO54" i="5" s="1"/>
  <c r="Y16" i="20"/>
  <c r="W414" i="20"/>
  <c r="AO46" i="5" s="1"/>
  <c r="Y581" i="20"/>
  <c r="AA62" i="5" s="1"/>
  <c r="Y6" i="20"/>
  <c r="AA4" i="5" s="1"/>
  <c r="Y299" i="20"/>
  <c r="AA34" i="5" s="1"/>
  <c r="W387" i="20"/>
  <c r="AO43" i="5" s="1"/>
  <c r="W520" i="20"/>
  <c r="AO56" i="5" s="1"/>
  <c r="Y591" i="20"/>
  <c r="Y600" i="20"/>
  <c r="W691" i="20"/>
  <c r="AO74" i="5" s="1"/>
  <c r="W230" i="20"/>
  <c r="Y763" i="20"/>
  <c r="Y59" i="20"/>
  <c r="AA9" i="5" s="1"/>
  <c r="W65" i="20"/>
  <c r="AO9" i="5" s="1"/>
  <c r="Y317" i="20"/>
  <c r="AA36" i="5" s="1"/>
  <c r="Y381" i="20"/>
  <c r="AA43" i="5" s="1"/>
  <c r="Y559" i="20"/>
  <c r="AA60" i="5" s="1"/>
  <c r="Y717" i="20"/>
  <c r="W21" i="20"/>
  <c r="W30" i="20"/>
  <c r="W41" i="20"/>
  <c r="AO7" i="5" s="1"/>
  <c r="Y109" i="20"/>
  <c r="AA14" i="5" s="1"/>
  <c r="Y98" i="20"/>
  <c r="Y159" i="20"/>
  <c r="AA19" i="5" s="1"/>
  <c r="W374" i="20"/>
  <c r="Y474" i="20"/>
  <c r="AA52" i="5" s="1"/>
  <c r="Y515" i="20"/>
  <c r="AA56" i="5" s="1"/>
  <c r="W575" i="20"/>
  <c r="AO61" i="5" s="1"/>
  <c r="W723" i="20"/>
  <c r="W542" i="20"/>
  <c r="W553" i="20"/>
  <c r="AO59" i="5" s="1"/>
  <c r="W451" i="20"/>
  <c r="AO49" i="5" s="1"/>
  <c r="Y730" i="20"/>
  <c r="W780" i="20"/>
  <c r="Y308" i="20"/>
  <c r="Y335" i="20"/>
  <c r="AA38" i="5" s="1"/>
  <c r="W469" i="20"/>
  <c r="AO51" i="5" s="1"/>
  <c r="W586" i="20"/>
  <c r="AO62" i="5" s="1"/>
  <c r="W736" i="20"/>
  <c r="Y249" i="20"/>
  <c r="AA29" i="5" s="1"/>
  <c r="Y652" i="20"/>
  <c r="AA69" i="5" s="1"/>
  <c r="Y752" i="20"/>
  <c r="AA80" i="5" s="1"/>
  <c r="BF91" i="5"/>
  <c r="AS91" i="5"/>
  <c r="AH91" i="5"/>
  <c r="Q91" i="5"/>
  <c r="AQ80" i="5" l="1"/>
  <c r="AP80" i="5"/>
  <c r="BE43" i="5"/>
  <c r="BD43" i="5"/>
  <c r="AG49" i="5"/>
  <c r="AE49" i="5"/>
  <c r="AG61" i="5"/>
  <c r="AE61" i="5"/>
  <c r="AG80" i="5"/>
  <c r="AE80" i="5"/>
  <c r="AB80" i="5"/>
  <c r="AR74" i="5"/>
  <c r="AQ74" i="5"/>
  <c r="AR62" i="5"/>
  <c r="AQ62" i="5"/>
  <c r="AR61" i="5"/>
  <c r="AQ61" i="5"/>
  <c r="AE62" i="5"/>
  <c r="AG62" i="5"/>
  <c r="AG74" i="5"/>
  <c r="AE74" i="5"/>
  <c r="AR49" i="5"/>
  <c r="AQ49" i="5"/>
  <c r="AR59" i="5"/>
  <c r="AQ59" i="5"/>
  <c r="AG59" i="5"/>
  <c r="AE59" i="5"/>
  <c r="AR56" i="5"/>
  <c r="AQ56" i="5"/>
  <c r="AE56" i="5"/>
  <c r="AG56" i="5"/>
  <c r="AQ48" i="5"/>
  <c r="AR48" i="5"/>
  <c r="AE48" i="5"/>
  <c r="AG48" i="5"/>
  <c r="BD70" i="5"/>
  <c r="BE70" i="5"/>
  <c r="AR67" i="5"/>
  <c r="AQ67" i="5"/>
  <c r="AE31" i="5"/>
  <c r="AG31" i="5"/>
  <c r="AG52" i="5"/>
  <c r="AE52" i="5"/>
  <c r="AQ46" i="5"/>
  <c r="AR46" i="5"/>
  <c r="AR55" i="5"/>
  <c r="AQ55" i="5"/>
  <c r="AR69" i="5"/>
  <c r="AQ69" i="5"/>
  <c r="AG67" i="5"/>
  <c r="AE67" i="5"/>
  <c r="AQ57" i="5"/>
  <c r="AR57" i="5"/>
  <c r="AE55" i="5"/>
  <c r="AG55" i="5"/>
  <c r="AG29" i="5"/>
  <c r="AE29" i="5"/>
  <c r="AR33" i="5"/>
  <c r="AQ33" i="5"/>
  <c r="AG53" i="5"/>
  <c r="AE53" i="5"/>
  <c r="AR50" i="5"/>
  <c r="AQ50" i="5"/>
  <c r="AR11" i="5"/>
  <c r="AQ11" i="5"/>
  <c r="AR53" i="5"/>
  <c r="AQ53" i="5"/>
  <c r="AE46" i="5"/>
  <c r="AG46" i="5"/>
  <c r="AG11" i="5"/>
  <c r="AE11" i="5"/>
  <c r="AR51" i="5"/>
  <c r="AQ51" i="5"/>
  <c r="AE34" i="5"/>
  <c r="AG34" i="5"/>
  <c r="AR34" i="5"/>
  <c r="AQ34" i="5"/>
  <c r="AG33" i="5"/>
  <c r="AE33" i="5"/>
  <c r="AE57" i="5"/>
  <c r="AG57" i="5"/>
  <c r="AE42" i="5"/>
  <c r="AG42" i="5"/>
  <c r="AE51" i="5"/>
  <c r="AG51" i="5"/>
  <c r="AR52" i="5"/>
  <c r="AQ52" i="5"/>
  <c r="AE50" i="5"/>
  <c r="AG50" i="5"/>
  <c r="AG69" i="5"/>
  <c r="AE69" i="5"/>
  <c r="BE60" i="5"/>
  <c r="BD60" i="5"/>
  <c r="AR14" i="5"/>
  <c r="AQ14" i="5"/>
  <c r="AQ10" i="5"/>
  <c r="AR10" i="5"/>
  <c r="AQ30" i="5"/>
  <c r="AR30" i="5"/>
  <c r="AP30" i="5"/>
  <c r="AE15" i="5"/>
  <c r="AG15" i="5"/>
  <c r="AE44" i="5"/>
  <c r="AG44" i="5"/>
  <c r="AG10" i="5"/>
  <c r="AE10" i="5"/>
  <c r="AR15" i="5"/>
  <c r="AQ15" i="5"/>
  <c r="AQ44" i="5"/>
  <c r="AR44" i="5"/>
  <c r="AG14" i="5"/>
  <c r="AE14" i="5"/>
  <c r="AG21" i="5"/>
  <c r="AE21" i="5"/>
  <c r="AR21" i="5"/>
  <c r="AQ21" i="5"/>
  <c r="AR19" i="5"/>
  <c r="AQ19" i="5"/>
  <c r="AR22" i="5"/>
  <c r="AQ22" i="5"/>
  <c r="AG22" i="5"/>
  <c r="AE22" i="5"/>
  <c r="AE20" i="5"/>
  <c r="AG20" i="5"/>
  <c r="AR23" i="5"/>
  <c r="AQ23" i="5"/>
  <c r="AG23" i="5"/>
  <c r="AE23" i="5"/>
  <c r="AG39" i="5"/>
  <c r="AE39" i="5"/>
  <c r="AO42" i="5"/>
  <c r="AO39" i="5"/>
  <c r="AE18" i="5"/>
  <c r="AG18" i="5"/>
  <c r="AR75" i="5"/>
  <c r="AQ75" i="5"/>
  <c r="AR20" i="5"/>
  <c r="AQ20" i="5"/>
  <c r="AR29" i="5"/>
  <c r="AQ29" i="5"/>
  <c r="AP29" i="5"/>
  <c r="AG75" i="5"/>
  <c r="AE75" i="5"/>
  <c r="AQ66" i="5"/>
  <c r="AG19" i="5"/>
  <c r="AE19" i="5"/>
  <c r="AR18" i="5"/>
  <c r="AQ18" i="5"/>
  <c r="AE60" i="5"/>
  <c r="AG60" i="5"/>
  <c r="AG43" i="5"/>
  <c r="AE43" i="5"/>
  <c r="AR17" i="5"/>
  <c r="AQ17" i="5"/>
  <c r="AG17" i="5"/>
  <c r="AE17" i="5"/>
  <c r="AR43" i="5"/>
  <c r="AQ43" i="5"/>
  <c r="AR60" i="5"/>
  <c r="AQ60" i="5"/>
  <c r="AG7" i="5"/>
  <c r="AE7" i="5"/>
  <c r="AR7" i="5"/>
  <c r="AQ7" i="5"/>
  <c r="AR32" i="5"/>
  <c r="AQ32" i="5"/>
  <c r="AG32" i="5"/>
  <c r="AE32" i="5"/>
  <c r="AR9" i="5"/>
  <c r="AQ9" i="5"/>
  <c r="AE9" i="5"/>
  <c r="AG9" i="5"/>
  <c r="AG38" i="5"/>
  <c r="AE38" i="5"/>
  <c r="AG4" i="5"/>
  <c r="AE4" i="5"/>
  <c r="AG54" i="5"/>
  <c r="AE54" i="5"/>
  <c r="AR54" i="5"/>
  <c r="AQ54" i="5"/>
  <c r="AR36" i="5"/>
  <c r="AQ36" i="5"/>
  <c r="AG36" i="5"/>
  <c r="AE36" i="5"/>
  <c r="AR37" i="5"/>
  <c r="AQ37" i="5"/>
  <c r="AR4" i="5"/>
  <c r="AQ4" i="5"/>
  <c r="AR38" i="5"/>
  <c r="AQ38" i="5"/>
  <c r="AG79" i="5"/>
  <c r="AE79" i="5"/>
  <c r="AR79" i="5"/>
  <c r="AQ79" i="5"/>
  <c r="AG66" i="5"/>
  <c r="AE66" i="5"/>
  <c r="AG37" i="5"/>
  <c r="AE37" i="5"/>
  <c r="AZ121" i="18"/>
  <c r="AY121" i="18"/>
  <c r="AX121" i="18"/>
  <c r="AW121" i="18"/>
  <c r="AU121" i="18"/>
  <c r="AT121" i="18"/>
  <c r="AM121" i="18"/>
  <c r="AL121" i="18"/>
  <c r="AK121" i="18"/>
  <c r="AI121" i="18"/>
  <c r="X121" i="18"/>
  <c r="W121" i="18"/>
  <c r="V121" i="18"/>
  <c r="T121" i="18"/>
  <c r="N121" i="18"/>
  <c r="AZ120" i="18"/>
  <c r="AY120" i="18"/>
  <c r="AX120" i="18"/>
  <c r="AU120" i="18"/>
  <c r="AM120" i="18"/>
  <c r="AL120" i="18"/>
  <c r="AK120" i="18"/>
  <c r="AI120" i="18"/>
  <c r="X120" i="18"/>
  <c r="W120" i="18"/>
  <c r="V120" i="18"/>
  <c r="T120" i="18"/>
  <c r="AZ119" i="18"/>
  <c r="AX119" i="18"/>
  <c r="AU119" i="18"/>
  <c r="AM119" i="18"/>
  <c r="AL119" i="18"/>
  <c r="AK119" i="18"/>
  <c r="AI119" i="18"/>
  <c r="X119" i="18"/>
  <c r="W119" i="18"/>
  <c r="V119" i="18"/>
  <c r="T119" i="18"/>
  <c r="AM118" i="18"/>
  <c r="AL118" i="18"/>
  <c r="AK118" i="18"/>
  <c r="AI118" i="18"/>
  <c r="X118" i="18"/>
  <c r="W118" i="18"/>
  <c r="V118" i="18"/>
  <c r="T118" i="18"/>
  <c r="AZ117" i="18"/>
  <c r="AY117" i="18"/>
  <c r="AX117" i="18"/>
  <c r="AU117" i="18"/>
  <c r="AM117" i="18"/>
  <c r="AL117" i="18"/>
  <c r="AK117" i="18"/>
  <c r="AI117" i="18"/>
  <c r="X117" i="18"/>
  <c r="W117" i="18"/>
  <c r="V117" i="18"/>
  <c r="T117" i="18"/>
  <c r="BG116" i="18"/>
  <c r="AZ116" i="18"/>
  <c r="AY116" i="18"/>
  <c r="AX116" i="18"/>
  <c r="AU116" i="18"/>
  <c r="AM116" i="18"/>
  <c r="AL116" i="18"/>
  <c r="AK116" i="18"/>
  <c r="AI116" i="18"/>
  <c r="X116" i="18"/>
  <c r="W116" i="18"/>
  <c r="V116" i="18"/>
  <c r="T116" i="18"/>
  <c r="BM115" i="18"/>
  <c r="BG115" i="18"/>
  <c r="AZ115" i="18"/>
  <c r="AY115" i="18"/>
  <c r="AX115" i="18"/>
  <c r="AU115" i="18"/>
  <c r="AM115" i="18"/>
  <c r="AL115" i="18"/>
  <c r="AK115" i="18"/>
  <c r="AI115" i="18"/>
  <c r="X115" i="18"/>
  <c r="W115" i="18"/>
  <c r="V115" i="18"/>
  <c r="T115" i="18"/>
  <c r="BJ114" i="18"/>
  <c r="BM114" i="18" s="1"/>
  <c r="BG114" i="18"/>
  <c r="AZ114" i="18"/>
  <c r="AY114" i="18"/>
  <c r="AX114" i="18"/>
  <c r="AU114" i="18"/>
  <c r="AM114" i="18"/>
  <c r="AL114" i="18"/>
  <c r="AK114" i="18"/>
  <c r="AI114" i="18"/>
  <c r="X114" i="18"/>
  <c r="W114" i="18"/>
  <c r="V114" i="18"/>
  <c r="T114" i="18"/>
  <c r="BP113" i="18"/>
  <c r="BG113" i="18"/>
  <c r="AZ113" i="18"/>
  <c r="AY113" i="18"/>
  <c r="AX113" i="18"/>
  <c r="AW113" i="18"/>
  <c r="AU113" i="18"/>
  <c r="AT113" i="18"/>
  <c r="AM113" i="18"/>
  <c r="BM113" i="18" s="1"/>
  <c r="AL113" i="18"/>
  <c r="AK113" i="18"/>
  <c r="AI113" i="18"/>
  <c r="X113" i="18"/>
  <c r="W113" i="18"/>
  <c r="V113" i="18"/>
  <c r="T113" i="18"/>
  <c r="N113" i="18"/>
  <c r="BM112" i="18"/>
  <c r="BG112" i="18"/>
  <c r="AZ112" i="18"/>
  <c r="AY112" i="18"/>
  <c r="AX112" i="18"/>
  <c r="AW112" i="18"/>
  <c r="AU112" i="18"/>
  <c r="AT112" i="18"/>
  <c r="AM112" i="18"/>
  <c r="AL112" i="18"/>
  <c r="AK112" i="18"/>
  <c r="AI112" i="18"/>
  <c r="X112" i="18"/>
  <c r="W112" i="18"/>
  <c r="V112" i="18"/>
  <c r="T112" i="18"/>
  <c r="N112" i="18"/>
  <c r="BM111" i="18"/>
  <c r="BG111" i="18"/>
  <c r="AZ111" i="18"/>
  <c r="AY111" i="18"/>
  <c r="AX111" i="18"/>
  <c r="AU111" i="18"/>
  <c r="AM111" i="18"/>
  <c r="AL111" i="18"/>
  <c r="AK111" i="18"/>
  <c r="AI111" i="18"/>
  <c r="X111" i="18"/>
  <c r="W111" i="18"/>
  <c r="V111" i="18"/>
  <c r="T111" i="18"/>
  <c r="BH110" i="18"/>
  <c r="BM110" i="18" s="1"/>
  <c r="BG110" i="18"/>
  <c r="AZ110" i="18"/>
  <c r="AY110" i="18"/>
  <c r="AX110" i="18"/>
  <c r="AW110" i="18"/>
  <c r="AU110" i="18"/>
  <c r="AT110" i="18"/>
  <c r="AM110" i="18"/>
  <c r="AL110" i="18"/>
  <c r="AK110" i="18"/>
  <c r="AI110" i="18"/>
  <c r="X110" i="18"/>
  <c r="W110" i="18"/>
  <c r="V110" i="18"/>
  <c r="T110" i="18"/>
  <c r="N110" i="18"/>
  <c r="BM109" i="18"/>
  <c r="BL109" i="18"/>
  <c r="BK109" i="18"/>
  <c r="BI109" i="18"/>
  <c r="BH109" i="18"/>
  <c r="BF109" i="18"/>
  <c r="BG109" i="18" s="1"/>
  <c r="AZ109" i="18"/>
  <c r="AY109" i="18"/>
  <c r="AX109" i="18"/>
  <c r="AW109" i="18"/>
  <c r="AU109" i="18"/>
  <c r="AT109" i="18"/>
  <c r="AM109" i="18"/>
  <c r="AL109" i="18"/>
  <c r="AK109" i="18"/>
  <c r="AI109" i="18"/>
  <c r="X109" i="18"/>
  <c r="W109" i="18"/>
  <c r="V109" i="18"/>
  <c r="T109" i="18"/>
  <c r="N109" i="18"/>
  <c r="BL108" i="18"/>
  <c r="BK108" i="18"/>
  <c r="BI108" i="18"/>
  <c r="BH108" i="18"/>
  <c r="BF108" i="18"/>
  <c r="BG108" i="18" s="1"/>
  <c r="AZ108" i="18"/>
  <c r="AY108" i="18"/>
  <c r="AX108" i="18"/>
  <c r="AW108" i="18"/>
  <c r="AU108" i="18"/>
  <c r="AT108" i="18"/>
  <c r="AM108" i="18"/>
  <c r="AL108" i="18"/>
  <c r="AK108" i="18"/>
  <c r="AI108" i="18"/>
  <c r="X108" i="18"/>
  <c r="W108" i="18"/>
  <c r="V108" i="18"/>
  <c r="T108" i="18"/>
  <c r="N108" i="18"/>
  <c r="BL107" i="18"/>
  <c r="BK107" i="18"/>
  <c r="BI107" i="18"/>
  <c r="BH107" i="18"/>
  <c r="BM107" i="18" s="1"/>
  <c r="BF107" i="18"/>
  <c r="BG107" i="18" s="1"/>
  <c r="AZ107" i="18"/>
  <c r="AY107" i="18"/>
  <c r="AX107" i="18"/>
  <c r="AW107" i="18"/>
  <c r="AU107" i="18"/>
  <c r="AT107" i="18"/>
  <c r="AM107" i="18"/>
  <c r="AL107" i="18"/>
  <c r="AK107" i="18"/>
  <c r="AI107" i="18"/>
  <c r="X107" i="18"/>
  <c r="W107" i="18"/>
  <c r="V107" i="18"/>
  <c r="T107" i="18"/>
  <c r="N107" i="18"/>
  <c r="BL106" i="18"/>
  <c r="BG106" i="18"/>
  <c r="BE106" i="18"/>
  <c r="AZ106" i="18"/>
  <c r="AY106" i="18"/>
  <c r="AX106" i="18"/>
  <c r="AW106" i="18"/>
  <c r="AU106" i="18"/>
  <c r="AT106" i="18"/>
  <c r="AR106" i="18"/>
  <c r="AM106" i="18"/>
  <c r="BM106" i="18" s="1"/>
  <c r="AL106" i="18"/>
  <c r="AK106" i="18"/>
  <c r="AI106" i="18"/>
  <c r="AG106" i="18"/>
  <c r="X106" i="18"/>
  <c r="W106" i="18"/>
  <c r="V106" i="18"/>
  <c r="T106" i="18"/>
  <c r="P106" i="18"/>
  <c r="N106" i="18"/>
  <c r="BM105" i="18"/>
  <c r="BG105" i="18"/>
  <c r="AZ105" i="18"/>
  <c r="AY105" i="18"/>
  <c r="AX105" i="18"/>
  <c r="AU105" i="18"/>
  <c r="AM105" i="18"/>
  <c r="AL105" i="18"/>
  <c r="AK105" i="18"/>
  <c r="AI105" i="18"/>
  <c r="X105" i="18"/>
  <c r="W105" i="18"/>
  <c r="V105" i="18"/>
  <c r="T105" i="18"/>
  <c r="N105" i="18"/>
  <c r="BM104" i="18"/>
  <c r="BG104" i="18"/>
  <c r="AZ104" i="18"/>
  <c r="AY104" i="18"/>
  <c r="AX104" i="18"/>
  <c r="AU104" i="18"/>
  <c r="AM104" i="18"/>
  <c r="AL104" i="18"/>
  <c r="AK104" i="18"/>
  <c r="AI104" i="18"/>
  <c r="X104" i="18"/>
  <c r="W104" i="18"/>
  <c r="V104" i="18"/>
  <c r="T104" i="18"/>
  <c r="N104" i="18"/>
  <c r="BM103" i="18"/>
  <c r="BK103" i="18"/>
  <c r="BG103" i="18"/>
  <c r="AZ103" i="18"/>
  <c r="AY103" i="18"/>
  <c r="AX103" i="18"/>
  <c r="AU103" i="18"/>
  <c r="AM103" i="18"/>
  <c r="AL103" i="18"/>
  <c r="AK103" i="18"/>
  <c r="AI103" i="18"/>
  <c r="X103" i="18"/>
  <c r="W103" i="18"/>
  <c r="V103" i="18"/>
  <c r="T103" i="18"/>
  <c r="BH102" i="18"/>
  <c r="BG102" i="18"/>
  <c r="AZ102" i="18"/>
  <c r="AY102" i="18"/>
  <c r="AX102" i="18"/>
  <c r="AU102" i="18"/>
  <c r="AM102" i="18"/>
  <c r="AL102" i="18"/>
  <c r="AK102" i="18"/>
  <c r="AI102" i="18"/>
  <c r="X102" i="18"/>
  <c r="W102" i="18"/>
  <c r="V102" i="18"/>
  <c r="T102" i="18"/>
  <c r="BM101" i="18"/>
  <c r="BG101" i="18"/>
  <c r="AZ101" i="18"/>
  <c r="AY101" i="18"/>
  <c r="AX101" i="18"/>
  <c r="AU101" i="18"/>
  <c r="AM101" i="18"/>
  <c r="AL101" i="18"/>
  <c r="AK101" i="18"/>
  <c r="AI101" i="18"/>
  <c r="X101" i="18"/>
  <c r="W101" i="18"/>
  <c r="V101" i="18"/>
  <c r="T101" i="18"/>
  <c r="BH100" i="18"/>
  <c r="BG100" i="18"/>
  <c r="AZ100" i="18"/>
  <c r="AY100" i="18"/>
  <c r="AX100" i="18"/>
  <c r="AU100" i="18"/>
  <c r="AM100" i="18"/>
  <c r="BM100" i="18" s="1"/>
  <c r="AL100" i="18"/>
  <c r="AK100" i="18"/>
  <c r="AI100" i="18"/>
  <c r="X100" i="18"/>
  <c r="W100" i="18"/>
  <c r="V100" i="18"/>
  <c r="T100" i="18"/>
  <c r="AM99" i="18"/>
  <c r="AL99" i="18"/>
  <c r="AK99" i="18"/>
  <c r="AI99" i="18"/>
  <c r="BG98" i="18"/>
  <c r="AZ98" i="18"/>
  <c r="AY98" i="18"/>
  <c r="AX98" i="18"/>
  <c r="AW98" i="18"/>
  <c r="AU98" i="18"/>
  <c r="AT98" i="18"/>
  <c r="AM98" i="18"/>
  <c r="BM98" i="18" s="1"/>
  <c r="AL98" i="18"/>
  <c r="AK98" i="18"/>
  <c r="AI98" i="18"/>
  <c r="X98" i="18"/>
  <c r="W98" i="18"/>
  <c r="V98" i="18"/>
  <c r="T98" i="18"/>
  <c r="N98" i="18"/>
  <c r="BJ97" i="18"/>
  <c r="BM97" i="18" s="1"/>
  <c r="BH97" i="18"/>
  <c r="BG97" i="18"/>
  <c r="AZ97" i="18"/>
  <c r="AY97" i="18"/>
  <c r="AX97" i="18"/>
  <c r="AU97" i="18"/>
  <c r="AM97" i="18"/>
  <c r="AL97" i="18"/>
  <c r="AK97" i="18"/>
  <c r="AI97" i="18"/>
  <c r="X97" i="18"/>
  <c r="W97" i="18"/>
  <c r="V97" i="18"/>
  <c r="T97" i="18"/>
  <c r="BH96" i="18"/>
  <c r="BM96" i="18" s="1"/>
  <c r="BG96" i="18"/>
  <c r="AZ96" i="18"/>
  <c r="AY96" i="18"/>
  <c r="AX96" i="18"/>
  <c r="AU96" i="18"/>
  <c r="AM96" i="18"/>
  <c r="AL96" i="18"/>
  <c r="AK96" i="18"/>
  <c r="AI96" i="18"/>
  <c r="X96" i="18"/>
  <c r="W96" i="18"/>
  <c r="V96" i="18"/>
  <c r="T96" i="18"/>
  <c r="BG95" i="18"/>
  <c r="AM95" i="18"/>
  <c r="AL95" i="18"/>
  <c r="AK95" i="18"/>
  <c r="AI95" i="18"/>
  <c r="X95" i="18"/>
  <c r="W95" i="18"/>
  <c r="V95" i="18"/>
  <c r="T95" i="18"/>
  <c r="BM94" i="18"/>
  <c r="BG94" i="18"/>
  <c r="AZ94" i="18"/>
  <c r="AY94" i="18"/>
  <c r="AX94" i="18"/>
  <c r="AU94" i="18"/>
  <c r="AM94" i="18"/>
  <c r="AL94" i="18"/>
  <c r="AK94" i="18"/>
  <c r="AI94" i="18"/>
  <c r="X94" i="18"/>
  <c r="W94" i="18"/>
  <c r="V94" i="18"/>
  <c r="T94" i="18"/>
  <c r="BM93" i="18"/>
  <c r="BG93" i="18"/>
  <c r="AZ93" i="18"/>
  <c r="AY93" i="18"/>
  <c r="AX93" i="18"/>
  <c r="AU93" i="18"/>
  <c r="AM93" i="18"/>
  <c r="AL93" i="18"/>
  <c r="AK93" i="18"/>
  <c r="AI93" i="18"/>
  <c r="X93" i="18"/>
  <c r="W93" i="18"/>
  <c r="V93" i="18"/>
  <c r="T93" i="18"/>
  <c r="BG92" i="18"/>
  <c r="AZ92" i="18"/>
  <c r="AY92" i="18"/>
  <c r="AX92" i="18"/>
  <c r="AU92" i="18"/>
  <c r="AM92" i="18"/>
  <c r="BM92" i="18" s="1"/>
  <c r="AL92" i="18"/>
  <c r="AK92" i="18"/>
  <c r="AI92" i="18"/>
  <c r="X92" i="18"/>
  <c r="W92" i="18"/>
  <c r="V92" i="18"/>
  <c r="T92" i="18"/>
  <c r="BG91" i="18"/>
  <c r="AZ91" i="18"/>
  <c r="AY91" i="18"/>
  <c r="AX91" i="18"/>
  <c r="AW91" i="18"/>
  <c r="AU91" i="18"/>
  <c r="AT91" i="18"/>
  <c r="AM91" i="18"/>
  <c r="BM91" i="18" s="1"/>
  <c r="AL91" i="18"/>
  <c r="AK91" i="18"/>
  <c r="AI91" i="18"/>
  <c r="X91" i="18"/>
  <c r="W91" i="18"/>
  <c r="V91" i="18"/>
  <c r="T91" i="18"/>
  <c r="N91" i="18"/>
  <c r="BH90" i="18"/>
  <c r="BG90" i="18"/>
  <c r="AZ90" i="18"/>
  <c r="AY90" i="18"/>
  <c r="AX90" i="18"/>
  <c r="AU90" i="18"/>
  <c r="AM90" i="18"/>
  <c r="AL90" i="18"/>
  <c r="AK90" i="18"/>
  <c r="AI90" i="18"/>
  <c r="X90" i="18"/>
  <c r="W90" i="18"/>
  <c r="V90" i="18"/>
  <c r="T90" i="18"/>
  <c r="BM89" i="18"/>
  <c r="BG89" i="18"/>
  <c r="AZ89" i="18"/>
  <c r="AY89" i="18"/>
  <c r="AX89" i="18"/>
  <c r="AU89" i="18"/>
  <c r="AM89" i="18"/>
  <c r="AL89" i="18"/>
  <c r="AK89" i="18"/>
  <c r="AI89" i="18"/>
  <c r="X89" i="18"/>
  <c r="W89" i="18"/>
  <c r="V89" i="18"/>
  <c r="T89" i="18"/>
  <c r="BM88" i="18"/>
  <c r="BG88" i="18"/>
  <c r="AZ88" i="18"/>
  <c r="AX88" i="18"/>
  <c r="AU88" i="18"/>
  <c r="AM88" i="18"/>
  <c r="AL88" i="18"/>
  <c r="AK88" i="18"/>
  <c r="AI88" i="18"/>
  <c r="X88" i="18"/>
  <c r="W88" i="18"/>
  <c r="V88" i="18"/>
  <c r="T88" i="18"/>
  <c r="BG87" i="18"/>
  <c r="AZ87" i="18"/>
  <c r="AY87" i="18"/>
  <c r="AX87" i="18"/>
  <c r="AW87" i="18"/>
  <c r="AU87" i="18"/>
  <c r="AT87" i="18"/>
  <c r="AM87" i="18"/>
  <c r="BM87" i="18" s="1"/>
  <c r="AL87" i="18"/>
  <c r="AK87" i="18"/>
  <c r="AI87" i="18"/>
  <c r="X87" i="18"/>
  <c r="W87" i="18"/>
  <c r="V87" i="18"/>
  <c r="T87" i="18"/>
  <c r="BG86" i="18"/>
  <c r="AZ86" i="18"/>
  <c r="AY86" i="18"/>
  <c r="AX86" i="18"/>
  <c r="AU86" i="18"/>
  <c r="AM86" i="18"/>
  <c r="BM86" i="18" s="1"/>
  <c r="AL86" i="18"/>
  <c r="AK86" i="18"/>
  <c r="AI86" i="18"/>
  <c r="X86" i="18"/>
  <c r="W86" i="18"/>
  <c r="V86" i="18"/>
  <c r="T86" i="18"/>
  <c r="BG85" i="18"/>
  <c r="AZ85" i="18"/>
  <c r="AY85" i="18"/>
  <c r="AX85" i="18"/>
  <c r="AW85" i="18"/>
  <c r="AU85" i="18"/>
  <c r="AT85" i="18"/>
  <c r="AM85" i="18"/>
  <c r="AL85" i="18"/>
  <c r="AK85" i="18"/>
  <c r="AI85" i="18"/>
  <c r="X85" i="18"/>
  <c r="W85" i="18"/>
  <c r="V85" i="18"/>
  <c r="T85" i="18"/>
  <c r="N85" i="18"/>
  <c r="BG84" i="18"/>
  <c r="AZ84" i="18"/>
  <c r="AY84" i="18"/>
  <c r="AX84" i="18"/>
  <c r="AU84" i="18"/>
  <c r="AM84" i="18"/>
  <c r="BM84" i="18" s="1"/>
  <c r="AL84" i="18"/>
  <c r="AK84" i="18"/>
  <c r="AI84" i="18"/>
  <c r="X84" i="18"/>
  <c r="W84" i="18"/>
  <c r="V84" i="18"/>
  <c r="T84" i="18"/>
  <c r="BE83" i="18"/>
  <c r="AR83" i="18"/>
  <c r="AJ83" i="18"/>
  <c r="AH83" i="18"/>
  <c r="AL83" i="18" s="1"/>
  <c r="AG83" i="18"/>
  <c r="U83" i="18"/>
  <c r="S83" i="18"/>
  <c r="W83" i="18" s="1"/>
  <c r="P83" i="18"/>
  <c r="M83" i="18"/>
  <c r="L83" i="18"/>
  <c r="BG82" i="18"/>
  <c r="AZ82" i="18"/>
  <c r="AY82" i="18"/>
  <c r="AX82" i="18"/>
  <c r="AW82" i="18"/>
  <c r="AU82" i="18"/>
  <c r="AT82" i="18"/>
  <c r="AM82" i="18"/>
  <c r="BM82" i="18" s="1"/>
  <c r="AL82" i="18"/>
  <c r="AK82" i="18"/>
  <c r="AI82" i="18"/>
  <c r="X82" i="18"/>
  <c r="W82" i="18"/>
  <c r="V82" i="18"/>
  <c r="T82" i="18"/>
  <c r="N82" i="18"/>
  <c r="BG81" i="18"/>
  <c r="BE81" i="18"/>
  <c r="BA81" i="18"/>
  <c r="BC81" i="18" s="1"/>
  <c r="AZ81" i="18"/>
  <c r="AY81" i="18"/>
  <c r="AX81" i="18"/>
  <c r="AW81" i="18"/>
  <c r="AU81" i="18"/>
  <c r="AT81" i="18"/>
  <c r="AR81" i="18"/>
  <c r="AN81" i="18"/>
  <c r="AP81" i="18" s="1"/>
  <c r="AM81" i="18"/>
  <c r="BM81" i="18" s="1"/>
  <c r="AL81" i="18"/>
  <c r="AK81" i="18"/>
  <c r="AI81" i="18"/>
  <c r="AG81" i="18"/>
  <c r="Z81" i="18"/>
  <c r="AD81" i="18" s="1"/>
  <c r="X81" i="18"/>
  <c r="W81" i="18"/>
  <c r="V81" i="18"/>
  <c r="T81" i="18"/>
  <c r="P81" i="18"/>
  <c r="N81" i="18"/>
  <c r="BM80" i="18"/>
  <c r="BG80" i="18"/>
  <c r="AZ80" i="18"/>
  <c r="AY80" i="18"/>
  <c r="AX80" i="18"/>
  <c r="AU80" i="18"/>
  <c r="AM80" i="18"/>
  <c r="AL80" i="18"/>
  <c r="AK80" i="18"/>
  <c r="AI80" i="18"/>
  <c r="X80" i="18"/>
  <c r="W80" i="18"/>
  <c r="V80" i="18"/>
  <c r="T80" i="18"/>
  <c r="BM79" i="18"/>
  <c r="BH79" i="18"/>
  <c r="BG79" i="18"/>
  <c r="BA79" i="18"/>
  <c r="AZ79" i="18"/>
  <c r="AY79" i="18"/>
  <c r="AX79" i="18"/>
  <c r="AW79" i="18"/>
  <c r="AU79" i="18"/>
  <c r="AT79" i="18"/>
  <c r="AN79" i="18"/>
  <c r="AM79" i="18"/>
  <c r="AL79" i="18"/>
  <c r="AK79" i="18"/>
  <c r="AI79" i="18"/>
  <c r="Z79" i="18"/>
  <c r="X79" i="18"/>
  <c r="W79" i="18"/>
  <c r="V79" i="18"/>
  <c r="T79" i="18"/>
  <c r="N79" i="18"/>
  <c r="BG78" i="18"/>
  <c r="BE78" i="18"/>
  <c r="AZ78" i="18"/>
  <c r="AY78" i="18"/>
  <c r="AX78" i="18"/>
  <c r="AW78" i="18"/>
  <c r="AU78" i="18"/>
  <c r="AT78" i="18"/>
  <c r="AR78" i="18"/>
  <c r="AM78" i="18"/>
  <c r="BM78" i="18" s="1"/>
  <c r="AL78" i="18"/>
  <c r="AK78" i="18"/>
  <c r="AI78" i="18"/>
  <c r="AG78" i="18"/>
  <c r="X78" i="18"/>
  <c r="W78" i="18"/>
  <c r="V78" i="18"/>
  <c r="T78" i="18"/>
  <c r="P78" i="18"/>
  <c r="N78" i="18"/>
  <c r="BP77" i="18"/>
  <c r="BG77" i="18"/>
  <c r="AZ77" i="18"/>
  <c r="AY77" i="18"/>
  <c r="AX77" i="18"/>
  <c r="AW77" i="18"/>
  <c r="AU77" i="18"/>
  <c r="AT77" i="18"/>
  <c r="AM77" i="18"/>
  <c r="BM77" i="18" s="1"/>
  <c r="AL77" i="18"/>
  <c r="AK77" i="18"/>
  <c r="AI77" i="18"/>
  <c r="X77" i="18"/>
  <c r="W77" i="18"/>
  <c r="V77" i="18"/>
  <c r="T77" i="18"/>
  <c r="N77" i="18"/>
  <c r="BG76" i="18"/>
  <c r="AZ76" i="18"/>
  <c r="AY76" i="18"/>
  <c r="AX76" i="18"/>
  <c r="AU76" i="18"/>
  <c r="AM76" i="18"/>
  <c r="AL76" i="18"/>
  <c r="AK76" i="18"/>
  <c r="AI76" i="18"/>
  <c r="X76" i="18"/>
  <c r="W76" i="18"/>
  <c r="V76" i="18"/>
  <c r="T76" i="18"/>
  <c r="BG75" i="18"/>
  <c r="BA75" i="18"/>
  <c r="AZ75" i="18"/>
  <c r="AY75" i="18"/>
  <c r="AX75" i="18"/>
  <c r="AU75" i="18"/>
  <c r="AN75" i="18"/>
  <c r="AM75" i="18"/>
  <c r="AL75" i="18"/>
  <c r="AK75" i="18"/>
  <c r="AI75" i="18"/>
  <c r="Z75" i="18"/>
  <c r="X75" i="18"/>
  <c r="W75" i="18"/>
  <c r="V75" i="18"/>
  <c r="T75" i="18"/>
  <c r="BF74" i="18"/>
  <c r="BG74" i="18" s="1"/>
  <c r="BA74" i="18"/>
  <c r="BC74" i="18" s="1"/>
  <c r="AZ74" i="18"/>
  <c r="AY74" i="18"/>
  <c r="AX74" i="18"/>
  <c r="AU74" i="18"/>
  <c r="AN74" i="18"/>
  <c r="AO74" i="18" s="1"/>
  <c r="AM74" i="18"/>
  <c r="AL74" i="18"/>
  <c r="AK74" i="18"/>
  <c r="AI74" i="18"/>
  <c r="Z74" i="18"/>
  <c r="AA74" i="18" s="1"/>
  <c r="X74" i="18"/>
  <c r="W74" i="18"/>
  <c r="V74" i="18"/>
  <c r="T74" i="18"/>
  <c r="BG73" i="18"/>
  <c r="AZ73" i="18"/>
  <c r="AY73" i="18"/>
  <c r="AX73" i="18"/>
  <c r="AU73" i="18"/>
  <c r="AM73" i="18"/>
  <c r="AL73" i="18"/>
  <c r="AK73" i="18"/>
  <c r="AI73" i="18"/>
  <c r="X73" i="18"/>
  <c r="W73" i="18"/>
  <c r="V73" i="18"/>
  <c r="T73" i="18"/>
  <c r="BG72" i="18"/>
  <c r="AZ72" i="18"/>
  <c r="AY72" i="18"/>
  <c r="AX72" i="18"/>
  <c r="AU72" i="18"/>
  <c r="AM72" i="18"/>
  <c r="AL72" i="18"/>
  <c r="AK72" i="18"/>
  <c r="AI72" i="18"/>
  <c r="X72" i="18"/>
  <c r="W72" i="18"/>
  <c r="V72" i="18"/>
  <c r="T72" i="18"/>
  <c r="BG71" i="18"/>
  <c r="AZ71" i="18"/>
  <c r="AY71" i="18"/>
  <c r="AX71" i="18"/>
  <c r="AU71" i="18"/>
  <c r="AM71" i="18"/>
  <c r="BM71" i="18" s="1"/>
  <c r="AL71" i="18"/>
  <c r="AK71" i="18"/>
  <c r="AI71" i="18"/>
  <c r="X71" i="18"/>
  <c r="W71" i="18"/>
  <c r="V71" i="18"/>
  <c r="T71" i="18"/>
  <c r="BG70" i="18"/>
  <c r="BA70" i="18"/>
  <c r="BD70" i="18" s="1"/>
  <c r="AZ70" i="18"/>
  <c r="AY70" i="18"/>
  <c r="AX70" i="18"/>
  <c r="AU70" i="18"/>
  <c r="AN70" i="18"/>
  <c r="AP70" i="18" s="1"/>
  <c r="AM70" i="18"/>
  <c r="BM70" i="18" s="1"/>
  <c r="AL70" i="18"/>
  <c r="AK70" i="18"/>
  <c r="AI70" i="18"/>
  <c r="Z70" i="18"/>
  <c r="AA70" i="18" s="1"/>
  <c r="X70" i="18"/>
  <c r="W70" i="18"/>
  <c r="V70" i="18"/>
  <c r="T70" i="18"/>
  <c r="BG69" i="18"/>
  <c r="BF69" i="18"/>
  <c r="BA69" i="18"/>
  <c r="AZ69" i="18"/>
  <c r="AY69" i="18"/>
  <c r="AX69" i="18"/>
  <c r="AU69" i="18"/>
  <c r="AN69" i="18"/>
  <c r="AM69" i="18"/>
  <c r="AL69" i="18"/>
  <c r="AK69" i="18"/>
  <c r="AI69" i="18"/>
  <c r="AG69" i="18"/>
  <c r="Z69" i="18"/>
  <c r="AA69" i="18" s="1"/>
  <c r="X69" i="18"/>
  <c r="W69" i="18"/>
  <c r="V69" i="18"/>
  <c r="T69" i="18"/>
  <c r="P69" i="18"/>
  <c r="BH68" i="18"/>
  <c r="BM68" i="18" s="1"/>
  <c r="BG68" i="18"/>
  <c r="BA68" i="18"/>
  <c r="BD68" i="18" s="1"/>
  <c r="AZ68" i="18"/>
  <c r="AY68" i="18"/>
  <c r="AX68" i="18"/>
  <c r="AU68" i="18"/>
  <c r="AN68" i="18"/>
  <c r="AQ68" i="18" s="1"/>
  <c r="AM68" i="18"/>
  <c r="AL68" i="18"/>
  <c r="AK68" i="18"/>
  <c r="AI68" i="18"/>
  <c r="Z68" i="18"/>
  <c r="AF68" i="18" s="1"/>
  <c r="X68" i="18"/>
  <c r="W68" i="18"/>
  <c r="V68" i="18"/>
  <c r="T68" i="18"/>
  <c r="BG67" i="18"/>
  <c r="BA67" i="18"/>
  <c r="BD67" i="18" s="1"/>
  <c r="AZ67" i="18"/>
  <c r="AY67" i="18"/>
  <c r="AX67" i="18"/>
  <c r="AU67" i="18"/>
  <c r="AN67" i="18"/>
  <c r="AQ67" i="18" s="1"/>
  <c r="AM67" i="18"/>
  <c r="AL67" i="18"/>
  <c r="AK67" i="18"/>
  <c r="AI67" i="18"/>
  <c r="Z67" i="18"/>
  <c r="AF67" i="18" s="1"/>
  <c r="X67" i="18"/>
  <c r="W67" i="18"/>
  <c r="V67" i="18"/>
  <c r="T67" i="18"/>
  <c r="BH66" i="18"/>
  <c r="BM66" i="18" s="1"/>
  <c r="BG66" i="18"/>
  <c r="BA66" i="18"/>
  <c r="BC66" i="18" s="1"/>
  <c r="AZ66" i="18"/>
  <c r="AY66" i="18"/>
  <c r="AX66" i="18"/>
  <c r="AU66" i="18"/>
  <c r="AN66" i="18"/>
  <c r="AO66" i="18" s="1"/>
  <c r="AM66" i="18"/>
  <c r="AL66" i="18"/>
  <c r="AK66" i="18"/>
  <c r="AI66" i="18"/>
  <c r="Z66" i="18"/>
  <c r="AA66" i="18" s="1"/>
  <c r="X66" i="18"/>
  <c r="W66" i="18"/>
  <c r="V66" i="18"/>
  <c r="T66" i="18"/>
  <c r="BM65" i="18"/>
  <c r="BG65" i="18"/>
  <c r="AZ65" i="18"/>
  <c r="AY65" i="18"/>
  <c r="AX65" i="18"/>
  <c r="AU65" i="18"/>
  <c r="AM65" i="18"/>
  <c r="AL65" i="18"/>
  <c r="AK65" i="18"/>
  <c r="AI65" i="18"/>
  <c r="X65" i="18"/>
  <c r="W65" i="18"/>
  <c r="V65" i="18"/>
  <c r="T65" i="18"/>
  <c r="BG64" i="18"/>
  <c r="BA64" i="18"/>
  <c r="BB64" i="18" s="1"/>
  <c r="AZ64" i="18"/>
  <c r="AY64" i="18"/>
  <c r="AX64" i="18"/>
  <c r="AW64" i="18"/>
  <c r="AU64" i="18"/>
  <c r="AT64" i="18"/>
  <c r="AN64" i="18"/>
  <c r="AM64" i="18"/>
  <c r="BM64" i="18" s="1"/>
  <c r="AL64" i="18"/>
  <c r="AK64" i="18"/>
  <c r="AI64" i="18"/>
  <c r="Z64" i="18"/>
  <c r="X64" i="18"/>
  <c r="W64" i="18"/>
  <c r="V64" i="18"/>
  <c r="T64" i="18"/>
  <c r="N64" i="18"/>
  <c r="BG63" i="18"/>
  <c r="BA63" i="18"/>
  <c r="BD63" i="18" s="1"/>
  <c r="AZ63" i="18"/>
  <c r="AY63" i="18"/>
  <c r="AX63" i="18"/>
  <c r="AU63" i="18"/>
  <c r="AN63" i="18"/>
  <c r="AP63" i="18" s="1"/>
  <c r="AM63" i="18"/>
  <c r="AL63" i="18"/>
  <c r="AK63" i="18"/>
  <c r="AI63" i="18"/>
  <c r="Z63" i="18"/>
  <c r="AD63" i="18" s="1"/>
  <c r="X63" i="18"/>
  <c r="W63" i="18"/>
  <c r="V63" i="18"/>
  <c r="T63" i="18"/>
  <c r="BL62" i="18"/>
  <c r="BI62" i="18"/>
  <c r="BG62" i="18"/>
  <c r="BA62" i="18"/>
  <c r="AZ62" i="18"/>
  <c r="AY62" i="18"/>
  <c r="AX62" i="18"/>
  <c r="AW62" i="18"/>
  <c r="AU62" i="18"/>
  <c r="AT62" i="18"/>
  <c r="AN62" i="18"/>
  <c r="AM62" i="18"/>
  <c r="AL62" i="18"/>
  <c r="AK62" i="18"/>
  <c r="AI62" i="18"/>
  <c r="Z62" i="18"/>
  <c r="X62" i="18"/>
  <c r="W62" i="18"/>
  <c r="V62" i="18"/>
  <c r="T62" i="18"/>
  <c r="N62" i="18"/>
  <c r="BL61" i="18"/>
  <c r="BI61" i="18"/>
  <c r="BG61" i="18"/>
  <c r="BA61" i="18"/>
  <c r="AZ61" i="18"/>
  <c r="AY61" i="18"/>
  <c r="AX61" i="18"/>
  <c r="AW61" i="18"/>
  <c r="AU61" i="18"/>
  <c r="AT61" i="18"/>
  <c r="AN61" i="18"/>
  <c r="AQ61" i="18" s="1"/>
  <c r="AM61" i="18"/>
  <c r="AL61" i="18"/>
  <c r="AK61" i="18"/>
  <c r="AI61" i="18"/>
  <c r="Z61" i="18"/>
  <c r="AF61" i="18" s="1"/>
  <c r="X61" i="18"/>
  <c r="W61" i="18"/>
  <c r="V61" i="18"/>
  <c r="T61" i="18"/>
  <c r="N61" i="18"/>
  <c r="BF60" i="18"/>
  <c r="BM60" i="18" s="1"/>
  <c r="BA60" i="18"/>
  <c r="BD60" i="18" s="1"/>
  <c r="AZ60" i="18"/>
  <c r="AY60" i="18"/>
  <c r="AX60" i="18"/>
  <c r="AU60" i="18"/>
  <c r="AN60" i="18"/>
  <c r="AP60" i="18" s="1"/>
  <c r="AM60" i="18"/>
  <c r="AL60" i="18"/>
  <c r="AK60" i="18"/>
  <c r="AI60" i="18"/>
  <c r="Z60" i="18"/>
  <c r="AD60" i="18" s="1"/>
  <c r="X60" i="18"/>
  <c r="W60" i="18"/>
  <c r="V60" i="18"/>
  <c r="T60" i="18"/>
  <c r="BL59" i="18"/>
  <c r="BI59" i="18"/>
  <c r="BG59" i="18"/>
  <c r="BA59" i="18"/>
  <c r="BC59" i="18" s="1"/>
  <c r="AZ59" i="18"/>
  <c r="AY59" i="18"/>
  <c r="AX59" i="18"/>
  <c r="AW59" i="18"/>
  <c r="AU59" i="18"/>
  <c r="AT59" i="18"/>
  <c r="AN59" i="18"/>
  <c r="AQ59" i="18" s="1"/>
  <c r="AM59" i="18"/>
  <c r="AL59" i="18"/>
  <c r="AK59" i="18"/>
  <c r="AI59" i="18"/>
  <c r="Z59" i="18"/>
  <c r="AF59" i="18" s="1"/>
  <c r="X59" i="18"/>
  <c r="W59" i="18"/>
  <c r="V59" i="18"/>
  <c r="T59" i="18"/>
  <c r="N59" i="18"/>
  <c r="BH58" i="18"/>
  <c r="BM58" i="18" s="1"/>
  <c r="BG58" i="18"/>
  <c r="BA58" i="18"/>
  <c r="BD58" i="18" s="1"/>
  <c r="AZ58" i="18"/>
  <c r="AY58" i="18"/>
  <c r="AX58" i="18"/>
  <c r="AU58" i="18"/>
  <c r="AN58" i="18"/>
  <c r="AP58" i="18" s="1"/>
  <c r="AM58" i="18"/>
  <c r="AL58" i="18"/>
  <c r="AK58" i="18"/>
  <c r="AI58" i="18"/>
  <c r="Z58" i="18"/>
  <c r="AD58" i="18" s="1"/>
  <c r="X58" i="18"/>
  <c r="W58" i="18"/>
  <c r="V58" i="18"/>
  <c r="T58" i="18"/>
  <c r="BA57" i="18"/>
  <c r="BC57" i="18" s="1"/>
  <c r="AZ57" i="18"/>
  <c r="AY57" i="18"/>
  <c r="AX57" i="18"/>
  <c r="AW57" i="18"/>
  <c r="AU57" i="18"/>
  <c r="AT57" i="18"/>
  <c r="AN57" i="18"/>
  <c r="AP57" i="18" s="1"/>
  <c r="AM57" i="18"/>
  <c r="AL57" i="18"/>
  <c r="AK57" i="18"/>
  <c r="AI57" i="18"/>
  <c r="Z57" i="18"/>
  <c r="AD57" i="18" s="1"/>
  <c r="X57" i="18"/>
  <c r="W57" i="18"/>
  <c r="V57" i="18"/>
  <c r="T57" i="18"/>
  <c r="N57" i="18"/>
  <c r="BL56" i="18"/>
  <c r="BI56" i="18"/>
  <c r="BH56" i="18"/>
  <c r="BG56" i="18"/>
  <c r="BA56" i="18"/>
  <c r="AZ56" i="18"/>
  <c r="AY56" i="18"/>
  <c r="AX56" i="18"/>
  <c r="AW56" i="18"/>
  <c r="AU56" i="18"/>
  <c r="AT56" i="18"/>
  <c r="AN56" i="18"/>
  <c r="AM56" i="18"/>
  <c r="AL56" i="18"/>
  <c r="AK56" i="18"/>
  <c r="AI56" i="18"/>
  <c r="Z56" i="18"/>
  <c r="X56" i="18"/>
  <c r="W56" i="18"/>
  <c r="V56" i="18"/>
  <c r="T56" i="18"/>
  <c r="N56" i="18"/>
  <c r="BG55" i="18"/>
  <c r="AZ55" i="18"/>
  <c r="AY55" i="18"/>
  <c r="AX55" i="18"/>
  <c r="AU55" i="18"/>
  <c r="AN55" i="18"/>
  <c r="AP55" i="18" s="1"/>
  <c r="AM55" i="18"/>
  <c r="AL55" i="18"/>
  <c r="AK55" i="18"/>
  <c r="AI55" i="18"/>
  <c r="Z55" i="18"/>
  <c r="X55" i="18"/>
  <c r="W55" i="18"/>
  <c r="V55" i="18"/>
  <c r="T55" i="18"/>
  <c r="BJ54" i="18"/>
  <c r="BM54" i="18" s="1"/>
  <c r="BH54" i="18"/>
  <c r="BG54" i="18"/>
  <c r="BA54" i="18"/>
  <c r="BD54" i="18" s="1"/>
  <c r="AZ54" i="18"/>
  <c r="AY54" i="18"/>
  <c r="AX54" i="18"/>
  <c r="AU54" i="18"/>
  <c r="AN54" i="18"/>
  <c r="AQ54" i="18" s="1"/>
  <c r="AM54" i="18"/>
  <c r="AL54" i="18"/>
  <c r="AK54" i="18"/>
  <c r="AI54" i="18"/>
  <c r="Z54" i="18"/>
  <c r="AF54" i="18" s="1"/>
  <c r="X54" i="18"/>
  <c r="W54" i="18"/>
  <c r="V54" i="18"/>
  <c r="T54" i="18"/>
  <c r="BG53" i="18"/>
  <c r="BA53" i="18"/>
  <c r="BC53" i="18" s="1"/>
  <c r="AZ53" i="18"/>
  <c r="AY53" i="18"/>
  <c r="AX53" i="18"/>
  <c r="AW53" i="18"/>
  <c r="AU53" i="18"/>
  <c r="AT53" i="18"/>
  <c r="AN53" i="18"/>
  <c r="AM53" i="18"/>
  <c r="AL53" i="18"/>
  <c r="AK53" i="18"/>
  <c r="AI53" i="18"/>
  <c r="Z53" i="18"/>
  <c r="AF53" i="18" s="1"/>
  <c r="X53" i="18"/>
  <c r="W53" i="18"/>
  <c r="V53" i="18"/>
  <c r="T53" i="18"/>
  <c r="N53" i="18"/>
  <c r="BA52" i="18"/>
  <c r="BB52" i="18" s="1"/>
  <c r="AZ52" i="18"/>
  <c r="AY52" i="18"/>
  <c r="AX52" i="18"/>
  <c r="AW52" i="18"/>
  <c r="AU52" i="18"/>
  <c r="AT52" i="18"/>
  <c r="AN52" i="18"/>
  <c r="AP52" i="18" s="1"/>
  <c r="AM52" i="18"/>
  <c r="AL52" i="18"/>
  <c r="AK52" i="18"/>
  <c r="AI52" i="18"/>
  <c r="Z52" i="18"/>
  <c r="AD52" i="18" s="1"/>
  <c r="X52" i="18"/>
  <c r="W52" i="18"/>
  <c r="V52" i="18"/>
  <c r="T52" i="18"/>
  <c r="N52" i="18"/>
  <c r="BA51" i="18"/>
  <c r="AZ51" i="18"/>
  <c r="AY51" i="18"/>
  <c r="AX51" i="18"/>
  <c r="AW51" i="18"/>
  <c r="AU51" i="18"/>
  <c r="AT51" i="18"/>
  <c r="AN51" i="18"/>
  <c r="AP51" i="18" s="1"/>
  <c r="AM51" i="18"/>
  <c r="AL51" i="18"/>
  <c r="AK51" i="18"/>
  <c r="AI51" i="18"/>
  <c r="Z51" i="18"/>
  <c r="AD51" i="18" s="1"/>
  <c r="X51" i="18"/>
  <c r="W51" i="18"/>
  <c r="V51" i="18"/>
  <c r="T51" i="18"/>
  <c r="N51" i="18"/>
  <c r="BA50" i="18"/>
  <c r="BC50" i="18" s="1"/>
  <c r="AZ50" i="18"/>
  <c r="AY50" i="18"/>
  <c r="AX50" i="18"/>
  <c r="AW50" i="18"/>
  <c r="AU50" i="18"/>
  <c r="AT50" i="18"/>
  <c r="AN50" i="18"/>
  <c r="AP50" i="18" s="1"/>
  <c r="AM50" i="18"/>
  <c r="AL50" i="18"/>
  <c r="AK50" i="18"/>
  <c r="AI50" i="18"/>
  <c r="Z50" i="18"/>
  <c r="AD50" i="18" s="1"/>
  <c r="X50" i="18"/>
  <c r="W50" i="18"/>
  <c r="V50" i="18"/>
  <c r="T50" i="18"/>
  <c r="N50" i="18"/>
  <c r="BL49" i="18"/>
  <c r="BI49" i="18"/>
  <c r="BH49" i="18"/>
  <c r="BG49" i="18"/>
  <c r="BA49" i="18"/>
  <c r="AZ49" i="18"/>
  <c r="AY49" i="18"/>
  <c r="AX49" i="18"/>
  <c r="AW49" i="18"/>
  <c r="AU49" i="18"/>
  <c r="AT49" i="18"/>
  <c r="AN49" i="18"/>
  <c r="AQ49" i="18" s="1"/>
  <c r="AM49" i="18"/>
  <c r="AL49" i="18"/>
  <c r="AK49" i="18"/>
  <c r="AI49" i="18"/>
  <c r="Z49" i="18"/>
  <c r="AF49" i="18" s="1"/>
  <c r="X49" i="18"/>
  <c r="W49" i="18"/>
  <c r="V49" i="18"/>
  <c r="T49" i="18"/>
  <c r="N49" i="18"/>
  <c r="BL48" i="18"/>
  <c r="BI48" i="18"/>
  <c r="BH48" i="18"/>
  <c r="BG48" i="18"/>
  <c r="BA48" i="18"/>
  <c r="BC48" i="18" s="1"/>
  <c r="AZ48" i="18"/>
  <c r="AY48" i="18"/>
  <c r="AX48" i="18"/>
  <c r="AW48" i="18"/>
  <c r="AU48" i="18"/>
  <c r="AT48" i="18"/>
  <c r="AN48" i="18"/>
  <c r="AP48" i="18" s="1"/>
  <c r="AM48" i="18"/>
  <c r="AL48" i="18"/>
  <c r="AK48" i="18"/>
  <c r="AI48" i="18"/>
  <c r="Z48" i="18"/>
  <c r="AD48" i="18" s="1"/>
  <c r="X48" i="18"/>
  <c r="W48" i="18"/>
  <c r="V48" i="18"/>
  <c r="T48" i="18"/>
  <c r="N48" i="18"/>
  <c r="BF47" i="18"/>
  <c r="BH47" i="18" s="1"/>
  <c r="BA47" i="18"/>
  <c r="BC47" i="18" s="1"/>
  <c r="AZ47" i="18"/>
  <c r="AY47" i="18"/>
  <c r="AX47" i="18"/>
  <c r="AW47" i="18"/>
  <c r="AU47" i="18"/>
  <c r="AT47" i="18"/>
  <c r="AN47" i="18"/>
  <c r="AP47" i="18" s="1"/>
  <c r="AM47" i="18"/>
  <c r="AL47" i="18"/>
  <c r="AK47" i="18"/>
  <c r="AI47" i="18"/>
  <c r="Z47" i="18"/>
  <c r="AD47" i="18" s="1"/>
  <c r="X47" i="18"/>
  <c r="W47" i="18"/>
  <c r="V47" i="18"/>
  <c r="T47" i="18"/>
  <c r="N47" i="18"/>
  <c r="BH46" i="18"/>
  <c r="BG46" i="18"/>
  <c r="BA46" i="18"/>
  <c r="BD46" i="18" s="1"/>
  <c r="AZ46" i="18"/>
  <c r="AY46" i="18"/>
  <c r="AX46" i="18"/>
  <c r="AU46" i="18"/>
  <c r="AN46" i="18"/>
  <c r="AP46" i="18" s="1"/>
  <c r="AM46" i="18"/>
  <c r="AL46" i="18"/>
  <c r="AK46" i="18"/>
  <c r="AI46" i="18"/>
  <c r="Z46" i="18"/>
  <c r="AD46" i="18" s="1"/>
  <c r="X46" i="18"/>
  <c r="W46" i="18"/>
  <c r="V46" i="18"/>
  <c r="T46" i="18"/>
  <c r="BF45" i="18"/>
  <c r="BG45" i="18" s="1"/>
  <c r="BA45" i="18"/>
  <c r="AZ45" i="18"/>
  <c r="AY45" i="18"/>
  <c r="AX45" i="18"/>
  <c r="AW45" i="18"/>
  <c r="AU45" i="18"/>
  <c r="AT45" i="18"/>
  <c r="AN45" i="18"/>
  <c r="AM45" i="18"/>
  <c r="AL45" i="18"/>
  <c r="AK45" i="18"/>
  <c r="AI45" i="18"/>
  <c r="Z45" i="18"/>
  <c r="X45" i="18"/>
  <c r="W45" i="18"/>
  <c r="V45" i="18"/>
  <c r="T45" i="18"/>
  <c r="N45" i="18"/>
  <c r="BM44" i="18"/>
  <c r="BH44" i="18"/>
  <c r="BG44" i="18"/>
  <c r="BA44" i="18"/>
  <c r="BD44" i="18" s="1"/>
  <c r="AZ44" i="18"/>
  <c r="AX44" i="18"/>
  <c r="AV44" i="18"/>
  <c r="AY44" i="18" s="1"/>
  <c r="AU44" i="18"/>
  <c r="AN44" i="18"/>
  <c r="AQ44" i="18" s="1"/>
  <c r="AM44" i="18"/>
  <c r="AL44" i="18"/>
  <c r="AK44" i="18"/>
  <c r="AI44" i="18"/>
  <c r="Z44" i="18"/>
  <c r="AF44" i="18" s="1"/>
  <c r="X44" i="18"/>
  <c r="W44" i="18"/>
  <c r="V44" i="18"/>
  <c r="T44" i="18"/>
  <c r="BI43" i="18"/>
  <c r="BH43" i="18"/>
  <c r="BG43" i="18"/>
  <c r="BA43" i="18"/>
  <c r="BD43" i="18" s="1"/>
  <c r="AZ43" i="18"/>
  <c r="AY43" i="18"/>
  <c r="AX43" i="18"/>
  <c r="AU43" i="18"/>
  <c r="AN43" i="18"/>
  <c r="AP43" i="18" s="1"/>
  <c r="AM43" i="18"/>
  <c r="AL43" i="18"/>
  <c r="AK43" i="18"/>
  <c r="AI43" i="18"/>
  <c r="Z43" i="18"/>
  <c r="X43" i="18"/>
  <c r="W43" i="18"/>
  <c r="V43" i="18"/>
  <c r="T43" i="18"/>
  <c r="BM42" i="18"/>
  <c r="BJ42" i="18"/>
  <c r="BH42" i="18"/>
  <c r="BG42" i="18"/>
  <c r="AZ42" i="18"/>
  <c r="AY42" i="18"/>
  <c r="AX42" i="18"/>
  <c r="AU42" i="18"/>
  <c r="AM42" i="18"/>
  <c r="AL42" i="18"/>
  <c r="AK42" i="18"/>
  <c r="AI42" i="18"/>
  <c r="AA42" i="18"/>
  <c r="X42" i="18"/>
  <c r="W42" i="18"/>
  <c r="V42" i="18"/>
  <c r="T42" i="18"/>
  <c r="BJ41" i="18"/>
  <c r="BM41" i="18" s="1"/>
  <c r="BG41" i="18"/>
  <c r="AZ41" i="18"/>
  <c r="AY41" i="18"/>
  <c r="AX41" i="18"/>
  <c r="AU41" i="18"/>
  <c r="AM41" i="18"/>
  <c r="AL41" i="18"/>
  <c r="AK41" i="18"/>
  <c r="AI41" i="18"/>
  <c r="X41" i="18"/>
  <c r="W41" i="18"/>
  <c r="V41" i="18"/>
  <c r="T41" i="18"/>
  <c r="BM40" i="18"/>
  <c r="BG40" i="18"/>
  <c r="BA40" i="18"/>
  <c r="AZ40" i="18"/>
  <c r="AY40" i="18"/>
  <c r="AX40" i="18"/>
  <c r="AU40" i="18"/>
  <c r="AN40" i="18"/>
  <c r="AM40" i="18"/>
  <c r="AL40" i="18"/>
  <c r="AK40" i="18"/>
  <c r="AI40" i="18"/>
  <c r="Z40" i="18"/>
  <c r="X40" i="18"/>
  <c r="W40" i="18"/>
  <c r="V40" i="18"/>
  <c r="T40" i="18"/>
  <c r="BG39" i="18"/>
  <c r="AZ39" i="18"/>
  <c r="AY39" i="18"/>
  <c r="AX39" i="18"/>
  <c r="AU39" i="18"/>
  <c r="AM39" i="18"/>
  <c r="BM39" i="18" s="1"/>
  <c r="AL39" i="18"/>
  <c r="AK39" i="18"/>
  <c r="AI39" i="18"/>
  <c r="AA39" i="18"/>
  <c r="X39" i="18"/>
  <c r="W39" i="18"/>
  <c r="V39" i="18"/>
  <c r="T39" i="18"/>
  <c r="BM38" i="18"/>
  <c r="BL38" i="18"/>
  <c r="BI38" i="18"/>
  <c r="BH38" i="18"/>
  <c r="BG38" i="18"/>
  <c r="BA38" i="18"/>
  <c r="BD38" i="18" s="1"/>
  <c r="AZ38" i="18"/>
  <c r="AY38" i="18"/>
  <c r="AX38" i="18"/>
  <c r="AW38" i="18"/>
  <c r="AU38" i="18"/>
  <c r="AT38" i="18"/>
  <c r="AN38" i="18"/>
  <c r="AO38" i="18" s="1"/>
  <c r="AM38" i="18"/>
  <c r="AL38" i="18"/>
  <c r="AK38" i="18"/>
  <c r="AI38" i="18"/>
  <c r="Z38" i="18"/>
  <c r="AD38" i="18" s="1"/>
  <c r="X38" i="18"/>
  <c r="W38" i="18"/>
  <c r="V38" i="18"/>
  <c r="T38" i="18"/>
  <c r="N38" i="18"/>
  <c r="BL37" i="18"/>
  <c r="BI37" i="18"/>
  <c r="BH37" i="18"/>
  <c r="BG37" i="18"/>
  <c r="BA37" i="18"/>
  <c r="BD37" i="18" s="1"/>
  <c r="AZ37" i="18"/>
  <c r="AY37" i="18"/>
  <c r="AX37" i="18"/>
  <c r="AU37" i="18"/>
  <c r="AN37" i="18"/>
  <c r="AP37" i="18" s="1"/>
  <c r="AM37" i="18"/>
  <c r="BM37" i="18" s="1"/>
  <c r="AL37" i="18"/>
  <c r="AK37" i="18"/>
  <c r="AI37" i="18"/>
  <c r="Z37" i="18"/>
  <c r="AD37" i="18" s="1"/>
  <c r="X37" i="18"/>
  <c r="W37" i="18"/>
  <c r="V37" i="18"/>
  <c r="T37" i="18"/>
  <c r="BM36" i="18"/>
  <c r="BH36" i="18"/>
  <c r="BG36" i="18"/>
  <c r="BE36" i="18"/>
  <c r="BA36" i="18"/>
  <c r="BC36" i="18" s="1"/>
  <c r="AZ36" i="18"/>
  <c r="AY36" i="18"/>
  <c r="AX36" i="18"/>
  <c r="AU36" i="18"/>
  <c r="AR36" i="18"/>
  <c r="AN36" i="18"/>
  <c r="AP36" i="18" s="1"/>
  <c r="AM36" i="18"/>
  <c r="AL36" i="18"/>
  <c r="AK36" i="18"/>
  <c r="AI36" i="18"/>
  <c r="AG36" i="18"/>
  <c r="Z36" i="18"/>
  <c r="X36" i="18"/>
  <c r="W36" i="18"/>
  <c r="V36" i="18"/>
  <c r="T36" i="18"/>
  <c r="P36" i="18"/>
  <c r="BF35" i="18"/>
  <c r="BA35" i="18"/>
  <c r="BD35" i="18" s="1"/>
  <c r="AZ35" i="18"/>
  <c r="AY35" i="18"/>
  <c r="AX35" i="18"/>
  <c r="AU35" i="18"/>
  <c r="AN35" i="18"/>
  <c r="AP35" i="18" s="1"/>
  <c r="AM35" i="18"/>
  <c r="AL35" i="18"/>
  <c r="AK35" i="18"/>
  <c r="AI35" i="18"/>
  <c r="Z35" i="18"/>
  <c r="AD35" i="18" s="1"/>
  <c r="X35" i="18"/>
  <c r="W35" i="18"/>
  <c r="V35" i="18"/>
  <c r="T35" i="18"/>
  <c r="BH34" i="18"/>
  <c r="BG34" i="18"/>
  <c r="BE34" i="18"/>
  <c r="BA34" i="18"/>
  <c r="AZ34" i="18"/>
  <c r="AY34" i="18"/>
  <c r="AX34" i="18"/>
  <c r="AW34" i="18"/>
  <c r="AU34" i="18"/>
  <c r="AT34" i="18"/>
  <c r="AR34" i="18"/>
  <c r="AN34" i="18"/>
  <c r="AM34" i="18"/>
  <c r="BM34" i="18" s="1"/>
  <c r="AL34" i="18"/>
  <c r="AK34" i="18"/>
  <c r="AI34" i="18"/>
  <c r="AG34" i="18"/>
  <c r="Z34" i="18"/>
  <c r="AD34" i="18" s="1"/>
  <c r="X34" i="18"/>
  <c r="W34" i="18"/>
  <c r="V34" i="18"/>
  <c r="T34" i="18"/>
  <c r="P34" i="18"/>
  <c r="BH33" i="18"/>
  <c r="BG33" i="18"/>
  <c r="BA33" i="18"/>
  <c r="BD33" i="18" s="1"/>
  <c r="AZ33" i="18"/>
  <c r="AY33" i="18"/>
  <c r="AX33" i="18"/>
  <c r="AU33" i="18"/>
  <c r="AN33" i="18"/>
  <c r="AM33" i="18"/>
  <c r="AL33" i="18"/>
  <c r="AK33" i="18"/>
  <c r="AI33" i="18"/>
  <c r="Z33" i="18"/>
  <c r="AA33" i="18" s="1"/>
  <c r="X33" i="18"/>
  <c r="W33" i="18"/>
  <c r="V33" i="18"/>
  <c r="T33" i="18"/>
  <c r="BH32" i="18"/>
  <c r="BM32" i="18" s="1"/>
  <c r="BG32" i="18"/>
  <c r="BA32" i="18"/>
  <c r="BD32" i="18" s="1"/>
  <c r="AZ32" i="18"/>
  <c r="AY32" i="18"/>
  <c r="AX32" i="18"/>
  <c r="AU32" i="18"/>
  <c r="AN32" i="18"/>
  <c r="AM32" i="18"/>
  <c r="AL32" i="18"/>
  <c r="AK32" i="18"/>
  <c r="AI32" i="18"/>
  <c r="Z32" i="18"/>
  <c r="AD32" i="18" s="1"/>
  <c r="X32" i="18"/>
  <c r="W32" i="18"/>
  <c r="V32" i="18"/>
  <c r="T32" i="18"/>
  <c r="BH31" i="18"/>
  <c r="BG31" i="18"/>
  <c r="AZ31" i="18"/>
  <c r="AY31" i="18"/>
  <c r="AX31" i="18"/>
  <c r="AU31" i="18"/>
  <c r="AN31" i="18"/>
  <c r="AO31" i="18" s="1"/>
  <c r="AM31" i="18"/>
  <c r="AL31" i="18"/>
  <c r="AK31" i="18"/>
  <c r="AI31" i="18"/>
  <c r="Z31" i="18"/>
  <c r="AF31" i="18" s="1"/>
  <c r="X31" i="18"/>
  <c r="W31" i="18"/>
  <c r="V31" i="18"/>
  <c r="T31" i="18"/>
  <c r="BH30" i="18"/>
  <c r="BG30" i="18"/>
  <c r="BA30" i="18"/>
  <c r="BC30" i="18" s="1"/>
  <c r="AZ30" i="18"/>
  <c r="AY30" i="18"/>
  <c r="AX30" i="18"/>
  <c r="AU30" i="18"/>
  <c r="AM30" i="18"/>
  <c r="AL30" i="18"/>
  <c r="AK30" i="18"/>
  <c r="AI30" i="18"/>
  <c r="X30" i="18"/>
  <c r="W30" i="18"/>
  <c r="V30" i="18"/>
  <c r="T30" i="18"/>
  <c r="BM29" i="18"/>
  <c r="BJ29" i="18"/>
  <c r="BG29" i="18"/>
  <c r="AZ29" i="18"/>
  <c r="AY29" i="18"/>
  <c r="AX29" i="18"/>
  <c r="AU29" i="18"/>
  <c r="AM29" i="18"/>
  <c r="AL29" i="18"/>
  <c r="AK29" i="18"/>
  <c r="AI29" i="18"/>
  <c r="AA29" i="18"/>
  <c r="X29" i="18"/>
  <c r="W29" i="18"/>
  <c r="V29" i="18"/>
  <c r="T29" i="18"/>
  <c r="BM28" i="18"/>
  <c r="BI28" i="18"/>
  <c r="BG28" i="18"/>
  <c r="BA28" i="18"/>
  <c r="BC28" i="18" s="1"/>
  <c r="AZ28" i="18"/>
  <c r="AY28" i="18"/>
  <c r="AX28" i="18"/>
  <c r="AW28" i="18"/>
  <c r="AU28" i="18"/>
  <c r="AT28" i="18"/>
  <c r="AN28" i="18"/>
  <c r="AP28" i="18" s="1"/>
  <c r="AM28" i="18"/>
  <c r="AL28" i="18"/>
  <c r="AK28" i="18"/>
  <c r="AI28" i="18"/>
  <c r="Z28" i="18"/>
  <c r="AD28" i="18" s="1"/>
  <c r="X28" i="18"/>
  <c r="W28" i="18"/>
  <c r="V28" i="18"/>
  <c r="T28" i="18"/>
  <c r="N28" i="18"/>
  <c r="BG27" i="18"/>
  <c r="BA27" i="18"/>
  <c r="BB27" i="18" s="1"/>
  <c r="AZ27" i="18"/>
  <c r="AY27" i="18"/>
  <c r="AX27" i="18"/>
  <c r="AW27" i="18"/>
  <c r="AU27" i="18"/>
  <c r="AT27" i="18"/>
  <c r="AM27" i="18"/>
  <c r="BM27" i="18" s="1"/>
  <c r="AL27" i="18"/>
  <c r="AK27" i="18"/>
  <c r="AI27" i="18"/>
  <c r="X27" i="18"/>
  <c r="W27" i="18"/>
  <c r="V27" i="18"/>
  <c r="T27" i="18"/>
  <c r="N27" i="18"/>
  <c r="BG26" i="18"/>
  <c r="AZ26" i="18"/>
  <c r="AY26" i="18"/>
  <c r="AX26" i="18"/>
  <c r="AU26" i="18"/>
  <c r="AN26" i="18"/>
  <c r="AP26" i="18" s="1"/>
  <c r="AM26" i="18"/>
  <c r="BM26" i="18" s="1"/>
  <c r="AL26" i="18"/>
  <c r="AK26" i="18"/>
  <c r="AI26" i="18"/>
  <c r="Z26" i="18"/>
  <c r="AD26" i="18" s="1"/>
  <c r="X26" i="18"/>
  <c r="W26" i="18"/>
  <c r="V26" i="18"/>
  <c r="T26" i="18"/>
  <c r="AZ25" i="18"/>
  <c r="AY25" i="18"/>
  <c r="AX25" i="18"/>
  <c r="AW25" i="18"/>
  <c r="AU25" i="18"/>
  <c r="AT25" i="18"/>
  <c r="AM25" i="18"/>
  <c r="AL25" i="18"/>
  <c r="AK25" i="18"/>
  <c r="AI25" i="18"/>
  <c r="X25" i="18"/>
  <c r="W25" i="18"/>
  <c r="V25" i="18"/>
  <c r="T25" i="18"/>
  <c r="N25" i="18"/>
  <c r="BM24" i="18"/>
  <c r="BG24" i="18"/>
  <c r="BA24" i="18"/>
  <c r="BC24" i="18" s="1"/>
  <c r="AZ24" i="18"/>
  <c r="AY24" i="18"/>
  <c r="AX24" i="18"/>
  <c r="AW24" i="18"/>
  <c r="AU24" i="18"/>
  <c r="AT24" i="18"/>
  <c r="AN24" i="18"/>
  <c r="AP24" i="18" s="1"/>
  <c r="AM24" i="18"/>
  <c r="AL24" i="18"/>
  <c r="AK24" i="18"/>
  <c r="AI24" i="18"/>
  <c r="Z24" i="18"/>
  <c r="AD24" i="18" s="1"/>
  <c r="X24" i="18"/>
  <c r="W24" i="18"/>
  <c r="V24" i="18"/>
  <c r="T24" i="18"/>
  <c r="N24" i="18"/>
  <c r="BL23" i="18"/>
  <c r="BJ23" i="18"/>
  <c r="BM23" i="18" s="1"/>
  <c r="BI23" i="18"/>
  <c r="BG23" i="18"/>
  <c r="BF23" i="18"/>
  <c r="BA23" i="18"/>
  <c r="BB23" i="18" s="1"/>
  <c r="AZ23" i="18"/>
  <c r="AY23" i="18"/>
  <c r="AX23" i="18"/>
  <c r="AW23" i="18"/>
  <c r="AU23" i="18"/>
  <c r="AT23" i="18"/>
  <c r="AN23" i="18"/>
  <c r="AP23" i="18" s="1"/>
  <c r="AM23" i="18"/>
  <c r="AL23" i="18"/>
  <c r="AK23" i="18"/>
  <c r="AI23" i="18"/>
  <c r="Z23" i="18"/>
  <c r="AD23" i="18" s="1"/>
  <c r="X23" i="18"/>
  <c r="W23" i="18"/>
  <c r="V23" i="18"/>
  <c r="T23" i="18"/>
  <c r="N23" i="18"/>
  <c r="BL22" i="18"/>
  <c r="BJ22" i="18"/>
  <c r="BI22" i="18"/>
  <c r="BF22" i="18"/>
  <c r="BA22" i="18"/>
  <c r="BC22" i="18" s="1"/>
  <c r="AZ22" i="18"/>
  <c r="AY22" i="18"/>
  <c r="AX22" i="18"/>
  <c r="AW22" i="18"/>
  <c r="AU22" i="18"/>
  <c r="AT22" i="18"/>
  <c r="AN22" i="18"/>
  <c r="AM22" i="18"/>
  <c r="AL22" i="18"/>
  <c r="AK22" i="18"/>
  <c r="AI22" i="18"/>
  <c r="Z22" i="18"/>
  <c r="AF22" i="18" s="1"/>
  <c r="X22" i="18"/>
  <c r="W22" i="18"/>
  <c r="V22" i="18"/>
  <c r="T22" i="18"/>
  <c r="N22" i="18"/>
  <c r="BL21" i="18"/>
  <c r="BM21" i="18" s="1"/>
  <c r="BJ21" i="18"/>
  <c r="BI21" i="18"/>
  <c r="BG21" i="18"/>
  <c r="BF21" i="18"/>
  <c r="BA21" i="18"/>
  <c r="BC21" i="18" s="1"/>
  <c r="AZ21" i="18"/>
  <c r="AY21" i="18"/>
  <c r="AX21" i="18"/>
  <c r="AW21" i="18"/>
  <c r="AU21" i="18"/>
  <c r="AT21" i="18"/>
  <c r="AN21" i="18"/>
  <c r="AM21" i="18"/>
  <c r="AL21" i="18"/>
  <c r="AK21" i="18"/>
  <c r="AI21" i="18"/>
  <c r="Z21" i="18"/>
  <c r="X21" i="18"/>
  <c r="W21" i="18"/>
  <c r="V21" i="18"/>
  <c r="T21" i="18"/>
  <c r="N21" i="18"/>
  <c r="BL20" i="18"/>
  <c r="BM20" i="18" s="1"/>
  <c r="BJ20" i="18"/>
  <c r="BI20" i="18"/>
  <c r="BF20" i="18"/>
  <c r="BG20" i="18" s="1"/>
  <c r="BA20" i="18"/>
  <c r="BD20" i="18" s="1"/>
  <c r="AZ20" i="18"/>
  <c r="AY20" i="18"/>
  <c r="AX20" i="18"/>
  <c r="AW20" i="18"/>
  <c r="AU20" i="18"/>
  <c r="AT20" i="18"/>
  <c r="AN20" i="18"/>
  <c r="AO20" i="18" s="1"/>
  <c r="AM20" i="18"/>
  <c r="AL20" i="18"/>
  <c r="AK20" i="18"/>
  <c r="AI20" i="18"/>
  <c r="Z20" i="18"/>
  <c r="AA20" i="18" s="1"/>
  <c r="X20" i="18"/>
  <c r="W20" i="18"/>
  <c r="V20" i="18"/>
  <c r="T20" i="18"/>
  <c r="N20" i="18"/>
  <c r="BL19" i="18"/>
  <c r="BJ19" i="18"/>
  <c r="BM19" i="18" s="1"/>
  <c r="BI19" i="18"/>
  <c r="BG19" i="18"/>
  <c r="BF19" i="18"/>
  <c r="BA19" i="18"/>
  <c r="BD19" i="18" s="1"/>
  <c r="AZ19" i="18"/>
  <c r="AY19" i="18"/>
  <c r="AX19" i="18"/>
  <c r="AW19" i="18"/>
  <c r="AU19" i="18"/>
  <c r="AT19" i="18"/>
  <c r="AN19" i="18"/>
  <c r="AP19" i="18" s="1"/>
  <c r="AM19" i="18"/>
  <c r="AL19" i="18"/>
  <c r="AK19" i="18"/>
  <c r="AI19" i="18"/>
  <c r="Z19" i="18"/>
  <c r="X19" i="18"/>
  <c r="W19" i="18"/>
  <c r="V19" i="18"/>
  <c r="T19" i="18"/>
  <c r="N19" i="18"/>
  <c r="BL18" i="18"/>
  <c r="BJ18" i="18"/>
  <c r="BI18" i="18"/>
  <c r="BF18" i="18"/>
  <c r="BA18" i="18"/>
  <c r="AZ18" i="18"/>
  <c r="AY18" i="18"/>
  <c r="AX18" i="18"/>
  <c r="AW18" i="18"/>
  <c r="AU18" i="18"/>
  <c r="AT18" i="18"/>
  <c r="AN18" i="18"/>
  <c r="AP18" i="18" s="1"/>
  <c r="AM18" i="18"/>
  <c r="AL18" i="18"/>
  <c r="AK18" i="18"/>
  <c r="AI18" i="18"/>
  <c r="Z18" i="18"/>
  <c r="X18" i="18"/>
  <c r="W18" i="18"/>
  <c r="V18" i="18"/>
  <c r="T18" i="18"/>
  <c r="N18" i="18"/>
  <c r="BL17" i="18"/>
  <c r="BJ17" i="18"/>
  <c r="BI17" i="18"/>
  <c r="BI83" i="18" s="1"/>
  <c r="BF17" i="18"/>
  <c r="BM17" i="18" s="1"/>
  <c r="BA17" i="18"/>
  <c r="AZ17" i="18"/>
  <c r="AY17" i="18"/>
  <c r="AX17" i="18"/>
  <c r="AW17" i="18"/>
  <c r="AU17" i="18"/>
  <c r="AT17" i="18"/>
  <c r="AN17" i="18"/>
  <c r="AO17" i="18" s="1"/>
  <c r="AM17" i="18"/>
  <c r="AL17" i="18"/>
  <c r="AK17" i="18"/>
  <c r="AI17" i="18"/>
  <c r="Z17" i="18"/>
  <c r="AA17" i="18" s="1"/>
  <c r="X17" i="18"/>
  <c r="W17" i="18"/>
  <c r="V17" i="18"/>
  <c r="T17" i="18"/>
  <c r="N17" i="18"/>
  <c r="BM16" i="18"/>
  <c r="BG16" i="18"/>
  <c r="AZ16" i="18"/>
  <c r="AY16" i="18"/>
  <c r="AX16" i="18"/>
  <c r="AU16" i="18"/>
  <c r="AM16" i="18"/>
  <c r="AL16" i="18"/>
  <c r="AK16" i="18"/>
  <c r="AI16" i="18"/>
  <c r="X16" i="18"/>
  <c r="W16" i="18"/>
  <c r="V16" i="18"/>
  <c r="T16" i="18"/>
  <c r="BG15" i="18"/>
  <c r="BA15" i="18"/>
  <c r="BC15" i="18" s="1"/>
  <c r="AZ15" i="18"/>
  <c r="AY15" i="18"/>
  <c r="AX15" i="18"/>
  <c r="AW15" i="18"/>
  <c r="AU15" i="18"/>
  <c r="AT15" i="18"/>
  <c r="AN15" i="18"/>
  <c r="AQ15" i="18" s="1"/>
  <c r="AM15" i="18"/>
  <c r="BM15" i="18" s="1"/>
  <c r="AL15" i="18"/>
  <c r="AK15" i="18"/>
  <c r="AI15" i="18"/>
  <c r="Z15" i="18"/>
  <c r="AF15" i="18" s="1"/>
  <c r="X15" i="18"/>
  <c r="W15" i="18"/>
  <c r="V15" i="18"/>
  <c r="T15" i="18"/>
  <c r="BG14" i="18"/>
  <c r="AZ14" i="18"/>
  <c r="AY14" i="18"/>
  <c r="AX14" i="18"/>
  <c r="AU14" i="18"/>
  <c r="AN14" i="18"/>
  <c r="AM14" i="18"/>
  <c r="BM14" i="18" s="1"/>
  <c r="AL14" i="18"/>
  <c r="AK14" i="18"/>
  <c r="AI14" i="18"/>
  <c r="Z14" i="18"/>
  <c r="X14" i="18"/>
  <c r="W14" i="18"/>
  <c r="V14" i="18"/>
  <c r="T14" i="18"/>
  <c r="BJ13" i="18"/>
  <c r="BM13" i="18" s="1"/>
  <c r="BG13" i="18"/>
  <c r="BA13" i="18"/>
  <c r="BC13" i="18" s="1"/>
  <c r="AZ13" i="18"/>
  <c r="AY13" i="18"/>
  <c r="AX13" i="18"/>
  <c r="AU13" i="18"/>
  <c r="AN13" i="18"/>
  <c r="AQ13" i="18" s="1"/>
  <c r="AM13" i="18"/>
  <c r="AL13" i="18"/>
  <c r="AK13" i="18"/>
  <c r="AI13" i="18"/>
  <c r="Z13" i="18"/>
  <c r="AF13" i="18" s="1"/>
  <c r="X13" i="18"/>
  <c r="W13" i="18"/>
  <c r="V13" i="18"/>
  <c r="T13" i="18"/>
  <c r="BG12" i="18"/>
  <c r="AZ12" i="18"/>
  <c r="AY12" i="18"/>
  <c r="AX12" i="18"/>
  <c r="AU12" i="18"/>
  <c r="AN12" i="18"/>
  <c r="AP12" i="18" s="1"/>
  <c r="AM12" i="18"/>
  <c r="BM12" i="18" s="1"/>
  <c r="AL12" i="18"/>
  <c r="AK12" i="18"/>
  <c r="AI12" i="18"/>
  <c r="Z12" i="18"/>
  <c r="X12" i="18"/>
  <c r="W12" i="18"/>
  <c r="V12" i="18"/>
  <c r="T12" i="18"/>
  <c r="BJ11" i="18"/>
  <c r="BG11" i="18"/>
  <c r="BA11" i="18"/>
  <c r="BD11" i="18" s="1"/>
  <c r="AZ11" i="18"/>
  <c r="AY11" i="18"/>
  <c r="AX11" i="18"/>
  <c r="AU11" i="18"/>
  <c r="AN11" i="18"/>
  <c r="AP11" i="18" s="1"/>
  <c r="AM11" i="18"/>
  <c r="BM11" i="18" s="1"/>
  <c r="AL11" i="18"/>
  <c r="AK11" i="18"/>
  <c r="AI11" i="18"/>
  <c r="Z11" i="18"/>
  <c r="AD11" i="18" s="1"/>
  <c r="X11" i="18"/>
  <c r="W11" i="18"/>
  <c r="V11" i="18"/>
  <c r="T11" i="18"/>
  <c r="BG10" i="18"/>
  <c r="AZ10" i="18"/>
  <c r="AY10" i="18"/>
  <c r="AX10" i="18"/>
  <c r="AU10" i="18"/>
  <c r="AN10" i="18"/>
  <c r="AO10" i="18" s="1"/>
  <c r="AM10" i="18"/>
  <c r="BM10" i="18" s="1"/>
  <c r="AL10" i="18"/>
  <c r="AK10" i="18"/>
  <c r="AI10" i="18"/>
  <c r="Z10" i="18"/>
  <c r="AA10" i="18" s="1"/>
  <c r="X10" i="18"/>
  <c r="W10" i="18"/>
  <c r="V10" i="18"/>
  <c r="T10" i="18"/>
  <c r="BA9" i="18"/>
  <c r="AZ9" i="18"/>
  <c r="AY9" i="18"/>
  <c r="AX9" i="18"/>
  <c r="AU9" i="18"/>
  <c r="AN9" i="18"/>
  <c r="AQ9" i="18" s="1"/>
  <c r="AM9" i="18"/>
  <c r="AL9" i="18"/>
  <c r="AK9" i="18"/>
  <c r="AI9" i="18"/>
  <c r="Z9" i="18"/>
  <c r="AA9" i="18" s="1"/>
  <c r="X9" i="18"/>
  <c r="W9" i="18"/>
  <c r="V9" i="18"/>
  <c r="T9" i="18"/>
  <c r="BJ8" i="18"/>
  <c r="BG8" i="18"/>
  <c r="BA8" i="18"/>
  <c r="BC8" i="18" s="1"/>
  <c r="AZ8" i="18"/>
  <c r="AY8" i="18"/>
  <c r="AX8" i="18"/>
  <c r="AW8" i="18"/>
  <c r="AU8" i="18"/>
  <c r="AT8" i="18"/>
  <c r="AN8" i="18"/>
  <c r="AO8" i="18" s="1"/>
  <c r="AM8" i="18"/>
  <c r="AL8" i="18"/>
  <c r="AK8" i="18"/>
  <c r="AI8" i="18"/>
  <c r="Z8" i="18"/>
  <c r="AA8" i="18" s="1"/>
  <c r="X8" i="18"/>
  <c r="W8" i="18"/>
  <c r="V8" i="18"/>
  <c r="T8" i="18"/>
  <c r="N8" i="18"/>
  <c r="BM7" i="18"/>
  <c r="BH7" i="18"/>
  <c r="BG7" i="18"/>
  <c r="BA7" i="18"/>
  <c r="BC7" i="18" s="1"/>
  <c r="AZ7" i="18"/>
  <c r="AY7" i="18"/>
  <c r="AX7" i="18"/>
  <c r="AU7" i="18"/>
  <c r="AN7" i="18"/>
  <c r="AQ7" i="18" s="1"/>
  <c r="AM7" i="18"/>
  <c r="AL7" i="18"/>
  <c r="AK7" i="18"/>
  <c r="AI7" i="18"/>
  <c r="Z7" i="18"/>
  <c r="X7" i="18"/>
  <c r="W7" i="18"/>
  <c r="V7" i="18"/>
  <c r="T7" i="18"/>
  <c r="BG6" i="18"/>
  <c r="BA6" i="18"/>
  <c r="BB6" i="18" s="1"/>
  <c r="AZ6" i="18"/>
  <c r="AY6" i="18"/>
  <c r="AX6" i="18"/>
  <c r="AW6" i="18"/>
  <c r="AU6" i="18"/>
  <c r="AT6" i="18"/>
  <c r="AN6" i="18"/>
  <c r="AQ6" i="18" s="1"/>
  <c r="AM6" i="18"/>
  <c r="BM6" i="18" s="1"/>
  <c r="AL6" i="18"/>
  <c r="AK6" i="18"/>
  <c r="AI6" i="18"/>
  <c r="Z6" i="18"/>
  <c r="AF6" i="18" s="1"/>
  <c r="X6" i="18"/>
  <c r="W6" i="18"/>
  <c r="V6" i="18"/>
  <c r="T6" i="18"/>
  <c r="N6" i="18"/>
  <c r="BG5" i="18"/>
  <c r="BA5" i="18"/>
  <c r="BC5" i="18" s="1"/>
  <c r="AZ5" i="18"/>
  <c r="AZ83" i="18" s="1"/>
  <c r="BB83" i="18" s="1"/>
  <c r="AY5" i="18"/>
  <c r="AX5" i="18"/>
  <c r="AU5" i="18"/>
  <c r="AN5" i="18"/>
  <c r="AO5" i="18" s="1"/>
  <c r="AM5" i="18"/>
  <c r="BM5" i="18" s="1"/>
  <c r="AL5" i="18"/>
  <c r="AK5" i="18"/>
  <c r="AI5" i="18"/>
  <c r="Z5" i="18"/>
  <c r="X5" i="18"/>
  <c r="W5" i="18"/>
  <c r="V5" i="18"/>
  <c r="T5" i="18"/>
  <c r="BM4" i="18"/>
  <c r="BG4" i="18"/>
  <c r="BA4" i="18"/>
  <c r="BD4" i="18" s="1"/>
  <c r="AZ4" i="18"/>
  <c r="AY4" i="18"/>
  <c r="AX4" i="18"/>
  <c r="AW4" i="18"/>
  <c r="AU4" i="18"/>
  <c r="AT4" i="18"/>
  <c r="AN4" i="18"/>
  <c r="AO4" i="18" s="1"/>
  <c r="AM4" i="18"/>
  <c r="AL4" i="18"/>
  <c r="AK4" i="18"/>
  <c r="AI4" i="18"/>
  <c r="Z4" i="18"/>
  <c r="AA4" i="18" s="1"/>
  <c r="X4" i="18"/>
  <c r="X83" i="18" s="1"/>
  <c r="W4" i="18"/>
  <c r="V4" i="18"/>
  <c r="T4" i="18"/>
  <c r="N4" i="18"/>
  <c r="BE2" i="18"/>
  <c r="AR2" i="18"/>
  <c r="AG2" i="18"/>
  <c r="P2" i="18"/>
  <c r="AR39" i="5" l="1"/>
  <c r="AQ39" i="5"/>
  <c r="AP39" i="5"/>
  <c r="AR42" i="5"/>
  <c r="AP42" i="5"/>
  <c r="AQ42" i="5"/>
  <c r="AO35" i="18"/>
  <c r="BC64" i="18"/>
  <c r="AO70" i="18"/>
  <c r="BD64" i="18"/>
  <c r="AQ70" i="18"/>
  <c r="AQ74" i="18"/>
  <c r="AP9" i="18"/>
  <c r="BD23" i="18"/>
  <c r="BC23" i="18"/>
  <c r="BB47" i="18"/>
  <c r="BD47" i="18"/>
  <c r="AQ47" i="18"/>
  <c r="AF17" i="18"/>
  <c r="AF52" i="18"/>
  <c r="AA44" i="18"/>
  <c r="AF47" i="18"/>
  <c r="AQ63" i="18"/>
  <c r="AF63" i="18"/>
  <c r="AA31" i="18"/>
  <c r="AF74" i="18"/>
  <c r="AD31" i="18"/>
  <c r="AP66" i="18"/>
  <c r="AD17" i="18"/>
  <c r="AQ17" i="18"/>
  <c r="AD74" i="18"/>
  <c r="AP10" i="18"/>
  <c r="AF26" i="18"/>
  <c r="BD28" i="18"/>
  <c r="AF58" i="18"/>
  <c r="AA60" i="18"/>
  <c r="AP31" i="18"/>
  <c r="AQ57" i="18"/>
  <c r="AF60" i="18"/>
  <c r="AD8" i="18"/>
  <c r="AQ8" i="18"/>
  <c r="AF10" i="18"/>
  <c r="AO19" i="18"/>
  <c r="AQ31" i="18"/>
  <c r="AQ38" i="18"/>
  <c r="AF50" i="18"/>
  <c r="AA54" i="18"/>
  <c r="AO54" i="18"/>
  <c r="BC54" i="18"/>
  <c r="BD57" i="18"/>
  <c r="AP61" i="18"/>
  <c r="AQ66" i="18"/>
  <c r="AD69" i="18"/>
  <c r="AO43" i="18"/>
  <c r="BB50" i="18"/>
  <c r="AP8" i="18"/>
  <c r="AQ10" i="18"/>
  <c r="BC33" i="18"/>
  <c r="BD50" i="18"/>
  <c r="BB57" i="18"/>
  <c r="AF8" i="18"/>
  <c r="AQ19" i="18"/>
  <c r="AD22" i="18"/>
  <c r="BC27" i="18"/>
  <c r="AF28" i="18"/>
  <c r="AD54" i="18"/>
  <c r="AP54" i="18"/>
  <c r="AF57" i="18"/>
  <c r="BC58" i="18"/>
  <c r="AF69" i="18"/>
  <c r="AQ60" i="18"/>
  <c r="AQ43" i="18"/>
  <c r="AQ50" i="18"/>
  <c r="BC52" i="18"/>
  <c r="AD10" i="18"/>
  <c r="AP38" i="18"/>
  <c r="BD48" i="18"/>
  <c r="BD52" i="18"/>
  <c r="AO61" i="18"/>
  <c r="AP17" i="18"/>
  <c r="AP68" i="18"/>
  <c r="AQ22" i="18"/>
  <c r="AP22" i="18"/>
  <c r="AA62" i="18"/>
  <c r="AF62" i="18"/>
  <c r="AD62" i="18"/>
  <c r="BB79" i="18"/>
  <c r="BD79" i="18"/>
  <c r="AF12" i="18"/>
  <c r="AD12" i="18"/>
  <c r="AA55" i="18"/>
  <c r="AF55" i="18"/>
  <c r="AD55" i="18"/>
  <c r="AF75" i="18"/>
  <c r="AD75" i="18"/>
  <c r="AA75" i="18"/>
  <c r="BC79" i="18"/>
  <c r="BC17" i="18"/>
  <c r="BD17" i="18"/>
  <c r="AP32" i="18"/>
  <c r="AQ32" i="18"/>
  <c r="AO32" i="18"/>
  <c r="BC34" i="18"/>
  <c r="BD34" i="18"/>
  <c r="BB45" i="18"/>
  <c r="BD45" i="18"/>
  <c r="AQ53" i="18"/>
  <c r="AO53" i="18"/>
  <c r="AP5" i="18"/>
  <c r="BB17" i="18"/>
  <c r="AD19" i="18"/>
  <c r="AF19" i="18"/>
  <c r="AA19" i="18"/>
  <c r="AF21" i="18"/>
  <c r="AD21" i="18"/>
  <c r="AA21" i="18"/>
  <c r="BB34" i="18"/>
  <c r="BC45" i="18"/>
  <c r="BD75" i="18"/>
  <c r="BC75" i="18"/>
  <c r="AF33" i="18"/>
  <c r="AD33" i="18"/>
  <c r="BC32" i="18"/>
  <c r="AQ33" i="18"/>
  <c r="AP33" i="18"/>
  <c r="AD43" i="18"/>
  <c r="AF43" i="18"/>
  <c r="AO62" i="18"/>
  <c r="AQ62" i="18"/>
  <c r="BD62" i="18"/>
  <c r="BC62" i="18"/>
  <c r="BD9" i="18"/>
  <c r="BC9" i="18"/>
  <c r="AQ21" i="18"/>
  <c r="AP21" i="18"/>
  <c r="AO21" i="18"/>
  <c r="BD81" i="18"/>
  <c r="AF7" i="18"/>
  <c r="AA7" i="18"/>
  <c r="BB18" i="18"/>
  <c r="BD18" i="18"/>
  <c r="BC18" i="18"/>
  <c r="BC19" i="18"/>
  <c r="BB19" i="18"/>
  <c r="AF9" i="18"/>
  <c r="AD9" i="18"/>
  <c r="AD70" i="18"/>
  <c r="AF70" i="18"/>
  <c r="AD5" i="18"/>
  <c r="AF5" i="18"/>
  <c r="AA5" i="18"/>
  <c r="BD8" i="18"/>
  <c r="AO33" i="18"/>
  <c r="AA38" i="18"/>
  <c r="AF38" i="18"/>
  <c r="AA43" i="18"/>
  <c r="AO55" i="18"/>
  <c r="AQ55" i="18"/>
  <c r="BB56" i="18"/>
  <c r="BD56" i="18"/>
  <c r="BC56" i="18"/>
  <c r="AP62" i="18"/>
  <c r="AQ75" i="18"/>
  <c r="AP75" i="18"/>
  <c r="AO75" i="18"/>
  <c r="AA13" i="18"/>
  <c r="AO28" i="18"/>
  <c r="BB28" i="18"/>
  <c r="AA32" i="18"/>
  <c r="AO36" i="18"/>
  <c r="BD36" i="18"/>
  <c r="BC44" i="18"/>
  <c r="AA47" i="18"/>
  <c r="AO47" i="18"/>
  <c r="BB48" i="18"/>
  <c r="AO52" i="18"/>
  <c r="BC60" i="18"/>
  <c r="AA63" i="18"/>
  <c r="AO63" i="18"/>
  <c r="BC63" i="18"/>
  <c r="BC68" i="18"/>
  <c r="BD74" i="18"/>
  <c r="BC6" i="18"/>
  <c r="AA15" i="18"/>
  <c r="AF32" i="18"/>
  <c r="AQ36" i="18"/>
  <c r="AA52" i="18"/>
  <c r="AQ52" i="18"/>
  <c r="AO60" i="18"/>
  <c r="BD66" i="18"/>
  <c r="AP74" i="18"/>
  <c r="AO26" i="18"/>
  <c r="AA48" i="18"/>
  <c r="AA50" i="18"/>
  <c r="AO50" i="18"/>
  <c r="AA57" i="18"/>
  <c r="AO57" i="18"/>
  <c r="AO58" i="18"/>
  <c r="AA59" i="18"/>
  <c r="AD66" i="18"/>
  <c r="BC67" i="18"/>
  <c r="AA68" i="18"/>
  <c r="AA6" i="18"/>
  <c r="AA22" i="18"/>
  <c r="AA26" i="18"/>
  <c r="AQ26" i="18"/>
  <c r="BC43" i="18"/>
  <c r="AA58" i="18"/>
  <c r="AQ58" i="18"/>
  <c r="AD59" i="18"/>
  <c r="AF66" i="18"/>
  <c r="AD68" i="18"/>
  <c r="BC70" i="18"/>
  <c r="AQ14" i="18"/>
  <c r="AO14" i="18"/>
  <c r="BD40" i="18"/>
  <c r="BC40" i="18"/>
  <c r="AP4" i="18"/>
  <c r="BC11" i="18"/>
  <c r="AP14" i="18"/>
  <c r="AF18" i="18"/>
  <c r="AA18" i="18"/>
  <c r="AO67" i="18"/>
  <c r="AF14" i="18"/>
  <c r="AA14" i="18"/>
  <c r="AP20" i="18"/>
  <c r="AO23" i="18"/>
  <c r="AF34" i="18"/>
  <c r="AF36" i="18"/>
  <c r="AD36" i="18"/>
  <c r="AA36" i="18"/>
  <c r="AO37" i="18"/>
  <c r="AQ45" i="18"/>
  <c r="AP45" i="18"/>
  <c r="AO45" i="18"/>
  <c r="AO46" i="18"/>
  <c r="AO49" i="18"/>
  <c r="BD49" i="18"/>
  <c r="BB49" i="18"/>
  <c r="AF56" i="18"/>
  <c r="AD56" i="18"/>
  <c r="AA56" i="18"/>
  <c r="AA67" i="18"/>
  <c r="AP67" i="18"/>
  <c r="AA81" i="18"/>
  <c r="AF4" i="18"/>
  <c r="BC4" i="18"/>
  <c r="BD5" i="18"/>
  <c r="AO6" i="18"/>
  <c r="AO7" i="18"/>
  <c r="BD7" i="18"/>
  <c r="AA11" i="18"/>
  <c r="AQ11" i="18"/>
  <c r="AO13" i="18"/>
  <c r="BD13" i="18"/>
  <c r="AD14" i="18"/>
  <c r="AO15" i="18"/>
  <c r="BD15" i="18"/>
  <c r="BB15" i="18"/>
  <c r="AD20" i="18"/>
  <c r="AQ20" i="18"/>
  <c r="BB20" i="18"/>
  <c r="BD21" i="18"/>
  <c r="AA23" i="18"/>
  <c r="AQ23" i="18"/>
  <c r="BC35" i="18"/>
  <c r="AA37" i="18"/>
  <c r="AQ37" i="18"/>
  <c r="AQ40" i="18"/>
  <c r="AP40" i="18"/>
  <c r="AO40" i="18"/>
  <c r="AA46" i="18"/>
  <c r="AQ46" i="18"/>
  <c r="AA49" i="18"/>
  <c r="AP49" i="18"/>
  <c r="BC49" i="18"/>
  <c r="AO59" i="18"/>
  <c r="BD59" i="18"/>
  <c r="BB59" i="18"/>
  <c r="AD67" i="18"/>
  <c r="AF79" i="18"/>
  <c r="AD79" i="18"/>
  <c r="AA79" i="18"/>
  <c r="AF81" i="18"/>
  <c r="BM108" i="18"/>
  <c r="AQ34" i="18"/>
  <c r="AO34" i="18"/>
  <c r="AQ79" i="18"/>
  <c r="AP79" i="18"/>
  <c r="AO79" i="18"/>
  <c r="AM83" i="18"/>
  <c r="BG22" i="18"/>
  <c r="BM22" i="18"/>
  <c r="AP34" i="18"/>
  <c r="BC37" i="18"/>
  <c r="AF64" i="18"/>
  <c r="AD64" i="18"/>
  <c r="AA64" i="18"/>
  <c r="AQ81" i="18"/>
  <c r="AO81" i="18"/>
  <c r="AQ4" i="18"/>
  <c r="AO11" i="18"/>
  <c r="BM18" i="18"/>
  <c r="BG18" i="18"/>
  <c r="BB21" i="18"/>
  <c r="AF23" i="18"/>
  <c r="AF46" i="18"/>
  <c r="AD49" i="18"/>
  <c r="BD61" i="18"/>
  <c r="BB61" i="18"/>
  <c r="BL83" i="18"/>
  <c r="AQ5" i="18"/>
  <c r="AD6" i="18"/>
  <c r="BD6" i="18"/>
  <c r="AD7" i="18"/>
  <c r="AD13" i="18"/>
  <c r="AD15" i="18"/>
  <c r="AA35" i="18"/>
  <c r="AQ35" i="18"/>
  <c r="BB38" i="18"/>
  <c r="AO44" i="18"/>
  <c r="AF45" i="18"/>
  <c r="AD45" i="18"/>
  <c r="AA45" i="18"/>
  <c r="BH45" i="18"/>
  <c r="AO48" i="18"/>
  <c r="AQ51" i="18"/>
  <c r="AO51" i="18"/>
  <c r="BD51" i="18"/>
  <c r="BC51" i="18"/>
  <c r="BB51" i="18"/>
  <c r="AA53" i="18"/>
  <c r="AP53" i="18"/>
  <c r="BG60" i="18"/>
  <c r="AA61" i="18"/>
  <c r="BC61" i="18"/>
  <c r="BD69" i="18"/>
  <c r="BC69" i="18"/>
  <c r="AQ12" i="18"/>
  <c r="AO12" i="18"/>
  <c r="BB4" i="18"/>
  <c r="BJ83" i="18"/>
  <c r="BM8" i="18"/>
  <c r="AD18" i="18"/>
  <c r="BD30" i="18"/>
  <c r="AP13" i="18"/>
  <c r="AP15" i="18"/>
  <c r="BF83" i="18"/>
  <c r="BM83" i="18" s="1"/>
  <c r="BC38" i="18"/>
  <c r="AF40" i="18"/>
  <c r="AD40" i="18"/>
  <c r="AA40" i="18"/>
  <c r="AP44" i="18"/>
  <c r="AQ48" i="18"/>
  <c r="AD53" i="18"/>
  <c r="AD61" i="18"/>
  <c r="AQ64" i="18"/>
  <c r="AP64" i="18"/>
  <c r="AO64" i="18"/>
  <c r="AQ69" i="18"/>
  <c r="AP69" i="18"/>
  <c r="AO69" i="18"/>
  <c r="AF24" i="18"/>
  <c r="AA24" i="18"/>
  <c r="AA34" i="18"/>
  <c r="BC46" i="18"/>
  <c r="AD4" i="18"/>
  <c r="AP6" i="18"/>
  <c r="AP7" i="18"/>
  <c r="AF11" i="18"/>
  <c r="AF20" i="18"/>
  <c r="BC20" i="18"/>
  <c r="BH35" i="18"/>
  <c r="BG35" i="18"/>
  <c r="AF37" i="18"/>
  <c r="BD53" i="18"/>
  <c r="BB53" i="18"/>
  <c r="AP59" i="18"/>
  <c r="AF35" i="18"/>
  <c r="BB8" i="18"/>
  <c r="AO9" i="18"/>
  <c r="BG17" i="18"/>
  <c r="AQ18" i="18"/>
  <c r="AO18" i="18"/>
  <c r="AO22" i="18"/>
  <c r="BD22" i="18"/>
  <c r="BB22" i="18"/>
  <c r="AQ24" i="18"/>
  <c r="AO24" i="18"/>
  <c r="BD24" i="18"/>
  <c r="BB24" i="18"/>
  <c r="BD27" i="18"/>
  <c r="AA28" i="18"/>
  <c r="AQ28" i="18"/>
  <c r="BM43" i="18"/>
  <c r="AD44" i="18"/>
  <c r="BG47" i="18"/>
  <c r="AF48" i="18"/>
  <c r="AF51" i="18"/>
  <c r="AA51" i="18"/>
  <c r="AQ56" i="18"/>
  <c r="AP56" i="18"/>
  <c r="AO56" i="18"/>
  <c r="BB62" i="18"/>
  <c r="AO68" i="18"/>
  <c r="BM90" i="18"/>
  <c r="BM102" i="18"/>
  <c r="BB81" i="18"/>
  <c r="BF125" i="5" l="1"/>
  <c r="AS125" i="5"/>
  <c r="AH125" i="5"/>
  <c r="Q125" i="5"/>
  <c r="BI125" i="5"/>
  <c r="BH125" i="5"/>
  <c r="BA125" i="5"/>
  <c r="AZ125" i="5"/>
  <c r="AY125" i="5"/>
  <c r="AX125" i="5"/>
  <c r="AV125" i="5"/>
  <c r="AU125" i="5"/>
  <c r="AN125" i="5"/>
  <c r="AM125" i="5"/>
  <c r="AL125" i="5"/>
  <c r="AJ125" i="5"/>
  <c r="Y125" i="5"/>
  <c r="X125" i="5"/>
  <c r="W125" i="5"/>
  <c r="U125" i="5"/>
  <c r="O125" i="5"/>
  <c r="BN125" i="5" l="1"/>
  <c r="BK112" i="5"/>
  <c r="BJ112" i="5"/>
  <c r="BM112" i="5"/>
  <c r="BI112" i="5"/>
  <c r="BH112" i="5"/>
  <c r="AY112" i="5"/>
  <c r="AZ112" i="5"/>
  <c r="BA112" i="5"/>
  <c r="AV112" i="5"/>
  <c r="AN112" i="5"/>
  <c r="AM112" i="5"/>
  <c r="AL112" i="5"/>
  <c r="AJ112" i="5"/>
  <c r="Y112" i="5"/>
  <c r="X112" i="5"/>
  <c r="W112" i="5"/>
  <c r="U112" i="5"/>
  <c r="BN112" i="5" l="1"/>
  <c r="BF112" i="5"/>
  <c r="AS112" i="5"/>
  <c r="AH112" i="5"/>
  <c r="Q112" i="5"/>
  <c r="BH110" i="5" l="1"/>
  <c r="BA110" i="5"/>
  <c r="AZ110" i="5"/>
  <c r="AY110" i="5"/>
  <c r="AV110" i="5"/>
  <c r="AL110" i="5"/>
  <c r="AM110" i="5"/>
  <c r="AN110" i="5"/>
  <c r="BN110" i="5" s="1"/>
  <c r="AJ110" i="5"/>
  <c r="W110" i="5"/>
  <c r="X110" i="5"/>
  <c r="Y110" i="5"/>
  <c r="U110" i="5"/>
  <c r="BF110" i="5"/>
  <c r="AS110" i="5"/>
  <c r="AH110" i="5"/>
  <c r="Q110" i="5"/>
  <c r="BH114" i="5" l="1"/>
  <c r="AY114" i="5"/>
  <c r="AZ114" i="5"/>
  <c r="BA114" i="5"/>
  <c r="AV114" i="5"/>
  <c r="AL114" i="5"/>
  <c r="AM114" i="5"/>
  <c r="AN114" i="5"/>
  <c r="BN114" i="5" s="1"/>
  <c r="AJ114" i="5"/>
  <c r="W114" i="5"/>
  <c r="X114" i="5"/>
  <c r="Y114" i="5"/>
  <c r="U114" i="5"/>
  <c r="AD115" i="5" l="1"/>
  <c r="AD114" i="5"/>
  <c r="W242" i="16" l="1"/>
  <c r="W236" i="16"/>
  <c r="AP12" i="5" l="1"/>
  <c r="AP28" i="5"/>
  <c r="T91" i="16"/>
  <c r="AP54" i="5" l="1"/>
  <c r="T499" i="16"/>
  <c r="T500" i="16"/>
  <c r="T498" i="16"/>
  <c r="T497" i="16"/>
  <c r="T496" i="16"/>
  <c r="T572" i="16" l="1"/>
  <c r="T583" i="16"/>
  <c r="T582" i="16"/>
  <c r="S359" i="17"/>
  <c r="T17" i="16"/>
  <c r="AH69" i="5" l="1"/>
  <c r="Q69" i="5"/>
  <c r="AP74" i="5" l="1"/>
  <c r="T708" i="16"/>
  <c r="W708" i="16"/>
  <c r="T710" i="16"/>
  <c r="T709" i="16"/>
  <c r="T707" i="16"/>
  <c r="T706" i="16"/>
  <c r="T705" i="16"/>
  <c r="T704" i="16"/>
  <c r="W704" i="16" s="1"/>
  <c r="T703" i="16"/>
  <c r="T702" i="16"/>
  <c r="T633" i="16"/>
  <c r="T632" i="16"/>
  <c r="T631" i="16"/>
  <c r="T630" i="16"/>
  <c r="T629" i="16"/>
  <c r="AB74" i="5" l="1"/>
  <c r="T585" i="16"/>
  <c r="T584" i="16"/>
  <c r="T531" i="16"/>
  <c r="T530" i="16"/>
  <c r="T529" i="16"/>
  <c r="T528" i="16"/>
  <c r="T527" i="16"/>
  <c r="T480" i="16"/>
  <c r="T479" i="16"/>
  <c r="T478" i="16"/>
  <c r="T477" i="16"/>
  <c r="T476" i="16"/>
  <c r="T471" i="16"/>
  <c r="T470" i="16"/>
  <c r="T469" i="16"/>
  <c r="T468" i="16"/>
  <c r="T467" i="16"/>
  <c r="T462" i="16"/>
  <c r="T461" i="16"/>
  <c r="T460" i="16"/>
  <c r="T459" i="16"/>
  <c r="T458" i="16"/>
  <c r="T407" i="16"/>
  <c r="T406" i="16"/>
  <c r="T405" i="16"/>
  <c r="T404" i="16"/>
  <c r="T403" i="16"/>
  <c r="T181" i="16" l="1"/>
  <c r="W181" i="16" s="1"/>
  <c r="T209" i="16"/>
  <c r="T208" i="16"/>
  <c r="T207" i="16"/>
  <c r="T206" i="16"/>
  <c r="T205" i="16"/>
  <c r="T204" i="16"/>
  <c r="T203" i="16"/>
  <c r="T198" i="16"/>
  <c r="T197" i="16"/>
  <c r="T196" i="16"/>
  <c r="T195" i="16"/>
  <c r="T194" i="16"/>
  <c r="T193" i="16"/>
  <c r="T192" i="16"/>
  <c r="T187" i="16"/>
  <c r="T186" i="16"/>
  <c r="T185" i="16"/>
  <c r="T184" i="16"/>
  <c r="T183" i="16"/>
  <c r="T182" i="16"/>
  <c r="T180" i="16"/>
  <c r="T174" i="16"/>
  <c r="T173" i="16"/>
  <c r="T172" i="16"/>
  <c r="T171" i="16"/>
  <c r="T170" i="16"/>
  <c r="T169" i="16"/>
  <c r="T163" i="16"/>
  <c r="T162" i="16"/>
  <c r="T161" i="16"/>
  <c r="T160" i="16"/>
  <c r="T159" i="16"/>
  <c r="T158" i="16"/>
  <c r="T152" i="16" l="1"/>
  <c r="T151" i="16"/>
  <c r="T150" i="16"/>
  <c r="T149" i="16"/>
  <c r="T148" i="16"/>
  <c r="T147" i="16"/>
  <c r="T263" i="16"/>
  <c r="W263" i="16" s="1"/>
  <c r="T262" i="16"/>
  <c r="T261" i="16"/>
  <c r="W261" i="16" s="1"/>
  <c r="T259" i="16"/>
  <c r="T260" i="16"/>
  <c r="W260" i="16" s="1"/>
  <c r="T236" i="16"/>
  <c r="O479" i="17" l="1"/>
  <c r="N479" i="17"/>
  <c r="M479" i="17"/>
  <c r="L479" i="17"/>
  <c r="K479" i="17"/>
  <c r="J479" i="17"/>
  <c r="I479" i="17"/>
  <c r="H479" i="17"/>
  <c r="G479" i="17"/>
  <c r="F479" i="17"/>
  <c r="E479" i="17"/>
  <c r="D479" i="17"/>
  <c r="O478" i="17"/>
  <c r="M478" i="17"/>
  <c r="K478" i="17"/>
  <c r="J478" i="17"/>
  <c r="I478" i="17"/>
  <c r="G478" i="17"/>
  <c r="E478" i="17"/>
  <c r="D478" i="17"/>
  <c r="O475" i="17"/>
  <c r="M475" i="17"/>
  <c r="K475" i="17"/>
  <c r="I475" i="17"/>
  <c r="G475" i="17"/>
  <c r="E475" i="17"/>
  <c r="O474" i="17"/>
  <c r="N474" i="17"/>
  <c r="M474" i="17"/>
  <c r="L474" i="17"/>
  <c r="K474" i="17"/>
  <c r="J474" i="17"/>
  <c r="I474" i="17"/>
  <c r="H474" i="17"/>
  <c r="G474" i="17"/>
  <c r="F474" i="17"/>
  <c r="E474" i="17"/>
  <c r="D474" i="17"/>
  <c r="N448" i="17"/>
  <c r="M448" i="17"/>
  <c r="L448" i="17"/>
  <c r="K448" i="17"/>
  <c r="J448" i="17"/>
  <c r="I448" i="17"/>
  <c r="H448" i="17"/>
  <c r="G448" i="17"/>
  <c r="F448" i="17"/>
  <c r="E448" i="17"/>
  <c r="D448" i="17"/>
  <c r="T445" i="17"/>
  <c r="T479" i="17" l="1"/>
  <c r="T478" i="17"/>
  <c r="T474" i="17"/>
  <c r="T475" i="17"/>
  <c r="T448" i="17"/>
  <c r="N675" i="17" l="1"/>
  <c r="M675" i="17"/>
  <c r="L675" i="17"/>
  <c r="K675" i="17"/>
  <c r="J675" i="17"/>
  <c r="I675" i="17"/>
  <c r="H675" i="17"/>
  <c r="G675" i="17"/>
  <c r="F675" i="17"/>
  <c r="E675" i="17"/>
  <c r="D675" i="17"/>
  <c r="C675" i="17"/>
  <c r="T574" i="16" l="1"/>
  <c r="T555" i="16"/>
  <c r="D888" i="17"/>
  <c r="E888" i="17"/>
  <c r="F888" i="17"/>
  <c r="G888" i="17"/>
  <c r="H888" i="17"/>
  <c r="I888" i="17"/>
  <c r="J888" i="17"/>
  <c r="K888" i="17"/>
  <c r="L888" i="17"/>
  <c r="M888" i="17"/>
  <c r="N888" i="17"/>
  <c r="O888" i="17"/>
  <c r="T294" i="16"/>
  <c r="Q739" i="17"/>
  <c r="Q1066" i="17" l="1"/>
  <c r="O1065" i="17"/>
  <c r="N1065" i="17"/>
  <c r="M1065" i="17"/>
  <c r="L1065" i="17"/>
  <c r="K1065" i="17"/>
  <c r="J1065" i="17"/>
  <c r="I1065" i="17"/>
  <c r="H1065" i="17"/>
  <c r="G1065" i="17"/>
  <c r="F1065" i="17"/>
  <c r="E1065" i="17"/>
  <c r="D1065" i="17"/>
  <c r="O1064" i="17"/>
  <c r="N1064" i="17"/>
  <c r="M1064" i="17"/>
  <c r="L1064" i="17"/>
  <c r="K1064" i="17"/>
  <c r="J1064" i="17"/>
  <c r="I1064" i="17"/>
  <c r="H1064" i="17"/>
  <c r="G1064" i="17"/>
  <c r="F1064" i="17"/>
  <c r="E1064" i="17"/>
  <c r="D1064" i="17"/>
  <c r="O1063" i="17"/>
  <c r="N1063" i="17"/>
  <c r="M1063" i="17"/>
  <c r="L1063" i="17"/>
  <c r="K1063" i="17"/>
  <c r="J1063" i="17"/>
  <c r="I1063" i="17"/>
  <c r="H1063" i="17"/>
  <c r="G1063" i="17"/>
  <c r="F1063" i="17"/>
  <c r="E1063" i="17"/>
  <c r="D1063" i="17"/>
  <c r="O1062" i="17"/>
  <c r="N1062" i="17"/>
  <c r="M1062" i="17"/>
  <c r="L1062" i="17"/>
  <c r="K1062" i="17"/>
  <c r="J1062" i="17"/>
  <c r="I1062" i="17"/>
  <c r="H1062" i="17"/>
  <c r="G1062" i="17"/>
  <c r="F1062" i="17"/>
  <c r="E1062" i="17"/>
  <c r="D1062" i="17"/>
  <c r="Q1061" i="17"/>
  <c r="T1061" i="17" s="1"/>
  <c r="Q1060" i="17"/>
  <c r="T1060" i="17" s="1"/>
  <c r="Q1059" i="17"/>
  <c r="T1059" i="17" s="1"/>
  <c r="Q1058" i="17"/>
  <c r="T1058" i="17" s="1"/>
  <c r="Q1057" i="17"/>
  <c r="T1057" i="17" s="1"/>
  <c r="O928" i="17"/>
  <c r="N928" i="17"/>
  <c r="M928" i="17"/>
  <c r="L928" i="17"/>
  <c r="K928" i="17"/>
  <c r="J928" i="17"/>
  <c r="I928" i="17"/>
  <c r="H928" i="17"/>
  <c r="G928" i="17"/>
  <c r="F928" i="17"/>
  <c r="E928" i="17"/>
  <c r="D928" i="17"/>
  <c r="O927" i="17"/>
  <c r="N927" i="17"/>
  <c r="M927" i="17"/>
  <c r="L927" i="17"/>
  <c r="K927" i="17"/>
  <c r="J927" i="17"/>
  <c r="I927" i="17"/>
  <c r="H927" i="17"/>
  <c r="G927" i="17"/>
  <c r="F927" i="17"/>
  <c r="E927" i="17"/>
  <c r="D927" i="17"/>
  <c r="O926" i="17"/>
  <c r="N926" i="17"/>
  <c r="M926" i="17"/>
  <c r="L926" i="17"/>
  <c r="K926" i="17"/>
  <c r="J926" i="17"/>
  <c r="I926" i="17"/>
  <c r="H926" i="17"/>
  <c r="G926" i="17"/>
  <c r="F926" i="17"/>
  <c r="E926" i="17"/>
  <c r="D926" i="17"/>
  <c r="O925" i="17"/>
  <c r="N925" i="17"/>
  <c r="M925" i="17"/>
  <c r="L925" i="17"/>
  <c r="K925" i="17"/>
  <c r="J925" i="17"/>
  <c r="I925" i="17"/>
  <c r="H925" i="17"/>
  <c r="G925" i="17"/>
  <c r="F925" i="17"/>
  <c r="E925" i="17"/>
  <c r="D925" i="17"/>
  <c r="Q924" i="17"/>
  <c r="T924" i="17" s="1"/>
  <c r="Q923" i="17"/>
  <c r="T923" i="17" s="1"/>
  <c r="Q922" i="17"/>
  <c r="T922" i="17" s="1"/>
  <c r="Q921" i="17"/>
  <c r="T921" i="17" s="1"/>
  <c r="O916" i="17"/>
  <c r="N916" i="17"/>
  <c r="M916" i="17"/>
  <c r="L916" i="17"/>
  <c r="K916" i="17"/>
  <c r="J916" i="17"/>
  <c r="I916" i="17"/>
  <c r="H916" i="17"/>
  <c r="G916" i="17"/>
  <c r="F916" i="17"/>
  <c r="E916" i="17"/>
  <c r="D916" i="17"/>
  <c r="O915" i="17"/>
  <c r="N915" i="17"/>
  <c r="M915" i="17"/>
  <c r="L915" i="17"/>
  <c r="K915" i="17"/>
  <c r="J915" i="17"/>
  <c r="I915" i="17"/>
  <c r="H915" i="17"/>
  <c r="G915" i="17"/>
  <c r="F915" i="17"/>
  <c r="E915" i="17"/>
  <c r="D915" i="17"/>
  <c r="O914" i="17"/>
  <c r="N914" i="17"/>
  <c r="M914" i="17"/>
  <c r="L914" i="17"/>
  <c r="K914" i="17"/>
  <c r="J914" i="17"/>
  <c r="I914" i="17"/>
  <c r="H914" i="17"/>
  <c r="G914" i="17"/>
  <c r="F914" i="17"/>
  <c r="E914" i="17"/>
  <c r="D914" i="17"/>
  <c r="O913" i="17"/>
  <c r="N913" i="17"/>
  <c r="M913" i="17"/>
  <c r="L913" i="17"/>
  <c r="K913" i="17"/>
  <c r="J913" i="17"/>
  <c r="I913" i="17"/>
  <c r="H913" i="17"/>
  <c r="G913" i="17"/>
  <c r="F913" i="17"/>
  <c r="E913" i="17"/>
  <c r="D913" i="17"/>
  <c r="Q912" i="17"/>
  <c r="T912" i="17" s="1"/>
  <c r="Q911" i="17"/>
  <c r="T911" i="17" s="1"/>
  <c r="Q910" i="17"/>
  <c r="T910" i="17" s="1"/>
  <c r="Q909" i="17"/>
  <c r="T909" i="17" s="1"/>
  <c r="O890" i="17"/>
  <c r="N890" i="17"/>
  <c r="M890" i="17"/>
  <c r="L890" i="17"/>
  <c r="K890" i="17"/>
  <c r="J890" i="17"/>
  <c r="I890" i="17"/>
  <c r="H890" i="17"/>
  <c r="G890" i="17"/>
  <c r="F890" i="17"/>
  <c r="E890" i="17"/>
  <c r="D890" i="17"/>
  <c r="O889" i="17"/>
  <c r="N889" i="17"/>
  <c r="M889" i="17"/>
  <c r="L889" i="17"/>
  <c r="K889" i="17"/>
  <c r="J889" i="17"/>
  <c r="I889" i="17"/>
  <c r="H889" i="17"/>
  <c r="G889" i="17"/>
  <c r="F889" i="17"/>
  <c r="E889" i="17"/>
  <c r="D889" i="17"/>
  <c r="O887" i="17"/>
  <c r="N887" i="17"/>
  <c r="M887" i="17"/>
  <c r="L887" i="17"/>
  <c r="K887" i="17"/>
  <c r="J887" i="17"/>
  <c r="I887" i="17"/>
  <c r="H887" i="17"/>
  <c r="G887" i="17"/>
  <c r="F887" i="17"/>
  <c r="E887" i="17"/>
  <c r="D887" i="17"/>
  <c r="Q886" i="17"/>
  <c r="T886" i="17" s="1"/>
  <c r="Q885" i="17"/>
  <c r="T885" i="17" s="1"/>
  <c r="Q884" i="17"/>
  <c r="T884" i="17" s="1"/>
  <c r="Q883" i="17"/>
  <c r="T883" i="17" s="1"/>
  <c r="O847" i="17"/>
  <c r="N847" i="17"/>
  <c r="M847" i="17"/>
  <c r="L847" i="17"/>
  <c r="K847" i="17"/>
  <c r="J847" i="17"/>
  <c r="I847" i="17"/>
  <c r="H847" i="17"/>
  <c r="G847" i="17"/>
  <c r="F847" i="17"/>
  <c r="E847" i="17"/>
  <c r="D847" i="17"/>
  <c r="O846" i="17"/>
  <c r="N846" i="17"/>
  <c r="M846" i="17"/>
  <c r="L846" i="17"/>
  <c r="K846" i="17"/>
  <c r="J846" i="17"/>
  <c r="I846" i="17"/>
  <c r="H846" i="17"/>
  <c r="G846" i="17"/>
  <c r="F846" i="17"/>
  <c r="E846" i="17"/>
  <c r="D846" i="17"/>
  <c r="O845" i="17"/>
  <c r="N845" i="17"/>
  <c r="M845" i="17"/>
  <c r="L845" i="17"/>
  <c r="K845" i="17"/>
  <c r="J845" i="17"/>
  <c r="I845" i="17"/>
  <c r="H845" i="17"/>
  <c r="G845" i="17"/>
  <c r="F845" i="17"/>
  <c r="E845" i="17"/>
  <c r="D845" i="17"/>
  <c r="O844" i="17"/>
  <c r="N844" i="17"/>
  <c r="M844" i="17"/>
  <c r="L844" i="17"/>
  <c r="K844" i="17"/>
  <c r="J844" i="17"/>
  <c r="I844" i="17"/>
  <c r="H844" i="17"/>
  <c r="G844" i="17"/>
  <c r="F844" i="17"/>
  <c r="E844" i="17"/>
  <c r="D844" i="17"/>
  <c r="Q843" i="17"/>
  <c r="T843" i="17" s="1"/>
  <c r="Q842" i="17"/>
  <c r="T842" i="17" s="1"/>
  <c r="Q841" i="17"/>
  <c r="T841" i="17" s="1"/>
  <c r="Q840" i="17"/>
  <c r="T840" i="17" s="1"/>
  <c r="Q744" i="17"/>
  <c r="O743" i="17"/>
  <c r="N743" i="17"/>
  <c r="M743" i="17"/>
  <c r="L743" i="17"/>
  <c r="K743" i="17"/>
  <c r="J743" i="17"/>
  <c r="I743" i="17"/>
  <c r="H743" i="17"/>
  <c r="G743" i="17"/>
  <c r="F743" i="17"/>
  <c r="E743" i="17"/>
  <c r="D743" i="17"/>
  <c r="O742" i="17"/>
  <c r="N742" i="17"/>
  <c r="M742" i="17"/>
  <c r="L742" i="17"/>
  <c r="K742" i="17"/>
  <c r="J742" i="17"/>
  <c r="I742" i="17"/>
  <c r="H742" i="17"/>
  <c r="G742" i="17"/>
  <c r="F742" i="17"/>
  <c r="E742" i="17"/>
  <c r="D742" i="17"/>
  <c r="O741" i="17"/>
  <c r="N741" i="17"/>
  <c r="M741" i="17"/>
  <c r="L741" i="17"/>
  <c r="K741" i="17"/>
  <c r="J741" i="17"/>
  <c r="I741" i="17"/>
  <c r="H741" i="17"/>
  <c r="G741" i="17"/>
  <c r="F741" i="17"/>
  <c r="E741" i="17"/>
  <c r="D741" i="17"/>
  <c r="O740" i="17"/>
  <c r="N740" i="17"/>
  <c r="M740" i="17"/>
  <c r="L740" i="17"/>
  <c r="K740" i="17"/>
  <c r="J740" i="17"/>
  <c r="I740" i="17"/>
  <c r="H740" i="17"/>
  <c r="G740" i="17"/>
  <c r="F740" i="17"/>
  <c r="E740" i="17"/>
  <c r="D740" i="17"/>
  <c r="T739" i="17"/>
  <c r="Q738" i="17"/>
  <c r="T738" i="17" s="1"/>
  <c r="Q737" i="17"/>
  <c r="T737" i="17" s="1"/>
  <c r="Q736" i="17"/>
  <c r="T736" i="17" s="1"/>
  <c r="Q735" i="17"/>
  <c r="T735" i="17" s="1"/>
  <c r="O730" i="17"/>
  <c r="N730" i="17"/>
  <c r="M730" i="17"/>
  <c r="L730" i="17"/>
  <c r="K730" i="17"/>
  <c r="J730" i="17"/>
  <c r="I730" i="17"/>
  <c r="H730" i="17"/>
  <c r="G730" i="17"/>
  <c r="F730" i="17"/>
  <c r="E730" i="17"/>
  <c r="D730" i="17"/>
  <c r="O729" i="17"/>
  <c r="N729" i="17"/>
  <c r="M729" i="17"/>
  <c r="L729" i="17"/>
  <c r="K729" i="17"/>
  <c r="J729" i="17"/>
  <c r="I729" i="17"/>
  <c r="H729" i="17"/>
  <c r="G729" i="17"/>
  <c r="F729" i="17"/>
  <c r="E729" i="17"/>
  <c r="D729" i="17"/>
  <c r="O728" i="17"/>
  <c r="N728" i="17"/>
  <c r="M728" i="17"/>
  <c r="L728" i="17"/>
  <c r="K728" i="17"/>
  <c r="J728" i="17"/>
  <c r="I728" i="17"/>
  <c r="H728" i="17"/>
  <c r="G728" i="17"/>
  <c r="F728" i="17"/>
  <c r="E728" i="17"/>
  <c r="D728" i="17"/>
  <c r="O727" i="17"/>
  <c r="N727" i="17"/>
  <c r="M727" i="17"/>
  <c r="L727" i="17"/>
  <c r="K727" i="17"/>
  <c r="J727" i="17"/>
  <c r="I727" i="17"/>
  <c r="H727" i="17"/>
  <c r="G727" i="17"/>
  <c r="F727" i="17"/>
  <c r="E727" i="17"/>
  <c r="D727" i="17"/>
  <c r="Q726" i="17"/>
  <c r="T726" i="17" s="1"/>
  <c r="Q725" i="17"/>
  <c r="T725" i="17" s="1"/>
  <c r="Q724" i="17"/>
  <c r="T724" i="17" s="1"/>
  <c r="Q723" i="17"/>
  <c r="T723" i="17" s="1"/>
  <c r="Q700" i="17"/>
  <c r="O699" i="17"/>
  <c r="N699" i="17"/>
  <c r="M699" i="17"/>
  <c r="L699" i="17"/>
  <c r="K699" i="17"/>
  <c r="J699" i="17"/>
  <c r="I699" i="17"/>
  <c r="H699" i="17"/>
  <c r="G699" i="17"/>
  <c r="F699" i="17"/>
  <c r="E699" i="17"/>
  <c r="D699" i="17"/>
  <c r="O698" i="17"/>
  <c r="N698" i="17"/>
  <c r="M698" i="17"/>
  <c r="L698" i="17"/>
  <c r="K698" i="17"/>
  <c r="J698" i="17"/>
  <c r="I698" i="17"/>
  <c r="H698" i="17"/>
  <c r="G698" i="17"/>
  <c r="F698" i="17"/>
  <c r="E698" i="17"/>
  <c r="D698" i="17"/>
  <c r="Q697" i="17"/>
  <c r="T697" i="17" s="1"/>
  <c r="Q696" i="17"/>
  <c r="T696" i="17" s="1"/>
  <c r="Q695" i="17"/>
  <c r="T695" i="17" s="1"/>
  <c r="O521" i="17"/>
  <c r="N521" i="17"/>
  <c r="M521" i="17"/>
  <c r="L521" i="17"/>
  <c r="K521" i="17"/>
  <c r="J521" i="17"/>
  <c r="I521" i="17"/>
  <c r="H521" i="17"/>
  <c r="G521" i="17"/>
  <c r="F521" i="17"/>
  <c r="E521" i="17"/>
  <c r="D521" i="17"/>
  <c r="O520" i="17"/>
  <c r="N520" i="17"/>
  <c r="M520" i="17"/>
  <c r="L520" i="17"/>
  <c r="K520" i="17"/>
  <c r="J520" i="17"/>
  <c r="I520" i="17"/>
  <c r="H520" i="17"/>
  <c r="G520" i="17"/>
  <c r="F520" i="17"/>
  <c r="E520" i="17"/>
  <c r="D520" i="17"/>
  <c r="O519" i="17"/>
  <c r="N519" i="17"/>
  <c r="M519" i="17"/>
  <c r="L519" i="17"/>
  <c r="K519" i="17"/>
  <c r="J519" i="17"/>
  <c r="I519" i="17"/>
  <c r="H519" i="17"/>
  <c r="G519" i="17"/>
  <c r="F519" i="17"/>
  <c r="E519" i="17"/>
  <c r="D519" i="17"/>
  <c r="O518" i="17"/>
  <c r="N518" i="17"/>
  <c r="M518" i="17"/>
  <c r="L518" i="17"/>
  <c r="K518" i="17"/>
  <c r="J518" i="17"/>
  <c r="I518" i="17"/>
  <c r="H518" i="17"/>
  <c r="G518" i="17"/>
  <c r="F518" i="17"/>
  <c r="E518" i="17"/>
  <c r="D518" i="17"/>
  <c r="Q517" i="17"/>
  <c r="T517" i="17" s="1"/>
  <c r="Q516" i="17"/>
  <c r="T516" i="17" s="1"/>
  <c r="Q515" i="17"/>
  <c r="T515" i="17" s="1"/>
  <c r="Q514" i="17"/>
  <c r="T514" i="17" s="1"/>
  <c r="O156" i="17"/>
  <c r="N156" i="17"/>
  <c r="M156" i="17"/>
  <c r="L156" i="17"/>
  <c r="K156" i="17"/>
  <c r="J156" i="17"/>
  <c r="I156" i="17"/>
  <c r="H156" i="17"/>
  <c r="G156" i="17"/>
  <c r="F156" i="17"/>
  <c r="E156" i="17"/>
  <c r="D156" i="17"/>
  <c r="O155" i="17"/>
  <c r="N155" i="17"/>
  <c r="M155" i="17"/>
  <c r="L155" i="17"/>
  <c r="K155" i="17"/>
  <c r="J155" i="17"/>
  <c r="I155" i="17"/>
  <c r="H155" i="17"/>
  <c r="G155" i="17"/>
  <c r="F155" i="17"/>
  <c r="E155" i="17"/>
  <c r="D155" i="17"/>
  <c r="O154" i="17"/>
  <c r="N154" i="17"/>
  <c r="M154" i="17"/>
  <c r="L154" i="17"/>
  <c r="K154" i="17"/>
  <c r="J154" i="17"/>
  <c r="I154" i="17"/>
  <c r="H154" i="17"/>
  <c r="G154" i="17"/>
  <c r="F154" i="17"/>
  <c r="E154" i="17"/>
  <c r="D154" i="17"/>
  <c r="O153" i="17"/>
  <c r="N153" i="17"/>
  <c r="M153" i="17"/>
  <c r="L153" i="17"/>
  <c r="K153" i="17"/>
  <c r="J153" i="17"/>
  <c r="I153" i="17"/>
  <c r="H153" i="17"/>
  <c r="G153" i="17"/>
  <c r="F153" i="17"/>
  <c r="E153" i="17"/>
  <c r="D153" i="17"/>
  <c r="Q152" i="17"/>
  <c r="T152" i="17" s="1"/>
  <c r="Q151" i="17"/>
  <c r="T151" i="17" s="1"/>
  <c r="Q150" i="17"/>
  <c r="T150" i="17" s="1"/>
  <c r="Q149" i="17"/>
  <c r="T149" i="17" s="1"/>
  <c r="Q1065" i="17" l="1"/>
  <c r="Q927" i="17"/>
  <c r="Q925" i="17"/>
  <c r="Q928" i="17"/>
  <c r="Q1063" i="17"/>
  <c r="Q1064" i="17"/>
  <c r="Q1062" i="17"/>
  <c r="Q926" i="17"/>
  <c r="Q915" i="17"/>
  <c r="Q916" i="17"/>
  <c r="Q887" i="17"/>
  <c r="Q913" i="17"/>
  <c r="Q914" i="17"/>
  <c r="Q845" i="17"/>
  <c r="Q846" i="17"/>
  <c r="Q844" i="17"/>
  <c r="Q890" i="17"/>
  <c r="Q889" i="17"/>
  <c r="Q888" i="17"/>
  <c r="Q847" i="17"/>
  <c r="Q743" i="17"/>
  <c r="Q727" i="17"/>
  <c r="Q729" i="17"/>
  <c r="Q741" i="17"/>
  <c r="Q740" i="17"/>
  <c r="Q742" i="17"/>
  <c r="Q730" i="17"/>
  <c r="Q728" i="17"/>
  <c r="Q698" i="17"/>
  <c r="Q155" i="17"/>
  <c r="Q518" i="17"/>
  <c r="Q519" i="17"/>
  <c r="Q521" i="17"/>
  <c r="Q699" i="17"/>
  <c r="Q520" i="17"/>
  <c r="Q153" i="17"/>
  <c r="Q154" i="17"/>
  <c r="Q156" i="17"/>
  <c r="T284" i="16" l="1"/>
  <c r="T282" i="16"/>
  <c r="T280" i="16"/>
  <c r="T279" i="16"/>
  <c r="P503" i="17"/>
  <c r="O503" i="17"/>
  <c r="N503" i="17"/>
  <c r="M503" i="17"/>
  <c r="L503" i="17"/>
  <c r="K503" i="17"/>
  <c r="J503" i="17"/>
  <c r="I503" i="17"/>
  <c r="H503" i="17"/>
  <c r="G503" i="17"/>
  <c r="F503" i="17"/>
  <c r="E503" i="17"/>
  <c r="D503" i="17"/>
  <c r="C503" i="17"/>
  <c r="T137" i="16" l="1"/>
  <c r="T142" i="16"/>
  <c r="T141" i="16"/>
  <c r="T140" i="16"/>
  <c r="T139" i="16"/>
  <c r="T138" i="16"/>
  <c r="T136" i="16"/>
  <c r="N104" i="10" l="1"/>
  <c r="O180" i="17" l="1"/>
  <c r="O179" i="17"/>
  <c r="O178" i="17"/>
  <c r="O176" i="17"/>
  <c r="O175" i="17"/>
  <c r="O174" i="17"/>
  <c r="O142" i="17" l="1"/>
  <c r="O141" i="17"/>
  <c r="O140" i="17"/>
  <c r="O138" i="17"/>
  <c r="O137" i="17"/>
  <c r="O136" i="17"/>
  <c r="BF78" i="5" l="1"/>
  <c r="AS78" i="5"/>
  <c r="AH78" i="5"/>
  <c r="Q78" i="5"/>
  <c r="N432" i="17" l="1"/>
  <c r="M432" i="17"/>
  <c r="L432" i="17"/>
  <c r="K432" i="17"/>
  <c r="J432" i="17"/>
  <c r="I432" i="17"/>
  <c r="H432" i="17"/>
  <c r="G432" i="17"/>
  <c r="F432" i="17"/>
  <c r="E432" i="17"/>
  <c r="D432" i="17"/>
  <c r="C432" i="17"/>
  <c r="O431" i="17"/>
  <c r="P431" i="17" s="1"/>
  <c r="N428" i="17"/>
  <c r="M428" i="17"/>
  <c r="L428" i="17"/>
  <c r="K428" i="17"/>
  <c r="J428" i="17"/>
  <c r="I428" i="17"/>
  <c r="H428" i="17"/>
  <c r="G428" i="17"/>
  <c r="F428" i="17"/>
  <c r="E428" i="17"/>
  <c r="D428" i="17"/>
  <c r="C428" i="17"/>
  <c r="N427" i="17"/>
  <c r="M427" i="17"/>
  <c r="L427" i="17"/>
  <c r="K427" i="17"/>
  <c r="J427" i="17"/>
  <c r="I427" i="17"/>
  <c r="H427" i="17"/>
  <c r="G427" i="17"/>
  <c r="F427" i="17"/>
  <c r="E427" i="17"/>
  <c r="D427" i="17"/>
  <c r="C427" i="17"/>
  <c r="O426" i="17"/>
  <c r="P426" i="17" s="1"/>
  <c r="N424" i="17"/>
  <c r="M424" i="17"/>
  <c r="L424" i="17"/>
  <c r="K424" i="17"/>
  <c r="J424" i="17"/>
  <c r="I424" i="17"/>
  <c r="H424" i="17"/>
  <c r="G424" i="17"/>
  <c r="F424" i="17"/>
  <c r="E424" i="17"/>
  <c r="D424" i="17"/>
  <c r="C424" i="17"/>
  <c r="O423" i="17"/>
  <c r="P423" i="17" s="1"/>
  <c r="N418" i="17"/>
  <c r="M418" i="17"/>
  <c r="L418" i="17"/>
  <c r="K418" i="17"/>
  <c r="J418" i="17"/>
  <c r="I418" i="17"/>
  <c r="H418" i="17"/>
  <c r="G418" i="17"/>
  <c r="F418" i="17"/>
  <c r="E418" i="17"/>
  <c r="D418" i="17"/>
  <c r="C418" i="17"/>
  <c r="O417" i="17"/>
  <c r="P417" i="17" s="1"/>
  <c r="N414" i="17"/>
  <c r="M414" i="17"/>
  <c r="L414" i="17"/>
  <c r="K414" i="17"/>
  <c r="J414" i="17"/>
  <c r="I414" i="17"/>
  <c r="H414" i="17"/>
  <c r="G414" i="17"/>
  <c r="F414" i="17"/>
  <c r="E414" i="17"/>
  <c r="D414" i="17"/>
  <c r="C414" i="17"/>
  <c r="N413" i="17"/>
  <c r="M413" i="17"/>
  <c r="L413" i="17"/>
  <c r="K413" i="17"/>
  <c r="J413" i="17"/>
  <c r="I413" i="17"/>
  <c r="H413" i="17"/>
  <c r="G413" i="17"/>
  <c r="F413" i="17"/>
  <c r="E413" i="17"/>
  <c r="D413" i="17"/>
  <c r="C413" i="17"/>
  <c r="O412" i="17"/>
  <c r="P412" i="17" s="1"/>
  <c r="N410" i="17"/>
  <c r="M410" i="17"/>
  <c r="L410" i="17"/>
  <c r="K410" i="17"/>
  <c r="J410" i="17"/>
  <c r="I410" i="17"/>
  <c r="H410" i="17"/>
  <c r="G410" i="17"/>
  <c r="F410" i="17"/>
  <c r="E410" i="17"/>
  <c r="D410" i="17"/>
  <c r="C410" i="17"/>
  <c r="O409" i="17"/>
  <c r="P409" i="17" s="1"/>
  <c r="N404" i="17"/>
  <c r="M404" i="17"/>
  <c r="L404" i="17"/>
  <c r="K404" i="17"/>
  <c r="J404" i="17"/>
  <c r="I404" i="17"/>
  <c r="H404" i="17"/>
  <c r="G404" i="17"/>
  <c r="F404" i="17"/>
  <c r="E404" i="17"/>
  <c r="D404" i="17"/>
  <c r="C404" i="17"/>
  <c r="O403" i="17"/>
  <c r="P403" i="17" s="1"/>
  <c r="N400" i="17"/>
  <c r="M400" i="17"/>
  <c r="L400" i="17"/>
  <c r="K400" i="17"/>
  <c r="J400" i="17"/>
  <c r="I400" i="17"/>
  <c r="H400" i="17"/>
  <c r="G400" i="17"/>
  <c r="F400" i="17"/>
  <c r="E400" i="17"/>
  <c r="D400" i="17"/>
  <c r="C400" i="17"/>
  <c r="N399" i="17"/>
  <c r="M399" i="17"/>
  <c r="L399" i="17"/>
  <c r="K399" i="17"/>
  <c r="J399" i="17"/>
  <c r="I399" i="17"/>
  <c r="H399" i="17"/>
  <c r="G399" i="17"/>
  <c r="F399" i="17"/>
  <c r="E399" i="17"/>
  <c r="D399" i="17"/>
  <c r="C399" i="17"/>
  <c r="O398" i="17"/>
  <c r="P398" i="17" s="1"/>
  <c r="N396" i="17"/>
  <c r="M396" i="17"/>
  <c r="L396" i="17"/>
  <c r="K396" i="17"/>
  <c r="J396" i="17"/>
  <c r="I396" i="17"/>
  <c r="H396" i="17"/>
  <c r="G396" i="17"/>
  <c r="F396" i="17"/>
  <c r="E396" i="17"/>
  <c r="D396" i="17"/>
  <c r="C396" i="17"/>
  <c r="O395" i="17"/>
  <c r="P395" i="17" s="1"/>
  <c r="N390" i="17"/>
  <c r="M390" i="17"/>
  <c r="L390" i="17"/>
  <c r="K390" i="17"/>
  <c r="J390" i="17"/>
  <c r="I390" i="17"/>
  <c r="H390" i="17"/>
  <c r="G390" i="17"/>
  <c r="F390" i="17"/>
  <c r="E390" i="17"/>
  <c r="D390" i="17"/>
  <c r="C390" i="17"/>
  <c r="N389" i="17"/>
  <c r="M389" i="17"/>
  <c r="L389" i="17"/>
  <c r="K389" i="17"/>
  <c r="J389" i="17"/>
  <c r="I389" i="17"/>
  <c r="H389" i="17"/>
  <c r="G389" i="17"/>
  <c r="F389" i="17"/>
  <c r="E389" i="17"/>
  <c r="D389" i="17"/>
  <c r="C389" i="17"/>
  <c r="O388" i="17"/>
  <c r="P388" i="17" s="1"/>
  <c r="N386" i="17"/>
  <c r="M386" i="17"/>
  <c r="L386" i="17"/>
  <c r="K386" i="17"/>
  <c r="J386" i="17"/>
  <c r="I386" i="17"/>
  <c r="H386" i="17"/>
  <c r="G386" i="17"/>
  <c r="F386" i="17"/>
  <c r="E386" i="17"/>
  <c r="D386" i="17"/>
  <c r="C386" i="17"/>
  <c r="O385" i="17"/>
  <c r="P385" i="17" s="1"/>
  <c r="H401" i="17" l="1"/>
  <c r="L401" i="17"/>
  <c r="E415" i="17"/>
  <c r="M415" i="17"/>
  <c r="F415" i="17"/>
  <c r="I401" i="17"/>
  <c r="N415" i="17"/>
  <c r="H415" i="17"/>
  <c r="G429" i="17"/>
  <c r="K429" i="17"/>
  <c r="J401" i="17"/>
  <c r="G415" i="17"/>
  <c r="F391" i="17"/>
  <c r="C391" i="17"/>
  <c r="K391" i="17"/>
  <c r="G391" i="17"/>
  <c r="E391" i="17"/>
  <c r="M391" i="17"/>
  <c r="D429" i="17"/>
  <c r="L429" i="17"/>
  <c r="N391" i="17"/>
  <c r="M429" i="17"/>
  <c r="I429" i="17"/>
  <c r="G401" i="17"/>
  <c r="C401" i="17"/>
  <c r="K401" i="17"/>
  <c r="F429" i="17"/>
  <c r="N429" i="17"/>
  <c r="J429" i="17"/>
  <c r="D391" i="17"/>
  <c r="L391" i="17"/>
  <c r="H391" i="17"/>
  <c r="D401" i="17"/>
  <c r="C429" i="17"/>
  <c r="O427" i="17"/>
  <c r="P427" i="17" s="1"/>
  <c r="O414" i="17"/>
  <c r="P414" i="17" s="1"/>
  <c r="O390" i="17"/>
  <c r="P390" i="17" s="1"/>
  <c r="O400" i="17"/>
  <c r="P400" i="17" s="1"/>
  <c r="O404" i="17"/>
  <c r="P404" i="17" s="1"/>
  <c r="I415" i="17"/>
  <c r="O424" i="17"/>
  <c r="P424" i="17" s="1"/>
  <c r="H429" i="17"/>
  <c r="O386" i="17"/>
  <c r="P386" i="17" s="1"/>
  <c r="I391" i="17"/>
  <c r="E401" i="17"/>
  <c r="M401" i="17"/>
  <c r="C415" i="17"/>
  <c r="K415" i="17"/>
  <c r="O432" i="17"/>
  <c r="P432" i="17" s="1"/>
  <c r="O396" i="17"/>
  <c r="P396" i="17" s="1"/>
  <c r="O410" i="17"/>
  <c r="P410" i="17" s="1"/>
  <c r="J415" i="17"/>
  <c r="J391" i="17"/>
  <c r="F401" i="17"/>
  <c r="N401" i="17"/>
  <c r="D415" i="17"/>
  <c r="L415" i="17"/>
  <c r="O418" i="17"/>
  <c r="P418" i="17" s="1"/>
  <c r="O428" i="17"/>
  <c r="P428" i="17" s="1"/>
  <c r="O399" i="17"/>
  <c r="P399" i="17" s="1"/>
  <c r="E429" i="17"/>
  <c r="O413" i="17"/>
  <c r="P413" i="17" s="1"/>
  <c r="O389" i="17"/>
  <c r="P389" i="17" s="1"/>
  <c r="O429" i="17" l="1"/>
  <c r="P429" i="17" s="1"/>
  <c r="O391" i="17"/>
  <c r="P391" i="17" s="1"/>
  <c r="O415" i="17"/>
  <c r="P415" i="17" s="1"/>
  <c r="O401" i="17"/>
  <c r="P401" i="17" s="1"/>
  <c r="P975" i="17"/>
  <c r="O975" i="17"/>
  <c r="N975" i="17"/>
  <c r="M975" i="17"/>
  <c r="L975" i="17"/>
  <c r="K975" i="17"/>
  <c r="J975" i="17"/>
  <c r="I975" i="17"/>
  <c r="H975" i="17"/>
  <c r="G975" i="17"/>
  <c r="F975" i="17"/>
  <c r="E975" i="17"/>
  <c r="D975" i="17"/>
  <c r="C975" i="17"/>
  <c r="T602" i="16" l="1"/>
  <c r="T421" i="16"/>
  <c r="BF34" i="5"/>
  <c r="AS34" i="5"/>
  <c r="AH34" i="5"/>
  <c r="Q34" i="5"/>
  <c r="T305" i="16"/>
  <c r="T304" i="16"/>
  <c r="T303" i="16"/>
  <c r="T302" i="16"/>
  <c r="T301" i="16"/>
  <c r="T274" i="16"/>
  <c r="T273" i="16"/>
  <c r="T272" i="16"/>
  <c r="T271" i="16"/>
  <c r="T270" i="16"/>
  <c r="T269" i="16"/>
  <c r="T268" i="16"/>
  <c r="T122" i="16"/>
  <c r="T120" i="16"/>
  <c r="W120" i="16" s="1"/>
  <c r="T118" i="16"/>
  <c r="T110" i="16"/>
  <c r="T107" i="16"/>
  <c r="T106" i="16"/>
  <c r="T105" i="16"/>
  <c r="T20" i="16"/>
  <c r="T19" i="16"/>
  <c r="T18" i="16"/>
  <c r="T16" i="16"/>
  <c r="T15" i="16"/>
  <c r="T14" i="16"/>
  <c r="T45" i="16"/>
  <c r="T51" i="16"/>
  <c r="T50" i="16"/>
  <c r="T49" i="16"/>
  <c r="T48" i="16"/>
  <c r="T47" i="16"/>
  <c r="T46" i="16"/>
  <c r="T40" i="16"/>
  <c r="T39" i="16"/>
  <c r="T38" i="16"/>
  <c r="T37" i="16"/>
  <c r="W37" i="16" s="1"/>
  <c r="T36" i="16"/>
  <c r="T35" i="16"/>
  <c r="T34" i="16"/>
  <c r="T765" i="16" l="1"/>
  <c r="T764" i="16"/>
  <c r="T763" i="16"/>
  <c r="T762" i="16"/>
  <c r="T761" i="16"/>
  <c r="R1144" i="17"/>
  <c r="Q1144" i="17"/>
  <c r="P1144" i="17"/>
  <c r="O1144" i="17"/>
  <c r="N1144" i="17"/>
  <c r="M1144" i="17"/>
  <c r="L1144" i="17"/>
  <c r="K1144" i="17"/>
  <c r="J1144" i="17"/>
  <c r="I1144" i="17"/>
  <c r="H1144" i="17"/>
  <c r="G1144" i="17"/>
  <c r="F1144" i="17"/>
  <c r="E1144" i="17"/>
  <c r="D1144" i="17"/>
  <c r="C1144" i="17"/>
  <c r="R832" i="17"/>
  <c r="Q832" i="17"/>
  <c r="P832" i="17"/>
  <c r="O832" i="17"/>
  <c r="N832" i="17"/>
  <c r="M832" i="17"/>
  <c r="L832" i="17"/>
  <c r="K832" i="17"/>
  <c r="J832" i="17"/>
  <c r="I832" i="17"/>
  <c r="H832" i="17"/>
  <c r="G832" i="17"/>
  <c r="F832" i="17"/>
  <c r="E832" i="17"/>
  <c r="D832" i="17"/>
  <c r="C832" i="17"/>
  <c r="R490" i="17"/>
  <c r="Q490" i="17"/>
  <c r="P490" i="17"/>
  <c r="O490" i="17"/>
  <c r="N490" i="17"/>
  <c r="M490" i="17"/>
  <c r="L490" i="17"/>
  <c r="K490" i="17"/>
  <c r="J490" i="17"/>
  <c r="I490" i="17"/>
  <c r="H490" i="17"/>
  <c r="G490" i="17"/>
  <c r="F490" i="17"/>
  <c r="E490" i="17"/>
  <c r="D490" i="17"/>
  <c r="C490" i="17"/>
  <c r="T341" i="16" l="1"/>
  <c r="T340" i="16"/>
  <c r="T339" i="16"/>
  <c r="T338" i="16"/>
  <c r="T337" i="16"/>
  <c r="T332" i="16"/>
  <c r="T331" i="16"/>
  <c r="T330" i="16"/>
  <c r="T329" i="16"/>
  <c r="T328" i="16"/>
  <c r="T9" i="16" l="1"/>
  <c r="T8" i="16"/>
  <c r="T7" i="16"/>
  <c r="T6" i="16"/>
  <c r="T5" i="16"/>
  <c r="T668" i="16"/>
  <c r="T667" i="16"/>
  <c r="T666" i="16"/>
  <c r="T566" i="16"/>
  <c r="T565" i="16"/>
  <c r="T564" i="16"/>
  <c r="T563" i="16"/>
  <c r="T562" i="16"/>
  <c r="T561" i="16"/>
  <c r="T560" i="16"/>
  <c r="T488" i="16"/>
  <c r="T491" i="16"/>
  <c r="T490" i="16"/>
  <c r="T489" i="16"/>
  <c r="T487" i="16"/>
  <c r="T486" i="16"/>
  <c r="T485" i="16"/>
  <c r="T389" i="16"/>
  <c r="T388" i="16"/>
  <c r="T387" i="16"/>
  <c r="T386" i="16"/>
  <c r="T385" i="16"/>
  <c r="T384" i="16"/>
  <c r="T383" i="16"/>
  <c r="T382" i="16"/>
  <c r="T381" i="16"/>
  <c r="D1043" i="17"/>
  <c r="O1042" i="17"/>
  <c r="N1042" i="17"/>
  <c r="M1042" i="17"/>
  <c r="L1042" i="17"/>
  <c r="K1042" i="17"/>
  <c r="J1042" i="17"/>
  <c r="I1042" i="17"/>
  <c r="H1042" i="17"/>
  <c r="G1042" i="17"/>
  <c r="F1042" i="17"/>
  <c r="E1042" i="17"/>
  <c r="D1042" i="17"/>
  <c r="I947" i="17" l="1"/>
  <c r="H947" i="17"/>
  <c r="G947" i="17"/>
  <c r="F947" i="17"/>
  <c r="E947" i="17"/>
  <c r="D947" i="17"/>
  <c r="BF36" i="5" l="1"/>
  <c r="AS36" i="5"/>
  <c r="AH36" i="5"/>
  <c r="Q36" i="5"/>
  <c r="N578" i="17" l="1"/>
  <c r="M578" i="17"/>
  <c r="L578" i="17"/>
  <c r="K578" i="17"/>
  <c r="J578" i="17"/>
  <c r="I578" i="17"/>
  <c r="H578" i="17"/>
  <c r="G578" i="17"/>
  <c r="F578" i="17"/>
  <c r="E578" i="17"/>
  <c r="D578" i="17"/>
  <c r="C578" i="17"/>
  <c r="O577" i="17"/>
  <c r="O576" i="17"/>
  <c r="O575" i="17"/>
  <c r="N570" i="17"/>
  <c r="M570" i="17"/>
  <c r="L570" i="17"/>
  <c r="K570" i="17"/>
  <c r="J570" i="17"/>
  <c r="I570" i="17"/>
  <c r="H570" i="17"/>
  <c r="G570" i="17"/>
  <c r="F570" i="17"/>
  <c r="E570" i="17"/>
  <c r="D570" i="17"/>
  <c r="C570" i="17"/>
  <c r="O569" i="17"/>
  <c r="O568" i="17"/>
  <c r="O567" i="17"/>
  <c r="O565" i="17"/>
  <c r="O564" i="17"/>
  <c r="N559" i="17"/>
  <c r="M559" i="17"/>
  <c r="L559" i="17"/>
  <c r="K559" i="17"/>
  <c r="J559" i="17"/>
  <c r="I559" i="17"/>
  <c r="H559" i="17"/>
  <c r="G559" i="17"/>
  <c r="F559" i="17"/>
  <c r="E559" i="17"/>
  <c r="D559" i="17"/>
  <c r="C559" i="17"/>
  <c r="O558" i="17"/>
  <c r="O557" i="17"/>
  <c r="O555" i="17"/>
  <c r="O559" i="17" l="1"/>
  <c r="O578" i="17"/>
  <c r="O570" i="17"/>
  <c r="T357" i="16" l="1"/>
  <c r="T356" i="16"/>
  <c r="T355" i="16"/>
  <c r="D379" i="17" l="1"/>
  <c r="C379" i="17"/>
  <c r="J378" i="17"/>
  <c r="I378" i="17"/>
  <c r="F378" i="17"/>
  <c r="J377" i="17"/>
  <c r="I377" i="17"/>
  <c r="F377" i="17"/>
  <c r="J376" i="17"/>
  <c r="I376" i="17"/>
  <c r="F376" i="17"/>
  <c r="J375" i="17"/>
  <c r="I375" i="17"/>
  <c r="F375" i="17"/>
  <c r="J374" i="17"/>
  <c r="I374" i="17"/>
  <c r="J373" i="17"/>
  <c r="I373" i="17"/>
  <c r="J372" i="17"/>
  <c r="I372" i="17"/>
  <c r="F372" i="17"/>
  <c r="J371" i="17"/>
  <c r="I371" i="17"/>
  <c r="F371" i="17"/>
  <c r="J370" i="17"/>
  <c r="I370" i="17"/>
  <c r="F370" i="17"/>
  <c r="J369" i="17"/>
  <c r="I369" i="17"/>
  <c r="F369" i="17"/>
  <c r="J368" i="17"/>
  <c r="I368" i="17"/>
  <c r="F368" i="17"/>
  <c r="J367" i="17"/>
  <c r="I367" i="17"/>
  <c r="F367" i="17"/>
  <c r="F379" i="17" l="1"/>
  <c r="BF81" i="5"/>
  <c r="AS81" i="5"/>
  <c r="AH81" i="5"/>
  <c r="Q81" i="5"/>
  <c r="O124" i="5" l="1"/>
  <c r="O117" i="5"/>
  <c r="O116" i="5"/>
  <c r="O94" i="5"/>
  <c r="O107" i="5"/>
  <c r="O96" i="5"/>
  <c r="O99" i="5"/>
  <c r="O105" i="5"/>
  <c r="O104" i="5"/>
  <c r="O95" i="5"/>
  <c r="O103" i="5"/>
  <c r="O91" i="5"/>
  <c r="O84" i="5"/>
  <c r="O82" i="5"/>
  <c r="O81" i="5"/>
  <c r="O79" i="5"/>
  <c r="O78" i="5"/>
  <c r="O77" i="5"/>
  <c r="O64" i="5"/>
  <c r="O62" i="5"/>
  <c r="O61" i="5"/>
  <c r="O59" i="5"/>
  <c r="O57" i="5"/>
  <c r="O56" i="5"/>
  <c r="O53" i="5"/>
  <c r="O52" i="5"/>
  <c r="O51" i="5"/>
  <c r="O50" i="5"/>
  <c r="O49" i="5"/>
  <c r="O48" i="5"/>
  <c r="O47" i="5"/>
  <c r="O45" i="5"/>
  <c r="O38" i="5"/>
  <c r="O28" i="5"/>
  <c r="O27" i="5"/>
  <c r="O25" i="5"/>
  <c r="O24" i="5"/>
  <c r="O23" i="5"/>
  <c r="O22" i="5"/>
  <c r="O21" i="5"/>
  <c r="O20" i="5"/>
  <c r="O19" i="5"/>
  <c r="O18" i="5"/>
  <c r="O17" i="5"/>
  <c r="O8" i="5"/>
  <c r="O6" i="5"/>
  <c r="O4" i="5"/>
  <c r="T675" i="16" l="1"/>
  <c r="W675" i="16" s="1"/>
  <c r="T674" i="16"/>
  <c r="W674" i="16" s="1"/>
  <c r="T673" i="16"/>
  <c r="W673" i="16" s="1"/>
  <c r="T624" i="16"/>
  <c r="W624" i="16" s="1"/>
  <c r="T623" i="16"/>
  <c r="W623" i="16" s="1"/>
  <c r="T622" i="16"/>
  <c r="W622" i="16" s="1"/>
  <c r="T621" i="16"/>
  <c r="W621" i="16" s="1"/>
  <c r="T620" i="16"/>
  <c r="W620" i="16" s="1"/>
  <c r="T615" i="16"/>
  <c r="W615" i="16" s="1"/>
  <c r="T614" i="16"/>
  <c r="W614" i="16" s="1"/>
  <c r="T613" i="16"/>
  <c r="W613" i="16" s="1"/>
  <c r="T612" i="16"/>
  <c r="W612" i="16" s="1"/>
  <c r="T611" i="16"/>
  <c r="W611" i="16" s="1"/>
  <c r="W633" i="16"/>
  <c r="W632" i="16"/>
  <c r="W631" i="16"/>
  <c r="W630" i="16"/>
  <c r="W629" i="16"/>
  <c r="W666" i="16"/>
  <c r="Y666" i="16" s="1"/>
  <c r="T660" i="16"/>
  <c r="W660" i="16" s="1"/>
  <c r="T659" i="16"/>
  <c r="W659" i="16" s="1"/>
  <c r="T658" i="16"/>
  <c r="W658" i="16" s="1"/>
  <c r="T657" i="16"/>
  <c r="W657" i="16" s="1"/>
  <c r="T656" i="16"/>
  <c r="W656" i="16" s="1"/>
  <c r="T655" i="16"/>
  <c r="W655" i="16" s="1"/>
  <c r="T654" i="16"/>
  <c r="W654" i="16" s="1"/>
  <c r="T653" i="16"/>
  <c r="W653" i="16" s="1"/>
  <c r="T652" i="16"/>
  <c r="W652" i="16" s="1"/>
  <c r="W765" i="16"/>
  <c r="W764" i="16"/>
  <c r="W763" i="16"/>
  <c r="W762" i="16"/>
  <c r="W761" i="16"/>
  <c r="T778" i="16"/>
  <c r="W778" i="16" s="1"/>
  <c r="T777" i="16"/>
  <c r="W777" i="16" s="1"/>
  <c r="T776" i="16"/>
  <c r="W776" i="16" s="1"/>
  <c r="T775" i="16"/>
  <c r="W775" i="16" s="1"/>
  <c r="T774" i="16"/>
  <c r="W774" i="16" s="1"/>
  <c r="T773" i="16"/>
  <c r="W773" i="16" s="1"/>
  <c r="T772" i="16"/>
  <c r="W772" i="16" s="1"/>
  <c r="T771" i="16"/>
  <c r="W771" i="16" s="1"/>
  <c r="T770" i="16"/>
  <c r="W770" i="16" s="1"/>
  <c r="T756" i="16"/>
  <c r="W756" i="16" s="1"/>
  <c r="T755" i="16"/>
  <c r="W755" i="16" s="1"/>
  <c r="T754" i="16"/>
  <c r="W754" i="16" s="1"/>
  <c r="T753" i="16"/>
  <c r="W753" i="16" s="1"/>
  <c r="T752" i="16"/>
  <c r="W752" i="16" s="1"/>
  <c r="T751" i="16"/>
  <c r="W751" i="16" s="1"/>
  <c r="T750" i="16"/>
  <c r="W750" i="16" s="1"/>
  <c r="T749" i="16"/>
  <c r="W749" i="16" s="1"/>
  <c r="T748" i="16"/>
  <c r="W748" i="16" s="1"/>
  <c r="T743" i="16"/>
  <c r="W743" i="16" s="1"/>
  <c r="T742" i="16"/>
  <c r="W742" i="16" s="1"/>
  <c r="T741" i="16"/>
  <c r="W741" i="16" s="1"/>
  <c r="T740" i="16"/>
  <c r="W740" i="16" s="1"/>
  <c r="T739" i="16"/>
  <c r="W739" i="16" s="1"/>
  <c r="T738" i="16"/>
  <c r="W738" i="16" s="1"/>
  <c r="T737" i="16"/>
  <c r="W737" i="16" s="1"/>
  <c r="T736" i="16"/>
  <c r="W736" i="16" s="1"/>
  <c r="T735" i="16"/>
  <c r="W735" i="16" s="1"/>
  <c r="T800" i="16"/>
  <c r="W800" i="16" s="1"/>
  <c r="T799" i="16"/>
  <c r="W799" i="16" s="1"/>
  <c r="T798" i="16"/>
  <c r="W798" i="16" s="1"/>
  <c r="T797" i="16"/>
  <c r="W797" i="16" s="1"/>
  <c r="T796" i="16"/>
  <c r="W796" i="16" s="1"/>
  <c r="T795" i="16"/>
  <c r="W795" i="16" s="1"/>
  <c r="T794" i="16"/>
  <c r="W794" i="16" s="1"/>
  <c r="T793" i="16"/>
  <c r="W793" i="16" s="1"/>
  <c r="T792" i="16"/>
  <c r="W792" i="16" s="1"/>
  <c r="T719" i="16"/>
  <c r="W719" i="16" s="1"/>
  <c r="T718" i="16"/>
  <c r="W718" i="16" s="1"/>
  <c r="T717" i="16"/>
  <c r="W717" i="16" s="1"/>
  <c r="T716" i="16"/>
  <c r="W716" i="16" s="1"/>
  <c r="T715" i="16"/>
  <c r="W715" i="16" s="1"/>
  <c r="T787" i="16"/>
  <c r="W787" i="16" s="1"/>
  <c r="T786" i="16"/>
  <c r="W786" i="16" s="1"/>
  <c r="T785" i="16"/>
  <c r="W785" i="16" s="1"/>
  <c r="T784" i="16"/>
  <c r="W784" i="16" s="1"/>
  <c r="T783" i="16"/>
  <c r="W783" i="16" s="1"/>
  <c r="T647" i="16"/>
  <c r="W647" i="16" s="1"/>
  <c r="T646" i="16"/>
  <c r="W646" i="16" s="1"/>
  <c r="T645" i="16"/>
  <c r="W645" i="16" s="1"/>
  <c r="T644" i="16"/>
  <c r="W644" i="16" s="1"/>
  <c r="T643" i="16"/>
  <c r="W643" i="16" s="1"/>
  <c r="T642" i="16"/>
  <c r="W642" i="16" s="1"/>
  <c r="T641" i="16"/>
  <c r="W641" i="16" s="1"/>
  <c r="T640" i="16"/>
  <c r="W640" i="16" s="1"/>
  <c r="T639" i="16"/>
  <c r="W639" i="16" s="1"/>
  <c r="W710" i="16"/>
  <c r="W709" i="16"/>
  <c r="W707" i="16"/>
  <c r="W706" i="16"/>
  <c r="W705" i="16"/>
  <c r="W702" i="16"/>
  <c r="W668" i="16"/>
  <c r="W667" i="16"/>
  <c r="T606" i="16"/>
  <c r="W606" i="16" s="1"/>
  <c r="T605" i="16"/>
  <c r="W605" i="16" s="1"/>
  <c r="T604" i="16"/>
  <c r="W604" i="16" s="1"/>
  <c r="T603" i="16"/>
  <c r="W603" i="16" s="1"/>
  <c r="W602" i="16"/>
  <c r="T597" i="16"/>
  <c r="W597" i="16" s="1"/>
  <c r="T596" i="16"/>
  <c r="W596" i="16" s="1"/>
  <c r="T595" i="16"/>
  <c r="W595" i="16" s="1"/>
  <c r="T594" i="16"/>
  <c r="W594" i="16" s="1"/>
  <c r="T593" i="16"/>
  <c r="W593" i="16" s="1"/>
  <c r="T586" i="16"/>
  <c r="W586" i="16" s="1"/>
  <c r="W585" i="16"/>
  <c r="W584" i="16"/>
  <c r="W583" i="16"/>
  <c r="W582" i="16"/>
  <c r="T577" i="16"/>
  <c r="W577" i="16" s="1"/>
  <c r="T576" i="16"/>
  <c r="W576" i="16" s="1"/>
  <c r="W574" i="16"/>
  <c r="T573" i="16"/>
  <c r="W573" i="16" s="1"/>
  <c r="W572" i="16"/>
  <c r="T571" i="16"/>
  <c r="W571" i="16" s="1"/>
  <c r="W566" i="16"/>
  <c r="W565" i="16"/>
  <c r="W564" i="16"/>
  <c r="W563" i="16"/>
  <c r="W562" i="16"/>
  <c r="W561" i="16"/>
  <c r="W560" i="16"/>
  <c r="T553" i="16"/>
  <c r="W553" i="16" s="1"/>
  <c r="T552" i="16"/>
  <c r="W552" i="16" s="1"/>
  <c r="T551" i="16"/>
  <c r="W551" i="16" s="1"/>
  <c r="T550" i="16"/>
  <c r="W550" i="16" s="1"/>
  <c r="T549" i="16"/>
  <c r="W549" i="16" s="1"/>
  <c r="T544" i="16"/>
  <c r="W544" i="16" s="1"/>
  <c r="T543" i="16"/>
  <c r="W543" i="16" s="1"/>
  <c r="T542" i="16"/>
  <c r="W542" i="16" s="1"/>
  <c r="T541" i="16"/>
  <c r="W541" i="16" s="1"/>
  <c r="T540" i="16"/>
  <c r="W540" i="16" s="1"/>
  <c r="T539" i="16"/>
  <c r="W539" i="16" s="1"/>
  <c r="T538" i="16"/>
  <c r="W538" i="16" s="1"/>
  <c r="T537" i="16"/>
  <c r="W537" i="16" s="1"/>
  <c r="T536" i="16"/>
  <c r="W536" i="16" s="1"/>
  <c r="W531" i="16"/>
  <c r="W530" i="16"/>
  <c r="W529" i="16"/>
  <c r="W528" i="16"/>
  <c r="W527" i="16"/>
  <c r="T522" i="16"/>
  <c r="W522" i="16" s="1"/>
  <c r="T521" i="16"/>
  <c r="W521" i="16" s="1"/>
  <c r="T519" i="16"/>
  <c r="W519" i="16" s="1"/>
  <c r="T518" i="16"/>
  <c r="W518" i="16" s="1"/>
  <c r="T517" i="16"/>
  <c r="W517" i="16" s="1"/>
  <c r="T516" i="16"/>
  <c r="W516" i="16" s="1"/>
  <c r="T511" i="16"/>
  <c r="W511" i="16" s="1"/>
  <c r="T510" i="16"/>
  <c r="W510" i="16" s="1"/>
  <c r="T509" i="16"/>
  <c r="W509" i="16" s="1"/>
  <c r="T508" i="16"/>
  <c r="W508" i="16" s="1"/>
  <c r="T507" i="16"/>
  <c r="W507" i="16" s="1"/>
  <c r="T506" i="16"/>
  <c r="W506" i="16" s="1"/>
  <c r="T505" i="16"/>
  <c r="W505" i="16" s="1"/>
  <c r="W500" i="16"/>
  <c r="W499" i="16"/>
  <c r="W498" i="16"/>
  <c r="W497" i="16"/>
  <c r="W496" i="16"/>
  <c r="W491" i="16"/>
  <c r="W490" i="16"/>
  <c r="W489" i="16"/>
  <c r="W488" i="16"/>
  <c r="W487" i="16"/>
  <c r="W486" i="16"/>
  <c r="W485" i="16"/>
  <c r="W480" i="16"/>
  <c r="W479" i="16"/>
  <c r="W478" i="16"/>
  <c r="W477" i="16"/>
  <c r="W476" i="16"/>
  <c r="W471" i="16"/>
  <c r="W470" i="16"/>
  <c r="W469" i="16"/>
  <c r="W468" i="16"/>
  <c r="W467" i="16"/>
  <c r="W462" i="16"/>
  <c r="W461" i="16"/>
  <c r="W460" i="16"/>
  <c r="W459" i="16"/>
  <c r="W458" i="16"/>
  <c r="T453" i="16"/>
  <c r="W453" i="16" s="1"/>
  <c r="T452" i="16"/>
  <c r="W452" i="16" s="1"/>
  <c r="T450" i="16"/>
  <c r="W450" i="16" s="1"/>
  <c r="T449" i="16"/>
  <c r="W449" i="16" s="1"/>
  <c r="T448" i="16"/>
  <c r="W448" i="16" s="1"/>
  <c r="T447" i="16"/>
  <c r="W447" i="16" s="1"/>
  <c r="T446" i="16"/>
  <c r="W446" i="16" s="1"/>
  <c r="T445" i="16"/>
  <c r="W445" i="16" s="1"/>
  <c r="T439" i="16"/>
  <c r="W439" i="16" s="1"/>
  <c r="T437" i="16"/>
  <c r="W437" i="16" s="1"/>
  <c r="T436" i="16"/>
  <c r="W436" i="16" s="1"/>
  <c r="T435" i="16"/>
  <c r="W435" i="16" s="1"/>
  <c r="T434" i="16"/>
  <c r="W434" i="16" s="1"/>
  <c r="T429" i="16"/>
  <c r="W429" i="16" s="1"/>
  <c r="T428" i="16"/>
  <c r="W428" i="16" s="1"/>
  <c r="T427" i="16"/>
  <c r="W427" i="16" s="1"/>
  <c r="T426" i="16"/>
  <c r="W426" i="16" s="1"/>
  <c r="T425" i="16"/>
  <c r="W425" i="16" s="1"/>
  <c r="T424" i="16"/>
  <c r="W424" i="16" s="1"/>
  <c r="T423" i="16"/>
  <c r="W423" i="16" s="1"/>
  <c r="T422" i="16"/>
  <c r="W422" i="16" s="1"/>
  <c r="W421" i="16"/>
  <c r="T416" i="16"/>
  <c r="W416" i="16" s="1"/>
  <c r="T415" i="16"/>
  <c r="W415" i="16" s="1"/>
  <c r="T414" i="16"/>
  <c r="W414" i="16" s="1"/>
  <c r="T413" i="16"/>
  <c r="W413" i="16" s="1"/>
  <c r="T412" i="16"/>
  <c r="W412" i="16" s="1"/>
  <c r="W407" i="16"/>
  <c r="W406" i="16"/>
  <c r="W405" i="16"/>
  <c r="W404" i="16"/>
  <c r="W403" i="16"/>
  <c r="W398" i="16"/>
  <c r="W397" i="16"/>
  <c r="W396" i="16"/>
  <c r="T395" i="16"/>
  <c r="W395" i="16" s="1"/>
  <c r="W394" i="16"/>
  <c r="W389" i="16"/>
  <c r="W388" i="16"/>
  <c r="W387" i="16"/>
  <c r="W386" i="16"/>
  <c r="W385" i="16"/>
  <c r="W384" i="16"/>
  <c r="W383" i="16"/>
  <c r="W382" i="16"/>
  <c r="W381" i="16"/>
  <c r="T376" i="16"/>
  <c r="W376" i="16" s="1"/>
  <c r="T375" i="16"/>
  <c r="W375" i="16" s="1"/>
  <c r="T374" i="16"/>
  <c r="W374" i="16" s="1"/>
  <c r="T373" i="16"/>
  <c r="W373" i="16" s="1"/>
  <c r="T372" i="16"/>
  <c r="W372" i="16" s="1"/>
  <c r="T371" i="16"/>
  <c r="W371" i="16" s="1"/>
  <c r="T370" i="16"/>
  <c r="W370" i="16" s="1"/>
  <c r="T369" i="16"/>
  <c r="W369" i="16" s="1"/>
  <c r="T368" i="16"/>
  <c r="W368" i="16" s="1"/>
  <c r="T364" i="16"/>
  <c r="W364" i="16" s="1"/>
  <c r="T363" i="16"/>
  <c r="W363" i="16" s="1"/>
  <c r="T362" i="16"/>
  <c r="W362" i="16" s="1"/>
  <c r="W357" i="16"/>
  <c r="W358" i="16" s="1"/>
  <c r="W356" i="16"/>
  <c r="W355" i="16"/>
  <c r="T350" i="16"/>
  <c r="W350" i="16" s="1"/>
  <c r="T349" i="16"/>
  <c r="W349" i="16" s="1"/>
  <c r="T348" i="16"/>
  <c r="W348" i="16" s="1"/>
  <c r="T347" i="16"/>
  <c r="W347" i="16" s="1"/>
  <c r="T346" i="16"/>
  <c r="W346" i="16" s="1"/>
  <c r="W341" i="16"/>
  <c r="W340" i="16"/>
  <c r="W339" i="16"/>
  <c r="W338" i="16"/>
  <c r="W337" i="16"/>
  <c r="W332" i="16"/>
  <c r="W331" i="16"/>
  <c r="W330" i="16"/>
  <c r="W329" i="16"/>
  <c r="W328" i="16"/>
  <c r="T323" i="16"/>
  <c r="W323" i="16" s="1"/>
  <c r="T322" i="16"/>
  <c r="W322" i="16" s="1"/>
  <c r="T321" i="16"/>
  <c r="W321" i="16" s="1"/>
  <c r="T320" i="16"/>
  <c r="W320" i="16" s="1"/>
  <c r="T319" i="16"/>
  <c r="W319" i="16" s="1"/>
  <c r="T314" i="16"/>
  <c r="W314" i="16" s="1"/>
  <c r="T313" i="16"/>
  <c r="W313" i="16" s="1"/>
  <c r="T312" i="16"/>
  <c r="W312" i="16" s="1"/>
  <c r="T311" i="16"/>
  <c r="W311" i="16" s="1"/>
  <c r="T310" i="16"/>
  <c r="W310" i="16" s="1"/>
  <c r="W305" i="16"/>
  <c r="W304" i="16"/>
  <c r="W303" i="16"/>
  <c r="W302" i="16"/>
  <c r="W301" i="16"/>
  <c r="T295" i="16"/>
  <c r="W295" i="16" s="1"/>
  <c r="T293" i="16"/>
  <c r="W293" i="16" s="1"/>
  <c r="T292" i="16"/>
  <c r="W292" i="16" s="1"/>
  <c r="T291" i="16"/>
  <c r="W291" i="16" s="1"/>
  <c r="T290" i="16"/>
  <c r="W290" i="16" s="1"/>
  <c r="T285" i="16"/>
  <c r="W284" i="16"/>
  <c r="T283" i="16"/>
  <c r="W283" i="16" s="1"/>
  <c r="W282" i="16"/>
  <c r="T281" i="16"/>
  <c r="W281" i="16" s="1"/>
  <c r="W280" i="16"/>
  <c r="W279" i="16"/>
  <c r="W274" i="16"/>
  <c r="W272" i="16"/>
  <c r="W275" i="16" s="1"/>
  <c r="W271" i="16"/>
  <c r="W270" i="16"/>
  <c r="W269" i="16"/>
  <c r="W268" i="16"/>
  <c r="W262" i="16"/>
  <c r="W264" i="16" s="1"/>
  <c r="W259" i="16"/>
  <c r="Y260" i="16" s="1"/>
  <c r="T254" i="16"/>
  <c r="W254" i="16" s="1"/>
  <c r="T253" i="16"/>
  <c r="W253" i="16" s="1"/>
  <c r="T252" i="16"/>
  <c r="W252" i="16" s="1"/>
  <c r="T251" i="16"/>
  <c r="W251" i="16" s="1"/>
  <c r="T250" i="16"/>
  <c r="W250" i="16" s="1"/>
  <c r="T249" i="16"/>
  <c r="W249" i="16" s="1"/>
  <c r="T248" i="16"/>
  <c r="W248" i="16" s="1"/>
  <c r="T243" i="16"/>
  <c r="W243" i="16" s="1"/>
  <c r="T242" i="16"/>
  <c r="T241" i="16"/>
  <c r="W241" i="16" s="1"/>
  <c r="T237" i="16"/>
  <c r="W237" i="16" s="1"/>
  <c r="T235" i="16"/>
  <c r="W235" i="16" s="1"/>
  <c r="T231" i="16"/>
  <c r="W231" i="16" s="1"/>
  <c r="T230" i="16"/>
  <c r="W230" i="16" s="1"/>
  <c r="T229" i="16"/>
  <c r="W229" i="16" s="1"/>
  <c r="T224" i="16"/>
  <c r="W224" i="16" s="1"/>
  <c r="T223" i="16"/>
  <c r="W223" i="16" s="1"/>
  <c r="T222" i="16"/>
  <c r="W222" i="16" s="1"/>
  <c r="T221" i="16"/>
  <c r="W221" i="16" s="1"/>
  <c r="T220" i="16"/>
  <c r="W220" i="16" s="1"/>
  <c r="T216" i="16"/>
  <c r="W216" i="16" s="1"/>
  <c r="T215" i="16"/>
  <c r="W215" i="16" s="1"/>
  <c r="T214" i="16"/>
  <c r="W214" i="16" s="1"/>
  <c r="W209" i="16"/>
  <c r="W208" i="16"/>
  <c r="W207" i="16"/>
  <c r="W206" i="16"/>
  <c r="W205" i="16"/>
  <c r="W204" i="16"/>
  <c r="W203" i="16"/>
  <c r="W198" i="16"/>
  <c r="W197" i="16"/>
  <c r="W196" i="16"/>
  <c r="W195" i="16"/>
  <c r="W194" i="16"/>
  <c r="W193" i="16"/>
  <c r="W192" i="16"/>
  <c r="W187" i="16"/>
  <c r="W186" i="16"/>
  <c r="W185" i="16"/>
  <c r="W184" i="16"/>
  <c r="W183" i="16"/>
  <c r="W182" i="16"/>
  <c r="W180" i="16"/>
  <c r="T175" i="16"/>
  <c r="W175" i="16" s="1"/>
  <c r="W174" i="16"/>
  <c r="W173" i="16"/>
  <c r="W172" i="16"/>
  <c r="W171" i="16"/>
  <c r="W170" i="16"/>
  <c r="W169" i="16"/>
  <c r="T164" i="16"/>
  <c r="W164" i="16" s="1"/>
  <c r="W163" i="16"/>
  <c r="W162" i="16"/>
  <c r="W161" i="16"/>
  <c r="W160" i="16"/>
  <c r="W159" i="16"/>
  <c r="W158" i="16"/>
  <c r="T153" i="16"/>
  <c r="W153" i="16" s="1"/>
  <c r="W152" i="16"/>
  <c r="W151" i="16"/>
  <c r="W150" i="16"/>
  <c r="W149" i="16"/>
  <c r="W148" i="16"/>
  <c r="W147" i="16"/>
  <c r="W142" i="16"/>
  <c r="W141" i="16"/>
  <c r="W140" i="16"/>
  <c r="W139" i="16"/>
  <c r="W138" i="16"/>
  <c r="W137" i="16"/>
  <c r="W136" i="16"/>
  <c r="T131" i="16"/>
  <c r="W131" i="16" s="1"/>
  <c r="T130" i="16"/>
  <c r="W130" i="16" s="1"/>
  <c r="T129" i="16"/>
  <c r="W129" i="16" s="1"/>
  <c r="T128" i="16"/>
  <c r="W128" i="16" s="1"/>
  <c r="T127" i="16"/>
  <c r="W127" i="16" s="1"/>
  <c r="W122" i="16"/>
  <c r="T121" i="16"/>
  <c r="W121" i="16" s="1"/>
  <c r="T119" i="16"/>
  <c r="W119" i="16" s="1"/>
  <c r="W118" i="16"/>
  <c r="T113" i="16"/>
  <c r="W113" i="16" s="1"/>
  <c r="T112" i="16"/>
  <c r="W112" i="16" s="1"/>
  <c r="T111" i="16"/>
  <c r="W111" i="16" s="1"/>
  <c r="W110" i="16"/>
  <c r="T109" i="16"/>
  <c r="W109" i="16" s="1"/>
  <c r="T108" i="16"/>
  <c r="W108" i="16" s="1"/>
  <c r="W107" i="16"/>
  <c r="W106" i="16"/>
  <c r="W105" i="16"/>
  <c r="T100" i="16"/>
  <c r="W100" i="16" s="1"/>
  <c r="T99" i="16"/>
  <c r="W99" i="16" s="1"/>
  <c r="T98" i="16"/>
  <c r="W98" i="16" s="1"/>
  <c r="T97" i="16"/>
  <c r="W97" i="16" s="1"/>
  <c r="T96" i="16"/>
  <c r="W96" i="16" s="1"/>
  <c r="W91" i="16"/>
  <c r="T90" i="16"/>
  <c r="W90" i="16" s="1"/>
  <c r="T89" i="16"/>
  <c r="W89" i="16" s="1"/>
  <c r="T84" i="16"/>
  <c r="W84" i="16" s="1"/>
  <c r="T83" i="16"/>
  <c r="W83" i="16" s="1"/>
  <c r="T82" i="16"/>
  <c r="W82" i="16" s="1"/>
  <c r="T81" i="16"/>
  <c r="W81" i="16" s="1"/>
  <c r="T80" i="16"/>
  <c r="W80" i="16" s="1"/>
  <c r="T79" i="16"/>
  <c r="W79" i="16" s="1"/>
  <c r="T78" i="16"/>
  <c r="W78" i="16" s="1"/>
  <c r="T73" i="16"/>
  <c r="W73" i="16" s="1"/>
  <c r="T72" i="16"/>
  <c r="W72" i="16" s="1"/>
  <c r="T71" i="16"/>
  <c r="W71" i="16" s="1"/>
  <c r="T70" i="16"/>
  <c r="W70" i="16" s="1"/>
  <c r="T69" i="16"/>
  <c r="W69" i="16" s="1"/>
  <c r="T64" i="16"/>
  <c r="W64" i="16" s="1"/>
  <c r="T63" i="16"/>
  <c r="W63" i="16" s="1"/>
  <c r="T62" i="16"/>
  <c r="W62" i="16" s="1"/>
  <c r="T61" i="16"/>
  <c r="W61" i="16" s="1"/>
  <c r="T60" i="16"/>
  <c r="W60" i="16" s="1"/>
  <c r="T59" i="16"/>
  <c r="W59" i="16" s="1"/>
  <c r="T58" i="16"/>
  <c r="W58" i="16" s="1"/>
  <c r="T57" i="16"/>
  <c r="W57" i="16" s="1"/>
  <c r="T56" i="16"/>
  <c r="W56" i="16" s="1"/>
  <c r="W51" i="16"/>
  <c r="W50" i="16"/>
  <c r="W49" i="16"/>
  <c r="W48" i="16"/>
  <c r="W47" i="16"/>
  <c r="W46" i="16"/>
  <c r="W45" i="16"/>
  <c r="W40" i="16"/>
  <c r="W39" i="16"/>
  <c r="W38" i="16"/>
  <c r="W36" i="16"/>
  <c r="W35" i="16"/>
  <c r="T29" i="16"/>
  <c r="W29" i="16" s="1"/>
  <c r="T28" i="16"/>
  <c r="W28" i="16" s="1"/>
  <c r="T27" i="16"/>
  <c r="W27" i="16" s="1"/>
  <c r="T26" i="16"/>
  <c r="W26" i="16" s="1"/>
  <c r="T25" i="16"/>
  <c r="W25" i="16" s="1"/>
  <c r="W20" i="16"/>
  <c r="W19" i="16"/>
  <c r="W18" i="16"/>
  <c r="W17" i="16"/>
  <c r="W16" i="16"/>
  <c r="W15" i="16"/>
  <c r="W14" i="16"/>
  <c r="W9" i="16"/>
  <c r="W8" i="16"/>
  <c r="W7" i="16"/>
  <c r="W6" i="16"/>
  <c r="Y630" i="16" l="1"/>
  <c r="Y183" i="16"/>
  <c r="Y281" i="16"/>
  <c r="Y784" i="16"/>
  <c r="W779" i="16"/>
  <c r="AP31" i="5"/>
  <c r="W132" i="16"/>
  <c r="AB70" i="5"/>
  <c r="W616" i="16"/>
  <c r="Y612" i="16"/>
  <c r="W625" i="16"/>
  <c r="Y655" i="16"/>
  <c r="Y621" i="16"/>
  <c r="W512" i="16"/>
  <c r="W661" i="16"/>
  <c r="W501" i="16"/>
  <c r="W634" i="16"/>
  <c r="W286" i="16"/>
  <c r="Y302" i="16"/>
  <c r="Y413" i="16"/>
  <c r="W30" i="16"/>
  <c r="Y762" i="16"/>
  <c r="W766" i="16"/>
  <c r="W52" i="16"/>
  <c r="Y347" i="16"/>
  <c r="Y338" i="16"/>
  <c r="W351" i="16"/>
  <c r="Y59" i="16"/>
  <c r="W165" i="16"/>
  <c r="Y751" i="16"/>
  <c r="Y459" i="16"/>
  <c r="Y329" i="16"/>
  <c r="W532" i="16"/>
  <c r="Y773" i="16"/>
  <c r="W757" i="16"/>
  <c r="W744" i="16"/>
  <c r="Y738" i="16"/>
  <c r="W801" i="16"/>
  <c r="Y795" i="16"/>
  <c r="W492" i="16"/>
  <c r="Y716" i="16"/>
  <c r="Y551" i="16"/>
  <c r="Y705" i="16"/>
  <c r="Y70" i="16"/>
  <c r="Y395" i="16"/>
  <c r="W399" i="16"/>
  <c r="W711" i="16"/>
  <c r="W720" i="16"/>
  <c r="W41" i="16"/>
  <c r="Y80" i="16"/>
  <c r="W545" i="16"/>
  <c r="Y594" i="16"/>
  <c r="Y311" i="16"/>
  <c r="W788" i="16"/>
  <c r="Y477" i="16"/>
  <c r="Y221" i="16"/>
  <c r="W315" i="16"/>
  <c r="Y404" i="16"/>
  <c r="W472" i="16"/>
  <c r="Y487" i="16"/>
  <c r="Y497" i="16"/>
  <c r="Y26" i="16"/>
  <c r="Y584" i="16"/>
  <c r="W481" i="16"/>
  <c r="W10" i="16"/>
  <c r="W306" i="16"/>
  <c r="W333" i="16"/>
  <c r="Y436" i="16"/>
  <c r="W648" i="16"/>
  <c r="Y642" i="16"/>
  <c r="W669" i="16"/>
  <c r="Y603" i="16"/>
  <c r="W567" i="16"/>
  <c r="W463" i="16"/>
  <c r="W430" i="16"/>
  <c r="W408" i="16"/>
  <c r="Y384" i="16"/>
  <c r="W342" i="16"/>
  <c r="Y292" i="16"/>
  <c r="Y270" i="16"/>
  <c r="W225" i="16"/>
  <c r="Y128" i="16"/>
  <c r="W123" i="16"/>
  <c r="Y119" i="16"/>
  <c r="Y108" i="16"/>
  <c r="W101" i="16"/>
  <c r="Y97" i="16"/>
  <c r="W85" i="16"/>
  <c r="W65" i="16"/>
  <c r="Y47" i="16"/>
  <c r="W21" i="16"/>
  <c r="Y16" i="16"/>
  <c r="AB5" i="5" s="1"/>
  <c r="Y149" i="16"/>
  <c r="Y250" i="16"/>
  <c r="W377" i="16"/>
  <c r="W417" i="16"/>
  <c r="Y448" i="16"/>
  <c r="W74" i="16"/>
  <c r="W598" i="16"/>
  <c r="W188" i="16"/>
  <c r="W324" i="16"/>
  <c r="Y518" i="16"/>
  <c r="T438" i="16"/>
  <c r="W438" i="16" s="1"/>
  <c r="T440" i="16"/>
  <c r="W440" i="16" s="1"/>
  <c r="T587" i="16"/>
  <c r="W587" i="16" s="1"/>
  <c r="Y160" i="16"/>
  <c r="W199" i="16"/>
  <c r="W294" i="16"/>
  <c r="T296" i="16"/>
  <c r="W296" i="16" s="1"/>
  <c r="Y320" i="16"/>
  <c r="T554" i="16"/>
  <c r="W554" i="16" s="1"/>
  <c r="W607" i="16"/>
  <c r="W143" i="16"/>
  <c r="Y194" i="16"/>
  <c r="T451" i="16"/>
  <c r="W451" i="16" s="1"/>
  <c r="W454" i="16" s="1"/>
  <c r="Y562" i="16"/>
  <c r="T575" i="16"/>
  <c r="W575" i="16" s="1"/>
  <c r="W578" i="16" s="1"/>
  <c r="Y138" i="16"/>
  <c r="W114" i="16"/>
  <c r="Y171" i="16"/>
  <c r="W210" i="16"/>
  <c r="Y424" i="16"/>
  <c r="Y507" i="16"/>
  <c r="T520" i="16"/>
  <c r="W520" i="16" s="1"/>
  <c r="W523" i="16" s="1"/>
  <c r="T588" i="16"/>
  <c r="W588" i="16" s="1"/>
  <c r="W176" i="16"/>
  <c r="W154" i="16"/>
  <c r="Y205" i="16"/>
  <c r="W255" i="16"/>
  <c r="Y371" i="16"/>
  <c r="W390" i="16"/>
  <c r="Y468" i="16"/>
  <c r="Y528" i="16"/>
  <c r="Y539" i="16"/>
  <c r="W555" i="16"/>
  <c r="Y573" i="16"/>
  <c r="BI94" i="5"/>
  <c r="BH119" i="5"/>
  <c r="AB67" i="5" l="1"/>
  <c r="AB21" i="5"/>
  <c r="AP69" i="5"/>
  <c r="AP67" i="5"/>
  <c r="AB69" i="5"/>
  <c r="AP61" i="5"/>
  <c r="AP45" i="5"/>
  <c r="AP51" i="5"/>
  <c r="AB22" i="5"/>
  <c r="AB11" i="5"/>
  <c r="AP32" i="5"/>
  <c r="AP23" i="5"/>
  <c r="AP26" i="5"/>
  <c r="AB75" i="5"/>
  <c r="AP57" i="5"/>
  <c r="AP56" i="5"/>
  <c r="AP22" i="5"/>
  <c r="AB19" i="5"/>
  <c r="AP10" i="5"/>
  <c r="AP50" i="5"/>
  <c r="AB23" i="5"/>
  <c r="AB20" i="5"/>
  <c r="AP46" i="5"/>
  <c r="AP11" i="5"/>
  <c r="AP52" i="5"/>
  <c r="AP75" i="5"/>
  <c r="AB32" i="5"/>
  <c r="AB18" i="5"/>
  <c r="AP21" i="5"/>
  <c r="AB10" i="5"/>
  <c r="AP49" i="5"/>
  <c r="AB14" i="5"/>
  <c r="AP14" i="5"/>
  <c r="AP81" i="5"/>
  <c r="AP44" i="5"/>
  <c r="AP20" i="5"/>
  <c r="AP19" i="5"/>
  <c r="AP18" i="5"/>
  <c r="AB17" i="5"/>
  <c r="AP17" i="5"/>
  <c r="AP68" i="5"/>
  <c r="AB66" i="5"/>
  <c r="AP66" i="5"/>
  <c r="AB68" i="5"/>
  <c r="AB31" i="5"/>
  <c r="AB55" i="5"/>
  <c r="AP55" i="5"/>
  <c r="AP79" i="5"/>
  <c r="AB79" i="5"/>
  <c r="AP70" i="5"/>
  <c r="W589" i="16"/>
  <c r="W556" i="16"/>
  <c r="W441" i="16"/>
  <c r="W297" i="16"/>
  <c r="BG96" i="5"/>
  <c r="BG99" i="5"/>
  <c r="BG95" i="5"/>
  <c r="AP33" i="5" l="1"/>
  <c r="AP48" i="5"/>
  <c r="AP59" i="5"/>
  <c r="AP62" i="5"/>
  <c r="BI113" i="5"/>
  <c r="BI98" i="5" l="1"/>
  <c r="AF128" i="15"/>
  <c r="AV119" i="15"/>
  <c r="AU119" i="15"/>
  <c r="AT119" i="15"/>
  <c r="AS119" i="15"/>
  <c r="AQ119" i="15"/>
  <c r="AP119" i="15"/>
  <c r="AI119" i="15"/>
  <c r="AH119" i="15"/>
  <c r="AG119" i="15"/>
  <c r="AE119" i="15"/>
  <c r="V119" i="15"/>
  <c r="U119" i="15"/>
  <c r="T119" i="15"/>
  <c r="R119" i="15"/>
  <c r="AI118" i="15"/>
  <c r="AH118" i="15"/>
  <c r="AG118" i="15"/>
  <c r="AE118" i="15"/>
  <c r="V118" i="15"/>
  <c r="U118" i="15"/>
  <c r="T118" i="15"/>
  <c r="R118" i="15"/>
  <c r="AV117" i="15"/>
  <c r="AU117" i="15"/>
  <c r="AT117" i="15"/>
  <c r="AQ117" i="15"/>
  <c r="AI117" i="15"/>
  <c r="AH117" i="15"/>
  <c r="AG117" i="15"/>
  <c r="AE117" i="15"/>
  <c r="V117" i="15"/>
  <c r="U117" i="15"/>
  <c r="T117" i="15"/>
  <c r="R117" i="15"/>
  <c r="AV116" i="15"/>
  <c r="AU116" i="15"/>
  <c r="AT116" i="15"/>
  <c r="AQ116" i="15"/>
  <c r="AI116" i="15"/>
  <c r="AH116" i="15"/>
  <c r="AG116" i="15"/>
  <c r="AE116" i="15"/>
  <c r="V116" i="15"/>
  <c r="U116" i="15"/>
  <c r="T116" i="15"/>
  <c r="R116" i="15"/>
  <c r="AV115" i="15"/>
  <c r="AT115" i="15"/>
  <c r="AQ115" i="15"/>
  <c r="AI115" i="15"/>
  <c r="AH115" i="15"/>
  <c r="AG115" i="15"/>
  <c r="AE115" i="15"/>
  <c r="V115" i="15"/>
  <c r="U115" i="15"/>
  <c r="T115" i="15"/>
  <c r="R115" i="15"/>
  <c r="AV114" i="15"/>
  <c r="AU114" i="15"/>
  <c r="AT114" i="15"/>
  <c r="AQ114" i="15"/>
  <c r="AI114" i="15"/>
  <c r="AH114" i="15"/>
  <c r="AG114" i="15"/>
  <c r="AE114" i="15"/>
  <c r="V114" i="15"/>
  <c r="U114" i="15"/>
  <c r="T114" i="15"/>
  <c r="R114" i="15"/>
  <c r="BL113" i="15"/>
  <c r="BC113" i="15"/>
  <c r="AV113" i="15"/>
  <c r="AU113" i="15"/>
  <c r="AT113" i="15"/>
  <c r="AS113" i="15"/>
  <c r="AQ113" i="15"/>
  <c r="AP113" i="15"/>
  <c r="AI113" i="15"/>
  <c r="BI113" i="15" s="1"/>
  <c r="AH113" i="15"/>
  <c r="AG113" i="15"/>
  <c r="AE113" i="15"/>
  <c r="V113" i="15"/>
  <c r="U113" i="15"/>
  <c r="T113" i="15"/>
  <c r="R113" i="15"/>
  <c r="BC112" i="15"/>
  <c r="AV112" i="15"/>
  <c r="AU112" i="15"/>
  <c r="AT112" i="15"/>
  <c r="AS112" i="15"/>
  <c r="AQ112" i="15"/>
  <c r="AP112" i="15"/>
  <c r="AI112" i="15"/>
  <c r="BI112" i="15" s="1"/>
  <c r="AH112" i="15"/>
  <c r="AG112" i="15"/>
  <c r="AE112" i="15"/>
  <c r="V112" i="15"/>
  <c r="U112" i="15"/>
  <c r="T112" i="15"/>
  <c r="R112" i="15"/>
  <c r="BF111" i="15"/>
  <c r="BC111" i="15"/>
  <c r="AV111" i="15"/>
  <c r="AU111" i="15"/>
  <c r="AT111" i="15"/>
  <c r="AQ111" i="15"/>
  <c r="AI111" i="15"/>
  <c r="AH111" i="15"/>
  <c r="AG111" i="15"/>
  <c r="AE111" i="15"/>
  <c r="V111" i="15"/>
  <c r="U111" i="15"/>
  <c r="T111" i="15"/>
  <c r="R111" i="15"/>
  <c r="BF110" i="15"/>
  <c r="BC110" i="15"/>
  <c r="AQ110" i="15"/>
  <c r="AI110" i="15"/>
  <c r="AH110" i="15"/>
  <c r="AG110" i="15"/>
  <c r="AE110" i="15"/>
  <c r="V110" i="15"/>
  <c r="U110" i="15"/>
  <c r="T110" i="15"/>
  <c r="R110" i="15"/>
  <c r="BH109" i="15"/>
  <c r="BC109" i="15"/>
  <c r="AV109" i="15"/>
  <c r="AU109" i="15"/>
  <c r="AT109" i="15"/>
  <c r="AS109" i="15"/>
  <c r="AQ109" i="15"/>
  <c r="AP109" i="15"/>
  <c r="AI109" i="15"/>
  <c r="AH109" i="15"/>
  <c r="AG109" i="15"/>
  <c r="AE109" i="15"/>
  <c r="V109" i="15"/>
  <c r="U109" i="15"/>
  <c r="T109" i="15"/>
  <c r="R109" i="15"/>
  <c r="BC108" i="15"/>
  <c r="AV108" i="15"/>
  <c r="AU108" i="15"/>
  <c r="AT108" i="15"/>
  <c r="AQ108" i="15"/>
  <c r="AI108" i="15"/>
  <c r="BI108" i="15" s="1"/>
  <c r="AH108" i="15"/>
  <c r="AG108" i="15"/>
  <c r="AE108" i="15"/>
  <c r="V108" i="15"/>
  <c r="U108" i="15"/>
  <c r="T108" i="15"/>
  <c r="R108" i="15"/>
  <c r="BD107" i="15"/>
  <c r="BC107" i="15"/>
  <c r="AV107" i="15"/>
  <c r="AU107" i="15"/>
  <c r="AT107" i="15"/>
  <c r="AQ107" i="15"/>
  <c r="AI107" i="15"/>
  <c r="AH107" i="15"/>
  <c r="AG107" i="15"/>
  <c r="AE107" i="15"/>
  <c r="V107" i="15"/>
  <c r="U107" i="15"/>
  <c r="T107" i="15"/>
  <c r="R107" i="15"/>
  <c r="BI106" i="15"/>
  <c r="BC106" i="15"/>
  <c r="AV106" i="15"/>
  <c r="AU106" i="15"/>
  <c r="AT106" i="15"/>
  <c r="AQ106" i="15"/>
  <c r="AI106" i="15"/>
  <c r="AH106" i="15"/>
  <c r="AG106" i="15"/>
  <c r="AE106" i="15"/>
  <c r="V106" i="15"/>
  <c r="U106" i="15"/>
  <c r="T106" i="15"/>
  <c r="R106" i="15"/>
  <c r="BI105" i="15"/>
  <c r="BC105" i="15"/>
  <c r="AV105" i="15"/>
  <c r="AU105" i="15"/>
  <c r="AT105" i="15"/>
  <c r="AQ105" i="15"/>
  <c r="AI105" i="15"/>
  <c r="AH105" i="15"/>
  <c r="AG105" i="15"/>
  <c r="AE105" i="15"/>
  <c r="V105" i="15"/>
  <c r="U105" i="15"/>
  <c r="T105" i="15"/>
  <c r="R105" i="15"/>
  <c r="BC104" i="15"/>
  <c r="AV104" i="15"/>
  <c r="AU104" i="15"/>
  <c r="AT104" i="15"/>
  <c r="AQ104" i="15"/>
  <c r="AI104" i="15"/>
  <c r="BI104" i="15" s="1"/>
  <c r="AH104" i="15"/>
  <c r="AG104" i="15"/>
  <c r="AE104" i="15"/>
  <c r="V104" i="15"/>
  <c r="U104" i="15"/>
  <c r="T104" i="15"/>
  <c r="R104" i="15"/>
  <c r="BI103" i="15"/>
  <c r="BC103" i="15"/>
  <c r="AV103" i="15"/>
  <c r="AU103" i="15"/>
  <c r="AT103" i="15"/>
  <c r="AQ103" i="15"/>
  <c r="AI103" i="15"/>
  <c r="AH103" i="15"/>
  <c r="AG103" i="15"/>
  <c r="AE103" i="15"/>
  <c r="V103" i="15"/>
  <c r="U103" i="15"/>
  <c r="T103" i="15"/>
  <c r="R103" i="15"/>
  <c r="BC102" i="15"/>
  <c r="AV102" i="15"/>
  <c r="AU102" i="15"/>
  <c r="AT102" i="15"/>
  <c r="AQ102" i="15"/>
  <c r="AI102" i="15"/>
  <c r="BI102" i="15" s="1"/>
  <c r="AH102" i="15"/>
  <c r="AG102" i="15"/>
  <c r="AE102" i="15"/>
  <c r="V102" i="15"/>
  <c r="U102" i="15"/>
  <c r="T102" i="15"/>
  <c r="R102" i="15"/>
  <c r="BC101" i="15"/>
  <c r="AV101" i="15"/>
  <c r="AU101" i="15"/>
  <c r="AT101" i="15"/>
  <c r="AS101" i="15"/>
  <c r="AQ101" i="15"/>
  <c r="AP101" i="15"/>
  <c r="AI101" i="15"/>
  <c r="BI101" i="15" s="1"/>
  <c r="AH101" i="15"/>
  <c r="AG101" i="15"/>
  <c r="AE101" i="15"/>
  <c r="V101" i="15"/>
  <c r="U101" i="15"/>
  <c r="T101" i="15"/>
  <c r="R101" i="15"/>
  <c r="BH100" i="15"/>
  <c r="BG100" i="15"/>
  <c r="BE100" i="15"/>
  <c r="BD100" i="15"/>
  <c r="BB100" i="15"/>
  <c r="BC100" i="15" s="1"/>
  <c r="AV100" i="15"/>
  <c r="AU100" i="15"/>
  <c r="AT100" i="15"/>
  <c r="AS100" i="15"/>
  <c r="AQ100" i="15"/>
  <c r="AP100" i="15"/>
  <c r="AI100" i="15"/>
  <c r="AH100" i="15"/>
  <c r="AG100" i="15"/>
  <c r="AE100" i="15"/>
  <c r="V100" i="15"/>
  <c r="U100" i="15"/>
  <c r="T100" i="15"/>
  <c r="R100" i="15"/>
  <c r="BH99" i="15"/>
  <c r="BG99" i="15"/>
  <c r="BE99" i="15"/>
  <c r="BD99" i="15"/>
  <c r="BC99" i="15"/>
  <c r="BB99" i="15"/>
  <c r="AV99" i="15"/>
  <c r="AU99" i="15"/>
  <c r="AT99" i="15"/>
  <c r="AS99" i="15"/>
  <c r="AQ99" i="15"/>
  <c r="AP99" i="15"/>
  <c r="AI99" i="15"/>
  <c r="AH99" i="15"/>
  <c r="AG99" i="15"/>
  <c r="AE99" i="15"/>
  <c r="V99" i="15"/>
  <c r="U99" i="15"/>
  <c r="T99" i="15"/>
  <c r="R99" i="15"/>
  <c r="BH98" i="15"/>
  <c r="BG98" i="15"/>
  <c r="BI98" i="15" s="1"/>
  <c r="BE98" i="15"/>
  <c r="BD98" i="15"/>
  <c r="BB98" i="15"/>
  <c r="BC98" i="15" s="1"/>
  <c r="AV98" i="15"/>
  <c r="AU98" i="15"/>
  <c r="AT98" i="15"/>
  <c r="AS98" i="15"/>
  <c r="AQ98" i="15"/>
  <c r="AP98" i="15"/>
  <c r="AI98" i="15"/>
  <c r="AH98" i="15"/>
  <c r="AG98" i="15"/>
  <c r="AE98" i="15"/>
  <c r="V98" i="15"/>
  <c r="U98" i="15"/>
  <c r="T98" i="15"/>
  <c r="R98" i="15"/>
  <c r="BD97" i="15"/>
  <c r="BC97" i="15"/>
  <c r="AI97" i="15"/>
  <c r="AH97" i="15"/>
  <c r="AG97" i="15"/>
  <c r="AE97" i="15"/>
  <c r="V97" i="15"/>
  <c r="U97" i="15"/>
  <c r="T97" i="15"/>
  <c r="R97" i="15"/>
  <c r="BI96" i="15"/>
  <c r="BC96" i="15"/>
  <c r="AV96" i="15"/>
  <c r="AU96" i="15"/>
  <c r="AT96" i="15"/>
  <c r="AQ96" i="15"/>
  <c r="AI96" i="15"/>
  <c r="AH96" i="15"/>
  <c r="AG96" i="15"/>
  <c r="AE96" i="15"/>
  <c r="V96" i="15"/>
  <c r="U96" i="15"/>
  <c r="T96" i="15"/>
  <c r="R96" i="15"/>
  <c r="AI95" i="15"/>
  <c r="AH95" i="15"/>
  <c r="AG95" i="15"/>
  <c r="AE95" i="15"/>
  <c r="BC94" i="15"/>
  <c r="AI94" i="15"/>
  <c r="AH94" i="15"/>
  <c r="AG94" i="15"/>
  <c r="AE94" i="15"/>
  <c r="V94" i="15"/>
  <c r="U94" i="15"/>
  <c r="T94" i="15"/>
  <c r="R94" i="15"/>
  <c r="BC93" i="15"/>
  <c r="AV93" i="15"/>
  <c r="AU93" i="15"/>
  <c r="AT93" i="15"/>
  <c r="AQ93" i="15"/>
  <c r="AI93" i="15"/>
  <c r="BI93" i="15" s="1"/>
  <c r="AH93" i="15"/>
  <c r="AG93" i="15"/>
  <c r="AE93" i="15"/>
  <c r="V93" i="15"/>
  <c r="U93" i="15"/>
  <c r="T93" i="15"/>
  <c r="R93" i="15"/>
  <c r="BI92" i="15"/>
  <c r="BC92" i="15"/>
  <c r="AV92" i="15"/>
  <c r="AU92" i="15"/>
  <c r="AT92" i="15"/>
  <c r="AQ92" i="15"/>
  <c r="AI92" i="15"/>
  <c r="AH92" i="15"/>
  <c r="AG92" i="15"/>
  <c r="AE92" i="15"/>
  <c r="V92" i="15"/>
  <c r="U92" i="15"/>
  <c r="T92" i="15"/>
  <c r="R92" i="15"/>
  <c r="BD91" i="15"/>
  <c r="BC91" i="15"/>
  <c r="AV91" i="15"/>
  <c r="AU91" i="15"/>
  <c r="AT91" i="15"/>
  <c r="AQ91" i="15"/>
  <c r="AI91" i="15"/>
  <c r="AH91" i="15"/>
  <c r="AG91" i="15"/>
  <c r="AE91" i="15"/>
  <c r="V91" i="15"/>
  <c r="U91" i="15"/>
  <c r="T91" i="15"/>
  <c r="R91" i="15"/>
  <c r="BC90" i="15"/>
  <c r="AV90" i="15"/>
  <c r="AU90" i="15"/>
  <c r="AT90" i="15"/>
  <c r="AS90" i="15"/>
  <c r="AQ90" i="15"/>
  <c r="AP90" i="15"/>
  <c r="AI90" i="15"/>
  <c r="BI90" i="15" s="1"/>
  <c r="AH90" i="15"/>
  <c r="AG90" i="15"/>
  <c r="AE90" i="15"/>
  <c r="V90" i="15"/>
  <c r="U90" i="15"/>
  <c r="T90" i="15"/>
  <c r="R90" i="15"/>
  <c r="BC89" i="15"/>
  <c r="AV89" i="15"/>
  <c r="AU89" i="15"/>
  <c r="AT89" i="15"/>
  <c r="AQ89" i="15"/>
  <c r="AI89" i="15"/>
  <c r="BI89" i="15" s="1"/>
  <c r="AH89" i="15"/>
  <c r="AG89" i="15"/>
  <c r="AE89" i="15"/>
  <c r="V89" i="15"/>
  <c r="U89" i="15"/>
  <c r="T89" i="15"/>
  <c r="R89" i="15"/>
  <c r="BC88" i="15"/>
  <c r="AV88" i="15"/>
  <c r="AT88" i="15"/>
  <c r="AQ88" i="15"/>
  <c r="AI88" i="15"/>
  <c r="BI88" i="15" s="1"/>
  <c r="AH88" i="15"/>
  <c r="AG88" i="15"/>
  <c r="AE88" i="15"/>
  <c r="V88" i="15"/>
  <c r="U88" i="15"/>
  <c r="T88" i="15"/>
  <c r="R88" i="15"/>
  <c r="BC87" i="15"/>
  <c r="AV87" i="15"/>
  <c r="AU87" i="15"/>
  <c r="AT87" i="15"/>
  <c r="AS87" i="15"/>
  <c r="AQ87" i="15"/>
  <c r="AP87" i="15"/>
  <c r="AI87" i="15"/>
  <c r="BI87" i="15" s="1"/>
  <c r="AH87" i="15"/>
  <c r="AG87" i="15"/>
  <c r="AE87" i="15"/>
  <c r="V87" i="15"/>
  <c r="U87" i="15"/>
  <c r="T87" i="15"/>
  <c r="R87" i="15"/>
  <c r="BI86" i="15"/>
  <c r="BC86" i="15"/>
  <c r="AV86" i="15"/>
  <c r="AU86" i="15"/>
  <c r="AT86" i="15"/>
  <c r="AQ86" i="15"/>
  <c r="AI86" i="15"/>
  <c r="AH86" i="15"/>
  <c r="AG86" i="15"/>
  <c r="AE86" i="15"/>
  <c r="V86" i="15"/>
  <c r="U86" i="15"/>
  <c r="T86" i="15"/>
  <c r="R86" i="15"/>
  <c r="BC85" i="15"/>
  <c r="AV85" i="15"/>
  <c r="AU85" i="15"/>
  <c r="AT85" i="15"/>
  <c r="AS85" i="15"/>
  <c r="AQ85" i="15"/>
  <c r="AP85" i="15"/>
  <c r="AI85" i="15"/>
  <c r="AH85" i="15"/>
  <c r="AG85" i="15"/>
  <c r="AE85" i="15"/>
  <c r="V85" i="15"/>
  <c r="U85" i="15"/>
  <c r="T85" i="15"/>
  <c r="R85" i="15"/>
  <c r="BC84" i="15"/>
  <c r="AV84" i="15"/>
  <c r="AU84" i="15"/>
  <c r="AT84" i="15"/>
  <c r="AQ84" i="15"/>
  <c r="AI84" i="15"/>
  <c r="BI84" i="15" s="1"/>
  <c r="AH84" i="15"/>
  <c r="AG84" i="15"/>
  <c r="AE84" i="15"/>
  <c r="V84" i="15"/>
  <c r="U84" i="15"/>
  <c r="T84" i="15"/>
  <c r="R84" i="15"/>
  <c r="BC83" i="15"/>
  <c r="AV83" i="15"/>
  <c r="AU83" i="15"/>
  <c r="AT83" i="15"/>
  <c r="AS83" i="15"/>
  <c r="AQ83" i="15"/>
  <c r="AP83" i="15"/>
  <c r="AI83" i="15"/>
  <c r="BI83" i="15" s="1"/>
  <c r="AH83" i="15"/>
  <c r="AG83" i="15"/>
  <c r="AE83" i="15"/>
  <c r="V83" i="15"/>
  <c r="U83" i="15"/>
  <c r="T83" i="15"/>
  <c r="R83" i="15"/>
  <c r="BC82" i="15"/>
  <c r="AV82" i="15"/>
  <c r="AU82" i="15"/>
  <c r="AT82" i="15"/>
  <c r="AS82" i="15"/>
  <c r="AQ82" i="15"/>
  <c r="AP82" i="15"/>
  <c r="AI82" i="15"/>
  <c r="BI82" i="15" s="1"/>
  <c r="AH82" i="15"/>
  <c r="AG82" i="15"/>
  <c r="AE82" i="15"/>
  <c r="V82" i="15"/>
  <c r="U82" i="15"/>
  <c r="T82" i="15"/>
  <c r="R82" i="15"/>
  <c r="BH81" i="15"/>
  <c r="BC81" i="15"/>
  <c r="AV81" i="15"/>
  <c r="AU81" i="15"/>
  <c r="AT81" i="15"/>
  <c r="AQ81" i="15"/>
  <c r="AI81" i="15"/>
  <c r="AH81" i="15"/>
  <c r="AG81" i="15"/>
  <c r="AE81" i="15"/>
  <c r="V81" i="15"/>
  <c r="U81" i="15"/>
  <c r="T81" i="15"/>
  <c r="R81" i="15"/>
  <c r="BD80" i="15"/>
  <c r="BC80" i="15"/>
  <c r="AV80" i="15"/>
  <c r="AU80" i="15"/>
  <c r="AT80" i="15"/>
  <c r="AS80" i="15"/>
  <c r="AQ80" i="15"/>
  <c r="AP80" i="15"/>
  <c r="AI80" i="15"/>
  <c r="AH80" i="15"/>
  <c r="AG80" i="15"/>
  <c r="AE80" i="15"/>
  <c r="V80" i="15"/>
  <c r="U80" i="15"/>
  <c r="T80" i="15"/>
  <c r="R80" i="15"/>
  <c r="BC79" i="15"/>
  <c r="AV79" i="15"/>
  <c r="AU79" i="15"/>
  <c r="AT79" i="15"/>
  <c r="AS79" i="15"/>
  <c r="AQ79" i="15"/>
  <c r="AP79" i="15"/>
  <c r="AI79" i="15"/>
  <c r="BI79" i="15" s="1"/>
  <c r="AH79" i="15"/>
  <c r="AG79" i="15"/>
  <c r="AE79" i="15"/>
  <c r="V79" i="15"/>
  <c r="U79" i="15"/>
  <c r="T79" i="15"/>
  <c r="R79" i="15"/>
  <c r="BL78" i="15"/>
  <c r="BC78" i="15"/>
  <c r="AV78" i="15"/>
  <c r="AU78" i="15"/>
  <c r="AT78" i="15"/>
  <c r="AS78" i="15"/>
  <c r="AQ78" i="15"/>
  <c r="AP78" i="15"/>
  <c r="AI78" i="15"/>
  <c r="BI78" i="15" s="1"/>
  <c r="AH78" i="15"/>
  <c r="AG78" i="15"/>
  <c r="AE78" i="15"/>
  <c r="V78" i="15"/>
  <c r="U78" i="15"/>
  <c r="T78" i="15"/>
  <c r="R78" i="15"/>
  <c r="BC77" i="15"/>
  <c r="AV77" i="15"/>
  <c r="AU77" i="15"/>
  <c r="AT77" i="15"/>
  <c r="AQ77" i="15"/>
  <c r="AI77" i="15"/>
  <c r="AH77" i="15"/>
  <c r="AG77" i="15"/>
  <c r="AE77" i="15"/>
  <c r="V77" i="15"/>
  <c r="U77" i="15"/>
  <c r="T77" i="15"/>
  <c r="R77" i="15"/>
  <c r="BC76" i="15"/>
  <c r="AV76" i="15"/>
  <c r="AU76" i="15"/>
  <c r="AT76" i="15"/>
  <c r="AQ76" i="15"/>
  <c r="AI76" i="15"/>
  <c r="AH76" i="15"/>
  <c r="AG76" i="15"/>
  <c r="AE76" i="15"/>
  <c r="V76" i="15"/>
  <c r="U76" i="15"/>
  <c r="T76" i="15"/>
  <c r="R76" i="15"/>
  <c r="BB75" i="15"/>
  <c r="BC75" i="15" s="1"/>
  <c r="AV75" i="15"/>
  <c r="AU75" i="15"/>
  <c r="AT75" i="15"/>
  <c r="AQ75" i="15"/>
  <c r="AI75" i="15"/>
  <c r="AH75" i="15"/>
  <c r="AG75" i="15"/>
  <c r="AE75" i="15"/>
  <c r="V75" i="15"/>
  <c r="U75" i="15"/>
  <c r="T75" i="15"/>
  <c r="R75" i="15"/>
  <c r="BC74" i="15"/>
  <c r="AV74" i="15"/>
  <c r="AU74" i="15"/>
  <c r="AT74" i="15"/>
  <c r="AQ74" i="15"/>
  <c r="AI74" i="15"/>
  <c r="AH74" i="15"/>
  <c r="AG74" i="15"/>
  <c r="AE74" i="15"/>
  <c r="V74" i="15"/>
  <c r="U74" i="15"/>
  <c r="T74" i="15"/>
  <c r="R74" i="15"/>
  <c r="BC73" i="15"/>
  <c r="AV73" i="15"/>
  <c r="AU73" i="15"/>
  <c r="AT73" i="15"/>
  <c r="AQ73" i="15"/>
  <c r="AI73" i="15"/>
  <c r="AH73" i="15"/>
  <c r="AG73" i="15"/>
  <c r="AE73" i="15"/>
  <c r="V73" i="15"/>
  <c r="U73" i="15"/>
  <c r="T73" i="15"/>
  <c r="R73" i="15"/>
  <c r="BC72" i="15"/>
  <c r="AV72" i="15"/>
  <c r="AU72" i="15"/>
  <c r="AT72" i="15"/>
  <c r="AQ72" i="15"/>
  <c r="AI72" i="15"/>
  <c r="BI72" i="15" s="1"/>
  <c r="AH72" i="15"/>
  <c r="AG72" i="15"/>
  <c r="AE72" i="15"/>
  <c r="V72" i="15"/>
  <c r="U72" i="15"/>
  <c r="T72" i="15"/>
  <c r="R72" i="15"/>
  <c r="BC71" i="15"/>
  <c r="AV71" i="15"/>
  <c r="AU71" i="15"/>
  <c r="AT71" i="15"/>
  <c r="AQ71" i="15"/>
  <c r="AI71" i="15"/>
  <c r="BI71" i="15" s="1"/>
  <c r="AH71" i="15"/>
  <c r="AG71" i="15"/>
  <c r="AE71" i="15"/>
  <c r="V71" i="15"/>
  <c r="U71" i="15"/>
  <c r="T71" i="15"/>
  <c r="R71" i="15"/>
  <c r="BB70" i="15"/>
  <c r="BC70" i="15" s="1"/>
  <c r="AV70" i="15"/>
  <c r="AU70" i="15"/>
  <c r="AT70" i="15"/>
  <c r="AQ70" i="15"/>
  <c r="AI70" i="15"/>
  <c r="AH70" i="15"/>
  <c r="AG70" i="15"/>
  <c r="AE70" i="15"/>
  <c r="V70" i="15"/>
  <c r="U70" i="15"/>
  <c r="T70" i="15"/>
  <c r="R70" i="15"/>
  <c r="BD69" i="15"/>
  <c r="BI69" i="15" s="1"/>
  <c r="BC69" i="15"/>
  <c r="AV69" i="15"/>
  <c r="AU69" i="15"/>
  <c r="AT69" i="15"/>
  <c r="AQ69" i="15"/>
  <c r="AI69" i="15"/>
  <c r="AH69" i="15"/>
  <c r="AG69" i="15"/>
  <c r="AE69" i="15"/>
  <c r="V69" i="15"/>
  <c r="U69" i="15"/>
  <c r="T69" i="15"/>
  <c r="R69" i="15"/>
  <c r="BC68" i="15"/>
  <c r="AV68" i="15"/>
  <c r="AU68" i="15"/>
  <c r="AT68" i="15"/>
  <c r="AQ68" i="15"/>
  <c r="AI68" i="15"/>
  <c r="AH68" i="15"/>
  <c r="AG68" i="15"/>
  <c r="AE68" i="15"/>
  <c r="V68" i="15"/>
  <c r="U68" i="15"/>
  <c r="T68" i="15"/>
  <c r="R68" i="15"/>
  <c r="BD67" i="15"/>
  <c r="BI67" i="15" s="1"/>
  <c r="BC67" i="15"/>
  <c r="AV67" i="15"/>
  <c r="AU67" i="15"/>
  <c r="AT67" i="15"/>
  <c r="AQ67" i="15"/>
  <c r="AI67" i="15"/>
  <c r="AH67" i="15"/>
  <c r="AG67" i="15"/>
  <c r="AE67" i="15"/>
  <c r="V67" i="15"/>
  <c r="U67" i="15"/>
  <c r="T67" i="15"/>
  <c r="R67" i="15"/>
  <c r="BC66" i="15"/>
  <c r="AV66" i="15"/>
  <c r="AU66" i="15"/>
  <c r="AT66" i="15"/>
  <c r="AQ66" i="15"/>
  <c r="AI66" i="15"/>
  <c r="BI66" i="15" s="1"/>
  <c r="AH66" i="15"/>
  <c r="AG66" i="15"/>
  <c r="AE66" i="15"/>
  <c r="V66" i="15"/>
  <c r="U66" i="15"/>
  <c r="T66" i="15"/>
  <c r="R66" i="15"/>
  <c r="AF65" i="15"/>
  <c r="AD65" i="15"/>
  <c r="AH65" i="15" s="1"/>
  <c r="S65" i="15"/>
  <c r="Q65" i="15"/>
  <c r="U65" i="15" s="1"/>
  <c r="M65" i="15"/>
  <c r="L65" i="15"/>
  <c r="BC64" i="15"/>
  <c r="AW64" i="15"/>
  <c r="AX64" i="15" s="1"/>
  <c r="AV64" i="15"/>
  <c r="AU64" i="15"/>
  <c r="AT64" i="15"/>
  <c r="AS64" i="15"/>
  <c r="AQ64" i="15"/>
  <c r="AP64" i="15"/>
  <c r="AJ64" i="15"/>
  <c r="AL64" i="15" s="1"/>
  <c r="AI64" i="15"/>
  <c r="BI64" i="15" s="1"/>
  <c r="AH64" i="15"/>
  <c r="AG64" i="15"/>
  <c r="AE64" i="15"/>
  <c r="X64" i="15"/>
  <c r="Z64" i="15" s="1"/>
  <c r="V64" i="15"/>
  <c r="U64" i="15"/>
  <c r="T64" i="15"/>
  <c r="R64" i="15"/>
  <c r="BC63" i="15"/>
  <c r="AW63" i="15"/>
  <c r="AZ63" i="15" s="1"/>
  <c r="AV63" i="15"/>
  <c r="AU63" i="15"/>
  <c r="AT63" i="15"/>
  <c r="AQ63" i="15"/>
  <c r="AJ63" i="15"/>
  <c r="AL63" i="15" s="1"/>
  <c r="AI63" i="15"/>
  <c r="AH63" i="15"/>
  <c r="AG63" i="15"/>
  <c r="AE63" i="15"/>
  <c r="X63" i="15"/>
  <c r="Z63" i="15" s="1"/>
  <c r="V63" i="15"/>
  <c r="U63" i="15"/>
  <c r="T63" i="15"/>
  <c r="R63" i="15"/>
  <c r="BH62" i="15"/>
  <c r="BE62" i="15"/>
  <c r="BC62" i="15"/>
  <c r="AW62" i="15"/>
  <c r="AY62" i="15" s="1"/>
  <c r="AV62" i="15"/>
  <c r="AU62" i="15"/>
  <c r="AT62" i="15"/>
  <c r="AS62" i="15"/>
  <c r="AQ62" i="15"/>
  <c r="AP62" i="15"/>
  <c r="AJ62" i="15"/>
  <c r="AI62" i="15"/>
  <c r="AH62" i="15"/>
  <c r="AG62" i="15"/>
  <c r="AE62" i="15"/>
  <c r="X62" i="15"/>
  <c r="V62" i="15"/>
  <c r="U62" i="15"/>
  <c r="T62" i="15"/>
  <c r="R62" i="15"/>
  <c r="BH61" i="15"/>
  <c r="BE61" i="15"/>
  <c r="BC61" i="15"/>
  <c r="AW61" i="15"/>
  <c r="AY61" i="15" s="1"/>
  <c r="AV61" i="15"/>
  <c r="AU61" i="15"/>
  <c r="AT61" i="15"/>
  <c r="AS61" i="15"/>
  <c r="AQ61" i="15"/>
  <c r="AP61" i="15"/>
  <c r="AJ61" i="15"/>
  <c r="AK61" i="15" s="1"/>
  <c r="AI61" i="15"/>
  <c r="AH61" i="15"/>
  <c r="AG61" i="15"/>
  <c r="AE61" i="15"/>
  <c r="X61" i="15"/>
  <c r="Y61" i="15" s="1"/>
  <c r="V61" i="15"/>
  <c r="U61" i="15"/>
  <c r="T61" i="15"/>
  <c r="R61" i="15"/>
  <c r="BC60" i="15"/>
  <c r="BB60" i="15"/>
  <c r="BI60" i="15" s="1"/>
  <c r="AW60" i="15"/>
  <c r="AZ60" i="15" s="1"/>
  <c r="AV60" i="15"/>
  <c r="AU60" i="15"/>
  <c r="AT60" i="15"/>
  <c r="AQ60" i="15"/>
  <c r="AJ60" i="15"/>
  <c r="AM60" i="15" s="1"/>
  <c r="AI60" i="15"/>
  <c r="AH60" i="15"/>
  <c r="AG60" i="15"/>
  <c r="AE60" i="15"/>
  <c r="X60" i="15"/>
  <c r="AB60" i="15" s="1"/>
  <c r="V60" i="15"/>
  <c r="U60" i="15"/>
  <c r="T60" i="15"/>
  <c r="R60" i="15"/>
  <c r="BH59" i="15"/>
  <c r="BE59" i="15"/>
  <c r="BC59" i="15"/>
  <c r="AW59" i="15"/>
  <c r="AZ59" i="15" s="1"/>
  <c r="AV59" i="15"/>
  <c r="AU59" i="15"/>
  <c r="AT59" i="15"/>
  <c r="AS59" i="15"/>
  <c r="AQ59" i="15"/>
  <c r="AP59" i="15"/>
  <c r="AJ59" i="15"/>
  <c r="AL59" i="15" s="1"/>
  <c r="AI59" i="15"/>
  <c r="AH59" i="15"/>
  <c r="AG59" i="15"/>
  <c r="AE59" i="15"/>
  <c r="X59" i="15"/>
  <c r="Z59" i="15" s="1"/>
  <c r="V59" i="15"/>
  <c r="U59" i="15"/>
  <c r="T59" i="15"/>
  <c r="R59" i="15"/>
  <c r="BD58" i="15"/>
  <c r="BC58" i="15"/>
  <c r="AW58" i="15"/>
  <c r="AZ58" i="15" s="1"/>
  <c r="AV58" i="15"/>
  <c r="AU58" i="15"/>
  <c r="AT58" i="15"/>
  <c r="AQ58" i="15"/>
  <c r="AJ58" i="15"/>
  <c r="AL58" i="15" s="1"/>
  <c r="AI58" i="15"/>
  <c r="AH58" i="15"/>
  <c r="AG58" i="15"/>
  <c r="AE58" i="15"/>
  <c r="X58" i="15"/>
  <c r="Z58" i="15" s="1"/>
  <c r="V58" i="15"/>
  <c r="U58" i="15"/>
  <c r="T58" i="15"/>
  <c r="R58" i="15"/>
  <c r="AW57" i="15"/>
  <c r="AY57" i="15" s="1"/>
  <c r="AV57" i="15"/>
  <c r="AU57" i="15"/>
  <c r="AT57" i="15"/>
  <c r="AS57" i="15"/>
  <c r="AQ57" i="15"/>
  <c r="AP57" i="15"/>
  <c r="AJ57" i="15"/>
  <c r="AI57" i="15"/>
  <c r="AH57" i="15"/>
  <c r="AG57" i="15"/>
  <c r="AE57" i="15"/>
  <c r="X57" i="15"/>
  <c r="V57" i="15"/>
  <c r="U57" i="15"/>
  <c r="T57" i="15"/>
  <c r="R57" i="15"/>
  <c r="BH56" i="15"/>
  <c r="BE56" i="15"/>
  <c r="BD56" i="15"/>
  <c r="BC56" i="15"/>
  <c r="AW56" i="15"/>
  <c r="AX56" i="15" s="1"/>
  <c r="AV56" i="15"/>
  <c r="AU56" i="15"/>
  <c r="AT56" i="15"/>
  <c r="AS56" i="15"/>
  <c r="AQ56" i="15"/>
  <c r="AP56" i="15"/>
  <c r="AJ56" i="15"/>
  <c r="AL56" i="15" s="1"/>
  <c r="AI56" i="15"/>
  <c r="AH56" i="15"/>
  <c r="AG56" i="15"/>
  <c r="AE56" i="15"/>
  <c r="X56" i="15"/>
  <c r="Z56" i="15" s="1"/>
  <c r="V56" i="15"/>
  <c r="U56" i="15"/>
  <c r="T56" i="15"/>
  <c r="R56" i="15"/>
  <c r="BC55" i="15"/>
  <c r="AV55" i="15"/>
  <c r="AU55" i="15"/>
  <c r="AT55" i="15"/>
  <c r="AQ55" i="15"/>
  <c r="AI55" i="15"/>
  <c r="AH55" i="15"/>
  <c r="AG55" i="15"/>
  <c r="AE55" i="15"/>
  <c r="V55" i="15"/>
  <c r="U55" i="15"/>
  <c r="T55" i="15"/>
  <c r="R55" i="15"/>
  <c r="BF54" i="15"/>
  <c r="BD54" i="15"/>
  <c r="BC54" i="15"/>
  <c r="AW54" i="15"/>
  <c r="AZ54" i="15" s="1"/>
  <c r="AV54" i="15"/>
  <c r="AU54" i="15"/>
  <c r="AT54" i="15"/>
  <c r="AQ54" i="15"/>
  <c r="AJ54" i="15"/>
  <c r="AL54" i="15" s="1"/>
  <c r="AI54" i="15"/>
  <c r="AH54" i="15"/>
  <c r="AG54" i="15"/>
  <c r="AE54" i="15"/>
  <c r="X54" i="15"/>
  <c r="Z54" i="15" s="1"/>
  <c r="V54" i="15"/>
  <c r="U54" i="15"/>
  <c r="T54" i="15"/>
  <c r="R54" i="15"/>
  <c r="BC53" i="15"/>
  <c r="AW53" i="15"/>
  <c r="AZ53" i="15" s="1"/>
  <c r="AV53" i="15"/>
  <c r="AU53" i="15"/>
  <c r="AT53" i="15"/>
  <c r="AS53" i="15"/>
  <c r="AQ53" i="15"/>
  <c r="AP53" i="15"/>
  <c r="AJ53" i="15"/>
  <c r="AK53" i="15" s="1"/>
  <c r="AI53" i="15"/>
  <c r="AH53" i="15"/>
  <c r="AG53" i="15"/>
  <c r="AE53" i="15"/>
  <c r="X53" i="15"/>
  <c r="V53" i="15"/>
  <c r="U53" i="15"/>
  <c r="T53" i="15"/>
  <c r="R53" i="15"/>
  <c r="AW52" i="15"/>
  <c r="AX52" i="15" s="1"/>
  <c r="AV52" i="15"/>
  <c r="AU52" i="15"/>
  <c r="AT52" i="15"/>
  <c r="AS52" i="15"/>
  <c r="AQ52" i="15"/>
  <c r="AP52" i="15"/>
  <c r="AJ52" i="15"/>
  <c r="AM52" i="15" s="1"/>
  <c r="AI52" i="15"/>
  <c r="AH52" i="15"/>
  <c r="AG52" i="15"/>
  <c r="AE52" i="15"/>
  <c r="X52" i="15"/>
  <c r="Y52" i="15" s="1"/>
  <c r="V52" i="15"/>
  <c r="U52" i="15"/>
  <c r="T52" i="15"/>
  <c r="R52" i="15"/>
  <c r="AW51" i="15"/>
  <c r="AY51" i="15" s="1"/>
  <c r="AV51" i="15"/>
  <c r="AU51" i="15"/>
  <c r="AT51" i="15"/>
  <c r="AS51" i="15"/>
  <c r="AQ51" i="15"/>
  <c r="AP51" i="15"/>
  <c r="AJ51" i="15"/>
  <c r="AK51" i="15" s="1"/>
  <c r="AI51" i="15"/>
  <c r="AH51" i="15"/>
  <c r="AG51" i="15"/>
  <c r="AE51" i="15"/>
  <c r="X51" i="15"/>
  <c r="Y51" i="15" s="1"/>
  <c r="V51" i="15"/>
  <c r="U51" i="15"/>
  <c r="T51" i="15"/>
  <c r="R51" i="15"/>
  <c r="AW50" i="15"/>
  <c r="AX50" i="15" s="1"/>
  <c r="AV50" i="15"/>
  <c r="AU50" i="15"/>
  <c r="AT50" i="15"/>
  <c r="AS50" i="15"/>
  <c r="AQ50" i="15"/>
  <c r="AP50" i="15"/>
  <c r="AJ50" i="15"/>
  <c r="AM50" i="15" s="1"/>
  <c r="AI50" i="15"/>
  <c r="AH50" i="15"/>
  <c r="AG50" i="15"/>
  <c r="AE50" i="15"/>
  <c r="X50" i="15"/>
  <c r="AB50" i="15" s="1"/>
  <c r="V50" i="15"/>
  <c r="U50" i="15"/>
  <c r="T50" i="15"/>
  <c r="R50" i="15"/>
  <c r="BH49" i="15"/>
  <c r="BE49" i="15"/>
  <c r="BD49" i="15"/>
  <c r="BC49" i="15"/>
  <c r="AW49" i="15"/>
  <c r="AY49" i="15" s="1"/>
  <c r="AV49" i="15"/>
  <c r="AU49" i="15"/>
  <c r="AT49" i="15"/>
  <c r="AS49" i="15"/>
  <c r="AQ49" i="15"/>
  <c r="AP49" i="15"/>
  <c r="AJ49" i="15"/>
  <c r="AK49" i="15" s="1"/>
  <c r="AI49" i="15"/>
  <c r="AH49" i="15"/>
  <c r="AG49" i="15"/>
  <c r="AE49" i="15"/>
  <c r="X49" i="15"/>
  <c r="Y49" i="15" s="1"/>
  <c r="V49" i="15"/>
  <c r="U49" i="15"/>
  <c r="T49" i="15"/>
  <c r="R49" i="15"/>
  <c r="BH48" i="15"/>
  <c r="BE48" i="15"/>
  <c r="BD48" i="15"/>
  <c r="BC48" i="15"/>
  <c r="AW48" i="15"/>
  <c r="AX48" i="15" s="1"/>
  <c r="AV48" i="15"/>
  <c r="AU48" i="15"/>
  <c r="AT48" i="15"/>
  <c r="AS48" i="15"/>
  <c r="AQ48" i="15"/>
  <c r="AP48" i="15"/>
  <c r="AJ48" i="15"/>
  <c r="AK48" i="15" s="1"/>
  <c r="AI48" i="15"/>
  <c r="AH48" i="15"/>
  <c r="AG48" i="15"/>
  <c r="AE48" i="15"/>
  <c r="X48" i="15"/>
  <c r="Y48" i="15" s="1"/>
  <c r="V48" i="15"/>
  <c r="U48" i="15"/>
  <c r="T48" i="15"/>
  <c r="R48" i="15"/>
  <c r="BB47" i="15"/>
  <c r="BD47" i="15" s="1"/>
  <c r="AW47" i="15"/>
  <c r="AY47" i="15" s="1"/>
  <c r="AV47" i="15"/>
  <c r="AU47" i="15"/>
  <c r="AT47" i="15"/>
  <c r="AS47" i="15"/>
  <c r="AQ47" i="15"/>
  <c r="AP47" i="15"/>
  <c r="AJ47" i="15"/>
  <c r="AI47" i="15"/>
  <c r="AH47" i="15"/>
  <c r="AG47" i="15"/>
  <c r="AE47" i="15"/>
  <c r="X47" i="15"/>
  <c r="V47" i="15"/>
  <c r="U47" i="15"/>
  <c r="T47" i="15"/>
  <c r="R47" i="15"/>
  <c r="BD46" i="15"/>
  <c r="BC46" i="15"/>
  <c r="AW46" i="15"/>
  <c r="AZ46" i="15" s="1"/>
  <c r="AV46" i="15"/>
  <c r="AU46" i="15"/>
  <c r="AT46" i="15"/>
  <c r="AQ46" i="15"/>
  <c r="AJ46" i="15"/>
  <c r="AI46" i="15"/>
  <c r="AH46" i="15"/>
  <c r="AG46" i="15"/>
  <c r="AE46" i="15"/>
  <c r="X46" i="15"/>
  <c r="Y46" i="15" s="1"/>
  <c r="V46" i="15"/>
  <c r="U46" i="15"/>
  <c r="T46" i="15"/>
  <c r="R46" i="15"/>
  <c r="BB45" i="15"/>
  <c r="AW45" i="15"/>
  <c r="AZ45" i="15" s="1"/>
  <c r="AV45" i="15"/>
  <c r="AU45" i="15"/>
  <c r="AT45" i="15"/>
  <c r="AS45" i="15"/>
  <c r="AQ45" i="15"/>
  <c r="AP45" i="15"/>
  <c r="AJ45" i="15"/>
  <c r="AL45" i="15" s="1"/>
  <c r="AI45" i="15"/>
  <c r="AH45" i="15"/>
  <c r="AG45" i="15"/>
  <c r="AE45" i="15"/>
  <c r="X45" i="15"/>
  <c r="Z45" i="15" s="1"/>
  <c r="V45" i="15"/>
  <c r="U45" i="15"/>
  <c r="T45" i="15"/>
  <c r="R45" i="15"/>
  <c r="BD44" i="15"/>
  <c r="BI44" i="15" s="1"/>
  <c r="BC44" i="15"/>
  <c r="AW44" i="15"/>
  <c r="AR44" i="15"/>
  <c r="AV44" i="15" s="1"/>
  <c r="AQ44" i="15"/>
  <c r="AJ44" i="15"/>
  <c r="AI44" i="15"/>
  <c r="AH44" i="15"/>
  <c r="AG44" i="15"/>
  <c r="AE44" i="15"/>
  <c r="X44" i="15"/>
  <c r="V44" i="15"/>
  <c r="U44" i="15"/>
  <c r="T44" i="15"/>
  <c r="R44" i="15"/>
  <c r="BE43" i="15"/>
  <c r="BD43" i="15"/>
  <c r="BC43" i="15"/>
  <c r="AW43" i="15"/>
  <c r="AZ43" i="15" s="1"/>
  <c r="AV43" i="15"/>
  <c r="AU43" i="15"/>
  <c r="AT43" i="15"/>
  <c r="AQ43" i="15"/>
  <c r="AJ43" i="15"/>
  <c r="AM43" i="15" s="1"/>
  <c r="AI43" i="15"/>
  <c r="AH43" i="15"/>
  <c r="AG43" i="15"/>
  <c r="AE43" i="15"/>
  <c r="X43" i="15"/>
  <c r="AB43" i="15" s="1"/>
  <c r="V43" i="15"/>
  <c r="U43" i="15"/>
  <c r="T43" i="15"/>
  <c r="R43" i="15"/>
  <c r="BF42" i="15"/>
  <c r="BD42" i="15"/>
  <c r="BC42" i="15"/>
  <c r="AW42" i="15"/>
  <c r="AZ42" i="15" s="1"/>
  <c r="AV42" i="15"/>
  <c r="AU42" i="15"/>
  <c r="AT42" i="15"/>
  <c r="AQ42" i="15"/>
  <c r="AJ42" i="15"/>
  <c r="AM42" i="15" s="1"/>
  <c r="AI42" i="15"/>
  <c r="AH42" i="15"/>
  <c r="AG42" i="15"/>
  <c r="AE42" i="15"/>
  <c r="X42" i="15"/>
  <c r="AB42" i="15" s="1"/>
  <c r="V42" i="15"/>
  <c r="U42" i="15"/>
  <c r="T42" i="15"/>
  <c r="R42" i="15"/>
  <c r="BF41" i="15"/>
  <c r="BC41" i="15"/>
  <c r="AV41" i="15"/>
  <c r="AU41" i="15"/>
  <c r="AT41" i="15"/>
  <c r="AQ41" i="15"/>
  <c r="AI41" i="15"/>
  <c r="AH41" i="15"/>
  <c r="AG41" i="15"/>
  <c r="AE41" i="15"/>
  <c r="V41" i="15"/>
  <c r="U41" i="15"/>
  <c r="T41" i="15"/>
  <c r="R41" i="15"/>
  <c r="BC40" i="15"/>
  <c r="AW40" i="15"/>
  <c r="AZ40" i="15" s="1"/>
  <c r="AV40" i="15"/>
  <c r="AU40" i="15"/>
  <c r="AT40" i="15"/>
  <c r="AQ40" i="15"/>
  <c r="AJ40" i="15"/>
  <c r="AM40" i="15" s="1"/>
  <c r="AI40" i="15"/>
  <c r="BI40" i="15" s="1"/>
  <c r="AH40" i="15"/>
  <c r="AG40" i="15"/>
  <c r="AE40" i="15"/>
  <c r="X40" i="15"/>
  <c r="AB40" i="15" s="1"/>
  <c r="V40" i="15"/>
  <c r="U40" i="15"/>
  <c r="T40" i="15"/>
  <c r="R40" i="15"/>
  <c r="BI39" i="15"/>
  <c r="BC39" i="15"/>
  <c r="AV39" i="15"/>
  <c r="AU39" i="15"/>
  <c r="AT39" i="15"/>
  <c r="AQ39" i="15"/>
  <c r="AJ39" i="15"/>
  <c r="AL39" i="15" s="1"/>
  <c r="AI39" i="15"/>
  <c r="AH39" i="15"/>
  <c r="AG39" i="15"/>
  <c r="AE39" i="15"/>
  <c r="X39" i="15"/>
  <c r="Z39" i="15" s="1"/>
  <c r="V39" i="15"/>
  <c r="U39" i="15"/>
  <c r="T39" i="15"/>
  <c r="R39" i="15"/>
  <c r="BH38" i="15"/>
  <c r="BI38" i="15" s="1"/>
  <c r="BE38" i="15"/>
  <c r="BD38" i="15"/>
  <c r="BC38" i="15"/>
  <c r="AW38" i="15"/>
  <c r="AZ38" i="15" s="1"/>
  <c r="AV38" i="15"/>
  <c r="AU38" i="15"/>
  <c r="AT38" i="15"/>
  <c r="AS38" i="15"/>
  <c r="AQ38" i="15"/>
  <c r="AP38" i="15"/>
  <c r="AJ38" i="15"/>
  <c r="AK38" i="15" s="1"/>
  <c r="AI38" i="15"/>
  <c r="AH38" i="15"/>
  <c r="AG38" i="15"/>
  <c r="AE38" i="15"/>
  <c r="X38" i="15"/>
  <c r="Y38" i="15" s="1"/>
  <c r="V38" i="15"/>
  <c r="U38" i="15"/>
  <c r="T38" i="15"/>
  <c r="R38" i="15"/>
  <c r="BH37" i="15"/>
  <c r="BI37" i="15" s="1"/>
  <c r="BE37" i="15"/>
  <c r="BD37" i="15"/>
  <c r="BC37" i="15"/>
  <c r="AW37" i="15"/>
  <c r="AV37" i="15"/>
  <c r="AU37" i="15"/>
  <c r="AT37" i="15"/>
  <c r="AQ37" i="15"/>
  <c r="AJ37" i="15"/>
  <c r="AI37" i="15"/>
  <c r="AH37" i="15"/>
  <c r="AG37" i="15"/>
  <c r="AE37" i="15"/>
  <c r="X37" i="15"/>
  <c r="V37" i="15"/>
  <c r="U37" i="15"/>
  <c r="T37" i="15"/>
  <c r="R37" i="15"/>
  <c r="BD36" i="15"/>
  <c r="BC36" i="15"/>
  <c r="AW36" i="15"/>
  <c r="AY36" i="15" s="1"/>
  <c r="AV36" i="15"/>
  <c r="AU36" i="15"/>
  <c r="AT36" i="15"/>
  <c r="AQ36" i="15"/>
  <c r="AJ36" i="15"/>
  <c r="AM36" i="15" s="1"/>
  <c r="AI36" i="15"/>
  <c r="AH36" i="15"/>
  <c r="AG36" i="15"/>
  <c r="AE36" i="15"/>
  <c r="X36" i="15"/>
  <c r="AB36" i="15" s="1"/>
  <c r="V36" i="15"/>
  <c r="U36" i="15"/>
  <c r="T36" i="15"/>
  <c r="R36" i="15"/>
  <c r="BC35" i="15"/>
  <c r="BB35" i="15"/>
  <c r="AW35" i="15"/>
  <c r="AZ35" i="15" s="1"/>
  <c r="AV35" i="15"/>
  <c r="AU35" i="15"/>
  <c r="AT35" i="15"/>
  <c r="AQ35" i="15"/>
  <c r="AJ35" i="15"/>
  <c r="AL35" i="15" s="1"/>
  <c r="AI35" i="15"/>
  <c r="AH35" i="15"/>
  <c r="AG35" i="15"/>
  <c r="AE35" i="15"/>
  <c r="X35" i="15"/>
  <c r="Z35" i="15" s="1"/>
  <c r="V35" i="15"/>
  <c r="U35" i="15"/>
  <c r="T35" i="15"/>
  <c r="R35" i="15"/>
  <c r="BD34" i="15"/>
  <c r="BC34" i="15"/>
  <c r="AW34" i="15"/>
  <c r="AZ34" i="15" s="1"/>
  <c r="AV34" i="15"/>
  <c r="AU34" i="15"/>
  <c r="AT34" i="15"/>
  <c r="AS34" i="15"/>
  <c r="AQ34" i="15"/>
  <c r="AP34" i="15"/>
  <c r="AJ34" i="15"/>
  <c r="AK34" i="15" s="1"/>
  <c r="AI34" i="15"/>
  <c r="AH34" i="15"/>
  <c r="AG34" i="15"/>
  <c r="AE34" i="15"/>
  <c r="X34" i="15"/>
  <c r="V34" i="15"/>
  <c r="U34" i="15"/>
  <c r="T34" i="15"/>
  <c r="R34" i="15"/>
  <c r="BD33" i="15"/>
  <c r="BC33" i="15"/>
  <c r="AW33" i="15"/>
  <c r="AZ33" i="15" s="1"/>
  <c r="AV33" i="15"/>
  <c r="AU33" i="15"/>
  <c r="AT33" i="15"/>
  <c r="AQ33" i="15"/>
  <c r="AJ33" i="15"/>
  <c r="AM33" i="15" s="1"/>
  <c r="AI33" i="15"/>
  <c r="AH33" i="15"/>
  <c r="AG33" i="15"/>
  <c r="AE33" i="15"/>
  <c r="X33" i="15"/>
  <c r="AB33" i="15" s="1"/>
  <c r="V33" i="15"/>
  <c r="U33" i="15"/>
  <c r="T33" i="15"/>
  <c r="R33" i="15"/>
  <c r="BD32" i="15"/>
  <c r="BC32" i="15"/>
  <c r="AW32" i="15"/>
  <c r="AZ32" i="15" s="1"/>
  <c r="AV32" i="15"/>
  <c r="AU32" i="15"/>
  <c r="AT32" i="15"/>
  <c r="AQ32" i="15"/>
  <c r="AI32" i="15"/>
  <c r="AH32" i="15"/>
  <c r="AG32" i="15"/>
  <c r="AE32" i="15"/>
  <c r="V32" i="15"/>
  <c r="U32" i="15"/>
  <c r="T32" i="15"/>
  <c r="R32" i="15"/>
  <c r="BD31" i="15"/>
  <c r="BC31" i="15"/>
  <c r="AV31" i="15"/>
  <c r="AU31" i="15"/>
  <c r="AT31" i="15"/>
  <c r="AQ31" i="15"/>
  <c r="AI31" i="15"/>
  <c r="AH31" i="15"/>
  <c r="AG31" i="15"/>
  <c r="AE31" i="15"/>
  <c r="V31" i="15"/>
  <c r="U31" i="15"/>
  <c r="T31" i="15"/>
  <c r="R31" i="15"/>
  <c r="BD30" i="15"/>
  <c r="BC30" i="15"/>
  <c r="AV30" i="15"/>
  <c r="AU30" i="15"/>
  <c r="AT30" i="15"/>
  <c r="AQ30" i="15"/>
  <c r="AI30" i="15"/>
  <c r="AH30" i="15"/>
  <c r="AG30" i="15"/>
  <c r="AE30" i="15"/>
  <c r="V30" i="15"/>
  <c r="U30" i="15"/>
  <c r="T30" i="15"/>
  <c r="R30" i="15"/>
  <c r="BF29" i="15"/>
  <c r="BC29" i="15"/>
  <c r="AW29" i="15"/>
  <c r="AZ29" i="15" s="1"/>
  <c r="AV29" i="15"/>
  <c r="AU29" i="15"/>
  <c r="AT29" i="15"/>
  <c r="AQ29" i="15"/>
  <c r="AJ29" i="15"/>
  <c r="AM29" i="15" s="1"/>
  <c r="AI29" i="15"/>
  <c r="AH29" i="15"/>
  <c r="AG29" i="15"/>
  <c r="AE29" i="15"/>
  <c r="X29" i="15"/>
  <c r="AB29" i="15" s="1"/>
  <c r="V29" i="15"/>
  <c r="U29" i="15"/>
  <c r="T29" i="15"/>
  <c r="R29" i="15"/>
  <c r="BE28" i="15"/>
  <c r="BC28" i="15"/>
  <c r="AW28" i="15"/>
  <c r="AX28" i="15" s="1"/>
  <c r="AV28" i="15"/>
  <c r="AU28" i="15"/>
  <c r="AT28" i="15"/>
  <c r="AS28" i="15"/>
  <c r="AQ28" i="15"/>
  <c r="AP28" i="15"/>
  <c r="AJ28" i="15"/>
  <c r="AM28" i="15" s="1"/>
  <c r="AI28" i="15"/>
  <c r="BI28" i="15" s="1"/>
  <c r="AH28" i="15"/>
  <c r="AG28" i="15"/>
  <c r="AE28" i="15"/>
  <c r="X28" i="15"/>
  <c r="AB28" i="15" s="1"/>
  <c r="V28" i="15"/>
  <c r="U28" i="15"/>
  <c r="T28" i="15"/>
  <c r="R28" i="15"/>
  <c r="BC27" i="15"/>
  <c r="AV27" i="15"/>
  <c r="AU27" i="15"/>
  <c r="AT27" i="15"/>
  <c r="AS27" i="15"/>
  <c r="AQ27" i="15"/>
  <c r="AP27" i="15"/>
  <c r="AI27" i="15"/>
  <c r="BI27" i="15" s="1"/>
  <c r="AH27" i="15"/>
  <c r="AG27" i="15"/>
  <c r="AE27" i="15"/>
  <c r="V27" i="15"/>
  <c r="U27" i="15"/>
  <c r="T27" i="15"/>
  <c r="R27" i="15"/>
  <c r="BC26" i="15"/>
  <c r="AW26" i="15"/>
  <c r="AV26" i="15"/>
  <c r="AU26" i="15"/>
  <c r="AT26" i="15"/>
  <c r="AQ26" i="15"/>
  <c r="AJ26" i="15"/>
  <c r="AI26" i="15"/>
  <c r="BI26" i="15" s="1"/>
  <c r="AH26" i="15"/>
  <c r="AG26" i="15"/>
  <c r="AE26" i="15"/>
  <c r="X26" i="15"/>
  <c r="V26" i="15"/>
  <c r="U26" i="15"/>
  <c r="T26" i="15"/>
  <c r="R26" i="15"/>
  <c r="AV25" i="15"/>
  <c r="AU25" i="15"/>
  <c r="AT25" i="15"/>
  <c r="AS25" i="15"/>
  <c r="AQ25" i="15"/>
  <c r="AP25" i="15"/>
  <c r="AI25" i="15"/>
  <c r="AH25" i="15"/>
  <c r="AG25" i="15"/>
  <c r="AE25" i="15"/>
  <c r="V25" i="15"/>
  <c r="U25" i="15"/>
  <c r="T25" i="15"/>
  <c r="R25" i="15"/>
  <c r="BC24" i="15"/>
  <c r="AW24" i="15"/>
  <c r="AV24" i="15"/>
  <c r="AU24" i="15"/>
  <c r="AT24" i="15"/>
  <c r="AS24" i="15"/>
  <c r="AQ24" i="15"/>
  <c r="AP24" i="15"/>
  <c r="AJ24" i="15"/>
  <c r="AM24" i="15" s="1"/>
  <c r="AI24" i="15"/>
  <c r="BI24" i="15" s="1"/>
  <c r="AH24" i="15"/>
  <c r="AG24" i="15"/>
  <c r="AE24" i="15"/>
  <c r="X24" i="15"/>
  <c r="AB24" i="15" s="1"/>
  <c r="V24" i="15"/>
  <c r="U24" i="15"/>
  <c r="T24" i="15"/>
  <c r="R24" i="15"/>
  <c r="BH23" i="15"/>
  <c r="BF23" i="15"/>
  <c r="BE23" i="15"/>
  <c r="BB23" i="15"/>
  <c r="BC23" i="15" s="1"/>
  <c r="AW23" i="15"/>
  <c r="AV23" i="15"/>
  <c r="AU23" i="15"/>
  <c r="AT23" i="15"/>
  <c r="AS23" i="15"/>
  <c r="AQ23" i="15"/>
  <c r="AP23" i="15"/>
  <c r="AJ23" i="15"/>
  <c r="AM23" i="15" s="1"/>
  <c r="AI23" i="15"/>
  <c r="AH23" i="15"/>
  <c r="AG23" i="15"/>
  <c r="AE23" i="15"/>
  <c r="X23" i="15"/>
  <c r="AB23" i="15" s="1"/>
  <c r="V23" i="15"/>
  <c r="U23" i="15"/>
  <c r="T23" i="15"/>
  <c r="R23" i="15"/>
  <c r="BH22" i="15"/>
  <c r="BF22" i="15"/>
  <c r="BE22" i="15"/>
  <c r="BB22" i="15"/>
  <c r="BC22" i="15" s="1"/>
  <c r="AW22" i="15"/>
  <c r="AV22" i="15"/>
  <c r="AU22" i="15"/>
  <c r="AT22" i="15"/>
  <c r="AS22" i="15"/>
  <c r="AQ22" i="15"/>
  <c r="AP22" i="15"/>
  <c r="AJ22" i="15"/>
  <c r="AM22" i="15" s="1"/>
  <c r="AI22" i="15"/>
  <c r="AH22" i="15"/>
  <c r="AG22" i="15"/>
  <c r="AE22" i="15"/>
  <c r="X22" i="15"/>
  <c r="AB22" i="15" s="1"/>
  <c r="V22" i="15"/>
  <c r="U22" i="15"/>
  <c r="T22" i="15"/>
  <c r="R22" i="15"/>
  <c r="BH21" i="15"/>
  <c r="BF21" i="15"/>
  <c r="BI21" i="15" s="1"/>
  <c r="BE21" i="15"/>
  <c r="BB21" i="15"/>
  <c r="BC21" i="15" s="1"/>
  <c r="AW21" i="15"/>
  <c r="AV21" i="15"/>
  <c r="AU21" i="15"/>
  <c r="AT21" i="15"/>
  <c r="AS21" i="15"/>
  <c r="AQ21" i="15"/>
  <c r="AP21" i="15"/>
  <c r="AJ21" i="15"/>
  <c r="AK21" i="15" s="1"/>
  <c r="AI21" i="15"/>
  <c r="AH21" i="15"/>
  <c r="AG21" i="15"/>
  <c r="AE21" i="15"/>
  <c r="X21" i="15"/>
  <c r="AB21" i="15" s="1"/>
  <c r="V21" i="15"/>
  <c r="U21" i="15"/>
  <c r="T21" i="15"/>
  <c r="R21" i="15"/>
  <c r="BH20" i="15"/>
  <c r="BF20" i="15"/>
  <c r="BI20" i="15" s="1"/>
  <c r="BE20" i="15"/>
  <c r="BC20" i="15"/>
  <c r="BB20" i="15"/>
  <c r="AW20" i="15"/>
  <c r="AX20" i="15" s="1"/>
  <c r="AV20" i="15"/>
  <c r="AU20" i="15"/>
  <c r="AT20" i="15"/>
  <c r="AS20" i="15"/>
  <c r="AQ20" i="15"/>
  <c r="AP20" i="15"/>
  <c r="AJ20" i="15"/>
  <c r="AL20" i="15" s="1"/>
  <c r="AI20" i="15"/>
  <c r="AH20" i="15"/>
  <c r="AG20" i="15"/>
  <c r="AE20" i="15"/>
  <c r="X20" i="15"/>
  <c r="Z20" i="15" s="1"/>
  <c r="V20" i="15"/>
  <c r="U20" i="15"/>
  <c r="T20" i="15"/>
  <c r="R20" i="15"/>
  <c r="BH19" i="15"/>
  <c r="BF19" i="15"/>
  <c r="BE19" i="15"/>
  <c r="BB19" i="15"/>
  <c r="BC19" i="15" s="1"/>
  <c r="AW19" i="15"/>
  <c r="AV19" i="15"/>
  <c r="AU19" i="15"/>
  <c r="AT19" i="15"/>
  <c r="AS19" i="15"/>
  <c r="AQ19" i="15"/>
  <c r="AP19" i="15"/>
  <c r="AJ19" i="15"/>
  <c r="AK19" i="15" s="1"/>
  <c r="AI19" i="15"/>
  <c r="AH19" i="15"/>
  <c r="AG19" i="15"/>
  <c r="AE19" i="15"/>
  <c r="X19" i="15"/>
  <c r="Y19" i="15" s="1"/>
  <c r="V19" i="15"/>
  <c r="U19" i="15"/>
  <c r="T19" i="15"/>
  <c r="R19" i="15"/>
  <c r="BH18" i="15"/>
  <c r="BF18" i="15"/>
  <c r="BE18" i="15"/>
  <c r="BB18" i="15"/>
  <c r="BC18" i="15" s="1"/>
  <c r="AW18" i="15"/>
  <c r="AX18" i="15" s="1"/>
  <c r="AV18" i="15"/>
  <c r="AU18" i="15"/>
  <c r="AT18" i="15"/>
  <c r="AS18" i="15"/>
  <c r="AQ18" i="15"/>
  <c r="AP18" i="15"/>
  <c r="AJ18" i="15"/>
  <c r="AM18" i="15" s="1"/>
  <c r="AI18" i="15"/>
  <c r="AH18" i="15"/>
  <c r="AG18" i="15"/>
  <c r="AE18" i="15"/>
  <c r="X18" i="15"/>
  <c r="Y18" i="15" s="1"/>
  <c r="V18" i="15"/>
  <c r="U18" i="15"/>
  <c r="T18" i="15"/>
  <c r="R18" i="15"/>
  <c r="BH17" i="15"/>
  <c r="BF17" i="15"/>
  <c r="BE17" i="15"/>
  <c r="BC17" i="15"/>
  <c r="BB17" i="15"/>
  <c r="AW17" i="15"/>
  <c r="AV17" i="15"/>
  <c r="AU17" i="15"/>
  <c r="AT17" i="15"/>
  <c r="AS17" i="15"/>
  <c r="AQ17" i="15"/>
  <c r="AP17" i="15"/>
  <c r="AJ17" i="15"/>
  <c r="AK17" i="15" s="1"/>
  <c r="AI17" i="15"/>
  <c r="AH17" i="15"/>
  <c r="AG17" i="15"/>
  <c r="AE17" i="15"/>
  <c r="X17" i="15"/>
  <c r="AB17" i="15" s="1"/>
  <c r="V17" i="15"/>
  <c r="U17" i="15"/>
  <c r="T17" i="15"/>
  <c r="R17" i="15"/>
  <c r="BI16" i="15"/>
  <c r="BC16" i="15"/>
  <c r="AW16" i="15"/>
  <c r="AZ16" i="15" s="1"/>
  <c r="AV16" i="15"/>
  <c r="AU16" i="15"/>
  <c r="AT16" i="15"/>
  <c r="AQ16" i="15"/>
  <c r="AJ16" i="15"/>
  <c r="AL16" i="15" s="1"/>
  <c r="AI16" i="15"/>
  <c r="AH16" i="15"/>
  <c r="AG16" i="15"/>
  <c r="AE16" i="15"/>
  <c r="X16" i="15"/>
  <c r="Z16" i="15" s="1"/>
  <c r="V16" i="15"/>
  <c r="U16" i="15"/>
  <c r="T16" i="15"/>
  <c r="R16" i="15"/>
  <c r="BC15" i="15"/>
  <c r="AW15" i="15"/>
  <c r="AZ15" i="15" s="1"/>
  <c r="AV15" i="15"/>
  <c r="AU15" i="15"/>
  <c r="AT15" i="15"/>
  <c r="AS15" i="15"/>
  <c r="AQ15" i="15"/>
  <c r="AP15" i="15"/>
  <c r="AJ15" i="15"/>
  <c r="AI15" i="15"/>
  <c r="BI15" i="15" s="1"/>
  <c r="AH15" i="15"/>
  <c r="AG15" i="15"/>
  <c r="AE15" i="15"/>
  <c r="X15" i="15"/>
  <c r="V15" i="15"/>
  <c r="U15" i="15"/>
  <c r="T15" i="15"/>
  <c r="R15" i="15"/>
  <c r="BC14" i="15"/>
  <c r="AW14" i="15"/>
  <c r="AZ14" i="15" s="1"/>
  <c r="AV14" i="15"/>
  <c r="AU14" i="15"/>
  <c r="AT14" i="15"/>
  <c r="AQ14" i="15"/>
  <c r="AJ14" i="15"/>
  <c r="AK14" i="15" s="1"/>
  <c r="AI14" i="15"/>
  <c r="BI14" i="15" s="1"/>
  <c r="AH14" i="15"/>
  <c r="AG14" i="15"/>
  <c r="AE14" i="15"/>
  <c r="X14" i="15"/>
  <c r="V14" i="15"/>
  <c r="U14" i="15"/>
  <c r="T14" i="15"/>
  <c r="R14" i="15"/>
  <c r="BF13" i="15"/>
  <c r="BC13" i="15"/>
  <c r="AW13" i="15"/>
  <c r="AZ13" i="15" s="1"/>
  <c r="AV13" i="15"/>
  <c r="AU13" i="15"/>
  <c r="AT13" i="15"/>
  <c r="AQ13" i="15"/>
  <c r="AJ13" i="15"/>
  <c r="AM13" i="15" s="1"/>
  <c r="AI13" i="15"/>
  <c r="AH13" i="15"/>
  <c r="AG13" i="15"/>
  <c r="AE13" i="15"/>
  <c r="X13" i="15"/>
  <c r="Y13" i="15" s="1"/>
  <c r="V13" i="15"/>
  <c r="U13" i="15"/>
  <c r="T13" i="15"/>
  <c r="R13" i="15"/>
  <c r="BC12" i="15"/>
  <c r="AW12" i="15"/>
  <c r="AZ12" i="15" s="1"/>
  <c r="AV12" i="15"/>
  <c r="AU12" i="15"/>
  <c r="AT12" i="15"/>
  <c r="AQ12" i="15"/>
  <c r="AJ12" i="15"/>
  <c r="AL12" i="15" s="1"/>
  <c r="AI12" i="15"/>
  <c r="BI12" i="15" s="1"/>
  <c r="AH12" i="15"/>
  <c r="AG12" i="15"/>
  <c r="AE12" i="15"/>
  <c r="X12" i="15"/>
  <c r="Z12" i="15" s="1"/>
  <c r="V12" i="15"/>
  <c r="U12" i="15"/>
  <c r="T12" i="15"/>
  <c r="R12" i="15"/>
  <c r="BF11" i="15"/>
  <c r="BI11" i="15" s="1"/>
  <c r="BC11" i="15"/>
  <c r="AW11" i="15"/>
  <c r="AZ11" i="15" s="1"/>
  <c r="AV11" i="15"/>
  <c r="AU11" i="15"/>
  <c r="AT11" i="15"/>
  <c r="AQ11" i="15"/>
  <c r="AJ11" i="15"/>
  <c r="AM11" i="15" s="1"/>
  <c r="AI11" i="15"/>
  <c r="AH11" i="15"/>
  <c r="AG11" i="15"/>
  <c r="AE11" i="15"/>
  <c r="X11" i="15"/>
  <c r="AB11" i="15" s="1"/>
  <c r="V11" i="15"/>
  <c r="U11" i="15"/>
  <c r="T11" i="15"/>
  <c r="R11" i="15"/>
  <c r="BC10" i="15"/>
  <c r="AW10" i="15"/>
  <c r="AZ10" i="15" s="1"/>
  <c r="AV10" i="15"/>
  <c r="AU10" i="15"/>
  <c r="AT10" i="15"/>
  <c r="AQ10" i="15"/>
  <c r="AJ10" i="15"/>
  <c r="AL10" i="15" s="1"/>
  <c r="AI10" i="15"/>
  <c r="BI10" i="15" s="1"/>
  <c r="AH10" i="15"/>
  <c r="AG10" i="15"/>
  <c r="AE10" i="15"/>
  <c r="X10" i="15"/>
  <c r="Z10" i="15" s="1"/>
  <c r="V10" i="15"/>
  <c r="U10" i="15"/>
  <c r="T10" i="15"/>
  <c r="R10" i="15"/>
  <c r="AW9" i="15"/>
  <c r="AY9" i="15" s="1"/>
  <c r="AV9" i="15"/>
  <c r="AU9" i="15"/>
  <c r="AT9" i="15"/>
  <c r="AQ9" i="15"/>
  <c r="AJ9" i="15"/>
  <c r="AK9" i="15" s="1"/>
  <c r="AI9" i="15"/>
  <c r="AH9" i="15"/>
  <c r="AG9" i="15"/>
  <c r="AE9" i="15"/>
  <c r="X9" i="15"/>
  <c r="Y9" i="15" s="1"/>
  <c r="V9" i="15"/>
  <c r="U9" i="15"/>
  <c r="T9" i="15"/>
  <c r="R9" i="15"/>
  <c r="BF8" i="15"/>
  <c r="BC8" i="15"/>
  <c r="AW8" i="15"/>
  <c r="AV8" i="15"/>
  <c r="AU8" i="15"/>
  <c r="AT8" i="15"/>
  <c r="AS8" i="15"/>
  <c r="AQ8" i="15"/>
  <c r="AP8" i="15"/>
  <c r="AJ8" i="15"/>
  <c r="AL8" i="15" s="1"/>
  <c r="AI8" i="15"/>
  <c r="AH8" i="15"/>
  <c r="AG8" i="15"/>
  <c r="AE8" i="15"/>
  <c r="X8" i="15"/>
  <c r="AB8" i="15" s="1"/>
  <c r="V8" i="15"/>
  <c r="U8" i="15"/>
  <c r="T8" i="15"/>
  <c r="R8" i="15"/>
  <c r="BD7" i="15"/>
  <c r="BI7" i="15" s="1"/>
  <c r="BC7" i="15"/>
  <c r="AW7" i="15"/>
  <c r="AZ7" i="15" s="1"/>
  <c r="AV7" i="15"/>
  <c r="AU7" i="15"/>
  <c r="AT7" i="15"/>
  <c r="AQ7" i="15"/>
  <c r="AJ7" i="15"/>
  <c r="AL7" i="15" s="1"/>
  <c r="AI7" i="15"/>
  <c r="AH7" i="15"/>
  <c r="AG7" i="15"/>
  <c r="AE7" i="15"/>
  <c r="X7" i="15"/>
  <c r="Z7" i="15" s="1"/>
  <c r="V7" i="15"/>
  <c r="U7" i="15"/>
  <c r="T7" i="15"/>
  <c r="R7" i="15"/>
  <c r="BC6" i="15"/>
  <c r="AW6" i="15"/>
  <c r="AY6" i="15" s="1"/>
  <c r="AV6" i="15"/>
  <c r="AU6" i="15"/>
  <c r="AT6" i="15"/>
  <c r="AS6" i="15"/>
  <c r="AQ6" i="15"/>
  <c r="AP6" i="15"/>
  <c r="AJ6" i="15"/>
  <c r="AK6" i="15" s="1"/>
  <c r="AI6" i="15"/>
  <c r="BI6" i="15" s="1"/>
  <c r="AH6" i="15"/>
  <c r="AG6" i="15"/>
  <c r="AE6" i="15"/>
  <c r="X6" i="15"/>
  <c r="Y6" i="15" s="1"/>
  <c r="V6" i="15"/>
  <c r="U6" i="15"/>
  <c r="T6" i="15"/>
  <c r="R6" i="15"/>
  <c r="BC5" i="15"/>
  <c r="AW5" i="15"/>
  <c r="AZ5" i="15" s="1"/>
  <c r="AV5" i="15"/>
  <c r="AU5" i="15"/>
  <c r="AT5" i="15"/>
  <c r="AQ5" i="15"/>
  <c r="AJ5" i="15"/>
  <c r="AM5" i="15" s="1"/>
  <c r="AI5" i="15"/>
  <c r="BI5" i="15" s="1"/>
  <c r="AH5" i="15"/>
  <c r="AG5" i="15"/>
  <c r="AE5" i="15"/>
  <c r="X5" i="15"/>
  <c r="AB5" i="15" s="1"/>
  <c r="V5" i="15"/>
  <c r="U5" i="15"/>
  <c r="T5" i="15"/>
  <c r="R5" i="15"/>
  <c r="BC4" i="15"/>
  <c r="AW4" i="15"/>
  <c r="AZ4" i="15" s="1"/>
  <c r="AV4" i="15"/>
  <c r="AU4" i="15"/>
  <c r="AT4" i="15"/>
  <c r="AS4" i="15"/>
  <c r="AQ4" i="15"/>
  <c r="AP4" i="15"/>
  <c r="AJ4" i="15"/>
  <c r="AK4" i="15" s="1"/>
  <c r="AI4" i="15"/>
  <c r="BI4" i="15" s="1"/>
  <c r="AH4" i="15"/>
  <c r="AG4" i="15"/>
  <c r="AE4" i="15"/>
  <c r="X4" i="15"/>
  <c r="Y4" i="15" s="1"/>
  <c r="V4" i="15"/>
  <c r="U4" i="15"/>
  <c r="T4" i="15"/>
  <c r="R4" i="15"/>
  <c r="BI80" i="15" l="1"/>
  <c r="BI111" i="15"/>
  <c r="AT44" i="15"/>
  <c r="BI41" i="15"/>
  <c r="BI42" i="15"/>
  <c r="AU44" i="15"/>
  <c r="AV65" i="15"/>
  <c r="AX65" i="15" s="1"/>
  <c r="BF65" i="15"/>
  <c r="BI23" i="15"/>
  <c r="BI43" i="15"/>
  <c r="BI58" i="15"/>
  <c r="BI107" i="15"/>
  <c r="BI19" i="15"/>
  <c r="BI18" i="15"/>
  <c r="BE65" i="15"/>
  <c r="BI22" i="15"/>
  <c r="BC47" i="15"/>
  <c r="BI13" i="15"/>
  <c r="BI17" i="15"/>
  <c r="BI54" i="15"/>
  <c r="BI91" i="15"/>
  <c r="BI100" i="15"/>
  <c r="BI34" i="15"/>
  <c r="BI81" i="15"/>
  <c r="AL48" i="15"/>
  <c r="AL49" i="15"/>
  <c r="Z48" i="15"/>
  <c r="AM48" i="15"/>
  <c r="AM49" i="15"/>
  <c r="AB48" i="15"/>
  <c r="AK23" i="15"/>
  <c r="AM59" i="15"/>
  <c r="AB38" i="15"/>
  <c r="AB59" i="15"/>
  <c r="AB61" i="15"/>
  <c r="AB12" i="15"/>
  <c r="AB51" i="15"/>
  <c r="AZ61" i="15"/>
  <c r="Z19" i="15"/>
  <c r="AY12" i="15"/>
  <c r="AL4" i="15"/>
  <c r="AZ9" i="15"/>
  <c r="AK12" i="15"/>
  <c r="AB20" i="15"/>
  <c r="AY28" i="15"/>
  <c r="AY50" i="15"/>
  <c r="AM4" i="15"/>
  <c r="Y12" i="15"/>
  <c r="AM12" i="15"/>
  <c r="AZ50" i="15"/>
  <c r="AY56" i="15"/>
  <c r="Z61" i="15"/>
  <c r="AM63" i="15"/>
  <c r="AM10" i="15"/>
  <c r="AM45" i="15"/>
  <c r="AX45" i="15"/>
  <c r="Z33" i="15"/>
  <c r="AY45" i="15"/>
  <c r="AB49" i="15"/>
  <c r="Z9" i="15"/>
  <c r="AL19" i="15"/>
  <c r="AL38" i="15"/>
  <c r="AB45" i="15"/>
  <c r="AB54" i="15"/>
  <c r="Y59" i="15"/>
  <c r="AK59" i="15"/>
  <c r="AB64" i="15"/>
  <c r="AM20" i="15"/>
  <c r="Z38" i="15"/>
  <c r="AM38" i="15"/>
  <c r="AM61" i="15"/>
  <c r="AB7" i="15"/>
  <c r="AB35" i="15"/>
  <c r="AM35" i="15"/>
  <c r="AB39" i="15"/>
  <c r="AM39" i="15"/>
  <c r="AL9" i="15"/>
  <c r="Y11" i="15"/>
  <c r="AK11" i="15"/>
  <c r="AY11" i="15"/>
  <c r="AX15" i="15"/>
  <c r="AB19" i="15"/>
  <c r="AM19" i="15"/>
  <c r="Y23" i="15"/>
  <c r="AL23" i="15"/>
  <c r="AZ28" i="15"/>
  <c r="AB56" i="15"/>
  <c r="AZ56" i="15"/>
  <c r="AZ62" i="15"/>
  <c r="AB63" i="15"/>
  <c r="AM64" i="15"/>
  <c r="AM7" i="15"/>
  <c r="AM9" i="15"/>
  <c r="Z11" i="15"/>
  <c r="AL11" i="15"/>
  <c r="AY15" i="15"/>
  <c r="Z23" i="15"/>
  <c r="AB9" i="15"/>
  <c r="Z49" i="15"/>
  <c r="AM58" i="15"/>
  <c r="AL61" i="15"/>
  <c r="Z4" i="15"/>
  <c r="Y43" i="15"/>
  <c r="AK43" i="15"/>
  <c r="AY43" i="15"/>
  <c r="AB58" i="15"/>
  <c r="AB4" i="15"/>
  <c r="Y7" i="15"/>
  <c r="AK7" i="15"/>
  <c r="AY7" i="15"/>
  <c r="AB10" i="15"/>
  <c r="AY32" i="15"/>
  <c r="AL33" i="15"/>
  <c r="Y35" i="15"/>
  <c r="AK35" i="15"/>
  <c r="AY35" i="15"/>
  <c r="Y39" i="15"/>
  <c r="AK39" i="15"/>
  <c r="Z43" i="15"/>
  <c r="AL43" i="15"/>
  <c r="AX47" i="15"/>
  <c r="AL51" i="15"/>
  <c r="AM54" i="15"/>
  <c r="AZ6" i="15"/>
  <c r="Y33" i="15"/>
  <c r="AZ47" i="15"/>
  <c r="Z51" i="15"/>
  <c r="AM51" i="15"/>
  <c r="AM56" i="15"/>
  <c r="AZ57" i="15"/>
  <c r="AB44" i="15"/>
  <c r="Z44" i="15"/>
  <c r="Y62" i="15"/>
  <c r="AB62" i="15"/>
  <c r="Z62" i="15"/>
  <c r="AK13" i="15"/>
  <c r="AY13" i="15"/>
  <c r="AK24" i="15"/>
  <c r="AK18" i="15"/>
  <c r="Y22" i="15"/>
  <c r="AL24" i="15"/>
  <c r="AY29" i="15"/>
  <c r="BI32" i="15"/>
  <c r="AK52" i="15"/>
  <c r="AX59" i="15"/>
  <c r="AB13" i="15"/>
  <c r="Y16" i="15"/>
  <c r="Z18" i="15"/>
  <c r="AK26" i="15"/>
  <c r="AM26" i="15"/>
  <c r="AL26" i="15"/>
  <c r="AK29" i="15"/>
  <c r="Z52" i="15"/>
  <c r="Y17" i="15"/>
  <c r="AL29" i="15"/>
  <c r="AZ51" i="15"/>
  <c r="BI97" i="15"/>
  <c r="Z8" i="15"/>
  <c r="AB16" i="15"/>
  <c r="AM16" i="15"/>
  <c r="Z17" i="15"/>
  <c r="AL17" i="15"/>
  <c r="AZ17" i="15"/>
  <c r="AY17" i="15"/>
  <c r="Z21" i="15"/>
  <c r="AL21" i="15"/>
  <c r="AZ21" i="15"/>
  <c r="AY21" i="15"/>
  <c r="Z29" i="15"/>
  <c r="BI29" i="15"/>
  <c r="AK36" i="15"/>
  <c r="AZ36" i="15"/>
  <c r="AY44" i="15"/>
  <c r="AZ44" i="15"/>
  <c r="AM47" i="15"/>
  <c r="AL47" i="15"/>
  <c r="AK47" i="15"/>
  <c r="AZ49" i="15"/>
  <c r="AM62" i="15"/>
  <c r="AK62" i="15"/>
  <c r="AL62" i="15"/>
  <c r="AY26" i="15"/>
  <c r="AZ26" i="15"/>
  <c r="AY48" i="15"/>
  <c r="AZ48" i="15"/>
  <c r="AB14" i="15"/>
  <c r="Z14" i="15"/>
  <c r="AM15" i="15"/>
  <c r="AL15" i="15"/>
  <c r="AK15" i="15"/>
  <c r="AZ19" i="15"/>
  <c r="AY19" i="15"/>
  <c r="AZ24" i="15"/>
  <c r="AY24" i="15"/>
  <c r="AX24" i="15"/>
  <c r="Y44" i="15"/>
  <c r="AY46" i="15"/>
  <c r="AB53" i="15"/>
  <c r="Z53" i="15"/>
  <c r="AB57" i="15"/>
  <c r="Z57" i="15"/>
  <c r="Y57" i="15"/>
  <c r="Z13" i="15"/>
  <c r="AL46" i="15"/>
  <c r="AM46" i="15"/>
  <c r="AX51" i="15"/>
  <c r="V65" i="15"/>
  <c r="AK16" i="15"/>
  <c r="BH65" i="15"/>
  <c r="AL18" i="15"/>
  <c r="Z22" i="15"/>
  <c r="AZ22" i="15"/>
  <c r="AY22" i="15"/>
  <c r="Z24" i="15"/>
  <c r="AX38" i="15"/>
  <c r="AK46" i="15"/>
  <c r="AY52" i="15"/>
  <c r="AZ52" i="15"/>
  <c r="AY59" i="15"/>
  <c r="AY5" i="15"/>
  <c r="Y8" i="15"/>
  <c r="AK8" i="15"/>
  <c r="AB18" i="15"/>
  <c r="Y21" i="15"/>
  <c r="AX22" i="15"/>
  <c r="Y29" i="15"/>
  <c r="AB37" i="15"/>
  <c r="Y37" i="15"/>
  <c r="Z37" i="15"/>
  <c r="AY38" i="15"/>
  <c r="Z46" i="15"/>
  <c r="AB46" i="15"/>
  <c r="AB52" i="15"/>
  <c r="AX4" i="15"/>
  <c r="AY8" i="15"/>
  <c r="AZ8" i="15"/>
  <c r="AY4" i="15"/>
  <c r="Y5" i="15"/>
  <c r="AL5" i="15"/>
  <c r="AM8" i="15"/>
  <c r="AX8" i="15"/>
  <c r="AY14" i="15"/>
  <c r="AM17" i="15"/>
  <c r="AX17" i="15"/>
  <c r="Y20" i="15"/>
  <c r="AK20" i="15"/>
  <c r="AM21" i="15"/>
  <c r="AX21" i="15"/>
  <c r="AB26" i="15"/>
  <c r="Y26" i="15"/>
  <c r="Z26" i="15"/>
  <c r="AY33" i="15"/>
  <c r="Z34" i="15"/>
  <c r="AB34" i="15"/>
  <c r="Y36" i="15"/>
  <c r="AL36" i="15"/>
  <c r="AY37" i="15"/>
  <c r="AZ37" i="15"/>
  <c r="AL44" i="15"/>
  <c r="AM44" i="15"/>
  <c r="AM57" i="15"/>
  <c r="AK57" i="15"/>
  <c r="AL57" i="15"/>
  <c r="AX61" i="15"/>
  <c r="Y63" i="15"/>
  <c r="AK63" i="15"/>
  <c r="AY63" i="15"/>
  <c r="Y64" i="15"/>
  <c r="AK64" i="15"/>
  <c r="Y47" i="15"/>
  <c r="AB47" i="15"/>
  <c r="Z47" i="15"/>
  <c r="AL6" i="15"/>
  <c r="AM6" i="15"/>
  <c r="BI8" i="15"/>
  <c r="AM37" i="15"/>
  <c r="AL37" i="15"/>
  <c r="AK37" i="15"/>
  <c r="AI65" i="15"/>
  <c r="AL13" i="15"/>
  <c r="Y14" i="15"/>
  <c r="AX19" i="15"/>
  <c r="AK22" i="15"/>
  <c r="Y24" i="15"/>
  <c r="Y53" i="15"/>
  <c r="Z6" i="15"/>
  <c r="AB6" i="15"/>
  <c r="AY16" i="15"/>
  <c r="AZ18" i="15"/>
  <c r="AY18" i="15"/>
  <c r="AL22" i="15"/>
  <c r="AX49" i="15"/>
  <c r="AL52" i="15"/>
  <c r="AB15" i="15"/>
  <c r="Z15" i="15"/>
  <c r="Y15" i="15"/>
  <c r="AM34" i="15"/>
  <c r="AL34" i="15"/>
  <c r="AK5" i="15"/>
  <c r="Z5" i="15"/>
  <c r="AM14" i="15"/>
  <c r="AL14" i="15"/>
  <c r="AZ20" i="15"/>
  <c r="AY20" i="15"/>
  <c r="AX23" i="15"/>
  <c r="AZ23" i="15"/>
  <c r="AY23" i="15"/>
  <c r="AK33" i="15"/>
  <c r="Y34" i="15"/>
  <c r="BD35" i="15"/>
  <c r="BB65" i="15"/>
  <c r="Z36" i="15"/>
  <c r="BI36" i="15"/>
  <c r="AK44" i="15"/>
  <c r="BD45" i="15"/>
  <c r="BC45" i="15"/>
  <c r="AL53" i="15"/>
  <c r="AM53" i="15"/>
  <c r="AZ64" i="15"/>
  <c r="AY64" i="15"/>
  <c r="BI99" i="15"/>
  <c r="Y28" i="15"/>
  <c r="AK28" i="15"/>
  <c r="AX34" i="15"/>
  <c r="Y40" i="15"/>
  <c r="AK40" i="15"/>
  <c r="AY40" i="15"/>
  <c r="Y42" i="15"/>
  <c r="AK42" i="15"/>
  <c r="AY42" i="15"/>
  <c r="Y50" i="15"/>
  <c r="AK50" i="15"/>
  <c r="AX53" i="15"/>
  <c r="Y60" i="15"/>
  <c r="AK60" i="15"/>
  <c r="AY60" i="15"/>
  <c r="AX6" i="15"/>
  <c r="Y10" i="15"/>
  <c r="AK10" i="15"/>
  <c r="AY10" i="15"/>
  <c r="Z28" i="15"/>
  <c r="AL28" i="15"/>
  <c r="AY34" i="15"/>
  <c r="Z40" i="15"/>
  <c r="AL40" i="15"/>
  <c r="Z42" i="15"/>
  <c r="AL42" i="15"/>
  <c r="Y45" i="15"/>
  <c r="AK45" i="15"/>
  <c r="Z50" i="15"/>
  <c r="AL50" i="15"/>
  <c r="AY53" i="15"/>
  <c r="Y54" i="15"/>
  <c r="AK54" i="15"/>
  <c r="AY54" i="15"/>
  <c r="Y56" i="15"/>
  <c r="AK56" i="15"/>
  <c r="AX57" i="15"/>
  <c r="Y58" i="15"/>
  <c r="AK58" i="15"/>
  <c r="AY58" i="15"/>
  <c r="Z60" i="15"/>
  <c r="AL60" i="15"/>
  <c r="AX62" i="15"/>
  <c r="BI65" i="15" l="1"/>
  <c r="BA113" i="5" l="1"/>
  <c r="AZ113" i="5"/>
  <c r="AY113" i="5"/>
  <c r="AV113" i="5"/>
  <c r="BI93" i="5" l="1"/>
  <c r="BM107" i="5" l="1"/>
  <c r="BH107" i="5"/>
  <c r="AX107" i="5"/>
  <c r="AY107" i="5"/>
  <c r="AZ107" i="5"/>
  <c r="BA107" i="5"/>
  <c r="AU107" i="5"/>
  <c r="AV107" i="5"/>
  <c r="AL107" i="5"/>
  <c r="AM107" i="5"/>
  <c r="AN107" i="5"/>
  <c r="AJ107" i="5"/>
  <c r="W107" i="5"/>
  <c r="X107" i="5"/>
  <c r="Y107" i="5"/>
  <c r="U107" i="5"/>
  <c r="BF107" i="5"/>
  <c r="AS107" i="5"/>
  <c r="AH107" i="5"/>
  <c r="Q107" i="5"/>
  <c r="BN107" i="5" l="1"/>
  <c r="AY98" i="5"/>
  <c r="AZ98" i="5"/>
  <c r="BA98" i="5"/>
  <c r="BF2" i="5" l="1"/>
  <c r="AS2" i="5"/>
  <c r="AH2" i="5"/>
  <c r="Q2" i="5"/>
  <c r="BA109" i="5" l="1"/>
  <c r="AL109" i="5"/>
  <c r="AM109" i="5"/>
  <c r="AN109" i="5"/>
  <c r="W109" i="5"/>
  <c r="X109" i="5"/>
  <c r="Y109" i="5"/>
  <c r="AJ109" i="5"/>
  <c r="U109" i="5"/>
  <c r="AZ109" i="5"/>
  <c r="AY109" i="5"/>
  <c r="AV109" i="5"/>
  <c r="BL109" i="5"/>
  <c r="BH109" i="5"/>
  <c r="BN109" i="5" l="1"/>
  <c r="BI99" i="5"/>
  <c r="AV98" i="5" l="1"/>
  <c r="AL98" i="5"/>
  <c r="AM98" i="5"/>
  <c r="AN98" i="5"/>
  <c r="W98" i="5"/>
  <c r="X98" i="5"/>
  <c r="Y98" i="5"/>
  <c r="U98" i="5"/>
  <c r="AJ98" i="5"/>
  <c r="BH98" i="5"/>
  <c r="BK98" i="5"/>
  <c r="BN98" i="5" l="1"/>
  <c r="M605" i="13" l="1"/>
  <c r="T528" i="13" l="1"/>
  <c r="T527" i="13"/>
  <c r="T526" i="13"/>
  <c r="T525" i="13"/>
  <c r="T524" i="13"/>
  <c r="AX94" i="5" l="1"/>
  <c r="AY94" i="5"/>
  <c r="AZ94" i="5"/>
  <c r="BA94" i="5"/>
  <c r="AU94" i="5"/>
  <c r="AV94" i="5"/>
  <c r="T468" i="13" l="1"/>
  <c r="T467" i="13"/>
  <c r="T466" i="13"/>
  <c r="T465" i="13"/>
  <c r="T464" i="13"/>
  <c r="T459" i="13"/>
  <c r="T458" i="13"/>
  <c r="T457" i="13"/>
  <c r="T456" i="13"/>
  <c r="T455" i="13"/>
  <c r="T279" i="13"/>
  <c r="T280" i="13"/>
  <c r="T276" i="13"/>
  <c r="T271" i="13"/>
  <c r="T270" i="13"/>
  <c r="T269" i="13"/>
  <c r="T268" i="13"/>
  <c r="T267" i="13"/>
  <c r="W267" i="13" s="1"/>
  <c r="T266" i="13"/>
  <c r="T265" i="13"/>
  <c r="P410" i="12"/>
  <c r="O410" i="12"/>
  <c r="N410" i="12"/>
  <c r="M410" i="12"/>
  <c r="L410" i="12"/>
  <c r="K410" i="12"/>
  <c r="J410" i="12"/>
  <c r="I410" i="12"/>
  <c r="H410" i="12"/>
  <c r="G410" i="12"/>
  <c r="F410" i="12"/>
  <c r="E410" i="12"/>
  <c r="T497" i="13" l="1"/>
  <c r="T496" i="13"/>
  <c r="T495" i="13"/>
  <c r="T494" i="13"/>
  <c r="T493" i="13"/>
  <c r="W495" i="13"/>
  <c r="W559" i="13"/>
  <c r="T563" i="13"/>
  <c r="T562" i="13"/>
  <c r="W562" i="13" s="1"/>
  <c r="T561" i="13"/>
  <c r="T560" i="13"/>
  <c r="W560" i="13" s="1"/>
  <c r="T559" i="13"/>
  <c r="T558" i="13"/>
  <c r="T557" i="13"/>
  <c r="T483" i="13"/>
  <c r="W483" i="13" s="1"/>
  <c r="T488" i="13"/>
  <c r="W488" i="13" s="1"/>
  <c r="T487" i="13"/>
  <c r="W487" i="13" s="1"/>
  <c r="T486" i="13"/>
  <c r="T485" i="13"/>
  <c r="W485" i="13" s="1"/>
  <c r="T484" i="13"/>
  <c r="T482" i="13"/>
  <c r="W484" i="13"/>
  <c r="E743" i="12"/>
  <c r="T386" i="13"/>
  <c r="T385" i="13"/>
  <c r="W385" i="13" s="1"/>
  <c r="T384" i="13"/>
  <c r="T383" i="13"/>
  <c r="T382" i="13"/>
  <c r="T381" i="13"/>
  <c r="T380" i="13"/>
  <c r="W380" i="13" s="1"/>
  <c r="T379" i="13"/>
  <c r="W379" i="13" s="1"/>
  <c r="T378" i="13"/>
  <c r="W393" i="13" l="1"/>
  <c r="R640" i="12"/>
  <c r="R635" i="12"/>
  <c r="T131" i="13"/>
  <c r="T368" i="13" l="1"/>
  <c r="T369" i="13"/>
  <c r="T367" i="13"/>
  <c r="T366" i="13"/>
  <c r="T365" i="13"/>
  <c r="O604" i="12"/>
  <c r="O603" i="12"/>
  <c r="N599" i="12"/>
  <c r="M599" i="12"/>
  <c r="L599" i="12"/>
  <c r="K599" i="12"/>
  <c r="J599" i="12"/>
  <c r="I599" i="12"/>
  <c r="H599" i="12"/>
  <c r="G599" i="12"/>
  <c r="F599" i="12"/>
  <c r="E599" i="12"/>
  <c r="D599" i="12"/>
  <c r="C599" i="12"/>
  <c r="O596" i="12"/>
  <c r="O595" i="12"/>
  <c r="O592" i="12"/>
  <c r="O591" i="12"/>
  <c r="O589" i="12"/>
  <c r="O588" i="12"/>
  <c r="O586" i="12"/>
  <c r="O582" i="12"/>
  <c r="O580" i="12"/>
  <c r="O575" i="12"/>
  <c r="O573" i="12"/>
  <c r="O568" i="12"/>
  <c r="O566" i="12"/>
  <c r="T347" i="13"/>
  <c r="T346" i="13"/>
  <c r="T345" i="13"/>
  <c r="T344" i="13"/>
  <c r="T343" i="13"/>
  <c r="O535" i="12"/>
  <c r="O532" i="12"/>
  <c r="O530" i="12"/>
  <c r="O529" i="12"/>
  <c r="O528" i="12"/>
  <c r="O527" i="12"/>
  <c r="O524" i="12"/>
  <c r="O521" i="12"/>
  <c r="O519" i="12"/>
  <c r="O518" i="12"/>
  <c r="O517" i="12"/>
  <c r="O516" i="12"/>
  <c r="O513" i="12"/>
  <c r="O510" i="12"/>
  <c r="O507" i="12"/>
  <c r="O503" i="12"/>
  <c r="O501" i="12"/>
  <c r="O496" i="12"/>
  <c r="O495" i="12"/>
  <c r="O492" i="12"/>
  <c r="O491" i="12"/>
  <c r="O490" i="12"/>
  <c r="T90" i="13"/>
  <c r="W90" i="13" s="1"/>
  <c r="O382" i="12"/>
  <c r="N379" i="12"/>
  <c r="O379" i="12" s="1"/>
  <c r="O376" i="12"/>
  <c r="O375" i="12"/>
  <c r="O371" i="12"/>
  <c r="O370" i="12"/>
  <c r="O368" i="12"/>
  <c r="O367" i="12"/>
  <c r="O364" i="12"/>
  <c r="O360" i="12"/>
  <c r="O358" i="12"/>
  <c r="O363" i="12" s="1"/>
  <c r="O349" i="12"/>
  <c r="O347" i="12"/>
  <c r="T207" i="13"/>
  <c r="T206" i="13"/>
  <c r="T205" i="13"/>
  <c r="T208" i="13"/>
  <c r="T204" i="13"/>
  <c r="T203" i="13"/>
  <c r="T202" i="13"/>
  <c r="T197" i="13"/>
  <c r="T196" i="13"/>
  <c r="T195" i="13"/>
  <c r="T194" i="13"/>
  <c r="T193" i="13"/>
  <c r="T192" i="13"/>
  <c r="T191" i="13"/>
  <c r="T186" i="13"/>
  <c r="T185" i="13"/>
  <c r="T184" i="13"/>
  <c r="T183" i="13"/>
  <c r="T182" i="13"/>
  <c r="T181" i="13"/>
  <c r="T180" i="13"/>
  <c r="T175" i="13"/>
  <c r="T174" i="13"/>
  <c r="T173" i="13"/>
  <c r="T172" i="13"/>
  <c r="T171" i="13"/>
  <c r="T170" i="13"/>
  <c r="T169" i="13"/>
  <c r="T91" i="13"/>
  <c r="T89" i="13"/>
  <c r="T240" i="13"/>
  <c r="AS116" i="14"/>
  <c r="AR116" i="14"/>
  <c r="AQ116" i="14"/>
  <c r="AP116" i="14"/>
  <c r="AN116" i="14"/>
  <c r="AM116" i="14"/>
  <c r="AF116" i="14"/>
  <c r="AE116" i="14"/>
  <c r="AD116" i="14"/>
  <c r="AB116" i="14"/>
  <c r="T116" i="14"/>
  <c r="S116" i="14"/>
  <c r="R116" i="14"/>
  <c r="P116" i="14"/>
  <c r="AF115" i="14"/>
  <c r="AE115" i="14"/>
  <c r="AD115" i="14"/>
  <c r="AB115" i="14"/>
  <c r="T115" i="14"/>
  <c r="S115" i="14"/>
  <c r="R115" i="14"/>
  <c r="P115" i="14"/>
  <c r="AS114" i="14"/>
  <c r="AR114" i="14"/>
  <c r="AQ114" i="14"/>
  <c r="AN114" i="14"/>
  <c r="AF114" i="14"/>
  <c r="AE114" i="14"/>
  <c r="AD114" i="14"/>
  <c r="AB114" i="14"/>
  <c r="T114" i="14"/>
  <c r="S114" i="14"/>
  <c r="R114" i="14"/>
  <c r="P114" i="14"/>
  <c r="AS113" i="14"/>
  <c r="AR113" i="14"/>
  <c r="AQ113" i="14"/>
  <c r="AN113" i="14"/>
  <c r="AF113" i="14"/>
  <c r="AE113" i="14"/>
  <c r="AD113" i="14"/>
  <c r="AB113" i="14"/>
  <c r="T113" i="14"/>
  <c r="S113" i="14"/>
  <c r="R113" i="14"/>
  <c r="P113" i="14"/>
  <c r="AS112" i="14"/>
  <c r="AQ112" i="14"/>
  <c r="AN112" i="14"/>
  <c r="AF112" i="14"/>
  <c r="AE112" i="14"/>
  <c r="AD112" i="14"/>
  <c r="AB112" i="14"/>
  <c r="T112" i="14"/>
  <c r="S112" i="14"/>
  <c r="R112" i="14"/>
  <c r="P112" i="14"/>
  <c r="AZ111" i="14"/>
  <c r="AS111" i="14"/>
  <c r="AR111" i="14"/>
  <c r="AQ111" i="14"/>
  <c r="AN111" i="14"/>
  <c r="AF111" i="14"/>
  <c r="AE111" i="14"/>
  <c r="AD111" i="14"/>
  <c r="AB111" i="14"/>
  <c r="T111" i="14"/>
  <c r="S111" i="14"/>
  <c r="R111" i="14"/>
  <c r="P111" i="14"/>
  <c r="AZ110" i="14"/>
  <c r="AS110" i="14"/>
  <c r="AR110" i="14"/>
  <c r="AQ110" i="14"/>
  <c r="AN110" i="14"/>
  <c r="AF110" i="14"/>
  <c r="AE110" i="14"/>
  <c r="AD110" i="14"/>
  <c r="AB110" i="14"/>
  <c r="T110" i="14"/>
  <c r="S110" i="14"/>
  <c r="R110" i="14"/>
  <c r="P110" i="14"/>
  <c r="AZ109" i="14"/>
  <c r="AS109" i="14"/>
  <c r="AR109" i="14"/>
  <c r="AQ109" i="14"/>
  <c r="AP109" i="14"/>
  <c r="AN109" i="14"/>
  <c r="AM109" i="14"/>
  <c r="AF109" i="14"/>
  <c r="BF109" i="14" s="1"/>
  <c r="AE109" i="14"/>
  <c r="AD109" i="14"/>
  <c r="AB109" i="14"/>
  <c r="T109" i="14"/>
  <c r="S109" i="14"/>
  <c r="R109" i="14"/>
  <c r="P109" i="14"/>
  <c r="AZ108" i="14"/>
  <c r="AS108" i="14"/>
  <c r="AR108" i="14"/>
  <c r="AQ108" i="14"/>
  <c r="AN108" i="14"/>
  <c r="AF108" i="14"/>
  <c r="BF108" i="14" s="1"/>
  <c r="AE108" i="14"/>
  <c r="AD108" i="14"/>
  <c r="AB108" i="14"/>
  <c r="T108" i="14"/>
  <c r="S108" i="14"/>
  <c r="R108" i="14"/>
  <c r="P108" i="14"/>
  <c r="AZ107" i="14"/>
  <c r="AS107" i="14"/>
  <c r="AR107" i="14"/>
  <c r="AQ107" i="14"/>
  <c r="AN107" i="14"/>
  <c r="AF107" i="14"/>
  <c r="BF107" i="14" s="1"/>
  <c r="AE107" i="14"/>
  <c r="AD107" i="14"/>
  <c r="AB107" i="14"/>
  <c r="T107" i="14"/>
  <c r="S107" i="14"/>
  <c r="R107" i="14"/>
  <c r="P107" i="14"/>
  <c r="BE106" i="14"/>
  <c r="BD106" i="14"/>
  <c r="BB106" i="14"/>
  <c r="BA106" i="14"/>
  <c r="AY106" i="14"/>
  <c r="AZ106" i="14" s="1"/>
  <c r="AS106" i="14"/>
  <c r="AR106" i="14"/>
  <c r="AQ106" i="14"/>
  <c r="AP106" i="14"/>
  <c r="AN106" i="14"/>
  <c r="AM106" i="14"/>
  <c r="AF106" i="14"/>
  <c r="AE106" i="14"/>
  <c r="AD106" i="14"/>
  <c r="AB106" i="14"/>
  <c r="T106" i="14"/>
  <c r="S106" i="14"/>
  <c r="R106" i="14"/>
  <c r="P106" i="14"/>
  <c r="BE105" i="14"/>
  <c r="BD105" i="14"/>
  <c r="BB105" i="14"/>
  <c r="BA105" i="14"/>
  <c r="AY105" i="14"/>
  <c r="AS105" i="14"/>
  <c r="AR105" i="14"/>
  <c r="AQ105" i="14"/>
  <c r="AP105" i="14"/>
  <c r="AN105" i="14"/>
  <c r="AM105" i="14"/>
  <c r="AF105" i="14"/>
  <c r="AE105" i="14"/>
  <c r="AD105" i="14"/>
  <c r="AB105" i="14"/>
  <c r="T105" i="14"/>
  <c r="S105" i="14"/>
  <c r="R105" i="14"/>
  <c r="P105" i="14"/>
  <c r="BE104" i="14"/>
  <c r="BD104" i="14"/>
  <c r="BB104" i="14"/>
  <c r="BA104" i="14"/>
  <c r="AY104" i="14"/>
  <c r="AS104" i="14"/>
  <c r="AR104" i="14"/>
  <c r="AQ104" i="14"/>
  <c r="AP104" i="14"/>
  <c r="AN104" i="14"/>
  <c r="AM104" i="14"/>
  <c r="AF104" i="14"/>
  <c r="AE104" i="14"/>
  <c r="AD104" i="14"/>
  <c r="AB104" i="14"/>
  <c r="T104" i="14"/>
  <c r="S104" i="14"/>
  <c r="R104" i="14"/>
  <c r="P104" i="14"/>
  <c r="AZ103" i="14"/>
  <c r="AS103" i="14"/>
  <c r="AR103" i="14"/>
  <c r="AQ103" i="14"/>
  <c r="AP103" i="14"/>
  <c r="AN103" i="14"/>
  <c r="AM103" i="14"/>
  <c r="AF103" i="14"/>
  <c r="BF103" i="14" s="1"/>
  <c r="AE103" i="14"/>
  <c r="AD103" i="14"/>
  <c r="AB103" i="14"/>
  <c r="T103" i="14"/>
  <c r="S103" i="14"/>
  <c r="R103" i="14"/>
  <c r="P103" i="14"/>
  <c r="BA102" i="14"/>
  <c r="AZ102" i="14"/>
  <c r="AC102" i="14"/>
  <c r="AE102" i="14" s="1"/>
  <c r="AB102" i="14"/>
  <c r="P102" i="14"/>
  <c r="AZ101" i="14"/>
  <c r="AS101" i="14"/>
  <c r="AR101" i="14"/>
  <c r="AQ101" i="14"/>
  <c r="AN101" i="14"/>
  <c r="AF101" i="14"/>
  <c r="BF101" i="14" s="1"/>
  <c r="AE101" i="14"/>
  <c r="AD101" i="14"/>
  <c r="AB101" i="14"/>
  <c r="T101" i="14"/>
  <c r="S101" i="14"/>
  <c r="R101" i="14"/>
  <c r="P101" i="14"/>
  <c r="AZ100" i="14"/>
  <c r="AS100" i="14"/>
  <c r="AR100" i="14"/>
  <c r="AQ100" i="14"/>
  <c r="AP100" i="14"/>
  <c r="AN100" i="14"/>
  <c r="AM100" i="14"/>
  <c r="AF100" i="14"/>
  <c r="BF100" i="14" s="1"/>
  <c r="AE100" i="14"/>
  <c r="AD100" i="14"/>
  <c r="AB100" i="14"/>
  <c r="T100" i="14"/>
  <c r="S100" i="14"/>
  <c r="R100" i="14"/>
  <c r="P100" i="14"/>
  <c r="AZ99" i="14"/>
  <c r="AS99" i="14"/>
  <c r="AR99" i="14"/>
  <c r="AQ99" i="14"/>
  <c r="AN99" i="14"/>
  <c r="AF99" i="14"/>
  <c r="BF99" i="14" s="1"/>
  <c r="AE99" i="14"/>
  <c r="AD99" i="14"/>
  <c r="AB99" i="14"/>
  <c r="T99" i="14"/>
  <c r="S99" i="14"/>
  <c r="R99" i="14"/>
  <c r="P99" i="14"/>
  <c r="BI98" i="14"/>
  <c r="AZ98" i="14"/>
  <c r="AS98" i="14"/>
  <c r="AR98" i="14"/>
  <c r="AQ98" i="14"/>
  <c r="AP98" i="14"/>
  <c r="AN98" i="14"/>
  <c r="AM98" i="14"/>
  <c r="AF98" i="14"/>
  <c r="BF98" i="14" s="1"/>
  <c r="AE98" i="14"/>
  <c r="AD98" i="14"/>
  <c r="AB98" i="14"/>
  <c r="T98" i="14"/>
  <c r="S98" i="14"/>
  <c r="R98" i="14"/>
  <c r="P98" i="14"/>
  <c r="BA97" i="14"/>
  <c r="BF97" i="14" s="1"/>
  <c r="AZ97" i="14"/>
  <c r="AS97" i="14"/>
  <c r="AR97" i="14"/>
  <c r="AQ97" i="14"/>
  <c r="AN97" i="14"/>
  <c r="AF97" i="14"/>
  <c r="AE97" i="14"/>
  <c r="AD97" i="14"/>
  <c r="AB97" i="14"/>
  <c r="T97" i="14"/>
  <c r="S97" i="14"/>
  <c r="R97" i="14"/>
  <c r="P97" i="14"/>
  <c r="AZ96" i="14"/>
  <c r="AS96" i="14"/>
  <c r="AR96" i="14"/>
  <c r="AQ96" i="14"/>
  <c r="AN96" i="14"/>
  <c r="AF96" i="14"/>
  <c r="BF96" i="14" s="1"/>
  <c r="AE96" i="14"/>
  <c r="AD96" i="14"/>
  <c r="AB96" i="14"/>
  <c r="T96" i="14"/>
  <c r="S96" i="14"/>
  <c r="R96" i="14"/>
  <c r="P96" i="14"/>
  <c r="BC95" i="14"/>
  <c r="AZ95" i="14"/>
  <c r="AS95" i="14"/>
  <c r="AR95" i="14"/>
  <c r="AQ95" i="14"/>
  <c r="AN95" i="14"/>
  <c r="AF95" i="14"/>
  <c r="AE95" i="14"/>
  <c r="AD95" i="14"/>
  <c r="AB95" i="14"/>
  <c r="T95" i="14"/>
  <c r="S95" i="14"/>
  <c r="R95" i="14"/>
  <c r="P95" i="14"/>
  <c r="AZ94" i="14"/>
  <c r="AS94" i="14"/>
  <c r="AR94" i="14"/>
  <c r="AQ94" i="14"/>
  <c r="AN94" i="14"/>
  <c r="AF94" i="14"/>
  <c r="BF94" i="14" s="1"/>
  <c r="AE94" i="14"/>
  <c r="AD94" i="14"/>
  <c r="AB94" i="14"/>
  <c r="T94" i="14"/>
  <c r="S94" i="14"/>
  <c r="R94" i="14"/>
  <c r="P94" i="14"/>
  <c r="AZ93" i="14"/>
  <c r="AF93" i="14"/>
  <c r="AE93" i="14"/>
  <c r="AD93" i="14"/>
  <c r="AB93" i="14"/>
  <c r="T93" i="14"/>
  <c r="S93" i="14"/>
  <c r="R93" i="14"/>
  <c r="P93" i="14"/>
  <c r="AZ92" i="14"/>
  <c r="AS92" i="14"/>
  <c r="AR92" i="14"/>
  <c r="AQ92" i="14"/>
  <c r="AN92" i="14"/>
  <c r="AF92" i="14"/>
  <c r="BF92" i="14" s="1"/>
  <c r="AE92" i="14"/>
  <c r="AD92" i="14"/>
  <c r="AB92" i="14"/>
  <c r="T92" i="14"/>
  <c r="S92" i="14"/>
  <c r="R92" i="14"/>
  <c r="P92" i="14"/>
  <c r="AZ91" i="14"/>
  <c r="AF91" i="14"/>
  <c r="AE91" i="14"/>
  <c r="AD91" i="14"/>
  <c r="AB91" i="14"/>
  <c r="AZ90" i="14"/>
  <c r="AF90" i="14"/>
  <c r="AE90" i="14"/>
  <c r="AD90" i="14"/>
  <c r="AB90" i="14"/>
  <c r="T90" i="14"/>
  <c r="S90" i="14"/>
  <c r="R90" i="14"/>
  <c r="P90" i="14"/>
  <c r="AZ89" i="14"/>
  <c r="AS89" i="14"/>
  <c r="AR89" i="14"/>
  <c r="AQ89" i="14"/>
  <c r="AN89" i="14"/>
  <c r="AF89" i="14"/>
  <c r="BF89" i="14" s="1"/>
  <c r="AE89" i="14"/>
  <c r="AD89" i="14"/>
  <c r="AB89" i="14"/>
  <c r="T89" i="14"/>
  <c r="S89" i="14"/>
  <c r="R89" i="14"/>
  <c r="P89" i="14"/>
  <c r="AZ88" i="14"/>
  <c r="BF87" i="14"/>
  <c r="AZ87" i="14"/>
  <c r="AS87" i="14"/>
  <c r="AQ87" i="14"/>
  <c r="AN87" i="14"/>
  <c r="AF87" i="14"/>
  <c r="AE87" i="14"/>
  <c r="AD87" i="14"/>
  <c r="AB87" i="14"/>
  <c r="T87" i="14"/>
  <c r="S87" i="14"/>
  <c r="R87" i="14"/>
  <c r="P87" i="14"/>
  <c r="AZ86" i="14"/>
  <c r="AS86" i="14"/>
  <c r="AR86" i="14"/>
  <c r="AQ86" i="14"/>
  <c r="AP86" i="14"/>
  <c r="AN86" i="14"/>
  <c r="AM86" i="14"/>
  <c r="AF86" i="14"/>
  <c r="BF86" i="14" s="1"/>
  <c r="AE86" i="14"/>
  <c r="AD86" i="14"/>
  <c r="AB86" i="14"/>
  <c r="T86" i="14"/>
  <c r="S86" i="14"/>
  <c r="R86" i="14"/>
  <c r="P86" i="14"/>
  <c r="AZ85" i="14"/>
  <c r="AS85" i="14"/>
  <c r="AR85" i="14"/>
  <c r="AQ85" i="14"/>
  <c r="AN85" i="14"/>
  <c r="AF85" i="14"/>
  <c r="BF85" i="14" s="1"/>
  <c r="AE85" i="14"/>
  <c r="AD85" i="14"/>
  <c r="AB85" i="14"/>
  <c r="T85" i="14"/>
  <c r="S85" i="14"/>
  <c r="R85" i="14"/>
  <c r="P85" i="14"/>
  <c r="AZ84" i="14"/>
  <c r="AS84" i="14"/>
  <c r="AR84" i="14"/>
  <c r="AQ84" i="14"/>
  <c r="AP84" i="14"/>
  <c r="AN84" i="14"/>
  <c r="AM84" i="14"/>
  <c r="AF84" i="14"/>
  <c r="BF84" i="14" s="1"/>
  <c r="AE84" i="14"/>
  <c r="AD84" i="14"/>
  <c r="AB84" i="14"/>
  <c r="T84" i="14"/>
  <c r="S84" i="14"/>
  <c r="R84" i="14"/>
  <c r="P84" i="14"/>
  <c r="BE83" i="14"/>
  <c r="AZ83" i="14"/>
  <c r="AS83" i="14"/>
  <c r="AR83" i="14"/>
  <c r="AQ83" i="14"/>
  <c r="AN83" i="14"/>
  <c r="AF83" i="14"/>
  <c r="AE83" i="14"/>
  <c r="AD83" i="14"/>
  <c r="AB83" i="14"/>
  <c r="T83" i="14"/>
  <c r="S83" i="14"/>
  <c r="R83" i="14"/>
  <c r="P83" i="14"/>
  <c r="AZ82" i="14"/>
  <c r="AS82" i="14"/>
  <c r="AR82" i="14"/>
  <c r="AQ82" i="14"/>
  <c r="AN82" i="14"/>
  <c r="AF82" i="14"/>
  <c r="BF82" i="14" s="1"/>
  <c r="AE82" i="14"/>
  <c r="AD82" i="14"/>
  <c r="AB82" i="14"/>
  <c r="T82" i="14"/>
  <c r="S82" i="14"/>
  <c r="R82" i="14"/>
  <c r="P82" i="14"/>
  <c r="AZ81" i="14"/>
  <c r="AS81" i="14"/>
  <c r="AR81" i="14"/>
  <c r="AQ81" i="14"/>
  <c r="AP81" i="14"/>
  <c r="AN81" i="14"/>
  <c r="AM81" i="14"/>
  <c r="AF81" i="14"/>
  <c r="BF81" i="14" s="1"/>
  <c r="AE81" i="14"/>
  <c r="AD81" i="14"/>
  <c r="AB81" i="14"/>
  <c r="T81" i="14"/>
  <c r="S81" i="14"/>
  <c r="R81" i="14"/>
  <c r="P81" i="14"/>
  <c r="BF80" i="14"/>
  <c r="BA80" i="14"/>
  <c r="AZ80" i="14"/>
  <c r="AS80" i="14"/>
  <c r="AR80" i="14"/>
  <c r="AQ80" i="14"/>
  <c r="AP80" i="14"/>
  <c r="AN80" i="14"/>
  <c r="AM80" i="14"/>
  <c r="AF80" i="14"/>
  <c r="AE80" i="14"/>
  <c r="AD80" i="14"/>
  <c r="AB80" i="14"/>
  <c r="T80" i="14"/>
  <c r="S80" i="14"/>
  <c r="R80" i="14"/>
  <c r="P80" i="14"/>
  <c r="AZ79" i="14"/>
  <c r="AS79" i="14"/>
  <c r="AR79" i="14"/>
  <c r="AQ79" i="14"/>
  <c r="AP79" i="14"/>
  <c r="AN79" i="14"/>
  <c r="AM79" i="14"/>
  <c r="AF79" i="14"/>
  <c r="AE79" i="14"/>
  <c r="AD79" i="14"/>
  <c r="AB79" i="14"/>
  <c r="T79" i="14"/>
  <c r="S79" i="14"/>
  <c r="R79" i="14"/>
  <c r="P79" i="14"/>
  <c r="BI78" i="14"/>
  <c r="AZ78" i="14"/>
  <c r="AS78" i="14"/>
  <c r="AR78" i="14"/>
  <c r="AQ78" i="14"/>
  <c r="AP78" i="14"/>
  <c r="AN78" i="14"/>
  <c r="AM78" i="14"/>
  <c r="AF78" i="14"/>
  <c r="BF78" i="14" s="1"/>
  <c r="AE78" i="14"/>
  <c r="AD78" i="14"/>
  <c r="AB78" i="14"/>
  <c r="T78" i="14"/>
  <c r="S78" i="14"/>
  <c r="R78" i="14"/>
  <c r="P78" i="14"/>
  <c r="AZ77" i="14"/>
  <c r="AS77" i="14"/>
  <c r="AR77" i="14"/>
  <c r="AQ77" i="14"/>
  <c r="AN77" i="14"/>
  <c r="AF77" i="14"/>
  <c r="AE77" i="14"/>
  <c r="AD77" i="14"/>
  <c r="AB77" i="14"/>
  <c r="T77" i="14"/>
  <c r="S77" i="14"/>
  <c r="R77" i="14"/>
  <c r="P77" i="14"/>
  <c r="AZ76" i="14"/>
  <c r="AS76" i="14"/>
  <c r="AR76" i="14"/>
  <c r="AQ76" i="14"/>
  <c r="AP76" i="14"/>
  <c r="AN76" i="14"/>
  <c r="AM76" i="14"/>
  <c r="AF76" i="14"/>
  <c r="BF76" i="14" s="1"/>
  <c r="AE76" i="14"/>
  <c r="AD76" i="14"/>
  <c r="AB76" i="14"/>
  <c r="T76" i="14"/>
  <c r="S76" i="14"/>
  <c r="R76" i="14"/>
  <c r="P76" i="14"/>
  <c r="AY75" i="14"/>
  <c r="AZ75" i="14" s="1"/>
  <c r="AS75" i="14"/>
  <c r="AR75" i="14"/>
  <c r="AQ75" i="14"/>
  <c r="AN75" i="14"/>
  <c r="AF75" i="14"/>
  <c r="AE75" i="14"/>
  <c r="AD75" i="14"/>
  <c r="AB75" i="14"/>
  <c r="T75" i="14"/>
  <c r="S75" i="14"/>
  <c r="R75" i="14"/>
  <c r="P75" i="14"/>
  <c r="AZ74" i="14"/>
  <c r="AS74" i="14"/>
  <c r="AR74" i="14"/>
  <c r="AQ74" i="14"/>
  <c r="AN74" i="14"/>
  <c r="AF74" i="14"/>
  <c r="BF74" i="14" s="1"/>
  <c r="AE74" i="14"/>
  <c r="AD74" i="14"/>
  <c r="AB74" i="14"/>
  <c r="T74" i="14"/>
  <c r="S74" i="14"/>
  <c r="R74" i="14"/>
  <c r="P74" i="14"/>
  <c r="AZ73" i="14"/>
  <c r="AS73" i="14"/>
  <c r="AR73" i="14"/>
  <c r="AQ73" i="14"/>
  <c r="AN73" i="14"/>
  <c r="AF73" i="14"/>
  <c r="AE73" i="14"/>
  <c r="AD73" i="14"/>
  <c r="AB73" i="14"/>
  <c r="T73" i="14"/>
  <c r="S73" i="14"/>
  <c r="R73" i="14"/>
  <c r="P73" i="14"/>
  <c r="AZ72" i="14"/>
  <c r="AS72" i="14"/>
  <c r="AR72" i="14"/>
  <c r="AQ72" i="14"/>
  <c r="AN72" i="14"/>
  <c r="AF72" i="14"/>
  <c r="AE72" i="14"/>
  <c r="AD72" i="14"/>
  <c r="AB72" i="14"/>
  <c r="T72" i="14"/>
  <c r="S72" i="14"/>
  <c r="R72" i="14"/>
  <c r="P72" i="14"/>
  <c r="AZ71" i="14"/>
  <c r="AS71" i="14"/>
  <c r="AR71" i="14"/>
  <c r="AQ71" i="14"/>
  <c r="AN71" i="14"/>
  <c r="AF71" i="14"/>
  <c r="AE71" i="14"/>
  <c r="AD71" i="14"/>
  <c r="AB71" i="14"/>
  <c r="T71" i="14"/>
  <c r="S71" i="14"/>
  <c r="R71" i="14"/>
  <c r="P71" i="14"/>
  <c r="AY70" i="14"/>
  <c r="AZ70" i="14" s="1"/>
  <c r="AS70" i="14"/>
  <c r="AR70" i="14"/>
  <c r="AQ70" i="14"/>
  <c r="AN70" i="14"/>
  <c r="AF70" i="14"/>
  <c r="AE70" i="14"/>
  <c r="AD70" i="14"/>
  <c r="AB70" i="14"/>
  <c r="T70" i="14"/>
  <c r="S70" i="14"/>
  <c r="R70" i="14"/>
  <c r="P70" i="14"/>
  <c r="AZ69" i="14"/>
  <c r="AS69" i="14"/>
  <c r="AR69" i="14"/>
  <c r="AQ69" i="14"/>
  <c r="AN69" i="14"/>
  <c r="AF69" i="14"/>
  <c r="AE69" i="14"/>
  <c r="AD69" i="14"/>
  <c r="AB69" i="14"/>
  <c r="T69" i="14"/>
  <c r="S69" i="14"/>
  <c r="R69" i="14"/>
  <c r="P69" i="14"/>
  <c r="AZ68" i="14"/>
  <c r="AS68" i="14"/>
  <c r="AR68" i="14"/>
  <c r="AQ68" i="14"/>
  <c r="AN68" i="14"/>
  <c r="AF68" i="14"/>
  <c r="BF68" i="14" s="1"/>
  <c r="AE68" i="14"/>
  <c r="AD68" i="14"/>
  <c r="AB68" i="14"/>
  <c r="T68" i="14"/>
  <c r="S68" i="14"/>
  <c r="R68" i="14"/>
  <c r="P68" i="14"/>
  <c r="AZ67" i="14"/>
  <c r="AS67" i="14"/>
  <c r="AR67" i="14"/>
  <c r="AQ67" i="14"/>
  <c r="AN67" i="14"/>
  <c r="AF67" i="14"/>
  <c r="AE67" i="14"/>
  <c r="AD67" i="14"/>
  <c r="AB67" i="14"/>
  <c r="T67" i="14"/>
  <c r="S67" i="14"/>
  <c r="R67" i="14"/>
  <c r="P67" i="14"/>
  <c r="BA66" i="14"/>
  <c r="AZ66" i="14"/>
  <c r="AS66" i="14"/>
  <c r="AR66" i="14"/>
  <c r="AQ66" i="14"/>
  <c r="AN66" i="14"/>
  <c r="AF66" i="14"/>
  <c r="AE66" i="14"/>
  <c r="AD66" i="14"/>
  <c r="AB66" i="14"/>
  <c r="T66" i="14"/>
  <c r="S66" i="14"/>
  <c r="R66" i="14"/>
  <c r="P66" i="14"/>
  <c r="AZ65" i="14"/>
  <c r="AS65" i="14"/>
  <c r="AR65" i="14"/>
  <c r="AQ65" i="14"/>
  <c r="AN65" i="14"/>
  <c r="AF65" i="14"/>
  <c r="BF65" i="14" s="1"/>
  <c r="AE65" i="14"/>
  <c r="AD65" i="14"/>
  <c r="AB65" i="14"/>
  <c r="T65" i="14"/>
  <c r="S65" i="14"/>
  <c r="R65" i="14"/>
  <c r="P65" i="14"/>
  <c r="AZ64" i="14"/>
  <c r="AS64" i="14"/>
  <c r="AR64" i="14"/>
  <c r="AQ64" i="14"/>
  <c r="AP64" i="14"/>
  <c r="AN64" i="14"/>
  <c r="AM64" i="14"/>
  <c r="AF64" i="14"/>
  <c r="BF64" i="14" s="1"/>
  <c r="AE64" i="14"/>
  <c r="AD64" i="14"/>
  <c r="AB64" i="14"/>
  <c r="T64" i="14"/>
  <c r="S64" i="14"/>
  <c r="R64" i="14"/>
  <c r="P64" i="14"/>
  <c r="AZ63" i="14"/>
  <c r="AS63" i="14"/>
  <c r="AR63" i="14"/>
  <c r="AQ63" i="14"/>
  <c r="AN63" i="14"/>
  <c r="AF63" i="14"/>
  <c r="AE63" i="14"/>
  <c r="AD63" i="14"/>
  <c r="AB63" i="14"/>
  <c r="T63" i="14"/>
  <c r="S63" i="14"/>
  <c r="R63" i="14"/>
  <c r="P63" i="14"/>
  <c r="BE62" i="14"/>
  <c r="BB62" i="14"/>
  <c r="AZ62" i="14"/>
  <c r="AS62" i="14"/>
  <c r="AR62" i="14"/>
  <c r="AQ62" i="14"/>
  <c r="AP62" i="14"/>
  <c r="AN62" i="14"/>
  <c r="AM62" i="14"/>
  <c r="AF62" i="14"/>
  <c r="AE62" i="14"/>
  <c r="AD62" i="14"/>
  <c r="AB62" i="14"/>
  <c r="T62" i="14"/>
  <c r="S62" i="14"/>
  <c r="R62" i="14"/>
  <c r="P62" i="14"/>
  <c r="BE61" i="14"/>
  <c r="BB61" i="14"/>
  <c r="AZ61" i="14"/>
  <c r="AS61" i="14"/>
  <c r="AR61" i="14"/>
  <c r="AQ61" i="14"/>
  <c r="AP61" i="14"/>
  <c r="AN61" i="14"/>
  <c r="AM61" i="14"/>
  <c r="AF61" i="14"/>
  <c r="AE61" i="14"/>
  <c r="AD61" i="14"/>
  <c r="AB61" i="14"/>
  <c r="T61" i="14"/>
  <c r="S61" i="14"/>
  <c r="R61" i="14"/>
  <c r="P61" i="14"/>
  <c r="AY60" i="14"/>
  <c r="AZ60" i="14" s="1"/>
  <c r="AS60" i="14"/>
  <c r="AR60" i="14"/>
  <c r="AQ60" i="14"/>
  <c r="AN60" i="14"/>
  <c r="AF60" i="14"/>
  <c r="AE60" i="14"/>
  <c r="AD60" i="14"/>
  <c r="AB60" i="14"/>
  <c r="T60" i="14"/>
  <c r="S60" i="14"/>
  <c r="R60" i="14"/>
  <c r="P60" i="14"/>
  <c r="BE59" i="14"/>
  <c r="BB59" i="14"/>
  <c r="AZ59" i="14"/>
  <c r="AS59" i="14"/>
  <c r="AR59" i="14"/>
  <c r="AQ59" i="14"/>
  <c r="AP59" i="14"/>
  <c r="AN59" i="14"/>
  <c r="AM59" i="14"/>
  <c r="AF59" i="14"/>
  <c r="AE59" i="14"/>
  <c r="AD59" i="14"/>
  <c r="AB59" i="14"/>
  <c r="T59" i="14"/>
  <c r="S59" i="14"/>
  <c r="R59" i="14"/>
  <c r="P59" i="14"/>
  <c r="AZ58" i="14"/>
  <c r="AS58" i="14"/>
  <c r="AR58" i="14"/>
  <c r="AQ58" i="14"/>
  <c r="AN58" i="14"/>
  <c r="AF58" i="14"/>
  <c r="AE58" i="14"/>
  <c r="AD58" i="14"/>
  <c r="AB58" i="14"/>
  <c r="T58" i="14"/>
  <c r="S58" i="14"/>
  <c r="R58" i="14"/>
  <c r="P58" i="14"/>
  <c r="AS57" i="14"/>
  <c r="AR57" i="14"/>
  <c r="AQ57" i="14"/>
  <c r="AP57" i="14"/>
  <c r="AN57" i="14"/>
  <c r="AM57" i="14"/>
  <c r="AF57" i="14"/>
  <c r="AE57" i="14"/>
  <c r="AD57" i="14"/>
  <c r="AB57" i="14"/>
  <c r="T57" i="14"/>
  <c r="S57" i="14"/>
  <c r="R57" i="14"/>
  <c r="P57" i="14"/>
  <c r="BE56" i="14"/>
  <c r="BB56" i="14"/>
  <c r="BA56" i="14"/>
  <c r="AZ56" i="14"/>
  <c r="AS56" i="14"/>
  <c r="AR56" i="14"/>
  <c r="AQ56" i="14"/>
  <c r="AP56" i="14"/>
  <c r="AN56" i="14"/>
  <c r="AM56" i="14"/>
  <c r="AF56" i="14"/>
  <c r="AE56" i="14"/>
  <c r="AD56" i="14"/>
  <c r="AB56" i="14"/>
  <c r="T56" i="14"/>
  <c r="S56" i="14"/>
  <c r="R56" i="14"/>
  <c r="P56" i="14"/>
  <c r="AZ55" i="14"/>
  <c r="AS55" i="14"/>
  <c r="AR55" i="14"/>
  <c r="AQ55" i="14"/>
  <c r="AN55" i="14"/>
  <c r="AF55" i="14"/>
  <c r="AE55" i="14"/>
  <c r="AD55" i="14"/>
  <c r="AB55" i="14"/>
  <c r="T55" i="14"/>
  <c r="S55" i="14"/>
  <c r="R55" i="14"/>
  <c r="P55" i="14"/>
  <c r="BC54" i="14"/>
  <c r="BA54" i="14"/>
  <c r="AZ54" i="14"/>
  <c r="AS54" i="14"/>
  <c r="AR54" i="14"/>
  <c r="AQ54" i="14"/>
  <c r="AN54" i="14"/>
  <c r="AF54" i="14"/>
  <c r="AE54" i="14"/>
  <c r="AD54" i="14"/>
  <c r="AB54" i="14"/>
  <c r="T54" i="14"/>
  <c r="S54" i="14"/>
  <c r="R54" i="14"/>
  <c r="P54" i="14"/>
  <c r="AT53" i="14"/>
  <c r="AV53" i="14" s="1"/>
  <c r="AS53" i="14"/>
  <c r="AR53" i="14"/>
  <c r="AQ53" i="14"/>
  <c r="AP53" i="14"/>
  <c r="AN53" i="14"/>
  <c r="AM53" i="14"/>
  <c r="AG53" i="14"/>
  <c r="AI53" i="14" s="1"/>
  <c r="AF53" i="14"/>
  <c r="AE53" i="14"/>
  <c r="AD53" i="14"/>
  <c r="AB53" i="14"/>
  <c r="V53" i="14"/>
  <c r="X53" i="14" s="1"/>
  <c r="T53" i="14"/>
  <c r="S53" i="14"/>
  <c r="R53" i="14"/>
  <c r="P53" i="14"/>
  <c r="AT52" i="14"/>
  <c r="AV52" i="14" s="1"/>
  <c r="AS52" i="14"/>
  <c r="AR52" i="14"/>
  <c r="AQ52" i="14"/>
  <c r="AP52" i="14"/>
  <c r="AN52" i="14"/>
  <c r="AM52" i="14"/>
  <c r="AG52" i="14"/>
  <c r="AI52" i="14" s="1"/>
  <c r="AF52" i="14"/>
  <c r="AE52" i="14"/>
  <c r="AD52" i="14"/>
  <c r="AB52" i="14"/>
  <c r="V52" i="14"/>
  <c r="X52" i="14" s="1"/>
  <c r="T52" i="14"/>
  <c r="S52" i="14"/>
  <c r="R52" i="14"/>
  <c r="P52" i="14"/>
  <c r="AT51" i="14"/>
  <c r="AV51" i="14" s="1"/>
  <c r="AS51" i="14"/>
  <c r="AR51" i="14"/>
  <c r="AQ51" i="14"/>
  <c r="AP51" i="14"/>
  <c r="AN51" i="14"/>
  <c r="AM51" i="14"/>
  <c r="AG51" i="14"/>
  <c r="AI51" i="14" s="1"/>
  <c r="AF51" i="14"/>
  <c r="AE51" i="14"/>
  <c r="AD51" i="14"/>
  <c r="AB51" i="14"/>
  <c r="V51" i="14"/>
  <c r="X51" i="14" s="1"/>
  <c r="T51" i="14"/>
  <c r="S51" i="14"/>
  <c r="R51" i="14"/>
  <c r="P51" i="14"/>
  <c r="AT50" i="14"/>
  <c r="AV50" i="14" s="1"/>
  <c r="AS50" i="14"/>
  <c r="AR50" i="14"/>
  <c r="AQ50" i="14"/>
  <c r="AP50" i="14"/>
  <c r="AN50" i="14"/>
  <c r="AM50" i="14"/>
  <c r="AG50" i="14"/>
  <c r="AI50" i="14" s="1"/>
  <c r="AF50" i="14"/>
  <c r="AE50" i="14"/>
  <c r="AD50" i="14"/>
  <c r="AB50" i="14"/>
  <c r="V50" i="14"/>
  <c r="X50" i="14" s="1"/>
  <c r="T50" i="14"/>
  <c r="S50" i="14"/>
  <c r="R50" i="14"/>
  <c r="P50" i="14"/>
  <c r="BE49" i="14"/>
  <c r="BB49" i="14"/>
  <c r="BA49" i="14"/>
  <c r="AZ49" i="14"/>
  <c r="AT49" i="14"/>
  <c r="AV49" i="14" s="1"/>
  <c r="AS49" i="14"/>
  <c r="AR49" i="14"/>
  <c r="AQ49" i="14"/>
  <c r="AP49" i="14"/>
  <c r="AN49" i="14"/>
  <c r="AM49" i="14"/>
  <c r="AG49" i="14"/>
  <c r="AI49" i="14" s="1"/>
  <c r="AF49" i="14"/>
  <c r="AE49" i="14"/>
  <c r="AD49" i="14"/>
  <c r="AB49" i="14"/>
  <c r="V49" i="14"/>
  <c r="X49" i="14" s="1"/>
  <c r="T49" i="14"/>
  <c r="S49" i="14"/>
  <c r="R49" i="14"/>
  <c r="P49" i="14"/>
  <c r="BE48" i="14"/>
  <c r="BB48" i="14"/>
  <c r="BA48" i="14"/>
  <c r="AZ48" i="14"/>
  <c r="AT48" i="14"/>
  <c r="AV48" i="14" s="1"/>
  <c r="AS48" i="14"/>
  <c r="AR48" i="14"/>
  <c r="AQ48" i="14"/>
  <c r="AP48" i="14"/>
  <c r="AN48" i="14"/>
  <c r="AM48" i="14"/>
  <c r="AG48" i="14"/>
  <c r="AI48" i="14" s="1"/>
  <c r="AF48" i="14"/>
  <c r="AE48" i="14"/>
  <c r="AD48" i="14"/>
  <c r="AB48" i="14"/>
  <c r="V48" i="14"/>
  <c r="X48" i="14" s="1"/>
  <c r="T48" i="14"/>
  <c r="S48" i="14"/>
  <c r="R48" i="14"/>
  <c r="P48" i="14"/>
  <c r="AY47" i="14"/>
  <c r="AZ47" i="14" s="1"/>
  <c r="AT47" i="14"/>
  <c r="AV47" i="14" s="1"/>
  <c r="AS47" i="14"/>
  <c r="AR47" i="14"/>
  <c r="AQ47" i="14"/>
  <c r="AP47" i="14"/>
  <c r="AN47" i="14"/>
  <c r="AM47" i="14"/>
  <c r="AG47" i="14"/>
  <c r="AI47" i="14" s="1"/>
  <c r="AF47" i="14"/>
  <c r="AE47" i="14"/>
  <c r="AD47" i="14"/>
  <c r="AB47" i="14"/>
  <c r="V47" i="14"/>
  <c r="X47" i="14" s="1"/>
  <c r="T47" i="14"/>
  <c r="S47" i="14"/>
  <c r="R47" i="14"/>
  <c r="P47" i="14"/>
  <c r="BA46" i="14"/>
  <c r="AZ46" i="14"/>
  <c r="AT46" i="14"/>
  <c r="AW46" i="14" s="1"/>
  <c r="AS46" i="14"/>
  <c r="AR46" i="14"/>
  <c r="AQ46" i="14"/>
  <c r="AN46" i="14"/>
  <c r="AG46" i="14"/>
  <c r="AI46" i="14" s="1"/>
  <c r="AF46" i="14"/>
  <c r="AE46" i="14"/>
  <c r="AD46" i="14"/>
  <c r="AB46" i="14"/>
  <c r="V46" i="14"/>
  <c r="X46" i="14" s="1"/>
  <c r="T46" i="14"/>
  <c r="S46" i="14"/>
  <c r="R46" i="14"/>
  <c r="P46" i="14"/>
  <c r="AY45" i="14"/>
  <c r="AZ45" i="14" s="1"/>
  <c r="AT45" i="14"/>
  <c r="AV45" i="14" s="1"/>
  <c r="AS45" i="14"/>
  <c r="AR45" i="14"/>
  <c r="AQ45" i="14"/>
  <c r="AP45" i="14"/>
  <c r="AN45" i="14"/>
  <c r="AM45" i="14"/>
  <c r="AG45" i="14"/>
  <c r="AI45" i="14" s="1"/>
  <c r="AF45" i="14"/>
  <c r="AE45" i="14"/>
  <c r="AD45" i="14"/>
  <c r="AB45" i="14"/>
  <c r="V45" i="14"/>
  <c r="X45" i="14" s="1"/>
  <c r="T45" i="14"/>
  <c r="S45" i="14"/>
  <c r="R45" i="14"/>
  <c r="P45" i="14"/>
  <c r="BB44" i="14"/>
  <c r="BA44" i="14"/>
  <c r="AZ44" i="14"/>
  <c r="AT44" i="14"/>
  <c r="AW44" i="14" s="1"/>
  <c r="AS44" i="14"/>
  <c r="AR44" i="14"/>
  <c r="AQ44" i="14"/>
  <c r="AN44" i="14"/>
  <c r="AG44" i="14"/>
  <c r="AI44" i="14" s="1"/>
  <c r="AF44" i="14"/>
  <c r="AE44" i="14"/>
  <c r="AD44" i="14"/>
  <c r="AB44" i="14"/>
  <c r="V44" i="14"/>
  <c r="X44" i="14" s="1"/>
  <c r="T44" i="14"/>
  <c r="S44" i="14"/>
  <c r="R44" i="14"/>
  <c r="P44" i="14"/>
  <c r="AS43" i="14"/>
  <c r="AR43" i="14"/>
  <c r="AQ43" i="14"/>
  <c r="AN43" i="14"/>
  <c r="AF43" i="14"/>
  <c r="AE43" i="14"/>
  <c r="AD43" i="14"/>
  <c r="AB43" i="14"/>
  <c r="T43" i="14"/>
  <c r="S43" i="14"/>
  <c r="R43" i="14"/>
  <c r="P43" i="14"/>
  <c r="BC42" i="14"/>
  <c r="BA42" i="14"/>
  <c r="BF42" i="14" s="1"/>
  <c r="AZ42" i="14"/>
  <c r="AT42" i="14"/>
  <c r="AS42" i="14"/>
  <c r="AR42" i="14"/>
  <c r="AQ42" i="14"/>
  <c r="AN42" i="14"/>
  <c r="AG42" i="14"/>
  <c r="AF42" i="14"/>
  <c r="AE42" i="14"/>
  <c r="AD42" i="14"/>
  <c r="AB42" i="14"/>
  <c r="V42" i="14"/>
  <c r="T42" i="14"/>
  <c r="S42" i="14"/>
  <c r="R42" i="14"/>
  <c r="P42" i="14"/>
  <c r="BC41" i="14"/>
  <c r="AZ41" i="14"/>
  <c r="AS41" i="14"/>
  <c r="AR41" i="14"/>
  <c r="AQ41" i="14"/>
  <c r="AN41" i="14"/>
  <c r="AF41" i="14"/>
  <c r="AE41" i="14"/>
  <c r="AD41" i="14"/>
  <c r="AB41" i="14"/>
  <c r="T41" i="14"/>
  <c r="S41" i="14"/>
  <c r="R41" i="14"/>
  <c r="P41" i="14"/>
  <c r="AZ40" i="14"/>
  <c r="AT40" i="14"/>
  <c r="AS40" i="14"/>
  <c r="AR40" i="14"/>
  <c r="AQ40" i="14"/>
  <c r="AN40" i="14"/>
  <c r="AG40" i="14"/>
  <c r="AF40" i="14"/>
  <c r="BF40" i="14" s="1"/>
  <c r="AE40" i="14"/>
  <c r="AD40" i="14"/>
  <c r="AB40" i="14"/>
  <c r="V40" i="14"/>
  <c r="T40" i="14"/>
  <c r="S40" i="14"/>
  <c r="R40" i="14"/>
  <c r="P40" i="14"/>
  <c r="AZ39" i="14"/>
  <c r="AS39" i="14"/>
  <c r="AR39" i="14"/>
  <c r="AQ39" i="14"/>
  <c r="AN39" i="14"/>
  <c r="AG39" i="14"/>
  <c r="AI39" i="14" s="1"/>
  <c r="AF39" i="14"/>
  <c r="BF39" i="14" s="1"/>
  <c r="AE39" i="14"/>
  <c r="AD39" i="14"/>
  <c r="AB39" i="14"/>
  <c r="V39" i="14"/>
  <c r="X39" i="14" s="1"/>
  <c r="T39" i="14"/>
  <c r="S39" i="14"/>
  <c r="R39" i="14"/>
  <c r="P39" i="14"/>
  <c r="BE38" i="14"/>
  <c r="BB38" i="14"/>
  <c r="BA38" i="14"/>
  <c r="AZ38" i="14"/>
  <c r="AT38" i="14"/>
  <c r="AV38" i="14" s="1"/>
  <c r="AS38" i="14"/>
  <c r="AR38" i="14"/>
  <c r="AQ38" i="14"/>
  <c r="AP38" i="14"/>
  <c r="AN38" i="14"/>
  <c r="AM38" i="14"/>
  <c r="AG38" i="14"/>
  <c r="AI38" i="14" s="1"/>
  <c r="AF38" i="14"/>
  <c r="AE38" i="14"/>
  <c r="AD38" i="14"/>
  <c r="AB38" i="14"/>
  <c r="V38" i="14"/>
  <c r="X38" i="14" s="1"/>
  <c r="T38" i="14"/>
  <c r="S38" i="14"/>
  <c r="R38" i="14"/>
  <c r="P38" i="14"/>
  <c r="BE37" i="14"/>
  <c r="BB37" i="14"/>
  <c r="BA37" i="14"/>
  <c r="AZ37" i="14"/>
  <c r="AT37" i="14"/>
  <c r="AW37" i="14" s="1"/>
  <c r="AS37" i="14"/>
  <c r="AR37" i="14"/>
  <c r="AQ37" i="14"/>
  <c r="AN37" i="14"/>
  <c r="AG37" i="14"/>
  <c r="AI37" i="14" s="1"/>
  <c r="AF37" i="14"/>
  <c r="AE37" i="14"/>
  <c r="AD37" i="14"/>
  <c r="AB37" i="14"/>
  <c r="V37" i="14"/>
  <c r="X37" i="14" s="1"/>
  <c r="T37" i="14"/>
  <c r="S37" i="14"/>
  <c r="R37" i="14"/>
  <c r="P37" i="14"/>
  <c r="BA36" i="14"/>
  <c r="AZ36" i="14"/>
  <c r="AT36" i="14"/>
  <c r="AW36" i="14" s="1"/>
  <c r="AS36" i="14"/>
  <c r="AR36" i="14"/>
  <c r="AQ36" i="14"/>
  <c r="AN36" i="14"/>
  <c r="AG36" i="14"/>
  <c r="AI36" i="14" s="1"/>
  <c r="AF36" i="14"/>
  <c r="BF36" i="14" s="1"/>
  <c r="AE36" i="14"/>
  <c r="AD36" i="14"/>
  <c r="AB36" i="14"/>
  <c r="V36" i="14"/>
  <c r="X36" i="14" s="1"/>
  <c r="T36" i="14"/>
  <c r="S36" i="14"/>
  <c r="R36" i="14"/>
  <c r="P36" i="14"/>
  <c r="BA35" i="14"/>
  <c r="BF35" i="14" s="1"/>
  <c r="AZ35" i="14"/>
  <c r="AT35" i="14"/>
  <c r="AS35" i="14"/>
  <c r="AR35" i="14"/>
  <c r="AQ35" i="14"/>
  <c r="AP35" i="14"/>
  <c r="AN35" i="14"/>
  <c r="AM35" i="14"/>
  <c r="AG35" i="14"/>
  <c r="AF35" i="14"/>
  <c r="AE35" i="14"/>
  <c r="AD35" i="14"/>
  <c r="AB35" i="14"/>
  <c r="V35" i="14"/>
  <c r="T35" i="14"/>
  <c r="S35" i="14"/>
  <c r="R35" i="14"/>
  <c r="P35" i="14"/>
  <c r="AZ34" i="14"/>
  <c r="AY34" i="14"/>
  <c r="BA34" i="14" s="1"/>
  <c r="AT34" i="14"/>
  <c r="AV34" i="14" s="1"/>
  <c r="AS34" i="14"/>
  <c r="AR34" i="14"/>
  <c r="AQ34" i="14"/>
  <c r="AN34" i="14"/>
  <c r="AG34" i="14"/>
  <c r="AF34" i="14"/>
  <c r="AE34" i="14"/>
  <c r="AD34" i="14"/>
  <c r="AB34" i="14"/>
  <c r="V34" i="14"/>
  <c r="T34" i="14"/>
  <c r="S34" i="14"/>
  <c r="R34" i="14"/>
  <c r="P34" i="14"/>
  <c r="BA33" i="14"/>
  <c r="AZ33" i="14"/>
  <c r="AT33" i="14"/>
  <c r="AW33" i="14" s="1"/>
  <c r="AS33" i="14"/>
  <c r="AR33" i="14"/>
  <c r="AQ33" i="14"/>
  <c r="AN33" i="14"/>
  <c r="AG33" i="14"/>
  <c r="AI33" i="14" s="1"/>
  <c r="AF33" i="14"/>
  <c r="AE33" i="14"/>
  <c r="AD33" i="14"/>
  <c r="AB33" i="14"/>
  <c r="V33" i="14"/>
  <c r="X33" i="14" s="1"/>
  <c r="T33" i="14"/>
  <c r="S33" i="14"/>
  <c r="R33" i="14"/>
  <c r="P33" i="14"/>
  <c r="BA32" i="14"/>
  <c r="AZ32" i="14"/>
  <c r="AS32" i="14"/>
  <c r="AR32" i="14"/>
  <c r="AQ32" i="14"/>
  <c r="AN32" i="14"/>
  <c r="AF32" i="14"/>
  <c r="AE32" i="14"/>
  <c r="AD32" i="14"/>
  <c r="AB32" i="14"/>
  <c r="T32" i="14"/>
  <c r="S32" i="14"/>
  <c r="R32" i="14"/>
  <c r="P32" i="14"/>
  <c r="BA31" i="14"/>
  <c r="AZ31" i="14"/>
  <c r="AS31" i="14"/>
  <c r="AR31" i="14"/>
  <c r="AQ31" i="14"/>
  <c r="AN31" i="14"/>
  <c r="AF31" i="14"/>
  <c r="AE31" i="14"/>
  <c r="AD31" i="14"/>
  <c r="AB31" i="14"/>
  <c r="T31" i="14"/>
  <c r="S31" i="14"/>
  <c r="R31" i="14"/>
  <c r="P31" i="14"/>
  <c r="BA30" i="14"/>
  <c r="AZ30" i="14"/>
  <c r="AS30" i="14"/>
  <c r="AR30" i="14"/>
  <c r="AQ30" i="14"/>
  <c r="AN30" i="14"/>
  <c r="AF30" i="14"/>
  <c r="AE30" i="14"/>
  <c r="AD30" i="14"/>
  <c r="AB30" i="14"/>
  <c r="T30" i="14"/>
  <c r="S30" i="14"/>
  <c r="R30" i="14"/>
  <c r="P30" i="14"/>
  <c r="BC29" i="14"/>
  <c r="AZ29" i="14"/>
  <c r="AT29" i="14"/>
  <c r="AV29" i="14" s="1"/>
  <c r="AS29" i="14"/>
  <c r="AR29" i="14"/>
  <c r="AQ29" i="14"/>
  <c r="AN29" i="14"/>
  <c r="AG29" i="14"/>
  <c r="AI29" i="14" s="1"/>
  <c r="AF29" i="14"/>
  <c r="AE29" i="14"/>
  <c r="AD29" i="14"/>
  <c r="AB29" i="14"/>
  <c r="V29" i="14"/>
  <c r="X29" i="14" s="1"/>
  <c r="T29" i="14"/>
  <c r="S29" i="14"/>
  <c r="R29" i="14"/>
  <c r="P29" i="14"/>
  <c r="BB28" i="14"/>
  <c r="AZ28" i="14"/>
  <c r="AT28" i="14"/>
  <c r="AV28" i="14" s="1"/>
  <c r="AS28" i="14"/>
  <c r="AR28" i="14"/>
  <c r="AQ28" i="14"/>
  <c r="AP28" i="14"/>
  <c r="AN28" i="14"/>
  <c r="AM28" i="14"/>
  <c r="AG28" i="14"/>
  <c r="AI28" i="14" s="1"/>
  <c r="AF28" i="14"/>
  <c r="BF28" i="14" s="1"/>
  <c r="AE28" i="14"/>
  <c r="AD28" i="14"/>
  <c r="AB28" i="14"/>
  <c r="V28" i="14"/>
  <c r="X28" i="14" s="1"/>
  <c r="T28" i="14"/>
  <c r="S28" i="14"/>
  <c r="R28" i="14"/>
  <c r="P28" i="14"/>
  <c r="AZ27" i="14"/>
  <c r="AW27" i="14"/>
  <c r="AV27" i="14"/>
  <c r="AU27" i="14"/>
  <c r="AS27" i="14"/>
  <c r="AR27" i="14"/>
  <c r="AQ27" i="14"/>
  <c r="AP27" i="14"/>
  <c r="AN27" i="14"/>
  <c r="AM27" i="14"/>
  <c r="AJ27" i="14"/>
  <c r="AI27" i="14"/>
  <c r="AH27" i="14"/>
  <c r="AF27" i="14"/>
  <c r="BF27" i="14" s="1"/>
  <c r="AE27" i="14"/>
  <c r="AD27" i="14"/>
  <c r="AB27" i="14"/>
  <c r="Y27" i="14"/>
  <c r="X27" i="14"/>
  <c r="W27" i="14"/>
  <c r="T27" i="14"/>
  <c r="S27" i="14"/>
  <c r="R27" i="14"/>
  <c r="P27" i="14"/>
  <c r="AS26" i="14"/>
  <c r="AR26" i="14"/>
  <c r="AQ26" i="14"/>
  <c r="AP26" i="14"/>
  <c r="AN26" i="14"/>
  <c r="AM26" i="14"/>
  <c r="AF26" i="14"/>
  <c r="AE26" i="14"/>
  <c r="AD26" i="14"/>
  <c r="AB26" i="14"/>
  <c r="Y26" i="14"/>
  <c r="X26" i="14"/>
  <c r="W26" i="14"/>
  <c r="T26" i="14"/>
  <c r="S26" i="14"/>
  <c r="R26" i="14"/>
  <c r="P26" i="14"/>
  <c r="AZ25" i="14"/>
  <c r="AT25" i="14"/>
  <c r="AV25" i="14" s="1"/>
  <c r="AS25" i="14"/>
  <c r="AR25" i="14"/>
  <c r="AQ25" i="14"/>
  <c r="AN25" i="14"/>
  <c r="AG25" i="14"/>
  <c r="AF25" i="14"/>
  <c r="BF25" i="14" s="1"/>
  <c r="AE25" i="14"/>
  <c r="AD25" i="14"/>
  <c r="AB25" i="14"/>
  <c r="V25" i="14"/>
  <c r="T25" i="14"/>
  <c r="S25" i="14"/>
  <c r="R25" i="14"/>
  <c r="P25" i="14"/>
  <c r="AZ24" i="14"/>
  <c r="AT24" i="14"/>
  <c r="AV24" i="14" s="1"/>
  <c r="AS24" i="14"/>
  <c r="AR24" i="14"/>
  <c r="AQ24" i="14"/>
  <c r="AP24" i="14"/>
  <c r="AN24" i="14"/>
  <c r="AM24" i="14"/>
  <c r="AG24" i="14"/>
  <c r="AI24" i="14" s="1"/>
  <c r="AF24" i="14"/>
  <c r="BF24" i="14" s="1"/>
  <c r="AE24" i="14"/>
  <c r="AD24" i="14"/>
  <c r="AB24" i="14"/>
  <c r="V24" i="14"/>
  <c r="X24" i="14" s="1"/>
  <c r="T24" i="14"/>
  <c r="S24" i="14"/>
  <c r="R24" i="14"/>
  <c r="P24" i="14"/>
  <c r="BE23" i="14"/>
  <c r="BC23" i="14"/>
  <c r="BB23" i="14"/>
  <c r="AY23" i="14"/>
  <c r="AT23" i="14"/>
  <c r="AV23" i="14" s="1"/>
  <c r="AS23" i="14"/>
  <c r="AR23" i="14"/>
  <c r="AQ23" i="14"/>
  <c r="AP23" i="14"/>
  <c r="AN23" i="14"/>
  <c r="AM23" i="14"/>
  <c r="AG23" i="14"/>
  <c r="AI23" i="14" s="1"/>
  <c r="AF23" i="14"/>
  <c r="AE23" i="14"/>
  <c r="AD23" i="14"/>
  <c r="AB23" i="14"/>
  <c r="V23" i="14"/>
  <c r="X23" i="14" s="1"/>
  <c r="T23" i="14"/>
  <c r="S23" i="14"/>
  <c r="R23" i="14"/>
  <c r="P23" i="14"/>
  <c r="BE22" i="14"/>
  <c r="BC22" i="14"/>
  <c r="BB22" i="14"/>
  <c r="AY22" i="14"/>
  <c r="AT22" i="14"/>
  <c r="AV22" i="14" s="1"/>
  <c r="AS22" i="14"/>
  <c r="AR22" i="14"/>
  <c r="AQ22" i="14"/>
  <c r="AP22" i="14"/>
  <c r="AN22" i="14"/>
  <c r="AM22" i="14"/>
  <c r="AG22" i="14"/>
  <c r="AI22" i="14" s="1"/>
  <c r="AF22" i="14"/>
  <c r="AE22" i="14"/>
  <c r="AD22" i="14"/>
  <c r="AB22" i="14"/>
  <c r="V22" i="14"/>
  <c r="X22" i="14" s="1"/>
  <c r="T22" i="14"/>
  <c r="S22" i="14"/>
  <c r="R22" i="14"/>
  <c r="P22" i="14"/>
  <c r="BE21" i="14"/>
  <c r="BC21" i="14"/>
  <c r="BB21" i="14"/>
  <c r="AY21" i="14"/>
  <c r="AT21" i="14"/>
  <c r="AV21" i="14" s="1"/>
  <c r="AS21" i="14"/>
  <c r="AR21" i="14"/>
  <c r="AQ21" i="14"/>
  <c r="AP21" i="14"/>
  <c r="AN21" i="14"/>
  <c r="AM21" i="14"/>
  <c r="AG21" i="14"/>
  <c r="AI21" i="14" s="1"/>
  <c r="AF21" i="14"/>
  <c r="AE21" i="14"/>
  <c r="AD21" i="14"/>
  <c r="AB21" i="14"/>
  <c r="V21" i="14"/>
  <c r="Y21" i="14" s="1"/>
  <c r="T21" i="14"/>
  <c r="S21" i="14"/>
  <c r="R21" i="14"/>
  <c r="P21" i="14"/>
  <c r="BE20" i="14"/>
  <c r="BC20" i="14"/>
  <c r="BB20" i="14"/>
  <c r="AY20" i="14"/>
  <c r="AT20" i="14"/>
  <c r="AW20" i="14" s="1"/>
  <c r="AS20" i="14"/>
  <c r="AR20" i="14"/>
  <c r="AQ20" i="14"/>
  <c r="AP20" i="14"/>
  <c r="AN20" i="14"/>
  <c r="AM20" i="14"/>
  <c r="AG20" i="14"/>
  <c r="AJ20" i="14" s="1"/>
  <c r="AF20" i="14"/>
  <c r="AE20" i="14"/>
  <c r="AD20" i="14"/>
  <c r="AB20" i="14"/>
  <c r="V20" i="14"/>
  <c r="Y20" i="14" s="1"/>
  <c r="T20" i="14"/>
  <c r="S20" i="14"/>
  <c r="R20" i="14"/>
  <c r="P20" i="14"/>
  <c r="BE19" i="14"/>
  <c r="BC19" i="14"/>
  <c r="BB19" i="14"/>
  <c r="AY19" i="14"/>
  <c r="AT19" i="14"/>
  <c r="AW19" i="14" s="1"/>
  <c r="AS19" i="14"/>
  <c r="AR19" i="14"/>
  <c r="AQ19" i="14"/>
  <c r="AP19" i="14"/>
  <c r="AN19" i="14"/>
  <c r="AM19" i="14"/>
  <c r="AG19" i="14"/>
  <c r="AJ19" i="14" s="1"/>
  <c r="AF19" i="14"/>
  <c r="AE19" i="14"/>
  <c r="AD19" i="14"/>
  <c r="AB19" i="14"/>
  <c r="V19" i="14"/>
  <c r="Y19" i="14" s="1"/>
  <c r="T19" i="14"/>
  <c r="S19" i="14"/>
  <c r="R19" i="14"/>
  <c r="P19" i="14"/>
  <c r="BE18" i="14"/>
  <c r="BC18" i="14"/>
  <c r="BB18" i="14"/>
  <c r="AY18" i="14"/>
  <c r="AT18" i="14"/>
  <c r="AW18" i="14" s="1"/>
  <c r="AS18" i="14"/>
  <c r="AR18" i="14"/>
  <c r="AQ18" i="14"/>
  <c r="AP18" i="14"/>
  <c r="AN18" i="14"/>
  <c r="AM18" i="14"/>
  <c r="AG18" i="14"/>
  <c r="AJ18" i="14" s="1"/>
  <c r="AF18" i="14"/>
  <c r="AE18" i="14"/>
  <c r="AD18" i="14"/>
  <c r="AB18" i="14"/>
  <c r="V18" i="14"/>
  <c r="Y18" i="14" s="1"/>
  <c r="T18" i="14"/>
  <c r="S18" i="14"/>
  <c r="R18" i="14"/>
  <c r="P18" i="14"/>
  <c r="BE17" i="14"/>
  <c r="BC17" i="14"/>
  <c r="BB17" i="14"/>
  <c r="AY17" i="14"/>
  <c r="AT17" i="14"/>
  <c r="AW17" i="14" s="1"/>
  <c r="AS17" i="14"/>
  <c r="AR17" i="14"/>
  <c r="AQ17" i="14"/>
  <c r="AP17" i="14"/>
  <c r="AN17" i="14"/>
  <c r="AM17" i="14"/>
  <c r="AG17" i="14"/>
  <c r="AJ17" i="14" s="1"/>
  <c r="AF17" i="14"/>
  <c r="AE17" i="14"/>
  <c r="AD17" i="14"/>
  <c r="AB17" i="14"/>
  <c r="V17" i="14"/>
  <c r="Y17" i="14" s="1"/>
  <c r="T17" i="14"/>
  <c r="S17" i="14"/>
  <c r="R17" i="14"/>
  <c r="P17" i="14"/>
  <c r="AZ16" i="14"/>
  <c r="AW16" i="14"/>
  <c r="AV16" i="14"/>
  <c r="AS16" i="14"/>
  <c r="AR16" i="14"/>
  <c r="AQ16" i="14"/>
  <c r="AN16" i="14"/>
  <c r="AJ16" i="14"/>
  <c r="AI16" i="14"/>
  <c r="AH16" i="14"/>
  <c r="AF16" i="14"/>
  <c r="BF16" i="14" s="1"/>
  <c r="AE16" i="14"/>
  <c r="AD16" i="14"/>
  <c r="AB16" i="14"/>
  <c r="Y16" i="14"/>
  <c r="X16" i="14"/>
  <c r="W16" i="14"/>
  <c r="T16" i="14"/>
  <c r="S16" i="14"/>
  <c r="R16" i="14"/>
  <c r="P16" i="14"/>
  <c r="AZ15" i="14"/>
  <c r="AT15" i="14"/>
  <c r="AW15" i="14" s="1"/>
  <c r="AS15" i="14"/>
  <c r="AR15" i="14"/>
  <c r="AQ15" i="14"/>
  <c r="AP15" i="14"/>
  <c r="AN15" i="14"/>
  <c r="AM15" i="14"/>
  <c r="AG15" i="14"/>
  <c r="AJ15" i="14" s="1"/>
  <c r="AF15" i="14"/>
  <c r="BF15" i="14" s="1"/>
  <c r="AE15" i="14"/>
  <c r="AD15" i="14"/>
  <c r="AB15" i="14"/>
  <c r="V15" i="14"/>
  <c r="Y15" i="14" s="1"/>
  <c r="T15" i="14"/>
  <c r="S15" i="14"/>
  <c r="R15" i="14"/>
  <c r="P15" i="14"/>
  <c r="BC14" i="14"/>
  <c r="AZ14" i="14"/>
  <c r="AT14" i="14"/>
  <c r="AV14" i="14" s="1"/>
  <c r="AS14" i="14"/>
  <c r="AR14" i="14"/>
  <c r="AQ14" i="14"/>
  <c r="AN14" i="14"/>
  <c r="AG14" i="14"/>
  <c r="AJ14" i="14" s="1"/>
  <c r="AF14" i="14"/>
  <c r="AE14" i="14"/>
  <c r="AD14" i="14"/>
  <c r="AB14" i="14"/>
  <c r="V14" i="14"/>
  <c r="Y14" i="14" s="1"/>
  <c r="T14" i="14"/>
  <c r="S14" i="14"/>
  <c r="R14" i="14"/>
  <c r="P14" i="14"/>
  <c r="AZ13" i="14"/>
  <c r="AS13" i="14"/>
  <c r="AR13" i="14"/>
  <c r="AQ13" i="14"/>
  <c r="AN13" i="14"/>
  <c r="AF13" i="14"/>
  <c r="BF13" i="14" s="1"/>
  <c r="AE13" i="14"/>
  <c r="AD13" i="14"/>
  <c r="AB13" i="14"/>
  <c r="T13" i="14"/>
  <c r="S13" i="14"/>
  <c r="R13" i="14"/>
  <c r="P13" i="14"/>
  <c r="AZ12" i="14"/>
  <c r="AT12" i="14"/>
  <c r="AW12" i="14" s="1"/>
  <c r="AS12" i="14"/>
  <c r="AR12" i="14"/>
  <c r="AQ12" i="14"/>
  <c r="AN12" i="14"/>
  <c r="AG12" i="14"/>
  <c r="AI12" i="14" s="1"/>
  <c r="AF12" i="14"/>
  <c r="BF12" i="14" s="1"/>
  <c r="AE12" i="14"/>
  <c r="AD12" i="14"/>
  <c r="AB12" i="14"/>
  <c r="V12" i="14"/>
  <c r="X12" i="14" s="1"/>
  <c r="T12" i="14"/>
  <c r="S12" i="14"/>
  <c r="R12" i="14"/>
  <c r="P12" i="14"/>
  <c r="BC11" i="14"/>
  <c r="AZ11" i="14"/>
  <c r="AT11" i="14"/>
  <c r="AW11" i="14" s="1"/>
  <c r="AS11" i="14"/>
  <c r="AR11" i="14"/>
  <c r="AQ11" i="14"/>
  <c r="AN11" i="14"/>
  <c r="AG11" i="14"/>
  <c r="AI11" i="14" s="1"/>
  <c r="AF11" i="14"/>
  <c r="BF11" i="14" s="1"/>
  <c r="AE11" i="14"/>
  <c r="AD11" i="14"/>
  <c r="AB11" i="14"/>
  <c r="V11" i="14"/>
  <c r="X11" i="14" s="1"/>
  <c r="T11" i="14"/>
  <c r="S11" i="14"/>
  <c r="R11" i="14"/>
  <c r="P11" i="14"/>
  <c r="AZ10" i="14"/>
  <c r="AS10" i="14"/>
  <c r="AR10" i="14"/>
  <c r="AQ10" i="14"/>
  <c r="AN10" i="14"/>
  <c r="AJ10" i="14"/>
  <c r="AI10" i="14"/>
  <c r="AH10" i="14"/>
  <c r="AF10" i="14"/>
  <c r="BF10" i="14" s="1"/>
  <c r="AE10" i="14"/>
  <c r="AD10" i="14"/>
  <c r="AB10" i="14"/>
  <c r="Y10" i="14"/>
  <c r="X10" i="14"/>
  <c r="W10" i="14"/>
  <c r="T10" i="14"/>
  <c r="S10" i="14"/>
  <c r="R10" i="14"/>
  <c r="P10" i="14"/>
  <c r="AW9" i="14"/>
  <c r="AV9" i="14"/>
  <c r="AS9" i="14"/>
  <c r="AR9" i="14"/>
  <c r="AQ9" i="14"/>
  <c r="AN9" i="14"/>
  <c r="AG9" i="14"/>
  <c r="AI9" i="14" s="1"/>
  <c r="AF9" i="14"/>
  <c r="AE9" i="14"/>
  <c r="AD9" i="14"/>
  <c r="AB9" i="14"/>
  <c r="V9" i="14"/>
  <c r="X9" i="14" s="1"/>
  <c r="T9" i="14"/>
  <c r="S9" i="14"/>
  <c r="R9" i="14"/>
  <c r="P9" i="14"/>
  <c r="BC8" i="14"/>
  <c r="AZ8" i="14"/>
  <c r="AT8" i="14"/>
  <c r="AW8" i="14" s="1"/>
  <c r="AS8" i="14"/>
  <c r="AR8" i="14"/>
  <c r="AQ8" i="14"/>
  <c r="AP8" i="14"/>
  <c r="AN8" i="14"/>
  <c r="AM8" i="14"/>
  <c r="AJ8" i="14"/>
  <c r="AI8" i="14"/>
  <c r="AH8" i="14"/>
  <c r="AF8" i="14"/>
  <c r="AE8" i="14"/>
  <c r="AD8" i="14"/>
  <c r="AB8" i="14"/>
  <c r="V8" i="14"/>
  <c r="X8" i="14" s="1"/>
  <c r="T8" i="14"/>
  <c r="S8" i="14"/>
  <c r="R8" i="14"/>
  <c r="P8" i="14"/>
  <c r="BA7" i="14"/>
  <c r="AZ7" i="14"/>
  <c r="AT7" i="14"/>
  <c r="AW7" i="14" s="1"/>
  <c r="AS7" i="14"/>
  <c r="AR7" i="14"/>
  <c r="AQ7" i="14"/>
  <c r="AN7" i="14"/>
  <c r="AF7" i="14"/>
  <c r="AE7" i="14"/>
  <c r="AD7" i="14"/>
  <c r="AB7" i="14"/>
  <c r="T7" i="14"/>
  <c r="S7" i="14"/>
  <c r="R7" i="14"/>
  <c r="P7" i="14"/>
  <c r="AZ6" i="14"/>
  <c r="AT6" i="14"/>
  <c r="AV6" i="14" s="1"/>
  <c r="AS6" i="14"/>
  <c r="AR6" i="14"/>
  <c r="AQ6" i="14"/>
  <c r="AP6" i="14"/>
  <c r="AN6" i="14"/>
  <c r="AM6" i="14"/>
  <c r="AG6" i="14"/>
  <c r="AI6" i="14" s="1"/>
  <c r="AF6" i="14"/>
  <c r="BF6" i="14" s="1"/>
  <c r="AE6" i="14"/>
  <c r="AD6" i="14"/>
  <c r="AB6" i="14"/>
  <c r="V6" i="14"/>
  <c r="T6" i="14"/>
  <c r="S6" i="14"/>
  <c r="R6" i="14"/>
  <c r="P6" i="14"/>
  <c r="AZ5" i="14"/>
  <c r="AT5" i="14"/>
  <c r="AV5" i="14" s="1"/>
  <c r="AS5" i="14"/>
  <c r="AR5" i="14"/>
  <c r="AQ5" i="14"/>
  <c r="AN5" i="14"/>
  <c r="AG5" i="14"/>
  <c r="AJ5" i="14" s="1"/>
  <c r="AF5" i="14"/>
  <c r="BF5" i="14" s="1"/>
  <c r="AE5" i="14"/>
  <c r="AD5" i="14"/>
  <c r="AB5" i="14"/>
  <c r="V5" i="14"/>
  <c r="Y5" i="14" s="1"/>
  <c r="T5" i="14"/>
  <c r="S5" i="14"/>
  <c r="R5" i="14"/>
  <c r="P5" i="14"/>
  <c r="AZ4" i="14"/>
  <c r="AT4" i="14"/>
  <c r="AW4" i="14" s="1"/>
  <c r="AS4" i="14"/>
  <c r="AR4" i="14"/>
  <c r="AQ4" i="14"/>
  <c r="AP4" i="14"/>
  <c r="AN4" i="14"/>
  <c r="AM4" i="14"/>
  <c r="AG4" i="14"/>
  <c r="AJ4" i="14" s="1"/>
  <c r="AF4" i="14"/>
  <c r="BF4" i="14" s="1"/>
  <c r="AE4" i="14"/>
  <c r="AD4" i="14"/>
  <c r="AB4" i="14"/>
  <c r="V4" i="14"/>
  <c r="Y4" i="14" s="1"/>
  <c r="T4" i="14"/>
  <c r="S4" i="14"/>
  <c r="R4" i="14"/>
  <c r="P4" i="14"/>
  <c r="BF8" i="14" l="1"/>
  <c r="BF19" i="14"/>
  <c r="BF32" i="14"/>
  <c r="BF37" i="14"/>
  <c r="BA47" i="14"/>
  <c r="BF7" i="14"/>
  <c r="BA45" i="14"/>
  <c r="BF54" i="14"/>
  <c r="BF18" i="14"/>
  <c r="BF14" i="14"/>
  <c r="BF20" i="14"/>
  <c r="BF106" i="14"/>
  <c r="BF17" i="14"/>
  <c r="BF104" i="14"/>
  <c r="BF29" i="14"/>
  <c r="AZ104" i="14"/>
  <c r="AV37" i="14"/>
  <c r="AV12" i="14"/>
  <c r="W38" i="14"/>
  <c r="AU28" i="14"/>
  <c r="W33" i="14"/>
  <c r="AU48" i="14"/>
  <c r="AH51" i="14"/>
  <c r="W11" i="14"/>
  <c r="AH44" i="14"/>
  <c r="W46" i="14"/>
  <c r="W50" i="14"/>
  <c r="AU52" i="14"/>
  <c r="AH6" i="14"/>
  <c r="W9" i="14"/>
  <c r="AV11" i="14"/>
  <c r="W12" i="14"/>
  <c r="W28" i="14"/>
  <c r="AV33" i="14"/>
  <c r="AH36" i="14"/>
  <c r="AU38" i="14"/>
  <c r="AV46" i="14"/>
  <c r="W48" i="14"/>
  <c r="AH49" i="14"/>
  <c r="AU50" i="14"/>
  <c r="W52" i="14"/>
  <c r="AH53" i="14"/>
  <c r="O348" i="12"/>
  <c r="O359" i="12"/>
  <c r="X6" i="14"/>
  <c r="W6" i="14"/>
  <c r="Y6" i="14"/>
  <c r="AW6" i="14"/>
  <c r="Y8" i="14"/>
  <c r="AJ9" i="14"/>
  <c r="AJ11" i="14"/>
  <c r="AJ12" i="14"/>
  <c r="AJ28" i="14"/>
  <c r="AJ33" i="14"/>
  <c r="Y36" i="14"/>
  <c r="AJ37" i="14"/>
  <c r="AJ38" i="14"/>
  <c r="Y44" i="14"/>
  <c r="AJ46" i="14"/>
  <c r="AJ48" i="14"/>
  <c r="Y49" i="14"/>
  <c r="AW49" i="14"/>
  <c r="AJ50" i="14"/>
  <c r="Y51" i="14"/>
  <c r="AW51" i="14"/>
  <c r="AJ52" i="14"/>
  <c r="Y53" i="14"/>
  <c r="AW53" i="14"/>
  <c r="AJ6" i="14"/>
  <c r="AU6" i="14"/>
  <c r="AV7" i="14"/>
  <c r="W8" i="14"/>
  <c r="Y9" i="14"/>
  <c r="AH9" i="14"/>
  <c r="Y11" i="14"/>
  <c r="AH11" i="14"/>
  <c r="Y12" i="14"/>
  <c r="AH12" i="14"/>
  <c r="Y28" i="14"/>
  <c r="AH28" i="14"/>
  <c r="AW28" i="14"/>
  <c r="AW29" i="14"/>
  <c r="Y33" i="14"/>
  <c r="AH33" i="14"/>
  <c r="W36" i="14"/>
  <c r="AJ36" i="14"/>
  <c r="AV36" i="14"/>
  <c r="W37" i="14"/>
  <c r="AH37" i="14"/>
  <c r="Y38" i="14"/>
  <c r="AH38" i="14"/>
  <c r="AW38" i="14"/>
  <c r="W44" i="14"/>
  <c r="AJ44" i="14"/>
  <c r="AV44" i="14"/>
  <c r="Y46" i="14"/>
  <c r="AH46" i="14"/>
  <c r="Y48" i="14"/>
  <c r="AH48" i="14"/>
  <c r="AW48" i="14"/>
  <c r="W49" i="14"/>
  <c r="AJ49" i="14"/>
  <c r="AU49" i="14"/>
  <c r="Y50" i="14"/>
  <c r="AH50" i="14"/>
  <c r="AW50" i="14"/>
  <c r="W51" i="14"/>
  <c r="AJ51" i="14"/>
  <c r="AU51" i="14"/>
  <c r="Y52" i="14"/>
  <c r="AH52" i="14"/>
  <c r="AW52" i="14"/>
  <c r="W53" i="14"/>
  <c r="AJ53" i="14"/>
  <c r="AU53" i="14"/>
  <c r="O606" i="12"/>
  <c r="O574" i="12"/>
  <c r="O581" i="12"/>
  <c r="O567" i="12"/>
  <c r="O599" i="12"/>
  <c r="O585" i="12"/>
  <c r="X4" i="14"/>
  <c r="AI4" i="14"/>
  <c r="AV4" i="14"/>
  <c r="X5" i="14"/>
  <c r="AI5" i="14"/>
  <c r="AW5" i="14"/>
  <c r="AV8" i="14"/>
  <c r="X14" i="14"/>
  <c r="AI14" i="14"/>
  <c r="AW14" i="14"/>
  <c r="X15" i="14"/>
  <c r="AI15" i="14"/>
  <c r="AV15" i="14"/>
  <c r="X17" i="14"/>
  <c r="AI17" i="14"/>
  <c r="AV17" i="14"/>
  <c r="X18" i="14"/>
  <c r="AI18" i="14"/>
  <c r="AV18" i="14"/>
  <c r="X19" i="14"/>
  <c r="AI19" i="14"/>
  <c r="AV19" i="14"/>
  <c r="X20" i="14"/>
  <c r="AI20" i="14"/>
  <c r="AV20" i="14"/>
  <c r="X21" i="14"/>
  <c r="Y25" i="14"/>
  <c r="W25" i="14"/>
  <c r="AJ25" i="14"/>
  <c r="AH25" i="14"/>
  <c r="Y34" i="14"/>
  <c r="W34" i="14"/>
  <c r="AJ34" i="14"/>
  <c r="AH34" i="14"/>
  <c r="Y35" i="14"/>
  <c r="W35" i="14"/>
  <c r="AJ35" i="14"/>
  <c r="AH35" i="14"/>
  <c r="AW35" i="14"/>
  <c r="AU35" i="14"/>
  <c r="AJ40" i="14"/>
  <c r="AH40" i="14"/>
  <c r="AI40" i="14"/>
  <c r="Y42" i="14"/>
  <c r="W42" i="14"/>
  <c r="X42" i="14"/>
  <c r="AV42" i="14"/>
  <c r="AW42" i="14"/>
  <c r="BF83" i="14"/>
  <c r="BF95" i="14"/>
  <c r="AZ105" i="14"/>
  <c r="BF105" i="14"/>
  <c r="W4" i="14"/>
  <c r="AH4" i="14"/>
  <c r="AU4" i="14"/>
  <c r="W5" i="14"/>
  <c r="AH5" i="14"/>
  <c r="AU8" i="14"/>
  <c r="W14" i="14"/>
  <c r="AH14" i="14"/>
  <c r="W15" i="14"/>
  <c r="AH15" i="14"/>
  <c r="AU15" i="14"/>
  <c r="W17" i="14"/>
  <c r="AH17" i="14"/>
  <c r="AU17" i="14"/>
  <c r="AZ17" i="14"/>
  <c r="W18" i="14"/>
  <c r="AH18" i="14"/>
  <c r="AU18" i="14"/>
  <c r="AZ18" i="14"/>
  <c r="W19" i="14"/>
  <c r="AH19" i="14"/>
  <c r="AU19" i="14"/>
  <c r="AZ19" i="14"/>
  <c r="W20" i="14"/>
  <c r="AH20" i="14"/>
  <c r="AU20" i="14"/>
  <c r="AZ20" i="14"/>
  <c r="W21" i="14"/>
  <c r="AJ21" i="14"/>
  <c r="AH21" i="14"/>
  <c r="AW21" i="14"/>
  <c r="AU21" i="14"/>
  <c r="BF21" i="14"/>
  <c r="AZ21" i="14"/>
  <c r="Y22" i="14"/>
  <c r="W22" i="14"/>
  <c r="AJ22" i="14"/>
  <c r="AH22" i="14"/>
  <c r="AW22" i="14"/>
  <c r="AU22" i="14"/>
  <c r="BF22" i="14"/>
  <c r="AZ22" i="14"/>
  <c r="Y23" i="14"/>
  <c r="W23" i="14"/>
  <c r="AJ23" i="14"/>
  <c r="AH23" i="14"/>
  <c r="AW23" i="14"/>
  <c r="AU23" i="14"/>
  <c r="BF23" i="14"/>
  <c r="AZ23" i="14"/>
  <c r="Y24" i="14"/>
  <c r="W24" i="14"/>
  <c r="AJ24" i="14"/>
  <c r="AH24" i="14"/>
  <c r="AW24" i="14"/>
  <c r="AU24" i="14"/>
  <c r="X25" i="14"/>
  <c r="AI25" i="14"/>
  <c r="AW25" i="14"/>
  <c r="Y29" i="14"/>
  <c r="W29" i="14"/>
  <c r="AJ29" i="14"/>
  <c r="AH29" i="14"/>
  <c r="X34" i="14"/>
  <c r="AI34" i="14"/>
  <c r="AW34" i="14"/>
  <c r="X35" i="14"/>
  <c r="AI35" i="14"/>
  <c r="AV35" i="14"/>
  <c r="BF38" i="14"/>
  <c r="Y40" i="14"/>
  <c r="W40" i="14"/>
  <c r="X40" i="14"/>
  <c r="AV40" i="14"/>
  <c r="AW40" i="14"/>
  <c r="AJ42" i="14"/>
  <c r="AH42" i="14"/>
  <c r="AI42" i="14"/>
  <c r="Y37" i="14"/>
  <c r="Y39" i="14"/>
  <c r="W39" i="14"/>
  <c r="AJ39" i="14"/>
  <c r="AH39" i="14"/>
  <c r="BF41" i="14"/>
  <c r="BF44" i="14"/>
  <c r="Y45" i="14"/>
  <c r="W45" i="14"/>
  <c r="AJ45" i="14"/>
  <c r="AH45" i="14"/>
  <c r="AW45" i="14"/>
  <c r="AU45" i="14"/>
  <c r="Y47" i="14"/>
  <c r="W47" i="14"/>
  <c r="AJ47" i="14"/>
  <c r="AH47" i="14"/>
  <c r="AW47" i="14"/>
  <c r="AU47" i="14"/>
  <c r="BF66" i="14"/>
  <c r="AF102" i="14"/>
  <c r="BF102" i="14" s="1"/>
  <c r="AD102" i="14"/>
  <c r="T583" i="13" l="1"/>
  <c r="T582" i="13"/>
  <c r="W582" i="13" s="1"/>
  <c r="T581" i="13"/>
  <c r="W581" i="13" s="1"/>
  <c r="T580" i="13"/>
  <c r="P586" i="13"/>
  <c r="O586" i="13"/>
  <c r="N586" i="13"/>
  <c r="M586" i="13"/>
  <c r="L586" i="13"/>
  <c r="K586" i="13"/>
  <c r="J586" i="13"/>
  <c r="I586" i="13"/>
  <c r="H586" i="13"/>
  <c r="G586" i="13"/>
  <c r="F586" i="13"/>
  <c r="E586" i="13"/>
  <c r="P585" i="13"/>
  <c r="O585" i="13"/>
  <c r="N585" i="13"/>
  <c r="M585" i="13"/>
  <c r="L585" i="13"/>
  <c r="K585" i="13"/>
  <c r="J585" i="13"/>
  <c r="I585" i="13"/>
  <c r="H585" i="13"/>
  <c r="G585" i="13"/>
  <c r="F585" i="13"/>
  <c r="E585" i="13"/>
  <c r="P584" i="13"/>
  <c r="O584" i="13"/>
  <c r="N584" i="13"/>
  <c r="M584" i="13"/>
  <c r="L584" i="13"/>
  <c r="K584" i="13"/>
  <c r="J584" i="13"/>
  <c r="I584" i="13"/>
  <c r="H584" i="13"/>
  <c r="G584" i="13"/>
  <c r="F584" i="13"/>
  <c r="E584" i="13"/>
  <c r="P574" i="13"/>
  <c r="O574" i="13"/>
  <c r="N574" i="13"/>
  <c r="M574" i="13"/>
  <c r="L574" i="13"/>
  <c r="K574" i="13"/>
  <c r="J574" i="13"/>
  <c r="I574" i="13"/>
  <c r="H574" i="13"/>
  <c r="G574" i="13"/>
  <c r="F574" i="13"/>
  <c r="E574" i="13"/>
  <c r="P573" i="13"/>
  <c r="O573" i="13"/>
  <c r="N573" i="13"/>
  <c r="M573" i="13"/>
  <c r="L573" i="13"/>
  <c r="K573" i="13"/>
  <c r="J573" i="13"/>
  <c r="I573" i="13"/>
  <c r="H573" i="13"/>
  <c r="G573" i="13"/>
  <c r="F573" i="13"/>
  <c r="E573" i="13"/>
  <c r="P572" i="13"/>
  <c r="O572" i="13"/>
  <c r="N572" i="13"/>
  <c r="M572" i="13"/>
  <c r="L572" i="13"/>
  <c r="K572" i="13"/>
  <c r="J572" i="13"/>
  <c r="I572" i="13"/>
  <c r="H572" i="13"/>
  <c r="G572" i="13"/>
  <c r="F572" i="13"/>
  <c r="E572" i="13"/>
  <c r="T571" i="13"/>
  <c r="T570" i="13"/>
  <c r="W570" i="13" s="1"/>
  <c r="T569" i="13"/>
  <c r="W569" i="13" s="1"/>
  <c r="T568" i="13"/>
  <c r="P551" i="13"/>
  <c r="O551" i="13"/>
  <c r="N551" i="13"/>
  <c r="M551" i="13"/>
  <c r="L551" i="13"/>
  <c r="K551" i="13"/>
  <c r="J551" i="13"/>
  <c r="I551" i="13"/>
  <c r="H551" i="13"/>
  <c r="G551" i="13"/>
  <c r="F551" i="13"/>
  <c r="E551" i="13"/>
  <c r="P552" i="13"/>
  <c r="O552" i="13"/>
  <c r="N552" i="13"/>
  <c r="M552" i="13"/>
  <c r="L552" i="13"/>
  <c r="K552" i="13"/>
  <c r="J552" i="13"/>
  <c r="I552" i="13"/>
  <c r="H552" i="13"/>
  <c r="G552" i="13"/>
  <c r="F552" i="13"/>
  <c r="E552" i="13"/>
  <c r="P550" i="13"/>
  <c r="O550" i="13"/>
  <c r="N550" i="13"/>
  <c r="M550" i="13"/>
  <c r="L550" i="13"/>
  <c r="K550" i="13"/>
  <c r="J550" i="13"/>
  <c r="I550" i="13"/>
  <c r="H550" i="13"/>
  <c r="G550" i="13"/>
  <c r="F550" i="13"/>
  <c r="E550" i="13"/>
  <c r="T549" i="13"/>
  <c r="T548" i="13"/>
  <c r="W548" i="13" s="1"/>
  <c r="T547" i="13"/>
  <c r="W547" i="13" s="1"/>
  <c r="T546" i="13"/>
  <c r="P519" i="13"/>
  <c r="O519" i="13"/>
  <c r="N519" i="13"/>
  <c r="M519" i="13"/>
  <c r="L519" i="13"/>
  <c r="K519" i="13"/>
  <c r="J519" i="13"/>
  <c r="I519" i="13"/>
  <c r="H519" i="13"/>
  <c r="G519" i="13"/>
  <c r="F519" i="13"/>
  <c r="E519" i="13"/>
  <c r="P518" i="13"/>
  <c r="O518" i="13"/>
  <c r="N518" i="13"/>
  <c r="M518" i="13"/>
  <c r="L518" i="13"/>
  <c r="K518" i="13"/>
  <c r="J518" i="13"/>
  <c r="I518" i="13"/>
  <c r="H518" i="13"/>
  <c r="G518" i="13"/>
  <c r="F518" i="13"/>
  <c r="E518" i="13"/>
  <c r="P517" i="13"/>
  <c r="O517" i="13"/>
  <c r="N517" i="13"/>
  <c r="M517" i="13"/>
  <c r="L517" i="13"/>
  <c r="K517" i="13"/>
  <c r="J517" i="13"/>
  <c r="I517" i="13"/>
  <c r="H517" i="13"/>
  <c r="G517" i="13"/>
  <c r="F517" i="13"/>
  <c r="E517" i="13"/>
  <c r="T514" i="13"/>
  <c r="W514" i="13" s="1"/>
  <c r="T516" i="13"/>
  <c r="T515" i="13"/>
  <c r="W515" i="13" s="1"/>
  <c r="T513" i="13"/>
  <c r="T450" i="13"/>
  <c r="W450" i="13" s="1"/>
  <c r="T519" i="13" l="1"/>
  <c r="T518" i="13"/>
  <c r="T550" i="13"/>
  <c r="T552" i="13"/>
  <c r="T551" i="13"/>
  <c r="T572" i="13"/>
  <c r="T573" i="13"/>
  <c r="T574" i="13"/>
  <c r="T584" i="13"/>
  <c r="T585" i="13"/>
  <c r="T586" i="13"/>
  <c r="T517" i="13"/>
  <c r="P449" i="13"/>
  <c r="O449" i="13"/>
  <c r="N449" i="13"/>
  <c r="M449" i="13"/>
  <c r="L449" i="13"/>
  <c r="K449" i="13"/>
  <c r="J449" i="13"/>
  <c r="I449" i="13"/>
  <c r="H449" i="13"/>
  <c r="G449" i="13"/>
  <c r="F449" i="13"/>
  <c r="P448" i="13"/>
  <c r="O448" i="13"/>
  <c r="N448" i="13"/>
  <c r="M448" i="13"/>
  <c r="L448" i="13"/>
  <c r="K448" i="13"/>
  <c r="J448" i="13"/>
  <c r="I448" i="13"/>
  <c r="H448" i="13"/>
  <c r="G448" i="13"/>
  <c r="F448" i="13"/>
  <c r="T446" i="13"/>
  <c r="T445" i="13"/>
  <c r="W445" i="13" s="1"/>
  <c r="T444" i="13"/>
  <c r="T443" i="13"/>
  <c r="W443" i="13" s="1"/>
  <c r="T442" i="13"/>
  <c r="P447" i="13"/>
  <c r="O447" i="13"/>
  <c r="N447" i="13"/>
  <c r="M447" i="13"/>
  <c r="L447" i="13"/>
  <c r="K447" i="13"/>
  <c r="J447" i="13"/>
  <c r="I447" i="13"/>
  <c r="H447" i="13"/>
  <c r="G447" i="13"/>
  <c r="F447" i="13"/>
  <c r="T434" i="13"/>
  <c r="T432" i="13"/>
  <c r="W432" i="13" s="1"/>
  <c r="T433" i="13"/>
  <c r="W433" i="13" s="1"/>
  <c r="T431" i="13"/>
  <c r="P437" i="13"/>
  <c r="O437" i="13"/>
  <c r="N437" i="13"/>
  <c r="M437" i="13"/>
  <c r="L437" i="13"/>
  <c r="K437" i="13"/>
  <c r="J437" i="13"/>
  <c r="I437" i="13"/>
  <c r="H437" i="13"/>
  <c r="G437" i="13"/>
  <c r="F437" i="13"/>
  <c r="P436" i="13"/>
  <c r="O436" i="13"/>
  <c r="N436" i="13"/>
  <c r="M436" i="13"/>
  <c r="L436" i="13"/>
  <c r="K436" i="13"/>
  <c r="J436" i="13"/>
  <c r="I436" i="13"/>
  <c r="H436" i="13"/>
  <c r="G436" i="13"/>
  <c r="F436" i="13"/>
  <c r="P435" i="13"/>
  <c r="O435" i="13"/>
  <c r="N435" i="13"/>
  <c r="M435" i="13"/>
  <c r="L435" i="13"/>
  <c r="K435" i="13"/>
  <c r="J435" i="13"/>
  <c r="I435" i="13"/>
  <c r="H435" i="13"/>
  <c r="G435" i="13"/>
  <c r="F435" i="13"/>
  <c r="O869" i="12"/>
  <c r="N869" i="12"/>
  <c r="M869" i="12"/>
  <c r="L869" i="12"/>
  <c r="K869" i="12"/>
  <c r="J869" i="12"/>
  <c r="I869" i="12"/>
  <c r="H869" i="12"/>
  <c r="G869" i="12"/>
  <c r="F869" i="12"/>
  <c r="E869" i="12"/>
  <c r="D869" i="12"/>
  <c r="O868" i="12"/>
  <c r="N868" i="12"/>
  <c r="M868" i="12"/>
  <c r="L868" i="12"/>
  <c r="K868" i="12"/>
  <c r="J868" i="12"/>
  <c r="I868" i="12"/>
  <c r="H868" i="12"/>
  <c r="G868" i="12"/>
  <c r="F868" i="12"/>
  <c r="E868" i="12"/>
  <c r="D868" i="12"/>
  <c r="O867" i="12"/>
  <c r="N867" i="12"/>
  <c r="M867" i="12"/>
  <c r="L867" i="12"/>
  <c r="K867" i="12"/>
  <c r="J867" i="12"/>
  <c r="I867" i="12"/>
  <c r="H867" i="12"/>
  <c r="G867" i="12"/>
  <c r="F867" i="12"/>
  <c r="E867" i="12"/>
  <c r="D867" i="12"/>
  <c r="O866" i="12"/>
  <c r="N866" i="12"/>
  <c r="M866" i="12"/>
  <c r="L866" i="12"/>
  <c r="K866" i="12"/>
  <c r="J866" i="12"/>
  <c r="I866" i="12"/>
  <c r="H866" i="12"/>
  <c r="G866" i="12"/>
  <c r="F866" i="12"/>
  <c r="E866" i="12"/>
  <c r="D866" i="12"/>
  <c r="Q865" i="12"/>
  <c r="Q864" i="12"/>
  <c r="Q863" i="12"/>
  <c r="Q862" i="12"/>
  <c r="O858" i="12"/>
  <c r="N858" i="12"/>
  <c r="M858" i="12"/>
  <c r="L858" i="12"/>
  <c r="K858" i="12"/>
  <c r="J858" i="12"/>
  <c r="I858" i="12"/>
  <c r="H858" i="12"/>
  <c r="G858" i="12"/>
  <c r="F858" i="12"/>
  <c r="E858" i="12"/>
  <c r="D858" i="12"/>
  <c r="O857" i="12"/>
  <c r="N857" i="12"/>
  <c r="M857" i="12"/>
  <c r="L857" i="12"/>
  <c r="K857" i="12"/>
  <c r="J857" i="12"/>
  <c r="I857" i="12"/>
  <c r="H857" i="12"/>
  <c r="G857" i="12"/>
  <c r="F857" i="12"/>
  <c r="E857" i="12"/>
  <c r="D857" i="12"/>
  <c r="O856" i="12"/>
  <c r="N856" i="12"/>
  <c r="M856" i="12"/>
  <c r="L856" i="12"/>
  <c r="K856" i="12"/>
  <c r="J856" i="12"/>
  <c r="I856" i="12"/>
  <c r="H856" i="12"/>
  <c r="G856" i="12"/>
  <c r="F856" i="12"/>
  <c r="E856" i="12"/>
  <c r="D856" i="12"/>
  <c r="O855" i="12"/>
  <c r="N855" i="12"/>
  <c r="M855" i="12"/>
  <c r="L855" i="12"/>
  <c r="K855" i="12"/>
  <c r="J855" i="12"/>
  <c r="I855" i="12"/>
  <c r="H855" i="12"/>
  <c r="G855" i="12"/>
  <c r="F855" i="12"/>
  <c r="E855" i="12"/>
  <c r="D855" i="12"/>
  <c r="Q854" i="12"/>
  <c r="Q853" i="12"/>
  <c r="Q852" i="12"/>
  <c r="Q851" i="12"/>
  <c r="O834" i="12"/>
  <c r="N834" i="12"/>
  <c r="M834" i="12"/>
  <c r="L834" i="12"/>
  <c r="K834" i="12"/>
  <c r="J834" i="12"/>
  <c r="I834" i="12"/>
  <c r="H834" i="12"/>
  <c r="G834" i="12"/>
  <c r="F834" i="12"/>
  <c r="E834" i="12"/>
  <c r="D834" i="12"/>
  <c r="O833" i="12"/>
  <c r="N833" i="12"/>
  <c r="M833" i="12"/>
  <c r="L833" i="12"/>
  <c r="K833" i="12"/>
  <c r="J833" i="12"/>
  <c r="I833" i="12"/>
  <c r="H833" i="12"/>
  <c r="G833" i="12"/>
  <c r="F833" i="12"/>
  <c r="E833" i="12"/>
  <c r="D833" i="12"/>
  <c r="O832" i="12"/>
  <c r="N832" i="12"/>
  <c r="M832" i="12"/>
  <c r="L832" i="12"/>
  <c r="K832" i="12"/>
  <c r="J832" i="12"/>
  <c r="I832" i="12"/>
  <c r="H832" i="12"/>
  <c r="G832" i="12"/>
  <c r="F832" i="12"/>
  <c r="E832" i="12"/>
  <c r="D832" i="12"/>
  <c r="O831" i="12"/>
  <c r="N831" i="12"/>
  <c r="M831" i="12"/>
  <c r="L831" i="12"/>
  <c r="K831" i="12"/>
  <c r="J831" i="12"/>
  <c r="I831" i="12"/>
  <c r="H831" i="12"/>
  <c r="G831" i="12"/>
  <c r="F831" i="12"/>
  <c r="E831" i="12"/>
  <c r="D831" i="12"/>
  <c r="Q830" i="12"/>
  <c r="Q829" i="12"/>
  <c r="Q828" i="12"/>
  <c r="Q827" i="12"/>
  <c r="O796" i="12"/>
  <c r="N796" i="12"/>
  <c r="M796" i="12"/>
  <c r="L796" i="12"/>
  <c r="K796" i="12"/>
  <c r="J796" i="12"/>
  <c r="I796" i="12"/>
  <c r="H796" i="12"/>
  <c r="G796" i="12"/>
  <c r="F796" i="12"/>
  <c r="E796" i="12"/>
  <c r="D796" i="12"/>
  <c r="O795" i="12"/>
  <c r="N795" i="12"/>
  <c r="M795" i="12"/>
  <c r="L795" i="12"/>
  <c r="K795" i="12"/>
  <c r="J795" i="12"/>
  <c r="I795" i="12"/>
  <c r="H795" i="12"/>
  <c r="G795" i="12"/>
  <c r="F795" i="12"/>
  <c r="E795" i="12"/>
  <c r="D795" i="12"/>
  <c r="O794" i="12"/>
  <c r="N794" i="12"/>
  <c r="M794" i="12"/>
  <c r="L794" i="12"/>
  <c r="K794" i="12"/>
  <c r="J794" i="12"/>
  <c r="I794" i="12"/>
  <c r="H794" i="12"/>
  <c r="G794" i="12"/>
  <c r="F794" i="12"/>
  <c r="E794" i="12"/>
  <c r="D794" i="12"/>
  <c r="O793" i="12"/>
  <c r="N793" i="12"/>
  <c r="M793" i="12"/>
  <c r="L793" i="12"/>
  <c r="K793" i="12"/>
  <c r="J793" i="12"/>
  <c r="I793" i="12"/>
  <c r="H793" i="12"/>
  <c r="G793" i="12"/>
  <c r="F793" i="12"/>
  <c r="E793" i="12"/>
  <c r="D793" i="12"/>
  <c r="Q792" i="12"/>
  <c r="Q791" i="12"/>
  <c r="Q790" i="12"/>
  <c r="Q789" i="12"/>
  <c r="Q705" i="12"/>
  <c r="O704" i="12"/>
  <c r="N704" i="12"/>
  <c r="M704" i="12"/>
  <c r="L704" i="12"/>
  <c r="K704" i="12"/>
  <c r="J704" i="12"/>
  <c r="I704" i="12"/>
  <c r="H704" i="12"/>
  <c r="G704" i="12"/>
  <c r="F704" i="12"/>
  <c r="E704" i="12"/>
  <c r="O703" i="12"/>
  <c r="N703" i="12"/>
  <c r="M703" i="12"/>
  <c r="L703" i="12"/>
  <c r="K703" i="12"/>
  <c r="J703" i="12"/>
  <c r="I703" i="12"/>
  <c r="H703" i="12"/>
  <c r="G703" i="12"/>
  <c r="F703" i="12"/>
  <c r="E703" i="12"/>
  <c r="O702" i="12"/>
  <c r="N702" i="12"/>
  <c r="M702" i="12"/>
  <c r="L702" i="12"/>
  <c r="K702" i="12"/>
  <c r="J702" i="12"/>
  <c r="I702" i="12"/>
  <c r="H702" i="12"/>
  <c r="G702" i="12"/>
  <c r="F702" i="12"/>
  <c r="E702" i="12"/>
  <c r="O701" i="12"/>
  <c r="N701" i="12"/>
  <c r="M701" i="12"/>
  <c r="L701" i="12"/>
  <c r="K701" i="12"/>
  <c r="J701" i="12"/>
  <c r="I701" i="12"/>
  <c r="H701" i="12"/>
  <c r="G701" i="12"/>
  <c r="F701" i="12"/>
  <c r="E701" i="12"/>
  <c r="Q700" i="12"/>
  <c r="Q699" i="12"/>
  <c r="Q698" i="12"/>
  <c r="Q697" i="12"/>
  <c r="Q696" i="12"/>
  <c r="O692" i="12"/>
  <c r="N692" i="12"/>
  <c r="M692" i="12"/>
  <c r="L692" i="12"/>
  <c r="K692" i="12"/>
  <c r="J692" i="12"/>
  <c r="I692" i="12"/>
  <c r="H692" i="12"/>
  <c r="G692" i="12"/>
  <c r="F692" i="12"/>
  <c r="E692" i="12"/>
  <c r="O691" i="12"/>
  <c r="N691" i="12"/>
  <c r="M691" i="12"/>
  <c r="L691" i="12"/>
  <c r="K691" i="12"/>
  <c r="J691" i="12"/>
  <c r="I691" i="12"/>
  <c r="H691" i="12"/>
  <c r="G691" i="12"/>
  <c r="F691" i="12"/>
  <c r="E691" i="12"/>
  <c r="O690" i="12"/>
  <c r="N690" i="12"/>
  <c r="M690" i="12"/>
  <c r="L690" i="12"/>
  <c r="K690" i="12"/>
  <c r="J690" i="12"/>
  <c r="I690" i="12"/>
  <c r="H690" i="12"/>
  <c r="G690" i="12"/>
  <c r="F690" i="12"/>
  <c r="E690" i="12"/>
  <c r="O689" i="12"/>
  <c r="N689" i="12"/>
  <c r="M689" i="12"/>
  <c r="L689" i="12"/>
  <c r="K689" i="12"/>
  <c r="J689" i="12"/>
  <c r="I689" i="12"/>
  <c r="H689" i="12"/>
  <c r="G689" i="12"/>
  <c r="F689" i="12"/>
  <c r="E689" i="12"/>
  <c r="Q688" i="12"/>
  <c r="Q687" i="12"/>
  <c r="Q686" i="12"/>
  <c r="Q685" i="12"/>
  <c r="T410" i="13"/>
  <c r="T409" i="13"/>
  <c r="T435" i="13" l="1"/>
  <c r="T436" i="13"/>
  <c r="T437" i="13"/>
  <c r="T447" i="13"/>
  <c r="T448" i="13"/>
  <c r="T449" i="13"/>
  <c r="Q831" i="12"/>
  <c r="Q832" i="12"/>
  <c r="Q833" i="12"/>
  <c r="Q834" i="12"/>
  <c r="Q855" i="12"/>
  <c r="Q856" i="12"/>
  <c r="Q857" i="12"/>
  <c r="Q858" i="12"/>
  <c r="Q866" i="12"/>
  <c r="Q867" i="12"/>
  <c r="Q868" i="12"/>
  <c r="Q869" i="12"/>
  <c r="Q690" i="12"/>
  <c r="Q692" i="12"/>
  <c r="Q702" i="12"/>
  <c r="Q704" i="12"/>
  <c r="Q793" i="12"/>
  <c r="Q794" i="12"/>
  <c r="Q795" i="12"/>
  <c r="Q796" i="12"/>
  <c r="Q701" i="12"/>
  <c r="Q703" i="12"/>
  <c r="Q689" i="12"/>
  <c r="Q691" i="12"/>
  <c r="P665" i="12" l="1"/>
  <c r="N664" i="12"/>
  <c r="M664" i="12"/>
  <c r="L664" i="12"/>
  <c r="K664" i="12"/>
  <c r="J664" i="12"/>
  <c r="I664" i="12"/>
  <c r="H664" i="12"/>
  <c r="G664" i="12"/>
  <c r="F664" i="12"/>
  <c r="E664" i="12"/>
  <c r="D664" i="12"/>
  <c r="P663" i="12"/>
  <c r="P662" i="12"/>
  <c r="P661" i="12"/>
  <c r="P660" i="12"/>
  <c r="T290" i="13"/>
  <c r="T289" i="13"/>
  <c r="T288" i="13"/>
  <c r="T287" i="13"/>
  <c r="P293" i="13"/>
  <c r="O293" i="13"/>
  <c r="N293" i="13"/>
  <c r="M293" i="13"/>
  <c r="L293" i="13"/>
  <c r="K293" i="13"/>
  <c r="J293" i="13"/>
  <c r="I293" i="13"/>
  <c r="H293" i="13"/>
  <c r="G293" i="13"/>
  <c r="F293" i="13"/>
  <c r="P292" i="13"/>
  <c r="O292" i="13"/>
  <c r="N292" i="13"/>
  <c r="M292" i="13"/>
  <c r="L292" i="13"/>
  <c r="K292" i="13"/>
  <c r="J292" i="13"/>
  <c r="I292" i="13"/>
  <c r="H292" i="13"/>
  <c r="G292" i="13"/>
  <c r="F292" i="13"/>
  <c r="P291" i="13"/>
  <c r="O291" i="13"/>
  <c r="N291" i="13"/>
  <c r="M291" i="13"/>
  <c r="L291" i="13"/>
  <c r="K291" i="13"/>
  <c r="J291" i="13"/>
  <c r="I291" i="13"/>
  <c r="H291" i="13"/>
  <c r="G291" i="13"/>
  <c r="F291" i="13"/>
  <c r="N424" i="12"/>
  <c r="M424" i="12"/>
  <c r="L424" i="12"/>
  <c r="K424" i="12"/>
  <c r="J424" i="12"/>
  <c r="I424" i="12"/>
  <c r="H424" i="12"/>
  <c r="G424" i="12"/>
  <c r="F424" i="12"/>
  <c r="E424" i="12"/>
  <c r="D424" i="12"/>
  <c r="N423" i="12"/>
  <c r="M423" i="12"/>
  <c r="L423" i="12"/>
  <c r="K423" i="12"/>
  <c r="J423" i="12"/>
  <c r="I423" i="12"/>
  <c r="H423" i="12"/>
  <c r="G423" i="12"/>
  <c r="F423" i="12"/>
  <c r="E423" i="12"/>
  <c r="D423" i="12"/>
  <c r="N422" i="12"/>
  <c r="M422" i="12"/>
  <c r="L422" i="12"/>
  <c r="K422" i="12"/>
  <c r="J422" i="12"/>
  <c r="I422" i="12"/>
  <c r="H422" i="12"/>
  <c r="G422" i="12"/>
  <c r="F422" i="12"/>
  <c r="E422" i="12"/>
  <c r="D422" i="12"/>
  <c r="N421" i="12"/>
  <c r="M421" i="12"/>
  <c r="L421" i="12"/>
  <c r="K421" i="12"/>
  <c r="J421" i="12"/>
  <c r="I421" i="12"/>
  <c r="H421" i="12"/>
  <c r="G421" i="12"/>
  <c r="F421" i="12"/>
  <c r="E421" i="12"/>
  <c r="D421" i="12"/>
  <c r="P420" i="12"/>
  <c r="P419" i="12"/>
  <c r="P418" i="12"/>
  <c r="P417" i="12"/>
  <c r="T78" i="13"/>
  <c r="N117" i="12"/>
  <c r="M117" i="12"/>
  <c r="L117" i="12"/>
  <c r="K117" i="12"/>
  <c r="J117" i="12"/>
  <c r="I117" i="12"/>
  <c r="H117" i="12"/>
  <c r="G117" i="12"/>
  <c r="F117" i="12"/>
  <c r="E117" i="12"/>
  <c r="D117" i="12"/>
  <c r="N116" i="12"/>
  <c r="M116" i="12"/>
  <c r="L116" i="12"/>
  <c r="K116" i="12"/>
  <c r="J116" i="12"/>
  <c r="I116" i="12"/>
  <c r="H116" i="12"/>
  <c r="G116" i="12"/>
  <c r="F116" i="12"/>
  <c r="E116" i="12"/>
  <c r="D116" i="12"/>
  <c r="N115" i="12"/>
  <c r="M115" i="12"/>
  <c r="L115" i="12"/>
  <c r="K115" i="12"/>
  <c r="J115" i="12"/>
  <c r="I115" i="12"/>
  <c r="H115" i="12"/>
  <c r="G115" i="12"/>
  <c r="F115" i="12"/>
  <c r="E115" i="12"/>
  <c r="D115" i="12"/>
  <c r="N114" i="12"/>
  <c r="M114" i="12"/>
  <c r="L114" i="12"/>
  <c r="K114" i="12"/>
  <c r="J114" i="12"/>
  <c r="I114" i="12"/>
  <c r="H114" i="12"/>
  <c r="G114" i="12"/>
  <c r="F114" i="12"/>
  <c r="E114" i="12"/>
  <c r="D114" i="12"/>
  <c r="P113" i="12"/>
  <c r="P112" i="12"/>
  <c r="P111" i="12"/>
  <c r="P110" i="12"/>
  <c r="T293" i="13" l="1"/>
  <c r="T291" i="13"/>
  <c r="T292" i="13"/>
  <c r="P115" i="12"/>
  <c r="P117" i="12"/>
  <c r="P421" i="12"/>
  <c r="P423" i="12"/>
  <c r="P664" i="12"/>
  <c r="P114" i="12"/>
  <c r="P116" i="12"/>
  <c r="P422" i="12"/>
  <c r="P424" i="12"/>
  <c r="T34" i="13" l="1"/>
  <c r="T69" i="13"/>
  <c r="O105" i="12"/>
  <c r="O104" i="12"/>
  <c r="O103" i="12"/>
  <c r="O101" i="12"/>
  <c r="O100" i="12"/>
  <c r="O99" i="12"/>
  <c r="T161" i="13" l="1"/>
  <c r="T163" i="13"/>
  <c r="T162" i="13"/>
  <c r="T158" i="13"/>
  <c r="T159" i="13"/>
  <c r="T160" i="13"/>
  <c r="T152" i="13"/>
  <c r="T151" i="13"/>
  <c r="T149" i="13"/>
  <c r="T150" i="13"/>
  <c r="T148" i="13"/>
  <c r="T147" i="13"/>
  <c r="T141" i="13"/>
  <c r="T140" i="13"/>
  <c r="T139" i="13"/>
  <c r="T138" i="13"/>
  <c r="T137" i="13"/>
  <c r="T136" i="13"/>
  <c r="T64" i="13" l="1"/>
  <c r="T63" i="13"/>
  <c r="T62" i="13"/>
  <c r="T61" i="13"/>
  <c r="T60" i="13"/>
  <c r="T59" i="13"/>
  <c r="T58" i="13"/>
  <c r="T57" i="13"/>
  <c r="T56" i="13"/>
  <c r="T311" i="13"/>
  <c r="T310" i="13"/>
  <c r="T309" i="13"/>
  <c r="T308" i="13"/>
  <c r="T307" i="13"/>
  <c r="O401" i="12" l="1"/>
  <c r="N401" i="12"/>
  <c r="M401" i="12"/>
  <c r="L401" i="12"/>
  <c r="K401" i="12"/>
  <c r="J401" i="12"/>
  <c r="I401" i="12"/>
  <c r="H401" i="12"/>
  <c r="G401" i="12"/>
  <c r="F401" i="12"/>
  <c r="E401" i="12"/>
  <c r="D401" i="12"/>
  <c r="C401" i="12"/>
  <c r="O398" i="12"/>
  <c r="N398" i="12"/>
  <c r="M398" i="12"/>
  <c r="L398" i="12"/>
  <c r="K398" i="12"/>
  <c r="J398" i="12"/>
  <c r="I398" i="12"/>
  <c r="H398" i="12"/>
  <c r="G398" i="12"/>
  <c r="F398" i="12"/>
  <c r="E398" i="12"/>
  <c r="D398" i="12"/>
  <c r="C398" i="12"/>
  <c r="O477" i="12" l="1"/>
  <c r="N477" i="12"/>
  <c r="M477" i="12"/>
  <c r="K477" i="12"/>
  <c r="J477" i="12"/>
  <c r="I477" i="12"/>
  <c r="H477" i="12"/>
  <c r="G477" i="12"/>
  <c r="F477" i="12"/>
  <c r="E477" i="12"/>
  <c r="D477" i="12"/>
  <c r="C477" i="12"/>
  <c r="P476" i="12"/>
  <c r="P475" i="12"/>
  <c r="P474" i="12"/>
  <c r="N469" i="12"/>
  <c r="M469" i="12"/>
  <c r="L469" i="12"/>
  <c r="K469" i="12"/>
  <c r="J469" i="12"/>
  <c r="I469" i="12"/>
  <c r="H469" i="12"/>
  <c r="G469" i="12"/>
  <c r="F469" i="12"/>
  <c r="E469" i="12"/>
  <c r="D469" i="12"/>
  <c r="C469" i="12"/>
  <c r="O468" i="12"/>
  <c r="O467" i="12"/>
  <c r="O466" i="12"/>
  <c r="O464" i="12"/>
  <c r="O463" i="12"/>
  <c r="N458" i="12"/>
  <c r="M458" i="12"/>
  <c r="L458" i="12"/>
  <c r="K458" i="12"/>
  <c r="J458" i="12"/>
  <c r="I458" i="12"/>
  <c r="H458" i="12"/>
  <c r="G458" i="12"/>
  <c r="F458" i="12"/>
  <c r="E458" i="12"/>
  <c r="D458" i="12"/>
  <c r="C458" i="12"/>
  <c r="O457" i="12"/>
  <c r="O456" i="12"/>
  <c r="O454" i="12"/>
  <c r="P477" i="12" l="1"/>
  <c r="O469" i="12"/>
  <c r="O458" i="12"/>
  <c r="T122" i="13"/>
  <c r="T121" i="13"/>
  <c r="T120" i="13"/>
  <c r="W120" i="13" s="1"/>
  <c r="T119" i="13"/>
  <c r="T118" i="13"/>
  <c r="T20" i="13"/>
  <c r="W20" i="13" s="1"/>
  <c r="T16" i="13"/>
  <c r="W16" i="13" s="1"/>
  <c r="T426" i="13" l="1"/>
  <c r="W426" i="13" s="1"/>
  <c r="T421" i="13"/>
  <c r="W421" i="13" s="1"/>
  <c r="T541" i="13"/>
  <c r="W541" i="13" s="1"/>
  <c r="T540" i="13"/>
  <c r="W540" i="13" s="1"/>
  <c r="T536" i="13"/>
  <c r="W536" i="13" s="1"/>
  <c r="T535" i="13"/>
  <c r="W535" i="13" s="1"/>
  <c r="P605" i="13"/>
  <c r="P604" i="13"/>
  <c r="P603" i="13"/>
  <c r="P602" i="13"/>
  <c r="P601" i="13"/>
  <c r="U45" i="5"/>
  <c r="W45" i="5"/>
  <c r="X45" i="5"/>
  <c r="Y45" i="5"/>
  <c r="AJ45" i="5"/>
  <c r="AL45" i="5"/>
  <c r="AM45" i="5"/>
  <c r="AN45" i="5"/>
  <c r="AU45" i="5"/>
  <c r="AV45" i="5"/>
  <c r="AX45" i="5"/>
  <c r="AY45" i="5"/>
  <c r="AZ45" i="5"/>
  <c r="BA45" i="5"/>
  <c r="BG45" i="5"/>
  <c r="BH45" i="5" s="1"/>
  <c r="BI45" i="5" l="1"/>
  <c r="N313" i="12"/>
  <c r="M313" i="12"/>
  <c r="L313" i="12"/>
  <c r="K313" i="12"/>
  <c r="J313" i="12"/>
  <c r="I313" i="12"/>
  <c r="H313" i="12"/>
  <c r="G313" i="12"/>
  <c r="F313" i="12"/>
  <c r="E313" i="12"/>
  <c r="D313" i="12"/>
  <c r="C313" i="12"/>
  <c r="O312" i="12"/>
  <c r="N309" i="12"/>
  <c r="M309" i="12"/>
  <c r="L309" i="12"/>
  <c r="K309" i="12"/>
  <c r="J309" i="12"/>
  <c r="I309" i="12"/>
  <c r="H309" i="12"/>
  <c r="G309" i="12"/>
  <c r="F309" i="12"/>
  <c r="E309" i="12"/>
  <c r="D309" i="12"/>
  <c r="C309" i="12"/>
  <c r="N308" i="12"/>
  <c r="M308" i="12"/>
  <c r="L308" i="12"/>
  <c r="L310" i="12" s="1"/>
  <c r="K308" i="12"/>
  <c r="K310" i="12" s="1"/>
  <c r="J308" i="12"/>
  <c r="J310" i="12" s="1"/>
  <c r="I308" i="12"/>
  <c r="I310" i="12" s="1"/>
  <c r="H308" i="12"/>
  <c r="G308" i="12"/>
  <c r="F308" i="12"/>
  <c r="E308" i="12"/>
  <c r="D308" i="12"/>
  <c r="D310" i="12" s="1"/>
  <c r="C308" i="12"/>
  <c r="C310" i="12" s="1"/>
  <c r="O307" i="12"/>
  <c r="N305" i="12"/>
  <c r="M305" i="12"/>
  <c r="L305" i="12"/>
  <c r="K305" i="12"/>
  <c r="J305" i="12"/>
  <c r="I305" i="12"/>
  <c r="H305" i="12"/>
  <c r="G305" i="12"/>
  <c r="F305" i="12"/>
  <c r="E305" i="12"/>
  <c r="D305" i="12"/>
  <c r="C305" i="12"/>
  <c r="O304" i="12"/>
  <c r="E310" i="12" l="1"/>
  <c r="M310" i="12"/>
  <c r="F310" i="12"/>
  <c r="N310" i="12"/>
  <c r="G310" i="12"/>
  <c r="H310" i="12"/>
  <c r="O309" i="12"/>
  <c r="O305" i="12"/>
  <c r="O313" i="12"/>
  <c r="O308" i="12"/>
  <c r="O310" i="12" l="1"/>
  <c r="O215" i="13" l="1"/>
  <c r="N215" i="13"/>
  <c r="M215" i="13"/>
  <c r="L215" i="13"/>
  <c r="K215" i="13"/>
  <c r="J215" i="13"/>
  <c r="I215" i="13"/>
  <c r="H215" i="13"/>
  <c r="G215" i="13"/>
  <c r="F215" i="13"/>
  <c r="E215" i="13"/>
  <c r="D215" i="13"/>
  <c r="N295" i="12"/>
  <c r="M295" i="12"/>
  <c r="L295" i="12"/>
  <c r="K295" i="12"/>
  <c r="J295" i="12"/>
  <c r="I295" i="12"/>
  <c r="H295" i="12"/>
  <c r="G295" i="12"/>
  <c r="F295" i="12"/>
  <c r="E295" i="12"/>
  <c r="D295" i="12"/>
  <c r="C295" i="12"/>
  <c r="O294" i="12"/>
  <c r="O295" i="12" s="1"/>
  <c r="N291" i="12"/>
  <c r="M291" i="12"/>
  <c r="L291" i="12"/>
  <c r="K291" i="12"/>
  <c r="J291" i="12"/>
  <c r="I291" i="12"/>
  <c r="H291" i="12"/>
  <c r="G291" i="12"/>
  <c r="F291" i="12"/>
  <c r="E291" i="12"/>
  <c r="D291" i="12"/>
  <c r="C291" i="12"/>
  <c r="O290" i="12"/>
  <c r="O291" i="12" l="1"/>
  <c r="BH53" i="5"/>
  <c r="BI101" i="5" l="1"/>
  <c r="AY93" i="5" l="1"/>
  <c r="AZ93" i="5"/>
  <c r="BA93" i="5"/>
  <c r="AV93" i="5"/>
  <c r="AL94" i="5" l="1"/>
  <c r="AM94" i="5"/>
  <c r="AN94" i="5"/>
  <c r="BN94" i="5" s="1"/>
  <c r="W94" i="5" l="1"/>
  <c r="X94" i="5"/>
  <c r="Y94" i="5"/>
  <c r="AJ94" i="5"/>
  <c r="U94" i="5"/>
  <c r="BH89" i="5" l="1"/>
  <c r="W113" i="5" l="1"/>
  <c r="X113" i="5"/>
  <c r="Y113" i="5"/>
  <c r="BI66" i="5" l="1"/>
  <c r="W563" i="13" l="1"/>
  <c r="W561" i="13"/>
  <c r="W558" i="13"/>
  <c r="W557" i="13"/>
  <c r="Y559" i="13" s="1"/>
  <c r="AB60" i="5" l="1"/>
  <c r="W564" i="13"/>
  <c r="T605" i="13"/>
  <c r="W605" i="13" s="1"/>
  <c r="T604" i="13"/>
  <c r="W604" i="13" s="1"/>
  <c r="T603" i="13"/>
  <c r="W603" i="13" s="1"/>
  <c r="T602" i="13"/>
  <c r="W602" i="13" s="1"/>
  <c r="T601" i="13"/>
  <c r="W601" i="13" s="1"/>
  <c r="T595" i="13"/>
  <c r="W595" i="13" s="1"/>
  <c r="T594" i="13"/>
  <c r="W594" i="13" s="1"/>
  <c r="T593" i="13"/>
  <c r="W593" i="13" s="1"/>
  <c r="T592" i="13"/>
  <c r="W592" i="13" s="1"/>
  <c r="T591" i="13"/>
  <c r="W591" i="13" s="1"/>
  <c r="W395" i="13"/>
  <c r="W394" i="13"/>
  <c r="T392" i="13"/>
  <c r="W392" i="13" s="1"/>
  <c r="W391" i="13"/>
  <c r="AP60" i="5" l="1"/>
  <c r="Y602" i="13"/>
  <c r="Y592" i="13"/>
  <c r="Y392" i="13"/>
  <c r="W596" i="13"/>
  <c r="W606" i="13"/>
  <c r="W396" i="13"/>
  <c r="AB44" i="5" l="1"/>
  <c r="AP63" i="5"/>
  <c r="AP64" i="5"/>
  <c r="W586" i="13" l="1"/>
  <c r="W585" i="13"/>
  <c r="W584" i="13"/>
  <c r="W583" i="13"/>
  <c r="W580" i="13"/>
  <c r="W574" i="13"/>
  <c r="W573" i="13"/>
  <c r="W572" i="13"/>
  <c r="W571" i="13"/>
  <c r="W568" i="13"/>
  <c r="W552" i="13"/>
  <c r="W551" i="13"/>
  <c r="W550" i="13"/>
  <c r="W549" i="13"/>
  <c r="W546" i="13"/>
  <c r="T539" i="13"/>
  <c r="W539" i="13" s="1"/>
  <c r="T538" i="13"/>
  <c r="W538" i="13" s="1"/>
  <c r="T537" i="13"/>
  <c r="W537" i="13" s="1"/>
  <c r="T534" i="13"/>
  <c r="W534" i="13" s="1"/>
  <c r="T533" i="13"/>
  <c r="W533" i="13" s="1"/>
  <c r="W528" i="13"/>
  <c r="W527" i="13"/>
  <c r="W526" i="13"/>
  <c r="W525" i="13"/>
  <c r="W524" i="13"/>
  <c r="W519" i="13"/>
  <c r="W518" i="13"/>
  <c r="W517" i="13"/>
  <c r="W516" i="13"/>
  <c r="W513" i="13"/>
  <c r="T508" i="13"/>
  <c r="W508" i="13" s="1"/>
  <c r="T507" i="13"/>
  <c r="W507" i="13" s="1"/>
  <c r="T506" i="13"/>
  <c r="W506" i="13" s="1"/>
  <c r="T505" i="13"/>
  <c r="W505" i="13" s="1"/>
  <c r="T504" i="13"/>
  <c r="W504" i="13" s="1"/>
  <c r="T503" i="13"/>
  <c r="W503" i="13" s="1"/>
  <c r="T502" i="13"/>
  <c r="W502" i="13" s="1"/>
  <c r="W497" i="13"/>
  <c r="W496" i="13"/>
  <c r="W494" i="13"/>
  <c r="W493" i="13"/>
  <c r="W486" i="13"/>
  <c r="W489" i="13" s="1"/>
  <c r="W482" i="13"/>
  <c r="T477" i="13"/>
  <c r="W477" i="13" s="1"/>
  <c r="T476" i="13"/>
  <c r="W476" i="13" s="1"/>
  <c r="T475" i="13"/>
  <c r="W475" i="13" s="1"/>
  <c r="T474" i="13"/>
  <c r="W474" i="13" s="1"/>
  <c r="T473" i="13"/>
  <c r="W473" i="13" s="1"/>
  <c r="W468" i="13"/>
  <c r="W467" i="13"/>
  <c r="W466" i="13"/>
  <c r="W465" i="13"/>
  <c r="W464" i="13"/>
  <c r="W459" i="13"/>
  <c r="W458" i="13"/>
  <c r="W457" i="13"/>
  <c r="W456" i="13"/>
  <c r="W455" i="13"/>
  <c r="W449" i="13"/>
  <c r="W448" i="13"/>
  <c r="W447" i="13"/>
  <c r="W446" i="13"/>
  <c r="W444" i="13"/>
  <c r="W442" i="13"/>
  <c r="W437" i="13"/>
  <c r="W436" i="13"/>
  <c r="W434" i="13"/>
  <c r="W431" i="13"/>
  <c r="T425" i="13"/>
  <c r="W425" i="13" s="1"/>
  <c r="T424" i="13"/>
  <c r="W424" i="13" s="1"/>
  <c r="T423" i="13"/>
  <c r="W423" i="13" s="1"/>
  <c r="T422" i="13"/>
  <c r="W422" i="13" s="1"/>
  <c r="T420" i="13"/>
  <c r="W420" i="13" s="1"/>
  <c r="T419" i="13"/>
  <c r="W419" i="13" s="1"/>
  <c r="T418" i="13"/>
  <c r="W418" i="13" s="1"/>
  <c r="T413" i="13"/>
  <c r="W413" i="13" s="1"/>
  <c r="T412" i="13"/>
  <c r="W412" i="13" s="1"/>
  <c r="T411" i="13"/>
  <c r="W411" i="13" s="1"/>
  <c r="W410" i="13"/>
  <c r="W409" i="13"/>
  <c r="T404" i="13"/>
  <c r="W404" i="13" s="1"/>
  <c r="T403" i="13"/>
  <c r="W403" i="13" s="1"/>
  <c r="T402" i="13"/>
  <c r="W402" i="13" s="1"/>
  <c r="T401" i="13"/>
  <c r="W401" i="13" s="1"/>
  <c r="T400" i="13"/>
  <c r="W400" i="13" s="1"/>
  <c r="W386" i="13"/>
  <c r="W384" i="13"/>
  <c r="W383" i="13"/>
  <c r="W382" i="13"/>
  <c r="W381" i="13"/>
  <c r="W378" i="13"/>
  <c r="T373" i="13"/>
  <c r="W373" i="13" s="1"/>
  <c r="T372" i="13"/>
  <c r="W372" i="13" s="1"/>
  <c r="T371" i="13"/>
  <c r="W371" i="13" s="1"/>
  <c r="T370" i="13"/>
  <c r="W370" i="13" s="1"/>
  <c r="W369" i="13"/>
  <c r="W368" i="13"/>
  <c r="W367" i="13"/>
  <c r="W366" i="13"/>
  <c r="W365" i="13"/>
  <c r="T361" i="13"/>
  <c r="W361" i="13" s="1"/>
  <c r="T360" i="13"/>
  <c r="W360" i="13" s="1"/>
  <c r="T359" i="13"/>
  <c r="W359" i="13" s="1"/>
  <c r="T354" i="13"/>
  <c r="W354" i="13" s="1"/>
  <c r="W355" i="13" s="1"/>
  <c r="T353" i="13"/>
  <c r="W353" i="13" s="1"/>
  <c r="T352" i="13"/>
  <c r="W352" i="13" s="1"/>
  <c r="W347" i="13"/>
  <c r="W346" i="13"/>
  <c r="W345" i="13"/>
  <c r="W344" i="13"/>
  <c r="W343" i="13"/>
  <c r="W338" i="13"/>
  <c r="W337" i="13"/>
  <c r="W336" i="13"/>
  <c r="W335" i="13"/>
  <c r="W334" i="13"/>
  <c r="W329" i="13"/>
  <c r="W328" i="13"/>
  <c r="W327" i="13"/>
  <c r="W326" i="13"/>
  <c r="W325" i="13"/>
  <c r="T320" i="13"/>
  <c r="W320" i="13" s="1"/>
  <c r="T319" i="13"/>
  <c r="W319" i="13" s="1"/>
  <c r="T318" i="13"/>
  <c r="W318" i="13" s="1"/>
  <c r="T317" i="13"/>
  <c r="W317" i="13" s="1"/>
  <c r="T316" i="13"/>
  <c r="W316" i="13" s="1"/>
  <c r="W311" i="13"/>
  <c r="W310" i="13"/>
  <c r="W309" i="13"/>
  <c r="W308" i="13"/>
  <c r="W307" i="13"/>
  <c r="T302" i="13"/>
  <c r="W302" i="13" s="1"/>
  <c r="T301" i="13"/>
  <c r="W301" i="13" s="1"/>
  <c r="T300" i="13"/>
  <c r="W300" i="13" s="1"/>
  <c r="T299" i="13"/>
  <c r="W299" i="13" s="1"/>
  <c r="T298" i="13"/>
  <c r="W298" i="13" s="1"/>
  <c r="W293" i="13"/>
  <c r="W292" i="13"/>
  <c r="W291" i="13"/>
  <c r="W290" i="13"/>
  <c r="W289" i="13"/>
  <c r="W288" i="13"/>
  <c r="W287" i="13"/>
  <c r="T282" i="13"/>
  <c r="T281" i="13"/>
  <c r="W281" i="13" s="1"/>
  <c r="W280" i="13"/>
  <c r="W279" i="13"/>
  <c r="T278" i="13"/>
  <c r="W278" i="13" s="1"/>
  <c r="T277" i="13"/>
  <c r="W277" i="13" s="1"/>
  <c r="W276" i="13"/>
  <c r="W271" i="13"/>
  <c r="W269" i="13"/>
  <c r="W272" i="13" s="1"/>
  <c r="W268" i="13"/>
  <c r="W266" i="13"/>
  <c r="W265" i="13"/>
  <c r="T260" i="13"/>
  <c r="W260" i="13" s="1"/>
  <c r="T259" i="13"/>
  <c r="W259" i="13" s="1"/>
  <c r="T258" i="13"/>
  <c r="W258" i="13" s="1"/>
  <c r="T253" i="13"/>
  <c r="W253" i="13" s="1"/>
  <c r="T252" i="13"/>
  <c r="W252" i="13" s="1"/>
  <c r="T251" i="13"/>
  <c r="W251" i="13" s="1"/>
  <c r="T250" i="13"/>
  <c r="W250" i="13" s="1"/>
  <c r="T249" i="13"/>
  <c r="W249" i="13" s="1"/>
  <c r="T248" i="13"/>
  <c r="W248" i="13" s="1"/>
  <c r="T247" i="13"/>
  <c r="W247" i="13" s="1"/>
  <c r="T242" i="13"/>
  <c r="W242" i="13" s="1"/>
  <c r="T241" i="13"/>
  <c r="W241" i="13" s="1"/>
  <c r="W240" i="13"/>
  <c r="T236" i="13"/>
  <c r="W236" i="13" s="1"/>
  <c r="T235" i="13"/>
  <c r="W235" i="13" s="1"/>
  <c r="T234" i="13"/>
  <c r="W234" i="13" s="1"/>
  <c r="T230" i="13"/>
  <c r="W230" i="13" s="1"/>
  <c r="T229" i="13"/>
  <c r="W229" i="13" s="1"/>
  <c r="T228" i="13"/>
  <c r="W228" i="13" s="1"/>
  <c r="T223" i="13"/>
  <c r="W223" i="13" s="1"/>
  <c r="T222" i="13"/>
  <c r="W222" i="13" s="1"/>
  <c r="T221" i="13"/>
  <c r="W221" i="13" s="1"/>
  <c r="T220" i="13"/>
  <c r="W220" i="13" s="1"/>
  <c r="T219" i="13"/>
  <c r="W219" i="13" s="1"/>
  <c r="T215" i="13"/>
  <c r="W215" i="13" s="1"/>
  <c r="T214" i="13"/>
  <c r="W214" i="13" s="1"/>
  <c r="T213" i="13"/>
  <c r="W213" i="13" s="1"/>
  <c r="W208" i="13"/>
  <c r="W207" i="13"/>
  <c r="W206" i="13"/>
  <c r="W205" i="13"/>
  <c r="W204" i="13"/>
  <c r="W203" i="13"/>
  <c r="W202" i="13"/>
  <c r="W197" i="13"/>
  <c r="W196" i="13"/>
  <c r="W195" i="13"/>
  <c r="W194" i="13"/>
  <c r="W193" i="13"/>
  <c r="W192" i="13"/>
  <c r="W191" i="13"/>
  <c r="W186" i="13"/>
  <c r="W185" i="13"/>
  <c r="W184" i="13"/>
  <c r="W183" i="13"/>
  <c r="W182" i="13"/>
  <c r="W181" i="13"/>
  <c r="W180" i="13"/>
  <c r="W175" i="13"/>
  <c r="W174" i="13"/>
  <c r="W173" i="13"/>
  <c r="W172" i="13"/>
  <c r="W171" i="13"/>
  <c r="W170" i="13"/>
  <c r="W169" i="13"/>
  <c r="T164" i="13"/>
  <c r="W164" i="13" s="1"/>
  <c r="W163" i="13"/>
  <c r="W162" i="13"/>
  <c r="W161" i="13"/>
  <c r="W160" i="13"/>
  <c r="W159" i="13"/>
  <c r="W158" i="13"/>
  <c r="T153" i="13"/>
  <c r="W153" i="13" s="1"/>
  <c r="W152" i="13"/>
  <c r="W151" i="13"/>
  <c r="W150" i="13"/>
  <c r="W149" i="13"/>
  <c r="W148" i="13"/>
  <c r="W147" i="13"/>
  <c r="T142" i="13"/>
  <c r="W142" i="13" s="1"/>
  <c r="W141" i="13"/>
  <c r="W140" i="13"/>
  <c r="W139" i="13"/>
  <c r="W138" i="13"/>
  <c r="W137" i="13"/>
  <c r="W136" i="13"/>
  <c r="W131" i="13"/>
  <c r="T130" i="13"/>
  <c r="W130" i="13" s="1"/>
  <c r="T129" i="13"/>
  <c r="W129" i="13" s="1"/>
  <c r="T128" i="13"/>
  <c r="W128" i="13" s="1"/>
  <c r="T127" i="13"/>
  <c r="W127" i="13" s="1"/>
  <c r="W122" i="13"/>
  <c r="W121" i="13"/>
  <c r="W119" i="13"/>
  <c r="W118" i="13"/>
  <c r="T113" i="13"/>
  <c r="W113" i="13" s="1"/>
  <c r="T112" i="13"/>
  <c r="W112" i="13" s="1"/>
  <c r="T111" i="13"/>
  <c r="W111" i="13" s="1"/>
  <c r="T110" i="13"/>
  <c r="W110" i="13" s="1"/>
  <c r="T109" i="13"/>
  <c r="W109" i="13" s="1"/>
  <c r="T108" i="13"/>
  <c r="W108" i="13" s="1"/>
  <c r="T107" i="13"/>
  <c r="W107" i="13" s="1"/>
  <c r="T106" i="13"/>
  <c r="W106" i="13" s="1"/>
  <c r="T105" i="13"/>
  <c r="W105" i="13" s="1"/>
  <c r="T100" i="13"/>
  <c r="W100" i="13" s="1"/>
  <c r="T99" i="13"/>
  <c r="W99" i="13" s="1"/>
  <c r="T98" i="13"/>
  <c r="W98" i="13" s="1"/>
  <c r="T97" i="13"/>
  <c r="W97" i="13" s="1"/>
  <c r="T96" i="13"/>
  <c r="W96" i="13" s="1"/>
  <c r="W91" i="13"/>
  <c r="W89" i="13"/>
  <c r="T84" i="13"/>
  <c r="W84" i="13" s="1"/>
  <c r="T83" i="13"/>
  <c r="W83" i="13" s="1"/>
  <c r="T82" i="13"/>
  <c r="W82" i="13" s="1"/>
  <c r="T81" i="13"/>
  <c r="W81" i="13" s="1"/>
  <c r="T80" i="13"/>
  <c r="W80" i="13" s="1"/>
  <c r="T79" i="13"/>
  <c r="W79" i="13" s="1"/>
  <c r="W78" i="13"/>
  <c r="T73" i="13"/>
  <c r="W73" i="13" s="1"/>
  <c r="T72" i="13"/>
  <c r="W72" i="13" s="1"/>
  <c r="T71" i="13"/>
  <c r="W71" i="13" s="1"/>
  <c r="T70" i="13"/>
  <c r="W70" i="13" s="1"/>
  <c r="W69" i="13"/>
  <c r="W64" i="13"/>
  <c r="W63" i="13"/>
  <c r="W62" i="13"/>
  <c r="W61" i="13"/>
  <c r="W60" i="13"/>
  <c r="W59" i="13"/>
  <c r="W58" i="13"/>
  <c r="W57" i="13"/>
  <c r="W56" i="13"/>
  <c r="T51" i="13"/>
  <c r="W51" i="13" s="1"/>
  <c r="T50" i="13"/>
  <c r="W50" i="13" s="1"/>
  <c r="T49" i="13"/>
  <c r="W49" i="13" s="1"/>
  <c r="T48" i="13"/>
  <c r="W48" i="13" s="1"/>
  <c r="T47" i="13"/>
  <c r="W47" i="13" s="1"/>
  <c r="T46" i="13"/>
  <c r="W46" i="13" s="1"/>
  <c r="T45" i="13"/>
  <c r="W45" i="13" s="1"/>
  <c r="T40" i="13"/>
  <c r="W40" i="13" s="1"/>
  <c r="T39" i="13"/>
  <c r="W39" i="13" s="1"/>
  <c r="T38" i="13"/>
  <c r="W38" i="13" s="1"/>
  <c r="T37" i="13"/>
  <c r="W37" i="13" s="1"/>
  <c r="T36" i="13"/>
  <c r="W36" i="13" s="1"/>
  <c r="T35" i="13"/>
  <c r="W35" i="13" s="1"/>
  <c r="W34" i="13"/>
  <c r="T29" i="13"/>
  <c r="W29" i="13" s="1"/>
  <c r="T28" i="13"/>
  <c r="W28" i="13" s="1"/>
  <c r="T27" i="13"/>
  <c r="W27" i="13" s="1"/>
  <c r="T26" i="13"/>
  <c r="W26" i="13" s="1"/>
  <c r="T25" i="13"/>
  <c r="W25" i="13" s="1"/>
  <c r="T19" i="13"/>
  <c r="W19" i="13" s="1"/>
  <c r="T18" i="13"/>
  <c r="W18" i="13" s="1"/>
  <c r="T17" i="13"/>
  <c r="W17" i="13" s="1"/>
  <c r="T15" i="13"/>
  <c r="W15" i="13" s="1"/>
  <c r="T14" i="13"/>
  <c r="W14" i="13" s="1"/>
  <c r="W9" i="13"/>
  <c r="W8" i="13"/>
  <c r="W7" i="13"/>
  <c r="W6" i="13"/>
  <c r="W5" i="13"/>
  <c r="Y267" i="13" l="1"/>
  <c r="W542" i="13"/>
  <c r="Y494" i="13"/>
  <c r="AP53" i="5"/>
  <c r="Y484" i="13"/>
  <c r="Y128" i="13"/>
  <c r="AB28" i="5"/>
  <c r="Y536" i="13"/>
  <c r="W575" i="13"/>
  <c r="Y16" i="13"/>
  <c r="W294" i="13"/>
  <c r="Y160" i="13"/>
  <c r="Y421" i="13"/>
  <c r="W427" i="13"/>
  <c r="Y36" i="13"/>
  <c r="W21" i="13"/>
  <c r="W303" i="13"/>
  <c r="W321" i="13"/>
  <c r="W254" i="13"/>
  <c r="W312" i="13"/>
  <c r="W330" i="13"/>
  <c r="Y465" i="13"/>
  <c r="Y317" i="13"/>
  <c r="Y456" i="13"/>
  <c r="W469" i="13"/>
  <c r="Y474" i="13"/>
  <c r="W41" i="13"/>
  <c r="Y59" i="13"/>
  <c r="Y97" i="13"/>
  <c r="Y119" i="13"/>
  <c r="Y70" i="13"/>
  <c r="Y108" i="13"/>
  <c r="W154" i="13"/>
  <c r="W176" i="13"/>
  <c r="W198" i="13"/>
  <c r="Y525" i="13"/>
  <c r="Y570" i="13"/>
  <c r="Y410" i="13"/>
  <c r="Y515" i="13"/>
  <c r="W132" i="13"/>
  <c r="W414" i="13"/>
  <c r="W509" i="13"/>
  <c r="W520" i="13"/>
  <c r="W224" i="13"/>
  <c r="Y26" i="13"/>
  <c r="W165" i="13"/>
  <c r="W348" i="13"/>
  <c r="Y368" i="13"/>
  <c r="Y445" i="13"/>
  <c r="W498" i="13"/>
  <c r="W553" i="13"/>
  <c r="W587" i="13"/>
  <c r="Y6" i="13"/>
  <c r="W30" i="13"/>
  <c r="W283" i="13"/>
  <c r="Y335" i="13"/>
  <c r="W374" i="13"/>
  <c r="Y381" i="13"/>
  <c r="Y433" i="13"/>
  <c r="W451" i="13"/>
  <c r="W460" i="13"/>
  <c r="W478" i="13"/>
  <c r="Y504" i="13"/>
  <c r="Y582" i="13"/>
  <c r="Y548" i="13"/>
  <c r="W529" i="13"/>
  <c r="Y401" i="13"/>
  <c r="W405" i="13"/>
  <c r="W387" i="13"/>
  <c r="Y344" i="13"/>
  <c r="W339" i="13"/>
  <c r="Y326" i="13"/>
  <c r="Y308" i="13"/>
  <c r="Y299" i="13"/>
  <c r="Y289" i="13"/>
  <c r="Y220" i="13"/>
  <c r="W209" i="13"/>
  <c r="Y204" i="13"/>
  <c r="W187" i="13"/>
  <c r="Y182" i="13"/>
  <c r="Y138" i="13"/>
  <c r="W143" i="13"/>
  <c r="W114" i="13"/>
  <c r="Y80" i="13"/>
  <c r="W85" i="13"/>
  <c r="W74" i="13"/>
  <c r="Y47" i="13"/>
  <c r="W10" i="13"/>
  <c r="W52" i="13"/>
  <c r="W65" i="13"/>
  <c r="W101" i="13"/>
  <c r="W123" i="13"/>
  <c r="Y149" i="13"/>
  <c r="Y171" i="13"/>
  <c r="Y193" i="13"/>
  <c r="Y249" i="13"/>
  <c r="W435" i="13"/>
  <c r="W438" i="13" s="1"/>
  <c r="BM56" i="5"/>
  <c r="BI58" i="5"/>
  <c r="AB59" i="5" l="1"/>
  <c r="AB49" i="5"/>
  <c r="AB62" i="5"/>
  <c r="AB52" i="5"/>
  <c r="AB48" i="5"/>
  <c r="AB33" i="5"/>
  <c r="AB50" i="5"/>
  <c r="AB57" i="5"/>
  <c r="AP43" i="5"/>
  <c r="AB56" i="5"/>
  <c r="AB61" i="5"/>
  <c r="AB43" i="5"/>
  <c r="AB46" i="5"/>
  <c r="AB51" i="5"/>
  <c r="AB54" i="5"/>
  <c r="AB53" i="5"/>
  <c r="AP38" i="5"/>
  <c r="AB38" i="5"/>
  <c r="AB42" i="5"/>
  <c r="AB29" i="5"/>
  <c r="AP4" i="5"/>
  <c r="AB37" i="5"/>
  <c r="AP37" i="5"/>
  <c r="AB39" i="5"/>
  <c r="AP8" i="5"/>
  <c r="AB8" i="5"/>
  <c r="AP47" i="5"/>
  <c r="AP7" i="5"/>
  <c r="AP58" i="5"/>
  <c r="AL93" i="5"/>
  <c r="AJ93" i="5"/>
  <c r="AM93" i="5"/>
  <c r="AN93" i="5"/>
  <c r="BN93" i="5" s="1"/>
  <c r="W93" i="5"/>
  <c r="U93" i="5"/>
  <c r="X93" i="5"/>
  <c r="Y93" i="5"/>
  <c r="BI44" i="5" l="1"/>
  <c r="AW44" i="5"/>
  <c r="AZ44" i="5" s="1"/>
  <c r="AV44" i="5"/>
  <c r="BA44" i="5" l="1"/>
  <c r="AY44" i="5"/>
  <c r="AL44" i="5"/>
  <c r="AM44" i="5"/>
  <c r="AN44" i="5"/>
  <c r="BN44" i="5" s="1"/>
  <c r="AJ44" i="5"/>
  <c r="W44" i="5"/>
  <c r="X44" i="5"/>
  <c r="Y44" i="5"/>
  <c r="U44" i="5"/>
  <c r="BH44" i="5" l="1"/>
  <c r="BH94" i="5" l="1"/>
  <c r="AY101" i="5" l="1"/>
  <c r="AZ101" i="5"/>
  <c r="BA101" i="5"/>
  <c r="AV101" i="5"/>
  <c r="BH93" i="5" l="1"/>
  <c r="U108" i="5" l="1"/>
  <c r="W108" i="5"/>
  <c r="X108" i="5"/>
  <c r="Y108" i="5"/>
  <c r="AJ108" i="5"/>
  <c r="AL108" i="5"/>
  <c r="AM108" i="5"/>
  <c r="AN108" i="5"/>
  <c r="BN108" i="5" s="1"/>
  <c r="AV108" i="5"/>
  <c r="AY108" i="5"/>
  <c r="AZ108" i="5"/>
  <c r="BA108" i="5"/>
  <c r="BH108" i="5"/>
  <c r="O215" i="10" l="1"/>
  <c r="O214" i="10"/>
  <c r="O213" i="10"/>
  <c r="O211" i="10"/>
  <c r="O210" i="10"/>
  <c r="O209" i="10"/>
  <c r="O208" i="10"/>
  <c r="O204" i="10"/>
  <c r="O203" i="10"/>
  <c r="O202" i="10"/>
  <c r="O201" i="10"/>
  <c r="O199" i="10"/>
  <c r="O198" i="10"/>
  <c r="O197" i="10"/>
  <c r="O196" i="10"/>
  <c r="O192" i="10"/>
  <c r="O191" i="10"/>
  <c r="O190" i="10"/>
  <c r="O189" i="10"/>
  <c r="O187" i="10"/>
  <c r="O186" i="10"/>
  <c r="O185" i="10"/>
  <c r="O184" i="10"/>
  <c r="O157" i="10" l="1"/>
  <c r="O156" i="10"/>
  <c r="O155" i="10"/>
  <c r="O153" i="10"/>
  <c r="O152" i="10"/>
  <c r="O151" i="10"/>
  <c r="O147" i="10"/>
  <c r="O146" i="10"/>
  <c r="O145" i="10"/>
  <c r="O143" i="10"/>
  <c r="O142" i="10"/>
  <c r="O141" i="10"/>
  <c r="O137" i="10"/>
  <c r="O136" i="10"/>
  <c r="O135" i="10"/>
  <c r="O133" i="10"/>
  <c r="O132" i="10"/>
  <c r="O131" i="10"/>
  <c r="BI49" i="5" l="1"/>
  <c r="BI48" i="5"/>
  <c r="BI56" i="5"/>
  <c r="BM62" i="5"/>
  <c r="BM61" i="5"/>
  <c r="BM59" i="5"/>
  <c r="BM49" i="5"/>
  <c r="BJ62" i="5"/>
  <c r="BJ61" i="5"/>
  <c r="BJ59" i="5"/>
  <c r="BJ56" i="5"/>
  <c r="BJ49" i="5"/>
  <c r="BM48" i="5"/>
  <c r="BJ48" i="5"/>
  <c r="BI46" i="5"/>
  <c r="BG35" i="5" l="1"/>
  <c r="BG90" i="5" s="1"/>
  <c r="T62" i="11" l="1"/>
  <c r="W62" i="11" s="1"/>
  <c r="T61" i="11"/>
  <c r="W61" i="11" s="1"/>
  <c r="T60" i="11"/>
  <c r="D94" i="10"/>
  <c r="L94" i="10" s="1"/>
  <c r="I93" i="10"/>
  <c r="H93" i="10"/>
  <c r="G93" i="10"/>
  <c r="F93" i="10"/>
  <c r="E93" i="10"/>
  <c r="D93" i="10" l="1"/>
  <c r="L93" i="10" s="1"/>
  <c r="N179" i="10"/>
  <c r="M179" i="10"/>
  <c r="L179" i="10"/>
  <c r="K179" i="10"/>
  <c r="J179" i="10"/>
  <c r="I179" i="10"/>
  <c r="H179" i="10"/>
  <c r="G179" i="10"/>
  <c r="F179" i="10"/>
  <c r="Q432" i="11" l="1"/>
  <c r="P432" i="11"/>
  <c r="O432" i="11"/>
  <c r="N432" i="11"/>
  <c r="M432" i="11"/>
  <c r="L432" i="11"/>
  <c r="K432" i="11"/>
  <c r="J432" i="11"/>
  <c r="I432" i="11"/>
  <c r="H432" i="11"/>
  <c r="G432" i="11"/>
  <c r="F432" i="11"/>
  <c r="Q431" i="11"/>
  <c r="P431" i="11"/>
  <c r="O431" i="11"/>
  <c r="N431" i="11"/>
  <c r="M431" i="11"/>
  <c r="L431" i="11"/>
  <c r="K431" i="11"/>
  <c r="J431" i="11"/>
  <c r="I431" i="11"/>
  <c r="H431" i="11"/>
  <c r="G431" i="11"/>
  <c r="F431" i="11"/>
  <c r="Q433" i="11"/>
  <c r="P433" i="11"/>
  <c r="O433" i="11"/>
  <c r="N433" i="11"/>
  <c r="M433" i="11"/>
  <c r="L433" i="11"/>
  <c r="K433" i="11"/>
  <c r="J433" i="11"/>
  <c r="I433" i="11"/>
  <c r="H433" i="11"/>
  <c r="G433" i="11"/>
  <c r="F433" i="11"/>
  <c r="Q422" i="11"/>
  <c r="P422" i="11"/>
  <c r="O422" i="11"/>
  <c r="N422" i="11"/>
  <c r="M422" i="11"/>
  <c r="L422" i="11"/>
  <c r="K422" i="11"/>
  <c r="J422" i="11"/>
  <c r="I422" i="11"/>
  <c r="H422" i="11"/>
  <c r="G422" i="11"/>
  <c r="F422" i="11"/>
  <c r="Q421" i="11"/>
  <c r="P421" i="11"/>
  <c r="O421" i="11"/>
  <c r="M421" i="11"/>
  <c r="L421" i="11"/>
  <c r="K421" i="11"/>
  <c r="J421" i="11"/>
  <c r="Q420" i="11"/>
  <c r="P420" i="11"/>
  <c r="O420" i="11"/>
  <c r="N420" i="11"/>
  <c r="M420" i="11"/>
  <c r="L420" i="11"/>
  <c r="K420" i="11"/>
  <c r="J420" i="11"/>
  <c r="I420" i="11"/>
  <c r="H420" i="11"/>
  <c r="G420" i="11"/>
  <c r="F420" i="11"/>
  <c r="BI43" i="5" l="1"/>
  <c r="BI42" i="5"/>
  <c r="BI54" i="5"/>
  <c r="T466" i="11" l="1"/>
  <c r="J842" i="10"/>
  <c r="G842" i="10"/>
  <c r="F842" i="10"/>
  <c r="E842" i="10"/>
  <c r="J733" i="10"/>
  <c r="G733" i="10"/>
  <c r="F733" i="10"/>
  <c r="E733" i="10"/>
  <c r="D733" i="10"/>
  <c r="C733" i="10"/>
  <c r="S788" i="10" l="1"/>
  <c r="R788" i="10"/>
  <c r="Q788" i="10"/>
  <c r="P788" i="10"/>
  <c r="O788" i="10"/>
  <c r="N788" i="10"/>
  <c r="M788" i="10"/>
  <c r="L788" i="10"/>
  <c r="K788" i="10"/>
  <c r="J788" i="10"/>
  <c r="I788" i="10"/>
  <c r="H788" i="10"/>
  <c r="G788" i="10"/>
  <c r="S787" i="10"/>
  <c r="R787" i="10"/>
  <c r="Q787" i="10"/>
  <c r="O787" i="10"/>
  <c r="N787" i="10"/>
  <c r="M787" i="10"/>
  <c r="L787" i="10"/>
  <c r="S786" i="10"/>
  <c r="R786" i="10"/>
  <c r="Q786" i="10"/>
  <c r="P786" i="10"/>
  <c r="O786" i="10"/>
  <c r="N786" i="10"/>
  <c r="M786" i="10"/>
  <c r="L786" i="10"/>
  <c r="K786" i="10"/>
  <c r="J786" i="10"/>
  <c r="I786" i="10"/>
  <c r="H786" i="10"/>
  <c r="G786" i="10"/>
  <c r="S785" i="10"/>
  <c r="R785" i="10"/>
  <c r="Q785" i="10"/>
  <c r="P785" i="10"/>
  <c r="O785" i="10"/>
  <c r="N785" i="10"/>
  <c r="M785" i="10"/>
  <c r="L785" i="10"/>
  <c r="K785" i="10"/>
  <c r="J785" i="10"/>
  <c r="I785" i="10"/>
  <c r="H785" i="10"/>
  <c r="G785" i="10"/>
  <c r="U784" i="10"/>
  <c r="U783" i="10"/>
  <c r="U782" i="10"/>
  <c r="U781" i="10"/>
  <c r="S800" i="10"/>
  <c r="R800" i="10"/>
  <c r="Q800" i="10"/>
  <c r="P800" i="10"/>
  <c r="O800" i="10"/>
  <c r="N800" i="10"/>
  <c r="M800" i="10"/>
  <c r="L800" i="10"/>
  <c r="K800" i="10"/>
  <c r="J800" i="10"/>
  <c r="I800" i="10"/>
  <c r="H800" i="10"/>
  <c r="G800" i="10"/>
  <c r="S799" i="10"/>
  <c r="R799" i="10"/>
  <c r="Q799" i="10"/>
  <c r="P799" i="10"/>
  <c r="O799" i="10"/>
  <c r="N799" i="10"/>
  <c r="M799" i="10"/>
  <c r="L799" i="10"/>
  <c r="K799" i="10"/>
  <c r="J799" i="10"/>
  <c r="I799" i="10"/>
  <c r="H799" i="10"/>
  <c r="G799" i="10"/>
  <c r="S798" i="10"/>
  <c r="R798" i="10"/>
  <c r="Q798" i="10"/>
  <c r="P798" i="10"/>
  <c r="O798" i="10"/>
  <c r="N798" i="10"/>
  <c r="M798" i="10"/>
  <c r="L798" i="10"/>
  <c r="K798" i="10"/>
  <c r="J798" i="10"/>
  <c r="I798" i="10"/>
  <c r="H798" i="10"/>
  <c r="G798" i="10"/>
  <c r="S797" i="10"/>
  <c r="R797" i="10"/>
  <c r="Q797" i="10"/>
  <c r="P797" i="10"/>
  <c r="O797" i="10"/>
  <c r="N797" i="10"/>
  <c r="M797" i="10"/>
  <c r="L797" i="10"/>
  <c r="K797" i="10"/>
  <c r="J797" i="10"/>
  <c r="I797" i="10"/>
  <c r="H797" i="10"/>
  <c r="G797" i="10"/>
  <c r="U796" i="10"/>
  <c r="U795" i="10"/>
  <c r="U794" i="10"/>
  <c r="U793" i="10"/>
  <c r="U752" i="10"/>
  <c r="U751" i="10"/>
  <c r="U750" i="10"/>
  <c r="U749" i="10"/>
  <c r="S458" i="10"/>
  <c r="R458" i="10"/>
  <c r="Q458" i="10"/>
  <c r="P458" i="10"/>
  <c r="O458" i="10"/>
  <c r="N458" i="10"/>
  <c r="M458" i="10"/>
  <c r="L458" i="10"/>
  <c r="K458" i="10"/>
  <c r="J458" i="10"/>
  <c r="I458" i="10"/>
  <c r="H458" i="10"/>
  <c r="G458" i="10"/>
  <c r="F458" i="10"/>
  <c r="E458" i="10"/>
  <c r="D458" i="10"/>
  <c r="C458" i="10"/>
  <c r="S457" i="10"/>
  <c r="R457" i="10"/>
  <c r="Q457" i="10"/>
  <c r="P457" i="10"/>
  <c r="O457" i="10"/>
  <c r="N457" i="10"/>
  <c r="M457" i="10"/>
  <c r="L457" i="10"/>
  <c r="K457" i="10"/>
  <c r="J457" i="10"/>
  <c r="E457" i="10"/>
  <c r="D457" i="10"/>
  <c r="C457" i="10"/>
  <c r="S456" i="10"/>
  <c r="R456" i="10"/>
  <c r="Q456" i="10"/>
  <c r="P456" i="10"/>
  <c r="O456" i="10"/>
  <c r="N456" i="10"/>
  <c r="M456" i="10"/>
  <c r="L456" i="10"/>
  <c r="K456" i="10"/>
  <c r="J456" i="10"/>
  <c r="I456" i="10"/>
  <c r="H456" i="10"/>
  <c r="G456" i="10"/>
  <c r="F456" i="10"/>
  <c r="E456" i="10"/>
  <c r="D456" i="10"/>
  <c r="C456" i="10"/>
  <c r="S455" i="10"/>
  <c r="R455" i="10"/>
  <c r="Q455" i="10"/>
  <c r="P455" i="10"/>
  <c r="O455" i="10"/>
  <c r="N455" i="10"/>
  <c r="M455" i="10"/>
  <c r="L455" i="10"/>
  <c r="K455" i="10"/>
  <c r="J455" i="10"/>
  <c r="I455" i="10"/>
  <c r="H455" i="10"/>
  <c r="G455" i="10"/>
  <c r="F455" i="10"/>
  <c r="E455" i="10"/>
  <c r="D455" i="10"/>
  <c r="C455" i="10"/>
  <c r="U454" i="10"/>
  <c r="U453" i="10"/>
  <c r="U452" i="10"/>
  <c r="U451" i="10"/>
  <c r="S170" i="10"/>
  <c r="R170" i="10"/>
  <c r="Q170" i="10"/>
  <c r="P170" i="10"/>
  <c r="O170" i="10"/>
  <c r="N170" i="10"/>
  <c r="M170" i="10"/>
  <c r="L170" i="10"/>
  <c r="K170" i="10"/>
  <c r="J170" i="10"/>
  <c r="I170" i="10"/>
  <c r="H170" i="10"/>
  <c r="G170" i="10"/>
  <c r="S169" i="10"/>
  <c r="R169" i="10"/>
  <c r="Q169" i="10"/>
  <c r="P169" i="10"/>
  <c r="O169" i="10"/>
  <c r="N169" i="10"/>
  <c r="M169" i="10"/>
  <c r="L169" i="10"/>
  <c r="K169" i="10"/>
  <c r="J169" i="10"/>
  <c r="I169" i="10"/>
  <c r="H169" i="10"/>
  <c r="G169" i="10"/>
  <c r="S168" i="10"/>
  <c r="R168" i="10"/>
  <c r="Q168" i="10"/>
  <c r="P168" i="10"/>
  <c r="O168" i="10"/>
  <c r="N168" i="10"/>
  <c r="M168" i="10"/>
  <c r="L168" i="10"/>
  <c r="K168" i="10"/>
  <c r="J168" i="10"/>
  <c r="I168" i="10"/>
  <c r="H168" i="10"/>
  <c r="G168" i="10"/>
  <c r="S167" i="10"/>
  <c r="R167" i="10"/>
  <c r="Q167" i="10"/>
  <c r="P167" i="10"/>
  <c r="O167" i="10"/>
  <c r="N167" i="10"/>
  <c r="M167" i="10"/>
  <c r="L167" i="10"/>
  <c r="K167" i="10"/>
  <c r="J167" i="10"/>
  <c r="I167" i="10"/>
  <c r="H167" i="10"/>
  <c r="G167" i="10"/>
  <c r="U166" i="10"/>
  <c r="U165" i="10"/>
  <c r="U164" i="10"/>
  <c r="U163" i="10"/>
  <c r="U169" i="10" l="1"/>
  <c r="U800" i="10"/>
  <c r="U788" i="10"/>
  <c r="U797" i="10"/>
  <c r="U170" i="10"/>
  <c r="U799" i="10"/>
  <c r="U785" i="10"/>
  <c r="U787" i="10"/>
  <c r="U458" i="10"/>
  <c r="U798" i="10"/>
  <c r="U786" i="10"/>
  <c r="U168" i="10"/>
  <c r="U455" i="10"/>
  <c r="U457" i="10"/>
  <c r="U167" i="10"/>
  <c r="U456" i="10"/>
  <c r="T57" i="11" l="1"/>
  <c r="W57" i="11" s="1"/>
  <c r="T368" i="11" l="1"/>
  <c r="W368" i="11" s="1"/>
  <c r="T367" i="11"/>
  <c r="W367" i="11" s="1"/>
  <c r="T363" i="11"/>
  <c r="W363" i="11" s="1"/>
  <c r="T362" i="11"/>
  <c r="W362" i="11" s="1"/>
  <c r="T366" i="11"/>
  <c r="T364" i="11"/>
  <c r="W364" i="11" s="1"/>
  <c r="T365" i="11"/>
  <c r="T361" i="11"/>
  <c r="W361" i="11" s="1"/>
  <c r="T360" i="11"/>
  <c r="W360" i="11" s="1"/>
  <c r="N702" i="10"/>
  <c r="N701" i="10"/>
  <c r="M697" i="10"/>
  <c r="L697" i="10"/>
  <c r="K697" i="10"/>
  <c r="J697" i="10"/>
  <c r="I697" i="10"/>
  <c r="H697" i="10"/>
  <c r="G697" i="10"/>
  <c r="F697" i="10"/>
  <c r="E697" i="10"/>
  <c r="D697" i="10"/>
  <c r="C697" i="10"/>
  <c r="B697" i="10"/>
  <c r="N694" i="10"/>
  <c r="N693" i="10"/>
  <c r="N690" i="10"/>
  <c r="N689" i="10"/>
  <c r="N685" i="10"/>
  <c r="N684" i="10"/>
  <c r="N681" i="10"/>
  <c r="N677" i="10"/>
  <c r="N675" i="10"/>
  <c r="N670" i="10"/>
  <c r="N668" i="10"/>
  <c r="N663" i="10"/>
  <c r="N661" i="10"/>
  <c r="O510" i="10"/>
  <c r="P505" i="10"/>
  <c r="P444" i="10"/>
  <c r="O444" i="10"/>
  <c r="N444" i="10"/>
  <c r="M444" i="10"/>
  <c r="L444" i="10"/>
  <c r="K444" i="10"/>
  <c r="J444" i="10"/>
  <c r="I444" i="10"/>
  <c r="H444" i="10"/>
  <c r="G444" i="10"/>
  <c r="F444" i="10"/>
  <c r="E444" i="10"/>
  <c r="D444" i="10"/>
  <c r="C444" i="10"/>
  <c r="N669" i="10" l="1"/>
  <c r="N662" i="10"/>
  <c r="Y363" i="11"/>
  <c r="N697" i="10"/>
  <c r="N704" i="10"/>
  <c r="N676" i="10"/>
  <c r="N680" i="10"/>
  <c r="T246" i="11"/>
  <c r="T245" i="11"/>
  <c r="W245" i="11" s="1"/>
  <c r="T244" i="11"/>
  <c r="W244" i="11" s="1"/>
  <c r="T250" i="11"/>
  <c r="W250" i="11" s="1"/>
  <c r="T249" i="11"/>
  <c r="T247" i="11"/>
  <c r="T248" i="11"/>
  <c r="N615" i="10"/>
  <c r="N612" i="10"/>
  <c r="N610" i="10"/>
  <c r="N609" i="10"/>
  <c r="N608" i="10"/>
  <c r="N607" i="10"/>
  <c r="N604" i="10"/>
  <c r="N601" i="10"/>
  <c r="N599" i="10"/>
  <c r="N598" i="10"/>
  <c r="N597" i="10"/>
  <c r="N596" i="10"/>
  <c r="N593" i="10"/>
  <c r="N590" i="10"/>
  <c r="N587" i="10"/>
  <c r="N583" i="10"/>
  <c r="N581" i="10"/>
  <c r="N576" i="10"/>
  <c r="N575" i="10"/>
  <c r="N572" i="10"/>
  <c r="N571" i="10"/>
  <c r="N570" i="10"/>
  <c r="N418" i="10"/>
  <c r="M415" i="10"/>
  <c r="L415" i="10"/>
  <c r="K415" i="10"/>
  <c r="J415" i="10"/>
  <c r="I415" i="10"/>
  <c r="H415" i="10"/>
  <c r="G415" i="10"/>
  <c r="F415" i="10"/>
  <c r="E415" i="10"/>
  <c r="D415" i="10"/>
  <c r="N412" i="10"/>
  <c r="N411" i="10"/>
  <c r="N408" i="10"/>
  <c r="N407" i="10"/>
  <c r="N404" i="10"/>
  <c r="N403" i="10"/>
  <c r="N400" i="10"/>
  <c r="N396" i="10"/>
  <c r="N394" i="10"/>
  <c r="N399" i="10" s="1"/>
  <c r="N385" i="10"/>
  <c r="N383" i="10"/>
  <c r="N625" i="10"/>
  <c r="N624" i="10"/>
  <c r="M620" i="10"/>
  <c r="L620" i="10"/>
  <c r="K620" i="10"/>
  <c r="J620" i="10"/>
  <c r="I620" i="10"/>
  <c r="H620" i="10"/>
  <c r="G620" i="10"/>
  <c r="F620" i="10"/>
  <c r="E620" i="10"/>
  <c r="D620" i="10"/>
  <c r="C620" i="10"/>
  <c r="B620" i="10"/>
  <c r="T375" i="11"/>
  <c r="N395" i="10" l="1"/>
  <c r="N415" i="10"/>
  <c r="N384" i="10"/>
  <c r="N620" i="10"/>
  <c r="N627" i="10"/>
  <c r="T411" i="11"/>
  <c r="W411" i="11" s="1"/>
  <c r="T409" i="11"/>
  <c r="W409" i="11" s="1"/>
  <c r="T407" i="11"/>
  <c r="W407" i="11" s="1"/>
  <c r="T405" i="11"/>
  <c r="W405" i="11" s="1"/>
  <c r="T403" i="11"/>
  <c r="W403" i="11" s="1"/>
  <c r="T297" i="11"/>
  <c r="T296" i="11"/>
  <c r="T295" i="11"/>
  <c r="T294" i="11"/>
  <c r="T293" i="11"/>
  <c r="W293" i="11" s="1"/>
  <c r="T205" i="11" l="1"/>
  <c r="T194" i="11"/>
  <c r="T183" i="11"/>
  <c r="T172" i="11"/>
  <c r="T161" i="11"/>
  <c r="T150" i="11"/>
  <c r="T140" i="11"/>
  <c r="T139" i="11"/>
  <c r="T111" i="11"/>
  <c r="W111" i="11" s="1"/>
  <c r="T110" i="11"/>
  <c r="W110" i="11" s="1"/>
  <c r="T109" i="11"/>
  <c r="T108" i="11"/>
  <c r="T107" i="11"/>
  <c r="W107" i="11" s="1"/>
  <c r="T106" i="11"/>
  <c r="W106" i="11" s="1"/>
  <c r="T104" i="11"/>
  <c r="T103" i="11"/>
  <c r="W103" i="11" s="1"/>
  <c r="T105" i="11"/>
  <c r="W105" i="11" s="1"/>
  <c r="T349" i="11" l="1"/>
  <c r="T348" i="11"/>
  <c r="W348" i="11" s="1"/>
  <c r="T347" i="11"/>
  <c r="W347" i="11" s="1"/>
  <c r="T261" i="11" l="1"/>
  <c r="W261" i="11" s="1"/>
  <c r="P853" i="10"/>
  <c r="O853" i="10"/>
  <c r="N853" i="10"/>
  <c r="M853" i="10"/>
  <c r="L853" i="10"/>
  <c r="K853" i="10"/>
  <c r="J853" i="10"/>
  <c r="I853" i="10"/>
  <c r="H853" i="10"/>
  <c r="O68" i="10" l="1"/>
  <c r="N67" i="10"/>
  <c r="M67" i="10"/>
  <c r="L67" i="10"/>
  <c r="K67" i="10"/>
  <c r="J67" i="10"/>
  <c r="I67" i="10"/>
  <c r="H67" i="10"/>
  <c r="G67" i="10"/>
  <c r="F67" i="10"/>
  <c r="E67" i="10"/>
  <c r="D67" i="10"/>
  <c r="C67" i="10"/>
  <c r="O66" i="10"/>
  <c r="O65" i="10"/>
  <c r="O63" i="10"/>
  <c r="O62" i="10"/>
  <c r="N83" i="10"/>
  <c r="M83" i="10"/>
  <c r="L83" i="10"/>
  <c r="K83" i="10"/>
  <c r="J83" i="10"/>
  <c r="I83" i="10"/>
  <c r="H83" i="10"/>
  <c r="G83" i="10"/>
  <c r="F83" i="10"/>
  <c r="E83" i="10"/>
  <c r="D83" i="10"/>
  <c r="C83" i="10"/>
  <c r="O82" i="10"/>
  <c r="O81" i="10"/>
  <c r="O79" i="10"/>
  <c r="O78" i="10"/>
  <c r="N76" i="10"/>
  <c r="M76" i="10"/>
  <c r="L76" i="10"/>
  <c r="K76" i="10"/>
  <c r="J76" i="10"/>
  <c r="I76" i="10"/>
  <c r="H76" i="10"/>
  <c r="G76" i="10"/>
  <c r="F76" i="10"/>
  <c r="E76" i="10"/>
  <c r="D76" i="10"/>
  <c r="C76" i="10"/>
  <c r="O74" i="10"/>
  <c r="O76" i="10" l="1"/>
  <c r="O83" i="10"/>
  <c r="O67" i="10"/>
  <c r="BK41" i="5"/>
  <c r="BI37" i="5"/>
  <c r="BI38" i="5"/>
  <c r="BJ38" i="5"/>
  <c r="BJ37" i="5"/>
  <c r="BM38" i="5"/>
  <c r="BM37" i="5"/>
  <c r="BH38" i="5"/>
  <c r="BH37" i="5"/>
  <c r="BI36" i="5" l="1"/>
  <c r="BI34" i="5"/>
  <c r="BI35" i="5"/>
  <c r="BI33" i="5"/>
  <c r="BI32" i="5"/>
  <c r="BI31" i="5"/>
  <c r="BI30" i="5"/>
  <c r="T213" i="11" l="1"/>
  <c r="T212" i="11"/>
  <c r="T211" i="11"/>
  <c r="W211" i="11" s="1"/>
  <c r="T221" i="11" l="1"/>
  <c r="T220" i="11"/>
  <c r="N362" i="10"/>
  <c r="M362" i="10"/>
  <c r="L362" i="10"/>
  <c r="K362" i="10"/>
  <c r="J362" i="10"/>
  <c r="I362" i="10"/>
  <c r="H362" i="10"/>
  <c r="G362" i="10"/>
  <c r="F362" i="10"/>
  <c r="E362" i="10"/>
  <c r="D362" i="10"/>
  <c r="C362" i="10"/>
  <c r="O361" i="10"/>
  <c r="O362" i="10" s="1"/>
  <c r="P362" i="10" s="1"/>
  <c r="N357" i="10"/>
  <c r="M357" i="10"/>
  <c r="L357" i="10"/>
  <c r="K357" i="10"/>
  <c r="J357" i="10"/>
  <c r="I357" i="10"/>
  <c r="H357" i="10"/>
  <c r="G357" i="10"/>
  <c r="F357" i="10"/>
  <c r="E357" i="10"/>
  <c r="D357" i="10"/>
  <c r="C357" i="10"/>
  <c r="N356" i="10"/>
  <c r="M356" i="10"/>
  <c r="M358" i="10" s="1"/>
  <c r="L356" i="10"/>
  <c r="L358" i="10" s="1"/>
  <c r="K356" i="10"/>
  <c r="J356" i="10"/>
  <c r="J358" i="10" s="1"/>
  <c r="I356" i="10"/>
  <c r="H356" i="10"/>
  <c r="G356" i="10"/>
  <c r="F356" i="10"/>
  <c r="E356" i="10"/>
  <c r="E358" i="10" s="1"/>
  <c r="D356" i="10"/>
  <c r="D358" i="10" s="1"/>
  <c r="C356" i="10"/>
  <c r="O355" i="10"/>
  <c r="P355" i="10" s="1"/>
  <c r="N353" i="10"/>
  <c r="M353" i="10"/>
  <c r="L353" i="10"/>
  <c r="K353" i="10"/>
  <c r="J353" i="10"/>
  <c r="I353" i="10"/>
  <c r="H353" i="10"/>
  <c r="G353" i="10"/>
  <c r="F353" i="10"/>
  <c r="E353" i="10"/>
  <c r="D353" i="10"/>
  <c r="C353" i="10"/>
  <c r="O352" i="10"/>
  <c r="P352" i="10" s="1"/>
  <c r="N347" i="10"/>
  <c r="M347" i="10"/>
  <c r="L347" i="10"/>
  <c r="K347" i="10"/>
  <c r="J347" i="10"/>
  <c r="I347" i="10"/>
  <c r="H347" i="10"/>
  <c r="G347" i="10"/>
  <c r="F347" i="10"/>
  <c r="E347" i="10"/>
  <c r="D347" i="10"/>
  <c r="C347" i="10"/>
  <c r="N346" i="10"/>
  <c r="M346" i="10"/>
  <c r="L346" i="10"/>
  <c r="K346" i="10"/>
  <c r="K348" i="10" s="1"/>
  <c r="J346" i="10"/>
  <c r="J348" i="10" s="1"/>
  <c r="I346" i="10"/>
  <c r="H346" i="10"/>
  <c r="H348" i="10" s="1"/>
  <c r="G346" i="10"/>
  <c r="F346" i="10"/>
  <c r="E346" i="10"/>
  <c r="D346" i="10"/>
  <c r="C346" i="10"/>
  <c r="C348" i="10" s="1"/>
  <c r="O345" i="10"/>
  <c r="P345" i="10" s="1"/>
  <c r="N343" i="10"/>
  <c r="M343" i="10"/>
  <c r="L343" i="10"/>
  <c r="K343" i="10"/>
  <c r="J343" i="10"/>
  <c r="I343" i="10"/>
  <c r="H343" i="10"/>
  <c r="G343" i="10"/>
  <c r="F343" i="10"/>
  <c r="E343" i="10"/>
  <c r="D343" i="10"/>
  <c r="C343" i="10"/>
  <c r="O342" i="10"/>
  <c r="P342" i="10" s="1"/>
  <c r="I348" i="10" l="1"/>
  <c r="C358" i="10"/>
  <c r="K358" i="10"/>
  <c r="D348" i="10"/>
  <c r="L348" i="10"/>
  <c r="F358" i="10"/>
  <c r="N358" i="10"/>
  <c r="G358" i="10"/>
  <c r="M348" i="10"/>
  <c r="F348" i="10"/>
  <c r="N348" i="10"/>
  <c r="H358" i="10"/>
  <c r="E348" i="10"/>
  <c r="G348" i="10"/>
  <c r="I358" i="10"/>
  <c r="O347" i="10"/>
  <c r="P347" i="10" s="1"/>
  <c r="O357" i="10"/>
  <c r="P357" i="10" s="1"/>
  <c r="O343" i="10"/>
  <c r="P343" i="10" s="1"/>
  <c r="O353" i="10"/>
  <c r="P353" i="10" s="1"/>
  <c r="O346" i="10"/>
  <c r="O356" i="10"/>
  <c r="O358" i="10" l="1"/>
  <c r="P358" i="10" s="1"/>
  <c r="P356" i="10"/>
  <c r="O348" i="10"/>
  <c r="P348" i="10" s="1"/>
  <c r="P346" i="10"/>
  <c r="BK42" i="5" l="1"/>
  <c r="T315" i="11" l="1"/>
  <c r="T314" i="11"/>
  <c r="T313" i="11"/>
  <c r="W313" i="11" s="1"/>
  <c r="T312" i="11"/>
  <c r="T311" i="11"/>
  <c r="W311" i="11" s="1"/>
  <c r="O433" i="10"/>
  <c r="P428" i="10"/>
  <c r="T489" i="11" l="1"/>
  <c r="W489" i="11" s="1"/>
  <c r="T488" i="11"/>
  <c r="W488" i="11" s="1"/>
  <c r="T487" i="11"/>
  <c r="W487" i="11" s="1"/>
  <c r="T486" i="11"/>
  <c r="W486" i="11" s="1"/>
  <c r="T485" i="11"/>
  <c r="W485" i="11" s="1"/>
  <c r="T484" i="11"/>
  <c r="W484" i="11" s="1"/>
  <c r="T483" i="11"/>
  <c r="T478" i="11"/>
  <c r="W478" i="11" s="1"/>
  <c r="T477" i="11"/>
  <c r="W477" i="11" s="1"/>
  <c r="T476" i="11"/>
  <c r="W476" i="11" s="1"/>
  <c r="T475" i="11"/>
  <c r="W475" i="11" s="1"/>
  <c r="T474" i="11"/>
  <c r="W474" i="11" s="1"/>
  <c r="T129" i="11"/>
  <c r="W129" i="11" s="1"/>
  <c r="T128" i="11"/>
  <c r="W128" i="11" s="1"/>
  <c r="T127" i="11"/>
  <c r="W127" i="11" s="1"/>
  <c r="T126" i="11"/>
  <c r="W126" i="11" s="1"/>
  <c r="T125" i="11"/>
  <c r="W125" i="11" s="1"/>
  <c r="T469" i="11"/>
  <c r="W469" i="11" s="1"/>
  <c r="T468" i="11"/>
  <c r="W468" i="11" s="1"/>
  <c r="T467" i="11"/>
  <c r="W467" i="11" s="1"/>
  <c r="W466" i="11"/>
  <c r="T465" i="11"/>
  <c r="W465" i="11" s="1"/>
  <c r="T460" i="11"/>
  <c r="W460" i="11" s="1"/>
  <c r="T459" i="11"/>
  <c r="W459" i="11" s="1"/>
  <c r="T458" i="11"/>
  <c r="W458" i="11" s="1"/>
  <c r="T457" i="11"/>
  <c r="W457" i="11" s="1"/>
  <c r="T456" i="11"/>
  <c r="W456" i="11" s="1"/>
  <c r="T451" i="11"/>
  <c r="W451" i="11" s="1"/>
  <c r="T450" i="11"/>
  <c r="W450" i="11" s="1"/>
  <c r="T449" i="11"/>
  <c r="W449" i="11" s="1"/>
  <c r="T448" i="11"/>
  <c r="W448" i="11" s="1"/>
  <c r="T447" i="11"/>
  <c r="W447" i="11" s="1"/>
  <c r="T442" i="11"/>
  <c r="W442" i="11" s="1"/>
  <c r="T441" i="11"/>
  <c r="W441" i="11" s="1"/>
  <c r="T440" i="11"/>
  <c r="W440" i="11" s="1"/>
  <c r="T439" i="11"/>
  <c r="W439" i="11" s="1"/>
  <c r="T438" i="11"/>
  <c r="W438" i="11" s="1"/>
  <c r="T433" i="11"/>
  <c r="W433" i="11" s="1"/>
  <c r="T432" i="11"/>
  <c r="W432" i="11" s="1"/>
  <c r="T431" i="11"/>
  <c r="W431" i="11" s="1"/>
  <c r="T430" i="11"/>
  <c r="W430" i="11" s="1"/>
  <c r="T429" i="11"/>
  <c r="W429" i="11" s="1"/>
  <c r="T428" i="11"/>
  <c r="W428" i="11" s="1"/>
  <c r="T427" i="11"/>
  <c r="W427" i="11" s="1"/>
  <c r="T422" i="11"/>
  <c r="W422" i="11" s="1"/>
  <c r="T421" i="11"/>
  <c r="W421" i="11" s="1"/>
  <c r="T420" i="11"/>
  <c r="W420" i="11" s="1"/>
  <c r="T419" i="11"/>
  <c r="W419" i="11" s="1"/>
  <c r="T418" i="11"/>
  <c r="W418" i="11" s="1"/>
  <c r="T417" i="11"/>
  <c r="W417" i="11" s="1"/>
  <c r="T416" i="11"/>
  <c r="W416" i="11" s="1"/>
  <c r="T410" i="11"/>
  <c r="W410" i="11" s="1"/>
  <c r="T408" i="11"/>
  <c r="W408" i="11" s="1"/>
  <c r="T406" i="11"/>
  <c r="W406" i="11" s="1"/>
  <c r="Y407" i="11" s="1"/>
  <c r="T404" i="11"/>
  <c r="W404" i="11" s="1"/>
  <c r="T402" i="11"/>
  <c r="W402" i="11" s="1"/>
  <c r="T397" i="11"/>
  <c r="W397" i="11" s="1"/>
  <c r="T396" i="11"/>
  <c r="W396" i="11" s="1"/>
  <c r="T395" i="11"/>
  <c r="W395" i="11" s="1"/>
  <c r="T394" i="11"/>
  <c r="W394" i="11" s="1"/>
  <c r="T393" i="11"/>
  <c r="W393" i="11" s="1"/>
  <c r="T388" i="11"/>
  <c r="W388" i="11" s="1"/>
  <c r="T387" i="11"/>
  <c r="W387" i="11" s="1"/>
  <c r="T386" i="11"/>
  <c r="W386" i="11" s="1"/>
  <c r="T385" i="11"/>
  <c r="W385" i="11" s="1"/>
  <c r="T384" i="11"/>
  <c r="T379" i="11"/>
  <c r="W379" i="11" s="1"/>
  <c r="W375" i="11"/>
  <c r="T378" i="11"/>
  <c r="W378" i="11" s="1"/>
  <c r="T377" i="11"/>
  <c r="W377" i="11" s="1"/>
  <c r="T376" i="11"/>
  <c r="W376" i="11" s="1"/>
  <c r="T374" i="11"/>
  <c r="W374" i="11" s="1"/>
  <c r="T373" i="11"/>
  <c r="W373" i="11" s="1"/>
  <c r="W366" i="11"/>
  <c r="W365" i="11"/>
  <c r="T356" i="11"/>
  <c r="W356" i="11" s="1"/>
  <c r="T355" i="11"/>
  <c r="W355" i="11" s="1"/>
  <c r="T354" i="11"/>
  <c r="W354" i="11" s="1"/>
  <c r="W349" i="11"/>
  <c r="T342" i="11"/>
  <c r="W342" i="11" s="1"/>
  <c r="T341" i="11"/>
  <c r="W341" i="11" s="1"/>
  <c r="T340" i="11"/>
  <c r="W340" i="11" s="1"/>
  <c r="T339" i="11"/>
  <c r="W339" i="11" s="1"/>
  <c r="T338" i="11"/>
  <c r="W338" i="11" s="1"/>
  <c r="T266" i="11"/>
  <c r="W266" i="11" s="1"/>
  <c r="T333" i="11"/>
  <c r="W333" i="11" s="1"/>
  <c r="T332" i="11"/>
  <c r="W332" i="11" s="1"/>
  <c r="T331" i="11"/>
  <c r="W331" i="11" s="1"/>
  <c r="T330" i="11"/>
  <c r="W330" i="11" s="1"/>
  <c r="T329" i="11"/>
  <c r="W329" i="11" s="1"/>
  <c r="T324" i="11"/>
  <c r="W324" i="11" s="1"/>
  <c r="T323" i="11"/>
  <c r="W323" i="11" s="1"/>
  <c r="T322" i="11"/>
  <c r="W322" i="11" s="1"/>
  <c r="T321" i="11"/>
  <c r="W321" i="11" s="1"/>
  <c r="T320" i="11"/>
  <c r="W320" i="11" s="1"/>
  <c r="W315" i="11"/>
  <c r="W314" i="11"/>
  <c r="W312" i="11"/>
  <c r="T306" i="11"/>
  <c r="W306" i="11" s="1"/>
  <c r="T305" i="11"/>
  <c r="W305" i="11" s="1"/>
  <c r="T304" i="11"/>
  <c r="W304" i="11" s="1"/>
  <c r="T303" i="11"/>
  <c r="W303" i="11" s="1"/>
  <c r="T302" i="11"/>
  <c r="W302" i="11" s="1"/>
  <c r="W297" i="11"/>
  <c r="W296" i="11"/>
  <c r="W295" i="11"/>
  <c r="W294" i="11"/>
  <c r="T288" i="11"/>
  <c r="W288" i="11" s="1"/>
  <c r="T287" i="11"/>
  <c r="W287" i="11" s="1"/>
  <c r="T286" i="11"/>
  <c r="W286" i="11" s="1"/>
  <c r="T285" i="11"/>
  <c r="W285" i="11" s="1"/>
  <c r="T284" i="11"/>
  <c r="W284" i="11" s="1"/>
  <c r="T283" i="11"/>
  <c r="W283" i="11" s="1"/>
  <c r="T282" i="11"/>
  <c r="W282" i="11" s="1"/>
  <c r="T277" i="11"/>
  <c r="T276" i="11"/>
  <c r="W276" i="11" s="1"/>
  <c r="T275" i="11"/>
  <c r="W275" i="11" s="1"/>
  <c r="T274" i="11"/>
  <c r="W274" i="11" s="1"/>
  <c r="T273" i="11"/>
  <c r="W273" i="11" s="1"/>
  <c r="T272" i="11"/>
  <c r="W272" i="11" s="1"/>
  <c r="T271" i="11"/>
  <c r="W271" i="11" s="1"/>
  <c r="T265" i="11"/>
  <c r="T264" i="11"/>
  <c r="W264" i="11" s="1"/>
  <c r="W267" i="11" s="1"/>
  <c r="T263" i="11"/>
  <c r="W263" i="11" s="1"/>
  <c r="T262" i="11"/>
  <c r="W262" i="11" s="1"/>
  <c r="T257" i="11"/>
  <c r="W257" i="11" s="1"/>
  <c r="T256" i="11"/>
  <c r="W256" i="11" s="1"/>
  <c r="T255" i="11"/>
  <c r="W255" i="11" s="1"/>
  <c r="W249" i="11"/>
  <c r="W248" i="11"/>
  <c r="W247" i="11"/>
  <c r="W246" i="11"/>
  <c r="Y246" i="11" s="1"/>
  <c r="T240" i="11"/>
  <c r="T239" i="11"/>
  <c r="W239" i="11" s="1"/>
  <c r="T238" i="11"/>
  <c r="W238" i="11" s="1"/>
  <c r="T234" i="11"/>
  <c r="W234" i="11" s="1"/>
  <c r="T233" i="11"/>
  <c r="W233" i="11" s="1"/>
  <c r="T232" i="11"/>
  <c r="W232" i="11" s="1"/>
  <c r="T228" i="11"/>
  <c r="W228" i="11" s="1"/>
  <c r="T227" i="11"/>
  <c r="W227" i="11" s="1"/>
  <c r="T226" i="11"/>
  <c r="W226" i="11" s="1"/>
  <c r="W221" i="11"/>
  <c r="W220" i="11"/>
  <c r="T219" i="11"/>
  <c r="W219" i="11" s="1"/>
  <c r="T218" i="11"/>
  <c r="W218" i="11" s="1"/>
  <c r="T217" i="11"/>
  <c r="W217" i="11" s="1"/>
  <c r="W213" i="11"/>
  <c r="W212" i="11"/>
  <c r="T206" i="11"/>
  <c r="W206" i="11" s="1"/>
  <c r="W205" i="11"/>
  <c r="T204" i="11"/>
  <c r="W204" i="11" s="1"/>
  <c r="T203" i="11"/>
  <c r="W203" i="11" s="1"/>
  <c r="T202" i="11"/>
  <c r="W202" i="11" s="1"/>
  <c r="T201" i="11"/>
  <c r="W201" i="11" s="1"/>
  <c r="T200" i="11"/>
  <c r="T195" i="11"/>
  <c r="W195" i="11" s="1"/>
  <c r="W194" i="11"/>
  <c r="T193" i="11"/>
  <c r="W193" i="11" s="1"/>
  <c r="T192" i="11"/>
  <c r="W192" i="11" s="1"/>
  <c r="T191" i="11"/>
  <c r="W191" i="11" s="1"/>
  <c r="T190" i="11"/>
  <c r="W190" i="11" s="1"/>
  <c r="T189" i="11"/>
  <c r="T184" i="11"/>
  <c r="W184" i="11" s="1"/>
  <c r="W183" i="11"/>
  <c r="T182" i="11"/>
  <c r="W182" i="11" s="1"/>
  <c r="T181" i="11"/>
  <c r="W181" i="11" s="1"/>
  <c r="T180" i="11"/>
  <c r="W180" i="11" s="1"/>
  <c r="T179" i="11"/>
  <c r="W179" i="11" s="1"/>
  <c r="T178" i="11"/>
  <c r="T173" i="11"/>
  <c r="W173" i="11" s="1"/>
  <c r="W172" i="11"/>
  <c r="T171" i="11"/>
  <c r="W171" i="11" s="1"/>
  <c r="T170" i="11"/>
  <c r="W170" i="11" s="1"/>
  <c r="T169" i="11"/>
  <c r="W169" i="11" s="1"/>
  <c r="T168" i="11"/>
  <c r="W168" i="11" s="1"/>
  <c r="T167" i="11"/>
  <c r="T162" i="11"/>
  <c r="W162" i="11" s="1"/>
  <c r="W161" i="11"/>
  <c r="T160" i="11"/>
  <c r="W160" i="11" s="1"/>
  <c r="T159" i="11"/>
  <c r="W159" i="11" s="1"/>
  <c r="T158" i="11"/>
  <c r="W158" i="11" s="1"/>
  <c r="T157" i="11"/>
  <c r="W157" i="11" s="1"/>
  <c r="T156" i="11"/>
  <c r="T151" i="11"/>
  <c r="W151" i="11" s="1"/>
  <c r="W150" i="11"/>
  <c r="T149" i="11"/>
  <c r="W149" i="11" s="1"/>
  <c r="T148" i="11"/>
  <c r="W148" i="11" s="1"/>
  <c r="T147" i="11"/>
  <c r="W147" i="11" s="1"/>
  <c r="T146" i="11"/>
  <c r="W146" i="11" s="1"/>
  <c r="T145" i="11"/>
  <c r="W140" i="11"/>
  <c r="W139" i="11"/>
  <c r="T138" i="11"/>
  <c r="W138" i="11" s="1"/>
  <c r="T137" i="11"/>
  <c r="W137" i="11" s="1"/>
  <c r="T136" i="11"/>
  <c r="W136" i="11" s="1"/>
  <c r="T135" i="11"/>
  <c r="W135" i="11" s="1"/>
  <c r="T134" i="11"/>
  <c r="W134" i="11" s="1"/>
  <c r="T120" i="11"/>
  <c r="W120" i="11" s="1"/>
  <c r="T119" i="11"/>
  <c r="W119" i="11" s="1"/>
  <c r="T118" i="11"/>
  <c r="T117" i="11"/>
  <c r="W117" i="11" s="1"/>
  <c r="T116" i="11"/>
  <c r="W116" i="11" s="1"/>
  <c r="W109" i="11"/>
  <c r="W108" i="11"/>
  <c r="W104" i="11"/>
  <c r="Y106" i="11" s="1"/>
  <c r="T98" i="11"/>
  <c r="W98" i="11" s="1"/>
  <c r="T97" i="11"/>
  <c r="W97" i="11" s="1"/>
  <c r="T96" i="11"/>
  <c r="W96" i="11" s="1"/>
  <c r="T95" i="11"/>
  <c r="W95" i="11" s="1"/>
  <c r="T94" i="11"/>
  <c r="W94" i="11" s="1"/>
  <c r="T89" i="11"/>
  <c r="T88" i="11"/>
  <c r="W88" i="11" s="1"/>
  <c r="T87" i="11"/>
  <c r="W87" i="11" s="1"/>
  <c r="T82" i="11"/>
  <c r="W82" i="11" s="1"/>
  <c r="T81" i="11"/>
  <c r="W81" i="11" s="1"/>
  <c r="T80" i="11"/>
  <c r="W80" i="11" s="1"/>
  <c r="T79" i="11"/>
  <c r="W79" i="11" s="1"/>
  <c r="T78" i="11"/>
  <c r="W78" i="11" s="1"/>
  <c r="T77" i="11"/>
  <c r="W77" i="11" s="1"/>
  <c r="T76" i="11"/>
  <c r="W76" i="11" s="1"/>
  <c r="T71" i="11"/>
  <c r="W71" i="11" s="1"/>
  <c r="T70" i="11"/>
  <c r="W70" i="11" s="1"/>
  <c r="T69" i="11"/>
  <c r="W69" i="11" s="1"/>
  <c r="T68" i="11"/>
  <c r="W68" i="11" s="1"/>
  <c r="T67" i="11"/>
  <c r="W67" i="11" s="1"/>
  <c r="W60" i="11"/>
  <c r="T59" i="11"/>
  <c r="W59" i="11" s="1"/>
  <c r="T58" i="11"/>
  <c r="W58" i="11" s="1"/>
  <c r="T56" i="11"/>
  <c r="W56" i="11" s="1"/>
  <c r="T55" i="11"/>
  <c r="W55" i="11" s="1"/>
  <c r="T54" i="11"/>
  <c r="W54" i="11" s="1"/>
  <c r="T49" i="11"/>
  <c r="W49" i="11" s="1"/>
  <c r="T48" i="11"/>
  <c r="W48" i="11" s="1"/>
  <c r="T47" i="11"/>
  <c r="W47" i="11" s="1"/>
  <c r="T46" i="11"/>
  <c r="W46" i="11" s="1"/>
  <c r="T45" i="11"/>
  <c r="W45" i="11" s="1"/>
  <c r="T44" i="11"/>
  <c r="T43" i="11"/>
  <c r="T38" i="11"/>
  <c r="W38" i="11" s="1"/>
  <c r="T37" i="11"/>
  <c r="W37" i="11" s="1"/>
  <c r="T36" i="11"/>
  <c r="W36" i="11" s="1"/>
  <c r="T34" i="11"/>
  <c r="W34" i="11" s="1"/>
  <c r="T33" i="11"/>
  <c r="T32" i="11"/>
  <c r="W32" i="11" s="1"/>
  <c r="T27" i="11"/>
  <c r="W27" i="11" s="1"/>
  <c r="T26" i="11"/>
  <c r="W26" i="11" s="1"/>
  <c r="T25" i="11"/>
  <c r="W25" i="11" s="1"/>
  <c r="T24" i="11"/>
  <c r="W24" i="11" s="1"/>
  <c r="T23" i="11"/>
  <c r="W23" i="11" s="1"/>
  <c r="T18" i="11"/>
  <c r="W18" i="11" s="1"/>
  <c r="T17" i="11"/>
  <c r="W17" i="11" s="1"/>
  <c r="T16" i="11"/>
  <c r="W16" i="11" s="1"/>
  <c r="T15" i="11"/>
  <c r="W15" i="11" s="1"/>
  <c r="T14" i="11"/>
  <c r="W14" i="11" s="1"/>
  <c r="T8" i="11"/>
  <c r="W8" i="11" s="1"/>
  <c r="T7" i="11"/>
  <c r="W7" i="11" s="1"/>
  <c r="T6" i="11"/>
  <c r="W6" i="11" s="1"/>
  <c r="T5" i="11"/>
  <c r="W5" i="11" s="1"/>
  <c r="T9" i="11"/>
  <c r="W9" i="11" s="1"/>
  <c r="T35" i="11"/>
  <c r="W35" i="11" s="1"/>
  <c r="Y330" i="11" l="1"/>
  <c r="Y95" i="11"/>
  <c r="W99" i="11"/>
  <c r="Y375" i="11"/>
  <c r="W479" i="11"/>
  <c r="Y57" i="11"/>
  <c r="Y68" i="11"/>
  <c r="W72" i="11"/>
  <c r="Y321" i="11"/>
  <c r="W380" i="11"/>
  <c r="W398" i="11"/>
  <c r="Y405" i="11"/>
  <c r="Y429" i="11"/>
  <c r="Y448" i="11"/>
  <c r="Y466" i="11"/>
  <c r="W118" i="11"/>
  <c r="W63" i="11"/>
  <c r="W334" i="11"/>
  <c r="Y394" i="11"/>
  <c r="Y418" i="11"/>
  <c r="Y117" i="11"/>
  <c r="W222" i="11"/>
  <c r="Y303" i="11"/>
  <c r="AB34" i="5" s="1"/>
  <c r="Y457" i="11"/>
  <c r="W278" i="11"/>
  <c r="W298" i="11"/>
  <c r="Y439" i="11"/>
  <c r="W145" i="11"/>
  <c r="Y147" i="11" s="1"/>
  <c r="W167" i="11"/>
  <c r="Y169" i="11" s="1"/>
  <c r="W189" i="11"/>
  <c r="Y191" i="11" s="1"/>
  <c r="Y339" i="11"/>
  <c r="W369" i="11"/>
  <c r="W43" i="11"/>
  <c r="Y45" i="11" s="1"/>
  <c r="Y78" i="11"/>
  <c r="W156" i="11"/>
  <c r="Y158" i="11" s="1"/>
  <c r="W178" i="11"/>
  <c r="Y180" i="11" s="1"/>
  <c r="W200" i="11"/>
  <c r="Y202" i="11" s="1"/>
  <c r="W251" i="11"/>
  <c r="Y284" i="11"/>
  <c r="W384" i="11"/>
  <c r="Y385" i="11" s="1"/>
  <c r="W434" i="11"/>
  <c r="W483" i="11"/>
  <c r="Y485" i="11" s="1"/>
  <c r="W461" i="11"/>
  <c r="W443" i="11"/>
  <c r="W130" i="11"/>
  <c r="W121" i="11"/>
  <c r="Y136" i="11"/>
  <c r="Y294" i="11"/>
  <c r="W412" i="11"/>
  <c r="W389" i="11"/>
  <c r="W196" i="11"/>
  <c r="W174" i="11"/>
  <c r="W141" i="11"/>
  <c r="W112" i="11"/>
  <c r="Y24" i="11"/>
  <c r="Y218" i="11"/>
  <c r="W423" i="11"/>
  <c r="W452" i="11"/>
  <c r="Y15" i="11"/>
  <c r="AB40" i="5"/>
  <c r="W28" i="11"/>
  <c r="Y6" i="11"/>
  <c r="W325" i="11"/>
  <c r="W350" i="11"/>
  <c r="Y312" i="11"/>
  <c r="W207" i="11"/>
  <c r="W185" i="11"/>
  <c r="W10" i="11"/>
  <c r="W490" i="11"/>
  <c r="W307" i="11"/>
  <c r="W470" i="11"/>
  <c r="W343" i="11"/>
  <c r="W316" i="11"/>
  <c r="W289" i="11"/>
  <c r="W19" i="11"/>
  <c r="W152" i="11"/>
  <c r="W39" i="11"/>
  <c r="W163" i="11"/>
  <c r="W240" i="11"/>
  <c r="W89" i="11"/>
  <c r="W83" i="11"/>
  <c r="W50" i="11"/>
  <c r="AY116" i="5"/>
  <c r="AX116" i="5"/>
  <c r="AV116" i="5"/>
  <c r="AU116" i="5"/>
  <c r="AZ116" i="5"/>
  <c r="BA116" i="5"/>
  <c r="AL116" i="5"/>
  <c r="AM116" i="5"/>
  <c r="AN116" i="5"/>
  <c r="AJ116" i="5"/>
  <c r="W116" i="5"/>
  <c r="X116" i="5"/>
  <c r="Y116" i="5"/>
  <c r="U116" i="5"/>
  <c r="AB9" i="5" l="1"/>
  <c r="AP35" i="5"/>
  <c r="AP9" i="5"/>
  <c r="AB15" i="5"/>
  <c r="AP15" i="5"/>
  <c r="AP34" i="5"/>
  <c r="AP40" i="5"/>
  <c r="AB36" i="5"/>
  <c r="AP36" i="5"/>
  <c r="AJ96" i="5" l="1"/>
  <c r="AL101" i="5" l="1"/>
  <c r="AM101" i="5"/>
  <c r="AN101" i="5"/>
  <c r="BN101" i="5" s="1"/>
  <c r="AJ101" i="5"/>
  <c r="W101" i="5"/>
  <c r="X101" i="5"/>
  <c r="Y101" i="5"/>
  <c r="U101" i="5"/>
  <c r="U9" i="5" l="1"/>
  <c r="W9" i="5"/>
  <c r="AJ9" i="5"/>
  <c r="AL9" i="5"/>
  <c r="AV9" i="5"/>
  <c r="AY9" i="5"/>
  <c r="AM9" i="5"/>
  <c r="AN9" i="5"/>
  <c r="X9" i="5"/>
  <c r="Y9" i="5"/>
  <c r="AZ9" i="5"/>
  <c r="BA9" i="5"/>
  <c r="BI89" i="5" l="1"/>
  <c r="BA89" i="5"/>
  <c r="AZ89" i="5"/>
  <c r="AY89" i="5"/>
  <c r="AV89" i="5"/>
  <c r="AY103" i="5" l="1"/>
  <c r="AZ103" i="5"/>
  <c r="BA103" i="5"/>
  <c r="AV103" i="5"/>
  <c r="AL103" i="5"/>
  <c r="AM103" i="5"/>
  <c r="AN103" i="5"/>
  <c r="BN103" i="5" s="1"/>
  <c r="AJ103" i="5"/>
  <c r="W103" i="5"/>
  <c r="X103" i="5"/>
  <c r="Y103" i="5"/>
  <c r="U103" i="5"/>
  <c r="AX103" i="5" l="1"/>
  <c r="AU103" i="5"/>
  <c r="BH87" i="5"/>
  <c r="AL91" i="5" l="1"/>
  <c r="AM91" i="5"/>
  <c r="AN91" i="5"/>
  <c r="BN91" i="5" s="1"/>
  <c r="AJ91" i="5"/>
  <c r="W91" i="5"/>
  <c r="X91" i="5"/>
  <c r="Y91" i="5"/>
  <c r="U91" i="5"/>
  <c r="AX91" i="5"/>
  <c r="AY91" i="5"/>
  <c r="AZ91" i="5"/>
  <c r="BA91" i="5"/>
  <c r="AU91" i="5"/>
  <c r="AV91" i="5"/>
  <c r="BI96" i="5" l="1"/>
  <c r="BI95" i="5"/>
  <c r="BM96" i="5" l="1"/>
  <c r="BM99" i="5"/>
  <c r="BM95" i="5"/>
  <c r="BL96" i="5"/>
  <c r="BL99" i="5"/>
  <c r="BL95" i="5"/>
  <c r="BJ96" i="5"/>
  <c r="BJ99" i="5"/>
  <c r="BJ95" i="5"/>
  <c r="AU96" i="5" l="1"/>
  <c r="AU99" i="5"/>
  <c r="AY96" i="5"/>
  <c r="AX99" i="5"/>
  <c r="AY95" i="5"/>
  <c r="AV96" i="5"/>
  <c r="AV99" i="5"/>
  <c r="AV95" i="5"/>
  <c r="AL96" i="5"/>
  <c r="AL99" i="5"/>
  <c r="AL95" i="5"/>
  <c r="AM96" i="5"/>
  <c r="AN99" i="5"/>
  <c r="BN99" i="5" s="1"/>
  <c r="AM95" i="5"/>
  <c r="W96" i="5"/>
  <c r="W99" i="5"/>
  <c r="W95" i="5"/>
  <c r="X96" i="5"/>
  <c r="X99" i="5"/>
  <c r="X95" i="5"/>
  <c r="AU95" i="5"/>
  <c r="BH96" i="5"/>
  <c r="BH99" i="5"/>
  <c r="BA95" i="5" l="1"/>
  <c r="U95" i="5"/>
  <c r="U96" i="5"/>
  <c r="Y95" i="5"/>
  <c r="Y99" i="5"/>
  <c r="Y96" i="5"/>
  <c r="AJ95" i="5"/>
  <c r="AM99" i="5"/>
  <c r="AN95" i="5"/>
  <c r="BN95" i="5" s="1"/>
  <c r="AN96" i="5"/>
  <c r="BN96" i="5" s="1"/>
  <c r="AX95" i="5"/>
  <c r="AX96" i="5"/>
  <c r="AY99" i="5"/>
  <c r="AZ95" i="5"/>
  <c r="AZ96" i="5"/>
  <c r="BA99" i="5"/>
  <c r="U99" i="5"/>
  <c r="AJ99" i="5"/>
  <c r="AZ99" i="5"/>
  <c r="BA96" i="5"/>
  <c r="AJ113" i="5"/>
  <c r="U113" i="5"/>
  <c r="AN113" i="5" l="1"/>
  <c r="BN113" i="5" s="1"/>
  <c r="AM113" i="5"/>
  <c r="AL113" i="5"/>
  <c r="BH95" i="5" l="1"/>
  <c r="W171" i="6"/>
  <c r="BN116" i="5" l="1"/>
  <c r="BH116" i="5"/>
  <c r="BH103" i="5" l="1"/>
  <c r="AL39" i="5" l="1"/>
  <c r="AM39" i="5"/>
  <c r="AN39" i="5"/>
  <c r="BN39" i="5" s="1"/>
  <c r="AJ39" i="5"/>
  <c r="W39" i="5"/>
  <c r="X39" i="5"/>
  <c r="Y39" i="5"/>
  <c r="U39" i="5"/>
  <c r="AY39" i="5"/>
  <c r="AZ39" i="5"/>
  <c r="BA39" i="5"/>
  <c r="AV39" i="5"/>
  <c r="BH39" i="5"/>
  <c r="BA80" i="5"/>
  <c r="AZ80" i="5"/>
  <c r="AY80" i="5"/>
  <c r="AV80" i="5"/>
  <c r="AL80" i="5" l="1"/>
  <c r="AM80" i="5"/>
  <c r="AN80" i="5"/>
  <c r="AJ80" i="5"/>
  <c r="W80" i="5"/>
  <c r="X80" i="5"/>
  <c r="Y80" i="5"/>
  <c r="U80" i="5"/>
  <c r="BQ117" i="5" l="1"/>
  <c r="BQ77" i="5" l="1"/>
  <c r="AV92" i="5" l="1"/>
  <c r="BA92" i="5"/>
  <c r="AZ92" i="5"/>
  <c r="AY92" i="5"/>
  <c r="AJ92" i="5"/>
  <c r="AN92" i="5"/>
  <c r="BN92" i="5" s="1"/>
  <c r="AM92" i="5"/>
  <c r="AL92" i="5"/>
  <c r="Y92" i="5"/>
  <c r="X92" i="5"/>
  <c r="W92" i="5"/>
  <c r="U92" i="5"/>
  <c r="BI7" i="5" l="1"/>
  <c r="BH7" i="5"/>
  <c r="AY7" i="5"/>
  <c r="AV7" i="5"/>
  <c r="AL7" i="5"/>
  <c r="AJ7" i="5"/>
  <c r="W7" i="5"/>
  <c r="U7" i="5"/>
  <c r="BA7" i="5"/>
  <c r="AZ7" i="5"/>
  <c r="AN7" i="5"/>
  <c r="AM7" i="5"/>
  <c r="Y7" i="5"/>
  <c r="X7" i="5"/>
  <c r="BN7" i="5" l="1"/>
  <c r="BA82" i="5" l="1"/>
  <c r="BA97" i="5" l="1"/>
  <c r="AZ97" i="5"/>
  <c r="AY97" i="5"/>
  <c r="AV97" i="5"/>
  <c r="AL97" i="5"/>
  <c r="AM97" i="5"/>
  <c r="AN97" i="5"/>
  <c r="BN97" i="5" s="1"/>
  <c r="AJ97" i="5"/>
  <c r="W97" i="5"/>
  <c r="X97" i="5"/>
  <c r="Y97" i="5"/>
  <c r="U97" i="5"/>
  <c r="BH117" i="5" l="1"/>
  <c r="AX117" i="5"/>
  <c r="AY117" i="5"/>
  <c r="AZ117" i="5"/>
  <c r="BA117" i="5"/>
  <c r="AU117" i="5"/>
  <c r="AV117" i="5"/>
  <c r="AL117" i="5"/>
  <c r="AM117" i="5"/>
  <c r="AN117" i="5"/>
  <c r="BN117" i="5" s="1"/>
  <c r="AJ117" i="5"/>
  <c r="W117" i="5"/>
  <c r="X117" i="5"/>
  <c r="Y117" i="5"/>
  <c r="U117" i="5"/>
  <c r="BH91" i="5" l="1"/>
  <c r="BH80" i="5" l="1"/>
  <c r="BN80" i="5" l="1"/>
  <c r="BA85" i="5" l="1"/>
  <c r="AZ85" i="5"/>
  <c r="AY85" i="5"/>
  <c r="AV85" i="5"/>
  <c r="AN89" i="5" l="1"/>
  <c r="AM89" i="5"/>
  <c r="AJ89" i="5"/>
  <c r="Y89" i="5"/>
  <c r="X89" i="5"/>
  <c r="U89" i="5"/>
  <c r="W89" i="5"/>
  <c r="AL89" i="5"/>
  <c r="BN89" i="5" l="1"/>
  <c r="BI68" i="5"/>
  <c r="BH113" i="5" l="1"/>
  <c r="Q165" i="6" l="1"/>
  <c r="T165" i="6" s="1"/>
  <c r="Q164" i="6"/>
  <c r="T164" i="6" s="1"/>
  <c r="Q163" i="6"/>
  <c r="T163" i="6" s="1"/>
  <c r="B159" i="6"/>
  <c r="B158" i="6"/>
  <c r="B157" i="6"/>
  <c r="Q157" i="6" s="1"/>
  <c r="T157" i="6" s="1"/>
  <c r="Q159" i="6"/>
  <c r="T159" i="6" s="1"/>
  <c r="Q158" i="6"/>
  <c r="T158" i="6" s="1"/>
  <c r="W165" i="6" l="1"/>
  <c r="W159" i="6"/>
  <c r="BI79" i="5"/>
  <c r="M153" i="6" l="1"/>
  <c r="L153" i="6"/>
  <c r="K153" i="6"/>
  <c r="J153" i="6"/>
  <c r="I153" i="6"/>
  <c r="H153" i="6"/>
  <c r="G153" i="6"/>
  <c r="F153" i="6"/>
  <c r="E153" i="6"/>
  <c r="D153" i="6"/>
  <c r="C153" i="6"/>
  <c r="B153" i="6"/>
  <c r="M152" i="6"/>
  <c r="L152" i="6"/>
  <c r="K152" i="6"/>
  <c r="J152" i="6"/>
  <c r="I152" i="6"/>
  <c r="H152" i="6"/>
  <c r="G152" i="6"/>
  <c r="F152" i="6"/>
  <c r="E152" i="6"/>
  <c r="D152" i="6"/>
  <c r="C152" i="6"/>
  <c r="B152" i="6"/>
  <c r="Q151" i="6"/>
  <c r="T151" i="6" s="1"/>
  <c r="Q150" i="6"/>
  <c r="T150" i="6" s="1"/>
  <c r="Q149" i="6"/>
  <c r="T149" i="6" s="1"/>
  <c r="Q145" i="6"/>
  <c r="T145" i="6" s="1"/>
  <c r="Q144" i="6"/>
  <c r="T144" i="6" s="1"/>
  <c r="Q143" i="6"/>
  <c r="T143" i="6" s="1"/>
  <c r="Q138" i="6"/>
  <c r="T138" i="6" s="1"/>
  <c r="D138" i="6"/>
  <c r="Q137" i="6"/>
  <c r="T137" i="6" s="1"/>
  <c r="Q136" i="6"/>
  <c r="T136" i="6" s="1"/>
  <c r="Q135" i="6"/>
  <c r="T135" i="6" s="1"/>
  <c r="D134" i="6"/>
  <c r="Q134" i="6" s="1"/>
  <c r="T134" i="6" s="1"/>
  <c r="Q133" i="6"/>
  <c r="T133" i="6" s="1"/>
  <c r="F128" i="6"/>
  <c r="E128" i="6"/>
  <c r="Q128" i="6" s="1"/>
  <c r="T128" i="6" s="1"/>
  <c r="Q127" i="6"/>
  <c r="T127" i="6" s="1"/>
  <c r="Q126" i="6"/>
  <c r="T126" i="6" s="1"/>
  <c r="Q125" i="6"/>
  <c r="T125" i="6" s="1"/>
  <c r="F124" i="6"/>
  <c r="E124" i="6"/>
  <c r="Q123" i="6"/>
  <c r="T123" i="6" s="1"/>
  <c r="E118" i="6"/>
  <c r="Q118" i="6" s="1"/>
  <c r="T118" i="6" s="1"/>
  <c r="Q117" i="6"/>
  <c r="T117" i="6" s="1"/>
  <c r="D116" i="6"/>
  <c r="Q116" i="6" s="1"/>
  <c r="T116" i="6" s="1"/>
  <c r="Q115" i="6"/>
  <c r="T115" i="6" s="1"/>
  <c r="E114" i="6"/>
  <c r="Q113" i="6"/>
  <c r="T113" i="6" s="1"/>
  <c r="Q108" i="6"/>
  <c r="T108" i="6" s="1"/>
  <c r="D108" i="6"/>
  <c r="D118" i="6" s="1"/>
  <c r="Q107" i="6"/>
  <c r="T107" i="6" s="1"/>
  <c r="Q106" i="6"/>
  <c r="T106" i="6" s="1"/>
  <c r="Q105" i="6"/>
  <c r="T105" i="6" s="1"/>
  <c r="D104" i="6"/>
  <c r="D114" i="6" s="1"/>
  <c r="Q114" i="6" s="1"/>
  <c r="T114" i="6" s="1"/>
  <c r="Q103" i="6"/>
  <c r="T103" i="6" s="1"/>
  <c r="Q98" i="6"/>
  <c r="T98" i="6" s="1"/>
  <c r="D98" i="6"/>
  <c r="Q97" i="6"/>
  <c r="T97" i="6" s="1"/>
  <c r="Q96" i="6"/>
  <c r="T96" i="6" s="1"/>
  <c r="Q95" i="6"/>
  <c r="T95" i="6" s="1"/>
  <c r="D94" i="6"/>
  <c r="Q94" i="6" s="1"/>
  <c r="T94" i="6" s="1"/>
  <c r="Q93" i="6"/>
  <c r="T93" i="6" s="1"/>
  <c r="Q88" i="6"/>
  <c r="T88" i="6" s="1"/>
  <c r="D88" i="6"/>
  <c r="Q87" i="6"/>
  <c r="T87" i="6" s="1"/>
  <c r="Q86" i="6"/>
  <c r="T86" i="6" s="1"/>
  <c r="Q85" i="6"/>
  <c r="T85" i="6" s="1"/>
  <c r="D84" i="6"/>
  <c r="Q84" i="6" s="1"/>
  <c r="T84" i="6" s="1"/>
  <c r="Q83" i="6"/>
  <c r="T83" i="6" s="1"/>
  <c r="Q78" i="6"/>
  <c r="T78" i="6" s="1"/>
  <c r="D78" i="6"/>
  <c r="D128" i="6" s="1"/>
  <c r="Q77" i="6"/>
  <c r="T77" i="6" s="1"/>
  <c r="T79" i="6" s="1"/>
  <c r="Q76" i="6"/>
  <c r="T76" i="6" s="1"/>
  <c r="Q75" i="6"/>
  <c r="T75" i="6" s="1"/>
  <c r="D74" i="6"/>
  <c r="D124" i="6" s="1"/>
  <c r="Q124" i="6" s="1"/>
  <c r="T124" i="6" s="1"/>
  <c r="Q73" i="6"/>
  <c r="T73" i="6" s="1"/>
  <c r="Q69" i="6"/>
  <c r="T69" i="6" s="1"/>
  <c r="Q68" i="6"/>
  <c r="T68" i="6" s="1"/>
  <c r="Q67" i="6"/>
  <c r="T67" i="6" s="1"/>
  <c r="C62" i="6"/>
  <c r="Q62" i="6" s="1"/>
  <c r="T62" i="6" s="1"/>
  <c r="Q61" i="6"/>
  <c r="T61" i="6" s="1"/>
  <c r="Q60" i="6"/>
  <c r="T60" i="6" s="1"/>
  <c r="C59" i="6"/>
  <c r="Q59" i="6" s="1"/>
  <c r="T59" i="6" s="1"/>
  <c r="Q58" i="6"/>
  <c r="T58" i="6" s="1"/>
  <c r="Q54" i="6"/>
  <c r="T54" i="6" s="1"/>
  <c r="Q53" i="6"/>
  <c r="T53" i="6" s="1"/>
  <c r="Q52" i="6"/>
  <c r="T52" i="6" s="1"/>
  <c r="Q51" i="6"/>
  <c r="T51" i="6" s="1"/>
  <c r="Q50" i="6"/>
  <c r="T50" i="6" s="1"/>
  <c r="Q46" i="6"/>
  <c r="T46" i="6" s="1"/>
  <c r="Q45" i="6"/>
  <c r="T45" i="6" s="1"/>
  <c r="Q44" i="6"/>
  <c r="T44" i="6" s="1"/>
  <c r="Q43" i="6"/>
  <c r="T43" i="6" s="1"/>
  <c r="Q42" i="6"/>
  <c r="T42" i="6" s="1"/>
  <c r="Q38" i="6"/>
  <c r="T38" i="6" s="1"/>
  <c r="Q37" i="6"/>
  <c r="T37" i="6" s="1"/>
  <c r="Q36" i="6"/>
  <c r="T36" i="6" s="1"/>
  <c r="Q35" i="6"/>
  <c r="T35" i="6" s="1"/>
  <c r="Q34" i="6"/>
  <c r="T34" i="6" s="1"/>
  <c r="Q30" i="6"/>
  <c r="T30" i="6" s="1"/>
  <c r="Q29" i="6"/>
  <c r="T29" i="6" s="1"/>
  <c r="Q28" i="6"/>
  <c r="T28" i="6" s="1"/>
  <c r="Q27" i="6"/>
  <c r="T27" i="6" s="1"/>
  <c r="Q26" i="6"/>
  <c r="T26" i="6" s="1"/>
  <c r="Q25" i="6"/>
  <c r="T25" i="6" s="1"/>
  <c r="Q24" i="6"/>
  <c r="T24" i="6" s="1"/>
  <c r="Q19" i="6"/>
  <c r="T19" i="6" s="1"/>
  <c r="T18" i="6"/>
  <c r="Q17" i="6"/>
  <c r="T17" i="6" s="1"/>
  <c r="K16" i="6"/>
  <c r="Q16" i="6" s="1"/>
  <c r="T16" i="6" s="1"/>
  <c r="Q15" i="6"/>
  <c r="T15" i="6" s="1"/>
  <c r="Q14" i="6"/>
  <c r="Q13" i="6"/>
  <c r="T13" i="6" s="1"/>
  <c r="Q9" i="6"/>
  <c r="T9" i="6" s="1"/>
  <c r="Q8" i="6"/>
  <c r="T8" i="6" s="1"/>
  <c r="Q7" i="6"/>
  <c r="T7" i="6" s="1"/>
  <c r="Q6" i="6"/>
  <c r="T6" i="6" s="1"/>
  <c r="Q5" i="6"/>
  <c r="T5" i="6" s="1"/>
  <c r="Q152" i="6" l="1"/>
  <c r="T152" i="6" s="1"/>
  <c r="T39" i="6"/>
  <c r="T31" i="6"/>
  <c r="T139" i="6"/>
  <c r="Q104" i="6"/>
  <c r="T104" i="6" s="1"/>
  <c r="Q153" i="6"/>
  <c r="T153" i="6" s="1"/>
  <c r="T154" i="6" s="1"/>
  <c r="T47" i="6"/>
  <c r="T63" i="6"/>
  <c r="T20" i="6"/>
  <c r="T119" i="6"/>
  <c r="T120" i="6"/>
  <c r="T10" i="6"/>
  <c r="T55" i="6"/>
  <c r="T90" i="6"/>
  <c r="T89" i="6"/>
  <c r="T100" i="6"/>
  <c r="T99" i="6"/>
  <c r="T110" i="6"/>
  <c r="T109" i="6"/>
  <c r="T129" i="6"/>
  <c r="Q74" i="6"/>
  <c r="T74" i="6" s="1"/>
  <c r="T130" i="6"/>
  <c r="T140" i="6"/>
  <c r="AP13" i="5" l="1"/>
  <c r="AL13" i="5" l="1"/>
  <c r="AM13" i="5"/>
  <c r="AN13" i="5"/>
  <c r="AJ13" i="5"/>
  <c r="W13" i="5"/>
  <c r="X13" i="5"/>
  <c r="Y13" i="5"/>
  <c r="U13" i="5"/>
  <c r="AY13" i="5"/>
  <c r="AZ13" i="5"/>
  <c r="BA13" i="5"/>
  <c r="AV13" i="5"/>
  <c r="BK13" i="5" l="1"/>
  <c r="BN13" i="5" s="1"/>
  <c r="BH13" i="5"/>
  <c r="BA83" i="5" l="1"/>
  <c r="AZ83" i="5"/>
  <c r="AY83" i="5"/>
  <c r="AV83" i="5"/>
  <c r="AY88" i="5" l="1"/>
  <c r="AZ88" i="5"/>
  <c r="BA88" i="5"/>
  <c r="AV88" i="5"/>
  <c r="AB24" i="5" l="1"/>
  <c r="AP24" i="5"/>
  <c r="AL78" i="5" l="1"/>
  <c r="AM78" i="5"/>
  <c r="AN78" i="5"/>
  <c r="BN78" i="5" s="1"/>
  <c r="AJ78" i="5"/>
  <c r="W78" i="5"/>
  <c r="X78" i="5"/>
  <c r="Y78" i="5"/>
  <c r="U78" i="5"/>
  <c r="AX78" i="5"/>
  <c r="AU78" i="5"/>
  <c r="AY78" i="5"/>
  <c r="AZ78" i="5"/>
  <c r="BA78" i="5"/>
  <c r="AV78" i="5"/>
  <c r="AL82" i="5" l="1"/>
  <c r="AM82" i="5"/>
  <c r="AN82" i="5"/>
  <c r="BN82" i="5" s="1"/>
  <c r="Y82" i="5"/>
  <c r="X82" i="5"/>
  <c r="W82" i="5"/>
  <c r="AJ82" i="5"/>
  <c r="U82" i="5"/>
  <c r="AZ82" i="5"/>
  <c r="AY82" i="5"/>
  <c r="AX82" i="5"/>
  <c r="AV82" i="5"/>
  <c r="AU82" i="5"/>
  <c r="BH85" i="5" l="1"/>
  <c r="AL106" i="5" l="1"/>
  <c r="AM106" i="5"/>
  <c r="AN106" i="5"/>
  <c r="AJ106" i="5"/>
  <c r="AX77" i="5" l="1"/>
  <c r="AY77" i="5"/>
  <c r="AZ77" i="5"/>
  <c r="BA77" i="5"/>
  <c r="AU77" i="5"/>
  <c r="AV77" i="5"/>
  <c r="AJ83" i="5" l="1"/>
  <c r="AN83" i="5"/>
  <c r="BN83" i="5" s="1"/>
  <c r="AM83" i="5"/>
  <c r="AL83" i="5"/>
  <c r="Y83" i="5"/>
  <c r="X83" i="5"/>
  <c r="W83" i="5"/>
  <c r="U83" i="5"/>
  <c r="BH83" i="5"/>
  <c r="BH92" i="5" l="1"/>
  <c r="BH101" i="5"/>
  <c r="BH86" i="5" l="1"/>
  <c r="BG74" i="5"/>
  <c r="BH74" i="5" s="1"/>
  <c r="BH49" i="5"/>
  <c r="BH56" i="5"/>
  <c r="BH59" i="5"/>
  <c r="BH62" i="5"/>
  <c r="BH48" i="5"/>
  <c r="BH61" i="5"/>
  <c r="BG69" i="5"/>
  <c r="BH69" i="5" s="1"/>
  <c r="BH58" i="5"/>
  <c r="BG60" i="5"/>
  <c r="BG47" i="5"/>
  <c r="BH46" i="5"/>
  <c r="BH43" i="5"/>
  <c r="BJ43" i="5"/>
  <c r="BH40" i="5"/>
  <c r="BK54" i="5"/>
  <c r="BH36" i="5"/>
  <c r="BH35" i="5"/>
  <c r="BH33" i="5"/>
  <c r="BJ28" i="5"/>
  <c r="BH28" i="5"/>
  <c r="BH31" i="5"/>
  <c r="BH30" i="5"/>
  <c r="BH29" i="5"/>
  <c r="BK29" i="5"/>
  <c r="BH27" i="5"/>
  <c r="BM23" i="5"/>
  <c r="BM22" i="5"/>
  <c r="BM21" i="5"/>
  <c r="BM20" i="5"/>
  <c r="BM19" i="5"/>
  <c r="BM18" i="5"/>
  <c r="BK23" i="5"/>
  <c r="BK22" i="5"/>
  <c r="BK21" i="5"/>
  <c r="BK20" i="5"/>
  <c r="BK19" i="5"/>
  <c r="BK18" i="5"/>
  <c r="BM17" i="5"/>
  <c r="BK17" i="5"/>
  <c r="BJ23" i="5"/>
  <c r="BJ22" i="5"/>
  <c r="BJ21" i="5"/>
  <c r="BJ20" i="5"/>
  <c r="BJ19" i="5"/>
  <c r="BJ18" i="5"/>
  <c r="BJ17" i="5"/>
  <c r="BG17" i="5"/>
  <c r="BG23" i="5"/>
  <c r="BG22" i="5"/>
  <c r="BH22" i="5" s="1"/>
  <c r="BG21" i="5"/>
  <c r="BG20" i="5"/>
  <c r="BH20" i="5" s="1"/>
  <c r="BG19" i="5"/>
  <c r="BG18" i="5"/>
  <c r="BH26" i="5"/>
  <c r="BH24" i="5"/>
  <c r="BH47" i="5" l="1"/>
  <c r="BI47" i="5"/>
  <c r="BH18" i="5"/>
  <c r="BH19" i="5"/>
  <c r="BH21" i="5"/>
  <c r="BH23" i="5"/>
  <c r="BH17" i="5"/>
  <c r="BH16" i="5"/>
  <c r="BH34" i="5"/>
  <c r="BH15" i="5"/>
  <c r="BK11" i="5"/>
  <c r="BK8" i="5"/>
  <c r="BH97" i="5" l="1"/>
  <c r="AN85" i="5" l="1"/>
  <c r="BN85" i="5" s="1"/>
  <c r="AM85" i="5"/>
  <c r="AL85" i="5"/>
  <c r="AJ85" i="5"/>
  <c r="Y85" i="5"/>
  <c r="X85" i="5"/>
  <c r="W85" i="5"/>
  <c r="U85" i="5"/>
  <c r="BH73" i="5" l="1"/>
  <c r="BH76" i="5"/>
  <c r="BH66" i="5"/>
  <c r="BH60" i="5"/>
  <c r="BH70" i="5"/>
  <c r="BH72" i="5"/>
  <c r="BH67" i="5"/>
  <c r="BH84" i="5"/>
  <c r="AL84" i="5"/>
  <c r="AM84" i="5"/>
  <c r="AN84" i="5"/>
  <c r="AJ84" i="5"/>
  <c r="BH111" i="5" l="1"/>
  <c r="BH14" i="5"/>
  <c r="BH12" i="5"/>
  <c r="BH42" i="5" l="1"/>
  <c r="BH82" i="5"/>
  <c r="AL77" i="5" l="1"/>
  <c r="AM77" i="5"/>
  <c r="AN77" i="5"/>
  <c r="BN77" i="5" s="1"/>
  <c r="AJ77" i="5"/>
  <c r="W77" i="5"/>
  <c r="X77" i="5"/>
  <c r="Y77" i="5"/>
  <c r="U77" i="5"/>
  <c r="BH105" i="5" l="1"/>
  <c r="BA105" i="5"/>
  <c r="AZ105" i="5"/>
  <c r="AY105" i="5"/>
  <c r="AV105" i="5"/>
  <c r="AN105" i="5"/>
  <c r="BN105" i="5" s="1"/>
  <c r="AM105" i="5"/>
  <c r="AL105" i="5"/>
  <c r="AJ105" i="5"/>
  <c r="Y105" i="5"/>
  <c r="X105" i="5"/>
  <c r="W105" i="5"/>
  <c r="U105" i="5"/>
  <c r="AL88" i="5" l="1"/>
  <c r="AM88" i="5"/>
  <c r="AN88" i="5"/>
  <c r="BN88" i="5" s="1"/>
  <c r="AJ88" i="5"/>
  <c r="W88" i="5"/>
  <c r="X88" i="5"/>
  <c r="Y88" i="5"/>
  <c r="U88" i="5"/>
  <c r="BH100" i="5" l="1"/>
  <c r="BH11" i="5"/>
  <c r="BH10" i="5"/>
  <c r="BH8" i="5"/>
  <c r="BH6" i="5"/>
  <c r="BH5" i="5"/>
  <c r="BH4" i="5"/>
  <c r="BH32" i="5"/>
  <c r="BH54" i="5"/>
  <c r="BH55" i="5"/>
  <c r="BH78" i="5" l="1"/>
  <c r="AL118" i="5" l="1"/>
  <c r="AM118" i="5"/>
  <c r="AN118" i="5"/>
  <c r="AJ118" i="5"/>
  <c r="W118" i="5"/>
  <c r="X118" i="5"/>
  <c r="Y118" i="5"/>
  <c r="U118" i="5"/>
  <c r="BK118" i="5"/>
  <c r="BH118" i="5"/>
  <c r="AY118" i="5"/>
  <c r="AZ118" i="5"/>
  <c r="BA118" i="5"/>
  <c r="AV118" i="5"/>
  <c r="BN118" i="5" l="1"/>
  <c r="BH68" i="5" l="1"/>
  <c r="AY102" i="5" l="1"/>
  <c r="AZ102" i="5"/>
  <c r="BA102" i="5"/>
  <c r="AV102" i="5"/>
  <c r="BH102" i="5"/>
  <c r="AL102" i="5"/>
  <c r="AM102" i="5"/>
  <c r="AN102" i="5"/>
  <c r="BN102" i="5" s="1"/>
  <c r="AJ102" i="5"/>
  <c r="W102" i="5"/>
  <c r="X102" i="5"/>
  <c r="Y102" i="5"/>
  <c r="U102" i="5"/>
  <c r="BA23" i="5" l="1"/>
  <c r="AZ23" i="5"/>
  <c r="AY23" i="5"/>
  <c r="AX23" i="5"/>
  <c r="AV23" i="5"/>
  <c r="AU23" i="5"/>
  <c r="BA22" i="5"/>
  <c r="AZ22" i="5"/>
  <c r="AY22" i="5"/>
  <c r="AX22" i="5"/>
  <c r="AV22" i="5"/>
  <c r="AU22" i="5"/>
  <c r="BA21" i="5"/>
  <c r="AZ21" i="5"/>
  <c r="AY21" i="5"/>
  <c r="AX21" i="5"/>
  <c r="AV21" i="5"/>
  <c r="AU21" i="5"/>
  <c r="BA20" i="5"/>
  <c r="AZ20" i="5"/>
  <c r="AY20" i="5"/>
  <c r="AX20" i="5"/>
  <c r="AV20" i="5"/>
  <c r="AU20" i="5"/>
  <c r="BA19" i="5"/>
  <c r="AZ19" i="5"/>
  <c r="AY19" i="5"/>
  <c r="AX19" i="5"/>
  <c r="AV19" i="5"/>
  <c r="AU19" i="5"/>
  <c r="BA18" i="5"/>
  <c r="AZ18" i="5"/>
  <c r="AY18" i="5"/>
  <c r="AX18" i="5"/>
  <c r="AV18" i="5"/>
  <c r="AU18" i="5"/>
  <c r="AN23" i="5"/>
  <c r="AM23" i="5"/>
  <c r="AL23" i="5"/>
  <c r="AJ23" i="5"/>
  <c r="AN22" i="5"/>
  <c r="BN22" i="5" s="1"/>
  <c r="AM22" i="5"/>
  <c r="AL22" i="5"/>
  <c r="AJ22" i="5"/>
  <c r="AN21" i="5"/>
  <c r="BN21" i="5" s="1"/>
  <c r="AM21" i="5"/>
  <c r="AL21" i="5"/>
  <c r="AJ21" i="5"/>
  <c r="AN20" i="5"/>
  <c r="BN20" i="5" s="1"/>
  <c r="AM20" i="5"/>
  <c r="AL20" i="5"/>
  <c r="AJ20" i="5"/>
  <c r="AN19" i="5"/>
  <c r="BN19" i="5" s="1"/>
  <c r="AM19" i="5"/>
  <c r="AL19" i="5"/>
  <c r="AJ19" i="5"/>
  <c r="AN18" i="5"/>
  <c r="BN18" i="5" s="1"/>
  <c r="AM18" i="5"/>
  <c r="AL18" i="5"/>
  <c r="AJ18" i="5"/>
  <c r="Y23" i="5"/>
  <c r="X23" i="5"/>
  <c r="W23" i="5"/>
  <c r="U23" i="5"/>
  <c r="Y22" i="5"/>
  <c r="X22" i="5"/>
  <c r="W22" i="5"/>
  <c r="U22" i="5"/>
  <c r="Y21" i="5"/>
  <c r="X21" i="5"/>
  <c r="W21" i="5"/>
  <c r="U21" i="5"/>
  <c r="Y20" i="5"/>
  <c r="X20" i="5"/>
  <c r="W20" i="5"/>
  <c r="U20" i="5"/>
  <c r="Y19" i="5"/>
  <c r="X19" i="5"/>
  <c r="W19" i="5"/>
  <c r="U19" i="5"/>
  <c r="Y18" i="5"/>
  <c r="X18" i="5"/>
  <c r="W18" i="5"/>
  <c r="U18" i="5"/>
  <c r="BN23" i="5" l="1"/>
  <c r="BH77" i="5"/>
  <c r="BA4" i="5" l="1"/>
  <c r="AZ4" i="5"/>
  <c r="AY4" i="5"/>
  <c r="AX4" i="5"/>
  <c r="AV4" i="5"/>
  <c r="AU4" i="5"/>
  <c r="AJ4" i="5"/>
  <c r="AL4" i="5"/>
  <c r="AM4" i="5"/>
  <c r="AN4" i="5"/>
  <c r="BN4" i="5" l="1"/>
  <c r="BH63" i="5"/>
  <c r="BH41" i="5" l="1"/>
  <c r="AY41" i="5"/>
  <c r="AZ41" i="5"/>
  <c r="BA41" i="5"/>
  <c r="AV41" i="5"/>
  <c r="AL41" i="5"/>
  <c r="AM41" i="5"/>
  <c r="AN41" i="5"/>
  <c r="BN41" i="5" s="1"/>
  <c r="AJ41" i="5"/>
  <c r="W41" i="5"/>
  <c r="X41" i="5"/>
  <c r="Y41" i="5"/>
  <c r="U41" i="5"/>
  <c r="BH104" i="5" l="1"/>
  <c r="BA104" i="5"/>
  <c r="AZ104" i="5"/>
  <c r="AY104" i="5"/>
  <c r="AV104" i="5"/>
  <c r="AN104" i="5"/>
  <c r="BN104" i="5" s="1"/>
  <c r="AM104" i="5"/>
  <c r="AL104" i="5"/>
  <c r="AJ104" i="5"/>
  <c r="Y104" i="5"/>
  <c r="X104" i="5"/>
  <c r="W104" i="5"/>
  <c r="U104" i="5"/>
  <c r="BH88" i="5" l="1"/>
  <c r="BH81" i="5" l="1"/>
  <c r="AX81" i="5"/>
  <c r="AY81" i="5"/>
  <c r="AZ81" i="5"/>
  <c r="BA81" i="5"/>
  <c r="AU81" i="5"/>
  <c r="AV81" i="5"/>
  <c r="AL81" i="5"/>
  <c r="AM81" i="5"/>
  <c r="AN81" i="5"/>
  <c r="BN81" i="5" s="1"/>
  <c r="AJ81" i="5"/>
  <c r="W81" i="5"/>
  <c r="X81" i="5"/>
  <c r="Y81" i="5"/>
  <c r="U81" i="5"/>
  <c r="BH79" i="5" l="1"/>
  <c r="AY79" i="5"/>
  <c r="AX79" i="5"/>
  <c r="AZ79" i="5"/>
  <c r="BA79" i="5"/>
  <c r="AU79" i="5"/>
  <c r="AV79" i="5"/>
  <c r="AL79" i="5"/>
  <c r="AM79" i="5"/>
  <c r="AN79" i="5"/>
  <c r="BN79" i="5" s="1"/>
  <c r="AJ79" i="5"/>
  <c r="Y79" i="5"/>
  <c r="W79" i="5"/>
  <c r="X79" i="5"/>
  <c r="U79" i="5"/>
  <c r="BH64" i="5" l="1"/>
  <c r="BA64" i="5"/>
  <c r="AZ64" i="5"/>
  <c r="AY64" i="5"/>
  <c r="AX64" i="5"/>
  <c r="AV64" i="5"/>
  <c r="AU64" i="5"/>
  <c r="AN64" i="5"/>
  <c r="BN64" i="5" s="1"/>
  <c r="AM64" i="5"/>
  <c r="AL64" i="5"/>
  <c r="AJ64" i="5"/>
  <c r="Y64" i="5"/>
  <c r="X64" i="5"/>
  <c r="W64" i="5"/>
  <c r="U64" i="5"/>
  <c r="BH65" i="5" l="1"/>
  <c r="BH75" i="5" l="1"/>
  <c r="BH71" i="5" l="1"/>
  <c r="AY71" i="5"/>
  <c r="AZ71" i="5"/>
  <c r="BA71" i="5"/>
  <c r="AV71" i="5"/>
  <c r="AL71" i="5"/>
  <c r="AM71" i="5"/>
  <c r="AN71" i="5"/>
  <c r="BN71" i="5" s="1"/>
  <c r="AJ71" i="5"/>
  <c r="W71" i="5"/>
  <c r="X71" i="5"/>
  <c r="Y71" i="5"/>
  <c r="U71" i="5"/>
  <c r="BA100" i="5"/>
  <c r="AZ100" i="5"/>
  <c r="AY100" i="5"/>
  <c r="AV100" i="5"/>
  <c r="AN100" i="5"/>
  <c r="BN100" i="5" s="1"/>
  <c r="AM100" i="5"/>
  <c r="AL100" i="5"/>
  <c r="AJ100" i="5"/>
  <c r="Y100" i="5"/>
  <c r="X100" i="5"/>
  <c r="W100" i="5"/>
  <c r="U100" i="5"/>
  <c r="AP5" i="5"/>
  <c r="BA6" i="5"/>
  <c r="AZ6" i="5"/>
  <c r="AY6" i="5"/>
  <c r="AX6" i="5"/>
  <c r="AV6" i="5"/>
  <c r="AU6" i="5"/>
  <c r="AB6" i="5"/>
  <c r="AP6" i="5"/>
  <c r="AY75" i="5"/>
  <c r="AZ75" i="5"/>
  <c r="BA75" i="5"/>
  <c r="AV75" i="5"/>
  <c r="AL75" i="5"/>
  <c r="AM75" i="5"/>
  <c r="AN75" i="5"/>
  <c r="AJ75" i="5"/>
  <c r="W75" i="5"/>
  <c r="X75" i="5"/>
  <c r="Y75" i="5"/>
  <c r="U75" i="5"/>
  <c r="AY60" i="5"/>
  <c r="AZ60" i="5"/>
  <c r="BA60" i="5"/>
  <c r="AV60" i="5"/>
  <c r="AL60" i="5"/>
  <c r="AM60" i="5"/>
  <c r="AN60" i="5"/>
  <c r="BN60" i="5" s="1"/>
  <c r="AJ60" i="5"/>
  <c r="W60" i="5"/>
  <c r="X60" i="5"/>
  <c r="Y60" i="5"/>
  <c r="U60" i="5"/>
  <c r="AX53" i="5"/>
  <c r="AY53" i="5"/>
  <c r="AZ53" i="5"/>
  <c r="BA53" i="5"/>
  <c r="AU53" i="5"/>
  <c r="AV53" i="5"/>
  <c r="AL53" i="5"/>
  <c r="AM53" i="5"/>
  <c r="AN53" i="5"/>
  <c r="AJ53" i="5"/>
  <c r="W53" i="5"/>
  <c r="X53" i="5"/>
  <c r="Y53" i="5"/>
  <c r="U53" i="5"/>
  <c r="AX86" i="5"/>
  <c r="AY86" i="5"/>
  <c r="AZ86" i="5"/>
  <c r="BA86" i="5"/>
  <c r="AU86" i="5"/>
  <c r="AV86" i="5"/>
  <c r="AL86" i="5"/>
  <c r="AM86" i="5"/>
  <c r="AN86" i="5"/>
  <c r="BN86" i="5" s="1"/>
  <c r="AJ86" i="5"/>
  <c r="W86" i="5"/>
  <c r="X86" i="5"/>
  <c r="Y86" i="5"/>
  <c r="U86" i="5"/>
  <c r="AY67" i="5"/>
  <c r="AZ67" i="5"/>
  <c r="BA67" i="5"/>
  <c r="AV67" i="5"/>
  <c r="AL67" i="5"/>
  <c r="AM67" i="5"/>
  <c r="AN67" i="5"/>
  <c r="AJ67" i="5"/>
  <c r="W67" i="5"/>
  <c r="X67" i="5"/>
  <c r="Y67" i="5"/>
  <c r="W72" i="5"/>
  <c r="AY66" i="5"/>
  <c r="AZ66" i="5"/>
  <c r="BA66" i="5"/>
  <c r="AV66" i="5"/>
  <c r="BA73" i="5"/>
  <c r="AZ73" i="5"/>
  <c r="AY73" i="5"/>
  <c r="AV73" i="5"/>
  <c r="AN73" i="5"/>
  <c r="AM73" i="5"/>
  <c r="AL73" i="5"/>
  <c r="AJ73" i="5"/>
  <c r="Y73" i="5"/>
  <c r="X73" i="5"/>
  <c r="W73" i="5"/>
  <c r="U73" i="5"/>
  <c r="BA76" i="5"/>
  <c r="AZ76" i="5"/>
  <c r="AY76" i="5"/>
  <c r="AV76" i="5"/>
  <c r="AN76" i="5"/>
  <c r="AM76" i="5"/>
  <c r="AL76" i="5"/>
  <c r="AJ76" i="5"/>
  <c r="Y76" i="5"/>
  <c r="X76" i="5"/>
  <c r="W76" i="5"/>
  <c r="U76" i="5"/>
  <c r="AY48" i="5"/>
  <c r="AY61" i="5"/>
  <c r="AY62" i="5"/>
  <c r="AY59" i="5"/>
  <c r="AY56" i="5"/>
  <c r="AY49" i="5"/>
  <c r="AY65" i="5"/>
  <c r="AZ65" i="5"/>
  <c r="BA65" i="5"/>
  <c r="AV65" i="5"/>
  <c r="AN65" i="5"/>
  <c r="BN65" i="5" s="1"/>
  <c r="AM65" i="5"/>
  <c r="AL65" i="5"/>
  <c r="AL63" i="5"/>
  <c r="AJ65" i="5"/>
  <c r="W65" i="5"/>
  <c r="X65" i="5"/>
  <c r="Y65" i="5"/>
  <c r="U65" i="5"/>
  <c r="AX84" i="5"/>
  <c r="AY84" i="5"/>
  <c r="AZ84" i="5"/>
  <c r="BA84" i="5"/>
  <c r="AU84" i="5"/>
  <c r="AV84" i="5"/>
  <c r="W84" i="5"/>
  <c r="X84" i="5"/>
  <c r="Y84" i="5"/>
  <c r="U84" i="5"/>
  <c r="BA15" i="5"/>
  <c r="AZ15" i="5"/>
  <c r="AY15" i="5"/>
  <c r="AX15" i="5"/>
  <c r="AV15" i="5"/>
  <c r="AU15" i="5"/>
  <c r="AN15" i="5"/>
  <c r="BN15" i="5" s="1"/>
  <c r="AM15" i="5"/>
  <c r="AL15" i="5"/>
  <c r="AJ15" i="5"/>
  <c r="Y15" i="5"/>
  <c r="X15" i="5"/>
  <c r="W15" i="5"/>
  <c r="U15" i="5"/>
  <c r="BA63" i="5"/>
  <c r="AZ63" i="5"/>
  <c r="AY63" i="5"/>
  <c r="AV63" i="5"/>
  <c r="AN63" i="5"/>
  <c r="AM63" i="5"/>
  <c r="AJ63" i="5"/>
  <c r="Y63" i="5"/>
  <c r="X63" i="5"/>
  <c r="W63" i="5"/>
  <c r="U63" i="5"/>
  <c r="BA68" i="5"/>
  <c r="AZ68" i="5"/>
  <c r="AY68" i="5"/>
  <c r="AV68" i="5"/>
  <c r="AN68" i="5"/>
  <c r="BN68" i="5" s="1"/>
  <c r="AM68" i="5"/>
  <c r="AL68" i="5"/>
  <c r="AJ68" i="5"/>
  <c r="Y68" i="5"/>
  <c r="X68" i="5"/>
  <c r="W68" i="5"/>
  <c r="U68" i="5"/>
  <c r="AN48" i="5"/>
  <c r="AM48" i="5"/>
  <c r="AL48" i="5"/>
  <c r="AJ48" i="5"/>
  <c r="Y48" i="5"/>
  <c r="X48" i="5"/>
  <c r="W48" i="5"/>
  <c r="U48" i="5"/>
  <c r="AL61" i="5"/>
  <c r="AM61" i="5"/>
  <c r="AN61" i="5"/>
  <c r="AJ61" i="5"/>
  <c r="W61" i="5"/>
  <c r="X61" i="5"/>
  <c r="Y61" i="5"/>
  <c r="U61" i="5"/>
  <c r="AL62" i="5"/>
  <c r="AM62" i="5"/>
  <c r="AN62" i="5"/>
  <c r="AJ62" i="5"/>
  <c r="W62" i="5"/>
  <c r="X62" i="5"/>
  <c r="Y62" i="5"/>
  <c r="U62" i="5"/>
  <c r="AL59" i="5"/>
  <c r="AM59" i="5"/>
  <c r="AN59" i="5"/>
  <c r="AJ59" i="5"/>
  <c r="W59" i="5"/>
  <c r="X59" i="5"/>
  <c r="Y59" i="5"/>
  <c r="U59" i="5"/>
  <c r="AL49" i="5"/>
  <c r="AM49" i="5"/>
  <c r="AN49" i="5"/>
  <c r="AJ49" i="5"/>
  <c r="W56" i="5"/>
  <c r="X49" i="5"/>
  <c r="Y49" i="5"/>
  <c r="AY58" i="5"/>
  <c r="AZ58" i="5"/>
  <c r="BA58" i="5"/>
  <c r="AV58" i="5"/>
  <c r="AL58" i="5"/>
  <c r="AM58" i="5"/>
  <c r="AN58" i="5"/>
  <c r="BN58" i="5" s="1"/>
  <c r="AJ58" i="5"/>
  <c r="W58" i="5"/>
  <c r="X58" i="5"/>
  <c r="Y58" i="5"/>
  <c r="U58" i="5"/>
  <c r="U67" i="5"/>
  <c r="AY42" i="5"/>
  <c r="AZ42" i="5"/>
  <c r="BA42" i="5"/>
  <c r="AV42" i="5"/>
  <c r="AL42" i="5"/>
  <c r="AM42" i="5"/>
  <c r="AN42" i="5"/>
  <c r="BN42" i="5" s="1"/>
  <c r="AJ42" i="5"/>
  <c r="W42" i="5"/>
  <c r="X42" i="5"/>
  <c r="Y42" i="5"/>
  <c r="U42" i="5"/>
  <c r="BA52" i="5"/>
  <c r="AZ52" i="5"/>
  <c r="BA51" i="5"/>
  <c r="AZ51" i="5"/>
  <c r="BA57" i="5"/>
  <c r="AZ57" i="5"/>
  <c r="BA50" i="5"/>
  <c r="AZ50" i="5"/>
  <c r="AY52" i="5"/>
  <c r="AY51" i="5"/>
  <c r="AY57" i="5"/>
  <c r="AY50" i="5"/>
  <c r="AX52" i="5"/>
  <c r="AX51" i="5"/>
  <c r="AX57" i="5"/>
  <c r="AX50" i="5"/>
  <c r="AV52" i="5"/>
  <c r="AV51" i="5"/>
  <c r="AV57" i="5"/>
  <c r="AU52" i="5"/>
  <c r="AU51" i="5"/>
  <c r="AU57" i="5"/>
  <c r="AL52" i="5"/>
  <c r="AJ52" i="5"/>
  <c r="W52" i="5"/>
  <c r="W57" i="5"/>
  <c r="AJ57" i="5"/>
  <c r="AL57" i="5"/>
  <c r="W50" i="5"/>
  <c r="AJ50" i="5"/>
  <c r="AL50" i="5"/>
  <c r="AV50" i="5"/>
  <c r="AU50" i="5"/>
  <c r="AL51" i="5"/>
  <c r="AJ51" i="5"/>
  <c r="W51" i="5"/>
  <c r="AN52" i="5"/>
  <c r="AM52" i="5"/>
  <c r="Y52" i="5"/>
  <c r="X52" i="5"/>
  <c r="U52" i="5"/>
  <c r="AN51" i="5"/>
  <c r="AM51" i="5"/>
  <c r="Y51" i="5"/>
  <c r="X51" i="5"/>
  <c r="U51" i="5"/>
  <c r="AN57" i="5"/>
  <c r="AM57" i="5"/>
  <c r="Y57" i="5"/>
  <c r="X57" i="5"/>
  <c r="U57" i="5"/>
  <c r="AM50" i="5"/>
  <c r="AN50" i="5"/>
  <c r="X50" i="5"/>
  <c r="Y50" i="5"/>
  <c r="U50" i="5"/>
  <c r="AL66" i="5"/>
  <c r="AM66" i="5"/>
  <c r="AN66" i="5"/>
  <c r="BN66" i="5" s="1"/>
  <c r="AJ66" i="5"/>
  <c r="W66" i="5"/>
  <c r="X66" i="5"/>
  <c r="Y66" i="5"/>
  <c r="U66" i="5"/>
  <c r="AL121" i="5"/>
  <c r="AM121" i="5"/>
  <c r="AN121" i="5"/>
  <c r="AJ121" i="5"/>
  <c r="Y121" i="5"/>
  <c r="Y72" i="5"/>
  <c r="W121" i="5"/>
  <c r="X121" i="5"/>
  <c r="U121" i="5"/>
  <c r="BA72" i="5"/>
  <c r="AY72" i="5"/>
  <c r="AV72" i="5"/>
  <c r="AN72" i="5"/>
  <c r="AL72" i="5"/>
  <c r="AJ72" i="5"/>
  <c r="U72" i="5"/>
  <c r="AY70" i="5"/>
  <c r="AZ70" i="5"/>
  <c r="BA70" i="5"/>
  <c r="AV70" i="5"/>
  <c r="AL70" i="5"/>
  <c r="AM70" i="5"/>
  <c r="AN70" i="5"/>
  <c r="BN70" i="5" s="1"/>
  <c r="AJ70" i="5"/>
  <c r="W70" i="5"/>
  <c r="X70" i="5"/>
  <c r="Y70" i="5"/>
  <c r="U70" i="5"/>
  <c r="AY31" i="5"/>
  <c r="AZ31" i="5"/>
  <c r="BA31" i="5"/>
  <c r="AV31" i="5"/>
  <c r="AL31" i="5"/>
  <c r="AM31" i="5"/>
  <c r="AN31" i="5"/>
  <c r="AJ31" i="5"/>
  <c r="W31" i="5"/>
  <c r="X31" i="5"/>
  <c r="Y31" i="5"/>
  <c r="U31" i="5"/>
  <c r="AM72" i="5"/>
  <c r="X72" i="5"/>
  <c r="BA10" i="5"/>
  <c r="AZ10" i="5"/>
  <c r="AY10" i="5"/>
  <c r="AV10" i="5"/>
  <c r="BA124" i="5"/>
  <c r="AZ124" i="5"/>
  <c r="AY124" i="5"/>
  <c r="AX124" i="5"/>
  <c r="AV124" i="5"/>
  <c r="AU124" i="5"/>
  <c r="AN124" i="5"/>
  <c r="AM124" i="5"/>
  <c r="AL124" i="5"/>
  <c r="AJ124" i="5"/>
  <c r="Y124" i="5"/>
  <c r="X124" i="5"/>
  <c r="W124" i="5"/>
  <c r="U124" i="5"/>
  <c r="AY111" i="5"/>
  <c r="AZ111" i="5"/>
  <c r="BA111" i="5"/>
  <c r="AV111" i="5"/>
  <c r="AL111" i="5"/>
  <c r="AM111" i="5"/>
  <c r="AN111" i="5"/>
  <c r="BN111" i="5" s="1"/>
  <c r="AJ111" i="5"/>
  <c r="W111" i="5"/>
  <c r="X111" i="5"/>
  <c r="Y111" i="5"/>
  <c r="U111" i="5"/>
  <c r="AY11" i="5"/>
  <c r="AZ11" i="5"/>
  <c r="BA11" i="5"/>
  <c r="AV11" i="5"/>
  <c r="AL11" i="5"/>
  <c r="AM11" i="5"/>
  <c r="AN11" i="5"/>
  <c r="BN11" i="5" s="1"/>
  <c r="AJ11" i="5"/>
  <c r="W11" i="5"/>
  <c r="X11" i="5"/>
  <c r="Y11" i="5"/>
  <c r="U11" i="5"/>
  <c r="AV48" i="5"/>
  <c r="AV61" i="5"/>
  <c r="AV62" i="5"/>
  <c r="AV59" i="5"/>
  <c r="AV56" i="5"/>
  <c r="AV49" i="5"/>
  <c r="AY69" i="5"/>
  <c r="AZ69" i="5"/>
  <c r="BA69" i="5"/>
  <c r="AV69" i="5"/>
  <c r="AL69" i="5"/>
  <c r="AM69" i="5"/>
  <c r="AN69" i="5"/>
  <c r="AJ69" i="5"/>
  <c r="W69" i="5"/>
  <c r="X69" i="5"/>
  <c r="Y69" i="5"/>
  <c r="U69" i="5"/>
  <c r="AY74" i="5"/>
  <c r="AZ74" i="5"/>
  <c r="BA74" i="5"/>
  <c r="AV74" i="5"/>
  <c r="AL74" i="5"/>
  <c r="AM74" i="5"/>
  <c r="AN74" i="5"/>
  <c r="AJ74" i="5"/>
  <c r="W74" i="5"/>
  <c r="X74" i="5"/>
  <c r="Y74" i="5"/>
  <c r="U74" i="5"/>
  <c r="AY35" i="5"/>
  <c r="AZ35" i="5"/>
  <c r="BA35" i="5"/>
  <c r="AV35" i="5"/>
  <c r="AL35" i="5"/>
  <c r="AM35" i="5"/>
  <c r="AN35" i="5"/>
  <c r="AJ35" i="5"/>
  <c r="W35" i="5"/>
  <c r="X35" i="5"/>
  <c r="Y35" i="5"/>
  <c r="U35" i="5"/>
  <c r="AY33" i="5"/>
  <c r="AZ33" i="5"/>
  <c r="BA33" i="5"/>
  <c r="AV33" i="5"/>
  <c r="AL33" i="5"/>
  <c r="AM33" i="5"/>
  <c r="AN33" i="5"/>
  <c r="AJ33" i="5"/>
  <c r="W33" i="5"/>
  <c r="X33" i="5"/>
  <c r="Y33" i="5"/>
  <c r="U33" i="5"/>
  <c r="AY43" i="5"/>
  <c r="AZ43" i="5"/>
  <c r="BA43" i="5"/>
  <c r="AV43" i="5"/>
  <c r="AL43" i="5"/>
  <c r="AM43" i="5"/>
  <c r="AN43" i="5"/>
  <c r="BN43" i="5" s="1"/>
  <c r="AJ43" i="5"/>
  <c r="W43" i="5"/>
  <c r="X43" i="5"/>
  <c r="Y43" i="5"/>
  <c r="U43" i="5"/>
  <c r="AY29" i="5"/>
  <c r="AZ29" i="5"/>
  <c r="BA29" i="5"/>
  <c r="AV29" i="5"/>
  <c r="AL29" i="5"/>
  <c r="AM29" i="5"/>
  <c r="AN29" i="5"/>
  <c r="BN29" i="5" s="1"/>
  <c r="AJ29" i="5"/>
  <c r="W29" i="5"/>
  <c r="X29" i="5"/>
  <c r="Y29" i="5"/>
  <c r="U29" i="5"/>
  <c r="Y4" i="5"/>
  <c r="X4" i="5"/>
  <c r="W4" i="5"/>
  <c r="U4" i="5"/>
  <c r="AN38" i="5"/>
  <c r="BN38" i="5" s="1"/>
  <c r="AY14" i="5"/>
  <c r="AZ14" i="5"/>
  <c r="BA14" i="5"/>
  <c r="AV14" i="5"/>
  <c r="AL14" i="5"/>
  <c r="AM14" i="5"/>
  <c r="AN14" i="5"/>
  <c r="BN14" i="5" s="1"/>
  <c r="AJ14" i="5"/>
  <c r="W14" i="5"/>
  <c r="X14" i="5"/>
  <c r="Y14" i="5"/>
  <c r="U14" i="5"/>
  <c r="AN10" i="5"/>
  <c r="AM10" i="5"/>
  <c r="AL10" i="5"/>
  <c r="AJ10" i="5"/>
  <c r="Y10" i="5"/>
  <c r="X10" i="5"/>
  <c r="W10" i="5"/>
  <c r="U10" i="5"/>
  <c r="BA30" i="5"/>
  <c r="AZ30" i="5"/>
  <c r="AY30" i="5"/>
  <c r="AV30" i="5"/>
  <c r="AN30" i="5"/>
  <c r="AM30" i="5"/>
  <c r="AL30" i="5"/>
  <c r="AJ30" i="5"/>
  <c r="Y30" i="5"/>
  <c r="X30" i="5"/>
  <c r="W30" i="5"/>
  <c r="U30" i="5"/>
  <c r="AX48" i="5"/>
  <c r="AX61" i="5"/>
  <c r="AX62" i="5"/>
  <c r="AX59" i="5"/>
  <c r="AX56" i="5"/>
  <c r="AX49" i="5"/>
  <c r="AU48" i="5"/>
  <c r="AU61" i="5"/>
  <c r="AU62" i="5"/>
  <c r="AU59" i="5"/>
  <c r="AU56" i="5"/>
  <c r="AU49" i="5"/>
  <c r="BA48" i="5"/>
  <c r="AZ48" i="5"/>
  <c r="BA61" i="5"/>
  <c r="AZ61" i="5"/>
  <c r="BA62" i="5"/>
  <c r="AZ62" i="5"/>
  <c r="BA59" i="5"/>
  <c r="AZ59" i="5"/>
  <c r="BA56" i="5"/>
  <c r="AZ56" i="5"/>
  <c r="BA49" i="5"/>
  <c r="AZ49" i="5"/>
  <c r="AN56" i="5"/>
  <c r="AL56" i="5"/>
  <c r="AJ56" i="5"/>
  <c r="AM56" i="5"/>
  <c r="U56" i="5"/>
  <c r="Y56" i="5"/>
  <c r="X56" i="5"/>
  <c r="BA123" i="5"/>
  <c r="AZ123" i="5"/>
  <c r="AL123" i="5"/>
  <c r="AM123" i="5"/>
  <c r="AN123" i="5"/>
  <c r="AJ123" i="5"/>
  <c r="W123" i="5"/>
  <c r="X123" i="5"/>
  <c r="Y123" i="5"/>
  <c r="U123" i="5"/>
  <c r="AV123" i="5"/>
  <c r="AY123" i="5"/>
  <c r="AX47" i="5"/>
  <c r="AU47" i="5"/>
  <c r="AY47" i="5"/>
  <c r="AZ47" i="5"/>
  <c r="BA47" i="5"/>
  <c r="AV47" i="5"/>
  <c r="AL47" i="5"/>
  <c r="AM47" i="5"/>
  <c r="AN47" i="5"/>
  <c r="AJ47" i="5"/>
  <c r="W122" i="5"/>
  <c r="W46" i="5"/>
  <c r="W55" i="5"/>
  <c r="W47" i="5"/>
  <c r="W119" i="5"/>
  <c r="W25" i="5"/>
  <c r="W40" i="5"/>
  <c r="W49" i="5"/>
  <c r="W120" i="5"/>
  <c r="W32" i="5"/>
  <c r="W27" i="5"/>
  <c r="W17" i="5"/>
  <c r="W24" i="5"/>
  <c r="W36" i="5"/>
  <c r="W87" i="5"/>
  <c r="W28" i="5"/>
  <c r="W54" i="5"/>
  <c r="W16" i="5"/>
  <c r="W37" i="5"/>
  <c r="W38" i="5"/>
  <c r="W5" i="5"/>
  <c r="W12" i="5"/>
  <c r="W34" i="5"/>
  <c r="W8" i="5"/>
  <c r="W26" i="5"/>
  <c r="W6" i="5"/>
  <c r="U47" i="5"/>
  <c r="X47" i="5"/>
  <c r="Y47" i="5"/>
  <c r="AY5" i="5"/>
  <c r="AZ5" i="5"/>
  <c r="BA5" i="5"/>
  <c r="AV5" i="5"/>
  <c r="AL5" i="5"/>
  <c r="AM5" i="5"/>
  <c r="AN5" i="5"/>
  <c r="AJ5" i="5"/>
  <c r="X5" i="5"/>
  <c r="Y5" i="5"/>
  <c r="U5" i="5"/>
  <c r="AY46" i="5"/>
  <c r="AZ46" i="5"/>
  <c r="BA46" i="5"/>
  <c r="AV46" i="5"/>
  <c r="AL46" i="5"/>
  <c r="AM46" i="5"/>
  <c r="AN46" i="5"/>
  <c r="AJ46" i="5"/>
  <c r="X46" i="5"/>
  <c r="Y46" i="5"/>
  <c r="U46" i="5"/>
  <c r="AY55" i="5"/>
  <c r="AZ55" i="5"/>
  <c r="BA55" i="5"/>
  <c r="AV55" i="5"/>
  <c r="AN55" i="5"/>
  <c r="AL55" i="5"/>
  <c r="AM55" i="5"/>
  <c r="AJ55" i="5"/>
  <c r="U25" i="5"/>
  <c r="U119" i="5"/>
  <c r="U27" i="5"/>
  <c r="U17" i="5"/>
  <c r="U40" i="5"/>
  <c r="U49" i="5"/>
  <c r="U16" i="5"/>
  <c r="U37" i="5"/>
  <c r="U38" i="5"/>
  <c r="U55" i="5"/>
  <c r="U122" i="5"/>
  <c r="U54" i="5"/>
  <c r="U32" i="5"/>
  <c r="U36" i="5"/>
  <c r="U120" i="5"/>
  <c r="U12" i="5"/>
  <c r="U34" i="5"/>
  <c r="U26" i="5"/>
  <c r="U8" i="5"/>
  <c r="U6" i="5"/>
  <c r="U87" i="5"/>
  <c r="U24" i="5"/>
  <c r="U28" i="5"/>
  <c r="Y55" i="5"/>
  <c r="X55" i="5"/>
  <c r="BA25" i="5"/>
  <c r="AZ25" i="5"/>
  <c r="AY25" i="5"/>
  <c r="AX25" i="5"/>
  <c r="AV25" i="5"/>
  <c r="AU25" i="5"/>
  <c r="AN25" i="5"/>
  <c r="AM25" i="5"/>
  <c r="AL25" i="5"/>
  <c r="AJ25" i="5"/>
  <c r="Y25" i="5"/>
  <c r="X25" i="5"/>
  <c r="BA119" i="5"/>
  <c r="AZ119" i="5"/>
  <c r="AY119" i="5"/>
  <c r="AV119" i="5"/>
  <c r="AN119" i="5"/>
  <c r="AM119" i="5"/>
  <c r="AL119" i="5"/>
  <c r="AJ119" i="5"/>
  <c r="Y119" i="5"/>
  <c r="X119" i="5"/>
  <c r="BA40" i="5"/>
  <c r="AZ40" i="5"/>
  <c r="AY40" i="5"/>
  <c r="AV40" i="5"/>
  <c r="AN40" i="5"/>
  <c r="BN40" i="5" s="1"/>
  <c r="AM40" i="5"/>
  <c r="AL40" i="5"/>
  <c r="AJ40" i="5"/>
  <c r="Y40" i="5"/>
  <c r="X40" i="5"/>
  <c r="BA122" i="5"/>
  <c r="AY122" i="5"/>
  <c r="AV122" i="5"/>
  <c r="AN122" i="5"/>
  <c r="AM122" i="5"/>
  <c r="AL122" i="5"/>
  <c r="AJ122" i="5"/>
  <c r="Y122" i="5"/>
  <c r="X122" i="5"/>
  <c r="BA120" i="5"/>
  <c r="AZ120" i="5"/>
  <c r="AY120" i="5"/>
  <c r="AV120" i="5"/>
  <c r="AN120" i="5"/>
  <c r="AM120" i="5"/>
  <c r="AL120" i="5"/>
  <c r="AJ120" i="5"/>
  <c r="Y120" i="5"/>
  <c r="X120" i="5"/>
  <c r="BA32" i="5"/>
  <c r="AZ32" i="5"/>
  <c r="AY32" i="5"/>
  <c r="AV32" i="5"/>
  <c r="AN32" i="5"/>
  <c r="BN32" i="5" s="1"/>
  <c r="AM32" i="5"/>
  <c r="AL32" i="5"/>
  <c r="AJ32" i="5"/>
  <c r="Y32" i="5"/>
  <c r="X32" i="5"/>
  <c r="BA27" i="5"/>
  <c r="AZ27" i="5"/>
  <c r="AY27" i="5"/>
  <c r="AX27" i="5"/>
  <c r="AV27" i="5"/>
  <c r="AU27" i="5"/>
  <c r="AN27" i="5"/>
  <c r="BN27" i="5" s="1"/>
  <c r="AM27" i="5"/>
  <c r="AL27" i="5"/>
  <c r="AJ27" i="5"/>
  <c r="Y27" i="5"/>
  <c r="X27" i="5"/>
  <c r="BA17" i="5"/>
  <c r="AZ17" i="5"/>
  <c r="AY17" i="5"/>
  <c r="AX17" i="5"/>
  <c r="AV17" i="5"/>
  <c r="AU17" i="5"/>
  <c r="AN17" i="5"/>
  <c r="BN17" i="5" s="1"/>
  <c r="AM17" i="5"/>
  <c r="AL17" i="5"/>
  <c r="AJ17" i="5"/>
  <c r="Y17" i="5"/>
  <c r="X17" i="5"/>
  <c r="BA24" i="5"/>
  <c r="AZ24" i="5"/>
  <c r="AY24" i="5"/>
  <c r="AX24" i="5"/>
  <c r="AV24" i="5"/>
  <c r="AU24" i="5"/>
  <c r="AN24" i="5"/>
  <c r="AM24" i="5"/>
  <c r="AL24" i="5"/>
  <c r="AJ24" i="5"/>
  <c r="Y24" i="5"/>
  <c r="X24" i="5"/>
  <c r="BA36" i="5"/>
  <c r="AZ36" i="5"/>
  <c r="AY36" i="5"/>
  <c r="AV36" i="5"/>
  <c r="AN36" i="5"/>
  <c r="BN36" i="5" s="1"/>
  <c r="AM36" i="5"/>
  <c r="AL36" i="5"/>
  <c r="AJ36" i="5"/>
  <c r="Y36" i="5"/>
  <c r="X36" i="5"/>
  <c r="BA87" i="5"/>
  <c r="AY87" i="5"/>
  <c r="AV87" i="5"/>
  <c r="AN87" i="5"/>
  <c r="BN87" i="5" s="1"/>
  <c r="AM87" i="5"/>
  <c r="AL87" i="5"/>
  <c r="AJ87" i="5"/>
  <c r="Y87" i="5"/>
  <c r="X87" i="5"/>
  <c r="BA28" i="5"/>
  <c r="AZ28" i="5"/>
  <c r="AY28" i="5"/>
  <c r="AX28" i="5"/>
  <c r="AV28" i="5"/>
  <c r="AU28" i="5"/>
  <c r="AN28" i="5"/>
  <c r="BN28" i="5" s="1"/>
  <c r="AM28" i="5"/>
  <c r="AL28" i="5"/>
  <c r="AJ28" i="5"/>
  <c r="Y28" i="5"/>
  <c r="X28" i="5"/>
  <c r="BA54" i="5"/>
  <c r="AZ54" i="5"/>
  <c r="AY54" i="5"/>
  <c r="AV54" i="5"/>
  <c r="AN54" i="5"/>
  <c r="BN54" i="5" s="1"/>
  <c r="AM54" i="5"/>
  <c r="AL54" i="5"/>
  <c r="AJ54" i="5"/>
  <c r="Y54" i="5"/>
  <c r="X54" i="5"/>
  <c r="BA16" i="5"/>
  <c r="AZ16" i="5"/>
  <c r="AY16" i="5"/>
  <c r="AV16" i="5"/>
  <c r="AN16" i="5"/>
  <c r="BN16" i="5" s="1"/>
  <c r="AM16" i="5"/>
  <c r="AL16" i="5"/>
  <c r="AJ16" i="5"/>
  <c r="Y16" i="5"/>
  <c r="X16" i="5"/>
  <c r="BA37" i="5"/>
  <c r="AZ37" i="5"/>
  <c r="AY37" i="5"/>
  <c r="AV37" i="5"/>
  <c r="AN37" i="5"/>
  <c r="BN37" i="5" s="1"/>
  <c r="AM37" i="5"/>
  <c r="AL37" i="5"/>
  <c r="AJ37" i="5"/>
  <c r="Y37" i="5"/>
  <c r="X37" i="5"/>
  <c r="BA38" i="5"/>
  <c r="AZ38" i="5"/>
  <c r="AY38" i="5"/>
  <c r="AX38" i="5"/>
  <c r="AV38" i="5"/>
  <c r="AU38" i="5"/>
  <c r="AM38" i="5"/>
  <c r="AL38" i="5"/>
  <c r="AJ38" i="5"/>
  <c r="Y38" i="5"/>
  <c r="X38" i="5"/>
  <c r="AN6" i="5"/>
  <c r="BN6" i="5" s="1"/>
  <c r="AM6" i="5"/>
  <c r="AL6" i="5"/>
  <c r="AJ6" i="5"/>
  <c r="Y6" i="5"/>
  <c r="X6" i="5"/>
  <c r="BA34" i="5"/>
  <c r="AZ34" i="5"/>
  <c r="AY34" i="5"/>
  <c r="AX34" i="5"/>
  <c r="AV34" i="5"/>
  <c r="AU34" i="5"/>
  <c r="AN34" i="5"/>
  <c r="BN34" i="5" s="1"/>
  <c r="AM34" i="5"/>
  <c r="AL34" i="5"/>
  <c r="AJ34" i="5"/>
  <c r="Y34" i="5"/>
  <c r="X34" i="5"/>
  <c r="BA8" i="5"/>
  <c r="AZ8" i="5"/>
  <c r="AY8" i="5"/>
  <c r="AX8" i="5"/>
  <c r="AV8" i="5"/>
  <c r="AU8" i="5"/>
  <c r="AN8" i="5"/>
  <c r="BN8" i="5" s="1"/>
  <c r="AM8" i="5"/>
  <c r="AL8" i="5"/>
  <c r="AJ8" i="5"/>
  <c r="Y8" i="5"/>
  <c r="X8" i="5"/>
  <c r="BA26" i="5"/>
  <c r="AZ26" i="5"/>
  <c r="AY26" i="5"/>
  <c r="AV26" i="5"/>
  <c r="AN26" i="5"/>
  <c r="BN26" i="5" s="1"/>
  <c r="AM26" i="5"/>
  <c r="AL26" i="5"/>
  <c r="AJ26" i="5"/>
  <c r="Y26" i="5"/>
  <c r="X26" i="5"/>
  <c r="BA12" i="5"/>
  <c r="AZ12" i="5"/>
  <c r="AY12" i="5"/>
  <c r="AV12" i="5"/>
  <c r="AN12" i="5"/>
  <c r="BN12" i="5" s="1"/>
  <c r="AM12" i="5"/>
  <c r="AL12" i="5"/>
  <c r="AJ12" i="5"/>
  <c r="Y12" i="5"/>
  <c r="X12" i="5"/>
  <c r="AZ72" i="5"/>
  <c r="AN90" i="5" l="1"/>
  <c r="BA90" i="5"/>
  <c r="Y90" i="5"/>
  <c r="BN5" i="5"/>
  <c r="BN24" i="5"/>
  <c r="BN10" i="5"/>
  <c r="W5" i="16"/>
  <c r="Y6" i="16" s="1"/>
  <c r="W34" i="16"/>
  <c r="Y36" i="16" s="1"/>
  <c r="AB7" i="5" l="1"/>
  <c r="AB4" i="5"/>
  <c r="W703" i="16" l="1"/>
  <c r="X90" i="5"/>
</calcChain>
</file>

<file path=xl/comments1.xml><?xml version="1.0" encoding="utf-8"?>
<comments xmlns="http://schemas.openxmlformats.org/spreadsheetml/2006/main">
  <authors>
    <author>Thagard, Leonard</author>
    <author>Leonard Thagard</author>
  </authors>
  <commentList>
    <comment ref="AD3" authorId="0" shapeId="0">
      <text>
        <r>
          <rPr>
            <b/>
            <sz val="9"/>
            <color indexed="81"/>
            <rFont val="Tahoma"/>
            <family val="2"/>
          </rPr>
          <t>Thagard, Leonard:</t>
        </r>
        <r>
          <rPr>
            <sz val="9"/>
            <color indexed="81"/>
            <rFont val="Tahoma"/>
            <family val="2"/>
          </rPr>
          <t xml:space="preserve">
No normalization factor or no table 7-3 multiplier.</t>
        </r>
      </text>
    </comment>
    <comment ref="BI4" authorId="1"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AA5" authorId="0" shapeId="0">
      <text>
        <r>
          <rPr>
            <b/>
            <sz val="9"/>
            <color indexed="81"/>
            <rFont val="Tahoma"/>
            <family val="2"/>
          </rPr>
          <t>Thagard, Leonard:</t>
        </r>
        <r>
          <rPr>
            <sz val="9"/>
            <color indexed="81"/>
            <rFont val="Tahoma"/>
            <family val="2"/>
          </rPr>
          <t xml:space="preserve">
model was for addition and renovation.  Meter is for entire building.</t>
        </r>
      </text>
    </comment>
    <comment ref="AT5" authorId="1" shapeId="0">
      <text>
        <r>
          <rPr>
            <b/>
            <sz val="9"/>
            <color indexed="81"/>
            <rFont val="Tahoma"/>
            <family val="2"/>
          </rPr>
          <t>Leonard Thagard:</t>
        </r>
        <r>
          <rPr>
            <sz val="9"/>
            <color indexed="81"/>
            <rFont val="Tahoma"/>
            <family val="2"/>
          </rPr>
          <t xml:space="preserve">
limited kitchen use and limited bathroom use.  Number is extremely low.</t>
        </r>
      </text>
    </comment>
    <comment ref="AW5" authorId="1" shapeId="0">
      <text>
        <r>
          <rPr>
            <b/>
            <sz val="9"/>
            <color indexed="81"/>
            <rFont val="Tahoma"/>
            <family val="2"/>
          </rPr>
          <t>Leonard Thagard:</t>
        </r>
        <r>
          <rPr>
            <sz val="9"/>
            <color indexed="81"/>
            <rFont val="Tahoma"/>
            <family val="2"/>
          </rPr>
          <t xml:space="preserve">
limited kitchen and bathroom use.  Number is low.</t>
        </r>
      </text>
    </comment>
    <comment ref="BI5" authorId="1"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U6" authorId="1" shapeId="0">
      <text>
        <r>
          <rPr>
            <b/>
            <sz val="9"/>
            <color indexed="81"/>
            <rFont val="Tahoma"/>
            <family val="2"/>
          </rPr>
          <t>Leonard Thagard:</t>
        </r>
        <r>
          <rPr>
            <sz val="9"/>
            <color indexed="81"/>
            <rFont val="Tahoma"/>
            <family val="2"/>
          </rPr>
          <t xml:space="preserve">
highest residence hall baseline EUI to date.</t>
        </r>
      </text>
    </comment>
    <comment ref="W6" authorId="1" shapeId="0">
      <text>
        <r>
          <rPr>
            <b/>
            <sz val="9"/>
            <color indexed="81"/>
            <rFont val="Tahoma"/>
            <family val="2"/>
          </rPr>
          <t>Leonard Thagard:</t>
        </r>
        <r>
          <rPr>
            <sz val="9"/>
            <color indexed="81"/>
            <rFont val="Tahoma"/>
            <family val="2"/>
          </rPr>
          <t xml:space="preserve">
highest proposed EUI for residence halls.</t>
        </r>
      </text>
    </comment>
    <comment ref="BI6" authorId="1"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AF7" authorId="0" shapeId="0">
      <text>
        <r>
          <rPr>
            <b/>
            <sz val="9"/>
            <color indexed="81"/>
            <rFont val="Tahoma"/>
            <family val="2"/>
          </rPr>
          <t>Thagard, Leonard:</t>
        </r>
        <r>
          <rPr>
            <sz val="9"/>
            <color indexed="81"/>
            <rFont val="Tahoma"/>
            <family val="2"/>
          </rPr>
          <t xml:space="preserve">
No steam meter data.</t>
        </r>
      </text>
    </comment>
    <comment ref="AO7" authorId="1" shapeId="0">
      <text>
        <r>
          <rPr>
            <b/>
            <sz val="9"/>
            <color indexed="81"/>
            <rFont val="Tahoma"/>
            <family val="2"/>
          </rPr>
          <t>Leonard Thagard:</t>
        </r>
        <r>
          <rPr>
            <sz val="9"/>
            <color indexed="81"/>
            <rFont val="Tahoma"/>
            <family val="2"/>
          </rPr>
          <t xml:space="preserve">
Does not include steam cost.</t>
        </r>
      </text>
    </comment>
    <comment ref="BI7" authorId="1" shapeId="0">
      <text>
        <r>
          <rPr>
            <b/>
            <sz val="9"/>
            <color indexed="81"/>
            <rFont val="Tahoma"/>
            <family val="2"/>
          </rPr>
          <t>Leonard Thagard:</t>
        </r>
        <r>
          <rPr>
            <sz val="9"/>
            <color indexed="81"/>
            <rFont val="Tahoma"/>
            <family val="2"/>
          </rPr>
          <t xml:space="preserve">
Calculated from original amount construction contract less increase noted in LCCA for envelope, plumb, chillers and lights.
</t>
        </r>
      </text>
    </comment>
    <comment ref="AF8" authorId="0" shapeId="0">
      <text>
        <r>
          <rPr>
            <b/>
            <sz val="9"/>
            <color indexed="81"/>
            <rFont val="Tahoma"/>
            <family val="2"/>
          </rPr>
          <t>Thagard, Leonard:</t>
        </r>
        <r>
          <rPr>
            <sz val="9"/>
            <color indexed="81"/>
            <rFont val="Tahoma"/>
            <family val="2"/>
          </rPr>
          <t xml:space="preserve">
No steam meter data.</t>
        </r>
      </text>
    </comment>
    <comment ref="AO8" authorId="0" shapeId="0">
      <text>
        <r>
          <rPr>
            <b/>
            <sz val="9"/>
            <color indexed="81"/>
            <rFont val="Tahoma"/>
            <family val="2"/>
          </rPr>
          <t>Thagard, Leonard:</t>
        </r>
        <r>
          <rPr>
            <sz val="9"/>
            <color indexed="81"/>
            <rFont val="Tahoma"/>
            <family val="2"/>
          </rPr>
          <t xml:space="preserve">
Does not include steam cost.</t>
        </r>
      </text>
    </comment>
    <comment ref="BI8" authorId="1"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BK8" authorId="1" shapeId="0">
      <text>
        <r>
          <rPr>
            <b/>
            <sz val="9"/>
            <color indexed="81"/>
            <rFont val="Tahoma"/>
            <family val="2"/>
          </rPr>
          <t>Leonard Thagard:</t>
        </r>
        <r>
          <rPr>
            <sz val="9"/>
            <color indexed="81"/>
            <rFont val="Tahoma"/>
            <family val="2"/>
          </rPr>
          <t xml:space="preserve">
SB 668 at $99800 and LEED at $73700</t>
        </r>
      </text>
    </comment>
    <comment ref="BB10" authorId="0" shapeId="0">
      <text>
        <r>
          <rPr>
            <b/>
            <sz val="9"/>
            <color indexed="81"/>
            <rFont val="Tahoma"/>
            <family val="2"/>
          </rPr>
          <t>Thagard, Leonard:</t>
        </r>
        <r>
          <rPr>
            <sz val="9"/>
            <color indexed="81"/>
            <rFont val="Tahoma"/>
            <family val="2"/>
          </rPr>
          <t xml:space="preserve">
shared water meter.</t>
        </r>
      </text>
    </comment>
    <comment ref="BI10" authorId="1"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N11" authorId="1" shapeId="0">
      <text>
        <r>
          <rPr>
            <b/>
            <sz val="9"/>
            <color indexed="81"/>
            <rFont val="Tahoma"/>
            <family val="2"/>
          </rPr>
          <t>Leonard Thagard:</t>
        </r>
        <r>
          <rPr>
            <sz val="9"/>
            <color indexed="81"/>
            <rFont val="Tahoma"/>
            <family val="2"/>
          </rPr>
          <t xml:space="preserve">
size is for addition only</t>
        </r>
      </text>
    </comment>
    <comment ref="T11" authorId="1" shapeId="0">
      <text>
        <r>
          <rPr>
            <b/>
            <sz val="9"/>
            <color indexed="81"/>
            <rFont val="Tahoma"/>
            <family val="2"/>
          </rPr>
          <t>Leonard Thagard:</t>
        </r>
        <r>
          <rPr>
            <sz val="9"/>
            <color indexed="81"/>
            <rFont val="Tahoma"/>
            <family val="2"/>
          </rPr>
          <t xml:space="preserve">
energy use is for addition only</t>
        </r>
      </text>
    </comment>
    <comment ref="U11" authorId="0" shapeId="0">
      <text>
        <r>
          <rPr>
            <b/>
            <sz val="9"/>
            <color indexed="81"/>
            <rFont val="Tahoma"/>
            <family val="2"/>
          </rPr>
          <t>Thagard, Leonard:</t>
        </r>
        <r>
          <rPr>
            <sz val="9"/>
            <color indexed="81"/>
            <rFont val="Tahoma"/>
            <family val="2"/>
          </rPr>
          <t xml:space="preserve">
EUI is for addition and renovation only, not entire building.</t>
        </r>
      </text>
    </comment>
    <comment ref="AA11" authorId="0" shapeId="0">
      <text>
        <r>
          <rPr>
            <b/>
            <sz val="9"/>
            <color indexed="81"/>
            <rFont val="Tahoma"/>
            <family val="2"/>
          </rPr>
          <t>Thagard, Leonard:</t>
        </r>
        <r>
          <rPr>
            <sz val="9"/>
            <color indexed="81"/>
            <rFont val="Tahoma"/>
            <family val="2"/>
          </rPr>
          <t xml:space="preserve">
metered energy usage is for entire building; addition, renovation and existing building</t>
        </r>
      </text>
    </comment>
    <comment ref="AB11" authorId="0" shapeId="0">
      <text>
        <r>
          <rPr>
            <b/>
            <sz val="9"/>
            <color indexed="81"/>
            <rFont val="Tahoma"/>
            <family val="2"/>
          </rPr>
          <t>Thagard, Leonard:</t>
        </r>
        <r>
          <rPr>
            <sz val="9"/>
            <color indexed="81"/>
            <rFont val="Tahoma"/>
            <family val="2"/>
          </rPr>
          <t xml:space="preserve">
EUI is for entire building.</t>
        </r>
      </text>
    </comment>
    <comment ref="AO11" authorId="0" shapeId="0">
      <text>
        <r>
          <rPr>
            <b/>
            <sz val="9"/>
            <color indexed="81"/>
            <rFont val="Tahoma"/>
            <family val="2"/>
          </rPr>
          <t>Thagard, Leonard:</t>
        </r>
        <r>
          <rPr>
            <sz val="9"/>
            <color indexed="81"/>
            <rFont val="Tahoma"/>
            <family val="2"/>
          </rPr>
          <t xml:space="preserve">
metered energy cost is for entire building, not just addition and renovation.</t>
        </r>
      </text>
    </comment>
    <comment ref="AP11" authorId="0" shapeId="0">
      <text>
        <r>
          <rPr>
            <b/>
            <sz val="9"/>
            <color indexed="81"/>
            <rFont val="Tahoma"/>
            <family val="2"/>
          </rPr>
          <t>Thagard, Leonard:</t>
        </r>
        <r>
          <rPr>
            <sz val="9"/>
            <color indexed="81"/>
            <rFont val="Tahoma"/>
            <family val="2"/>
          </rPr>
          <t xml:space="preserve">
$/sqft is for entire building.</t>
        </r>
      </text>
    </comment>
    <comment ref="BB11" authorId="0" shapeId="0">
      <text>
        <r>
          <rPr>
            <b/>
            <sz val="9"/>
            <color indexed="81"/>
            <rFont val="Tahoma"/>
            <family val="2"/>
          </rPr>
          <t>Thagard, Leonard:</t>
        </r>
        <r>
          <rPr>
            <sz val="9"/>
            <color indexed="81"/>
            <rFont val="Tahoma"/>
            <family val="2"/>
          </rPr>
          <t xml:space="preserve">
metered water consumption is for entire facility.</t>
        </r>
      </text>
    </comment>
    <comment ref="BI11" authorId="1"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BG13" authorId="1" shapeId="0">
      <text>
        <r>
          <rPr>
            <b/>
            <sz val="9"/>
            <color indexed="81"/>
            <rFont val="Tahoma"/>
            <family val="2"/>
          </rPr>
          <t>Leonard Thagard:</t>
        </r>
        <r>
          <rPr>
            <sz val="9"/>
            <color indexed="81"/>
            <rFont val="Tahoma"/>
            <family val="2"/>
          </rPr>
          <t xml:space="preserve">
Includes RUP?</t>
        </r>
      </text>
    </comment>
    <comment ref="BI13" authorId="1" shapeId="0">
      <text>
        <r>
          <rPr>
            <b/>
            <sz val="9"/>
            <color indexed="81"/>
            <rFont val="Tahoma"/>
            <family val="2"/>
          </rPr>
          <t>Leonard Thagard:</t>
        </r>
        <r>
          <rPr>
            <sz val="9"/>
            <color indexed="81"/>
            <rFont val="Tahoma"/>
            <family val="2"/>
          </rPr>
          <t xml:space="preserve">
Does not include RUP?</t>
        </r>
      </text>
    </comment>
    <comment ref="BK13" authorId="1" shapeId="0">
      <text>
        <r>
          <rPr>
            <b/>
            <sz val="9"/>
            <color indexed="81"/>
            <rFont val="Tahoma"/>
            <family val="2"/>
          </rPr>
          <t>Leonard Thagard:</t>
        </r>
        <r>
          <rPr>
            <sz val="9"/>
            <color indexed="81"/>
            <rFont val="Tahoma"/>
            <family val="2"/>
          </rPr>
          <t xml:space="preserve">
LEED fees of 180,000 plus design amend #1 for SB 668 for 41,084</t>
        </r>
      </text>
    </comment>
    <comment ref="BB14" authorId="0" shapeId="0">
      <text>
        <r>
          <rPr>
            <b/>
            <sz val="9"/>
            <color indexed="81"/>
            <rFont val="Tahoma"/>
            <family val="2"/>
          </rPr>
          <t>Thagard, Leonard:</t>
        </r>
        <r>
          <rPr>
            <sz val="9"/>
            <color indexed="81"/>
            <rFont val="Tahoma"/>
            <family val="2"/>
          </rPr>
          <t xml:space="preserve">
shared water meter.</t>
        </r>
      </text>
    </comment>
    <comment ref="M17" authorId="1" shapeId="0">
      <text>
        <r>
          <rPr>
            <b/>
            <sz val="9"/>
            <color indexed="81"/>
            <rFont val="Tahoma"/>
            <family val="2"/>
          </rPr>
          <t>Leonard Thagard:</t>
        </r>
        <r>
          <rPr>
            <sz val="9"/>
            <color indexed="81"/>
            <rFont val="Tahoma"/>
            <family val="2"/>
          </rPr>
          <t xml:space="preserve">
One model performed and applied to seven bldgs</t>
        </r>
      </text>
    </comment>
    <comment ref="N17" authorId="1" shapeId="0">
      <text>
        <r>
          <rPr>
            <b/>
            <sz val="9"/>
            <color indexed="81"/>
            <rFont val="Tahoma"/>
            <family val="2"/>
          </rPr>
          <t>Leonard Thagard:</t>
        </r>
        <r>
          <rPr>
            <sz val="9"/>
            <color indexed="81"/>
            <rFont val="Tahoma"/>
            <family val="2"/>
          </rPr>
          <t xml:space="preserve">
One model performed and applied to seven bldgs.</t>
        </r>
      </text>
    </comment>
    <comment ref="T17" authorId="1" shapeId="0">
      <text>
        <r>
          <rPr>
            <b/>
            <sz val="9"/>
            <color indexed="81"/>
            <rFont val="Tahoma"/>
            <family val="2"/>
          </rPr>
          <t>Leonard Thagard:</t>
        </r>
        <r>
          <rPr>
            <sz val="9"/>
            <color indexed="81"/>
            <rFont val="Tahoma"/>
            <family val="2"/>
          </rPr>
          <t xml:space="preserve">
One model performed and applied to seven bldgs</t>
        </r>
      </text>
    </comment>
    <comment ref="AO17" authorId="0" shapeId="0">
      <text>
        <r>
          <rPr>
            <b/>
            <sz val="9"/>
            <color indexed="81"/>
            <rFont val="Tahoma"/>
            <family val="2"/>
          </rPr>
          <t>Thagard, Leonard:</t>
        </r>
        <r>
          <rPr>
            <sz val="9"/>
            <color indexed="81"/>
            <rFont val="Tahoma"/>
            <family val="2"/>
          </rPr>
          <t xml:space="preserve">
Chilled water cost is not included.</t>
        </r>
      </text>
    </comment>
    <comment ref="BG17" authorId="1" shapeId="0">
      <text>
        <r>
          <rPr>
            <b/>
            <sz val="9"/>
            <color indexed="81"/>
            <rFont val="Tahoma"/>
            <family val="2"/>
          </rPr>
          <t>Leonard Thagard:</t>
        </r>
        <r>
          <rPr>
            <sz val="9"/>
            <color indexed="81"/>
            <rFont val="Tahoma"/>
            <family val="2"/>
          </rPr>
          <t xml:space="preserve">
Original Amount Construction Contract divided by 7 buildings.</t>
        </r>
      </text>
    </comment>
    <comment ref="BJ17" authorId="1" shapeId="0">
      <text>
        <r>
          <rPr>
            <b/>
            <sz val="9"/>
            <color indexed="81"/>
            <rFont val="Tahoma"/>
            <family val="2"/>
          </rPr>
          <t>Leonard Thagard:</t>
        </r>
        <r>
          <rPr>
            <sz val="9"/>
            <color indexed="81"/>
            <rFont val="Tahoma"/>
            <family val="2"/>
          </rPr>
          <t xml:space="preserve">
Original Total Design Fee divided by 7 buildings.</t>
        </r>
      </text>
    </comment>
    <comment ref="BK17" authorId="1" shapeId="0">
      <text>
        <r>
          <rPr>
            <b/>
            <sz val="9"/>
            <color indexed="81"/>
            <rFont val="Tahoma"/>
            <family val="2"/>
          </rPr>
          <t>Leonard Thagard:</t>
        </r>
        <r>
          <rPr>
            <sz val="9"/>
            <color indexed="81"/>
            <rFont val="Tahoma"/>
            <family val="2"/>
          </rPr>
          <t xml:space="preserve">
LEED or SB 668 fee divided by 7 buildings.</t>
        </r>
      </text>
    </comment>
    <comment ref="BM17" authorId="1" shapeId="0">
      <text>
        <r>
          <rPr>
            <b/>
            <sz val="9"/>
            <color indexed="81"/>
            <rFont val="Tahoma"/>
            <family val="2"/>
          </rPr>
          <t>Leonard Thagard:</t>
        </r>
        <r>
          <rPr>
            <sz val="9"/>
            <color indexed="81"/>
            <rFont val="Tahoma"/>
            <family val="2"/>
          </rPr>
          <t xml:space="preserve">
Cx fee divided by 7 buildings.</t>
        </r>
      </text>
    </comment>
    <comment ref="M18" authorId="1" shapeId="0">
      <text>
        <r>
          <rPr>
            <b/>
            <sz val="9"/>
            <color indexed="81"/>
            <rFont val="Tahoma"/>
            <family val="2"/>
          </rPr>
          <t>Leonard Thagard:</t>
        </r>
        <r>
          <rPr>
            <sz val="9"/>
            <color indexed="81"/>
            <rFont val="Tahoma"/>
            <family val="2"/>
          </rPr>
          <t xml:space="preserve">
One model performed and applied to seven bldgs</t>
        </r>
      </text>
    </comment>
    <comment ref="N18" authorId="1" shapeId="0">
      <text>
        <r>
          <rPr>
            <b/>
            <sz val="9"/>
            <color indexed="81"/>
            <rFont val="Tahoma"/>
            <family val="2"/>
          </rPr>
          <t>Leonard Thagard:</t>
        </r>
        <r>
          <rPr>
            <sz val="9"/>
            <color indexed="81"/>
            <rFont val="Tahoma"/>
            <family val="2"/>
          </rPr>
          <t xml:space="preserve">
One model performed and applied to seven bldgs.</t>
        </r>
      </text>
    </comment>
    <comment ref="T18" authorId="1" shapeId="0">
      <text>
        <r>
          <rPr>
            <b/>
            <sz val="9"/>
            <color indexed="81"/>
            <rFont val="Tahoma"/>
            <family val="2"/>
          </rPr>
          <t>Leonard Thagard:</t>
        </r>
        <r>
          <rPr>
            <sz val="9"/>
            <color indexed="81"/>
            <rFont val="Tahoma"/>
            <family val="2"/>
          </rPr>
          <t xml:space="preserve">
One model performed and applied to seven bldgs</t>
        </r>
      </text>
    </comment>
    <comment ref="AO18" authorId="0" shapeId="0">
      <text>
        <r>
          <rPr>
            <b/>
            <sz val="9"/>
            <color indexed="81"/>
            <rFont val="Tahoma"/>
            <family val="2"/>
          </rPr>
          <t>Thagard, Leonard:</t>
        </r>
        <r>
          <rPr>
            <sz val="9"/>
            <color indexed="81"/>
            <rFont val="Tahoma"/>
            <family val="2"/>
          </rPr>
          <t xml:space="preserve">
Chilled water cost is not included.</t>
        </r>
      </text>
    </comment>
    <comment ref="BG18" authorId="1" shapeId="0">
      <text>
        <r>
          <rPr>
            <b/>
            <sz val="9"/>
            <color indexed="81"/>
            <rFont val="Tahoma"/>
            <family val="2"/>
          </rPr>
          <t>Leonard Thagard:</t>
        </r>
        <r>
          <rPr>
            <sz val="9"/>
            <color indexed="81"/>
            <rFont val="Tahoma"/>
            <family val="2"/>
          </rPr>
          <t xml:space="preserve">
Original Amount Construction Contract divided by 7 buildings.</t>
        </r>
      </text>
    </comment>
    <comment ref="BJ18" authorId="1" shapeId="0">
      <text>
        <r>
          <rPr>
            <b/>
            <sz val="9"/>
            <color indexed="81"/>
            <rFont val="Tahoma"/>
            <family val="2"/>
          </rPr>
          <t>Leonard Thagard:</t>
        </r>
        <r>
          <rPr>
            <sz val="9"/>
            <color indexed="81"/>
            <rFont val="Tahoma"/>
            <family val="2"/>
          </rPr>
          <t xml:space="preserve">
Original Total Design Fee divided by 7 buildings.</t>
        </r>
      </text>
    </comment>
    <comment ref="BK18" authorId="1" shapeId="0">
      <text>
        <r>
          <rPr>
            <b/>
            <sz val="9"/>
            <color indexed="81"/>
            <rFont val="Tahoma"/>
            <family val="2"/>
          </rPr>
          <t>Leonard Thagard:</t>
        </r>
        <r>
          <rPr>
            <sz val="9"/>
            <color indexed="81"/>
            <rFont val="Tahoma"/>
            <family val="2"/>
          </rPr>
          <t xml:space="preserve">
LEED or SB 668 fee divided by 7 buildings.</t>
        </r>
      </text>
    </comment>
    <comment ref="BM18" authorId="1" shapeId="0">
      <text>
        <r>
          <rPr>
            <b/>
            <sz val="9"/>
            <color indexed="81"/>
            <rFont val="Tahoma"/>
            <family val="2"/>
          </rPr>
          <t>Leonard Thagard:</t>
        </r>
        <r>
          <rPr>
            <sz val="9"/>
            <color indexed="81"/>
            <rFont val="Tahoma"/>
            <family val="2"/>
          </rPr>
          <t xml:space="preserve">
Cx fee divided by 7 buildings.</t>
        </r>
      </text>
    </comment>
    <comment ref="M19" authorId="1" shapeId="0">
      <text>
        <r>
          <rPr>
            <b/>
            <sz val="9"/>
            <color indexed="81"/>
            <rFont val="Tahoma"/>
            <family val="2"/>
          </rPr>
          <t>Leonard Thagard:</t>
        </r>
        <r>
          <rPr>
            <sz val="9"/>
            <color indexed="81"/>
            <rFont val="Tahoma"/>
            <family val="2"/>
          </rPr>
          <t xml:space="preserve">
One model performed and applied to seven bldgs</t>
        </r>
      </text>
    </comment>
    <comment ref="N19" authorId="1" shapeId="0">
      <text>
        <r>
          <rPr>
            <b/>
            <sz val="9"/>
            <color indexed="81"/>
            <rFont val="Tahoma"/>
            <family val="2"/>
          </rPr>
          <t>Leonard Thagard:</t>
        </r>
        <r>
          <rPr>
            <sz val="9"/>
            <color indexed="81"/>
            <rFont val="Tahoma"/>
            <family val="2"/>
          </rPr>
          <t xml:space="preserve">
One model performed and applied to seven bldgs.</t>
        </r>
      </text>
    </comment>
    <comment ref="T19" authorId="1" shapeId="0">
      <text>
        <r>
          <rPr>
            <b/>
            <sz val="9"/>
            <color indexed="81"/>
            <rFont val="Tahoma"/>
            <family val="2"/>
          </rPr>
          <t>Leonard Thagard:</t>
        </r>
        <r>
          <rPr>
            <sz val="9"/>
            <color indexed="81"/>
            <rFont val="Tahoma"/>
            <family val="2"/>
          </rPr>
          <t xml:space="preserve">
One model performed and applied to seven bldgs</t>
        </r>
      </text>
    </comment>
    <comment ref="AO19" authorId="0" shapeId="0">
      <text>
        <r>
          <rPr>
            <b/>
            <sz val="9"/>
            <color indexed="81"/>
            <rFont val="Tahoma"/>
            <family val="2"/>
          </rPr>
          <t>Thagard, Leonard:</t>
        </r>
        <r>
          <rPr>
            <sz val="9"/>
            <color indexed="81"/>
            <rFont val="Tahoma"/>
            <family val="2"/>
          </rPr>
          <t xml:space="preserve">
Chilled water cost is not included.</t>
        </r>
      </text>
    </comment>
    <comment ref="BG19" authorId="1" shapeId="0">
      <text>
        <r>
          <rPr>
            <b/>
            <sz val="9"/>
            <color indexed="81"/>
            <rFont val="Tahoma"/>
            <family val="2"/>
          </rPr>
          <t>Leonard Thagard:</t>
        </r>
        <r>
          <rPr>
            <sz val="9"/>
            <color indexed="81"/>
            <rFont val="Tahoma"/>
            <family val="2"/>
          </rPr>
          <t xml:space="preserve">
Original Amount Construction Contract divided by 7 buildings.</t>
        </r>
      </text>
    </comment>
    <comment ref="BJ19" authorId="1" shapeId="0">
      <text>
        <r>
          <rPr>
            <b/>
            <sz val="9"/>
            <color indexed="81"/>
            <rFont val="Tahoma"/>
            <family val="2"/>
          </rPr>
          <t>Leonard Thagard:</t>
        </r>
        <r>
          <rPr>
            <sz val="9"/>
            <color indexed="81"/>
            <rFont val="Tahoma"/>
            <family val="2"/>
          </rPr>
          <t xml:space="preserve">
Original Total Design Fee divided by 7 buildings.</t>
        </r>
      </text>
    </comment>
    <comment ref="BK19" authorId="1" shapeId="0">
      <text>
        <r>
          <rPr>
            <b/>
            <sz val="9"/>
            <color indexed="81"/>
            <rFont val="Tahoma"/>
            <family val="2"/>
          </rPr>
          <t>Leonard Thagard:</t>
        </r>
        <r>
          <rPr>
            <sz val="9"/>
            <color indexed="81"/>
            <rFont val="Tahoma"/>
            <family val="2"/>
          </rPr>
          <t xml:space="preserve">
LEED or SB 668 fee divided by 7 buildings.</t>
        </r>
      </text>
    </comment>
    <comment ref="BM19" authorId="1" shapeId="0">
      <text>
        <r>
          <rPr>
            <b/>
            <sz val="9"/>
            <color indexed="81"/>
            <rFont val="Tahoma"/>
            <family val="2"/>
          </rPr>
          <t>Leonard Thagard:</t>
        </r>
        <r>
          <rPr>
            <sz val="9"/>
            <color indexed="81"/>
            <rFont val="Tahoma"/>
            <family val="2"/>
          </rPr>
          <t xml:space="preserve">
Cx fee divided by 7 buildings.</t>
        </r>
      </text>
    </comment>
    <comment ref="M20" authorId="1" shapeId="0">
      <text>
        <r>
          <rPr>
            <b/>
            <sz val="9"/>
            <color indexed="81"/>
            <rFont val="Tahoma"/>
            <family val="2"/>
          </rPr>
          <t>Leonard Thagard:</t>
        </r>
        <r>
          <rPr>
            <sz val="9"/>
            <color indexed="81"/>
            <rFont val="Tahoma"/>
            <family val="2"/>
          </rPr>
          <t xml:space="preserve">
One model performed and applied to seven bldgs</t>
        </r>
      </text>
    </comment>
    <comment ref="N20" authorId="1" shapeId="0">
      <text>
        <r>
          <rPr>
            <b/>
            <sz val="9"/>
            <color indexed="81"/>
            <rFont val="Tahoma"/>
            <family val="2"/>
          </rPr>
          <t>Leonard Thagard:</t>
        </r>
        <r>
          <rPr>
            <sz val="9"/>
            <color indexed="81"/>
            <rFont val="Tahoma"/>
            <family val="2"/>
          </rPr>
          <t xml:space="preserve">
One model performed and applied to seven bldgs.</t>
        </r>
      </text>
    </comment>
    <comment ref="T20" authorId="1" shapeId="0">
      <text>
        <r>
          <rPr>
            <b/>
            <sz val="9"/>
            <color indexed="81"/>
            <rFont val="Tahoma"/>
            <family val="2"/>
          </rPr>
          <t>Leonard Thagard:</t>
        </r>
        <r>
          <rPr>
            <sz val="9"/>
            <color indexed="81"/>
            <rFont val="Tahoma"/>
            <family val="2"/>
          </rPr>
          <t xml:space="preserve">
One model performed and applied to seven bldgs</t>
        </r>
      </text>
    </comment>
    <comment ref="AO20" authorId="0" shapeId="0">
      <text>
        <r>
          <rPr>
            <b/>
            <sz val="9"/>
            <color indexed="81"/>
            <rFont val="Tahoma"/>
            <family val="2"/>
          </rPr>
          <t>Thagard, Leonard:</t>
        </r>
        <r>
          <rPr>
            <sz val="9"/>
            <color indexed="81"/>
            <rFont val="Tahoma"/>
            <family val="2"/>
          </rPr>
          <t xml:space="preserve">
Chilled water cost is not included.</t>
        </r>
      </text>
    </comment>
    <comment ref="BG20" authorId="1" shapeId="0">
      <text>
        <r>
          <rPr>
            <b/>
            <sz val="9"/>
            <color indexed="81"/>
            <rFont val="Tahoma"/>
            <family val="2"/>
          </rPr>
          <t>Leonard Thagard:</t>
        </r>
        <r>
          <rPr>
            <sz val="9"/>
            <color indexed="81"/>
            <rFont val="Tahoma"/>
            <family val="2"/>
          </rPr>
          <t xml:space="preserve">
Original Amount Construction Contract divided by 7 buildings.</t>
        </r>
      </text>
    </comment>
    <comment ref="BJ20" authorId="1" shapeId="0">
      <text>
        <r>
          <rPr>
            <b/>
            <sz val="9"/>
            <color indexed="81"/>
            <rFont val="Tahoma"/>
            <family val="2"/>
          </rPr>
          <t>Leonard Thagard:</t>
        </r>
        <r>
          <rPr>
            <sz val="9"/>
            <color indexed="81"/>
            <rFont val="Tahoma"/>
            <family val="2"/>
          </rPr>
          <t xml:space="preserve">
Original Total Design Fee divided by 7 buildings.</t>
        </r>
      </text>
    </comment>
    <comment ref="BK20" authorId="1" shapeId="0">
      <text>
        <r>
          <rPr>
            <b/>
            <sz val="9"/>
            <color indexed="81"/>
            <rFont val="Tahoma"/>
            <family val="2"/>
          </rPr>
          <t>Leonard Thagard:</t>
        </r>
        <r>
          <rPr>
            <sz val="9"/>
            <color indexed="81"/>
            <rFont val="Tahoma"/>
            <family val="2"/>
          </rPr>
          <t xml:space="preserve">
LEED or SB 668 fee divided by 7 buildings.</t>
        </r>
      </text>
    </comment>
    <comment ref="BM20" authorId="1" shapeId="0">
      <text>
        <r>
          <rPr>
            <b/>
            <sz val="9"/>
            <color indexed="81"/>
            <rFont val="Tahoma"/>
            <family val="2"/>
          </rPr>
          <t>Leonard Thagard:</t>
        </r>
        <r>
          <rPr>
            <sz val="9"/>
            <color indexed="81"/>
            <rFont val="Tahoma"/>
            <family val="2"/>
          </rPr>
          <t xml:space="preserve">
Cx fee divided by 7 buildings.</t>
        </r>
      </text>
    </comment>
    <comment ref="M21" authorId="1" shapeId="0">
      <text>
        <r>
          <rPr>
            <b/>
            <sz val="9"/>
            <color indexed="81"/>
            <rFont val="Tahoma"/>
            <family val="2"/>
          </rPr>
          <t>Leonard Thagard:</t>
        </r>
        <r>
          <rPr>
            <sz val="9"/>
            <color indexed="81"/>
            <rFont val="Tahoma"/>
            <family val="2"/>
          </rPr>
          <t xml:space="preserve">
One model performed and applied to seven bldgs</t>
        </r>
      </text>
    </comment>
    <comment ref="N21" authorId="1" shapeId="0">
      <text>
        <r>
          <rPr>
            <b/>
            <sz val="9"/>
            <color indexed="81"/>
            <rFont val="Tahoma"/>
            <family val="2"/>
          </rPr>
          <t>Leonard Thagard:</t>
        </r>
        <r>
          <rPr>
            <sz val="9"/>
            <color indexed="81"/>
            <rFont val="Tahoma"/>
            <family val="2"/>
          </rPr>
          <t xml:space="preserve">
One model performed and applied to seven bldgs.</t>
        </r>
      </text>
    </comment>
    <comment ref="T21" authorId="1" shapeId="0">
      <text>
        <r>
          <rPr>
            <b/>
            <sz val="9"/>
            <color indexed="81"/>
            <rFont val="Tahoma"/>
            <family val="2"/>
          </rPr>
          <t>Leonard Thagard:</t>
        </r>
        <r>
          <rPr>
            <sz val="9"/>
            <color indexed="81"/>
            <rFont val="Tahoma"/>
            <family val="2"/>
          </rPr>
          <t xml:space="preserve">
One model performed and applied to seven bldgs</t>
        </r>
      </text>
    </comment>
    <comment ref="AO21" authorId="0" shapeId="0">
      <text>
        <r>
          <rPr>
            <b/>
            <sz val="9"/>
            <color indexed="81"/>
            <rFont val="Tahoma"/>
            <family val="2"/>
          </rPr>
          <t>Thagard, Leonard:</t>
        </r>
        <r>
          <rPr>
            <sz val="9"/>
            <color indexed="81"/>
            <rFont val="Tahoma"/>
            <family val="2"/>
          </rPr>
          <t xml:space="preserve">
Site lighting cost is included.
Chilled water cost is not included.</t>
        </r>
      </text>
    </comment>
    <comment ref="BG21" authorId="1" shapeId="0">
      <text>
        <r>
          <rPr>
            <b/>
            <sz val="9"/>
            <color indexed="81"/>
            <rFont val="Tahoma"/>
            <family val="2"/>
          </rPr>
          <t>Leonard Thagard:</t>
        </r>
        <r>
          <rPr>
            <sz val="9"/>
            <color indexed="81"/>
            <rFont val="Tahoma"/>
            <family val="2"/>
          </rPr>
          <t xml:space="preserve">
Original Amount Construction Contract divided by 7 buildings.</t>
        </r>
      </text>
    </comment>
    <comment ref="BJ21" authorId="1" shapeId="0">
      <text>
        <r>
          <rPr>
            <b/>
            <sz val="9"/>
            <color indexed="81"/>
            <rFont val="Tahoma"/>
            <family val="2"/>
          </rPr>
          <t>Leonard Thagard:</t>
        </r>
        <r>
          <rPr>
            <sz val="9"/>
            <color indexed="81"/>
            <rFont val="Tahoma"/>
            <family val="2"/>
          </rPr>
          <t xml:space="preserve">
Original Total Design Fee divided by 7 buildings.</t>
        </r>
      </text>
    </comment>
    <comment ref="BK21" authorId="1" shapeId="0">
      <text>
        <r>
          <rPr>
            <b/>
            <sz val="9"/>
            <color indexed="81"/>
            <rFont val="Tahoma"/>
            <family val="2"/>
          </rPr>
          <t>Leonard Thagard:</t>
        </r>
        <r>
          <rPr>
            <sz val="9"/>
            <color indexed="81"/>
            <rFont val="Tahoma"/>
            <family val="2"/>
          </rPr>
          <t xml:space="preserve">
LEED or SB 668 fee divided by 7 buildings.</t>
        </r>
      </text>
    </comment>
    <comment ref="BM21" authorId="1" shapeId="0">
      <text>
        <r>
          <rPr>
            <b/>
            <sz val="9"/>
            <color indexed="81"/>
            <rFont val="Tahoma"/>
            <family val="2"/>
          </rPr>
          <t>Leonard Thagard:</t>
        </r>
        <r>
          <rPr>
            <sz val="9"/>
            <color indexed="81"/>
            <rFont val="Tahoma"/>
            <family val="2"/>
          </rPr>
          <t xml:space="preserve">
Cx fee divided by 7 buildings.</t>
        </r>
      </text>
    </comment>
    <comment ref="M22" authorId="1" shapeId="0">
      <text>
        <r>
          <rPr>
            <b/>
            <sz val="9"/>
            <color indexed="81"/>
            <rFont val="Tahoma"/>
            <family val="2"/>
          </rPr>
          <t>Leonard Thagard:</t>
        </r>
        <r>
          <rPr>
            <sz val="9"/>
            <color indexed="81"/>
            <rFont val="Tahoma"/>
            <family val="2"/>
          </rPr>
          <t xml:space="preserve">
One model performed and applied to seven bldgs</t>
        </r>
      </text>
    </comment>
    <comment ref="N22" authorId="1" shapeId="0">
      <text>
        <r>
          <rPr>
            <b/>
            <sz val="9"/>
            <color indexed="81"/>
            <rFont val="Tahoma"/>
            <family val="2"/>
          </rPr>
          <t>Leonard Thagard:</t>
        </r>
        <r>
          <rPr>
            <sz val="9"/>
            <color indexed="81"/>
            <rFont val="Tahoma"/>
            <family val="2"/>
          </rPr>
          <t xml:space="preserve">
One model performed and applied to seven bldgs.</t>
        </r>
      </text>
    </comment>
    <comment ref="T22" authorId="1" shapeId="0">
      <text>
        <r>
          <rPr>
            <b/>
            <sz val="9"/>
            <color indexed="81"/>
            <rFont val="Tahoma"/>
            <family val="2"/>
          </rPr>
          <t>Leonard Thagard:</t>
        </r>
        <r>
          <rPr>
            <sz val="9"/>
            <color indexed="81"/>
            <rFont val="Tahoma"/>
            <family val="2"/>
          </rPr>
          <t xml:space="preserve">
One model performed and applied to seven bldgs</t>
        </r>
      </text>
    </comment>
    <comment ref="AO22" authorId="0" shapeId="0">
      <text>
        <r>
          <rPr>
            <b/>
            <sz val="9"/>
            <color indexed="81"/>
            <rFont val="Tahoma"/>
            <family val="2"/>
          </rPr>
          <t>Thagard, Leonard:</t>
        </r>
        <r>
          <rPr>
            <sz val="9"/>
            <color indexed="81"/>
            <rFont val="Tahoma"/>
            <family val="2"/>
          </rPr>
          <t xml:space="preserve">
Chilled water costs are not included.</t>
        </r>
      </text>
    </comment>
    <comment ref="BG22" authorId="1" shapeId="0">
      <text>
        <r>
          <rPr>
            <b/>
            <sz val="9"/>
            <color indexed="81"/>
            <rFont val="Tahoma"/>
            <family val="2"/>
          </rPr>
          <t>Leonard Thagard:</t>
        </r>
        <r>
          <rPr>
            <sz val="9"/>
            <color indexed="81"/>
            <rFont val="Tahoma"/>
            <family val="2"/>
          </rPr>
          <t xml:space="preserve">
Original Amount Construction Contract divided by 7 buildings.</t>
        </r>
      </text>
    </comment>
    <comment ref="BJ22" authorId="1" shapeId="0">
      <text>
        <r>
          <rPr>
            <b/>
            <sz val="9"/>
            <color indexed="81"/>
            <rFont val="Tahoma"/>
            <family val="2"/>
          </rPr>
          <t>Leonard Thagard:</t>
        </r>
        <r>
          <rPr>
            <sz val="9"/>
            <color indexed="81"/>
            <rFont val="Tahoma"/>
            <family val="2"/>
          </rPr>
          <t xml:space="preserve">
Original Total Design Fee divided by 7 buildings.</t>
        </r>
      </text>
    </comment>
    <comment ref="BK22" authorId="1" shapeId="0">
      <text>
        <r>
          <rPr>
            <b/>
            <sz val="9"/>
            <color indexed="81"/>
            <rFont val="Tahoma"/>
            <family val="2"/>
          </rPr>
          <t>Leonard Thagard:</t>
        </r>
        <r>
          <rPr>
            <sz val="9"/>
            <color indexed="81"/>
            <rFont val="Tahoma"/>
            <family val="2"/>
          </rPr>
          <t xml:space="preserve">
LEED or SB 668 fee divided by 7 buildings.</t>
        </r>
      </text>
    </comment>
    <comment ref="BM22" authorId="1" shapeId="0">
      <text>
        <r>
          <rPr>
            <b/>
            <sz val="9"/>
            <color indexed="81"/>
            <rFont val="Tahoma"/>
            <family val="2"/>
          </rPr>
          <t>Leonard Thagard:</t>
        </r>
        <r>
          <rPr>
            <sz val="9"/>
            <color indexed="81"/>
            <rFont val="Tahoma"/>
            <family val="2"/>
          </rPr>
          <t xml:space="preserve">
Cx fee divided by 7 buildings.</t>
        </r>
      </text>
    </comment>
    <comment ref="M23" authorId="1" shapeId="0">
      <text>
        <r>
          <rPr>
            <b/>
            <sz val="9"/>
            <color indexed="81"/>
            <rFont val="Tahoma"/>
            <family val="2"/>
          </rPr>
          <t>Leonard Thagard:</t>
        </r>
        <r>
          <rPr>
            <sz val="9"/>
            <color indexed="81"/>
            <rFont val="Tahoma"/>
            <family val="2"/>
          </rPr>
          <t xml:space="preserve">
One model performed and applied to seven bldgs</t>
        </r>
      </text>
    </comment>
    <comment ref="N23" authorId="1" shapeId="0">
      <text>
        <r>
          <rPr>
            <b/>
            <sz val="9"/>
            <color indexed="81"/>
            <rFont val="Tahoma"/>
            <family val="2"/>
          </rPr>
          <t>Leonard Thagard:</t>
        </r>
        <r>
          <rPr>
            <sz val="9"/>
            <color indexed="81"/>
            <rFont val="Tahoma"/>
            <family val="2"/>
          </rPr>
          <t xml:space="preserve">
One model performed and applied to seven bldgs.</t>
        </r>
      </text>
    </comment>
    <comment ref="T23" authorId="1" shapeId="0">
      <text>
        <r>
          <rPr>
            <b/>
            <sz val="9"/>
            <color indexed="81"/>
            <rFont val="Tahoma"/>
            <family val="2"/>
          </rPr>
          <t>Leonard Thagard:</t>
        </r>
        <r>
          <rPr>
            <sz val="9"/>
            <color indexed="81"/>
            <rFont val="Tahoma"/>
            <family val="2"/>
          </rPr>
          <t xml:space="preserve">
One model performed and applied to seven bldgs</t>
        </r>
      </text>
    </comment>
    <comment ref="AO23" authorId="0" shapeId="0">
      <text>
        <r>
          <rPr>
            <b/>
            <sz val="9"/>
            <color indexed="81"/>
            <rFont val="Tahoma"/>
            <family val="2"/>
          </rPr>
          <t>Thagard, Leonard:</t>
        </r>
        <r>
          <rPr>
            <sz val="9"/>
            <color indexed="81"/>
            <rFont val="Tahoma"/>
            <family val="2"/>
          </rPr>
          <t xml:space="preserve">
Chilled water costs are not included.</t>
        </r>
      </text>
    </comment>
    <comment ref="BG23" authorId="1" shapeId="0">
      <text>
        <r>
          <rPr>
            <b/>
            <sz val="9"/>
            <color indexed="81"/>
            <rFont val="Tahoma"/>
            <family val="2"/>
          </rPr>
          <t>Leonard Thagard:</t>
        </r>
        <r>
          <rPr>
            <sz val="9"/>
            <color indexed="81"/>
            <rFont val="Tahoma"/>
            <family val="2"/>
          </rPr>
          <t xml:space="preserve">
Original Amount Construction Contract divided by 7 buildings.</t>
        </r>
      </text>
    </comment>
    <comment ref="BJ23" authorId="1" shapeId="0">
      <text>
        <r>
          <rPr>
            <b/>
            <sz val="9"/>
            <color indexed="81"/>
            <rFont val="Tahoma"/>
            <family val="2"/>
          </rPr>
          <t>Leonard Thagard:</t>
        </r>
        <r>
          <rPr>
            <sz val="9"/>
            <color indexed="81"/>
            <rFont val="Tahoma"/>
            <family val="2"/>
          </rPr>
          <t xml:space="preserve">
Original Total Design Fee divided by 7 buildings.</t>
        </r>
      </text>
    </comment>
    <comment ref="BK23" authorId="1" shapeId="0">
      <text>
        <r>
          <rPr>
            <b/>
            <sz val="9"/>
            <color indexed="81"/>
            <rFont val="Tahoma"/>
            <family val="2"/>
          </rPr>
          <t>Leonard Thagard:</t>
        </r>
        <r>
          <rPr>
            <sz val="9"/>
            <color indexed="81"/>
            <rFont val="Tahoma"/>
            <family val="2"/>
          </rPr>
          <t xml:space="preserve">
LEED or SB 668 fee divided by 7 buildings.</t>
        </r>
      </text>
    </comment>
    <comment ref="BM23" authorId="1" shapeId="0">
      <text>
        <r>
          <rPr>
            <b/>
            <sz val="9"/>
            <color indexed="81"/>
            <rFont val="Tahoma"/>
            <family val="2"/>
          </rPr>
          <t>Leonard Thagard:</t>
        </r>
        <r>
          <rPr>
            <sz val="9"/>
            <color indexed="81"/>
            <rFont val="Tahoma"/>
            <family val="2"/>
          </rPr>
          <t xml:space="preserve">
Cx fee divided by 7 buildings.</t>
        </r>
      </text>
    </comment>
    <comment ref="BK26" authorId="1" shapeId="0">
      <text>
        <r>
          <rPr>
            <b/>
            <sz val="9"/>
            <color indexed="81"/>
            <rFont val="Tahoma"/>
            <family val="2"/>
          </rPr>
          <t>Leonard Thagard:</t>
        </r>
        <r>
          <rPr>
            <sz val="9"/>
            <color indexed="81"/>
            <rFont val="Tahoma"/>
            <family val="2"/>
          </rPr>
          <t xml:space="preserve">
LEED services added as design amendment.  Add to OTDF.
</t>
        </r>
      </text>
    </comment>
    <comment ref="BJ28" authorId="1" shapeId="0">
      <text>
        <r>
          <rPr>
            <b/>
            <sz val="9"/>
            <color indexed="81"/>
            <rFont val="Tahoma"/>
            <family val="2"/>
          </rPr>
          <t>Leonard Thagard:</t>
        </r>
        <r>
          <rPr>
            <sz val="9"/>
            <color indexed="81"/>
            <rFont val="Tahoma"/>
            <family val="2"/>
          </rPr>
          <t xml:space="preserve">
Combined design fee for original building design and revised building design.</t>
        </r>
      </text>
    </comment>
    <comment ref="AF29" authorId="0" shapeId="0">
      <text>
        <r>
          <rPr>
            <b/>
            <sz val="9"/>
            <color indexed="81"/>
            <rFont val="Tahoma"/>
            <family val="2"/>
          </rPr>
          <t>Thagard, Leonard:</t>
        </r>
        <r>
          <rPr>
            <sz val="9"/>
            <color indexed="81"/>
            <rFont val="Tahoma"/>
            <family val="2"/>
          </rPr>
          <t xml:space="preserve">
Chilled water and heating hot water use is not metered.</t>
        </r>
      </text>
    </comment>
    <comment ref="AP29" authorId="0" shapeId="0">
      <text>
        <r>
          <rPr>
            <b/>
            <sz val="9"/>
            <color indexed="81"/>
            <rFont val="Tahoma"/>
            <family val="2"/>
          </rPr>
          <t>Thagard, Leonard:</t>
        </r>
        <r>
          <rPr>
            <sz val="9"/>
            <color indexed="81"/>
            <rFont val="Tahoma"/>
            <family val="2"/>
          </rPr>
          <t xml:space="preserve">
chilled water and heating hot water is billed on a square footage basis, not energy use.</t>
        </r>
      </text>
    </comment>
    <comment ref="BK29" authorId="1" shapeId="0">
      <text>
        <r>
          <rPr>
            <b/>
            <sz val="9"/>
            <color indexed="81"/>
            <rFont val="Tahoma"/>
            <family val="2"/>
          </rPr>
          <t>Leonard Thagard:</t>
        </r>
        <r>
          <rPr>
            <sz val="9"/>
            <color indexed="81"/>
            <rFont val="Tahoma"/>
            <family val="2"/>
          </rPr>
          <t xml:space="preserve">
SB 668 at 17520 and LEED at 139300</t>
        </r>
      </text>
    </comment>
    <comment ref="BB31" authorId="0" shapeId="0">
      <text>
        <r>
          <rPr>
            <b/>
            <sz val="9"/>
            <color indexed="81"/>
            <rFont val="Tahoma"/>
            <family val="2"/>
          </rPr>
          <t>Thagard, Leonard:</t>
        </r>
        <r>
          <rPr>
            <sz val="9"/>
            <color indexed="81"/>
            <rFont val="Tahoma"/>
            <family val="2"/>
          </rPr>
          <t xml:space="preserve">
meter inoperable.</t>
        </r>
      </text>
    </comment>
    <comment ref="BG33" authorId="1" shapeId="0">
      <text>
        <r>
          <rPr>
            <b/>
            <sz val="9"/>
            <color indexed="81"/>
            <rFont val="Tahoma"/>
            <family val="2"/>
          </rPr>
          <t>Leonard Thagard:</t>
        </r>
        <r>
          <rPr>
            <sz val="9"/>
            <color indexed="81"/>
            <rFont val="Tahoma"/>
            <family val="2"/>
          </rPr>
          <t xml:space="preserve">
CMR bid packages, NCSU utility assessment, parking deck assessment, etc. make bid amount difficult to accurately calculate.</t>
        </r>
      </text>
    </comment>
    <comment ref="BG35" authorId="1" shapeId="0">
      <text>
        <r>
          <rPr>
            <b/>
            <sz val="9"/>
            <color indexed="81"/>
            <rFont val="Tahoma"/>
            <family val="2"/>
          </rPr>
          <t>Leonard Thagard:</t>
        </r>
        <r>
          <rPr>
            <sz val="9"/>
            <color indexed="81"/>
            <rFont val="Tahoma"/>
            <family val="2"/>
          </rPr>
          <t xml:space="preserve">
Amount is for entire football complex.</t>
        </r>
      </text>
    </comment>
    <comment ref="BH35" authorId="1" shapeId="0">
      <text>
        <r>
          <rPr>
            <b/>
            <sz val="9"/>
            <color indexed="81"/>
            <rFont val="Tahoma"/>
            <family val="2"/>
          </rPr>
          <t>Leonard Thagard:</t>
        </r>
        <r>
          <rPr>
            <sz val="9"/>
            <color indexed="81"/>
            <rFont val="Tahoma"/>
            <family val="2"/>
          </rPr>
          <t xml:space="preserve">
Error in calculation due to entire football complex in one bid package.  Building was not broken out.</t>
        </r>
      </text>
    </comment>
    <comment ref="BJ35" authorId="1" shapeId="0">
      <text>
        <r>
          <rPr>
            <b/>
            <sz val="9"/>
            <color indexed="81"/>
            <rFont val="Tahoma"/>
            <family val="2"/>
          </rPr>
          <t>Leonard Thagard:</t>
        </r>
        <r>
          <rPr>
            <sz val="9"/>
            <color indexed="81"/>
            <rFont val="Tahoma"/>
            <family val="2"/>
          </rPr>
          <t xml:space="preserve">
Fee includes design for complete football stadium complex.</t>
        </r>
      </text>
    </comment>
    <comment ref="BG37" authorId="1" shapeId="0">
      <text>
        <r>
          <rPr>
            <b/>
            <sz val="9"/>
            <color indexed="81"/>
            <rFont val="Tahoma"/>
            <family val="2"/>
          </rPr>
          <t>Leonard Thagard:</t>
        </r>
        <r>
          <rPr>
            <sz val="9"/>
            <color indexed="81"/>
            <rFont val="Tahoma"/>
            <family val="2"/>
          </rPr>
          <t xml:space="preserve">
Best guess from multiple bid packages.  Will revisit later.</t>
        </r>
      </text>
    </comment>
    <comment ref="BJ37" authorId="1" shapeId="0">
      <text>
        <r>
          <rPr>
            <b/>
            <sz val="9"/>
            <color indexed="81"/>
            <rFont val="Tahoma"/>
            <family val="2"/>
          </rPr>
          <t>Leonard Thagard:</t>
        </r>
        <r>
          <rPr>
            <sz val="9"/>
            <color indexed="81"/>
            <rFont val="Tahoma"/>
            <family val="2"/>
          </rPr>
          <t xml:space="preserve">
27% of full design fee</t>
        </r>
      </text>
    </comment>
    <comment ref="BG38" authorId="1" shapeId="0">
      <text>
        <r>
          <rPr>
            <b/>
            <sz val="9"/>
            <color indexed="81"/>
            <rFont val="Tahoma"/>
            <family val="2"/>
          </rPr>
          <t>Leonard Thagard:</t>
        </r>
        <r>
          <rPr>
            <sz val="9"/>
            <color indexed="81"/>
            <rFont val="Tahoma"/>
            <family val="2"/>
          </rPr>
          <t xml:space="preserve">
73 percent of bid package total for Plemmons and Summit</t>
        </r>
      </text>
    </comment>
    <comment ref="BJ38" authorId="1" shapeId="0">
      <text>
        <r>
          <rPr>
            <b/>
            <sz val="9"/>
            <color indexed="81"/>
            <rFont val="Tahoma"/>
            <family val="2"/>
          </rPr>
          <t>Leonard Thagard:</t>
        </r>
        <r>
          <rPr>
            <sz val="9"/>
            <color indexed="81"/>
            <rFont val="Tahoma"/>
            <family val="2"/>
          </rPr>
          <t xml:space="preserve">
73 percent of full design fee.</t>
        </r>
      </text>
    </comment>
    <comment ref="U39" authorId="1" shapeId="0">
      <text>
        <r>
          <rPr>
            <b/>
            <sz val="9"/>
            <color indexed="81"/>
            <rFont val="Tahoma"/>
            <family val="2"/>
          </rPr>
          <t>Leonard Thagard:</t>
        </r>
        <r>
          <rPr>
            <sz val="9"/>
            <color indexed="81"/>
            <rFont val="Tahoma"/>
            <family val="2"/>
          </rPr>
          <t xml:space="preserve">
Baseline is high.</t>
        </r>
      </text>
    </comment>
    <comment ref="W39" authorId="1" shapeId="0">
      <text>
        <r>
          <rPr>
            <b/>
            <sz val="9"/>
            <color indexed="81"/>
            <rFont val="Tahoma"/>
            <family val="2"/>
          </rPr>
          <t>Leonard Thagard:</t>
        </r>
        <r>
          <rPr>
            <sz val="9"/>
            <color indexed="81"/>
            <rFont val="Tahoma"/>
            <family val="2"/>
          </rPr>
          <t xml:space="preserve">
Proposed is high.</t>
        </r>
      </text>
    </comment>
    <comment ref="BI39" authorId="1" shapeId="0">
      <text>
        <r>
          <rPr>
            <b/>
            <sz val="9"/>
            <color indexed="81"/>
            <rFont val="Tahoma"/>
            <family val="2"/>
          </rPr>
          <t>Leonard Thagard:</t>
        </r>
        <r>
          <rPr>
            <sz val="9"/>
            <color indexed="81"/>
            <rFont val="Tahoma"/>
            <family val="2"/>
          </rPr>
          <t xml:space="preserve">
Note in LCCA report:  "*Initial Cost estimated to be 85% of Construction Budget."</t>
        </r>
      </text>
    </comment>
    <comment ref="K40" authorId="1" shapeId="0">
      <text>
        <r>
          <rPr>
            <b/>
            <sz val="9"/>
            <color indexed="81"/>
            <rFont val="Tahoma"/>
            <family val="2"/>
          </rPr>
          <t>Leonard Thagard:</t>
        </r>
        <r>
          <rPr>
            <sz val="9"/>
            <color indexed="81"/>
            <rFont val="Tahoma"/>
            <family val="2"/>
          </rPr>
          <t xml:space="preserve">
BO</t>
        </r>
      </text>
    </comment>
    <comment ref="AA42" authorId="0" shapeId="0">
      <text>
        <r>
          <rPr>
            <b/>
            <sz val="9"/>
            <color indexed="81"/>
            <rFont val="Tahoma"/>
            <family val="2"/>
          </rPr>
          <t>Thagard, Leonard:</t>
        </r>
        <r>
          <rPr>
            <sz val="9"/>
            <color indexed="81"/>
            <rFont val="Tahoma"/>
            <family val="2"/>
          </rPr>
          <t xml:space="preserve">
incomplete meter data
</t>
        </r>
      </text>
    </comment>
    <comment ref="AE42" authorId="0" shapeId="0">
      <text>
        <r>
          <rPr>
            <b/>
            <sz val="9"/>
            <color indexed="81"/>
            <rFont val="Tahoma"/>
            <family val="2"/>
          </rPr>
          <t>Thagard, Leonard:</t>
        </r>
        <r>
          <rPr>
            <sz val="9"/>
            <color indexed="81"/>
            <rFont val="Tahoma"/>
            <family val="2"/>
          </rPr>
          <t xml:space="preserve">
incomplete meter data</t>
        </r>
      </text>
    </comment>
    <comment ref="AO42" authorId="0" shapeId="0">
      <text>
        <r>
          <rPr>
            <b/>
            <sz val="9"/>
            <color indexed="81"/>
            <rFont val="Tahoma"/>
            <family val="2"/>
          </rPr>
          <t>Thagard, Leonard:</t>
        </r>
        <r>
          <rPr>
            <sz val="9"/>
            <color indexed="81"/>
            <rFont val="Tahoma"/>
            <family val="2"/>
          </rPr>
          <t xml:space="preserve">
incomplete meter data
</t>
        </r>
      </text>
    </comment>
    <comment ref="AQ42" authorId="0" shapeId="0">
      <text>
        <r>
          <rPr>
            <b/>
            <sz val="9"/>
            <color indexed="81"/>
            <rFont val="Tahoma"/>
            <family val="2"/>
          </rPr>
          <t>Thagard, Leonard:</t>
        </r>
        <r>
          <rPr>
            <sz val="9"/>
            <color indexed="81"/>
            <rFont val="Tahoma"/>
            <family val="2"/>
          </rPr>
          <t xml:space="preserve">
incomplete meter data</t>
        </r>
      </text>
    </comment>
    <comment ref="BI44" authorId="1" shapeId="0">
      <text>
        <r>
          <rPr>
            <b/>
            <sz val="9"/>
            <color indexed="81"/>
            <rFont val="Tahoma"/>
            <family val="2"/>
          </rPr>
          <t>Leonard Thagard:</t>
        </r>
        <r>
          <rPr>
            <sz val="9"/>
            <color indexed="81"/>
            <rFont val="Tahoma"/>
            <family val="2"/>
          </rPr>
          <t xml:space="preserve">
deduct for wall, roof, glaze, bid alt 3, plumb, daylighting, bid alt 1
</t>
        </r>
      </text>
    </comment>
    <comment ref="BG45" authorId="1" shapeId="0">
      <text>
        <r>
          <rPr>
            <b/>
            <sz val="9"/>
            <color indexed="81"/>
            <rFont val="Tahoma"/>
            <family val="2"/>
          </rPr>
          <t>Leonard Thagard:</t>
        </r>
        <r>
          <rPr>
            <sz val="9"/>
            <color indexed="81"/>
            <rFont val="Tahoma"/>
            <family val="2"/>
          </rPr>
          <t xml:space="preserve">
Early site package plus building package.</t>
        </r>
      </text>
    </comment>
    <comment ref="BI45" authorId="1" shapeId="0">
      <text>
        <r>
          <rPr>
            <b/>
            <sz val="9"/>
            <color indexed="81"/>
            <rFont val="Tahoma"/>
            <family val="2"/>
          </rPr>
          <t>Leonard Thagard:</t>
        </r>
        <r>
          <rPr>
            <sz val="9"/>
            <color indexed="81"/>
            <rFont val="Tahoma"/>
            <family val="2"/>
          </rPr>
          <t xml:space="preserve">
Clark Nexsen analysis indicated baseline building cost more to build than the proposed building.  Analysis not used here.</t>
        </r>
      </text>
    </comment>
    <comment ref="BG47" authorId="1" shapeId="0">
      <text>
        <r>
          <rPr>
            <b/>
            <sz val="9"/>
            <color indexed="81"/>
            <rFont val="Tahoma"/>
            <family val="2"/>
          </rPr>
          <t>Leonard Thagard:</t>
        </r>
        <r>
          <rPr>
            <sz val="9"/>
            <color indexed="81"/>
            <rFont val="Tahoma"/>
            <family val="2"/>
          </rPr>
          <t xml:space="preserve">
Early site plus site and building bid packages.</t>
        </r>
      </text>
    </comment>
    <comment ref="O49" authorId="0" shapeId="0">
      <text>
        <r>
          <rPr>
            <b/>
            <sz val="9"/>
            <color indexed="81"/>
            <rFont val="Tahoma"/>
            <family val="2"/>
          </rPr>
          <t>Thagard, Leonard:</t>
        </r>
        <r>
          <rPr>
            <sz val="9"/>
            <color indexed="81"/>
            <rFont val="Tahoma"/>
            <family val="2"/>
          </rPr>
          <t xml:space="preserve">
includes dining hall</t>
        </r>
      </text>
    </comment>
    <comment ref="AC49" authorId="0" shapeId="0">
      <text>
        <r>
          <rPr>
            <b/>
            <sz val="9"/>
            <color indexed="81"/>
            <rFont val="Tahoma"/>
            <family val="2"/>
          </rPr>
          <t>Thagard, Leonard:</t>
        </r>
        <r>
          <rPr>
            <sz val="9"/>
            <color indexed="81"/>
            <rFont val="Tahoma"/>
            <family val="2"/>
          </rPr>
          <t xml:space="preserve">
This building also contains a dining hall.</t>
        </r>
      </text>
    </comment>
    <comment ref="BC49" authorId="0" shapeId="0">
      <text>
        <r>
          <rPr>
            <b/>
            <sz val="9"/>
            <color indexed="81"/>
            <rFont val="Tahoma"/>
            <family val="2"/>
          </rPr>
          <t>Thagard, Leonard:</t>
        </r>
        <r>
          <rPr>
            <sz val="9"/>
            <color indexed="81"/>
            <rFont val="Tahoma"/>
            <family val="2"/>
          </rPr>
          <t xml:space="preserve">
Resident Hall and food service combined.</t>
        </r>
      </text>
    </comment>
    <comment ref="K53" authorId="1" shapeId="0">
      <text>
        <r>
          <rPr>
            <b/>
            <sz val="9"/>
            <color indexed="81"/>
            <rFont val="Tahoma"/>
            <family val="2"/>
          </rPr>
          <t>Leonard Thagard:</t>
        </r>
        <r>
          <rPr>
            <sz val="9"/>
            <color indexed="81"/>
            <rFont val="Tahoma"/>
            <family val="2"/>
          </rPr>
          <t xml:space="preserve">
Best guess.</t>
        </r>
      </text>
    </comment>
    <comment ref="AA53" authorId="1" shapeId="0">
      <text>
        <r>
          <rPr>
            <b/>
            <sz val="9"/>
            <color indexed="81"/>
            <rFont val="Tahoma"/>
            <family val="2"/>
          </rPr>
          <t>Leonard Thagard:</t>
        </r>
        <r>
          <rPr>
            <sz val="9"/>
            <color indexed="81"/>
            <rFont val="Tahoma"/>
            <family val="2"/>
          </rPr>
          <t xml:space="preserve">
Thermal utilities are metered on a square foot basis not on usage.</t>
        </r>
      </text>
    </comment>
    <comment ref="BG53" authorId="1" shapeId="0">
      <text>
        <r>
          <rPr>
            <b/>
            <sz val="9"/>
            <color indexed="81"/>
            <rFont val="Tahoma"/>
            <family val="2"/>
          </rPr>
          <t>Leonard Thagard:</t>
        </r>
        <r>
          <rPr>
            <sz val="9"/>
            <color indexed="81"/>
            <rFont val="Tahoma"/>
            <family val="2"/>
          </rPr>
          <t xml:space="preserve">
Designer's LCCA estimate.</t>
        </r>
      </text>
    </comment>
    <comment ref="BI53" authorId="1" shapeId="0">
      <text>
        <r>
          <rPr>
            <b/>
            <sz val="9"/>
            <color indexed="81"/>
            <rFont val="Tahoma"/>
            <family val="2"/>
          </rPr>
          <t>Leonard Thagard:</t>
        </r>
        <r>
          <rPr>
            <sz val="9"/>
            <color indexed="81"/>
            <rFont val="Tahoma"/>
            <family val="2"/>
          </rPr>
          <t xml:space="preserve">
Designer's LCCA estimate.</t>
        </r>
      </text>
    </comment>
    <comment ref="K54" authorId="1" shapeId="0">
      <text>
        <r>
          <rPr>
            <b/>
            <sz val="9"/>
            <color indexed="81"/>
            <rFont val="Tahoma"/>
            <family val="2"/>
          </rPr>
          <t>Leonard Thagard:</t>
        </r>
        <r>
          <rPr>
            <sz val="9"/>
            <color indexed="81"/>
            <rFont val="Tahoma"/>
            <family val="2"/>
          </rPr>
          <t xml:space="preserve">
BO per Jerry Rogers' handwritten notes in file.</t>
        </r>
      </text>
    </comment>
    <comment ref="BI54" authorId="1" shapeId="0">
      <text>
        <r>
          <rPr>
            <b/>
            <sz val="9"/>
            <color indexed="81"/>
            <rFont val="Tahoma"/>
            <family val="2"/>
          </rPr>
          <t>Leonard Thagard:</t>
        </r>
        <r>
          <rPr>
            <sz val="9"/>
            <color indexed="81"/>
            <rFont val="Tahoma"/>
            <family val="2"/>
          </rPr>
          <t xml:space="preserve">
LCCA cost estimate for proposed building was $46,642,869 while baseline was $46,128,762 for a difference of 514,107 which was deducted from the bid amount to arrive at the baseline building estimate.</t>
        </r>
      </text>
    </comment>
    <comment ref="BK54" authorId="1" shapeId="0">
      <text>
        <r>
          <rPr>
            <b/>
            <sz val="9"/>
            <color indexed="81"/>
            <rFont val="Tahoma"/>
            <family val="2"/>
          </rPr>
          <t>Leonard Thagard:</t>
        </r>
        <r>
          <rPr>
            <sz val="9"/>
            <color indexed="81"/>
            <rFont val="Tahoma"/>
            <family val="2"/>
          </rPr>
          <t xml:space="preserve">
LEED certification 110000 and article 15-1 fee 229250</t>
        </r>
      </text>
    </comment>
    <comment ref="AA55" authorId="0" shapeId="0">
      <text>
        <r>
          <rPr>
            <b/>
            <sz val="9"/>
            <color indexed="81"/>
            <rFont val="Tahoma"/>
            <family val="2"/>
          </rPr>
          <t>Thagard, Leonard:</t>
        </r>
        <r>
          <rPr>
            <sz val="9"/>
            <color indexed="81"/>
            <rFont val="Tahoma"/>
            <family val="2"/>
          </rPr>
          <t xml:space="preserve">
Does not include heating hot water consumption.</t>
        </r>
      </text>
    </comment>
    <comment ref="AO55" authorId="0" shapeId="0">
      <text>
        <r>
          <rPr>
            <b/>
            <sz val="9"/>
            <color indexed="81"/>
            <rFont val="Tahoma"/>
            <family val="2"/>
          </rPr>
          <t>Thagard, Leonard:</t>
        </r>
        <r>
          <rPr>
            <sz val="9"/>
            <color indexed="81"/>
            <rFont val="Tahoma"/>
            <family val="2"/>
          </rPr>
          <t xml:space="preserve">
does not include heating hot water cost.
Does not include chilled water cost.</t>
        </r>
      </text>
    </comment>
    <comment ref="BB55" authorId="0" shapeId="0">
      <text>
        <r>
          <rPr>
            <b/>
            <sz val="9"/>
            <color indexed="81"/>
            <rFont val="Tahoma"/>
            <family val="2"/>
          </rPr>
          <t>Thagard, Leonard:</t>
        </r>
        <r>
          <rPr>
            <sz val="9"/>
            <color indexed="81"/>
            <rFont val="Tahoma"/>
            <family val="2"/>
          </rPr>
          <t xml:space="preserve">
No meter data.</t>
        </r>
      </text>
    </comment>
    <comment ref="BI58" authorId="1" shapeId="0">
      <text>
        <r>
          <rPr>
            <b/>
            <sz val="9"/>
            <color indexed="81"/>
            <rFont val="Tahoma"/>
            <family val="2"/>
          </rPr>
          <t>Leonard Thagard:</t>
        </r>
        <r>
          <rPr>
            <sz val="9"/>
            <color indexed="81"/>
            <rFont val="Tahoma"/>
            <family val="2"/>
          </rPr>
          <t xml:space="preserve">
baseline calculated from bid amount less delta of $1,012,000 between proposed and baseline estimates by designer.</t>
        </r>
      </text>
    </comment>
    <comment ref="BG60" authorId="1" shapeId="0">
      <text>
        <r>
          <rPr>
            <b/>
            <sz val="9"/>
            <color indexed="81"/>
            <rFont val="Tahoma"/>
            <family val="2"/>
          </rPr>
          <t>Leonard Thagard:</t>
        </r>
        <r>
          <rPr>
            <sz val="9"/>
            <color indexed="81"/>
            <rFont val="Tahoma"/>
            <family val="2"/>
          </rPr>
          <t xml:space="preserve">
Early site plus building package.</t>
        </r>
      </text>
    </comment>
    <comment ref="BC62" authorId="0" shapeId="0">
      <text>
        <r>
          <rPr>
            <b/>
            <sz val="9"/>
            <color indexed="81"/>
            <rFont val="Tahoma"/>
            <family val="2"/>
          </rPr>
          <t>Thagard, Leonard:</t>
        </r>
        <r>
          <rPr>
            <sz val="9"/>
            <color indexed="81"/>
            <rFont val="Tahoma"/>
            <family val="2"/>
          </rPr>
          <t xml:space="preserve">
Not possible:  871 gallons/student/year.</t>
        </r>
      </text>
    </comment>
    <comment ref="BI63" authorId="1" shapeId="0">
      <text>
        <r>
          <rPr>
            <b/>
            <sz val="9"/>
            <color indexed="81"/>
            <rFont val="Tahoma"/>
            <family val="2"/>
          </rPr>
          <t>Leonard Thagard:</t>
        </r>
        <r>
          <rPr>
            <sz val="9"/>
            <color indexed="81"/>
            <rFont val="Tahoma"/>
            <family val="2"/>
          </rPr>
          <t xml:space="preserve">
baseline and proposed building cost estimates exceeded the bid amount.  Costs to implement energy legislation are negative.</t>
        </r>
      </text>
    </comment>
    <comment ref="BK64" authorId="1" shapeId="0">
      <text>
        <r>
          <rPr>
            <b/>
            <sz val="9"/>
            <color indexed="81"/>
            <rFont val="Tahoma"/>
            <family val="2"/>
          </rPr>
          <t>Leonard Thagard:</t>
        </r>
        <r>
          <rPr>
            <sz val="9"/>
            <color indexed="81"/>
            <rFont val="Tahoma"/>
            <family val="2"/>
          </rPr>
          <t xml:space="preserve">
Green Globes.</t>
        </r>
      </text>
    </comment>
    <comment ref="BG68" authorId="1" shapeId="0">
      <text>
        <r>
          <rPr>
            <b/>
            <sz val="9"/>
            <color indexed="81"/>
            <rFont val="Tahoma"/>
            <family val="2"/>
          </rPr>
          <t>Leonard Thagard:</t>
        </r>
        <r>
          <rPr>
            <sz val="9"/>
            <color indexed="81"/>
            <rFont val="Tahoma"/>
            <family val="2"/>
          </rPr>
          <t xml:space="preserve">
CMR bid packages and CO's through CO#10.</t>
        </r>
      </text>
    </comment>
    <comment ref="BI68" authorId="1" shapeId="0">
      <text>
        <r>
          <rPr>
            <b/>
            <sz val="9"/>
            <color indexed="81"/>
            <rFont val="Tahoma"/>
            <family val="2"/>
          </rPr>
          <t>Leonard Thagard:</t>
        </r>
        <r>
          <rPr>
            <sz val="9"/>
            <color indexed="81"/>
            <rFont val="Tahoma"/>
            <family val="2"/>
          </rPr>
          <t xml:space="preserve">
CD estimates for baseline and proposed buildings exceed CMR bids through CO #10.  Baseline estimate is CMR contract amount through CO #10 less designer's delta between baseline and proposed buildings.</t>
        </r>
      </text>
    </comment>
    <comment ref="AO69" authorId="0" shapeId="0">
      <text>
        <r>
          <rPr>
            <b/>
            <sz val="9"/>
            <color indexed="81"/>
            <rFont val="Tahoma"/>
            <family val="2"/>
          </rPr>
          <t>Thagard, Leonard:</t>
        </r>
        <r>
          <rPr>
            <sz val="9"/>
            <color indexed="81"/>
            <rFont val="Tahoma"/>
            <family val="2"/>
          </rPr>
          <t xml:space="preserve">
partial meter data
incomplete
</t>
        </r>
      </text>
    </comment>
    <comment ref="AQ69" authorId="0" shapeId="0">
      <text>
        <r>
          <rPr>
            <b/>
            <sz val="9"/>
            <color indexed="81"/>
            <rFont val="Tahoma"/>
            <family val="2"/>
          </rPr>
          <t>Thagard, Leonard:</t>
        </r>
        <r>
          <rPr>
            <sz val="9"/>
            <color indexed="81"/>
            <rFont val="Tahoma"/>
            <family val="2"/>
          </rPr>
          <t xml:space="preserve">
Partial meter data.  No chilled water.  No heating hot water or steam.</t>
        </r>
      </text>
    </comment>
    <comment ref="AZ71" authorId="1" shapeId="0">
      <text>
        <r>
          <rPr>
            <b/>
            <sz val="9"/>
            <color indexed="81"/>
            <rFont val="Tahoma"/>
            <family val="2"/>
          </rPr>
          <t>Leonard Thagard:</t>
        </r>
        <r>
          <rPr>
            <sz val="9"/>
            <color indexed="81"/>
            <rFont val="Tahoma"/>
            <family val="2"/>
          </rPr>
          <t xml:space="preserve">
includes kitchen load and cooling tower make up at 3,600,000 gall/yr.</t>
        </r>
      </text>
    </comment>
    <comment ref="BG74" authorId="1" shapeId="0">
      <text>
        <r>
          <rPr>
            <b/>
            <sz val="9"/>
            <color indexed="81"/>
            <rFont val="Tahoma"/>
            <family val="2"/>
          </rPr>
          <t>Leonard Thagard:</t>
        </r>
        <r>
          <rPr>
            <sz val="9"/>
            <color indexed="81"/>
            <rFont val="Tahoma"/>
            <family val="2"/>
          </rPr>
          <t xml:space="preserve">
Captures most but not all bid packages.</t>
        </r>
      </text>
    </comment>
    <comment ref="BJ74" authorId="1" shapeId="0">
      <text>
        <r>
          <rPr>
            <b/>
            <sz val="9"/>
            <color indexed="81"/>
            <rFont val="Tahoma"/>
            <family val="2"/>
          </rPr>
          <t>Leonard Thagard:</t>
        </r>
        <r>
          <rPr>
            <sz val="9"/>
            <color indexed="81"/>
            <rFont val="Tahoma"/>
            <family val="2"/>
          </rPr>
          <t xml:space="preserve">
includes swing space, promotion support, bridge over RR tracks, etc.</t>
        </r>
      </text>
    </comment>
    <comment ref="X78" authorId="1" shapeId="0">
      <text>
        <r>
          <rPr>
            <b/>
            <sz val="9"/>
            <color indexed="81"/>
            <rFont val="Tahoma"/>
            <family val="2"/>
          </rPr>
          <t>Leonard Thagard:</t>
        </r>
        <r>
          <rPr>
            <sz val="9"/>
            <color indexed="81"/>
            <rFont val="Tahoma"/>
            <family val="2"/>
          </rPr>
          <t xml:space="preserve">
27% improvement without plug and process loads.</t>
        </r>
      </text>
    </comment>
    <comment ref="BK78" authorId="1" shapeId="0">
      <text>
        <r>
          <rPr>
            <b/>
            <sz val="9"/>
            <color indexed="81"/>
            <rFont val="Tahoma"/>
            <family val="2"/>
          </rPr>
          <t>Leonard Thagard:</t>
        </r>
        <r>
          <rPr>
            <sz val="9"/>
            <color indexed="81"/>
            <rFont val="Tahoma"/>
            <family val="2"/>
          </rPr>
          <t xml:space="preserve">
Green Globes</t>
        </r>
      </text>
    </comment>
    <comment ref="N80" authorId="1" shapeId="0">
      <text>
        <r>
          <rPr>
            <b/>
            <sz val="9"/>
            <color indexed="81"/>
            <rFont val="Tahoma"/>
            <family val="2"/>
          </rPr>
          <t>Leonard Thagard:</t>
        </r>
        <r>
          <rPr>
            <sz val="9"/>
            <color indexed="81"/>
            <rFont val="Tahoma"/>
            <family val="2"/>
          </rPr>
          <t xml:space="preserve">
GSF does not include tempered un-occupied attic space of ~22,000 SF.</t>
        </r>
      </text>
    </comment>
    <comment ref="AA80" authorId="0" shapeId="0">
      <text>
        <r>
          <rPr>
            <b/>
            <sz val="9"/>
            <color indexed="81"/>
            <rFont val="Tahoma"/>
            <family val="2"/>
          </rPr>
          <t>Thagard, Leonard:</t>
        </r>
        <r>
          <rPr>
            <sz val="9"/>
            <color indexed="81"/>
            <rFont val="Tahoma"/>
            <family val="2"/>
          </rPr>
          <t xml:space="preserve">
Total does not include thermal utilities or chilled water and heating hot water</t>
        </r>
      </text>
    </comment>
    <comment ref="AO80" authorId="0" shapeId="0">
      <text>
        <r>
          <rPr>
            <b/>
            <sz val="9"/>
            <color indexed="81"/>
            <rFont val="Tahoma"/>
            <family val="2"/>
          </rPr>
          <t>Thagard, Leonard:</t>
        </r>
        <r>
          <rPr>
            <sz val="9"/>
            <color indexed="81"/>
            <rFont val="Tahoma"/>
            <family val="2"/>
          </rPr>
          <t xml:space="preserve">
Total does not include thermal utilities</t>
        </r>
      </text>
    </comment>
    <comment ref="BG80" authorId="1" shapeId="0">
      <text>
        <r>
          <rPr>
            <b/>
            <sz val="9"/>
            <color indexed="81"/>
            <rFont val="Tahoma"/>
            <family val="2"/>
          </rPr>
          <t>Leonard Thagard:</t>
        </r>
        <r>
          <rPr>
            <sz val="9"/>
            <color indexed="81"/>
            <rFont val="Tahoma"/>
            <family val="2"/>
          </rPr>
          <t xml:space="preserve">
Designer's proposed building estimate is $5,957,771.  Early demo is not included.  Contract may include CUP and distribution piping.  Ear</t>
        </r>
      </text>
    </comment>
    <comment ref="BI80" authorId="1" shapeId="0">
      <text>
        <r>
          <rPr>
            <b/>
            <sz val="9"/>
            <color indexed="81"/>
            <rFont val="Tahoma"/>
            <family val="2"/>
          </rPr>
          <t>Leonard Thagard:</t>
        </r>
        <r>
          <rPr>
            <sz val="9"/>
            <color indexed="81"/>
            <rFont val="Tahoma"/>
            <family val="2"/>
          </rPr>
          <t xml:space="preserve">
does not include early demo, CEP, CEP distribution, etc.</t>
        </r>
      </text>
    </comment>
    <comment ref="BM80" authorId="1" shapeId="0">
      <text>
        <r>
          <rPr>
            <b/>
            <sz val="9"/>
            <color indexed="81"/>
            <rFont val="Tahoma"/>
            <family val="2"/>
          </rPr>
          <t>Leonard Thagard:</t>
        </r>
        <r>
          <rPr>
            <sz val="9"/>
            <color indexed="81"/>
            <rFont val="Tahoma"/>
            <family val="2"/>
          </rPr>
          <t xml:space="preserve">
There is no SCO contract for Cx.</t>
        </r>
      </text>
    </comment>
    <comment ref="N81" authorId="1" shapeId="0">
      <text>
        <r>
          <rPr>
            <b/>
            <sz val="9"/>
            <color indexed="81"/>
            <rFont val="Tahoma"/>
            <family val="2"/>
          </rPr>
          <t>Leonard Thagard:</t>
        </r>
        <r>
          <rPr>
            <sz val="9"/>
            <color indexed="81"/>
            <rFont val="Tahoma"/>
            <family val="2"/>
          </rPr>
          <t xml:space="preserve">
Listed now as two buildings East at 102,127 GSF and West at 105,950 GSF.</t>
        </r>
      </text>
    </comment>
    <comment ref="AA81" authorId="0" shapeId="0">
      <text>
        <r>
          <rPr>
            <b/>
            <sz val="9"/>
            <color indexed="81"/>
            <rFont val="Tahoma"/>
            <family val="2"/>
          </rPr>
          <t>Thagard, Leonard:</t>
        </r>
        <r>
          <rPr>
            <sz val="9"/>
            <color indexed="81"/>
            <rFont val="Tahoma"/>
            <family val="2"/>
          </rPr>
          <t xml:space="preserve">
does not include steam/condensate meter data</t>
        </r>
      </text>
    </comment>
    <comment ref="AO81" authorId="0" shapeId="0">
      <text>
        <r>
          <rPr>
            <b/>
            <sz val="9"/>
            <color indexed="81"/>
            <rFont val="Tahoma"/>
            <family val="2"/>
          </rPr>
          <t>Thagard, Leonard:</t>
        </r>
        <r>
          <rPr>
            <sz val="9"/>
            <color indexed="81"/>
            <rFont val="Tahoma"/>
            <family val="2"/>
          </rPr>
          <t xml:space="preserve">
does not include steam/condensate meter data</t>
        </r>
      </text>
    </comment>
    <comment ref="BB81" authorId="0" shapeId="0">
      <text>
        <r>
          <rPr>
            <b/>
            <sz val="9"/>
            <color indexed="81"/>
            <rFont val="Tahoma"/>
            <family val="2"/>
          </rPr>
          <t>Thagard, Leonard:</t>
        </r>
        <r>
          <rPr>
            <sz val="9"/>
            <color indexed="81"/>
            <rFont val="Tahoma"/>
            <family val="2"/>
          </rPr>
          <t xml:space="preserve">
does not include Aug 15 and July 16 meter data</t>
        </r>
      </text>
    </comment>
    <comment ref="AU82" authorId="1" shapeId="0">
      <text>
        <r>
          <rPr>
            <b/>
            <sz val="9"/>
            <color indexed="81"/>
            <rFont val="Tahoma"/>
            <family val="2"/>
          </rPr>
          <t>Leonard Thagard:</t>
        </r>
        <r>
          <rPr>
            <sz val="9"/>
            <color indexed="81"/>
            <rFont val="Tahoma"/>
            <family val="2"/>
          </rPr>
          <t xml:space="preserve">
Includes cooling tower make up and large laundry load.</t>
        </r>
      </text>
    </comment>
    <comment ref="J84" authorId="1" shapeId="0">
      <text>
        <r>
          <rPr>
            <b/>
            <sz val="9"/>
            <color indexed="81"/>
            <rFont val="Tahoma"/>
            <family val="2"/>
          </rPr>
          <t>Leonard Thagard:</t>
        </r>
        <r>
          <rPr>
            <sz val="9"/>
            <color indexed="81"/>
            <rFont val="Tahoma"/>
            <family val="2"/>
          </rPr>
          <t xml:space="preserve">
Private funding.  No state contract.</t>
        </r>
      </text>
    </comment>
    <comment ref="K84" authorId="0" shapeId="0">
      <text>
        <r>
          <rPr>
            <b/>
            <sz val="9"/>
            <color indexed="81"/>
            <rFont val="Tahoma"/>
            <family val="2"/>
          </rPr>
          <t>Thagard, Leonard:</t>
        </r>
        <r>
          <rPr>
            <sz val="9"/>
            <color indexed="81"/>
            <rFont val="Tahoma"/>
            <family val="2"/>
          </rPr>
          <t xml:space="preserve">
?</t>
        </r>
      </text>
    </comment>
    <comment ref="O84" authorId="0" shapeId="0">
      <text>
        <r>
          <rPr>
            <b/>
            <sz val="9"/>
            <color indexed="81"/>
            <rFont val="Tahoma"/>
            <family val="2"/>
          </rPr>
          <t>Thagard, Leonard:</t>
        </r>
        <r>
          <rPr>
            <sz val="9"/>
            <color indexed="81"/>
            <rFont val="Tahoma"/>
            <family val="2"/>
          </rPr>
          <t xml:space="preserve">
include conference center meeting rooms.</t>
        </r>
      </text>
    </comment>
    <comment ref="K85" authorId="0" shapeId="0">
      <text>
        <r>
          <rPr>
            <b/>
            <sz val="9"/>
            <color indexed="81"/>
            <rFont val="Tahoma"/>
            <family val="2"/>
          </rPr>
          <t>Thagard, Leonard:</t>
        </r>
        <r>
          <rPr>
            <sz val="9"/>
            <color indexed="81"/>
            <rFont val="Tahoma"/>
            <family val="2"/>
          </rPr>
          <t xml:space="preserve">
BO.  Working through punch list and natatorium.</t>
        </r>
      </text>
    </comment>
    <comment ref="N85" authorId="1" shapeId="0">
      <text>
        <r>
          <rPr>
            <b/>
            <sz val="9"/>
            <color indexed="81"/>
            <rFont val="Tahoma"/>
            <family val="2"/>
          </rPr>
          <t>Leonard Thagard:</t>
        </r>
        <r>
          <rPr>
            <sz val="9"/>
            <color indexed="81"/>
            <rFont val="Tahoma"/>
            <family val="2"/>
          </rPr>
          <t xml:space="preserve">
131,341 includes pool deck and pool lobby in GSF.  M&amp;L estimate at 105,000 GSF.</t>
        </r>
      </text>
    </comment>
    <comment ref="T85" authorId="1" shapeId="0">
      <text>
        <r>
          <rPr>
            <b/>
            <sz val="9"/>
            <color indexed="81"/>
            <rFont val="Tahoma"/>
            <family val="2"/>
          </rPr>
          <t>Leonard Thagard:</t>
        </r>
        <r>
          <rPr>
            <sz val="9"/>
            <color indexed="81"/>
            <rFont val="Tahoma"/>
            <family val="2"/>
          </rPr>
          <t xml:space="preserve">
Includes plug and process loads.  Pool equipment and HVAC are considered process loads.</t>
        </r>
      </text>
    </comment>
    <comment ref="X85" authorId="1" shapeId="0">
      <text>
        <r>
          <rPr>
            <b/>
            <sz val="9"/>
            <color indexed="81"/>
            <rFont val="Tahoma"/>
            <family val="2"/>
          </rPr>
          <t>Leonard Thagard:</t>
        </r>
        <r>
          <rPr>
            <sz val="9"/>
            <color indexed="81"/>
            <rFont val="Tahoma"/>
            <family val="2"/>
          </rPr>
          <t xml:space="preserve">
6% less energy than A90.1-2010.</t>
        </r>
      </text>
    </comment>
    <comment ref="BN85" authorId="1" shapeId="0">
      <text>
        <r>
          <rPr>
            <b/>
            <sz val="9"/>
            <color indexed="81"/>
            <rFont val="Tahoma"/>
            <family val="2"/>
          </rPr>
          <t>Leonard Thagard:</t>
        </r>
        <r>
          <rPr>
            <sz val="9"/>
            <color indexed="81"/>
            <rFont val="Tahoma"/>
            <family val="2"/>
          </rPr>
          <t xml:space="preserve">
Not correct since base is A90.1-2010 instead of A90.1-2004.  Also window and roof replacement not analyzed based on LCCA.</t>
        </r>
      </text>
    </comment>
    <comment ref="K86" authorId="0" shapeId="0">
      <text>
        <r>
          <rPr>
            <b/>
            <sz val="9"/>
            <color indexed="81"/>
            <rFont val="Tahoma"/>
            <family val="2"/>
          </rPr>
          <t>Thagard, Leonard:</t>
        </r>
        <r>
          <rPr>
            <sz val="9"/>
            <color indexed="81"/>
            <rFont val="Tahoma"/>
            <family val="2"/>
          </rPr>
          <t xml:space="preserve">
BO</t>
        </r>
      </text>
    </comment>
    <comment ref="BG87" authorId="1" shapeId="0">
      <text>
        <r>
          <rPr>
            <b/>
            <sz val="9"/>
            <color indexed="81"/>
            <rFont val="Tahoma"/>
            <family val="2"/>
          </rPr>
          <t>Leonard Thagard:</t>
        </r>
        <r>
          <rPr>
            <sz val="9"/>
            <color indexed="81"/>
            <rFont val="Tahoma"/>
            <family val="2"/>
          </rPr>
          <t xml:space="preserve">
SB 668 bldg estimate from PDC.  BCC DB GMP is $9,751,745</t>
        </r>
      </text>
    </comment>
    <comment ref="BI87" authorId="1" shapeId="0">
      <text>
        <r>
          <rPr>
            <b/>
            <sz val="9"/>
            <color indexed="81"/>
            <rFont val="Tahoma"/>
            <family val="2"/>
          </rPr>
          <t>Leonard Thagard:</t>
        </r>
        <r>
          <rPr>
            <sz val="9"/>
            <color indexed="81"/>
            <rFont val="Tahoma"/>
            <family val="2"/>
          </rPr>
          <t xml:space="preserve">
Proposed bldg estimate from PDC.  BCC DB GMP is $9,751,745</t>
        </r>
      </text>
    </comment>
    <comment ref="BK87" authorId="1" shapeId="0">
      <text>
        <r>
          <rPr>
            <b/>
            <sz val="9"/>
            <color indexed="81"/>
            <rFont val="Tahoma"/>
            <family val="2"/>
          </rPr>
          <t>Leonard Thagard:</t>
        </r>
        <r>
          <rPr>
            <sz val="9"/>
            <color indexed="81"/>
            <rFont val="Tahoma"/>
            <family val="2"/>
          </rPr>
          <t xml:space="preserve">
PDC estimate from HB 628 study.</t>
        </r>
      </text>
    </comment>
    <comment ref="BM87" authorId="1" shapeId="0">
      <text>
        <r>
          <rPr>
            <b/>
            <sz val="9"/>
            <color indexed="81"/>
            <rFont val="Tahoma"/>
            <family val="2"/>
          </rPr>
          <t>Leonard Thagard:</t>
        </r>
        <r>
          <rPr>
            <sz val="9"/>
            <color indexed="81"/>
            <rFont val="Tahoma"/>
            <family val="2"/>
          </rPr>
          <t xml:space="preserve">
PDC estimate for Cx.</t>
        </r>
      </text>
    </comment>
    <comment ref="N88" authorId="1" shapeId="0">
      <text>
        <r>
          <rPr>
            <b/>
            <sz val="9"/>
            <color indexed="81"/>
            <rFont val="Tahoma"/>
            <family val="2"/>
          </rPr>
          <t>Leonard Thagard:</t>
        </r>
        <r>
          <rPr>
            <sz val="9"/>
            <color indexed="81"/>
            <rFont val="Tahoma"/>
            <family val="2"/>
          </rPr>
          <t xml:space="preserve">
GSF includes alternates for additional space and per email from Rebecca dated 12.19.13.
</t>
        </r>
      </text>
    </comment>
    <comment ref="T88" authorId="1" shapeId="0">
      <text>
        <r>
          <rPr>
            <b/>
            <sz val="9"/>
            <color indexed="81"/>
            <rFont val="Tahoma"/>
            <family val="2"/>
          </rPr>
          <t>Leonard Thagard:</t>
        </r>
        <r>
          <rPr>
            <sz val="9"/>
            <color indexed="81"/>
            <rFont val="Tahoma"/>
            <family val="2"/>
          </rPr>
          <t xml:space="preserve">
Includes process loads.</t>
        </r>
      </text>
    </comment>
    <comment ref="V88" authorId="1" shapeId="0">
      <text>
        <r>
          <rPr>
            <b/>
            <sz val="9"/>
            <color indexed="81"/>
            <rFont val="Tahoma"/>
            <family val="2"/>
          </rPr>
          <t>Leonard Thagard:</t>
        </r>
        <r>
          <rPr>
            <sz val="9"/>
            <color indexed="81"/>
            <rFont val="Tahoma"/>
            <family val="2"/>
          </rPr>
          <t xml:space="preserve">
Includes process loads.</t>
        </r>
      </text>
    </comment>
    <comment ref="P89" authorId="1" shapeId="0">
      <text>
        <r>
          <rPr>
            <b/>
            <sz val="9"/>
            <color indexed="81"/>
            <rFont val="Tahoma"/>
            <family val="2"/>
          </rPr>
          <t>Leonard Thagard:</t>
        </r>
        <r>
          <rPr>
            <sz val="9"/>
            <color indexed="81"/>
            <rFont val="Tahoma"/>
            <family val="2"/>
          </rPr>
          <t xml:space="preserve">
base=57,963
1st=70,579
mez=37,042
Need to verify GSF.</t>
        </r>
      </text>
    </comment>
    <comment ref="K91" authorId="0" shapeId="0">
      <text>
        <r>
          <rPr>
            <b/>
            <sz val="9"/>
            <color indexed="81"/>
            <rFont val="Tahoma"/>
            <family val="2"/>
          </rPr>
          <t>Thagard, Leonard:</t>
        </r>
        <r>
          <rPr>
            <sz val="9"/>
            <color indexed="81"/>
            <rFont val="Tahoma"/>
            <family val="2"/>
          </rPr>
          <t xml:space="preserve">
BO.</t>
        </r>
      </text>
    </comment>
    <comment ref="X91" authorId="1" shapeId="0">
      <text>
        <r>
          <rPr>
            <b/>
            <sz val="9"/>
            <color indexed="81"/>
            <rFont val="Tahoma"/>
            <family val="2"/>
          </rPr>
          <t>Leonard Thagard:</t>
        </r>
        <r>
          <rPr>
            <sz val="9"/>
            <color indexed="81"/>
            <rFont val="Tahoma"/>
            <family val="2"/>
          </rPr>
          <t xml:space="preserve">
25% improvement w/o plug load</t>
        </r>
      </text>
    </comment>
    <comment ref="AH91" authorId="1" shapeId="0">
      <text>
        <r>
          <rPr>
            <b/>
            <sz val="9"/>
            <color indexed="81"/>
            <rFont val="Tahoma"/>
            <family val="2"/>
          </rPr>
          <t>Leonard Thagard:</t>
        </r>
        <r>
          <rPr>
            <sz val="9"/>
            <color indexed="81"/>
            <rFont val="Tahoma"/>
            <family val="2"/>
          </rPr>
          <t xml:space="preserve">
energy dollars include plug and process loads</t>
        </r>
      </text>
    </comment>
    <comment ref="BI91" authorId="1" shapeId="0">
      <text>
        <r>
          <rPr>
            <b/>
            <sz val="9"/>
            <color indexed="81"/>
            <rFont val="Tahoma"/>
            <family val="2"/>
          </rPr>
          <t>Leonard Thagard:</t>
        </r>
        <r>
          <rPr>
            <sz val="9"/>
            <color indexed="81"/>
            <rFont val="Tahoma"/>
            <family val="2"/>
          </rPr>
          <t xml:space="preserve">
baseline estimate from energy model report.  Proposed estimate si $36,334,998 compared to CM estimate of </t>
        </r>
      </text>
    </comment>
    <comment ref="BK92" authorId="0" shapeId="0">
      <text>
        <r>
          <rPr>
            <b/>
            <sz val="9"/>
            <color indexed="81"/>
            <rFont val="Tahoma"/>
            <family val="2"/>
          </rPr>
          <t>Thagard, Leonard:</t>
        </r>
        <r>
          <rPr>
            <sz val="9"/>
            <color indexed="81"/>
            <rFont val="Tahoma"/>
            <family val="2"/>
          </rPr>
          <t xml:space="preserve">
$154,488 for LEED Silver Certification
</t>
        </r>
      </text>
    </comment>
    <comment ref="K93" authorId="0" shapeId="0">
      <text>
        <r>
          <rPr>
            <b/>
            <sz val="9"/>
            <color indexed="81"/>
            <rFont val="Tahoma"/>
            <family val="2"/>
          </rPr>
          <t>Thagard, Leonard:</t>
        </r>
        <r>
          <rPr>
            <sz val="9"/>
            <color indexed="81"/>
            <rFont val="Tahoma"/>
            <family val="2"/>
          </rPr>
          <t xml:space="preserve">
BO? Per Lipke's notes of 07/14/17.  Cx not complete.</t>
        </r>
      </text>
    </comment>
    <comment ref="N93" authorId="1" shapeId="0">
      <text>
        <r>
          <rPr>
            <b/>
            <sz val="9"/>
            <color indexed="81"/>
            <rFont val="Tahoma"/>
            <family val="2"/>
          </rPr>
          <t>Leonard Thagard:</t>
        </r>
        <r>
          <rPr>
            <sz val="9"/>
            <color indexed="81"/>
            <rFont val="Tahoma"/>
            <family val="2"/>
          </rPr>
          <t xml:space="preserve">
Building Area including overhang.</t>
        </r>
      </text>
    </comment>
    <comment ref="BI93" authorId="1" shapeId="0">
      <text>
        <r>
          <rPr>
            <b/>
            <sz val="9"/>
            <color indexed="81"/>
            <rFont val="Tahoma"/>
            <family val="2"/>
          </rPr>
          <t>Leonard Thagard:</t>
        </r>
        <r>
          <rPr>
            <sz val="9"/>
            <color indexed="81"/>
            <rFont val="Tahoma"/>
            <family val="2"/>
          </rPr>
          <t xml:space="preserve">
Proposed building reconciled CRM cost estimate less delta for base building from LCCA.</t>
        </r>
      </text>
    </comment>
    <comment ref="K94" authorId="0" shapeId="0">
      <text>
        <r>
          <rPr>
            <b/>
            <sz val="9"/>
            <color indexed="81"/>
            <rFont val="Tahoma"/>
            <family val="2"/>
          </rPr>
          <t>Thagard, Leonard:</t>
        </r>
        <r>
          <rPr>
            <sz val="9"/>
            <color indexed="81"/>
            <rFont val="Tahoma"/>
            <family val="2"/>
          </rPr>
          <t xml:space="preserve">
BO</t>
        </r>
      </text>
    </comment>
    <comment ref="BK94" authorId="1" shapeId="0">
      <text>
        <r>
          <rPr>
            <b/>
            <sz val="9"/>
            <color indexed="81"/>
            <rFont val="Tahoma"/>
            <family val="2"/>
          </rPr>
          <t>Leonard Thagard:</t>
        </r>
        <r>
          <rPr>
            <sz val="9"/>
            <color indexed="81"/>
            <rFont val="Tahoma"/>
            <family val="2"/>
          </rPr>
          <t xml:space="preserve">
Not LEED per meeting minutes 04.09.14.</t>
        </r>
      </text>
    </comment>
    <comment ref="K97" authorId="0" shapeId="0">
      <text>
        <r>
          <rPr>
            <b/>
            <sz val="9"/>
            <color indexed="81"/>
            <rFont val="Tahoma"/>
            <family val="2"/>
          </rPr>
          <t>Thagard, Leonard:</t>
        </r>
        <r>
          <rPr>
            <sz val="9"/>
            <color indexed="81"/>
            <rFont val="Tahoma"/>
            <family val="2"/>
          </rPr>
          <t xml:space="preserve">
Interscope has final sometime in June 2017.  Construction completion is two + months behind. </t>
        </r>
      </text>
    </comment>
    <comment ref="BM97" authorId="1" shapeId="0">
      <text>
        <r>
          <rPr>
            <b/>
            <sz val="9"/>
            <color indexed="81"/>
            <rFont val="Tahoma"/>
            <family val="2"/>
          </rPr>
          <t>Leonard Thagard:</t>
        </r>
        <r>
          <rPr>
            <sz val="9"/>
            <color indexed="81"/>
            <rFont val="Tahoma"/>
            <family val="2"/>
          </rPr>
          <t xml:space="preserve">
Current contract is for $22,000.  $120,000 is commissioning reserve.</t>
        </r>
      </text>
    </comment>
    <comment ref="BK98" authorId="1" shapeId="0">
      <text>
        <r>
          <rPr>
            <b/>
            <sz val="9"/>
            <color indexed="81"/>
            <rFont val="Tahoma"/>
            <family val="2"/>
          </rPr>
          <t>Leonard Thagard:</t>
        </r>
        <r>
          <rPr>
            <sz val="9"/>
            <color indexed="81"/>
            <rFont val="Tahoma"/>
            <family val="2"/>
          </rPr>
          <t xml:space="preserve">
LEED certification design &amp; documentation for $35,000.  LEED Registration for $8,500.</t>
        </r>
      </text>
    </comment>
    <comment ref="BI101" authorId="1" shapeId="0">
      <text>
        <r>
          <rPr>
            <b/>
            <sz val="9"/>
            <color indexed="81"/>
            <rFont val="Tahoma"/>
            <family val="2"/>
          </rPr>
          <t>Leonard Thagard:</t>
        </r>
        <r>
          <rPr>
            <sz val="9"/>
            <color indexed="81"/>
            <rFont val="Tahoma"/>
            <family val="2"/>
          </rPr>
          <t xml:space="preserve">
Delta between proposed and baseline is $2,000,000 per AEI LCCA.</t>
        </r>
      </text>
    </comment>
    <comment ref="T102" authorId="1" shapeId="0">
      <text>
        <r>
          <rPr>
            <b/>
            <sz val="9"/>
            <color indexed="81"/>
            <rFont val="Tahoma"/>
            <family val="2"/>
          </rPr>
          <t>Leonard Thagard:</t>
        </r>
        <r>
          <rPr>
            <sz val="9"/>
            <color indexed="81"/>
            <rFont val="Tahoma"/>
            <family val="2"/>
          </rPr>
          <t xml:space="preserve">
Includes process load</t>
        </r>
      </text>
    </comment>
    <comment ref="V102" authorId="1" shapeId="0">
      <text>
        <r>
          <rPr>
            <b/>
            <sz val="9"/>
            <color indexed="81"/>
            <rFont val="Tahoma"/>
            <family val="2"/>
          </rPr>
          <t>Leonard Thagard:</t>
        </r>
        <r>
          <rPr>
            <sz val="9"/>
            <color indexed="81"/>
            <rFont val="Tahoma"/>
            <family val="2"/>
          </rPr>
          <t xml:space="preserve">
Includes process load.</t>
        </r>
      </text>
    </comment>
    <comment ref="X102" authorId="1" shapeId="0">
      <text>
        <r>
          <rPr>
            <b/>
            <sz val="9"/>
            <color indexed="81"/>
            <rFont val="Tahoma"/>
            <family val="2"/>
          </rPr>
          <t>Leonard Thagard:</t>
        </r>
        <r>
          <rPr>
            <sz val="9"/>
            <color indexed="81"/>
            <rFont val="Tahoma"/>
            <family val="2"/>
          </rPr>
          <t xml:space="preserve">
Savings are 46% with process load removed.</t>
        </r>
      </text>
    </comment>
    <comment ref="AI102" authorId="1" shapeId="0">
      <text>
        <r>
          <rPr>
            <b/>
            <sz val="9"/>
            <color indexed="81"/>
            <rFont val="Tahoma"/>
            <family val="2"/>
          </rPr>
          <t>Leonard Thagard:</t>
        </r>
        <r>
          <rPr>
            <sz val="9"/>
            <color indexed="81"/>
            <rFont val="Tahoma"/>
            <family val="2"/>
          </rPr>
          <t xml:space="preserve">
Includes process load.</t>
        </r>
      </text>
    </comment>
    <comment ref="AK102" authorId="1" shapeId="0">
      <text>
        <r>
          <rPr>
            <b/>
            <sz val="9"/>
            <color indexed="81"/>
            <rFont val="Tahoma"/>
            <family val="2"/>
          </rPr>
          <t>Leonard Thagard:</t>
        </r>
        <r>
          <rPr>
            <sz val="9"/>
            <color indexed="81"/>
            <rFont val="Tahoma"/>
            <family val="2"/>
          </rPr>
          <t xml:space="preserve">
Includes process load.</t>
        </r>
      </text>
    </comment>
    <comment ref="AT102" authorId="1" shapeId="0">
      <text>
        <r>
          <rPr>
            <b/>
            <sz val="9"/>
            <color indexed="81"/>
            <rFont val="Tahoma"/>
            <family val="2"/>
          </rPr>
          <t>Leonard Thagard:</t>
        </r>
        <r>
          <rPr>
            <sz val="9"/>
            <color indexed="81"/>
            <rFont val="Tahoma"/>
            <family val="2"/>
          </rPr>
          <t xml:space="preserve">
Includes cooling tower consumption.</t>
        </r>
      </text>
    </comment>
    <comment ref="AW102" authorId="1" shapeId="0">
      <text>
        <r>
          <rPr>
            <b/>
            <sz val="9"/>
            <color indexed="81"/>
            <rFont val="Tahoma"/>
            <family val="2"/>
          </rPr>
          <t>Leonard Thagard:</t>
        </r>
        <r>
          <rPr>
            <sz val="9"/>
            <color indexed="81"/>
            <rFont val="Tahoma"/>
            <family val="2"/>
          </rPr>
          <t xml:space="preserve">
Includes cooling tower consumption that is reduced due to smaller cooling load.</t>
        </r>
      </text>
    </comment>
    <comment ref="BI102" authorId="1" shapeId="0">
      <text>
        <r>
          <rPr>
            <b/>
            <sz val="9"/>
            <color indexed="81"/>
            <rFont val="Tahoma"/>
            <family val="2"/>
          </rPr>
          <t>Leonard Thagard:</t>
        </r>
        <r>
          <rPr>
            <sz val="9"/>
            <color indexed="81"/>
            <rFont val="Tahoma"/>
            <family val="2"/>
          </rPr>
          <t xml:space="preserve">
Baseline whole building estimate from LCCA.</t>
        </r>
      </text>
    </comment>
    <comment ref="BJ102" authorId="1" shapeId="0">
      <text>
        <r>
          <rPr>
            <b/>
            <sz val="9"/>
            <color indexed="81"/>
            <rFont val="Tahoma"/>
            <family val="2"/>
          </rPr>
          <t>Leonard Thagard:</t>
        </r>
        <r>
          <rPr>
            <sz val="9"/>
            <color indexed="81"/>
            <rFont val="Tahoma"/>
            <family val="2"/>
          </rPr>
          <t xml:space="preserve">
Includes fee for swing space and others.</t>
        </r>
      </text>
    </comment>
    <comment ref="A104" authorId="1" shapeId="0">
      <text>
        <r>
          <rPr>
            <b/>
            <sz val="9"/>
            <color indexed="81"/>
            <rFont val="Tahoma"/>
            <family val="2"/>
          </rPr>
          <t>Leonard Thagard:</t>
        </r>
        <r>
          <rPr>
            <sz val="9"/>
            <color indexed="81"/>
            <rFont val="Tahoma"/>
            <family val="2"/>
          </rPr>
          <t xml:space="preserve">
Courtesy review only of energy model and LCCA per Greg Driver &amp; Joe Bace discussion (SCO Director &amp; AB Tech Fac/Oper Director)</t>
        </r>
      </text>
    </comment>
    <comment ref="W104" authorId="1" shapeId="0">
      <text>
        <r>
          <rPr>
            <b/>
            <sz val="9"/>
            <color indexed="81"/>
            <rFont val="Tahoma"/>
            <family val="2"/>
          </rPr>
          <t>Leonard Thagard:</t>
        </r>
        <r>
          <rPr>
            <sz val="9"/>
            <color indexed="81"/>
            <rFont val="Tahoma"/>
            <family val="2"/>
          </rPr>
          <t xml:space="preserve">
second lowest proposed EUI, second only to a warehouse/storage facility.</t>
        </r>
      </text>
    </comment>
    <comment ref="X104" authorId="1" shapeId="0">
      <text>
        <r>
          <rPr>
            <b/>
            <sz val="9"/>
            <color indexed="81"/>
            <rFont val="Tahoma"/>
            <family val="2"/>
          </rPr>
          <t>Leonard Thagard:</t>
        </r>
        <r>
          <rPr>
            <sz val="9"/>
            <color indexed="81"/>
            <rFont val="Tahoma"/>
            <family val="2"/>
          </rPr>
          <t xml:space="preserve">
Highest percentage savings to date.</t>
        </r>
      </text>
    </comment>
    <comment ref="T106" authorId="1" shapeId="0">
      <text>
        <r>
          <rPr>
            <b/>
            <sz val="9"/>
            <color indexed="81"/>
            <rFont val="Tahoma"/>
            <family val="2"/>
          </rPr>
          <t>Leonard Thagard:</t>
        </r>
        <r>
          <rPr>
            <sz val="9"/>
            <color indexed="81"/>
            <rFont val="Tahoma"/>
            <family val="2"/>
          </rPr>
          <t xml:space="preserve">
No data provided with SD or DD submission.</t>
        </r>
      </text>
    </comment>
    <comment ref="V106" authorId="1" shapeId="0">
      <text>
        <r>
          <rPr>
            <b/>
            <sz val="9"/>
            <color indexed="81"/>
            <rFont val="Tahoma"/>
            <family val="2"/>
          </rPr>
          <t>Leonard Thagard:</t>
        </r>
        <r>
          <rPr>
            <sz val="9"/>
            <color indexed="81"/>
            <rFont val="Tahoma"/>
            <family val="2"/>
          </rPr>
          <t xml:space="preserve">
No data provided with SD or DD submission.</t>
        </r>
      </text>
    </comment>
    <comment ref="BI107" authorId="0" shapeId="0">
      <text>
        <r>
          <rPr>
            <b/>
            <sz val="9"/>
            <color indexed="81"/>
            <rFont val="Tahoma"/>
            <family val="2"/>
          </rPr>
          <t>Thagard, Leonard:</t>
        </r>
        <r>
          <rPr>
            <sz val="9"/>
            <color indexed="81"/>
            <rFont val="Tahoma"/>
            <family val="2"/>
          </rPr>
          <t xml:space="preserve">
Designer's proposed building cost estimate and energy consumption exceeded bid price and modeled energy consumption.</t>
        </r>
      </text>
    </comment>
    <comment ref="BM107" authorId="0" shapeId="0">
      <text>
        <r>
          <rPr>
            <b/>
            <sz val="9"/>
            <color indexed="81"/>
            <rFont val="Tahoma"/>
            <family val="2"/>
          </rPr>
          <t>Thagard, Leonard:</t>
        </r>
        <r>
          <rPr>
            <sz val="9"/>
            <color indexed="81"/>
            <rFont val="Tahoma"/>
            <family val="2"/>
          </rPr>
          <t xml:space="preserve">
estimated at .75% of proposed construction cost.</t>
        </r>
      </text>
    </comment>
    <comment ref="T108" authorId="1" shapeId="0">
      <text>
        <r>
          <rPr>
            <b/>
            <sz val="9"/>
            <color indexed="81"/>
            <rFont val="Tahoma"/>
            <family val="2"/>
          </rPr>
          <t>Leonard Thagard:</t>
        </r>
        <r>
          <rPr>
            <sz val="9"/>
            <color indexed="81"/>
            <rFont val="Tahoma"/>
            <family val="2"/>
          </rPr>
          <t xml:space="preserve">
Plug and process has not been included.</t>
        </r>
      </text>
    </comment>
    <comment ref="V108" authorId="1" shapeId="0">
      <text>
        <r>
          <rPr>
            <b/>
            <sz val="9"/>
            <color indexed="81"/>
            <rFont val="Tahoma"/>
            <family val="2"/>
          </rPr>
          <t>Leonard Thagard:</t>
        </r>
        <r>
          <rPr>
            <sz val="9"/>
            <color indexed="81"/>
            <rFont val="Tahoma"/>
            <family val="2"/>
          </rPr>
          <t xml:space="preserve">
Plug and process has not been included.</t>
        </r>
      </text>
    </comment>
    <comment ref="AJ108" authorId="1" shapeId="0">
      <text>
        <r>
          <rPr>
            <b/>
            <sz val="9"/>
            <color indexed="81"/>
            <rFont val="Tahoma"/>
            <family val="2"/>
          </rPr>
          <t>Leonard Thagard:</t>
        </r>
        <r>
          <rPr>
            <sz val="9"/>
            <color indexed="81"/>
            <rFont val="Tahoma"/>
            <family val="2"/>
          </rPr>
          <t xml:space="preserve">
Highest $/GSF to date.</t>
        </r>
      </text>
    </comment>
    <comment ref="AL108" authorId="1" shapeId="0">
      <text>
        <r>
          <rPr>
            <b/>
            <sz val="9"/>
            <color indexed="81"/>
            <rFont val="Tahoma"/>
            <family val="2"/>
          </rPr>
          <t>Leonard Thagard:</t>
        </r>
        <r>
          <rPr>
            <sz val="9"/>
            <color indexed="81"/>
            <rFont val="Tahoma"/>
            <family val="2"/>
          </rPr>
          <t xml:space="preserve">
Highest $/GSF to date.</t>
        </r>
      </text>
    </comment>
    <comment ref="BM108" authorId="1" shapeId="0">
      <text>
        <r>
          <rPr>
            <b/>
            <sz val="9"/>
            <color indexed="81"/>
            <rFont val="Tahoma"/>
            <family val="2"/>
          </rPr>
          <t>Leonard Thagard:</t>
        </r>
        <r>
          <rPr>
            <sz val="9"/>
            <color indexed="81"/>
            <rFont val="Tahoma"/>
            <family val="2"/>
          </rPr>
          <t xml:space="preserve">
$730,000 Cx reserve.  Current Cx contract is $36,940.</t>
        </r>
      </text>
    </comment>
    <comment ref="BK109" authorId="1" shapeId="0">
      <text>
        <r>
          <rPr>
            <b/>
            <sz val="9"/>
            <color indexed="81"/>
            <rFont val="Tahoma"/>
            <family val="2"/>
          </rPr>
          <t>Leonard Thagard:</t>
        </r>
        <r>
          <rPr>
            <sz val="9"/>
            <color indexed="81"/>
            <rFont val="Tahoma"/>
            <family val="2"/>
          </rPr>
          <t xml:space="preserve">
Silver LEED Consulting &amp; Certification.</t>
        </r>
      </text>
    </comment>
    <comment ref="BL109" authorId="1" shapeId="0">
      <text>
        <r>
          <rPr>
            <b/>
            <sz val="9"/>
            <color indexed="81"/>
            <rFont val="Tahoma"/>
            <family val="2"/>
          </rPr>
          <t>Leonard Thagard:</t>
        </r>
        <r>
          <rPr>
            <sz val="9"/>
            <color indexed="81"/>
            <rFont val="Tahoma"/>
            <family val="2"/>
          </rPr>
          <t xml:space="preserve">
7500 for predicting energy and water use.
6000 for preliminary study for LEED Silver certification
10000 for potential energy and water conservation strategies.</t>
        </r>
      </text>
    </comment>
    <comment ref="BJ111" authorId="1" shapeId="0">
      <text>
        <r>
          <rPr>
            <b/>
            <sz val="9"/>
            <color indexed="81"/>
            <rFont val="Tahoma"/>
            <family val="2"/>
          </rPr>
          <t>Leonard Thagard:</t>
        </r>
        <r>
          <rPr>
            <sz val="9"/>
            <color indexed="81"/>
            <rFont val="Tahoma"/>
            <family val="2"/>
          </rPr>
          <t xml:space="preserve">
complicated fee structure due to multiple increases in scope and square footage of project.</t>
        </r>
      </text>
    </comment>
    <comment ref="BK111" authorId="1" shapeId="0">
      <text>
        <r>
          <rPr>
            <b/>
            <sz val="9"/>
            <color indexed="81"/>
            <rFont val="Tahoma"/>
            <family val="2"/>
          </rPr>
          <t>Leonard Thagard:</t>
        </r>
        <r>
          <rPr>
            <sz val="9"/>
            <color indexed="81"/>
            <rFont val="Tahoma"/>
            <family val="2"/>
          </rPr>
          <t xml:space="preserve">
complex due to multiple increases in scope and square footage</t>
        </r>
      </text>
    </comment>
    <comment ref="BI112" authorId="0" shapeId="0">
      <text>
        <r>
          <rPr>
            <b/>
            <sz val="9"/>
            <color indexed="81"/>
            <rFont val="Tahoma"/>
            <family val="2"/>
          </rPr>
          <t>Thagard, Leonard:</t>
        </r>
        <r>
          <rPr>
            <sz val="9"/>
            <color indexed="81"/>
            <rFont val="Tahoma"/>
            <family val="2"/>
          </rPr>
          <t xml:space="preserve">
delta is from B-1 less B-0 whole bldg LCCA.</t>
        </r>
      </text>
    </comment>
    <comment ref="BJ112" authorId="0" shapeId="0">
      <text>
        <r>
          <rPr>
            <b/>
            <sz val="9"/>
            <color indexed="81"/>
            <rFont val="Tahoma"/>
            <family val="2"/>
          </rPr>
          <t>Thagard, Leonard:</t>
        </r>
        <r>
          <rPr>
            <sz val="9"/>
            <color indexed="81"/>
            <rFont val="Tahoma"/>
            <family val="2"/>
          </rPr>
          <t xml:space="preserve">
No design contract.  Estimated at 11% of construction cost.</t>
        </r>
      </text>
    </comment>
    <comment ref="BK112" authorId="0" shapeId="0">
      <text>
        <r>
          <rPr>
            <b/>
            <sz val="9"/>
            <color indexed="81"/>
            <rFont val="Tahoma"/>
            <family val="2"/>
          </rPr>
          <t>Thagard, Leonard:</t>
        </r>
        <r>
          <rPr>
            <sz val="9"/>
            <color indexed="81"/>
            <rFont val="Tahoma"/>
            <family val="2"/>
          </rPr>
          <t xml:space="preserve">
no design contract.  Estimated at 0.5% of construction cost.</t>
        </r>
      </text>
    </comment>
    <comment ref="BM112" authorId="0" shapeId="0">
      <text>
        <r>
          <rPr>
            <b/>
            <sz val="9"/>
            <color indexed="81"/>
            <rFont val="Tahoma"/>
            <family val="2"/>
          </rPr>
          <t>Thagard, Leonard:</t>
        </r>
        <r>
          <rPr>
            <sz val="9"/>
            <color indexed="81"/>
            <rFont val="Tahoma"/>
            <family val="2"/>
          </rPr>
          <t xml:space="preserve">
estimated at 4% of construction costs until contract is written.</t>
        </r>
      </text>
    </comment>
    <comment ref="J113" authorId="0" shapeId="0">
      <text>
        <r>
          <rPr>
            <b/>
            <sz val="9"/>
            <color indexed="81"/>
            <rFont val="Tahoma"/>
            <family val="2"/>
          </rPr>
          <t>Thagard, Leonard:</t>
        </r>
        <r>
          <rPr>
            <sz val="9"/>
            <color indexed="81"/>
            <rFont val="Tahoma"/>
            <family val="2"/>
          </rPr>
          <t xml:space="preserve">
Approved for bids 06/06/2016.</t>
        </r>
      </text>
    </comment>
    <comment ref="K113" authorId="0" shapeId="0">
      <text>
        <r>
          <rPr>
            <b/>
            <sz val="9"/>
            <color indexed="81"/>
            <rFont val="Tahoma"/>
            <family val="2"/>
          </rPr>
          <t>Thagard, Leonard:</t>
        </r>
        <r>
          <rPr>
            <sz val="9"/>
            <color indexed="81"/>
            <rFont val="Tahoma"/>
            <family val="2"/>
          </rPr>
          <t xml:space="preserve">
Approved for bids 06/06/2016.</t>
        </r>
      </text>
    </comment>
    <comment ref="BI113" authorId="1" shapeId="0">
      <text>
        <r>
          <rPr>
            <b/>
            <sz val="9"/>
            <color indexed="81"/>
            <rFont val="Tahoma"/>
            <family val="2"/>
          </rPr>
          <t>Leonard Thagard:</t>
        </r>
        <r>
          <rPr>
            <sz val="9"/>
            <color indexed="81"/>
            <rFont val="Tahoma"/>
            <family val="2"/>
          </rPr>
          <t xml:space="preserve">
LED Lighting at $40,240 selected on LCCA.  No other alternates selected for energy savings.  Envelope improvements were not shown to reduce energy consumption.</t>
        </r>
      </text>
    </comment>
    <comment ref="BJ114" authorId="0" shapeId="0">
      <text>
        <r>
          <rPr>
            <b/>
            <sz val="9"/>
            <color indexed="81"/>
            <rFont val="Tahoma"/>
            <family val="2"/>
          </rPr>
          <t>Thagard, Leonard:</t>
        </r>
        <r>
          <rPr>
            <sz val="9"/>
            <color indexed="81"/>
            <rFont val="Tahoma"/>
            <family val="2"/>
          </rPr>
          <t xml:space="preserve">
Design contract is for two buildings and site work.</t>
        </r>
      </text>
    </comment>
    <comment ref="BK114" authorId="0" shapeId="0">
      <text>
        <r>
          <rPr>
            <b/>
            <sz val="9"/>
            <color indexed="81"/>
            <rFont val="Tahoma"/>
            <family val="2"/>
          </rPr>
          <t>Thagard, Leonard:</t>
        </r>
        <r>
          <rPr>
            <sz val="9"/>
            <color indexed="81"/>
            <rFont val="Tahoma"/>
            <family val="2"/>
          </rPr>
          <t xml:space="preserve">
Green Globes.</t>
        </r>
      </text>
    </comment>
    <comment ref="BI116" authorId="1" shapeId="0">
      <text>
        <r>
          <rPr>
            <b/>
            <sz val="9"/>
            <color indexed="81"/>
            <rFont val="Tahoma"/>
            <family val="2"/>
          </rPr>
          <t>Leonard Thagard:</t>
        </r>
        <r>
          <rPr>
            <sz val="9"/>
            <color indexed="81"/>
            <rFont val="Tahoma"/>
            <family val="2"/>
          </rPr>
          <t xml:space="preserve">
from page 89 of the energy model lcca report.</t>
        </r>
      </text>
    </comment>
    <comment ref="BJ116" authorId="1" shapeId="0">
      <text>
        <r>
          <rPr>
            <b/>
            <sz val="9"/>
            <color indexed="81"/>
            <rFont val="Tahoma"/>
            <family val="2"/>
          </rPr>
          <t>Leonard Thagard:</t>
        </r>
        <r>
          <rPr>
            <sz val="9"/>
            <color indexed="81"/>
            <rFont val="Tahoma"/>
            <family val="2"/>
          </rPr>
          <t xml:space="preserve">
contract not signed as of 09.02.14
</t>
        </r>
      </text>
    </comment>
    <comment ref="BK116" authorId="1" shapeId="0">
      <text>
        <r>
          <rPr>
            <b/>
            <sz val="9"/>
            <color indexed="81"/>
            <rFont val="Tahoma"/>
            <family val="2"/>
          </rPr>
          <t>Leonard Thagard:</t>
        </r>
        <r>
          <rPr>
            <sz val="9"/>
            <color indexed="81"/>
            <rFont val="Tahoma"/>
            <family val="2"/>
          </rPr>
          <t xml:space="preserve">
from design contract:  $43,200 for model and $10,100 for LEED</t>
        </r>
      </text>
    </comment>
    <comment ref="BM116" authorId="1" shapeId="0">
      <text>
        <r>
          <rPr>
            <b/>
            <sz val="9"/>
            <color indexed="81"/>
            <rFont val="Tahoma"/>
            <family val="2"/>
          </rPr>
          <t>Leonard Thagard:</t>
        </r>
        <r>
          <rPr>
            <sz val="9"/>
            <color indexed="81"/>
            <rFont val="Tahoma"/>
            <family val="2"/>
          </rPr>
          <t xml:space="preserve">
Cx reserve of $250,000
</t>
        </r>
      </text>
    </comment>
    <comment ref="T117" authorId="1" shapeId="0">
      <text>
        <r>
          <rPr>
            <b/>
            <sz val="9"/>
            <color indexed="81"/>
            <rFont val="Tahoma"/>
            <family val="2"/>
          </rPr>
          <t>Leonard Thagard:</t>
        </r>
        <r>
          <rPr>
            <sz val="9"/>
            <color indexed="81"/>
            <rFont val="Tahoma"/>
            <family val="2"/>
          </rPr>
          <t xml:space="preserve">
Includes plug and process</t>
        </r>
      </text>
    </comment>
    <comment ref="BM118" authorId="1" shapeId="0">
      <text>
        <r>
          <rPr>
            <b/>
            <sz val="9"/>
            <color indexed="81"/>
            <rFont val="Tahoma"/>
            <family val="2"/>
          </rPr>
          <t>Leonard Thagard:</t>
        </r>
        <r>
          <rPr>
            <sz val="9"/>
            <color indexed="81"/>
            <rFont val="Tahoma"/>
            <family val="2"/>
          </rPr>
          <t xml:space="preserve">
Cx reserve.  Design only Cx is for $44,680.</t>
        </r>
      </text>
    </comment>
    <comment ref="K125" authorId="0" shapeId="0">
      <text>
        <r>
          <rPr>
            <b/>
            <sz val="9"/>
            <color indexed="81"/>
            <rFont val="Tahoma"/>
            <family val="2"/>
          </rPr>
          <t>Thagard, Leonard:</t>
        </r>
        <r>
          <rPr>
            <sz val="9"/>
            <color indexed="81"/>
            <rFont val="Tahoma"/>
            <family val="2"/>
          </rPr>
          <t xml:space="preserve">
Phase one completion is 08/02/16,</t>
        </r>
      </text>
    </comment>
    <comment ref="BK125" authorId="1" shapeId="0">
      <text>
        <r>
          <rPr>
            <b/>
            <sz val="9"/>
            <color indexed="81"/>
            <rFont val="Tahoma"/>
            <family val="2"/>
          </rPr>
          <t>Leonard Thagard:</t>
        </r>
        <r>
          <rPr>
            <sz val="9"/>
            <color indexed="81"/>
            <rFont val="Tahoma"/>
            <family val="2"/>
          </rPr>
          <t xml:space="preserve">
Not LEED per meeting minutes 04.09.14.</t>
        </r>
      </text>
    </comment>
  </commentList>
</comments>
</file>

<file path=xl/comments2.xml><?xml version="1.0" encoding="utf-8"?>
<comments xmlns="http://schemas.openxmlformats.org/spreadsheetml/2006/main">
  <authors>
    <author>Nihal Ali Al Raees</author>
    <author>Thagard, Leonard</author>
    <author>Dick Kabis</author>
    <author>Kabis, Dick</author>
  </authors>
  <commentList>
    <comment ref="D218" authorId="0" shapeId="0">
      <text>
        <r>
          <rPr>
            <b/>
            <sz val="9"/>
            <color indexed="81"/>
            <rFont val="Tahoma"/>
            <family val="2"/>
          </rPr>
          <t>Nihal Ali Al Raees:</t>
        </r>
        <r>
          <rPr>
            <sz val="9"/>
            <color indexed="81"/>
            <rFont val="Tahoma"/>
            <family val="2"/>
          </rPr>
          <t xml:space="preserve">
Off reading/
having the average of 3 similar buildings for the same month </t>
        </r>
      </text>
    </comment>
    <comment ref="G218" authorId="0" shapeId="0">
      <text>
        <r>
          <rPr>
            <b/>
            <sz val="9"/>
            <color indexed="81"/>
            <rFont val="Tahoma"/>
            <family val="2"/>
          </rPr>
          <t>Nihal Ali Al Raees:</t>
        </r>
        <r>
          <rPr>
            <sz val="9"/>
            <color indexed="81"/>
            <rFont val="Tahoma"/>
            <family val="2"/>
          </rPr>
          <t xml:space="preserve">
Off reading/
having the average of 3 similar buildings for the same month </t>
        </r>
      </text>
    </comment>
    <comment ref="H218" authorId="0" shapeId="0">
      <text>
        <r>
          <rPr>
            <b/>
            <sz val="9"/>
            <color indexed="81"/>
            <rFont val="Tahoma"/>
            <family val="2"/>
          </rPr>
          <t>Nihal Ali Al Raees:</t>
        </r>
        <r>
          <rPr>
            <sz val="9"/>
            <color indexed="81"/>
            <rFont val="Tahoma"/>
            <family val="2"/>
          </rPr>
          <t xml:space="preserve">
Off reading/
having the average of 3 similar buildings for the same month </t>
        </r>
      </text>
    </comment>
    <comment ref="I218" authorId="0" shapeId="0">
      <text>
        <r>
          <rPr>
            <b/>
            <sz val="9"/>
            <color indexed="81"/>
            <rFont val="Tahoma"/>
            <family val="2"/>
          </rPr>
          <t>Nihal Ali Al Raees:</t>
        </r>
        <r>
          <rPr>
            <sz val="9"/>
            <color indexed="81"/>
            <rFont val="Tahoma"/>
            <family val="2"/>
          </rPr>
          <t xml:space="preserve">
Off reading/
having the average of 3 similar buildings for the same month </t>
        </r>
      </text>
    </comment>
    <comment ref="J218" authorId="0" shapeId="0">
      <text>
        <r>
          <rPr>
            <b/>
            <sz val="9"/>
            <color indexed="81"/>
            <rFont val="Tahoma"/>
            <family val="2"/>
          </rPr>
          <t>Nihal Ali Al Raees:</t>
        </r>
        <r>
          <rPr>
            <sz val="9"/>
            <color indexed="81"/>
            <rFont val="Tahoma"/>
            <family val="2"/>
          </rPr>
          <t xml:space="preserve">
Off reading/
having the average of 3 similar buildings for the same month </t>
        </r>
      </text>
    </comment>
    <comment ref="K218" authorId="0" shapeId="0">
      <text>
        <r>
          <rPr>
            <b/>
            <sz val="9"/>
            <color indexed="81"/>
            <rFont val="Tahoma"/>
            <family val="2"/>
          </rPr>
          <t>Nihal Ali Al Raees:</t>
        </r>
        <r>
          <rPr>
            <sz val="9"/>
            <color indexed="81"/>
            <rFont val="Tahoma"/>
            <family val="2"/>
          </rPr>
          <t xml:space="preserve">
Off reading/
having the average of 3 similar buildings for the same month </t>
        </r>
      </text>
    </comment>
    <comment ref="G235" authorId="0" shapeId="0">
      <text>
        <r>
          <rPr>
            <b/>
            <sz val="9"/>
            <color indexed="81"/>
            <rFont val="Tahoma"/>
            <family val="2"/>
          </rPr>
          <t>Nihal Ali Al Raees:</t>
        </r>
        <r>
          <rPr>
            <sz val="9"/>
            <color indexed="81"/>
            <rFont val="Tahoma"/>
            <family val="2"/>
          </rPr>
          <t xml:space="preserve">
Off reading/
having the average of 3 similar buildings for the same month </t>
        </r>
      </text>
    </comment>
    <comment ref="H235" authorId="0" shapeId="0">
      <text>
        <r>
          <rPr>
            <b/>
            <sz val="9"/>
            <color indexed="81"/>
            <rFont val="Tahoma"/>
            <family val="2"/>
          </rPr>
          <t>Nihal Ali Al Raees:</t>
        </r>
        <r>
          <rPr>
            <sz val="9"/>
            <color indexed="81"/>
            <rFont val="Tahoma"/>
            <family val="2"/>
          </rPr>
          <t xml:space="preserve">
Off reading/
having the average of 3 similar buildings for the same month </t>
        </r>
      </text>
    </comment>
    <comment ref="I235" authorId="0" shapeId="0">
      <text>
        <r>
          <rPr>
            <b/>
            <sz val="9"/>
            <color indexed="81"/>
            <rFont val="Tahoma"/>
            <family val="2"/>
          </rPr>
          <t>Nihal Ali Al Raees:</t>
        </r>
        <r>
          <rPr>
            <sz val="9"/>
            <color indexed="81"/>
            <rFont val="Tahoma"/>
            <family val="2"/>
          </rPr>
          <t xml:space="preserve">
Off reading/
having the average of 3 similar buildings for the same month </t>
        </r>
      </text>
    </comment>
    <comment ref="J235" authorId="0" shapeId="0">
      <text>
        <r>
          <rPr>
            <b/>
            <sz val="9"/>
            <color indexed="81"/>
            <rFont val="Tahoma"/>
            <family val="2"/>
          </rPr>
          <t>Nihal Ali Al Raees:</t>
        </r>
        <r>
          <rPr>
            <sz val="9"/>
            <color indexed="81"/>
            <rFont val="Tahoma"/>
            <family val="2"/>
          </rPr>
          <t xml:space="preserve">
Off reading/
having the average of 3 similar buildings for the same month </t>
        </r>
      </text>
    </comment>
    <comment ref="K235" authorId="0" shapeId="0">
      <text>
        <r>
          <rPr>
            <b/>
            <sz val="9"/>
            <color indexed="81"/>
            <rFont val="Tahoma"/>
            <family val="2"/>
          </rPr>
          <t>Nihal Ali Al Raees:</t>
        </r>
        <r>
          <rPr>
            <sz val="9"/>
            <color indexed="81"/>
            <rFont val="Tahoma"/>
            <family val="2"/>
          </rPr>
          <t xml:space="preserve">
Off reading/
having the average of 3 similar buildings for the same month </t>
        </r>
      </text>
    </comment>
    <comment ref="O672" authorId="1" shapeId="0">
      <text>
        <r>
          <rPr>
            <b/>
            <sz val="9"/>
            <color indexed="81"/>
            <rFont val="Tahoma"/>
            <family val="2"/>
          </rPr>
          <t>Thagard, Leonard:</t>
        </r>
        <r>
          <rPr>
            <sz val="9"/>
            <color indexed="81"/>
            <rFont val="Tahoma"/>
            <family val="2"/>
          </rPr>
          <t xml:space="preserve">
manual input.  Formula would not copy.</t>
        </r>
      </text>
    </comment>
    <comment ref="C715" authorId="2" shapeId="0">
      <text>
        <r>
          <rPr>
            <b/>
            <sz val="9"/>
            <color indexed="81"/>
            <rFont val="Tahoma"/>
            <family val="2"/>
          </rPr>
          <t>Building used internal summer boiler this month.  Central steam plant is isolated from the building.</t>
        </r>
      </text>
    </comment>
    <comment ref="D715" authorId="2" shapeId="0">
      <text>
        <r>
          <rPr>
            <b/>
            <sz val="9"/>
            <color indexed="81"/>
            <rFont val="Tahoma"/>
            <family val="2"/>
          </rPr>
          <t>Building used internal summer boiler this month.  Central steam plant is isolated from the building.</t>
        </r>
      </text>
    </comment>
    <comment ref="E715" authorId="2" shapeId="0">
      <text>
        <r>
          <rPr>
            <b/>
            <sz val="9"/>
            <color indexed="81"/>
            <rFont val="Tahoma"/>
            <family val="2"/>
          </rPr>
          <t>Building used internal summer boiler this month.  Central steam plant is isolated from the building.</t>
        </r>
      </text>
    </comment>
    <comment ref="F715" authorId="2" shapeId="0">
      <text>
        <r>
          <rPr>
            <b/>
            <sz val="9"/>
            <color indexed="81"/>
            <rFont val="Tahoma"/>
            <family val="2"/>
          </rPr>
          <t>Building used internal summer boiler this month.  Central steam plant is isolated from the building.</t>
        </r>
      </text>
    </comment>
    <comment ref="G715" authorId="2" shapeId="0">
      <text>
        <r>
          <rPr>
            <b/>
            <sz val="9"/>
            <color indexed="81"/>
            <rFont val="Tahoma"/>
            <family val="2"/>
          </rPr>
          <t>Building used internal summer boiler this month.  Central steam plant is isolated from the building.</t>
        </r>
      </text>
    </comment>
    <comment ref="M715" authorId="2" shapeId="0">
      <text>
        <r>
          <rPr>
            <b/>
            <sz val="9"/>
            <color indexed="81"/>
            <rFont val="Tahoma"/>
            <family val="2"/>
          </rPr>
          <t>Building used internal summer boiler this month.  Central steam plant is isolated from the building.</t>
        </r>
      </text>
    </comment>
    <comment ref="N715" authorId="2" shapeId="0">
      <text>
        <r>
          <rPr>
            <b/>
            <sz val="9"/>
            <color indexed="81"/>
            <rFont val="Tahoma"/>
            <family val="2"/>
          </rPr>
          <t>Building used internal summer boiler this month.  Central steam plant is isolated from the building.</t>
        </r>
      </text>
    </comment>
    <comment ref="C720" authorId="2" shapeId="0">
      <text>
        <r>
          <rPr>
            <b/>
            <sz val="9"/>
            <color indexed="81"/>
            <rFont val="Tahoma"/>
            <family val="2"/>
          </rPr>
          <t>Building used internal summer boiler this month.  Central steam plant is isolated from the building.</t>
        </r>
      </text>
    </comment>
    <comment ref="D720" authorId="2" shapeId="0">
      <text>
        <r>
          <rPr>
            <b/>
            <sz val="9"/>
            <color indexed="81"/>
            <rFont val="Tahoma"/>
            <family val="2"/>
          </rPr>
          <t>Building used internal summer boiler this month.  Central steam plant is isolated from the building.</t>
        </r>
      </text>
    </comment>
    <comment ref="E720" authorId="2" shapeId="0">
      <text>
        <r>
          <rPr>
            <b/>
            <sz val="9"/>
            <color indexed="81"/>
            <rFont val="Tahoma"/>
            <family val="2"/>
          </rPr>
          <t>Building used internal summer boiler this month.  Central steam plant is isolated from the building.</t>
        </r>
      </text>
    </comment>
    <comment ref="F720" authorId="2" shapeId="0">
      <text>
        <r>
          <rPr>
            <b/>
            <sz val="9"/>
            <color indexed="81"/>
            <rFont val="Tahoma"/>
            <family val="2"/>
          </rPr>
          <t>Building used internal summer boiler this month.  Central steam plant is isolated from the building.</t>
        </r>
      </text>
    </comment>
    <comment ref="G720" authorId="2" shapeId="0">
      <text>
        <r>
          <rPr>
            <b/>
            <sz val="9"/>
            <color indexed="81"/>
            <rFont val="Tahoma"/>
            <family val="2"/>
          </rPr>
          <t>Building used internal summer boiler this month.  Central steam plant is isolated from the building.</t>
        </r>
      </text>
    </comment>
    <comment ref="M720" authorId="2" shapeId="0">
      <text>
        <r>
          <rPr>
            <b/>
            <sz val="9"/>
            <color indexed="81"/>
            <rFont val="Tahoma"/>
            <family val="2"/>
          </rPr>
          <t>Building used internal summer boiler this month.  Central steam plant is isolated from the building.</t>
        </r>
      </text>
    </comment>
    <comment ref="N720" authorId="2" shapeId="0">
      <text>
        <r>
          <rPr>
            <b/>
            <sz val="9"/>
            <color indexed="81"/>
            <rFont val="Tahoma"/>
            <family val="2"/>
          </rPr>
          <t>Building used internal summer boiler this month.  Central steam plant is isolated from the building.</t>
        </r>
      </text>
    </comment>
    <comment ref="G722" authorId="3" shapeId="0">
      <text>
        <r>
          <rPr>
            <b/>
            <sz val="9"/>
            <color indexed="81"/>
            <rFont val="Tahoma"/>
            <family val="2"/>
          </rPr>
          <t>Summer boiler turned off week of 12/12/16.</t>
        </r>
      </text>
    </comment>
    <comment ref="L722" authorId="3" shapeId="0">
      <text>
        <r>
          <rPr>
            <b/>
            <sz val="9"/>
            <color indexed="81"/>
            <rFont val="Tahoma"/>
            <family val="2"/>
          </rPr>
          <t>summer boiler turned on</t>
        </r>
      </text>
    </comment>
    <comment ref="D723" authorId="3" shapeId="0">
      <text>
        <r>
          <rPr>
            <b/>
            <sz val="9"/>
            <color indexed="81"/>
            <rFont val="Tahoma"/>
            <family val="2"/>
          </rPr>
          <t>August and September billing came as one.  Split costs and usage evenly.</t>
        </r>
      </text>
    </comment>
    <comment ref="E723" authorId="3" shapeId="0">
      <text>
        <r>
          <rPr>
            <b/>
            <sz val="9"/>
            <color indexed="81"/>
            <rFont val="Tahoma"/>
            <family val="2"/>
          </rPr>
          <t>August and September billing came as one.  Split costs and usage evenly.</t>
        </r>
      </text>
    </comment>
    <comment ref="F723" authorId="3" shapeId="0">
      <text>
        <r>
          <rPr>
            <b/>
            <sz val="9"/>
            <color indexed="81"/>
            <rFont val="Tahoma"/>
            <family val="2"/>
          </rPr>
          <t>high usage from water running straight through walk-in cooler</t>
        </r>
      </text>
    </comment>
    <comment ref="J827" authorId="3" shapeId="0">
      <text>
        <r>
          <rPr>
            <b/>
            <sz val="9"/>
            <color indexed="81"/>
            <rFont val="Tahoma"/>
            <family val="2"/>
          </rPr>
          <t>running toilets</t>
        </r>
      </text>
    </comment>
    <comment ref="D832" authorId="3" shapeId="0">
      <text>
        <r>
          <rPr>
            <b/>
            <sz val="9"/>
            <color indexed="81"/>
            <rFont val="Tahoma"/>
            <family val="2"/>
          </rPr>
          <t>August and September billing came as one.  Split costs and usage evenly.</t>
        </r>
      </text>
    </comment>
    <comment ref="E832" authorId="3" shapeId="0">
      <text>
        <r>
          <rPr>
            <b/>
            <sz val="9"/>
            <color indexed="81"/>
            <rFont val="Tahoma"/>
            <family val="2"/>
          </rPr>
          <t>August and September billing came as one.  Split costs and usage evenly.</t>
        </r>
      </text>
    </comment>
    <comment ref="D925" authorId="3" shapeId="0">
      <text>
        <r>
          <rPr>
            <b/>
            <sz val="9"/>
            <color indexed="81"/>
            <rFont val="Tahoma"/>
            <family val="2"/>
          </rPr>
          <t>August and September billing came as one.  Split costs and usage evenly.</t>
        </r>
      </text>
    </comment>
    <comment ref="E925" authorId="3" shapeId="0">
      <text>
        <r>
          <rPr>
            <b/>
            <sz val="9"/>
            <color indexed="81"/>
            <rFont val="Tahoma"/>
            <family val="2"/>
          </rPr>
          <t>August and September billing came as one.  Split costs and usage evenly.</t>
        </r>
      </text>
    </comment>
    <comment ref="F1028" authorId="3" shapeId="0">
      <text>
        <r>
          <rPr>
            <b/>
            <sz val="9"/>
            <color indexed="81"/>
            <rFont val="Tahoma"/>
            <family val="2"/>
          </rPr>
          <t>faulty water meter</t>
        </r>
      </text>
    </comment>
    <comment ref="G1028" authorId="3" shapeId="0">
      <text>
        <r>
          <rPr>
            <b/>
            <sz val="9"/>
            <color indexed="81"/>
            <rFont val="Tahoma"/>
            <family val="2"/>
          </rPr>
          <t>faulty water meter</t>
        </r>
      </text>
    </comment>
    <comment ref="D1034" authorId="3" shapeId="0">
      <text>
        <r>
          <rPr>
            <b/>
            <sz val="9"/>
            <color indexed="81"/>
            <rFont val="Tahoma"/>
            <family val="2"/>
          </rPr>
          <t>August and September billing came as one.  Split costs and usage evenly.</t>
        </r>
      </text>
    </comment>
    <comment ref="E1034" authorId="3" shapeId="0">
      <text>
        <r>
          <rPr>
            <b/>
            <sz val="9"/>
            <color indexed="81"/>
            <rFont val="Tahoma"/>
            <family val="2"/>
          </rPr>
          <t>August and September billing came as one.  Split costs and usage evenly.</t>
        </r>
      </text>
    </comment>
  </commentList>
</comments>
</file>

<file path=xl/comments3.xml><?xml version="1.0" encoding="utf-8"?>
<comments xmlns="http://schemas.openxmlformats.org/spreadsheetml/2006/main">
  <authors>
    <author>Thagard, Leonard</author>
    <author>Leonard Thagard</author>
  </authors>
  <commentList>
    <comment ref="AC3" authorId="0" shapeId="0">
      <text>
        <r>
          <rPr>
            <b/>
            <sz val="9"/>
            <color indexed="81"/>
            <rFont val="Tahoma"/>
            <family val="2"/>
          </rPr>
          <t>Thagard, Leonard:</t>
        </r>
        <r>
          <rPr>
            <sz val="9"/>
            <color indexed="81"/>
            <rFont val="Tahoma"/>
            <family val="2"/>
          </rPr>
          <t xml:space="preserve">
No normalization factor or no table 7-3 multiplier.</t>
        </r>
      </text>
    </comment>
    <comment ref="BH4" authorId="1"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Z5" authorId="0" shapeId="0">
      <text>
        <r>
          <rPr>
            <b/>
            <sz val="9"/>
            <color indexed="81"/>
            <rFont val="Tahoma"/>
            <family val="2"/>
          </rPr>
          <t>Thagard, Leonard:</t>
        </r>
        <r>
          <rPr>
            <sz val="9"/>
            <color indexed="81"/>
            <rFont val="Tahoma"/>
            <family val="2"/>
          </rPr>
          <t xml:space="preserve">
model was for addition and renovation.  Meter is for entire building.</t>
        </r>
      </text>
    </comment>
    <comment ref="AS5" authorId="1" shapeId="0">
      <text>
        <r>
          <rPr>
            <b/>
            <sz val="9"/>
            <color indexed="81"/>
            <rFont val="Tahoma"/>
            <family val="2"/>
          </rPr>
          <t>Leonard Thagard:</t>
        </r>
        <r>
          <rPr>
            <sz val="9"/>
            <color indexed="81"/>
            <rFont val="Tahoma"/>
            <family val="2"/>
          </rPr>
          <t xml:space="preserve">
limited kitchen use and limited bathroom use.  Number is extremely low.</t>
        </r>
      </text>
    </comment>
    <comment ref="AV5" authorId="1" shapeId="0">
      <text>
        <r>
          <rPr>
            <b/>
            <sz val="9"/>
            <color indexed="81"/>
            <rFont val="Tahoma"/>
            <family val="2"/>
          </rPr>
          <t>Leonard Thagard:</t>
        </r>
        <r>
          <rPr>
            <sz val="9"/>
            <color indexed="81"/>
            <rFont val="Tahoma"/>
            <family val="2"/>
          </rPr>
          <t xml:space="preserve">
limited kitchen and bathroom use.  Number is low.</t>
        </r>
      </text>
    </comment>
    <comment ref="BH5" authorId="1"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T6" authorId="1" shapeId="0">
      <text>
        <r>
          <rPr>
            <b/>
            <sz val="9"/>
            <color indexed="81"/>
            <rFont val="Tahoma"/>
            <family val="2"/>
          </rPr>
          <t>Leonard Thagard:</t>
        </r>
        <r>
          <rPr>
            <sz val="9"/>
            <color indexed="81"/>
            <rFont val="Tahoma"/>
            <family val="2"/>
          </rPr>
          <t xml:space="preserve">
highest residence hall baseline EUI to date.</t>
        </r>
      </text>
    </comment>
    <comment ref="V6" authorId="1" shapeId="0">
      <text>
        <r>
          <rPr>
            <b/>
            <sz val="9"/>
            <color indexed="81"/>
            <rFont val="Tahoma"/>
            <family val="2"/>
          </rPr>
          <t>Leonard Thagard:</t>
        </r>
        <r>
          <rPr>
            <sz val="9"/>
            <color indexed="81"/>
            <rFont val="Tahoma"/>
            <family val="2"/>
          </rPr>
          <t xml:space="preserve">
highest proposed EUI for residence halls.</t>
        </r>
      </text>
    </comment>
    <comment ref="BH6" authorId="1"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AE7" authorId="1" shapeId="0">
      <text>
        <r>
          <rPr>
            <b/>
            <sz val="9"/>
            <color indexed="81"/>
            <rFont val="Tahoma"/>
            <family val="2"/>
          </rPr>
          <t>Leonard Thagard:</t>
        </r>
        <r>
          <rPr>
            <sz val="9"/>
            <color indexed="81"/>
            <rFont val="Tahoma"/>
            <family val="2"/>
          </rPr>
          <t xml:space="preserve">
five months of steam consumption is not included.</t>
        </r>
      </text>
    </comment>
    <comment ref="AN7" authorId="1" shapeId="0">
      <text>
        <r>
          <rPr>
            <b/>
            <sz val="9"/>
            <color indexed="81"/>
            <rFont val="Tahoma"/>
            <family val="2"/>
          </rPr>
          <t>Leonard Thagard:</t>
        </r>
        <r>
          <rPr>
            <sz val="9"/>
            <color indexed="81"/>
            <rFont val="Tahoma"/>
            <family val="2"/>
          </rPr>
          <t xml:space="preserve">
Does not include steam cost.</t>
        </r>
      </text>
    </comment>
    <comment ref="BH7" authorId="1" shapeId="0">
      <text>
        <r>
          <rPr>
            <b/>
            <sz val="9"/>
            <color indexed="81"/>
            <rFont val="Tahoma"/>
            <family val="2"/>
          </rPr>
          <t>Leonard Thagard:</t>
        </r>
        <r>
          <rPr>
            <sz val="9"/>
            <color indexed="81"/>
            <rFont val="Tahoma"/>
            <family val="2"/>
          </rPr>
          <t xml:space="preserve">
Calculated from original amount construction contract less increase noted in LCCA for envelope, plumb, chillers and lights.
</t>
        </r>
      </text>
    </comment>
    <comment ref="AE8" authorId="1" shapeId="0">
      <text>
        <r>
          <rPr>
            <b/>
            <sz val="9"/>
            <color indexed="81"/>
            <rFont val="Tahoma"/>
            <family val="2"/>
          </rPr>
          <t>Leonard Thagard:</t>
        </r>
        <r>
          <rPr>
            <sz val="9"/>
            <color indexed="81"/>
            <rFont val="Tahoma"/>
            <family val="2"/>
          </rPr>
          <t xml:space="preserve">
five months of steam consumption is not included.</t>
        </r>
      </text>
    </comment>
    <comment ref="AN8" authorId="0" shapeId="0">
      <text>
        <r>
          <rPr>
            <b/>
            <sz val="9"/>
            <color indexed="81"/>
            <rFont val="Tahoma"/>
            <family val="2"/>
          </rPr>
          <t>Thagard, Leonard:</t>
        </r>
        <r>
          <rPr>
            <sz val="9"/>
            <color indexed="81"/>
            <rFont val="Tahoma"/>
            <family val="2"/>
          </rPr>
          <t xml:space="preserve">
Does not include steam cost.</t>
        </r>
      </text>
    </comment>
    <comment ref="BA8" authorId="0" shapeId="0">
      <text>
        <r>
          <rPr>
            <b/>
            <sz val="9"/>
            <color indexed="81"/>
            <rFont val="Tahoma"/>
            <family val="2"/>
          </rPr>
          <t>Thagard, Leonard:</t>
        </r>
        <r>
          <rPr>
            <sz val="9"/>
            <color indexed="81"/>
            <rFont val="Tahoma"/>
            <family val="2"/>
          </rPr>
          <t xml:space="preserve">
water consumption is much less than last year.</t>
        </r>
      </text>
    </comment>
    <comment ref="BH8" authorId="1"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BJ8" authorId="1" shapeId="0">
      <text>
        <r>
          <rPr>
            <b/>
            <sz val="9"/>
            <color indexed="81"/>
            <rFont val="Tahoma"/>
            <family val="2"/>
          </rPr>
          <t>Leonard Thagard:</t>
        </r>
        <r>
          <rPr>
            <sz val="9"/>
            <color indexed="81"/>
            <rFont val="Tahoma"/>
            <family val="2"/>
          </rPr>
          <t xml:space="preserve">
SB 668 at $99800 and LEED at $73700</t>
        </r>
      </text>
    </comment>
    <comment ref="BA10" authorId="0" shapeId="0">
      <text>
        <r>
          <rPr>
            <b/>
            <sz val="9"/>
            <color indexed="81"/>
            <rFont val="Tahoma"/>
            <family val="2"/>
          </rPr>
          <t>Thagard, Leonard:</t>
        </r>
        <r>
          <rPr>
            <sz val="9"/>
            <color indexed="81"/>
            <rFont val="Tahoma"/>
            <family val="2"/>
          </rPr>
          <t xml:space="preserve">
shared water meter.</t>
        </r>
      </text>
    </comment>
    <comment ref="BH10" authorId="1"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M11" authorId="1" shapeId="0">
      <text>
        <r>
          <rPr>
            <b/>
            <sz val="9"/>
            <color indexed="81"/>
            <rFont val="Tahoma"/>
            <family val="2"/>
          </rPr>
          <t>Leonard Thagard:</t>
        </r>
        <r>
          <rPr>
            <sz val="9"/>
            <color indexed="81"/>
            <rFont val="Tahoma"/>
            <family val="2"/>
          </rPr>
          <t xml:space="preserve">
size is for addition only</t>
        </r>
      </text>
    </comment>
    <comment ref="S11" authorId="1" shapeId="0">
      <text>
        <r>
          <rPr>
            <b/>
            <sz val="9"/>
            <color indexed="81"/>
            <rFont val="Tahoma"/>
            <family val="2"/>
          </rPr>
          <t>Leonard Thagard:</t>
        </r>
        <r>
          <rPr>
            <sz val="9"/>
            <color indexed="81"/>
            <rFont val="Tahoma"/>
            <family val="2"/>
          </rPr>
          <t xml:space="preserve">
energy use is for addition only</t>
        </r>
      </text>
    </comment>
    <comment ref="Z11" authorId="0" shapeId="0">
      <text>
        <r>
          <rPr>
            <b/>
            <sz val="9"/>
            <color indexed="81"/>
            <rFont val="Tahoma"/>
            <family val="2"/>
          </rPr>
          <t>Thagard, Leonard:</t>
        </r>
        <r>
          <rPr>
            <sz val="9"/>
            <color indexed="81"/>
            <rFont val="Tahoma"/>
            <family val="2"/>
          </rPr>
          <t xml:space="preserve">
metered energy usage is for entire building; addition, renovation and existing building</t>
        </r>
      </text>
    </comment>
    <comment ref="AA11" authorId="0" shapeId="0">
      <text>
        <r>
          <rPr>
            <b/>
            <sz val="9"/>
            <color indexed="81"/>
            <rFont val="Tahoma"/>
            <family val="2"/>
          </rPr>
          <t>Thagard, Leonard:</t>
        </r>
        <r>
          <rPr>
            <sz val="9"/>
            <color indexed="81"/>
            <rFont val="Tahoma"/>
            <family val="2"/>
          </rPr>
          <t xml:space="preserve">
EUI is for entire building.</t>
        </r>
      </text>
    </comment>
    <comment ref="AN11" authorId="0" shapeId="0">
      <text>
        <r>
          <rPr>
            <b/>
            <sz val="9"/>
            <color indexed="81"/>
            <rFont val="Tahoma"/>
            <family val="2"/>
          </rPr>
          <t>Thagard, Leonard:</t>
        </r>
        <r>
          <rPr>
            <sz val="9"/>
            <color indexed="81"/>
            <rFont val="Tahoma"/>
            <family val="2"/>
          </rPr>
          <t xml:space="preserve">
metered energy cost is for entire building, not just addition and renovation.</t>
        </r>
      </text>
    </comment>
    <comment ref="AO11" authorId="0" shapeId="0">
      <text>
        <r>
          <rPr>
            <b/>
            <sz val="9"/>
            <color indexed="81"/>
            <rFont val="Tahoma"/>
            <family val="2"/>
          </rPr>
          <t>Thagard, Leonard:</t>
        </r>
        <r>
          <rPr>
            <sz val="9"/>
            <color indexed="81"/>
            <rFont val="Tahoma"/>
            <family val="2"/>
          </rPr>
          <t xml:space="preserve">
$/sqft is for entire building.</t>
        </r>
      </text>
    </comment>
    <comment ref="BA11" authorId="0" shapeId="0">
      <text>
        <r>
          <rPr>
            <b/>
            <sz val="9"/>
            <color indexed="81"/>
            <rFont val="Tahoma"/>
            <family val="2"/>
          </rPr>
          <t>Thagard, Leonard:</t>
        </r>
        <r>
          <rPr>
            <sz val="9"/>
            <color indexed="81"/>
            <rFont val="Tahoma"/>
            <family val="2"/>
          </rPr>
          <t xml:space="preserve">
metered water consumption is for entire facility.</t>
        </r>
      </text>
    </comment>
    <comment ref="BH11" authorId="1"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BF13" authorId="1" shapeId="0">
      <text>
        <r>
          <rPr>
            <b/>
            <sz val="9"/>
            <color indexed="81"/>
            <rFont val="Tahoma"/>
            <family val="2"/>
          </rPr>
          <t>Leonard Thagard:</t>
        </r>
        <r>
          <rPr>
            <sz val="9"/>
            <color indexed="81"/>
            <rFont val="Tahoma"/>
            <family val="2"/>
          </rPr>
          <t xml:space="preserve">
Includes RUP?</t>
        </r>
      </text>
    </comment>
    <comment ref="BH13" authorId="1" shapeId="0">
      <text>
        <r>
          <rPr>
            <b/>
            <sz val="9"/>
            <color indexed="81"/>
            <rFont val="Tahoma"/>
            <family val="2"/>
          </rPr>
          <t>Leonard Thagard:</t>
        </r>
        <r>
          <rPr>
            <sz val="9"/>
            <color indexed="81"/>
            <rFont val="Tahoma"/>
            <family val="2"/>
          </rPr>
          <t xml:space="preserve">
Does not include RUP?</t>
        </r>
      </text>
    </comment>
    <comment ref="BJ13" authorId="1" shapeId="0">
      <text>
        <r>
          <rPr>
            <b/>
            <sz val="9"/>
            <color indexed="81"/>
            <rFont val="Tahoma"/>
            <family val="2"/>
          </rPr>
          <t>Leonard Thagard:</t>
        </r>
        <r>
          <rPr>
            <sz val="9"/>
            <color indexed="81"/>
            <rFont val="Tahoma"/>
            <family val="2"/>
          </rPr>
          <t xml:space="preserve">
LEED fees of 180,000 plus design amend #1 for SB 668 for 41,084</t>
        </r>
      </text>
    </comment>
    <comment ref="BA14" authorId="0" shapeId="0">
      <text>
        <r>
          <rPr>
            <b/>
            <sz val="9"/>
            <color indexed="81"/>
            <rFont val="Tahoma"/>
            <family val="2"/>
          </rPr>
          <t>Thagard, Leonard:</t>
        </r>
        <r>
          <rPr>
            <sz val="9"/>
            <color indexed="81"/>
            <rFont val="Tahoma"/>
            <family val="2"/>
          </rPr>
          <t xml:space="preserve">
shared water meter.</t>
        </r>
      </text>
    </comment>
    <comment ref="L17" authorId="1" shapeId="0">
      <text>
        <r>
          <rPr>
            <b/>
            <sz val="9"/>
            <color indexed="81"/>
            <rFont val="Tahoma"/>
            <family val="2"/>
          </rPr>
          <t>Leonard Thagard:</t>
        </r>
        <r>
          <rPr>
            <sz val="9"/>
            <color indexed="81"/>
            <rFont val="Tahoma"/>
            <family val="2"/>
          </rPr>
          <t xml:space="preserve">
One model performed and applied to seven bldgs</t>
        </r>
      </text>
    </comment>
    <comment ref="M17" authorId="1" shapeId="0">
      <text>
        <r>
          <rPr>
            <b/>
            <sz val="9"/>
            <color indexed="81"/>
            <rFont val="Tahoma"/>
            <family val="2"/>
          </rPr>
          <t>Leonard Thagard:</t>
        </r>
        <r>
          <rPr>
            <sz val="9"/>
            <color indexed="81"/>
            <rFont val="Tahoma"/>
            <family val="2"/>
          </rPr>
          <t xml:space="preserve">
One model performed and applied to seven bldgs.</t>
        </r>
      </text>
    </comment>
    <comment ref="S17" authorId="1" shapeId="0">
      <text>
        <r>
          <rPr>
            <b/>
            <sz val="9"/>
            <color indexed="81"/>
            <rFont val="Tahoma"/>
            <family val="2"/>
          </rPr>
          <t>Leonard Thagard:</t>
        </r>
        <r>
          <rPr>
            <sz val="9"/>
            <color indexed="81"/>
            <rFont val="Tahoma"/>
            <family val="2"/>
          </rPr>
          <t xml:space="preserve">
One model performed and applied to seven bldgs</t>
        </r>
      </text>
    </comment>
    <comment ref="AN17" authorId="0" shapeId="0">
      <text>
        <r>
          <rPr>
            <b/>
            <sz val="9"/>
            <color indexed="81"/>
            <rFont val="Tahoma"/>
            <family val="2"/>
          </rPr>
          <t>Thagard, Leonard:</t>
        </r>
        <r>
          <rPr>
            <sz val="9"/>
            <color indexed="81"/>
            <rFont val="Tahoma"/>
            <family val="2"/>
          </rPr>
          <t xml:space="preserve">
Chilled water cost is not included.</t>
        </r>
      </text>
    </comment>
    <comment ref="AQ17" authorId="0" shapeId="0">
      <text>
        <r>
          <rPr>
            <b/>
            <sz val="9"/>
            <color indexed="81"/>
            <rFont val="Tahoma"/>
            <family val="2"/>
          </rPr>
          <t>Thagard, Leonard:</t>
        </r>
        <r>
          <rPr>
            <sz val="9"/>
            <color indexed="81"/>
            <rFont val="Tahoma"/>
            <family val="2"/>
          </rPr>
          <t xml:space="preserve">
Chilled water cost is not included.</t>
        </r>
      </text>
    </comment>
    <comment ref="BF17" authorId="1" shapeId="0">
      <text>
        <r>
          <rPr>
            <b/>
            <sz val="9"/>
            <color indexed="81"/>
            <rFont val="Tahoma"/>
            <family val="2"/>
          </rPr>
          <t>Leonard Thagard:</t>
        </r>
        <r>
          <rPr>
            <sz val="9"/>
            <color indexed="81"/>
            <rFont val="Tahoma"/>
            <family val="2"/>
          </rPr>
          <t xml:space="preserve">
Original Amount Construction Contract divided by 7 buildings.</t>
        </r>
      </text>
    </comment>
    <comment ref="BI17" authorId="1" shapeId="0">
      <text>
        <r>
          <rPr>
            <b/>
            <sz val="9"/>
            <color indexed="81"/>
            <rFont val="Tahoma"/>
            <family val="2"/>
          </rPr>
          <t>Leonard Thagard:</t>
        </r>
        <r>
          <rPr>
            <sz val="9"/>
            <color indexed="81"/>
            <rFont val="Tahoma"/>
            <family val="2"/>
          </rPr>
          <t xml:space="preserve">
Original Total Design Fee divided by 7 buildings.</t>
        </r>
      </text>
    </comment>
    <comment ref="BJ17" authorId="1" shapeId="0">
      <text>
        <r>
          <rPr>
            <b/>
            <sz val="9"/>
            <color indexed="81"/>
            <rFont val="Tahoma"/>
            <family val="2"/>
          </rPr>
          <t>Leonard Thagard:</t>
        </r>
        <r>
          <rPr>
            <sz val="9"/>
            <color indexed="81"/>
            <rFont val="Tahoma"/>
            <family val="2"/>
          </rPr>
          <t xml:space="preserve">
LEED or SB 668 fee divided by 7 buildings.</t>
        </r>
      </text>
    </comment>
    <comment ref="BL17" authorId="1" shapeId="0">
      <text>
        <r>
          <rPr>
            <b/>
            <sz val="9"/>
            <color indexed="81"/>
            <rFont val="Tahoma"/>
            <family val="2"/>
          </rPr>
          <t>Leonard Thagard:</t>
        </r>
        <r>
          <rPr>
            <sz val="9"/>
            <color indexed="81"/>
            <rFont val="Tahoma"/>
            <family val="2"/>
          </rPr>
          <t xml:space="preserve">
Cx fee divided by 7 buildings.</t>
        </r>
      </text>
    </comment>
    <comment ref="L18" authorId="1" shapeId="0">
      <text>
        <r>
          <rPr>
            <b/>
            <sz val="9"/>
            <color indexed="81"/>
            <rFont val="Tahoma"/>
            <family val="2"/>
          </rPr>
          <t>Leonard Thagard:</t>
        </r>
        <r>
          <rPr>
            <sz val="9"/>
            <color indexed="81"/>
            <rFont val="Tahoma"/>
            <family val="2"/>
          </rPr>
          <t xml:space="preserve">
One model performed and applied to seven bldgs</t>
        </r>
      </text>
    </comment>
    <comment ref="M18" authorId="1" shapeId="0">
      <text>
        <r>
          <rPr>
            <b/>
            <sz val="9"/>
            <color indexed="81"/>
            <rFont val="Tahoma"/>
            <family val="2"/>
          </rPr>
          <t>Leonard Thagard:</t>
        </r>
        <r>
          <rPr>
            <sz val="9"/>
            <color indexed="81"/>
            <rFont val="Tahoma"/>
            <family val="2"/>
          </rPr>
          <t xml:space="preserve">
One model performed and applied to seven bldgs.</t>
        </r>
      </text>
    </comment>
    <comment ref="S18" authorId="1" shapeId="0">
      <text>
        <r>
          <rPr>
            <b/>
            <sz val="9"/>
            <color indexed="81"/>
            <rFont val="Tahoma"/>
            <family val="2"/>
          </rPr>
          <t>Leonard Thagard:</t>
        </r>
        <r>
          <rPr>
            <sz val="9"/>
            <color indexed="81"/>
            <rFont val="Tahoma"/>
            <family val="2"/>
          </rPr>
          <t xml:space="preserve">
One model performed and applied to seven bldgs</t>
        </r>
      </text>
    </comment>
    <comment ref="AN18" authorId="0" shapeId="0">
      <text>
        <r>
          <rPr>
            <b/>
            <sz val="9"/>
            <color indexed="81"/>
            <rFont val="Tahoma"/>
            <family val="2"/>
          </rPr>
          <t>Thagard, Leonard:</t>
        </r>
        <r>
          <rPr>
            <sz val="9"/>
            <color indexed="81"/>
            <rFont val="Tahoma"/>
            <family val="2"/>
          </rPr>
          <t xml:space="preserve">
Chilled water cost is not included.</t>
        </r>
      </text>
    </comment>
    <comment ref="AQ18" authorId="0" shapeId="0">
      <text>
        <r>
          <rPr>
            <b/>
            <sz val="9"/>
            <color indexed="81"/>
            <rFont val="Tahoma"/>
            <family val="2"/>
          </rPr>
          <t>Thagard, Leonard:</t>
        </r>
        <r>
          <rPr>
            <sz val="9"/>
            <color indexed="81"/>
            <rFont val="Tahoma"/>
            <family val="2"/>
          </rPr>
          <t xml:space="preserve">
Chilled water cost is not included.</t>
        </r>
      </text>
    </comment>
    <comment ref="BF18" authorId="1" shapeId="0">
      <text>
        <r>
          <rPr>
            <b/>
            <sz val="9"/>
            <color indexed="81"/>
            <rFont val="Tahoma"/>
            <family val="2"/>
          </rPr>
          <t>Leonard Thagard:</t>
        </r>
        <r>
          <rPr>
            <sz val="9"/>
            <color indexed="81"/>
            <rFont val="Tahoma"/>
            <family val="2"/>
          </rPr>
          <t xml:space="preserve">
Original Amount Construction Contract divided by 7 buildings.</t>
        </r>
      </text>
    </comment>
    <comment ref="BI18" authorId="1" shapeId="0">
      <text>
        <r>
          <rPr>
            <b/>
            <sz val="9"/>
            <color indexed="81"/>
            <rFont val="Tahoma"/>
            <family val="2"/>
          </rPr>
          <t>Leonard Thagard:</t>
        </r>
        <r>
          <rPr>
            <sz val="9"/>
            <color indexed="81"/>
            <rFont val="Tahoma"/>
            <family val="2"/>
          </rPr>
          <t xml:space="preserve">
Original Total Design Fee divided by 7 buildings.</t>
        </r>
      </text>
    </comment>
    <comment ref="BJ18" authorId="1" shapeId="0">
      <text>
        <r>
          <rPr>
            <b/>
            <sz val="9"/>
            <color indexed="81"/>
            <rFont val="Tahoma"/>
            <family val="2"/>
          </rPr>
          <t>Leonard Thagard:</t>
        </r>
        <r>
          <rPr>
            <sz val="9"/>
            <color indexed="81"/>
            <rFont val="Tahoma"/>
            <family val="2"/>
          </rPr>
          <t xml:space="preserve">
LEED or SB 668 fee divided by 7 buildings.</t>
        </r>
      </text>
    </comment>
    <comment ref="BL18" authorId="1" shapeId="0">
      <text>
        <r>
          <rPr>
            <b/>
            <sz val="9"/>
            <color indexed="81"/>
            <rFont val="Tahoma"/>
            <family val="2"/>
          </rPr>
          <t>Leonard Thagard:</t>
        </r>
        <r>
          <rPr>
            <sz val="9"/>
            <color indexed="81"/>
            <rFont val="Tahoma"/>
            <family val="2"/>
          </rPr>
          <t xml:space="preserve">
Cx fee divided by 7 buildings.</t>
        </r>
      </text>
    </comment>
    <comment ref="L19" authorId="1" shapeId="0">
      <text>
        <r>
          <rPr>
            <b/>
            <sz val="9"/>
            <color indexed="81"/>
            <rFont val="Tahoma"/>
            <family val="2"/>
          </rPr>
          <t>Leonard Thagard:</t>
        </r>
        <r>
          <rPr>
            <sz val="9"/>
            <color indexed="81"/>
            <rFont val="Tahoma"/>
            <family val="2"/>
          </rPr>
          <t xml:space="preserve">
One model performed and applied to seven bldgs</t>
        </r>
      </text>
    </comment>
    <comment ref="M19" authorId="1" shapeId="0">
      <text>
        <r>
          <rPr>
            <b/>
            <sz val="9"/>
            <color indexed="81"/>
            <rFont val="Tahoma"/>
            <family val="2"/>
          </rPr>
          <t>Leonard Thagard:</t>
        </r>
        <r>
          <rPr>
            <sz val="9"/>
            <color indexed="81"/>
            <rFont val="Tahoma"/>
            <family val="2"/>
          </rPr>
          <t xml:space="preserve">
One model performed and applied to seven bldgs.</t>
        </r>
      </text>
    </comment>
    <comment ref="S19" authorId="1" shapeId="0">
      <text>
        <r>
          <rPr>
            <b/>
            <sz val="9"/>
            <color indexed="81"/>
            <rFont val="Tahoma"/>
            <family val="2"/>
          </rPr>
          <t>Leonard Thagard:</t>
        </r>
        <r>
          <rPr>
            <sz val="9"/>
            <color indexed="81"/>
            <rFont val="Tahoma"/>
            <family val="2"/>
          </rPr>
          <t xml:space="preserve">
One model performed and applied to seven bldgs</t>
        </r>
      </text>
    </comment>
    <comment ref="AN19" authorId="0" shapeId="0">
      <text>
        <r>
          <rPr>
            <b/>
            <sz val="9"/>
            <color indexed="81"/>
            <rFont val="Tahoma"/>
            <family val="2"/>
          </rPr>
          <t>Thagard, Leonard:</t>
        </r>
        <r>
          <rPr>
            <sz val="9"/>
            <color indexed="81"/>
            <rFont val="Tahoma"/>
            <family val="2"/>
          </rPr>
          <t xml:space="preserve">
Chilled water cost is not included.</t>
        </r>
      </text>
    </comment>
    <comment ref="AQ19" authorId="0" shapeId="0">
      <text>
        <r>
          <rPr>
            <b/>
            <sz val="9"/>
            <color indexed="81"/>
            <rFont val="Tahoma"/>
            <family val="2"/>
          </rPr>
          <t>Thagard, Leonard:</t>
        </r>
        <r>
          <rPr>
            <sz val="9"/>
            <color indexed="81"/>
            <rFont val="Tahoma"/>
            <family val="2"/>
          </rPr>
          <t xml:space="preserve">
Chilled water cost is not included.</t>
        </r>
      </text>
    </comment>
    <comment ref="BF19" authorId="1" shapeId="0">
      <text>
        <r>
          <rPr>
            <b/>
            <sz val="9"/>
            <color indexed="81"/>
            <rFont val="Tahoma"/>
            <family val="2"/>
          </rPr>
          <t>Leonard Thagard:</t>
        </r>
        <r>
          <rPr>
            <sz val="9"/>
            <color indexed="81"/>
            <rFont val="Tahoma"/>
            <family val="2"/>
          </rPr>
          <t xml:space="preserve">
Original Amount Construction Contract divided by 7 buildings.</t>
        </r>
      </text>
    </comment>
    <comment ref="BI19" authorId="1" shapeId="0">
      <text>
        <r>
          <rPr>
            <b/>
            <sz val="9"/>
            <color indexed="81"/>
            <rFont val="Tahoma"/>
            <family val="2"/>
          </rPr>
          <t>Leonard Thagard:</t>
        </r>
        <r>
          <rPr>
            <sz val="9"/>
            <color indexed="81"/>
            <rFont val="Tahoma"/>
            <family val="2"/>
          </rPr>
          <t xml:space="preserve">
Original Total Design Fee divided by 7 buildings.</t>
        </r>
      </text>
    </comment>
    <comment ref="BJ19" authorId="1" shapeId="0">
      <text>
        <r>
          <rPr>
            <b/>
            <sz val="9"/>
            <color indexed="81"/>
            <rFont val="Tahoma"/>
            <family val="2"/>
          </rPr>
          <t>Leonard Thagard:</t>
        </r>
        <r>
          <rPr>
            <sz val="9"/>
            <color indexed="81"/>
            <rFont val="Tahoma"/>
            <family val="2"/>
          </rPr>
          <t xml:space="preserve">
LEED or SB 668 fee divided by 7 buildings.</t>
        </r>
      </text>
    </comment>
    <comment ref="BL19" authorId="1" shapeId="0">
      <text>
        <r>
          <rPr>
            <b/>
            <sz val="9"/>
            <color indexed="81"/>
            <rFont val="Tahoma"/>
            <family val="2"/>
          </rPr>
          <t>Leonard Thagard:</t>
        </r>
        <r>
          <rPr>
            <sz val="9"/>
            <color indexed="81"/>
            <rFont val="Tahoma"/>
            <family val="2"/>
          </rPr>
          <t xml:space="preserve">
Cx fee divided by 7 buildings.</t>
        </r>
      </text>
    </comment>
    <comment ref="L20" authorId="1" shapeId="0">
      <text>
        <r>
          <rPr>
            <b/>
            <sz val="9"/>
            <color indexed="81"/>
            <rFont val="Tahoma"/>
            <family val="2"/>
          </rPr>
          <t>Leonard Thagard:</t>
        </r>
        <r>
          <rPr>
            <sz val="9"/>
            <color indexed="81"/>
            <rFont val="Tahoma"/>
            <family val="2"/>
          </rPr>
          <t xml:space="preserve">
One model performed and applied to seven bldgs</t>
        </r>
      </text>
    </comment>
    <comment ref="M20" authorId="1" shapeId="0">
      <text>
        <r>
          <rPr>
            <b/>
            <sz val="9"/>
            <color indexed="81"/>
            <rFont val="Tahoma"/>
            <family val="2"/>
          </rPr>
          <t>Leonard Thagard:</t>
        </r>
        <r>
          <rPr>
            <sz val="9"/>
            <color indexed="81"/>
            <rFont val="Tahoma"/>
            <family val="2"/>
          </rPr>
          <t xml:space="preserve">
One model performed and applied to seven bldgs.</t>
        </r>
      </text>
    </comment>
    <comment ref="S20" authorId="1" shapeId="0">
      <text>
        <r>
          <rPr>
            <b/>
            <sz val="9"/>
            <color indexed="81"/>
            <rFont val="Tahoma"/>
            <family val="2"/>
          </rPr>
          <t>Leonard Thagard:</t>
        </r>
        <r>
          <rPr>
            <sz val="9"/>
            <color indexed="81"/>
            <rFont val="Tahoma"/>
            <family val="2"/>
          </rPr>
          <t xml:space="preserve">
One model performed and applied to seven bldgs</t>
        </r>
      </text>
    </comment>
    <comment ref="AN20" authorId="0" shapeId="0">
      <text>
        <r>
          <rPr>
            <b/>
            <sz val="9"/>
            <color indexed="81"/>
            <rFont val="Tahoma"/>
            <family val="2"/>
          </rPr>
          <t>Thagard, Leonard:</t>
        </r>
        <r>
          <rPr>
            <sz val="9"/>
            <color indexed="81"/>
            <rFont val="Tahoma"/>
            <family val="2"/>
          </rPr>
          <t xml:space="preserve">
Chilled water cost is not included.</t>
        </r>
      </text>
    </comment>
    <comment ref="AQ20" authorId="0" shapeId="0">
      <text>
        <r>
          <rPr>
            <b/>
            <sz val="9"/>
            <color indexed="81"/>
            <rFont val="Tahoma"/>
            <family val="2"/>
          </rPr>
          <t>Thagard, Leonard:</t>
        </r>
        <r>
          <rPr>
            <sz val="9"/>
            <color indexed="81"/>
            <rFont val="Tahoma"/>
            <family val="2"/>
          </rPr>
          <t xml:space="preserve">
Chilled water cost is not included.</t>
        </r>
      </text>
    </comment>
    <comment ref="BF20" authorId="1" shapeId="0">
      <text>
        <r>
          <rPr>
            <b/>
            <sz val="9"/>
            <color indexed="81"/>
            <rFont val="Tahoma"/>
            <family val="2"/>
          </rPr>
          <t>Leonard Thagard:</t>
        </r>
        <r>
          <rPr>
            <sz val="9"/>
            <color indexed="81"/>
            <rFont val="Tahoma"/>
            <family val="2"/>
          </rPr>
          <t xml:space="preserve">
Original Amount Construction Contract divided by 7 buildings.</t>
        </r>
      </text>
    </comment>
    <comment ref="BI20" authorId="1" shapeId="0">
      <text>
        <r>
          <rPr>
            <b/>
            <sz val="9"/>
            <color indexed="81"/>
            <rFont val="Tahoma"/>
            <family val="2"/>
          </rPr>
          <t>Leonard Thagard:</t>
        </r>
        <r>
          <rPr>
            <sz val="9"/>
            <color indexed="81"/>
            <rFont val="Tahoma"/>
            <family val="2"/>
          </rPr>
          <t xml:space="preserve">
Original Total Design Fee divided by 7 buildings.</t>
        </r>
      </text>
    </comment>
    <comment ref="BJ20" authorId="1" shapeId="0">
      <text>
        <r>
          <rPr>
            <b/>
            <sz val="9"/>
            <color indexed="81"/>
            <rFont val="Tahoma"/>
            <family val="2"/>
          </rPr>
          <t>Leonard Thagard:</t>
        </r>
        <r>
          <rPr>
            <sz val="9"/>
            <color indexed="81"/>
            <rFont val="Tahoma"/>
            <family val="2"/>
          </rPr>
          <t xml:space="preserve">
LEED or SB 668 fee divided by 7 buildings.</t>
        </r>
      </text>
    </comment>
    <comment ref="BL20" authorId="1" shapeId="0">
      <text>
        <r>
          <rPr>
            <b/>
            <sz val="9"/>
            <color indexed="81"/>
            <rFont val="Tahoma"/>
            <family val="2"/>
          </rPr>
          <t>Leonard Thagard:</t>
        </r>
        <r>
          <rPr>
            <sz val="9"/>
            <color indexed="81"/>
            <rFont val="Tahoma"/>
            <family val="2"/>
          </rPr>
          <t xml:space="preserve">
Cx fee divided by 7 buildings.</t>
        </r>
      </text>
    </comment>
    <comment ref="L21" authorId="1" shapeId="0">
      <text>
        <r>
          <rPr>
            <b/>
            <sz val="9"/>
            <color indexed="81"/>
            <rFont val="Tahoma"/>
            <family val="2"/>
          </rPr>
          <t>Leonard Thagard:</t>
        </r>
        <r>
          <rPr>
            <sz val="9"/>
            <color indexed="81"/>
            <rFont val="Tahoma"/>
            <family val="2"/>
          </rPr>
          <t xml:space="preserve">
One model performed and applied to seven bldgs</t>
        </r>
      </text>
    </comment>
    <comment ref="M21" authorId="1" shapeId="0">
      <text>
        <r>
          <rPr>
            <b/>
            <sz val="9"/>
            <color indexed="81"/>
            <rFont val="Tahoma"/>
            <family val="2"/>
          </rPr>
          <t>Leonard Thagard:</t>
        </r>
        <r>
          <rPr>
            <sz val="9"/>
            <color indexed="81"/>
            <rFont val="Tahoma"/>
            <family val="2"/>
          </rPr>
          <t xml:space="preserve">
One model performed and applied to seven bldgs.</t>
        </r>
      </text>
    </comment>
    <comment ref="S21" authorId="1" shapeId="0">
      <text>
        <r>
          <rPr>
            <b/>
            <sz val="9"/>
            <color indexed="81"/>
            <rFont val="Tahoma"/>
            <family val="2"/>
          </rPr>
          <t>Leonard Thagard:</t>
        </r>
        <r>
          <rPr>
            <sz val="9"/>
            <color indexed="81"/>
            <rFont val="Tahoma"/>
            <family val="2"/>
          </rPr>
          <t xml:space="preserve">
One model performed and applied to seven bldgs</t>
        </r>
      </text>
    </comment>
    <comment ref="AN21" authorId="0" shapeId="0">
      <text>
        <r>
          <rPr>
            <b/>
            <sz val="9"/>
            <color indexed="81"/>
            <rFont val="Tahoma"/>
            <family val="2"/>
          </rPr>
          <t>Thagard, Leonard:</t>
        </r>
        <r>
          <rPr>
            <sz val="9"/>
            <color indexed="81"/>
            <rFont val="Tahoma"/>
            <family val="2"/>
          </rPr>
          <t xml:space="preserve">
Site lighting cost is included.
Chilled water cost is not included.</t>
        </r>
      </text>
    </comment>
    <comment ref="AQ21" authorId="0" shapeId="0">
      <text>
        <r>
          <rPr>
            <b/>
            <sz val="9"/>
            <color indexed="81"/>
            <rFont val="Tahoma"/>
            <family val="2"/>
          </rPr>
          <t>Thagard, Leonard:</t>
        </r>
        <r>
          <rPr>
            <sz val="9"/>
            <color indexed="81"/>
            <rFont val="Tahoma"/>
            <family val="2"/>
          </rPr>
          <t xml:space="preserve">
Chilled water cost is not included.</t>
        </r>
      </text>
    </comment>
    <comment ref="BF21" authorId="1" shapeId="0">
      <text>
        <r>
          <rPr>
            <b/>
            <sz val="9"/>
            <color indexed="81"/>
            <rFont val="Tahoma"/>
            <family val="2"/>
          </rPr>
          <t>Leonard Thagard:</t>
        </r>
        <r>
          <rPr>
            <sz val="9"/>
            <color indexed="81"/>
            <rFont val="Tahoma"/>
            <family val="2"/>
          </rPr>
          <t xml:space="preserve">
Original Amount Construction Contract divided by 7 buildings.</t>
        </r>
      </text>
    </comment>
    <comment ref="BI21" authorId="1" shapeId="0">
      <text>
        <r>
          <rPr>
            <b/>
            <sz val="9"/>
            <color indexed="81"/>
            <rFont val="Tahoma"/>
            <family val="2"/>
          </rPr>
          <t>Leonard Thagard:</t>
        </r>
        <r>
          <rPr>
            <sz val="9"/>
            <color indexed="81"/>
            <rFont val="Tahoma"/>
            <family val="2"/>
          </rPr>
          <t xml:space="preserve">
Original Total Design Fee divided by 7 buildings.</t>
        </r>
      </text>
    </comment>
    <comment ref="BJ21" authorId="1" shapeId="0">
      <text>
        <r>
          <rPr>
            <b/>
            <sz val="9"/>
            <color indexed="81"/>
            <rFont val="Tahoma"/>
            <family val="2"/>
          </rPr>
          <t>Leonard Thagard:</t>
        </r>
        <r>
          <rPr>
            <sz val="9"/>
            <color indexed="81"/>
            <rFont val="Tahoma"/>
            <family val="2"/>
          </rPr>
          <t xml:space="preserve">
LEED or SB 668 fee divided by 7 buildings.</t>
        </r>
      </text>
    </comment>
    <comment ref="BL21" authorId="1" shapeId="0">
      <text>
        <r>
          <rPr>
            <b/>
            <sz val="9"/>
            <color indexed="81"/>
            <rFont val="Tahoma"/>
            <family val="2"/>
          </rPr>
          <t>Leonard Thagard:</t>
        </r>
        <r>
          <rPr>
            <sz val="9"/>
            <color indexed="81"/>
            <rFont val="Tahoma"/>
            <family val="2"/>
          </rPr>
          <t xml:space="preserve">
Cx fee divided by 7 buildings.</t>
        </r>
      </text>
    </comment>
    <comment ref="L22" authorId="1" shapeId="0">
      <text>
        <r>
          <rPr>
            <b/>
            <sz val="9"/>
            <color indexed="81"/>
            <rFont val="Tahoma"/>
            <family val="2"/>
          </rPr>
          <t>Leonard Thagard:</t>
        </r>
        <r>
          <rPr>
            <sz val="9"/>
            <color indexed="81"/>
            <rFont val="Tahoma"/>
            <family val="2"/>
          </rPr>
          <t xml:space="preserve">
One model performed and applied to seven bldgs</t>
        </r>
      </text>
    </comment>
    <comment ref="M22" authorId="1" shapeId="0">
      <text>
        <r>
          <rPr>
            <b/>
            <sz val="9"/>
            <color indexed="81"/>
            <rFont val="Tahoma"/>
            <family val="2"/>
          </rPr>
          <t>Leonard Thagard:</t>
        </r>
        <r>
          <rPr>
            <sz val="9"/>
            <color indexed="81"/>
            <rFont val="Tahoma"/>
            <family val="2"/>
          </rPr>
          <t xml:space="preserve">
One model performed and applied to seven bldgs.</t>
        </r>
      </text>
    </comment>
    <comment ref="S22" authorId="1" shapeId="0">
      <text>
        <r>
          <rPr>
            <b/>
            <sz val="9"/>
            <color indexed="81"/>
            <rFont val="Tahoma"/>
            <family val="2"/>
          </rPr>
          <t>Leonard Thagard:</t>
        </r>
        <r>
          <rPr>
            <sz val="9"/>
            <color indexed="81"/>
            <rFont val="Tahoma"/>
            <family val="2"/>
          </rPr>
          <t xml:space="preserve">
One model performed and applied to seven bldgs</t>
        </r>
      </text>
    </comment>
    <comment ref="AN22" authorId="0" shapeId="0">
      <text>
        <r>
          <rPr>
            <b/>
            <sz val="9"/>
            <color indexed="81"/>
            <rFont val="Tahoma"/>
            <family val="2"/>
          </rPr>
          <t>Thagard, Leonard:</t>
        </r>
        <r>
          <rPr>
            <sz val="9"/>
            <color indexed="81"/>
            <rFont val="Tahoma"/>
            <family val="2"/>
          </rPr>
          <t xml:space="preserve">
Chilled water costs are not included.</t>
        </r>
      </text>
    </comment>
    <comment ref="AQ22" authorId="0" shapeId="0">
      <text>
        <r>
          <rPr>
            <b/>
            <sz val="9"/>
            <color indexed="81"/>
            <rFont val="Tahoma"/>
            <family val="2"/>
          </rPr>
          <t>Thagard, Leonard:</t>
        </r>
        <r>
          <rPr>
            <sz val="9"/>
            <color indexed="81"/>
            <rFont val="Tahoma"/>
            <family val="2"/>
          </rPr>
          <t xml:space="preserve">
Chilled water cost is not included.</t>
        </r>
      </text>
    </comment>
    <comment ref="BF22" authorId="1" shapeId="0">
      <text>
        <r>
          <rPr>
            <b/>
            <sz val="9"/>
            <color indexed="81"/>
            <rFont val="Tahoma"/>
            <family val="2"/>
          </rPr>
          <t>Leonard Thagard:</t>
        </r>
        <r>
          <rPr>
            <sz val="9"/>
            <color indexed="81"/>
            <rFont val="Tahoma"/>
            <family val="2"/>
          </rPr>
          <t xml:space="preserve">
Original Amount Construction Contract divided by 7 buildings.</t>
        </r>
      </text>
    </comment>
    <comment ref="BI22" authorId="1" shapeId="0">
      <text>
        <r>
          <rPr>
            <b/>
            <sz val="9"/>
            <color indexed="81"/>
            <rFont val="Tahoma"/>
            <family val="2"/>
          </rPr>
          <t>Leonard Thagard:</t>
        </r>
        <r>
          <rPr>
            <sz val="9"/>
            <color indexed="81"/>
            <rFont val="Tahoma"/>
            <family val="2"/>
          </rPr>
          <t xml:space="preserve">
Original Total Design Fee divided by 7 buildings.</t>
        </r>
      </text>
    </comment>
    <comment ref="BJ22" authorId="1" shapeId="0">
      <text>
        <r>
          <rPr>
            <b/>
            <sz val="9"/>
            <color indexed="81"/>
            <rFont val="Tahoma"/>
            <family val="2"/>
          </rPr>
          <t>Leonard Thagard:</t>
        </r>
        <r>
          <rPr>
            <sz val="9"/>
            <color indexed="81"/>
            <rFont val="Tahoma"/>
            <family val="2"/>
          </rPr>
          <t xml:space="preserve">
LEED or SB 668 fee divided by 7 buildings.</t>
        </r>
      </text>
    </comment>
    <comment ref="BL22" authorId="1" shapeId="0">
      <text>
        <r>
          <rPr>
            <b/>
            <sz val="9"/>
            <color indexed="81"/>
            <rFont val="Tahoma"/>
            <family val="2"/>
          </rPr>
          <t>Leonard Thagard:</t>
        </r>
        <r>
          <rPr>
            <sz val="9"/>
            <color indexed="81"/>
            <rFont val="Tahoma"/>
            <family val="2"/>
          </rPr>
          <t xml:space="preserve">
Cx fee divided by 7 buildings.</t>
        </r>
      </text>
    </comment>
    <comment ref="L23" authorId="1" shapeId="0">
      <text>
        <r>
          <rPr>
            <b/>
            <sz val="9"/>
            <color indexed="81"/>
            <rFont val="Tahoma"/>
            <family val="2"/>
          </rPr>
          <t>Leonard Thagard:</t>
        </r>
        <r>
          <rPr>
            <sz val="9"/>
            <color indexed="81"/>
            <rFont val="Tahoma"/>
            <family val="2"/>
          </rPr>
          <t xml:space="preserve">
One model performed and applied to seven bldgs</t>
        </r>
      </text>
    </comment>
    <comment ref="M23" authorId="1" shapeId="0">
      <text>
        <r>
          <rPr>
            <b/>
            <sz val="9"/>
            <color indexed="81"/>
            <rFont val="Tahoma"/>
            <family val="2"/>
          </rPr>
          <t>Leonard Thagard:</t>
        </r>
        <r>
          <rPr>
            <sz val="9"/>
            <color indexed="81"/>
            <rFont val="Tahoma"/>
            <family val="2"/>
          </rPr>
          <t xml:space="preserve">
One model performed and applied to seven bldgs.</t>
        </r>
      </text>
    </comment>
    <comment ref="S23" authorId="1" shapeId="0">
      <text>
        <r>
          <rPr>
            <b/>
            <sz val="9"/>
            <color indexed="81"/>
            <rFont val="Tahoma"/>
            <family val="2"/>
          </rPr>
          <t>Leonard Thagard:</t>
        </r>
        <r>
          <rPr>
            <sz val="9"/>
            <color indexed="81"/>
            <rFont val="Tahoma"/>
            <family val="2"/>
          </rPr>
          <t xml:space="preserve">
One model performed and applied to seven bldgs</t>
        </r>
      </text>
    </comment>
    <comment ref="Z23" authorId="0" shapeId="0">
      <text>
        <r>
          <rPr>
            <b/>
            <sz val="9"/>
            <color indexed="81"/>
            <rFont val="Tahoma"/>
            <family val="2"/>
          </rPr>
          <t>Thagard, Leonard:</t>
        </r>
        <r>
          <rPr>
            <sz val="9"/>
            <color indexed="81"/>
            <rFont val="Tahoma"/>
            <family val="2"/>
          </rPr>
          <t xml:space="preserve">
Missing seven months of steam meter data.  Largest building on the quad.</t>
        </r>
      </text>
    </comment>
    <comment ref="AA23" authorId="0" shapeId="0">
      <text>
        <r>
          <rPr>
            <b/>
            <sz val="9"/>
            <color indexed="81"/>
            <rFont val="Tahoma"/>
            <family val="2"/>
          </rPr>
          <t>Thagard, Leonard:</t>
        </r>
        <r>
          <rPr>
            <sz val="9"/>
            <color indexed="81"/>
            <rFont val="Tahoma"/>
            <family val="2"/>
          </rPr>
          <t xml:space="preserve">
Missing seven months of steam meter data.  Largest building on the quad.</t>
        </r>
      </text>
    </comment>
    <comment ref="AD23" authorId="0" shapeId="0">
      <text>
        <r>
          <rPr>
            <b/>
            <sz val="9"/>
            <color indexed="81"/>
            <rFont val="Tahoma"/>
            <family val="2"/>
          </rPr>
          <t>Thagard, Leonard:</t>
        </r>
        <r>
          <rPr>
            <sz val="9"/>
            <color indexed="81"/>
            <rFont val="Tahoma"/>
            <family val="2"/>
          </rPr>
          <t xml:space="preserve">
Missing seven months of steam meter data.  Largest building on the quad.</t>
        </r>
      </text>
    </comment>
    <comment ref="AF23" authorId="0" shapeId="0">
      <text>
        <r>
          <rPr>
            <b/>
            <sz val="9"/>
            <color indexed="81"/>
            <rFont val="Tahoma"/>
            <family val="2"/>
          </rPr>
          <t>Thagard, Leonard:</t>
        </r>
        <r>
          <rPr>
            <sz val="9"/>
            <color indexed="81"/>
            <rFont val="Tahoma"/>
            <family val="2"/>
          </rPr>
          <t xml:space="preserve">
Missing seven months of steam meter data.  Largest building on the quad.</t>
        </r>
      </text>
    </comment>
    <comment ref="AN23" authorId="0" shapeId="0">
      <text>
        <r>
          <rPr>
            <b/>
            <sz val="9"/>
            <color indexed="81"/>
            <rFont val="Tahoma"/>
            <family val="2"/>
          </rPr>
          <t>Thagard, Leonard:</t>
        </r>
        <r>
          <rPr>
            <sz val="9"/>
            <color indexed="81"/>
            <rFont val="Tahoma"/>
            <family val="2"/>
          </rPr>
          <t xml:space="preserve">
Steam and chilled water costs are not included.</t>
        </r>
      </text>
    </comment>
    <comment ref="AQ23" authorId="0" shapeId="0">
      <text>
        <r>
          <rPr>
            <b/>
            <sz val="9"/>
            <color indexed="81"/>
            <rFont val="Tahoma"/>
            <family val="2"/>
          </rPr>
          <t>Thagard, Leonard:</t>
        </r>
        <r>
          <rPr>
            <sz val="9"/>
            <color indexed="81"/>
            <rFont val="Tahoma"/>
            <family val="2"/>
          </rPr>
          <t xml:space="preserve">
Steam and chilled water cost are not included.</t>
        </r>
      </text>
    </comment>
    <comment ref="BF23" authorId="1" shapeId="0">
      <text>
        <r>
          <rPr>
            <b/>
            <sz val="9"/>
            <color indexed="81"/>
            <rFont val="Tahoma"/>
            <family val="2"/>
          </rPr>
          <t>Leonard Thagard:</t>
        </r>
        <r>
          <rPr>
            <sz val="9"/>
            <color indexed="81"/>
            <rFont val="Tahoma"/>
            <family val="2"/>
          </rPr>
          <t xml:space="preserve">
Original Amount Construction Contract divided by 7 buildings.</t>
        </r>
      </text>
    </comment>
    <comment ref="BI23" authorId="1" shapeId="0">
      <text>
        <r>
          <rPr>
            <b/>
            <sz val="9"/>
            <color indexed="81"/>
            <rFont val="Tahoma"/>
            <family val="2"/>
          </rPr>
          <t>Leonard Thagard:</t>
        </r>
        <r>
          <rPr>
            <sz val="9"/>
            <color indexed="81"/>
            <rFont val="Tahoma"/>
            <family val="2"/>
          </rPr>
          <t xml:space="preserve">
Original Total Design Fee divided by 7 buildings.</t>
        </r>
      </text>
    </comment>
    <comment ref="BJ23" authorId="1" shapeId="0">
      <text>
        <r>
          <rPr>
            <b/>
            <sz val="9"/>
            <color indexed="81"/>
            <rFont val="Tahoma"/>
            <family val="2"/>
          </rPr>
          <t>Leonard Thagard:</t>
        </r>
        <r>
          <rPr>
            <sz val="9"/>
            <color indexed="81"/>
            <rFont val="Tahoma"/>
            <family val="2"/>
          </rPr>
          <t xml:space="preserve">
LEED or SB 668 fee divided by 7 buildings.</t>
        </r>
      </text>
    </comment>
    <comment ref="BL23" authorId="1" shapeId="0">
      <text>
        <r>
          <rPr>
            <b/>
            <sz val="9"/>
            <color indexed="81"/>
            <rFont val="Tahoma"/>
            <family val="2"/>
          </rPr>
          <t>Leonard Thagard:</t>
        </r>
        <r>
          <rPr>
            <sz val="9"/>
            <color indexed="81"/>
            <rFont val="Tahoma"/>
            <family val="2"/>
          </rPr>
          <t xml:space="preserve">
Cx fee divided by 7 buildings.</t>
        </r>
      </text>
    </comment>
    <comment ref="Z24" authorId="0" shapeId="0">
      <text>
        <r>
          <rPr>
            <b/>
            <sz val="9"/>
            <color indexed="81"/>
            <rFont val="Tahoma"/>
            <family val="2"/>
          </rPr>
          <t>Thagard, Leonard:</t>
        </r>
        <r>
          <rPr>
            <sz val="9"/>
            <color indexed="81"/>
            <rFont val="Tahoma"/>
            <family val="2"/>
          </rPr>
          <t xml:space="preserve">
Missing January and February meter data.  Meter Down.</t>
        </r>
      </text>
    </comment>
    <comment ref="AE24" authorId="0" shapeId="0">
      <text>
        <r>
          <rPr>
            <b/>
            <sz val="9"/>
            <color indexed="81"/>
            <rFont val="Tahoma"/>
            <family val="2"/>
          </rPr>
          <t>Thagard, Leonard:</t>
        </r>
        <r>
          <rPr>
            <sz val="9"/>
            <color indexed="81"/>
            <rFont val="Tahoma"/>
            <family val="2"/>
          </rPr>
          <t xml:space="preserve">
Missing Jan and Feb meter data.</t>
        </r>
      </text>
    </comment>
    <comment ref="AN24" authorId="0" shapeId="0">
      <text>
        <r>
          <rPr>
            <b/>
            <sz val="9"/>
            <color indexed="81"/>
            <rFont val="Tahoma"/>
            <family val="2"/>
          </rPr>
          <t>Thagard, Leonard:</t>
        </r>
        <r>
          <rPr>
            <sz val="9"/>
            <color indexed="81"/>
            <rFont val="Tahoma"/>
            <family val="2"/>
          </rPr>
          <t xml:space="preserve">
Missing Jan and Feb meter data.</t>
        </r>
      </text>
    </comment>
    <comment ref="BJ26" authorId="1" shapeId="0">
      <text>
        <r>
          <rPr>
            <b/>
            <sz val="9"/>
            <color indexed="81"/>
            <rFont val="Tahoma"/>
            <family val="2"/>
          </rPr>
          <t>Leonard Thagard:</t>
        </r>
        <r>
          <rPr>
            <sz val="9"/>
            <color indexed="81"/>
            <rFont val="Tahoma"/>
            <family val="2"/>
          </rPr>
          <t xml:space="preserve">
LEED services added as design amendment.  Add to OTDF.
</t>
        </r>
      </text>
    </comment>
    <comment ref="Z27" authorId="0" shapeId="0">
      <text>
        <r>
          <rPr>
            <b/>
            <sz val="9"/>
            <color indexed="81"/>
            <rFont val="Tahoma"/>
            <family val="2"/>
          </rPr>
          <t>Thagard, Leonard:</t>
        </r>
        <r>
          <rPr>
            <sz val="9"/>
            <color indexed="81"/>
            <rFont val="Tahoma"/>
            <family val="2"/>
          </rPr>
          <t xml:space="preserve">
No meter data.</t>
        </r>
      </text>
    </comment>
    <comment ref="AA27" authorId="0" shapeId="0">
      <text>
        <r>
          <rPr>
            <b/>
            <sz val="9"/>
            <color indexed="81"/>
            <rFont val="Tahoma"/>
            <family val="2"/>
          </rPr>
          <t>Thagard, Leonard:</t>
        </r>
        <r>
          <rPr>
            <sz val="9"/>
            <color indexed="81"/>
            <rFont val="Tahoma"/>
            <family val="2"/>
          </rPr>
          <t xml:space="preserve">
No meter data.</t>
        </r>
      </text>
    </comment>
    <comment ref="AN27" authorId="0" shapeId="0">
      <text>
        <r>
          <rPr>
            <b/>
            <sz val="9"/>
            <color indexed="81"/>
            <rFont val="Tahoma"/>
            <family val="2"/>
          </rPr>
          <t>Thagard, Leonard:</t>
        </r>
        <r>
          <rPr>
            <sz val="9"/>
            <color indexed="81"/>
            <rFont val="Tahoma"/>
            <family val="2"/>
          </rPr>
          <t xml:space="preserve">
No meter data.
</t>
        </r>
      </text>
    </comment>
    <comment ref="BI28" authorId="1" shapeId="0">
      <text>
        <r>
          <rPr>
            <b/>
            <sz val="9"/>
            <color indexed="81"/>
            <rFont val="Tahoma"/>
            <family val="2"/>
          </rPr>
          <t>Leonard Thagard:</t>
        </r>
        <r>
          <rPr>
            <sz val="9"/>
            <color indexed="81"/>
            <rFont val="Tahoma"/>
            <family val="2"/>
          </rPr>
          <t xml:space="preserve">
Combined design fee for original building design and revised building design.</t>
        </r>
      </text>
    </comment>
    <comment ref="BJ29" authorId="1" shapeId="0">
      <text>
        <r>
          <rPr>
            <b/>
            <sz val="9"/>
            <color indexed="81"/>
            <rFont val="Tahoma"/>
            <family val="2"/>
          </rPr>
          <t>Leonard Thagard:</t>
        </r>
        <r>
          <rPr>
            <sz val="9"/>
            <color indexed="81"/>
            <rFont val="Tahoma"/>
            <family val="2"/>
          </rPr>
          <t xml:space="preserve">
SB 668 at 17520 and LEED at 139300</t>
        </r>
      </text>
    </comment>
    <comment ref="Z30" authorId="0" shapeId="0">
      <text>
        <r>
          <rPr>
            <b/>
            <sz val="9"/>
            <color indexed="81"/>
            <rFont val="Tahoma"/>
            <family val="2"/>
          </rPr>
          <t>Thagard, Leonard:</t>
        </r>
        <r>
          <rPr>
            <sz val="9"/>
            <color indexed="81"/>
            <rFont val="Tahoma"/>
            <family val="2"/>
          </rPr>
          <t xml:space="preserve">
No meter data.</t>
        </r>
      </text>
    </comment>
    <comment ref="AA30" authorId="0" shapeId="0">
      <text>
        <r>
          <rPr>
            <b/>
            <sz val="9"/>
            <color indexed="81"/>
            <rFont val="Tahoma"/>
            <family val="2"/>
          </rPr>
          <t>Thagard, Leonard:</t>
        </r>
        <r>
          <rPr>
            <sz val="9"/>
            <color indexed="81"/>
            <rFont val="Tahoma"/>
            <family val="2"/>
          </rPr>
          <t xml:space="preserve">
No meter data.</t>
        </r>
      </text>
    </comment>
    <comment ref="AN30" authorId="0" shapeId="0">
      <text>
        <r>
          <rPr>
            <b/>
            <sz val="9"/>
            <color indexed="81"/>
            <rFont val="Tahoma"/>
            <family val="2"/>
          </rPr>
          <t>Thagard, Leonard:</t>
        </r>
        <r>
          <rPr>
            <sz val="9"/>
            <color indexed="81"/>
            <rFont val="Tahoma"/>
            <family val="2"/>
          </rPr>
          <t xml:space="preserve">
No meter data.</t>
        </r>
      </text>
    </comment>
    <comment ref="AN31" authorId="0" shapeId="0">
      <text>
        <r>
          <rPr>
            <b/>
            <sz val="9"/>
            <color indexed="81"/>
            <rFont val="Tahoma"/>
            <family val="2"/>
          </rPr>
          <t>Thagard, Leonard:</t>
        </r>
        <r>
          <rPr>
            <sz val="9"/>
            <color indexed="81"/>
            <rFont val="Tahoma"/>
            <family val="2"/>
          </rPr>
          <t xml:space="preserve">
does not include chilled water cost.</t>
        </r>
      </text>
    </comment>
    <comment ref="BA31" authorId="0" shapeId="0">
      <text>
        <r>
          <rPr>
            <b/>
            <sz val="9"/>
            <color indexed="81"/>
            <rFont val="Tahoma"/>
            <family val="2"/>
          </rPr>
          <t>Thagard, Leonard:</t>
        </r>
        <r>
          <rPr>
            <sz val="9"/>
            <color indexed="81"/>
            <rFont val="Tahoma"/>
            <family val="2"/>
          </rPr>
          <t xml:space="preserve">
meter inoperable.</t>
        </r>
      </text>
    </comment>
    <comment ref="Z32" authorId="0" shapeId="0">
      <text>
        <r>
          <rPr>
            <b/>
            <sz val="9"/>
            <color indexed="81"/>
            <rFont val="Tahoma"/>
            <family val="2"/>
          </rPr>
          <t>Thagard, Leonard:</t>
        </r>
        <r>
          <rPr>
            <sz val="9"/>
            <color indexed="81"/>
            <rFont val="Tahoma"/>
            <family val="2"/>
          </rPr>
          <t xml:space="preserve">
does not include chilled water consumption</t>
        </r>
      </text>
    </comment>
    <comment ref="AA32" authorId="0" shapeId="0">
      <text>
        <r>
          <rPr>
            <b/>
            <sz val="9"/>
            <color indexed="81"/>
            <rFont val="Tahoma"/>
            <family val="2"/>
          </rPr>
          <t>Thagard, Leonard:</t>
        </r>
        <r>
          <rPr>
            <sz val="9"/>
            <color indexed="81"/>
            <rFont val="Tahoma"/>
            <family val="2"/>
          </rPr>
          <t xml:space="preserve">
does not include chilled water consumption</t>
        </r>
      </text>
    </comment>
    <comment ref="AN32" authorId="0" shapeId="0">
      <text>
        <r>
          <rPr>
            <b/>
            <sz val="9"/>
            <color indexed="81"/>
            <rFont val="Tahoma"/>
            <family val="2"/>
          </rPr>
          <t>Thagard, Leonard:</t>
        </r>
        <r>
          <rPr>
            <sz val="9"/>
            <color indexed="81"/>
            <rFont val="Tahoma"/>
            <family val="2"/>
          </rPr>
          <t xml:space="preserve">
does not include chilled water consumption</t>
        </r>
      </text>
    </comment>
    <comment ref="BF33" authorId="1" shapeId="0">
      <text>
        <r>
          <rPr>
            <b/>
            <sz val="9"/>
            <color indexed="81"/>
            <rFont val="Tahoma"/>
            <family val="2"/>
          </rPr>
          <t>Leonard Thagard:</t>
        </r>
        <r>
          <rPr>
            <sz val="9"/>
            <color indexed="81"/>
            <rFont val="Tahoma"/>
            <family val="2"/>
          </rPr>
          <t xml:space="preserve">
CMR bid packages, NCSU utility assessment, parking deck assessment, etc. make bid amount difficult to accurately calculate.</t>
        </r>
      </text>
    </comment>
    <comment ref="BF35" authorId="1" shapeId="0">
      <text>
        <r>
          <rPr>
            <b/>
            <sz val="9"/>
            <color indexed="81"/>
            <rFont val="Tahoma"/>
            <family val="2"/>
          </rPr>
          <t>Leonard Thagard:</t>
        </r>
        <r>
          <rPr>
            <sz val="9"/>
            <color indexed="81"/>
            <rFont val="Tahoma"/>
            <family val="2"/>
          </rPr>
          <t xml:space="preserve">
Amount is for entire football complex.</t>
        </r>
      </text>
    </comment>
    <comment ref="BG35" authorId="1" shapeId="0">
      <text>
        <r>
          <rPr>
            <b/>
            <sz val="9"/>
            <color indexed="81"/>
            <rFont val="Tahoma"/>
            <family val="2"/>
          </rPr>
          <t>Leonard Thagard:</t>
        </r>
        <r>
          <rPr>
            <sz val="9"/>
            <color indexed="81"/>
            <rFont val="Tahoma"/>
            <family val="2"/>
          </rPr>
          <t xml:space="preserve">
Error in calculation due to entire football complex in one bid package.  Building was not broken out.</t>
        </r>
      </text>
    </comment>
    <comment ref="BI35" authorId="1" shapeId="0">
      <text>
        <r>
          <rPr>
            <b/>
            <sz val="9"/>
            <color indexed="81"/>
            <rFont val="Tahoma"/>
            <family val="2"/>
          </rPr>
          <t>Leonard Thagard:</t>
        </r>
        <r>
          <rPr>
            <sz val="9"/>
            <color indexed="81"/>
            <rFont val="Tahoma"/>
            <family val="2"/>
          </rPr>
          <t xml:space="preserve">
Fee includes design for complete football stadium complex.</t>
        </r>
      </text>
    </comment>
    <comment ref="AD37" authorId="0" shapeId="0">
      <text>
        <r>
          <rPr>
            <b/>
            <sz val="9"/>
            <color indexed="81"/>
            <rFont val="Tahoma"/>
            <family val="2"/>
          </rPr>
          <t>Thagard, Leonard:</t>
        </r>
        <r>
          <rPr>
            <sz val="9"/>
            <color indexed="81"/>
            <rFont val="Tahoma"/>
            <family val="2"/>
          </rPr>
          <t xml:space="preserve">
Energy model was for addition and renovation.  Energy meter is for entire building.</t>
        </r>
      </text>
    </comment>
    <comment ref="AP37" authorId="0" shapeId="0">
      <text>
        <r>
          <rPr>
            <b/>
            <sz val="9"/>
            <color indexed="81"/>
            <rFont val="Tahoma"/>
            <family val="2"/>
          </rPr>
          <t>Thagard, Leonard:</t>
        </r>
        <r>
          <rPr>
            <sz val="9"/>
            <color indexed="81"/>
            <rFont val="Tahoma"/>
            <family val="2"/>
          </rPr>
          <t xml:space="preserve">
Energy model was for addition and renovation.  Energy meter is for entire building.</t>
        </r>
      </text>
    </comment>
    <comment ref="BF37" authorId="1" shapeId="0">
      <text>
        <r>
          <rPr>
            <b/>
            <sz val="9"/>
            <color indexed="81"/>
            <rFont val="Tahoma"/>
            <family val="2"/>
          </rPr>
          <t>Leonard Thagard:</t>
        </r>
        <r>
          <rPr>
            <sz val="9"/>
            <color indexed="81"/>
            <rFont val="Tahoma"/>
            <family val="2"/>
          </rPr>
          <t xml:space="preserve">
Best guess from multiple bid packages.  Will revisit later.</t>
        </r>
      </text>
    </comment>
    <comment ref="BI37" authorId="1" shapeId="0">
      <text>
        <r>
          <rPr>
            <b/>
            <sz val="9"/>
            <color indexed="81"/>
            <rFont val="Tahoma"/>
            <family val="2"/>
          </rPr>
          <t>Leonard Thagard:</t>
        </r>
        <r>
          <rPr>
            <sz val="9"/>
            <color indexed="81"/>
            <rFont val="Tahoma"/>
            <family val="2"/>
          </rPr>
          <t xml:space="preserve">
27% of full design fee</t>
        </r>
      </text>
    </comment>
    <comment ref="BF38" authorId="1" shapeId="0">
      <text>
        <r>
          <rPr>
            <b/>
            <sz val="9"/>
            <color indexed="81"/>
            <rFont val="Tahoma"/>
            <family val="2"/>
          </rPr>
          <t>Leonard Thagard:</t>
        </r>
        <r>
          <rPr>
            <sz val="9"/>
            <color indexed="81"/>
            <rFont val="Tahoma"/>
            <family val="2"/>
          </rPr>
          <t xml:space="preserve">
73 percent of bid package total for Plemmons and Summitt</t>
        </r>
      </text>
    </comment>
    <comment ref="BI38" authorId="1" shapeId="0">
      <text>
        <r>
          <rPr>
            <b/>
            <sz val="9"/>
            <color indexed="81"/>
            <rFont val="Tahoma"/>
            <family val="2"/>
          </rPr>
          <t>Leonard Thagard:</t>
        </r>
        <r>
          <rPr>
            <sz val="9"/>
            <color indexed="81"/>
            <rFont val="Tahoma"/>
            <family val="2"/>
          </rPr>
          <t xml:space="preserve">
73 percent of full design fee.</t>
        </r>
      </text>
    </comment>
    <comment ref="T39" authorId="1" shapeId="0">
      <text>
        <r>
          <rPr>
            <b/>
            <sz val="9"/>
            <color indexed="81"/>
            <rFont val="Tahoma"/>
            <family val="2"/>
          </rPr>
          <t>Leonard Thagard:</t>
        </r>
        <r>
          <rPr>
            <sz val="9"/>
            <color indexed="81"/>
            <rFont val="Tahoma"/>
            <family val="2"/>
          </rPr>
          <t xml:space="preserve">
Baseline is high.</t>
        </r>
      </text>
    </comment>
    <comment ref="V39" authorId="1" shapeId="0">
      <text>
        <r>
          <rPr>
            <b/>
            <sz val="9"/>
            <color indexed="81"/>
            <rFont val="Tahoma"/>
            <family val="2"/>
          </rPr>
          <t>Leonard Thagard:</t>
        </r>
        <r>
          <rPr>
            <sz val="9"/>
            <color indexed="81"/>
            <rFont val="Tahoma"/>
            <family val="2"/>
          </rPr>
          <t xml:space="preserve">
Proposed is high.</t>
        </r>
      </text>
    </comment>
    <comment ref="BH39" authorId="1" shapeId="0">
      <text>
        <r>
          <rPr>
            <b/>
            <sz val="9"/>
            <color indexed="81"/>
            <rFont val="Tahoma"/>
            <family val="2"/>
          </rPr>
          <t>Leonard Thagard:</t>
        </r>
        <r>
          <rPr>
            <sz val="9"/>
            <color indexed="81"/>
            <rFont val="Tahoma"/>
            <family val="2"/>
          </rPr>
          <t xml:space="preserve">
Note in LCCA report:  "*Initial Cost estimated to be 85% of Construction Budget."</t>
        </r>
      </text>
    </comment>
    <comment ref="J40" authorId="1" shapeId="0">
      <text>
        <r>
          <rPr>
            <b/>
            <sz val="9"/>
            <color indexed="81"/>
            <rFont val="Tahoma"/>
            <family val="2"/>
          </rPr>
          <t>Leonard Thagard:</t>
        </r>
        <r>
          <rPr>
            <sz val="9"/>
            <color indexed="81"/>
            <rFont val="Tahoma"/>
            <family val="2"/>
          </rPr>
          <t xml:space="preserve">
BO</t>
        </r>
      </text>
    </comment>
    <comment ref="Z43" authorId="1" shapeId="0">
      <text>
        <r>
          <rPr>
            <b/>
            <sz val="9"/>
            <color indexed="81"/>
            <rFont val="Tahoma"/>
            <family val="2"/>
          </rPr>
          <t>Leonard Thagard:</t>
        </r>
        <r>
          <rPr>
            <sz val="9"/>
            <color indexed="81"/>
            <rFont val="Tahoma"/>
            <family val="2"/>
          </rPr>
          <t xml:space="preserve">
Metered on square footage basis.</t>
        </r>
      </text>
    </comment>
    <comment ref="AN43" authorId="1" shapeId="0">
      <text>
        <r>
          <rPr>
            <b/>
            <sz val="9"/>
            <color indexed="81"/>
            <rFont val="Tahoma"/>
            <family val="2"/>
          </rPr>
          <t>Leonard Thagard:</t>
        </r>
        <r>
          <rPr>
            <sz val="9"/>
            <color indexed="81"/>
            <rFont val="Tahoma"/>
            <family val="2"/>
          </rPr>
          <t xml:space="preserve">
Metered on square footage basis for thermal utilities or steam and chilled water.</t>
        </r>
      </text>
    </comment>
    <comment ref="BH44" authorId="1" shapeId="0">
      <text>
        <r>
          <rPr>
            <b/>
            <sz val="9"/>
            <color indexed="81"/>
            <rFont val="Tahoma"/>
            <family val="2"/>
          </rPr>
          <t>Leonard Thagard:</t>
        </r>
        <r>
          <rPr>
            <sz val="9"/>
            <color indexed="81"/>
            <rFont val="Tahoma"/>
            <family val="2"/>
          </rPr>
          <t xml:space="preserve">
deduct for wall, roof, glaze, bid alt 3, plumb, daylighting, bid alt 1
</t>
        </r>
      </text>
    </comment>
    <comment ref="BF45" authorId="1" shapeId="0">
      <text>
        <r>
          <rPr>
            <b/>
            <sz val="9"/>
            <color indexed="81"/>
            <rFont val="Tahoma"/>
            <family val="2"/>
          </rPr>
          <t>Leonard Thagard:</t>
        </r>
        <r>
          <rPr>
            <sz val="9"/>
            <color indexed="81"/>
            <rFont val="Tahoma"/>
            <family val="2"/>
          </rPr>
          <t xml:space="preserve">
Early site package plus building package.</t>
        </r>
      </text>
    </comment>
    <comment ref="BH45" authorId="1" shapeId="0">
      <text>
        <r>
          <rPr>
            <b/>
            <sz val="9"/>
            <color indexed="81"/>
            <rFont val="Tahoma"/>
            <family val="2"/>
          </rPr>
          <t>Leonard Thagard:</t>
        </r>
        <r>
          <rPr>
            <sz val="9"/>
            <color indexed="81"/>
            <rFont val="Tahoma"/>
            <family val="2"/>
          </rPr>
          <t xml:space="preserve">
Clark Nexsen analysis indicated baseline building cost more to build than the proposed building.  Analysis not used here.</t>
        </r>
      </text>
    </comment>
    <comment ref="BF47" authorId="1" shapeId="0">
      <text>
        <r>
          <rPr>
            <b/>
            <sz val="9"/>
            <color indexed="81"/>
            <rFont val="Tahoma"/>
            <family val="2"/>
          </rPr>
          <t>Leonard Thagard:</t>
        </r>
        <r>
          <rPr>
            <sz val="9"/>
            <color indexed="81"/>
            <rFont val="Tahoma"/>
            <family val="2"/>
          </rPr>
          <t xml:space="preserve">
Early site plus site and building bid packages.</t>
        </r>
      </text>
    </comment>
    <comment ref="N49" authorId="0" shapeId="0">
      <text>
        <r>
          <rPr>
            <b/>
            <sz val="9"/>
            <color indexed="81"/>
            <rFont val="Tahoma"/>
            <family val="2"/>
          </rPr>
          <t>Thagard, Leonard:</t>
        </r>
        <r>
          <rPr>
            <sz val="9"/>
            <color indexed="81"/>
            <rFont val="Tahoma"/>
            <family val="2"/>
          </rPr>
          <t xml:space="preserve">
includes dining hall</t>
        </r>
      </text>
    </comment>
    <comment ref="AB49" authorId="0" shapeId="0">
      <text>
        <r>
          <rPr>
            <b/>
            <sz val="9"/>
            <color indexed="81"/>
            <rFont val="Tahoma"/>
            <family val="2"/>
          </rPr>
          <t>Thagard, Leonard:</t>
        </r>
        <r>
          <rPr>
            <sz val="9"/>
            <color indexed="81"/>
            <rFont val="Tahoma"/>
            <family val="2"/>
          </rPr>
          <t xml:space="preserve">
This building also contains a dining hall.</t>
        </r>
      </text>
    </comment>
    <comment ref="BB49" authorId="0" shapeId="0">
      <text>
        <r>
          <rPr>
            <b/>
            <sz val="9"/>
            <color indexed="81"/>
            <rFont val="Tahoma"/>
            <family val="2"/>
          </rPr>
          <t>Thagard, Leonard:</t>
        </r>
        <r>
          <rPr>
            <sz val="9"/>
            <color indexed="81"/>
            <rFont val="Tahoma"/>
            <family val="2"/>
          </rPr>
          <t xml:space="preserve">
building also contains a dining hall</t>
        </r>
      </text>
    </comment>
    <comment ref="J53" authorId="1" shapeId="0">
      <text>
        <r>
          <rPr>
            <b/>
            <sz val="9"/>
            <color indexed="81"/>
            <rFont val="Tahoma"/>
            <family val="2"/>
          </rPr>
          <t>Leonard Thagard:</t>
        </r>
        <r>
          <rPr>
            <sz val="9"/>
            <color indexed="81"/>
            <rFont val="Tahoma"/>
            <family val="2"/>
          </rPr>
          <t xml:space="preserve">
Best guess.</t>
        </r>
      </text>
    </comment>
    <comment ref="Z53" authorId="1" shapeId="0">
      <text>
        <r>
          <rPr>
            <b/>
            <sz val="9"/>
            <color indexed="81"/>
            <rFont val="Tahoma"/>
            <family val="2"/>
          </rPr>
          <t>Leonard Thagard:</t>
        </r>
        <r>
          <rPr>
            <sz val="9"/>
            <color indexed="81"/>
            <rFont val="Tahoma"/>
            <family val="2"/>
          </rPr>
          <t xml:space="preserve">
Thermal utiities are metered on a square foot basis not on usage.</t>
        </r>
      </text>
    </comment>
    <comment ref="BF53" authorId="1" shapeId="0">
      <text>
        <r>
          <rPr>
            <b/>
            <sz val="9"/>
            <color indexed="81"/>
            <rFont val="Tahoma"/>
            <family val="2"/>
          </rPr>
          <t>Leonard Thagard:</t>
        </r>
        <r>
          <rPr>
            <sz val="9"/>
            <color indexed="81"/>
            <rFont val="Tahoma"/>
            <family val="2"/>
          </rPr>
          <t xml:space="preserve">
Designer's LCCA estimate.</t>
        </r>
      </text>
    </comment>
    <comment ref="BH53" authorId="1" shapeId="0">
      <text>
        <r>
          <rPr>
            <b/>
            <sz val="9"/>
            <color indexed="81"/>
            <rFont val="Tahoma"/>
            <family val="2"/>
          </rPr>
          <t>Leonard Thagard:</t>
        </r>
        <r>
          <rPr>
            <sz val="9"/>
            <color indexed="81"/>
            <rFont val="Tahoma"/>
            <family val="2"/>
          </rPr>
          <t xml:space="preserve">
Designer's LCCA estimate.</t>
        </r>
      </text>
    </comment>
    <comment ref="J54" authorId="1" shapeId="0">
      <text>
        <r>
          <rPr>
            <b/>
            <sz val="9"/>
            <color indexed="81"/>
            <rFont val="Tahoma"/>
            <family val="2"/>
          </rPr>
          <t>Leonard Thagard:</t>
        </r>
        <r>
          <rPr>
            <sz val="9"/>
            <color indexed="81"/>
            <rFont val="Tahoma"/>
            <family val="2"/>
          </rPr>
          <t xml:space="preserve">
BO per Jerry Rogers' handwritten notes in file.</t>
        </r>
      </text>
    </comment>
    <comment ref="BH54" authorId="1" shapeId="0">
      <text>
        <r>
          <rPr>
            <b/>
            <sz val="9"/>
            <color indexed="81"/>
            <rFont val="Tahoma"/>
            <family val="2"/>
          </rPr>
          <t>Leonard Thagard:</t>
        </r>
        <r>
          <rPr>
            <sz val="9"/>
            <color indexed="81"/>
            <rFont val="Tahoma"/>
            <family val="2"/>
          </rPr>
          <t xml:space="preserve">
LCCA cost estimate for proposed building was $46,642,869 while baseline was $46,128,762 for a difference of 514,107 which was deducted from the bid amount to arrive at the baseline building estimate.</t>
        </r>
      </text>
    </comment>
    <comment ref="BJ54" authorId="1" shapeId="0">
      <text>
        <r>
          <rPr>
            <b/>
            <sz val="9"/>
            <color indexed="81"/>
            <rFont val="Tahoma"/>
            <family val="2"/>
          </rPr>
          <t>Leonard Thagard:</t>
        </r>
        <r>
          <rPr>
            <sz val="9"/>
            <color indexed="81"/>
            <rFont val="Tahoma"/>
            <family val="2"/>
          </rPr>
          <t xml:space="preserve">
LEED certification 110000 and article 15-1 fee 229250</t>
        </r>
      </text>
    </comment>
    <comment ref="Z55" authorId="0" shapeId="0">
      <text>
        <r>
          <rPr>
            <b/>
            <sz val="9"/>
            <color indexed="81"/>
            <rFont val="Tahoma"/>
            <family val="2"/>
          </rPr>
          <t>Thagard, Leonard:</t>
        </r>
        <r>
          <rPr>
            <sz val="9"/>
            <color indexed="81"/>
            <rFont val="Tahoma"/>
            <family val="2"/>
          </rPr>
          <t xml:space="preserve">
Does not include heating hot water consumption.</t>
        </r>
      </text>
    </comment>
    <comment ref="AN55" authorId="0" shapeId="0">
      <text>
        <r>
          <rPr>
            <b/>
            <sz val="9"/>
            <color indexed="81"/>
            <rFont val="Tahoma"/>
            <family val="2"/>
          </rPr>
          <t>Thagard, Leonard:</t>
        </r>
        <r>
          <rPr>
            <sz val="9"/>
            <color indexed="81"/>
            <rFont val="Tahoma"/>
            <family val="2"/>
          </rPr>
          <t xml:space="preserve">
does not include heating hot water cost.
Does not include chilled water cost.</t>
        </r>
      </text>
    </comment>
    <comment ref="BH58" authorId="1" shapeId="0">
      <text>
        <r>
          <rPr>
            <b/>
            <sz val="9"/>
            <color indexed="81"/>
            <rFont val="Tahoma"/>
            <family val="2"/>
          </rPr>
          <t>Leonard Thagard:</t>
        </r>
        <r>
          <rPr>
            <sz val="9"/>
            <color indexed="81"/>
            <rFont val="Tahoma"/>
            <family val="2"/>
          </rPr>
          <t xml:space="preserve">
baseline calculated from bid amount less delta of $1,012,000 between proposed and baseline estimates by designer.</t>
        </r>
      </text>
    </comment>
    <comment ref="BF60" authorId="1" shapeId="0">
      <text>
        <r>
          <rPr>
            <b/>
            <sz val="9"/>
            <color indexed="81"/>
            <rFont val="Tahoma"/>
            <family val="2"/>
          </rPr>
          <t>Leonard Thagard:</t>
        </r>
        <r>
          <rPr>
            <sz val="9"/>
            <color indexed="81"/>
            <rFont val="Tahoma"/>
            <family val="2"/>
          </rPr>
          <t xml:space="preserve">
Early site plus building package.</t>
        </r>
      </text>
    </comment>
    <comment ref="BH63" authorId="1" shapeId="0">
      <text>
        <r>
          <rPr>
            <b/>
            <sz val="9"/>
            <color indexed="81"/>
            <rFont val="Tahoma"/>
            <family val="2"/>
          </rPr>
          <t>Leonard Thagard:</t>
        </r>
        <r>
          <rPr>
            <sz val="9"/>
            <color indexed="81"/>
            <rFont val="Tahoma"/>
            <family val="2"/>
          </rPr>
          <t xml:space="preserve">
baseline and proposed building cost estimates exceeded the bid amount.  Costs to implement energy legislation are negative.</t>
        </r>
      </text>
    </comment>
    <comment ref="BJ64" authorId="1" shapeId="0">
      <text>
        <r>
          <rPr>
            <b/>
            <sz val="9"/>
            <color indexed="81"/>
            <rFont val="Tahoma"/>
            <family val="2"/>
          </rPr>
          <t>Leonard Thagard:</t>
        </r>
        <r>
          <rPr>
            <sz val="9"/>
            <color indexed="81"/>
            <rFont val="Tahoma"/>
            <family val="2"/>
          </rPr>
          <t xml:space="preserve">
Green Globes.</t>
        </r>
      </text>
    </comment>
    <comment ref="BF68" authorId="1" shapeId="0">
      <text>
        <r>
          <rPr>
            <b/>
            <sz val="9"/>
            <color indexed="81"/>
            <rFont val="Tahoma"/>
            <family val="2"/>
          </rPr>
          <t>Leonard Thagard:</t>
        </r>
        <r>
          <rPr>
            <sz val="9"/>
            <color indexed="81"/>
            <rFont val="Tahoma"/>
            <family val="2"/>
          </rPr>
          <t xml:space="preserve">
CMR bid packages and CO's through CO#10.</t>
        </r>
      </text>
    </comment>
    <comment ref="BH68" authorId="1" shapeId="0">
      <text>
        <r>
          <rPr>
            <b/>
            <sz val="9"/>
            <color indexed="81"/>
            <rFont val="Tahoma"/>
            <family val="2"/>
          </rPr>
          <t>Leonard Thagard:</t>
        </r>
        <r>
          <rPr>
            <sz val="9"/>
            <color indexed="81"/>
            <rFont val="Tahoma"/>
            <family val="2"/>
          </rPr>
          <t xml:space="preserve">
CD estimates for baseline and proposed buildings exceed CMR bids through CO #10.  Baseline estimate is CMR contract amount through CO #10 less designer's delta between baseline and proposed buildings.</t>
        </r>
      </text>
    </comment>
    <comment ref="Z69" authorId="0" shapeId="0">
      <text>
        <r>
          <rPr>
            <b/>
            <sz val="9"/>
            <color indexed="81"/>
            <rFont val="Tahoma"/>
            <family val="2"/>
          </rPr>
          <t>Thagard, Leonard:</t>
        </r>
        <r>
          <rPr>
            <sz val="9"/>
            <color indexed="81"/>
            <rFont val="Tahoma"/>
            <family val="2"/>
          </rPr>
          <t xml:space="preserve">
partial meter data.
Incomplete
</t>
        </r>
      </text>
    </comment>
    <comment ref="AA69" authorId="0" shapeId="0">
      <text>
        <r>
          <rPr>
            <b/>
            <sz val="9"/>
            <color indexed="81"/>
            <rFont val="Tahoma"/>
            <family val="2"/>
          </rPr>
          <t>Thagard, Leonard:</t>
        </r>
        <r>
          <rPr>
            <sz val="9"/>
            <color indexed="81"/>
            <rFont val="Tahoma"/>
            <family val="2"/>
          </rPr>
          <t xml:space="preserve">
incomplete meter data
</t>
        </r>
      </text>
    </comment>
    <comment ref="AN69" authorId="0" shapeId="0">
      <text>
        <r>
          <rPr>
            <b/>
            <sz val="9"/>
            <color indexed="81"/>
            <rFont val="Tahoma"/>
            <family val="2"/>
          </rPr>
          <t>Thagard, Leonard:</t>
        </r>
        <r>
          <rPr>
            <sz val="9"/>
            <color indexed="81"/>
            <rFont val="Tahoma"/>
            <family val="2"/>
          </rPr>
          <t xml:space="preserve">
partial meter data
incomplete
</t>
        </r>
      </text>
    </comment>
    <comment ref="AY71" authorId="1" shapeId="0">
      <text>
        <r>
          <rPr>
            <b/>
            <sz val="9"/>
            <color indexed="81"/>
            <rFont val="Tahoma"/>
            <family val="2"/>
          </rPr>
          <t>Leonard Thagard:</t>
        </r>
        <r>
          <rPr>
            <sz val="9"/>
            <color indexed="81"/>
            <rFont val="Tahoma"/>
            <family val="2"/>
          </rPr>
          <t xml:space="preserve">
includes kitchen load and cooling tower make up at 3,600,000 gall/yr.</t>
        </r>
      </text>
    </comment>
    <comment ref="BF74" authorId="1" shapeId="0">
      <text>
        <r>
          <rPr>
            <b/>
            <sz val="9"/>
            <color indexed="81"/>
            <rFont val="Tahoma"/>
            <family val="2"/>
          </rPr>
          <t>Leonard Thagard:</t>
        </r>
        <r>
          <rPr>
            <sz val="9"/>
            <color indexed="81"/>
            <rFont val="Tahoma"/>
            <family val="2"/>
          </rPr>
          <t xml:space="preserve">
Captures most but not all bid packages.</t>
        </r>
      </text>
    </comment>
    <comment ref="BI74" authorId="1" shapeId="0">
      <text>
        <r>
          <rPr>
            <b/>
            <sz val="9"/>
            <color indexed="81"/>
            <rFont val="Tahoma"/>
            <family val="2"/>
          </rPr>
          <t>Leonard Thagard:</t>
        </r>
        <r>
          <rPr>
            <sz val="9"/>
            <color indexed="81"/>
            <rFont val="Tahoma"/>
            <family val="2"/>
          </rPr>
          <t xml:space="preserve">
includes swing space, promotion support, bridge over RR tracks, etc.</t>
        </r>
      </text>
    </comment>
    <comment ref="Z75" authorId="0" shapeId="0">
      <text>
        <r>
          <rPr>
            <b/>
            <sz val="9"/>
            <color indexed="81"/>
            <rFont val="Tahoma"/>
            <family val="2"/>
          </rPr>
          <t>Thagard, Leonard:</t>
        </r>
        <r>
          <rPr>
            <sz val="9"/>
            <color indexed="81"/>
            <rFont val="Tahoma"/>
            <family val="2"/>
          </rPr>
          <t xml:space="preserve">
does not include electricity for the month of June, 2015.</t>
        </r>
      </text>
    </comment>
    <comment ref="W78" authorId="1" shapeId="0">
      <text>
        <r>
          <rPr>
            <b/>
            <sz val="9"/>
            <color indexed="81"/>
            <rFont val="Tahoma"/>
            <family val="2"/>
          </rPr>
          <t>Leonard Thagard:</t>
        </r>
        <r>
          <rPr>
            <sz val="9"/>
            <color indexed="81"/>
            <rFont val="Tahoma"/>
            <family val="2"/>
          </rPr>
          <t xml:space="preserve">
27% improvement without plug and process loads.</t>
        </r>
      </text>
    </comment>
    <comment ref="BJ78" authorId="1" shapeId="0">
      <text>
        <r>
          <rPr>
            <b/>
            <sz val="9"/>
            <color indexed="81"/>
            <rFont val="Tahoma"/>
            <family val="2"/>
          </rPr>
          <t>Leonard Thagard:</t>
        </r>
        <r>
          <rPr>
            <sz val="9"/>
            <color indexed="81"/>
            <rFont val="Tahoma"/>
            <family val="2"/>
          </rPr>
          <t xml:space="preserve">
Green Globes</t>
        </r>
      </text>
    </comment>
    <comment ref="M80" authorId="1" shapeId="0">
      <text>
        <r>
          <rPr>
            <b/>
            <sz val="9"/>
            <color indexed="81"/>
            <rFont val="Tahoma"/>
            <family val="2"/>
          </rPr>
          <t>Leonard Thagard:</t>
        </r>
        <r>
          <rPr>
            <sz val="9"/>
            <color indexed="81"/>
            <rFont val="Tahoma"/>
            <family val="2"/>
          </rPr>
          <t xml:space="preserve">
GSF does not include tempered un-occupied attic space of ~22,000 SF.</t>
        </r>
      </text>
    </comment>
    <comment ref="BF80" authorId="1" shapeId="0">
      <text>
        <r>
          <rPr>
            <b/>
            <sz val="9"/>
            <color indexed="81"/>
            <rFont val="Tahoma"/>
            <family val="2"/>
          </rPr>
          <t>Leonard Thagard:</t>
        </r>
        <r>
          <rPr>
            <sz val="9"/>
            <color indexed="81"/>
            <rFont val="Tahoma"/>
            <family val="2"/>
          </rPr>
          <t xml:space="preserve">
Designer's proposed building estimate is $5,957,771.  Early demo is not included.  Contract may include CUP and distribution piping.  Ear</t>
        </r>
      </text>
    </comment>
    <comment ref="BH80" authorId="1" shapeId="0">
      <text>
        <r>
          <rPr>
            <b/>
            <sz val="9"/>
            <color indexed="81"/>
            <rFont val="Tahoma"/>
            <family val="2"/>
          </rPr>
          <t>Leonard Thagard:</t>
        </r>
        <r>
          <rPr>
            <sz val="9"/>
            <color indexed="81"/>
            <rFont val="Tahoma"/>
            <family val="2"/>
          </rPr>
          <t xml:space="preserve">
does not include early demo, CEP, CEP distribution, etc.</t>
        </r>
      </text>
    </comment>
    <comment ref="BL80" authorId="1" shapeId="0">
      <text>
        <r>
          <rPr>
            <b/>
            <sz val="9"/>
            <color indexed="81"/>
            <rFont val="Tahoma"/>
            <family val="2"/>
          </rPr>
          <t>Leonard Thagard:</t>
        </r>
        <r>
          <rPr>
            <sz val="9"/>
            <color indexed="81"/>
            <rFont val="Tahoma"/>
            <family val="2"/>
          </rPr>
          <t xml:space="preserve">
There is no SCO contract for Cx.</t>
        </r>
      </text>
    </comment>
    <comment ref="M81" authorId="1" shapeId="0">
      <text>
        <r>
          <rPr>
            <b/>
            <sz val="9"/>
            <color indexed="81"/>
            <rFont val="Tahoma"/>
            <family val="2"/>
          </rPr>
          <t>Leonard Thagard:</t>
        </r>
        <r>
          <rPr>
            <sz val="9"/>
            <color indexed="81"/>
            <rFont val="Tahoma"/>
            <family val="2"/>
          </rPr>
          <t xml:space="preserve">
Listed now as two buildings East at 102,127 GSF and West at 105,950 GSF.</t>
        </r>
      </text>
    </comment>
    <comment ref="Z81" authorId="0" shapeId="0">
      <text>
        <r>
          <rPr>
            <b/>
            <sz val="9"/>
            <color indexed="81"/>
            <rFont val="Tahoma"/>
            <family val="2"/>
          </rPr>
          <t>Thagard, Leonard:</t>
        </r>
        <r>
          <rPr>
            <sz val="9"/>
            <color indexed="81"/>
            <rFont val="Tahoma"/>
            <family val="2"/>
          </rPr>
          <t xml:space="preserve">
does not include steam/consdenate meter data</t>
        </r>
      </text>
    </comment>
    <comment ref="AN81" authorId="0" shapeId="0">
      <text>
        <r>
          <rPr>
            <b/>
            <sz val="9"/>
            <color indexed="81"/>
            <rFont val="Tahoma"/>
            <family val="2"/>
          </rPr>
          <t>Thagard, Leonard:</t>
        </r>
        <r>
          <rPr>
            <sz val="9"/>
            <color indexed="81"/>
            <rFont val="Tahoma"/>
            <family val="2"/>
          </rPr>
          <t xml:space="preserve">
does not include steam/condensate meter data</t>
        </r>
      </text>
    </comment>
    <comment ref="BA81" authorId="0" shapeId="0">
      <text>
        <r>
          <rPr>
            <b/>
            <sz val="9"/>
            <color indexed="81"/>
            <rFont val="Tahoma"/>
            <family val="2"/>
          </rPr>
          <t>Thagard, Leonard:</t>
        </r>
        <r>
          <rPr>
            <sz val="9"/>
            <color indexed="81"/>
            <rFont val="Tahoma"/>
            <family val="2"/>
          </rPr>
          <t xml:space="preserve">
does not include Aug 15 and July 16 meter data</t>
        </r>
      </text>
    </comment>
    <comment ref="AT82" authorId="1" shapeId="0">
      <text>
        <r>
          <rPr>
            <b/>
            <sz val="9"/>
            <color indexed="81"/>
            <rFont val="Tahoma"/>
            <family val="2"/>
          </rPr>
          <t>Leonard Thagard:</t>
        </r>
        <r>
          <rPr>
            <sz val="9"/>
            <color indexed="81"/>
            <rFont val="Tahoma"/>
            <family val="2"/>
          </rPr>
          <t xml:space="preserve">
Includes cooling tower make up and large laundry load.</t>
        </r>
      </text>
    </comment>
    <comment ref="I85" authorId="1" shapeId="0">
      <text>
        <r>
          <rPr>
            <b/>
            <sz val="9"/>
            <color indexed="81"/>
            <rFont val="Tahoma"/>
            <family val="2"/>
          </rPr>
          <t>Leonard Thagard:</t>
        </r>
        <r>
          <rPr>
            <sz val="9"/>
            <color indexed="81"/>
            <rFont val="Tahoma"/>
            <family val="2"/>
          </rPr>
          <t xml:space="preserve">
Private funding.  No state contract.</t>
        </r>
      </text>
    </comment>
    <comment ref="J85" authorId="0" shapeId="0">
      <text>
        <r>
          <rPr>
            <b/>
            <sz val="9"/>
            <color indexed="81"/>
            <rFont val="Tahoma"/>
            <family val="2"/>
          </rPr>
          <t>Thagard, Leonard:</t>
        </r>
        <r>
          <rPr>
            <sz val="9"/>
            <color indexed="81"/>
            <rFont val="Tahoma"/>
            <family val="2"/>
          </rPr>
          <t xml:space="preserve">
?</t>
        </r>
      </text>
    </comment>
    <comment ref="N85" authorId="0" shapeId="0">
      <text>
        <r>
          <rPr>
            <b/>
            <sz val="9"/>
            <color indexed="81"/>
            <rFont val="Tahoma"/>
            <family val="2"/>
          </rPr>
          <t>Thagard, Leonard:</t>
        </r>
        <r>
          <rPr>
            <sz val="9"/>
            <color indexed="81"/>
            <rFont val="Tahoma"/>
            <family val="2"/>
          </rPr>
          <t xml:space="preserve">
include conference center meeting rooms.</t>
        </r>
      </text>
    </comment>
    <comment ref="J86" authorId="0" shapeId="0">
      <text>
        <r>
          <rPr>
            <b/>
            <sz val="9"/>
            <color indexed="81"/>
            <rFont val="Tahoma"/>
            <family val="2"/>
          </rPr>
          <t>Thagard, Leonard:</t>
        </r>
        <r>
          <rPr>
            <sz val="9"/>
            <color indexed="81"/>
            <rFont val="Tahoma"/>
            <family val="2"/>
          </rPr>
          <t xml:space="preserve">
BO.  Working through punch list and natatorium.</t>
        </r>
      </text>
    </comment>
    <comment ref="M86" authorId="1" shapeId="0">
      <text>
        <r>
          <rPr>
            <b/>
            <sz val="9"/>
            <color indexed="81"/>
            <rFont val="Tahoma"/>
            <family val="2"/>
          </rPr>
          <t>Leonard Thagard:</t>
        </r>
        <r>
          <rPr>
            <sz val="9"/>
            <color indexed="81"/>
            <rFont val="Tahoma"/>
            <family val="2"/>
          </rPr>
          <t xml:space="preserve">
131,341 includes pool deck and pool lobby in GSF.  M&amp;L estimate at 105,000 GSF.</t>
        </r>
      </text>
    </comment>
    <comment ref="S86" authorId="1" shapeId="0">
      <text>
        <r>
          <rPr>
            <b/>
            <sz val="9"/>
            <color indexed="81"/>
            <rFont val="Tahoma"/>
            <family val="2"/>
          </rPr>
          <t>Leonard Thagard:</t>
        </r>
        <r>
          <rPr>
            <sz val="9"/>
            <color indexed="81"/>
            <rFont val="Tahoma"/>
            <family val="2"/>
          </rPr>
          <t xml:space="preserve">
Includes plug and process loads.  Pool equipment and HVAC are considered process loads.</t>
        </r>
      </text>
    </comment>
    <comment ref="W86" authorId="1" shapeId="0">
      <text>
        <r>
          <rPr>
            <b/>
            <sz val="9"/>
            <color indexed="81"/>
            <rFont val="Tahoma"/>
            <family val="2"/>
          </rPr>
          <t>Leonard Thagard:</t>
        </r>
        <r>
          <rPr>
            <sz val="9"/>
            <color indexed="81"/>
            <rFont val="Tahoma"/>
            <family val="2"/>
          </rPr>
          <t xml:space="preserve">
6% less energy than A90.1-2010.</t>
        </r>
      </text>
    </comment>
    <comment ref="BM86" authorId="1" shapeId="0">
      <text>
        <r>
          <rPr>
            <b/>
            <sz val="9"/>
            <color indexed="81"/>
            <rFont val="Tahoma"/>
            <family val="2"/>
          </rPr>
          <t>Leonard Thagard:</t>
        </r>
        <r>
          <rPr>
            <sz val="9"/>
            <color indexed="81"/>
            <rFont val="Tahoma"/>
            <family val="2"/>
          </rPr>
          <t xml:space="preserve">
Not correct since base is A90.1-2010 instead of A90.1-2004.  Also window and roof replacement not analyzed based on LCCA.</t>
        </r>
      </text>
    </comment>
    <comment ref="BF88" authorId="1" shapeId="0">
      <text>
        <r>
          <rPr>
            <b/>
            <sz val="9"/>
            <color indexed="81"/>
            <rFont val="Tahoma"/>
            <family val="2"/>
          </rPr>
          <t>Leonard Thagard:</t>
        </r>
        <r>
          <rPr>
            <sz val="9"/>
            <color indexed="81"/>
            <rFont val="Tahoma"/>
            <family val="2"/>
          </rPr>
          <t xml:space="preserve">
SB 668 bldg estimate from PDC.  BCC DB GMP is $9,751,745</t>
        </r>
      </text>
    </comment>
    <comment ref="BH88" authorId="1" shapeId="0">
      <text>
        <r>
          <rPr>
            <b/>
            <sz val="9"/>
            <color indexed="81"/>
            <rFont val="Tahoma"/>
            <family val="2"/>
          </rPr>
          <t>Leonard Thagard:</t>
        </r>
        <r>
          <rPr>
            <sz val="9"/>
            <color indexed="81"/>
            <rFont val="Tahoma"/>
            <family val="2"/>
          </rPr>
          <t xml:space="preserve">
Proposed bldg estimate from PDC.  BCC DB GMP is $9,751,745</t>
        </r>
      </text>
    </comment>
    <comment ref="BJ88" authorId="1" shapeId="0">
      <text>
        <r>
          <rPr>
            <b/>
            <sz val="9"/>
            <color indexed="81"/>
            <rFont val="Tahoma"/>
            <family val="2"/>
          </rPr>
          <t>Leonard Thagard:</t>
        </r>
        <r>
          <rPr>
            <sz val="9"/>
            <color indexed="81"/>
            <rFont val="Tahoma"/>
            <family val="2"/>
          </rPr>
          <t xml:space="preserve">
PDC estimate from HB 628 study.</t>
        </r>
      </text>
    </comment>
    <comment ref="BL88" authorId="1" shapeId="0">
      <text>
        <r>
          <rPr>
            <b/>
            <sz val="9"/>
            <color indexed="81"/>
            <rFont val="Tahoma"/>
            <family val="2"/>
          </rPr>
          <t>Leonard Thagard:</t>
        </r>
        <r>
          <rPr>
            <sz val="9"/>
            <color indexed="81"/>
            <rFont val="Tahoma"/>
            <family val="2"/>
          </rPr>
          <t xml:space="preserve">
PDC estimate for Cx.</t>
        </r>
      </text>
    </comment>
    <comment ref="J89" authorId="0" shapeId="0">
      <text>
        <r>
          <rPr>
            <b/>
            <sz val="9"/>
            <color indexed="81"/>
            <rFont val="Tahoma"/>
            <family val="2"/>
          </rPr>
          <t>Thagard, Leonard:</t>
        </r>
        <r>
          <rPr>
            <sz val="9"/>
            <color indexed="81"/>
            <rFont val="Tahoma"/>
            <family val="2"/>
          </rPr>
          <t xml:space="preserve">
BO</t>
        </r>
      </text>
    </comment>
    <comment ref="M89" authorId="1" shapeId="0">
      <text>
        <r>
          <rPr>
            <b/>
            <sz val="9"/>
            <color indexed="81"/>
            <rFont val="Tahoma"/>
            <family val="2"/>
          </rPr>
          <t>Leonard Thagard:</t>
        </r>
        <r>
          <rPr>
            <sz val="9"/>
            <color indexed="81"/>
            <rFont val="Tahoma"/>
            <family val="2"/>
          </rPr>
          <t xml:space="preserve">
GSF includes alternates for additional space and per email from Rebecca dated 12.19.13.
</t>
        </r>
      </text>
    </comment>
    <comment ref="S89" authorId="1" shapeId="0">
      <text>
        <r>
          <rPr>
            <b/>
            <sz val="9"/>
            <color indexed="81"/>
            <rFont val="Tahoma"/>
            <family val="2"/>
          </rPr>
          <t>Leonard Thagard:</t>
        </r>
        <r>
          <rPr>
            <sz val="9"/>
            <color indexed="81"/>
            <rFont val="Tahoma"/>
            <family val="2"/>
          </rPr>
          <t xml:space="preserve">
Includes process loads.</t>
        </r>
      </text>
    </comment>
    <comment ref="U89" authorId="1" shapeId="0">
      <text>
        <r>
          <rPr>
            <b/>
            <sz val="9"/>
            <color indexed="81"/>
            <rFont val="Tahoma"/>
            <family val="2"/>
          </rPr>
          <t>Leonard Thagard:</t>
        </r>
        <r>
          <rPr>
            <sz val="9"/>
            <color indexed="81"/>
            <rFont val="Tahoma"/>
            <family val="2"/>
          </rPr>
          <t xml:space="preserve">
Inlcudes process loads.</t>
        </r>
      </text>
    </comment>
    <comment ref="O90" authorId="1" shapeId="0">
      <text>
        <r>
          <rPr>
            <b/>
            <sz val="9"/>
            <color indexed="81"/>
            <rFont val="Tahoma"/>
            <family val="2"/>
          </rPr>
          <t>Leonard Thagard:</t>
        </r>
        <r>
          <rPr>
            <sz val="9"/>
            <color indexed="81"/>
            <rFont val="Tahoma"/>
            <family val="2"/>
          </rPr>
          <t xml:space="preserve">
base=57,963
1st=70,579
mez=37,042
Need to verify GSF.</t>
        </r>
      </text>
    </comment>
    <comment ref="W91" authorId="1" shapeId="0">
      <text>
        <r>
          <rPr>
            <b/>
            <sz val="9"/>
            <color indexed="81"/>
            <rFont val="Tahoma"/>
            <family val="2"/>
          </rPr>
          <t>Leonard Thagard:</t>
        </r>
        <r>
          <rPr>
            <sz val="9"/>
            <color indexed="81"/>
            <rFont val="Tahoma"/>
            <family val="2"/>
          </rPr>
          <t xml:space="preserve">
25% improvement w/o plug load</t>
        </r>
      </text>
    </comment>
    <comment ref="AG91" authorId="1" shapeId="0">
      <text>
        <r>
          <rPr>
            <b/>
            <sz val="9"/>
            <color indexed="81"/>
            <rFont val="Tahoma"/>
            <family val="2"/>
          </rPr>
          <t>Leonard Thagard:</t>
        </r>
        <r>
          <rPr>
            <sz val="9"/>
            <color indexed="81"/>
            <rFont val="Tahoma"/>
            <family val="2"/>
          </rPr>
          <t xml:space="preserve">
energy dollars include plug and process loads</t>
        </r>
      </text>
    </comment>
    <comment ref="BH91" authorId="1" shapeId="0">
      <text>
        <r>
          <rPr>
            <b/>
            <sz val="9"/>
            <color indexed="81"/>
            <rFont val="Tahoma"/>
            <family val="2"/>
          </rPr>
          <t>Leonard Thagard:</t>
        </r>
        <r>
          <rPr>
            <sz val="9"/>
            <color indexed="81"/>
            <rFont val="Tahoma"/>
            <family val="2"/>
          </rPr>
          <t xml:space="preserve">
baseline estimate from energy model report.  Proposed estimate si $36,334,998 compared to CM estimate of </t>
        </r>
      </text>
    </comment>
    <comment ref="BL92" authorId="1" shapeId="0">
      <text>
        <r>
          <rPr>
            <b/>
            <sz val="9"/>
            <color indexed="81"/>
            <rFont val="Tahoma"/>
            <family val="2"/>
          </rPr>
          <t>Leonard Thagard:</t>
        </r>
        <r>
          <rPr>
            <sz val="9"/>
            <color indexed="81"/>
            <rFont val="Tahoma"/>
            <family val="2"/>
          </rPr>
          <t xml:space="preserve">
Current contract is for $22,000.  $120,000 is commissioning reserve.</t>
        </r>
      </text>
    </comment>
    <comment ref="BJ93" authorId="0" shapeId="0">
      <text>
        <r>
          <rPr>
            <b/>
            <sz val="9"/>
            <color indexed="81"/>
            <rFont val="Tahoma"/>
            <family val="2"/>
          </rPr>
          <t>Thagard, Leonard:</t>
        </r>
        <r>
          <rPr>
            <sz val="9"/>
            <color indexed="81"/>
            <rFont val="Tahoma"/>
            <family val="2"/>
          </rPr>
          <t xml:space="preserve">
$154,488 for LEED Silver Certification
</t>
        </r>
      </text>
    </comment>
    <comment ref="S94" authorId="1" shapeId="0">
      <text>
        <r>
          <rPr>
            <b/>
            <sz val="9"/>
            <color indexed="81"/>
            <rFont val="Tahoma"/>
            <family val="2"/>
          </rPr>
          <t>Leonard Thagard:</t>
        </r>
        <r>
          <rPr>
            <sz val="9"/>
            <color indexed="81"/>
            <rFont val="Tahoma"/>
            <family val="2"/>
          </rPr>
          <t xml:space="preserve">
Includes process load</t>
        </r>
      </text>
    </comment>
    <comment ref="U94" authorId="1" shapeId="0">
      <text>
        <r>
          <rPr>
            <b/>
            <sz val="9"/>
            <color indexed="81"/>
            <rFont val="Tahoma"/>
            <family val="2"/>
          </rPr>
          <t>Leonard Thagard:</t>
        </r>
        <r>
          <rPr>
            <sz val="9"/>
            <color indexed="81"/>
            <rFont val="Tahoma"/>
            <family val="2"/>
          </rPr>
          <t xml:space="preserve">
Includes process load.</t>
        </r>
      </text>
    </comment>
    <comment ref="W94" authorId="1" shapeId="0">
      <text>
        <r>
          <rPr>
            <b/>
            <sz val="9"/>
            <color indexed="81"/>
            <rFont val="Tahoma"/>
            <family val="2"/>
          </rPr>
          <t>Leonard Thagard:</t>
        </r>
        <r>
          <rPr>
            <sz val="9"/>
            <color indexed="81"/>
            <rFont val="Tahoma"/>
            <family val="2"/>
          </rPr>
          <t xml:space="preserve">
Savings are 46% with process load removed.</t>
        </r>
      </text>
    </comment>
    <comment ref="AH94" authorId="1" shapeId="0">
      <text>
        <r>
          <rPr>
            <b/>
            <sz val="9"/>
            <color indexed="81"/>
            <rFont val="Tahoma"/>
            <family val="2"/>
          </rPr>
          <t>Leonard Thagard:</t>
        </r>
        <r>
          <rPr>
            <sz val="9"/>
            <color indexed="81"/>
            <rFont val="Tahoma"/>
            <family val="2"/>
          </rPr>
          <t xml:space="preserve">
Includes process load.</t>
        </r>
      </text>
    </comment>
    <comment ref="AJ94" authorId="1" shapeId="0">
      <text>
        <r>
          <rPr>
            <b/>
            <sz val="9"/>
            <color indexed="81"/>
            <rFont val="Tahoma"/>
            <family val="2"/>
          </rPr>
          <t>Leonard Thagard:</t>
        </r>
        <r>
          <rPr>
            <sz val="9"/>
            <color indexed="81"/>
            <rFont val="Tahoma"/>
            <family val="2"/>
          </rPr>
          <t xml:space="preserve">
Includes process load.</t>
        </r>
      </text>
    </comment>
    <comment ref="AS94" authorId="1" shapeId="0">
      <text>
        <r>
          <rPr>
            <b/>
            <sz val="9"/>
            <color indexed="81"/>
            <rFont val="Tahoma"/>
            <family val="2"/>
          </rPr>
          <t>Leonard Thagard:</t>
        </r>
        <r>
          <rPr>
            <sz val="9"/>
            <color indexed="81"/>
            <rFont val="Tahoma"/>
            <family val="2"/>
          </rPr>
          <t xml:space="preserve">
Includes cooling tower consumption.</t>
        </r>
      </text>
    </comment>
    <comment ref="AV94" authorId="1" shapeId="0">
      <text>
        <r>
          <rPr>
            <b/>
            <sz val="9"/>
            <color indexed="81"/>
            <rFont val="Tahoma"/>
            <family val="2"/>
          </rPr>
          <t>Leonard Thagard:</t>
        </r>
        <r>
          <rPr>
            <sz val="9"/>
            <color indexed="81"/>
            <rFont val="Tahoma"/>
            <family val="2"/>
          </rPr>
          <t xml:space="preserve">
Includes cooling tower consumption that is reduced due to smaller cooling load.</t>
        </r>
      </text>
    </comment>
    <comment ref="BH94" authorId="1" shapeId="0">
      <text>
        <r>
          <rPr>
            <b/>
            <sz val="9"/>
            <color indexed="81"/>
            <rFont val="Tahoma"/>
            <family val="2"/>
          </rPr>
          <t>Leonard Thagard:</t>
        </r>
        <r>
          <rPr>
            <sz val="9"/>
            <color indexed="81"/>
            <rFont val="Tahoma"/>
            <family val="2"/>
          </rPr>
          <t xml:space="preserve">
Baseline whole building estimate from LCCA.</t>
        </r>
      </text>
    </comment>
    <comment ref="BI94" authorId="1" shapeId="0">
      <text>
        <r>
          <rPr>
            <b/>
            <sz val="9"/>
            <color indexed="81"/>
            <rFont val="Tahoma"/>
            <family val="2"/>
          </rPr>
          <t>Leonard Thagard:</t>
        </r>
        <r>
          <rPr>
            <sz val="9"/>
            <color indexed="81"/>
            <rFont val="Tahoma"/>
            <family val="2"/>
          </rPr>
          <t xml:space="preserve">
Includes fee for swing space and others.</t>
        </r>
      </text>
    </comment>
    <comment ref="M95" authorId="1" shapeId="0">
      <text>
        <r>
          <rPr>
            <b/>
            <sz val="9"/>
            <color indexed="81"/>
            <rFont val="Tahoma"/>
            <family val="2"/>
          </rPr>
          <t>Leonard Thagard:</t>
        </r>
        <r>
          <rPr>
            <sz val="9"/>
            <color indexed="81"/>
            <rFont val="Tahoma"/>
            <family val="2"/>
          </rPr>
          <t xml:space="preserve">
Base bid GSF.
Alt Bid adds 4019 GSF.</t>
        </r>
      </text>
    </comment>
    <comment ref="S95" authorId="1" shapeId="0">
      <text>
        <r>
          <rPr>
            <b/>
            <sz val="9"/>
            <color indexed="81"/>
            <rFont val="Tahoma"/>
            <family val="2"/>
          </rPr>
          <t>Leonard Thagard:</t>
        </r>
        <r>
          <rPr>
            <sz val="9"/>
            <color indexed="81"/>
            <rFont val="Tahoma"/>
            <family val="2"/>
          </rPr>
          <t xml:space="preserve">
No updates for the DD submission.</t>
        </r>
      </text>
    </comment>
    <comment ref="U95" authorId="1" shapeId="0">
      <text>
        <r>
          <rPr>
            <b/>
            <sz val="9"/>
            <color indexed="81"/>
            <rFont val="Tahoma"/>
            <family val="2"/>
          </rPr>
          <t>Leonard Thagard:</t>
        </r>
        <r>
          <rPr>
            <sz val="9"/>
            <color indexed="81"/>
            <rFont val="Tahoma"/>
            <family val="2"/>
          </rPr>
          <t xml:space="preserve">
No updates for the DD submission.</t>
        </r>
      </text>
    </comment>
    <comment ref="M96" authorId="1" shapeId="0">
      <text>
        <r>
          <rPr>
            <b/>
            <sz val="9"/>
            <color indexed="81"/>
            <rFont val="Tahoma"/>
            <family val="2"/>
          </rPr>
          <t>Leonard Thagard:</t>
        </r>
        <r>
          <rPr>
            <sz val="9"/>
            <color indexed="81"/>
            <rFont val="Tahoma"/>
            <family val="2"/>
          </rPr>
          <t xml:space="preserve">
Building Area including overhang.</t>
        </r>
      </text>
    </comment>
    <comment ref="BH96" authorId="1" shapeId="0">
      <text>
        <r>
          <rPr>
            <b/>
            <sz val="9"/>
            <color indexed="81"/>
            <rFont val="Tahoma"/>
            <family val="2"/>
          </rPr>
          <t>Leonard Thagard:</t>
        </r>
        <r>
          <rPr>
            <sz val="9"/>
            <color indexed="81"/>
            <rFont val="Tahoma"/>
            <family val="2"/>
          </rPr>
          <t xml:space="preserve">
Proposed building reconciled CRM cost estimate less delta for base buillding from LCCA.</t>
        </r>
      </text>
    </comment>
    <comment ref="BJ97" authorId="1" shapeId="0">
      <text>
        <r>
          <rPr>
            <b/>
            <sz val="9"/>
            <color indexed="81"/>
            <rFont val="Tahoma"/>
            <family val="2"/>
          </rPr>
          <t>Leonard Thagard:</t>
        </r>
        <r>
          <rPr>
            <sz val="9"/>
            <color indexed="81"/>
            <rFont val="Tahoma"/>
            <family val="2"/>
          </rPr>
          <t xml:space="preserve">
LEED certification design &amp; documentation for $35,000.  LEED Registration for $8,500.</t>
        </r>
      </text>
    </comment>
    <comment ref="J98" authorId="0" shapeId="0">
      <text>
        <r>
          <rPr>
            <b/>
            <sz val="9"/>
            <color indexed="81"/>
            <rFont val="Tahoma"/>
            <family val="2"/>
          </rPr>
          <t>Thagard, Leonard:</t>
        </r>
        <r>
          <rPr>
            <sz val="9"/>
            <color indexed="81"/>
            <rFont val="Tahoma"/>
            <family val="2"/>
          </rPr>
          <t xml:space="preserve">
520 contract days.  Waiting on official NTP.</t>
        </r>
      </text>
    </comment>
    <comment ref="S99" authorId="1" shapeId="0">
      <text>
        <r>
          <rPr>
            <b/>
            <sz val="9"/>
            <color indexed="81"/>
            <rFont val="Tahoma"/>
            <family val="2"/>
          </rPr>
          <t>Leonard Thagard:</t>
        </r>
        <r>
          <rPr>
            <sz val="9"/>
            <color indexed="81"/>
            <rFont val="Tahoma"/>
            <family val="2"/>
          </rPr>
          <t xml:space="preserve">
No data provided with SD or DD submission.</t>
        </r>
      </text>
    </comment>
    <comment ref="U99" authorId="1" shapeId="0">
      <text>
        <r>
          <rPr>
            <b/>
            <sz val="9"/>
            <color indexed="81"/>
            <rFont val="Tahoma"/>
            <family val="2"/>
          </rPr>
          <t>Leonard Thagard:</t>
        </r>
        <r>
          <rPr>
            <sz val="9"/>
            <color indexed="81"/>
            <rFont val="Tahoma"/>
            <family val="2"/>
          </rPr>
          <t xml:space="preserve">
No data provided with SD or DD submission.</t>
        </r>
      </text>
    </comment>
    <comment ref="BH100" authorId="1" shapeId="0">
      <text>
        <r>
          <rPr>
            <b/>
            <sz val="9"/>
            <color indexed="81"/>
            <rFont val="Tahoma"/>
            <family val="2"/>
          </rPr>
          <t>Leonard Thagard:</t>
        </r>
        <r>
          <rPr>
            <sz val="9"/>
            <color indexed="81"/>
            <rFont val="Tahoma"/>
            <family val="2"/>
          </rPr>
          <t xml:space="preserve">
Delta between proposed and baseline is $2,000,000 per AEI LCCA.</t>
        </r>
      </text>
    </comment>
    <comment ref="S101" authorId="1" shapeId="0">
      <text>
        <r>
          <rPr>
            <b/>
            <sz val="9"/>
            <color indexed="81"/>
            <rFont val="Tahoma"/>
            <family val="2"/>
          </rPr>
          <t>Leonard Thagard:</t>
        </r>
        <r>
          <rPr>
            <sz val="9"/>
            <color indexed="81"/>
            <rFont val="Tahoma"/>
            <family val="2"/>
          </rPr>
          <t xml:space="preserve">
Plug and process has not been included.</t>
        </r>
      </text>
    </comment>
    <comment ref="U101" authorId="1" shapeId="0">
      <text>
        <r>
          <rPr>
            <b/>
            <sz val="9"/>
            <color indexed="81"/>
            <rFont val="Tahoma"/>
            <family val="2"/>
          </rPr>
          <t>Leonard Thagard:</t>
        </r>
        <r>
          <rPr>
            <sz val="9"/>
            <color indexed="81"/>
            <rFont val="Tahoma"/>
            <family val="2"/>
          </rPr>
          <t xml:space="preserve">
Plug and process has not been included.</t>
        </r>
      </text>
    </comment>
    <comment ref="AI101" authorId="1" shapeId="0">
      <text>
        <r>
          <rPr>
            <b/>
            <sz val="9"/>
            <color indexed="81"/>
            <rFont val="Tahoma"/>
            <family val="2"/>
          </rPr>
          <t>Leonard Thagard:</t>
        </r>
        <r>
          <rPr>
            <sz val="9"/>
            <color indexed="81"/>
            <rFont val="Tahoma"/>
            <family val="2"/>
          </rPr>
          <t xml:space="preserve">
Highest $/GSF to date.</t>
        </r>
      </text>
    </comment>
    <comment ref="AK101" authorId="1" shapeId="0">
      <text>
        <r>
          <rPr>
            <b/>
            <sz val="9"/>
            <color indexed="81"/>
            <rFont val="Tahoma"/>
            <family val="2"/>
          </rPr>
          <t>Leonard Thagard:</t>
        </r>
        <r>
          <rPr>
            <sz val="9"/>
            <color indexed="81"/>
            <rFont val="Tahoma"/>
            <family val="2"/>
          </rPr>
          <t xml:space="preserve">
Highest $/GSF to date.</t>
        </r>
      </text>
    </comment>
    <comment ref="BL101" authorId="1" shapeId="0">
      <text>
        <r>
          <rPr>
            <b/>
            <sz val="9"/>
            <color indexed="81"/>
            <rFont val="Tahoma"/>
            <family val="2"/>
          </rPr>
          <t>Leonard Thagard:</t>
        </r>
        <r>
          <rPr>
            <sz val="9"/>
            <color indexed="81"/>
            <rFont val="Tahoma"/>
            <family val="2"/>
          </rPr>
          <t xml:space="preserve">
$730,000 Cx reserve.  Current Cx contract is $36,940.</t>
        </r>
      </text>
    </comment>
    <comment ref="BH102" authorId="1" shapeId="0">
      <text>
        <r>
          <rPr>
            <b/>
            <sz val="9"/>
            <color indexed="81"/>
            <rFont val="Tahoma"/>
            <family val="2"/>
          </rPr>
          <t>Leonard Thagard:</t>
        </r>
        <r>
          <rPr>
            <sz val="9"/>
            <color indexed="81"/>
            <rFont val="Tahoma"/>
            <family val="2"/>
          </rPr>
          <t xml:space="preserve">
LED Lighting at $40,240 selected on LCCA.  No other alternates selected for energy savings.  Envelope improvements were not shown to reduce energy consumption.</t>
        </r>
      </text>
    </comment>
    <comment ref="BJ103" authorId="1" shapeId="0">
      <text>
        <r>
          <rPr>
            <b/>
            <sz val="9"/>
            <color indexed="81"/>
            <rFont val="Tahoma"/>
            <family val="2"/>
          </rPr>
          <t>Leonard Thagard:</t>
        </r>
        <r>
          <rPr>
            <sz val="9"/>
            <color indexed="81"/>
            <rFont val="Tahoma"/>
            <family val="2"/>
          </rPr>
          <t xml:space="preserve">
Silver LEED Consulting &amp; Certification.</t>
        </r>
      </text>
    </comment>
    <comment ref="BK103" authorId="1" shapeId="0">
      <text>
        <r>
          <rPr>
            <b/>
            <sz val="9"/>
            <color indexed="81"/>
            <rFont val="Tahoma"/>
            <family val="2"/>
          </rPr>
          <t>Leonard Thagard:</t>
        </r>
        <r>
          <rPr>
            <sz val="9"/>
            <color indexed="81"/>
            <rFont val="Tahoma"/>
            <family val="2"/>
          </rPr>
          <t xml:space="preserve">
7500 for predicting energy and water use.
6000 for preliminary study for LEED Silver certification
10000 for potential energy and water conservation strategies.</t>
        </r>
      </text>
    </comment>
    <comment ref="A104" authorId="1" shapeId="0">
      <text>
        <r>
          <rPr>
            <b/>
            <sz val="9"/>
            <color indexed="81"/>
            <rFont val="Tahoma"/>
            <family val="2"/>
          </rPr>
          <t>Leonard Thagard:</t>
        </r>
        <r>
          <rPr>
            <sz val="9"/>
            <color indexed="81"/>
            <rFont val="Tahoma"/>
            <family val="2"/>
          </rPr>
          <t xml:space="preserve">
Courtsey review only of energy model and LCCA per Greg Driver &amp; Joe Bace discussion (SCO Director &amp; AB Tech Fac/Oper Director)</t>
        </r>
      </text>
    </comment>
    <comment ref="V104" authorId="1" shapeId="0">
      <text>
        <r>
          <rPr>
            <b/>
            <sz val="9"/>
            <color indexed="81"/>
            <rFont val="Tahoma"/>
            <family val="2"/>
          </rPr>
          <t>Leonard Thagard:</t>
        </r>
        <r>
          <rPr>
            <sz val="9"/>
            <color indexed="81"/>
            <rFont val="Tahoma"/>
            <family val="2"/>
          </rPr>
          <t xml:space="preserve">
second lowest proposed EUI, second only to a warehouse/storage facility.</t>
        </r>
      </text>
    </comment>
    <comment ref="W104" authorId="1" shapeId="0">
      <text>
        <r>
          <rPr>
            <b/>
            <sz val="9"/>
            <color indexed="81"/>
            <rFont val="Tahoma"/>
            <family val="2"/>
          </rPr>
          <t>Leonard Thagard:</t>
        </r>
        <r>
          <rPr>
            <sz val="9"/>
            <color indexed="81"/>
            <rFont val="Tahoma"/>
            <family val="2"/>
          </rPr>
          <t xml:space="preserve">
Highest percentage savings to date.</t>
        </r>
      </text>
    </comment>
    <comment ref="BL106" authorId="0" shapeId="0">
      <text>
        <r>
          <rPr>
            <b/>
            <sz val="9"/>
            <color indexed="81"/>
            <rFont val="Tahoma"/>
            <family val="2"/>
          </rPr>
          <t>Thagard, Leonard:</t>
        </r>
        <r>
          <rPr>
            <sz val="9"/>
            <color indexed="81"/>
            <rFont val="Tahoma"/>
            <family val="2"/>
          </rPr>
          <t xml:space="preserve">
estimated at .75% of proposed construction cost.</t>
        </r>
      </text>
    </comment>
    <comment ref="BJ110" authorId="1" shapeId="0">
      <text>
        <r>
          <rPr>
            <b/>
            <sz val="9"/>
            <color indexed="81"/>
            <rFont val="Tahoma"/>
            <family val="2"/>
          </rPr>
          <t>Leonard Thagard:</t>
        </r>
        <r>
          <rPr>
            <sz val="9"/>
            <color indexed="81"/>
            <rFont val="Tahoma"/>
            <family val="2"/>
          </rPr>
          <t xml:space="preserve">
Not LEED per meeting minutes 04.09.14.</t>
        </r>
      </text>
    </comment>
    <comment ref="BH112" authorId="1" shapeId="0">
      <text>
        <r>
          <rPr>
            <b/>
            <sz val="9"/>
            <color indexed="81"/>
            <rFont val="Tahoma"/>
            <family val="2"/>
          </rPr>
          <t>Leonard Thagard:</t>
        </r>
        <r>
          <rPr>
            <sz val="9"/>
            <color indexed="81"/>
            <rFont val="Tahoma"/>
            <family val="2"/>
          </rPr>
          <t xml:space="preserve">
from page 89 of the energy model lcca report.</t>
        </r>
      </text>
    </comment>
    <comment ref="BI112" authorId="1" shapeId="0">
      <text>
        <r>
          <rPr>
            <b/>
            <sz val="9"/>
            <color indexed="81"/>
            <rFont val="Tahoma"/>
            <family val="2"/>
          </rPr>
          <t>Leonard Thagard:</t>
        </r>
        <r>
          <rPr>
            <sz val="9"/>
            <color indexed="81"/>
            <rFont val="Tahoma"/>
            <family val="2"/>
          </rPr>
          <t xml:space="preserve">
contract not signed as of 09.02.14
</t>
        </r>
      </text>
    </comment>
    <comment ref="BJ112" authorId="1" shapeId="0">
      <text>
        <r>
          <rPr>
            <b/>
            <sz val="9"/>
            <color indexed="81"/>
            <rFont val="Tahoma"/>
            <family val="2"/>
          </rPr>
          <t>Leonard Thagard:</t>
        </r>
        <r>
          <rPr>
            <sz val="9"/>
            <color indexed="81"/>
            <rFont val="Tahoma"/>
            <family val="2"/>
          </rPr>
          <t xml:space="preserve">
from design contract:  $43,200 for model and $10,100 for LEED</t>
        </r>
      </text>
    </comment>
    <comment ref="BL112" authorId="1" shapeId="0">
      <text>
        <r>
          <rPr>
            <b/>
            <sz val="9"/>
            <color indexed="81"/>
            <rFont val="Tahoma"/>
            <family val="2"/>
          </rPr>
          <t>Leonard Thagard:</t>
        </r>
        <r>
          <rPr>
            <sz val="9"/>
            <color indexed="81"/>
            <rFont val="Tahoma"/>
            <family val="2"/>
          </rPr>
          <t xml:space="preserve">
Cx reserve of $250,000
</t>
        </r>
      </text>
    </comment>
    <comment ref="S113" authorId="1" shapeId="0">
      <text>
        <r>
          <rPr>
            <b/>
            <sz val="9"/>
            <color indexed="81"/>
            <rFont val="Tahoma"/>
            <family val="2"/>
          </rPr>
          <t>Leonard Thagard:</t>
        </r>
        <r>
          <rPr>
            <sz val="9"/>
            <color indexed="81"/>
            <rFont val="Tahoma"/>
            <family val="2"/>
          </rPr>
          <t xml:space="preserve">
Includes plug and process</t>
        </r>
      </text>
    </comment>
    <comment ref="BL114" authorId="1" shapeId="0">
      <text>
        <r>
          <rPr>
            <b/>
            <sz val="9"/>
            <color indexed="81"/>
            <rFont val="Tahoma"/>
            <family val="2"/>
          </rPr>
          <t>Leonard Thagard:</t>
        </r>
        <r>
          <rPr>
            <sz val="9"/>
            <color indexed="81"/>
            <rFont val="Tahoma"/>
            <family val="2"/>
          </rPr>
          <t xml:space="preserve">
Cx reserve.  Design only Cx is for $44,680.</t>
        </r>
      </text>
    </comment>
    <comment ref="BI115" authorId="1" shapeId="0">
      <text>
        <r>
          <rPr>
            <b/>
            <sz val="9"/>
            <color indexed="81"/>
            <rFont val="Tahoma"/>
            <family val="2"/>
          </rPr>
          <t>Leonard Thagard:</t>
        </r>
        <r>
          <rPr>
            <sz val="9"/>
            <color indexed="81"/>
            <rFont val="Tahoma"/>
            <family val="2"/>
          </rPr>
          <t xml:space="preserve">
complicated fee structure due to multiple increases in scope and square footage of project.</t>
        </r>
      </text>
    </comment>
    <comment ref="BJ115" authorId="1" shapeId="0">
      <text>
        <r>
          <rPr>
            <b/>
            <sz val="9"/>
            <color indexed="81"/>
            <rFont val="Tahoma"/>
            <family val="2"/>
          </rPr>
          <t>Leonard Thagard:</t>
        </r>
        <r>
          <rPr>
            <sz val="9"/>
            <color indexed="81"/>
            <rFont val="Tahoma"/>
            <family val="2"/>
          </rPr>
          <t xml:space="preserve">
complex due to multiple increases in scope and square footage</t>
        </r>
      </text>
    </comment>
  </commentList>
</comments>
</file>

<file path=xl/comments4.xml><?xml version="1.0" encoding="utf-8"?>
<comments xmlns="http://schemas.openxmlformats.org/spreadsheetml/2006/main">
  <authors>
    <author>Dick Kabis</author>
    <author>Nihal Ali Al Raees</author>
  </authors>
  <commentList>
    <comment ref="D659" authorId="0" shapeId="0">
      <text>
        <r>
          <rPr>
            <b/>
            <sz val="9"/>
            <color indexed="81"/>
            <rFont val="Tahoma"/>
            <family val="2"/>
          </rPr>
          <t>Building used internal summer boiler this month.  Central steam plant is isolated from the building.</t>
        </r>
      </text>
    </comment>
    <comment ref="E659" authorId="0" shapeId="0">
      <text>
        <r>
          <rPr>
            <b/>
            <sz val="9"/>
            <color indexed="81"/>
            <rFont val="Tahoma"/>
            <family val="2"/>
          </rPr>
          <t>Building used internal summer boiler this month.  Central steam plant is isolated from the building.</t>
        </r>
      </text>
    </comment>
    <comment ref="F659" authorId="0" shapeId="0">
      <text>
        <r>
          <rPr>
            <b/>
            <sz val="9"/>
            <color indexed="81"/>
            <rFont val="Tahoma"/>
            <family val="2"/>
          </rPr>
          <t>Building used internal summer boiler this month.  Central steam plant is isolated from the building.</t>
        </r>
      </text>
    </comment>
    <comment ref="G659" authorId="0" shapeId="0">
      <text>
        <r>
          <rPr>
            <b/>
            <sz val="9"/>
            <color indexed="81"/>
            <rFont val="Tahoma"/>
            <family val="2"/>
          </rPr>
          <t>Building used internal summer boiler this month.  Central steam plant is isolated from the building.</t>
        </r>
      </text>
    </comment>
    <comment ref="H659" authorId="0" shapeId="0">
      <text>
        <r>
          <rPr>
            <b/>
            <sz val="9"/>
            <color indexed="81"/>
            <rFont val="Tahoma"/>
            <family val="2"/>
          </rPr>
          <t>Building used internal summer boiler this month.  Central steam plant is isolated from the building.</t>
        </r>
      </text>
    </comment>
    <comment ref="O659" authorId="0" shapeId="0">
      <text>
        <r>
          <rPr>
            <b/>
            <sz val="9"/>
            <color indexed="81"/>
            <rFont val="Tahoma"/>
            <family val="2"/>
          </rPr>
          <t>Building used internal summer boiler this month.  Central steam plant is isolated from the building.</t>
        </r>
      </text>
    </comment>
    <comment ref="D664" authorId="0" shapeId="0">
      <text>
        <r>
          <rPr>
            <b/>
            <sz val="9"/>
            <color indexed="81"/>
            <rFont val="Tahoma"/>
            <family val="2"/>
          </rPr>
          <t>Building used internal summer boiler this month.  Central steam plant is isolated from the building.</t>
        </r>
      </text>
    </comment>
    <comment ref="E664" authorId="0" shapeId="0">
      <text>
        <r>
          <rPr>
            <b/>
            <sz val="9"/>
            <color indexed="81"/>
            <rFont val="Tahoma"/>
            <family val="2"/>
          </rPr>
          <t>Building used internal summer boiler this month.  Central steam plant is isolated from the building.</t>
        </r>
      </text>
    </comment>
    <comment ref="F664" authorId="0" shapeId="0">
      <text>
        <r>
          <rPr>
            <b/>
            <sz val="9"/>
            <color indexed="81"/>
            <rFont val="Tahoma"/>
            <family val="2"/>
          </rPr>
          <t>Building used internal summer boiler this month.  Central steam plant is isolated from the building.</t>
        </r>
      </text>
    </comment>
    <comment ref="G664" authorId="0" shapeId="0">
      <text>
        <r>
          <rPr>
            <b/>
            <sz val="9"/>
            <color indexed="81"/>
            <rFont val="Tahoma"/>
            <family val="2"/>
          </rPr>
          <t>Building used internal summer boiler this month.  Central steam plant is isolated from the building.</t>
        </r>
      </text>
    </comment>
    <comment ref="H664" authorId="0" shapeId="0">
      <text>
        <r>
          <rPr>
            <b/>
            <sz val="9"/>
            <color indexed="81"/>
            <rFont val="Tahoma"/>
            <family val="2"/>
          </rPr>
          <t>Building used internal summer boiler this month.  Central steam plant is isolated from the building.</t>
        </r>
      </text>
    </comment>
    <comment ref="O664" authorId="0" shapeId="0">
      <text>
        <r>
          <rPr>
            <b/>
            <sz val="9"/>
            <color indexed="81"/>
            <rFont val="Tahoma"/>
            <family val="2"/>
          </rPr>
          <t>Building used internal summer boiler this month.  Central steam plant is isolated from the building.</t>
        </r>
      </text>
    </comment>
    <comment ref="H666" authorId="0" shapeId="0">
      <text>
        <r>
          <rPr>
            <b/>
            <sz val="9"/>
            <color indexed="81"/>
            <rFont val="Tahoma"/>
            <family val="2"/>
          </rPr>
          <t>Turned off summer boiler off 12/7/15</t>
        </r>
      </text>
    </comment>
    <comment ref="N666" authorId="0" shapeId="0">
      <text>
        <r>
          <rPr>
            <b/>
            <sz val="9"/>
            <color indexed="81"/>
            <rFont val="Tahoma"/>
            <family val="2"/>
          </rPr>
          <t>Summer boiler operating</t>
        </r>
      </text>
    </comment>
    <comment ref="F795" authorId="0" shapeId="0">
      <text>
        <r>
          <rPr>
            <b/>
            <sz val="9"/>
            <color indexed="81"/>
            <rFont val="Tahoma"/>
            <family val="2"/>
          </rPr>
          <t>Duane reported of lot of flooding from toilets running and overflowing.</t>
        </r>
      </text>
    </comment>
    <comment ref="C1016" authorId="1" shapeId="0">
      <text>
        <r>
          <rPr>
            <b/>
            <sz val="9"/>
            <color indexed="81"/>
            <rFont val="Tahoma"/>
            <family val="2"/>
          </rPr>
          <t>Nihal Ali Al Raees:</t>
        </r>
        <r>
          <rPr>
            <sz val="9"/>
            <color indexed="81"/>
            <rFont val="Tahoma"/>
            <family val="2"/>
          </rPr>
          <t xml:space="preserve">
Data for (19) Days</t>
        </r>
      </text>
    </comment>
    <comment ref="D1016" authorId="1" shapeId="0">
      <text>
        <r>
          <rPr>
            <b/>
            <sz val="9"/>
            <color indexed="81"/>
            <rFont val="Tahoma"/>
            <family val="2"/>
          </rPr>
          <t>Nihal Ali Al Raees:</t>
        </r>
        <r>
          <rPr>
            <sz val="9"/>
            <color indexed="81"/>
            <rFont val="Tahoma"/>
            <family val="2"/>
          </rPr>
          <t xml:space="preserve">
Data for (15) days</t>
        </r>
      </text>
    </comment>
    <comment ref="E1016" authorId="1" shapeId="0">
      <text>
        <r>
          <rPr>
            <b/>
            <sz val="9"/>
            <color indexed="81"/>
            <rFont val="Tahoma"/>
            <family val="2"/>
          </rPr>
          <t>Nihal Ali Al Raees:</t>
        </r>
        <r>
          <rPr>
            <sz val="9"/>
            <color indexed="81"/>
            <rFont val="Tahoma"/>
            <family val="2"/>
          </rPr>
          <t xml:space="preserve">
Data for (25) days</t>
        </r>
      </text>
    </comment>
    <comment ref="H1016" authorId="1" shapeId="0">
      <text>
        <r>
          <rPr>
            <b/>
            <sz val="9"/>
            <color indexed="81"/>
            <rFont val="Tahoma"/>
            <family val="2"/>
          </rPr>
          <t>Nihal Ali Al Raees:</t>
        </r>
        <r>
          <rPr>
            <sz val="9"/>
            <color indexed="81"/>
            <rFont val="Tahoma"/>
            <family val="2"/>
          </rPr>
          <t xml:space="preserve">
Data for (26) days</t>
        </r>
      </text>
    </comment>
    <comment ref="I1016" authorId="1" shapeId="0">
      <text>
        <r>
          <rPr>
            <b/>
            <sz val="9"/>
            <color indexed="81"/>
            <rFont val="Tahoma"/>
            <family val="2"/>
          </rPr>
          <t>Nihal Ali Al Raees:</t>
        </r>
        <r>
          <rPr>
            <sz val="9"/>
            <color indexed="81"/>
            <rFont val="Tahoma"/>
            <family val="2"/>
          </rPr>
          <t xml:space="preserve">
Data for (27) days</t>
        </r>
      </text>
    </comment>
    <comment ref="J1016" authorId="1" shapeId="0">
      <text>
        <r>
          <rPr>
            <b/>
            <sz val="9"/>
            <color indexed="81"/>
            <rFont val="Tahoma"/>
            <family val="2"/>
          </rPr>
          <t>Nihal Ali Al Raees:</t>
        </r>
        <r>
          <rPr>
            <sz val="9"/>
            <color indexed="81"/>
            <rFont val="Tahoma"/>
            <family val="2"/>
          </rPr>
          <t xml:space="preserve">
Data for (20) days</t>
        </r>
      </text>
    </comment>
    <comment ref="N1016" authorId="1" shapeId="0">
      <text>
        <r>
          <rPr>
            <b/>
            <sz val="9"/>
            <color indexed="81"/>
            <rFont val="Tahoma"/>
            <family val="2"/>
          </rPr>
          <t>Nihal Ali Al Raees:</t>
        </r>
        <r>
          <rPr>
            <sz val="9"/>
            <color indexed="81"/>
            <rFont val="Tahoma"/>
            <family val="2"/>
          </rPr>
          <t xml:space="preserve">
Data for (10) days</t>
        </r>
      </text>
    </comment>
    <comment ref="D1043" authorId="0" shapeId="0">
      <text>
        <r>
          <rPr>
            <b/>
            <sz val="9"/>
            <color indexed="81"/>
            <rFont val="Tahoma"/>
            <family val="2"/>
          </rPr>
          <t>First bill to WSSU covers 3/17/15 to 7/31/15, divided evenly over the five month period.</t>
        </r>
      </text>
    </comment>
  </commentList>
</comments>
</file>

<file path=xl/comments5.xml><?xml version="1.0" encoding="utf-8"?>
<comments xmlns="http://schemas.openxmlformats.org/spreadsheetml/2006/main">
  <authors>
    <author>Leonard Thagard</author>
  </authors>
  <commentList>
    <comment ref="BD4" authorId="0"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AO5" authorId="0" shapeId="0">
      <text>
        <r>
          <rPr>
            <b/>
            <sz val="9"/>
            <color indexed="81"/>
            <rFont val="Tahoma"/>
            <family val="2"/>
          </rPr>
          <t>Leonard Thagard:</t>
        </r>
        <r>
          <rPr>
            <sz val="9"/>
            <color indexed="81"/>
            <rFont val="Tahoma"/>
            <family val="2"/>
          </rPr>
          <t xml:space="preserve">
limited kitchen use and limited bathroom use.  Number is extremely low.</t>
        </r>
      </text>
    </comment>
    <comment ref="AR5" authorId="0" shapeId="0">
      <text>
        <r>
          <rPr>
            <b/>
            <sz val="9"/>
            <color indexed="81"/>
            <rFont val="Tahoma"/>
            <family val="2"/>
          </rPr>
          <t>Leonard Thagard:</t>
        </r>
        <r>
          <rPr>
            <sz val="9"/>
            <color indexed="81"/>
            <rFont val="Tahoma"/>
            <family val="2"/>
          </rPr>
          <t xml:space="preserve">
limited kitchen and bathroom use.  Number is low.</t>
        </r>
      </text>
    </comment>
    <comment ref="BD5" authorId="0"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R6" authorId="0" shapeId="0">
      <text>
        <r>
          <rPr>
            <b/>
            <sz val="9"/>
            <color indexed="81"/>
            <rFont val="Tahoma"/>
            <family val="2"/>
          </rPr>
          <t>Leonard Thagard:</t>
        </r>
        <r>
          <rPr>
            <sz val="9"/>
            <color indexed="81"/>
            <rFont val="Tahoma"/>
            <family val="2"/>
          </rPr>
          <t xml:space="preserve">
highest residence hall baseline EUI to date.</t>
        </r>
      </text>
    </comment>
    <comment ref="T6" authorId="0" shapeId="0">
      <text>
        <r>
          <rPr>
            <b/>
            <sz val="9"/>
            <color indexed="81"/>
            <rFont val="Tahoma"/>
            <family val="2"/>
          </rPr>
          <t>Leonard Thagard:</t>
        </r>
        <r>
          <rPr>
            <sz val="9"/>
            <color indexed="81"/>
            <rFont val="Tahoma"/>
            <family val="2"/>
          </rPr>
          <t xml:space="preserve">
highest proposed EUI for residence halls.</t>
        </r>
      </text>
    </comment>
    <comment ref="BD6" authorId="0"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AA7" authorId="0" shapeId="0">
      <text>
        <r>
          <rPr>
            <b/>
            <sz val="9"/>
            <color indexed="81"/>
            <rFont val="Tahoma"/>
            <family val="2"/>
          </rPr>
          <t>Leonard Thagard:</t>
        </r>
        <r>
          <rPr>
            <sz val="9"/>
            <color indexed="81"/>
            <rFont val="Tahoma"/>
            <family val="2"/>
          </rPr>
          <t xml:space="preserve">
five months of steam consumption is not included.</t>
        </r>
      </text>
    </comment>
    <comment ref="AJ7" authorId="0" shapeId="0">
      <text>
        <r>
          <rPr>
            <b/>
            <sz val="9"/>
            <color indexed="81"/>
            <rFont val="Tahoma"/>
            <family val="2"/>
          </rPr>
          <t>Leonard Thagard:</t>
        </r>
        <r>
          <rPr>
            <sz val="9"/>
            <color indexed="81"/>
            <rFont val="Tahoma"/>
            <family val="2"/>
          </rPr>
          <t xml:space="preserve">
Does not include steam cost.</t>
        </r>
      </text>
    </comment>
    <comment ref="BD7" authorId="0" shapeId="0">
      <text>
        <r>
          <rPr>
            <b/>
            <sz val="9"/>
            <color indexed="81"/>
            <rFont val="Tahoma"/>
            <family val="2"/>
          </rPr>
          <t>Leonard Thagard:</t>
        </r>
        <r>
          <rPr>
            <sz val="9"/>
            <color indexed="81"/>
            <rFont val="Tahoma"/>
            <family val="2"/>
          </rPr>
          <t xml:space="preserve">
Calculated from original amount construction contract less increase noted in LCCA for envelope, plumb, chillers and lights.
</t>
        </r>
      </text>
    </comment>
    <comment ref="AA8" authorId="0" shapeId="0">
      <text>
        <r>
          <rPr>
            <b/>
            <sz val="9"/>
            <color indexed="81"/>
            <rFont val="Tahoma"/>
            <family val="2"/>
          </rPr>
          <t>Leonard Thagard:</t>
        </r>
        <r>
          <rPr>
            <sz val="9"/>
            <color indexed="81"/>
            <rFont val="Tahoma"/>
            <family val="2"/>
          </rPr>
          <t xml:space="preserve">
five months of steam consumption is not included.</t>
        </r>
      </text>
    </comment>
    <comment ref="BD8" authorId="0"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BF8" authorId="0" shapeId="0">
      <text>
        <r>
          <rPr>
            <b/>
            <sz val="9"/>
            <color indexed="81"/>
            <rFont val="Tahoma"/>
            <family val="2"/>
          </rPr>
          <t>Leonard Thagard:</t>
        </r>
        <r>
          <rPr>
            <sz val="9"/>
            <color indexed="81"/>
            <rFont val="Tahoma"/>
            <family val="2"/>
          </rPr>
          <t xml:space="preserve">
SB 668 at $99800 and LEED at $73700</t>
        </r>
      </text>
    </comment>
    <comment ref="AW10" authorId="0" shapeId="0">
      <text>
        <r>
          <rPr>
            <b/>
            <sz val="9"/>
            <color indexed="81"/>
            <rFont val="Tahoma"/>
            <family val="2"/>
          </rPr>
          <t>Leonard Thagard:</t>
        </r>
        <r>
          <rPr>
            <sz val="9"/>
            <color indexed="81"/>
            <rFont val="Tahoma"/>
            <family val="2"/>
          </rPr>
          <t xml:space="preserve">
Water meter shared with another building.</t>
        </r>
      </text>
    </comment>
    <comment ref="BD10" authorId="0"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M11" authorId="0" shapeId="0">
      <text>
        <r>
          <rPr>
            <b/>
            <sz val="9"/>
            <color indexed="81"/>
            <rFont val="Tahoma"/>
            <family val="2"/>
          </rPr>
          <t>Leonard Thagard:</t>
        </r>
        <r>
          <rPr>
            <sz val="9"/>
            <color indexed="81"/>
            <rFont val="Tahoma"/>
            <family val="2"/>
          </rPr>
          <t xml:space="preserve">
size is for addition only</t>
        </r>
      </text>
    </comment>
    <comment ref="Q11" authorId="0" shapeId="0">
      <text>
        <r>
          <rPr>
            <b/>
            <sz val="9"/>
            <color indexed="81"/>
            <rFont val="Tahoma"/>
            <family val="2"/>
          </rPr>
          <t>Leonard Thagard:</t>
        </r>
        <r>
          <rPr>
            <sz val="9"/>
            <color indexed="81"/>
            <rFont val="Tahoma"/>
            <family val="2"/>
          </rPr>
          <t xml:space="preserve">
energy use is for addition only</t>
        </r>
      </text>
    </comment>
    <comment ref="BD11" authorId="0"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BB13" authorId="0" shapeId="0">
      <text>
        <r>
          <rPr>
            <b/>
            <sz val="9"/>
            <color indexed="81"/>
            <rFont val="Tahoma"/>
            <family val="2"/>
          </rPr>
          <t>Leonard Thagard:</t>
        </r>
        <r>
          <rPr>
            <sz val="9"/>
            <color indexed="81"/>
            <rFont val="Tahoma"/>
            <family val="2"/>
          </rPr>
          <t xml:space="preserve">
Includes RUP?</t>
        </r>
      </text>
    </comment>
    <comment ref="BD13" authorId="0" shapeId="0">
      <text>
        <r>
          <rPr>
            <b/>
            <sz val="9"/>
            <color indexed="81"/>
            <rFont val="Tahoma"/>
            <family val="2"/>
          </rPr>
          <t>Leonard Thagard:</t>
        </r>
        <r>
          <rPr>
            <sz val="9"/>
            <color indexed="81"/>
            <rFont val="Tahoma"/>
            <family val="2"/>
          </rPr>
          <t xml:space="preserve">
Does not include RUP?</t>
        </r>
      </text>
    </comment>
    <comment ref="BF13" authorId="0" shapeId="0">
      <text>
        <r>
          <rPr>
            <b/>
            <sz val="9"/>
            <color indexed="81"/>
            <rFont val="Tahoma"/>
            <family val="2"/>
          </rPr>
          <t>Leonard Thagard:</t>
        </r>
        <r>
          <rPr>
            <sz val="9"/>
            <color indexed="81"/>
            <rFont val="Tahoma"/>
            <family val="2"/>
          </rPr>
          <t xml:space="preserve">
LEED fees of 180,000 plus design amend #1 for SB 668 for 41,084</t>
        </r>
      </text>
    </comment>
    <comment ref="L17" authorId="0" shapeId="0">
      <text>
        <r>
          <rPr>
            <b/>
            <sz val="9"/>
            <color indexed="81"/>
            <rFont val="Tahoma"/>
            <family val="2"/>
          </rPr>
          <t>Leonard Thagard:</t>
        </r>
        <r>
          <rPr>
            <sz val="9"/>
            <color indexed="81"/>
            <rFont val="Tahoma"/>
            <family val="2"/>
          </rPr>
          <t xml:space="preserve">
One model performed and applied to seven bldgs</t>
        </r>
      </text>
    </comment>
    <comment ref="M17" authorId="0" shapeId="0">
      <text>
        <r>
          <rPr>
            <b/>
            <sz val="9"/>
            <color indexed="81"/>
            <rFont val="Tahoma"/>
            <family val="2"/>
          </rPr>
          <t>Leonard Thagard:</t>
        </r>
        <r>
          <rPr>
            <sz val="9"/>
            <color indexed="81"/>
            <rFont val="Tahoma"/>
            <family val="2"/>
          </rPr>
          <t xml:space="preserve">
One model performed and applied to seven bldgs.</t>
        </r>
      </text>
    </comment>
    <comment ref="Q17" authorId="0" shapeId="0">
      <text>
        <r>
          <rPr>
            <b/>
            <sz val="9"/>
            <color indexed="81"/>
            <rFont val="Tahoma"/>
            <family val="2"/>
          </rPr>
          <t>Leonard Thagard:</t>
        </r>
        <r>
          <rPr>
            <sz val="9"/>
            <color indexed="81"/>
            <rFont val="Tahoma"/>
            <family val="2"/>
          </rPr>
          <t xml:space="preserve">
One model performed and applied to seven bldgs</t>
        </r>
      </text>
    </comment>
    <comment ref="AL17" authorId="0" shapeId="0">
      <text>
        <r>
          <rPr>
            <b/>
            <sz val="9"/>
            <color indexed="81"/>
            <rFont val="Tahoma"/>
            <family val="2"/>
          </rPr>
          <t>Leonard Thagard:</t>
        </r>
        <r>
          <rPr>
            <sz val="9"/>
            <color indexed="81"/>
            <rFont val="Tahoma"/>
            <family val="2"/>
          </rPr>
          <t xml:space="preserve">
Chilled water cost not included.</t>
        </r>
      </text>
    </comment>
    <comment ref="BB17" authorId="0" shapeId="0">
      <text>
        <r>
          <rPr>
            <b/>
            <sz val="9"/>
            <color indexed="81"/>
            <rFont val="Tahoma"/>
            <family val="2"/>
          </rPr>
          <t>Leonard Thagard:</t>
        </r>
        <r>
          <rPr>
            <sz val="9"/>
            <color indexed="81"/>
            <rFont val="Tahoma"/>
            <family val="2"/>
          </rPr>
          <t xml:space="preserve">
Original Amount Construction Contract divided by 7 buildings.</t>
        </r>
      </text>
    </comment>
    <comment ref="BE17" authorId="0" shapeId="0">
      <text>
        <r>
          <rPr>
            <b/>
            <sz val="9"/>
            <color indexed="81"/>
            <rFont val="Tahoma"/>
            <family val="2"/>
          </rPr>
          <t>Leonard Thagard:</t>
        </r>
        <r>
          <rPr>
            <sz val="9"/>
            <color indexed="81"/>
            <rFont val="Tahoma"/>
            <family val="2"/>
          </rPr>
          <t xml:space="preserve">
Original Total Design Fee divided by 7 buildings.</t>
        </r>
      </text>
    </comment>
    <comment ref="BF17" authorId="0" shapeId="0">
      <text>
        <r>
          <rPr>
            <b/>
            <sz val="9"/>
            <color indexed="81"/>
            <rFont val="Tahoma"/>
            <family val="2"/>
          </rPr>
          <t>Leonard Thagard:</t>
        </r>
        <r>
          <rPr>
            <sz val="9"/>
            <color indexed="81"/>
            <rFont val="Tahoma"/>
            <family val="2"/>
          </rPr>
          <t xml:space="preserve">
LEED or SB 668 fee divided by 7 buildings.</t>
        </r>
      </text>
    </comment>
    <comment ref="BH17" authorId="0" shapeId="0">
      <text>
        <r>
          <rPr>
            <b/>
            <sz val="9"/>
            <color indexed="81"/>
            <rFont val="Tahoma"/>
            <family val="2"/>
          </rPr>
          <t>Leonard Thagard:</t>
        </r>
        <r>
          <rPr>
            <sz val="9"/>
            <color indexed="81"/>
            <rFont val="Tahoma"/>
            <family val="2"/>
          </rPr>
          <t xml:space="preserve">
Cx fee divided by 7 buildings.</t>
        </r>
      </text>
    </comment>
    <comment ref="L18" authorId="0" shapeId="0">
      <text>
        <r>
          <rPr>
            <b/>
            <sz val="9"/>
            <color indexed="81"/>
            <rFont val="Tahoma"/>
            <family val="2"/>
          </rPr>
          <t>Leonard Thagard:</t>
        </r>
        <r>
          <rPr>
            <sz val="9"/>
            <color indexed="81"/>
            <rFont val="Tahoma"/>
            <family val="2"/>
          </rPr>
          <t xml:space="preserve">
One model performed and applied to seven bldgs</t>
        </r>
      </text>
    </comment>
    <comment ref="M18" authorId="0" shapeId="0">
      <text>
        <r>
          <rPr>
            <b/>
            <sz val="9"/>
            <color indexed="81"/>
            <rFont val="Tahoma"/>
            <family val="2"/>
          </rPr>
          <t>Leonard Thagard:</t>
        </r>
        <r>
          <rPr>
            <sz val="9"/>
            <color indexed="81"/>
            <rFont val="Tahoma"/>
            <family val="2"/>
          </rPr>
          <t xml:space="preserve">
One model performed and applied to seven bldgs.</t>
        </r>
      </text>
    </comment>
    <comment ref="Q18" authorId="0" shapeId="0">
      <text>
        <r>
          <rPr>
            <b/>
            <sz val="9"/>
            <color indexed="81"/>
            <rFont val="Tahoma"/>
            <family val="2"/>
          </rPr>
          <t>Leonard Thagard:</t>
        </r>
        <r>
          <rPr>
            <sz val="9"/>
            <color indexed="81"/>
            <rFont val="Tahoma"/>
            <family val="2"/>
          </rPr>
          <t xml:space="preserve">
One model performed and applied to seven bldgs</t>
        </r>
      </text>
    </comment>
    <comment ref="BB18" authorId="0" shapeId="0">
      <text>
        <r>
          <rPr>
            <b/>
            <sz val="9"/>
            <color indexed="81"/>
            <rFont val="Tahoma"/>
            <family val="2"/>
          </rPr>
          <t>Leonard Thagard:</t>
        </r>
        <r>
          <rPr>
            <sz val="9"/>
            <color indexed="81"/>
            <rFont val="Tahoma"/>
            <family val="2"/>
          </rPr>
          <t xml:space="preserve">
Original Amount Construction Contract divided by 7 buildings.</t>
        </r>
      </text>
    </comment>
    <comment ref="BE18" authorId="0" shapeId="0">
      <text>
        <r>
          <rPr>
            <b/>
            <sz val="9"/>
            <color indexed="81"/>
            <rFont val="Tahoma"/>
            <family val="2"/>
          </rPr>
          <t>Leonard Thagard:</t>
        </r>
        <r>
          <rPr>
            <sz val="9"/>
            <color indexed="81"/>
            <rFont val="Tahoma"/>
            <family val="2"/>
          </rPr>
          <t xml:space="preserve">
Original Total Design Fee divided by 7 buildings.</t>
        </r>
      </text>
    </comment>
    <comment ref="BF18" authorId="0" shapeId="0">
      <text>
        <r>
          <rPr>
            <b/>
            <sz val="9"/>
            <color indexed="81"/>
            <rFont val="Tahoma"/>
            <family val="2"/>
          </rPr>
          <t>Leonard Thagard:</t>
        </r>
        <r>
          <rPr>
            <sz val="9"/>
            <color indexed="81"/>
            <rFont val="Tahoma"/>
            <family val="2"/>
          </rPr>
          <t xml:space="preserve">
LEED or SB 668 fee divided by 7 buildings.</t>
        </r>
      </text>
    </comment>
    <comment ref="BH18" authorId="0" shapeId="0">
      <text>
        <r>
          <rPr>
            <b/>
            <sz val="9"/>
            <color indexed="81"/>
            <rFont val="Tahoma"/>
            <family val="2"/>
          </rPr>
          <t>Leonard Thagard:</t>
        </r>
        <r>
          <rPr>
            <sz val="9"/>
            <color indexed="81"/>
            <rFont val="Tahoma"/>
            <family val="2"/>
          </rPr>
          <t xml:space="preserve">
Cx fee divided by 7 buildings.</t>
        </r>
      </text>
    </comment>
    <comment ref="L19" authorId="0" shapeId="0">
      <text>
        <r>
          <rPr>
            <b/>
            <sz val="9"/>
            <color indexed="81"/>
            <rFont val="Tahoma"/>
            <family val="2"/>
          </rPr>
          <t>Leonard Thagard:</t>
        </r>
        <r>
          <rPr>
            <sz val="9"/>
            <color indexed="81"/>
            <rFont val="Tahoma"/>
            <family val="2"/>
          </rPr>
          <t xml:space="preserve">
One model performed and applied to seven bldgs</t>
        </r>
      </text>
    </comment>
    <comment ref="M19" authorId="0" shapeId="0">
      <text>
        <r>
          <rPr>
            <b/>
            <sz val="9"/>
            <color indexed="81"/>
            <rFont val="Tahoma"/>
            <family val="2"/>
          </rPr>
          <t>Leonard Thagard:</t>
        </r>
        <r>
          <rPr>
            <sz val="9"/>
            <color indexed="81"/>
            <rFont val="Tahoma"/>
            <family val="2"/>
          </rPr>
          <t xml:space="preserve">
One model performed and applied to seven bldgs.</t>
        </r>
      </text>
    </comment>
    <comment ref="Q19" authorId="0" shapeId="0">
      <text>
        <r>
          <rPr>
            <b/>
            <sz val="9"/>
            <color indexed="81"/>
            <rFont val="Tahoma"/>
            <family val="2"/>
          </rPr>
          <t>Leonard Thagard:</t>
        </r>
        <r>
          <rPr>
            <sz val="9"/>
            <color indexed="81"/>
            <rFont val="Tahoma"/>
            <family val="2"/>
          </rPr>
          <t xml:space="preserve">
One model performed and applied to seven bldgs</t>
        </r>
      </text>
    </comment>
    <comment ref="BB19" authorId="0" shapeId="0">
      <text>
        <r>
          <rPr>
            <b/>
            <sz val="9"/>
            <color indexed="81"/>
            <rFont val="Tahoma"/>
            <family val="2"/>
          </rPr>
          <t>Leonard Thagard:</t>
        </r>
        <r>
          <rPr>
            <sz val="9"/>
            <color indexed="81"/>
            <rFont val="Tahoma"/>
            <family val="2"/>
          </rPr>
          <t xml:space="preserve">
Original Amount Construction Contract divided by 7 buildings.</t>
        </r>
      </text>
    </comment>
    <comment ref="BE19" authorId="0" shapeId="0">
      <text>
        <r>
          <rPr>
            <b/>
            <sz val="9"/>
            <color indexed="81"/>
            <rFont val="Tahoma"/>
            <family val="2"/>
          </rPr>
          <t>Leonard Thagard:</t>
        </r>
        <r>
          <rPr>
            <sz val="9"/>
            <color indexed="81"/>
            <rFont val="Tahoma"/>
            <family val="2"/>
          </rPr>
          <t xml:space="preserve">
Original Total Design Fee divided by 7 buildings.</t>
        </r>
      </text>
    </comment>
    <comment ref="BF19" authorId="0" shapeId="0">
      <text>
        <r>
          <rPr>
            <b/>
            <sz val="9"/>
            <color indexed="81"/>
            <rFont val="Tahoma"/>
            <family val="2"/>
          </rPr>
          <t>Leonard Thagard:</t>
        </r>
        <r>
          <rPr>
            <sz val="9"/>
            <color indexed="81"/>
            <rFont val="Tahoma"/>
            <family val="2"/>
          </rPr>
          <t xml:space="preserve">
LEED or SB 668 fee divided by 7 buildings.</t>
        </r>
      </text>
    </comment>
    <comment ref="BH19" authorId="0" shapeId="0">
      <text>
        <r>
          <rPr>
            <b/>
            <sz val="9"/>
            <color indexed="81"/>
            <rFont val="Tahoma"/>
            <family val="2"/>
          </rPr>
          <t>Leonard Thagard:</t>
        </r>
        <r>
          <rPr>
            <sz val="9"/>
            <color indexed="81"/>
            <rFont val="Tahoma"/>
            <family val="2"/>
          </rPr>
          <t xml:space="preserve">
Cx fee divided by 7 buildings.</t>
        </r>
      </text>
    </comment>
    <comment ref="L20" authorId="0" shapeId="0">
      <text>
        <r>
          <rPr>
            <b/>
            <sz val="9"/>
            <color indexed="81"/>
            <rFont val="Tahoma"/>
            <family val="2"/>
          </rPr>
          <t>Leonard Thagard:</t>
        </r>
        <r>
          <rPr>
            <sz val="9"/>
            <color indexed="81"/>
            <rFont val="Tahoma"/>
            <family val="2"/>
          </rPr>
          <t xml:space="preserve">
One model performed and applied to seven bldgs</t>
        </r>
      </text>
    </comment>
    <comment ref="M20" authorId="0" shapeId="0">
      <text>
        <r>
          <rPr>
            <b/>
            <sz val="9"/>
            <color indexed="81"/>
            <rFont val="Tahoma"/>
            <family val="2"/>
          </rPr>
          <t>Leonard Thagard:</t>
        </r>
        <r>
          <rPr>
            <sz val="9"/>
            <color indexed="81"/>
            <rFont val="Tahoma"/>
            <family val="2"/>
          </rPr>
          <t xml:space="preserve">
One model performed and applied to seven bldgs.</t>
        </r>
      </text>
    </comment>
    <comment ref="Q20" authorId="0" shapeId="0">
      <text>
        <r>
          <rPr>
            <b/>
            <sz val="9"/>
            <color indexed="81"/>
            <rFont val="Tahoma"/>
            <family val="2"/>
          </rPr>
          <t>Leonard Thagard:</t>
        </r>
        <r>
          <rPr>
            <sz val="9"/>
            <color indexed="81"/>
            <rFont val="Tahoma"/>
            <family val="2"/>
          </rPr>
          <t xml:space="preserve">
One model performed and applied to seven bldgs</t>
        </r>
      </text>
    </comment>
    <comment ref="BB20" authorId="0" shapeId="0">
      <text>
        <r>
          <rPr>
            <b/>
            <sz val="9"/>
            <color indexed="81"/>
            <rFont val="Tahoma"/>
            <family val="2"/>
          </rPr>
          <t>Leonard Thagard:</t>
        </r>
        <r>
          <rPr>
            <sz val="9"/>
            <color indexed="81"/>
            <rFont val="Tahoma"/>
            <family val="2"/>
          </rPr>
          <t xml:space="preserve">
Original Amount Construction Contract divided by 7 buildings.</t>
        </r>
      </text>
    </comment>
    <comment ref="BE20" authorId="0" shapeId="0">
      <text>
        <r>
          <rPr>
            <b/>
            <sz val="9"/>
            <color indexed="81"/>
            <rFont val="Tahoma"/>
            <family val="2"/>
          </rPr>
          <t>Leonard Thagard:</t>
        </r>
        <r>
          <rPr>
            <sz val="9"/>
            <color indexed="81"/>
            <rFont val="Tahoma"/>
            <family val="2"/>
          </rPr>
          <t xml:space="preserve">
Original Total Design Fee divided by 7 buildings.</t>
        </r>
      </text>
    </comment>
    <comment ref="BF20" authorId="0" shapeId="0">
      <text>
        <r>
          <rPr>
            <b/>
            <sz val="9"/>
            <color indexed="81"/>
            <rFont val="Tahoma"/>
            <family val="2"/>
          </rPr>
          <t>Leonard Thagard:</t>
        </r>
        <r>
          <rPr>
            <sz val="9"/>
            <color indexed="81"/>
            <rFont val="Tahoma"/>
            <family val="2"/>
          </rPr>
          <t xml:space="preserve">
LEED or SB 668 fee divided by 7 buildings.</t>
        </r>
      </text>
    </comment>
    <comment ref="BH20" authorId="0" shapeId="0">
      <text>
        <r>
          <rPr>
            <b/>
            <sz val="9"/>
            <color indexed="81"/>
            <rFont val="Tahoma"/>
            <family val="2"/>
          </rPr>
          <t>Leonard Thagard:</t>
        </r>
        <r>
          <rPr>
            <sz val="9"/>
            <color indexed="81"/>
            <rFont val="Tahoma"/>
            <family val="2"/>
          </rPr>
          <t xml:space="preserve">
Cx fee divided by 7 buildings.</t>
        </r>
      </text>
    </comment>
    <comment ref="L21" authorId="0" shapeId="0">
      <text>
        <r>
          <rPr>
            <b/>
            <sz val="9"/>
            <color indexed="81"/>
            <rFont val="Tahoma"/>
            <family val="2"/>
          </rPr>
          <t>Leonard Thagard:</t>
        </r>
        <r>
          <rPr>
            <sz val="9"/>
            <color indexed="81"/>
            <rFont val="Tahoma"/>
            <family val="2"/>
          </rPr>
          <t xml:space="preserve">
One model performed and applied to seven bldgs</t>
        </r>
      </text>
    </comment>
    <comment ref="M21" authorId="0" shapeId="0">
      <text>
        <r>
          <rPr>
            <b/>
            <sz val="9"/>
            <color indexed="81"/>
            <rFont val="Tahoma"/>
            <family val="2"/>
          </rPr>
          <t>Leonard Thagard:</t>
        </r>
        <r>
          <rPr>
            <sz val="9"/>
            <color indexed="81"/>
            <rFont val="Tahoma"/>
            <family val="2"/>
          </rPr>
          <t xml:space="preserve">
One model performed and applied to seven bldgs.</t>
        </r>
      </text>
    </comment>
    <comment ref="Q21" authorId="0" shapeId="0">
      <text>
        <r>
          <rPr>
            <b/>
            <sz val="9"/>
            <color indexed="81"/>
            <rFont val="Tahoma"/>
            <family val="2"/>
          </rPr>
          <t>Leonard Thagard:</t>
        </r>
        <r>
          <rPr>
            <sz val="9"/>
            <color indexed="81"/>
            <rFont val="Tahoma"/>
            <family val="2"/>
          </rPr>
          <t xml:space="preserve">
One model performed and applied to seven bldgs</t>
        </r>
      </text>
    </comment>
    <comment ref="BB21" authorId="0" shapeId="0">
      <text>
        <r>
          <rPr>
            <b/>
            <sz val="9"/>
            <color indexed="81"/>
            <rFont val="Tahoma"/>
            <family val="2"/>
          </rPr>
          <t>Leonard Thagard:</t>
        </r>
        <r>
          <rPr>
            <sz val="9"/>
            <color indexed="81"/>
            <rFont val="Tahoma"/>
            <family val="2"/>
          </rPr>
          <t xml:space="preserve">
Original Amount Construction Contract divided by 7 buildings.</t>
        </r>
      </text>
    </comment>
    <comment ref="BE21" authorId="0" shapeId="0">
      <text>
        <r>
          <rPr>
            <b/>
            <sz val="9"/>
            <color indexed="81"/>
            <rFont val="Tahoma"/>
            <family val="2"/>
          </rPr>
          <t>Leonard Thagard:</t>
        </r>
        <r>
          <rPr>
            <sz val="9"/>
            <color indexed="81"/>
            <rFont val="Tahoma"/>
            <family val="2"/>
          </rPr>
          <t xml:space="preserve">
Original Total Design Fee divided by 7 buildings.</t>
        </r>
      </text>
    </comment>
    <comment ref="BF21" authorId="0" shapeId="0">
      <text>
        <r>
          <rPr>
            <b/>
            <sz val="9"/>
            <color indexed="81"/>
            <rFont val="Tahoma"/>
            <family val="2"/>
          </rPr>
          <t>Leonard Thagard:</t>
        </r>
        <r>
          <rPr>
            <sz val="9"/>
            <color indexed="81"/>
            <rFont val="Tahoma"/>
            <family val="2"/>
          </rPr>
          <t xml:space="preserve">
LEED or SB 668 fee divided by 7 buildings.</t>
        </r>
      </text>
    </comment>
    <comment ref="BH21" authorId="0" shapeId="0">
      <text>
        <r>
          <rPr>
            <b/>
            <sz val="9"/>
            <color indexed="81"/>
            <rFont val="Tahoma"/>
            <family val="2"/>
          </rPr>
          <t>Leonard Thagard:</t>
        </r>
        <r>
          <rPr>
            <sz val="9"/>
            <color indexed="81"/>
            <rFont val="Tahoma"/>
            <family val="2"/>
          </rPr>
          <t xml:space="preserve">
Cx fee divided by 7 buildings.</t>
        </r>
      </text>
    </comment>
    <comment ref="L22" authorId="0" shapeId="0">
      <text>
        <r>
          <rPr>
            <b/>
            <sz val="9"/>
            <color indexed="81"/>
            <rFont val="Tahoma"/>
            <family val="2"/>
          </rPr>
          <t>Leonard Thagard:</t>
        </r>
        <r>
          <rPr>
            <sz val="9"/>
            <color indexed="81"/>
            <rFont val="Tahoma"/>
            <family val="2"/>
          </rPr>
          <t xml:space="preserve">
One model performed and applied to seven bldgs</t>
        </r>
      </text>
    </comment>
    <comment ref="M22" authorId="0" shapeId="0">
      <text>
        <r>
          <rPr>
            <b/>
            <sz val="9"/>
            <color indexed="81"/>
            <rFont val="Tahoma"/>
            <family val="2"/>
          </rPr>
          <t>Leonard Thagard:</t>
        </r>
        <r>
          <rPr>
            <sz val="9"/>
            <color indexed="81"/>
            <rFont val="Tahoma"/>
            <family val="2"/>
          </rPr>
          <t xml:space="preserve">
One model performed and applied to seven bldgs.</t>
        </r>
      </text>
    </comment>
    <comment ref="Q22" authorId="0" shapeId="0">
      <text>
        <r>
          <rPr>
            <b/>
            <sz val="9"/>
            <color indexed="81"/>
            <rFont val="Tahoma"/>
            <family val="2"/>
          </rPr>
          <t>Leonard Thagard:</t>
        </r>
        <r>
          <rPr>
            <sz val="9"/>
            <color indexed="81"/>
            <rFont val="Tahoma"/>
            <family val="2"/>
          </rPr>
          <t xml:space="preserve">
One model performed and applied to seven bldgs</t>
        </r>
      </text>
    </comment>
    <comment ref="BB22" authorId="0" shapeId="0">
      <text>
        <r>
          <rPr>
            <b/>
            <sz val="9"/>
            <color indexed="81"/>
            <rFont val="Tahoma"/>
            <family val="2"/>
          </rPr>
          <t>Leonard Thagard:</t>
        </r>
        <r>
          <rPr>
            <sz val="9"/>
            <color indexed="81"/>
            <rFont val="Tahoma"/>
            <family val="2"/>
          </rPr>
          <t xml:space="preserve">
Original Amount Construction Contract divided by 7 buildings.</t>
        </r>
      </text>
    </comment>
    <comment ref="BE22" authorId="0" shapeId="0">
      <text>
        <r>
          <rPr>
            <b/>
            <sz val="9"/>
            <color indexed="81"/>
            <rFont val="Tahoma"/>
            <family val="2"/>
          </rPr>
          <t>Leonard Thagard:</t>
        </r>
        <r>
          <rPr>
            <sz val="9"/>
            <color indexed="81"/>
            <rFont val="Tahoma"/>
            <family val="2"/>
          </rPr>
          <t xml:space="preserve">
Original Total Design Fee divided by 7 buildings.</t>
        </r>
      </text>
    </comment>
    <comment ref="BF22" authorId="0" shapeId="0">
      <text>
        <r>
          <rPr>
            <b/>
            <sz val="9"/>
            <color indexed="81"/>
            <rFont val="Tahoma"/>
            <family val="2"/>
          </rPr>
          <t>Leonard Thagard:</t>
        </r>
        <r>
          <rPr>
            <sz val="9"/>
            <color indexed="81"/>
            <rFont val="Tahoma"/>
            <family val="2"/>
          </rPr>
          <t xml:space="preserve">
LEED or SB 668 fee divided by 7 buildings.</t>
        </r>
      </text>
    </comment>
    <comment ref="BH22" authorId="0" shapeId="0">
      <text>
        <r>
          <rPr>
            <b/>
            <sz val="9"/>
            <color indexed="81"/>
            <rFont val="Tahoma"/>
            <family val="2"/>
          </rPr>
          <t>Leonard Thagard:</t>
        </r>
        <r>
          <rPr>
            <sz val="9"/>
            <color indexed="81"/>
            <rFont val="Tahoma"/>
            <family val="2"/>
          </rPr>
          <t xml:space="preserve">
Cx fee divided by 7 buildings.</t>
        </r>
      </text>
    </comment>
    <comment ref="L23" authorId="0" shapeId="0">
      <text>
        <r>
          <rPr>
            <b/>
            <sz val="9"/>
            <color indexed="81"/>
            <rFont val="Tahoma"/>
            <family val="2"/>
          </rPr>
          <t>Leonard Thagard:</t>
        </r>
        <r>
          <rPr>
            <sz val="9"/>
            <color indexed="81"/>
            <rFont val="Tahoma"/>
            <family val="2"/>
          </rPr>
          <t xml:space="preserve">
One model performed and applied to seven bldgs</t>
        </r>
      </text>
    </comment>
    <comment ref="M23" authorId="0" shapeId="0">
      <text>
        <r>
          <rPr>
            <b/>
            <sz val="9"/>
            <color indexed="81"/>
            <rFont val="Tahoma"/>
            <family val="2"/>
          </rPr>
          <t>Leonard Thagard:</t>
        </r>
        <r>
          <rPr>
            <sz val="9"/>
            <color indexed="81"/>
            <rFont val="Tahoma"/>
            <family val="2"/>
          </rPr>
          <t xml:space="preserve">
One model performed and applied to seven bldgs.</t>
        </r>
      </text>
    </comment>
    <comment ref="Q23" authorId="0" shapeId="0">
      <text>
        <r>
          <rPr>
            <b/>
            <sz val="9"/>
            <color indexed="81"/>
            <rFont val="Tahoma"/>
            <family val="2"/>
          </rPr>
          <t>Leonard Thagard:</t>
        </r>
        <r>
          <rPr>
            <sz val="9"/>
            <color indexed="81"/>
            <rFont val="Tahoma"/>
            <family val="2"/>
          </rPr>
          <t xml:space="preserve">
One model performed and applied to seven bldgs</t>
        </r>
      </text>
    </comment>
    <comment ref="BB23" authorId="0" shapeId="0">
      <text>
        <r>
          <rPr>
            <b/>
            <sz val="9"/>
            <color indexed="81"/>
            <rFont val="Tahoma"/>
            <family val="2"/>
          </rPr>
          <t>Leonard Thagard:</t>
        </r>
        <r>
          <rPr>
            <sz val="9"/>
            <color indexed="81"/>
            <rFont val="Tahoma"/>
            <family val="2"/>
          </rPr>
          <t xml:space="preserve">
Original Amount Construction Contract divided by 7 buildings.</t>
        </r>
      </text>
    </comment>
    <comment ref="BE23" authorId="0" shapeId="0">
      <text>
        <r>
          <rPr>
            <b/>
            <sz val="9"/>
            <color indexed="81"/>
            <rFont val="Tahoma"/>
            <family val="2"/>
          </rPr>
          <t>Leonard Thagard:</t>
        </r>
        <r>
          <rPr>
            <sz val="9"/>
            <color indexed="81"/>
            <rFont val="Tahoma"/>
            <family val="2"/>
          </rPr>
          <t xml:space="preserve">
Original Total Design Fee divided by 7 buildings.</t>
        </r>
      </text>
    </comment>
    <comment ref="BF23" authorId="0" shapeId="0">
      <text>
        <r>
          <rPr>
            <b/>
            <sz val="9"/>
            <color indexed="81"/>
            <rFont val="Tahoma"/>
            <family val="2"/>
          </rPr>
          <t>Leonard Thagard:</t>
        </r>
        <r>
          <rPr>
            <sz val="9"/>
            <color indexed="81"/>
            <rFont val="Tahoma"/>
            <family val="2"/>
          </rPr>
          <t xml:space="preserve">
LEED or SB 668 fee divided by 7 buildings.</t>
        </r>
      </text>
    </comment>
    <comment ref="BH23" authorId="0" shapeId="0">
      <text>
        <r>
          <rPr>
            <b/>
            <sz val="9"/>
            <color indexed="81"/>
            <rFont val="Tahoma"/>
            <family val="2"/>
          </rPr>
          <t>Leonard Thagard:</t>
        </r>
        <r>
          <rPr>
            <sz val="9"/>
            <color indexed="81"/>
            <rFont val="Tahoma"/>
            <family val="2"/>
          </rPr>
          <t xml:space="preserve">
Cx fee divided by 7 buildings.</t>
        </r>
      </text>
    </comment>
    <comment ref="BF26" authorId="0" shapeId="0">
      <text>
        <r>
          <rPr>
            <b/>
            <sz val="9"/>
            <color indexed="81"/>
            <rFont val="Tahoma"/>
            <family val="2"/>
          </rPr>
          <t>Leonard Thagard:</t>
        </r>
        <r>
          <rPr>
            <sz val="9"/>
            <color indexed="81"/>
            <rFont val="Tahoma"/>
            <family val="2"/>
          </rPr>
          <t xml:space="preserve">
LEED services added as design amendment.  Add to OTDF.
</t>
        </r>
      </text>
    </comment>
    <comment ref="BE28" authorId="0" shapeId="0">
      <text>
        <r>
          <rPr>
            <b/>
            <sz val="9"/>
            <color indexed="81"/>
            <rFont val="Tahoma"/>
            <family val="2"/>
          </rPr>
          <t>Leonard Thagard:</t>
        </r>
        <r>
          <rPr>
            <sz val="9"/>
            <color indexed="81"/>
            <rFont val="Tahoma"/>
            <family val="2"/>
          </rPr>
          <t xml:space="preserve">
Combined design fee for original building design and revised building design.</t>
        </r>
      </text>
    </comment>
    <comment ref="BF29" authorId="0" shapeId="0">
      <text>
        <r>
          <rPr>
            <b/>
            <sz val="9"/>
            <color indexed="81"/>
            <rFont val="Tahoma"/>
            <family val="2"/>
          </rPr>
          <t>Leonard Thagard:</t>
        </r>
        <r>
          <rPr>
            <sz val="9"/>
            <color indexed="81"/>
            <rFont val="Tahoma"/>
            <family val="2"/>
          </rPr>
          <t xml:space="preserve">
SB 668 at 17520 and LEED at 139300</t>
        </r>
      </text>
    </comment>
    <comment ref="BB33" authorId="0" shapeId="0">
      <text>
        <r>
          <rPr>
            <b/>
            <sz val="9"/>
            <color indexed="81"/>
            <rFont val="Tahoma"/>
            <family val="2"/>
          </rPr>
          <t>Leonard Thagard:</t>
        </r>
        <r>
          <rPr>
            <sz val="9"/>
            <color indexed="81"/>
            <rFont val="Tahoma"/>
            <family val="2"/>
          </rPr>
          <t xml:space="preserve">
CMR bid packages, NCSU utility assessment, parking deck assessment, etc. make bid amount difficult to accurately calculate.</t>
        </r>
      </text>
    </comment>
    <comment ref="BB35" authorId="0" shapeId="0">
      <text>
        <r>
          <rPr>
            <b/>
            <sz val="9"/>
            <color indexed="81"/>
            <rFont val="Tahoma"/>
            <family val="2"/>
          </rPr>
          <t>Leonard Thagard:</t>
        </r>
        <r>
          <rPr>
            <sz val="9"/>
            <color indexed="81"/>
            <rFont val="Tahoma"/>
            <family val="2"/>
          </rPr>
          <t xml:space="preserve">
Amount is for entire football complex.</t>
        </r>
      </text>
    </comment>
    <comment ref="BC35" authorId="0" shapeId="0">
      <text>
        <r>
          <rPr>
            <b/>
            <sz val="9"/>
            <color indexed="81"/>
            <rFont val="Tahoma"/>
            <family val="2"/>
          </rPr>
          <t>Leonard Thagard:</t>
        </r>
        <r>
          <rPr>
            <sz val="9"/>
            <color indexed="81"/>
            <rFont val="Tahoma"/>
            <family val="2"/>
          </rPr>
          <t xml:space="preserve">
Error in calculation due to entire football complex in one bid package.  Building was not broken out.</t>
        </r>
      </text>
    </comment>
    <comment ref="BE35" authorId="0" shapeId="0">
      <text>
        <r>
          <rPr>
            <b/>
            <sz val="9"/>
            <color indexed="81"/>
            <rFont val="Tahoma"/>
            <family val="2"/>
          </rPr>
          <t>Leonard Thagard:</t>
        </r>
        <r>
          <rPr>
            <sz val="9"/>
            <color indexed="81"/>
            <rFont val="Tahoma"/>
            <family val="2"/>
          </rPr>
          <t xml:space="preserve">
Fee includes design for complete football stadium complex.</t>
        </r>
      </text>
    </comment>
    <comment ref="BB37" authorId="0" shapeId="0">
      <text>
        <r>
          <rPr>
            <b/>
            <sz val="9"/>
            <color indexed="81"/>
            <rFont val="Tahoma"/>
            <family val="2"/>
          </rPr>
          <t>Leonard Thagard:</t>
        </r>
        <r>
          <rPr>
            <sz val="9"/>
            <color indexed="81"/>
            <rFont val="Tahoma"/>
            <family val="2"/>
          </rPr>
          <t xml:space="preserve">
Best guess from multiple bid packages.  Will revisit later.</t>
        </r>
      </text>
    </comment>
    <comment ref="BE37" authorId="0" shapeId="0">
      <text>
        <r>
          <rPr>
            <b/>
            <sz val="9"/>
            <color indexed="81"/>
            <rFont val="Tahoma"/>
            <family val="2"/>
          </rPr>
          <t>Leonard Thagard:</t>
        </r>
        <r>
          <rPr>
            <sz val="9"/>
            <color indexed="81"/>
            <rFont val="Tahoma"/>
            <family val="2"/>
          </rPr>
          <t xml:space="preserve">
27% of full design fee</t>
        </r>
      </text>
    </comment>
    <comment ref="BB38" authorId="0" shapeId="0">
      <text>
        <r>
          <rPr>
            <b/>
            <sz val="9"/>
            <color indexed="81"/>
            <rFont val="Tahoma"/>
            <family val="2"/>
          </rPr>
          <t>Leonard Thagard:</t>
        </r>
        <r>
          <rPr>
            <sz val="9"/>
            <color indexed="81"/>
            <rFont val="Tahoma"/>
            <family val="2"/>
          </rPr>
          <t xml:space="preserve">
73 percent of bid package total for Plemmons and Summitt</t>
        </r>
      </text>
    </comment>
    <comment ref="BE38" authorId="0" shapeId="0">
      <text>
        <r>
          <rPr>
            <b/>
            <sz val="9"/>
            <color indexed="81"/>
            <rFont val="Tahoma"/>
            <family val="2"/>
          </rPr>
          <t>Leonard Thagard:</t>
        </r>
        <r>
          <rPr>
            <sz val="9"/>
            <color indexed="81"/>
            <rFont val="Tahoma"/>
            <family val="2"/>
          </rPr>
          <t xml:space="preserve">
73 percent of full design fee.</t>
        </r>
      </text>
    </comment>
    <comment ref="R39" authorId="0" shapeId="0">
      <text>
        <r>
          <rPr>
            <b/>
            <sz val="9"/>
            <color indexed="81"/>
            <rFont val="Tahoma"/>
            <family val="2"/>
          </rPr>
          <t>Leonard Thagard:</t>
        </r>
        <r>
          <rPr>
            <sz val="9"/>
            <color indexed="81"/>
            <rFont val="Tahoma"/>
            <family val="2"/>
          </rPr>
          <t xml:space="preserve">
Baseline is high.</t>
        </r>
      </text>
    </comment>
    <comment ref="T39" authorId="0" shapeId="0">
      <text>
        <r>
          <rPr>
            <b/>
            <sz val="9"/>
            <color indexed="81"/>
            <rFont val="Tahoma"/>
            <family val="2"/>
          </rPr>
          <t>Leonard Thagard:</t>
        </r>
        <r>
          <rPr>
            <sz val="9"/>
            <color indexed="81"/>
            <rFont val="Tahoma"/>
            <family val="2"/>
          </rPr>
          <t xml:space="preserve">
Proposed is high.</t>
        </r>
      </text>
    </comment>
    <comment ref="BD39" authorId="0" shapeId="0">
      <text>
        <r>
          <rPr>
            <b/>
            <sz val="9"/>
            <color indexed="81"/>
            <rFont val="Tahoma"/>
            <family val="2"/>
          </rPr>
          <t>Leonard Thagard:</t>
        </r>
        <r>
          <rPr>
            <sz val="9"/>
            <color indexed="81"/>
            <rFont val="Tahoma"/>
            <family val="2"/>
          </rPr>
          <t xml:space="preserve">
Note in LCCA report:  "*Initial Cost estimated to be 85% of Construction Budget."</t>
        </r>
      </text>
    </comment>
    <comment ref="J40" authorId="0" shapeId="0">
      <text>
        <r>
          <rPr>
            <b/>
            <sz val="9"/>
            <color indexed="81"/>
            <rFont val="Tahoma"/>
            <family val="2"/>
          </rPr>
          <t>Leonard Thagard:</t>
        </r>
        <r>
          <rPr>
            <sz val="9"/>
            <color indexed="81"/>
            <rFont val="Tahoma"/>
            <family val="2"/>
          </rPr>
          <t xml:space="preserve">
BO</t>
        </r>
      </text>
    </comment>
    <comment ref="X43" authorId="0" shapeId="0">
      <text>
        <r>
          <rPr>
            <b/>
            <sz val="9"/>
            <color indexed="81"/>
            <rFont val="Tahoma"/>
            <family val="2"/>
          </rPr>
          <t>Leonard Thagard:</t>
        </r>
        <r>
          <rPr>
            <sz val="9"/>
            <color indexed="81"/>
            <rFont val="Tahoma"/>
            <family val="2"/>
          </rPr>
          <t xml:space="preserve">
Metered on square footage basis.</t>
        </r>
      </text>
    </comment>
    <comment ref="AJ43" authorId="0" shapeId="0">
      <text>
        <r>
          <rPr>
            <b/>
            <sz val="9"/>
            <color indexed="81"/>
            <rFont val="Tahoma"/>
            <family val="2"/>
          </rPr>
          <t>Leonard Thagard:</t>
        </r>
        <r>
          <rPr>
            <sz val="9"/>
            <color indexed="81"/>
            <rFont val="Tahoma"/>
            <family val="2"/>
          </rPr>
          <t xml:space="preserve">
Metered on square footage basis for thermal utilities or steam and chilled water.</t>
        </r>
      </text>
    </comment>
    <comment ref="X44" authorId="0" shapeId="0">
      <text>
        <r>
          <rPr>
            <b/>
            <sz val="9"/>
            <color indexed="81"/>
            <rFont val="Tahoma"/>
            <family val="2"/>
          </rPr>
          <t>Leonard Thagard:</t>
        </r>
        <r>
          <rPr>
            <sz val="9"/>
            <color indexed="81"/>
            <rFont val="Tahoma"/>
            <family val="2"/>
          </rPr>
          <t xml:space="preserve">
9 months of data from BAS.</t>
        </r>
      </text>
    </comment>
    <comment ref="AJ44" authorId="0" shapeId="0">
      <text>
        <r>
          <rPr>
            <b/>
            <sz val="9"/>
            <color indexed="81"/>
            <rFont val="Tahoma"/>
            <family val="2"/>
          </rPr>
          <t>Leonard Thagard:</t>
        </r>
        <r>
          <rPr>
            <sz val="9"/>
            <color indexed="81"/>
            <rFont val="Tahoma"/>
            <family val="2"/>
          </rPr>
          <t xml:space="preserve">
Calculated from 9 months of BAS meter data.</t>
        </r>
      </text>
    </comment>
    <comment ref="BD44" authorId="0" shapeId="0">
      <text>
        <r>
          <rPr>
            <b/>
            <sz val="9"/>
            <color indexed="81"/>
            <rFont val="Tahoma"/>
            <family val="2"/>
          </rPr>
          <t>Leonard Thagard:</t>
        </r>
        <r>
          <rPr>
            <sz val="9"/>
            <color indexed="81"/>
            <rFont val="Tahoma"/>
            <family val="2"/>
          </rPr>
          <t xml:space="preserve">
deduct for wall, roof, glaze, bid alt 3, plumb, daylighting, bid alt 1
</t>
        </r>
      </text>
    </comment>
    <comment ref="BB45" authorId="0" shapeId="0">
      <text>
        <r>
          <rPr>
            <b/>
            <sz val="9"/>
            <color indexed="81"/>
            <rFont val="Tahoma"/>
            <family val="2"/>
          </rPr>
          <t>Leonard Thagard:</t>
        </r>
        <r>
          <rPr>
            <sz val="9"/>
            <color indexed="81"/>
            <rFont val="Tahoma"/>
            <family val="2"/>
          </rPr>
          <t xml:space="preserve">
Early site package plus building package.</t>
        </r>
      </text>
    </comment>
    <comment ref="BD45" authorId="0" shapeId="0">
      <text>
        <r>
          <rPr>
            <b/>
            <sz val="9"/>
            <color indexed="81"/>
            <rFont val="Tahoma"/>
            <family val="2"/>
          </rPr>
          <t>Leonard Thagard:</t>
        </r>
        <r>
          <rPr>
            <sz val="9"/>
            <color indexed="81"/>
            <rFont val="Tahoma"/>
            <family val="2"/>
          </rPr>
          <t xml:space="preserve">
Clark Nexsen analysis indicated baseline building cost more to build than the proposed building.  Analysis not used here.</t>
        </r>
      </text>
    </comment>
    <comment ref="BB47" authorId="0" shapeId="0">
      <text>
        <r>
          <rPr>
            <b/>
            <sz val="9"/>
            <color indexed="81"/>
            <rFont val="Tahoma"/>
            <family val="2"/>
          </rPr>
          <t>Leonard Thagard:</t>
        </r>
        <r>
          <rPr>
            <sz val="9"/>
            <color indexed="81"/>
            <rFont val="Tahoma"/>
            <family val="2"/>
          </rPr>
          <t xml:space="preserve">
Early site plus site and building bid packages.</t>
        </r>
      </text>
    </comment>
    <comment ref="B48" authorId="0" shapeId="0">
      <text>
        <r>
          <rPr>
            <b/>
            <sz val="9"/>
            <color indexed="81"/>
            <rFont val="Tahoma"/>
            <family val="2"/>
          </rPr>
          <t>Leonard Thagard:</t>
        </r>
        <r>
          <rPr>
            <sz val="9"/>
            <color indexed="81"/>
            <rFont val="Tahoma"/>
            <family val="2"/>
          </rPr>
          <t xml:space="preserve">
Can not verify LEED status.</t>
        </r>
      </text>
    </comment>
    <comment ref="B49" authorId="0" shapeId="0">
      <text>
        <r>
          <rPr>
            <b/>
            <sz val="9"/>
            <color indexed="81"/>
            <rFont val="Tahoma"/>
            <family val="2"/>
          </rPr>
          <t>Leonard Thagard:</t>
        </r>
        <r>
          <rPr>
            <sz val="9"/>
            <color indexed="81"/>
            <rFont val="Tahoma"/>
            <family val="2"/>
          </rPr>
          <t xml:space="preserve">
Can not verify LEED status.</t>
        </r>
      </text>
    </comment>
    <comment ref="J53" authorId="0" shapeId="0">
      <text>
        <r>
          <rPr>
            <b/>
            <sz val="9"/>
            <color indexed="81"/>
            <rFont val="Tahoma"/>
            <family val="2"/>
          </rPr>
          <t>Leonard Thagard:</t>
        </r>
        <r>
          <rPr>
            <sz val="9"/>
            <color indexed="81"/>
            <rFont val="Tahoma"/>
            <family val="2"/>
          </rPr>
          <t xml:space="preserve">
Best guess.</t>
        </r>
      </text>
    </comment>
    <comment ref="X53" authorId="0" shapeId="0">
      <text>
        <r>
          <rPr>
            <b/>
            <sz val="9"/>
            <color indexed="81"/>
            <rFont val="Tahoma"/>
            <family val="2"/>
          </rPr>
          <t>Leonard Thagard:</t>
        </r>
        <r>
          <rPr>
            <sz val="9"/>
            <color indexed="81"/>
            <rFont val="Tahoma"/>
            <family val="2"/>
          </rPr>
          <t xml:space="preserve">
Thermal utiities are metered on a square foot basis not on usage.</t>
        </r>
      </text>
    </comment>
    <comment ref="BB53" authorId="0" shapeId="0">
      <text>
        <r>
          <rPr>
            <b/>
            <sz val="9"/>
            <color indexed="81"/>
            <rFont val="Tahoma"/>
            <family val="2"/>
          </rPr>
          <t>Leonard Thagard:</t>
        </r>
        <r>
          <rPr>
            <sz val="9"/>
            <color indexed="81"/>
            <rFont val="Tahoma"/>
            <family val="2"/>
          </rPr>
          <t xml:space="preserve">
Designer's LCCA estimate.</t>
        </r>
      </text>
    </comment>
    <comment ref="BD53" authorId="0" shapeId="0">
      <text>
        <r>
          <rPr>
            <b/>
            <sz val="9"/>
            <color indexed="81"/>
            <rFont val="Tahoma"/>
            <family val="2"/>
          </rPr>
          <t>Leonard Thagard:</t>
        </r>
        <r>
          <rPr>
            <sz val="9"/>
            <color indexed="81"/>
            <rFont val="Tahoma"/>
            <family val="2"/>
          </rPr>
          <t xml:space="preserve">
Designer's LCCA estimate.</t>
        </r>
      </text>
    </comment>
    <comment ref="J54" authorId="0" shapeId="0">
      <text>
        <r>
          <rPr>
            <b/>
            <sz val="9"/>
            <color indexed="81"/>
            <rFont val="Tahoma"/>
            <family val="2"/>
          </rPr>
          <t>Leonard Thagard:</t>
        </r>
        <r>
          <rPr>
            <sz val="9"/>
            <color indexed="81"/>
            <rFont val="Tahoma"/>
            <family val="2"/>
          </rPr>
          <t xml:space="preserve">
BO per Jerry Rogers' handwritten notes in file.</t>
        </r>
      </text>
    </comment>
    <comment ref="BD54" authorId="0" shapeId="0">
      <text>
        <r>
          <rPr>
            <b/>
            <sz val="9"/>
            <color indexed="81"/>
            <rFont val="Tahoma"/>
            <family val="2"/>
          </rPr>
          <t>Leonard Thagard:</t>
        </r>
        <r>
          <rPr>
            <sz val="9"/>
            <color indexed="81"/>
            <rFont val="Tahoma"/>
            <family val="2"/>
          </rPr>
          <t xml:space="preserve">
LCCA cost estimate for proposed building was $46,642,869 while baseline was $46,128,762 for a difference of 514,107 which was deducted from the bid amount to arrive at the baseline building estimate.</t>
        </r>
      </text>
    </comment>
    <comment ref="BF54" authorId="0" shapeId="0">
      <text>
        <r>
          <rPr>
            <b/>
            <sz val="9"/>
            <color indexed="81"/>
            <rFont val="Tahoma"/>
            <family val="2"/>
          </rPr>
          <t>Leonard Thagard:</t>
        </r>
        <r>
          <rPr>
            <sz val="9"/>
            <color indexed="81"/>
            <rFont val="Tahoma"/>
            <family val="2"/>
          </rPr>
          <t xml:space="preserve">
LEED certification 110000 and article 15-1 fee 229250</t>
        </r>
      </text>
    </comment>
    <comment ref="BD58" authorId="0" shapeId="0">
      <text>
        <r>
          <rPr>
            <b/>
            <sz val="9"/>
            <color indexed="81"/>
            <rFont val="Tahoma"/>
            <family val="2"/>
          </rPr>
          <t>Leonard Thagard:</t>
        </r>
        <r>
          <rPr>
            <sz val="9"/>
            <color indexed="81"/>
            <rFont val="Tahoma"/>
            <family val="2"/>
          </rPr>
          <t xml:space="preserve">
baseline calculated from bid amount less delta of $1,012,000 between proposed and baseline estimates by designer.</t>
        </r>
      </text>
    </comment>
    <comment ref="B59" authorId="0" shapeId="0">
      <text>
        <r>
          <rPr>
            <b/>
            <sz val="9"/>
            <color indexed="81"/>
            <rFont val="Tahoma"/>
            <family val="2"/>
          </rPr>
          <t>Leonard Thagard:</t>
        </r>
        <r>
          <rPr>
            <sz val="9"/>
            <color indexed="81"/>
            <rFont val="Tahoma"/>
            <family val="2"/>
          </rPr>
          <t xml:space="preserve">
Can not verify LEED status.</t>
        </r>
      </text>
    </comment>
    <comment ref="BB60" authorId="0" shapeId="0">
      <text>
        <r>
          <rPr>
            <b/>
            <sz val="9"/>
            <color indexed="81"/>
            <rFont val="Tahoma"/>
            <family val="2"/>
          </rPr>
          <t>Leonard Thagard:</t>
        </r>
        <r>
          <rPr>
            <sz val="9"/>
            <color indexed="81"/>
            <rFont val="Tahoma"/>
            <family val="2"/>
          </rPr>
          <t xml:space="preserve">
Early site plus building package.</t>
        </r>
      </text>
    </comment>
    <comment ref="B61" authorId="0" shapeId="0">
      <text>
        <r>
          <rPr>
            <b/>
            <sz val="9"/>
            <color indexed="81"/>
            <rFont val="Tahoma"/>
            <family val="2"/>
          </rPr>
          <t>Leonard Thagard:</t>
        </r>
        <r>
          <rPr>
            <sz val="9"/>
            <color indexed="81"/>
            <rFont val="Tahoma"/>
            <family val="2"/>
          </rPr>
          <t xml:space="preserve">
Can not verify LEED status.</t>
        </r>
      </text>
    </comment>
    <comment ref="B62" authorId="0" shapeId="0">
      <text>
        <r>
          <rPr>
            <b/>
            <sz val="9"/>
            <color indexed="81"/>
            <rFont val="Tahoma"/>
            <family val="2"/>
          </rPr>
          <t>Leonard Thagard:</t>
        </r>
        <r>
          <rPr>
            <sz val="9"/>
            <color indexed="81"/>
            <rFont val="Tahoma"/>
            <family val="2"/>
          </rPr>
          <t xml:space="preserve">
Can not verify LEED status.</t>
        </r>
      </text>
    </comment>
    <comment ref="BD63" authorId="0" shapeId="0">
      <text>
        <r>
          <rPr>
            <b/>
            <sz val="9"/>
            <color indexed="81"/>
            <rFont val="Tahoma"/>
            <family val="2"/>
          </rPr>
          <t>Leonard Thagard:</t>
        </r>
        <r>
          <rPr>
            <sz val="9"/>
            <color indexed="81"/>
            <rFont val="Tahoma"/>
            <family val="2"/>
          </rPr>
          <t xml:space="preserve">
baseline and proposed building cost estimates exceeded the bid amount.  Costs to implement energy legislation are negative.</t>
        </r>
      </text>
    </comment>
    <comment ref="BF64" authorId="0" shapeId="0">
      <text>
        <r>
          <rPr>
            <b/>
            <sz val="9"/>
            <color indexed="81"/>
            <rFont val="Tahoma"/>
            <family val="2"/>
          </rPr>
          <t>Leonard Thagard:</t>
        </r>
        <r>
          <rPr>
            <sz val="9"/>
            <color indexed="81"/>
            <rFont val="Tahoma"/>
            <family val="2"/>
          </rPr>
          <t xml:space="preserve">
Green Globes.</t>
        </r>
      </text>
    </comment>
    <comment ref="BB69" authorId="0" shapeId="0">
      <text>
        <r>
          <rPr>
            <b/>
            <sz val="9"/>
            <color indexed="81"/>
            <rFont val="Tahoma"/>
            <family val="2"/>
          </rPr>
          <t>Leonard Thagard:</t>
        </r>
        <r>
          <rPr>
            <sz val="9"/>
            <color indexed="81"/>
            <rFont val="Tahoma"/>
            <family val="2"/>
          </rPr>
          <t xml:space="preserve">
CMR bid packages and CO's through CO#10.</t>
        </r>
      </text>
    </comment>
    <comment ref="BD69" authorId="0" shapeId="0">
      <text>
        <r>
          <rPr>
            <b/>
            <sz val="9"/>
            <color indexed="81"/>
            <rFont val="Tahoma"/>
            <family val="2"/>
          </rPr>
          <t>Leonard Thagard:</t>
        </r>
        <r>
          <rPr>
            <sz val="9"/>
            <color indexed="81"/>
            <rFont val="Tahoma"/>
            <family val="2"/>
          </rPr>
          <t xml:space="preserve">
CD estimates for baseline and proposed buildings exceed CMR bids through CO #10.  Baseline estimate is CMR contract amount through CO #10 less designer's delta between baseline and proposed buildings.</t>
        </r>
      </text>
    </comment>
    <comment ref="AU72" authorId="0" shapeId="0">
      <text>
        <r>
          <rPr>
            <b/>
            <sz val="9"/>
            <color indexed="81"/>
            <rFont val="Tahoma"/>
            <family val="2"/>
          </rPr>
          <t>Leonard Thagard:</t>
        </r>
        <r>
          <rPr>
            <sz val="9"/>
            <color indexed="81"/>
            <rFont val="Tahoma"/>
            <family val="2"/>
          </rPr>
          <t xml:space="preserve">
includes kitchen load and cooling tower make up at 3,600,000 gall/yr.</t>
        </r>
      </text>
    </comment>
    <comment ref="BB75" authorId="0" shapeId="0">
      <text>
        <r>
          <rPr>
            <b/>
            <sz val="9"/>
            <color indexed="81"/>
            <rFont val="Tahoma"/>
            <family val="2"/>
          </rPr>
          <t>Leonard Thagard:</t>
        </r>
        <r>
          <rPr>
            <sz val="9"/>
            <color indexed="81"/>
            <rFont val="Tahoma"/>
            <family val="2"/>
          </rPr>
          <t xml:space="preserve">
Captures most but not all bid packages.</t>
        </r>
      </text>
    </comment>
    <comment ref="BE75" authorId="0" shapeId="0">
      <text>
        <r>
          <rPr>
            <b/>
            <sz val="9"/>
            <color indexed="81"/>
            <rFont val="Tahoma"/>
            <family val="2"/>
          </rPr>
          <t>Leonard Thagard:</t>
        </r>
        <r>
          <rPr>
            <sz val="9"/>
            <color indexed="81"/>
            <rFont val="Tahoma"/>
            <family val="2"/>
          </rPr>
          <t xml:space="preserve">
includes swing space, promotion support, bridge over RR tracks, etc.</t>
        </r>
      </text>
    </comment>
    <comment ref="U79" authorId="0" shapeId="0">
      <text>
        <r>
          <rPr>
            <b/>
            <sz val="9"/>
            <color indexed="81"/>
            <rFont val="Tahoma"/>
            <family val="2"/>
          </rPr>
          <t>Leonard Thagard:</t>
        </r>
        <r>
          <rPr>
            <sz val="9"/>
            <color indexed="81"/>
            <rFont val="Tahoma"/>
            <family val="2"/>
          </rPr>
          <t xml:space="preserve">
27% improvement without plug and process loads.</t>
        </r>
      </text>
    </comment>
    <comment ref="BF79" authorId="0" shapeId="0">
      <text>
        <r>
          <rPr>
            <b/>
            <sz val="9"/>
            <color indexed="81"/>
            <rFont val="Tahoma"/>
            <family val="2"/>
          </rPr>
          <t>Leonard Thagard:</t>
        </r>
        <r>
          <rPr>
            <sz val="9"/>
            <color indexed="81"/>
            <rFont val="Tahoma"/>
            <family val="2"/>
          </rPr>
          <t xml:space="preserve">
Green Globes</t>
        </r>
      </text>
    </comment>
    <comment ref="M81" authorId="0" shapeId="0">
      <text>
        <r>
          <rPr>
            <b/>
            <sz val="9"/>
            <color indexed="81"/>
            <rFont val="Tahoma"/>
            <family val="2"/>
          </rPr>
          <t>Leonard Thagard:</t>
        </r>
        <r>
          <rPr>
            <sz val="9"/>
            <color indexed="81"/>
            <rFont val="Tahoma"/>
            <family val="2"/>
          </rPr>
          <t xml:space="preserve">
GSF does not include tempered un-occupied attic space of ~22,000 SF.</t>
        </r>
      </text>
    </comment>
    <comment ref="BB81" authorId="0" shapeId="0">
      <text>
        <r>
          <rPr>
            <b/>
            <sz val="9"/>
            <color indexed="81"/>
            <rFont val="Tahoma"/>
            <family val="2"/>
          </rPr>
          <t>Leonard Thagard:</t>
        </r>
        <r>
          <rPr>
            <sz val="9"/>
            <color indexed="81"/>
            <rFont val="Tahoma"/>
            <family val="2"/>
          </rPr>
          <t xml:space="preserve">
Designer's proposed building estimate is $5,957,771.  Early demo is not included.  Contract may include CUP and distribution piping.  Ear</t>
        </r>
      </text>
    </comment>
    <comment ref="BD81" authorId="0" shapeId="0">
      <text>
        <r>
          <rPr>
            <b/>
            <sz val="9"/>
            <color indexed="81"/>
            <rFont val="Tahoma"/>
            <family val="2"/>
          </rPr>
          <t>Leonard Thagard:</t>
        </r>
        <r>
          <rPr>
            <sz val="9"/>
            <color indexed="81"/>
            <rFont val="Tahoma"/>
            <family val="2"/>
          </rPr>
          <t xml:space="preserve">
does not include early demo, CEP, CEP distribution, etc.</t>
        </r>
      </text>
    </comment>
    <comment ref="BH81" authorId="0" shapeId="0">
      <text>
        <r>
          <rPr>
            <b/>
            <sz val="9"/>
            <color indexed="81"/>
            <rFont val="Tahoma"/>
            <family val="2"/>
          </rPr>
          <t>Leonard Thagard:</t>
        </r>
        <r>
          <rPr>
            <sz val="9"/>
            <color indexed="81"/>
            <rFont val="Tahoma"/>
            <family val="2"/>
          </rPr>
          <t xml:space="preserve">
LTs guess</t>
        </r>
      </text>
    </comment>
    <comment ref="M82" authorId="0" shapeId="0">
      <text>
        <r>
          <rPr>
            <b/>
            <sz val="9"/>
            <color indexed="81"/>
            <rFont val="Tahoma"/>
            <family val="2"/>
          </rPr>
          <t>Leonard Thagard:</t>
        </r>
        <r>
          <rPr>
            <sz val="9"/>
            <color indexed="81"/>
            <rFont val="Tahoma"/>
            <family val="2"/>
          </rPr>
          <t xml:space="preserve">
Listed now as two buildings East at 102,127 GSF and West at 105,950 GSF.</t>
        </r>
      </text>
    </comment>
    <comment ref="AP83" authorId="0" shapeId="0">
      <text>
        <r>
          <rPr>
            <b/>
            <sz val="9"/>
            <color indexed="81"/>
            <rFont val="Tahoma"/>
            <family val="2"/>
          </rPr>
          <t>Leonard Thagard:</t>
        </r>
        <r>
          <rPr>
            <sz val="9"/>
            <color indexed="81"/>
            <rFont val="Tahoma"/>
            <family val="2"/>
          </rPr>
          <t xml:space="preserve">
Includes cooling tower make up and large laundry load.</t>
        </r>
      </text>
    </comment>
    <comment ref="M84" authorId="0" shapeId="0">
      <text>
        <r>
          <rPr>
            <b/>
            <sz val="9"/>
            <color indexed="81"/>
            <rFont val="Tahoma"/>
            <family val="2"/>
          </rPr>
          <t>Leonard Thagard:</t>
        </r>
        <r>
          <rPr>
            <sz val="9"/>
            <color indexed="81"/>
            <rFont val="Tahoma"/>
            <family val="2"/>
          </rPr>
          <t xml:space="preserve">
131,341 includes pool deck and pool lobby in GSF.  M&amp;L estimate at 105,000 GSF.</t>
        </r>
      </text>
    </comment>
    <comment ref="Q84" authorId="0" shapeId="0">
      <text>
        <r>
          <rPr>
            <b/>
            <sz val="9"/>
            <color indexed="81"/>
            <rFont val="Tahoma"/>
            <family val="2"/>
          </rPr>
          <t>Leonard Thagard:</t>
        </r>
        <r>
          <rPr>
            <sz val="9"/>
            <color indexed="81"/>
            <rFont val="Tahoma"/>
            <family val="2"/>
          </rPr>
          <t xml:space="preserve">
Includes plug and process loads.  Pool equipment and HVAC are considered process loads.</t>
        </r>
      </text>
    </comment>
    <comment ref="U84" authorId="0" shapeId="0">
      <text>
        <r>
          <rPr>
            <b/>
            <sz val="9"/>
            <color indexed="81"/>
            <rFont val="Tahoma"/>
            <family val="2"/>
          </rPr>
          <t>Leonard Thagard:</t>
        </r>
        <r>
          <rPr>
            <sz val="9"/>
            <color indexed="81"/>
            <rFont val="Tahoma"/>
            <family val="2"/>
          </rPr>
          <t xml:space="preserve">
6% less energy than A90.1-2010.</t>
        </r>
      </text>
    </comment>
    <comment ref="BI84" authorId="0" shapeId="0">
      <text>
        <r>
          <rPr>
            <b/>
            <sz val="9"/>
            <color indexed="81"/>
            <rFont val="Tahoma"/>
            <family val="2"/>
          </rPr>
          <t>Leonard Thagard:</t>
        </r>
        <r>
          <rPr>
            <sz val="9"/>
            <color indexed="81"/>
            <rFont val="Tahoma"/>
            <family val="2"/>
          </rPr>
          <t xml:space="preserve">
Not correct since base is A90.1-2010 instead of A90.1-2004.  Also window and roof replacement not analyzed based on LCCA.</t>
        </r>
      </text>
    </comment>
    <comment ref="I85" authorId="0" shapeId="0">
      <text>
        <r>
          <rPr>
            <b/>
            <sz val="9"/>
            <color indexed="81"/>
            <rFont val="Tahoma"/>
            <family val="2"/>
          </rPr>
          <t>Leonard Thagard:</t>
        </r>
        <r>
          <rPr>
            <sz val="9"/>
            <color indexed="81"/>
            <rFont val="Tahoma"/>
            <family val="2"/>
          </rPr>
          <t xml:space="preserve">
Private funding.  No state contract.</t>
        </r>
      </text>
    </comment>
    <comment ref="J85" authorId="0" shapeId="0">
      <text>
        <r>
          <rPr>
            <b/>
            <sz val="9"/>
            <color indexed="81"/>
            <rFont val="Tahoma"/>
            <family val="2"/>
          </rPr>
          <t>Leonard Thagard:</t>
        </r>
        <r>
          <rPr>
            <sz val="9"/>
            <color indexed="81"/>
            <rFont val="Tahoma"/>
            <family val="2"/>
          </rPr>
          <t xml:space="preserve">
Interscope indicates 74% complete as of 2/27/15.
Web search indicates Fall 2015.  Will use 10/01/15 for now.</t>
        </r>
      </text>
    </comment>
    <comment ref="BB88" authorId="0" shapeId="0">
      <text>
        <r>
          <rPr>
            <b/>
            <sz val="9"/>
            <color indexed="81"/>
            <rFont val="Tahoma"/>
            <family val="2"/>
          </rPr>
          <t>Leonard Thagard:</t>
        </r>
        <r>
          <rPr>
            <sz val="9"/>
            <color indexed="81"/>
            <rFont val="Tahoma"/>
            <family val="2"/>
          </rPr>
          <t xml:space="preserve">
SB 668 bldg estimate from PDC.  BCC DB GMP is $9,751,745</t>
        </r>
      </text>
    </comment>
    <comment ref="BD88" authorId="0" shapeId="0">
      <text>
        <r>
          <rPr>
            <b/>
            <sz val="9"/>
            <color indexed="81"/>
            <rFont val="Tahoma"/>
            <family val="2"/>
          </rPr>
          <t>Leonard Thagard:</t>
        </r>
        <r>
          <rPr>
            <sz val="9"/>
            <color indexed="81"/>
            <rFont val="Tahoma"/>
            <family val="2"/>
          </rPr>
          <t xml:space="preserve">
Proposed bldg estimate from PDC.  BCC DB GMP is $9,751,745</t>
        </r>
      </text>
    </comment>
    <comment ref="BF88" authorId="0" shapeId="0">
      <text>
        <r>
          <rPr>
            <b/>
            <sz val="9"/>
            <color indexed="81"/>
            <rFont val="Tahoma"/>
            <family val="2"/>
          </rPr>
          <t>Leonard Thagard:</t>
        </r>
        <r>
          <rPr>
            <sz val="9"/>
            <color indexed="81"/>
            <rFont val="Tahoma"/>
            <family val="2"/>
          </rPr>
          <t xml:space="preserve">
PDC estimate from HB 628 study.</t>
        </r>
      </text>
    </comment>
    <comment ref="BH88" authorId="0" shapeId="0">
      <text>
        <r>
          <rPr>
            <b/>
            <sz val="9"/>
            <color indexed="81"/>
            <rFont val="Tahoma"/>
            <family val="2"/>
          </rPr>
          <t>Leonard Thagard:</t>
        </r>
        <r>
          <rPr>
            <sz val="9"/>
            <color indexed="81"/>
            <rFont val="Tahoma"/>
            <family val="2"/>
          </rPr>
          <t xml:space="preserve">
PDC estimate for Cx.</t>
        </r>
      </text>
    </comment>
    <comment ref="M89" authorId="0" shapeId="0">
      <text>
        <r>
          <rPr>
            <b/>
            <sz val="9"/>
            <color indexed="81"/>
            <rFont val="Tahoma"/>
            <family val="2"/>
          </rPr>
          <t>Leonard Thagard:</t>
        </r>
        <r>
          <rPr>
            <sz val="9"/>
            <color indexed="81"/>
            <rFont val="Tahoma"/>
            <family val="2"/>
          </rPr>
          <t xml:space="preserve">
GSF includes alternates for additional space and per email from Rebecca dated 12.19.13.
</t>
        </r>
      </text>
    </comment>
    <comment ref="Q89" authorId="0" shapeId="0">
      <text>
        <r>
          <rPr>
            <b/>
            <sz val="9"/>
            <color indexed="81"/>
            <rFont val="Tahoma"/>
            <family val="2"/>
          </rPr>
          <t>Leonard Thagard:</t>
        </r>
        <r>
          <rPr>
            <sz val="9"/>
            <color indexed="81"/>
            <rFont val="Tahoma"/>
            <family val="2"/>
          </rPr>
          <t xml:space="preserve">
Includes process loads.</t>
        </r>
      </text>
    </comment>
    <comment ref="S89" authorId="0" shapeId="0">
      <text>
        <r>
          <rPr>
            <b/>
            <sz val="9"/>
            <color indexed="81"/>
            <rFont val="Tahoma"/>
            <family val="2"/>
          </rPr>
          <t>Leonard Thagard:</t>
        </r>
        <r>
          <rPr>
            <sz val="9"/>
            <color indexed="81"/>
            <rFont val="Tahoma"/>
            <family val="2"/>
          </rPr>
          <t xml:space="preserve">
Inlcudes process loads.</t>
        </r>
      </text>
    </comment>
    <comment ref="U90" authorId="0" shapeId="0">
      <text>
        <r>
          <rPr>
            <b/>
            <sz val="9"/>
            <color indexed="81"/>
            <rFont val="Tahoma"/>
            <family val="2"/>
          </rPr>
          <t>Leonard Thagard:</t>
        </r>
        <r>
          <rPr>
            <sz val="9"/>
            <color indexed="81"/>
            <rFont val="Tahoma"/>
            <family val="2"/>
          </rPr>
          <t xml:space="preserve">
25% improvement w/o plug load</t>
        </r>
      </text>
    </comment>
    <comment ref="AC90" authorId="0" shapeId="0">
      <text>
        <r>
          <rPr>
            <b/>
            <sz val="9"/>
            <color indexed="81"/>
            <rFont val="Tahoma"/>
            <family val="2"/>
          </rPr>
          <t>Leonard Thagard:</t>
        </r>
        <r>
          <rPr>
            <sz val="9"/>
            <color indexed="81"/>
            <rFont val="Tahoma"/>
            <family val="2"/>
          </rPr>
          <t xml:space="preserve">
energy dollars include plug and process loads</t>
        </r>
      </text>
    </comment>
    <comment ref="BD90" authorId="0" shapeId="0">
      <text>
        <r>
          <rPr>
            <b/>
            <sz val="9"/>
            <color indexed="81"/>
            <rFont val="Tahoma"/>
            <family val="2"/>
          </rPr>
          <t>Leonard Thagard:</t>
        </r>
        <r>
          <rPr>
            <sz val="9"/>
            <color indexed="81"/>
            <rFont val="Tahoma"/>
            <family val="2"/>
          </rPr>
          <t xml:space="preserve">
baseline estimate from energy model report.  Proposed estimate si $36,334,998 compared to CM estimate of </t>
        </r>
      </text>
    </comment>
    <comment ref="N91" authorId="0" shapeId="0">
      <text>
        <r>
          <rPr>
            <b/>
            <sz val="9"/>
            <color indexed="81"/>
            <rFont val="Tahoma"/>
            <family val="2"/>
          </rPr>
          <t>Leonard Thagard:</t>
        </r>
        <r>
          <rPr>
            <sz val="9"/>
            <color indexed="81"/>
            <rFont val="Tahoma"/>
            <family val="2"/>
          </rPr>
          <t xml:space="preserve">
base=57,963
1st=70,579
mez=37,042
Need to verify GSF.</t>
        </r>
      </text>
    </comment>
    <comment ref="BH92" authorId="0" shapeId="0">
      <text>
        <r>
          <rPr>
            <b/>
            <sz val="9"/>
            <color indexed="81"/>
            <rFont val="Tahoma"/>
            <family val="2"/>
          </rPr>
          <t>Leonard Thagard:</t>
        </r>
        <r>
          <rPr>
            <sz val="9"/>
            <color indexed="81"/>
            <rFont val="Tahoma"/>
            <family val="2"/>
          </rPr>
          <t xml:space="preserve">
Current contract is for $22,000.  $120,000 is commissioning reserve.</t>
        </r>
      </text>
    </comment>
    <comment ref="Q93" authorId="0" shapeId="0">
      <text>
        <r>
          <rPr>
            <b/>
            <sz val="9"/>
            <color indexed="81"/>
            <rFont val="Tahoma"/>
            <family val="2"/>
          </rPr>
          <t>Leonard Thagard:</t>
        </r>
        <r>
          <rPr>
            <sz val="9"/>
            <color indexed="81"/>
            <rFont val="Tahoma"/>
            <family val="2"/>
          </rPr>
          <t xml:space="preserve">
Includes process load</t>
        </r>
      </text>
    </comment>
    <comment ref="S93" authorId="0" shapeId="0">
      <text>
        <r>
          <rPr>
            <b/>
            <sz val="9"/>
            <color indexed="81"/>
            <rFont val="Tahoma"/>
            <family val="2"/>
          </rPr>
          <t>Leonard Thagard:</t>
        </r>
        <r>
          <rPr>
            <sz val="9"/>
            <color indexed="81"/>
            <rFont val="Tahoma"/>
            <family val="2"/>
          </rPr>
          <t xml:space="preserve">
Includes process load.</t>
        </r>
      </text>
    </comment>
    <comment ref="U93" authorId="0" shapeId="0">
      <text>
        <r>
          <rPr>
            <b/>
            <sz val="9"/>
            <color indexed="81"/>
            <rFont val="Tahoma"/>
            <family val="2"/>
          </rPr>
          <t>Leonard Thagard:</t>
        </r>
        <r>
          <rPr>
            <sz val="9"/>
            <color indexed="81"/>
            <rFont val="Tahoma"/>
            <family val="2"/>
          </rPr>
          <t xml:space="preserve">
Savings are 46% with process load removed.</t>
        </r>
      </text>
    </comment>
    <comment ref="AD93" authorId="0" shapeId="0">
      <text>
        <r>
          <rPr>
            <b/>
            <sz val="9"/>
            <color indexed="81"/>
            <rFont val="Tahoma"/>
            <family val="2"/>
          </rPr>
          <t>Leonard Thagard:</t>
        </r>
        <r>
          <rPr>
            <sz val="9"/>
            <color indexed="81"/>
            <rFont val="Tahoma"/>
            <family val="2"/>
          </rPr>
          <t xml:space="preserve">
Includes process load.</t>
        </r>
      </text>
    </comment>
    <comment ref="AF93" authorId="0" shapeId="0">
      <text>
        <r>
          <rPr>
            <b/>
            <sz val="9"/>
            <color indexed="81"/>
            <rFont val="Tahoma"/>
            <family val="2"/>
          </rPr>
          <t>Leonard Thagard:</t>
        </r>
        <r>
          <rPr>
            <sz val="9"/>
            <color indexed="81"/>
            <rFont val="Tahoma"/>
            <family val="2"/>
          </rPr>
          <t xml:space="preserve">
Includes process load.</t>
        </r>
      </text>
    </comment>
    <comment ref="AO93" authorId="0" shapeId="0">
      <text>
        <r>
          <rPr>
            <b/>
            <sz val="9"/>
            <color indexed="81"/>
            <rFont val="Tahoma"/>
            <family val="2"/>
          </rPr>
          <t>Leonard Thagard:</t>
        </r>
        <r>
          <rPr>
            <sz val="9"/>
            <color indexed="81"/>
            <rFont val="Tahoma"/>
            <family val="2"/>
          </rPr>
          <t xml:space="preserve">
Includes cooling tower consumption.</t>
        </r>
      </text>
    </comment>
    <comment ref="AR93" authorId="0" shapeId="0">
      <text>
        <r>
          <rPr>
            <b/>
            <sz val="9"/>
            <color indexed="81"/>
            <rFont val="Tahoma"/>
            <family val="2"/>
          </rPr>
          <t>Leonard Thagard:</t>
        </r>
        <r>
          <rPr>
            <sz val="9"/>
            <color indexed="81"/>
            <rFont val="Tahoma"/>
            <family val="2"/>
          </rPr>
          <t xml:space="preserve">
Includes cooling tower consumption that is reduced due to smaller cooling load.</t>
        </r>
      </text>
    </comment>
    <comment ref="BD93" authorId="0" shapeId="0">
      <text>
        <r>
          <rPr>
            <b/>
            <sz val="9"/>
            <color indexed="81"/>
            <rFont val="Tahoma"/>
            <family val="2"/>
          </rPr>
          <t>Leonard Thagard:</t>
        </r>
        <r>
          <rPr>
            <sz val="9"/>
            <color indexed="81"/>
            <rFont val="Tahoma"/>
            <family val="2"/>
          </rPr>
          <t xml:space="preserve">
Baseline whole building estimate from LCCA.</t>
        </r>
      </text>
    </comment>
    <comment ref="BE93" authorId="0" shapeId="0">
      <text>
        <r>
          <rPr>
            <b/>
            <sz val="9"/>
            <color indexed="81"/>
            <rFont val="Tahoma"/>
            <family val="2"/>
          </rPr>
          <t>Leonard Thagard:</t>
        </r>
        <r>
          <rPr>
            <sz val="9"/>
            <color indexed="81"/>
            <rFont val="Tahoma"/>
            <family val="2"/>
          </rPr>
          <t xml:space="preserve">
Includes fee for swing space and others.</t>
        </r>
      </text>
    </comment>
    <comment ref="M94" authorId="0" shapeId="0">
      <text>
        <r>
          <rPr>
            <b/>
            <sz val="9"/>
            <color indexed="81"/>
            <rFont val="Tahoma"/>
            <family val="2"/>
          </rPr>
          <t>Leonard Thagard:</t>
        </r>
        <r>
          <rPr>
            <sz val="9"/>
            <color indexed="81"/>
            <rFont val="Tahoma"/>
            <family val="2"/>
          </rPr>
          <t xml:space="preserve">
Base bid GSF.
Alt Bid adds 4019 GSF.</t>
        </r>
      </text>
    </comment>
    <comment ref="Q94" authorId="0" shapeId="0">
      <text>
        <r>
          <rPr>
            <b/>
            <sz val="9"/>
            <color indexed="81"/>
            <rFont val="Tahoma"/>
            <family val="2"/>
          </rPr>
          <t>Leonard Thagard:</t>
        </r>
        <r>
          <rPr>
            <sz val="9"/>
            <color indexed="81"/>
            <rFont val="Tahoma"/>
            <family val="2"/>
          </rPr>
          <t xml:space="preserve">
No updates for the DD submission.</t>
        </r>
      </text>
    </comment>
    <comment ref="S94" authorId="0" shapeId="0">
      <text>
        <r>
          <rPr>
            <b/>
            <sz val="9"/>
            <color indexed="81"/>
            <rFont val="Tahoma"/>
            <family val="2"/>
          </rPr>
          <t>Leonard Thagard:</t>
        </r>
        <r>
          <rPr>
            <sz val="9"/>
            <color indexed="81"/>
            <rFont val="Tahoma"/>
            <family val="2"/>
          </rPr>
          <t xml:space="preserve">
No updates for the DD submission.</t>
        </r>
      </text>
    </comment>
    <comment ref="Q95" authorId="0" shapeId="0">
      <text>
        <r>
          <rPr>
            <b/>
            <sz val="9"/>
            <color indexed="81"/>
            <rFont val="Tahoma"/>
            <family val="2"/>
          </rPr>
          <t>Leonard Thagard:</t>
        </r>
        <r>
          <rPr>
            <sz val="9"/>
            <color indexed="81"/>
            <rFont val="Tahoma"/>
            <family val="2"/>
          </rPr>
          <t xml:space="preserve">
No data provided with SD or DD submission.</t>
        </r>
      </text>
    </comment>
    <comment ref="S95" authorId="0" shapeId="0">
      <text>
        <r>
          <rPr>
            <b/>
            <sz val="9"/>
            <color indexed="81"/>
            <rFont val="Tahoma"/>
            <family val="2"/>
          </rPr>
          <t>Leonard Thagard:</t>
        </r>
        <r>
          <rPr>
            <sz val="9"/>
            <color indexed="81"/>
            <rFont val="Tahoma"/>
            <family val="2"/>
          </rPr>
          <t xml:space="preserve">
No data provided with SD or DD submission.</t>
        </r>
      </text>
    </comment>
    <comment ref="BE96" authorId="0" shapeId="0">
      <text>
        <r>
          <rPr>
            <b/>
            <sz val="9"/>
            <color indexed="81"/>
            <rFont val="Tahoma"/>
            <family val="2"/>
          </rPr>
          <t>Leonard Thagard:</t>
        </r>
        <r>
          <rPr>
            <sz val="9"/>
            <color indexed="81"/>
            <rFont val="Tahoma"/>
            <family val="2"/>
          </rPr>
          <t xml:space="preserve">
complicated fee structure due to multiple increases in scope and square footage of project.</t>
        </r>
      </text>
    </comment>
    <comment ref="BF96" authorId="0" shapeId="0">
      <text>
        <r>
          <rPr>
            <b/>
            <sz val="9"/>
            <color indexed="81"/>
            <rFont val="Tahoma"/>
            <family val="2"/>
          </rPr>
          <t>Leonard Thagard:</t>
        </r>
        <r>
          <rPr>
            <sz val="9"/>
            <color indexed="81"/>
            <rFont val="Tahoma"/>
            <family val="2"/>
          </rPr>
          <t xml:space="preserve">
complex due to multiple increases in scope and square footage</t>
        </r>
      </text>
    </comment>
    <comment ref="BD97" authorId="0" shapeId="0">
      <text>
        <r>
          <rPr>
            <b/>
            <sz val="9"/>
            <color indexed="81"/>
            <rFont val="Tahoma"/>
            <family val="2"/>
          </rPr>
          <t>Leonard Thagard:</t>
        </r>
        <r>
          <rPr>
            <sz val="9"/>
            <color indexed="81"/>
            <rFont val="Tahoma"/>
            <family val="2"/>
          </rPr>
          <t xml:space="preserve">
assume 95% of proposed building construction estimate</t>
        </r>
      </text>
    </comment>
    <comment ref="M102" authorId="0" shapeId="0">
      <text>
        <r>
          <rPr>
            <b/>
            <sz val="9"/>
            <color indexed="81"/>
            <rFont val="Tahoma"/>
            <family val="2"/>
          </rPr>
          <t>Leonard Thagard:</t>
        </r>
        <r>
          <rPr>
            <sz val="9"/>
            <color indexed="81"/>
            <rFont val="Tahoma"/>
            <family val="2"/>
          </rPr>
          <t xml:space="preserve">
Building Area including overhang.</t>
        </r>
      </text>
    </comment>
    <comment ref="BD102" authorId="0" shapeId="0">
      <text>
        <r>
          <rPr>
            <b/>
            <sz val="9"/>
            <color indexed="81"/>
            <rFont val="Tahoma"/>
            <family val="2"/>
          </rPr>
          <t>Leonard Thagard:</t>
        </r>
        <r>
          <rPr>
            <sz val="9"/>
            <color indexed="81"/>
            <rFont val="Tahoma"/>
            <family val="2"/>
          </rPr>
          <t xml:space="preserve">
Proposed building reconciled CRM cost estimate less delta for base buillding from LCCA.</t>
        </r>
      </text>
    </comment>
    <comment ref="A104" authorId="0" shapeId="0">
      <text>
        <r>
          <rPr>
            <b/>
            <sz val="9"/>
            <color indexed="81"/>
            <rFont val="Tahoma"/>
            <family val="2"/>
          </rPr>
          <t>Leonard Thagard:</t>
        </r>
        <r>
          <rPr>
            <sz val="9"/>
            <color indexed="81"/>
            <rFont val="Tahoma"/>
            <family val="2"/>
          </rPr>
          <t xml:space="preserve">
Courtsey review only of energy model and LCCA per Greg Driver &amp; Joe Bace discussion (SCO Director &amp; AB Tech Fac/Oper Director)</t>
        </r>
      </text>
    </comment>
    <comment ref="T104" authorId="0" shapeId="0">
      <text>
        <r>
          <rPr>
            <b/>
            <sz val="9"/>
            <color indexed="81"/>
            <rFont val="Tahoma"/>
            <family val="2"/>
          </rPr>
          <t>Leonard Thagard:</t>
        </r>
        <r>
          <rPr>
            <sz val="9"/>
            <color indexed="81"/>
            <rFont val="Tahoma"/>
            <family val="2"/>
          </rPr>
          <t xml:space="preserve">
second lowest proposed EUI, second only to a warehouse/storage facility.</t>
        </r>
      </text>
    </comment>
    <comment ref="U104" authorId="0" shapeId="0">
      <text>
        <r>
          <rPr>
            <b/>
            <sz val="9"/>
            <color indexed="81"/>
            <rFont val="Tahoma"/>
            <family val="2"/>
          </rPr>
          <t>Leonard Thagard:</t>
        </r>
        <r>
          <rPr>
            <sz val="9"/>
            <color indexed="81"/>
            <rFont val="Tahoma"/>
            <family val="2"/>
          </rPr>
          <t xml:space="preserve">
Highest percentage savings to date.</t>
        </r>
      </text>
    </comment>
    <comment ref="BB107" authorId="0" shapeId="0">
      <text>
        <r>
          <rPr>
            <b/>
            <sz val="9"/>
            <color indexed="81"/>
            <rFont val="Tahoma"/>
            <family val="2"/>
          </rPr>
          <t>Leonard Thagard:</t>
        </r>
        <r>
          <rPr>
            <sz val="9"/>
            <color indexed="81"/>
            <rFont val="Tahoma"/>
            <family val="2"/>
          </rPr>
          <t xml:space="preserve">
Includes all site costs of $11,588,331.</t>
        </r>
      </text>
    </comment>
    <comment ref="BD107" authorId="0" shapeId="0">
      <text>
        <r>
          <rPr>
            <b/>
            <sz val="9"/>
            <color indexed="81"/>
            <rFont val="Tahoma"/>
            <family val="2"/>
          </rPr>
          <t>Leonard Thagard:</t>
        </r>
        <r>
          <rPr>
            <sz val="9"/>
            <color indexed="81"/>
            <rFont val="Tahoma"/>
            <family val="2"/>
          </rPr>
          <t xml:space="preserve">
Delta between proposed and baseline is $2,000,000 per AEI LCCA.</t>
        </r>
      </text>
    </comment>
    <comment ref="Q108" authorId="0" shapeId="0">
      <text>
        <r>
          <rPr>
            <b/>
            <sz val="9"/>
            <color indexed="81"/>
            <rFont val="Tahoma"/>
            <family val="2"/>
          </rPr>
          <t>Leonard Thagard:</t>
        </r>
        <r>
          <rPr>
            <sz val="9"/>
            <color indexed="81"/>
            <rFont val="Tahoma"/>
            <family val="2"/>
          </rPr>
          <t xml:space="preserve">
Plug and process has not been included.</t>
        </r>
      </text>
    </comment>
    <comment ref="S108" authorId="0" shapeId="0">
      <text>
        <r>
          <rPr>
            <b/>
            <sz val="9"/>
            <color indexed="81"/>
            <rFont val="Tahoma"/>
            <family val="2"/>
          </rPr>
          <t>Leonard Thagard:</t>
        </r>
        <r>
          <rPr>
            <sz val="9"/>
            <color indexed="81"/>
            <rFont val="Tahoma"/>
            <family val="2"/>
          </rPr>
          <t xml:space="preserve">
Plug and process has not been included.</t>
        </r>
      </text>
    </comment>
    <comment ref="AE108" authorId="0" shapeId="0">
      <text>
        <r>
          <rPr>
            <b/>
            <sz val="9"/>
            <color indexed="81"/>
            <rFont val="Tahoma"/>
            <family val="2"/>
          </rPr>
          <t>Leonard Thagard:</t>
        </r>
        <r>
          <rPr>
            <sz val="9"/>
            <color indexed="81"/>
            <rFont val="Tahoma"/>
            <family val="2"/>
          </rPr>
          <t xml:space="preserve">
Highest $/GSF to date.</t>
        </r>
      </text>
    </comment>
    <comment ref="AG108" authorId="0" shapeId="0">
      <text>
        <r>
          <rPr>
            <b/>
            <sz val="9"/>
            <color indexed="81"/>
            <rFont val="Tahoma"/>
            <family val="2"/>
          </rPr>
          <t>Leonard Thagard:</t>
        </r>
        <r>
          <rPr>
            <sz val="9"/>
            <color indexed="81"/>
            <rFont val="Tahoma"/>
            <family val="2"/>
          </rPr>
          <t xml:space="preserve">
Highest $/GSF to date.</t>
        </r>
      </text>
    </comment>
    <comment ref="BH108" authorId="0" shapeId="0">
      <text>
        <r>
          <rPr>
            <b/>
            <sz val="9"/>
            <color indexed="81"/>
            <rFont val="Tahoma"/>
            <family val="2"/>
          </rPr>
          <t>Leonard Thagard:</t>
        </r>
        <r>
          <rPr>
            <sz val="9"/>
            <color indexed="81"/>
            <rFont val="Tahoma"/>
            <family val="2"/>
          </rPr>
          <t xml:space="preserve">
$730,000 Cx reserve.  Current Cx contract is $36,940.</t>
        </r>
      </text>
    </comment>
    <comment ref="BF109" authorId="0" shapeId="0">
      <text>
        <r>
          <rPr>
            <b/>
            <sz val="9"/>
            <color indexed="81"/>
            <rFont val="Tahoma"/>
            <family val="2"/>
          </rPr>
          <t>Leonard Thagard:</t>
        </r>
        <r>
          <rPr>
            <sz val="9"/>
            <color indexed="81"/>
            <rFont val="Tahoma"/>
            <family val="2"/>
          </rPr>
          <t xml:space="preserve">
Not LEED per meeting minutes 04.09.14.</t>
        </r>
      </text>
    </comment>
    <comment ref="BH109" authorId="0" shapeId="0">
      <text>
        <r>
          <rPr>
            <b/>
            <sz val="9"/>
            <color indexed="81"/>
            <rFont val="Tahoma"/>
            <family val="2"/>
          </rPr>
          <t>Leonard Thagard:</t>
        </r>
        <r>
          <rPr>
            <sz val="9"/>
            <color indexed="81"/>
            <rFont val="Tahoma"/>
            <family val="2"/>
          </rPr>
          <t xml:space="preserve">
estimate of 0.5% of construction cost until Cx contract is complete.</t>
        </r>
      </text>
    </comment>
    <comment ref="BF110" authorId="0" shapeId="0">
      <text>
        <r>
          <rPr>
            <b/>
            <sz val="9"/>
            <color indexed="81"/>
            <rFont val="Tahoma"/>
            <family val="2"/>
          </rPr>
          <t>Leonard Thagard:</t>
        </r>
        <r>
          <rPr>
            <sz val="9"/>
            <color indexed="81"/>
            <rFont val="Tahoma"/>
            <family val="2"/>
          </rPr>
          <t xml:space="preserve">
LEED certification design &amp; documentation for $35,000.  LEED Registration for $8,500.</t>
        </r>
      </text>
    </comment>
    <comment ref="BH110" authorId="0" shapeId="0">
      <text>
        <r>
          <rPr>
            <b/>
            <sz val="9"/>
            <color indexed="81"/>
            <rFont val="Tahoma"/>
            <family val="2"/>
          </rPr>
          <t>Leonard Thagard:</t>
        </r>
        <r>
          <rPr>
            <sz val="9"/>
            <color indexed="81"/>
            <rFont val="Tahoma"/>
            <family val="2"/>
          </rPr>
          <t xml:space="preserve">
Cx reserve
</t>
        </r>
      </text>
    </comment>
    <comment ref="BH111" authorId="0" shapeId="0">
      <text>
        <r>
          <rPr>
            <b/>
            <sz val="9"/>
            <color indexed="81"/>
            <rFont val="Tahoma"/>
            <family val="2"/>
          </rPr>
          <t>Leonard Thagard:</t>
        </r>
        <r>
          <rPr>
            <sz val="9"/>
            <color indexed="81"/>
            <rFont val="Tahoma"/>
            <family val="2"/>
          </rPr>
          <t xml:space="preserve">
Cx reserve.  Design only Cx is for $44,680.</t>
        </r>
      </text>
    </comment>
    <comment ref="BD112" authorId="0" shapeId="0">
      <text>
        <r>
          <rPr>
            <b/>
            <sz val="9"/>
            <color indexed="81"/>
            <rFont val="Tahoma"/>
            <family val="2"/>
          </rPr>
          <t>Leonard Thagard:</t>
        </r>
        <r>
          <rPr>
            <sz val="9"/>
            <color indexed="81"/>
            <rFont val="Tahoma"/>
            <family val="2"/>
          </rPr>
          <t xml:space="preserve">
from page 89 of the energy model lcca report.</t>
        </r>
      </text>
    </comment>
    <comment ref="BE112" authorId="0" shapeId="0">
      <text>
        <r>
          <rPr>
            <b/>
            <sz val="9"/>
            <color indexed="81"/>
            <rFont val="Tahoma"/>
            <family val="2"/>
          </rPr>
          <t>Leonard Thagard:</t>
        </r>
        <r>
          <rPr>
            <sz val="9"/>
            <color indexed="81"/>
            <rFont val="Tahoma"/>
            <family val="2"/>
          </rPr>
          <t xml:space="preserve">
contract not signed as of 09.02.14
</t>
        </r>
      </text>
    </comment>
    <comment ref="BF112" authorId="0" shapeId="0">
      <text>
        <r>
          <rPr>
            <b/>
            <sz val="9"/>
            <color indexed="81"/>
            <rFont val="Tahoma"/>
            <family val="2"/>
          </rPr>
          <t>Leonard Thagard:</t>
        </r>
        <r>
          <rPr>
            <sz val="9"/>
            <color indexed="81"/>
            <rFont val="Tahoma"/>
            <family val="2"/>
          </rPr>
          <t xml:space="preserve">
from design contract:  $43,200 for model and $10,100 for LEED</t>
        </r>
      </text>
    </comment>
    <comment ref="BH112" authorId="0" shapeId="0">
      <text>
        <r>
          <rPr>
            <b/>
            <sz val="9"/>
            <color indexed="81"/>
            <rFont val="Tahoma"/>
            <family val="2"/>
          </rPr>
          <t>Leonard Thagard:</t>
        </r>
        <r>
          <rPr>
            <sz val="9"/>
            <color indexed="81"/>
            <rFont val="Tahoma"/>
            <family val="2"/>
          </rPr>
          <t xml:space="preserve">
Cx reserve of $250,000
</t>
        </r>
      </text>
    </comment>
    <comment ref="Q113" authorId="0" shapeId="0">
      <text>
        <r>
          <rPr>
            <b/>
            <sz val="9"/>
            <color indexed="81"/>
            <rFont val="Tahoma"/>
            <family val="2"/>
          </rPr>
          <t>Leonard Thagard:</t>
        </r>
        <r>
          <rPr>
            <sz val="9"/>
            <color indexed="81"/>
            <rFont val="Tahoma"/>
            <family val="2"/>
          </rPr>
          <t xml:space="preserve">
Includes plug and process</t>
        </r>
      </text>
    </comment>
  </commentList>
</comments>
</file>

<file path=xl/comments6.xml><?xml version="1.0" encoding="utf-8"?>
<comments xmlns="http://schemas.openxmlformats.org/spreadsheetml/2006/main">
  <authors>
    <author>Dick Kabis</author>
  </authors>
  <commentList>
    <comment ref="K628" authorId="0" shapeId="0">
      <text>
        <r>
          <rPr>
            <b/>
            <sz val="9"/>
            <color indexed="81"/>
            <rFont val="Tahoma"/>
            <family val="2"/>
          </rPr>
          <t>Feb and March bill covered both months.  Divided the use and cost evenly.</t>
        </r>
      </text>
    </comment>
    <comment ref="L628" authorId="0" shapeId="0">
      <text>
        <r>
          <rPr>
            <b/>
            <sz val="9"/>
            <color indexed="81"/>
            <rFont val="Tahoma"/>
            <family val="2"/>
          </rPr>
          <t>Feb and March bill covered both months.  Divided the use and cost evenly.</t>
        </r>
      </text>
    </comment>
    <comment ref="E838" authorId="0" shapeId="0">
      <text>
        <r>
          <rPr>
            <b/>
            <sz val="9"/>
            <color indexed="81"/>
            <rFont val="Tahoma"/>
            <family val="2"/>
          </rPr>
          <t>Averaged value for August and September</t>
        </r>
      </text>
    </comment>
  </commentList>
</comments>
</file>

<file path=xl/comments7.xml><?xml version="1.0" encoding="utf-8"?>
<comments xmlns="http://schemas.openxmlformats.org/spreadsheetml/2006/main">
  <authors>
    <author>Leonard Thagard</author>
  </authors>
  <commentList>
    <comment ref="BA4" authorId="0"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AL5" authorId="0" shapeId="0">
      <text>
        <r>
          <rPr>
            <b/>
            <sz val="9"/>
            <color indexed="81"/>
            <rFont val="Tahoma"/>
            <family val="2"/>
          </rPr>
          <t>Leonard Thagard:</t>
        </r>
        <r>
          <rPr>
            <sz val="9"/>
            <color indexed="81"/>
            <rFont val="Tahoma"/>
            <family val="2"/>
          </rPr>
          <t xml:space="preserve">
limited kitchen use and limited bathroom use.  Number is extremely low.</t>
        </r>
      </text>
    </comment>
    <comment ref="AO5" authorId="0" shapeId="0">
      <text>
        <r>
          <rPr>
            <b/>
            <sz val="9"/>
            <color indexed="81"/>
            <rFont val="Tahoma"/>
            <family val="2"/>
          </rPr>
          <t>Leonard Thagard:</t>
        </r>
        <r>
          <rPr>
            <sz val="9"/>
            <color indexed="81"/>
            <rFont val="Tahoma"/>
            <family val="2"/>
          </rPr>
          <t xml:space="preserve">
limited kitchen and bathroom use.  Number is low.</t>
        </r>
      </text>
    </comment>
    <comment ref="BA5" authorId="0"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P6" authorId="0" shapeId="0">
      <text>
        <r>
          <rPr>
            <b/>
            <sz val="9"/>
            <color indexed="81"/>
            <rFont val="Tahoma"/>
            <family val="2"/>
          </rPr>
          <t>Leonard Thagard:</t>
        </r>
        <r>
          <rPr>
            <sz val="9"/>
            <color indexed="81"/>
            <rFont val="Tahoma"/>
            <family val="2"/>
          </rPr>
          <t xml:space="preserve">
highest baseline EUI to date for all state buildings</t>
        </r>
      </text>
    </comment>
    <comment ref="R6" authorId="0" shapeId="0">
      <text>
        <r>
          <rPr>
            <b/>
            <sz val="9"/>
            <color indexed="81"/>
            <rFont val="Tahoma"/>
            <family val="2"/>
          </rPr>
          <t>Leonard Thagard:</t>
        </r>
        <r>
          <rPr>
            <sz val="9"/>
            <color indexed="81"/>
            <rFont val="Tahoma"/>
            <family val="2"/>
          </rPr>
          <t xml:space="preserve">
highest proposed EUI for state buildings to date</t>
        </r>
      </text>
    </comment>
    <comment ref="BA6" authorId="0"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BA7" authorId="0" shapeId="0">
      <text>
        <r>
          <rPr>
            <b/>
            <sz val="9"/>
            <color indexed="81"/>
            <rFont val="Tahoma"/>
            <family val="2"/>
          </rPr>
          <t>Leonard Thagard:</t>
        </r>
        <r>
          <rPr>
            <sz val="9"/>
            <color indexed="81"/>
            <rFont val="Tahoma"/>
            <family val="2"/>
          </rPr>
          <t xml:space="preserve">
Calculated from original amount construction contract less increase noted in LCCA for envelope, plumb, chillers and lights.
</t>
        </r>
      </text>
    </comment>
    <comment ref="V8" authorId="0" shapeId="0">
      <text>
        <r>
          <rPr>
            <b/>
            <sz val="9"/>
            <color indexed="81"/>
            <rFont val="Tahoma"/>
            <family val="2"/>
          </rPr>
          <t>Leonard Thagard:</t>
        </r>
        <r>
          <rPr>
            <sz val="9"/>
            <color indexed="81"/>
            <rFont val="Tahoma"/>
            <family val="2"/>
          </rPr>
          <t xml:space="preserve">
does not include steam consumption</t>
        </r>
      </text>
    </comment>
    <comment ref="BA8" authorId="0"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BC8" authorId="0" shapeId="0">
      <text>
        <r>
          <rPr>
            <b/>
            <sz val="9"/>
            <color indexed="81"/>
            <rFont val="Tahoma"/>
            <family val="2"/>
          </rPr>
          <t>Leonard Thagard:</t>
        </r>
        <r>
          <rPr>
            <sz val="9"/>
            <color indexed="81"/>
            <rFont val="Tahoma"/>
            <family val="2"/>
          </rPr>
          <t xml:space="preserve">
SB 668 at $99800 and LEED at $73700</t>
        </r>
      </text>
    </comment>
    <comment ref="BA10" authorId="0"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K11" authorId="0" shapeId="0">
      <text>
        <r>
          <rPr>
            <b/>
            <sz val="9"/>
            <color indexed="81"/>
            <rFont val="Tahoma"/>
            <family val="2"/>
          </rPr>
          <t>Leonard Thagard:</t>
        </r>
        <r>
          <rPr>
            <sz val="9"/>
            <color indexed="81"/>
            <rFont val="Tahoma"/>
            <family val="2"/>
          </rPr>
          <t xml:space="preserve">
size is for addition only</t>
        </r>
      </text>
    </comment>
    <comment ref="O11" authorId="0" shapeId="0">
      <text>
        <r>
          <rPr>
            <b/>
            <sz val="9"/>
            <color indexed="81"/>
            <rFont val="Tahoma"/>
            <family val="2"/>
          </rPr>
          <t>Leonard Thagard:</t>
        </r>
        <r>
          <rPr>
            <sz val="9"/>
            <color indexed="81"/>
            <rFont val="Tahoma"/>
            <family val="2"/>
          </rPr>
          <t xml:space="preserve">
energy use is for addition only</t>
        </r>
      </text>
    </comment>
    <comment ref="V11" authorId="0" shapeId="0">
      <text>
        <r>
          <rPr>
            <b/>
            <sz val="9"/>
            <color indexed="81"/>
            <rFont val="Tahoma"/>
            <family val="2"/>
          </rPr>
          <t>Leonard Thagard:</t>
        </r>
        <r>
          <rPr>
            <sz val="9"/>
            <color indexed="81"/>
            <rFont val="Tahoma"/>
            <family val="2"/>
          </rPr>
          <t xml:space="preserve">
metered energy use is for addition and existing building</t>
        </r>
      </text>
    </comment>
    <comment ref="W11" authorId="0" shapeId="0">
      <text>
        <r>
          <rPr>
            <b/>
            <sz val="9"/>
            <color indexed="81"/>
            <rFont val="Tahoma"/>
            <family val="2"/>
          </rPr>
          <t>Leonard Thagard:</t>
        </r>
        <r>
          <rPr>
            <sz val="9"/>
            <color indexed="81"/>
            <rFont val="Tahoma"/>
            <family val="2"/>
          </rPr>
          <t xml:space="preserve">
Metered EUI is for entire building, existing plus addition</t>
        </r>
      </text>
    </comment>
    <comment ref="AH11" authorId="0" shapeId="0">
      <text>
        <r>
          <rPr>
            <b/>
            <sz val="9"/>
            <color indexed="81"/>
            <rFont val="Tahoma"/>
            <family val="2"/>
          </rPr>
          <t>Leonard Thagard:</t>
        </r>
        <r>
          <rPr>
            <sz val="9"/>
            <color indexed="81"/>
            <rFont val="Tahoma"/>
            <family val="2"/>
          </rPr>
          <t xml:space="preserve">
$/Yr/SF is for the entire building at 66,128 gross square feet.</t>
        </r>
      </text>
    </comment>
    <comment ref="AV11" authorId="0" shapeId="0">
      <text>
        <r>
          <rPr>
            <b/>
            <sz val="9"/>
            <color indexed="81"/>
            <rFont val="Tahoma"/>
            <family val="2"/>
          </rPr>
          <t>Leonard Thagard:</t>
        </r>
        <r>
          <rPr>
            <sz val="9"/>
            <color indexed="81"/>
            <rFont val="Tahoma"/>
            <family val="2"/>
          </rPr>
          <t xml:space="preserve">
Used total building square footage at 66,128GSF.</t>
        </r>
      </text>
    </comment>
    <comment ref="BA11" authorId="0" shapeId="0">
      <text>
        <r>
          <rPr>
            <b/>
            <sz val="9"/>
            <color indexed="81"/>
            <rFont val="Tahoma"/>
            <family val="2"/>
          </rPr>
          <t>Leonard Thagard:</t>
        </r>
        <r>
          <rPr>
            <sz val="9"/>
            <color indexed="81"/>
            <rFont val="Tahoma"/>
            <family val="2"/>
          </rPr>
          <t xml:space="preserve">
Calculated from construction contract less alternates in designer's estimate.</t>
        </r>
      </text>
    </comment>
    <comment ref="AY14" authorId="0" shapeId="0">
      <text>
        <r>
          <rPr>
            <b/>
            <sz val="9"/>
            <color indexed="81"/>
            <rFont val="Tahoma"/>
            <family val="2"/>
          </rPr>
          <t>Leonard Thagard:</t>
        </r>
        <r>
          <rPr>
            <sz val="9"/>
            <color indexed="81"/>
            <rFont val="Tahoma"/>
            <family val="2"/>
          </rPr>
          <t xml:space="preserve">
Includes RUP?</t>
        </r>
      </text>
    </comment>
    <comment ref="BA14" authorId="0" shapeId="0">
      <text>
        <r>
          <rPr>
            <b/>
            <sz val="9"/>
            <color indexed="81"/>
            <rFont val="Tahoma"/>
            <family val="2"/>
          </rPr>
          <t>Leonard Thagard:</t>
        </r>
        <r>
          <rPr>
            <sz val="9"/>
            <color indexed="81"/>
            <rFont val="Tahoma"/>
            <family val="2"/>
          </rPr>
          <t xml:space="preserve">
Does not include RUP?</t>
        </r>
      </text>
    </comment>
    <comment ref="BC14" authorId="0" shapeId="0">
      <text>
        <r>
          <rPr>
            <b/>
            <sz val="9"/>
            <color indexed="81"/>
            <rFont val="Tahoma"/>
            <family val="2"/>
          </rPr>
          <t>Leonard Thagard:</t>
        </r>
        <r>
          <rPr>
            <sz val="9"/>
            <color indexed="81"/>
            <rFont val="Tahoma"/>
            <family val="2"/>
          </rPr>
          <t xml:space="preserve">
LEED fees of 180,000 plus design amend #1 for SB 668 for 41,084</t>
        </r>
      </text>
    </comment>
    <comment ref="J17" authorId="0" shapeId="0">
      <text>
        <r>
          <rPr>
            <b/>
            <sz val="9"/>
            <color indexed="81"/>
            <rFont val="Tahoma"/>
            <family val="2"/>
          </rPr>
          <t>Leonard Thagard:</t>
        </r>
        <r>
          <rPr>
            <sz val="9"/>
            <color indexed="81"/>
            <rFont val="Tahoma"/>
            <family val="2"/>
          </rPr>
          <t xml:space="preserve">
One model performed and applied to seven bldgs</t>
        </r>
      </text>
    </comment>
    <comment ref="K17" authorId="0" shapeId="0">
      <text>
        <r>
          <rPr>
            <b/>
            <sz val="9"/>
            <color indexed="81"/>
            <rFont val="Tahoma"/>
            <family val="2"/>
          </rPr>
          <t>Leonard Thagard:</t>
        </r>
        <r>
          <rPr>
            <sz val="9"/>
            <color indexed="81"/>
            <rFont val="Tahoma"/>
            <family val="2"/>
          </rPr>
          <t xml:space="preserve">
One model performed and applied to seven bldgs.</t>
        </r>
      </text>
    </comment>
    <comment ref="O17" authorId="0" shapeId="0">
      <text>
        <r>
          <rPr>
            <b/>
            <sz val="9"/>
            <color indexed="81"/>
            <rFont val="Tahoma"/>
            <family val="2"/>
          </rPr>
          <t>Leonard Thagard:</t>
        </r>
        <r>
          <rPr>
            <sz val="9"/>
            <color indexed="81"/>
            <rFont val="Tahoma"/>
            <family val="2"/>
          </rPr>
          <t xml:space="preserve">
One model performed and applied to seven bldgs</t>
        </r>
      </text>
    </comment>
    <comment ref="AY17" authorId="0" shapeId="0">
      <text>
        <r>
          <rPr>
            <b/>
            <sz val="9"/>
            <color indexed="81"/>
            <rFont val="Tahoma"/>
            <family val="2"/>
          </rPr>
          <t>Leonard Thagard:</t>
        </r>
        <r>
          <rPr>
            <sz val="9"/>
            <color indexed="81"/>
            <rFont val="Tahoma"/>
            <family val="2"/>
          </rPr>
          <t xml:space="preserve">
Original Amount Construction Contract divided by 7 buildings.</t>
        </r>
      </text>
    </comment>
    <comment ref="BB17" authorId="0" shapeId="0">
      <text>
        <r>
          <rPr>
            <b/>
            <sz val="9"/>
            <color indexed="81"/>
            <rFont val="Tahoma"/>
            <family val="2"/>
          </rPr>
          <t>Leonard Thagard:</t>
        </r>
        <r>
          <rPr>
            <sz val="9"/>
            <color indexed="81"/>
            <rFont val="Tahoma"/>
            <family val="2"/>
          </rPr>
          <t xml:space="preserve">
Original Total Design Fee divided by 7 buildings.</t>
        </r>
      </text>
    </comment>
    <comment ref="BC17" authorId="0" shapeId="0">
      <text>
        <r>
          <rPr>
            <b/>
            <sz val="9"/>
            <color indexed="81"/>
            <rFont val="Tahoma"/>
            <family val="2"/>
          </rPr>
          <t>Leonard Thagard:</t>
        </r>
        <r>
          <rPr>
            <sz val="9"/>
            <color indexed="81"/>
            <rFont val="Tahoma"/>
            <family val="2"/>
          </rPr>
          <t xml:space="preserve">
LEED or SB 668 fee divided by 7 buildings.</t>
        </r>
      </text>
    </comment>
    <comment ref="BE17" authorId="0" shapeId="0">
      <text>
        <r>
          <rPr>
            <b/>
            <sz val="9"/>
            <color indexed="81"/>
            <rFont val="Tahoma"/>
            <family val="2"/>
          </rPr>
          <t>Leonard Thagard:</t>
        </r>
        <r>
          <rPr>
            <sz val="9"/>
            <color indexed="81"/>
            <rFont val="Tahoma"/>
            <family val="2"/>
          </rPr>
          <t xml:space="preserve">
Cx fee divided by 7 buildings.</t>
        </r>
      </text>
    </comment>
    <comment ref="J18" authorId="0" shapeId="0">
      <text>
        <r>
          <rPr>
            <b/>
            <sz val="9"/>
            <color indexed="81"/>
            <rFont val="Tahoma"/>
            <family val="2"/>
          </rPr>
          <t>Leonard Thagard:</t>
        </r>
        <r>
          <rPr>
            <sz val="9"/>
            <color indexed="81"/>
            <rFont val="Tahoma"/>
            <family val="2"/>
          </rPr>
          <t xml:space="preserve">
One model performed and applied to seven bldgs</t>
        </r>
      </text>
    </comment>
    <comment ref="K18" authorId="0" shapeId="0">
      <text>
        <r>
          <rPr>
            <b/>
            <sz val="9"/>
            <color indexed="81"/>
            <rFont val="Tahoma"/>
            <family val="2"/>
          </rPr>
          <t>Leonard Thagard:</t>
        </r>
        <r>
          <rPr>
            <sz val="9"/>
            <color indexed="81"/>
            <rFont val="Tahoma"/>
            <family val="2"/>
          </rPr>
          <t xml:space="preserve">
One model performed and applied to seven bldgs.</t>
        </r>
      </text>
    </comment>
    <comment ref="O18" authorId="0" shapeId="0">
      <text>
        <r>
          <rPr>
            <b/>
            <sz val="9"/>
            <color indexed="81"/>
            <rFont val="Tahoma"/>
            <family val="2"/>
          </rPr>
          <t>Leonard Thagard:</t>
        </r>
        <r>
          <rPr>
            <sz val="9"/>
            <color indexed="81"/>
            <rFont val="Tahoma"/>
            <family val="2"/>
          </rPr>
          <t xml:space="preserve">
One model performed and applied to seven bldgs</t>
        </r>
      </text>
    </comment>
    <comment ref="AY18" authorId="0" shapeId="0">
      <text>
        <r>
          <rPr>
            <b/>
            <sz val="9"/>
            <color indexed="81"/>
            <rFont val="Tahoma"/>
            <family val="2"/>
          </rPr>
          <t>Leonard Thagard:</t>
        </r>
        <r>
          <rPr>
            <sz val="9"/>
            <color indexed="81"/>
            <rFont val="Tahoma"/>
            <family val="2"/>
          </rPr>
          <t xml:space="preserve">
Original Amount Construction Contract divided by 7 buildings.</t>
        </r>
      </text>
    </comment>
    <comment ref="BB18" authorId="0" shapeId="0">
      <text>
        <r>
          <rPr>
            <b/>
            <sz val="9"/>
            <color indexed="81"/>
            <rFont val="Tahoma"/>
            <family val="2"/>
          </rPr>
          <t>Leonard Thagard:</t>
        </r>
        <r>
          <rPr>
            <sz val="9"/>
            <color indexed="81"/>
            <rFont val="Tahoma"/>
            <family val="2"/>
          </rPr>
          <t xml:space="preserve">
Original Total Design Fee divided by 7 buildings.</t>
        </r>
      </text>
    </comment>
    <comment ref="BC18" authorId="0" shapeId="0">
      <text>
        <r>
          <rPr>
            <b/>
            <sz val="9"/>
            <color indexed="81"/>
            <rFont val="Tahoma"/>
            <family val="2"/>
          </rPr>
          <t>Leonard Thagard:</t>
        </r>
        <r>
          <rPr>
            <sz val="9"/>
            <color indexed="81"/>
            <rFont val="Tahoma"/>
            <family val="2"/>
          </rPr>
          <t xml:space="preserve">
LEED or SB 668 fee divided by 7 buildings.</t>
        </r>
      </text>
    </comment>
    <comment ref="BE18" authorId="0" shapeId="0">
      <text>
        <r>
          <rPr>
            <b/>
            <sz val="9"/>
            <color indexed="81"/>
            <rFont val="Tahoma"/>
            <family val="2"/>
          </rPr>
          <t>Leonard Thagard:</t>
        </r>
        <r>
          <rPr>
            <sz val="9"/>
            <color indexed="81"/>
            <rFont val="Tahoma"/>
            <family val="2"/>
          </rPr>
          <t xml:space="preserve">
Cx fee divided by 7 buildings.</t>
        </r>
      </text>
    </comment>
    <comment ref="J19" authorId="0" shapeId="0">
      <text>
        <r>
          <rPr>
            <b/>
            <sz val="9"/>
            <color indexed="81"/>
            <rFont val="Tahoma"/>
            <family val="2"/>
          </rPr>
          <t>Leonard Thagard:</t>
        </r>
        <r>
          <rPr>
            <sz val="9"/>
            <color indexed="81"/>
            <rFont val="Tahoma"/>
            <family val="2"/>
          </rPr>
          <t xml:space="preserve">
One model performed and applied to seven bldgs</t>
        </r>
      </text>
    </comment>
    <comment ref="K19" authorId="0" shapeId="0">
      <text>
        <r>
          <rPr>
            <b/>
            <sz val="9"/>
            <color indexed="81"/>
            <rFont val="Tahoma"/>
            <family val="2"/>
          </rPr>
          <t>Leonard Thagard:</t>
        </r>
        <r>
          <rPr>
            <sz val="9"/>
            <color indexed="81"/>
            <rFont val="Tahoma"/>
            <family val="2"/>
          </rPr>
          <t xml:space="preserve">
One model performed and applied to seven bldgs.</t>
        </r>
      </text>
    </comment>
    <comment ref="O19" authorId="0" shapeId="0">
      <text>
        <r>
          <rPr>
            <b/>
            <sz val="9"/>
            <color indexed="81"/>
            <rFont val="Tahoma"/>
            <family val="2"/>
          </rPr>
          <t>Leonard Thagard:</t>
        </r>
        <r>
          <rPr>
            <sz val="9"/>
            <color indexed="81"/>
            <rFont val="Tahoma"/>
            <family val="2"/>
          </rPr>
          <t xml:space="preserve">
One model performed and applied to seven bldgs</t>
        </r>
      </text>
    </comment>
    <comment ref="AY19" authorId="0" shapeId="0">
      <text>
        <r>
          <rPr>
            <b/>
            <sz val="9"/>
            <color indexed="81"/>
            <rFont val="Tahoma"/>
            <family val="2"/>
          </rPr>
          <t>Leonard Thagard:</t>
        </r>
        <r>
          <rPr>
            <sz val="9"/>
            <color indexed="81"/>
            <rFont val="Tahoma"/>
            <family val="2"/>
          </rPr>
          <t xml:space="preserve">
Original Amount Construction Contract divided by 7 buildings.</t>
        </r>
      </text>
    </comment>
    <comment ref="BB19" authorId="0" shapeId="0">
      <text>
        <r>
          <rPr>
            <b/>
            <sz val="9"/>
            <color indexed="81"/>
            <rFont val="Tahoma"/>
            <family val="2"/>
          </rPr>
          <t>Leonard Thagard:</t>
        </r>
        <r>
          <rPr>
            <sz val="9"/>
            <color indexed="81"/>
            <rFont val="Tahoma"/>
            <family val="2"/>
          </rPr>
          <t xml:space="preserve">
Original Total Design Fee divided by 7 buildings.</t>
        </r>
      </text>
    </comment>
    <comment ref="BC19" authorId="0" shapeId="0">
      <text>
        <r>
          <rPr>
            <b/>
            <sz val="9"/>
            <color indexed="81"/>
            <rFont val="Tahoma"/>
            <family val="2"/>
          </rPr>
          <t>Leonard Thagard:</t>
        </r>
        <r>
          <rPr>
            <sz val="9"/>
            <color indexed="81"/>
            <rFont val="Tahoma"/>
            <family val="2"/>
          </rPr>
          <t xml:space="preserve">
LEED or SB 668 fee divided by 7 buildings.</t>
        </r>
      </text>
    </comment>
    <comment ref="BE19" authorId="0" shapeId="0">
      <text>
        <r>
          <rPr>
            <b/>
            <sz val="9"/>
            <color indexed="81"/>
            <rFont val="Tahoma"/>
            <family val="2"/>
          </rPr>
          <t>Leonard Thagard:</t>
        </r>
        <r>
          <rPr>
            <sz val="9"/>
            <color indexed="81"/>
            <rFont val="Tahoma"/>
            <family val="2"/>
          </rPr>
          <t xml:space="preserve">
Cx fee divided by 7 buildings.</t>
        </r>
      </text>
    </comment>
    <comment ref="J20" authorId="0" shapeId="0">
      <text>
        <r>
          <rPr>
            <b/>
            <sz val="9"/>
            <color indexed="81"/>
            <rFont val="Tahoma"/>
            <family val="2"/>
          </rPr>
          <t>Leonard Thagard:</t>
        </r>
        <r>
          <rPr>
            <sz val="9"/>
            <color indexed="81"/>
            <rFont val="Tahoma"/>
            <family val="2"/>
          </rPr>
          <t xml:space="preserve">
One model performed and applied to seven bldgs</t>
        </r>
      </text>
    </comment>
    <comment ref="K20" authorId="0" shapeId="0">
      <text>
        <r>
          <rPr>
            <b/>
            <sz val="9"/>
            <color indexed="81"/>
            <rFont val="Tahoma"/>
            <family val="2"/>
          </rPr>
          <t>Leonard Thagard:</t>
        </r>
        <r>
          <rPr>
            <sz val="9"/>
            <color indexed="81"/>
            <rFont val="Tahoma"/>
            <family val="2"/>
          </rPr>
          <t xml:space="preserve">
One model performed and applied to seven bldgs.</t>
        </r>
      </text>
    </comment>
    <comment ref="O20" authorId="0" shapeId="0">
      <text>
        <r>
          <rPr>
            <b/>
            <sz val="9"/>
            <color indexed="81"/>
            <rFont val="Tahoma"/>
            <family val="2"/>
          </rPr>
          <t>Leonard Thagard:</t>
        </r>
        <r>
          <rPr>
            <sz val="9"/>
            <color indexed="81"/>
            <rFont val="Tahoma"/>
            <family val="2"/>
          </rPr>
          <t xml:space="preserve">
One model performed and applied to seven bldgs</t>
        </r>
      </text>
    </comment>
    <comment ref="AY20" authorId="0" shapeId="0">
      <text>
        <r>
          <rPr>
            <b/>
            <sz val="9"/>
            <color indexed="81"/>
            <rFont val="Tahoma"/>
            <family val="2"/>
          </rPr>
          <t>Leonard Thagard:</t>
        </r>
        <r>
          <rPr>
            <sz val="9"/>
            <color indexed="81"/>
            <rFont val="Tahoma"/>
            <family val="2"/>
          </rPr>
          <t xml:space="preserve">
Original Amount Construction Contract divided by 7 buildings.</t>
        </r>
      </text>
    </comment>
    <comment ref="BB20" authorId="0" shapeId="0">
      <text>
        <r>
          <rPr>
            <b/>
            <sz val="9"/>
            <color indexed="81"/>
            <rFont val="Tahoma"/>
            <family val="2"/>
          </rPr>
          <t>Leonard Thagard:</t>
        </r>
        <r>
          <rPr>
            <sz val="9"/>
            <color indexed="81"/>
            <rFont val="Tahoma"/>
            <family val="2"/>
          </rPr>
          <t xml:space="preserve">
Original Total Design Fee divided by 7 buildings.</t>
        </r>
      </text>
    </comment>
    <comment ref="BC20" authorId="0" shapeId="0">
      <text>
        <r>
          <rPr>
            <b/>
            <sz val="9"/>
            <color indexed="81"/>
            <rFont val="Tahoma"/>
            <family val="2"/>
          </rPr>
          <t>Leonard Thagard:</t>
        </r>
        <r>
          <rPr>
            <sz val="9"/>
            <color indexed="81"/>
            <rFont val="Tahoma"/>
            <family val="2"/>
          </rPr>
          <t xml:space="preserve">
LEED or SB 668 fee divided by 7 buildings.</t>
        </r>
      </text>
    </comment>
    <comment ref="BE20" authorId="0" shapeId="0">
      <text>
        <r>
          <rPr>
            <b/>
            <sz val="9"/>
            <color indexed="81"/>
            <rFont val="Tahoma"/>
            <family val="2"/>
          </rPr>
          <t>Leonard Thagard:</t>
        </r>
        <r>
          <rPr>
            <sz val="9"/>
            <color indexed="81"/>
            <rFont val="Tahoma"/>
            <family val="2"/>
          </rPr>
          <t xml:space="preserve">
Cx fee divided by 7 buildings.</t>
        </r>
      </text>
    </comment>
    <comment ref="J21" authorId="0" shapeId="0">
      <text>
        <r>
          <rPr>
            <b/>
            <sz val="9"/>
            <color indexed="81"/>
            <rFont val="Tahoma"/>
            <family val="2"/>
          </rPr>
          <t>Leonard Thagard:</t>
        </r>
        <r>
          <rPr>
            <sz val="9"/>
            <color indexed="81"/>
            <rFont val="Tahoma"/>
            <family val="2"/>
          </rPr>
          <t xml:space="preserve">
One model performed and applied to seven bldgs</t>
        </r>
      </text>
    </comment>
    <comment ref="K21" authorId="0" shapeId="0">
      <text>
        <r>
          <rPr>
            <b/>
            <sz val="9"/>
            <color indexed="81"/>
            <rFont val="Tahoma"/>
            <family val="2"/>
          </rPr>
          <t>Leonard Thagard:</t>
        </r>
        <r>
          <rPr>
            <sz val="9"/>
            <color indexed="81"/>
            <rFont val="Tahoma"/>
            <family val="2"/>
          </rPr>
          <t xml:space="preserve">
One model performed and applied to seven bldgs.</t>
        </r>
      </text>
    </comment>
    <comment ref="O21" authorId="0" shapeId="0">
      <text>
        <r>
          <rPr>
            <b/>
            <sz val="9"/>
            <color indexed="81"/>
            <rFont val="Tahoma"/>
            <family val="2"/>
          </rPr>
          <t>Leonard Thagard:</t>
        </r>
        <r>
          <rPr>
            <sz val="9"/>
            <color indexed="81"/>
            <rFont val="Tahoma"/>
            <family val="2"/>
          </rPr>
          <t xml:space="preserve">
One model performed and applied to seven bldgs</t>
        </r>
      </text>
    </comment>
    <comment ref="AY21" authorId="0" shapeId="0">
      <text>
        <r>
          <rPr>
            <b/>
            <sz val="9"/>
            <color indexed="81"/>
            <rFont val="Tahoma"/>
            <family val="2"/>
          </rPr>
          <t>Leonard Thagard:</t>
        </r>
        <r>
          <rPr>
            <sz val="9"/>
            <color indexed="81"/>
            <rFont val="Tahoma"/>
            <family val="2"/>
          </rPr>
          <t xml:space="preserve">
Original Amount Construction Contract divided by 7 buildings.</t>
        </r>
      </text>
    </comment>
    <comment ref="BB21" authorId="0" shapeId="0">
      <text>
        <r>
          <rPr>
            <b/>
            <sz val="9"/>
            <color indexed="81"/>
            <rFont val="Tahoma"/>
            <family val="2"/>
          </rPr>
          <t>Leonard Thagard:</t>
        </r>
        <r>
          <rPr>
            <sz val="9"/>
            <color indexed="81"/>
            <rFont val="Tahoma"/>
            <family val="2"/>
          </rPr>
          <t xml:space="preserve">
Original Total Design Fee divided by 7 buildings.</t>
        </r>
      </text>
    </comment>
    <comment ref="BC21" authorId="0" shapeId="0">
      <text>
        <r>
          <rPr>
            <b/>
            <sz val="9"/>
            <color indexed="81"/>
            <rFont val="Tahoma"/>
            <family val="2"/>
          </rPr>
          <t>Leonard Thagard:</t>
        </r>
        <r>
          <rPr>
            <sz val="9"/>
            <color indexed="81"/>
            <rFont val="Tahoma"/>
            <family val="2"/>
          </rPr>
          <t xml:space="preserve">
LEED or SB 668 fee divided by 7 buildings.</t>
        </r>
      </text>
    </comment>
    <comment ref="BE21" authorId="0" shapeId="0">
      <text>
        <r>
          <rPr>
            <b/>
            <sz val="9"/>
            <color indexed="81"/>
            <rFont val="Tahoma"/>
            <family val="2"/>
          </rPr>
          <t>Leonard Thagard:</t>
        </r>
        <r>
          <rPr>
            <sz val="9"/>
            <color indexed="81"/>
            <rFont val="Tahoma"/>
            <family val="2"/>
          </rPr>
          <t xml:space="preserve">
Cx fee divided by 7 buildings.</t>
        </r>
      </text>
    </comment>
    <comment ref="J22" authorId="0" shapeId="0">
      <text>
        <r>
          <rPr>
            <b/>
            <sz val="9"/>
            <color indexed="81"/>
            <rFont val="Tahoma"/>
            <family val="2"/>
          </rPr>
          <t>Leonard Thagard:</t>
        </r>
        <r>
          <rPr>
            <sz val="9"/>
            <color indexed="81"/>
            <rFont val="Tahoma"/>
            <family val="2"/>
          </rPr>
          <t xml:space="preserve">
One model performed and applied to seven bldgs</t>
        </r>
      </text>
    </comment>
    <comment ref="K22" authorId="0" shapeId="0">
      <text>
        <r>
          <rPr>
            <b/>
            <sz val="9"/>
            <color indexed="81"/>
            <rFont val="Tahoma"/>
            <family val="2"/>
          </rPr>
          <t>Leonard Thagard:</t>
        </r>
        <r>
          <rPr>
            <sz val="9"/>
            <color indexed="81"/>
            <rFont val="Tahoma"/>
            <family val="2"/>
          </rPr>
          <t xml:space="preserve">
One model performed and applied to seven bldgs.</t>
        </r>
      </text>
    </comment>
    <comment ref="O22" authorId="0" shapeId="0">
      <text>
        <r>
          <rPr>
            <b/>
            <sz val="9"/>
            <color indexed="81"/>
            <rFont val="Tahoma"/>
            <family val="2"/>
          </rPr>
          <t>Leonard Thagard:</t>
        </r>
        <r>
          <rPr>
            <sz val="9"/>
            <color indexed="81"/>
            <rFont val="Tahoma"/>
            <family val="2"/>
          </rPr>
          <t xml:space="preserve">
One model performed and applied to seven bldgs</t>
        </r>
      </text>
    </comment>
    <comment ref="AY22" authorId="0" shapeId="0">
      <text>
        <r>
          <rPr>
            <b/>
            <sz val="9"/>
            <color indexed="81"/>
            <rFont val="Tahoma"/>
            <family val="2"/>
          </rPr>
          <t>Leonard Thagard:</t>
        </r>
        <r>
          <rPr>
            <sz val="9"/>
            <color indexed="81"/>
            <rFont val="Tahoma"/>
            <family val="2"/>
          </rPr>
          <t xml:space="preserve">
Original Amount Construction Contract divided by 7 buildings.</t>
        </r>
      </text>
    </comment>
    <comment ref="BB22" authorId="0" shapeId="0">
      <text>
        <r>
          <rPr>
            <b/>
            <sz val="9"/>
            <color indexed="81"/>
            <rFont val="Tahoma"/>
            <family val="2"/>
          </rPr>
          <t>Leonard Thagard:</t>
        </r>
        <r>
          <rPr>
            <sz val="9"/>
            <color indexed="81"/>
            <rFont val="Tahoma"/>
            <family val="2"/>
          </rPr>
          <t xml:space="preserve">
Original Total Design Fee divided by 7 buildings.</t>
        </r>
      </text>
    </comment>
    <comment ref="BC22" authorId="0" shapeId="0">
      <text>
        <r>
          <rPr>
            <b/>
            <sz val="9"/>
            <color indexed="81"/>
            <rFont val="Tahoma"/>
            <family val="2"/>
          </rPr>
          <t>Leonard Thagard:</t>
        </r>
        <r>
          <rPr>
            <sz val="9"/>
            <color indexed="81"/>
            <rFont val="Tahoma"/>
            <family val="2"/>
          </rPr>
          <t xml:space="preserve">
LEED or SB 668 fee divided by 7 buildings.</t>
        </r>
      </text>
    </comment>
    <comment ref="BE22" authorId="0" shapeId="0">
      <text>
        <r>
          <rPr>
            <b/>
            <sz val="9"/>
            <color indexed="81"/>
            <rFont val="Tahoma"/>
            <family val="2"/>
          </rPr>
          <t>Leonard Thagard:</t>
        </r>
        <r>
          <rPr>
            <sz val="9"/>
            <color indexed="81"/>
            <rFont val="Tahoma"/>
            <family val="2"/>
          </rPr>
          <t xml:space="preserve">
Cx fee divided by 7 buildings.</t>
        </r>
      </text>
    </comment>
    <comment ref="J23" authorId="0" shapeId="0">
      <text>
        <r>
          <rPr>
            <b/>
            <sz val="9"/>
            <color indexed="81"/>
            <rFont val="Tahoma"/>
            <family val="2"/>
          </rPr>
          <t>Leonard Thagard:</t>
        </r>
        <r>
          <rPr>
            <sz val="9"/>
            <color indexed="81"/>
            <rFont val="Tahoma"/>
            <family val="2"/>
          </rPr>
          <t xml:space="preserve">
One model performed and applied to seven bldgs</t>
        </r>
      </text>
    </comment>
    <comment ref="K23" authorId="0" shapeId="0">
      <text>
        <r>
          <rPr>
            <b/>
            <sz val="9"/>
            <color indexed="81"/>
            <rFont val="Tahoma"/>
            <family val="2"/>
          </rPr>
          <t>Leonard Thagard:</t>
        </r>
        <r>
          <rPr>
            <sz val="9"/>
            <color indexed="81"/>
            <rFont val="Tahoma"/>
            <family val="2"/>
          </rPr>
          <t xml:space="preserve">
One model performed and applied to seven bldgs.</t>
        </r>
      </text>
    </comment>
    <comment ref="O23" authorId="0" shapeId="0">
      <text>
        <r>
          <rPr>
            <b/>
            <sz val="9"/>
            <color indexed="81"/>
            <rFont val="Tahoma"/>
            <family val="2"/>
          </rPr>
          <t>Leonard Thagard:</t>
        </r>
        <r>
          <rPr>
            <sz val="9"/>
            <color indexed="81"/>
            <rFont val="Tahoma"/>
            <family val="2"/>
          </rPr>
          <t xml:space="preserve">
One model performed and applied to seven bldgs</t>
        </r>
      </text>
    </comment>
    <comment ref="AY23" authorId="0" shapeId="0">
      <text>
        <r>
          <rPr>
            <b/>
            <sz val="9"/>
            <color indexed="81"/>
            <rFont val="Tahoma"/>
            <family val="2"/>
          </rPr>
          <t>Leonard Thagard:</t>
        </r>
        <r>
          <rPr>
            <sz val="9"/>
            <color indexed="81"/>
            <rFont val="Tahoma"/>
            <family val="2"/>
          </rPr>
          <t xml:space="preserve">
Original Amount Construction Contract divided by 7 buildings.</t>
        </r>
      </text>
    </comment>
    <comment ref="BB23" authorId="0" shapeId="0">
      <text>
        <r>
          <rPr>
            <b/>
            <sz val="9"/>
            <color indexed="81"/>
            <rFont val="Tahoma"/>
            <family val="2"/>
          </rPr>
          <t>Leonard Thagard:</t>
        </r>
        <r>
          <rPr>
            <sz val="9"/>
            <color indexed="81"/>
            <rFont val="Tahoma"/>
            <family val="2"/>
          </rPr>
          <t xml:space="preserve">
Original Total Design Fee divided by 7 buildings.</t>
        </r>
      </text>
    </comment>
    <comment ref="BC23" authorId="0" shapeId="0">
      <text>
        <r>
          <rPr>
            <b/>
            <sz val="9"/>
            <color indexed="81"/>
            <rFont val="Tahoma"/>
            <family val="2"/>
          </rPr>
          <t>Leonard Thagard:</t>
        </r>
        <r>
          <rPr>
            <sz val="9"/>
            <color indexed="81"/>
            <rFont val="Tahoma"/>
            <family val="2"/>
          </rPr>
          <t xml:space="preserve">
LEED or SB 668 fee divided by 7 buildings.</t>
        </r>
      </text>
    </comment>
    <comment ref="BE23" authorId="0" shapeId="0">
      <text>
        <r>
          <rPr>
            <b/>
            <sz val="9"/>
            <color indexed="81"/>
            <rFont val="Tahoma"/>
            <family val="2"/>
          </rPr>
          <t>Leonard Thagard:</t>
        </r>
        <r>
          <rPr>
            <sz val="9"/>
            <color indexed="81"/>
            <rFont val="Tahoma"/>
            <family val="2"/>
          </rPr>
          <t xml:space="preserve">
Cx fee divided by 7 buildings.</t>
        </r>
      </text>
    </comment>
    <comment ref="BC25" authorId="0" shapeId="0">
      <text>
        <r>
          <rPr>
            <b/>
            <sz val="9"/>
            <color indexed="81"/>
            <rFont val="Tahoma"/>
            <family val="2"/>
          </rPr>
          <t>Leonard Thagard:</t>
        </r>
        <r>
          <rPr>
            <sz val="9"/>
            <color indexed="81"/>
            <rFont val="Tahoma"/>
            <family val="2"/>
          </rPr>
          <t xml:space="preserve">
LEED services added as design amendment.  Add to OTDF.
</t>
        </r>
      </text>
    </comment>
    <comment ref="V26" authorId="0" shapeId="0">
      <text>
        <r>
          <rPr>
            <b/>
            <sz val="9"/>
            <color indexed="81"/>
            <rFont val="Tahoma"/>
            <family val="2"/>
          </rPr>
          <t>Leonard Thagard:</t>
        </r>
        <r>
          <rPr>
            <sz val="9"/>
            <color indexed="81"/>
            <rFont val="Tahoma"/>
            <family val="2"/>
          </rPr>
          <t xml:space="preserve">
energy data provided by Optima Engineering</t>
        </r>
      </text>
    </comment>
    <comment ref="BB28" authorId="0" shapeId="0">
      <text>
        <r>
          <rPr>
            <b/>
            <sz val="9"/>
            <color indexed="81"/>
            <rFont val="Tahoma"/>
            <family val="2"/>
          </rPr>
          <t>Leonard Thagard:</t>
        </r>
        <r>
          <rPr>
            <sz val="9"/>
            <color indexed="81"/>
            <rFont val="Tahoma"/>
            <family val="2"/>
          </rPr>
          <t xml:space="preserve">
Combined design fee for original building design and revised building design.</t>
        </r>
      </text>
    </comment>
    <comment ref="BC29" authorId="0" shapeId="0">
      <text>
        <r>
          <rPr>
            <b/>
            <sz val="9"/>
            <color indexed="81"/>
            <rFont val="Tahoma"/>
            <family val="2"/>
          </rPr>
          <t>Leonard Thagard:</t>
        </r>
        <r>
          <rPr>
            <sz val="9"/>
            <color indexed="81"/>
            <rFont val="Tahoma"/>
            <family val="2"/>
          </rPr>
          <t xml:space="preserve">
SB 668 at 17520 and LEED at 139300</t>
        </r>
      </text>
    </comment>
    <comment ref="AY33" authorId="0" shapeId="0">
      <text>
        <r>
          <rPr>
            <b/>
            <sz val="9"/>
            <color indexed="81"/>
            <rFont val="Tahoma"/>
            <family val="2"/>
          </rPr>
          <t>Leonard Thagard:</t>
        </r>
        <r>
          <rPr>
            <sz val="9"/>
            <color indexed="81"/>
            <rFont val="Tahoma"/>
            <family val="2"/>
          </rPr>
          <t xml:space="preserve">
CMR bid packages, NCSU utility assessment, parking deck assessment, etc. make bid amount difficult to accurately calculate.</t>
        </r>
      </text>
    </comment>
    <comment ref="AY34" authorId="0" shapeId="0">
      <text>
        <r>
          <rPr>
            <b/>
            <sz val="9"/>
            <color indexed="81"/>
            <rFont val="Tahoma"/>
            <family val="2"/>
          </rPr>
          <t>Leonard Thagard:</t>
        </r>
        <r>
          <rPr>
            <sz val="9"/>
            <color indexed="81"/>
            <rFont val="Tahoma"/>
            <family val="2"/>
          </rPr>
          <t xml:space="preserve">
Amount is for entire football complex.</t>
        </r>
      </text>
    </comment>
    <comment ref="AZ34" authorId="0" shapeId="0">
      <text>
        <r>
          <rPr>
            <b/>
            <sz val="9"/>
            <color indexed="81"/>
            <rFont val="Tahoma"/>
            <family val="2"/>
          </rPr>
          <t>Leonard Thagard:</t>
        </r>
        <r>
          <rPr>
            <sz val="9"/>
            <color indexed="81"/>
            <rFont val="Tahoma"/>
            <family val="2"/>
          </rPr>
          <t xml:space="preserve">
Error in calculation due to entire football complex in one bid package.  Building was not broken out.</t>
        </r>
      </text>
    </comment>
    <comment ref="BB34" authorId="0" shapeId="0">
      <text>
        <r>
          <rPr>
            <b/>
            <sz val="9"/>
            <color indexed="81"/>
            <rFont val="Tahoma"/>
            <family val="2"/>
          </rPr>
          <t>Leonard Thagard:</t>
        </r>
        <r>
          <rPr>
            <sz val="9"/>
            <color indexed="81"/>
            <rFont val="Tahoma"/>
            <family val="2"/>
          </rPr>
          <t xml:space="preserve">
Fee includes design for complete football stadium complex.</t>
        </r>
      </text>
    </comment>
    <comment ref="W37" authorId="0" shapeId="0">
      <text>
        <r>
          <rPr>
            <b/>
            <sz val="9"/>
            <color indexed="81"/>
            <rFont val="Tahoma"/>
            <family val="2"/>
          </rPr>
          <t>Leonard Thagard:</t>
        </r>
        <r>
          <rPr>
            <sz val="9"/>
            <color indexed="81"/>
            <rFont val="Tahoma"/>
            <family val="2"/>
          </rPr>
          <t xml:space="preserve">
EUI for addition plus existing building.</t>
        </r>
      </text>
    </comment>
    <comment ref="AH37" authorId="0" shapeId="0">
      <text>
        <r>
          <rPr>
            <b/>
            <sz val="9"/>
            <color indexed="81"/>
            <rFont val="Tahoma"/>
            <family val="2"/>
          </rPr>
          <t>Leonard Thagard:</t>
        </r>
        <r>
          <rPr>
            <sz val="9"/>
            <color indexed="81"/>
            <rFont val="Tahoma"/>
            <family val="2"/>
          </rPr>
          <t xml:space="preserve">
$/GSF is for addition plus existing building.</t>
        </r>
      </text>
    </comment>
    <comment ref="AV37" authorId="0" shapeId="0">
      <text>
        <r>
          <rPr>
            <b/>
            <sz val="9"/>
            <color indexed="81"/>
            <rFont val="Tahoma"/>
            <family val="2"/>
          </rPr>
          <t>Leonard Thagard:</t>
        </r>
        <r>
          <rPr>
            <sz val="9"/>
            <color indexed="81"/>
            <rFont val="Tahoma"/>
            <family val="2"/>
          </rPr>
          <t xml:space="preserve">
Gallons/GSF is for addition plus the existing building.</t>
        </r>
      </text>
    </comment>
    <comment ref="AY37" authorId="0" shapeId="0">
      <text>
        <r>
          <rPr>
            <b/>
            <sz val="9"/>
            <color indexed="81"/>
            <rFont val="Tahoma"/>
            <family val="2"/>
          </rPr>
          <t>Leonard Thagard:</t>
        </r>
        <r>
          <rPr>
            <sz val="9"/>
            <color indexed="81"/>
            <rFont val="Tahoma"/>
            <family val="2"/>
          </rPr>
          <t xml:space="preserve">
Best guess from multiple bid packages.  Will revisit later.</t>
        </r>
      </text>
    </comment>
    <comment ref="BB37" authorId="0" shapeId="0">
      <text>
        <r>
          <rPr>
            <b/>
            <sz val="9"/>
            <color indexed="81"/>
            <rFont val="Tahoma"/>
            <family val="2"/>
          </rPr>
          <t>Leonard Thagard:</t>
        </r>
        <r>
          <rPr>
            <sz val="9"/>
            <color indexed="81"/>
            <rFont val="Tahoma"/>
            <family val="2"/>
          </rPr>
          <t xml:space="preserve">
27% of full design fee</t>
        </r>
      </text>
    </comment>
    <comment ref="AY38" authorId="0" shapeId="0">
      <text>
        <r>
          <rPr>
            <b/>
            <sz val="9"/>
            <color indexed="81"/>
            <rFont val="Tahoma"/>
            <family val="2"/>
          </rPr>
          <t>Leonard Thagard:</t>
        </r>
        <r>
          <rPr>
            <sz val="9"/>
            <color indexed="81"/>
            <rFont val="Tahoma"/>
            <family val="2"/>
          </rPr>
          <t xml:space="preserve">
73 percent of bid package total for Plemmons and Summitt</t>
        </r>
      </text>
    </comment>
    <comment ref="BB38" authorId="0" shapeId="0">
      <text>
        <r>
          <rPr>
            <b/>
            <sz val="9"/>
            <color indexed="81"/>
            <rFont val="Tahoma"/>
            <family val="2"/>
          </rPr>
          <t>Leonard Thagard:</t>
        </r>
        <r>
          <rPr>
            <sz val="9"/>
            <color indexed="81"/>
            <rFont val="Tahoma"/>
            <family val="2"/>
          </rPr>
          <t xml:space="preserve">
73 percent of full design fee.</t>
        </r>
      </text>
    </comment>
    <comment ref="BA39" authorId="0" shapeId="0">
      <text>
        <r>
          <rPr>
            <b/>
            <sz val="9"/>
            <color indexed="81"/>
            <rFont val="Tahoma"/>
            <family val="2"/>
          </rPr>
          <t>Leonard Thagard:</t>
        </r>
        <r>
          <rPr>
            <sz val="9"/>
            <color indexed="81"/>
            <rFont val="Tahoma"/>
            <family val="2"/>
          </rPr>
          <t xml:space="preserve">
Note in LCCA report:  "*Initial Cost estimated to be 85% of Construction Budget."</t>
        </r>
      </text>
    </comment>
    <comment ref="H40" authorId="0" shapeId="0">
      <text>
        <r>
          <rPr>
            <b/>
            <sz val="9"/>
            <color indexed="81"/>
            <rFont val="Tahoma"/>
            <family val="2"/>
          </rPr>
          <t>Leonard Thagard:</t>
        </r>
        <r>
          <rPr>
            <sz val="9"/>
            <color indexed="81"/>
            <rFont val="Tahoma"/>
            <family val="2"/>
          </rPr>
          <t xml:space="preserve">
BO</t>
        </r>
      </text>
    </comment>
    <comment ref="AY45" authorId="0" shapeId="0">
      <text>
        <r>
          <rPr>
            <b/>
            <sz val="9"/>
            <color indexed="81"/>
            <rFont val="Tahoma"/>
            <family val="2"/>
          </rPr>
          <t>Leonard Thagard:</t>
        </r>
        <r>
          <rPr>
            <sz val="9"/>
            <color indexed="81"/>
            <rFont val="Tahoma"/>
            <family val="2"/>
          </rPr>
          <t xml:space="preserve">
Early site package plus building package.</t>
        </r>
      </text>
    </comment>
    <comment ref="BA45" authorId="0" shapeId="0">
      <text>
        <r>
          <rPr>
            <b/>
            <sz val="9"/>
            <color indexed="81"/>
            <rFont val="Tahoma"/>
            <family val="2"/>
          </rPr>
          <t>Leonard Thagard:</t>
        </r>
        <r>
          <rPr>
            <sz val="9"/>
            <color indexed="81"/>
            <rFont val="Tahoma"/>
            <family val="2"/>
          </rPr>
          <t xml:space="preserve">
Clark Nexsen analysis indicated baseline building cost more to build than the proposed building.  Analysis not used here.</t>
        </r>
      </text>
    </comment>
    <comment ref="V46" authorId="0" shapeId="0">
      <text>
        <r>
          <rPr>
            <b/>
            <sz val="9"/>
            <color indexed="81"/>
            <rFont val="Tahoma"/>
            <family val="2"/>
          </rPr>
          <t>Leonard Thagard:</t>
        </r>
        <r>
          <rPr>
            <sz val="9"/>
            <color indexed="81"/>
            <rFont val="Tahoma"/>
            <family val="2"/>
          </rPr>
          <t xml:space="preserve">
Does not include natural gas consumption.</t>
        </r>
      </text>
    </comment>
    <comment ref="AT46" authorId="0" shapeId="0">
      <text>
        <r>
          <rPr>
            <b/>
            <sz val="9"/>
            <color indexed="81"/>
            <rFont val="Tahoma"/>
            <family val="2"/>
          </rPr>
          <t>Leonard Thagard:</t>
        </r>
        <r>
          <rPr>
            <sz val="9"/>
            <color indexed="81"/>
            <rFont val="Tahoma"/>
            <family val="2"/>
          </rPr>
          <t xml:space="preserve">
Water use is not realistic.</t>
        </r>
      </text>
    </comment>
    <comment ref="AY47" authorId="0" shapeId="0">
      <text>
        <r>
          <rPr>
            <b/>
            <sz val="9"/>
            <color indexed="81"/>
            <rFont val="Tahoma"/>
            <family val="2"/>
          </rPr>
          <t>Leonard Thagard:</t>
        </r>
        <r>
          <rPr>
            <sz val="9"/>
            <color indexed="81"/>
            <rFont val="Tahoma"/>
            <family val="2"/>
          </rPr>
          <t xml:space="preserve">
Early site plus site and building bid packages.</t>
        </r>
      </text>
    </comment>
    <comment ref="V48" authorId="0" shapeId="0">
      <text>
        <r>
          <rPr>
            <b/>
            <sz val="9"/>
            <color indexed="81"/>
            <rFont val="Tahoma"/>
            <family val="2"/>
          </rPr>
          <t>Leonard Thagard:</t>
        </r>
        <r>
          <rPr>
            <sz val="9"/>
            <color indexed="81"/>
            <rFont val="Tahoma"/>
            <family val="2"/>
          </rPr>
          <t xml:space="preserve">
Meter data is incomplete.  No steam data and no domestic hot water data.</t>
        </r>
      </text>
    </comment>
    <comment ref="V49" authorId="0" shapeId="0">
      <text>
        <r>
          <rPr>
            <b/>
            <sz val="9"/>
            <color indexed="81"/>
            <rFont val="Tahoma"/>
            <family val="2"/>
          </rPr>
          <t>Leonard Thagard:</t>
        </r>
        <r>
          <rPr>
            <sz val="9"/>
            <color indexed="81"/>
            <rFont val="Tahoma"/>
            <family val="2"/>
          </rPr>
          <t xml:space="preserve">
Meter does not include natural gas for cooking appliances.</t>
        </r>
      </text>
    </comment>
    <comment ref="H53" authorId="0" shapeId="0">
      <text>
        <r>
          <rPr>
            <b/>
            <sz val="9"/>
            <color indexed="81"/>
            <rFont val="Tahoma"/>
            <family val="2"/>
          </rPr>
          <t>Leonard Thagard:</t>
        </r>
        <r>
          <rPr>
            <sz val="9"/>
            <color indexed="81"/>
            <rFont val="Tahoma"/>
            <family val="2"/>
          </rPr>
          <t xml:space="preserve">
Best guess.</t>
        </r>
      </text>
    </comment>
    <comment ref="AY53" authorId="0" shapeId="0">
      <text>
        <r>
          <rPr>
            <b/>
            <sz val="9"/>
            <color indexed="81"/>
            <rFont val="Tahoma"/>
            <family val="2"/>
          </rPr>
          <t>Leonard Thagard:</t>
        </r>
        <r>
          <rPr>
            <sz val="9"/>
            <color indexed="81"/>
            <rFont val="Tahoma"/>
            <family val="2"/>
          </rPr>
          <t xml:space="preserve">
Designer's LCCA estimate.</t>
        </r>
      </text>
    </comment>
    <comment ref="BA53" authorId="0" shapeId="0">
      <text>
        <r>
          <rPr>
            <b/>
            <sz val="9"/>
            <color indexed="81"/>
            <rFont val="Tahoma"/>
            <family val="2"/>
          </rPr>
          <t>Leonard Thagard:</t>
        </r>
        <r>
          <rPr>
            <sz val="9"/>
            <color indexed="81"/>
            <rFont val="Tahoma"/>
            <family val="2"/>
          </rPr>
          <t xml:space="preserve">
Designer's LCCA estimate.</t>
        </r>
      </text>
    </comment>
    <comment ref="H54" authorId="0" shapeId="0">
      <text>
        <r>
          <rPr>
            <b/>
            <sz val="9"/>
            <color indexed="81"/>
            <rFont val="Tahoma"/>
            <family val="2"/>
          </rPr>
          <t>Leonard Thagard:</t>
        </r>
        <r>
          <rPr>
            <sz val="9"/>
            <color indexed="81"/>
            <rFont val="Tahoma"/>
            <family val="2"/>
          </rPr>
          <t xml:space="preserve">
BO per Jerry Rogers' handwritten notes in file.</t>
        </r>
      </text>
    </comment>
    <comment ref="BA54" authorId="0" shapeId="0">
      <text>
        <r>
          <rPr>
            <b/>
            <sz val="9"/>
            <color indexed="81"/>
            <rFont val="Tahoma"/>
            <family val="2"/>
          </rPr>
          <t>Leonard Thagard:</t>
        </r>
        <r>
          <rPr>
            <sz val="9"/>
            <color indexed="81"/>
            <rFont val="Tahoma"/>
            <family val="2"/>
          </rPr>
          <t xml:space="preserve">
LCCA cost estimate for proposed building was $46,642,869 while baseline was $46,128,762 for a difference of 514,107 which was deducted from the bid amount to arrive at the baseline building estimate.</t>
        </r>
      </text>
    </comment>
    <comment ref="BC54" authorId="0" shapeId="0">
      <text>
        <r>
          <rPr>
            <b/>
            <sz val="9"/>
            <color indexed="81"/>
            <rFont val="Tahoma"/>
            <family val="2"/>
          </rPr>
          <t>Leonard Thagard:</t>
        </r>
        <r>
          <rPr>
            <sz val="9"/>
            <color indexed="81"/>
            <rFont val="Tahoma"/>
            <family val="2"/>
          </rPr>
          <t xml:space="preserve">
LEED certification 110000 and article 15-1 fee 229250</t>
        </r>
      </text>
    </comment>
    <comment ref="AY60" authorId="0" shapeId="0">
      <text>
        <r>
          <rPr>
            <b/>
            <sz val="9"/>
            <color indexed="81"/>
            <rFont val="Tahoma"/>
            <family val="2"/>
          </rPr>
          <t>Leonard Thagard:</t>
        </r>
        <r>
          <rPr>
            <sz val="9"/>
            <color indexed="81"/>
            <rFont val="Tahoma"/>
            <family val="2"/>
          </rPr>
          <t xml:space="preserve">
Early site plus building package.</t>
        </r>
      </text>
    </comment>
    <comment ref="BC64" authorId="0" shapeId="0">
      <text>
        <r>
          <rPr>
            <b/>
            <sz val="9"/>
            <color indexed="81"/>
            <rFont val="Tahoma"/>
            <family val="2"/>
          </rPr>
          <t>Leonard Thagard:</t>
        </r>
        <r>
          <rPr>
            <sz val="9"/>
            <color indexed="81"/>
            <rFont val="Tahoma"/>
            <family val="2"/>
          </rPr>
          <t xml:space="preserve">
Green Globes.</t>
        </r>
      </text>
    </comment>
    <comment ref="AY66" authorId="0" shapeId="0">
      <text>
        <r>
          <rPr>
            <b/>
            <sz val="9"/>
            <color indexed="81"/>
            <rFont val="Tahoma"/>
            <family val="2"/>
          </rPr>
          <t>Leonard Thagard:</t>
        </r>
        <r>
          <rPr>
            <sz val="9"/>
            <color indexed="81"/>
            <rFont val="Tahoma"/>
            <family val="2"/>
          </rPr>
          <t xml:space="preserve">
CMR bid packages and CO's through CO#10.</t>
        </r>
      </text>
    </comment>
    <comment ref="BA66" authorId="0" shapeId="0">
      <text>
        <r>
          <rPr>
            <b/>
            <sz val="9"/>
            <color indexed="81"/>
            <rFont val="Tahoma"/>
            <family val="2"/>
          </rPr>
          <t>Leonard Thagard:</t>
        </r>
        <r>
          <rPr>
            <sz val="9"/>
            <color indexed="81"/>
            <rFont val="Tahoma"/>
            <family val="2"/>
          </rPr>
          <t xml:space="preserve">
CD estimates for baseline and proposed buildings exceed CMR bids through CO #10.  Baseline estimate is CMR contract amount through CO #10 less designer's delta between baseline and proposed buildings.</t>
        </r>
      </text>
    </comment>
    <comment ref="H71" authorId="0" shapeId="0">
      <text>
        <r>
          <rPr>
            <b/>
            <sz val="9"/>
            <color indexed="81"/>
            <rFont val="Tahoma"/>
            <family val="2"/>
          </rPr>
          <t>Leonard Thagard:</t>
        </r>
        <r>
          <rPr>
            <sz val="9"/>
            <color indexed="81"/>
            <rFont val="Tahoma"/>
            <family val="2"/>
          </rPr>
          <t xml:space="preserve">
Bad soil discovered.  Project delayed.  Completion day not given.  Recovery schedule completion date noted.
Project is behind schedule. There was no recovery schedule or standard schedule for review. </t>
        </r>
      </text>
    </comment>
    <comment ref="H72" authorId="0" shapeId="0">
      <text>
        <r>
          <rPr>
            <b/>
            <sz val="9"/>
            <color indexed="81"/>
            <rFont val="Tahoma"/>
            <family val="2"/>
          </rPr>
          <t>Leonard Thagard:</t>
        </r>
        <r>
          <rPr>
            <sz val="9"/>
            <color indexed="81"/>
            <rFont val="Tahoma"/>
            <family val="2"/>
          </rPr>
          <t xml:space="preserve">
The completion date is September 2014 according to interscope.</t>
        </r>
      </text>
    </comment>
    <comment ref="AR74" authorId="0" shapeId="0">
      <text>
        <r>
          <rPr>
            <b/>
            <sz val="9"/>
            <color indexed="81"/>
            <rFont val="Tahoma"/>
            <family val="2"/>
          </rPr>
          <t>Leonard Thagard:</t>
        </r>
        <r>
          <rPr>
            <sz val="9"/>
            <color indexed="81"/>
            <rFont val="Tahoma"/>
            <family val="2"/>
          </rPr>
          <t xml:space="preserve">
includes kitchen load and cooling tower make up at 3,600,000 gall/yr.</t>
        </r>
      </text>
    </comment>
    <comment ref="AY75" authorId="0" shapeId="0">
      <text>
        <r>
          <rPr>
            <b/>
            <sz val="9"/>
            <color indexed="81"/>
            <rFont val="Tahoma"/>
            <family val="2"/>
          </rPr>
          <t>Leonard Thagard:</t>
        </r>
        <r>
          <rPr>
            <sz val="9"/>
            <color indexed="81"/>
            <rFont val="Tahoma"/>
            <family val="2"/>
          </rPr>
          <t xml:space="preserve">
Captures most but not all bid packages.</t>
        </r>
      </text>
    </comment>
    <comment ref="BB75" authorId="0" shapeId="0">
      <text>
        <r>
          <rPr>
            <b/>
            <sz val="9"/>
            <color indexed="81"/>
            <rFont val="Tahoma"/>
            <family val="2"/>
          </rPr>
          <t>Leonard Thagard:</t>
        </r>
        <r>
          <rPr>
            <sz val="9"/>
            <color indexed="81"/>
            <rFont val="Tahoma"/>
            <family val="2"/>
          </rPr>
          <t xml:space="preserve">
includes swing space, promotion support, bridge over RR tracks, etc.</t>
        </r>
      </text>
    </comment>
    <comment ref="K76" authorId="0" shapeId="0">
      <text>
        <r>
          <rPr>
            <b/>
            <sz val="9"/>
            <color indexed="81"/>
            <rFont val="Tahoma"/>
            <family val="2"/>
          </rPr>
          <t>Leonard Thagard:</t>
        </r>
        <r>
          <rPr>
            <sz val="9"/>
            <color indexed="81"/>
            <rFont val="Tahoma"/>
            <family val="2"/>
          </rPr>
          <t xml:space="preserve">
Listed now as two buildings East at 102,127 GSF and West at 105,950 GSF.</t>
        </r>
      </text>
    </comment>
    <comment ref="G79" authorId="0" shapeId="0">
      <text>
        <r>
          <rPr>
            <b/>
            <sz val="9"/>
            <color indexed="81"/>
            <rFont val="Tahoma"/>
            <family val="2"/>
          </rPr>
          <t>Leonard Thagard:</t>
        </r>
        <r>
          <rPr>
            <sz val="9"/>
            <color indexed="81"/>
            <rFont val="Tahoma"/>
            <family val="2"/>
          </rPr>
          <t xml:space="preserve">
Private funding.  No state contract.</t>
        </r>
      </text>
    </comment>
    <comment ref="H79" authorId="0" shapeId="0">
      <text>
        <r>
          <rPr>
            <b/>
            <sz val="9"/>
            <color indexed="81"/>
            <rFont val="Tahoma"/>
            <family val="2"/>
          </rPr>
          <t>Leonard Thagard:</t>
        </r>
        <r>
          <rPr>
            <sz val="9"/>
            <color indexed="81"/>
            <rFont val="Tahoma"/>
            <family val="2"/>
          </rPr>
          <t xml:space="preserve">
Interscope indicates 45% complete as of 7/25/14.
04/15/15 completion is LWT's best guess.</t>
        </r>
      </text>
    </comment>
    <comment ref="S81" authorId="0" shapeId="0">
      <text>
        <r>
          <rPr>
            <b/>
            <sz val="9"/>
            <color indexed="81"/>
            <rFont val="Tahoma"/>
            <family val="2"/>
          </rPr>
          <t>Leonard Thagard:</t>
        </r>
        <r>
          <rPr>
            <sz val="9"/>
            <color indexed="81"/>
            <rFont val="Tahoma"/>
            <family val="2"/>
          </rPr>
          <t xml:space="preserve">
27% improvement without plug and process loads.</t>
        </r>
      </text>
    </comment>
    <comment ref="BC81" authorId="0" shapeId="0">
      <text>
        <r>
          <rPr>
            <b/>
            <sz val="9"/>
            <color indexed="81"/>
            <rFont val="Tahoma"/>
            <family val="2"/>
          </rPr>
          <t>Leonard Thagard:</t>
        </r>
        <r>
          <rPr>
            <sz val="9"/>
            <color indexed="81"/>
            <rFont val="Tahoma"/>
            <family val="2"/>
          </rPr>
          <t xml:space="preserve">
Green Globes</t>
        </r>
      </text>
    </comment>
    <comment ref="K82" authorId="0" shapeId="0">
      <text>
        <r>
          <rPr>
            <b/>
            <sz val="9"/>
            <color indexed="81"/>
            <rFont val="Tahoma"/>
            <family val="2"/>
          </rPr>
          <t>Leonard Thagard:</t>
        </r>
        <r>
          <rPr>
            <sz val="9"/>
            <color indexed="81"/>
            <rFont val="Tahoma"/>
            <family val="2"/>
          </rPr>
          <t xml:space="preserve">
131,341 includes pool deck and pool lobby in GSF.  M&amp;L estimate at 105,000 GSF.</t>
        </r>
      </text>
    </comment>
    <comment ref="O82" authorId="0" shapeId="0">
      <text>
        <r>
          <rPr>
            <b/>
            <sz val="9"/>
            <color indexed="81"/>
            <rFont val="Tahoma"/>
            <family val="2"/>
          </rPr>
          <t>Leonard Thagard:</t>
        </r>
        <r>
          <rPr>
            <sz val="9"/>
            <color indexed="81"/>
            <rFont val="Tahoma"/>
            <family val="2"/>
          </rPr>
          <t xml:space="preserve">
Includes plug and process loads.  Pool equipment and HVAC are considered process loads.</t>
        </r>
      </text>
    </comment>
    <comment ref="S82" authorId="0" shapeId="0">
      <text>
        <r>
          <rPr>
            <b/>
            <sz val="9"/>
            <color indexed="81"/>
            <rFont val="Tahoma"/>
            <family val="2"/>
          </rPr>
          <t>Leonard Thagard:</t>
        </r>
        <r>
          <rPr>
            <sz val="9"/>
            <color indexed="81"/>
            <rFont val="Tahoma"/>
            <family val="2"/>
          </rPr>
          <t xml:space="preserve">
6% less energy than A90.1-2010.</t>
        </r>
      </text>
    </comment>
    <comment ref="BF82" authorId="0" shapeId="0">
      <text>
        <r>
          <rPr>
            <b/>
            <sz val="9"/>
            <color indexed="81"/>
            <rFont val="Tahoma"/>
            <family val="2"/>
          </rPr>
          <t>Leonard Thagard:</t>
        </r>
        <r>
          <rPr>
            <sz val="9"/>
            <color indexed="81"/>
            <rFont val="Tahoma"/>
            <family val="2"/>
          </rPr>
          <t xml:space="preserve">
Not correct since base is A90.1-2010 instead of A90.1-2004.  Also window and roof replacement not analyzed based on LCCA.</t>
        </r>
      </text>
    </comment>
    <comment ref="K83" authorId="0" shapeId="0">
      <text>
        <r>
          <rPr>
            <b/>
            <sz val="9"/>
            <color indexed="81"/>
            <rFont val="Tahoma"/>
            <family val="2"/>
          </rPr>
          <t>Leonard Thagard:</t>
        </r>
        <r>
          <rPr>
            <sz val="9"/>
            <color indexed="81"/>
            <rFont val="Tahoma"/>
            <family val="2"/>
          </rPr>
          <t xml:space="preserve">
GSF does not include tempered un-occupied attic space of ~22,000 SF.</t>
        </r>
      </text>
    </comment>
    <comment ref="AY83" authorId="0" shapeId="0">
      <text>
        <r>
          <rPr>
            <b/>
            <sz val="9"/>
            <color indexed="81"/>
            <rFont val="Tahoma"/>
            <family val="2"/>
          </rPr>
          <t>Leonard Thagard:</t>
        </r>
        <r>
          <rPr>
            <sz val="9"/>
            <color indexed="81"/>
            <rFont val="Tahoma"/>
            <family val="2"/>
          </rPr>
          <t xml:space="preserve">
Designer's proposed building estimate is $5,957,771.  Early demo is not included.  Contract may include CUP and distribution piping.  Ear</t>
        </r>
      </text>
    </comment>
    <comment ref="BA83" authorId="0" shapeId="0">
      <text>
        <r>
          <rPr>
            <b/>
            <sz val="9"/>
            <color indexed="81"/>
            <rFont val="Tahoma"/>
            <family val="2"/>
          </rPr>
          <t>Leonard Thagard:</t>
        </r>
        <r>
          <rPr>
            <sz val="9"/>
            <color indexed="81"/>
            <rFont val="Tahoma"/>
            <family val="2"/>
          </rPr>
          <t xml:space="preserve">
does not include early demo, CEP, CEP distribution, etc.</t>
        </r>
      </text>
    </comment>
    <comment ref="BE83" authorId="0" shapeId="0">
      <text>
        <r>
          <rPr>
            <b/>
            <sz val="9"/>
            <color indexed="81"/>
            <rFont val="Tahoma"/>
            <family val="2"/>
          </rPr>
          <t>Leonard Thagard:</t>
        </r>
        <r>
          <rPr>
            <sz val="9"/>
            <color indexed="81"/>
            <rFont val="Tahoma"/>
            <family val="2"/>
          </rPr>
          <t xml:space="preserve">
LTs guess</t>
        </r>
      </text>
    </comment>
    <comment ref="AM84" authorId="0" shapeId="0">
      <text>
        <r>
          <rPr>
            <b/>
            <sz val="9"/>
            <color indexed="81"/>
            <rFont val="Tahoma"/>
            <family val="2"/>
          </rPr>
          <t>Leonard Thagard:</t>
        </r>
        <r>
          <rPr>
            <sz val="9"/>
            <color indexed="81"/>
            <rFont val="Tahoma"/>
            <family val="2"/>
          </rPr>
          <t xml:space="preserve">
Includes cooling tower make up and large laundry load.</t>
        </r>
      </text>
    </comment>
    <comment ref="K85" authorId="0" shapeId="0">
      <text>
        <r>
          <rPr>
            <b/>
            <sz val="9"/>
            <color indexed="81"/>
            <rFont val="Tahoma"/>
            <family val="2"/>
          </rPr>
          <t>Leonard Thagard:</t>
        </r>
        <r>
          <rPr>
            <sz val="9"/>
            <color indexed="81"/>
            <rFont val="Tahoma"/>
            <family val="2"/>
          </rPr>
          <t xml:space="preserve">
GSF includes alternates for additional space and per email from Rebecca dated 12.19.13.
</t>
        </r>
      </text>
    </comment>
    <comment ref="O85" authorId="0" shapeId="0">
      <text>
        <r>
          <rPr>
            <b/>
            <sz val="9"/>
            <color indexed="81"/>
            <rFont val="Tahoma"/>
            <family val="2"/>
          </rPr>
          <t>Leonard Thagard:</t>
        </r>
        <r>
          <rPr>
            <sz val="9"/>
            <color indexed="81"/>
            <rFont val="Tahoma"/>
            <family val="2"/>
          </rPr>
          <t xml:space="preserve">
Includes process loads.</t>
        </r>
      </text>
    </comment>
    <comment ref="Q85" authorId="0" shapeId="0">
      <text>
        <r>
          <rPr>
            <b/>
            <sz val="9"/>
            <color indexed="81"/>
            <rFont val="Tahoma"/>
            <family val="2"/>
          </rPr>
          <t>Leonard Thagard:</t>
        </r>
        <r>
          <rPr>
            <sz val="9"/>
            <color indexed="81"/>
            <rFont val="Tahoma"/>
            <family val="2"/>
          </rPr>
          <t xml:space="preserve">
Inlcudes process loads.</t>
        </r>
      </text>
    </comment>
    <comment ref="AY87" authorId="0" shapeId="0">
      <text>
        <r>
          <rPr>
            <b/>
            <sz val="9"/>
            <color indexed="81"/>
            <rFont val="Tahoma"/>
            <family val="2"/>
          </rPr>
          <t>Leonard Thagard:</t>
        </r>
        <r>
          <rPr>
            <sz val="9"/>
            <color indexed="81"/>
            <rFont val="Tahoma"/>
            <family val="2"/>
          </rPr>
          <t xml:space="preserve">
SB 668 bldg estimate from PDC.  BCC DB GMP is $9,751,745</t>
        </r>
      </text>
    </comment>
    <comment ref="BA87" authorId="0" shapeId="0">
      <text>
        <r>
          <rPr>
            <b/>
            <sz val="9"/>
            <color indexed="81"/>
            <rFont val="Tahoma"/>
            <family val="2"/>
          </rPr>
          <t>Leonard Thagard:</t>
        </r>
        <r>
          <rPr>
            <sz val="9"/>
            <color indexed="81"/>
            <rFont val="Tahoma"/>
            <family val="2"/>
          </rPr>
          <t xml:space="preserve">
Proposed bldg estimate from PDC.  BCC DB GMP is $9,751,745</t>
        </r>
      </text>
    </comment>
    <comment ref="BC87" authorId="0" shapeId="0">
      <text>
        <r>
          <rPr>
            <b/>
            <sz val="9"/>
            <color indexed="81"/>
            <rFont val="Tahoma"/>
            <family val="2"/>
          </rPr>
          <t>Leonard Thagard:</t>
        </r>
        <r>
          <rPr>
            <sz val="9"/>
            <color indexed="81"/>
            <rFont val="Tahoma"/>
            <family val="2"/>
          </rPr>
          <t xml:space="preserve">
PDC estimate from HB 628 study.</t>
        </r>
      </text>
    </comment>
    <comment ref="BE87" authorId="0" shapeId="0">
      <text>
        <r>
          <rPr>
            <b/>
            <sz val="9"/>
            <color indexed="81"/>
            <rFont val="Tahoma"/>
            <family val="2"/>
          </rPr>
          <t>Leonard Thagard:</t>
        </r>
        <r>
          <rPr>
            <sz val="9"/>
            <color indexed="81"/>
            <rFont val="Tahoma"/>
            <family val="2"/>
          </rPr>
          <t xml:space="preserve">
PDC estimate for Cx.</t>
        </r>
      </text>
    </comment>
    <comment ref="O89" authorId="0" shapeId="0">
      <text>
        <r>
          <rPr>
            <b/>
            <sz val="9"/>
            <color indexed="81"/>
            <rFont val="Tahoma"/>
            <family val="2"/>
          </rPr>
          <t>Leonard Thagard:</t>
        </r>
        <r>
          <rPr>
            <sz val="9"/>
            <color indexed="81"/>
            <rFont val="Tahoma"/>
            <family val="2"/>
          </rPr>
          <t xml:space="preserve">
Includes process load</t>
        </r>
      </text>
    </comment>
    <comment ref="Q89" authorId="0" shapeId="0">
      <text>
        <r>
          <rPr>
            <b/>
            <sz val="9"/>
            <color indexed="81"/>
            <rFont val="Tahoma"/>
            <family val="2"/>
          </rPr>
          <t>Leonard Thagard:</t>
        </r>
        <r>
          <rPr>
            <sz val="9"/>
            <color indexed="81"/>
            <rFont val="Tahoma"/>
            <family val="2"/>
          </rPr>
          <t xml:space="preserve">
Includes process load.</t>
        </r>
      </text>
    </comment>
    <comment ref="S89" authorId="0" shapeId="0">
      <text>
        <r>
          <rPr>
            <b/>
            <sz val="9"/>
            <color indexed="81"/>
            <rFont val="Tahoma"/>
            <family val="2"/>
          </rPr>
          <t>Leonard Thagard:</t>
        </r>
        <r>
          <rPr>
            <sz val="9"/>
            <color indexed="81"/>
            <rFont val="Tahoma"/>
            <family val="2"/>
          </rPr>
          <t xml:space="preserve">
Savings are 46% with process load removed.</t>
        </r>
      </text>
    </comment>
    <comment ref="AA89" authorId="0" shapeId="0">
      <text>
        <r>
          <rPr>
            <b/>
            <sz val="9"/>
            <color indexed="81"/>
            <rFont val="Tahoma"/>
            <family val="2"/>
          </rPr>
          <t>Leonard Thagard:</t>
        </r>
        <r>
          <rPr>
            <sz val="9"/>
            <color indexed="81"/>
            <rFont val="Tahoma"/>
            <family val="2"/>
          </rPr>
          <t xml:space="preserve">
Includes process load.</t>
        </r>
      </text>
    </comment>
    <comment ref="AC89" authorId="0" shapeId="0">
      <text>
        <r>
          <rPr>
            <b/>
            <sz val="9"/>
            <color indexed="81"/>
            <rFont val="Tahoma"/>
            <family val="2"/>
          </rPr>
          <t>Leonard Thagard:</t>
        </r>
        <r>
          <rPr>
            <sz val="9"/>
            <color indexed="81"/>
            <rFont val="Tahoma"/>
            <family val="2"/>
          </rPr>
          <t xml:space="preserve">
Includes process load.</t>
        </r>
      </text>
    </comment>
    <comment ref="AL89" authorId="0" shapeId="0">
      <text>
        <r>
          <rPr>
            <b/>
            <sz val="9"/>
            <color indexed="81"/>
            <rFont val="Tahoma"/>
            <family val="2"/>
          </rPr>
          <t>Leonard Thagard:</t>
        </r>
        <r>
          <rPr>
            <sz val="9"/>
            <color indexed="81"/>
            <rFont val="Tahoma"/>
            <family val="2"/>
          </rPr>
          <t xml:space="preserve">
Includes cooling tower consumption.</t>
        </r>
      </text>
    </comment>
    <comment ref="AO89" authorId="0" shapeId="0">
      <text>
        <r>
          <rPr>
            <b/>
            <sz val="9"/>
            <color indexed="81"/>
            <rFont val="Tahoma"/>
            <family val="2"/>
          </rPr>
          <t>Leonard Thagard:</t>
        </r>
        <r>
          <rPr>
            <sz val="9"/>
            <color indexed="81"/>
            <rFont val="Tahoma"/>
            <family val="2"/>
          </rPr>
          <t xml:space="preserve">
Includes cooling tower consumption that is reduced due to smaller cooling load.</t>
        </r>
      </text>
    </comment>
    <comment ref="AY89" authorId="0" shapeId="0">
      <text>
        <r>
          <rPr>
            <b/>
            <sz val="9"/>
            <color indexed="81"/>
            <rFont val="Tahoma"/>
            <family val="2"/>
          </rPr>
          <t>Leonard Thagard:</t>
        </r>
        <r>
          <rPr>
            <sz val="9"/>
            <color indexed="81"/>
            <rFont val="Tahoma"/>
            <family val="2"/>
          </rPr>
          <t xml:space="preserve">
Cost includes demo, temp space, early site.  Soup to nuts project cost.</t>
        </r>
      </text>
    </comment>
    <comment ref="BA89" authorId="0" shapeId="0">
      <text>
        <r>
          <rPr>
            <b/>
            <sz val="9"/>
            <color indexed="81"/>
            <rFont val="Tahoma"/>
            <family val="2"/>
          </rPr>
          <t>Leonard Thagard:</t>
        </r>
        <r>
          <rPr>
            <sz val="9"/>
            <color indexed="81"/>
            <rFont val="Tahoma"/>
            <family val="2"/>
          </rPr>
          <t xml:space="preserve">
Baseline whole building estimate from LCCA.</t>
        </r>
      </text>
    </comment>
    <comment ref="BB89" authorId="0" shapeId="0">
      <text>
        <r>
          <rPr>
            <b/>
            <sz val="9"/>
            <color indexed="81"/>
            <rFont val="Tahoma"/>
            <family val="2"/>
          </rPr>
          <t>Leonard Thagard:</t>
        </r>
        <r>
          <rPr>
            <sz val="9"/>
            <color indexed="81"/>
            <rFont val="Tahoma"/>
            <family val="2"/>
          </rPr>
          <t xml:space="preserve">
Includes fee for swing space and others.</t>
        </r>
      </text>
    </comment>
    <comment ref="K90" authorId="0" shapeId="0">
      <text>
        <r>
          <rPr>
            <b/>
            <sz val="9"/>
            <color indexed="81"/>
            <rFont val="Tahoma"/>
            <family val="2"/>
          </rPr>
          <t>Leonard Thagard:</t>
        </r>
        <r>
          <rPr>
            <sz val="9"/>
            <color indexed="81"/>
            <rFont val="Tahoma"/>
            <family val="2"/>
          </rPr>
          <t xml:space="preserve">
Base bid GSF.
Alt Bid adds 4019 GSF.</t>
        </r>
      </text>
    </comment>
    <comment ref="O90" authorId="0" shapeId="0">
      <text>
        <r>
          <rPr>
            <b/>
            <sz val="9"/>
            <color indexed="81"/>
            <rFont val="Tahoma"/>
            <family val="2"/>
          </rPr>
          <t>Leonard Thagard:</t>
        </r>
        <r>
          <rPr>
            <sz val="9"/>
            <color indexed="81"/>
            <rFont val="Tahoma"/>
            <family val="2"/>
          </rPr>
          <t xml:space="preserve">
No updates for the DD submission.</t>
        </r>
      </text>
    </comment>
    <comment ref="Q90" authorId="0" shapeId="0">
      <text>
        <r>
          <rPr>
            <b/>
            <sz val="9"/>
            <color indexed="81"/>
            <rFont val="Tahoma"/>
            <family val="2"/>
          </rPr>
          <t>Leonard Thagard:</t>
        </r>
        <r>
          <rPr>
            <sz val="9"/>
            <color indexed="81"/>
            <rFont val="Tahoma"/>
            <family val="2"/>
          </rPr>
          <t xml:space="preserve">
No updates for the DD submission.</t>
        </r>
      </text>
    </comment>
    <comment ref="O91" authorId="0" shapeId="0">
      <text>
        <r>
          <rPr>
            <b/>
            <sz val="9"/>
            <color indexed="81"/>
            <rFont val="Tahoma"/>
            <family val="2"/>
          </rPr>
          <t>Leonard Thagard:</t>
        </r>
        <r>
          <rPr>
            <sz val="9"/>
            <color indexed="81"/>
            <rFont val="Tahoma"/>
            <family val="2"/>
          </rPr>
          <t xml:space="preserve">
No data provided with SD or DD submission.</t>
        </r>
      </text>
    </comment>
    <comment ref="Q91" authorId="0" shapeId="0">
      <text>
        <r>
          <rPr>
            <b/>
            <sz val="9"/>
            <color indexed="81"/>
            <rFont val="Tahoma"/>
            <family val="2"/>
          </rPr>
          <t>Leonard Thagard:</t>
        </r>
        <r>
          <rPr>
            <sz val="9"/>
            <color indexed="81"/>
            <rFont val="Tahoma"/>
            <family val="2"/>
          </rPr>
          <t xml:space="preserve">
No data provided with SD or DD submission.</t>
        </r>
      </text>
    </comment>
    <comment ref="BB92" authorId="0" shapeId="0">
      <text>
        <r>
          <rPr>
            <b/>
            <sz val="9"/>
            <color indexed="81"/>
            <rFont val="Tahoma"/>
            <family val="2"/>
          </rPr>
          <t>Leonard Thagard:</t>
        </r>
        <r>
          <rPr>
            <sz val="9"/>
            <color indexed="81"/>
            <rFont val="Tahoma"/>
            <family val="2"/>
          </rPr>
          <t xml:space="preserve">
complicated fee structure due to multiple increases in scope and square footage of project.</t>
        </r>
      </text>
    </comment>
    <comment ref="BC92" authorId="0" shapeId="0">
      <text>
        <r>
          <rPr>
            <b/>
            <sz val="9"/>
            <color indexed="81"/>
            <rFont val="Tahoma"/>
            <family val="2"/>
          </rPr>
          <t>Leonard Thagard:</t>
        </r>
        <r>
          <rPr>
            <sz val="9"/>
            <color indexed="81"/>
            <rFont val="Tahoma"/>
            <family val="2"/>
          </rPr>
          <t xml:space="preserve">
complex due to multiple increases in scope and square footage</t>
        </r>
      </text>
    </comment>
    <comment ref="AY93" authorId="0" shapeId="0">
      <text>
        <r>
          <rPr>
            <b/>
            <sz val="9"/>
            <color indexed="81"/>
            <rFont val="Tahoma"/>
            <family val="2"/>
          </rPr>
          <t>Leonard Thagard:</t>
        </r>
        <r>
          <rPr>
            <sz val="9"/>
            <color indexed="81"/>
            <rFont val="Tahoma"/>
            <family val="2"/>
          </rPr>
          <t xml:space="preserve">
Includes all site costs of $10,183,960.</t>
        </r>
      </text>
    </comment>
    <comment ref="K94" authorId="0" shapeId="0">
      <text>
        <r>
          <rPr>
            <b/>
            <sz val="9"/>
            <color indexed="81"/>
            <rFont val="Tahoma"/>
            <family val="2"/>
          </rPr>
          <t>Leonard Thagard:</t>
        </r>
        <r>
          <rPr>
            <sz val="9"/>
            <color indexed="81"/>
            <rFont val="Tahoma"/>
            <family val="2"/>
          </rPr>
          <t xml:space="preserve">
158,450 is modeled according to summary sheet.  207,610 is gross square footage according to building code summary..</t>
        </r>
      </text>
    </comment>
    <comment ref="O94" authorId="0" shapeId="0">
      <text>
        <r>
          <rPr>
            <b/>
            <sz val="9"/>
            <color indexed="81"/>
            <rFont val="Tahoma"/>
            <family val="2"/>
          </rPr>
          <t>Leonard Thagard:</t>
        </r>
        <r>
          <rPr>
            <sz val="9"/>
            <color indexed="81"/>
            <rFont val="Tahoma"/>
            <family val="2"/>
          </rPr>
          <t xml:space="preserve">
Plug and process has not been included.</t>
        </r>
      </text>
    </comment>
    <comment ref="Q94" authorId="0" shapeId="0">
      <text>
        <r>
          <rPr>
            <b/>
            <sz val="9"/>
            <color indexed="81"/>
            <rFont val="Tahoma"/>
            <family val="2"/>
          </rPr>
          <t>Leonard Thagard:</t>
        </r>
        <r>
          <rPr>
            <sz val="9"/>
            <color indexed="81"/>
            <rFont val="Tahoma"/>
            <family val="2"/>
          </rPr>
          <t xml:space="preserve">
Plug and process has not been included.</t>
        </r>
      </text>
    </comment>
    <comment ref="AB94" authorId="0" shapeId="0">
      <text>
        <r>
          <rPr>
            <b/>
            <sz val="9"/>
            <color indexed="81"/>
            <rFont val="Tahoma"/>
            <family val="2"/>
          </rPr>
          <t>Leonard Thagard:</t>
        </r>
        <r>
          <rPr>
            <sz val="9"/>
            <color indexed="81"/>
            <rFont val="Tahoma"/>
            <family val="2"/>
          </rPr>
          <t xml:space="preserve">
Highest $/GSF to date.</t>
        </r>
      </text>
    </comment>
    <comment ref="AD94" authorId="0" shapeId="0">
      <text>
        <r>
          <rPr>
            <b/>
            <sz val="9"/>
            <color indexed="81"/>
            <rFont val="Tahoma"/>
            <family val="2"/>
          </rPr>
          <t>Leonard Thagard:</t>
        </r>
        <r>
          <rPr>
            <sz val="9"/>
            <color indexed="81"/>
            <rFont val="Tahoma"/>
            <family val="2"/>
          </rPr>
          <t xml:space="preserve">
Highest $/GSF to date.</t>
        </r>
      </text>
    </comment>
    <comment ref="BE94" authorId="0" shapeId="0">
      <text>
        <r>
          <rPr>
            <b/>
            <sz val="9"/>
            <color indexed="81"/>
            <rFont val="Tahoma"/>
            <family val="2"/>
          </rPr>
          <t>Leonard Thagard:</t>
        </r>
        <r>
          <rPr>
            <sz val="9"/>
            <color indexed="81"/>
            <rFont val="Tahoma"/>
            <family val="2"/>
          </rPr>
          <t xml:space="preserve">
$730,000 Cx reserve.  Current Cx contract is $36,940.</t>
        </r>
      </text>
    </comment>
    <comment ref="BE95" authorId="0" shapeId="0">
      <text>
        <r>
          <rPr>
            <b/>
            <sz val="9"/>
            <color indexed="81"/>
            <rFont val="Tahoma"/>
            <family val="2"/>
          </rPr>
          <t>Leonard Thagard:</t>
        </r>
        <r>
          <rPr>
            <sz val="9"/>
            <color indexed="81"/>
            <rFont val="Tahoma"/>
            <family val="2"/>
          </rPr>
          <t xml:space="preserve">
Cx reserve.  Design only Cx is for $44,680.</t>
        </r>
      </text>
    </comment>
    <comment ref="L97" authorId="0" shapeId="0">
      <text>
        <r>
          <rPr>
            <b/>
            <sz val="9"/>
            <color indexed="81"/>
            <rFont val="Tahoma"/>
            <family val="2"/>
          </rPr>
          <t>Leonard Thagard:</t>
        </r>
        <r>
          <rPr>
            <sz val="9"/>
            <color indexed="81"/>
            <rFont val="Tahoma"/>
            <family val="2"/>
          </rPr>
          <t xml:space="preserve">
base=57,963
1st=70,579
mez=37,042
Need to verify GSF.</t>
        </r>
      </text>
    </comment>
    <comment ref="O98" authorId="0" shapeId="0">
      <text>
        <r>
          <rPr>
            <b/>
            <sz val="9"/>
            <color indexed="81"/>
            <rFont val="Tahoma"/>
            <family val="2"/>
          </rPr>
          <t>Leonard Thagard:</t>
        </r>
        <r>
          <rPr>
            <sz val="9"/>
            <color indexed="81"/>
            <rFont val="Tahoma"/>
            <family val="2"/>
          </rPr>
          <t xml:space="preserve">
Includes plug and process</t>
        </r>
      </text>
    </comment>
    <comment ref="AY100" authorId="0" shapeId="0">
      <text>
        <r>
          <rPr>
            <b/>
            <sz val="9"/>
            <color indexed="81"/>
            <rFont val="Tahoma"/>
            <family val="2"/>
          </rPr>
          <t>Leonard Thagard:</t>
        </r>
        <r>
          <rPr>
            <sz val="9"/>
            <color indexed="81"/>
            <rFont val="Tahoma"/>
            <family val="2"/>
          </rPr>
          <t xml:space="preserve">
from page 51 of the SD project manual as Total Construction Costs.</t>
        </r>
      </text>
    </comment>
    <comment ref="BA100" authorId="0" shapeId="0">
      <text>
        <r>
          <rPr>
            <b/>
            <sz val="9"/>
            <color indexed="81"/>
            <rFont val="Tahoma"/>
            <family val="2"/>
          </rPr>
          <t>Leonard Thagard:</t>
        </r>
        <r>
          <rPr>
            <sz val="9"/>
            <color indexed="81"/>
            <rFont val="Tahoma"/>
            <family val="2"/>
          </rPr>
          <t xml:space="preserve">
from page 90 of the energy model lcca report.</t>
        </r>
      </text>
    </comment>
    <comment ref="BB100" authorId="0" shapeId="0">
      <text>
        <r>
          <rPr>
            <b/>
            <sz val="9"/>
            <color indexed="81"/>
            <rFont val="Tahoma"/>
            <family val="2"/>
          </rPr>
          <t>Leonard Thagard:</t>
        </r>
        <r>
          <rPr>
            <sz val="9"/>
            <color indexed="81"/>
            <rFont val="Tahoma"/>
            <family val="2"/>
          </rPr>
          <t xml:space="preserve">
contract not signed as of 09.02.14
</t>
        </r>
      </text>
    </comment>
    <comment ref="BC100" authorId="0" shapeId="0">
      <text>
        <r>
          <rPr>
            <b/>
            <sz val="9"/>
            <color indexed="81"/>
            <rFont val="Tahoma"/>
            <family val="2"/>
          </rPr>
          <t>Leonard Thagard:</t>
        </r>
        <r>
          <rPr>
            <sz val="9"/>
            <color indexed="81"/>
            <rFont val="Tahoma"/>
            <family val="2"/>
          </rPr>
          <t xml:space="preserve">
from design contract:  $43,200 for model and $10,100 for LEED</t>
        </r>
      </text>
    </comment>
    <comment ref="BE100" authorId="0" shapeId="0">
      <text>
        <r>
          <rPr>
            <b/>
            <sz val="9"/>
            <color indexed="81"/>
            <rFont val="Tahoma"/>
            <family val="2"/>
          </rPr>
          <t>Leonard Thagard:</t>
        </r>
        <r>
          <rPr>
            <sz val="9"/>
            <color indexed="81"/>
            <rFont val="Tahoma"/>
            <family val="2"/>
          </rPr>
          <t xml:space="preserve">
Cx reserve of $250,000
</t>
        </r>
      </text>
    </comment>
    <comment ref="BE101" authorId="0" shapeId="0">
      <text>
        <r>
          <rPr>
            <b/>
            <sz val="9"/>
            <color indexed="81"/>
            <rFont val="Tahoma"/>
            <family val="2"/>
          </rPr>
          <t>Leonard Thagard:</t>
        </r>
        <r>
          <rPr>
            <sz val="9"/>
            <color indexed="81"/>
            <rFont val="Tahoma"/>
            <family val="2"/>
          </rPr>
          <t xml:space="preserve">
Current contract is for $22,000.  $120,000 is commissioning reserve.</t>
        </r>
      </text>
    </comment>
    <comment ref="AC102" authorId="0" shapeId="0">
      <text>
        <r>
          <rPr>
            <b/>
            <sz val="9"/>
            <color indexed="81"/>
            <rFont val="Tahoma"/>
            <family val="2"/>
          </rPr>
          <t>Leonard Thagard:</t>
        </r>
        <r>
          <rPr>
            <sz val="9"/>
            <color indexed="81"/>
            <rFont val="Tahoma"/>
            <family val="2"/>
          </rPr>
          <t xml:space="preserve">
assume 30% savings over baseline</t>
        </r>
      </text>
    </comment>
    <comment ref="AD102" authorId="0" shapeId="0">
      <text>
        <r>
          <rPr>
            <b/>
            <sz val="9"/>
            <color indexed="81"/>
            <rFont val="Tahoma"/>
            <family val="2"/>
          </rPr>
          <t>Leonard Thagard:</t>
        </r>
        <r>
          <rPr>
            <sz val="9"/>
            <color indexed="81"/>
            <rFont val="Tahoma"/>
            <family val="2"/>
          </rPr>
          <t xml:space="preserve">
Highest $/GSF to date.</t>
        </r>
      </text>
    </comment>
    <comment ref="BA102" authorId="0" shapeId="0">
      <text>
        <r>
          <rPr>
            <b/>
            <sz val="9"/>
            <color indexed="81"/>
            <rFont val="Tahoma"/>
            <family val="2"/>
          </rPr>
          <t>Leonard Thagard:</t>
        </r>
        <r>
          <rPr>
            <sz val="9"/>
            <color indexed="81"/>
            <rFont val="Tahoma"/>
            <family val="2"/>
          </rPr>
          <t xml:space="preserve">
assume 95% of proposed building construction estimate</t>
        </r>
      </text>
    </comment>
    <comment ref="S103" authorId="0" shapeId="0">
      <text>
        <r>
          <rPr>
            <b/>
            <sz val="9"/>
            <color indexed="81"/>
            <rFont val="Tahoma"/>
            <family val="2"/>
          </rPr>
          <t>Leonard Thagard:</t>
        </r>
        <r>
          <rPr>
            <sz val="9"/>
            <color indexed="81"/>
            <rFont val="Tahoma"/>
            <family val="2"/>
          </rPr>
          <t xml:space="preserve">
25% improvement w/o plug load</t>
        </r>
      </text>
    </comment>
    <comment ref="Z103" authorId="0" shapeId="0">
      <text>
        <r>
          <rPr>
            <b/>
            <sz val="9"/>
            <color indexed="81"/>
            <rFont val="Tahoma"/>
            <family val="2"/>
          </rPr>
          <t>Leonard Thagard:</t>
        </r>
        <r>
          <rPr>
            <sz val="9"/>
            <color indexed="81"/>
            <rFont val="Tahoma"/>
            <family val="2"/>
          </rPr>
          <t xml:space="preserve">
energy dollars include plug and process loads</t>
        </r>
      </text>
    </comment>
    <comment ref="AY103" authorId="0" shapeId="0">
      <text>
        <r>
          <rPr>
            <b/>
            <sz val="9"/>
            <color indexed="81"/>
            <rFont val="Tahoma"/>
            <family val="2"/>
          </rPr>
          <t>Leonard Thagard:</t>
        </r>
        <r>
          <rPr>
            <sz val="9"/>
            <color indexed="81"/>
            <rFont val="Tahoma"/>
            <family val="2"/>
          </rPr>
          <t xml:space="preserve">
Total CM DD estimate.
Designer's DD estimate is $36,334,998.</t>
        </r>
      </text>
    </comment>
    <comment ref="BA103" authorId="0" shapeId="0">
      <text>
        <r>
          <rPr>
            <b/>
            <sz val="9"/>
            <color indexed="81"/>
            <rFont val="Tahoma"/>
            <family val="2"/>
          </rPr>
          <t>Leonard Thagard:</t>
        </r>
        <r>
          <rPr>
            <sz val="9"/>
            <color indexed="81"/>
            <rFont val="Tahoma"/>
            <family val="2"/>
          </rPr>
          <t xml:space="preserve">
baseline estimate from energy model report.  Proposed estimate si $36,334,998 compared to CM estimate of </t>
        </r>
      </text>
    </comment>
    <comment ref="A107" authorId="0" shapeId="0">
      <text>
        <r>
          <rPr>
            <b/>
            <sz val="9"/>
            <color indexed="81"/>
            <rFont val="Tahoma"/>
            <family val="2"/>
          </rPr>
          <t>Leonard Thagard:</t>
        </r>
        <r>
          <rPr>
            <sz val="9"/>
            <color indexed="81"/>
            <rFont val="Tahoma"/>
            <family val="2"/>
          </rPr>
          <t xml:space="preserve">
Courtsey review only of energy model and LCCA per Greg Driver &amp; Joe Bace discussion (SCO Director &amp; AB Tech Fac/Oper Director)</t>
        </r>
      </text>
    </comment>
    <comment ref="R107" authorId="0" shapeId="0">
      <text>
        <r>
          <rPr>
            <b/>
            <sz val="9"/>
            <color indexed="81"/>
            <rFont val="Tahoma"/>
            <family val="2"/>
          </rPr>
          <t>Leonard Thagard:</t>
        </r>
        <r>
          <rPr>
            <sz val="9"/>
            <color indexed="81"/>
            <rFont val="Tahoma"/>
            <family val="2"/>
          </rPr>
          <t xml:space="preserve">
second lowest proposed EUI, second only to a warehouse/storage facility.</t>
        </r>
      </text>
    </comment>
    <comment ref="S107" authorId="0" shapeId="0">
      <text>
        <r>
          <rPr>
            <b/>
            <sz val="9"/>
            <color indexed="81"/>
            <rFont val="Tahoma"/>
            <family val="2"/>
          </rPr>
          <t>Leonard Thagard:</t>
        </r>
        <r>
          <rPr>
            <sz val="9"/>
            <color indexed="81"/>
            <rFont val="Tahoma"/>
            <family val="2"/>
          </rPr>
          <t xml:space="preserve">
Highest percentage savings to date.</t>
        </r>
      </text>
    </comment>
    <comment ref="E110" authorId="0" shapeId="0">
      <text>
        <r>
          <rPr>
            <b/>
            <sz val="9"/>
            <color indexed="81"/>
            <rFont val="Tahoma"/>
            <family val="2"/>
          </rPr>
          <t>Leonard Thagard:</t>
        </r>
        <r>
          <rPr>
            <sz val="9"/>
            <color indexed="81"/>
            <rFont val="Tahoma"/>
            <family val="2"/>
          </rPr>
          <t xml:space="preserve">
No updates to report as of 11.20.13.  AP approved, design contract approved, no SD submission.</t>
        </r>
      </text>
    </comment>
  </commentList>
</comments>
</file>

<file path=xl/sharedStrings.xml><?xml version="1.0" encoding="utf-8"?>
<sst xmlns="http://schemas.openxmlformats.org/spreadsheetml/2006/main" count="21058" uniqueCount="1611">
  <si>
    <t>Project</t>
  </si>
  <si>
    <t>Baseline</t>
  </si>
  <si>
    <t>Proposed</t>
  </si>
  <si>
    <t>SCO ID#</t>
  </si>
  <si>
    <t>DD</t>
  </si>
  <si>
    <t>00-06539-03A</t>
  </si>
  <si>
    <t>ECSU</t>
  </si>
  <si>
    <t>03-07291-02A</t>
  </si>
  <si>
    <t>WCU</t>
  </si>
  <si>
    <t>06-06859-02A</t>
  </si>
  <si>
    <t>CD</t>
  </si>
  <si>
    <t>UNCP</t>
  </si>
  <si>
    <t>Office/Classroom</t>
  </si>
  <si>
    <t>NA</t>
  </si>
  <si>
    <t>UNCA</t>
  </si>
  <si>
    <t>07-07395-02A</t>
  </si>
  <si>
    <t>Lena Sue Beam Renovation</t>
  </si>
  <si>
    <t>07-07572-01A</t>
  </si>
  <si>
    <t>Basic Skills Building</t>
  </si>
  <si>
    <t>AP/SD</t>
  </si>
  <si>
    <t>NCCU</t>
  </si>
  <si>
    <t>05-06644-02A</t>
  </si>
  <si>
    <t>SD</t>
  </si>
  <si>
    <t>07-07252-03A</t>
  </si>
  <si>
    <t>08-07329-02A</t>
  </si>
  <si>
    <t>08-07327-02A</t>
  </si>
  <si>
    <t>ASU</t>
  </si>
  <si>
    <t>Plemmons Student Union</t>
  </si>
  <si>
    <t>Office/Classroom/Conference</t>
  </si>
  <si>
    <t>Baseline (Gal/Res/Yr)</t>
  </si>
  <si>
    <t>Baseline (Gal/Sq Ft/Yr)</t>
  </si>
  <si>
    <t>Proposed (Gal/Res/Yr)</t>
  </si>
  <si>
    <t>Proposed (Gal/Sq Ft/Yr)</t>
  </si>
  <si>
    <t>Baseline ($/Yr/Sq Ft)</t>
  </si>
  <si>
    <t>11 and 3</t>
  </si>
  <si>
    <t>06-06924-05A</t>
  </si>
  <si>
    <t>NCDOA-VA</t>
  </si>
  <si>
    <t>07-07081-02A</t>
  </si>
  <si>
    <t xml:space="preserve"> </t>
  </si>
  <si>
    <t>Proposed % improvement in energy cost</t>
  </si>
  <si>
    <t>Proposed % improvement in water usage</t>
  </si>
  <si>
    <t>Proposed Energy Savings</t>
  </si>
  <si>
    <t>Proposed Savings in Energy Cost</t>
  </si>
  <si>
    <t>Proposed Savings (Gallons/Year)</t>
  </si>
  <si>
    <t>09-07858-01A</t>
  </si>
  <si>
    <t>DOA</t>
  </si>
  <si>
    <t>Office/Courtroom</t>
  </si>
  <si>
    <t>Union Station</t>
  </si>
  <si>
    <t>Office/Classroom/Auditorium</t>
  </si>
  <si>
    <t>07-07166-02A</t>
  </si>
  <si>
    <t>School of Aviation</t>
  </si>
  <si>
    <t>Office/Classroom/Hangar</t>
  </si>
  <si>
    <t>09-07927-03A</t>
  </si>
  <si>
    <t>UNC-G</t>
  </si>
  <si>
    <t xml:space="preserve">Residence Hall </t>
  </si>
  <si>
    <t>11-08594-01A</t>
  </si>
  <si>
    <t>FSU</t>
  </si>
  <si>
    <t>10-08389-02A</t>
  </si>
  <si>
    <t>Highway Patrol Training Facility</t>
  </si>
  <si>
    <t>08-07880-02B</t>
  </si>
  <si>
    <t>NCSU</t>
  </si>
  <si>
    <t>NC State Bar HQ</t>
  </si>
  <si>
    <t>10-08450-02A</t>
  </si>
  <si>
    <t>UNCC</t>
  </si>
  <si>
    <t>05-06656-01A</t>
  </si>
  <si>
    <t>Office/Classroom/Training</t>
  </si>
  <si>
    <t>10-08698-02A</t>
  </si>
  <si>
    <t>08-07305-01F</t>
  </si>
  <si>
    <t>ECU</t>
  </si>
  <si>
    <t>Gym/Office</t>
  </si>
  <si>
    <t>05-07248-02A</t>
  </si>
  <si>
    <t>Baseline (Gallons/Year)</t>
  </si>
  <si>
    <t>Proposed (Gallons/Year)</t>
  </si>
  <si>
    <t>No Contract</t>
  </si>
  <si>
    <t>07-07399-03A</t>
  </si>
  <si>
    <t>Number of Beds</t>
  </si>
  <si>
    <t>Gaston CC</t>
  </si>
  <si>
    <t>Robeson CC</t>
  </si>
  <si>
    <t>Randolph CC</t>
  </si>
  <si>
    <t>Edgecombe CC</t>
  </si>
  <si>
    <t>Cape Fear CC</t>
  </si>
  <si>
    <t>Pitt CC</t>
  </si>
  <si>
    <t>06-07223-01A</t>
  </si>
  <si>
    <t>Prospector Hall Renovation Phase II</t>
  </si>
  <si>
    <t>10-08610-03A</t>
  </si>
  <si>
    <t>07-07352-03A</t>
  </si>
  <si>
    <t>South Piedmont CC</t>
  </si>
  <si>
    <t>Multipurpose Bldg</t>
  </si>
  <si>
    <t>Office/Classroom/Labs</t>
  </si>
  <si>
    <t>06-06994-02B</t>
  </si>
  <si>
    <t>Classroom/Lab/Offices</t>
  </si>
  <si>
    <t>3 and 4</t>
  </si>
  <si>
    <t>Davis Arena Add &amp; Renov</t>
  </si>
  <si>
    <t>Assembly</t>
  </si>
  <si>
    <t>08-07348-02A</t>
  </si>
  <si>
    <t>SENC Ag Center</t>
  </si>
  <si>
    <t>Equine &amp; Livestock</t>
  </si>
  <si>
    <t>07-07129-02A</t>
  </si>
  <si>
    <t>UNCW</t>
  </si>
  <si>
    <t>06-07181-01A</t>
  </si>
  <si>
    <t>WSSU</t>
  </si>
  <si>
    <t>07-07171-02A</t>
  </si>
  <si>
    <t>Hunt Library</t>
  </si>
  <si>
    <t>CD-2</t>
  </si>
  <si>
    <t>08-07833-02A</t>
  </si>
  <si>
    <t>Lockerrooms/Offices</t>
  </si>
  <si>
    <t>08-07847-03A</t>
  </si>
  <si>
    <t>Offices/Theater/Conference/Food Service/Book Store</t>
  </si>
  <si>
    <t>08-07382-02A</t>
  </si>
  <si>
    <t>UNCG</t>
  </si>
  <si>
    <t>Dining Hall Renovation</t>
  </si>
  <si>
    <t>Student Health Center</t>
  </si>
  <si>
    <t>Offices/Clinics</t>
  </si>
  <si>
    <t>NCSSM</t>
  </si>
  <si>
    <t>07-07236-01A</t>
  </si>
  <si>
    <t>Science and Office Bldg</t>
  </si>
  <si>
    <t>07-07313-04A</t>
  </si>
  <si>
    <t>Discovery Center Project - Reynolds East</t>
  </si>
  <si>
    <t>08-07347-02A</t>
  </si>
  <si>
    <t xml:space="preserve">Harrill Residence Hall Renovation </t>
  </si>
  <si>
    <t>07-07054-02A</t>
  </si>
  <si>
    <t>Offices/Classrooms/Labs</t>
  </si>
  <si>
    <t>Veteran's Nursing Home - Kinston</t>
  </si>
  <si>
    <t>06-06646-03A</t>
  </si>
  <si>
    <t>Center for Design Innovation</t>
  </si>
  <si>
    <t>08-07845-03A</t>
  </si>
  <si>
    <t>UNCSA</t>
  </si>
  <si>
    <t>Campus Police Facility</t>
  </si>
  <si>
    <t>Offices</t>
  </si>
  <si>
    <t>10-08634-03A</t>
  </si>
  <si>
    <t>DOT</t>
  </si>
  <si>
    <t>Locomotive and Railcar Maint. Facility</t>
  </si>
  <si>
    <t>Offices &amp; Railcar</t>
  </si>
  <si>
    <t>NCA&amp;T</t>
  </si>
  <si>
    <t>11-08879-01A</t>
  </si>
  <si>
    <t>Residence Hall</t>
  </si>
  <si>
    <t>07-07060-03A</t>
  </si>
  <si>
    <t>10-08905-03A</t>
  </si>
  <si>
    <t>08-07560-03A</t>
  </si>
  <si>
    <t>PORTAL</t>
  </si>
  <si>
    <t>Office</t>
  </si>
  <si>
    <t>08-07272-01A</t>
  </si>
  <si>
    <t>10-08633-03A</t>
  </si>
  <si>
    <t>08-07309-02A</t>
  </si>
  <si>
    <t>GTCC</t>
  </si>
  <si>
    <t>Veteran's Nursing Home - Swananoa</t>
  </si>
  <si>
    <t>11-08953-01A</t>
  </si>
  <si>
    <t>UNC-CH</t>
  </si>
  <si>
    <t>06-06981-05A</t>
  </si>
  <si>
    <t>New Library Building</t>
  </si>
  <si>
    <t>Library/Offices</t>
  </si>
  <si>
    <t>08-08115-03A</t>
  </si>
  <si>
    <t>Film School Production Design Facility</t>
  </si>
  <si>
    <t>Various</t>
  </si>
  <si>
    <t>08-07844-03A</t>
  </si>
  <si>
    <t>Central Storage Facility</t>
  </si>
  <si>
    <t>Warehouse/Storage</t>
  </si>
  <si>
    <t xml:space="preserve">NA </t>
  </si>
  <si>
    <t>10-08894-03A</t>
  </si>
  <si>
    <t>11-09099-02A</t>
  </si>
  <si>
    <t>11-08884-03A</t>
  </si>
  <si>
    <t>09-07972-03A</t>
  </si>
  <si>
    <t>Nash CC</t>
  </si>
  <si>
    <t>CE and BLET</t>
  </si>
  <si>
    <t>Offices/Classrooms/Gym/Training</t>
  </si>
  <si>
    <t>Catawba Valley CC</t>
  </si>
  <si>
    <t>Classrooms/Ofices/Lab&amp;Shop/conf training/etc</t>
  </si>
  <si>
    <t>AP</t>
  </si>
  <si>
    <t>LEED  submit.</t>
  </si>
  <si>
    <t>Cone Residence Hall Renovation</t>
  </si>
  <si>
    <t>11-09156-02A</t>
  </si>
  <si>
    <t>Commissioning Fee</t>
  </si>
  <si>
    <t>None Noted</t>
  </si>
  <si>
    <t>FI</t>
  </si>
  <si>
    <t>11-09090-03A</t>
  </si>
  <si>
    <t>Assembly/Dining/Offices</t>
  </si>
  <si>
    <t>10-09113-02A</t>
  </si>
  <si>
    <t>11-09246-03A</t>
  </si>
  <si>
    <t>Student Recreation Center</t>
  </si>
  <si>
    <t>Allied Health &amp; Workforce</t>
  </si>
  <si>
    <t>ABTCC</t>
  </si>
  <si>
    <t>12-09487-01A</t>
  </si>
  <si>
    <t>Office/Classroom/Lab/Assembly</t>
  </si>
  <si>
    <t>Final Not Approved 05/23/2011</t>
  </si>
  <si>
    <t>Project on Hold</t>
  </si>
  <si>
    <t>Approved to bid 05/15/2011</t>
  </si>
  <si>
    <t>09-07924-02B</t>
  </si>
  <si>
    <t>Science and Technology Building</t>
  </si>
  <si>
    <t>06-06971-02A</t>
  </si>
  <si>
    <t>Final</t>
  </si>
  <si>
    <t>Office/Classrooms/Labs</t>
  </si>
  <si>
    <t>Chidley North Residence Hall</t>
  </si>
  <si>
    <t>Residence Hall / Office Classrooms</t>
  </si>
  <si>
    <t>Residence Hall / Classroom</t>
  </si>
  <si>
    <t>03-08608-02A</t>
  </si>
  <si>
    <t>South Village Dining Facility</t>
  </si>
  <si>
    <t>Jones Student Center - Renovation and Addition</t>
  </si>
  <si>
    <t>Collaborative Science Building</t>
  </si>
  <si>
    <t>UNC</t>
  </si>
  <si>
    <t>11-09030-02A</t>
  </si>
  <si>
    <t>Labs/Offices</t>
  </si>
  <si>
    <t>Proposed ($/Yr/Sq Ft)</t>
  </si>
  <si>
    <t>Food Service/Dining</t>
  </si>
  <si>
    <t>Phase XIII Residence Hall</t>
  </si>
  <si>
    <t>is for multiple buildings</t>
  </si>
  <si>
    <t>Energy Model Report Phase</t>
  </si>
  <si>
    <t>Construction Contract Award Date</t>
  </si>
  <si>
    <t>Agency or Institution</t>
  </si>
  <si>
    <t>Student Health Center Addition and Renovation</t>
  </si>
  <si>
    <t>Rhoades Hall Renovation</t>
  </si>
  <si>
    <t>Student Recreation Facility Addition</t>
  </si>
  <si>
    <t>Talley Student Center Renovation and Addition</t>
  </si>
  <si>
    <t>Hill Hall Renovation - Student Success Center</t>
  </si>
  <si>
    <t>Belk Residence Hall Renovation</t>
  </si>
  <si>
    <t>Holshouser Residence Hall Renovation</t>
  </si>
  <si>
    <t>New Student Center</t>
  </si>
  <si>
    <t>CFCC</t>
  </si>
  <si>
    <t>11-08585-02A</t>
  </si>
  <si>
    <r>
      <t xml:space="preserve">PACKAGE DATA </t>
    </r>
    <r>
      <rPr>
        <sz val="14"/>
        <rFont val="Arial"/>
        <family val="2"/>
      </rPr>
      <t>(Pages 1 - 6)</t>
    </r>
  </si>
  <si>
    <r>
      <t xml:space="preserve">ANNUAL ENERGY USAGE (x1,000,000 BTU/YEAR) </t>
    </r>
    <r>
      <rPr>
        <sz val="14"/>
        <rFont val="Arial"/>
        <family val="2"/>
      </rPr>
      <t>(Pages 7 -12)</t>
    </r>
  </si>
  <si>
    <r>
      <t xml:space="preserve">ANNUAL ENERGY USAGE ($/YEAR) </t>
    </r>
    <r>
      <rPr>
        <sz val="14"/>
        <rFont val="Arial"/>
        <family val="2"/>
      </rPr>
      <t>(pages 13-18)</t>
    </r>
  </si>
  <si>
    <t>Classrooms, labs, offices</t>
  </si>
  <si>
    <t>Not used.</t>
  </si>
  <si>
    <t xml:space="preserve"> NOT SB 668</t>
  </si>
  <si>
    <t>Included w/A+ETC</t>
  </si>
  <si>
    <t>Equipment repair, offices, classrooms</t>
  </si>
  <si>
    <t>09-07928-02A</t>
  </si>
  <si>
    <t>RCCC</t>
  </si>
  <si>
    <t>11-08937-02A</t>
  </si>
  <si>
    <t>Classroom, offices</t>
  </si>
  <si>
    <t>Included w/ Bldgs 300 and 500.</t>
  </si>
  <si>
    <t>12-09461-02A</t>
  </si>
  <si>
    <t xml:space="preserve">Nursing Home </t>
  </si>
  <si>
    <t>Oak Residence Hall Renovation</t>
  </si>
  <si>
    <t xml:space="preserve">Hotel/Classrooms/Conference </t>
  </si>
  <si>
    <t>Gym/Pool</t>
  </si>
  <si>
    <t>Metered Energy Usage</t>
  </si>
  <si>
    <t>Metered</t>
  </si>
  <si>
    <t>Metered ($/Yr/Sq Ft)</t>
  </si>
  <si>
    <t>Metered % improvement in energy cost</t>
  </si>
  <si>
    <t>Metered Savings in Energy Cost</t>
  </si>
  <si>
    <t>Metered (Gallons/Year)</t>
  </si>
  <si>
    <t>Metered (Gal/Res/Yr)</t>
  </si>
  <si>
    <t>Metered (Gal/Sq Ft/Yr)</t>
  </si>
  <si>
    <t>No Contract (Privately Funded)</t>
  </si>
  <si>
    <t>Gym, Pool, Offices</t>
  </si>
  <si>
    <t>ASHRAE Standard</t>
  </si>
  <si>
    <t>90.1-2004</t>
  </si>
  <si>
    <t>90.1-2010</t>
  </si>
  <si>
    <t>90.1-2007</t>
  </si>
  <si>
    <t>Nursing Home</t>
  </si>
  <si>
    <t>Western Crime Lab</t>
  </si>
  <si>
    <t>NCDoJ</t>
  </si>
  <si>
    <t>none noted</t>
  </si>
  <si>
    <t>Advance Planning Contract Item G</t>
  </si>
  <si>
    <r>
      <rPr>
        <b/>
        <sz val="11"/>
        <color rgb="FFFF0000"/>
        <rFont val="Arial"/>
        <family val="2"/>
      </rPr>
      <t>Cost Estimate</t>
    </r>
    <r>
      <rPr>
        <b/>
        <sz val="11"/>
        <rFont val="Arial"/>
        <family val="2"/>
      </rPr>
      <t xml:space="preserve">     or                  </t>
    </r>
    <r>
      <rPr>
        <b/>
        <sz val="11"/>
        <color rgb="FF00B050"/>
        <rFont val="Arial"/>
        <family val="2"/>
      </rPr>
      <t>Original Amount Construction Contract</t>
    </r>
  </si>
  <si>
    <t>Designer's Baseline      (non-SB668) Estimate</t>
  </si>
  <si>
    <t>Original Total Design Fee  (without amendments)</t>
  </si>
  <si>
    <t>Additional Design Fees (LEED or     SB 668 - included in OTDF)</t>
  </si>
  <si>
    <r>
      <t xml:space="preserve">Size         </t>
    </r>
    <r>
      <rPr>
        <b/>
        <sz val="8"/>
        <rFont val="Arial"/>
        <family val="2"/>
      </rPr>
      <t>(GSF from building code summary)</t>
    </r>
  </si>
  <si>
    <t xml:space="preserve">no contract  </t>
  </si>
  <si>
    <t>Gym/pool/fitness/courts/lockerrom</t>
  </si>
  <si>
    <t>Gym/Food Service/</t>
  </si>
  <si>
    <t>Rizzo Conference Center Phase III (Privately Funded)</t>
  </si>
  <si>
    <t>Wake TCC</t>
  </si>
  <si>
    <t>Holding Hall Renovation</t>
  </si>
  <si>
    <t>06-06753-02A</t>
  </si>
  <si>
    <t>Offices/Classrooms</t>
  </si>
  <si>
    <t>Mary Ellen Jones Renovation</t>
  </si>
  <si>
    <t>Student Health Center Add and Renovation</t>
  </si>
  <si>
    <t>12-09471-03A</t>
  </si>
  <si>
    <t>Belk Gymnasium Renovation (Student Recreation Facility)</t>
  </si>
  <si>
    <t>Proposed improvement in energy efficiency</t>
  </si>
  <si>
    <t>Metered improvement in energy efficiency</t>
  </si>
  <si>
    <t>Metered improvement in water usage</t>
  </si>
  <si>
    <t>12-09496-03A</t>
  </si>
  <si>
    <t>DoAG&amp;CS</t>
  </si>
  <si>
    <r>
      <rPr>
        <b/>
        <sz val="11"/>
        <color rgb="FF00B050"/>
        <rFont val="Arial"/>
        <family val="2"/>
      </rPr>
      <t>Actual</t>
    </r>
    <r>
      <rPr>
        <b/>
        <sz val="11"/>
        <rFont val="Arial"/>
        <family val="2"/>
      </rPr>
      <t xml:space="preserve"> or </t>
    </r>
    <r>
      <rPr>
        <b/>
        <sz val="11"/>
        <color rgb="FFFF0000"/>
        <rFont val="Arial"/>
        <family val="2"/>
      </rPr>
      <t>Projected</t>
    </r>
    <r>
      <rPr>
        <b/>
        <sz val="11"/>
        <rFont val="Arial"/>
        <family val="2"/>
      </rPr>
      <t xml:space="preserve"> Acceptance Date</t>
    </r>
  </si>
  <si>
    <t>Russell Classroom Building</t>
  </si>
  <si>
    <t>Overlook Residence Hall</t>
  </si>
  <si>
    <t>Viking Tower Residence Hall</t>
  </si>
  <si>
    <t>Teaching Laboratory Building</t>
  </si>
  <si>
    <t>Gilchrist Education and Psychology Complex</t>
  </si>
  <si>
    <t>Miltimore Residence Hall</t>
  </si>
  <si>
    <t>Martin-Schexnider Residence Hall</t>
  </si>
  <si>
    <t>Reaves Student Activities Center </t>
  </si>
  <si>
    <t>Health Science Building</t>
  </si>
  <si>
    <t>Veteran's Nursing Home - Swannanoa</t>
  </si>
  <si>
    <t>(Foundation Project)</t>
  </si>
  <si>
    <t xml:space="preserve">Library/Offices/Lecture Hall/Meeting </t>
  </si>
  <si>
    <r>
      <t xml:space="preserve">ANNUAL INDOOR WATER USAGE (GALLONS/YEAR) </t>
    </r>
    <r>
      <rPr>
        <sz val="14"/>
        <rFont val="Arial"/>
        <family val="2"/>
      </rPr>
      <t>(Pages 19 - 24)</t>
    </r>
  </si>
  <si>
    <r>
      <t xml:space="preserve">Construction and Design Costs and Fees </t>
    </r>
    <r>
      <rPr>
        <sz val="14"/>
        <rFont val="Arial"/>
        <family val="2"/>
      </rPr>
      <t>(Pages 25 - 30)</t>
    </r>
  </si>
  <si>
    <t>Simple Payback in Years (Net Savings Required /HB 628)</t>
  </si>
  <si>
    <t>Construction Cost/SF</t>
  </si>
  <si>
    <t>SKA</t>
  </si>
  <si>
    <t>M&amp;C</t>
  </si>
  <si>
    <t>CN</t>
  </si>
  <si>
    <t>SWA</t>
  </si>
  <si>
    <t>AEI</t>
  </si>
  <si>
    <t>MCBH</t>
  </si>
  <si>
    <t>PDC</t>
  </si>
  <si>
    <t>MSWG</t>
  </si>
  <si>
    <t>RMF</t>
  </si>
  <si>
    <t>BR+A</t>
  </si>
  <si>
    <t>M&amp;L</t>
  </si>
  <si>
    <t>Sud</t>
  </si>
  <si>
    <t>Edi</t>
  </si>
  <si>
    <t>EPIC</t>
  </si>
  <si>
    <t>07-07078-02A</t>
  </si>
  <si>
    <t>Offices/Labs/Classrooms</t>
  </si>
  <si>
    <t>12-09648-03A</t>
  </si>
  <si>
    <t>Peterson</t>
  </si>
  <si>
    <t>Cheatham</t>
  </si>
  <si>
    <t>Optima</t>
  </si>
  <si>
    <t>Dewberry</t>
  </si>
  <si>
    <t>Student Recreation Center (cost includes CUP?)</t>
  </si>
  <si>
    <t>Modeler</t>
  </si>
  <si>
    <t>ESE</t>
  </si>
  <si>
    <t xml:space="preserve">Bailey </t>
  </si>
  <si>
    <t>Electricity  (KWhs)</t>
  </si>
  <si>
    <t>Steam Usage (lbs)</t>
  </si>
  <si>
    <t>No Data</t>
  </si>
  <si>
    <t>Water Usage (gallons)</t>
  </si>
  <si>
    <t>Chilled water (ton-hrs)</t>
  </si>
  <si>
    <t>Electricity Cost ($)</t>
  </si>
  <si>
    <t>Water Cost ($)</t>
  </si>
  <si>
    <t>Steam Cost ($)</t>
  </si>
  <si>
    <t>Coit</t>
  </si>
  <si>
    <t>Water Costs ($)</t>
  </si>
  <si>
    <t>Cotten</t>
  </si>
  <si>
    <t>N/A</t>
  </si>
  <si>
    <t>Gray</t>
  </si>
  <si>
    <t>Hinshaw</t>
  </si>
  <si>
    <t>Jamison</t>
  </si>
  <si>
    <t>Shaw</t>
  </si>
  <si>
    <t>2012/2013 Meter Data Summary</t>
  </si>
  <si>
    <t>ASU - Cone Residence Hall Renovation</t>
  </si>
  <si>
    <t>Utility</t>
  </si>
  <si>
    <t>Total</t>
  </si>
  <si>
    <t>Units</t>
  </si>
  <si>
    <t>Electricity (KWhs)</t>
  </si>
  <si>
    <t>kwhs</t>
  </si>
  <si>
    <t>MMbtu</t>
  </si>
  <si>
    <t>Steam (lbs)</t>
  </si>
  <si>
    <t>lbs</t>
  </si>
  <si>
    <t>Water (gallons)</t>
  </si>
  <si>
    <t>gallons</t>
  </si>
  <si>
    <t>Elecricity Cost ($)</t>
  </si>
  <si>
    <t>Steam Costs ($)</t>
  </si>
  <si>
    <t>NCCU - Chidley North Residence Hall</t>
  </si>
  <si>
    <t>Steam  (lbs)</t>
  </si>
  <si>
    <t>*</t>
  </si>
  <si>
    <t>No data</t>
  </si>
  <si>
    <t xml:space="preserve">Natural Gas (Therms) </t>
  </si>
  <si>
    <t>therms</t>
  </si>
  <si>
    <t>**</t>
  </si>
  <si>
    <t>Natural Gas ( $)</t>
  </si>
  <si>
    <t>* Steam data is not available.  Meter calibration/operation issues.</t>
  </si>
  <si>
    <t>**April water data is an average of March and May</t>
  </si>
  <si>
    <t>NCSU - Student Health Center Addition and Renovation</t>
  </si>
  <si>
    <t>Electric (kWh)</t>
  </si>
  <si>
    <t>kwh</t>
  </si>
  <si>
    <t>Chilled Water (Dtherms)</t>
  </si>
  <si>
    <t>dthrms</t>
  </si>
  <si>
    <t>Steam (1,000 lbs)</t>
  </si>
  <si>
    <t>1000 lbs</t>
  </si>
  <si>
    <t>Water (CF)</t>
  </si>
  <si>
    <t>CF</t>
  </si>
  <si>
    <t>Electric Cost ($)</t>
  </si>
  <si>
    <t>Chilled Water Cost ($)</t>
  </si>
  <si>
    <t>* Steam data is questionable.  Meter calibration/operation issues.</t>
  </si>
  <si>
    <t>UNCC - Prospector Hall Renovation Phase II</t>
  </si>
  <si>
    <t>Nat Gas (Therms)</t>
  </si>
  <si>
    <t>Water Usage (CF)</t>
  </si>
  <si>
    <t>Nat Gas Costs ($)</t>
  </si>
  <si>
    <t xml:space="preserve">UNCC - Miltimore Residence Hall </t>
  </si>
  <si>
    <t xml:space="preserve">UNCC - EPIC </t>
  </si>
  <si>
    <t xml:space="preserve">Pitt CC - Russell Classroom Building </t>
  </si>
  <si>
    <t>Gas Usage (CCF)</t>
  </si>
  <si>
    <t>CCF</t>
  </si>
  <si>
    <r>
      <t xml:space="preserve">Water </t>
    </r>
    <r>
      <rPr>
        <strike/>
        <sz val="10"/>
        <rFont val="Arial"/>
        <family val="2"/>
      </rPr>
      <t>(gallons)</t>
    </r>
    <r>
      <rPr>
        <sz val="10"/>
        <rFont val="Arial"/>
        <family val="2"/>
      </rPr>
      <t xml:space="preserve"> CCF?</t>
    </r>
  </si>
  <si>
    <t>Gas Cost ($)</t>
  </si>
  <si>
    <t>* Meter data not available.  Aug through Dec data estimated by lwt.</t>
  </si>
  <si>
    <t>**August gas estimated as average of Sep 12 and Jul 13 by lwt</t>
  </si>
  <si>
    <t xml:space="preserve">WCU - Harrill Residence Hall Renovation </t>
  </si>
  <si>
    <t>Nov-12</t>
  </si>
  <si>
    <t>Dec-12</t>
  </si>
  <si>
    <t>Jan-13</t>
  </si>
  <si>
    <t>Feb-13</t>
  </si>
  <si>
    <t>Mar-13</t>
  </si>
  <si>
    <t>Apr-13</t>
  </si>
  <si>
    <t>May-13</t>
  </si>
  <si>
    <t>Jun-13</t>
  </si>
  <si>
    <t>Jul-13</t>
  </si>
  <si>
    <t>Aug-13</t>
  </si>
  <si>
    <t>* Meter data not available.  Sep through Jan data estimated by lwt.</t>
  </si>
  <si>
    <t>UNCG - Bailey Residence Hall Renovation</t>
  </si>
  <si>
    <t>ton-hrs</t>
  </si>
  <si>
    <t>Chilled Water ($)</t>
  </si>
  <si>
    <t>UNCG Coit Residence Hall Renovation</t>
  </si>
  <si>
    <t>UNCG Cotten Residence Hall Renovation</t>
  </si>
  <si>
    <t>UNCG Gray Residence Hall Renovation</t>
  </si>
  <si>
    <t>UNCG Hinshaw Residence Hall Renovation</t>
  </si>
  <si>
    <t>UNCG Jamison Residence Hall Renovation</t>
  </si>
  <si>
    <t>UNCG Shaw Residence Hall Renovation</t>
  </si>
  <si>
    <t>UNCA - Overlook Residence Hall</t>
  </si>
  <si>
    <t>UNCP Health Science Builidng</t>
  </si>
  <si>
    <t>DD-2</t>
  </si>
  <si>
    <t>Elizabeth City State University - Gilchrist Education &amp; Psychology Building</t>
  </si>
  <si>
    <t>Electricity Usage (KWhs)</t>
  </si>
  <si>
    <t>Water-Sewer Costs ($)</t>
  </si>
  <si>
    <t>Elizabeth City State University - Viking Tower (New Mitchell Lewis Residence Hall)</t>
  </si>
  <si>
    <t>ECSU - Viking Tower</t>
  </si>
  <si>
    <t>ECSU - Gilchrist Ed &amp; Psych Bldg</t>
  </si>
  <si>
    <t>Division 2 Equipment Shop</t>
  </si>
  <si>
    <t>Repair garage/storage/offices</t>
  </si>
  <si>
    <t>CJMW</t>
  </si>
  <si>
    <t>Reynolds Coliseum Renovation</t>
  </si>
  <si>
    <t>Basketball Arena, locker rooms, offices</t>
  </si>
  <si>
    <t>BNK</t>
  </si>
  <si>
    <t>S &amp; BS Building Renovation</t>
  </si>
  <si>
    <t>Offices, classrooms, labs</t>
  </si>
  <si>
    <t>Allied Health &amp; Workforce (Courtesy review only of DD phase)</t>
  </si>
  <si>
    <t>Atelier Ten</t>
  </si>
  <si>
    <t>Newcomb &amp; Boyd</t>
  </si>
  <si>
    <t>Phase XIV Residence Hall</t>
  </si>
  <si>
    <t>Sanford Residence Hall Renovation</t>
  </si>
  <si>
    <t>12-09454-02A</t>
  </si>
  <si>
    <t>12-09912-01B</t>
  </si>
  <si>
    <t>Advanced + Emerging Technologies Center        NOT SB 668</t>
  </si>
  <si>
    <t>Heavy Equipment + Transport Technology  Center  NOT SB 668</t>
  </si>
  <si>
    <t>Building 600                   NOT SB 668</t>
  </si>
  <si>
    <t>Offices/Theater/Conference/ Food Service/ Book Store</t>
  </si>
  <si>
    <t>Spartan Village - Building 1</t>
  </si>
  <si>
    <t>Spartan Village - Building 3</t>
  </si>
  <si>
    <t>Spartan Village - Building 4</t>
  </si>
  <si>
    <t>Wolf Ridge at Centennial Bldg 6</t>
  </si>
  <si>
    <t>Wolf Ridge at Centennial Bldg 1</t>
  </si>
  <si>
    <t xml:space="preserve">Spartan Village - Building 2 </t>
  </si>
  <si>
    <t>Wolf Ridge at Centennial Bldg 3</t>
  </si>
  <si>
    <t xml:space="preserve">Advanced + Emerging Technologies Center        NOT SB 668 </t>
  </si>
  <si>
    <t>Pitt Community College - Russell Classroom Building Energy Use 2012 / 2013</t>
  </si>
  <si>
    <t>***</t>
  </si>
  <si>
    <t>Account was in Centurion's name until October 2012</t>
  </si>
  <si>
    <t xml:space="preserve">CER, CIT, and FSC are all on one meter, therefore we do not have access to information for each individual building. </t>
  </si>
  <si>
    <t xml:space="preserve">As a result we must rely on GUC to provide us with any information for these individual meters. </t>
  </si>
  <si>
    <t>GUC is only able to pull information from this calendar year, therefore they provided me with January 2013 to present.</t>
  </si>
  <si>
    <t>In addition, the information provided by GUC is just the KWHs and does not include any demand usage.</t>
  </si>
  <si>
    <t>July 012</t>
  </si>
  <si>
    <t>Aug  012</t>
  </si>
  <si>
    <t>Sept 012</t>
  </si>
  <si>
    <t>Oct 012</t>
  </si>
  <si>
    <t>Nov 012</t>
  </si>
  <si>
    <t>Dec 012</t>
  </si>
  <si>
    <t>Jan 013</t>
  </si>
  <si>
    <t>Feb 013</t>
  </si>
  <si>
    <t>Mar 013</t>
  </si>
  <si>
    <t>April 013</t>
  </si>
  <si>
    <t>May 013</t>
  </si>
  <si>
    <t>June 013</t>
  </si>
  <si>
    <t>July013</t>
  </si>
  <si>
    <t>Aug013</t>
  </si>
  <si>
    <t>na</t>
  </si>
  <si>
    <t xml:space="preserve">Natural Gas ( Therms) </t>
  </si>
  <si>
    <t xml:space="preserve">NOTE: Chidley North has 2 water meters. Water meter No 1 and Water meter No 2. </t>
  </si>
  <si>
    <r>
      <rPr>
        <sz val="11"/>
        <color theme="1"/>
        <rFont val="Calibri"/>
        <family val="2"/>
      </rPr>
      <t>●</t>
    </r>
    <r>
      <rPr>
        <sz val="11"/>
        <color theme="1"/>
        <rFont val="Calibri"/>
        <family val="2"/>
        <scheme val="minor"/>
      </rPr>
      <t xml:space="preserve">Water bill for April 013:City Durham  activated  water meter No 2 in April 2012. NCCU had to pay  city Durham  water used from Meter 2*  since  meter installed in 011   </t>
    </r>
  </si>
  <si>
    <r>
      <rPr>
        <sz val="10"/>
        <rFont val="Calibri"/>
        <family val="2"/>
      </rPr>
      <t>●</t>
    </r>
    <r>
      <rPr>
        <sz val="10"/>
        <rFont val="Times New Roman"/>
        <family val="1"/>
      </rPr>
      <t xml:space="preserve">Steam Usage (lbs):  na.    Monthly steam data ( lbs)  is not reliable.  Control contractor is working on it.  </t>
    </r>
  </si>
  <si>
    <r>
      <rPr>
        <sz val="10"/>
        <rFont val="Calibri"/>
        <family val="2"/>
      </rPr>
      <t>●</t>
    </r>
    <r>
      <rPr>
        <sz val="10"/>
        <rFont val="Times New Roman"/>
        <family val="1"/>
      </rPr>
      <t xml:space="preserve">Steam meter :  Need to calibrate the meter and Schneider Electric ( BAS)  Programer is working with our IT for  internet access to building BAS .  Expect  having  steam data in  coming months </t>
    </r>
  </si>
  <si>
    <t>NCCU Chidley Residence Hall</t>
  </si>
  <si>
    <t xml:space="preserve">UNCG QUAD </t>
  </si>
  <si>
    <t>07-07203-02A</t>
  </si>
  <si>
    <t>Offices/Gym/ Food Service/ Book Store</t>
  </si>
  <si>
    <t>11-10217-02A</t>
  </si>
  <si>
    <t>RDK</t>
  </si>
  <si>
    <t>FD-2</t>
  </si>
  <si>
    <t>No Contract (Found. Proj)</t>
  </si>
  <si>
    <t>June</t>
  </si>
  <si>
    <t>July</t>
  </si>
  <si>
    <t>August</t>
  </si>
  <si>
    <t>September</t>
  </si>
  <si>
    <t>October</t>
  </si>
  <si>
    <t>November</t>
  </si>
  <si>
    <t>December</t>
  </si>
  <si>
    <t>January</t>
  </si>
  <si>
    <t>February</t>
  </si>
  <si>
    <t>data from 03/06/14 email from Steve Campbell/PDC</t>
  </si>
  <si>
    <t xml:space="preserve">Pitt Community College - Russell Classroom Building Energy Use </t>
  </si>
  <si>
    <t>***MMbtu</t>
  </si>
  <si>
    <t>*** Modeled Steam Data</t>
  </si>
  <si>
    <t>Floors (from building code summary)</t>
  </si>
  <si>
    <t>12-09978-03A</t>
  </si>
  <si>
    <t>07-09975-02A</t>
  </si>
  <si>
    <t>07-07853-02A</t>
  </si>
  <si>
    <t>MARBIONIC</t>
  </si>
  <si>
    <t>CRB/AEI</t>
  </si>
  <si>
    <t>Student Housing Phase III</t>
  </si>
  <si>
    <t>Residence Hall and Offices</t>
  </si>
  <si>
    <t>Mbtu</t>
  </si>
  <si>
    <t>Student Health Center Addition</t>
  </si>
  <si>
    <t>Actual Utility Usage*</t>
  </si>
  <si>
    <t>Electric Usage (kWh)</t>
  </si>
  <si>
    <t>Chilled Water Usage (Dtherms)</t>
  </si>
  <si>
    <t>Steam Usage (1,000 lbs)**</t>
  </si>
  <si>
    <t>Steam Cost ($)**</t>
  </si>
  <si>
    <t>*Only whole building meter installed</t>
  </si>
  <si>
    <t>** Steam meter is not reading properly</t>
  </si>
  <si>
    <t>Water (ccf)</t>
  </si>
  <si>
    <t>Water ($)</t>
  </si>
  <si>
    <t>Jerry Marshall</t>
  </si>
  <si>
    <t>Ken Pearce</t>
  </si>
  <si>
    <t>Shanna Harwell &lt;smharwel@ncsu.edu&gt;</t>
  </si>
  <si>
    <t>12-09859-03A</t>
  </si>
  <si>
    <t>Dibble and Pledger</t>
  </si>
  <si>
    <t>12-09940-03A</t>
  </si>
  <si>
    <t>Elm Residence Hall Renovation</t>
  </si>
  <si>
    <t>Maple Residence Hall Renovation</t>
  </si>
  <si>
    <t>Pine Residence Hall Renovation</t>
  </si>
  <si>
    <t>12-10117-03A</t>
  </si>
  <si>
    <t>Design Build / NOT SB 668</t>
  </si>
  <si>
    <t>Bio-tech &amp; Med Sim Center NOT SB 668</t>
  </si>
  <si>
    <t>13-10372-03A</t>
  </si>
  <si>
    <r>
      <t>Winkler Residence Hall Renovation</t>
    </r>
    <r>
      <rPr>
        <sz val="11"/>
        <rFont val="Arial"/>
        <family val="2"/>
      </rPr>
      <t xml:space="preserve">  Demolished 06/01/14</t>
    </r>
  </si>
  <si>
    <t>Demolished 06/01/14</t>
  </si>
  <si>
    <t>09-07851-01A</t>
  </si>
  <si>
    <t>Offices/Locker rooms/Club</t>
  </si>
  <si>
    <t>11-09263-02A</t>
  </si>
  <si>
    <t>Approved to bid 11/04/2013</t>
  </si>
  <si>
    <t>Judy W. Rose Football Center</t>
  </si>
  <si>
    <t xml:space="preserve">FD </t>
  </si>
  <si>
    <t>Nursing Building</t>
  </si>
  <si>
    <t>Klaussner Building</t>
  </si>
  <si>
    <t>Belk Residence Hall</t>
  </si>
  <si>
    <t>Hunt Residence Hall</t>
  </si>
  <si>
    <t>Bailey Residence Hall Renovation</t>
  </si>
  <si>
    <t>Coit Residence Hall Renovation</t>
  </si>
  <si>
    <t>Gray Residence Hall Renovation</t>
  </si>
  <si>
    <t>Hinshaw Residence Hall Renovation</t>
  </si>
  <si>
    <t>Jamison Residence Hall Renovation</t>
  </si>
  <si>
    <t>Shaw Residence Hall Renovation</t>
  </si>
  <si>
    <t>New Residence Hall - Freshman Living/Learning</t>
  </si>
  <si>
    <t>Plemmons Student Union Addition</t>
  </si>
  <si>
    <t>MARBIONC</t>
  </si>
  <si>
    <t>Cherry Building Renovation</t>
  </si>
  <si>
    <t>12-09765-02A</t>
  </si>
  <si>
    <t>Klaussner Building Renovation</t>
  </si>
  <si>
    <t>Tony Schallert</t>
  </si>
  <si>
    <t>Jon Parsons</t>
  </si>
  <si>
    <t>Elizabeth Linney</t>
  </si>
  <si>
    <t>Douglas Cato</t>
  </si>
  <si>
    <t>Dick Kabis</t>
  </si>
  <si>
    <t>Energy Contact</t>
  </si>
  <si>
    <t>Don Heisey 'dheisey@email.pittcc.edu'</t>
  </si>
  <si>
    <t>'dtodd@unca.edu'</t>
  </si>
  <si>
    <t>NCCU - Nursing Building</t>
  </si>
  <si>
    <t>2013/2014 Meter Data Summary</t>
  </si>
  <si>
    <t>NCCU - Chidley Residence Hall</t>
  </si>
  <si>
    <t>UNC-CH - Loudermilk</t>
  </si>
  <si>
    <t>DoAg&amp;CS - Davis Arena</t>
  </si>
  <si>
    <t>DoAg&amp;CS - SENC Ag Center</t>
  </si>
  <si>
    <t>DOA - VA - VA Home Swananoa</t>
  </si>
  <si>
    <t>UNCG - Coit Residence Hall Renovation</t>
  </si>
  <si>
    <t>UNCG - Cotten Residence Hall Renovation</t>
  </si>
  <si>
    <t>UNCG - Gray Residence Hall Renovation</t>
  </si>
  <si>
    <t>UNCG - Hinshaw Residence Hall Renovation</t>
  </si>
  <si>
    <t>UNCG - Jamison Residence Hall Renovation</t>
  </si>
  <si>
    <t>UNCG - Shaw Residence Hall Renovation</t>
  </si>
  <si>
    <t>FSU - Renaissance Residence Hall</t>
  </si>
  <si>
    <t>UNCW Teaching Lab</t>
  </si>
  <si>
    <t>UNCA - Rhoades Hall Renovation</t>
  </si>
  <si>
    <t>ECU - Ross Hall</t>
  </si>
  <si>
    <t>Eric Frazier</t>
  </si>
  <si>
    <t>Gaston College - Lena Sue Beam Renovation</t>
  </si>
  <si>
    <t>Heating Hot Water (?)</t>
  </si>
  <si>
    <t>Heating Hot Water Cost ($)</t>
  </si>
  <si>
    <t>NCSU - Hunt Library</t>
  </si>
  <si>
    <t>CEIC</t>
  </si>
  <si>
    <t>July 2013 - June 2014</t>
  </si>
  <si>
    <t xml:space="preserve">December </t>
  </si>
  <si>
    <t xml:space="preserve">January </t>
  </si>
  <si>
    <t xml:space="preserve">March </t>
  </si>
  <si>
    <t>April</t>
  </si>
  <si>
    <t>May</t>
  </si>
  <si>
    <t>053 029 3190
TJ9935
CEIC</t>
  </si>
  <si>
    <t>kWh Usage</t>
  </si>
  <si>
    <t>KW</t>
  </si>
  <si>
    <t>Days in period</t>
  </si>
  <si>
    <t>Amount</t>
  </si>
  <si>
    <t>Lighting</t>
  </si>
  <si>
    <t>3% Sales Tax</t>
  </si>
  <si>
    <t>Total Bill</t>
  </si>
  <si>
    <t xml:space="preserve">1003287462001      859461                 CEIC                     412 Industrial Pk </t>
  </si>
  <si>
    <t>Therms Used</t>
  </si>
  <si>
    <t>Excise Tax/Sales Tax</t>
  </si>
  <si>
    <t>83301      1830392826      CEIC                 413 Ind. Pk. Ave.</t>
  </si>
  <si>
    <t>7/11-8/12</t>
  </si>
  <si>
    <t>8/12-9/10</t>
  </si>
  <si>
    <t>9/10-10/9</t>
  </si>
  <si>
    <t>10/9-11/12</t>
  </si>
  <si>
    <t>11/12-12/11</t>
  </si>
  <si>
    <t>12/11-1/15</t>
  </si>
  <si>
    <t>1/15-2/11</t>
  </si>
  <si>
    <t>2/11-3/12</t>
  </si>
  <si>
    <t>3/12-4/10</t>
  </si>
  <si>
    <t>4/10-5/9</t>
  </si>
  <si>
    <t>5/9-6/10</t>
  </si>
  <si>
    <t>6/10-7/9</t>
  </si>
  <si>
    <t>Days in Period</t>
  </si>
  <si>
    <t xml:space="preserve">Water </t>
  </si>
  <si>
    <t>Sewer</t>
  </si>
  <si>
    <t>Tolal Utility</t>
  </si>
  <si>
    <t>Randolph Community College - Kaussner Building Renovation</t>
  </si>
  <si>
    <t xml:space="preserve">UNCC - Rose Football Center </t>
  </si>
  <si>
    <t>DOA - VA - VA Home Kinston</t>
  </si>
  <si>
    <t>Randolph CC - Klaussner Building Renovation</t>
  </si>
  <si>
    <t>Water Usage (CCF)</t>
  </si>
  <si>
    <t>ASU - Plemmons Student Union Addition</t>
  </si>
  <si>
    <t>ASU - Summit Living Learning Center</t>
  </si>
  <si>
    <t>UNCW - MARBIONC</t>
  </si>
  <si>
    <t>DOA - NC State Bar HQ</t>
  </si>
  <si>
    <t>Cindi Goodwin</t>
  </si>
  <si>
    <t>Cynthia McCrory</t>
  </si>
  <si>
    <t>FSU - Science and Technology Building</t>
  </si>
  <si>
    <t>UNCW - Student Rec Facility Addition</t>
  </si>
  <si>
    <t>WSSU - Reaves Student Activities Center</t>
  </si>
  <si>
    <t xml:space="preserve">UNCC - Belk Residence Hall </t>
  </si>
  <si>
    <t>NCSU - Cherry Building Renovation</t>
  </si>
  <si>
    <t xml:space="preserve">UNCC - Hunt Residence Hall </t>
  </si>
  <si>
    <t>NCSU - Wolf Ridge 6</t>
  </si>
  <si>
    <t>NCSU - Wolf Ridge 1</t>
  </si>
  <si>
    <t>UNCG - Spartan Village 1</t>
  </si>
  <si>
    <t>UNCG - Spartan Village 3</t>
  </si>
  <si>
    <t>UNCG - Spartan Village 4</t>
  </si>
  <si>
    <t>WSSU - Martin-Schexnider Residence Hall</t>
  </si>
  <si>
    <t>ECSU - Viking Tower Residence Hall</t>
  </si>
  <si>
    <t>Cape Fear Community College - Union Station</t>
  </si>
  <si>
    <t>ECU - Smith-Williams Center</t>
  </si>
  <si>
    <t>gals</t>
  </si>
  <si>
    <t>Usage (cf)</t>
  </si>
  <si>
    <t>University of North Carolina at Pembroke - Health Science Building Energy &amp; Natural Gas Usage</t>
  </si>
  <si>
    <t>Total Sq. Ft. &amp; Utility #'s p/sq/ft.</t>
  </si>
  <si>
    <t>Electricity Cost</t>
  </si>
  <si>
    <t>Natural Gas (Therms)</t>
  </si>
  <si>
    <t>Natural Gas Cost</t>
  </si>
  <si>
    <t>Natural Gas Transportation Cost</t>
  </si>
  <si>
    <t>Total Natural Gas Charges</t>
  </si>
  <si>
    <t>Water Usage (gal)</t>
  </si>
  <si>
    <t>Water Cost</t>
  </si>
  <si>
    <t>The water usage has been estimated based on normal cooling tower evaperation and additional building water usage per month.  We will begin monthly readings of this water submeter.</t>
  </si>
  <si>
    <t>Terry W. Divine &lt;terry.divine@uncp.edu&gt;</t>
  </si>
  <si>
    <t>MMBtu</t>
  </si>
  <si>
    <t>Les Hewlett  hewlettl14@ecu.edu</t>
  </si>
  <si>
    <t>David King &lt;dbking@email.wcu.edu&gt;</t>
  </si>
  <si>
    <t>Western Carolina University - Harrill Hall Energy Water Use</t>
  </si>
  <si>
    <t>n/a</t>
  </si>
  <si>
    <t>Bldg. #</t>
  </si>
  <si>
    <t>Building Name</t>
  </si>
  <si>
    <t>Debbie Robertson &lt;debbie.robertson@ncagr.gov&gt;</t>
  </si>
  <si>
    <t>Utility Data for Chidley North - FY 13-14</t>
  </si>
  <si>
    <t>Totals</t>
  </si>
  <si>
    <t>Electricity</t>
  </si>
  <si>
    <t>kWh</t>
  </si>
  <si>
    <t xml:space="preserve">  </t>
  </si>
  <si>
    <t>Cost / kWh</t>
  </si>
  <si>
    <t>Total Usage Cost</t>
  </si>
  <si>
    <t>Natural Gas</t>
  </si>
  <si>
    <t>Therms</t>
  </si>
  <si>
    <t>Cost (Paid to Utility)</t>
  </si>
  <si>
    <t>Water</t>
  </si>
  <si>
    <t>CF-Low Flow (CF)</t>
  </si>
  <si>
    <t>CF-High Flow (CF)</t>
  </si>
  <si>
    <t>Total CF</t>
  </si>
  <si>
    <t>Note 1: Accurate steam data is still not being captured at Chidley.  Meters have been repaired per the manufacturer, but the flow rate is so low at this time that data is not being captured as of 8/26/2014.</t>
  </si>
  <si>
    <t>Utility Data for Nursing Building - FY 13-14</t>
  </si>
  <si>
    <t>See note 2 below.</t>
  </si>
  <si>
    <t>Note 1: Due to problems with the electrical submeters installed in the Nursing Building (since corrected), usage date for Nursing was not available for FY 13-14.</t>
  </si>
  <si>
    <t xml:space="preserve">Note 2: Steam meter was incorrectly installed by contractor, and was repaired in Augst of 2014.  </t>
  </si>
  <si>
    <t>*  No data.  Meters not operational.</t>
  </si>
  <si>
    <t>Mmbtu</t>
  </si>
  <si>
    <t>East Carolina University - Ledyard E. Ross Hall Energy &amp; Water Use</t>
  </si>
  <si>
    <t>Natural Gas Usage (CCF)</t>
  </si>
  <si>
    <t>East Carolina University - Smith-Williams Center Energy &amp; Water Use</t>
  </si>
  <si>
    <t>Prospector Hall Renovation</t>
  </si>
  <si>
    <t>Jul 13</t>
  </si>
  <si>
    <t>Aug 13</t>
  </si>
  <si>
    <t>Sep 13</t>
  </si>
  <si>
    <t>Oct 13</t>
  </si>
  <si>
    <t>Nov 13</t>
  </si>
  <si>
    <t>Dec 13</t>
  </si>
  <si>
    <t>Jan 14</t>
  </si>
  <si>
    <t>Feb 14</t>
  </si>
  <si>
    <t>Mar 14</t>
  </si>
  <si>
    <t>Apr 14</t>
  </si>
  <si>
    <t>May 14</t>
  </si>
  <si>
    <t>Jun 14</t>
  </si>
  <si>
    <t>Consumption</t>
  </si>
  <si>
    <t xml:space="preserve">    Electric (KWH)</t>
  </si>
  <si>
    <t xml:space="preserve">    Nat Gas (Therms)</t>
  </si>
  <si>
    <t xml:space="preserve">    Water (CF)</t>
  </si>
  <si>
    <t>Costs $</t>
  </si>
  <si>
    <t xml:space="preserve">    Electric</t>
  </si>
  <si>
    <t xml:space="preserve">    Nat Gas</t>
  </si>
  <si>
    <t xml:space="preserve">    Water</t>
  </si>
  <si>
    <t>Metered data is whole building data  - not just the partial renovation</t>
  </si>
  <si>
    <t>Metered data includes process loads</t>
  </si>
  <si>
    <t>Chill water to building not metered</t>
  </si>
  <si>
    <t xml:space="preserve">    CHW BTUX10^6</t>
  </si>
  <si>
    <t xml:space="preserve">    HW BTUX10^6</t>
  </si>
  <si>
    <t xml:space="preserve">    CHW</t>
  </si>
  <si>
    <t xml:space="preserve">    HW</t>
  </si>
  <si>
    <t>Jul</t>
  </si>
  <si>
    <t>Aug</t>
  </si>
  <si>
    <t>Sep</t>
  </si>
  <si>
    <t>Oct</t>
  </si>
  <si>
    <t>Nov</t>
  </si>
  <si>
    <t>Dec</t>
  </si>
  <si>
    <t>Jan</t>
  </si>
  <si>
    <t>Feb</t>
  </si>
  <si>
    <t>Mar</t>
  </si>
  <si>
    <t>Apr</t>
  </si>
  <si>
    <t>Jun</t>
  </si>
  <si>
    <t>For this reporting period Hunt Hall was the only building connected to RUP 4</t>
  </si>
  <si>
    <t>All costs associated with RUP4 were assigned to Hunt Hall</t>
  </si>
  <si>
    <t xml:space="preserve">RUP 4 </t>
  </si>
  <si>
    <t>Steve Sharpe</t>
  </si>
  <si>
    <t>The North Carolina State Bar-Electricity and Water Usage 5/2013 thru 9/2014</t>
  </si>
  <si>
    <t>Bailey Residence Hall</t>
  </si>
  <si>
    <t>Coit Residence Hall</t>
  </si>
  <si>
    <t>Cotten Residence Hall</t>
  </si>
  <si>
    <t>Gray Residence Hall</t>
  </si>
  <si>
    <t>Hinshaw Residence Hall</t>
  </si>
  <si>
    <t>Jamison Residence Hall</t>
  </si>
  <si>
    <t>Shaw Residence Hall</t>
  </si>
  <si>
    <t>Lee Residence Hall</t>
  </si>
  <si>
    <t>Natural Gas Cost ($)</t>
  </si>
  <si>
    <t xml:space="preserve">UNCG - Spartan Village 1 - Lee </t>
  </si>
  <si>
    <t>Haywood Residence Hall</t>
  </si>
  <si>
    <t>UNCG - Spartan Village 3 - Haywood</t>
  </si>
  <si>
    <t>Union Residence Hall</t>
  </si>
  <si>
    <t>Joe Cerone &lt;jcerone@ncbar.gov&gt;</t>
  </si>
  <si>
    <t>Chilled water (BTU*10^6)</t>
  </si>
  <si>
    <t>Hot Water (BTU*10^6)</t>
  </si>
  <si>
    <t xml:space="preserve">Hot Water  </t>
  </si>
  <si>
    <t xml:space="preserve">Chilled Water  </t>
  </si>
  <si>
    <t>diane.norris@doa.nc.gov</t>
  </si>
  <si>
    <t>No chilled water meter data.</t>
  </si>
  <si>
    <t>Elec (KWhs) RUP</t>
  </si>
  <si>
    <t>Nat Gas RUP</t>
  </si>
  <si>
    <t>Water RUP</t>
  </si>
  <si>
    <t>Elec RUP</t>
  </si>
  <si>
    <t>Spartan Village -1 - Lee</t>
  </si>
  <si>
    <t>Spartan Village - 3 - Haywood</t>
  </si>
  <si>
    <t xml:space="preserve">RECREATION CENTER </t>
  </si>
  <si>
    <t>TOTAL YTD</t>
  </si>
  <si>
    <t>ELECTRIC</t>
  </si>
  <si>
    <t xml:space="preserve">   METER READING</t>
  </si>
  <si>
    <t xml:space="preserve">   PREVIOUS READING</t>
  </si>
  <si>
    <t xml:space="preserve">   CHANGE</t>
  </si>
  <si>
    <t xml:space="preserve">   KWH (CHANGE X1000)</t>
  </si>
  <si>
    <t xml:space="preserve">   COST/KWH</t>
  </si>
  <si>
    <t xml:space="preserve">   COST</t>
  </si>
  <si>
    <t>GAS</t>
  </si>
  <si>
    <t xml:space="preserve">   MCF CHANGE</t>
  </si>
  <si>
    <t xml:space="preserve">   COST/MCF</t>
  </si>
  <si>
    <t>WATER</t>
  </si>
  <si>
    <t xml:space="preserve">  CHANGE IN GAL</t>
  </si>
  <si>
    <t xml:space="preserve">   COST/GAL</t>
  </si>
  <si>
    <t>SEWAGE</t>
  </si>
  <si>
    <t>FUEL OIL</t>
  </si>
  <si>
    <t xml:space="preserve">   GAL</t>
  </si>
  <si>
    <t>-</t>
  </si>
  <si>
    <t>CHILLED WATER</t>
  </si>
  <si>
    <t xml:space="preserve">   TON_HR</t>
  </si>
  <si>
    <t xml:space="preserve">   COST (SF based calculation)</t>
  </si>
  <si>
    <t>HEATING HOT WATER</t>
  </si>
  <si>
    <t xml:space="preserve">   MBTU</t>
  </si>
  <si>
    <t>TOTAL UTILITIES</t>
  </si>
  <si>
    <t>=</t>
  </si>
  <si>
    <t>TRASH</t>
  </si>
  <si>
    <t xml:space="preserve">   BASIC SERVICE</t>
  </si>
  <si>
    <t xml:space="preserve">   EXTRA PICK UP</t>
  </si>
  <si>
    <t xml:space="preserve">   TOTAL TRASH </t>
  </si>
  <si>
    <t>Gross Sqft: 69644</t>
  </si>
  <si>
    <t>Net Sqft: 65721</t>
  </si>
  <si>
    <t>Dec. estimated water. Meter was under water and could not read.</t>
  </si>
  <si>
    <t>Mar. estimated water. Meter was under water and could not read.</t>
  </si>
  <si>
    <t>Jul usage 6/21/13-8/1/13</t>
  </si>
  <si>
    <t>Sep usage 9/3/13-10/1/13</t>
  </si>
  <si>
    <t>Nov usage 11/14/13-12/2/13</t>
  </si>
  <si>
    <t>Jan usage 1/3/14-2/3/14</t>
  </si>
  <si>
    <t>Mar usage 3/3/14-4/1/14</t>
  </si>
  <si>
    <t>May usage 5/1/14-5/28/14</t>
  </si>
  <si>
    <t>Aug usage 8/1/13-9/3/13</t>
  </si>
  <si>
    <t>Oct usage 10/1/13-11/14/13</t>
  </si>
  <si>
    <t>Dec usage 12/2/13-1/3/14</t>
  </si>
  <si>
    <t>Feb usage 2/3/14-3/3/14</t>
  </si>
  <si>
    <t>Apr usage 4/1/14-5/1/14</t>
  </si>
  <si>
    <t>Jun usage 5/28/14-7/1/14</t>
  </si>
  <si>
    <t>TEACHING LAB</t>
  </si>
  <si>
    <t>-----</t>
  </si>
  <si>
    <t xml:space="preserve">   KWH </t>
  </si>
  <si>
    <t xml:space="preserve">   METER READING high</t>
  </si>
  <si>
    <t xml:space="preserve">   CHANGE - GAL</t>
  </si>
  <si>
    <t xml:space="preserve">   METER READING low</t>
  </si>
  <si>
    <t xml:space="preserve">   TOTAL GALLONS</t>
  </si>
  <si>
    <t xml:space="preserve">   GALLONS</t>
  </si>
  <si>
    <t xml:space="preserve">                                      </t>
  </si>
  <si>
    <t>Jul-13 began using water on line meter reading from the graphics UNCW meter page.</t>
  </si>
  <si>
    <t>Jan water low flow meter reading?</t>
  </si>
  <si>
    <t>MARBIONIC FACILITY</t>
  </si>
  <si>
    <t xml:space="preserve">   KWH</t>
  </si>
  <si>
    <t xml:space="preserve">   DEMAND</t>
  </si>
  <si>
    <t xml:space="preserve">   MCF</t>
  </si>
  <si>
    <t xml:space="preserve">   GAL CHANGE</t>
  </si>
  <si>
    <t>TOTAL TRASH</t>
  </si>
  <si>
    <t>MARBIONC -  25%</t>
  </si>
  <si>
    <t>SEWER</t>
  </si>
  <si>
    <t>UNCW - 75%</t>
  </si>
  <si>
    <t>Aug electric is for new service charge only. No water, sewer or trash charges yet.</t>
  </si>
  <si>
    <t>No water or sewer charges. No water meter at the facility and awaiting information about how to charge for water and sewer.</t>
  </si>
  <si>
    <t>Heating Hot Water ($)</t>
  </si>
  <si>
    <t>Heating Hot Water Usage (MMbtu)</t>
  </si>
  <si>
    <t>Nat Gas (MCF)</t>
  </si>
  <si>
    <t>MCF</t>
  </si>
  <si>
    <t>No meter data available.</t>
  </si>
  <si>
    <t>MCF=1000CF</t>
  </si>
  <si>
    <t>1 cubic foot = 1,025 Btu</t>
  </si>
  <si>
    <t>NCDVA - NC State Veterans Home</t>
  </si>
  <si>
    <t>Black Mountain</t>
  </si>
  <si>
    <t>July 2013-Aug 2014</t>
  </si>
  <si>
    <t>Natural Gas ($)</t>
  </si>
  <si>
    <t>Loudermilk Center of Excellence (375)</t>
  </si>
  <si>
    <t>Energy and Water Usage (Acct. #01012081)</t>
  </si>
  <si>
    <t>Annual Summary of Performance</t>
  </si>
  <si>
    <t>id</t>
  </si>
  <si>
    <t>Period</t>
  </si>
  <si>
    <t>name</t>
  </si>
  <si>
    <t>total btu</t>
  </si>
  <si>
    <t>Electric (Btu)</t>
  </si>
  <si>
    <t>ng (Btu)</t>
  </si>
  <si>
    <t>steam (Btu)</t>
  </si>
  <si>
    <t>chw (Btu)</t>
  </si>
  <si>
    <t>mgal water</t>
  </si>
  <si>
    <t>gsf</t>
  </si>
  <si>
    <t>mgal non-potable water</t>
  </si>
  <si>
    <t>Site EUI</t>
  </si>
  <si>
    <t>Actual Performance</t>
  </si>
  <si>
    <t>Sept 13 - Aug 14</t>
  </si>
  <si>
    <t>UNC Chapel Hill</t>
  </si>
  <si>
    <t>Modeled Performance</t>
  </si>
  <si>
    <t>Monthly Detail of Performance</t>
  </si>
  <si>
    <t>UTILITY</t>
  </si>
  <si>
    <t>Consumption:</t>
  </si>
  <si>
    <t>ELECTRIC (kWhs)</t>
  </si>
  <si>
    <t>STEAM (MLBS)</t>
  </si>
  <si>
    <t>CHILLED WATER (Ton-Hrs.)</t>
  </si>
  <si>
    <t>NATURAL GAS (Therms)</t>
  </si>
  <si>
    <t>WATER (kGal)</t>
  </si>
  <si>
    <t>SEWER (kGal)</t>
  </si>
  <si>
    <t>STORMWATER (ksf)</t>
  </si>
  <si>
    <t>Steam Usage (mlbs)</t>
  </si>
  <si>
    <t>mlbs</t>
  </si>
  <si>
    <t>Natural Gas (therms)</t>
  </si>
  <si>
    <t>Water Usage (kgallons)</t>
  </si>
  <si>
    <t>kgallons</t>
  </si>
  <si>
    <t>Water (CCF)</t>
  </si>
  <si>
    <t>$</t>
  </si>
  <si>
    <t>NCSU - Early College High School/Cherry</t>
  </si>
  <si>
    <t>NCSU - Wolf Ridge Building 1</t>
  </si>
  <si>
    <t>* Steam data does not include domestic hot water. Data was unavailable.</t>
  </si>
  <si>
    <t>NCSU - Wolf Ridge Building 6</t>
  </si>
  <si>
    <t>dtherms</t>
  </si>
  <si>
    <t>Winston-Salem State University - Donald J. Reaves Student Activities Center (06-07181-01A)</t>
  </si>
  <si>
    <t>Electricity Usage (Prorated by GSF) (KWH)</t>
  </si>
  <si>
    <t>Natural Gas (therms-prorated by GSF) for Steam Generation</t>
  </si>
  <si>
    <t>Natural Gas (Other)</t>
  </si>
  <si>
    <t>Elecricity Cost ($) (Prorated by GSF)</t>
  </si>
  <si>
    <t>Prorated Natural Gas for Steam Costs ($)</t>
  </si>
  <si>
    <t>Natural Gas Cost (Other)</t>
  </si>
  <si>
    <t>Winston-Salem State University - Martin-Schexnider Residence Hall (11-09099-02A)</t>
  </si>
  <si>
    <t>Natural Gas (therms - prorated by GSF) for Steam Generation</t>
  </si>
  <si>
    <t>Prorated Natural Gas Costs for Steam ($)</t>
  </si>
  <si>
    <t>excludes irrigation</t>
  </si>
  <si>
    <t xml:space="preserve">Natural Gas Usage </t>
  </si>
  <si>
    <t>Natural Gas Costs ($)</t>
  </si>
  <si>
    <t xml:space="preserve">NCDVA - NC State Veterans Home- </t>
  </si>
  <si>
    <t>NC State Veterans Home - Kinston</t>
  </si>
  <si>
    <t>Gas Usage (lbs)</t>
  </si>
  <si>
    <t>App State - Plemmons, Cone, Summit Utility Data</t>
  </si>
  <si>
    <t>ELECTRICITY</t>
  </si>
  <si>
    <t>204 &amp; 445</t>
  </si>
  <si>
    <t>Plemmons Student Union Total Electricity Use (with 45.9% RUB added)</t>
  </si>
  <si>
    <t>Cone Hall Electricity Use (with 17.3 % RUB added)</t>
  </si>
  <si>
    <t>452 &amp; 453</t>
  </si>
  <si>
    <t>Summit Hall and Summit Annex Electricity Use (with 36.8% RUB added)</t>
  </si>
  <si>
    <t>Plemmons Student Union Total Electricity Cost (with 45.9% RUB added)</t>
  </si>
  <si>
    <t>Cone Residence Hall Electricity Cost (with 17.3% of RUB added)</t>
  </si>
  <si>
    <t>Summit Hall and Summit Annex Electricity Cost (with 36.8% RUB added)</t>
  </si>
  <si>
    <t>STEAM</t>
  </si>
  <si>
    <t>Plemmons Student Union Total Steam Use in Lbs.</t>
  </si>
  <si>
    <t>Cone Residence Hall Steam Use in Lbs.</t>
  </si>
  <si>
    <t>Summit Residence Hall and Summit Annex Steam Use in Lbs.</t>
  </si>
  <si>
    <t>Plemmons Student Union Total Steam Cost</t>
  </si>
  <si>
    <t>Cone Residence Hall Steam Costs</t>
  </si>
  <si>
    <t>Summit Residence Hall and Summit Annex Steam Cost</t>
  </si>
  <si>
    <t>WATER &amp; SEWER</t>
  </si>
  <si>
    <t>Plemmons Student Union Water Use (with 45.9% RUB added)</t>
  </si>
  <si>
    <t>Cone Residence Hall Water Use (with 17.3% RUB added)</t>
  </si>
  <si>
    <t>Summit Residence Hall and Summit Annex Water Use (with 36.8% RUB added)</t>
  </si>
  <si>
    <t>Plemmons Student Union Total Water &amp; Sewer Cost (with 45.9% RUB added)</t>
  </si>
  <si>
    <t>Cone Hall Water &amp; Sewer Cost (with 17.3% RUB added)</t>
  </si>
  <si>
    <t>Summit Residence Hall and Summit Annex Water &amp; Sewer Cost (with 36.8% RUB added)</t>
  </si>
  <si>
    <t>Chilled water (Dtherms)</t>
  </si>
  <si>
    <t>ASU - Summit Residence Hall and Appalachian Hall</t>
  </si>
  <si>
    <t>Costs:</t>
  </si>
  <si>
    <t>ELECTRIC ($)</t>
  </si>
  <si>
    <t>STEAM ($)</t>
  </si>
  <si>
    <t>CHILLED WATER ($)</t>
  </si>
  <si>
    <t>NATURAL GAS ($)</t>
  </si>
  <si>
    <t>WATER ($)</t>
  </si>
  <si>
    <t>SEWER ($)</t>
  </si>
  <si>
    <t>STORMWATER ($)</t>
  </si>
  <si>
    <t>Steam (Nat Gas in therms)</t>
  </si>
  <si>
    <t>Steam Costs ($ Natural Gas)</t>
  </si>
  <si>
    <t>Annual Total</t>
  </si>
  <si>
    <t>Natural Gas Therms</t>
  </si>
  <si>
    <t>Natural Gas  ($)</t>
  </si>
  <si>
    <t>NOTES:</t>
  </si>
  <si>
    <t>Pavilion, Farmers Market Building and Meeting Center all on the same water meter.</t>
  </si>
  <si>
    <t>N/A - Invoice not received or credit applied from previous billing period</t>
  </si>
  <si>
    <t>Burson Building Renovation</t>
  </si>
  <si>
    <t>13-10798-01A</t>
  </si>
  <si>
    <t>Chemistry/Physics Teaching Labs classrooms offices</t>
  </si>
  <si>
    <t>NC Department of Agriculture &amp; Consumer Services - Western Ag Center - Davis Events Center</t>
  </si>
  <si>
    <r>
      <rPr>
        <b/>
        <sz val="11"/>
        <color theme="1"/>
        <rFont val="Calibri"/>
        <family val="2"/>
        <scheme val="minor"/>
      </rPr>
      <t xml:space="preserve">Notes:  </t>
    </r>
    <r>
      <rPr>
        <sz val="10"/>
        <rFont val="Arial"/>
        <family val="2"/>
      </rPr>
      <t>Davis Arena &amp; Virginia Boone Bldg on same meter</t>
    </r>
  </si>
  <si>
    <t>NC Department of Agriculture &amp; Consumer Services - Southeastern Ag Center - Multi-purpose Pavilion</t>
  </si>
  <si>
    <t>Wolf Ridge at Centennial Bldg 6 - Lakeview Hall</t>
  </si>
  <si>
    <t>Wolf Ridge at Centennial Bldg 1 - Tower Hall</t>
  </si>
  <si>
    <t>Wolf Ridge at Centennial Bldg 2 - Plaza Hall</t>
  </si>
  <si>
    <t>Wolf Ridge at Centennial Bldg 3 - Innovation Hall</t>
  </si>
  <si>
    <t>Wolf Ridge at Centennial Bldg 5 - Grove Hall</t>
  </si>
  <si>
    <t>Wolf Ridge at Centennial Bldg 4 - Valley Hall</t>
  </si>
  <si>
    <t>Brown Building Renovation &amp; Addition</t>
  </si>
  <si>
    <t>07-07389-02A</t>
  </si>
  <si>
    <t>Main Campus  - Student Union</t>
  </si>
  <si>
    <t>Health Sciences Campus - Student Services Facility</t>
  </si>
  <si>
    <t>Privately Funded</t>
  </si>
  <si>
    <t>Clement Residence Hall Renovation</t>
  </si>
  <si>
    <t>EDi</t>
  </si>
  <si>
    <t>11-09861-02A             and                  11-09861-02C</t>
  </si>
  <si>
    <t>LEED</t>
  </si>
  <si>
    <t>Gold</t>
  </si>
  <si>
    <t>None</t>
  </si>
  <si>
    <t>Silver</t>
  </si>
  <si>
    <t>In Progress</t>
  </si>
  <si>
    <t>Certified</t>
  </si>
  <si>
    <t>ü</t>
  </si>
  <si>
    <t>Creative Arts Building</t>
  </si>
  <si>
    <t>Haywood CC</t>
  </si>
  <si>
    <t>07-07315-03A</t>
  </si>
  <si>
    <t>Art studios, classrooms, offices</t>
  </si>
  <si>
    <t>Elm</t>
  </si>
  <si>
    <t>Dewberrry</t>
  </si>
  <si>
    <t>State of North Carolina - Department of Administration                               State Construction Office - Energy Benchmarking Project</t>
  </si>
  <si>
    <t>State of North Carolina - Department of Administration                                            State Construction Office - Energy Benchmarking Project</t>
  </si>
  <si>
    <r>
      <t xml:space="preserve">State of North Carolina - Department of Administration                               </t>
    </r>
    <r>
      <rPr>
        <b/>
        <sz val="18"/>
        <rFont val="Arial"/>
        <family val="2"/>
      </rPr>
      <t>State Construction Office - Energy Benchmarking Project</t>
    </r>
  </si>
  <si>
    <t>Site       EUI Proposed (kBtu/Sq Ft/yr)</t>
  </si>
  <si>
    <t>Site      EUI  Baseline (kBtu/Sq Ft/yr)</t>
  </si>
  <si>
    <t>Site       EUI Metered (kBtu/Sq Ft/yr)</t>
  </si>
  <si>
    <t>Principal Occupancy / Category / Use(s)</t>
  </si>
  <si>
    <t>Meets SB 668 (from unclean data)</t>
  </si>
  <si>
    <t>Metered Energy Savings (from unclean data)</t>
  </si>
  <si>
    <t>13-10964-02A</t>
  </si>
  <si>
    <t>Aviation Center III Building</t>
  </si>
  <si>
    <t>2014/2015 Meter Data Summary</t>
  </si>
  <si>
    <t>NCSU - Wolf Ridge at Centennial Bldg 2 - Plaza Hall</t>
  </si>
  <si>
    <t>NCSU - Wolf Ridge at Centennial Bldg 1 - Tower Hall</t>
  </si>
  <si>
    <t>NCSU - Wolf Ridge at Centennial Bldg 6 - Lakeview Hall</t>
  </si>
  <si>
    <t>Jun-14</t>
  </si>
  <si>
    <t>UNCG - Spartan Village Building 2</t>
  </si>
  <si>
    <t>UNCC - PORTAL</t>
  </si>
  <si>
    <t>NCSU - Wolf Ridge at Centennial Bldg 3 - Innovation Hall</t>
  </si>
  <si>
    <t>DoAg&amp;CS - Davis Event Center</t>
  </si>
  <si>
    <t>Davis Event Center</t>
  </si>
  <si>
    <t>County</t>
  </si>
  <si>
    <t>Watauga</t>
  </si>
  <si>
    <t>Mecklenburg</t>
  </si>
  <si>
    <t>Durham</t>
  </si>
  <si>
    <t>Orange</t>
  </si>
  <si>
    <t>Buncombe</t>
  </si>
  <si>
    <t>Wake</t>
  </si>
  <si>
    <t>Pasquotank</t>
  </si>
  <si>
    <t>Robeson</t>
  </si>
  <si>
    <t>Pitt</t>
  </si>
  <si>
    <t>Guilford</t>
  </si>
  <si>
    <t>Jackson</t>
  </si>
  <si>
    <t>Cumberland</t>
  </si>
  <si>
    <t>New Hanover</t>
  </si>
  <si>
    <t>Gaston</t>
  </si>
  <si>
    <t>Lenoir</t>
  </si>
  <si>
    <t>Randolph</t>
  </si>
  <si>
    <t>Forsyth</t>
  </si>
  <si>
    <t>Haywood</t>
  </si>
  <si>
    <t>Nash</t>
  </si>
  <si>
    <t>Henderson</t>
  </si>
  <si>
    <t>Catawba</t>
  </si>
  <si>
    <t>State of North Carolina - Department of Administration                                  State Construction Office - Energy Benchmarking Project</t>
  </si>
  <si>
    <t>14.15 sums</t>
  </si>
  <si>
    <r>
      <t>Water</t>
    </r>
    <r>
      <rPr>
        <sz val="10"/>
        <rFont val="Arial"/>
        <family val="2"/>
      </rPr>
      <t xml:space="preserve"> CCF</t>
    </r>
  </si>
  <si>
    <t>Haywood Community College - Creative Arts Building</t>
  </si>
  <si>
    <t>UNCG - Spartan Village 1 - Lee</t>
  </si>
  <si>
    <t xml:space="preserve">UNCG - Spartan Village 4 - </t>
  </si>
  <si>
    <t>WSSU - Hill Hall Renovation</t>
  </si>
  <si>
    <t>NCSU - Wolf Ridge at Centennial Bldg 5 - Grove Hall</t>
  </si>
  <si>
    <t>NCSU - Wolf Ridge at Centennial Bldg 4 - Valley Hall</t>
  </si>
  <si>
    <t>Guilford Technical Community College - Aviation Center III Building</t>
  </si>
  <si>
    <t>UNCC - Martin Residence Hall</t>
  </si>
  <si>
    <t>Electricity (kWh)</t>
  </si>
  <si>
    <t>Martin Residence Hall</t>
  </si>
  <si>
    <t>The Loudermilk Center for Excellence</t>
  </si>
  <si>
    <t>Renaissance Residence Hall</t>
  </si>
  <si>
    <t>Ledyard E. Ross Hall</t>
  </si>
  <si>
    <t>Summit Living Learning Center</t>
  </si>
  <si>
    <t xml:space="preserve">Smith-Williams Center </t>
  </si>
  <si>
    <t>07-07345-02A</t>
  </si>
  <si>
    <t>08-08109-02A</t>
  </si>
  <si>
    <t>Workforce Solutions Complex</t>
  </si>
  <si>
    <t>Hill Hall Renovation</t>
  </si>
  <si>
    <t>Belk Gymnasium Renovation</t>
  </si>
  <si>
    <t>11-10689-02A</t>
  </si>
  <si>
    <t>Ondin Mihalcescu &lt;o.mihalcescu@nccu.edu&gt;</t>
  </si>
  <si>
    <t>mjohnson@gtcc.edu</t>
  </si>
  <si>
    <t>barlow@ncat.edu</t>
  </si>
  <si>
    <t>boydc@uncsa.edu</t>
  </si>
  <si>
    <t>WCU - Harrill Residence Hall</t>
  </si>
  <si>
    <t>Electricity  (kWh)</t>
  </si>
  <si>
    <t>Water (Gallons)</t>
  </si>
  <si>
    <t>Date of Meter Data</t>
  </si>
  <si>
    <t>Water Usage (Gallons)</t>
  </si>
  <si>
    <t>The water usage has been estimated based on normal cooling tower evaperation and additional building water usage per month.  We will be replacing the borken meter soon.</t>
  </si>
  <si>
    <t>UNCP - Health Science Building</t>
  </si>
  <si>
    <t xml:space="preserve">All of April &amp; some of May gas bills have credits  from PNG for fuel over billing </t>
  </si>
  <si>
    <t>Started recording chill water usage in Dec</t>
  </si>
  <si>
    <t>Prospector Gets Chill Water from adjacent building - Costs are assumed to be the same as RUP1 CHW costs</t>
  </si>
  <si>
    <r>
      <rPr>
        <sz val="11"/>
        <rFont val="Arial"/>
        <family val="2"/>
      </rPr>
      <t xml:space="preserve">Josh Best  </t>
    </r>
    <r>
      <rPr>
        <u/>
        <sz val="10"/>
        <color theme="10"/>
        <rFont val="Arial"/>
        <family val="2"/>
      </rPr>
      <t xml:space="preserve"> rjbest@haywood.edu</t>
    </r>
  </si>
  <si>
    <t>Added field lights</t>
  </si>
  <si>
    <t>UNCC - Miltimore Residence Hall</t>
  </si>
  <si>
    <t>UNCC - Prospector Hall Renovation</t>
  </si>
  <si>
    <t>UNCC - EPIC</t>
  </si>
  <si>
    <t xml:space="preserve">    Chill water mmBTU (BTUX10^6)</t>
  </si>
  <si>
    <t xml:space="preserve">    Hot water mmBTU</t>
  </si>
  <si>
    <t xml:space="preserve">    Chill water</t>
  </si>
  <si>
    <t xml:space="preserve">    Hot water</t>
  </si>
  <si>
    <t>11-09156-02a</t>
  </si>
  <si>
    <t>acccepted 8/13/2015</t>
  </si>
  <si>
    <t>*estimated by averaging Jun-15 and Aug-14.</t>
  </si>
  <si>
    <t>* Jul-15</t>
  </si>
  <si>
    <t>Chilled Water mmBTU</t>
  </si>
  <si>
    <t>Hot Water mmBTU</t>
  </si>
  <si>
    <t>Hot Water ($)</t>
  </si>
  <si>
    <t>Chilled Water (MMBtu)</t>
  </si>
  <si>
    <t>Hot Water (MMBtu)</t>
  </si>
  <si>
    <t>UNCC - Judy W. Rose Football Center</t>
  </si>
  <si>
    <t>UNCC - Belk Residence Hall</t>
  </si>
  <si>
    <t>UNCC - Hunt Residence Hall</t>
  </si>
  <si>
    <t>MMBbtu</t>
  </si>
  <si>
    <t>NCDVA - NC State Veterans Home- Black Mountain</t>
  </si>
  <si>
    <t>Gas usage therms</t>
  </si>
  <si>
    <t>Gas cost ($)</t>
  </si>
  <si>
    <t>Community</t>
  </si>
  <si>
    <t>College</t>
  </si>
  <si>
    <t>2014-2015</t>
  </si>
  <si>
    <t>Continuing</t>
  </si>
  <si>
    <t xml:space="preserve">Education </t>
  </si>
  <si>
    <t>Industrial</t>
  </si>
  <si>
    <t>Center</t>
  </si>
  <si>
    <t>Usage (CF)</t>
  </si>
  <si>
    <t>Power</t>
  </si>
  <si>
    <t>7% Sales Tax</t>
  </si>
  <si>
    <t xml:space="preserve">1003287462001      859461                 CEIC                     413 Industrial Pk </t>
  </si>
  <si>
    <t xml:space="preserve">One time </t>
  </si>
  <si>
    <t xml:space="preserve">May </t>
  </si>
  <si>
    <t>credit</t>
  </si>
  <si>
    <t>State Sales Tax</t>
  </si>
  <si>
    <t>Aug 14 - Jul 15</t>
  </si>
  <si>
    <t>ECU - Ledyard E. Ross Hall</t>
  </si>
  <si>
    <t>Chilled Water (tons)</t>
  </si>
  <si>
    <t>Heating Hot Water (MBTU)</t>
  </si>
  <si>
    <t>Chilled Water Costs ($)</t>
  </si>
  <si>
    <t>NCDVA - NC State Veterans Home- Kinston</t>
  </si>
  <si>
    <t>Steam Usage (lbs) Gas</t>
  </si>
  <si>
    <t>Steam Costs ($) Gas</t>
  </si>
  <si>
    <t>Pitt CC - Russell Classroom Building  08-07329-02A</t>
  </si>
  <si>
    <t>Gas Usage (Therms)</t>
  </si>
  <si>
    <t>Electricity  (kWhs)</t>
  </si>
  <si>
    <t>Lighting submeter (kWhs)</t>
  </si>
  <si>
    <t>Mechanical submeter (kWhs)</t>
  </si>
  <si>
    <t>Calculated plug load (kWhs)</t>
  </si>
  <si>
    <t>Mechanical submeter (KWhs)</t>
  </si>
  <si>
    <t>700 Highland Avenue</t>
  </si>
  <si>
    <t>Highland Residence Hall</t>
  </si>
  <si>
    <t>701 Highland Avenue</t>
  </si>
  <si>
    <t>1001 Union Street</t>
  </si>
  <si>
    <t>917 Union Street</t>
  </si>
  <si>
    <t>UNCG - Spartan Village # 1</t>
  </si>
  <si>
    <t>UNCG - Spartan Village # 3</t>
  </si>
  <si>
    <t>UNCG - Spartan Village # 4</t>
  </si>
  <si>
    <t>UNCG - Spartan Village # 2</t>
  </si>
  <si>
    <t>UNCG - Shaw Residence Hall</t>
  </si>
  <si>
    <t>UNCG - Jamison Residence Hall</t>
  </si>
  <si>
    <t>UNCG - Hinshaw Residence Hall</t>
  </si>
  <si>
    <t>UNCG - Gray Residence Hall</t>
  </si>
  <si>
    <t>UNCG - Cotten Residence Hall</t>
  </si>
  <si>
    <t>UNCG - Coit Residence Hall</t>
  </si>
  <si>
    <t>Cotten Residence Hall Renovation</t>
  </si>
  <si>
    <r>
      <rPr>
        <b/>
        <sz val="11"/>
        <color theme="1"/>
        <rFont val="Calibri"/>
        <family val="2"/>
        <scheme val="minor"/>
      </rPr>
      <t xml:space="preserve">Notes:  </t>
    </r>
    <r>
      <rPr>
        <sz val="10"/>
        <rFont val="Arial"/>
        <family val="2"/>
      </rPr>
      <t>Davis Arena &amp; Virginia Boone Bldg on same meter</t>
    </r>
  </si>
  <si>
    <t>Agency - Building Name: NCCU Chidley North Residence Hall</t>
  </si>
  <si>
    <t>Agency - Building Name: NCCU Nursing Building</t>
  </si>
  <si>
    <t>Partial Data</t>
  </si>
  <si>
    <t>Cone</t>
  </si>
  <si>
    <t>Building</t>
  </si>
  <si>
    <t>2014-2015 Elec Usage</t>
  </si>
  <si>
    <t>2014-2015 Steam Usage</t>
  </si>
  <si>
    <t>2014-2015 Water Usage</t>
  </si>
  <si>
    <t>2014-2015 Elec Expense</t>
  </si>
  <si>
    <t>2014-2015 Steam Expense</t>
  </si>
  <si>
    <t>2014-2015 Water &amp; Sewer Expense</t>
  </si>
  <si>
    <t>Plemmons</t>
  </si>
  <si>
    <t>Summit &amp; Annex</t>
  </si>
  <si>
    <t>Aug-14 data is from 13.14 Meter Data</t>
  </si>
  <si>
    <t>* No Data.  Aug-14 data is from 13.14 Data.</t>
  </si>
  <si>
    <t>Natural Gas (thms)</t>
  </si>
  <si>
    <t>thms</t>
  </si>
  <si>
    <t>NCSU - Wolf Ridge Building 2</t>
  </si>
  <si>
    <t>NCSU - Wolf Ridge Building 3</t>
  </si>
  <si>
    <t>NCSU - Wolf Ridge Building 5</t>
  </si>
  <si>
    <t>NCSU - Wolf Ridge Building 4</t>
  </si>
  <si>
    <t>Aug-14 data is from 13.14 Meter Data.  Chilled water meter is high for Aug-14</t>
  </si>
  <si>
    <t>Steam (1000lbs)</t>
  </si>
  <si>
    <t>1000lbs</t>
  </si>
  <si>
    <t>Gaston College</t>
  </si>
  <si>
    <t>State of North Carolina - Department of Administration             State Construction Office - Energy Benchmarking Project</t>
  </si>
  <si>
    <t xml:space="preserve">Energy Model Report         Date </t>
  </si>
  <si>
    <t>Principal Use(s)</t>
  </si>
  <si>
    <t>EUI  Baseline (kBtu/Sq Ft/yr)</t>
  </si>
  <si>
    <t>EUI Proposed (kBtu/Sq Ft/yr)</t>
  </si>
  <si>
    <t>Year of Meter Data (updated annually Oct 1)</t>
  </si>
  <si>
    <t>EUI Metered (kBtu/Sq Ft/yr)</t>
  </si>
  <si>
    <t>Metered Energy Savings</t>
  </si>
  <si>
    <t>4th</t>
  </si>
  <si>
    <t>3rd</t>
  </si>
  <si>
    <t>1st</t>
  </si>
  <si>
    <t>Meters not operational</t>
  </si>
  <si>
    <t>The Loudermilk Center for Excellence (Kenan Stadium East End Zone Facility)</t>
  </si>
  <si>
    <t>Chris Martin</t>
  </si>
  <si>
    <t>Foundation Project</t>
  </si>
  <si>
    <t>07-07345-02</t>
  </si>
  <si>
    <t>2nd</t>
  </si>
  <si>
    <t>Cotton Residence Hall Renovation</t>
  </si>
  <si>
    <t>Renaissance Res Hall (Foundation Project)</t>
  </si>
  <si>
    <t>School of Dental Medicine / Ledyard E. Ross Hall</t>
  </si>
  <si>
    <t>no meter data</t>
  </si>
  <si>
    <t>Summit Residence Hall &amp; Appalachian Hall</t>
  </si>
  <si>
    <t>NC State Bar HQ (Private bldg state land)</t>
  </si>
  <si>
    <t>CSS Neuse Gunboat Facility NOT SB668</t>
  </si>
  <si>
    <t>DoCR</t>
  </si>
  <si>
    <t>04-06449-01C</t>
  </si>
  <si>
    <t>Museum/Exhibits</t>
  </si>
  <si>
    <t>Atl</t>
  </si>
  <si>
    <t>Belk/Walnut Residence Hall (Phase X)</t>
  </si>
  <si>
    <t>Hunt Residence Hall (Phase XI)</t>
  </si>
  <si>
    <t>Wolf Ridge at Centennial Bldg 6 - Tower Hall</t>
  </si>
  <si>
    <t>Wolf Ridge at Centennial Bldg 1 - Lakeview Hall</t>
  </si>
  <si>
    <t>Smith-Williams Center Minges Practice Facility</t>
  </si>
  <si>
    <t>Minges Practice Facility</t>
  </si>
  <si>
    <t>meter data incomplete</t>
  </si>
  <si>
    <t>Wolf Ridge at Centennial Bldg 2</t>
  </si>
  <si>
    <t>Wolf Ridge at Centennial Bldg 5</t>
  </si>
  <si>
    <t>Wolf Ridge at Centennial Bldg 4</t>
  </si>
  <si>
    <t>Aviation Classroom Bldg</t>
  </si>
  <si>
    <t>Martin Residence Hall (Phase XII)</t>
  </si>
  <si>
    <t>08-08109-01A</t>
  </si>
  <si>
    <t>Office/Labs</t>
  </si>
  <si>
    <t>Belk Residence Hall Replacement East and West</t>
  </si>
  <si>
    <t>In construction (Privately Funded)</t>
  </si>
  <si>
    <t>Main Campus Student Union</t>
  </si>
  <si>
    <t>11-09861-02A</t>
  </si>
  <si>
    <t>Student Center Health Sciences Campus</t>
  </si>
  <si>
    <t>Bus &amp; Industry Training Bldg</t>
  </si>
  <si>
    <t>07-07389-01A</t>
  </si>
  <si>
    <t>UNC - ECSU - VIKING TOWER</t>
  </si>
  <si>
    <t>UNC - ECSU - Gilchrist Education &amp; Psychology Building</t>
  </si>
  <si>
    <t>HEATING HOT WATER IN MBTU</t>
  </si>
  <si>
    <t>COST (Calculated by SF)</t>
  </si>
  <si>
    <t>CHILLED WATER IN TON-HRS</t>
  </si>
  <si>
    <t>Jul usage 7/1/14-8/6/14</t>
  </si>
  <si>
    <t>Sep usage 9/2/14-10/1/14</t>
  </si>
  <si>
    <t>Nov usage 11/3/14-12/1/14</t>
  </si>
  <si>
    <t>Jan usage 1/5/15-2/3/15</t>
  </si>
  <si>
    <t>Mar usage 3/2/15-4/1/15</t>
  </si>
  <si>
    <t>May usage 5/4/15-6/1/15</t>
  </si>
  <si>
    <t>Aug usage 8/6/14-9/2/14</t>
  </si>
  <si>
    <t>Oct usage 10/1/14-11/3/14</t>
  </si>
  <si>
    <t>Dec usage 12/1/14-1/5/15</t>
  </si>
  <si>
    <t>Feb usage 2/3/15-3/2/15</t>
  </si>
  <si>
    <t>Apr usage 4/1/15-5/4/15</t>
  </si>
  <si>
    <t>Jun usage 6/1/15-6/30/15</t>
  </si>
  <si>
    <t>[UNCW]TEACHING LAB</t>
  </si>
  <si>
    <t>Heating Hot Water Usage (Mbtu)</t>
  </si>
  <si>
    <t>Mar- under billed trash by $4.93</t>
  </si>
  <si>
    <t>[UNCW] MARBIONIC FACILITY</t>
  </si>
  <si>
    <t>* No Data.</t>
  </si>
  <si>
    <t>Jul. estimated water. Meter was under water and could not read.</t>
  </si>
  <si>
    <t>Extra trash pick up on 2/28/15.</t>
  </si>
  <si>
    <t>Nov usage 11/4/14-12/1/14</t>
  </si>
  <si>
    <t>Oct usage 10/1/14-11/4/14</t>
  </si>
  <si>
    <t>FSU, Renaissance Hall</t>
  </si>
  <si>
    <t>FSU, Science &amp; Technology</t>
  </si>
  <si>
    <t>No Data.</t>
  </si>
  <si>
    <t>UNCW - Teaching Lab</t>
  </si>
  <si>
    <t>PV (Kwhs)</t>
  </si>
  <si>
    <t>As per our conversation we do not have monthly data for Electricity or Water usage because the building is not metered separately by our utility providers.  The totals listed above for Electricity and Water have been taken from our Building Controls Software and the cost has been calculated based on monthly kwh rates.</t>
  </si>
  <si>
    <t>Nat Gas (therms)</t>
  </si>
  <si>
    <t>Winston-Salem State University, D. J. Reeves Student Activities Center</t>
  </si>
  <si>
    <t>Electricity  (KWhs) building meter</t>
  </si>
  <si>
    <r>
      <t xml:space="preserve">Steam from Central Plant </t>
    </r>
    <r>
      <rPr>
        <strike/>
        <sz val="10"/>
        <rFont val="Arial"/>
        <family val="2"/>
      </rPr>
      <t>(lbs)</t>
    </r>
    <r>
      <rPr>
        <sz val="10"/>
        <rFont val="Arial"/>
        <family val="2"/>
      </rPr>
      <t xml:space="preserve"> - natural gas therms</t>
    </r>
  </si>
  <si>
    <r>
      <t>Chilled Water from Central Plant (</t>
    </r>
    <r>
      <rPr>
        <strike/>
        <sz val="10"/>
        <color theme="1"/>
        <rFont val="Arial"/>
        <family val="2"/>
      </rPr>
      <t>Dtherms</t>
    </r>
    <r>
      <rPr>
        <sz val="10"/>
        <color theme="1"/>
        <rFont val="Arial"/>
        <family val="2"/>
      </rPr>
      <t>) kwh</t>
    </r>
  </si>
  <si>
    <t>Natural Gas (Therms) other than from central steam plant</t>
  </si>
  <si>
    <t>Electricity Cost ($) building meter (kwh) x blended rate (.071/kwh)</t>
  </si>
  <si>
    <t xml:space="preserve">Steam from Central Plant Cost ($) for Natural Gas </t>
  </si>
  <si>
    <t>Chilled Water from Central Plant Cost  ($) kwh x $.071/wh</t>
  </si>
  <si>
    <t>Natural Gas Costs ($) other than from central steam.</t>
  </si>
  <si>
    <t>Chilled water (kwh)</t>
  </si>
  <si>
    <t>Chilled water ($)</t>
  </si>
  <si>
    <t>Winston-Salem State University, Martin Schexnider Residence Hall</t>
  </si>
  <si>
    <t>Electricity Cost ($) building meter x blended rate ($.071/kwh)</t>
  </si>
  <si>
    <t>Natural Gas Cost ($) other than from central steam.</t>
  </si>
  <si>
    <t>Chilled Water (kwh)</t>
  </si>
  <si>
    <t>Steam (Nat Gas in Therms)</t>
  </si>
  <si>
    <t>Steam ($)</t>
  </si>
  <si>
    <t>Chilled Water($)</t>
  </si>
  <si>
    <t>Winston-Salem State University, Hill Hall - Student Success Center</t>
  </si>
  <si>
    <t>Cape Fear CC- Union Station</t>
  </si>
  <si>
    <t>Notes</t>
  </si>
  <si>
    <t>We do not produe or use steam</t>
  </si>
  <si>
    <t>Having troble with CW meter. Sending data without CHW info.</t>
  </si>
  <si>
    <t>Billed from CFPUA every two months</t>
  </si>
  <si>
    <t>Gaston College-Lena Sue Beam Building</t>
  </si>
  <si>
    <t>Low Data.</t>
  </si>
  <si>
    <t>Incomplete data</t>
  </si>
  <si>
    <t>Spartan Village 1 - Lee Residence Hall</t>
  </si>
  <si>
    <t>Spartan Village 3 - Haywood Residence Hall</t>
  </si>
  <si>
    <t>Spartan Village 4 - Union Residence Hall</t>
  </si>
  <si>
    <t>Spartan Village 2 - Highland Residence Hall</t>
  </si>
  <si>
    <t>NO DATA</t>
  </si>
  <si>
    <t>included in AET Center bid amount</t>
  </si>
  <si>
    <t>Advanced Applied Technology Center</t>
  </si>
  <si>
    <t>Alamance CC</t>
  </si>
  <si>
    <t>07-07353-03A</t>
  </si>
  <si>
    <t>Shops/Offices</t>
  </si>
  <si>
    <t>Little</t>
  </si>
  <si>
    <t>Health Sciences Center</t>
  </si>
  <si>
    <t>Davidson CCC</t>
  </si>
  <si>
    <t>07-07386-02A</t>
  </si>
  <si>
    <t>Classrooms/Offices/Labs</t>
  </si>
  <si>
    <t>No Contract   (Creating)</t>
  </si>
  <si>
    <t>Scott Residence Hall Renovation</t>
  </si>
  <si>
    <t>14-11473-01A</t>
  </si>
  <si>
    <t>KSQ</t>
  </si>
  <si>
    <t>0/09/15</t>
  </si>
  <si>
    <t>WUI Baseline (Gal/Sq Ft/Yr)</t>
  </si>
  <si>
    <t>WUI Proposed (Gal/Sq Ft/Yr)</t>
  </si>
  <si>
    <t>WUI Metered (Gal/Sq Ft/Yr)</t>
  </si>
  <si>
    <t>FD</t>
  </si>
  <si>
    <t>Energy Model Report Date</t>
  </si>
  <si>
    <t>Gateway Residence Hall (Belk Replacement)</t>
  </si>
  <si>
    <t>2015/2016 Meter Data Summary</t>
  </si>
  <si>
    <t>NCA&amp;T - Student Health Center</t>
  </si>
  <si>
    <t>UNCG - Campus Police Facility</t>
  </si>
  <si>
    <t>UNCSA - New Library Building</t>
  </si>
  <si>
    <t>UNCC - South Village Dining Facility</t>
  </si>
  <si>
    <t>UNCG - Dining Hall Renovation</t>
  </si>
  <si>
    <t>WSSU - Center for Design Innovation</t>
  </si>
  <si>
    <t>FSU - Jones Student Center - Renovation and Addition</t>
  </si>
  <si>
    <t>UNCSA - Campus Police Facility</t>
  </si>
  <si>
    <t>UNCSA - Central Storage Facility</t>
  </si>
  <si>
    <t>NCSU - Talley Student Center Renovation and Addition</t>
  </si>
  <si>
    <t>Nash CC - CE and BLET</t>
  </si>
  <si>
    <t>UNCSA - Film School Production Design Facility</t>
  </si>
  <si>
    <t>UNCC - Holshouser Residence Hall Renovation</t>
  </si>
  <si>
    <t>UNCC - Phase XIII Residence Hall</t>
  </si>
  <si>
    <t>ASU - Belk Residence Hall Renovation</t>
  </si>
  <si>
    <t>UNCW - S &amp; BS Building Renovation</t>
  </si>
  <si>
    <t>ECU - Gateway Residence Hall (Belk Replacement)</t>
  </si>
  <si>
    <t>UNCC - Oak Residence Hall Renovation</t>
  </si>
  <si>
    <t>Nursing Home /Assisted Living</t>
  </si>
  <si>
    <t>GSF/Bed</t>
  </si>
  <si>
    <t>Climate Zone (3, 4 or 5)</t>
  </si>
  <si>
    <t>ASHRAE 100 Bldg Type No.</t>
  </si>
  <si>
    <t>Dorm</t>
  </si>
  <si>
    <t>Fast food</t>
  </si>
  <si>
    <t>Col/Univ</t>
  </si>
  <si>
    <t>Other Assembly</t>
  </si>
  <si>
    <t>Clinic</t>
  </si>
  <si>
    <t>Lab</t>
  </si>
  <si>
    <t>Nursing home</t>
  </si>
  <si>
    <t>Library</t>
  </si>
  <si>
    <t>Prof Office</t>
  </si>
  <si>
    <t>High School</t>
  </si>
  <si>
    <t>Apart</t>
  </si>
  <si>
    <t>Recreat</t>
  </si>
  <si>
    <t>Fol/Univ</t>
  </si>
  <si>
    <t>Rest/Cafet</t>
  </si>
  <si>
    <t>Police Sta</t>
  </si>
  <si>
    <t>Rest/café</t>
  </si>
  <si>
    <t>Med Off Diag</t>
  </si>
  <si>
    <t>ASHRAE 100 25th(kBtu/Sq Ft/yr)</t>
  </si>
  <si>
    <t>Residence Hall &amp; Dining Hall</t>
  </si>
  <si>
    <t>Western Carolina University - Harrill Residence Hall</t>
  </si>
  <si>
    <t>Jun-15</t>
  </si>
  <si>
    <t>meter down</t>
  </si>
  <si>
    <t>FY2014/15</t>
  </si>
  <si>
    <t>FY2015/16</t>
  </si>
  <si>
    <t>FY15/16 kWh cost</t>
  </si>
  <si>
    <t>Total cost</t>
  </si>
  <si>
    <t>Gallons</t>
  </si>
  <si>
    <t>Water cost</t>
  </si>
  <si>
    <t>March</t>
  </si>
  <si>
    <t>The North Carolina State Bar-Electricity and Water Usage 6/2015 thru 8/2016</t>
  </si>
  <si>
    <t>Aug 15 - Jul 16</t>
  </si>
  <si>
    <t>NC Veterans Home - Kinston</t>
  </si>
  <si>
    <t>NC Division of Veterans Affairs - NC State Veterans Home - Kinston</t>
  </si>
  <si>
    <t>N./A</t>
  </si>
  <si>
    <t>Water Cost $</t>
  </si>
  <si>
    <t>2015-2016</t>
  </si>
  <si>
    <t>Domestic Water</t>
  </si>
  <si>
    <t xml:space="preserve">Continuing Education and Industrial Center </t>
  </si>
  <si>
    <t>Jul '15</t>
  </si>
  <si>
    <t>Aug '15</t>
  </si>
  <si>
    <t>Sep '15</t>
  </si>
  <si>
    <t xml:space="preserve">Oct '15 </t>
  </si>
  <si>
    <t>Nov '15</t>
  </si>
  <si>
    <t>Dec '15</t>
  </si>
  <si>
    <t>Jan '16</t>
  </si>
  <si>
    <t>Feb '16</t>
  </si>
  <si>
    <t>Mar '16</t>
  </si>
  <si>
    <t>Apr '16</t>
  </si>
  <si>
    <t>May '16</t>
  </si>
  <si>
    <t>Jun '16</t>
  </si>
  <si>
    <t>BTU/GSF</t>
  </si>
  <si>
    <t>Includes Cooking Loads</t>
  </si>
  <si>
    <t>Electric</t>
  </si>
  <si>
    <t>Elec</t>
  </si>
  <si>
    <t>Nat Gas</t>
  </si>
  <si>
    <t>KWH</t>
  </si>
  <si>
    <t>Cost</t>
  </si>
  <si>
    <t>Note: GTCC did not take benificial occupancy of this building until August 2014</t>
  </si>
  <si>
    <t>South Village Dinning</t>
  </si>
  <si>
    <t>NCDVA - NC State Veterans Home - Black Mountain</t>
  </si>
  <si>
    <t>May 2015 - June 2016</t>
  </si>
  <si>
    <t>Water Usage (ccf)</t>
  </si>
  <si>
    <t>NCDVA</t>
  </si>
  <si>
    <t>NC Veterans Home - Black Mountain</t>
  </si>
  <si>
    <t>Electricity  (KWH) building meter</t>
  </si>
  <si>
    <t>Electricity Cost ($) building meter x blended rate ($.0712/kwh)</t>
  </si>
  <si>
    <t>Chilled Water from Central Plant Cost  ($) kwh x $.0712/kwh</t>
  </si>
  <si>
    <t>Winston-Salem State University, Center for Design Innovation</t>
  </si>
  <si>
    <t>Electricity  (KWH) building utility meter</t>
  </si>
  <si>
    <t>Emergency Generator #2 Fuel Oil Use (Gallons-Estimated)</t>
  </si>
  <si>
    <t>Electricity Cost ($) utility building meter invoice</t>
  </si>
  <si>
    <t>Emergency Generator #2 Fuel Oil Cost (Estimated)</t>
  </si>
  <si>
    <t>Building is all electric and at an off-campus location.  No central plant is available and no natural gas is delivered to the building or site.</t>
  </si>
  <si>
    <t xml:space="preserve">ECU - Ledyard E. Ross Hall </t>
  </si>
  <si>
    <t>Chilled Water (Tons)</t>
  </si>
  <si>
    <t>Natural Gas (CCF)</t>
  </si>
  <si>
    <t>Water meter inop - is being replaced</t>
  </si>
  <si>
    <t>Condensate meter not communicating - Manual readings commenced in Aug 2016</t>
  </si>
  <si>
    <t>Water (kGal)</t>
  </si>
  <si>
    <t>Sarah &amp; Edward Smith Health Sciences Center</t>
  </si>
  <si>
    <t>Belk Residence Hall Total Electricity Use</t>
  </si>
  <si>
    <t>Belk Residence Hall Total Electricity Cost</t>
  </si>
  <si>
    <t>Belk Residence Hall Steam Use in lbs.</t>
  </si>
  <si>
    <t>Belk Residence Hall Steam Cost</t>
  </si>
  <si>
    <t>Belk Residence Hall Water Use</t>
  </si>
  <si>
    <t>Belk Residence Hall Water &amp; Sewer Cost</t>
  </si>
  <si>
    <t>Agency - Building Name: NCCU - Chidley North</t>
  </si>
  <si>
    <t>Agency - Building Name: NCCU - Nursing Building</t>
  </si>
  <si>
    <t>Note: August 2016 is a partial bill (up to 08/08/2016)</t>
  </si>
  <si>
    <t>Water (gal)</t>
  </si>
  <si>
    <t>No Meter</t>
  </si>
  <si>
    <t>Chilled Water (ton-hrs)</t>
  </si>
  <si>
    <t>Agency - New Student Health Center</t>
  </si>
  <si>
    <t>`</t>
  </si>
  <si>
    <t>Water (kgallons)</t>
  </si>
  <si>
    <t>No data.</t>
  </si>
  <si>
    <t>Building
Square Feet</t>
  </si>
  <si>
    <t>Laurel Residence Hall</t>
  </si>
  <si>
    <r>
      <rPr>
        <b/>
        <sz val="11"/>
        <color theme="1"/>
        <rFont val="Calibri"/>
        <family val="2"/>
        <scheme val="minor"/>
      </rPr>
      <t xml:space="preserve">Notes:  </t>
    </r>
    <r>
      <rPr>
        <sz val="10"/>
        <rFont val="Arial"/>
        <family val="2"/>
      </rPr>
      <t>Davis Arena &amp; Virginia Boone Bldg on same water meter</t>
    </r>
  </si>
  <si>
    <t>Error have been identified with incorectly read water meeter bginning in 2014.  Corections and credits are currently being tracked.</t>
  </si>
  <si>
    <t>July-15</t>
  </si>
  <si>
    <t>305 West Drive</t>
  </si>
  <si>
    <t>Note 1: Inaccurate Steam Meter</t>
  </si>
  <si>
    <t>Note 2: Missing Data</t>
  </si>
  <si>
    <t>Note 3: Chilled water costs are based on a per square foot allocation, not on metered consumption.</t>
  </si>
  <si>
    <t>312 Gray Drive</t>
  </si>
  <si>
    <t>314 Gray Drive</t>
  </si>
  <si>
    <t>316 Gray Drive</t>
  </si>
  <si>
    <t>309 West Drive</t>
  </si>
  <si>
    <t>Site Lighting (kWh)</t>
  </si>
  <si>
    <t>301 West Drive</t>
  </si>
  <si>
    <t>1310 Walker Ave</t>
  </si>
  <si>
    <t>Note 1</t>
  </si>
  <si>
    <t xml:space="preserve">UNCG - Spartan Village 4 - Union </t>
  </si>
  <si>
    <t>Spartan Village # 1</t>
  </si>
  <si>
    <t>UNCG - Spartan Village Building 2 - Highland</t>
  </si>
  <si>
    <t>Spartan Village # 3</t>
  </si>
  <si>
    <t>Spartan Village # 4</t>
  </si>
  <si>
    <t>Spartan Village # 2</t>
  </si>
  <si>
    <t>Dining Hall/ Moran Common</t>
  </si>
  <si>
    <t>1209 North Drive</t>
  </si>
  <si>
    <t>Note 2</t>
  </si>
  <si>
    <t>1200 West Gate City Blvd</t>
  </si>
  <si>
    <t>Gaston College - Lena Sue Beam Building</t>
  </si>
  <si>
    <t>Electricity cost per kwh</t>
  </si>
  <si>
    <t>missing a meter reading for one critical piece of information related to Chilled Water</t>
  </si>
  <si>
    <r>
      <t>Water (</t>
    </r>
    <r>
      <rPr>
        <strike/>
        <sz val="10"/>
        <rFont val="Arial"/>
        <family val="2"/>
      </rPr>
      <t>CCF</t>
    </r>
    <r>
      <rPr>
        <sz val="10"/>
        <rFont val="Arial"/>
        <family val="2"/>
      </rPr>
      <t>) (gallons)</t>
    </r>
  </si>
  <si>
    <t>NCSU - Early College High School / Cherry Building Renovation</t>
  </si>
  <si>
    <t>thrms</t>
  </si>
  <si>
    <t>NCSU - Talley Student Union</t>
  </si>
  <si>
    <t xml:space="preserve">1 data point that is not yet available to Energy Management: Wolf Ridge 1 Natural Gas for July 2016. </t>
  </si>
  <si>
    <t>Nash Community College - Continuing Education Building  2015-2016  (July 1, 2015 - June 30, 2016)</t>
  </si>
  <si>
    <t>Note:  Electricity Cost Includes Steet Lights for Continuing Education Buildiing</t>
  </si>
  <si>
    <t>UNC-Asheville Overlook Residence Hall</t>
  </si>
  <si>
    <t>Total FY</t>
  </si>
  <si>
    <t>Duke</t>
  </si>
  <si>
    <t>PSNC</t>
  </si>
  <si>
    <t>City</t>
  </si>
  <si>
    <t xml:space="preserve">We do not have separate electricity bills for our campus.  The majority of the campus is on one main meter.  </t>
  </si>
  <si>
    <t>UNC-Asheville Rhoades Hall Renovation</t>
  </si>
  <si>
    <t>* No meter data</t>
  </si>
  <si>
    <t>Deduct site lighting (KWhs)</t>
  </si>
  <si>
    <t>UNCG - Spartan Village 4 - Union</t>
  </si>
  <si>
    <t>NCSU - Wolf Ridge 1 - Tower</t>
  </si>
  <si>
    <t>NCSU - Wolf Ridge 6 - Lakeview</t>
  </si>
  <si>
    <t>UNCC - Laurel Residence Hall</t>
  </si>
  <si>
    <t>Moran Commons Dining Hall Renovation</t>
  </si>
  <si>
    <t>15.16 sums</t>
  </si>
  <si>
    <t>WATER COSTS</t>
  </si>
  <si>
    <t>16-15656-01A</t>
  </si>
  <si>
    <t xml:space="preserve">AP </t>
  </si>
  <si>
    <t>Facilities Operations Offices/Shops Building</t>
  </si>
  <si>
    <t>Offices/Shops</t>
  </si>
  <si>
    <t>5  Mixed-use office &amp; 46 Other service</t>
  </si>
  <si>
    <t xml:space="preserve">Facilities Operations Warehouse w/offices </t>
  </si>
  <si>
    <t>9 Nonrefrigerated warehouse w/Mixed use offices</t>
  </si>
  <si>
    <t>Leonard J. Kaplan Center for Wellness</t>
  </si>
  <si>
    <t>Phase 1    3/11/2016</t>
  </si>
  <si>
    <t>ECI Proposed ($/Yr/Sq Ft)</t>
  </si>
  <si>
    <t>ECI Metered ($/Yr/Sq Ft)</t>
  </si>
  <si>
    <t>ECI (Energy Cost Intensity) Baseline ($/Yr/Sq Ft)</t>
  </si>
  <si>
    <t>Advanced Technology Center</t>
  </si>
  <si>
    <t>16-15695-02A</t>
  </si>
  <si>
    <t>State of North Carolina - Department of Administration                                                        State Construction Office - Energy Benchmarking Project</t>
  </si>
  <si>
    <t>Rowan-Cabarrus CCC</t>
  </si>
  <si>
    <t>Levine Residence Hall</t>
  </si>
  <si>
    <t>Engineering Research &amp; Innovation Complex (ERIC)</t>
  </si>
  <si>
    <t>16-15521-02A</t>
  </si>
  <si>
    <t>RMF/TWG</t>
  </si>
  <si>
    <t>Greene Residence Hall Renovation</t>
  </si>
  <si>
    <t>16-13051-01B</t>
  </si>
  <si>
    <t>State of North Carolina - Department of Administration                                                      State Construction Office - Energy Benchmarking Project</t>
  </si>
  <si>
    <t>Creating Contract</t>
  </si>
  <si>
    <t>Tom Sparks</t>
  </si>
  <si>
    <t>2016/2017 Meter Data Summary</t>
  </si>
  <si>
    <t>WTCC - Holding Hall Renovation</t>
  </si>
  <si>
    <t>UNC-CH - Rizzo Conference Center Phase III</t>
  </si>
  <si>
    <t>UNC-C - Belk Gymnasium Renovation</t>
  </si>
  <si>
    <t>NCSU - Reynolds Coliseum Renovation</t>
  </si>
  <si>
    <t>UNCG - Leonard J. Kaplan Center for Wellness</t>
  </si>
  <si>
    <t>Water (1000 gallons)</t>
  </si>
  <si>
    <t>1000 Gal</t>
  </si>
  <si>
    <t>Platinum</t>
  </si>
  <si>
    <t>David Kanoy</t>
  </si>
  <si>
    <t>Military and Veterans Affairs - NC State Veterans Home - Kinston</t>
  </si>
  <si>
    <t>The North Carolina State Bar-Electricity and Water Usage 6/2016 thru 8/2017</t>
  </si>
  <si>
    <t>Alamance</t>
  </si>
  <si>
    <t>Patrick Richardson richardsonpj@appstate.edu</t>
  </si>
  <si>
    <t>Steam Condensate (gal)</t>
  </si>
  <si>
    <t>$/kWh</t>
  </si>
  <si>
    <t>Osprey Hall Renovation</t>
  </si>
  <si>
    <t>Totals 2016-2017</t>
  </si>
  <si>
    <t>Locker rooms/Offices</t>
  </si>
  <si>
    <t>Gym/pool/fitness/courts/locker-room</t>
  </si>
  <si>
    <t>Classrooms/Offices/Lab&amp;Shop/conf training/etc</t>
  </si>
  <si>
    <t>JUN-16</t>
  </si>
  <si>
    <t>TOTAL</t>
  </si>
  <si>
    <t xml:space="preserve">WATER $ COST </t>
  </si>
  <si>
    <t>TOTAL:</t>
  </si>
  <si>
    <t>Military and Veterans Affairs - NC State Veterans Home - Black Mountain</t>
  </si>
  <si>
    <t>NCM&amp;VA</t>
  </si>
  <si>
    <t>Davidson</t>
  </si>
  <si>
    <t>07-07236-01B</t>
  </si>
  <si>
    <t>Randolph CC - Continuing Education Industrial Center</t>
  </si>
  <si>
    <t>2016-2017</t>
  </si>
  <si>
    <t>John Majernik &lt;jlmajernik@waketech.edu&gt;</t>
  </si>
  <si>
    <t>O'Hara, Jessica K &lt;johara@email.unc.edu&gt;</t>
  </si>
  <si>
    <t>Fuel Oil (gallons)</t>
  </si>
  <si>
    <t>Fuel Oil Costs ($)</t>
  </si>
  <si>
    <t>GENERAL NOTES:</t>
  </si>
  <si>
    <t xml:space="preserve">  =  "Dual fuel" boilers were configured for Fuel Oil at time of project completion; "duel fuel" boilers were converted to Natural Gas in the fall of 2016.</t>
  </si>
  <si>
    <t xml:space="preserve">  =   BAS water submeter data was not totalizing water consumption properly, water use estimated as a percentage of entire campus water usage. Problem has been corrected for future reporting.</t>
  </si>
  <si>
    <t>Aug 16 - Jul 17</t>
  </si>
  <si>
    <t>Energy and Water Usage (Acct. #01003891)</t>
  </si>
  <si>
    <t>UNC-CH - McLean Hall Bell/Rizzo</t>
  </si>
  <si>
    <t>McLean Hall at Rizzo</t>
  </si>
  <si>
    <t>Fuel Oil Cost ($)</t>
  </si>
  <si>
    <t>Aug 16</t>
  </si>
  <si>
    <t>Sep 16</t>
  </si>
  <si>
    <t>Oct 16</t>
  </si>
  <si>
    <t>Nov 16</t>
  </si>
  <si>
    <t>Dec 16</t>
  </si>
  <si>
    <t>Jan 17</t>
  </si>
  <si>
    <t>Feb 17</t>
  </si>
  <si>
    <t>Mar 17</t>
  </si>
  <si>
    <t>Apr 17</t>
  </si>
  <si>
    <t>May 17</t>
  </si>
  <si>
    <t>Jun 17</t>
  </si>
  <si>
    <t>Jul 17</t>
  </si>
  <si>
    <t>Water cost per billed unit</t>
  </si>
  <si>
    <t>Natural gas cost per therm</t>
  </si>
  <si>
    <t>Chilled water (dtherms)</t>
  </si>
  <si>
    <t>dtherm</t>
  </si>
  <si>
    <t>WUI (Water Use Intensity)  Baseline (Gal/Sq Ft/Yr)</t>
  </si>
  <si>
    <t>Jun-16</t>
  </si>
  <si>
    <t>Note 1 : August 2017 is a partial bill (up to 08/24/2016)</t>
  </si>
  <si>
    <t>Note 2 : Natural Gas July and August 2017 readings for Chidley North show 0 (up to 08/24/2016) and they will be adjusted in September.</t>
  </si>
  <si>
    <t>Note 3: Nursing Building steam meter has not been fixed and could not get any readings.</t>
  </si>
  <si>
    <t>Winston-Salem State University</t>
  </si>
  <si>
    <t>Donald J. Reaves Student Activities Center</t>
  </si>
  <si>
    <t>Please Note:</t>
  </si>
  <si>
    <t>The water data is in gallons of water not CCF.</t>
  </si>
  <si>
    <t>July-16</t>
  </si>
  <si>
    <t xml:space="preserve">Note 2 </t>
  </si>
  <si>
    <t>UNCG - Moran Commons (Dining Hall Renovation)</t>
  </si>
  <si>
    <t>Kaplan Center for Wellness</t>
  </si>
  <si>
    <t>1301 West Gate City Blvd</t>
  </si>
  <si>
    <t>Nihal Ali Al Raees:</t>
  </si>
  <si>
    <t>Off reading/</t>
  </si>
  <si>
    <t>having the average of 3 similar buildings for the same month</t>
  </si>
  <si>
    <t>Steam Usage (lbs)*</t>
  </si>
  <si>
    <t>Steam Cost ($)*</t>
  </si>
  <si>
    <t>*Nihal Ali Al Raees:  Off reading/having the average of 3 similar buildings for the same month</t>
  </si>
  <si>
    <t>* Off reading / having the average of 3 similar buildings for the same month</t>
  </si>
  <si>
    <t>Wagoner Energy Plant - 32%</t>
  </si>
  <si>
    <t>Jul usage 7/6/16-8/1/16</t>
  </si>
  <si>
    <t>Sep usage 8/31/16-10/3/16</t>
  </si>
  <si>
    <t>Nov usage 11/1/16-12/5/16</t>
  </si>
  <si>
    <t>Jan usage 1/3/17-2/6/17</t>
  </si>
  <si>
    <t>Mar usage 3/1/17-4/4/17</t>
  </si>
  <si>
    <t>May usage 5/1/17-5/31/17</t>
  </si>
  <si>
    <t>Aug usage 8/1/16-8/31/16</t>
  </si>
  <si>
    <t>Oct usage 10/3/16-11/1/16</t>
  </si>
  <si>
    <t>Dec usage 12/5/16-1/3/17</t>
  </si>
  <si>
    <t>Feb usage 2/6/17-3/1/17</t>
  </si>
  <si>
    <t>Apr usage 4/4/17-5/1/17</t>
  </si>
  <si>
    <t>Jun usage 5/31/17-7/6/17</t>
  </si>
  <si>
    <t>CAMPUS REC - 26%</t>
  </si>
  <si>
    <t>Last fiscal year Jun-16 water - Documented wrong number causing very large usage total. Will enter same reading in fy16-17 until reading catches up with June's incorrect reading.</t>
  </si>
  <si>
    <t>Oct - additional trash pickup in preperation of hurricane Matthew.</t>
  </si>
  <si>
    <t>Nov water corrected. Charged .04 more than should have. Campus Rec billed 373.64 but should have been 373.60.</t>
  </si>
  <si>
    <t>BIOTECHNOLOGY FACILITY</t>
  </si>
  <si>
    <t xml:space="preserve">   ON PEAK KWH</t>
  </si>
  <si>
    <t xml:space="preserve">   OFF PEAK KWH</t>
  </si>
  <si>
    <t xml:space="preserve">   TOTAL KWH</t>
  </si>
  <si>
    <t>BIOTECHNOLOGY -  25%</t>
  </si>
  <si>
    <t>No meter</t>
  </si>
  <si>
    <t>UNCW - Osprey Hall Renovation</t>
  </si>
  <si>
    <t>OSPREY HALL</t>
  </si>
  <si>
    <t>Gross Sqft: 46714</t>
  </si>
  <si>
    <t>Net Sqft: 41759</t>
  </si>
  <si>
    <t>Jul-Jun electric on line reading moved forward and backward. One digit less than meter in the field. Because rolled over now two digits less than meter in the field.</t>
  </si>
  <si>
    <t>Jul-Jun low flow water reading not changing.</t>
  </si>
  <si>
    <t>Oct - additional dump in preparation for Hurricane Matthew.</t>
  </si>
  <si>
    <t>Nash Community College - Continuing Education Building  2016-2017  (July 1, 2016 - June 30, 2017)</t>
  </si>
  <si>
    <t>Note:  Chilled Water Cost Includes Water and Waste Water Expenses</t>
  </si>
  <si>
    <t>Adrienne Covington &lt;ascovington197@nashcc.edu&gt;</t>
  </si>
  <si>
    <t>&gt;&gt;&gt;&gt;&gt;&gt;&gt;&gt;&gt;</t>
  </si>
  <si>
    <t>No PSNC bills paid on Overlook; no water bill paid in June of 2017 for May 2017</t>
  </si>
  <si>
    <t>Renovated Rhoades Hall does not use any natural gas; Rhoades Hall is heated and cooled via ground source heat pump system which consumes electricity.</t>
  </si>
  <si>
    <t>Error has been identified with incorrectly read water meter bginning in 2014.  Corrections and credits are currently being tracked.</t>
  </si>
  <si>
    <r>
      <rPr>
        <b/>
        <sz val="11"/>
        <color theme="1"/>
        <rFont val="Calibri"/>
        <family val="2"/>
        <scheme val="minor"/>
      </rPr>
      <t xml:space="preserve">Notes:  </t>
    </r>
    <r>
      <rPr>
        <sz val="10"/>
        <rFont val="Arial"/>
        <family val="2"/>
      </rPr>
      <t>Davis Arena &amp; Virginia Boone Bldg on same water meter</t>
    </r>
  </si>
  <si>
    <t>#</t>
  </si>
  <si>
    <t>State ID#</t>
  </si>
  <si>
    <t>Heating Hot Water (Gas $)</t>
  </si>
  <si>
    <t>Chilled Water (Electric $)</t>
  </si>
  <si>
    <t>*This includes water and reuse water.</t>
  </si>
  <si>
    <t>Reuse Water (CCF)</t>
  </si>
  <si>
    <t>Reuse Water Cost ($)</t>
  </si>
  <si>
    <t>S&amp;BS (Osprey Hall) also receives its space heating and cooling from a central plant. Unfortunately, calculations were not done for this building.</t>
  </si>
  <si>
    <t>UNCC - Belk Gymnasium Renovation</t>
  </si>
  <si>
    <t>NCAT - Student Health Center</t>
  </si>
  <si>
    <t>CFCC - Union Station</t>
  </si>
  <si>
    <t>HCC - Creative Arts Building</t>
  </si>
  <si>
    <t>MVA - NC State Veterans Home - Kinston</t>
  </si>
  <si>
    <t>RCC - Continuing Education Industrial Center</t>
  </si>
  <si>
    <t>GC - Lena Sue Beam Renovation</t>
  </si>
  <si>
    <t>MVA - NC State Veterans Home - Black Mountain</t>
  </si>
  <si>
    <t>DACS - SENC Ag Center</t>
  </si>
  <si>
    <t>DACS - Davis Event Center</t>
  </si>
  <si>
    <t xml:space="preserve">PCC - Russell Classroom Building </t>
  </si>
  <si>
    <t>NCC - CE and BLET</t>
  </si>
  <si>
    <t>Reynolds Coliseum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</si>
</sst>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00_);_(* \(#,##0.000\);_(* &quot;-&quot;??_);_(@_)"/>
    <numFmt numFmtId="167" formatCode="0.000"/>
    <numFmt numFmtId="168" formatCode="0.0"/>
    <numFmt numFmtId="169" formatCode="m/d/yyyy;@"/>
    <numFmt numFmtId="170" formatCode="0.0%"/>
    <numFmt numFmtId="171" formatCode="[$-409]mmmm\ d\,\ yyyy;@"/>
    <numFmt numFmtId="172" formatCode="[$-409]mmm\-yy;@"/>
    <numFmt numFmtId="173" formatCode="000"/>
    <numFmt numFmtId="174" formatCode="&quot;$&quot;#,##0"/>
    <numFmt numFmtId="175" formatCode="&quot;$&quot;#,##0.00"/>
    <numFmt numFmtId="176" formatCode="mmm\-yy;@"/>
    <numFmt numFmtId="177" formatCode="&quot;$&quot;#,##0\ ;&quot;$&quot;\(#,##0\)"/>
    <numFmt numFmtId="178" formatCode="m/d;@"/>
    <numFmt numFmtId="179" formatCode="&quot;$&quot;#,##0.000"/>
    <numFmt numFmtId="180" formatCode="0.0000"/>
    <numFmt numFmtId="181" formatCode="0_);\(0\)"/>
    <numFmt numFmtId="182" formatCode="#,##0.0000_);\(#,##0.0000\)"/>
    <numFmt numFmtId="183" formatCode="0.0000_);\(0.0000\)"/>
    <numFmt numFmtId="184" formatCode="#,##0.0_);\(#,##0.0\)"/>
    <numFmt numFmtId="185" formatCode="mmm\-yyyy"/>
    <numFmt numFmtId="186" formatCode="#,##0.0000000000"/>
    <numFmt numFmtId="187" formatCode="&quot;$&quot;#,##0.000000"/>
    <numFmt numFmtId="188" formatCode="[$-409]d\-mmm;@"/>
    <numFmt numFmtId="189" formatCode="_(* #,##0.0_);_(* \(#,##0.0\);_(* &quot;-&quot;??_);_(@_)"/>
    <numFmt numFmtId="190" formatCode="#,##0&quot; kWh&quot;"/>
    <numFmt numFmtId="191" formatCode="#,##0&quot; lbs&quot;"/>
    <numFmt numFmtId="192" formatCode="#,##0&quot; gal&quot;"/>
    <numFmt numFmtId="193" formatCode="#,##0.0"/>
    <numFmt numFmtId="194" formatCode="_(&quot;$&quot;* #,##0.000_);_(&quot;$&quot;* \(#,##0.000\);_(&quot;$&quot;* &quot;-&quot;??_);_(@_)"/>
    <numFmt numFmtId="195" formatCode="[$-409]mmmm\-yy;@"/>
    <numFmt numFmtId="196" formatCode="_(&quot;$&quot;* #,##0.0000_);_(&quot;$&quot;* \(#,##0.0000\);_(&quot;$&quot;* &quot;-&quot;??_);_(@_)"/>
    <numFmt numFmtId="197" formatCode="0.00_);\(0.00\)"/>
    <numFmt numFmtId="198" formatCode="_(* #,##0.00_);_(* \(#,##0.00\);_(* &quot;-&quot;_);_(@_)"/>
    <numFmt numFmtId="199" formatCode="#,##0.0000"/>
  </numFmts>
  <fonts count="1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name val="Arial"/>
      <family val="2"/>
    </font>
    <font>
      <b/>
      <sz val="11"/>
      <name val="Arial"/>
      <family val="2"/>
    </font>
    <font>
      <b/>
      <sz val="14"/>
      <name val="Arial"/>
      <family val="2"/>
    </font>
    <font>
      <sz val="10"/>
      <name val="Arial"/>
      <family val="2"/>
    </font>
    <font>
      <sz val="9"/>
      <color indexed="81"/>
      <name val="Tahoma"/>
      <family val="2"/>
    </font>
    <font>
      <b/>
      <sz val="9"/>
      <color indexed="81"/>
      <name val="Tahoma"/>
      <family val="2"/>
    </font>
    <font>
      <sz val="11"/>
      <color rgb="FF000000"/>
      <name val="Arial"/>
      <family val="2"/>
    </font>
    <font>
      <b/>
      <sz val="20"/>
      <name val="Arial"/>
      <family val="2"/>
    </font>
    <font>
      <sz val="7"/>
      <name val="Arial"/>
      <family val="2"/>
    </font>
    <font>
      <sz val="11"/>
      <color theme="1"/>
      <name val="Arial"/>
      <family val="2"/>
    </font>
    <font>
      <b/>
      <sz val="11"/>
      <color rgb="FF00B050"/>
      <name val="Arial"/>
      <family val="2"/>
    </font>
    <font>
      <b/>
      <sz val="11"/>
      <color rgb="FFFF0000"/>
      <name val="Arial"/>
      <family val="2"/>
    </font>
    <font>
      <sz val="11"/>
      <color rgb="FF00B050"/>
      <name val="Arial"/>
      <family val="2"/>
    </font>
    <font>
      <sz val="11"/>
      <color rgb="FFFF0000"/>
      <name val="Arial"/>
      <family val="2"/>
    </font>
    <font>
      <sz val="14"/>
      <name val="Arial"/>
      <family val="2"/>
    </font>
    <font>
      <sz val="10"/>
      <color rgb="FFFF0000"/>
      <name val="Arial"/>
      <family val="2"/>
    </font>
    <font>
      <sz val="11"/>
      <color rgb="FF000080"/>
      <name val="Arial"/>
      <family val="2"/>
    </font>
    <font>
      <b/>
      <sz val="8"/>
      <name val="Arial"/>
      <family val="2"/>
    </font>
    <font>
      <sz val="9"/>
      <color rgb="FF000080"/>
      <name val="Arial"/>
      <family val="2"/>
    </font>
    <font>
      <strike/>
      <sz val="11"/>
      <name val="Arial"/>
      <family val="2"/>
    </font>
    <font>
      <b/>
      <sz val="12"/>
      <name val="Arial"/>
      <family val="2"/>
    </font>
    <font>
      <sz val="11"/>
      <color rgb="FF000033"/>
      <name val="Arial"/>
      <family val="2"/>
    </font>
    <font>
      <sz val="11"/>
      <color rgb="FF333333"/>
      <name val="Arial"/>
      <family val="2"/>
    </font>
    <font>
      <b/>
      <sz val="12"/>
      <name val="Times New Roman"/>
      <family val="1"/>
    </font>
    <font>
      <b/>
      <sz val="10"/>
      <name val="Times New Roman"/>
      <family val="1"/>
    </font>
    <font>
      <sz val="10"/>
      <name val="Times New Roman"/>
      <family val="1"/>
    </font>
    <font>
      <sz val="10"/>
      <color theme="1"/>
      <name val="Times New Roman"/>
      <family val="1"/>
    </font>
    <font>
      <sz val="10"/>
      <color theme="1"/>
      <name val="Calibri"/>
      <family val="2"/>
      <scheme val="minor"/>
    </font>
    <font>
      <sz val="10"/>
      <color theme="1"/>
      <name val="Calibri"/>
      <family val="2"/>
    </font>
    <font>
      <b/>
      <sz val="14"/>
      <color theme="1"/>
      <name val="Arial"/>
      <family val="2"/>
    </font>
    <font>
      <b/>
      <sz val="11"/>
      <color theme="1"/>
      <name val="Arial"/>
      <family val="2"/>
    </font>
    <font>
      <b/>
      <sz val="10"/>
      <name val="Arial"/>
      <family val="2"/>
    </font>
    <font>
      <sz val="10"/>
      <color theme="1"/>
      <name val="Arial"/>
      <family val="2"/>
    </font>
    <font>
      <u val="singleAccounting"/>
      <sz val="10"/>
      <color theme="1"/>
      <name val="Arial"/>
      <family val="2"/>
    </font>
    <font>
      <sz val="10"/>
      <color rgb="FF000000"/>
      <name val="Arial"/>
      <family val="2"/>
    </font>
    <font>
      <strike/>
      <sz val="10"/>
      <name val="Arial"/>
      <family val="2"/>
    </font>
    <font>
      <b/>
      <sz val="11"/>
      <color theme="1"/>
      <name val="Calibri"/>
      <family val="2"/>
      <scheme val="minor"/>
    </font>
    <font>
      <sz val="11"/>
      <color rgb="FFFF0000"/>
      <name val="Calibri"/>
      <family val="2"/>
      <scheme val="minor"/>
    </font>
    <font>
      <sz val="10"/>
      <color rgb="FFFF0000"/>
      <name val="Times New Roman"/>
      <family val="1"/>
    </font>
    <font>
      <sz val="11"/>
      <color rgb="FF3333FF"/>
      <name val="Calibri"/>
      <family val="2"/>
      <scheme val="minor"/>
    </font>
    <font>
      <sz val="10"/>
      <color rgb="FF3333FF"/>
      <name val="Times New Roman"/>
      <family val="1"/>
    </font>
    <font>
      <sz val="11"/>
      <color theme="1"/>
      <name val="Calibri"/>
      <family val="2"/>
    </font>
    <font>
      <sz val="10"/>
      <name val="Calibri"/>
      <family val="2"/>
    </font>
    <font>
      <b/>
      <sz val="10"/>
      <name val="Calibri"/>
      <family val="2"/>
      <scheme val="minor"/>
    </font>
    <font>
      <b/>
      <sz val="14"/>
      <color theme="1"/>
      <name val="Calibri"/>
      <family val="2"/>
      <scheme val="minor"/>
    </font>
    <font>
      <b/>
      <sz val="11"/>
      <color rgb="FF000000"/>
      <name val="Calibri"/>
      <family val="2"/>
    </font>
    <font>
      <sz val="11"/>
      <color rgb="FF000000"/>
      <name val="Calibri"/>
      <family val="2"/>
    </font>
    <font>
      <strike/>
      <sz val="11"/>
      <color rgb="FF000000"/>
      <name val="Calibri"/>
      <family val="2"/>
    </font>
    <font>
      <b/>
      <strike/>
      <sz val="11"/>
      <color rgb="FF000000"/>
      <name val="Calibri"/>
      <family val="2"/>
    </font>
    <font>
      <b/>
      <sz val="16"/>
      <color theme="1"/>
      <name val="Calibri"/>
      <family val="2"/>
      <scheme val="minor"/>
    </font>
    <font>
      <b/>
      <sz val="12"/>
      <name val="Calibri"/>
      <family val="2"/>
      <scheme val="minor"/>
    </font>
    <font>
      <b/>
      <i/>
      <sz val="12"/>
      <name val="Calibri"/>
      <family val="2"/>
      <scheme val="minor"/>
    </font>
    <font>
      <b/>
      <i/>
      <sz val="11"/>
      <color theme="1"/>
      <name val="Calibri"/>
      <family val="2"/>
      <scheme val="minor"/>
    </font>
    <font>
      <b/>
      <sz val="12"/>
      <color theme="1"/>
      <name val="Calibri"/>
      <family val="2"/>
      <scheme val="minor"/>
    </font>
    <font>
      <sz val="10"/>
      <color theme="0" tint="-0.14999847407452621"/>
      <name val="Times New Roman"/>
      <family val="1"/>
    </font>
    <font>
      <b/>
      <sz val="12"/>
      <color indexed="8"/>
      <name val="Calibri"/>
      <family val="2"/>
      <scheme val="minor"/>
    </font>
    <font>
      <sz val="10"/>
      <color indexed="8"/>
      <name val="Calibri"/>
      <family val="2"/>
      <scheme val="minor"/>
    </font>
    <font>
      <sz val="11"/>
      <color indexed="8"/>
      <name val="Calibri"/>
      <family val="2"/>
      <scheme val="minor"/>
    </font>
    <font>
      <sz val="11"/>
      <name val="Calibri"/>
      <family val="2"/>
      <scheme val="minor"/>
    </font>
    <font>
      <b/>
      <sz val="16"/>
      <color theme="1"/>
      <name val="Arial"/>
      <family val="2"/>
    </font>
    <font>
      <sz val="16"/>
      <color theme="1"/>
      <name val="Arial"/>
      <family val="2"/>
    </font>
    <font>
      <sz val="16"/>
      <name val="Arial"/>
      <family val="2"/>
    </font>
    <font>
      <u val="singleAccounting"/>
      <sz val="16"/>
      <color theme="1"/>
      <name val="Arial"/>
      <family val="2"/>
    </font>
    <font>
      <b/>
      <sz val="16"/>
      <name val="Arial"/>
      <family val="2"/>
    </font>
    <font>
      <u/>
      <sz val="10"/>
      <color theme="10"/>
      <name val="Arial"/>
      <family val="2"/>
    </font>
    <font>
      <b/>
      <u/>
      <sz val="10"/>
      <name val="Arial"/>
      <family val="2"/>
    </font>
    <font>
      <sz val="10"/>
      <color rgb="FF666666"/>
      <name val="Arial"/>
      <family val="2"/>
    </font>
    <font>
      <sz val="8"/>
      <color theme="1"/>
      <name val="Calibri"/>
      <family val="2"/>
      <scheme val="minor"/>
    </font>
    <font>
      <b/>
      <sz val="8"/>
      <name val="Times New Roman"/>
      <family val="1"/>
    </font>
    <font>
      <sz val="11"/>
      <color theme="1"/>
      <name val="Times New Roman"/>
      <family val="1"/>
    </font>
    <font>
      <sz val="10"/>
      <color indexed="8"/>
      <name val="Arial"/>
      <family val="2"/>
    </font>
    <font>
      <b/>
      <sz val="10"/>
      <color theme="1"/>
      <name val="Calibri"/>
      <family val="2"/>
      <scheme val="minor"/>
    </font>
    <font>
      <sz val="14"/>
      <color theme="1"/>
      <name val="Calibri"/>
      <family val="2"/>
      <scheme val="minor"/>
    </font>
    <font>
      <b/>
      <sz val="10"/>
      <color theme="1"/>
      <name val="Times New Roman"/>
      <family val="1"/>
    </font>
    <font>
      <b/>
      <sz val="10"/>
      <color rgb="FFFF0000"/>
      <name val="Times New Roman"/>
      <family val="1"/>
    </font>
    <font>
      <sz val="24"/>
      <color rgb="FF00B050"/>
      <name val="Wingdings"/>
      <charset val="2"/>
    </font>
    <font>
      <u/>
      <sz val="11"/>
      <color theme="10"/>
      <name val="Arial"/>
      <family val="2"/>
    </font>
    <font>
      <b/>
      <sz val="18"/>
      <name val="Arial"/>
      <family val="2"/>
    </font>
    <font>
      <b/>
      <sz val="10"/>
      <color theme="1"/>
      <name val="Arial"/>
      <family val="2"/>
    </font>
    <font>
      <b/>
      <i/>
      <sz val="10"/>
      <color theme="1"/>
      <name val="Calibri"/>
      <family val="2"/>
      <scheme val="minor"/>
    </font>
    <font>
      <sz val="10"/>
      <name val="Calibri"/>
      <family val="2"/>
      <scheme val="minor"/>
    </font>
    <font>
      <b/>
      <sz val="10"/>
      <color theme="1"/>
      <name val="Calibri"/>
      <family val="2"/>
    </font>
    <font>
      <sz val="12"/>
      <color theme="1"/>
      <name val="Calibri"/>
      <family val="2"/>
      <scheme val="minor"/>
    </font>
    <font>
      <sz val="12"/>
      <name val="Calibri"/>
      <family val="2"/>
      <scheme val="minor"/>
    </font>
    <font>
      <b/>
      <sz val="11"/>
      <color theme="0"/>
      <name val="Calibri"/>
      <family val="2"/>
    </font>
    <font>
      <b/>
      <sz val="18"/>
      <color theme="1"/>
      <name val="Arial"/>
      <family val="2"/>
    </font>
    <font>
      <strike/>
      <sz val="10"/>
      <color theme="1"/>
      <name val="Arial"/>
      <family val="2"/>
    </font>
    <font>
      <sz val="11"/>
      <color theme="0" tint="-0.249977111117893"/>
      <name val="Calibri"/>
      <family val="2"/>
      <scheme val="minor"/>
    </font>
    <font>
      <sz val="11"/>
      <name val="Calibri"/>
      <family val="2"/>
    </font>
    <font>
      <sz val="9"/>
      <name val="Arial"/>
      <family val="2"/>
    </font>
    <font>
      <sz val="9"/>
      <color theme="1"/>
      <name val="Times New Roman"/>
      <family val="1"/>
    </font>
    <font>
      <sz val="11"/>
      <color rgb="FF1F497D"/>
      <name val="Calibri"/>
      <family val="2"/>
    </font>
    <font>
      <sz val="12"/>
      <name val="Times New Roman"/>
      <family val="1"/>
    </font>
    <font>
      <b/>
      <sz val="12"/>
      <color theme="1"/>
      <name val="Arial"/>
      <family val="2"/>
    </font>
    <font>
      <b/>
      <sz val="12"/>
      <color rgb="FFFF0000"/>
      <name val="Arial"/>
      <family val="2"/>
    </font>
    <font>
      <sz val="10"/>
      <color theme="0" tint="-0.14999847407452621"/>
      <name val="Arial"/>
      <family val="2"/>
    </font>
    <font>
      <sz val="10"/>
      <name val="Arial"/>
      <family val="2"/>
    </font>
    <font>
      <sz val="10"/>
      <color rgb="FF000000"/>
      <name val="Calibri"/>
      <family val="2"/>
      <scheme val="minor"/>
    </font>
    <font>
      <b/>
      <sz val="8"/>
      <color theme="1"/>
      <name val="Calibri"/>
      <family val="2"/>
      <scheme val="minor"/>
    </font>
    <font>
      <sz val="8"/>
      <color theme="1"/>
      <name val="Calibri"/>
      <family val="2"/>
    </font>
    <font>
      <b/>
      <sz val="8"/>
      <color theme="1"/>
      <name val="Calibri"/>
      <family val="2"/>
    </font>
    <font>
      <sz val="8"/>
      <name val="Calibri"/>
      <family val="2"/>
      <scheme val="minor"/>
    </font>
    <font>
      <b/>
      <sz val="8"/>
      <name val="Calibri"/>
      <family val="2"/>
      <scheme val="minor"/>
    </font>
    <font>
      <sz val="9"/>
      <color theme="1"/>
      <name val="Arial"/>
      <family val="2"/>
    </font>
    <font>
      <b/>
      <sz val="10"/>
      <color rgb="FFFF0000"/>
      <name val="Arial"/>
      <family val="2"/>
    </font>
  </fonts>
  <fills count="34">
    <fill>
      <patternFill patternType="none"/>
    </fill>
    <fill>
      <patternFill patternType="gray125"/>
    </fill>
    <fill>
      <patternFill patternType="solid">
        <fgColor rgb="FFFFFF00"/>
        <bgColor indexed="64"/>
      </patternFill>
    </fill>
    <fill>
      <patternFill patternType="solid">
        <fgColor indexed="41"/>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FF"/>
        <bgColor indexed="64"/>
      </patternFill>
    </fill>
    <fill>
      <patternFill patternType="solid">
        <fgColor rgb="FF00B0F0"/>
        <bgColor indexed="64"/>
      </patternFill>
    </fill>
    <fill>
      <patternFill patternType="solid">
        <fgColor rgb="FFCCFFFF"/>
        <bgColor indexed="64"/>
      </patternFill>
    </fill>
    <fill>
      <patternFill patternType="solid">
        <fgColor indexed="42"/>
        <bgColor indexed="64"/>
      </patternFill>
    </fill>
    <fill>
      <patternFill patternType="solid">
        <fgColor indexed="9"/>
        <bgColor indexed="64"/>
      </patternFill>
    </fill>
    <fill>
      <patternFill patternType="solid">
        <fgColor indexed="22"/>
        <bgColor indexed="0"/>
      </patternFill>
    </fill>
    <fill>
      <patternFill patternType="solid">
        <fgColor rgb="FFFFFF99"/>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1" tint="4.9989318521683403E-2"/>
        <bgColor indexed="64"/>
      </patternFill>
    </fill>
    <fill>
      <patternFill patternType="solid">
        <fgColor theme="1"/>
        <bgColor indexed="64"/>
      </patternFill>
    </fill>
    <fill>
      <patternFill patternType="solid">
        <fgColor rgb="FFFFC000"/>
        <bgColor indexed="64"/>
      </patternFill>
    </fill>
    <fill>
      <patternFill patternType="solid">
        <fgColor theme="4"/>
        <bgColor theme="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A9D08E"/>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rgb="FFFF7C80"/>
        <bgColor indexed="64"/>
      </patternFill>
    </fill>
    <fill>
      <patternFill patternType="solid">
        <fgColor theme="9" tint="0.59999389629810485"/>
        <bgColor indexed="64"/>
      </patternFill>
    </fill>
    <fill>
      <patternFill patternType="solid">
        <fgColor rgb="FF92D050"/>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double">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style="double">
        <color auto="1"/>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style="double">
        <color auto="1"/>
      </left>
      <right style="double">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double">
        <color auto="1"/>
      </right>
      <top/>
      <bottom/>
      <diagonal/>
    </border>
    <border>
      <left style="double">
        <color auto="1"/>
      </left>
      <right style="thin">
        <color auto="1"/>
      </right>
      <top style="medium">
        <color auto="1"/>
      </top>
      <bottom/>
      <diagonal/>
    </border>
    <border>
      <left style="thin">
        <color auto="1"/>
      </left>
      <right style="thin">
        <color auto="1"/>
      </right>
      <top style="medium">
        <color auto="1"/>
      </top>
      <bottom/>
      <diagonal/>
    </border>
    <border>
      <left style="double">
        <color auto="1"/>
      </left>
      <right style="double">
        <color auto="1"/>
      </right>
      <top style="double">
        <color auto="1"/>
      </top>
      <bottom style="double">
        <color auto="1"/>
      </bottom>
      <diagonal/>
    </border>
    <border>
      <left style="thin">
        <color auto="1"/>
      </left>
      <right style="double">
        <color auto="1"/>
      </right>
      <top/>
      <bottom/>
      <diagonal/>
    </border>
    <border>
      <left/>
      <right style="thin">
        <color theme="4" tint="0.39997558519241921"/>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double">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s>
  <cellStyleXfs count="67">
    <xf numFmtId="0" fontId="0" fillId="0" borderId="0"/>
    <xf numFmtId="43"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0" fontId="18" fillId="0" borderId="0"/>
    <xf numFmtId="0" fontId="17" fillId="0" borderId="0"/>
    <xf numFmtId="0" fontId="16"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57" fillId="0" borderId="25" applyNumberFormat="0" applyFill="0" applyAlignment="0" applyProtection="0"/>
    <xf numFmtId="0" fontId="14" fillId="0" borderId="0"/>
    <xf numFmtId="44" fontId="14" fillId="0" borderId="0" applyFon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0" fontId="85" fillId="0" borderId="0" applyNumberFormat="0" applyFill="0" applyBorder="0" applyAlignment="0" applyProtection="0"/>
    <xf numFmtId="0" fontId="13" fillId="0" borderId="0"/>
    <xf numFmtId="0" fontId="91" fillId="0" borderId="0"/>
    <xf numFmtId="0" fontId="91" fillId="0" borderId="0"/>
    <xf numFmtId="43" fontId="13" fillId="0" borderId="0" applyFont="0" applyFill="0" applyBorder="0" applyAlignment="0" applyProtection="0"/>
    <xf numFmtId="0" fontId="12" fillId="0" borderId="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19"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cellStyleXfs>
  <cellXfs count="2277">
    <xf numFmtId="0" fontId="0" fillId="0" borderId="0" xfId="0"/>
    <xf numFmtId="0" fontId="21" fillId="0" borderId="0" xfId="0" applyFont="1" applyFill="1" applyBorder="1" applyAlignment="1">
      <alignment horizontal="center"/>
    </xf>
    <xf numFmtId="164" fontId="21" fillId="0" borderId="0" xfId="1" applyNumberFormat="1" applyFont="1" applyFill="1" applyBorder="1"/>
    <xf numFmtId="0" fontId="21" fillId="0" borderId="0" xfId="0" applyFont="1" applyFill="1" applyBorder="1"/>
    <xf numFmtId="0" fontId="21" fillId="0" borderId="0" xfId="0" applyFont="1" applyFill="1" applyBorder="1" applyAlignment="1">
      <alignment horizontal="left" wrapText="1"/>
    </xf>
    <xf numFmtId="9" fontId="21" fillId="0" borderId="0" xfId="3" applyFont="1" applyFill="1" applyBorder="1" applyAlignment="1">
      <alignment horizontal="right"/>
    </xf>
    <xf numFmtId="164" fontId="21" fillId="0" borderId="0" xfId="1" applyNumberFormat="1" applyFont="1" applyFill="1" applyBorder="1" applyAlignment="1">
      <alignment horizontal="right"/>
    </xf>
    <xf numFmtId="2" fontId="21" fillId="0" borderId="0" xfId="0" applyNumberFormat="1" applyFont="1" applyFill="1" applyBorder="1"/>
    <xf numFmtId="9" fontId="21" fillId="0" borderId="0" xfId="3" applyFont="1" applyFill="1" applyBorder="1"/>
    <xf numFmtId="164" fontId="21" fillId="0" borderId="0" xfId="1" applyNumberFormat="1" applyFont="1" applyFill="1" applyBorder="1" applyAlignment="1">
      <alignment horizontal="center"/>
    </xf>
    <xf numFmtId="1" fontId="21" fillId="0" borderId="0" xfId="0" applyNumberFormat="1" applyFont="1" applyFill="1" applyBorder="1"/>
    <xf numFmtId="0" fontId="21" fillId="0" borderId="0" xfId="0" applyFont="1" applyFill="1" applyBorder="1" applyAlignment="1">
      <alignment horizontal="center" wrapText="1"/>
    </xf>
    <xf numFmtId="1" fontId="21" fillId="0" borderId="0" xfId="1" applyNumberFormat="1" applyFont="1" applyFill="1" applyBorder="1"/>
    <xf numFmtId="164" fontId="21" fillId="0" borderId="0" xfId="3" applyNumberFormat="1" applyFont="1" applyFill="1" applyBorder="1" applyAlignment="1">
      <alignment horizontal="right"/>
    </xf>
    <xf numFmtId="0" fontId="21" fillId="0" borderId="0" xfId="0" applyFont="1" applyFill="1" applyBorder="1" applyAlignment="1"/>
    <xf numFmtId="165" fontId="21" fillId="0" borderId="0" xfId="2" applyNumberFormat="1" applyFont="1" applyFill="1" applyBorder="1"/>
    <xf numFmtId="165" fontId="21" fillId="0" borderId="0" xfId="3" applyNumberFormat="1" applyFont="1" applyFill="1" applyBorder="1"/>
    <xf numFmtId="164" fontId="21" fillId="0" borderId="0" xfId="3" applyNumberFormat="1" applyFont="1" applyFill="1" applyBorder="1"/>
    <xf numFmtId="168" fontId="21" fillId="0" borderId="0" xfId="0" applyNumberFormat="1" applyFont="1" applyFill="1" applyBorder="1"/>
    <xf numFmtId="164" fontId="21" fillId="0" borderId="0" xfId="1" applyNumberFormat="1" applyFont="1" applyFill="1" applyBorder="1" applyAlignment="1">
      <alignment horizontal="center" wrapText="1"/>
    </xf>
    <xf numFmtId="164" fontId="21" fillId="0" borderId="0" xfId="1" applyNumberFormat="1" applyFont="1" applyFill="1" applyBorder="1" applyAlignment="1">
      <alignment horizontal="left" wrapText="1"/>
    </xf>
    <xf numFmtId="166" fontId="21" fillId="0" borderId="0" xfId="1" applyNumberFormat="1" applyFont="1" applyFill="1" applyBorder="1" applyAlignment="1"/>
    <xf numFmtId="43" fontId="21" fillId="0" borderId="0" xfId="1" applyNumberFormat="1" applyFont="1" applyFill="1" applyBorder="1"/>
    <xf numFmtId="1" fontId="21" fillId="0" borderId="0" xfId="0" applyNumberFormat="1" applyFont="1" applyFill="1" applyBorder="1" applyAlignment="1">
      <alignment horizontal="right"/>
    </xf>
    <xf numFmtId="2" fontId="21" fillId="0" borderId="0" xfId="1" applyNumberFormat="1" applyFont="1" applyFill="1" applyBorder="1"/>
    <xf numFmtId="167" fontId="21" fillId="0" borderId="0" xfId="0" applyNumberFormat="1" applyFont="1" applyFill="1" applyBorder="1" applyAlignment="1"/>
    <xf numFmtId="0" fontId="0" fillId="0" borderId="0" xfId="0" applyFill="1" applyBorder="1"/>
    <xf numFmtId="9" fontId="21" fillId="0" borderId="0" xfId="3" applyNumberFormat="1" applyFont="1" applyFill="1" applyBorder="1"/>
    <xf numFmtId="0" fontId="21" fillId="0" borderId="0" xfId="0" applyFont="1" applyFill="1" applyBorder="1" applyAlignment="1">
      <alignment wrapText="1"/>
    </xf>
    <xf numFmtId="165" fontId="21" fillId="0" borderId="0" xfId="2" applyNumberFormat="1" applyFont="1" applyFill="1" applyBorder="1" applyAlignment="1">
      <alignment horizontal="center"/>
    </xf>
    <xf numFmtId="0" fontId="24" fillId="0" borderId="0" xfId="0" applyFont="1" applyFill="1" applyBorder="1"/>
    <xf numFmtId="0" fontId="0" fillId="0" borderId="0" xfId="0" applyFill="1" applyBorder="1" applyAlignment="1">
      <alignment horizontal="center"/>
    </xf>
    <xf numFmtId="0" fontId="0" fillId="0" borderId="0" xfId="0" applyFill="1" applyBorder="1" applyAlignment="1">
      <alignment wrapText="1"/>
    </xf>
    <xf numFmtId="169" fontId="21" fillId="0" borderId="0" xfId="0" applyNumberFormat="1" applyFont="1" applyFill="1" applyBorder="1" applyAlignment="1">
      <alignment horizontal="center" wrapText="1"/>
    </xf>
    <xf numFmtId="169" fontId="21" fillId="0" borderId="0" xfId="1" applyNumberFormat="1" applyFont="1" applyFill="1" applyBorder="1" applyAlignment="1">
      <alignment horizontal="center" wrapText="1"/>
    </xf>
    <xf numFmtId="169" fontId="0" fillId="0" borderId="0" xfId="0" applyNumberFormat="1" applyFill="1" applyBorder="1" applyAlignment="1">
      <alignment horizontal="center" wrapText="1"/>
    </xf>
    <xf numFmtId="169" fontId="21" fillId="0" borderId="0" xfId="1" applyNumberFormat="1" applyFont="1" applyFill="1" applyBorder="1" applyAlignment="1">
      <alignment horizontal="center"/>
    </xf>
    <xf numFmtId="169" fontId="21" fillId="0" borderId="0" xfId="0" applyNumberFormat="1" applyFont="1" applyFill="1" applyBorder="1" applyAlignment="1">
      <alignment horizontal="center"/>
    </xf>
    <xf numFmtId="164" fontId="0" fillId="0" borderId="0" xfId="1" applyNumberFormat="1" applyFont="1" applyFill="1" applyBorder="1"/>
    <xf numFmtId="9" fontId="0" fillId="0" borderId="0" xfId="3" applyFont="1" applyFill="1" applyBorder="1"/>
    <xf numFmtId="1" fontId="21" fillId="0" borderId="0" xfId="0" applyNumberFormat="1" applyFont="1" applyFill="1" applyBorder="1" applyAlignment="1">
      <alignment horizontal="right" wrapText="1"/>
    </xf>
    <xf numFmtId="0" fontId="19" fillId="0" borderId="0" xfId="0" applyFont="1" applyFill="1" applyBorder="1"/>
    <xf numFmtId="164" fontId="21" fillId="0" borderId="0" xfId="0" applyNumberFormat="1" applyFont="1" applyFill="1" applyBorder="1"/>
    <xf numFmtId="165" fontId="0" fillId="0" borderId="0" xfId="0" applyNumberFormat="1" applyFill="1" applyBorder="1"/>
    <xf numFmtId="170" fontId="0" fillId="0" borderId="0" xfId="3" applyNumberFormat="1" applyFont="1" applyFill="1" applyBorder="1"/>
    <xf numFmtId="0" fontId="28" fillId="0" borderId="0" xfId="0" applyFont="1" applyFill="1" applyBorder="1" applyAlignment="1">
      <alignment horizontal="left" vertical="center"/>
    </xf>
    <xf numFmtId="2" fontId="21" fillId="0" borderId="0" xfId="0" applyNumberFormat="1" applyFont="1" applyFill="1" applyBorder="1" applyAlignment="1">
      <alignment horizontal="right" wrapText="1"/>
    </xf>
    <xf numFmtId="9" fontId="21" fillId="0" borderId="0" xfId="3" applyFont="1" applyFill="1" applyBorder="1" applyAlignment="1">
      <alignment horizontal="right" wrapText="1"/>
    </xf>
    <xf numFmtId="165" fontId="21" fillId="0" borderId="0" xfId="0" applyNumberFormat="1" applyFont="1" applyFill="1" applyBorder="1" applyAlignment="1">
      <alignment horizontal="center" wrapText="1"/>
    </xf>
    <xf numFmtId="164" fontId="21" fillId="0" borderId="0" xfId="1" applyNumberFormat="1" applyFont="1" applyFill="1" applyBorder="1" applyAlignment="1"/>
    <xf numFmtId="164" fontId="30" fillId="0" borderId="0" xfId="1" applyNumberFormat="1" applyFont="1" applyFill="1" applyBorder="1"/>
    <xf numFmtId="164" fontId="21" fillId="0" borderId="0" xfId="0" applyNumberFormat="1" applyFont="1" applyFill="1" applyBorder="1" applyAlignment="1">
      <alignment horizontal="center" wrapText="1"/>
    </xf>
    <xf numFmtId="0" fontId="29" fillId="0" borderId="0" xfId="0" applyFont="1" applyFill="1" applyBorder="1" applyAlignment="1">
      <alignment horizontal="left" vertical="center"/>
    </xf>
    <xf numFmtId="0" fontId="22" fillId="0" borderId="0" xfId="0" applyFont="1" applyFill="1" applyBorder="1" applyAlignment="1">
      <alignment horizontal="center" wrapText="1"/>
    </xf>
    <xf numFmtId="0" fontId="22" fillId="0" borderId="0" xfId="0" applyFont="1" applyFill="1" applyBorder="1" applyAlignment="1">
      <alignment horizontal="center"/>
    </xf>
    <xf numFmtId="169" fontId="22" fillId="0" borderId="0" xfId="0" applyNumberFormat="1" applyFont="1" applyFill="1" applyBorder="1" applyAlignment="1">
      <alignment horizontal="center" wrapText="1"/>
    </xf>
    <xf numFmtId="164" fontId="22" fillId="0" borderId="0" xfId="1" applyNumberFormat="1" applyFont="1" applyFill="1" applyBorder="1" applyAlignment="1">
      <alignment horizontal="center" wrapText="1"/>
    </xf>
    <xf numFmtId="164" fontId="22" fillId="0" borderId="0" xfId="1" applyNumberFormat="1" applyFont="1" applyFill="1" applyBorder="1" applyAlignment="1">
      <alignment horizontal="center"/>
    </xf>
    <xf numFmtId="9" fontId="22" fillId="0" borderId="0" xfId="3" applyFont="1" applyFill="1" applyBorder="1" applyAlignment="1">
      <alignment horizontal="center" wrapText="1"/>
    </xf>
    <xf numFmtId="165" fontId="22" fillId="0" borderId="0" xfId="2" applyNumberFormat="1" applyFont="1" applyFill="1" applyBorder="1" applyAlignment="1">
      <alignment horizontal="center"/>
    </xf>
    <xf numFmtId="169" fontId="33" fillId="0" borderId="0" xfId="0" applyNumberFormat="1" applyFont="1" applyFill="1" applyBorder="1" applyAlignment="1">
      <alignment horizontal="center" wrapText="1"/>
    </xf>
    <xf numFmtId="169" fontId="33" fillId="0" borderId="0" xfId="1" applyNumberFormat="1" applyFont="1" applyFill="1" applyBorder="1" applyAlignment="1">
      <alignment horizontal="center" wrapText="1"/>
    </xf>
    <xf numFmtId="169" fontId="34" fillId="0" borderId="0" xfId="0" applyNumberFormat="1" applyFont="1" applyFill="1" applyBorder="1" applyAlignment="1">
      <alignment horizontal="center" wrapText="1"/>
    </xf>
    <xf numFmtId="0" fontId="0" fillId="0" borderId="0" xfId="0" applyFill="1" applyBorder="1" applyAlignment="1">
      <alignment horizontal="center" vertical="center"/>
    </xf>
    <xf numFmtId="165" fontId="33" fillId="0" borderId="0" xfId="2" applyNumberFormat="1" applyFont="1" applyFill="1" applyBorder="1"/>
    <xf numFmtId="165" fontId="34" fillId="0" borderId="0" xfId="2" applyNumberFormat="1" applyFont="1" applyFill="1" applyBorder="1"/>
    <xf numFmtId="165" fontId="21" fillId="0" borderId="0" xfId="2" applyNumberFormat="1" applyFont="1" applyFill="1" applyBorder="1" applyAlignment="1">
      <alignment horizontal="center" vertical="center" wrapText="1"/>
    </xf>
    <xf numFmtId="165" fontId="37" fillId="0" borderId="0" xfId="2" applyNumberFormat="1" applyFont="1" applyFill="1"/>
    <xf numFmtId="165" fontId="21" fillId="0" borderId="0" xfId="2" applyNumberFormat="1" applyFont="1" applyFill="1" applyBorder="1" applyAlignment="1"/>
    <xf numFmtId="165" fontId="33" fillId="0" borderId="0" xfId="2" applyNumberFormat="1" applyFont="1"/>
    <xf numFmtId="165" fontId="33" fillId="0" borderId="0" xfId="2" applyNumberFormat="1" applyFont="1" applyFill="1"/>
    <xf numFmtId="165" fontId="21" fillId="0" borderId="0" xfId="2" applyNumberFormat="1" applyFont="1" applyFill="1" applyBorder="1" applyAlignment="1">
      <alignment horizontal="center" wrapText="1"/>
    </xf>
    <xf numFmtId="169" fontId="0" fillId="0" borderId="0" xfId="0" applyNumberFormat="1" applyFill="1" applyBorder="1" applyAlignment="1">
      <alignment horizontal="center"/>
    </xf>
    <xf numFmtId="165" fontId="21" fillId="0" borderId="0" xfId="2" applyNumberFormat="1" applyFont="1" applyFill="1"/>
    <xf numFmtId="164" fontId="21" fillId="0" borderId="0" xfId="3" applyNumberFormat="1" applyFont="1" applyFill="1" applyBorder="1" applyAlignment="1">
      <alignment horizontal="center"/>
    </xf>
    <xf numFmtId="165" fontId="22" fillId="0" borderId="0" xfId="2" applyNumberFormat="1" applyFont="1" applyFill="1" applyBorder="1" applyAlignment="1">
      <alignment horizontal="center" wrapText="1"/>
    </xf>
    <xf numFmtId="165" fontId="40" fillId="0" borderId="0" xfId="2" applyNumberFormat="1" applyFont="1" applyFill="1" applyBorder="1"/>
    <xf numFmtId="0" fontId="34" fillId="0" borderId="0" xfId="0" applyFont="1" applyFill="1" applyBorder="1" applyAlignment="1">
      <alignment horizontal="center" wrapText="1"/>
    </xf>
    <xf numFmtId="165" fontId="21" fillId="0" borderId="0" xfId="2" applyNumberFormat="1" applyFont="1" applyBorder="1"/>
    <xf numFmtId="165" fontId="34" fillId="0" borderId="0" xfId="2" applyNumberFormat="1" applyFont="1" applyBorder="1"/>
    <xf numFmtId="164" fontId="21" fillId="0" borderId="0" xfId="1" applyNumberFormat="1" applyFont="1" applyFill="1" applyBorder="1" applyAlignment="1">
      <alignment horizontal="center" vertical="center"/>
    </xf>
    <xf numFmtId="171" fontId="41" fillId="0" borderId="0" xfId="0" applyNumberFormat="1" applyFont="1" applyFill="1" applyBorder="1" applyAlignment="1">
      <alignment horizontal="center" vertical="center"/>
    </xf>
    <xf numFmtId="164" fontId="27" fillId="0" borderId="0" xfId="1" applyNumberFormat="1" applyFont="1" applyFill="1"/>
    <xf numFmtId="164" fontId="21" fillId="0" borderId="0" xfId="1" applyNumberFormat="1" applyFont="1" applyFill="1" applyBorder="1" applyAlignment="1">
      <alignment wrapText="1"/>
    </xf>
    <xf numFmtId="0" fontId="0" fillId="0" borderId="0" xfId="0" applyFill="1" applyBorder="1" applyAlignment="1"/>
    <xf numFmtId="44" fontId="21" fillId="0" borderId="0" xfId="2" applyFont="1" applyFill="1" applyBorder="1" applyAlignment="1">
      <alignment horizontal="center"/>
    </xf>
    <xf numFmtId="44" fontId="21" fillId="0" borderId="0" xfId="2" applyFont="1" applyFill="1" applyBorder="1" applyAlignment="1">
      <alignment horizontal="center" wrapText="1"/>
    </xf>
    <xf numFmtId="0" fontId="21" fillId="0" borderId="0" xfId="0" applyFont="1" applyFill="1" applyBorder="1" applyAlignment="1">
      <alignment horizontal="right"/>
    </xf>
    <xf numFmtId="0" fontId="22" fillId="0" borderId="0" xfId="0" applyFont="1" applyFill="1" applyBorder="1" applyAlignment="1">
      <alignment horizontal="center" vertical="center"/>
    </xf>
    <xf numFmtId="0" fontId="21" fillId="0" borderId="0" xfId="0" applyFont="1" applyFill="1" applyBorder="1" applyAlignment="1">
      <alignment horizontal="center" vertical="center"/>
    </xf>
    <xf numFmtId="49" fontId="44" fillId="3" borderId="1" xfId="0" applyNumberFormat="1" applyFont="1" applyFill="1" applyBorder="1"/>
    <xf numFmtId="172" fontId="45" fillId="3" borderId="1" xfId="0" applyNumberFormat="1" applyFont="1" applyFill="1" applyBorder="1" applyAlignment="1">
      <alignment horizontal="center"/>
    </xf>
    <xf numFmtId="172" fontId="45" fillId="3" borderId="2" xfId="0" applyNumberFormat="1" applyFont="1" applyFill="1" applyBorder="1" applyAlignment="1">
      <alignment horizontal="center"/>
    </xf>
    <xf numFmtId="172" fontId="45" fillId="4" borderId="3" xfId="0" applyNumberFormat="1" applyFont="1" applyFill="1" applyBorder="1" applyAlignment="1">
      <alignment horizontal="center"/>
    </xf>
    <xf numFmtId="49" fontId="45" fillId="0" borderId="0" xfId="0" applyNumberFormat="1" applyFont="1" applyBorder="1"/>
    <xf numFmtId="173" fontId="46" fillId="0" borderId="1" xfId="0" applyNumberFormat="1" applyFont="1" applyBorder="1"/>
    <xf numFmtId="3" fontId="46" fillId="0" borderId="1" xfId="0" applyNumberFormat="1" applyFont="1" applyFill="1" applyBorder="1" applyAlignment="1"/>
    <xf numFmtId="3" fontId="46" fillId="0" borderId="2" xfId="0" applyNumberFormat="1" applyFont="1" applyFill="1" applyBorder="1" applyAlignment="1"/>
    <xf numFmtId="3" fontId="46" fillId="0" borderId="3" xfId="0" applyNumberFormat="1" applyFont="1" applyFill="1" applyBorder="1" applyAlignment="1"/>
    <xf numFmtId="3" fontId="47" fillId="0" borderId="1" xfId="0" applyNumberFormat="1" applyFont="1" applyBorder="1" applyAlignment="1">
      <alignment horizontal="center"/>
    </xf>
    <xf numFmtId="3" fontId="47" fillId="0" borderId="1" xfId="0" applyNumberFormat="1" applyFont="1" applyBorder="1" applyAlignment="1">
      <alignment horizontal="right"/>
    </xf>
    <xf numFmtId="3" fontId="47" fillId="0" borderId="1" xfId="0" applyNumberFormat="1" applyFont="1" applyBorder="1"/>
    <xf numFmtId="3" fontId="47" fillId="0" borderId="2" xfId="0" applyNumberFormat="1" applyFont="1" applyBorder="1"/>
    <xf numFmtId="3" fontId="47" fillId="0" borderId="3" xfId="0" applyNumberFormat="1" applyFont="1" applyBorder="1"/>
    <xf numFmtId="3" fontId="46" fillId="0" borderId="1" xfId="0" applyNumberFormat="1" applyFont="1" applyFill="1" applyBorder="1"/>
    <xf numFmtId="3" fontId="48" fillId="0" borderId="1" xfId="0" applyNumberFormat="1" applyFont="1" applyBorder="1"/>
    <xf numFmtId="3" fontId="0" fillId="0" borderId="0" xfId="0" applyNumberFormat="1"/>
    <xf numFmtId="173" fontId="46" fillId="0" borderId="0" xfId="0" applyNumberFormat="1" applyFont="1" applyFill="1" applyBorder="1"/>
    <xf numFmtId="0" fontId="48" fillId="0" borderId="0" xfId="0" applyFont="1"/>
    <xf numFmtId="4" fontId="46" fillId="0" borderId="1" xfId="0" applyNumberFormat="1" applyFont="1" applyFill="1" applyBorder="1" applyAlignment="1"/>
    <xf numFmtId="4" fontId="46" fillId="0" borderId="2" xfId="0" applyNumberFormat="1" applyFont="1" applyFill="1" applyBorder="1" applyAlignment="1"/>
    <xf numFmtId="4" fontId="46" fillId="0" borderId="3" xfId="0" applyNumberFormat="1" applyFont="1" applyFill="1" applyBorder="1" applyAlignment="1"/>
    <xf numFmtId="0" fontId="46" fillId="0" borderId="1" xfId="0" applyFont="1" applyBorder="1"/>
    <xf numFmtId="4" fontId="46" fillId="0" borderId="1" xfId="0" applyNumberFormat="1" applyFont="1" applyBorder="1"/>
    <xf numFmtId="4" fontId="46" fillId="0" borderId="2" xfId="0" applyNumberFormat="1" applyFont="1" applyBorder="1"/>
    <xf numFmtId="4" fontId="46" fillId="0" borderId="3" xfId="0" applyNumberFormat="1" applyFont="1" applyBorder="1"/>
    <xf numFmtId="0" fontId="0" fillId="0" borderId="0" xfId="0" applyBorder="1"/>
    <xf numFmtId="4" fontId="46" fillId="0" borderId="1" xfId="0" applyNumberFormat="1" applyFont="1" applyFill="1" applyBorder="1"/>
    <xf numFmtId="4" fontId="47" fillId="0" borderId="1" xfId="0" applyNumberFormat="1" applyFont="1" applyBorder="1" applyAlignment="1">
      <alignment horizontal="right"/>
    </xf>
    <xf numFmtId="4" fontId="48" fillId="0" borderId="1" xfId="0" applyNumberFormat="1" applyFont="1" applyBorder="1"/>
    <xf numFmtId="4" fontId="0" fillId="0" borderId="0" xfId="0" applyNumberFormat="1"/>
    <xf numFmtId="173" fontId="46" fillId="0" borderId="1" xfId="0" applyNumberFormat="1" applyFont="1" applyFill="1" applyBorder="1"/>
    <xf numFmtId="4" fontId="47" fillId="0" borderId="1" xfId="0" applyNumberFormat="1" applyFont="1" applyBorder="1" applyAlignment="1">
      <alignment horizontal="center"/>
    </xf>
    <xf numFmtId="4" fontId="49" fillId="0" borderId="1" xfId="0" applyNumberFormat="1" applyFont="1" applyBorder="1" applyAlignment="1">
      <alignment horizontal="right"/>
    </xf>
    <xf numFmtId="0" fontId="50" fillId="0" borderId="0" xfId="0" applyFont="1"/>
    <xf numFmtId="0" fontId="30" fillId="0" borderId="0" xfId="0" applyFont="1"/>
    <xf numFmtId="0" fontId="30" fillId="0" borderId="0" xfId="0" applyFont="1" applyAlignment="1">
      <alignment horizontal="center" vertical="center"/>
    </xf>
    <xf numFmtId="0" fontId="51" fillId="0" borderId="0" xfId="0" applyFont="1" applyFill="1" applyAlignment="1">
      <alignment vertical="center"/>
    </xf>
    <xf numFmtId="0" fontId="30" fillId="0" borderId="0" xfId="0" applyFont="1" applyFill="1"/>
    <xf numFmtId="0" fontId="30" fillId="0" borderId="0" xfId="0" applyFont="1" applyFill="1" applyAlignment="1">
      <alignment horizontal="center" vertical="center"/>
    </xf>
    <xf numFmtId="49" fontId="52" fillId="5" borderId="1" xfId="0" applyNumberFormat="1" applyFont="1" applyFill="1" applyBorder="1"/>
    <xf numFmtId="172" fontId="52" fillId="5" borderId="1" xfId="0" applyNumberFormat="1" applyFont="1" applyFill="1" applyBorder="1" applyAlignment="1">
      <alignment horizontal="center"/>
    </xf>
    <xf numFmtId="0" fontId="30" fillId="5" borderId="0" xfId="0" applyFont="1" applyFill="1"/>
    <xf numFmtId="0" fontId="51" fillId="5" borderId="1" xfId="0" applyFont="1" applyFill="1" applyBorder="1" applyAlignment="1">
      <alignment horizontal="center"/>
    </xf>
    <xf numFmtId="0" fontId="51" fillId="5" borderId="1" xfId="0" applyFont="1" applyFill="1" applyBorder="1" applyAlignment="1">
      <alignment horizontal="center" vertical="center"/>
    </xf>
    <xf numFmtId="173" fontId="19" fillId="0" borderId="1" xfId="0" applyNumberFormat="1" applyFont="1" applyBorder="1"/>
    <xf numFmtId="3" fontId="19" fillId="0" borderId="1" xfId="0" applyNumberFormat="1" applyFont="1" applyFill="1" applyBorder="1" applyAlignment="1"/>
    <xf numFmtId="3" fontId="53" fillId="0" borderId="1" xfId="0" applyNumberFormat="1" applyFont="1" applyBorder="1" applyAlignment="1">
      <alignment horizontal="right"/>
    </xf>
    <xf numFmtId="0" fontId="53" fillId="0" borderId="1" xfId="0" applyFont="1" applyBorder="1" applyAlignment="1">
      <alignment horizontal="right" vertical="center"/>
    </xf>
    <xf numFmtId="0" fontId="53" fillId="0" borderId="0" xfId="0" applyFont="1" applyAlignment="1">
      <alignment horizontal="right"/>
    </xf>
    <xf numFmtId="164" fontId="53" fillId="0" borderId="1" xfId="1" applyNumberFormat="1" applyFont="1" applyBorder="1" applyAlignment="1">
      <alignment horizontal="right"/>
    </xf>
    <xf numFmtId="3" fontId="53" fillId="0" borderId="1" xfId="0" applyNumberFormat="1" applyFont="1" applyBorder="1"/>
    <xf numFmtId="165" fontId="19" fillId="0" borderId="1" xfId="2" applyNumberFormat="1" applyFont="1" applyFill="1" applyBorder="1" applyAlignment="1"/>
    <xf numFmtId="165" fontId="53" fillId="0" borderId="1" xfId="0" applyNumberFormat="1" applyFont="1" applyBorder="1" applyAlignment="1">
      <alignment horizontal="right"/>
    </xf>
    <xf numFmtId="0" fontId="19" fillId="0" borderId="1" xfId="0" applyFont="1" applyBorder="1"/>
    <xf numFmtId="165" fontId="19" fillId="0" borderId="1" xfId="2" applyNumberFormat="1" applyFont="1" applyBorder="1"/>
    <xf numFmtId="165" fontId="54" fillId="0" borderId="1" xfId="0" applyNumberFormat="1" applyFont="1" applyBorder="1" applyAlignment="1">
      <alignment horizontal="right"/>
    </xf>
    <xf numFmtId="0" fontId="53" fillId="0" borderId="0" xfId="0" applyFont="1" applyAlignment="1">
      <alignment horizontal="right" vertical="center"/>
    </xf>
    <xf numFmtId="0" fontId="51" fillId="0" borderId="0" xfId="0" applyFont="1"/>
    <xf numFmtId="165" fontId="53" fillId="0" borderId="0" xfId="0" applyNumberFormat="1" applyFont="1" applyBorder="1" applyAlignment="1">
      <alignment horizontal="right"/>
    </xf>
    <xf numFmtId="0" fontId="53" fillId="0" borderId="0" xfId="0" applyFont="1" applyBorder="1" applyAlignment="1">
      <alignment horizontal="right" vertical="center"/>
    </xf>
    <xf numFmtId="172" fontId="52" fillId="5" borderId="2" xfId="0" applyNumberFormat="1" applyFont="1" applyFill="1" applyBorder="1" applyAlignment="1">
      <alignment horizontal="center"/>
    </xf>
    <xf numFmtId="0" fontId="30" fillId="0" borderId="0" xfId="0" applyFont="1" applyAlignment="1">
      <alignment horizontal="center"/>
    </xf>
    <xf numFmtId="0" fontId="53" fillId="0" borderId="1" xfId="0" applyFont="1" applyBorder="1"/>
    <xf numFmtId="3" fontId="19" fillId="0" borderId="1" xfId="0" applyNumberFormat="1" applyFont="1" applyBorder="1"/>
    <xf numFmtId="165" fontId="30" fillId="0" borderId="0" xfId="2" applyNumberFormat="1" applyFont="1"/>
    <xf numFmtId="165" fontId="53" fillId="0" borderId="1" xfId="2" applyNumberFormat="1" applyFont="1" applyBorder="1" applyAlignment="1">
      <alignment horizontal="right"/>
    </xf>
    <xf numFmtId="0" fontId="53" fillId="0" borderId="0" xfId="0" applyFont="1"/>
    <xf numFmtId="172" fontId="52" fillId="5" borderId="0" xfId="0" applyNumberFormat="1" applyFont="1" applyFill="1" applyBorder="1" applyAlignment="1">
      <alignment horizontal="center"/>
    </xf>
    <xf numFmtId="164" fontId="53" fillId="0" borderId="1" xfId="0" applyNumberFormat="1" applyFont="1" applyBorder="1" applyAlignment="1">
      <alignment horizontal="right"/>
    </xf>
    <xf numFmtId="164" fontId="53" fillId="0" borderId="1" xfId="1" applyNumberFormat="1" applyFont="1" applyBorder="1"/>
    <xf numFmtId="164" fontId="53" fillId="0" borderId="1" xfId="0" applyNumberFormat="1" applyFont="1" applyFill="1" applyBorder="1" applyAlignment="1">
      <alignment horizontal="right"/>
    </xf>
    <xf numFmtId="0" fontId="53" fillId="0" borderId="1" xfId="0" applyFont="1" applyFill="1" applyBorder="1" applyAlignment="1">
      <alignment horizontal="right" vertical="center"/>
    </xf>
    <xf numFmtId="0" fontId="53" fillId="0" borderId="0" xfId="0" applyFont="1" applyFill="1" applyAlignment="1">
      <alignment horizontal="right"/>
    </xf>
    <xf numFmtId="164" fontId="53" fillId="0" borderId="1" xfId="1" applyNumberFormat="1" applyFont="1" applyFill="1" applyBorder="1" applyAlignment="1">
      <alignment horizontal="right"/>
    </xf>
    <xf numFmtId="0" fontId="53" fillId="0" borderId="1" xfId="0" applyFont="1" applyFill="1" applyBorder="1"/>
    <xf numFmtId="0" fontId="53" fillId="0" borderId="0" xfId="0" applyFont="1" applyFill="1"/>
    <xf numFmtId="3" fontId="55" fillId="0" borderId="1" xfId="0" applyNumberFormat="1" applyFont="1" applyFill="1" applyBorder="1" applyAlignment="1">
      <alignment horizontal="right"/>
    </xf>
    <xf numFmtId="3" fontId="55" fillId="0" borderId="1" xfId="0" applyNumberFormat="1" applyFont="1" applyFill="1" applyBorder="1"/>
    <xf numFmtId="3" fontId="55" fillId="0" borderId="1" xfId="0" applyNumberFormat="1" applyFont="1" applyFill="1" applyBorder="1" applyAlignment="1">
      <alignment vertical="top"/>
    </xf>
    <xf numFmtId="3" fontId="53" fillId="0" borderId="1" xfId="0" applyNumberFormat="1" applyFont="1" applyFill="1" applyBorder="1" applyAlignment="1">
      <alignment horizontal="right"/>
    </xf>
    <xf numFmtId="165" fontId="53" fillId="0" borderId="1" xfId="2" applyNumberFormat="1" applyFont="1" applyBorder="1"/>
    <xf numFmtId="0" fontId="51" fillId="0" borderId="0" xfId="0" applyFont="1" applyFill="1"/>
    <xf numFmtId="0" fontId="30" fillId="0" borderId="0" xfId="0" applyFont="1" applyFill="1" applyAlignment="1">
      <alignment horizontal="center"/>
    </xf>
    <xf numFmtId="3" fontId="19" fillId="0" borderId="0" xfId="0" applyNumberFormat="1" applyFont="1" applyFill="1" applyBorder="1" applyAlignment="1"/>
    <xf numFmtId="3" fontId="53" fillId="0" borderId="0" xfId="0" applyNumberFormat="1" applyFont="1" applyFill="1" applyBorder="1"/>
    <xf numFmtId="165" fontId="19" fillId="0" borderId="0" xfId="2" applyNumberFormat="1" applyFont="1" applyFill="1" applyBorder="1" applyAlignment="1"/>
    <xf numFmtId="165" fontId="19" fillId="0" borderId="0" xfId="2" applyNumberFormat="1" applyFont="1" applyFill="1" applyBorder="1"/>
    <xf numFmtId="3" fontId="53" fillId="0" borderId="0" xfId="0" applyNumberFormat="1" applyFont="1" applyBorder="1"/>
    <xf numFmtId="165" fontId="19" fillId="0" borderId="0" xfId="2" applyNumberFormat="1" applyFont="1" applyBorder="1"/>
    <xf numFmtId="0" fontId="19" fillId="0" borderId="0" xfId="0" applyFont="1" applyBorder="1"/>
    <xf numFmtId="165" fontId="54" fillId="0" borderId="0" xfId="0" applyNumberFormat="1" applyFont="1" applyBorder="1" applyAlignment="1">
      <alignment horizontal="right"/>
    </xf>
    <xf numFmtId="0" fontId="53" fillId="0" borderId="0" xfId="0" applyFont="1" applyAlignment="1">
      <alignment horizontal="center" vertical="center"/>
    </xf>
    <xf numFmtId="173" fontId="19" fillId="0" borderId="0" xfId="0" applyNumberFormat="1" applyFont="1" applyBorder="1"/>
    <xf numFmtId="165" fontId="53" fillId="0" borderId="0" xfId="2" applyNumberFormat="1" applyFont="1" applyBorder="1"/>
    <xf numFmtId="174" fontId="53" fillId="0" borderId="0" xfId="0" applyNumberFormat="1" applyFont="1" applyBorder="1"/>
    <xf numFmtId="49" fontId="52" fillId="5" borderId="1" xfId="0" applyNumberFormat="1" applyFont="1" applyFill="1" applyBorder="1" applyAlignment="1">
      <alignment horizontal="center"/>
    </xf>
    <xf numFmtId="3" fontId="53" fillId="0" borderId="1" xfId="0" applyNumberFormat="1" applyFont="1" applyBorder="1" applyAlignment="1">
      <alignment horizontal="center"/>
    </xf>
    <xf numFmtId="0" fontId="53" fillId="0" borderId="1" xfId="0" applyFont="1" applyBorder="1" applyAlignment="1">
      <alignment horizontal="center" vertical="center"/>
    </xf>
    <xf numFmtId="165" fontId="53" fillId="0" borderId="1" xfId="0" applyNumberFormat="1" applyFont="1" applyBorder="1" applyAlignment="1">
      <alignment horizontal="center"/>
    </xf>
    <xf numFmtId="165" fontId="53" fillId="0" borderId="1" xfId="0" applyNumberFormat="1" applyFont="1" applyBorder="1"/>
    <xf numFmtId="0" fontId="53" fillId="5" borderId="0" xfId="0" applyFont="1" applyFill="1"/>
    <xf numFmtId="3" fontId="19" fillId="0" borderId="1" xfId="0" applyNumberFormat="1" applyFont="1" applyFill="1" applyBorder="1"/>
    <xf numFmtId="1" fontId="53" fillId="0" borderId="1" xfId="0" applyNumberFormat="1" applyFont="1" applyBorder="1"/>
    <xf numFmtId="165" fontId="53" fillId="0" borderId="0" xfId="2" applyNumberFormat="1" applyFont="1"/>
    <xf numFmtId="4" fontId="19" fillId="0" borderId="1" xfId="0" applyNumberFormat="1" applyFont="1" applyFill="1" applyBorder="1"/>
    <xf numFmtId="165" fontId="53" fillId="0" borderId="1" xfId="2" applyNumberFormat="1" applyFont="1" applyBorder="1" applyAlignment="1"/>
    <xf numFmtId="165" fontId="54" fillId="0" borderId="1" xfId="0" applyNumberFormat="1" applyFont="1" applyBorder="1"/>
    <xf numFmtId="165" fontId="53" fillId="0" borderId="1" xfId="2" applyNumberFormat="1" applyFont="1" applyBorder="1" applyAlignment="1">
      <alignment horizontal="center"/>
    </xf>
    <xf numFmtId="0" fontId="53" fillId="0" borderId="0" xfId="0" applyFont="1" applyBorder="1" applyAlignment="1">
      <alignment horizontal="center" vertical="center"/>
    </xf>
    <xf numFmtId="4" fontId="19" fillId="0" borderId="0" xfId="0" applyNumberFormat="1" applyFont="1" applyFill="1" applyBorder="1"/>
    <xf numFmtId="3" fontId="53" fillId="0" borderId="0" xfId="0" applyNumberFormat="1" applyFont="1" applyBorder="1" applyAlignment="1">
      <alignment horizontal="center"/>
    </xf>
    <xf numFmtId="4" fontId="53" fillId="0" borderId="0" xfId="0" applyNumberFormat="1" applyFont="1" applyBorder="1" applyAlignment="1">
      <alignment horizontal="right"/>
    </xf>
    <xf numFmtId="4" fontId="53" fillId="0" borderId="0" xfId="0" applyNumberFormat="1" applyFont="1" applyBorder="1"/>
    <xf numFmtId="173" fontId="19" fillId="0" borderId="1" xfId="0" applyNumberFormat="1" applyFont="1" applyFill="1" applyBorder="1"/>
    <xf numFmtId="173" fontId="19" fillId="0" borderId="0" xfId="0" applyNumberFormat="1" applyFont="1" applyFill="1" applyBorder="1"/>
    <xf numFmtId="4" fontId="53" fillId="0" borderId="0" xfId="0" applyNumberFormat="1" applyFont="1" applyBorder="1" applyAlignment="1">
      <alignment horizontal="center"/>
    </xf>
    <xf numFmtId="0" fontId="51" fillId="0" borderId="0" xfId="0" applyFont="1" applyAlignment="1">
      <alignment vertical="center"/>
    </xf>
    <xf numFmtId="37" fontId="53" fillId="4" borderId="1" xfId="1" applyNumberFormat="1" applyFont="1" applyFill="1" applyBorder="1" applyAlignment="1"/>
    <xf numFmtId="3" fontId="53" fillId="4" borderId="1" xfId="0" applyNumberFormat="1" applyFont="1" applyFill="1" applyBorder="1" applyAlignment="1"/>
    <xf numFmtId="0" fontId="53" fillId="4" borderId="1" xfId="0" applyFont="1" applyFill="1" applyBorder="1" applyAlignment="1"/>
    <xf numFmtId="174" fontId="53" fillId="4" borderId="1" xfId="1" applyNumberFormat="1" applyFont="1" applyFill="1" applyBorder="1" applyAlignment="1">
      <alignment horizontal="right"/>
    </xf>
    <xf numFmtId="174" fontId="53" fillId="4" borderId="1" xfId="0" applyNumberFormat="1" applyFont="1" applyFill="1" applyBorder="1" applyAlignment="1">
      <alignment horizontal="right"/>
    </xf>
    <xf numFmtId="0" fontId="18" fillId="0" borderId="0" xfId="4"/>
    <xf numFmtId="173" fontId="46" fillId="0" borderId="1" xfId="4" applyNumberFormat="1" applyFont="1" applyBorder="1"/>
    <xf numFmtId="0" fontId="46" fillId="0" borderId="1" xfId="4" applyFont="1" applyBorder="1"/>
    <xf numFmtId="49" fontId="45" fillId="3" borderId="1" xfId="4" applyNumberFormat="1" applyFont="1" applyFill="1" applyBorder="1"/>
    <xf numFmtId="0" fontId="57" fillId="0" borderId="0" xfId="4" applyFont="1" applyAlignment="1">
      <alignment vertical="center"/>
    </xf>
    <xf numFmtId="0" fontId="18" fillId="0" borderId="0" xfId="4"/>
    <xf numFmtId="3" fontId="46" fillId="0" borderId="1" xfId="4" applyNumberFormat="1" applyFont="1" applyFill="1" applyBorder="1" applyAlignment="1"/>
    <xf numFmtId="172" fontId="45" fillId="3" borderId="1" xfId="4" applyNumberFormat="1" applyFont="1" applyFill="1" applyBorder="1" applyAlignment="1">
      <alignment horizontal="center"/>
    </xf>
    <xf numFmtId="4" fontId="46" fillId="0" borderId="1" xfId="4" applyNumberFormat="1" applyFont="1" applyFill="1" applyBorder="1" applyAlignment="1"/>
    <xf numFmtId="4" fontId="46" fillId="0" borderId="1" xfId="4" applyNumberFormat="1" applyFont="1" applyBorder="1"/>
    <xf numFmtId="3" fontId="47" fillId="0" borderId="1" xfId="4" applyNumberFormat="1" applyFont="1" applyBorder="1"/>
    <xf numFmtId="172" fontId="45" fillId="3" borderId="2" xfId="4" applyNumberFormat="1" applyFont="1" applyFill="1" applyBorder="1" applyAlignment="1">
      <alignment horizontal="center"/>
    </xf>
    <xf numFmtId="0" fontId="18" fillId="0" borderId="5" xfId="4" applyBorder="1"/>
    <xf numFmtId="0" fontId="18" fillId="0" borderId="0" xfId="4"/>
    <xf numFmtId="173" fontId="46" fillId="0" borderId="1" xfId="4" applyNumberFormat="1" applyFont="1" applyBorder="1"/>
    <xf numFmtId="0" fontId="46" fillId="0" borderId="1" xfId="4" applyFont="1" applyBorder="1"/>
    <xf numFmtId="3" fontId="46" fillId="0" borderId="1" xfId="4" applyNumberFormat="1" applyFont="1" applyFill="1" applyBorder="1" applyAlignment="1"/>
    <xf numFmtId="172" fontId="45" fillId="3" borderId="1" xfId="4" applyNumberFormat="1" applyFont="1" applyFill="1" applyBorder="1" applyAlignment="1">
      <alignment horizontal="center"/>
    </xf>
    <xf numFmtId="4" fontId="46" fillId="0" borderId="1" xfId="4" applyNumberFormat="1" applyFont="1" applyFill="1" applyBorder="1" applyAlignment="1"/>
    <xf numFmtId="49" fontId="45" fillId="3" borderId="1" xfId="4" applyNumberFormat="1" applyFont="1" applyFill="1" applyBorder="1"/>
    <xf numFmtId="4" fontId="46" fillId="0" borderId="1" xfId="4" applyNumberFormat="1" applyFont="1" applyBorder="1"/>
    <xf numFmtId="0" fontId="57" fillId="0" borderId="0" xfId="4" applyFont="1" applyAlignment="1">
      <alignment vertical="center"/>
    </xf>
    <xf numFmtId="3" fontId="47" fillId="0" borderId="1" xfId="4" applyNumberFormat="1" applyFont="1" applyBorder="1"/>
    <xf numFmtId="172" fontId="45" fillId="3" borderId="2" xfId="4" applyNumberFormat="1" applyFont="1" applyFill="1" applyBorder="1" applyAlignment="1">
      <alignment horizontal="center"/>
    </xf>
    <xf numFmtId="0" fontId="18" fillId="0" borderId="4" xfId="4" applyBorder="1"/>
    <xf numFmtId="173" fontId="19" fillId="0" borderId="1" xfId="4" applyNumberFormat="1" applyFont="1" applyBorder="1"/>
    <xf numFmtId="3" fontId="19" fillId="0" borderId="1" xfId="4" applyNumberFormat="1" applyFont="1" applyFill="1" applyBorder="1" applyAlignment="1"/>
    <xf numFmtId="3" fontId="53" fillId="0" borderId="1" xfId="4" applyNumberFormat="1" applyFont="1" applyBorder="1"/>
    <xf numFmtId="0" fontId="42" fillId="0" borderId="0" xfId="0" applyFont="1" applyFill="1" applyAlignment="1">
      <alignment wrapText="1"/>
    </xf>
    <xf numFmtId="3" fontId="21" fillId="0" borderId="0" xfId="0" applyNumberFormat="1" applyFont="1" applyFill="1" applyBorder="1"/>
    <xf numFmtId="165" fontId="34" fillId="0" borderId="0" xfId="2" applyNumberFormat="1" applyFont="1" applyFill="1" applyBorder="1" applyAlignment="1"/>
    <xf numFmtId="165" fontId="34" fillId="0" borderId="0" xfId="2" applyNumberFormat="1" applyFont="1" applyFill="1" applyBorder="1" applyAlignment="1">
      <alignment horizontal="center" wrapText="1"/>
    </xf>
    <xf numFmtId="0" fontId="21" fillId="0" borderId="6" xfId="0" applyFont="1" applyFill="1" applyBorder="1" applyAlignment="1">
      <alignment wrapText="1"/>
    </xf>
    <xf numFmtId="0" fontId="21" fillId="0" borderId="7" xfId="0" applyFont="1" applyFill="1" applyBorder="1" applyAlignment="1"/>
    <xf numFmtId="0" fontId="21" fillId="0" borderId="6" xfId="0" applyFont="1" applyFill="1" applyBorder="1" applyAlignment="1">
      <alignment horizontal="left" wrapText="1"/>
    </xf>
    <xf numFmtId="164" fontId="21" fillId="0" borderId="7" xfId="1" applyNumberFormat="1" applyFont="1" applyFill="1" applyBorder="1" applyAlignment="1"/>
    <xf numFmtId="164" fontId="21" fillId="0" borderId="6" xfId="1" applyNumberFormat="1" applyFont="1" applyFill="1" applyBorder="1" applyAlignment="1">
      <alignment horizontal="left" wrapText="1"/>
    </xf>
    <xf numFmtId="0" fontId="21" fillId="0" borderId="8" xfId="0" applyFont="1" applyFill="1" applyBorder="1" applyAlignment="1">
      <alignment horizontal="left" wrapText="1"/>
    </xf>
    <xf numFmtId="0" fontId="21" fillId="0" borderId="9" xfId="0" applyFont="1" applyFill="1" applyBorder="1" applyAlignment="1">
      <alignment horizontal="center" wrapText="1"/>
    </xf>
    <xf numFmtId="0" fontId="21" fillId="0" borderId="9" xfId="0" applyFont="1" applyFill="1" applyBorder="1" applyAlignment="1">
      <alignment horizontal="center"/>
    </xf>
    <xf numFmtId="169" fontId="21" fillId="0" borderId="9" xfId="0" applyNumberFormat="1" applyFont="1" applyFill="1" applyBorder="1" applyAlignment="1">
      <alignment horizontal="center" wrapText="1"/>
    </xf>
    <xf numFmtId="164" fontId="21" fillId="0" borderId="9" xfId="1" applyNumberFormat="1" applyFont="1" applyFill="1" applyBorder="1" applyAlignment="1">
      <alignment horizontal="center" wrapText="1"/>
    </xf>
    <xf numFmtId="165" fontId="21" fillId="0" borderId="7" xfId="2" applyNumberFormat="1" applyFont="1" applyFill="1" applyBorder="1" applyAlignment="1">
      <alignment horizontal="center"/>
    </xf>
    <xf numFmtId="165" fontId="21" fillId="0" borderId="7" xfId="2" applyNumberFormat="1" applyFont="1" applyFill="1" applyBorder="1"/>
    <xf numFmtId="0" fontId="21" fillId="0" borderId="7" xfId="0" applyFont="1" applyFill="1" applyBorder="1"/>
    <xf numFmtId="165" fontId="21" fillId="0" borderId="9" xfId="2" applyNumberFormat="1" applyFont="1" applyFill="1" applyBorder="1"/>
    <xf numFmtId="0" fontId="21" fillId="0" borderId="9" xfId="0" applyFont="1" applyFill="1" applyBorder="1"/>
    <xf numFmtId="0" fontId="21" fillId="0" borderId="10" xfId="0" applyFont="1" applyFill="1" applyBorder="1"/>
    <xf numFmtId="164" fontId="19" fillId="0" borderId="0" xfId="0" applyNumberFormat="1" applyFont="1" applyFill="1" applyBorder="1"/>
    <xf numFmtId="0" fontId="19" fillId="0" borderId="0" xfId="0" applyFont="1" applyFill="1" applyBorder="1" applyAlignment="1">
      <alignment horizontal="center"/>
    </xf>
    <xf numFmtId="0" fontId="19" fillId="2" borderId="0" xfId="0" applyFont="1" applyFill="1" applyBorder="1"/>
    <xf numFmtId="164" fontId="19" fillId="0" borderId="9" xfId="0" applyNumberFormat="1" applyFont="1" applyFill="1" applyBorder="1"/>
    <xf numFmtId="0" fontId="19" fillId="0" borderId="9" xfId="0" applyFont="1" applyFill="1" applyBorder="1"/>
    <xf numFmtId="0" fontId="17" fillId="0" borderId="0" xfId="5"/>
    <xf numFmtId="173" fontId="46" fillId="0" borderId="1" xfId="5" applyNumberFormat="1" applyFont="1" applyBorder="1"/>
    <xf numFmtId="0" fontId="46" fillId="0" borderId="1" xfId="5" applyFont="1" applyBorder="1"/>
    <xf numFmtId="3" fontId="46" fillId="0" borderId="1" xfId="5" applyNumberFormat="1" applyFont="1" applyFill="1" applyBorder="1" applyAlignment="1"/>
    <xf numFmtId="172" fontId="45" fillId="3" borderId="1" xfId="5" applyNumberFormat="1" applyFont="1" applyFill="1" applyBorder="1" applyAlignment="1">
      <alignment horizontal="center"/>
    </xf>
    <xf numFmtId="49" fontId="45" fillId="3" borderId="1" xfId="5" applyNumberFormat="1" applyFont="1" applyFill="1" applyBorder="1"/>
    <xf numFmtId="4" fontId="46" fillId="0" borderId="1" xfId="5" applyNumberFormat="1" applyFont="1" applyBorder="1"/>
    <xf numFmtId="0" fontId="57" fillId="0" borderId="0" xfId="5" applyFont="1" applyAlignment="1">
      <alignment vertical="center"/>
    </xf>
    <xf numFmtId="3" fontId="47" fillId="0" borderId="1" xfId="5" applyNumberFormat="1" applyFont="1" applyBorder="1"/>
    <xf numFmtId="173" fontId="46" fillId="0" borderId="0" xfId="5" applyNumberFormat="1" applyFont="1" applyBorder="1"/>
    <xf numFmtId="3" fontId="47" fillId="0" borderId="0" xfId="5" applyNumberFormat="1" applyFont="1" applyBorder="1"/>
    <xf numFmtId="175" fontId="47" fillId="0" borderId="1" xfId="5" applyNumberFormat="1" applyFont="1" applyBorder="1"/>
    <xf numFmtId="0" fontId="58" fillId="0" borderId="0" xfId="5" applyFont="1"/>
    <xf numFmtId="3" fontId="59" fillId="0" borderId="1" xfId="5" applyNumberFormat="1" applyFont="1" applyBorder="1"/>
    <xf numFmtId="0" fontId="58" fillId="0" borderId="0" xfId="5" applyFont="1" applyAlignment="1">
      <alignment horizontal="right"/>
    </xf>
    <xf numFmtId="0" fontId="60" fillId="0" borderId="0" xfId="5" applyFont="1"/>
    <xf numFmtId="0" fontId="60" fillId="0" borderId="0" xfId="5" applyFont="1" applyAlignment="1">
      <alignment horizontal="right"/>
    </xf>
    <xf numFmtId="3" fontId="61" fillId="0" borderId="1" xfId="5" applyNumberFormat="1" applyFont="1" applyFill="1" applyBorder="1" applyAlignment="1"/>
    <xf numFmtId="0" fontId="17" fillId="0" borderId="1" xfId="5" applyBorder="1"/>
    <xf numFmtId="0" fontId="57" fillId="0" borderId="0" xfId="5" applyFont="1"/>
    <xf numFmtId="0" fontId="17" fillId="0" borderId="0" xfId="5"/>
    <xf numFmtId="3" fontId="46" fillId="0" borderId="1" xfId="5" applyNumberFormat="1" applyFont="1" applyFill="1" applyBorder="1" applyAlignment="1"/>
    <xf numFmtId="4" fontId="46" fillId="0" borderId="1" xfId="5" applyNumberFormat="1" applyFont="1" applyFill="1" applyBorder="1" applyAlignment="1"/>
    <xf numFmtId="4" fontId="46" fillId="0" borderId="1" xfId="5" applyNumberFormat="1" applyFont="1" applyBorder="1"/>
    <xf numFmtId="3" fontId="47" fillId="0" borderId="1" xfId="5" applyNumberFormat="1" applyFont="1" applyBorder="1"/>
    <xf numFmtId="49" fontId="45" fillId="3" borderId="1" xfId="5" applyNumberFormat="1" applyFont="1" applyFill="1" applyBorder="1" applyAlignment="1">
      <alignment horizontal="center"/>
    </xf>
    <xf numFmtId="0" fontId="17" fillId="0" borderId="1" xfId="5" applyBorder="1"/>
    <xf numFmtId="49" fontId="45" fillId="3" borderId="2" xfId="5" applyNumberFormat="1" applyFont="1" applyFill="1" applyBorder="1" applyAlignment="1">
      <alignment horizontal="center"/>
    </xf>
    <xf numFmtId="0" fontId="17" fillId="0" borderId="2" xfId="5" applyBorder="1"/>
    <xf numFmtId="3" fontId="46" fillId="0" borderId="2" xfId="5" applyNumberFormat="1" applyFont="1" applyFill="1" applyBorder="1" applyAlignment="1"/>
    <xf numFmtId="3" fontId="47" fillId="0" borderId="2" xfId="5" applyNumberFormat="1" applyFont="1" applyBorder="1"/>
    <xf numFmtId="49" fontId="45" fillId="3" borderId="11" xfId="5" applyNumberFormat="1" applyFont="1" applyFill="1" applyBorder="1" applyAlignment="1">
      <alignment horizontal="center"/>
    </xf>
    <xf numFmtId="0" fontId="17" fillId="0" borderId="11" xfId="5" applyBorder="1"/>
    <xf numFmtId="3" fontId="46" fillId="0" borderId="11" xfId="5" applyNumberFormat="1" applyFont="1" applyFill="1" applyBorder="1" applyAlignment="1"/>
    <xf numFmtId="3" fontId="47" fillId="0" borderId="11" xfId="5" applyNumberFormat="1" applyFont="1" applyBorder="1"/>
    <xf numFmtId="4" fontId="46" fillId="0" borderId="2" xfId="5" applyNumberFormat="1" applyFont="1" applyFill="1" applyBorder="1" applyAlignment="1"/>
    <xf numFmtId="4" fontId="46" fillId="0" borderId="2" xfId="5" applyNumberFormat="1" applyFont="1" applyBorder="1"/>
    <xf numFmtId="4" fontId="46" fillId="0" borderId="11" xfId="5" applyNumberFormat="1" applyFont="1" applyFill="1" applyBorder="1" applyAlignment="1"/>
    <xf numFmtId="4" fontId="46" fillId="0" borderId="11" xfId="5" applyNumberFormat="1" applyFont="1" applyBorder="1"/>
    <xf numFmtId="0" fontId="17" fillId="0" borderId="12" xfId="5" applyBorder="1"/>
    <xf numFmtId="0" fontId="17" fillId="0" borderId="13" xfId="5" applyBorder="1"/>
    <xf numFmtId="0" fontId="17" fillId="0" borderId="14" xfId="5" applyBorder="1"/>
    <xf numFmtId="49" fontId="45" fillId="3" borderId="15" xfId="5" applyNumberFormat="1" applyFont="1" applyFill="1" applyBorder="1" applyAlignment="1">
      <alignment horizontal="center"/>
    </xf>
    <xf numFmtId="0" fontId="17" fillId="0" borderId="15" xfId="5" applyBorder="1"/>
    <xf numFmtId="3" fontId="46" fillId="0" borderId="15" xfId="5" applyNumberFormat="1" applyFont="1" applyFill="1" applyBorder="1" applyAlignment="1"/>
    <xf numFmtId="3" fontId="47" fillId="0" borderId="15" xfId="5" applyNumberFormat="1" applyFont="1" applyBorder="1"/>
    <xf numFmtId="0" fontId="17" fillId="0" borderId="7" xfId="5" applyBorder="1"/>
    <xf numFmtId="4" fontId="46" fillId="0" borderId="15" xfId="5" applyNumberFormat="1" applyFont="1" applyFill="1" applyBorder="1" applyAlignment="1"/>
    <xf numFmtId="4" fontId="46" fillId="0" borderId="15" xfId="5" applyNumberFormat="1" applyFont="1" applyBorder="1"/>
    <xf numFmtId="4" fontId="46" fillId="0" borderId="18" xfId="5" applyNumberFormat="1" applyFont="1" applyBorder="1"/>
    <xf numFmtId="4" fontId="46" fillId="0" borderId="19" xfId="5" applyNumberFormat="1" applyFont="1" applyBorder="1"/>
    <xf numFmtId="4" fontId="46" fillId="0" borderId="17" xfId="5" applyNumberFormat="1" applyFont="1" applyBorder="1"/>
    <xf numFmtId="0" fontId="17" fillId="0" borderId="6" xfId="5" applyBorder="1"/>
    <xf numFmtId="0" fontId="17" fillId="0" borderId="0" xfId="5" applyBorder="1"/>
    <xf numFmtId="3" fontId="46" fillId="0" borderId="11" xfId="5" applyNumberFormat="1" applyFont="1" applyFill="1" applyBorder="1" applyAlignment="1">
      <alignment horizontal="center"/>
    </xf>
    <xf numFmtId="3" fontId="46" fillId="0" borderId="1" xfId="5" applyNumberFormat="1" applyFont="1" applyFill="1" applyBorder="1" applyAlignment="1">
      <alignment horizontal="center"/>
    </xf>
    <xf numFmtId="3" fontId="46" fillId="0" borderId="2" xfId="5" applyNumberFormat="1" applyFont="1" applyFill="1" applyBorder="1" applyAlignment="1">
      <alignment horizontal="center"/>
    </xf>
    <xf numFmtId="3" fontId="46" fillId="0" borderId="15" xfId="5" applyNumberFormat="1" applyFont="1" applyFill="1" applyBorder="1" applyAlignment="1">
      <alignment horizontal="center"/>
    </xf>
    <xf numFmtId="4" fontId="46" fillId="0" borderId="20" xfId="5" applyNumberFormat="1" applyFont="1" applyBorder="1"/>
    <xf numFmtId="3" fontId="17" fillId="0" borderId="0" xfId="5" applyNumberFormat="1"/>
    <xf numFmtId="17" fontId="17" fillId="0" borderId="6" xfId="5" applyNumberFormat="1" applyBorder="1"/>
    <xf numFmtId="49" fontId="45" fillId="3" borderId="16" xfId="5" applyNumberFormat="1" applyFont="1" applyFill="1" applyBorder="1"/>
    <xf numFmtId="173" fontId="46" fillId="0" borderId="16" xfId="5" applyNumberFormat="1" applyFont="1" applyBorder="1"/>
    <xf numFmtId="0" fontId="46" fillId="0" borderId="16" xfId="5" applyFont="1" applyBorder="1"/>
    <xf numFmtId="0" fontId="46" fillId="0" borderId="21" xfId="5" applyFont="1" applyBorder="1"/>
    <xf numFmtId="173" fontId="46" fillId="0" borderId="6" xfId="5" applyNumberFormat="1" applyFont="1" applyBorder="1"/>
    <xf numFmtId="0" fontId="17" fillId="6" borderId="6" xfId="5" applyFill="1" applyBorder="1"/>
    <xf numFmtId="0" fontId="17" fillId="6" borderId="16" xfId="5" applyFill="1" applyBorder="1"/>
    <xf numFmtId="0" fontId="17" fillId="6" borderId="0" xfId="5" applyFill="1"/>
    <xf numFmtId="0" fontId="17" fillId="6" borderId="0" xfId="5" applyFill="1" applyBorder="1"/>
    <xf numFmtId="0" fontId="17" fillId="6" borderId="7" xfId="5" applyFill="1" applyBorder="1"/>
    <xf numFmtId="4" fontId="59" fillId="0" borderId="19" xfId="5" applyNumberFormat="1" applyFont="1" applyBorder="1"/>
    <xf numFmtId="3" fontId="59" fillId="0" borderId="1" xfId="5" applyNumberFormat="1" applyFont="1" applyBorder="1"/>
    <xf numFmtId="4" fontId="46" fillId="0" borderId="22" xfId="5" applyNumberFormat="1" applyFont="1" applyBorder="1"/>
    <xf numFmtId="0" fontId="64" fillId="0" borderId="0" xfId="0" applyFont="1"/>
    <xf numFmtId="0" fontId="16" fillId="0" borderId="0" xfId="6"/>
    <xf numFmtId="0" fontId="65" fillId="0" borderId="0" xfId="6" applyFont="1"/>
    <xf numFmtId="0" fontId="48" fillId="7" borderId="0" xfId="6" applyFont="1" applyFill="1" applyAlignment="1">
      <alignment horizontal="center"/>
    </xf>
    <xf numFmtId="0" fontId="16" fillId="0" borderId="0" xfId="6" applyFont="1"/>
    <xf numFmtId="0" fontId="19" fillId="0" borderId="0" xfId="0" applyFont="1"/>
    <xf numFmtId="165" fontId="21" fillId="0" borderId="0" xfId="0" applyNumberFormat="1" applyFont="1" applyFill="1" applyBorder="1"/>
    <xf numFmtId="0" fontId="21" fillId="0" borderId="0" xfId="0" applyFont="1" applyFill="1"/>
    <xf numFmtId="0" fontId="21" fillId="0" borderId="0" xfId="0" applyFont="1" applyFill="1" applyAlignment="1">
      <alignment horizontal="center"/>
    </xf>
    <xf numFmtId="0" fontId="21" fillId="0" borderId="0" xfId="0" applyFont="1" applyFill="1" applyAlignment="1">
      <alignment wrapText="1"/>
    </xf>
    <xf numFmtId="0" fontId="30" fillId="0" borderId="0" xfId="7" applyFont="1"/>
    <xf numFmtId="0" fontId="53" fillId="0" borderId="0" xfId="7" applyFont="1" applyAlignment="1">
      <alignment horizontal="right"/>
    </xf>
    <xf numFmtId="0" fontId="53" fillId="0" borderId="0" xfId="7" applyFont="1" applyAlignment="1">
      <alignment horizontal="right" vertical="center"/>
    </xf>
    <xf numFmtId="165" fontId="53" fillId="0" borderId="0" xfId="7" applyNumberFormat="1" applyFont="1" applyBorder="1" applyAlignment="1">
      <alignment horizontal="right"/>
    </xf>
    <xf numFmtId="0" fontId="53" fillId="0" borderId="0" xfId="7" applyFont="1" applyBorder="1" applyAlignment="1">
      <alignment horizontal="right" vertical="center"/>
    </xf>
    <xf numFmtId="0" fontId="53" fillId="0" borderId="0" xfId="7" applyFont="1" applyFill="1"/>
    <xf numFmtId="0" fontId="15" fillId="0" borderId="0" xfId="7"/>
    <xf numFmtId="0" fontId="66" fillId="0" borderId="23" xfId="7" applyFont="1" applyBorder="1" applyAlignment="1">
      <alignment vertical="center"/>
    </xf>
    <xf numFmtId="0" fontId="15" fillId="0" borderId="0" xfId="7"/>
    <xf numFmtId="0" fontId="51" fillId="0" borderId="0" xfId="7" applyFont="1"/>
    <xf numFmtId="0" fontId="30" fillId="0" borderId="0" xfId="7" applyFont="1"/>
    <xf numFmtId="0" fontId="53" fillId="0" borderId="0" xfId="7" applyFont="1" applyAlignment="1">
      <alignment horizontal="right"/>
    </xf>
    <xf numFmtId="0" fontId="53" fillId="0" borderId="0" xfId="7" applyFont="1" applyAlignment="1">
      <alignment horizontal="right" vertical="center"/>
    </xf>
    <xf numFmtId="165" fontId="53" fillId="0" borderId="0" xfId="7" applyNumberFormat="1" applyFont="1" applyBorder="1" applyAlignment="1">
      <alignment horizontal="right"/>
    </xf>
    <xf numFmtId="0" fontId="53" fillId="0" borderId="0" xfId="7" applyFont="1" applyBorder="1" applyAlignment="1">
      <alignment horizontal="right" vertical="center"/>
    </xf>
    <xf numFmtId="49" fontId="52" fillId="5" borderId="1" xfId="7" applyNumberFormat="1" applyFont="1" applyFill="1" applyBorder="1"/>
    <xf numFmtId="172" fontId="52" fillId="5" borderId="0" xfId="7" applyNumberFormat="1" applyFont="1" applyFill="1" applyBorder="1" applyAlignment="1">
      <alignment horizontal="center"/>
    </xf>
    <xf numFmtId="172" fontId="52" fillId="5" borderId="1" xfId="7" applyNumberFormat="1" applyFont="1" applyFill="1" applyBorder="1" applyAlignment="1">
      <alignment horizontal="center"/>
    </xf>
    <xf numFmtId="0" fontId="30" fillId="5" borderId="0" xfId="7" applyFont="1" applyFill="1"/>
    <xf numFmtId="0" fontId="51" fillId="5" borderId="1" xfId="7" applyFont="1" applyFill="1" applyBorder="1" applyAlignment="1">
      <alignment horizontal="center"/>
    </xf>
    <xf numFmtId="0" fontId="51" fillId="5" borderId="1" xfId="7" applyFont="1" applyFill="1" applyBorder="1" applyAlignment="1">
      <alignment horizontal="center" vertical="center"/>
    </xf>
    <xf numFmtId="0" fontId="53" fillId="0" borderId="1" xfId="7" applyFont="1" applyBorder="1"/>
    <xf numFmtId="164" fontId="53" fillId="0" borderId="1" xfId="8" applyNumberFormat="1" applyFont="1" applyBorder="1" applyAlignment="1">
      <alignment horizontal="right"/>
    </xf>
    <xf numFmtId="164" fontId="53" fillId="0" borderId="1" xfId="7" applyNumberFormat="1" applyFont="1" applyBorder="1" applyAlignment="1">
      <alignment horizontal="right"/>
    </xf>
    <xf numFmtId="0" fontId="53" fillId="0" borderId="1" xfId="7" applyFont="1" applyBorder="1" applyAlignment="1">
      <alignment horizontal="right" vertical="center"/>
    </xf>
    <xf numFmtId="164" fontId="53" fillId="0" borderId="1" xfId="8" applyNumberFormat="1" applyFont="1" applyBorder="1"/>
    <xf numFmtId="0" fontId="30" fillId="0" borderId="0" xfId="7" applyFont="1" applyAlignment="1">
      <alignment horizontal="center"/>
    </xf>
    <xf numFmtId="164" fontId="53" fillId="0" borderId="1" xfId="7" applyNumberFormat="1" applyFont="1" applyFill="1" applyBorder="1" applyAlignment="1">
      <alignment horizontal="right"/>
    </xf>
    <xf numFmtId="0" fontId="53" fillId="0" borderId="1" xfId="7" applyFont="1" applyFill="1" applyBorder="1" applyAlignment="1">
      <alignment horizontal="right" vertical="center"/>
    </xf>
    <xf numFmtId="0" fontId="53" fillId="0" borderId="0" xfId="7" applyFont="1" applyFill="1" applyAlignment="1">
      <alignment horizontal="right"/>
    </xf>
    <xf numFmtId="164" fontId="53" fillId="0" borderId="1" xfId="8" applyNumberFormat="1" applyFont="1" applyFill="1" applyBorder="1" applyAlignment="1">
      <alignment horizontal="right"/>
    </xf>
    <xf numFmtId="0" fontId="53" fillId="0" borderId="1" xfId="7" applyFont="1" applyFill="1" applyBorder="1"/>
    <xf numFmtId="0" fontId="53" fillId="0" borderId="0" xfId="7" applyFont="1" applyFill="1"/>
    <xf numFmtId="3" fontId="55" fillId="0" borderId="1" xfId="7" applyNumberFormat="1" applyFont="1" applyFill="1" applyBorder="1" applyAlignment="1">
      <alignment horizontal="right"/>
    </xf>
    <xf numFmtId="3" fontId="55" fillId="0" borderId="1" xfId="7" applyNumberFormat="1" applyFont="1" applyFill="1" applyBorder="1"/>
    <xf numFmtId="3" fontId="55" fillId="0" borderId="1" xfId="7" applyNumberFormat="1" applyFont="1" applyFill="1" applyBorder="1" applyAlignment="1">
      <alignment vertical="top"/>
    </xf>
    <xf numFmtId="3" fontId="53" fillId="0" borderId="1" xfId="7" applyNumberFormat="1" applyFont="1" applyFill="1" applyBorder="1" applyAlignment="1">
      <alignment horizontal="right"/>
    </xf>
    <xf numFmtId="165" fontId="53" fillId="0" borderId="1" xfId="9" applyNumberFormat="1" applyFont="1" applyBorder="1"/>
    <xf numFmtId="165" fontId="53" fillId="0" borderId="1" xfId="7" applyNumberFormat="1" applyFont="1" applyBorder="1" applyAlignment="1">
      <alignment horizontal="right"/>
    </xf>
    <xf numFmtId="165" fontId="54" fillId="0" borderId="1" xfId="7" applyNumberFormat="1" applyFont="1" applyBorder="1" applyAlignment="1">
      <alignment horizontal="right"/>
    </xf>
    <xf numFmtId="0" fontId="67" fillId="0" borderId="23" xfId="7" applyFont="1" applyBorder="1"/>
    <xf numFmtId="49" fontId="66" fillId="8" borderId="1" xfId="7" applyNumberFormat="1" applyFont="1" applyFill="1" applyBorder="1"/>
    <xf numFmtId="176" fontId="67" fillId="8" borderId="1" xfId="7" applyNumberFormat="1" applyFont="1" applyFill="1" applyBorder="1"/>
    <xf numFmtId="176" fontId="67" fillId="8" borderId="1" xfId="7" applyNumberFormat="1" applyFont="1" applyFill="1" applyBorder="1" applyAlignment="1">
      <alignment vertical="top"/>
    </xf>
    <xf numFmtId="49" fontId="66" fillId="8" borderId="2" xfId="7" applyNumberFormat="1" applyFont="1" applyFill="1" applyBorder="1" applyAlignment="1">
      <alignment horizontal="right"/>
    </xf>
    <xf numFmtId="0" fontId="67" fillId="0" borderId="24" xfId="7" applyFont="1" applyBorder="1"/>
    <xf numFmtId="0" fontId="66" fillId="0" borderId="24" xfId="7" applyFont="1" applyBorder="1"/>
    <xf numFmtId="0" fontId="67" fillId="0" borderId="1" xfId="7" applyFont="1" applyBorder="1" applyAlignment="1">
      <alignment horizontal="left"/>
    </xf>
    <xf numFmtId="3" fontId="67" fillId="0" borderId="1" xfId="7" applyNumberFormat="1" applyFont="1" applyBorder="1"/>
    <xf numFmtId="3" fontId="67" fillId="0" borderId="1" xfId="7" applyNumberFormat="1" applyFont="1" applyBorder="1" applyAlignment="1">
      <alignment vertical="top"/>
    </xf>
    <xf numFmtId="3" fontId="66" fillId="0" borderId="2" xfId="7" applyNumberFormat="1" applyFont="1" applyBorder="1"/>
    <xf numFmtId="3" fontId="67" fillId="9" borderId="1" xfId="7" applyNumberFormat="1" applyFont="1" applyFill="1" applyBorder="1" applyAlignment="1">
      <alignment horizontal="right"/>
    </xf>
    <xf numFmtId="3" fontId="67" fillId="9" borderId="1" xfId="7" applyNumberFormat="1" applyFont="1" applyFill="1" applyBorder="1"/>
    <xf numFmtId="3" fontId="67" fillId="9" borderId="1" xfId="7" applyNumberFormat="1" applyFont="1" applyFill="1" applyBorder="1" applyAlignment="1">
      <alignment vertical="top"/>
    </xf>
    <xf numFmtId="0" fontId="68" fillId="0" borderId="1" xfId="7" applyFont="1" applyBorder="1" applyAlignment="1">
      <alignment horizontal="left"/>
    </xf>
    <xf numFmtId="3" fontId="68" fillId="9" borderId="1" xfId="7" applyNumberFormat="1" applyFont="1" applyFill="1" applyBorder="1"/>
    <xf numFmtId="3" fontId="69" fillId="0" borderId="2" xfId="7" applyNumberFormat="1" applyFont="1" applyBorder="1"/>
    <xf numFmtId="0" fontId="67" fillId="0" borderId="24" xfId="7" applyFont="1" applyBorder="1" applyAlignment="1">
      <alignment horizontal="left"/>
    </xf>
    <xf numFmtId="2" fontId="66" fillId="0" borderId="24" xfId="7" applyNumberFormat="1" applyFont="1" applyBorder="1"/>
    <xf numFmtId="177" fontId="67" fillId="9" borderId="1" xfId="7" applyNumberFormat="1" applyFont="1" applyFill="1" applyBorder="1"/>
    <xf numFmtId="177" fontId="67" fillId="9" borderId="1" xfId="7" applyNumberFormat="1" applyFont="1" applyFill="1" applyBorder="1" applyAlignment="1">
      <alignment vertical="top"/>
    </xf>
    <xf numFmtId="177" fontId="66" fillId="0" borderId="2" xfId="7" applyNumberFormat="1" applyFont="1" applyBorder="1"/>
    <xf numFmtId="177" fontId="67" fillId="9" borderId="1" xfId="7" applyNumberFormat="1" applyFont="1" applyFill="1" applyBorder="1" applyAlignment="1">
      <alignment horizontal="center"/>
    </xf>
    <xf numFmtId="177" fontId="68" fillId="9" borderId="1" xfId="7" applyNumberFormat="1" applyFont="1" applyFill="1" applyBorder="1"/>
    <xf numFmtId="177" fontId="69" fillId="0" borderId="2" xfId="7" applyNumberFormat="1" applyFont="1" applyBorder="1"/>
    <xf numFmtId="0" fontId="30" fillId="0" borderId="0" xfId="7" applyFont="1" applyBorder="1"/>
    <xf numFmtId="0" fontId="53" fillId="0" borderId="0" xfId="7" applyFont="1" applyBorder="1" applyAlignment="1">
      <alignment horizontal="right"/>
    </xf>
    <xf numFmtId="164" fontId="53" fillId="0" borderId="0" xfId="7" applyNumberFormat="1" applyFont="1" applyBorder="1" applyAlignment="1">
      <alignment horizontal="right"/>
    </xf>
    <xf numFmtId="164" fontId="53" fillId="0" borderId="0" xfId="8" applyNumberFormat="1" applyFont="1" applyBorder="1" applyAlignment="1">
      <alignment horizontal="right"/>
    </xf>
    <xf numFmtId="164" fontId="53" fillId="0" borderId="0" xfId="8" applyNumberFormat="1" applyFont="1" applyBorder="1"/>
    <xf numFmtId="164" fontId="53" fillId="0" borderId="0" xfId="7" applyNumberFormat="1" applyFont="1" applyFill="1" applyBorder="1" applyAlignment="1">
      <alignment horizontal="right"/>
    </xf>
    <xf numFmtId="0" fontId="53" fillId="0" borderId="0" xfId="7" applyFont="1" applyFill="1" applyBorder="1" applyAlignment="1">
      <alignment horizontal="right" vertical="center"/>
    </xf>
    <xf numFmtId="0" fontId="53" fillId="0" borderId="0" xfId="7" applyFont="1" applyFill="1" applyBorder="1" applyAlignment="1">
      <alignment horizontal="right"/>
    </xf>
    <xf numFmtId="164" fontId="53" fillId="0" borderId="0" xfId="8" applyNumberFormat="1" applyFont="1" applyFill="1" applyBorder="1" applyAlignment="1">
      <alignment horizontal="right"/>
    </xf>
    <xf numFmtId="0" fontId="53" fillId="0" borderId="0" xfId="7" applyFont="1" applyFill="1" applyBorder="1"/>
    <xf numFmtId="3" fontId="53" fillId="0" borderId="0" xfId="7" applyNumberFormat="1" applyFont="1" applyFill="1" applyBorder="1" applyAlignment="1">
      <alignment horizontal="right"/>
    </xf>
    <xf numFmtId="165" fontId="54" fillId="0" borderId="0" xfId="7" applyNumberFormat="1" applyFont="1" applyBorder="1" applyAlignment="1">
      <alignment horizontal="right"/>
    </xf>
    <xf numFmtId="164" fontId="30" fillId="0" borderId="0" xfId="0" applyNumberFormat="1" applyFont="1"/>
    <xf numFmtId="0" fontId="52" fillId="0" borderId="0" xfId="0" applyFont="1" applyFill="1" applyBorder="1" applyAlignment="1">
      <alignment horizontal="center" wrapText="1"/>
    </xf>
    <xf numFmtId="0" fontId="21" fillId="0" borderId="0" xfId="0" applyFont="1" applyFill="1" applyBorder="1" applyAlignment="1">
      <alignment horizontal="center" vertical="top" wrapText="1"/>
    </xf>
    <xf numFmtId="0" fontId="21" fillId="2" borderId="0" xfId="0" applyFont="1" applyFill="1" applyBorder="1"/>
    <xf numFmtId="0" fontId="40" fillId="0" borderId="0" xfId="0" applyFont="1" applyFill="1" applyBorder="1" applyAlignment="1">
      <alignment wrapText="1"/>
    </xf>
    <xf numFmtId="0" fontId="34" fillId="0" borderId="0" xfId="0" applyFont="1" applyFill="1" applyBorder="1" applyAlignment="1">
      <alignment horizontal="center"/>
    </xf>
    <xf numFmtId="165" fontId="37" fillId="0" borderId="0" xfId="2" applyNumberFormat="1" applyFont="1" applyFill="1" applyBorder="1"/>
    <xf numFmtId="3" fontId="19" fillId="0" borderId="2" xfId="0" applyNumberFormat="1" applyFont="1" applyFill="1" applyBorder="1" applyAlignment="1"/>
    <xf numFmtId="3" fontId="53" fillId="0" borderId="2" xfId="0" applyNumberFormat="1" applyFont="1" applyBorder="1"/>
    <xf numFmtId="165" fontId="19" fillId="0" borderId="2" xfId="2" applyNumberFormat="1" applyFont="1" applyFill="1" applyBorder="1" applyAlignment="1"/>
    <xf numFmtId="165" fontId="19" fillId="0" borderId="2" xfId="2" applyNumberFormat="1" applyFont="1" applyBorder="1"/>
    <xf numFmtId="0" fontId="53" fillId="0" borderId="4" xfId="0" applyFont="1" applyBorder="1" applyAlignment="1">
      <alignment horizontal="center" vertical="center"/>
    </xf>
    <xf numFmtId="165" fontId="53" fillId="0" borderId="19" xfId="0" applyNumberFormat="1" applyFont="1" applyBorder="1"/>
    <xf numFmtId="0" fontId="30" fillId="0" borderId="1" xfId="0" applyFont="1" applyBorder="1"/>
    <xf numFmtId="0" fontId="0" fillId="0" borderId="1" xfId="0" applyBorder="1"/>
    <xf numFmtId="44" fontId="0" fillId="0" borderId="1" xfId="2" applyFont="1" applyBorder="1"/>
    <xf numFmtId="165" fontId="30" fillId="0" borderId="0" xfId="0" applyNumberFormat="1" applyFont="1" applyBorder="1"/>
    <xf numFmtId="0" fontId="30" fillId="0" borderId="0" xfId="0" applyFont="1" applyBorder="1"/>
    <xf numFmtId="44" fontId="0" fillId="0" borderId="0" xfId="2" applyFont="1" applyBorder="1"/>
    <xf numFmtId="165" fontId="53" fillId="0" borderId="0" xfId="2" applyNumberFormat="1" applyFont="1" applyBorder="1" applyAlignment="1">
      <alignment horizontal="center"/>
    </xf>
    <xf numFmtId="165" fontId="53" fillId="0" borderId="0" xfId="0" applyNumberFormat="1" applyFont="1" applyBorder="1"/>
    <xf numFmtId="164" fontId="30" fillId="0" borderId="1" xfId="1" applyNumberFormat="1" applyFont="1" applyBorder="1"/>
    <xf numFmtId="164" fontId="30" fillId="0" borderId="1" xfId="1" applyNumberFormat="1" applyFont="1" applyBorder="1" applyAlignment="1">
      <alignment horizontal="center" vertical="center"/>
    </xf>
    <xf numFmtId="0" fontId="30" fillId="0" borderId="1" xfId="0" applyFont="1" applyBorder="1" applyAlignment="1">
      <alignment horizontal="center" vertical="center"/>
    </xf>
    <xf numFmtId="172" fontId="52" fillId="5" borderId="19" xfId="0" applyNumberFormat="1" applyFont="1" applyFill="1" applyBorder="1" applyAlignment="1">
      <alignment horizontal="center"/>
    </xf>
    <xf numFmtId="0" fontId="0" fillId="2" borderId="0" xfId="0" applyFill="1"/>
    <xf numFmtId="0" fontId="0" fillId="10" borderId="0" xfId="0" applyFill="1"/>
    <xf numFmtId="164" fontId="0" fillId="0" borderId="1" xfId="1" applyNumberFormat="1" applyFont="1" applyBorder="1"/>
    <xf numFmtId="165" fontId="0" fillId="0" borderId="1" xfId="2" applyNumberFormat="1" applyFont="1" applyBorder="1"/>
    <xf numFmtId="164" fontId="53" fillId="0" borderId="0" xfId="1" applyNumberFormat="1" applyFont="1" applyBorder="1"/>
    <xf numFmtId="164" fontId="30" fillId="0" borderId="0" xfId="1" applyNumberFormat="1" applyFont="1" applyBorder="1" applyAlignment="1">
      <alignment horizontal="center" vertical="center"/>
    </xf>
    <xf numFmtId="0" fontId="30" fillId="0" borderId="0" xfId="0" applyFont="1" applyBorder="1" applyAlignment="1">
      <alignment horizontal="center" vertical="center"/>
    </xf>
    <xf numFmtId="0" fontId="51" fillId="0" borderId="0" xfId="0" applyFont="1" applyFill="1" applyAlignment="1">
      <alignment horizontal="center"/>
    </xf>
    <xf numFmtId="0" fontId="22" fillId="0" borderId="0" xfId="0" applyFont="1"/>
    <xf numFmtId="0" fontId="51" fillId="0" borderId="0" xfId="0" applyFont="1" applyAlignment="1">
      <alignment horizontal="center"/>
    </xf>
    <xf numFmtId="0" fontId="22" fillId="0" borderId="0" xfId="0" applyFont="1" applyAlignment="1">
      <alignment horizontal="center"/>
    </xf>
    <xf numFmtId="173" fontId="22" fillId="0" borderId="0" xfId="0" applyNumberFormat="1" applyFont="1" applyBorder="1" applyAlignment="1">
      <alignment horizontal="center"/>
    </xf>
    <xf numFmtId="0" fontId="57" fillId="0" borderId="0" xfId="0" applyFont="1" applyAlignment="1">
      <alignment vertical="center"/>
    </xf>
    <xf numFmtId="49" fontId="45" fillId="3" borderId="1" xfId="0" applyNumberFormat="1" applyFont="1" applyFill="1" applyBorder="1"/>
    <xf numFmtId="165" fontId="46" fillId="0" borderId="1" xfId="2" applyNumberFormat="1" applyFont="1" applyBorder="1"/>
    <xf numFmtId="165" fontId="46" fillId="0" borderId="1" xfId="2" applyNumberFormat="1" applyFont="1" applyFill="1" applyBorder="1" applyAlignment="1"/>
    <xf numFmtId="165" fontId="21" fillId="0" borderId="0" xfId="2" applyNumberFormat="1" applyFont="1" applyFill="1" applyBorder="1" applyAlignment="1">
      <alignment horizontal="right" wrapText="1"/>
    </xf>
    <xf numFmtId="165" fontId="21" fillId="0" borderId="0" xfId="2" applyNumberFormat="1" applyFont="1" applyFill="1" applyBorder="1" applyAlignment="1">
      <alignment wrapText="1"/>
    </xf>
    <xf numFmtId="3" fontId="39" fillId="0" borderId="0" xfId="0" applyNumberFormat="1" applyFont="1" applyFill="1" applyBorder="1"/>
    <xf numFmtId="0" fontId="57" fillId="0" borderId="0" xfId="0" applyFont="1" applyAlignment="1">
      <alignment horizontal="center" wrapText="1"/>
    </xf>
    <xf numFmtId="49" fontId="71" fillId="3" borderId="1" xfId="0" applyNumberFormat="1" applyFont="1" applyFill="1" applyBorder="1"/>
    <xf numFmtId="172" fontId="71" fillId="3" borderId="1" xfId="0" applyNumberFormat="1" applyFont="1" applyFill="1" applyBorder="1" applyAlignment="1">
      <alignment horizontal="center"/>
    </xf>
    <xf numFmtId="49" fontId="71" fillId="0" borderId="0" xfId="0" applyNumberFormat="1" applyFont="1" applyBorder="1" applyAlignment="1">
      <alignment horizontal="center"/>
    </xf>
    <xf numFmtId="3" fontId="72" fillId="0" borderId="1" xfId="0" applyNumberFormat="1" applyFont="1" applyBorder="1" applyAlignment="1">
      <alignment horizontal="center"/>
    </xf>
    <xf numFmtId="49" fontId="71" fillId="0" borderId="0" xfId="0" applyNumberFormat="1" applyFont="1" applyBorder="1"/>
    <xf numFmtId="0" fontId="57" fillId="0" borderId="0" xfId="0" applyFont="1"/>
    <xf numFmtId="0" fontId="73" fillId="0" borderId="1" xfId="0" applyFont="1" applyBorder="1" applyAlignment="1">
      <alignment horizontal="center"/>
    </xf>
    <xf numFmtId="37" fontId="0" fillId="0" borderId="0" xfId="1" applyNumberFormat="1" applyFont="1"/>
    <xf numFmtId="37" fontId="57" fillId="0" borderId="0" xfId="0" applyNumberFormat="1" applyFont="1"/>
    <xf numFmtId="2" fontId="73" fillId="0" borderId="1" xfId="0" applyNumberFormat="1" applyFont="1" applyBorder="1" applyAlignment="1">
      <alignment horizontal="center"/>
    </xf>
    <xf numFmtId="175" fontId="0" fillId="0" borderId="0" xfId="1" applyNumberFormat="1" applyFont="1"/>
    <xf numFmtId="175" fontId="57" fillId="0" borderId="0" xfId="0" applyNumberFormat="1" applyFont="1"/>
    <xf numFmtId="175" fontId="73" fillId="0" borderId="1" xfId="0" applyNumberFormat="1" applyFont="1" applyBorder="1" applyAlignment="1">
      <alignment horizontal="center"/>
    </xf>
    <xf numFmtId="175" fontId="0" fillId="0" borderId="0" xfId="0" applyNumberFormat="1"/>
    <xf numFmtId="0" fontId="57" fillId="0" borderId="25" xfId="10"/>
    <xf numFmtId="175" fontId="57" fillId="0" borderId="25" xfId="10" applyNumberFormat="1"/>
    <xf numFmtId="49" fontId="71" fillId="11" borderId="1" xfId="0" applyNumberFormat="1" applyFont="1" applyFill="1" applyBorder="1"/>
    <xf numFmtId="0" fontId="74" fillId="11" borderId="1" xfId="0" applyFont="1" applyFill="1" applyBorder="1"/>
    <xf numFmtId="49" fontId="71" fillId="0" borderId="1" xfId="0" applyNumberFormat="1" applyFont="1" applyBorder="1" applyAlignment="1">
      <alignment horizontal="center"/>
    </xf>
    <xf numFmtId="3" fontId="57" fillId="0" borderId="0" xfId="0" applyNumberFormat="1" applyFont="1"/>
    <xf numFmtId="165" fontId="0" fillId="0" borderId="0" xfId="2" applyNumberFormat="1" applyFont="1"/>
    <xf numFmtId="165" fontId="57" fillId="0" borderId="0" xfId="2" applyNumberFormat="1" applyFont="1"/>
    <xf numFmtId="164" fontId="53" fillId="4" borderId="1" xfId="1" applyNumberFormat="1" applyFont="1" applyFill="1" applyBorder="1" applyAlignment="1"/>
    <xf numFmtId="164" fontId="53" fillId="0" borderId="1" xfId="0" applyNumberFormat="1" applyFont="1" applyBorder="1"/>
    <xf numFmtId="3" fontId="46" fillId="0" borderId="1" xfId="0" applyNumberFormat="1" applyFont="1" applyFill="1" applyBorder="1" applyAlignment="1">
      <alignment horizontal="center"/>
    </xf>
    <xf numFmtId="0" fontId="0" fillId="0" borderId="0" xfId="0" applyAlignment="1">
      <alignment horizontal="center"/>
    </xf>
    <xf numFmtId="165" fontId="46" fillId="0" borderId="1" xfId="2" applyNumberFormat="1" applyFont="1" applyFill="1" applyBorder="1" applyAlignment="1">
      <alignment horizontal="center"/>
    </xf>
    <xf numFmtId="3" fontId="46" fillId="0" borderId="0" xfId="0" applyNumberFormat="1" applyFont="1" applyFill="1" applyBorder="1" applyAlignment="1"/>
    <xf numFmtId="0" fontId="46" fillId="0" borderId="0" xfId="0" applyFont="1" applyFill="1" applyBorder="1"/>
    <xf numFmtId="0" fontId="75" fillId="0" borderId="0" xfId="0" applyFont="1" applyFill="1" applyBorder="1"/>
    <xf numFmtId="165" fontId="19" fillId="0" borderId="0" xfId="0" applyNumberFormat="1" applyFont="1" applyFill="1" applyBorder="1"/>
    <xf numFmtId="178" fontId="0" fillId="12" borderId="28" xfId="0" quotePrefix="1" applyNumberFormat="1" applyFont="1" applyFill="1" applyBorder="1" applyAlignment="1" applyProtection="1"/>
    <xf numFmtId="178" fontId="0" fillId="12" borderId="28" xfId="0" applyNumberFormat="1" applyFont="1" applyFill="1" applyBorder="1" applyAlignment="1" applyProtection="1"/>
    <xf numFmtId="178" fontId="0" fillId="12" borderId="12" xfId="0" applyNumberFormat="1" applyFont="1" applyFill="1" applyBorder="1" applyAlignment="1" applyProtection="1"/>
    <xf numFmtId="178" fontId="0" fillId="12" borderId="29" xfId="0" applyNumberFormat="1" applyFont="1" applyFill="1" applyBorder="1" applyAlignment="1" applyProtection="1"/>
    <xf numFmtId="0" fontId="57" fillId="0" borderId="30" xfId="0" applyFont="1" applyBorder="1" applyAlignment="1">
      <alignment horizontal="center"/>
    </xf>
    <xf numFmtId="0" fontId="0" fillId="13" borderId="30" xfId="0" applyNumberFormat="1" applyFont="1" applyFill="1" applyBorder="1" applyAlignment="1" applyProtection="1"/>
    <xf numFmtId="3" fontId="0" fillId="13" borderId="30" xfId="0" applyNumberFormat="1" applyFont="1" applyFill="1" applyBorder="1" applyAlignment="1" applyProtection="1">
      <alignment horizontal="right"/>
    </xf>
    <xf numFmtId="3" fontId="0" fillId="0" borderId="30" xfId="0" applyNumberFormat="1" applyFont="1" applyFill="1" applyBorder="1" applyAlignment="1" applyProtection="1">
      <alignment horizontal="right"/>
    </xf>
    <xf numFmtId="3" fontId="0" fillId="4" borderId="31" xfId="0" applyNumberFormat="1" applyFont="1" applyFill="1" applyBorder="1" applyAlignment="1" applyProtection="1">
      <alignment horizontal="right"/>
    </xf>
    <xf numFmtId="3" fontId="57" fillId="0" borderId="30" xfId="0" applyNumberFormat="1" applyFont="1" applyBorder="1"/>
    <xf numFmtId="0" fontId="0" fillId="0" borderId="30" xfId="0" applyFont="1" applyBorder="1"/>
    <xf numFmtId="179" fontId="77" fillId="12" borderId="30" xfId="0" applyNumberFormat="1" applyFont="1" applyFill="1" applyBorder="1" applyAlignment="1" applyProtection="1">
      <alignment horizontal="right"/>
    </xf>
    <xf numFmtId="179" fontId="77" fillId="12" borderId="31" xfId="0" applyNumberFormat="1" applyFont="1" applyFill="1" applyBorder="1" applyAlignment="1" applyProtection="1">
      <alignment horizontal="right"/>
    </xf>
    <xf numFmtId="175" fontId="0" fillId="0" borderId="30" xfId="0" applyNumberFormat="1" applyFont="1" applyBorder="1" applyAlignment="1">
      <alignment horizontal="right"/>
    </xf>
    <xf numFmtId="175" fontId="0" fillId="0" borderId="31" xfId="0" applyNumberFormat="1" applyFont="1" applyBorder="1" applyAlignment="1">
      <alignment horizontal="right"/>
    </xf>
    <xf numFmtId="175" fontId="57" fillId="0" borderId="30" xfId="0" applyNumberFormat="1" applyFont="1" applyBorder="1"/>
    <xf numFmtId="0" fontId="74" fillId="0" borderId="0" xfId="0" applyFont="1" applyAlignment="1">
      <alignment horizontal="center" vertical="center"/>
    </xf>
    <xf numFmtId="0" fontId="0" fillId="0" borderId="0" xfId="0" applyFont="1"/>
    <xf numFmtId="0" fontId="0" fillId="0" borderId="0" xfId="0" applyFont="1" applyAlignment="1">
      <alignment horizontal="right"/>
    </xf>
    <xf numFmtId="0" fontId="57" fillId="0" borderId="34" xfId="0" applyFont="1" applyBorder="1"/>
    <xf numFmtId="3" fontId="0" fillId="4" borderId="30" xfId="0" applyNumberFormat="1" applyFont="1" applyFill="1" applyBorder="1" applyAlignment="1" applyProtection="1">
      <alignment horizontal="right"/>
    </xf>
    <xf numFmtId="3" fontId="0" fillId="0" borderId="31" xfId="0" applyNumberFormat="1" applyFont="1" applyFill="1" applyBorder="1" applyAlignment="1" applyProtection="1">
      <alignment horizontal="right"/>
    </xf>
    <xf numFmtId="175" fontId="78" fillId="4" borderId="30" xfId="0" applyNumberFormat="1" applyFont="1" applyFill="1" applyBorder="1" applyAlignment="1" applyProtection="1">
      <alignment horizontal="right"/>
    </xf>
    <xf numFmtId="175" fontId="0" fillId="4" borderId="30" xfId="0" applyNumberFormat="1" applyFont="1" applyFill="1" applyBorder="1" applyAlignment="1" applyProtection="1">
      <alignment horizontal="right"/>
    </xf>
    <xf numFmtId="175" fontId="0" fillId="0" borderId="31" xfId="0" applyNumberFormat="1" applyFont="1" applyFill="1" applyBorder="1" applyAlignment="1" applyProtection="1">
      <alignment horizontal="right"/>
    </xf>
    <xf numFmtId="1" fontId="0" fillId="4" borderId="30" xfId="0" applyNumberFormat="1" applyFont="1" applyFill="1" applyBorder="1" applyAlignment="1" applyProtection="1">
      <alignment horizontal="right"/>
    </xf>
    <xf numFmtId="1" fontId="79" fillId="4" borderId="30" xfId="0" applyNumberFormat="1" applyFont="1" applyFill="1" applyBorder="1" applyAlignment="1" applyProtection="1">
      <alignment horizontal="right"/>
    </xf>
    <xf numFmtId="1" fontId="78" fillId="4" borderId="31" xfId="0" applyNumberFormat="1" applyFont="1" applyFill="1" applyBorder="1" applyAlignment="1" applyProtection="1">
      <alignment horizontal="right"/>
    </xf>
    <xf numFmtId="3" fontId="79" fillId="4" borderId="30" xfId="0" applyNumberFormat="1" applyFont="1" applyFill="1" applyBorder="1" applyAlignment="1" applyProtection="1">
      <alignment horizontal="right"/>
    </xf>
    <xf numFmtId="3" fontId="78" fillId="4" borderId="31" xfId="0" applyNumberFormat="1" applyFont="1" applyFill="1" applyBorder="1" applyAlignment="1" applyProtection="1">
      <alignment horizontal="right"/>
    </xf>
    <xf numFmtId="175" fontId="79" fillId="4" borderId="30" xfId="0" applyNumberFormat="1" applyFont="1" applyFill="1" applyBorder="1" applyAlignment="1" applyProtection="1">
      <alignment horizontal="right"/>
    </xf>
    <xf numFmtId="175" fontId="78" fillId="4" borderId="31" xfId="0" applyNumberFormat="1" applyFont="1" applyFill="1" applyBorder="1" applyAlignment="1" applyProtection="1">
      <alignment horizontal="right"/>
    </xf>
    <xf numFmtId="0" fontId="57" fillId="0" borderId="30" xfId="0" applyFont="1" applyBorder="1"/>
    <xf numFmtId="175" fontId="57" fillId="0" borderId="0" xfId="0" applyNumberFormat="1" applyFont="1" applyBorder="1"/>
    <xf numFmtId="175" fontId="0" fillId="0" borderId="6" xfId="0" applyNumberFormat="1" applyFont="1" applyFill="1" applyBorder="1" applyAlignment="1">
      <alignment horizontal="right"/>
    </xf>
    <xf numFmtId="4" fontId="57" fillId="0" borderId="30" xfId="0" applyNumberFormat="1" applyFont="1" applyBorder="1"/>
    <xf numFmtId="3" fontId="0" fillId="0" borderId="1" xfId="0" applyNumberFormat="1" applyFont="1" applyBorder="1"/>
    <xf numFmtId="3" fontId="0" fillId="0" borderId="2" xfId="0" applyNumberFormat="1" applyFont="1" applyBorder="1"/>
    <xf numFmtId="8" fontId="0" fillId="0" borderId="1" xfId="0" applyNumberFormat="1" applyFont="1" applyBorder="1"/>
    <xf numFmtId="8" fontId="0" fillId="0" borderId="2" xfId="0" applyNumberFormat="1" applyFont="1" applyBorder="1"/>
    <xf numFmtId="0" fontId="81" fillId="0" borderId="0" xfId="0" applyFont="1" applyFill="1"/>
    <xf numFmtId="0" fontId="81" fillId="0" borderId="0" xfId="0" applyFont="1" applyFill="1" applyAlignment="1">
      <alignment horizontal="center" vertical="center"/>
    </xf>
    <xf numFmtId="0" fontId="81" fillId="0" borderId="0" xfId="0" applyFont="1" applyFill="1" applyAlignment="1">
      <alignment horizontal="center"/>
    </xf>
    <xf numFmtId="0" fontId="81" fillId="0" borderId="0" xfId="0" applyFont="1"/>
    <xf numFmtId="0" fontId="81" fillId="0" borderId="0" xfId="0" applyFont="1" applyAlignment="1">
      <alignment horizontal="right"/>
    </xf>
    <xf numFmtId="165" fontId="81" fillId="0" borderId="0" xfId="0" applyNumberFormat="1" applyFont="1" applyBorder="1" applyAlignment="1">
      <alignment horizontal="right"/>
    </xf>
    <xf numFmtId="0" fontId="81" fillId="0" borderId="0" xfId="0" applyFont="1" applyBorder="1" applyAlignment="1">
      <alignment horizontal="right" vertical="center"/>
    </xf>
    <xf numFmtId="165" fontId="82" fillId="0" borderId="0" xfId="2" applyNumberFormat="1" applyFont="1" applyBorder="1"/>
    <xf numFmtId="165" fontId="83" fillId="0" borderId="0" xfId="0" applyNumberFormat="1" applyFont="1" applyBorder="1" applyAlignment="1">
      <alignment horizontal="right"/>
    </xf>
    <xf numFmtId="0" fontId="30" fillId="0" borderId="1" xfId="0" applyFont="1" applyBorder="1" applyAlignment="1">
      <alignment horizontal="center"/>
    </xf>
    <xf numFmtId="172" fontId="52" fillId="5" borderId="17" xfId="0" applyNumberFormat="1" applyFont="1" applyFill="1" applyBorder="1" applyAlignment="1">
      <alignment horizontal="center"/>
    </xf>
    <xf numFmtId="0" fontId="53" fillId="0" borderId="0" xfId="0" applyFont="1" applyBorder="1"/>
    <xf numFmtId="165" fontId="30" fillId="0" borderId="1" xfId="2" applyNumberFormat="1" applyFont="1" applyBorder="1"/>
    <xf numFmtId="164" fontId="30" fillId="0" borderId="1" xfId="1" applyNumberFormat="1" applyFont="1" applyBorder="1" applyAlignment="1">
      <alignment horizontal="center"/>
    </xf>
    <xf numFmtId="164" fontId="19" fillId="0" borderId="1" xfId="1" applyNumberFormat="1" applyFont="1" applyBorder="1"/>
    <xf numFmtId="164" fontId="19" fillId="0" borderId="1" xfId="1" applyNumberFormat="1" applyFont="1" applyFill="1" applyBorder="1" applyAlignment="1"/>
    <xf numFmtId="174" fontId="46" fillId="0" borderId="1" xfId="0" applyNumberFormat="1" applyFont="1" applyFill="1" applyBorder="1" applyAlignment="1"/>
    <xf numFmtId="172" fontId="52" fillId="5" borderId="4" xfId="0" applyNumberFormat="1" applyFont="1" applyFill="1" applyBorder="1" applyAlignment="1">
      <alignment horizontal="center"/>
    </xf>
    <xf numFmtId="0" fontId="51" fillId="0" borderId="0" xfId="0" applyFont="1" applyFill="1" applyAlignment="1">
      <alignment horizontal="left"/>
    </xf>
    <xf numFmtId="164" fontId="30" fillId="0" borderId="0" xfId="1" applyNumberFormat="1" applyFont="1" applyFill="1"/>
    <xf numFmtId="165" fontId="30" fillId="0" borderId="0" xfId="2" applyNumberFormat="1" applyFont="1" applyFill="1"/>
    <xf numFmtId="0" fontId="30" fillId="0" borderId="0" xfId="0" applyFont="1" applyFill="1" applyAlignment="1">
      <alignment vertical="center"/>
    </xf>
    <xf numFmtId="165" fontId="30" fillId="0" borderId="0" xfId="2" applyNumberFormat="1" applyFont="1" applyFill="1" applyAlignment="1">
      <alignment vertical="center"/>
    </xf>
    <xf numFmtId="164" fontId="30" fillId="0" borderId="0" xfId="1" applyNumberFormat="1" applyFont="1" applyFill="1" applyAlignment="1">
      <alignment vertical="center"/>
    </xf>
    <xf numFmtId="164" fontId="30" fillId="0" borderId="0" xfId="1" applyNumberFormat="1" applyFont="1" applyFill="1" applyAlignment="1"/>
    <xf numFmtId="164" fontId="21" fillId="0" borderId="0" xfId="1" applyNumberFormat="1" applyFont="1" applyBorder="1"/>
    <xf numFmtId="0" fontId="51" fillId="0" borderId="0" xfId="0" applyFont="1" applyAlignment="1">
      <alignment horizontal="left"/>
    </xf>
    <xf numFmtId="0" fontId="30" fillId="0" borderId="0" xfId="0" applyFont="1" applyFill="1" applyAlignment="1">
      <alignment horizontal="left"/>
    </xf>
    <xf numFmtId="0" fontId="50" fillId="0" borderId="0" xfId="0" applyFont="1" applyFill="1" applyAlignment="1">
      <alignment horizontal="left"/>
    </xf>
    <xf numFmtId="49" fontId="44" fillId="3" borderId="2" xfId="0" applyNumberFormat="1" applyFont="1" applyFill="1" applyBorder="1"/>
    <xf numFmtId="0" fontId="0" fillId="4" borderId="1" xfId="0" applyFill="1" applyBorder="1"/>
    <xf numFmtId="173" fontId="46" fillId="0" borderId="2" xfId="0" applyNumberFormat="1" applyFont="1" applyBorder="1"/>
    <xf numFmtId="3" fontId="46" fillId="4" borderId="1" xfId="0" applyNumberFormat="1" applyFont="1" applyFill="1" applyBorder="1" applyAlignment="1"/>
    <xf numFmtId="3" fontId="47" fillId="4" borderId="1" xfId="0" applyNumberFormat="1" applyFont="1" applyFill="1" applyBorder="1"/>
    <xf numFmtId="3" fontId="46" fillId="0" borderId="2" xfId="0" applyNumberFormat="1" applyFont="1" applyFill="1" applyBorder="1"/>
    <xf numFmtId="3" fontId="48" fillId="4" borderId="1" xfId="0" applyNumberFormat="1" applyFont="1" applyFill="1" applyBorder="1"/>
    <xf numFmtId="0" fontId="48" fillId="0" borderId="1" xfId="0" applyFont="1" applyBorder="1"/>
    <xf numFmtId="0" fontId="48" fillId="4" borderId="1" xfId="0" applyFont="1" applyFill="1" applyBorder="1"/>
    <xf numFmtId="4" fontId="46" fillId="4" borderId="1" xfId="0" applyNumberFormat="1" applyFont="1" applyFill="1" applyBorder="1" applyAlignment="1"/>
    <xf numFmtId="0" fontId="46" fillId="0" borderId="2" xfId="0" applyFont="1" applyBorder="1"/>
    <xf numFmtId="4" fontId="46" fillId="4" borderId="1" xfId="0" applyNumberFormat="1" applyFont="1" applyFill="1" applyBorder="1"/>
    <xf numFmtId="4" fontId="46" fillId="0" borderId="2" xfId="0" applyNumberFormat="1" applyFont="1" applyFill="1" applyBorder="1"/>
    <xf numFmtId="4" fontId="48" fillId="4" borderId="1" xfId="0" applyNumberFormat="1" applyFont="1" applyFill="1" applyBorder="1"/>
    <xf numFmtId="173" fontId="46" fillId="0" borderId="2" xfId="0" applyNumberFormat="1" applyFont="1" applyFill="1" applyBorder="1"/>
    <xf numFmtId="3" fontId="46" fillId="0" borderId="1" xfId="0" applyNumberFormat="1" applyFont="1" applyFill="1" applyBorder="1" applyAlignment="1">
      <alignment horizontal="right"/>
    </xf>
    <xf numFmtId="0" fontId="0" fillId="0" borderId="1" xfId="0" applyFont="1" applyBorder="1"/>
    <xf numFmtId="3" fontId="0" fillId="4" borderId="1" xfId="0" applyNumberFormat="1" applyFill="1" applyBorder="1"/>
    <xf numFmtId="3" fontId="0" fillId="0" borderId="1" xfId="0" applyNumberFormat="1" applyBorder="1" applyAlignment="1">
      <alignment horizontal="center"/>
    </xf>
    <xf numFmtId="4" fontId="0" fillId="0" borderId="1" xfId="0" applyNumberFormat="1" applyFont="1" applyBorder="1"/>
    <xf numFmtId="4" fontId="0" fillId="4" borderId="1" xfId="0" applyNumberFormat="1" applyFill="1" applyBorder="1"/>
    <xf numFmtId="3" fontId="0" fillId="0" borderId="1" xfId="0" applyNumberFormat="1" applyBorder="1"/>
    <xf numFmtId="4" fontId="0" fillId="0" borderId="1" xfId="0" applyNumberFormat="1" applyBorder="1"/>
    <xf numFmtId="4" fontId="0" fillId="0" borderId="1" xfId="0" applyNumberFormat="1" applyBorder="1" applyAlignment="1">
      <alignment horizontal="center"/>
    </xf>
    <xf numFmtId="164" fontId="53" fillId="0" borderId="0" xfId="1" applyNumberFormat="1" applyFont="1" applyBorder="1" applyAlignment="1">
      <alignment horizontal="right"/>
    </xf>
    <xf numFmtId="165" fontId="54" fillId="0" borderId="1" xfId="2" applyNumberFormat="1" applyFont="1" applyBorder="1" applyAlignment="1">
      <alignment horizontal="right"/>
    </xf>
    <xf numFmtId="0" fontId="51" fillId="0" borderId="0" xfId="0" applyFont="1" applyFill="1" applyAlignment="1">
      <alignment horizontal="left" vertical="center"/>
    </xf>
    <xf numFmtId="0" fontId="53" fillId="0" borderId="0" xfId="0" applyFont="1" applyAlignment="1">
      <alignment horizontal="center"/>
    </xf>
    <xf numFmtId="165" fontId="53" fillId="0" borderId="0" xfId="2" applyNumberFormat="1" applyFont="1" applyBorder="1" applyAlignment="1">
      <alignment horizontal="left"/>
    </xf>
    <xf numFmtId="0" fontId="50" fillId="0" borderId="0" xfId="0" applyFont="1" applyAlignment="1">
      <alignment horizontal="center"/>
    </xf>
    <xf numFmtId="0" fontId="51" fillId="0" borderId="0" xfId="0" applyFont="1" applyFill="1" applyAlignment="1">
      <alignment horizontal="center" vertical="center"/>
    </xf>
    <xf numFmtId="173" fontId="19" fillId="0" borderId="1" xfId="0" applyNumberFormat="1" applyFont="1" applyBorder="1" applyAlignment="1">
      <alignment horizontal="center"/>
    </xf>
    <xf numFmtId="0" fontId="19" fillId="0" borderId="1" xfId="0" applyFont="1" applyBorder="1" applyAlignment="1">
      <alignment horizontal="center"/>
    </xf>
    <xf numFmtId="49" fontId="52" fillId="5" borderId="4" xfId="0" applyNumberFormat="1" applyFont="1" applyFill="1" applyBorder="1" applyAlignment="1">
      <alignment horizontal="center"/>
    </xf>
    <xf numFmtId="173" fontId="19" fillId="0" borderId="0" xfId="0" applyNumberFormat="1" applyFont="1" applyBorder="1" applyAlignment="1">
      <alignment horizontal="center"/>
    </xf>
    <xf numFmtId="0" fontId="19" fillId="0" borderId="0" xfId="0" applyFont="1" applyBorder="1" applyAlignment="1">
      <alignment horizontal="center"/>
    </xf>
    <xf numFmtId="49" fontId="52" fillId="5" borderId="24" xfId="0" applyNumberFormat="1" applyFont="1" applyFill="1" applyBorder="1" applyAlignment="1">
      <alignment horizontal="center"/>
    </xf>
    <xf numFmtId="0" fontId="19" fillId="0" borderId="0" xfId="0" applyFont="1" applyAlignment="1">
      <alignment horizontal="center"/>
    </xf>
    <xf numFmtId="0" fontId="53" fillId="0" borderId="0" xfId="0" applyFont="1" applyFill="1" applyAlignment="1">
      <alignment horizontal="center"/>
    </xf>
    <xf numFmtId="165" fontId="19" fillId="0" borderId="0" xfId="2" applyNumberFormat="1" applyFont="1" applyBorder="1" applyAlignment="1">
      <alignment horizontal="center"/>
    </xf>
    <xf numFmtId="3" fontId="19" fillId="0" borderId="0" xfId="0" applyNumberFormat="1" applyFont="1" applyFill="1" applyBorder="1" applyAlignment="1">
      <alignment horizontal="center"/>
    </xf>
    <xf numFmtId="165" fontId="19" fillId="0" borderId="0" xfId="2" applyNumberFormat="1" applyFont="1" applyFill="1" applyBorder="1" applyAlignment="1">
      <alignment horizontal="center"/>
    </xf>
    <xf numFmtId="164" fontId="30" fillId="0" borderId="0" xfId="1" applyNumberFormat="1" applyFont="1" applyBorder="1" applyAlignment="1">
      <alignment horizontal="center"/>
    </xf>
    <xf numFmtId="0" fontId="30" fillId="0" borderId="0" xfId="0" applyFont="1" applyBorder="1" applyAlignment="1">
      <alignment horizontal="center"/>
    </xf>
    <xf numFmtId="49" fontId="52" fillId="5" borderId="2" xfId="0" applyNumberFormat="1" applyFont="1" applyFill="1" applyBorder="1" applyAlignment="1">
      <alignment horizontal="center"/>
    </xf>
    <xf numFmtId="3" fontId="19" fillId="0" borderId="26" xfId="0" applyNumberFormat="1" applyFont="1" applyFill="1" applyBorder="1" applyAlignment="1"/>
    <xf numFmtId="3" fontId="47" fillId="0" borderId="0" xfId="0" applyNumberFormat="1" applyFont="1" applyBorder="1"/>
    <xf numFmtId="3" fontId="47" fillId="0" borderId="0" xfId="0" applyNumberFormat="1" applyFont="1" applyFill="1" applyBorder="1"/>
    <xf numFmtId="0" fontId="0" fillId="0" borderId="5" xfId="0" applyBorder="1"/>
    <xf numFmtId="4" fontId="46" fillId="0" borderId="0" xfId="0" applyNumberFormat="1" applyFont="1" applyFill="1" applyBorder="1" applyAlignment="1"/>
    <xf numFmtId="4" fontId="46" fillId="0" borderId="0" xfId="0" applyNumberFormat="1" applyFont="1" applyBorder="1"/>
    <xf numFmtId="0" fontId="0" fillId="0" borderId="4" xfId="0" applyBorder="1"/>
    <xf numFmtId="0" fontId="86" fillId="0" borderId="0" xfId="0" applyFont="1" applyAlignment="1">
      <alignment horizontal="left"/>
    </xf>
    <xf numFmtId="17" fontId="86" fillId="0" borderId="0" xfId="0" applyNumberFormat="1" applyFont="1" applyAlignment="1">
      <alignment horizontal="center"/>
    </xf>
    <xf numFmtId="0" fontId="86" fillId="0" borderId="0" xfId="0" applyFont="1" applyAlignment="1">
      <alignment horizontal="center"/>
    </xf>
    <xf numFmtId="1" fontId="19" fillId="0" borderId="0" xfId="0" applyNumberFormat="1" applyFont="1"/>
    <xf numFmtId="3" fontId="19" fillId="0" borderId="0" xfId="0" applyNumberFormat="1" applyFont="1"/>
    <xf numFmtId="0" fontId="19" fillId="0" borderId="0" xfId="0" quotePrefix="1" applyFont="1" applyAlignment="1">
      <alignment horizontal="left"/>
    </xf>
    <xf numFmtId="3" fontId="19" fillId="0" borderId="0" xfId="0" quotePrefix="1" applyNumberFormat="1" applyFont="1" applyAlignment="1">
      <alignment horizontal="left"/>
    </xf>
    <xf numFmtId="180" fontId="19" fillId="0" borderId="0" xfId="0" applyNumberFormat="1" applyFont="1"/>
    <xf numFmtId="4" fontId="19" fillId="0" borderId="0" xfId="0" applyNumberFormat="1" applyFont="1"/>
    <xf numFmtId="4" fontId="19" fillId="0" borderId="0" xfId="1" applyNumberFormat="1" applyFont="1"/>
    <xf numFmtId="2" fontId="19" fillId="0" borderId="0" xfId="0" applyNumberFormat="1" applyFont="1" applyFill="1"/>
    <xf numFmtId="2" fontId="19" fillId="0" borderId="0" xfId="0" applyNumberFormat="1" applyFont="1"/>
    <xf numFmtId="180" fontId="19" fillId="0" borderId="0" xfId="0" applyNumberFormat="1" applyFont="1" applyFill="1" applyBorder="1" applyAlignment="1" applyProtection="1"/>
    <xf numFmtId="168" fontId="19" fillId="0" borderId="0" xfId="0" applyNumberFormat="1" applyFont="1"/>
    <xf numFmtId="168" fontId="21" fillId="0" borderId="0" xfId="0" applyNumberFormat="1" applyFont="1"/>
    <xf numFmtId="2" fontId="21" fillId="0" borderId="0" xfId="0" applyNumberFormat="1" applyFont="1"/>
    <xf numFmtId="1" fontId="19" fillId="0" borderId="0" xfId="0" quotePrefix="1" applyNumberFormat="1" applyFont="1" applyAlignment="1">
      <alignment horizontal="fill"/>
    </xf>
    <xf numFmtId="0" fontId="19" fillId="0" borderId="0" xfId="0" quotePrefix="1" applyFont="1" applyAlignment="1">
      <alignment horizontal="fill"/>
    </xf>
    <xf numFmtId="3" fontId="19" fillId="0" borderId="0" xfId="0" quotePrefix="1" applyNumberFormat="1" applyFont="1" applyAlignment="1">
      <alignment horizontal="fill"/>
    </xf>
    <xf numFmtId="4" fontId="19" fillId="0" borderId="0" xfId="0" quotePrefix="1" applyNumberFormat="1" applyFont="1" applyAlignment="1">
      <alignment horizontal="fill"/>
    </xf>
    <xf numFmtId="39" fontId="19" fillId="0" borderId="0" xfId="1" applyNumberFormat="1" applyFont="1"/>
    <xf numFmtId="2" fontId="19" fillId="0" borderId="0" xfId="0" quotePrefix="1" applyNumberFormat="1" applyFont="1" applyAlignment="1">
      <alignment horizontal="fill"/>
    </xf>
    <xf numFmtId="0" fontId="86" fillId="0" borderId="0" xfId="0" applyFont="1"/>
    <xf numFmtId="181" fontId="19" fillId="0" borderId="0" xfId="0" applyNumberFormat="1" applyFont="1" applyProtection="1"/>
    <xf numFmtId="1" fontId="19" fillId="0" borderId="0" xfId="0" applyNumberFormat="1" applyFont="1" applyAlignment="1">
      <alignment horizontal="center"/>
    </xf>
    <xf numFmtId="3" fontId="19" fillId="0" borderId="0" xfId="0" applyNumberFormat="1" applyFont="1" applyProtection="1"/>
    <xf numFmtId="182" fontId="19" fillId="0" borderId="0" xfId="0" applyNumberFormat="1" applyFont="1" applyProtection="1"/>
    <xf numFmtId="39" fontId="19" fillId="0" borderId="0" xfId="0" applyNumberFormat="1" applyFont="1" applyProtection="1"/>
    <xf numFmtId="39" fontId="19" fillId="0" borderId="24" xfId="0" applyNumberFormat="1" applyFont="1" applyBorder="1" applyProtection="1"/>
    <xf numFmtId="0" fontId="19" fillId="0" borderId="0" xfId="0" applyFont="1" applyAlignment="1">
      <alignment horizontal="fill"/>
    </xf>
    <xf numFmtId="39" fontId="19" fillId="0" borderId="0" xfId="0" applyNumberFormat="1" applyFont="1" applyBorder="1" applyProtection="1"/>
    <xf numFmtId="37" fontId="19" fillId="0" borderId="0" xfId="0" quotePrefix="1" applyNumberFormat="1" applyFont="1" applyAlignment="1" applyProtection="1">
      <alignment horizontal="fill"/>
    </xf>
    <xf numFmtId="1" fontId="19" fillId="0" borderId="0" xfId="0" applyNumberFormat="1" applyFont="1" applyProtection="1"/>
    <xf numFmtId="183" fontId="19" fillId="0" borderId="0" xfId="0" applyNumberFormat="1" applyFont="1" applyProtection="1"/>
    <xf numFmtId="184" fontId="19" fillId="0" borderId="0" xfId="0" applyNumberFormat="1" applyFont="1" applyProtection="1"/>
    <xf numFmtId="182" fontId="19" fillId="0" borderId="0" xfId="0" applyNumberFormat="1" applyFont="1"/>
    <xf numFmtId="39" fontId="19" fillId="0" borderId="24" xfId="0" applyNumberFormat="1" applyFont="1" applyBorder="1"/>
    <xf numFmtId="39" fontId="19" fillId="0" borderId="0" xfId="0" applyNumberFormat="1" applyFont="1" applyBorder="1"/>
    <xf numFmtId="1" fontId="19" fillId="0" borderId="0" xfId="0" applyNumberFormat="1" applyFont="1" applyBorder="1"/>
    <xf numFmtId="37" fontId="19" fillId="0" borderId="24" xfId="0" applyNumberFormat="1" applyFont="1" applyBorder="1"/>
    <xf numFmtId="182" fontId="19" fillId="0" borderId="0" xfId="0" applyNumberFormat="1" applyFont="1" applyAlignment="1" applyProtection="1">
      <alignment horizontal="fill"/>
    </xf>
    <xf numFmtId="39" fontId="19" fillId="0" borderId="0" xfId="0" applyNumberFormat="1" applyFont="1" applyAlignment="1" applyProtection="1">
      <alignment horizontal="fill"/>
    </xf>
    <xf numFmtId="0" fontId="52" fillId="0" borderId="0" xfId="0" applyFont="1"/>
    <xf numFmtId="0" fontId="19" fillId="0" borderId="0" xfId="0" applyNumberFormat="1" applyFont="1" applyFill="1" applyBorder="1" applyAlignment="1" applyProtection="1"/>
    <xf numFmtId="3" fontId="19" fillId="0" borderId="0" xfId="1" applyNumberFormat="1" applyFont="1"/>
    <xf numFmtId="0" fontId="0" fillId="0" borderId="24" xfId="0" applyBorder="1"/>
    <xf numFmtId="4" fontId="19" fillId="0" borderId="24" xfId="1" applyNumberFormat="1" applyFont="1" applyBorder="1"/>
    <xf numFmtId="4" fontId="19" fillId="0" borderId="24" xfId="0" applyNumberFormat="1" applyFont="1" applyBorder="1"/>
    <xf numFmtId="2" fontId="19" fillId="0" borderId="24" xfId="0" applyNumberFormat="1" applyFont="1" applyBorder="1"/>
    <xf numFmtId="39" fontId="19" fillId="0" borderId="0" xfId="0" applyNumberFormat="1" applyFont="1"/>
    <xf numFmtId="0" fontId="87" fillId="0" borderId="0" xfId="0" applyFont="1"/>
    <xf numFmtId="3" fontId="19" fillId="0" borderId="26" xfId="0" applyNumberFormat="1" applyFont="1" applyFill="1" applyBorder="1" applyAlignment="1">
      <alignment horizontal="center"/>
    </xf>
    <xf numFmtId="0" fontId="88" fillId="0" borderId="0" xfId="0" applyFont="1"/>
    <xf numFmtId="49" fontId="89" fillId="0" borderId="0" xfId="0" applyNumberFormat="1" applyFont="1" applyBorder="1"/>
    <xf numFmtId="0" fontId="65" fillId="0" borderId="0" xfId="17" applyFont="1"/>
    <xf numFmtId="0" fontId="76" fillId="14" borderId="1" xfId="18" applyFont="1" applyFill="1" applyBorder="1" applyAlignment="1">
      <alignment horizontal="center"/>
    </xf>
    <xf numFmtId="0" fontId="76" fillId="14" borderId="1" xfId="19" applyFont="1" applyFill="1" applyBorder="1" applyAlignment="1">
      <alignment horizontal="center"/>
    </xf>
    <xf numFmtId="0" fontId="76" fillId="14" borderId="1" xfId="18" applyFont="1" applyFill="1" applyBorder="1" applyAlignment="1">
      <alignment horizontal="center" wrapText="1"/>
    </xf>
    <xf numFmtId="0" fontId="71" fillId="0" borderId="0" xfId="0" applyFont="1"/>
    <xf numFmtId="0" fontId="79" fillId="0" borderId="1" xfId="0" applyFont="1" applyBorder="1" applyAlignment="1">
      <alignment horizontal="left"/>
    </xf>
    <xf numFmtId="49" fontId="78" fillId="0" borderId="1" xfId="18" applyNumberFormat="1" applyFont="1" applyFill="1" applyBorder="1" applyAlignment="1">
      <alignment horizontal="center"/>
    </xf>
    <xf numFmtId="0" fontId="79" fillId="0" borderId="1" xfId="0" applyFont="1" applyFill="1" applyBorder="1"/>
    <xf numFmtId="3" fontId="78" fillId="0" borderId="1" xfId="19" applyNumberFormat="1" applyFont="1" applyFill="1" applyBorder="1" applyAlignment="1">
      <alignment horizontal="right" wrapText="1"/>
    </xf>
    <xf numFmtId="3" fontId="78" fillId="0" borderId="1" xfId="19" applyNumberFormat="1" applyFont="1" applyFill="1" applyBorder="1" applyAlignment="1">
      <alignment horizontal="center" wrapText="1"/>
    </xf>
    <xf numFmtId="37" fontId="78" fillId="0" borderId="1" xfId="19" applyNumberFormat="1" applyFont="1" applyFill="1" applyBorder="1" applyAlignment="1">
      <alignment horizontal="right" wrapText="1"/>
    </xf>
    <xf numFmtId="164" fontId="79" fillId="0" borderId="1" xfId="1" applyNumberFormat="1" applyFont="1" applyBorder="1"/>
    <xf numFmtId="0" fontId="79" fillId="0" borderId="0" xfId="0" applyFont="1"/>
    <xf numFmtId="0" fontId="79" fillId="0" borderId="0" xfId="0" applyFont="1" applyFill="1"/>
    <xf numFmtId="0" fontId="19" fillId="0" borderId="1" xfId="0" applyFont="1" applyBorder="1" applyAlignment="1">
      <alignment horizontal="left"/>
    </xf>
    <xf numFmtId="0" fontId="19" fillId="0" borderId="1" xfId="0" applyFont="1" applyFill="1" applyBorder="1" applyAlignment="1">
      <alignment horizontal="center"/>
    </xf>
    <xf numFmtId="0" fontId="19" fillId="0" borderId="1" xfId="0" applyFont="1" applyFill="1" applyBorder="1"/>
    <xf numFmtId="164" fontId="79" fillId="0" borderId="1" xfId="20" applyNumberFormat="1" applyFont="1" applyBorder="1" applyAlignment="1">
      <alignment horizontal="center"/>
    </xf>
    <xf numFmtId="43" fontId="0" fillId="0" borderId="0" xfId="0" applyNumberFormat="1" applyFill="1"/>
    <xf numFmtId="0" fontId="0" fillId="0" borderId="0" xfId="0" applyFill="1"/>
    <xf numFmtId="0" fontId="0" fillId="0" borderId="0" xfId="0" applyFill="1" applyAlignment="1">
      <alignment horizontal="center"/>
    </xf>
    <xf numFmtId="168" fontId="0" fillId="0" borderId="0" xfId="0" applyNumberFormat="1" applyFill="1"/>
    <xf numFmtId="17" fontId="74" fillId="5" borderId="2" xfId="17" applyNumberFormat="1" applyFont="1" applyFill="1" applyBorder="1"/>
    <xf numFmtId="185" fontId="74" fillId="5" borderId="24" xfId="17" applyNumberFormat="1" applyFont="1" applyFill="1" applyBorder="1" applyAlignment="1">
      <alignment horizontal="center"/>
    </xf>
    <xf numFmtId="185" fontId="74" fillId="5" borderId="4" xfId="17" applyNumberFormat="1" applyFont="1" applyFill="1" applyBorder="1" applyAlignment="1">
      <alignment horizontal="center"/>
    </xf>
    <xf numFmtId="17" fontId="57" fillId="0" borderId="17" xfId="17" applyNumberFormat="1" applyFont="1" applyBorder="1" applyAlignment="1">
      <alignment horizontal="left" indent="1"/>
    </xf>
    <xf numFmtId="17" fontId="13" fillId="0" borderId="3" xfId="17" applyNumberFormat="1" applyBorder="1"/>
    <xf numFmtId="17" fontId="13" fillId="0" borderId="0" xfId="17" applyNumberFormat="1" applyBorder="1"/>
    <xf numFmtId="17" fontId="13" fillId="0" borderId="5" xfId="17" applyNumberFormat="1" applyBorder="1"/>
    <xf numFmtId="41" fontId="13" fillId="0" borderId="23" xfId="17" applyNumberFormat="1" applyBorder="1"/>
    <xf numFmtId="41" fontId="13" fillId="0" borderId="38" xfId="17" applyNumberFormat="1" applyBorder="1"/>
    <xf numFmtId="41" fontId="13" fillId="0" borderId="0" xfId="17" applyNumberFormat="1" applyBorder="1"/>
    <xf numFmtId="41" fontId="13" fillId="0" borderId="5" xfId="17" applyNumberFormat="1" applyBorder="1"/>
    <xf numFmtId="0" fontId="19" fillId="0" borderId="0" xfId="0" applyFont="1" applyAlignment="1">
      <alignment horizontal="left"/>
    </xf>
    <xf numFmtId="0" fontId="51" fillId="0" borderId="0" xfId="11" applyFont="1"/>
    <xf numFmtId="0" fontId="14" fillId="0" borderId="0" xfId="11"/>
    <xf numFmtId="0" fontId="14" fillId="0" borderId="0" xfId="11" applyFill="1" applyBorder="1"/>
    <xf numFmtId="0" fontId="53" fillId="0" borderId="0" xfId="11" applyFont="1" applyAlignment="1">
      <alignment horizontal="right"/>
    </xf>
    <xf numFmtId="0" fontId="53" fillId="0" borderId="0" xfId="11" applyFont="1" applyAlignment="1">
      <alignment horizontal="right" vertical="center"/>
    </xf>
    <xf numFmtId="49" fontId="52" fillId="5" borderId="1" xfId="11" applyNumberFormat="1" applyFont="1" applyFill="1" applyBorder="1"/>
    <xf numFmtId="172" fontId="52" fillId="0" borderId="0" xfId="11" applyNumberFormat="1" applyFont="1" applyFill="1" applyBorder="1" applyAlignment="1">
      <alignment horizontal="center"/>
    </xf>
    <xf numFmtId="172" fontId="52" fillId="5" borderId="1" xfId="11" applyNumberFormat="1" applyFont="1" applyFill="1" applyBorder="1" applyAlignment="1">
      <alignment horizontal="center"/>
    </xf>
    <xf numFmtId="0" fontId="51" fillId="5" borderId="1" xfId="11" applyFont="1" applyFill="1" applyBorder="1" applyAlignment="1">
      <alignment horizontal="center"/>
    </xf>
    <xf numFmtId="0" fontId="51" fillId="5" borderId="1" xfId="11" applyFont="1" applyFill="1" applyBorder="1" applyAlignment="1">
      <alignment horizontal="center" vertical="center"/>
    </xf>
    <xf numFmtId="0" fontId="53" fillId="0" borderId="1" xfId="11" applyFont="1" applyBorder="1"/>
    <xf numFmtId="164" fontId="0" fillId="0" borderId="1" xfId="0" applyNumberFormat="1" applyBorder="1"/>
    <xf numFmtId="164" fontId="53" fillId="0" borderId="1" xfId="11" applyNumberFormat="1" applyFont="1" applyBorder="1" applyAlignment="1">
      <alignment horizontal="right"/>
    </xf>
    <xf numFmtId="0" fontId="53" fillId="0" borderId="1" xfId="11" applyFont="1" applyBorder="1" applyAlignment="1">
      <alignment horizontal="center" vertical="center"/>
    </xf>
    <xf numFmtId="0" fontId="30" fillId="0" borderId="0" xfId="11" applyFont="1" applyAlignment="1">
      <alignment horizontal="center"/>
    </xf>
    <xf numFmtId="0" fontId="53" fillId="0" borderId="1" xfId="11" applyFont="1" applyFill="1" applyBorder="1" applyAlignment="1">
      <alignment horizontal="center" vertical="center"/>
    </xf>
    <xf numFmtId="0" fontId="53" fillId="0" borderId="1" xfId="11" applyFont="1" applyFill="1" applyBorder="1"/>
    <xf numFmtId="0" fontId="53" fillId="0" borderId="0" xfId="11" applyFont="1" applyFill="1"/>
    <xf numFmtId="0" fontId="53" fillId="0" borderId="0" xfId="11" applyFont="1" applyFill="1" applyBorder="1"/>
    <xf numFmtId="165" fontId="53" fillId="0" borderId="1" xfId="12" applyNumberFormat="1" applyFont="1" applyBorder="1"/>
    <xf numFmtId="0" fontId="14" fillId="0" borderId="1" xfId="11" applyBorder="1"/>
    <xf numFmtId="0" fontId="30" fillId="0" borderId="0" xfId="11" applyFont="1"/>
    <xf numFmtId="164" fontId="53" fillId="0" borderId="1" xfId="20" applyNumberFormat="1" applyFont="1" applyBorder="1" applyAlignment="1">
      <alignment horizontal="right"/>
    </xf>
    <xf numFmtId="172" fontId="52" fillId="0" borderId="27" xfId="11" applyNumberFormat="1" applyFont="1" applyFill="1" applyBorder="1" applyAlignment="1">
      <alignment horizontal="center"/>
    </xf>
    <xf numFmtId="164" fontId="0" fillId="0" borderId="1" xfId="20" applyNumberFormat="1" applyFont="1" applyBorder="1"/>
    <xf numFmtId="164" fontId="0" fillId="0" borderId="27" xfId="20" applyNumberFormat="1" applyFont="1" applyFill="1" applyBorder="1"/>
    <xf numFmtId="164" fontId="0" fillId="0" borderId="1" xfId="20" applyNumberFormat="1" applyFont="1" applyBorder="1" applyAlignment="1">
      <alignment vertical="center" wrapText="1"/>
    </xf>
    <xf numFmtId="164" fontId="0" fillId="0" borderId="27" xfId="20" applyNumberFormat="1" applyFont="1" applyFill="1" applyBorder="1" applyAlignment="1">
      <alignment vertical="center" wrapText="1"/>
    </xf>
    <xf numFmtId="0" fontId="34" fillId="0" borderId="0" xfId="11" applyFont="1" applyAlignment="1">
      <alignment horizontal="center"/>
    </xf>
    <xf numFmtId="164" fontId="58" fillId="0" borderId="1" xfId="20" applyNumberFormat="1" applyFont="1" applyBorder="1" applyAlignment="1">
      <alignment vertical="center" wrapText="1"/>
    </xf>
    <xf numFmtId="164" fontId="58" fillId="0" borderId="1" xfId="20" applyNumberFormat="1" applyFont="1" applyBorder="1"/>
    <xf numFmtId="164" fontId="58" fillId="0" borderId="27" xfId="20" applyNumberFormat="1" applyFont="1" applyFill="1" applyBorder="1" applyAlignment="1">
      <alignment vertical="center" wrapText="1"/>
    </xf>
    <xf numFmtId="164" fontId="0" fillId="0" borderId="27" xfId="0" applyNumberFormat="1" applyFill="1" applyBorder="1"/>
    <xf numFmtId="165" fontId="53" fillId="0" borderId="27" xfId="12" applyNumberFormat="1" applyFont="1" applyFill="1" applyBorder="1"/>
    <xf numFmtId="165" fontId="53" fillId="0" borderId="0" xfId="12" applyNumberFormat="1" applyFont="1" applyFill="1" applyBorder="1"/>
    <xf numFmtId="0" fontId="34" fillId="0" borderId="0" xfId="11" applyFont="1"/>
    <xf numFmtId="0" fontId="36" fillId="0" borderId="0" xfId="11" applyFont="1"/>
    <xf numFmtId="43" fontId="14" fillId="0" borderId="0" xfId="11" applyNumberFormat="1"/>
    <xf numFmtId="3" fontId="55" fillId="0" borderId="1" xfId="11" applyNumberFormat="1" applyFont="1" applyFill="1" applyBorder="1" applyAlignment="1">
      <alignment vertical="top"/>
    </xf>
    <xf numFmtId="165" fontId="0" fillId="0" borderId="1" xfId="0" applyNumberFormat="1" applyBorder="1"/>
    <xf numFmtId="0" fontId="30" fillId="0" borderId="0" xfId="11" applyFont="1" applyFill="1" applyBorder="1"/>
    <xf numFmtId="164" fontId="0" fillId="0" borderId="1" xfId="20" applyNumberFormat="1" applyFont="1" applyFill="1" applyBorder="1"/>
    <xf numFmtId="164" fontId="0" fillId="0" borderId="1" xfId="0" applyNumberFormat="1" applyFill="1" applyBorder="1"/>
    <xf numFmtId="164" fontId="0" fillId="0" borderId="4" xfId="20" applyNumberFormat="1" applyFont="1" applyFill="1" applyBorder="1"/>
    <xf numFmtId="164" fontId="53" fillId="0" borderId="1" xfId="20" applyNumberFormat="1" applyFont="1" applyFill="1" applyBorder="1" applyAlignment="1">
      <alignment horizontal="right"/>
    </xf>
    <xf numFmtId="164" fontId="58" fillId="0" borderId="1" xfId="0" applyNumberFormat="1" applyFont="1" applyBorder="1"/>
    <xf numFmtId="164" fontId="0" fillId="0" borderId="0" xfId="0" applyNumberFormat="1"/>
    <xf numFmtId="3" fontId="55" fillId="0" borderId="1" xfId="11" applyNumberFormat="1" applyFont="1" applyFill="1" applyBorder="1" applyAlignment="1">
      <alignment horizontal="right"/>
    </xf>
    <xf numFmtId="3" fontId="55" fillId="0" borderId="1" xfId="11" applyNumberFormat="1" applyFont="1" applyFill="1" applyBorder="1"/>
    <xf numFmtId="164" fontId="0" fillId="0" borderId="0" xfId="20" applyNumberFormat="1" applyFont="1" applyAlignment="1">
      <alignment vertical="center" wrapText="1"/>
    </xf>
    <xf numFmtId="164" fontId="0" fillId="0" borderId="1" xfId="20" applyNumberFormat="1" applyFont="1" applyFill="1" applyBorder="1" applyAlignment="1">
      <alignment vertical="center" wrapText="1"/>
    </xf>
    <xf numFmtId="164" fontId="19" fillId="0" borderId="1" xfId="20" applyNumberFormat="1" applyFont="1" applyBorder="1"/>
    <xf numFmtId="0" fontId="53" fillId="0" borderId="0" xfId="0" applyFont="1" applyFill="1" applyAlignment="1">
      <alignment horizontal="center" vertical="center"/>
    </xf>
    <xf numFmtId="164" fontId="53" fillId="0" borderId="0" xfId="0" applyNumberFormat="1" applyFont="1" applyBorder="1"/>
    <xf numFmtId="0" fontId="51" fillId="0" borderId="0" xfId="0" applyFont="1" applyAlignment="1">
      <alignment horizontal="left" vertical="center"/>
    </xf>
    <xf numFmtId="3" fontId="55" fillId="0" borderId="0" xfId="0" applyNumberFormat="1" applyFont="1" applyFill="1" applyBorder="1" applyAlignment="1">
      <alignment horizontal="right"/>
    </xf>
    <xf numFmtId="164" fontId="55" fillId="0" borderId="1" xfId="1" applyNumberFormat="1" applyFont="1" applyFill="1" applyBorder="1"/>
    <xf numFmtId="164" fontId="55" fillId="0" borderId="1" xfId="1" applyNumberFormat="1" applyFont="1" applyFill="1" applyBorder="1" applyAlignment="1">
      <alignment vertical="top"/>
    </xf>
    <xf numFmtId="164" fontId="53" fillId="0" borderId="1" xfId="1" applyNumberFormat="1" applyFont="1" applyFill="1" applyBorder="1"/>
    <xf numFmtId="164" fontId="55" fillId="0" borderId="1" xfId="1" applyNumberFormat="1" applyFont="1" applyFill="1" applyBorder="1" applyAlignment="1">
      <alignment horizontal="right"/>
    </xf>
    <xf numFmtId="164" fontId="53" fillId="0" borderId="1" xfId="1" applyNumberFormat="1" applyFont="1" applyFill="1" applyBorder="1" applyAlignment="1">
      <alignment vertical="center"/>
    </xf>
    <xf numFmtId="164" fontId="53" fillId="0" borderId="1" xfId="1" applyNumberFormat="1" applyFont="1" applyFill="1" applyBorder="1" applyAlignment="1"/>
    <xf numFmtId="165" fontId="53" fillId="0" borderId="1" xfId="2" applyNumberFormat="1" applyFont="1" applyFill="1" applyBorder="1" applyAlignment="1">
      <alignment vertical="center"/>
    </xf>
    <xf numFmtId="165" fontId="53" fillId="0" borderId="1" xfId="2" applyNumberFormat="1" applyFont="1" applyFill="1" applyBorder="1"/>
    <xf numFmtId="0" fontId="90" fillId="0" borderId="0" xfId="0" applyFont="1"/>
    <xf numFmtId="173" fontId="46" fillId="0" borderId="1" xfId="0" applyNumberFormat="1" applyFont="1" applyBorder="1" applyAlignment="1">
      <alignment wrapText="1"/>
    </xf>
    <xf numFmtId="164" fontId="90" fillId="0" borderId="1" xfId="1" applyNumberFormat="1" applyFont="1" applyBorder="1"/>
    <xf numFmtId="174" fontId="46" fillId="0" borderId="1" xfId="0" applyNumberFormat="1" applyFont="1" applyBorder="1"/>
    <xf numFmtId="174" fontId="90" fillId="0" borderId="1" xfId="0" applyNumberFormat="1" applyFont="1" applyBorder="1"/>
    <xf numFmtId="164" fontId="47" fillId="0" borderId="1" xfId="1" applyNumberFormat="1" applyFont="1" applyBorder="1"/>
    <xf numFmtId="0" fontId="47" fillId="0" borderId="0" xfId="0" applyFont="1"/>
    <xf numFmtId="174" fontId="47" fillId="0" borderId="1" xfId="0" applyNumberFormat="1" applyFont="1" applyBorder="1"/>
    <xf numFmtId="174" fontId="0" fillId="0" borderId="1" xfId="0" applyNumberFormat="1" applyBorder="1"/>
    <xf numFmtId="164" fontId="53" fillId="0" borderId="0" xfId="0" applyNumberFormat="1" applyFont="1"/>
    <xf numFmtId="0" fontId="80" fillId="2" borderId="0" xfId="0" applyFont="1" applyFill="1" applyAlignment="1">
      <alignment horizontal="center"/>
    </xf>
    <xf numFmtId="0" fontId="80" fillId="2" borderId="0" xfId="0" applyFont="1" applyFill="1" applyAlignment="1">
      <alignment vertical="center"/>
    </xf>
    <xf numFmtId="0" fontId="81" fillId="2" borderId="0" xfId="0" applyFont="1" applyFill="1"/>
    <xf numFmtId="0" fontId="81" fillId="2" borderId="0" xfId="0" applyFont="1" applyFill="1" applyAlignment="1">
      <alignment horizontal="center" vertical="center"/>
    </xf>
    <xf numFmtId="0" fontId="80" fillId="2" borderId="0" xfId="0" applyFont="1" applyFill="1"/>
    <xf numFmtId="0" fontId="81" fillId="2" borderId="0" xfId="0" applyFont="1" applyFill="1" applyAlignment="1">
      <alignment horizontal="center"/>
    </xf>
    <xf numFmtId="0" fontId="81" fillId="2" borderId="0" xfId="0" applyFont="1" applyFill="1" applyAlignment="1">
      <alignment horizontal="right"/>
    </xf>
    <xf numFmtId="0" fontId="81" fillId="2" borderId="0" xfId="0" applyFont="1" applyFill="1" applyAlignment="1">
      <alignment horizontal="right" vertical="center"/>
    </xf>
    <xf numFmtId="165" fontId="81" fillId="2" borderId="0" xfId="0" applyNumberFormat="1" applyFont="1" applyFill="1" applyBorder="1" applyAlignment="1">
      <alignment horizontal="right"/>
    </xf>
    <xf numFmtId="0" fontId="81" fillId="2" borderId="0" xfId="0" applyFont="1" applyFill="1" applyBorder="1" applyAlignment="1">
      <alignment horizontal="right" vertical="center"/>
    </xf>
    <xf numFmtId="165" fontId="82" fillId="2" borderId="0" xfId="2" applyNumberFormat="1" applyFont="1" applyFill="1" applyBorder="1"/>
    <xf numFmtId="165" fontId="83" fillId="2" borderId="0" xfId="0" applyNumberFormat="1" applyFont="1" applyFill="1" applyBorder="1" applyAlignment="1">
      <alignment horizontal="right"/>
    </xf>
    <xf numFmtId="0" fontId="84" fillId="2" borderId="0" xfId="0" applyFont="1" applyFill="1" applyAlignment="1">
      <alignment horizontal="center"/>
    </xf>
    <xf numFmtId="0" fontId="84" fillId="2" borderId="0" xfId="0" applyFont="1" applyFill="1"/>
    <xf numFmtId="0" fontId="65" fillId="0" borderId="12" xfId="0" applyFont="1" applyBorder="1"/>
    <xf numFmtId="0" fontId="0" fillId="0" borderId="13" xfId="0" applyBorder="1"/>
    <xf numFmtId="0" fontId="65" fillId="0" borderId="13" xfId="0" applyFont="1" applyBorder="1"/>
    <xf numFmtId="0" fontId="0" fillId="0" borderId="14" xfId="0" applyBorder="1"/>
    <xf numFmtId="0" fontId="0" fillId="0" borderId="11" xfId="0" applyBorder="1"/>
    <xf numFmtId="49" fontId="0" fillId="0" borderId="1" xfId="0" applyNumberFormat="1" applyBorder="1" applyAlignment="1">
      <alignment horizontal="center"/>
    </xf>
    <xf numFmtId="49" fontId="0" fillId="0" borderId="15" xfId="0" applyNumberFormat="1" applyBorder="1" applyAlignment="1">
      <alignment horizontal="center"/>
    </xf>
    <xf numFmtId="0" fontId="0" fillId="0" borderId="15" xfId="0" applyBorder="1"/>
    <xf numFmtId="3" fontId="0" fillId="0" borderId="1" xfId="1" applyNumberFormat="1" applyFont="1" applyBorder="1"/>
    <xf numFmtId="3" fontId="0" fillId="0" borderId="15" xfId="1" applyNumberFormat="1" applyFont="1" applyBorder="1"/>
    <xf numFmtId="3" fontId="0" fillId="0" borderId="15" xfId="0" applyNumberFormat="1" applyBorder="1"/>
    <xf numFmtId="164" fontId="0" fillId="0" borderId="15" xfId="1" applyNumberFormat="1" applyFont="1" applyBorder="1"/>
    <xf numFmtId="0" fontId="0" fillId="0" borderId="11" xfId="0" applyBorder="1" applyAlignment="1">
      <alignment horizontal="right"/>
    </xf>
    <xf numFmtId="44" fontId="0" fillId="0" borderId="15" xfId="2" applyFont="1" applyBorder="1"/>
    <xf numFmtId="0" fontId="0" fillId="0" borderId="22" xfId="0" applyBorder="1"/>
    <xf numFmtId="44" fontId="0" fillId="0" borderId="39" xfId="2" applyFont="1" applyBorder="1"/>
    <xf numFmtId="44" fontId="0" fillId="0" borderId="20" xfId="2" applyFont="1" applyBorder="1"/>
    <xf numFmtId="164" fontId="27" fillId="0" borderId="0" xfId="1" applyNumberFormat="1" applyFont="1" applyFill="1" applyBorder="1"/>
    <xf numFmtId="0" fontId="92" fillId="0" borderId="0" xfId="0" applyFont="1" applyAlignment="1">
      <alignment vertical="center"/>
    </xf>
    <xf numFmtId="49" fontId="45" fillId="3" borderId="1" xfId="0" applyNumberFormat="1" applyFont="1" applyFill="1" applyBorder="1" applyAlignment="1">
      <alignment horizontal="center"/>
    </xf>
    <xf numFmtId="0" fontId="47" fillId="0" borderId="1" xfId="0" applyFont="1" applyBorder="1"/>
    <xf numFmtId="0" fontId="47" fillId="4" borderId="1" xfId="0" applyFont="1" applyFill="1" applyBorder="1"/>
    <xf numFmtId="0" fontId="21" fillId="0" borderId="0" xfId="16" applyFont="1" applyFill="1" applyAlignment="1">
      <alignment wrapText="1"/>
    </xf>
    <xf numFmtId="0" fontId="93" fillId="0" borderId="0" xfId="0" applyFont="1" applyAlignment="1">
      <alignment vertical="center"/>
    </xf>
    <xf numFmtId="173" fontId="45" fillId="15" borderId="1" xfId="0" applyNumberFormat="1" applyFont="1" applyFill="1" applyBorder="1"/>
    <xf numFmtId="49" fontId="45" fillId="15" borderId="1" xfId="0" applyNumberFormat="1" applyFont="1" applyFill="1" applyBorder="1"/>
    <xf numFmtId="172" fontId="45" fillId="15" borderId="1" xfId="0" applyNumberFormat="1" applyFont="1" applyFill="1" applyBorder="1" applyAlignment="1">
      <alignment horizontal="center"/>
    </xf>
    <xf numFmtId="173" fontId="46" fillId="16" borderId="26" xfId="0" applyNumberFormat="1" applyFont="1" applyFill="1" applyBorder="1"/>
    <xf numFmtId="0" fontId="46" fillId="16" borderId="26" xfId="0" applyFont="1" applyFill="1" applyBorder="1"/>
    <xf numFmtId="3" fontId="46" fillId="16" borderId="26" xfId="0" applyNumberFormat="1" applyFont="1" applyFill="1" applyBorder="1" applyAlignment="1"/>
    <xf numFmtId="173" fontId="46" fillId="16" borderId="1" xfId="0" applyNumberFormat="1" applyFont="1" applyFill="1" applyBorder="1"/>
    <xf numFmtId="0" fontId="46" fillId="16" borderId="1" xfId="0" applyFont="1" applyFill="1" applyBorder="1"/>
    <xf numFmtId="3" fontId="46" fillId="16" borderId="1" xfId="0" applyNumberFormat="1" applyFont="1" applyFill="1" applyBorder="1" applyAlignment="1"/>
    <xf numFmtId="173" fontId="46" fillId="17" borderId="1" xfId="0" applyNumberFormat="1" applyFont="1" applyFill="1" applyBorder="1"/>
    <xf numFmtId="0" fontId="46" fillId="17" borderId="1" xfId="0" applyFont="1" applyFill="1" applyBorder="1"/>
    <xf numFmtId="174" fontId="46" fillId="17" borderId="1" xfId="0" applyNumberFormat="1" applyFont="1" applyFill="1" applyBorder="1" applyAlignment="1"/>
    <xf numFmtId="4" fontId="0" fillId="0" borderId="0" xfId="0" applyNumberFormat="1" applyFill="1" applyBorder="1"/>
    <xf numFmtId="164" fontId="19" fillId="0" borderId="0" xfId="0" applyNumberFormat="1" applyFont="1"/>
    <xf numFmtId="164" fontId="21" fillId="0" borderId="1" xfId="0" applyNumberFormat="1" applyFont="1" applyBorder="1"/>
    <xf numFmtId="164" fontId="19" fillId="0" borderId="1" xfId="20" applyNumberFormat="1" applyFont="1" applyFill="1" applyBorder="1" applyAlignment="1">
      <alignment horizontal="right"/>
    </xf>
    <xf numFmtId="0" fontId="21" fillId="0" borderId="1" xfId="11" applyFont="1" applyBorder="1"/>
    <xf numFmtId="17" fontId="12" fillId="0" borderId="35" xfId="17" applyNumberFormat="1" applyFont="1" applyBorder="1"/>
    <xf numFmtId="17" fontId="12" fillId="0" borderId="36" xfId="17" applyNumberFormat="1" applyFont="1" applyBorder="1"/>
    <xf numFmtId="0" fontId="13" fillId="0" borderId="37" xfId="17" applyBorder="1" applyAlignment="1">
      <alignment horizontal="left" indent="2"/>
    </xf>
    <xf numFmtId="17" fontId="13" fillId="0" borderId="3" xfId="17" applyNumberFormat="1" applyBorder="1" applyAlignment="1">
      <alignment horizontal="left" indent="2"/>
    </xf>
    <xf numFmtId="0" fontId="13" fillId="0" borderId="3" xfId="17" applyBorder="1" applyAlignment="1">
      <alignment horizontal="left" indent="2"/>
    </xf>
    <xf numFmtId="17" fontId="13" fillId="0" borderId="17" xfId="17" applyNumberFormat="1" applyBorder="1" applyAlignment="1">
      <alignment horizontal="left" indent="2"/>
    </xf>
    <xf numFmtId="41" fontId="13" fillId="0" borderId="35" xfId="17" applyNumberFormat="1" applyBorder="1"/>
    <xf numFmtId="41" fontId="13" fillId="0" borderId="36" xfId="17" applyNumberFormat="1" applyBorder="1"/>
    <xf numFmtId="0" fontId="13" fillId="0" borderId="40" xfId="17" applyBorder="1" applyAlignment="1">
      <alignment horizontal="left" indent="2"/>
    </xf>
    <xf numFmtId="41" fontId="13" fillId="0" borderId="41" xfId="17" applyNumberFormat="1" applyBorder="1"/>
    <xf numFmtId="41" fontId="13" fillId="0" borderId="42" xfId="17" applyNumberFormat="1" applyBorder="1"/>
    <xf numFmtId="0" fontId="13" fillId="0" borderId="37" xfId="17" applyBorder="1" applyAlignment="1">
      <alignment horizontal="left" vertical="top" indent="2"/>
    </xf>
    <xf numFmtId="17" fontId="13" fillId="0" borderId="3" xfId="17" applyNumberFormat="1" applyBorder="1" applyAlignment="1">
      <alignment horizontal="left" vertical="top" indent="2"/>
    </xf>
    <xf numFmtId="0" fontId="13" fillId="0" borderId="3" xfId="17" applyBorder="1" applyAlignment="1">
      <alignment horizontal="left" vertical="top" indent="2"/>
    </xf>
    <xf numFmtId="17" fontId="13" fillId="0" borderId="17" xfId="17" applyNumberFormat="1" applyBorder="1" applyAlignment="1">
      <alignment horizontal="left" vertical="top" indent="2"/>
    </xf>
    <xf numFmtId="0" fontId="13" fillId="0" borderId="40" xfId="17" applyBorder="1" applyAlignment="1">
      <alignment horizontal="left" vertical="top" indent="2"/>
    </xf>
    <xf numFmtId="0" fontId="43" fillId="0" borderId="0" xfId="0" applyFont="1" applyFill="1" applyAlignment="1">
      <alignment wrapText="1"/>
    </xf>
    <xf numFmtId="174" fontId="46" fillId="0" borderId="1" xfId="22" applyNumberFormat="1" applyFont="1" applyFill="1" applyBorder="1" applyAlignment="1"/>
    <xf numFmtId="186" fontId="45" fillId="0" borderId="0" xfId="0" applyNumberFormat="1" applyFont="1" applyBorder="1"/>
    <xf numFmtId="186" fontId="0" fillId="0" borderId="0" xfId="0" applyNumberFormat="1"/>
    <xf numFmtId="3" fontId="57" fillId="0" borderId="1" xfId="0" applyNumberFormat="1" applyFont="1" applyBorder="1"/>
    <xf numFmtId="3" fontId="47" fillId="5" borderId="1" xfId="0" applyNumberFormat="1" applyFont="1" applyFill="1" applyBorder="1" applyAlignment="1">
      <alignment horizontal="center"/>
    </xf>
    <xf numFmtId="173" fontId="47" fillId="0" borderId="1" xfId="0" applyNumberFormat="1" applyFont="1" applyBorder="1"/>
    <xf numFmtId="0" fontId="94" fillId="0" borderId="1" xfId="0" applyFont="1" applyBorder="1"/>
    <xf numFmtId="173" fontId="0" fillId="0" borderId="0" xfId="0" applyNumberFormat="1"/>
    <xf numFmtId="175" fontId="46" fillId="0" borderId="1" xfId="0" applyNumberFormat="1" applyFont="1" applyFill="1" applyBorder="1" applyAlignment="1"/>
    <xf numFmtId="175" fontId="95" fillId="0" borderId="1" xfId="0" applyNumberFormat="1" applyFont="1" applyFill="1" applyBorder="1" applyAlignment="1"/>
    <xf numFmtId="175" fontId="57" fillId="0" borderId="1" xfId="0" applyNumberFormat="1" applyFont="1" applyBorder="1"/>
    <xf numFmtId="175" fontId="46" fillId="0" borderId="1" xfId="0" applyNumberFormat="1" applyFont="1" applyBorder="1"/>
    <xf numFmtId="175" fontId="46" fillId="5" borderId="1" xfId="0" applyNumberFormat="1" applyFont="1" applyFill="1" applyBorder="1" applyAlignment="1">
      <alignment horizontal="center"/>
    </xf>
    <xf numFmtId="174" fontId="46" fillId="0" borderId="1" xfId="0" applyNumberFormat="1" applyFont="1" applyFill="1" applyBorder="1"/>
    <xf numFmtId="174" fontId="45" fillId="0" borderId="1" xfId="0" applyNumberFormat="1" applyFont="1" applyFill="1" applyBorder="1"/>
    <xf numFmtId="166" fontId="21" fillId="0" borderId="0" xfId="1" applyNumberFormat="1" applyFont="1" applyFill="1" applyBorder="1" applyAlignment="1">
      <alignment horizontal="center"/>
    </xf>
    <xf numFmtId="3" fontId="46" fillId="18" borderId="1" xfId="0" applyNumberFormat="1" applyFont="1" applyFill="1" applyBorder="1" applyAlignment="1"/>
    <xf numFmtId="3" fontId="45" fillId="0" borderId="1" xfId="0" applyNumberFormat="1" applyFont="1" applyFill="1" applyBorder="1" applyAlignment="1"/>
    <xf numFmtId="3" fontId="47" fillId="18" borderId="1" xfId="0" applyNumberFormat="1" applyFont="1" applyFill="1" applyBorder="1"/>
    <xf numFmtId="3" fontId="94" fillId="0" borderId="1" xfId="0" applyNumberFormat="1" applyFont="1" applyBorder="1"/>
    <xf numFmtId="3" fontId="46" fillId="19" borderId="1" xfId="0" applyNumberFormat="1" applyFont="1" applyFill="1" applyBorder="1"/>
    <xf numFmtId="3" fontId="46" fillId="0" borderId="1" xfId="0" applyNumberFormat="1" applyFont="1" applyBorder="1"/>
    <xf numFmtId="3" fontId="45" fillId="0" borderId="1" xfId="0" applyNumberFormat="1" applyFont="1" applyBorder="1"/>
    <xf numFmtId="3" fontId="46" fillId="0" borderId="0" xfId="0" applyNumberFormat="1" applyFont="1"/>
    <xf numFmtId="4" fontId="46" fillId="18" borderId="1" xfId="0" applyNumberFormat="1" applyFont="1" applyFill="1" applyBorder="1" applyAlignment="1"/>
    <xf numFmtId="175" fontId="45" fillId="0" borderId="1" xfId="0" applyNumberFormat="1" applyFont="1" applyFill="1" applyBorder="1" applyAlignment="1"/>
    <xf numFmtId="4" fontId="46" fillId="18" borderId="1" xfId="0" applyNumberFormat="1" applyFont="1" applyFill="1" applyBorder="1"/>
    <xf numFmtId="175" fontId="46" fillId="0" borderId="1" xfId="0" applyNumberFormat="1" applyFont="1" applyFill="1" applyBorder="1"/>
    <xf numFmtId="175" fontId="45" fillId="0" borderId="1" xfId="0" applyNumberFormat="1" applyFont="1" applyBorder="1"/>
    <xf numFmtId="175" fontId="46" fillId="19" borderId="1" xfId="0" applyNumberFormat="1" applyFont="1" applyFill="1" applyBorder="1"/>
    <xf numFmtId="175" fontId="45" fillId="0" borderId="1" xfId="0" applyNumberFormat="1" applyFont="1" applyFill="1" applyBorder="1"/>
    <xf numFmtId="175" fontId="79" fillId="0" borderId="0" xfId="0" applyNumberFormat="1" applyFont="1"/>
    <xf numFmtId="3" fontId="46" fillId="0" borderId="0" xfId="0" applyNumberFormat="1" applyFont="1" applyFill="1" applyBorder="1"/>
    <xf numFmtId="174" fontId="46" fillId="0" borderId="0" xfId="0" applyNumberFormat="1" applyFont="1" applyFill="1" applyBorder="1"/>
    <xf numFmtId="174" fontId="45" fillId="0" borderId="0" xfId="0" applyNumberFormat="1" applyFont="1" applyFill="1" applyBorder="1"/>
    <xf numFmtId="3" fontId="47" fillId="0" borderId="1" xfId="0" applyNumberFormat="1" applyFont="1" applyFill="1" applyBorder="1"/>
    <xf numFmtId="173" fontId="90" fillId="0" borderId="1" xfId="0" applyNumberFormat="1" applyFont="1" applyBorder="1"/>
    <xf numFmtId="0" fontId="90" fillId="19" borderId="1" xfId="0" applyFont="1" applyFill="1" applyBorder="1"/>
    <xf numFmtId="187" fontId="0" fillId="0" borderId="0" xfId="0" applyNumberFormat="1"/>
    <xf numFmtId="174" fontId="46" fillId="19" borderId="1" xfId="0" applyNumberFormat="1" applyFont="1" applyFill="1" applyBorder="1"/>
    <xf numFmtId="169" fontId="32" fillId="0" borderId="0" xfId="0" applyNumberFormat="1" applyFont="1" applyFill="1" applyBorder="1" applyAlignment="1">
      <alignment horizontal="center" wrapText="1"/>
    </xf>
    <xf numFmtId="0" fontId="21" fillId="0" borderId="0" xfId="0" applyFont="1" applyFill="1" applyAlignment="1">
      <alignment horizontal="center" wrapText="1"/>
    </xf>
    <xf numFmtId="0" fontId="40" fillId="0" borderId="0" xfId="0" applyFont="1" applyFill="1" applyBorder="1" applyAlignment="1">
      <alignment horizontal="center" wrapText="1"/>
    </xf>
    <xf numFmtId="0" fontId="96" fillId="0" borderId="0" xfId="0" applyFont="1" applyAlignment="1">
      <alignment horizontal="center" vertical="center"/>
    </xf>
    <xf numFmtId="1" fontId="0" fillId="0" borderId="0" xfId="0" applyNumberFormat="1" applyFill="1" applyBorder="1"/>
    <xf numFmtId="0" fontId="96" fillId="0" borderId="0" xfId="0" applyFont="1" applyFill="1" applyAlignment="1">
      <alignment horizontal="center" vertical="center"/>
    </xf>
    <xf numFmtId="0" fontId="22" fillId="0" borderId="6" xfId="0" applyFont="1" applyFill="1" applyBorder="1" applyAlignment="1">
      <alignment horizontal="center" wrapText="1"/>
    </xf>
    <xf numFmtId="0" fontId="22" fillId="0" borderId="7" xfId="0" applyFont="1" applyFill="1" applyBorder="1" applyAlignment="1">
      <alignment horizontal="center" wrapText="1"/>
    </xf>
    <xf numFmtId="164" fontId="21" fillId="0" borderId="9" xfId="0" applyNumberFormat="1" applyFont="1" applyFill="1" applyBorder="1"/>
    <xf numFmtId="164" fontId="21" fillId="0" borderId="9" xfId="1" applyNumberFormat="1" applyFont="1" applyFill="1" applyBorder="1" applyAlignment="1">
      <alignment wrapText="1"/>
    </xf>
    <xf numFmtId="164" fontId="21" fillId="0" borderId="7" xfId="1" applyNumberFormat="1" applyFont="1" applyFill="1" applyBorder="1"/>
    <xf numFmtId="164" fontId="21" fillId="0" borderId="9" xfId="1" applyNumberFormat="1" applyFont="1" applyFill="1" applyBorder="1" applyAlignment="1">
      <alignment horizontal="center"/>
    </xf>
    <xf numFmtId="1" fontId="21" fillId="0" borderId="9" xfId="1" applyNumberFormat="1" applyFont="1" applyFill="1" applyBorder="1"/>
    <xf numFmtId="1" fontId="21" fillId="0" borderId="9" xfId="0" applyNumberFormat="1" applyFont="1" applyFill="1" applyBorder="1" applyAlignment="1">
      <alignment horizontal="right"/>
    </xf>
    <xf numFmtId="9" fontId="21" fillId="0" borderId="9" xfId="3" applyFont="1" applyFill="1" applyBorder="1" applyAlignment="1">
      <alignment horizontal="right"/>
    </xf>
    <xf numFmtId="164" fontId="21" fillId="0" borderId="9" xfId="3" applyNumberFormat="1" applyFont="1" applyFill="1" applyBorder="1" applyAlignment="1">
      <alignment horizontal="right"/>
    </xf>
    <xf numFmtId="0" fontId="21" fillId="0" borderId="10" xfId="0" applyFont="1" applyFill="1" applyBorder="1" applyAlignment="1">
      <alignment horizontal="center" wrapText="1"/>
    </xf>
    <xf numFmtId="0" fontId="97" fillId="0" borderId="0" xfId="16" applyFont="1" applyFill="1" applyBorder="1" applyAlignment="1">
      <alignment horizontal="center" wrapText="1"/>
    </xf>
    <xf numFmtId="43" fontId="21" fillId="0" borderId="0" xfId="1" applyNumberFormat="1" applyFont="1" applyFill="1" applyBorder="1" applyAlignment="1">
      <alignment horizontal="center"/>
    </xf>
    <xf numFmtId="0" fontId="21" fillId="2" borderId="0" xfId="0" applyFont="1" applyFill="1" applyBorder="1" applyAlignment="1">
      <alignment horizontal="center" wrapText="1"/>
    </xf>
    <xf numFmtId="0" fontId="21" fillId="2" borderId="0" xfId="0" applyFont="1" applyFill="1" applyBorder="1" applyAlignment="1">
      <alignment horizontal="center"/>
    </xf>
    <xf numFmtId="169" fontId="21" fillId="2" borderId="0" xfId="0" applyNumberFormat="1" applyFont="1" applyFill="1" applyBorder="1" applyAlignment="1">
      <alignment horizontal="center"/>
    </xf>
    <xf numFmtId="169" fontId="21" fillId="2" borderId="0" xfId="0" applyNumberFormat="1" applyFont="1" applyFill="1" applyBorder="1" applyAlignment="1">
      <alignment horizontal="center" wrapText="1"/>
    </xf>
    <xf numFmtId="0" fontId="21" fillId="2" borderId="0" xfId="0" applyFont="1" applyFill="1" applyBorder="1" applyAlignment="1">
      <alignment wrapText="1"/>
    </xf>
    <xf numFmtId="164" fontId="21" fillId="2" borderId="0" xfId="1" applyNumberFormat="1" applyFont="1" applyFill="1" applyBorder="1"/>
    <xf numFmtId="1" fontId="21" fillId="2" borderId="0" xfId="0" applyNumberFormat="1" applyFont="1" applyFill="1" applyBorder="1"/>
    <xf numFmtId="9" fontId="21" fillId="2" borderId="0" xfId="3" applyFont="1" applyFill="1" applyBorder="1"/>
    <xf numFmtId="164" fontId="21" fillId="2" borderId="0" xfId="1" applyNumberFormat="1" applyFont="1" applyFill="1" applyBorder="1" applyAlignment="1">
      <alignment horizontal="center"/>
    </xf>
    <xf numFmtId="165" fontId="21" fillId="2" borderId="0" xfId="2" applyNumberFormat="1" applyFont="1" applyFill="1" applyBorder="1"/>
    <xf numFmtId="2" fontId="21" fillId="2" borderId="0" xfId="0" applyNumberFormat="1" applyFont="1" applyFill="1" applyBorder="1"/>
    <xf numFmtId="164" fontId="21" fillId="2" borderId="0" xfId="0" applyNumberFormat="1" applyFont="1" applyFill="1" applyBorder="1"/>
    <xf numFmtId="164" fontId="97" fillId="0" borderId="0" xfId="16" applyNumberFormat="1" applyFont="1" applyFill="1" applyBorder="1" applyAlignment="1">
      <alignment horizontal="center" wrapText="1"/>
    </xf>
    <xf numFmtId="0" fontId="52" fillId="0" borderId="0" xfId="0" applyFont="1" applyAlignment="1">
      <alignment horizontal="center"/>
    </xf>
    <xf numFmtId="173" fontId="52" fillId="0" borderId="0" xfId="0" applyNumberFormat="1" applyFont="1" applyFill="1" applyBorder="1"/>
    <xf numFmtId="169" fontId="33" fillId="2" borderId="0" xfId="0" applyNumberFormat="1" applyFont="1" applyFill="1" applyBorder="1" applyAlignment="1">
      <alignment horizontal="center" wrapText="1"/>
    </xf>
    <xf numFmtId="0" fontId="21" fillId="2" borderId="0" xfId="0" applyFont="1" applyFill="1" applyBorder="1" applyAlignment="1"/>
    <xf numFmtId="165" fontId="33" fillId="2" borderId="0" xfId="2" applyNumberFormat="1" applyFont="1" applyFill="1"/>
    <xf numFmtId="0" fontId="22" fillId="2" borderId="0" xfId="0" applyFont="1" applyFill="1" applyBorder="1" applyAlignment="1">
      <alignment horizontal="center" vertical="center" wrapText="1"/>
    </xf>
    <xf numFmtId="166" fontId="21" fillId="2" borderId="0" xfId="0" applyNumberFormat="1" applyFont="1" applyFill="1" applyBorder="1"/>
    <xf numFmtId="0" fontId="43" fillId="0" borderId="0" xfId="0" applyFont="1" applyFill="1" applyBorder="1" applyAlignment="1">
      <alignment wrapText="1"/>
    </xf>
    <xf numFmtId="0" fontId="42" fillId="0" borderId="6" xfId="0" applyFont="1" applyFill="1" applyBorder="1" applyAlignment="1">
      <alignment wrapText="1"/>
    </xf>
    <xf numFmtId="165" fontId="33" fillId="0" borderId="9" xfId="2" applyNumberFormat="1" applyFont="1" applyFill="1" applyBorder="1"/>
    <xf numFmtId="165" fontId="21" fillId="0" borderId="10" xfId="2" applyNumberFormat="1" applyFont="1" applyFill="1" applyBorder="1"/>
    <xf numFmtId="165" fontId="37" fillId="0" borderId="7" xfId="2" applyNumberFormat="1" applyFont="1" applyFill="1" applyBorder="1"/>
    <xf numFmtId="171" fontId="22" fillId="0" borderId="0" xfId="0" applyNumberFormat="1" applyFont="1" applyFill="1" applyBorder="1" applyAlignment="1">
      <alignment horizontal="center" vertical="center"/>
    </xf>
    <xf numFmtId="0" fontId="97" fillId="0" borderId="0" xfId="16" applyFont="1" applyFill="1" applyAlignment="1">
      <alignment horizontal="center" wrapText="1"/>
    </xf>
    <xf numFmtId="165" fontId="34" fillId="0" borderId="0" xfId="2" applyNumberFormat="1" applyFont="1" applyFill="1"/>
    <xf numFmtId="165" fontId="36" fillId="0" borderId="0" xfId="2" applyNumberFormat="1" applyFont="1" applyFill="1" applyBorder="1"/>
    <xf numFmtId="165" fontId="36" fillId="0" borderId="9" xfId="2" applyNumberFormat="1" applyFont="1" applyFill="1" applyBorder="1"/>
    <xf numFmtId="165" fontId="0" fillId="0" borderId="0" xfId="2" applyNumberFormat="1" applyFont="1" applyFill="1" applyBorder="1"/>
    <xf numFmtId="164" fontId="21" fillId="0" borderId="9" xfId="1" applyNumberFormat="1" applyFont="1" applyFill="1" applyBorder="1"/>
    <xf numFmtId="9" fontId="21" fillId="0" borderId="9" xfId="3" applyFont="1" applyFill="1" applyBorder="1"/>
    <xf numFmtId="164" fontId="21" fillId="0" borderId="9" xfId="3" applyNumberFormat="1" applyFont="1" applyFill="1" applyBorder="1"/>
    <xf numFmtId="0" fontId="40" fillId="0" borderId="6" xfId="0" applyFont="1" applyFill="1" applyBorder="1" applyAlignment="1">
      <alignment wrapText="1"/>
    </xf>
    <xf numFmtId="165" fontId="33" fillId="0" borderId="0" xfId="2" applyNumberFormat="1" applyFont="1" applyBorder="1"/>
    <xf numFmtId="165" fontId="34" fillId="0" borderId="7" xfId="2" applyNumberFormat="1" applyFont="1" applyFill="1" applyBorder="1" applyAlignment="1">
      <alignment horizontal="center"/>
    </xf>
    <xf numFmtId="3" fontId="52" fillId="0" borderId="1" xfId="0" applyNumberFormat="1" applyFont="1" applyFill="1" applyBorder="1" applyAlignment="1"/>
    <xf numFmtId="44" fontId="53" fillId="0" borderId="0" xfId="2" applyFont="1"/>
    <xf numFmtId="44" fontId="53" fillId="0" borderId="1" xfId="2" applyFont="1" applyBorder="1" applyAlignment="1">
      <alignment horizontal="right"/>
    </xf>
    <xf numFmtId="44" fontId="19" fillId="0" borderId="1" xfId="2" applyFont="1" applyFill="1" applyBorder="1" applyAlignment="1"/>
    <xf numFmtId="44" fontId="52" fillId="0" borderId="1" xfId="2" applyFont="1" applyFill="1" applyBorder="1" applyAlignment="1"/>
    <xf numFmtId="3" fontId="99" fillId="0" borderId="1" xfId="0" applyNumberFormat="1" applyFont="1" applyBorder="1"/>
    <xf numFmtId="44" fontId="99" fillId="0" borderId="0" xfId="2" applyFont="1"/>
    <xf numFmtId="0" fontId="53" fillId="0" borderId="0" xfId="0" applyFont="1" applyBorder="1" applyAlignment="1">
      <alignment horizontal="right"/>
    </xf>
    <xf numFmtId="174" fontId="0" fillId="0" borderId="0" xfId="0" applyNumberFormat="1"/>
    <xf numFmtId="0" fontId="57" fillId="0" borderId="25" xfId="10"/>
    <xf numFmtId="175" fontId="57" fillId="0" borderId="25" xfId="10" applyNumberFormat="1"/>
    <xf numFmtId="37" fontId="0" fillId="0" borderId="0" xfId="25" applyNumberFormat="1" applyFont="1"/>
    <xf numFmtId="175" fontId="0" fillId="0" borderId="0" xfId="25" applyNumberFormat="1" applyFont="1"/>
    <xf numFmtId="14" fontId="21" fillId="0" borderId="0" xfId="3" applyNumberFormat="1" applyFont="1" applyFill="1" applyBorder="1" applyAlignment="1">
      <alignment horizontal="center"/>
    </xf>
    <xf numFmtId="188" fontId="0" fillId="0" borderId="0" xfId="0" applyNumberFormat="1"/>
    <xf numFmtId="0" fontId="85" fillId="0" borderId="0" xfId="16" applyFill="1" applyBorder="1" applyAlignment="1">
      <alignment horizontal="center" wrapText="1"/>
    </xf>
    <xf numFmtId="165" fontId="52" fillId="0" borderId="0" xfId="2" applyNumberFormat="1" applyFont="1"/>
    <xf numFmtId="188" fontId="0" fillId="0" borderId="0" xfId="2" applyNumberFormat="1" applyFont="1"/>
    <xf numFmtId="189" fontId="0" fillId="0" borderId="0" xfId="1" applyNumberFormat="1" applyFont="1"/>
    <xf numFmtId="164" fontId="0" fillId="0" borderId="0" xfId="1" applyNumberFormat="1" applyFont="1"/>
    <xf numFmtId="164" fontId="53" fillId="0" borderId="2" xfId="1" applyNumberFormat="1" applyFont="1" applyBorder="1"/>
    <xf numFmtId="0" fontId="9" fillId="0" borderId="0" xfId="26"/>
    <xf numFmtId="0" fontId="57" fillId="0" borderId="0" xfId="26" applyFont="1" applyAlignment="1">
      <alignment vertical="center"/>
    </xf>
    <xf numFmtId="49" fontId="45" fillId="3" borderId="1" xfId="26" applyNumberFormat="1" applyFont="1" applyFill="1" applyBorder="1"/>
    <xf numFmtId="172" fontId="45" fillId="3" borderId="1" xfId="26" applyNumberFormat="1" applyFont="1" applyFill="1" applyBorder="1" applyAlignment="1">
      <alignment horizontal="center"/>
    </xf>
    <xf numFmtId="173" fontId="46" fillId="0" borderId="1" xfId="26" applyNumberFormat="1" applyFont="1" applyBorder="1"/>
    <xf numFmtId="3" fontId="46" fillId="0" borderId="1" xfId="26" applyNumberFormat="1" applyFont="1" applyFill="1" applyBorder="1" applyAlignment="1"/>
    <xf numFmtId="3" fontId="47" fillId="0" borderId="1" xfId="26" applyNumberFormat="1" applyFont="1" applyBorder="1"/>
    <xf numFmtId="4" fontId="46" fillId="0" borderId="1" xfId="26" applyNumberFormat="1" applyFont="1" applyFill="1" applyBorder="1" applyAlignment="1"/>
    <xf numFmtId="0" fontId="46" fillId="0" borderId="1" xfId="26" applyFont="1" applyBorder="1"/>
    <xf numFmtId="4" fontId="46" fillId="0" borderId="1" xfId="26" applyNumberFormat="1" applyFont="1" applyBorder="1"/>
    <xf numFmtId="43" fontId="9" fillId="0" borderId="1" xfId="27" applyFont="1" applyBorder="1"/>
    <xf numFmtId="43" fontId="9" fillId="0" borderId="0" xfId="27" applyFont="1" applyFill="1" applyBorder="1"/>
    <xf numFmtId="43" fontId="46" fillId="0" borderId="1" xfId="27" applyFont="1" applyFill="1" applyBorder="1" applyAlignment="1"/>
    <xf numFmtId="0" fontId="46" fillId="0" borderId="0" xfId="26" applyFont="1" applyBorder="1"/>
    <xf numFmtId="4" fontId="46" fillId="0" borderId="0" xfId="26" applyNumberFormat="1" applyFont="1" applyBorder="1"/>
    <xf numFmtId="43" fontId="9" fillId="0" borderId="0" xfId="27" applyFont="1" applyBorder="1"/>
    <xf numFmtId="164" fontId="30" fillId="0" borderId="0" xfId="1" applyNumberFormat="1" applyFont="1" applyBorder="1"/>
    <xf numFmtId="14" fontId="21" fillId="0" borderId="0" xfId="1" applyNumberFormat="1" applyFont="1" applyFill="1" applyBorder="1" applyAlignment="1">
      <alignment horizontal="center"/>
    </xf>
    <xf numFmtId="0" fontId="100" fillId="0" borderId="0" xfId="0" applyFont="1" applyAlignment="1">
      <alignment horizontal="center"/>
    </xf>
    <xf numFmtId="0" fontId="57" fillId="2" borderId="1" xfId="0" applyFont="1" applyFill="1" applyBorder="1" applyAlignment="1">
      <alignment horizontal="right"/>
    </xf>
    <xf numFmtId="0" fontId="57" fillId="2" borderId="1" xfId="0" applyFont="1" applyFill="1" applyBorder="1"/>
    <xf numFmtId="0" fontId="0" fillId="2" borderId="1" xfId="0" applyFill="1" applyBorder="1"/>
    <xf numFmtId="0" fontId="57" fillId="2" borderId="1" xfId="0" applyFont="1" applyFill="1" applyBorder="1" applyAlignment="1">
      <alignment horizontal="center"/>
    </xf>
    <xf numFmtId="0" fontId="0" fillId="0" borderId="1" xfId="0" applyBorder="1" applyAlignment="1">
      <alignment horizontal="center"/>
    </xf>
    <xf numFmtId="0" fontId="101" fillId="10" borderId="1" xfId="0" applyFont="1" applyFill="1" applyBorder="1" applyAlignment="1">
      <alignment wrapText="1"/>
    </xf>
    <xf numFmtId="37" fontId="101" fillId="0" borderId="1" xfId="0" applyNumberFormat="1" applyFont="1" applyBorder="1" applyAlignment="1">
      <alignment horizontal="center"/>
    </xf>
    <xf numFmtId="0" fontId="101" fillId="0" borderId="1" xfId="0" applyFont="1" applyBorder="1" applyAlignment="1">
      <alignment horizontal="center"/>
    </xf>
    <xf numFmtId="0" fontId="101" fillId="0" borderId="1" xfId="0" applyNumberFormat="1" applyFont="1" applyBorder="1" applyAlignment="1">
      <alignment horizontal="center"/>
    </xf>
    <xf numFmtId="0" fontId="101" fillId="0" borderId="1" xfId="0" applyNumberFormat="1" applyFont="1" applyBorder="1" applyAlignment="1"/>
    <xf numFmtId="0" fontId="64" fillId="10" borderId="1" xfId="0" applyNumberFormat="1" applyFont="1" applyFill="1" applyBorder="1" applyAlignment="1">
      <alignment horizontal="center"/>
    </xf>
    <xf numFmtId="0" fontId="101" fillId="0" borderId="1" xfId="0" applyNumberFormat="1" applyFont="1" applyFill="1" applyBorder="1" applyAlignment="1">
      <alignment horizontal="center"/>
    </xf>
    <xf numFmtId="0" fontId="101" fillId="0" borderId="1" xfId="0" applyNumberFormat="1" applyFont="1" applyBorder="1"/>
    <xf numFmtId="0" fontId="101" fillId="0" borderId="1" xfId="0" applyFont="1" applyFill="1" applyBorder="1" applyAlignment="1">
      <alignment wrapText="1"/>
    </xf>
    <xf numFmtId="1" fontId="101" fillId="0" borderId="1" xfId="0" applyNumberFormat="1" applyFont="1" applyBorder="1"/>
    <xf numFmtId="1" fontId="101" fillId="0" borderId="1" xfId="0" applyNumberFormat="1" applyFont="1" applyBorder="1" applyAlignment="1"/>
    <xf numFmtId="1" fontId="101" fillId="0" borderId="1" xfId="0" applyNumberFormat="1" applyFont="1" applyFill="1" applyBorder="1"/>
    <xf numFmtId="1" fontId="101" fillId="10" borderId="1" xfId="0" applyNumberFormat="1" applyFont="1" applyFill="1" applyBorder="1"/>
    <xf numFmtId="0" fontId="101" fillId="0" borderId="1" xfId="0" applyFont="1" applyBorder="1"/>
    <xf numFmtId="0" fontId="101" fillId="0" borderId="1" xfId="0" applyNumberFormat="1" applyFont="1" applyFill="1" applyBorder="1"/>
    <xf numFmtId="44" fontId="101" fillId="0" borderId="1" xfId="0" applyNumberFormat="1" applyFont="1" applyBorder="1"/>
    <xf numFmtId="44" fontId="101" fillId="0" borderId="1" xfId="0" applyNumberFormat="1" applyFont="1" applyFill="1" applyBorder="1"/>
    <xf numFmtId="44" fontId="101" fillId="10" borderId="1" xfId="0" applyNumberFormat="1" applyFont="1" applyFill="1" applyBorder="1"/>
    <xf numFmtId="0" fontId="49" fillId="8" borderId="1" xfId="0" applyFont="1" applyFill="1" applyBorder="1" applyAlignment="1">
      <alignment wrapText="1"/>
    </xf>
    <xf numFmtId="8" fontId="49" fillId="0" borderId="1" xfId="0" applyNumberFormat="1" applyFont="1" applyBorder="1"/>
    <xf numFmtId="43" fontId="102" fillId="8" borderId="1" xfId="0" applyNumberFormat="1" applyFont="1" applyFill="1" applyBorder="1" applyAlignment="1">
      <alignment horizontal="center"/>
    </xf>
    <xf numFmtId="43" fontId="49" fillId="0" borderId="1" xfId="0" applyNumberFormat="1" applyFont="1" applyBorder="1"/>
    <xf numFmtId="8" fontId="49" fillId="0" borderId="1" xfId="0" applyNumberFormat="1" applyFont="1" applyFill="1" applyBorder="1"/>
    <xf numFmtId="0" fontId="49" fillId="4" borderId="1" xfId="0" applyFont="1" applyFill="1" applyBorder="1" applyAlignment="1">
      <alignment wrapText="1"/>
    </xf>
    <xf numFmtId="1" fontId="49" fillId="4" borderId="1" xfId="0" applyNumberFormat="1" applyFont="1" applyFill="1" applyBorder="1"/>
    <xf numFmtId="1" fontId="49" fillId="8" borderId="1" xfId="0" applyNumberFormat="1" applyFont="1" applyFill="1" applyBorder="1"/>
    <xf numFmtId="8" fontId="49" fillId="4" borderId="1" xfId="0" applyNumberFormat="1" applyFont="1" applyFill="1" applyBorder="1"/>
    <xf numFmtId="44" fontId="49" fillId="4" borderId="1" xfId="0" applyNumberFormat="1" applyFont="1" applyFill="1" applyBorder="1"/>
    <xf numFmtId="44" fontId="49" fillId="8" borderId="1" xfId="0" applyNumberFormat="1" applyFont="1" applyFill="1" applyBorder="1"/>
    <xf numFmtId="0" fontId="101" fillId="20" borderId="1" xfId="0" applyFont="1" applyFill="1" applyBorder="1" applyAlignment="1">
      <alignment wrapText="1"/>
    </xf>
    <xf numFmtId="0" fontId="92" fillId="20" borderId="1" xfId="0" applyFont="1" applyFill="1" applyBorder="1"/>
    <xf numFmtId="0" fontId="48" fillId="0" borderId="1" xfId="0" applyFont="1" applyBorder="1" applyAlignment="1">
      <alignment horizontal="center"/>
    </xf>
    <xf numFmtId="0" fontId="48" fillId="0" borderId="1" xfId="0" applyFont="1" applyFill="1" applyBorder="1" applyAlignment="1">
      <alignment horizontal="center"/>
    </xf>
    <xf numFmtId="0" fontId="48" fillId="0" borderId="1" xfId="0" applyFont="1" applyBorder="1" applyAlignment="1">
      <alignment wrapText="1"/>
    </xf>
    <xf numFmtId="0" fontId="48" fillId="0" borderId="1" xfId="0" applyFont="1" applyFill="1" applyBorder="1"/>
    <xf numFmtId="0" fontId="48" fillId="20" borderId="1" xfId="0" applyNumberFormat="1" applyFont="1" applyFill="1" applyBorder="1"/>
    <xf numFmtId="44" fontId="48" fillId="0" borderId="1" xfId="0" applyNumberFormat="1" applyFont="1" applyBorder="1"/>
    <xf numFmtId="44" fontId="48" fillId="0" borderId="1" xfId="0" applyNumberFormat="1" applyFont="1" applyFill="1" applyBorder="1"/>
    <xf numFmtId="44" fontId="48" fillId="20" borderId="1" xfId="0" applyNumberFormat="1" applyFont="1" applyFill="1" applyBorder="1"/>
    <xf numFmtId="0" fontId="100" fillId="0" borderId="0" xfId="0" applyFont="1" applyAlignment="1">
      <alignment horizontal="center"/>
    </xf>
    <xf numFmtId="0" fontId="65" fillId="0" borderId="0" xfId="21" applyFont="1"/>
    <xf numFmtId="0" fontId="12" fillId="0" borderId="0" xfId="21"/>
    <xf numFmtId="17" fontId="74" fillId="5" borderId="2" xfId="21" applyNumberFormat="1" applyFont="1" applyFill="1" applyBorder="1"/>
    <xf numFmtId="185" fontId="74" fillId="5" borderId="24" xfId="21" applyNumberFormat="1" applyFont="1" applyFill="1" applyBorder="1" applyAlignment="1">
      <alignment horizontal="center"/>
    </xf>
    <xf numFmtId="17" fontId="57" fillId="0" borderId="17" xfId="21" applyNumberFormat="1" applyFont="1" applyBorder="1" applyAlignment="1">
      <alignment horizontal="left" indent="1"/>
    </xf>
    <xf numFmtId="17" fontId="8" fillId="0" borderId="35" xfId="21" applyNumberFormat="1" applyFont="1" applyBorder="1"/>
    <xf numFmtId="17" fontId="12" fillId="0" borderId="3" xfId="21" applyNumberFormat="1" applyBorder="1"/>
    <xf numFmtId="17" fontId="12" fillId="0" borderId="0" xfId="21" applyNumberFormat="1" applyBorder="1"/>
    <xf numFmtId="0" fontId="12" fillId="0" borderId="37" xfId="21" applyBorder="1" applyAlignment="1">
      <alignment horizontal="left" indent="2"/>
    </xf>
    <xf numFmtId="41" fontId="12" fillId="0" borderId="23" xfId="21" applyNumberFormat="1" applyBorder="1"/>
    <xf numFmtId="17" fontId="12" fillId="0" borderId="3" xfId="21" applyNumberFormat="1" applyBorder="1" applyAlignment="1">
      <alignment horizontal="left" indent="2"/>
    </xf>
    <xf numFmtId="41" fontId="12" fillId="0" borderId="0" xfId="21" applyNumberFormat="1" applyBorder="1"/>
    <xf numFmtId="0" fontId="12" fillId="0" borderId="3" xfId="21" applyBorder="1" applyAlignment="1">
      <alignment horizontal="left" indent="2"/>
    </xf>
    <xf numFmtId="0" fontId="12" fillId="0" borderId="0" xfId="21" applyBorder="1"/>
    <xf numFmtId="17" fontId="57" fillId="0" borderId="3" xfId="21" applyNumberFormat="1" applyFont="1" applyBorder="1" applyAlignment="1">
      <alignment horizontal="left" indent="1"/>
    </xf>
    <xf numFmtId="17" fontId="8" fillId="0" borderId="0" xfId="21" applyNumberFormat="1" applyFont="1" applyBorder="1"/>
    <xf numFmtId="43" fontId="12" fillId="0" borderId="23" xfId="21" applyNumberFormat="1" applyBorder="1"/>
    <xf numFmtId="43" fontId="12" fillId="0" borderId="0" xfId="21" applyNumberFormat="1" applyBorder="1"/>
    <xf numFmtId="0" fontId="12" fillId="0" borderId="23" xfId="21" applyBorder="1"/>
    <xf numFmtId="165" fontId="53" fillId="0" borderId="0" xfId="2" applyNumberFormat="1" applyFont="1" applyBorder="1" applyAlignment="1"/>
    <xf numFmtId="174" fontId="19" fillId="0" borderId="1" xfId="0" applyNumberFormat="1" applyFont="1" applyFill="1" applyBorder="1" applyAlignment="1"/>
    <xf numFmtId="0" fontId="8" fillId="0" borderId="0" xfId="28"/>
    <xf numFmtId="0" fontId="52" fillId="0" borderId="0" xfId="28" applyFont="1"/>
    <xf numFmtId="49" fontId="52" fillId="5" borderId="1" xfId="28" applyNumberFormat="1" applyFont="1" applyFill="1" applyBorder="1"/>
    <xf numFmtId="172" fontId="52" fillId="5" borderId="1" xfId="28" applyNumberFormat="1" applyFont="1" applyFill="1" applyBorder="1" applyAlignment="1">
      <alignment horizontal="center"/>
    </xf>
    <xf numFmtId="173" fontId="19" fillId="0" borderId="1" xfId="28" applyNumberFormat="1" applyFont="1" applyBorder="1"/>
    <xf numFmtId="3" fontId="19" fillId="0" borderId="1" xfId="28" applyNumberFormat="1" applyFont="1" applyFill="1" applyBorder="1" applyAlignment="1"/>
    <xf numFmtId="3" fontId="53" fillId="0" borderId="1" xfId="28" applyNumberFormat="1" applyFont="1" applyBorder="1" applyAlignment="1">
      <alignment horizontal="right"/>
    </xf>
    <xf numFmtId="0" fontId="53" fillId="0" borderId="1" xfId="28" applyFont="1" applyBorder="1"/>
    <xf numFmtId="3" fontId="53" fillId="0" borderId="1" xfId="28" applyNumberFormat="1" applyFont="1" applyBorder="1"/>
    <xf numFmtId="3" fontId="55" fillId="0" borderId="1" xfId="29" applyNumberFormat="1" applyFont="1" applyFill="1" applyBorder="1"/>
    <xf numFmtId="3" fontId="55" fillId="0" borderId="1" xfId="29" applyNumberFormat="1" applyFont="1" applyFill="1" applyBorder="1" applyAlignment="1">
      <alignment vertical="top"/>
    </xf>
    <xf numFmtId="0" fontId="19" fillId="0" borderId="1" xfId="28" applyFont="1" applyBorder="1"/>
    <xf numFmtId="4" fontId="19" fillId="0" borderId="1" xfId="28" applyNumberFormat="1" applyFont="1" applyFill="1" applyBorder="1"/>
    <xf numFmtId="3" fontId="53" fillId="0" borderId="1" xfId="30" applyNumberFormat="1" applyFont="1" applyBorder="1"/>
    <xf numFmtId="3" fontId="8" fillId="0" borderId="1" xfId="31" applyNumberFormat="1" applyFont="1" applyBorder="1"/>
    <xf numFmtId="174" fontId="19" fillId="0" borderId="1" xfId="28" applyNumberFormat="1" applyFont="1" applyFill="1" applyBorder="1" applyAlignment="1"/>
    <xf numFmtId="49" fontId="22" fillId="5" borderId="1" xfId="0" applyNumberFormat="1" applyFont="1" applyFill="1" applyBorder="1"/>
    <xf numFmtId="172" fontId="22" fillId="5" borderId="2" xfId="0" applyNumberFormat="1" applyFont="1" applyFill="1" applyBorder="1" applyAlignment="1">
      <alignment horizontal="center"/>
    </xf>
    <xf numFmtId="172" fontId="22" fillId="5" borderId="1" xfId="0" applyNumberFormat="1" applyFont="1" applyFill="1" applyBorder="1" applyAlignment="1">
      <alignment horizontal="center"/>
    </xf>
    <xf numFmtId="173" fontId="21" fillId="0" borderId="1" xfId="0" applyNumberFormat="1" applyFont="1" applyBorder="1"/>
    <xf numFmtId="3" fontId="21" fillId="0" borderId="1" xfId="0" applyNumberFormat="1" applyFont="1" applyFill="1" applyBorder="1" applyAlignment="1">
      <alignment horizontal="center"/>
    </xf>
    <xf numFmtId="164" fontId="0" fillId="0" borderId="1" xfId="20" applyNumberFormat="1" applyFont="1" applyBorder="1" applyAlignment="1">
      <alignment horizontal="center"/>
    </xf>
    <xf numFmtId="2" fontId="30" fillId="0" borderId="1" xfId="0" applyNumberFormat="1" applyFont="1" applyBorder="1" applyAlignment="1">
      <alignment horizontal="center"/>
    </xf>
    <xf numFmtId="168" fontId="30" fillId="0" borderId="1" xfId="11" applyNumberFormat="1" applyFont="1" applyFill="1" applyBorder="1" applyAlignment="1">
      <alignment horizontal="center"/>
    </xf>
    <xf numFmtId="168" fontId="27" fillId="0" borderId="1" xfId="11" applyNumberFormat="1" applyFont="1" applyFill="1" applyBorder="1" applyAlignment="1">
      <alignment horizontal="center"/>
    </xf>
    <xf numFmtId="168" fontId="27" fillId="0" borderId="1" xfId="11" applyNumberFormat="1" applyFont="1" applyFill="1" applyBorder="1" applyAlignment="1">
      <alignment horizontal="center" vertical="top"/>
    </xf>
    <xf numFmtId="165" fontId="30" fillId="0" borderId="1" xfId="12" applyNumberFormat="1" applyFont="1" applyBorder="1" applyAlignment="1">
      <alignment horizontal="center"/>
    </xf>
    <xf numFmtId="0" fontId="21" fillId="0" borderId="1" xfId="0" applyFont="1" applyBorder="1"/>
    <xf numFmtId="4" fontId="21" fillId="0" borderId="1" xfId="0" applyNumberFormat="1" applyFont="1" applyFill="1" applyBorder="1"/>
    <xf numFmtId="5" fontId="21" fillId="0" borderId="1" xfId="2" applyNumberFormat="1" applyFont="1" applyBorder="1" applyAlignment="1">
      <alignment horizontal="center"/>
    </xf>
    <xf numFmtId="0" fontId="21" fillId="0" borderId="0" xfId="0" applyFont="1" applyBorder="1"/>
    <xf numFmtId="5" fontId="21" fillId="0" borderId="0" xfId="2" applyNumberFormat="1" applyFont="1" applyBorder="1" applyAlignment="1">
      <alignment horizontal="center"/>
    </xf>
    <xf numFmtId="0" fontId="53" fillId="0" borderId="1" xfId="0" applyFont="1" applyBorder="1" applyAlignment="1">
      <alignment horizontal="center"/>
    </xf>
    <xf numFmtId="164" fontId="53" fillId="0" borderId="1" xfId="0" applyNumberFormat="1" applyFont="1" applyFill="1" applyBorder="1"/>
    <xf numFmtId="3" fontId="53" fillId="0" borderId="1" xfId="0" applyNumberFormat="1" applyFont="1" applyFill="1" applyBorder="1"/>
    <xf numFmtId="165" fontId="53" fillId="0" borderId="1" xfId="0" applyNumberFormat="1" applyFont="1" applyFill="1" applyBorder="1" applyAlignment="1">
      <alignment horizontal="right"/>
    </xf>
    <xf numFmtId="165" fontId="54" fillId="0" borderId="1" xfId="0" applyNumberFormat="1" applyFont="1" applyFill="1" applyBorder="1" applyAlignment="1">
      <alignment horizontal="right"/>
    </xf>
    <xf numFmtId="14" fontId="21" fillId="0" borderId="9" xfId="3" applyNumberFormat="1" applyFont="1" applyFill="1" applyBorder="1" applyAlignment="1">
      <alignment horizontal="center"/>
    </xf>
    <xf numFmtId="49" fontId="71" fillId="3" borderId="2" xfId="0" applyNumberFormat="1" applyFont="1" applyFill="1" applyBorder="1"/>
    <xf numFmtId="0" fontId="103" fillId="0" borderId="0" xfId="0" applyFont="1"/>
    <xf numFmtId="0" fontId="103" fillId="0" borderId="1" xfId="0" applyFont="1" applyBorder="1"/>
    <xf numFmtId="0" fontId="103" fillId="4" borderId="1" xfId="0" applyFont="1" applyFill="1" applyBorder="1"/>
    <xf numFmtId="173" fontId="104" fillId="0" borderId="2" xfId="0" applyNumberFormat="1" applyFont="1" applyBorder="1"/>
    <xf numFmtId="3" fontId="104" fillId="4" borderId="1" xfId="0" applyNumberFormat="1" applyFont="1" applyFill="1" applyBorder="1" applyAlignment="1"/>
    <xf numFmtId="3" fontId="104" fillId="0" borderId="1" xfId="0" applyNumberFormat="1" applyFont="1" applyFill="1" applyBorder="1" applyAlignment="1"/>
    <xf numFmtId="3" fontId="103" fillId="0" borderId="1" xfId="0" applyNumberFormat="1" applyFont="1" applyBorder="1" applyAlignment="1">
      <alignment horizontal="right"/>
    </xf>
    <xf numFmtId="3" fontId="103" fillId="4" borderId="1" xfId="0" applyNumberFormat="1" applyFont="1" applyFill="1" applyBorder="1"/>
    <xf numFmtId="3" fontId="103" fillId="0" borderId="1" xfId="0" applyNumberFormat="1" applyFont="1" applyBorder="1"/>
    <xf numFmtId="3" fontId="104" fillId="0" borderId="2" xfId="0" applyNumberFormat="1" applyFont="1" applyFill="1" applyBorder="1"/>
    <xf numFmtId="173" fontId="104" fillId="0" borderId="0" xfId="0" applyNumberFormat="1" applyFont="1" applyFill="1" applyBorder="1"/>
    <xf numFmtId="4" fontId="104" fillId="4" borderId="1" xfId="0" applyNumberFormat="1" applyFont="1" applyFill="1" applyBorder="1" applyAlignment="1"/>
    <xf numFmtId="4" fontId="104" fillId="0" borderId="1" xfId="0" applyNumberFormat="1" applyFont="1" applyFill="1" applyBorder="1" applyAlignment="1"/>
    <xf numFmtId="0" fontId="104" fillId="0" borderId="2" xfId="0" applyFont="1" applyBorder="1"/>
    <xf numFmtId="4" fontId="104" fillId="4" borderId="1" xfId="0" applyNumberFormat="1" applyFont="1" applyFill="1" applyBorder="1"/>
    <xf numFmtId="4" fontId="104" fillId="0" borderId="1" xfId="0" applyNumberFormat="1" applyFont="1" applyBorder="1"/>
    <xf numFmtId="4" fontId="104" fillId="0" borderId="2" xfId="0" applyNumberFormat="1" applyFont="1" applyFill="1" applyBorder="1"/>
    <xf numFmtId="4" fontId="103" fillId="4" borderId="1" xfId="0" applyNumberFormat="1" applyFont="1" applyFill="1" applyBorder="1"/>
    <xf numFmtId="4" fontId="103" fillId="0" borderId="1" xfId="0" applyNumberFormat="1" applyFont="1" applyBorder="1" applyAlignment="1">
      <alignment horizontal="right"/>
    </xf>
    <xf numFmtId="4" fontId="103" fillId="0" borderId="1" xfId="0" applyNumberFormat="1" applyFont="1" applyBorder="1"/>
    <xf numFmtId="173" fontId="104" fillId="0" borderId="2" xfId="0" applyNumberFormat="1" applyFont="1" applyFill="1" applyBorder="1"/>
    <xf numFmtId="4" fontId="103" fillId="4" borderId="0" xfId="0" applyNumberFormat="1" applyFont="1" applyFill="1" applyBorder="1"/>
    <xf numFmtId="4" fontId="103" fillId="0" borderId="0" xfId="0" applyNumberFormat="1" applyFont="1" applyBorder="1" applyAlignment="1">
      <alignment horizontal="right"/>
    </xf>
    <xf numFmtId="4" fontId="103" fillId="0" borderId="0" xfId="0" applyNumberFormat="1" applyFont="1" applyBorder="1"/>
    <xf numFmtId="3" fontId="104" fillId="0" borderId="1" xfId="0" applyNumberFormat="1" applyFont="1" applyFill="1" applyBorder="1" applyAlignment="1">
      <alignment horizontal="right"/>
    </xf>
    <xf numFmtId="173" fontId="71" fillId="0" borderId="0" xfId="0" applyNumberFormat="1" applyFont="1" applyFill="1" applyBorder="1"/>
    <xf numFmtId="3" fontId="103" fillId="0" borderId="1" xfId="0" applyNumberFormat="1" applyFont="1" applyBorder="1" applyAlignment="1">
      <alignment horizontal="center"/>
    </xf>
    <xf numFmtId="4" fontId="103" fillId="0" borderId="1" xfId="0" applyNumberFormat="1" applyFont="1" applyBorder="1" applyAlignment="1">
      <alignment horizontal="center"/>
    </xf>
    <xf numFmtId="3" fontId="94" fillId="0" borderId="1" xfId="0" applyNumberFormat="1" applyFont="1" applyBorder="1" applyAlignment="1">
      <alignment horizontal="center"/>
    </xf>
    <xf numFmtId="3" fontId="47" fillId="0" borderId="1" xfId="0" applyNumberFormat="1" applyFont="1" applyFill="1" applyBorder="1" applyAlignment="1">
      <alignment horizontal="center"/>
    </xf>
    <xf numFmtId="175" fontId="46" fillId="0" borderId="1" xfId="0" applyNumberFormat="1" applyFont="1" applyBorder="1" applyAlignment="1">
      <alignment horizontal="center"/>
    </xf>
    <xf numFmtId="175" fontId="46" fillId="0" borderId="1" xfId="0" applyNumberFormat="1" applyFont="1" applyFill="1" applyBorder="1" applyAlignment="1">
      <alignment horizontal="center"/>
    </xf>
    <xf numFmtId="165" fontId="30" fillId="0" borderId="0" xfId="2" applyNumberFormat="1" applyFont="1" applyBorder="1"/>
    <xf numFmtId="0" fontId="105" fillId="21" borderId="44" xfId="0" applyFont="1" applyFill="1" applyBorder="1" applyAlignment="1">
      <alignment horizontal="center" vertical="center" wrapText="1"/>
    </xf>
    <xf numFmtId="190" fontId="77" fillId="0" borderId="43" xfId="0" applyNumberFormat="1" applyFont="1" applyBorder="1" applyAlignment="1">
      <alignment horizontal="right" vertical="center" wrapText="1"/>
    </xf>
    <xf numFmtId="191" fontId="77" fillId="0" borderId="43" xfId="0" applyNumberFormat="1" applyFont="1" applyBorder="1" applyAlignment="1">
      <alignment vertical="center"/>
    </xf>
    <xf numFmtId="192" fontId="77" fillId="0" borderId="43" xfId="0" applyNumberFormat="1" applyFont="1" applyBorder="1" applyAlignment="1">
      <alignment horizontal="right" vertical="center" wrapText="1"/>
    </xf>
    <xf numFmtId="175" fontId="77" fillId="0" borderId="43" xfId="0" applyNumberFormat="1" applyFont="1" applyBorder="1" applyAlignment="1">
      <alignment horizontal="right" vertical="center" wrapText="1"/>
    </xf>
    <xf numFmtId="175" fontId="77" fillId="0" borderId="43" xfId="0" applyNumberFormat="1" applyFont="1" applyBorder="1" applyAlignment="1">
      <alignment vertical="center"/>
    </xf>
    <xf numFmtId="190" fontId="77" fillId="0" borderId="45" xfId="0" applyNumberFormat="1" applyFont="1" applyBorder="1" applyAlignment="1">
      <alignment horizontal="right" vertical="center" wrapText="1"/>
    </xf>
    <xf numFmtId="192" fontId="77" fillId="0" borderId="45" xfId="0" applyNumberFormat="1" applyFont="1" applyBorder="1" applyAlignment="1">
      <alignment horizontal="right" vertical="center" wrapText="1"/>
    </xf>
    <xf numFmtId="175" fontId="77" fillId="0" borderId="45" xfId="0" applyNumberFormat="1" applyFont="1" applyBorder="1" applyAlignment="1">
      <alignment horizontal="right" vertical="center" wrapText="1"/>
    </xf>
    <xf numFmtId="175" fontId="77" fillId="0" borderId="45" xfId="0" applyNumberFormat="1" applyFont="1" applyBorder="1" applyAlignment="1">
      <alignment vertical="center"/>
    </xf>
    <xf numFmtId="0" fontId="52" fillId="0" borderId="45" xfId="0" applyFont="1" applyBorder="1"/>
    <xf numFmtId="0" fontId="52" fillId="0" borderId="43" xfId="0" applyFont="1" applyBorder="1"/>
    <xf numFmtId="164" fontId="0" fillId="0" borderId="1" xfId="1" applyNumberFormat="1" applyFont="1" applyBorder="1" applyAlignment="1">
      <alignment vertical="center" wrapText="1"/>
    </xf>
    <xf numFmtId="0" fontId="53" fillId="0" borderId="1" xfId="11" applyFont="1" applyBorder="1" applyAlignment="1">
      <alignment horizontal="right" vertical="center"/>
    </xf>
    <xf numFmtId="0" fontId="53" fillId="0" borderId="1" xfId="11" applyFont="1" applyFill="1" applyBorder="1" applyAlignment="1">
      <alignment horizontal="right" vertical="center"/>
    </xf>
    <xf numFmtId="165" fontId="19" fillId="0" borderId="1" xfId="2" applyNumberFormat="1" applyFont="1" applyFill="1" applyBorder="1"/>
    <xf numFmtId="165" fontId="19" fillId="0" borderId="27" xfId="2" applyNumberFormat="1" applyFont="1" applyFill="1" applyBorder="1"/>
    <xf numFmtId="0" fontId="14" fillId="0" borderId="0" xfId="11" applyBorder="1"/>
    <xf numFmtId="0" fontId="53" fillId="0" borderId="0" xfId="11" applyFont="1" applyBorder="1" applyAlignment="1">
      <alignment horizontal="right" vertical="center"/>
    </xf>
    <xf numFmtId="164" fontId="53" fillId="0" borderId="0" xfId="1" applyNumberFormat="1" applyFont="1" applyFill="1" applyBorder="1" applyAlignment="1">
      <alignment horizontal="right"/>
    </xf>
    <xf numFmtId="172" fontId="52" fillId="5" borderId="35" xfId="0" applyNumberFormat="1" applyFont="1" applyFill="1" applyBorder="1" applyAlignment="1">
      <alignment horizontal="center"/>
    </xf>
    <xf numFmtId="0" fontId="99" fillId="0" borderId="0" xfId="0" applyFont="1" applyAlignment="1">
      <alignment horizontal="center"/>
    </xf>
    <xf numFmtId="164" fontId="0" fillId="0" borderId="1" xfId="0" applyNumberFormat="1" applyBorder="1" applyAlignment="1">
      <alignment horizontal="center" vertical="center"/>
    </xf>
    <xf numFmtId="164" fontId="0" fillId="0" borderId="19" xfId="0" applyNumberFormat="1" applyBorder="1" applyAlignment="1">
      <alignment horizontal="center" vertical="center"/>
    </xf>
    <xf numFmtId="164" fontId="0" fillId="0" borderId="1" xfId="0" applyNumberFormat="1" applyFill="1" applyBorder="1" applyAlignment="1">
      <alignment horizontal="center" vertical="center"/>
    </xf>
    <xf numFmtId="164" fontId="0" fillId="0" borderId="27" xfId="1" applyNumberFormat="1" applyFont="1" applyFill="1" applyBorder="1" applyAlignment="1">
      <alignment vertical="center" wrapText="1"/>
    </xf>
    <xf numFmtId="164" fontId="7" fillId="0" borderId="1" xfId="1" applyNumberFormat="1" applyFont="1" applyBorder="1" applyAlignment="1">
      <alignment vertical="center" wrapText="1"/>
    </xf>
    <xf numFmtId="164" fontId="79" fillId="0" borderId="1" xfId="1" applyNumberFormat="1" applyFont="1" applyBorder="1" applyAlignment="1">
      <alignment vertical="center" wrapText="1"/>
    </xf>
    <xf numFmtId="164" fontId="7" fillId="0" borderId="27" xfId="1" applyNumberFormat="1" applyFont="1" applyFill="1" applyBorder="1" applyAlignment="1">
      <alignment vertical="center" wrapText="1"/>
    </xf>
    <xf numFmtId="164" fontId="53" fillId="0" borderId="0" xfId="1" applyNumberFormat="1" applyFont="1" applyFill="1" applyBorder="1"/>
    <xf numFmtId="165" fontId="53" fillId="0" borderId="0" xfId="12" applyNumberFormat="1" applyFont="1" applyBorder="1"/>
    <xf numFmtId="164" fontId="19" fillId="0" borderId="1" xfId="0" applyNumberFormat="1" applyFont="1" applyBorder="1" applyAlignment="1">
      <alignment horizontal="center" vertical="center"/>
    </xf>
    <xf numFmtId="164" fontId="19" fillId="0" borderId="19" xfId="0" applyNumberFormat="1" applyFont="1" applyBorder="1" applyAlignment="1">
      <alignment horizontal="center" vertical="center"/>
    </xf>
    <xf numFmtId="164" fontId="19" fillId="0" borderId="1" xfId="0" applyNumberFormat="1" applyFont="1" applyBorder="1"/>
    <xf numFmtId="164" fontId="19" fillId="0" borderId="1" xfId="0" applyNumberFormat="1" applyFont="1" applyFill="1" applyBorder="1" applyAlignment="1">
      <alignment horizontal="center" vertical="center"/>
    </xf>
    <xf numFmtId="164" fontId="19" fillId="0" borderId="1" xfId="1" applyNumberFormat="1" applyFont="1" applyBorder="1" applyAlignment="1">
      <alignment vertical="center" wrapText="1"/>
    </xf>
    <xf numFmtId="164" fontId="30" fillId="0" borderId="1" xfId="1" applyNumberFormat="1" applyFont="1" applyBorder="1" applyAlignment="1">
      <alignment vertical="center" wrapText="1"/>
    </xf>
    <xf numFmtId="164" fontId="21" fillId="0" borderId="1" xfId="1" applyNumberFormat="1" applyFont="1" applyBorder="1" applyAlignment="1">
      <alignment vertical="center" wrapText="1"/>
    </xf>
    <xf numFmtId="164" fontId="0" fillId="0" borderId="1" xfId="1" applyNumberFormat="1" applyFont="1" applyFill="1" applyBorder="1"/>
    <xf numFmtId="164" fontId="0" fillId="0" borderId="27" xfId="1" applyNumberFormat="1" applyFont="1" applyFill="1" applyBorder="1"/>
    <xf numFmtId="1" fontId="53" fillId="0" borderId="1" xfId="11" applyNumberFormat="1" applyFont="1" applyFill="1" applyBorder="1"/>
    <xf numFmtId="1" fontId="0" fillId="0" borderId="1" xfId="0" applyNumberFormat="1" applyFill="1" applyBorder="1"/>
    <xf numFmtId="0" fontId="53" fillId="0" borderId="27" xfId="11" applyFont="1" applyFill="1" applyBorder="1"/>
    <xf numFmtId="165" fontId="0" fillId="0" borderId="27" xfId="2" applyNumberFormat="1" applyFont="1" applyFill="1" applyBorder="1"/>
    <xf numFmtId="165" fontId="0" fillId="0" borderId="1" xfId="2" applyNumberFormat="1" applyFont="1" applyFill="1" applyBorder="1"/>
    <xf numFmtId="1" fontId="53" fillId="0" borderId="1" xfId="0" applyNumberFormat="1" applyFont="1" applyBorder="1" applyAlignment="1">
      <alignment horizontal="right"/>
    </xf>
    <xf numFmtId="164" fontId="0" fillId="0" borderId="0" xfId="20" applyNumberFormat="1" applyFont="1" applyBorder="1"/>
    <xf numFmtId="165" fontId="0" fillId="0" borderId="0" xfId="2" applyNumberFormat="1" applyFont="1" applyBorder="1"/>
    <xf numFmtId="3" fontId="19" fillId="0" borderId="1" xfId="0" applyNumberFormat="1" applyFont="1" applyFill="1" applyBorder="1" applyAlignment="1">
      <alignment horizontal="center"/>
    </xf>
    <xf numFmtId="165" fontId="19" fillId="0" borderId="1" xfId="2" applyNumberFormat="1" applyFont="1" applyBorder="1" applyAlignment="1">
      <alignment horizontal="center"/>
    </xf>
    <xf numFmtId="0" fontId="0" fillId="0" borderId="0" xfId="0" applyAlignment="1">
      <alignment horizontal="left"/>
    </xf>
    <xf numFmtId="0" fontId="53" fillId="0" borderId="0" xfId="11" applyFont="1"/>
    <xf numFmtId="172" fontId="99" fillId="5" borderId="1" xfId="11" applyNumberFormat="1" applyFont="1" applyFill="1" applyBorder="1" applyAlignment="1">
      <alignment horizontal="center"/>
    </xf>
    <xf numFmtId="164" fontId="0" fillId="0" borderId="0" xfId="1" applyNumberFormat="1" applyFont="1" applyAlignment="1">
      <alignment vertical="center" wrapText="1"/>
    </xf>
    <xf numFmtId="164" fontId="0" fillId="0" borderId="1" xfId="1" applyNumberFormat="1" applyFont="1" applyFill="1" applyBorder="1" applyAlignment="1">
      <alignment vertical="center" wrapText="1"/>
    </xf>
    <xf numFmtId="164" fontId="53" fillId="0" borderId="27" xfId="20" applyNumberFormat="1" applyFont="1" applyFill="1" applyBorder="1" applyAlignment="1">
      <alignment horizontal="right"/>
    </xf>
    <xf numFmtId="164" fontId="0" fillId="0" borderId="1" xfId="0" applyNumberFormat="1" applyFont="1" applyBorder="1"/>
    <xf numFmtId="164" fontId="79" fillId="0" borderId="1" xfId="0" applyNumberFormat="1" applyFont="1" applyBorder="1"/>
    <xf numFmtId="164" fontId="0" fillId="0" borderId="27" xfId="0" applyNumberFormat="1" applyFont="1" applyFill="1" applyBorder="1"/>
    <xf numFmtId="3" fontId="55" fillId="0" borderId="27" xfId="11" applyNumberFormat="1" applyFont="1" applyFill="1" applyBorder="1" applyAlignment="1">
      <alignment vertical="top"/>
    </xf>
    <xf numFmtId="164" fontId="0" fillId="0" borderId="1" xfId="0" applyNumberFormat="1" applyFont="1" applyFill="1" applyBorder="1"/>
    <xf numFmtId="3" fontId="53" fillId="0" borderId="1" xfId="11" applyNumberFormat="1" applyFont="1" applyFill="1" applyBorder="1" applyAlignment="1">
      <alignment horizontal="right"/>
    </xf>
    <xf numFmtId="3" fontId="53" fillId="0" borderId="1" xfId="11" applyNumberFormat="1" applyFont="1" applyFill="1" applyBorder="1"/>
    <xf numFmtId="3" fontId="55" fillId="0" borderId="1" xfId="11" applyNumberFormat="1" applyFont="1" applyFill="1" applyBorder="1" applyAlignment="1"/>
    <xf numFmtId="164" fontId="6" fillId="0" borderId="1" xfId="1" applyNumberFormat="1" applyFont="1" applyFill="1" applyBorder="1" applyAlignment="1">
      <alignment vertical="center" wrapText="1"/>
    </xf>
    <xf numFmtId="164" fontId="6" fillId="0" borderId="1" xfId="1" applyNumberFormat="1" applyFont="1" applyFill="1" applyBorder="1"/>
    <xf numFmtId="164" fontId="6" fillId="0" borderId="1" xfId="0" applyNumberFormat="1" applyFont="1" applyBorder="1"/>
    <xf numFmtId="164" fontId="6" fillId="0" borderId="27" xfId="0" applyNumberFormat="1" applyFont="1" applyFill="1" applyBorder="1"/>
    <xf numFmtId="3" fontId="53" fillId="0" borderId="1" xfId="11" applyNumberFormat="1" applyFont="1" applyFill="1" applyBorder="1" applyAlignment="1">
      <alignment vertical="top"/>
    </xf>
    <xf numFmtId="3" fontId="53" fillId="0" borderId="27" xfId="11" applyNumberFormat="1" applyFont="1" applyFill="1" applyBorder="1" applyAlignment="1">
      <alignment vertical="top"/>
    </xf>
    <xf numFmtId="0" fontId="0" fillId="0" borderId="0" xfId="0" applyAlignment="1">
      <alignment vertical="center" wrapText="1"/>
    </xf>
    <xf numFmtId="164" fontId="0" fillId="0" borderId="0" xfId="0" applyNumberFormat="1" applyBorder="1"/>
    <xf numFmtId="0" fontId="21" fillId="0" borderId="0" xfId="11" applyFont="1" applyBorder="1"/>
    <xf numFmtId="0" fontId="0" fillId="0" borderId="0" xfId="0" applyAlignment="1">
      <alignment horizontal="center" vertical="center"/>
    </xf>
    <xf numFmtId="3" fontId="55" fillId="0" borderId="1" xfId="11" applyNumberFormat="1" applyFont="1" applyFill="1" applyBorder="1" applyAlignment="1">
      <alignment horizontal="center"/>
    </xf>
    <xf numFmtId="164" fontId="79" fillId="0" borderId="1" xfId="0" applyNumberFormat="1" applyFont="1" applyFill="1" applyBorder="1"/>
    <xf numFmtId="165" fontId="53" fillId="0" borderId="1" xfId="12" applyNumberFormat="1" applyFont="1" applyFill="1" applyBorder="1"/>
    <xf numFmtId="0" fontId="52" fillId="0" borderId="0" xfId="0" applyFont="1" applyFill="1" applyAlignment="1">
      <alignment horizontal="center"/>
    </xf>
    <xf numFmtId="0" fontId="14" fillId="0" borderId="0" xfId="11" applyFill="1"/>
    <xf numFmtId="0" fontId="53" fillId="0" borderId="0" xfId="11" applyFont="1" applyFill="1" applyAlignment="1">
      <alignment horizontal="right"/>
    </xf>
    <xf numFmtId="0" fontId="53" fillId="0" borderId="0" xfId="11" applyFont="1" applyFill="1" applyAlignment="1">
      <alignment horizontal="right" vertical="center"/>
    </xf>
    <xf numFmtId="49" fontId="52" fillId="0" borderId="1" xfId="11" applyNumberFormat="1" applyFont="1" applyFill="1" applyBorder="1"/>
    <xf numFmtId="172" fontId="99" fillId="0" borderId="1" xfId="11" applyNumberFormat="1" applyFont="1" applyFill="1" applyBorder="1" applyAlignment="1">
      <alignment horizontal="center"/>
    </xf>
    <xf numFmtId="172" fontId="52" fillId="0" borderId="1" xfId="11" applyNumberFormat="1" applyFont="1" applyFill="1" applyBorder="1" applyAlignment="1">
      <alignment horizontal="center"/>
    </xf>
    <xf numFmtId="0" fontId="51" fillId="0" borderId="1" xfId="11" applyFont="1" applyFill="1" applyBorder="1" applyAlignment="1">
      <alignment horizontal="center"/>
    </xf>
    <xf numFmtId="0" fontId="51" fillId="0" borderId="1" xfId="11" applyFont="1" applyFill="1" applyBorder="1" applyAlignment="1">
      <alignment horizontal="center" vertical="center"/>
    </xf>
    <xf numFmtId="164" fontId="0" fillId="0" borderId="0" xfId="1" applyNumberFormat="1" applyFont="1" applyFill="1" applyAlignment="1">
      <alignment vertical="center" wrapText="1"/>
    </xf>
    <xf numFmtId="164" fontId="53" fillId="0" borderId="1" xfId="11" applyNumberFormat="1" applyFont="1" applyFill="1" applyBorder="1" applyAlignment="1">
      <alignment horizontal="right"/>
    </xf>
    <xf numFmtId="0" fontId="34" fillId="0" borderId="0" xfId="11" applyFont="1" applyFill="1" applyAlignment="1">
      <alignment horizontal="center"/>
    </xf>
    <xf numFmtId="0" fontId="14" fillId="0" borderId="1" xfId="11" applyFill="1" applyBorder="1"/>
    <xf numFmtId="0" fontId="30" fillId="0" borderId="0" xfId="11" applyFont="1" applyFill="1"/>
    <xf numFmtId="0" fontId="53" fillId="0" borderId="1" xfId="0" applyFont="1" applyFill="1" applyBorder="1" applyAlignment="1">
      <alignment horizontal="center" vertical="center"/>
    </xf>
    <xf numFmtId="0" fontId="99" fillId="0" borderId="0" xfId="11" applyFont="1"/>
    <xf numFmtId="0" fontId="99" fillId="0" borderId="0" xfId="11" applyFont="1" applyFill="1"/>
    <xf numFmtId="0" fontId="21" fillId="0" borderId="0" xfId="0" applyFont="1" applyFill="1" applyAlignment="1">
      <alignment vertical="center" wrapText="1"/>
    </xf>
    <xf numFmtId="164" fontId="34" fillId="0" borderId="0" xfId="0" applyNumberFormat="1" applyFont="1" applyFill="1" applyBorder="1"/>
    <xf numFmtId="0" fontId="21" fillId="0" borderId="0" xfId="0" applyFont="1" applyAlignment="1">
      <alignment wrapText="1"/>
    </xf>
    <xf numFmtId="0" fontId="19" fillId="0" borderId="0" xfId="0" applyFont="1" applyFill="1" applyBorder="1" applyAlignment="1">
      <alignment horizontal="center" wrapText="1"/>
    </xf>
    <xf numFmtId="0" fontId="19" fillId="0" borderId="0" xfId="0" applyFont="1" applyFill="1" applyBorder="1" applyAlignment="1">
      <alignment wrapText="1"/>
    </xf>
    <xf numFmtId="165" fontId="21" fillId="0" borderId="0" xfId="2" applyNumberFormat="1" applyFont="1"/>
    <xf numFmtId="3" fontId="33" fillId="0" borderId="0" xfId="0" applyNumberFormat="1" applyFont="1" applyFill="1"/>
    <xf numFmtId="6" fontId="33" fillId="0" borderId="0" xfId="0" applyNumberFormat="1" applyFont="1" applyFill="1"/>
    <xf numFmtId="165" fontId="34" fillId="0" borderId="0" xfId="2" applyNumberFormat="1" applyFont="1"/>
    <xf numFmtId="165" fontId="34" fillId="0" borderId="0" xfId="2" applyNumberFormat="1" applyFont="1" applyFill="1" applyBorder="1" applyAlignment="1">
      <alignment horizontal="center"/>
    </xf>
    <xf numFmtId="6" fontId="34" fillId="0" borderId="0" xfId="0" applyNumberFormat="1" applyFont="1" applyFill="1"/>
    <xf numFmtId="3" fontId="37" fillId="0" borderId="0" xfId="0" applyNumberFormat="1" applyFont="1" applyFill="1"/>
    <xf numFmtId="6" fontId="34" fillId="0" borderId="0" xfId="0" applyNumberFormat="1" applyFont="1" applyFill="1" applyBorder="1"/>
    <xf numFmtId="0" fontId="36" fillId="0" borderId="0" xfId="0" applyFont="1" applyFill="1" applyBorder="1"/>
    <xf numFmtId="0" fontId="34" fillId="0" borderId="0" xfId="0" applyFont="1" applyFill="1" applyBorder="1"/>
    <xf numFmtId="164" fontId="21" fillId="0" borderId="10" xfId="1" applyNumberFormat="1" applyFont="1" applyFill="1" applyBorder="1" applyAlignment="1">
      <alignment wrapText="1"/>
    </xf>
    <xf numFmtId="0" fontId="36" fillId="0" borderId="9" xfId="0" applyFont="1" applyFill="1" applyBorder="1"/>
    <xf numFmtId="0" fontId="84" fillId="0" borderId="0" xfId="0" applyFont="1"/>
    <xf numFmtId="172" fontId="52" fillId="5" borderId="24" xfId="0" applyNumberFormat="1" applyFont="1" applyFill="1" applyBorder="1" applyAlignment="1">
      <alignment horizontal="center"/>
    </xf>
    <xf numFmtId="0" fontId="106" fillId="0" borderId="0" xfId="0" applyFont="1"/>
    <xf numFmtId="3" fontId="46" fillId="4" borderId="0" xfId="0" applyNumberFormat="1" applyFont="1" applyFill="1" applyBorder="1" applyAlignment="1"/>
    <xf numFmtId="3" fontId="19" fillId="4" borderId="1" xfId="0" applyNumberFormat="1" applyFont="1" applyFill="1" applyBorder="1" applyAlignment="1"/>
    <xf numFmtId="3" fontId="53" fillId="4" borderId="1" xfId="0" applyNumberFormat="1" applyFont="1" applyFill="1" applyBorder="1"/>
    <xf numFmtId="165" fontId="19" fillId="4" borderId="1" xfId="2" applyNumberFormat="1" applyFont="1" applyFill="1" applyBorder="1" applyAlignment="1"/>
    <xf numFmtId="165" fontId="53" fillId="4" borderId="1" xfId="2" applyNumberFormat="1" applyFont="1" applyFill="1" applyBorder="1"/>
    <xf numFmtId="3" fontId="19" fillId="0" borderId="1" xfId="0" applyNumberFormat="1" applyFont="1" applyFill="1" applyBorder="1" applyAlignment="1">
      <alignment horizontal="right"/>
    </xf>
    <xf numFmtId="4" fontId="19" fillId="0" borderId="0" xfId="0" applyNumberFormat="1" applyFont="1" applyProtection="1"/>
    <xf numFmtId="164" fontId="19" fillId="0" borderId="1" xfId="1" applyNumberFormat="1" applyFont="1" applyBorder="1" applyProtection="1"/>
    <xf numFmtId="3" fontId="19" fillId="0" borderId="1" xfId="0" applyNumberFormat="1" applyFont="1" applyBorder="1" applyProtection="1"/>
    <xf numFmtId="165" fontId="19" fillId="0" borderId="1" xfId="2" applyNumberFormat="1" applyFont="1" applyBorder="1" applyProtection="1"/>
    <xf numFmtId="0" fontId="19" fillId="0" borderId="0" xfId="0" applyFont="1" applyFill="1"/>
    <xf numFmtId="193" fontId="19" fillId="0" borderId="0" xfId="1" applyNumberFormat="1" applyFont="1"/>
    <xf numFmtId="164" fontId="53" fillId="0" borderId="1" xfId="1" applyNumberFormat="1" applyFont="1" applyBorder="1" applyAlignment="1">
      <alignment horizontal="center"/>
    </xf>
    <xf numFmtId="165" fontId="19" fillId="0" borderId="24" xfId="2" applyNumberFormat="1" applyFont="1" applyBorder="1"/>
    <xf numFmtId="165" fontId="53" fillId="0" borderId="1" xfId="2" applyNumberFormat="1" applyFont="1" applyBorder="1" applyAlignment="1">
      <alignment horizontal="center" vertical="center"/>
    </xf>
    <xf numFmtId="165" fontId="53" fillId="0" borderId="0" xfId="0" applyNumberFormat="1" applyFont="1" applyFill="1" applyBorder="1" applyAlignment="1">
      <alignment horizontal="right"/>
    </xf>
    <xf numFmtId="0" fontId="53" fillId="0" borderId="0" xfId="0" applyFont="1" applyFill="1" applyBorder="1" applyAlignment="1">
      <alignment horizontal="right" vertical="center"/>
    </xf>
    <xf numFmtId="165" fontId="54" fillId="0" borderId="0" xfId="0" applyNumberFormat="1" applyFont="1" applyFill="1" applyBorder="1" applyAlignment="1">
      <alignment horizontal="right"/>
    </xf>
    <xf numFmtId="165" fontId="19" fillId="0" borderId="1" xfId="2" applyNumberFormat="1" applyFont="1" applyFill="1" applyBorder="1" applyAlignment="1">
      <alignment horizontal="center"/>
    </xf>
    <xf numFmtId="0" fontId="19" fillId="0" borderId="19" xfId="0" applyFont="1" applyBorder="1"/>
    <xf numFmtId="165" fontId="19" fillId="0" borderId="19" xfId="2" applyNumberFormat="1" applyFont="1" applyBorder="1"/>
    <xf numFmtId="3" fontId="53" fillId="0" borderId="19" xfId="0" applyNumberFormat="1" applyFont="1" applyBorder="1"/>
    <xf numFmtId="164" fontId="19" fillId="0" borderId="0" xfId="1" applyNumberFormat="1" applyFont="1"/>
    <xf numFmtId="49" fontId="19" fillId="5" borderId="1" xfId="0" applyNumberFormat="1" applyFont="1" applyFill="1" applyBorder="1" applyAlignment="1">
      <alignment horizontal="center"/>
    </xf>
    <xf numFmtId="172" fontId="19" fillId="5" borderId="1" xfId="0" applyNumberFormat="1" applyFont="1" applyFill="1" applyBorder="1" applyAlignment="1">
      <alignment horizontal="center"/>
    </xf>
    <xf numFmtId="173" fontId="19" fillId="15" borderId="1" xfId="0" applyNumberFormat="1" applyFont="1" applyFill="1" applyBorder="1" applyAlignment="1">
      <alignment wrapText="1"/>
    </xf>
    <xf numFmtId="0" fontId="53" fillId="15" borderId="0" xfId="0" applyFont="1" applyFill="1" applyAlignment="1">
      <alignment horizontal="center"/>
    </xf>
    <xf numFmtId="0" fontId="53" fillId="15" borderId="0" xfId="0" applyFont="1" applyFill="1"/>
    <xf numFmtId="164" fontId="19" fillId="15" borderId="1" xfId="1" applyNumberFormat="1" applyFont="1" applyFill="1" applyBorder="1"/>
    <xf numFmtId="3" fontId="19" fillId="15" borderId="1" xfId="0" applyNumberFormat="1" applyFont="1" applyFill="1" applyBorder="1" applyAlignment="1"/>
    <xf numFmtId="173" fontId="19" fillId="22" borderId="1" xfId="0" applyNumberFormat="1" applyFont="1" applyFill="1" applyBorder="1" applyAlignment="1">
      <alignment wrapText="1"/>
    </xf>
    <xf numFmtId="0" fontId="53" fillId="22" borderId="0" xfId="0" applyFont="1" applyFill="1" applyAlignment="1">
      <alignment horizontal="center"/>
    </xf>
    <xf numFmtId="0" fontId="53" fillId="22" borderId="0" xfId="0" applyFont="1" applyFill="1"/>
    <xf numFmtId="164" fontId="53" fillId="22" borderId="1" xfId="1" applyNumberFormat="1" applyFont="1" applyFill="1" applyBorder="1"/>
    <xf numFmtId="0" fontId="53" fillId="23" borderId="1" xfId="0" applyFont="1" applyFill="1" applyBorder="1" applyAlignment="1">
      <alignment wrapText="1"/>
    </xf>
    <xf numFmtId="0" fontId="53" fillId="23" borderId="0" xfId="0" applyFont="1" applyFill="1" applyAlignment="1">
      <alignment horizontal="center"/>
    </xf>
    <xf numFmtId="0" fontId="53" fillId="23" borderId="0" xfId="0" applyFont="1" applyFill="1"/>
    <xf numFmtId="164" fontId="53" fillId="23" borderId="1" xfId="1" applyNumberFormat="1" applyFont="1" applyFill="1" applyBorder="1"/>
    <xf numFmtId="0" fontId="53" fillId="24" borderId="1" xfId="0" applyFont="1" applyFill="1" applyBorder="1" applyAlignment="1">
      <alignment wrapText="1"/>
    </xf>
    <xf numFmtId="0" fontId="53" fillId="24" borderId="0" xfId="0" applyFont="1" applyFill="1" applyAlignment="1">
      <alignment horizontal="center"/>
    </xf>
    <xf numFmtId="0" fontId="53" fillId="24" borderId="0" xfId="0" applyFont="1" applyFill="1"/>
    <xf numFmtId="164" fontId="0" fillId="24" borderId="1" xfId="1" applyNumberFormat="1" applyFont="1" applyFill="1" applyBorder="1"/>
    <xf numFmtId="164" fontId="53" fillId="24" borderId="1" xfId="1" applyNumberFormat="1" applyFont="1" applyFill="1" applyBorder="1"/>
    <xf numFmtId="173" fontId="19" fillId="0" borderId="1" xfId="0" applyNumberFormat="1" applyFont="1" applyBorder="1" applyAlignment="1">
      <alignment wrapText="1"/>
    </xf>
    <xf numFmtId="2" fontId="0" fillId="0" borderId="1" xfId="0" applyNumberFormat="1" applyBorder="1"/>
    <xf numFmtId="2" fontId="53" fillId="0" borderId="1" xfId="11" applyNumberFormat="1" applyFont="1" applyFill="1" applyBorder="1"/>
    <xf numFmtId="44" fontId="53" fillId="15" borderId="1" xfId="2" applyFont="1" applyFill="1" applyBorder="1"/>
    <xf numFmtId="0" fontId="19" fillId="22" borderId="1" xfId="0" applyFont="1" applyFill="1" applyBorder="1" applyAlignment="1">
      <alignment wrapText="1"/>
    </xf>
    <xf numFmtId="44" fontId="53" fillId="22" borderId="1" xfId="2" applyFont="1" applyFill="1" applyBorder="1"/>
    <xf numFmtId="4" fontId="19" fillId="23" borderId="1" xfId="0" applyNumberFormat="1" applyFont="1" applyFill="1" applyBorder="1" applyAlignment="1">
      <alignment wrapText="1"/>
    </xf>
    <xf numFmtId="44" fontId="53" fillId="23" borderId="1" xfId="2" applyFont="1" applyFill="1" applyBorder="1"/>
    <xf numFmtId="0" fontId="19" fillId="24" borderId="1" xfId="0" applyFont="1" applyFill="1" applyBorder="1" applyAlignment="1">
      <alignment wrapText="1"/>
    </xf>
    <xf numFmtId="0" fontId="19" fillId="24" borderId="0" xfId="0" applyFont="1" applyFill="1" applyBorder="1" applyAlignment="1">
      <alignment horizontal="center"/>
    </xf>
    <xf numFmtId="165" fontId="19" fillId="24" borderId="0" xfId="2" applyNumberFormat="1" applyFont="1" applyFill="1" applyBorder="1"/>
    <xf numFmtId="44" fontId="0" fillId="24" borderId="1" xfId="2" applyFont="1" applyFill="1" applyBorder="1"/>
    <xf numFmtId="44" fontId="19" fillId="24" borderId="1" xfId="2" applyFont="1" applyFill="1" applyBorder="1"/>
    <xf numFmtId="0" fontId="53" fillId="0" borderId="1" xfId="0" applyFont="1" applyBorder="1" applyAlignment="1">
      <alignment wrapText="1"/>
    </xf>
    <xf numFmtId="172" fontId="19" fillId="5" borderId="17" xfId="0" applyNumberFormat="1" applyFont="1" applyFill="1" applyBorder="1" applyAlignment="1">
      <alignment horizontal="center"/>
    </xf>
    <xf numFmtId="1" fontId="19" fillId="24" borderId="1" xfId="2" applyNumberFormat="1" applyFont="1" applyFill="1" applyBorder="1"/>
    <xf numFmtId="2" fontId="55" fillId="0" borderId="1" xfId="11" applyNumberFormat="1" applyFont="1" applyFill="1" applyBorder="1" applyAlignment="1">
      <alignment vertical="top"/>
    </xf>
    <xf numFmtId="44" fontId="0" fillId="0" borderId="1" xfId="2" applyFont="1" applyFill="1" applyBorder="1"/>
    <xf numFmtId="44" fontId="0" fillId="0" borderId="0" xfId="2" applyFont="1" applyFill="1" applyBorder="1"/>
    <xf numFmtId="164" fontId="53" fillId="15" borderId="1" xfId="1" applyNumberFormat="1" applyFont="1" applyFill="1" applyBorder="1"/>
    <xf numFmtId="4" fontId="55" fillId="0" borderId="1" xfId="11" applyNumberFormat="1" applyFont="1" applyFill="1" applyBorder="1" applyAlignment="1">
      <alignment vertical="top"/>
    </xf>
    <xf numFmtId="0" fontId="22" fillId="0" borderId="0" xfId="0" applyFont="1" applyAlignment="1">
      <alignment horizontal="center" vertical="center"/>
    </xf>
    <xf numFmtId="0" fontId="0" fillId="0" borderId="1" xfId="0" applyFont="1" applyBorder="1" applyAlignment="1">
      <alignment horizontal="center" vertical="center"/>
    </xf>
    <xf numFmtId="172" fontId="52" fillId="5" borderId="1" xfId="0" applyNumberFormat="1" applyFont="1" applyFill="1" applyBorder="1" applyAlignment="1">
      <alignment horizontal="center" vertical="center"/>
    </xf>
    <xf numFmtId="3" fontId="19" fillId="0" borderId="1" xfId="0" applyNumberFormat="1" applyFont="1" applyFill="1" applyBorder="1" applyAlignment="1">
      <alignment horizontal="center" vertical="center"/>
    </xf>
    <xf numFmtId="173" fontId="19" fillId="25" borderId="1" xfId="0" applyNumberFormat="1" applyFont="1" applyFill="1" applyBorder="1"/>
    <xf numFmtId="0" fontId="53" fillId="25" borderId="1" xfId="0" applyFont="1" applyFill="1" applyBorder="1" applyAlignment="1">
      <alignment horizontal="center" vertical="center"/>
    </xf>
    <xf numFmtId="3" fontId="53" fillId="0" borderId="1" xfId="0" applyNumberFormat="1" applyFont="1" applyBorder="1" applyAlignment="1">
      <alignment horizontal="center" vertical="center"/>
    </xf>
    <xf numFmtId="3" fontId="55" fillId="0" borderId="1" xfId="11" applyNumberFormat="1" applyFont="1" applyFill="1" applyBorder="1" applyAlignment="1">
      <alignment horizontal="center" vertical="center"/>
    </xf>
    <xf numFmtId="0" fontId="51" fillId="0" borderId="1" xfId="0" applyFont="1" applyBorder="1" applyAlignment="1">
      <alignment horizontal="center" vertical="center"/>
    </xf>
    <xf numFmtId="165" fontId="53" fillId="0" borderId="1" xfId="12" applyNumberFormat="1" applyFont="1" applyBorder="1" applyAlignment="1">
      <alignment horizontal="center" vertical="center"/>
    </xf>
    <xf numFmtId="0" fontId="19" fillId="25" borderId="1" xfId="0" applyFont="1" applyFill="1" applyBorder="1"/>
    <xf numFmtId="165" fontId="19" fillId="0" borderId="1" xfId="2" applyNumberFormat="1" applyFont="1" applyBorder="1" applyAlignment="1">
      <alignment horizontal="center" vertical="center"/>
    </xf>
    <xf numFmtId="0" fontId="51" fillId="0" borderId="0" xfId="0" applyFont="1" applyAlignment="1">
      <alignment horizontal="center" vertical="center"/>
    </xf>
    <xf numFmtId="0" fontId="53" fillId="0" borderId="1" xfId="0" applyFont="1" applyBorder="1" applyAlignment="1">
      <alignment horizontal="right"/>
    </xf>
    <xf numFmtId="3" fontId="19" fillId="0" borderId="17" xfId="0" applyNumberFormat="1" applyFont="1" applyFill="1" applyBorder="1" applyAlignment="1"/>
    <xf numFmtId="3" fontId="19" fillId="0" borderId="36" xfId="0" applyNumberFormat="1" applyFont="1" applyFill="1" applyBorder="1" applyAlignment="1"/>
    <xf numFmtId="3" fontId="53" fillId="0" borderId="3" xfId="0" applyNumberFormat="1" applyFont="1" applyBorder="1" applyAlignment="1">
      <alignment horizontal="right"/>
    </xf>
    <xf numFmtId="3" fontId="53" fillId="0" borderId="5" xfId="0" applyNumberFormat="1" applyFont="1" applyBorder="1" applyAlignment="1">
      <alignment horizontal="right"/>
    </xf>
    <xf numFmtId="3" fontId="19" fillId="0" borderId="3" xfId="0" applyNumberFormat="1" applyFont="1" applyFill="1" applyBorder="1" applyAlignment="1"/>
    <xf numFmtId="3" fontId="53" fillId="0" borderId="3" xfId="0" applyNumberFormat="1" applyFont="1" applyBorder="1"/>
    <xf numFmtId="3" fontId="53" fillId="0" borderId="5" xfId="0" applyNumberFormat="1" applyFont="1" applyBorder="1"/>
    <xf numFmtId="4" fontId="55" fillId="0" borderId="3" xfId="11" applyNumberFormat="1" applyFont="1" applyFill="1" applyBorder="1"/>
    <xf numFmtId="4" fontId="55" fillId="0" borderId="5" xfId="11" applyNumberFormat="1" applyFont="1" applyFill="1" applyBorder="1"/>
    <xf numFmtId="4" fontId="53" fillId="0" borderId="3" xfId="11" applyNumberFormat="1" applyFont="1" applyFill="1" applyBorder="1"/>
    <xf numFmtId="165" fontId="53" fillId="0" borderId="3" xfId="12" applyNumberFormat="1" applyFont="1" applyBorder="1"/>
    <xf numFmtId="165" fontId="53" fillId="0" borderId="5" xfId="12" applyNumberFormat="1" applyFont="1" applyBorder="1"/>
    <xf numFmtId="164" fontId="0" fillId="0" borderId="3" xfId="20" applyNumberFormat="1" applyFont="1" applyBorder="1"/>
    <xf numFmtId="164" fontId="0" fillId="0" borderId="5" xfId="20" applyNumberFormat="1" applyFont="1" applyBorder="1"/>
    <xf numFmtId="165" fontId="19" fillId="0" borderId="37" xfId="2" applyNumberFormat="1" applyFont="1" applyBorder="1"/>
    <xf numFmtId="165" fontId="19" fillId="0" borderId="38" xfId="2" applyNumberFormat="1" applyFont="1" applyBorder="1"/>
    <xf numFmtId="164" fontId="19" fillId="0" borderId="0" xfId="1" applyNumberFormat="1" applyFont="1" applyFill="1" applyBorder="1" applyAlignment="1"/>
    <xf numFmtId="166" fontId="21" fillId="0" borderId="0" xfId="1" applyNumberFormat="1" applyFont="1" applyFill="1" applyBorder="1" applyAlignment="1">
      <alignment horizontal="center" wrapText="1"/>
    </xf>
    <xf numFmtId="2" fontId="21" fillId="0" borderId="0" xfId="0" applyNumberFormat="1" applyFont="1" applyFill="1" applyBorder="1" applyAlignment="1">
      <alignment horizontal="center" wrapText="1"/>
    </xf>
    <xf numFmtId="14" fontId="21" fillId="0" borderId="0" xfId="0" applyNumberFormat="1" applyFont="1" applyFill="1" applyBorder="1"/>
    <xf numFmtId="0" fontId="99" fillId="0" borderId="0" xfId="0" applyFont="1" applyFill="1" applyAlignment="1">
      <alignment vertical="center"/>
    </xf>
    <xf numFmtId="0" fontId="32" fillId="0" borderId="0" xfId="0" applyFont="1"/>
    <xf numFmtId="41" fontId="53" fillId="0" borderId="1" xfId="21" applyNumberFormat="1" applyFont="1" applyBorder="1"/>
    <xf numFmtId="3" fontId="99" fillId="0" borderId="1" xfId="0" applyNumberFormat="1" applyFont="1" applyBorder="1" applyAlignment="1">
      <alignment horizontal="center"/>
    </xf>
    <xf numFmtId="3" fontId="53" fillId="0" borderId="1" xfId="0" applyNumberFormat="1" applyFont="1" applyFill="1" applyBorder="1" applyAlignment="1">
      <alignment horizontal="center"/>
    </xf>
    <xf numFmtId="3" fontId="21" fillId="0" borderId="0" xfId="0" applyNumberFormat="1" applyFont="1" applyFill="1" applyBorder="1" applyAlignment="1">
      <alignment horizontal="right"/>
    </xf>
    <xf numFmtId="3" fontId="21" fillId="0" borderId="0" xfId="0" applyNumberFormat="1" applyFont="1" applyFill="1" applyBorder="1" applyAlignment="1"/>
    <xf numFmtId="165" fontId="21" fillId="0" borderId="7" xfId="2" applyNumberFormat="1" applyFont="1" applyFill="1" applyBorder="1" applyAlignment="1"/>
    <xf numFmtId="165" fontId="34" fillId="0" borderId="0" xfId="2" applyNumberFormat="1" applyFont="1" applyFill="1" applyBorder="1" applyAlignment="1">
      <alignment wrapText="1"/>
    </xf>
    <xf numFmtId="1" fontId="21" fillId="0" borderId="0" xfId="0" applyNumberFormat="1" applyFont="1" applyFill="1" applyBorder="1" applyAlignment="1">
      <alignment horizontal="center"/>
    </xf>
    <xf numFmtId="165" fontId="21" fillId="2" borderId="0" xfId="2" applyNumberFormat="1" applyFont="1" applyFill="1" applyBorder="1" applyAlignment="1">
      <alignment horizontal="center"/>
    </xf>
    <xf numFmtId="0" fontId="21" fillId="0" borderId="0" xfId="0" applyFont="1" applyFill="1" applyBorder="1" applyAlignment="1">
      <alignment vertical="center" wrapText="1"/>
    </xf>
    <xf numFmtId="164" fontId="21" fillId="0" borderId="0" xfId="1" applyNumberFormat="1" applyFont="1" applyFill="1" applyBorder="1" applyAlignment="1">
      <alignment horizontal="right" wrapText="1"/>
    </xf>
    <xf numFmtId="0" fontId="29"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21" fillId="0" borderId="12" xfId="0" applyFont="1" applyFill="1" applyBorder="1" applyAlignment="1">
      <alignment wrapText="1"/>
    </xf>
    <xf numFmtId="165" fontId="33" fillId="0" borderId="13" xfId="2" applyNumberFormat="1" applyFont="1" applyFill="1" applyBorder="1"/>
    <xf numFmtId="164" fontId="21" fillId="0" borderId="13" xfId="0" applyNumberFormat="1" applyFont="1" applyFill="1" applyBorder="1"/>
    <xf numFmtId="0" fontId="21" fillId="0" borderId="13" xfId="0" applyFont="1" applyFill="1" applyBorder="1"/>
    <xf numFmtId="165" fontId="21" fillId="0" borderId="13" xfId="2" applyNumberFormat="1" applyFont="1" applyFill="1" applyBorder="1"/>
    <xf numFmtId="165" fontId="37" fillId="0" borderId="14" xfId="2" applyNumberFormat="1" applyFont="1" applyFill="1" applyBorder="1"/>
    <xf numFmtId="0" fontId="21" fillId="0" borderId="8" xfId="0" applyFont="1" applyFill="1" applyBorder="1" applyAlignment="1">
      <alignment wrapText="1"/>
    </xf>
    <xf numFmtId="165" fontId="34" fillId="0" borderId="9" xfId="2" applyNumberFormat="1" applyFont="1" applyFill="1" applyBorder="1"/>
    <xf numFmtId="165" fontId="21" fillId="0" borderId="9" xfId="2" applyNumberFormat="1" applyFont="1" applyFill="1" applyBorder="1" applyAlignment="1">
      <alignment horizontal="center" wrapText="1"/>
    </xf>
    <xf numFmtId="169" fontId="21" fillId="0" borderId="10" xfId="0" applyNumberFormat="1" applyFont="1" applyFill="1" applyBorder="1" applyAlignment="1">
      <alignment horizontal="center" wrapText="1"/>
    </xf>
    <xf numFmtId="0" fontId="97" fillId="0" borderId="13" xfId="16" applyFont="1" applyFill="1" applyBorder="1" applyAlignment="1">
      <alignment horizontal="center" wrapText="1"/>
    </xf>
    <xf numFmtId="0" fontId="21" fillId="0" borderId="13" xfId="0" applyFont="1" applyFill="1" applyBorder="1" applyAlignment="1">
      <alignment horizontal="center" wrapText="1"/>
    </xf>
    <xf numFmtId="0" fontId="21" fillId="0" borderId="13" xfId="0" applyFont="1" applyFill="1" applyBorder="1" applyAlignment="1">
      <alignment horizontal="center"/>
    </xf>
    <xf numFmtId="169" fontId="21" fillId="0" borderId="13" xfId="0" applyNumberFormat="1" applyFont="1" applyFill="1" applyBorder="1" applyAlignment="1">
      <alignment horizontal="center"/>
    </xf>
    <xf numFmtId="169" fontId="21" fillId="0" borderId="13" xfId="0" applyNumberFormat="1" applyFont="1" applyFill="1" applyBorder="1" applyAlignment="1">
      <alignment horizontal="center" wrapText="1"/>
    </xf>
    <xf numFmtId="169" fontId="34" fillId="0" borderId="13" xfId="0" applyNumberFormat="1" applyFont="1" applyFill="1" applyBorder="1" applyAlignment="1">
      <alignment horizontal="center" wrapText="1"/>
    </xf>
    <xf numFmtId="0" fontId="21" fillId="0" borderId="13" xfId="0" applyFont="1" applyFill="1" applyBorder="1" applyAlignment="1">
      <alignment horizontal="left" wrapText="1"/>
    </xf>
    <xf numFmtId="164" fontId="21" fillId="0" borderId="13" xfId="1" applyNumberFormat="1" applyFont="1" applyFill="1" applyBorder="1"/>
    <xf numFmtId="0" fontId="21" fillId="0" borderId="14" xfId="0" applyFont="1" applyFill="1" applyBorder="1" applyAlignment="1"/>
    <xf numFmtId="2" fontId="21" fillId="0" borderId="13" xfId="0" applyNumberFormat="1" applyFont="1" applyFill="1" applyBorder="1"/>
    <xf numFmtId="9" fontId="21" fillId="0" borderId="13" xfId="3" applyFont="1" applyFill="1" applyBorder="1"/>
    <xf numFmtId="0" fontId="21" fillId="0" borderId="14" xfId="0" applyFont="1" applyFill="1" applyBorder="1"/>
    <xf numFmtId="169" fontId="32" fillId="0" borderId="0" xfId="0" applyNumberFormat="1" applyFont="1" applyFill="1" applyBorder="1" applyAlignment="1">
      <alignment horizontal="center"/>
    </xf>
    <xf numFmtId="0" fontId="97" fillId="0" borderId="9" xfId="16" applyFont="1" applyFill="1" applyBorder="1" applyAlignment="1">
      <alignment horizontal="center" wrapText="1"/>
    </xf>
    <xf numFmtId="169" fontId="21" fillId="0" borderId="9" xfId="0" applyNumberFormat="1" applyFont="1" applyFill="1" applyBorder="1" applyAlignment="1">
      <alignment horizontal="center"/>
    </xf>
    <xf numFmtId="0" fontId="21" fillId="0" borderId="9" xfId="0" applyFont="1" applyFill="1" applyBorder="1" applyAlignment="1">
      <alignment wrapText="1"/>
    </xf>
    <xf numFmtId="0" fontId="21" fillId="0" borderId="10" xfId="0" applyFont="1" applyFill="1" applyBorder="1" applyAlignment="1"/>
    <xf numFmtId="2" fontId="21" fillId="0" borderId="9" xfId="0" applyNumberFormat="1" applyFont="1" applyFill="1" applyBorder="1"/>
    <xf numFmtId="0" fontId="29" fillId="0" borderId="0" xfId="0" applyFont="1" applyFill="1" applyBorder="1" applyAlignment="1">
      <alignment horizontal="center" vertical="center"/>
    </xf>
    <xf numFmtId="0" fontId="29" fillId="0" borderId="12" xfId="0" applyFont="1" applyFill="1" applyBorder="1" applyAlignment="1">
      <alignment horizontal="center" vertical="center"/>
    </xf>
    <xf numFmtId="43" fontId="22" fillId="0" borderId="0" xfId="1" applyNumberFormat="1" applyFont="1" applyFill="1" applyBorder="1" applyAlignment="1">
      <alignment horizontal="center" wrapText="1"/>
    </xf>
    <xf numFmtId="43" fontId="0" fillId="0" borderId="0" xfId="1" applyNumberFormat="1" applyFont="1" applyFill="1" applyBorder="1"/>
    <xf numFmtId="1" fontId="21" fillId="0" borderId="0" xfId="0" applyNumberFormat="1" applyFont="1" applyFill="1" applyBorder="1" applyAlignment="1">
      <alignment horizontal="center" wrapText="1"/>
    </xf>
    <xf numFmtId="0" fontId="22" fillId="0" borderId="0" xfId="0" applyNumberFormat="1" applyFont="1" applyFill="1" applyBorder="1" applyAlignment="1">
      <alignment horizontal="center" wrapText="1"/>
    </xf>
    <xf numFmtId="0" fontId="21" fillId="0" borderId="0" xfId="0" applyNumberFormat="1" applyFont="1" applyFill="1" applyBorder="1" applyAlignment="1">
      <alignment horizontal="center" wrapText="1"/>
    </xf>
    <xf numFmtId="0" fontId="21" fillId="0" borderId="0" xfId="1" applyNumberFormat="1" applyFont="1" applyFill="1" applyBorder="1" applyAlignment="1">
      <alignment horizontal="center"/>
    </xf>
    <xf numFmtId="0" fontId="19" fillId="0" borderId="0" xfId="0" applyNumberFormat="1" applyFont="1" applyFill="1" applyBorder="1" applyAlignment="1">
      <alignment horizontal="center"/>
    </xf>
    <xf numFmtId="0" fontId="21" fillId="0" borderId="0" xfId="0" applyNumberFormat="1" applyFont="1" applyFill="1" applyBorder="1" applyAlignment="1">
      <alignment horizontal="center"/>
    </xf>
    <xf numFmtId="0" fontId="0" fillId="0" borderId="0" xfId="0" applyNumberFormat="1" applyFill="1" applyBorder="1" applyAlignment="1">
      <alignment horizontal="center"/>
    </xf>
    <xf numFmtId="168" fontId="0" fillId="0" borderId="1" xfId="0" applyNumberFormat="1" applyBorder="1"/>
    <xf numFmtId="44" fontId="0" fillId="0" borderId="0" xfId="2" applyFont="1"/>
    <xf numFmtId="0" fontId="0" fillId="0" borderId="0" xfId="0" applyAlignment="1">
      <alignment horizontal="right"/>
    </xf>
    <xf numFmtId="194" fontId="0" fillId="0" borderId="0" xfId="2" applyNumberFormat="1" applyFont="1"/>
    <xf numFmtId="44" fontId="0" fillId="0" borderId="0" xfId="0" applyNumberFormat="1"/>
    <xf numFmtId="2" fontId="0" fillId="0" borderId="0" xfId="0" applyNumberFormat="1"/>
    <xf numFmtId="3" fontId="108" fillId="0" borderId="0" xfId="0" applyNumberFormat="1" applyFont="1"/>
    <xf numFmtId="3" fontId="0" fillId="0" borderId="23" xfId="0" applyNumberFormat="1" applyBorder="1"/>
    <xf numFmtId="44" fontId="0" fillId="0" borderId="23" xfId="0" applyNumberFormat="1" applyBorder="1"/>
    <xf numFmtId="43" fontId="0" fillId="0" borderId="1" xfId="1" applyFont="1" applyBorder="1"/>
    <xf numFmtId="43" fontId="0" fillId="0" borderId="0" xfId="1" applyFont="1" applyFill="1" applyBorder="1"/>
    <xf numFmtId="43" fontId="46" fillId="0" borderId="1" xfId="1" applyFont="1" applyFill="1" applyBorder="1" applyAlignment="1"/>
    <xf numFmtId="17" fontId="5" fillId="0" borderId="35" xfId="21" applyNumberFormat="1" applyFont="1" applyBorder="1"/>
    <xf numFmtId="17" fontId="5" fillId="0" borderId="0" xfId="21" applyNumberFormat="1" applyFont="1" applyBorder="1"/>
    <xf numFmtId="0" fontId="22" fillId="0" borderId="0" xfId="0" applyFont="1" applyAlignment="1">
      <alignment vertical="center"/>
    </xf>
    <xf numFmtId="0" fontId="53" fillId="19" borderId="1" xfId="0" applyFont="1" applyFill="1" applyBorder="1" applyAlignment="1">
      <alignment horizontal="center"/>
    </xf>
    <xf numFmtId="3" fontId="19" fillId="19" borderId="1" xfId="0" applyNumberFormat="1" applyFont="1" applyFill="1" applyBorder="1" applyAlignment="1"/>
    <xf numFmtId="0" fontId="53" fillId="19" borderId="1" xfId="0" applyFont="1" applyFill="1" applyBorder="1"/>
    <xf numFmtId="0" fontId="36" fillId="19" borderId="1" xfId="0" applyFont="1" applyFill="1" applyBorder="1" applyAlignment="1">
      <alignment horizontal="center"/>
    </xf>
    <xf numFmtId="0" fontId="36" fillId="0" borderId="1" xfId="0" applyFont="1" applyBorder="1"/>
    <xf numFmtId="3" fontId="36" fillId="0" borderId="1" xfId="0" applyNumberFormat="1" applyFont="1" applyBorder="1" applyAlignment="1">
      <alignment horizontal="right"/>
    </xf>
    <xf numFmtId="3" fontId="36" fillId="0" borderId="1" xfId="0" applyNumberFormat="1" applyFont="1" applyFill="1" applyBorder="1" applyAlignment="1"/>
    <xf numFmtId="3" fontId="36" fillId="19" borderId="1" xfId="0" applyNumberFormat="1" applyFont="1" applyFill="1" applyBorder="1" applyAlignment="1"/>
    <xf numFmtId="0" fontId="36" fillId="19" borderId="1" xfId="0" applyFont="1" applyFill="1" applyBorder="1"/>
    <xf numFmtId="3" fontId="36" fillId="0" borderId="1" xfId="0" applyNumberFormat="1" applyFont="1" applyBorder="1"/>
    <xf numFmtId="3" fontId="36" fillId="19" borderId="1" xfId="0" applyNumberFormat="1" applyFont="1" applyFill="1" applyBorder="1"/>
    <xf numFmtId="3" fontId="53" fillId="19" borderId="1" xfId="0" applyNumberFormat="1" applyFont="1" applyFill="1" applyBorder="1"/>
    <xf numFmtId="3" fontId="55" fillId="19" borderId="1" xfId="11" applyNumberFormat="1" applyFont="1" applyFill="1" applyBorder="1" applyAlignment="1">
      <alignment vertical="top"/>
    </xf>
    <xf numFmtId="0" fontId="53" fillId="19" borderId="1" xfId="11" applyFont="1" applyFill="1" applyBorder="1"/>
    <xf numFmtId="4" fontId="53" fillId="0" borderId="1" xfId="0" applyNumberFormat="1" applyFont="1" applyBorder="1"/>
    <xf numFmtId="165" fontId="53" fillId="19" borderId="1" xfId="12" applyNumberFormat="1" applyFont="1" applyFill="1" applyBorder="1"/>
    <xf numFmtId="0" fontId="19" fillId="19" borderId="1" xfId="0" applyFont="1" applyFill="1" applyBorder="1" applyAlignment="1">
      <alignment horizontal="center"/>
    </xf>
    <xf numFmtId="165" fontId="19" fillId="19" borderId="1" xfId="2" applyNumberFormat="1" applyFont="1" applyFill="1" applyBorder="1"/>
    <xf numFmtId="0" fontId="0" fillId="19" borderId="0" xfId="0" applyFill="1"/>
    <xf numFmtId="0" fontId="53" fillId="0" borderId="27" xfId="0" applyFont="1" applyFill="1" applyBorder="1"/>
    <xf numFmtId="3" fontId="19" fillId="0" borderId="1" xfId="0" applyNumberFormat="1" applyFont="1" applyFill="1" applyBorder="1" applyAlignment="1">
      <alignment vertical="center"/>
    </xf>
    <xf numFmtId="3" fontId="53" fillId="0" borderId="1" xfId="0" applyNumberFormat="1" applyFont="1" applyBorder="1" applyAlignment="1">
      <alignment vertical="center"/>
    </xf>
    <xf numFmtId="165" fontId="19" fillId="0" borderId="1" xfId="2" applyNumberFormat="1" applyFont="1" applyFill="1" applyBorder="1" applyAlignment="1">
      <alignment vertical="center"/>
    </xf>
    <xf numFmtId="4" fontId="19" fillId="0" borderId="1" xfId="0" applyNumberFormat="1" applyFont="1" applyBorder="1" applyAlignment="1">
      <alignment vertical="center"/>
    </xf>
    <xf numFmtId="0" fontId="101" fillId="4" borderId="1" xfId="0" applyFont="1" applyFill="1" applyBorder="1" applyAlignment="1">
      <alignment wrapText="1"/>
    </xf>
    <xf numFmtId="0" fontId="64" fillId="10" borderId="1" xfId="0" applyNumberFormat="1" applyFont="1" applyFill="1" applyBorder="1" applyAlignment="1">
      <alignment horizontal="center" wrapText="1"/>
    </xf>
    <xf numFmtId="37" fontId="101" fillId="0" borderId="1" xfId="0" applyNumberFormat="1" applyFont="1" applyBorder="1"/>
    <xf numFmtId="0" fontId="101" fillId="0" borderId="1" xfId="0" applyFont="1" applyFill="1" applyBorder="1"/>
    <xf numFmtId="181" fontId="64" fillId="10" borderId="1" xfId="0" applyNumberFormat="1" applyFont="1" applyFill="1" applyBorder="1"/>
    <xf numFmtId="1" fontId="64" fillId="4" borderId="1" xfId="0" applyNumberFormat="1" applyFont="1" applyFill="1" applyBorder="1"/>
    <xf numFmtId="44" fontId="64" fillId="4" borderId="1" xfId="0" applyNumberFormat="1" applyFont="1" applyFill="1" applyBorder="1"/>
    <xf numFmtId="0" fontId="101" fillId="10" borderId="1" xfId="0" applyFont="1" applyFill="1" applyBorder="1"/>
    <xf numFmtId="44" fontId="64" fillId="0" borderId="1" xfId="0" applyNumberFormat="1" applyFont="1" applyBorder="1"/>
    <xf numFmtId="0" fontId="64" fillId="0" borderId="1" xfId="0" applyFont="1" applyBorder="1"/>
    <xf numFmtId="44" fontId="64" fillId="0" borderId="1" xfId="0" applyNumberFormat="1" applyFont="1" applyFill="1" applyBorder="1"/>
    <xf numFmtId="44" fontId="64" fillId="10" borderId="1" xfId="0" applyNumberFormat="1" applyFont="1" applyFill="1" applyBorder="1"/>
    <xf numFmtId="1" fontId="49" fillId="0" borderId="1" xfId="0" applyNumberFormat="1" applyFont="1" applyFill="1" applyBorder="1"/>
    <xf numFmtId="2" fontId="49" fillId="0" borderId="1" xfId="0" applyNumberFormat="1" applyFont="1" applyFill="1" applyBorder="1"/>
    <xf numFmtId="2" fontId="49" fillId="4" borderId="1" xfId="0" applyNumberFormat="1" applyFont="1" applyFill="1" applyBorder="1"/>
    <xf numFmtId="44" fontId="49" fillId="0" borderId="1" xfId="0" applyNumberFormat="1" applyFont="1" applyFill="1" applyBorder="1"/>
    <xf numFmtId="8" fontId="102" fillId="0" borderId="1" xfId="0" applyNumberFormat="1" applyFont="1" applyFill="1" applyBorder="1"/>
    <xf numFmtId="44" fontId="102" fillId="0" borderId="1" xfId="0" applyNumberFormat="1" applyFont="1" applyFill="1" applyBorder="1"/>
    <xf numFmtId="44" fontId="102" fillId="8" borderId="1" xfId="0" applyNumberFormat="1" applyFont="1" applyFill="1" applyBorder="1"/>
    <xf numFmtId="0" fontId="48" fillId="20" borderId="1" xfId="0" applyFont="1" applyFill="1" applyBorder="1" applyAlignment="1">
      <alignment wrapText="1"/>
    </xf>
    <xf numFmtId="0" fontId="0" fillId="0" borderId="1" xfId="0" applyFont="1" applyFill="1" applyBorder="1"/>
    <xf numFmtId="0" fontId="57" fillId="20" borderId="1" xfId="0" applyNumberFormat="1" applyFont="1" applyFill="1" applyBorder="1"/>
    <xf numFmtId="0" fontId="48" fillId="4" borderId="1" xfId="0" applyNumberFormat="1" applyFont="1" applyFill="1" applyBorder="1"/>
    <xf numFmtId="44" fontId="0" fillId="0" borderId="1" xfId="0" applyNumberFormat="1" applyFont="1" applyFill="1" applyBorder="1"/>
    <xf numFmtId="44" fontId="79" fillId="0" borderId="1" xfId="0" applyNumberFormat="1" applyFont="1" applyFill="1" applyBorder="1"/>
    <xf numFmtId="44" fontId="57" fillId="4" borderId="1" xfId="0" applyNumberFormat="1" applyFont="1" applyFill="1" applyBorder="1"/>
    <xf numFmtId="44" fontId="57" fillId="0" borderId="1" xfId="0" applyNumberFormat="1" applyFont="1" applyFill="1" applyBorder="1"/>
    <xf numFmtId="44" fontId="57" fillId="20" borderId="1" xfId="0" applyNumberFormat="1" applyFont="1" applyFill="1" applyBorder="1"/>
    <xf numFmtId="44" fontId="48" fillId="4" borderId="1" xfId="0" applyNumberFormat="1" applyFont="1" applyFill="1" applyBorder="1"/>
    <xf numFmtId="165" fontId="52" fillId="0" borderId="0" xfId="2" applyNumberFormat="1" applyFont="1" applyBorder="1"/>
    <xf numFmtId="0" fontId="21" fillId="0" borderId="0" xfId="0" applyFont="1" applyAlignment="1">
      <alignment horizontal="center"/>
    </xf>
    <xf numFmtId="0" fontId="21" fillId="0" borderId="0" xfId="0" applyFont="1"/>
    <xf numFmtId="173" fontId="21" fillId="0" borderId="0" xfId="0" applyNumberFormat="1" applyFont="1" applyFill="1" applyBorder="1"/>
    <xf numFmtId="3" fontId="30" fillId="0" borderId="0" xfId="0" applyNumberFormat="1" applyFont="1" applyBorder="1" applyAlignment="1">
      <alignment horizontal="center"/>
    </xf>
    <xf numFmtId="4" fontId="30" fillId="0" borderId="0" xfId="0" applyNumberFormat="1" applyFont="1" applyBorder="1" applyAlignment="1">
      <alignment horizontal="center"/>
    </xf>
    <xf numFmtId="4" fontId="30" fillId="0" borderId="0" xfId="0" applyNumberFormat="1" applyFont="1" applyBorder="1" applyAlignment="1">
      <alignment horizontal="right"/>
    </xf>
    <xf numFmtId="4" fontId="30" fillId="0" borderId="0" xfId="0" applyNumberFormat="1" applyFont="1" applyBorder="1"/>
    <xf numFmtId="173" fontId="22" fillId="0" borderId="0" xfId="0" applyNumberFormat="1" applyFont="1" applyFill="1" applyBorder="1"/>
    <xf numFmtId="3" fontId="74" fillId="0" borderId="46" xfId="0" applyNumberFormat="1" applyFont="1" applyBorder="1"/>
    <xf numFmtId="175" fontId="74" fillId="0" borderId="47" xfId="0" applyNumberFormat="1" applyFont="1" applyBorder="1"/>
    <xf numFmtId="3" fontId="74" fillId="0" borderId="47" xfId="0" applyNumberFormat="1" applyFont="1" applyBorder="1"/>
    <xf numFmtId="175" fontId="74" fillId="0" borderId="48" xfId="0" applyNumberFormat="1" applyFont="1" applyBorder="1"/>
    <xf numFmtId="0" fontId="0" fillId="0" borderId="41" xfId="0" applyBorder="1"/>
    <xf numFmtId="3" fontId="74" fillId="0" borderId="49" xfId="0" applyNumberFormat="1" applyFont="1" applyBorder="1"/>
    <xf numFmtId="175" fontId="74" fillId="0" borderId="50" xfId="0" applyNumberFormat="1" applyFont="1" applyBorder="1"/>
    <xf numFmtId="3" fontId="74" fillId="0" borderId="50" xfId="0" applyNumberFormat="1" applyFont="1" applyBorder="1"/>
    <xf numFmtId="175" fontId="74" fillId="0" borderId="51" xfId="0" applyNumberFormat="1" applyFont="1" applyBorder="1"/>
    <xf numFmtId="0" fontId="0" fillId="0" borderId="52" xfId="0" applyBorder="1"/>
    <xf numFmtId="3" fontId="0" fillId="0" borderId="53" xfId="0" applyNumberFormat="1" applyBorder="1"/>
    <xf numFmtId="175" fontId="0" fillId="0" borderId="53" xfId="0" applyNumberFormat="1" applyBorder="1"/>
    <xf numFmtId="175" fontId="0" fillId="0" borderId="54" xfId="0" applyNumberFormat="1" applyBorder="1"/>
    <xf numFmtId="195" fontId="0" fillId="0" borderId="55" xfId="0" applyNumberFormat="1" applyBorder="1" applyAlignment="1">
      <alignment wrapText="1"/>
    </xf>
    <xf numFmtId="175" fontId="0" fillId="0" borderId="1" xfId="0" applyNumberFormat="1" applyBorder="1"/>
    <xf numFmtId="172" fontId="0" fillId="0" borderId="55" xfId="0" applyNumberFormat="1" applyBorder="1" applyAlignment="1">
      <alignment wrapText="1"/>
    </xf>
    <xf numFmtId="0" fontId="0" fillId="0" borderId="9" xfId="0" applyBorder="1"/>
    <xf numFmtId="3" fontId="0" fillId="0" borderId="39" xfId="0" applyNumberFormat="1" applyBorder="1"/>
    <xf numFmtId="175" fontId="0" fillId="0" borderId="39" xfId="0" applyNumberFormat="1" applyBorder="1"/>
    <xf numFmtId="3" fontId="0" fillId="0" borderId="39" xfId="0" applyNumberFormat="1" applyFill="1" applyBorder="1"/>
    <xf numFmtId="3" fontId="0" fillId="0" borderId="56" xfId="0" applyNumberFormat="1" applyBorder="1"/>
    <xf numFmtId="175" fontId="0" fillId="0" borderId="57" xfId="0" applyNumberFormat="1" applyBorder="1"/>
    <xf numFmtId="3" fontId="0" fillId="0" borderId="57" xfId="0" applyNumberFormat="1" applyBorder="1"/>
    <xf numFmtId="0" fontId="74" fillId="0" borderId="58" xfId="0" applyFont="1" applyBorder="1"/>
    <xf numFmtId="0" fontId="57" fillId="0" borderId="0" xfId="0" applyFont="1" applyBorder="1"/>
    <xf numFmtId="3" fontId="62" fillId="0" borderId="1" xfId="0" applyNumberFormat="1" applyFont="1" applyBorder="1"/>
    <xf numFmtId="3" fontId="109" fillId="0" borderId="1" xfId="0" applyNumberFormat="1" applyFont="1" applyFill="1" applyBorder="1"/>
    <xf numFmtId="0" fontId="62" fillId="0" borderId="1" xfId="0" applyFont="1" applyBorder="1"/>
    <xf numFmtId="0" fontId="62" fillId="0" borderId="0" xfId="0" applyFont="1"/>
    <xf numFmtId="4" fontId="62" fillId="0" borderId="1" xfId="0" applyNumberFormat="1" applyFont="1" applyBorder="1"/>
    <xf numFmtId="44" fontId="19" fillId="0" borderId="1" xfId="2" applyFont="1" applyBorder="1" applyAlignment="1">
      <alignment vertical="center"/>
    </xf>
    <xf numFmtId="44" fontId="19" fillId="0" borderId="1" xfId="2" applyFont="1" applyFill="1" applyBorder="1" applyAlignment="1">
      <alignment vertical="center"/>
    </xf>
    <xf numFmtId="175" fontId="0" fillId="0" borderId="59" xfId="0" applyNumberFormat="1" applyBorder="1"/>
    <xf numFmtId="49" fontId="45" fillId="0" borderId="2" xfId="0" applyNumberFormat="1" applyFont="1" applyFill="1" applyBorder="1" applyAlignment="1">
      <alignment horizontal="left" vertical="center"/>
    </xf>
    <xf numFmtId="49" fontId="45" fillId="0" borderId="24" xfId="0" applyNumberFormat="1" applyFont="1" applyFill="1" applyBorder="1" applyAlignment="1">
      <alignment horizontal="left" vertical="center"/>
    </xf>
    <xf numFmtId="49" fontId="45" fillId="0" borderId="4" xfId="0" applyNumberFormat="1" applyFont="1" applyFill="1" applyBorder="1" applyAlignment="1">
      <alignment horizontal="left" vertical="center"/>
    </xf>
    <xf numFmtId="0" fontId="53" fillId="15" borderId="1" xfId="0" applyFont="1" applyFill="1" applyBorder="1" applyAlignment="1">
      <alignment horizontal="center"/>
    </xf>
    <xf numFmtId="0" fontId="53" fillId="22" borderId="1" xfId="0" applyFont="1" applyFill="1" applyBorder="1" applyAlignment="1">
      <alignment horizontal="center"/>
    </xf>
    <xf numFmtId="1" fontId="53" fillId="22" borderId="1" xfId="1" applyNumberFormat="1" applyFont="1" applyFill="1" applyBorder="1"/>
    <xf numFmtId="0" fontId="53" fillId="23" borderId="1" xfId="0" applyFont="1" applyFill="1" applyBorder="1" applyAlignment="1">
      <alignment horizontal="center"/>
    </xf>
    <xf numFmtId="0" fontId="53" fillId="26" borderId="1" xfId="0" applyFont="1" applyFill="1" applyBorder="1" applyAlignment="1">
      <alignment horizontal="center"/>
    </xf>
    <xf numFmtId="164" fontId="0" fillId="26" borderId="1" xfId="1" applyNumberFormat="1" applyFont="1" applyFill="1" applyBorder="1"/>
    <xf numFmtId="44" fontId="53" fillId="15" borderId="1" xfId="2" applyNumberFormat="1" applyFont="1" applyFill="1" applyBorder="1"/>
    <xf numFmtId="44" fontId="53" fillId="0" borderId="1" xfId="2" applyFont="1" applyFill="1" applyBorder="1"/>
    <xf numFmtId="0" fontId="19" fillId="24" borderId="1" xfId="0" applyFont="1" applyFill="1" applyBorder="1" applyAlignment="1">
      <alignment horizontal="center"/>
    </xf>
    <xf numFmtId="44" fontId="0" fillId="26" borderId="1" xfId="2" applyFont="1" applyFill="1" applyBorder="1"/>
    <xf numFmtId="44" fontId="19" fillId="0" borderId="1" xfId="2" applyFont="1" applyFill="1" applyBorder="1"/>
    <xf numFmtId="0" fontId="19" fillId="15" borderId="1" xfId="13" applyFill="1" applyBorder="1"/>
    <xf numFmtId="1" fontId="53" fillId="22" borderId="1" xfId="0" applyNumberFormat="1" applyFont="1" applyFill="1" applyBorder="1"/>
    <xf numFmtId="1" fontId="53" fillId="22" borderId="26" xfId="1" applyNumberFormat="1" applyFont="1" applyFill="1" applyBorder="1"/>
    <xf numFmtId="164" fontId="53" fillId="0" borderId="26" xfId="1" applyNumberFormat="1" applyFont="1" applyFill="1" applyBorder="1"/>
    <xf numFmtId="0" fontId="53" fillId="24" borderId="1" xfId="0" applyFont="1" applyFill="1" applyBorder="1" applyAlignment="1">
      <alignment horizontal="center"/>
    </xf>
    <xf numFmtId="0" fontId="53" fillId="24" borderId="1" xfId="0" applyFont="1" applyFill="1" applyBorder="1"/>
    <xf numFmtId="1" fontId="19" fillId="24" borderId="19" xfId="2" applyNumberFormat="1" applyFont="1" applyFill="1" applyBorder="1"/>
    <xf numFmtId="1" fontId="19" fillId="0" borderId="1" xfId="2" applyNumberFormat="1" applyFont="1" applyFill="1" applyBorder="1"/>
    <xf numFmtId="44" fontId="53" fillId="22" borderId="26" xfId="2" applyFont="1" applyFill="1" applyBorder="1"/>
    <xf numFmtId="165" fontId="19" fillId="24" borderId="1" xfId="2" applyNumberFormat="1" applyFont="1" applyFill="1" applyBorder="1"/>
    <xf numFmtId="44" fontId="19" fillId="24" borderId="19" xfId="2" applyFont="1" applyFill="1" applyBorder="1"/>
    <xf numFmtId="44" fontId="19" fillId="0" borderId="19" xfId="2" applyFont="1" applyFill="1" applyBorder="1"/>
    <xf numFmtId="175" fontId="0" fillId="0" borderId="1" xfId="0" applyNumberFormat="1" applyFill="1" applyBorder="1"/>
    <xf numFmtId="164" fontId="0" fillId="15" borderId="1" xfId="1" applyNumberFormat="1" applyFont="1" applyFill="1" applyBorder="1"/>
    <xf numFmtId="0" fontId="0" fillId="15" borderId="1" xfId="0" applyFill="1" applyBorder="1"/>
    <xf numFmtId="0" fontId="53" fillId="22" borderId="26" xfId="0" applyFont="1" applyFill="1" applyBorder="1"/>
    <xf numFmtId="164" fontId="53" fillId="22" borderId="26" xfId="1" applyNumberFormat="1" applyFont="1" applyFill="1" applyBorder="1"/>
    <xf numFmtId="0" fontId="53" fillId="23" borderId="1" xfId="0" applyFont="1" applyFill="1" applyBorder="1"/>
    <xf numFmtId="173" fontId="19" fillId="27" borderId="1" xfId="0" applyNumberFormat="1" applyFont="1" applyFill="1" applyBorder="1" applyAlignment="1">
      <alignment wrapText="1"/>
    </xf>
    <xf numFmtId="0" fontId="53" fillId="27" borderId="1" xfId="0" applyFont="1" applyFill="1" applyBorder="1" applyAlignment="1">
      <alignment horizontal="center"/>
    </xf>
    <xf numFmtId="4" fontId="55" fillId="27" borderId="1" xfId="11" applyNumberFormat="1" applyFont="1" applyFill="1" applyBorder="1" applyAlignment="1">
      <alignment vertical="top"/>
    </xf>
    <xf numFmtId="2" fontId="0" fillId="15" borderId="1" xfId="0" applyNumberFormat="1" applyFill="1" applyBorder="1"/>
    <xf numFmtId="175" fontId="0" fillId="15" borderId="1" xfId="0" applyNumberFormat="1" applyFill="1" applyBorder="1"/>
    <xf numFmtId="175" fontId="53" fillId="15" borderId="1" xfId="2" applyNumberFormat="1" applyFont="1" applyFill="1" applyBorder="1"/>
    <xf numFmtId="44" fontId="53" fillId="22" borderId="1" xfId="0" applyNumberFormat="1" applyFont="1" applyFill="1" applyBorder="1"/>
    <xf numFmtId="44" fontId="53" fillId="22" borderId="26" xfId="2" applyNumberFormat="1" applyFont="1" applyFill="1" applyBorder="1"/>
    <xf numFmtId="44" fontId="53" fillId="23" borderId="1" xfId="0" applyNumberFormat="1" applyFont="1" applyFill="1" applyBorder="1"/>
    <xf numFmtId="44" fontId="53" fillId="23" borderId="1" xfId="2" applyNumberFormat="1" applyFont="1" applyFill="1" applyBorder="1"/>
    <xf numFmtId="44" fontId="19" fillId="24" borderId="1" xfId="2" applyNumberFormat="1" applyFont="1" applyFill="1" applyBorder="1"/>
    <xf numFmtId="175" fontId="19" fillId="27" borderId="1" xfId="2" applyNumberFormat="1" applyFont="1" applyFill="1" applyBorder="1"/>
    <xf numFmtId="44" fontId="19" fillId="27" borderId="1" xfId="2" applyFont="1" applyFill="1" applyBorder="1"/>
    <xf numFmtId="175" fontId="19" fillId="0" borderId="1" xfId="0" applyNumberFormat="1" applyFont="1" applyBorder="1"/>
    <xf numFmtId="175" fontId="0" fillId="0" borderId="1" xfId="2" applyNumberFormat="1" applyFont="1" applyFill="1" applyBorder="1"/>
    <xf numFmtId="165" fontId="46" fillId="0" borderId="0" xfId="2" applyNumberFormat="1" applyFont="1" applyFill="1" applyBorder="1" applyAlignment="1"/>
    <xf numFmtId="165" fontId="46" fillId="0" borderId="0" xfId="2" applyNumberFormat="1" applyFont="1" applyBorder="1"/>
    <xf numFmtId="174" fontId="53" fillId="0" borderId="1" xfId="0" applyNumberFormat="1" applyFont="1" applyBorder="1"/>
    <xf numFmtId="3" fontId="19" fillId="0" borderId="1" xfId="2" applyNumberFormat="1" applyFont="1" applyBorder="1"/>
    <xf numFmtId="4" fontId="53" fillId="0" borderId="1" xfId="0" applyNumberFormat="1" applyFont="1" applyBorder="1" applyAlignment="1">
      <alignment horizontal="center"/>
    </xf>
    <xf numFmtId="4" fontId="53" fillId="0" borderId="1" xfId="11" applyNumberFormat="1" applyFont="1" applyFill="1" applyBorder="1"/>
    <xf numFmtId="190" fontId="46" fillId="28" borderId="1" xfId="0" applyNumberFormat="1" applyFont="1" applyFill="1" applyBorder="1" applyAlignment="1">
      <alignment horizontal="right" vertical="center" indent="1"/>
    </xf>
    <xf numFmtId="190" fontId="46" fillId="28" borderId="1" xfId="0" applyNumberFormat="1" applyFont="1" applyFill="1" applyBorder="1"/>
    <xf numFmtId="190" fontId="46" fillId="28" borderId="1" xfId="0" applyNumberFormat="1" applyFont="1" applyFill="1" applyBorder="1" applyAlignment="1"/>
    <xf numFmtId="173" fontId="45" fillId="15" borderId="1" xfId="0" applyNumberFormat="1" applyFont="1" applyFill="1" applyBorder="1" applyAlignment="1">
      <alignment horizontal="right" vertical="center" indent="1"/>
    </xf>
    <xf numFmtId="49" fontId="45" fillId="15" borderId="17" xfId="0" applyNumberFormat="1" applyFont="1" applyFill="1" applyBorder="1"/>
    <xf numFmtId="172" fontId="45" fillId="15" borderId="17" xfId="0" applyNumberFormat="1" applyFont="1" applyFill="1" applyBorder="1" applyAlignment="1">
      <alignment horizontal="center"/>
    </xf>
    <xf numFmtId="172" fontId="45" fillId="15" borderId="19" xfId="0" applyNumberFormat="1" applyFont="1" applyFill="1" applyBorder="1" applyAlignment="1">
      <alignment horizontal="center"/>
    </xf>
    <xf numFmtId="173" fontId="46" fillId="28" borderId="1" xfId="0" applyNumberFormat="1" applyFont="1" applyFill="1" applyBorder="1" applyAlignment="1">
      <alignment horizontal="right" vertical="center" indent="1"/>
    </xf>
    <xf numFmtId="0" fontId="46" fillId="28" borderId="1" xfId="0" applyFont="1" applyFill="1" applyBorder="1"/>
    <xf numFmtId="174" fontId="46" fillId="28" borderId="1" xfId="0" applyNumberFormat="1" applyFont="1" applyFill="1" applyBorder="1" applyAlignment="1"/>
    <xf numFmtId="173" fontId="46" fillId="0" borderId="0" xfId="0" applyNumberFormat="1" applyFont="1" applyFill="1" applyBorder="1" applyAlignment="1">
      <alignment horizontal="right" vertical="center" indent="1"/>
    </xf>
    <xf numFmtId="174" fontId="46" fillId="0" borderId="0" xfId="0" applyNumberFormat="1" applyFont="1" applyFill="1" applyBorder="1" applyAlignment="1"/>
    <xf numFmtId="49" fontId="45" fillId="0" borderId="35" xfId="0" applyNumberFormat="1" applyFont="1" applyFill="1" applyBorder="1" applyAlignment="1">
      <alignment horizontal="left" vertical="center"/>
    </xf>
    <xf numFmtId="49" fontId="45" fillId="0" borderId="60" xfId="0" applyNumberFormat="1" applyFont="1" applyFill="1" applyBorder="1" applyAlignment="1">
      <alignment horizontal="left" vertical="center"/>
    </xf>
    <xf numFmtId="191" fontId="46" fillId="28" borderId="1" xfId="0" applyNumberFormat="1" applyFont="1" applyFill="1" applyBorder="1" applyAlignment="1">
      <alignment horizontal="right" vertical="center" indent="1"/>
    </xf>
    <xf numFmtId="191" fontId="46" fillId="28" borderId="1" xfId="0" applyNumberFormat="1" applyFont="1" applyFill="1" applyBorder="1"/>
    <xf numFmtId="191" fontId="46" fillId="28" borderId="1" xfId="0" applyNumberFormat="1" applyFont="1" applyFill="1" applyBorder="1" applyAlignment="1"/>
    <xf numFmtId="192" fontId="46" fillId="28" borderId="1" xfId="0" applyNumberFormat="1" applyFont="1" applyFill="1" applyBorder="1" applyAlignment="1">
      <alignment horizontal="right" vertical="center" indent="1"/>
    </xf>
    <xf numFmtId="192" fontId="46" fillId="28" borderId="1" xfId="0" applyNumberFormat="1" applyFont="1" applyFill="1" applyBorder="1"/>
    <xf numFmtId="192" fontId="46" fillId="28" borderId="1" xfId="0" applyNumberFormat="1" applyFont="1" applyFill="1" applyBorder="1" applyAlignment="1"/>
    <xf numFmtId="0" fontId="19" fillId="0" borderId="1" xfId="0" applyFont="1" applyBorder="1" applyAlignment="1">
      <alignment vertical="center"/>
    </xf>
    <xf numFmtId="0" fontId="19" fillId="0" borderId="0" xfId="0" applyFont="1" applyBorder="1" applyAlignment="1">
      <alignment horizontal="center" vertical="center"/>
    </xf>
    <xf numFmtId="165" fontId="19" fillId="0" borderId="1" xfId="2" applyNumberFormat="1" applyFont="1" applyBorder="1" applyAlignment="1">
      <alignment vertical="center"/>
    </xf>
    <xf numFmtId="165" fontId="46" fillId="0" borderId="0" xfId="2" applyNumberFormat="1" applyFont="1" applyBorder="1" applyAlignment="1">
      <alignment vertical="center"/>
    </xf>
    <xf numFmtId="165" fontId="19" fillId="0" borderId="0" xfId="2" applyNumberFormat="1" applyFont="1" applyBorder="1" applyAlignment="1">
      <alignment vertical="center"/>
    </xf>
    <xf numFmtId="0" fontId="30" fillId="0" borderId="0" xfId="0" applyFont="1" applyAlignment="1">
      <alignment vertical="center"/>
    </xf>
    <xf numFmtId="165" fontId="53" fillId="0" borderId="1" xfId="2" applyNumberFormat="1" applyFont="1" applyBorder="1" applyAlignment="1">
      <alignment horizontal="right" vertical="center"/>
    </xf>
    <xf numFmtId="165" fontId="54" fillId="0" borderId="1" xfId="0" applyNumberFormat="1" applyFont="1" applyBorder="1" applyAlignment="1">
      <alignment horizontal="right" vertical="center"/>
    </xf>
    <xf numFmtId="0" fontId="53" fillId="0" borderId="0" xfId="0" applyFont="1" applyAlignment="1">
      <alignment vertical="center"/>
    </xf>
    <xf numFmtId="174" fontId="53" fillId="0" borderId="1" xfId="0" applyNumberFormat="1" applyFont="1" applyFill="1" applyBorder="1"/>
    <xf numFmtId="164" fontId="19" fillId="0" borderId="0" xfId="1" applyNumberFormat="1" applyFont="1" applyFill="1" applyBorder="1" applyAlignment="1">
      <alignment horizontal="center"/>
    </xf>
    <xf numFmtId="164" fontId="19" fillId="0" borderId="0" xfId="1" applyNumberFormat="1" applyFont="1" applyFill="1" applyBorder="1"/>
    <xf numFmtId="3" fontId="55" fillId="2" borderId="1" xfId="11" applyNumberFormat="1" applyFont="1" applyFill="1" applyBorder="1" applyAlignment="1">
      <alignment vertical="top"/>
    </xf>
    <xf numFmtId="165" fontId="19" fillId="2" borderId="1" xfId="2" applyNumberFormat="1" applyFont="1" applyFill="1" applyBorder="1"/>
    <xf numFmtId="173" fontId="19" fillId="0" borderId="0" xfId="0" applyNumberFormat="1" applyFont="1" applyBorder="1" applyAlignment="1">
      <alignment horizontal="left"/>
    </xf>
    <xf numFmtId="3" fontId="110" fillId="0" borderId="0" xfId="0" applyNumberFormat="1" applyFont="1" applyFill="1" applyBorder="1"/>
    <xf numFmtId="3" fontId="0" fillId="0" borderId="19" xfId="0" applyNumberFormat="1" applyBorder="1"/>
    <xf numFmtId="3" fontId="0" fillId="0" borderId="1" xfId="0" applyNumberFormat="1" applyFill="1" applyBorder="1"/>
    <xf numFmtId="175" fontId="0" fillId="0" borderId="19" xfId="0" applyNumberFormat="1" applyBorder="1"/>
    <xf numFmtId="3" fontId="55" fillId="0" borderId="1" xfId="11" applyNumberFormat="1" applyFont="1" applyFill="1" applyBorder="1" applyAlignment="1">
      <alignment horizontal="center" vertical="top"/>
    </xf>
    <xf numFmtId="3" fontId="53" fillId="0" borderId="1" xfId="11" applyNumberFormat="1" applyFont="1" applyFill="1" applyBorder="1" applyAlignment="1">
      <alignment horizontal="center"/>
    </xf>
    <xf numFmtId="174" fontId="53" fillId="0" borderId="1" xfId="0" applyNumberFormat="1" applyFont="1" applyBorder="1" applyAlignment="1">
      <alignment horizontal="center"/>
    </xf>
    <xf numFmtId="174" fontId="53" fillId="0" borderId="1" xfId="12" applyNumberFormat="1" applyFont="1" applyBorder="1" applyAlignment="1">
      <alignment horizontal="center"/>
    </xf>
    <xf numFmtId="174" fontId="19" fillId="0" borderId="1" xfId="0" applyNumberFormat="1" applyFont="1" applyBorder="1" applyAlignment="1">
      <alignment horizontal="center"/>
    </xf>
    <xf numFmtId="174" fontId="19" fillId="0" borderId="1" xfId="2" applyNumberFormat="1" applyFont="1" applyBorder="1" applyAlignment="1">
      <alignment horizontal="center"/>
    </xf>
    <xf numFmtId="172" fontId="52" fillId="0" borderId="1" xfId="0" applyNumberFormat="1" applyFont="1" applyFill="1" applyBorder="1" applyAlignment="1">
      <alignment horizontal="center"/>
    </xf>
    <xf numFmtId="174" fontId="53" fillId="0" borderId="1" xfId="0" applyNumberFormat="1" applyFont="1" applyFill="1" applyBorder="1" applyAlignment="1">
      <alignment horizontal="center"/>
    </xf>
    <xf numFmtId="174" fontId="53" fillId="0" borderId="1" xfId="12" applyNumberFormat="1" applyFont="1" applyFill="1" applyBorder="1" applyAlignment="1">
      <alignment horizontal="center"/>
    </xf>
    <xf numFmtId="174" fontId="0" fillId="0" borderId="1" xfId="20" applyNumberFormat="1" applyFont="1" applyFill="1" applyBorder="1" applyAlignment="1">
      <alignment horizontal="center"/>
    </xf>
    <xf numFmtId="174" fontId="19" fillId="0" borderId="1" xfId="2" applyNumberFormat="1" applyFont="1" applyFill="1" applyBorder="1" applyAlignment="1">
      <alignment horizontal="center"/>
    </xf>
    <xf numFmtId="0" fontId="96" fillId="0" borderId="0" xfId="0" applyFont="1" applyFill="1" applyBorder="1" applyAlignment="1">
      <alignment horizontal="center" vertical="center"/>
    </xf>
    <xf numFmtId="0" fontId="42" fillId="0" borderId="0" xfId="0" applyFont="1" applyFill="1" applyBorder="1" applyAlignment="1">
      <alignment wrapText="1"/>
    </xf>
    <xf numFmtId="0" fontId="21" fillId="0" borderId="0" xfId="16" applyFont="1" applyFill="1" applyBorder="1" applyAlignment="1">
      <alignment wrapText="1"/>
    </xf>
    <xf numFmtId="3" fontId="71" fillId="0" borderId="0" xfId="0" applyNumberFormat="1" applyFont="1" applyBorder="1"/>
    <xf numFmtId="0" fontId="53" fillId="0" borderId="0" xfId="0" applyFont="1" applyAlignment="1">
      <alignment horizontal="left"/>
    </xf>
    <xf numFmtId="175" fontId="111" fillId="0" borderId="1" xfId="0" applyNumberFormat="1" applyFont="1" applyBorder="1"/>
    <xf numFmtId="175" fontId="46" fillId="0" borderId="0" xfId="0" applyNumberFormat="1" applyFont="1" applyFill="1" applyBorder="1"/>
    <xf numFmtId="175" fontId="46" fillId="0" borderId="0" xfId="0" applyNumberFormat="1" applyFont="1" applyBorder="1"/>
    <xf numFmtId="175" fontId="45" fillId="0" borderId="0" xfId="0" applyNumberFormat="1" applyFont="1" applyBorder="1"/>
    <xf numFmtId="3" fontId="47" fillId="0" borderId="1" xfId="0" applyNumberFormat="1" applyFont="1" applyFill="1" applyBorder="1" applyAlignment="1">
      <alignment horizontal="right"/>
    </xf>
    <xf numFmtId="0" fontId="47" fillId="0" borderId="1" xfId="0" applyFont="1" applyBorder="1" applyAlignment="1">
      <alignment horizontal="right"/>
    </xf>
    <xf numFmtId="175" fontId="46" fillId="0" borderId="1" xfId="0" applyNumberFormat="1" applyFont="1" applyBorder="1" applyAlignment="1">
      <alignment horizontal="right"/>
    </xf>
    <xf numFmtId="175" fontId="46" fillId="0" borderId="1" xfId="0" applyNumberFormat="1" applyFont="1" applyFill="1" applyBorder="1" applyAlignment="1">
      <alignment horizontal="right"/>
    </xf>
    <xf numFmtId="175" fontId="57" fillId="0" borderId="1" xfId="2" applyNumberFormat="1" applyFont="1" applyBorder="1"/>
    <xf numFmtId="175" fontId="46" fillId="0" borderId="1" xfId="2" applyNumberFormat="1" applyFont="1" applyFill="1" applyBorder="1"/>
    <xf numFmtId="175" fontId="45" fillId="0" borderId="1" xfId="2" applyNumberFormat="1" applyFont="1" applyFill="1" applyBorder="1"/>
    <xf numFmtId="41" fontId="0" fillId="0" borderId="0" xfId="0" applyNumberFormat="1"/>
    <xf numFmtId="49" fontId="71" fillId="3" borderId="1" xfId="0" applyNumberFormat="1" applyFont="1" applyFill="1" applyBorder="1" applyAlignment="1">
      <alignment horizontal="center"/>
    </xf>
    <xf numFmtId="173" fontId="104" fillId="0" borderId="1" xfId="0" applyNumberFormat="1" applyFont="1" applyBorder="1"/>
    <xf numFmtId="173" fontId="104" fillId="0" borderId="1" xfId="0" applyNumberFormat="1" applyFont="1" applyBorder="1" applyAlignment="1">
      <alignment horizontal="center"/>
    </xf>
    <xf numFmtId="3" fontId="104" fillId="4" borderId="1" xfId="0" applyNumberFormat="1" applyFont="1" applyFill="1" applyBorder="1" applyAlignment="1">
      <alignment horizontal="right"/>
    </xf>
    <xf numFmtId="3" fontId="104" fillId="0" borderId="1" xfId="0" applyNumberFormat="1" applyFont="1" applyFill="1" applyBorder="1"/>
    <xf numFmtId="173" fontId="104" fillId="0" borderId="1" xfId="0" applyNumberFormat="1" applyFont="1" applyFill="1" applyBorder="1"/>
    <xf numFmtId="0" fontId="104" fillId="0" borderId="1" xfId="0" applyFont="1" applyBorder="1"/>
    <xf numFmtId="4" fontId="104" fillId="0" borderId="1" xfId="0" applyNumberFormat="1" applyFont="1" applyFill="1" applyBorder="1"/>
    <xf numFmtId="3" fontId="104" fillId="4" borderId="0" xfId="0" applyNumberFormat="1" applyFont="1" applyFill="1" applyBorder="1" applyAlignment="1">
      <alignment horizontal="right"/>
    </xf>
    <xf numFmtId="0" fontId="103" fillId="0" borderId="1" xfId="0" applyFont="1" applyBorder="1" applyAlignment="1">
      <alignment horizontal="center"/>
    </xf>
    <xf numFmtId="173" fontId="104" fillId="2" borderId="1" xfId="0" applyNumberFormat="1" applyFont="1" applyFill="1" applyBorder="1"/>
    <xf numFmtId="3" fontId="104" fillId="2" borderId="1" xfId="0" applyNumberFormat="1" applyFont="1" applyFill="1" applyBorder="1" applyAlignment="1">
      <alignment horizontal="right"/>
    </xf>
    <xf numFmtId="173" fontId="71" fillId="0" borderId="1" xfId="0" applyNumberFormat="1" applyFont="1" applyFill="1" applyBorder="1"/>
    <xf numFmtId="3" fontId="53" fillId="4" borderId="0" xfId="0" applyNumberFormat="1" applyFont="1" applyFill="1" applyBorder="1"/>
    <xf numFmtId="44" fontId="53" fillId="0" borderId="1" xfId="2" applyFont="1" applyBorder="1" applyAlignment="1">
      <alignment horizontal="center"/>
    </xf>
    <xf numFmtId="44" fontId="53" fillId="0" borderId="1" xfId="2" applyFont="1" applyBorder="1"/>
    <xf numFmtId="44" fontId="19" fillId="0" borderId="1" xfId="2" applyFont="1" applyBorder="1" applyAlignment="1">
      <alignment horizontal="center"/>
    </xf>
    <xf numFmtId="0" fontId="112" fillId="0" borderId="0" xfId="0" applyFont="1"/>
    <xf numFmtId="0" fontId="51" fillId="0" borderId="0" xfId="11" applyFont="1" applyFill="1"/>
    <xf numFmtId="165" fontId="53" fillId="0" borderId="0" xfId="11" applyNumberFormat="1" applyFont="1" applyBorder="1" applyAlignment="1">
      <alignment horizontal="right"/>
    </xf>
    <xf numFmtId="49" fontId="52" fillId="0" borderId="0" xfId="11" applyNumberFormat="1" applyFont="1" applyFill="1" applyBorder="1"/>
    <xf numFmtId="164" fontId="53" fillId="0" borderId="1" xfId="20" applyNumberFormat="1" applyFont="1" applyBorder="1"/>
    <xf numFmtId="164" fontId="0" fillId="0" borderId="0" xfId="0" applyNumberFormat="1" applyFill="1" applyBorder="1"/>
    <xf numFmtId="165" fontId="53" fillId="0" borderId="35" xfId="11" applyNumberFormat="1" applyFont="1" applyBorder="1" applyAlignment="1">
      <alignment horizontal="right"/>
    </xf>
    <xf numFmtId="0" fontId="53" fillId="0" borderId="35" xfId="11" applyFont="1" applyBorder="1" applyAlignment="1">
      <alignment horizontal="right" vertical="center"/>
    </xf>
    <xf numFmtId="165" fontId="54" fillId="0" borderId="0" xfId="11" applyNumberFormat="1" applyFont="1" applyBorder="1" applyAlignment="1">
      <alignment horizontal="right"/>
    </xf>
    <xf numFmtId="164" fontId="4" fillId="0" borderId="1" xfId="1" applyNumberFormat="1" applyFont="1" applyBorder="1" applyAlignment="1">
      <alignment vertical="center" wrapText="1"/>
    </xf>
    <xf numFmtId="164" fontId="4" fillId="0" borderId="27" xfId="1" applyNumberFormat="1" applyFont="1" applyFill="1" applyBorder="1" applyAlignment="1">
      <alignment vertical="center" wrapText="1"/>
    </xf>
    <xf numFmtId="0" fontId="0" fillId="0" borderId="1" xfId="0" applyFill="1" applyBorder="1"/>
    <xf numFmtId="0" fontId="0" fillId="0" borderId="27" xfId="0" applyFill="1" applyBorder="1"/>
    <xf numFmtId="0" fontId="0" fillId="0" borderId="1" xfId="0" applyBorder="1" applyAlignment="1">
      <alignment vertical="center" wrapText="1"/>
    </xf>
    <xf numFmtId="164" fontId="0" fillId="0" borderId="1" xfId="0" applyNumberFormat="1" applyBorder="1" applyAlignment="1">
      <alignment vertical="center" wrapText="1"/>
    </xf>
    <xf numFmtId="164" fontId="53" fillId="2" borderId="1" xfId="11" applyNumberFormat="1" applyFont="1" applyFill="1" applyBorder="1" applyAlignment="1">
      <alignment horizontal="right"/>
    </xf>
    <xf numFmtId="164" fontId="53" fillId="2" borderId="1" xfId="20" applyNumberFormat="1" applyFont="1" applyFill="1" applyBorder="1" applyAlignment="1">
      <alignment horizontal="right"/>
    </xf>
    <xf numFmtId="165" fontId="53" fillId="0" borderId="0" xfId="2" applyNumberFormat="1" applyFont="1" applyFill="1" applyBorder="1"/>
    <xf numFmtId="164" fontId="53" fillId="0" borderId="0" xfId="11" applyNumberFormat="1" applyFont="1" applyBorder="1" applyAlignment="1">
      <alignment horizontal="right"/>
    </xf>
    <xf numFmtId="164" fontId="4" fillId="0" borderId="1" xfId="1" applyNumberFormat="1" applyFont="1" applyFill="1" applyBorder="1" applyAlignment="1">
      <alignment vertical="center" wrapText="1"/>
    </xf>
    <xf numFmtId="164" fontId="4" fillId="0" borderId="1" xfId="1" applyNumberFormat="1" applyFont="1" applyFill="1" applyBorder="1"/>
    <xf numFmtId="164" fontId="4" fillId="0" borderId="1" xfId="0" applyNumberFormat="1" applyFont="1" applyFill="1" applyBorder="1"/>
    <xf numFmtId="164" fontId="4" fillId="0" borderId="27" xfId="0" applyNumberFormat="1" applyFont="1" applyFill="1" applyBorder="1"/>
    <xf numFmtId="0" fontId="113" fillId="0" borderId="0" xfId="0" applyFont="1"/>
    <xf numFmtId="1" fontId="55" fillId="0" borderId="1" xfId="11" applyNumberFormat="1" applyFont="1" applyFill="1" applyBorder="1" applyAlignment="1">
      <alignment vertical="top"/>
    </xf>
    <xf numFmtId="1" fontId="19" fillId="0" borderId="1" xfId="0" applyNumberFormat="1" applyFont="1" applyFill="1" applyBorder="1" applyAlignment="1">
      <alignment horizontal="right"/>
    </xf>
    <xf numFmtId="1" fontId="55" fillId="0" borderId="1" xfId="11" applyNumberFormat="1" applyFont="1" applyFill="1" applyBorder="1" applyAlignment="1">
      <alignment horizontal="right" vertical="top"/>
    </xf>
    <xf numFmtId="1" fontId="53" fillId="0" borderId="1" xfId="11" applyNumberFormat="1" applyFont="1" applyFill="1" applyBorder="1" applyAlignment="1">
      <alignment horizontal="right"/>
    </xf>
    <xf numFmtId="164" fontId="32" fillId="0" borderId="0" xfId="1" applyNumberFormat="1" applyFont="1" applyFill="1" applyBorder="1"/>
    <xf numFmtId="164" fontId="32" fillId="0" borderId="0" xfId="1" applyNumberFormat="1" applyFont="1" applyFill="1" applyBorder="1" applyAlignment="1"/>
    <xf numFmtId="1" fontId="32" fillId="0" borderId="0" xfId="0" applyNumberFormat="1" applyFont="1" applyFill="1" applyBorder="1" applyAlignment="1">
      <alignment horizontal="right" wrapText="1"/>
    </xf>
    <xf numFmtId="1" fontId="32" fillId="0" borderId="0" xfId="0" applyNumberFormat="1" applyFont="1" applyFill="1" applyBorder="1" applyAlignment="1">
      <alignment horizontal="center" wrapText="1"/>
    </xf>
    <xf numFmtId="0" fontId="32" fillId="0" borderId="0" xfId="0" applyNumberFormat="1" applyFont="1" applyFill="1" applyBorder="1" applyAlignment="1">
      <alignment horizontal="center" wrapText="1"/>
    </xf>
    <xf numFmtId="9" fontId="32" fillId="0" borderId="0" xfId="3" applyFont="1" applyFill="1" applyBorder="1" applyAlignment="1">
      <alignment horizontal="right"/>
    </xf>
    <xf numFmtId="0" fontId="52" fillId="2" borderId="1" xfId="0" applyFont="1" applyFill="1" applyBorder="1"/>
    <xf numFmtId="0" fontId="0" fillId="2" borderId="1" xfId="0" applyFill="1" applyBorder="1" applyAlignment="1">
      <alignment horizontal="center"/>
    </xf>
    <xf numFmtId="44" fontId="19" fillId="0" borderId="1" xfId="2" applyFont="1" applyBorder="1"/>
    <xf numFmtId="44" fontId="19" fillId="0" borderId="1" xfId="2" applyFont="1" applyBorder="1" applyAlignment="1">
      <alignment horizontal="right"/>
    </xf>
    <xf numFmtId="0" fontId="57" fillId="2" borderId="2" xfId="0" applyFont="1" applyFill="1" applyBorder="1"/>
    <xf numFmtId="0" fontId="0" fillId="2" borderId="24" xfId="0" applyFill="1" applyBorder="1"/>
    <xf numFmtId="0" fontId="0" fillId="2" borderId="4" xfId="0" applyFill="1" applyBorder="1"/>
    <xf numFmtId="43" fontId="53" fillId="0" borderId="0" xfId="1" applyFont="1"/>
    <xf numFmtId="43" fontId="53" fillId="0" borderId="1" xfId="1" applyFont="1" applyBorder="1" applyAlignment="1">
      <alignment horizontal="center"/>
    </xf>
    <xf numFmtId="43" fontId="53" fillId="0" borderId="1" xfId="1" applyFont="1" applyBorder="1"/>
    <xf numFmtId="43" fontId="53" fillId="0" borderId="0" xfId="1" applyFont="1" applyBorder="1"/>
    <xf numFmtId="43" fontId="19" fillId="0" borderId="1" xfId="1" applyFont="1" applyBorder="1"/>
    <xf numFmtId="174" fontId="53" fillId="4" borderId="0" xfId="0" applyNumberFormat="1" applyFont="1" applyFill="1" applyBorder="1" applyAlignment="1">
      <alignment horizontal="right"/>
    </xf>
    <xf numFmtId="3" fontId="53" fillId="4" borderId="0" xfId="0" applyNumberFormat="1" applyFont="1" applyFill="1" applyBorder="1" applyAlignment="1"/>
    <xf numFmtId="165" fontId="53" fillId="4" borderId="1" xfId="2" applyNumberFormat="1" applyFont="1" applyFill="1" applyBorder="1" applyAlignment="1">
      <alignment horizontal="right"/>
    </xf>
    <xf numFmtId="3" fontId="21" fillId="0" borderId="0" xfId="0" applyNumberFormat="1" applyFont="1" applyFill="1" applyBorder="1" applyAlignment="1">
      <alignment horizontal="center"/>
    </xf>
    <xf numFmtId="3" fontId="53" fillId="0" borderId="0" xfId="0" applyNumberFormat="1" applyFont="1" applyFill="1" applyBorder="1" applyAlignment="1">
      <alignment horizontal="right"/>
    </xf>
    <xf numFmtId="4" fontId="53" fillId="0" borderId="1" xfId="0" applyNumberFormat="1" applyFont="1" applyFill="1" applyBorder="1"/>
    <xf numFmtId="4" fontId="55" fillId="0" borderId="1" xfId="11" applyNumberFormat="1" applyFont="1" applyFill="1" applyBorder="1"/>
    <xf numFmtId="9" fontId="32" fillId="0" borderId="0" xfId="3" applyFont="1" applyFill="1" applyBorder="1"/>
    <xf numFmtId="0" fontId="22" fillId="0" borderId="0" xfId="0" applyFont="1" applyFill="1" applyAlignment="1">
      <alignment horizontal="center"/>
    </xf>
    <xf numFmtId="0" fontId="22" fillId="0" borderId="0" xfId="0" applyFont="1" applyFill="1"/>
    <xf numFmtId="49" fontId="71" fillId="0" borderId="1" xfId="0" applyNumberFormat="1" applyFont="1" applyFill="1" applyBorder="1"/>
    <xf numFmtId="49" fontId="71" fillId="0" borderId="1" xfId="0" applyNumberFormat="1" applyFont="1" applyFill="1" applyBorder="1" applyAlignment="1">
      <alignment horizontal="center"/>
    </xf>
    <xf numFmtId="172" fontId="71" fillId="0" borderId="1" xfId="0" applyNumberFormat="1" applyFont="1" applyFill="1" applyBorder="1" applyAlignment="1">
      <alignment horizontal="center"/>
    </xf>
    <xf numFmtId="0" fontId="103" fillId="0" borderId="1" xfId="0" applyFont="1" applyFill="1" applyBorder="1"/>
    <xf numFmtId="0" fontId="103" fillId="0" borderId="1" xfId="0" applyFont="1" applyFill="1" applyBorder="1" applyAlignment="1">
      <alignment horizontal="center"/>
    </xf>
    <xf numFmtId="0" fontId="0" fillId="0" borderId="1" xfId="0" applyFill="1" applyBorder="1" applyAlignment="1">
      <alignment horizontal="center"/>
    </xf>
    <xf numFmtId="0" fontId="104" fillId="0" borderId="1" xfId="0" applyFont="1" applyFill="1" applyBorder="1"/>
    <xf numFmtId="164" fontId="0" fillId="0" borderId="1" xfId="1" applyNumberFormat="1" applyFont="1" applyBorder="1" applyAlignment="1">
      <alignment horizontal="center"/>
    </xf>
    <xf numFmtId="164" fontId="0" fillId="0" borderId="0" xfId="1" applyNumberFormat="1" applyFont="1" applyBorder="1"/>
    <xf numFmtId="0" fontId="21" fillId="0" borderId="41" xfId="0" applyFont="1" applyFill="1" applyBorder="1" applyAlignment="1">
      <alignment wrapText="1"/>
    </xf>
    <xf numFmtId="0" fontId="21" fillId="0" borderId="41" xfId="0" applyFont="1" applyFill="1" applyBorder="1" applyAlignment="1">
      <alignment horizontal="center" wrapText="1"/>
    </xf>
    <xf numFmtId="0" fontId="21" fillId="0" borderId="41" xfId="0" applyFont="1" applyFill="1" applyBorder="1" applyAlignment="1">
      <alignment horizontal="center"/>
    </xf>
    <xf numFmtId="169" fontId="21" fillId="0" borderId="41" xfId="0" applyNumberFormat="1" applyFont="1" applyFill="1" applyBorder="1" applyAlignment="1">
      <alignment horizontal="center"/>
    </xf>
    <xf numFmtId="169" fontId="21" fillId="0" borderId="41" xfId="0" applyNumberFormat="1" applyFont="1" applyFill="1" applyBorder="1" applyAlignment="1">
      <alignment horizontal="center" wrapText="1"/>
    </xf>
    <xf numFmtId="169" fontId="33" fillId="0" borderId="41" xfId="0" applyNumberFormat="1" applyFont="1" applyFill="1" applyBorder="1" applyAlignment="1">
      <alignment horizontal="center" wrapText="1"/>
    </xf>
    <xf numFmtId="0" fontId="21" fillId="0" borderId="41" xfId="0" applyFont="1" applyFill="1" applyBorder="1" applyAlignment="1">
      <alignment horizontal="left" wrapText="1"/>
    </xf>
    <xf numFmtId="164" fontId="21" fillId="0" borderId="41" xfId="1" applyNumberFormat="1" applyFont="1" applyFill="1" applyBorder="1"/>
    <xf numFmtId="164" fontId="21" fillId="0" borderId="41" xfId="1" applyNumberFormat="1" applyFont="1" applyFill="1" applyBorder="1" applyAlignment="1">
      <alignment horizontal="center" wrapText="1"/>
    </xf>
    <xf numFmtId="0" fontId="21" fillId="0" borderId="41" xfId="0" applyFont="1" applyFill="1" applyBorder="1" applyAlignment="1"/>
    <xf numFmtId="1" fontId="21" fillId="0" borderId="41" xfId="1" applyNumberFormat="1" applyFont="1" applyFill="1" applyBorder="1"/>
    <xf numFmtId="1" fontId="21" fillId="0" borderId="41" xfId="0" applyNumberFormat="1" applyFont="1" applyFill="1" applyBorder="1" applyAlignment="1">
      <alignment horizontal="right"/>
    </xf>
    <xf numFmtId="9" fontId="21" fillId="0" borderId="41" xfId="3" applyFont="1" applyFill="1" applyBorder="1"/>
    <xf numFmtId="14" fontId="21" fillId="0" borderId="41" xfId="1" applyNumberFormat="1" applyFont="1" applyFill="1" applyBorder="1" applyAlignment="1">
      <alignment horizontal="center"/>
    </xf>
    <xf numFmtId="0" fontId="21" fillId="0" borderId="41" xfId="0" applyFont="1" applyFill="1" applyBorder="1"/>
    <xf numFmtId="1" fontId="21" fillId="0" borderId="41" xfId="0" applyNumberFormat="1" applyFont="1" applyFill="1" applyBorder="1" applyAlignment="1">
      <alignment horizontal="center" wrapText="1"/>
    </xf>
    <xf numFmtId="0" fontId="21" fillId="0" borderId="41" xfId="0" applyNumberFormat="1" applyFont="1" applyFill="1" applyBorder="1" applyAlignment="1">
      <alignment horizontal="center"/>
    </xf>
    <xf numFmtId="165" fontId="21" fillId="0" borderId="41" xfId="2" applyNumberFormat="1" applyFont="1" applyFill="1" applyBorder="1"/>
    <xf numFmtId="2" fontId="21" fillId="0" borderId="41" xfId="0" applyNumberFormat="1" applyFont="1" applyFill="1" applyBorder="1"/>
    <xf numFmtId="164" fontId="21" fillId="0" borderId="41" xfId="1" applyNumberFormat="1" applyFont="1" applyFill="1" applyBorder="1" applyAlignment="1">
      <alignment horizontal="center"/>
    </xf>
    <xf numFmtId="1" fontId="21" fillId="0" borderId="41" xfId="0" applyNumberFormat="1" applyFont="1" applyFill="1" applyBorder="1"/>
    <xf numFmtId="165" fontId="33" fillId="0" borderId="41" xfId="2" applyNumberFormat="1" applyFont="1" applyFill="1" applyBorder="1"/>
    <xf numFmtId="164" fontId="21" fillId="0" borderId="41" xfId="0" applyNumberFormat="1" applyFont="1" applyFill="1" applyBorder="1"/>
    <xf numFmtId="165" fontId="21" fillId="0" borderId="41" xfId="2" applyNumberFormat="1" applyFont="1" applyFill="1" applyBorder="1" applyAlignment="1"/>
    <xf numFmtId="165" fontId="21" fillId="0" borderId="41" xfId="2" applyNumberFormat="1" applyFont="1" applyFill="1" applyBorder="1" applyAlignment="1">
      <alignment horizontal="center" wrapText="1"/>
    </xf>
    <xf numFmtId="165" fontId="21" fillId="0" borderId="41" xfId="2" applyNumberFormat="1" applyFont="1" applyFill="1" applyBorder="1" applyAlignment="1">
      <alignment horizontal="center"/>
    </xf>
    <xf numFmtId="1" fontId="21" fillId="0" borderId="41" xfId="0" applyNumberFormat="1" applyFont="1" applyFill="1" applyBorder="1" applyAlignment="1">
      <alignment horizontal="center"/>
    </xf>
    <xf numFmtId="0" fontId="19" fillId="0" borderId="41" xfId="0" applyFont="1" applyFill="1" applyBorder="1"/>
    <xf numFmtId="0" fontId="29" fillId="0" borderId="0" xfId="0" applyFont="1" applyFill="1" applyBorder="1" applyAlignment="1">
      <alignment horizontal="left" vertical="center"/>
    </xf>
    <xf numFmtId="0" fontId="28" fillId="0" borderId="0" xfId="0" applyFont="1" applyFill="1" applyBorder="1" applyAlignment="1">
      <alignment horizontal="center" vertical="center"/>
    </xf>
    <xf numFmtId="14" fontId="21" fillId="0" borderId="41" xfId="3" applyNumberFormat="1" applyFont="1" applyFill="1" applyBorder="1" applyAlignment="1">
      <alignment horizontal="center"/>
    </xf>
    <xf numFmtId="1" fontId="21" fillId="0" borderId="41" xfId="0" applyNumberFormat="1" applyFont="1" applyFill="1" applyBorder="1" applyAlignment="1">
      <alignment horizontal="right" wrapText="1"/>
    </xf>
    <xf numFmtId="0" fontId="21" fillId="0" borderId="41" xfId="0" applyNumberFormat="1" applyFont="1" applyFill="1" applyBorder="1" applyAlignment="1">
      <alignment horizontal="center" wrapText="1"/>
    </xf>
    <xf numFmtId="9" fontId="21" fillId="0" borderId="41" xfId="3" applyFont="1" applyFill="1" applyBorder="1" applyAlignment="1">
      <alignment horizontal="right"/>
    </xf>
    <xf numFmtId="0" fontId="96" fillId="0" borderId="41" xfId="0" applyFont="1" applyFill="1" applyBorder="1" applyAlignment="1">
      <alignment horizontal="center" vertical="center"/>
    </xf>
    <xf numFmtId="164" fontId="21" fillId="0" borderId="41" xfId="0" applyNumberFormat="1" applyFont="1" applyFill="1" applyBorder="1" applyAlignment="1">
      <alignment horizontal="center" wrapText="1"/>
    </xf>
    <xf numFmtId="43" fontId="21" fillId="0" borderId="41" xfId="1" applyNumberFormat="1" applyFont="1" applyFill="1" applyBorder="1"/>
    <xf numFmtId="9" fontId="21" fillId="0" borderId="41" xfId="3" applyFont="1" applyFill="1" applyBorder="1" applyAlignment="1">
      <alignment horizontal="right" wrapText="1"/>
    </xf>
    <xf numFmtId="165" fontId="21" fillId="0" borderId="41" xfId="0" applyNumberFormat="1" applyFont="1" applyFill="1" applyBorder="1" applyAlignment="1">
      <alignment horizontal="center" wrapText="1"/>
    </xf>
    <xf numFmtId="3" fontId="21" fillId="0" borderId="41" xfId="0" applyNumberFormat="1" applyFont="1" applyFill="1" applyBorder="1"/>
    <xf numFmtId="0" fontId="22" fillId="0" borderId="0" xfId="0" applyFont="1" applyFill="1" applyBorder="1" applyAlignment="1">
      <alignment horizontal="center" vertical="center" wrapText="1"/>
    </xf>
    <xf numFmtId="166" fontId="21" fillId="0" borderId="0" xfId="0" applyNumberFormat="1" applyFont="1" applyFill="1" applyBorder="1"/>
    <xf numFmtId="0" fontId="97" fillId="0" borderId="41" xfId="16" applyFont="1" applyFill="1" applyBorder="1" applyAlignment="1">
      <alignment horizontal="center" wrapText="1"/>
    </xf>
    <xf numFmtId="164" fontId="21" fillId="0" borderId="41" xfId="1" applyNumberFormat="1" applyFont="1" applyFill="1" applyBorder="1" applyAlignment="1">
      <alignment horizontal="right"/>
    </xf>
    <xf numFmtId="164" fontId="21" fillId="0" borderId="41" xfId="1" applyNumberFormat="1" applyFont="1" applyFill="1" applyBorder="1" applyAlignment="1"/>
    <xf numFmtId="164" fontId="21" fillId="0" borderId="41" xfId="3" applyNumberFormat="1" applyFont="1" applyFill="1" applyBorder="1" applyAlignment="1">
      <alignment horizontal="right"/>
    </xf>
    <xf numFmtId="165" fontId="21" fillId="0" borderId="41" xfId="3" applyNumberFormat="1" applyFont="1" applyFill="1" applyBorder="1"/>
    <xf numFmtId="164" fontId="21" fillId="0" borderId="41" xfId="3" applyNumberFormat="1" applyFont="1" applyFill="1" applyBorder="1"/>
    <xf numFmtId="44" fontId="21" fillId="0" borderId="41" xfId="2" applyFont="1" applyFill="1" applyBorder="1" applyAlignment="1">
      <alignment horizontal="center" wrapText="1"/>
    </xf>
    <xf numFmtId="164" fontId="21" fillId="0" borderId="41" xfId="1" applyNumberFormat="1" applyFont="1" applyFill="1" applyBorder="1" applyAlignment="1">
      <alignment wrapText="1"/>
    </xf>
    <xf numFmtId="2" fontId="21" fillId="0" borderId="41" xfId="0" applyNumberFormat="1" applyFont="1" applyFill="1" applyBorder="1" applyAlignment="1">
      <alignment horizontal="right" wrapText="1"/>
    </xf>
    <xf numFmtId="164" fontId="30" fillId="0" borderId="41" xfId="1" applyNumberFormat="1" applyFont="1" applyFill="1" applyBorder="1"/>
    <xf numFmtId="44" fontId="21" fillId="0" borderId="41" xfId="2" applyFont="1" applyFill="1" applyBorder="1" applyAlignment="1">
      <alignment horizontal="center"/>
    </xf>
    <xf numFmtId="169" fontId="34" fillId="0" borderId="41" xfId="0" applyNumberFormat="1" applyFont="1" applyFill="1" applyBorder="1" applyAlignment="1">
      <alignment horizontal="center" wrapText="1"/>
    </xf>
    <xf numFmtId="44" fontId="30" fillId="0" borderId="0" xfId="0" applyNumberFormat="1" applyFont="1" applyFill="1" applyAlignment="1">
      <alignment horizontal="center" vertical="center"/>
    </xf>
    <xf numFmtId="0" fontId="52" fillId="0" borderId="31" xfId="0" applyFont="1" applyBorder="1"/>
    <xf numFmtId="0" fontId="0" fillId="0" borderId="61" xfId="0" applyBorder="1" applyAlignment="1">
      <alignment horizontal="center"/>
    </xf>
    <xf numFmtId="0" fontId="0" fillId="0" borderId="34" xfId="0" applyBorder="1" applyAlignment="1">
      <alignment horizontal="center"/>
    </xf>
    <xf numFmtId="49" fontId="52" fillId="5" borderId="62" xfId="0" applyNumberFormat="1" applyFont="1" applyFill="1" applyBorder="1"/>
    <xf numFmtId="49" fontId="52" fillId="5" borderId="63" xfId="0" applyNumberFormat="1" applyFont="1" applyFill="1" applyBorder="1" applyAlignment="1">
      <alignment horizontal="center"/>
    </xf>
    <xf numFmtId="172" fontId="52" fillId="5" borderId="63" xfId="0" applyNumberFormat="1" applyFont="1" applyFill="1" applyBorder="1" applyAlignment="1">
      <alignment horizontal="center"/>
    </xf>
    <xf numFmtId="172" fontId="52" fillId="5" borderId="64" xfId="0" applyNumberFormat="1" applyFont="1" applyFill="1" applyBorder="1" applyAlignment="1">
      <alignment horizontal="center"/>
    </xf>
    <xf numFmtId="173" fontId="19" fillId="7" borderId="65" xfId="0" applyNumberFormat="1" applyFont="1" applyFill="1" applyBorder="1"/>
    <xf numFmtId="164" fontId="53" fillId="7" borderId="26" xfId="1" applyNumberFormat="1" applyFont="1" applyFill="1" applyBorder="1" applyAlignment="1">
      <alignment horizontal="center"/>
    </xf>
    <xf numFmtId="164" fontId="19" fillId="7" borderId="26" xfId="1" applyNumberFormat="1" applyFont="1" applyFill="1" applyBorder="1" applyAlignment="1">
      <alignment horizontal="center"/>
    </xf>
    <xf numFmtId="164" fontId="19" fillId="7" borderId="66" xfId="1" applyNumberFormat="1" applyFont="1" applyFill="1" applyBorder="1" applyAlignment="1">
      <alignment horizontal="center"/>
    </xf>
    <xf numFmtId="173" fontId="19" fillId="25" borderId="11" xfId="0" applyNumberFormat="1" applyFont="1" applyFill="1" applyBorder="1"/>
    <xf numFmtId="0" fontId="53" fillId="25" borderId="1" xfId="0" applyFont="1" applyFill="1" applyBorder="1" applyAlignment="1">
      <alignment horizontal="center"/>
    </xf>
    <xf numFmtId="0" fontId="53" fillId="25" borderId="15" xfId="0" applyFont="1" applyFill="1" applyBorder="1" applyAlignment="1">
      <alignment horizontal="center"/>
    </xf>
    <xf numFmtId="0" fontId="53" fillId="29" borderId="11" xfId="0" applyFont="1" applyFill="1" applyBorder="1"/>
    <xf numFmtId="0" fontId="53" fillId="29" borderId="1" xfId="0" applyFont="1" applyFill="1" applyBorder="1" applyAlignment="1">
      <alignment horizontal="center"/>
    </xf>
    <xf numFmtId="3" fontId="53" fillId="29" borderId="1" xfId="0" applyNumberFormat="1" applyFont="1" applyFill="1" applyBorder="1" applyAlignment="1">
      <alignment horizontal="center"/>
    </xf>
    <xf numFmtId="3" fontId="53" fillId="29" borderId="15" xfId="0" applyNumberFormat="1" applyFont="1" applyFill="1" applyBorder="1" applyAlignment="1">
      <alignment horizontal="center"/>
    </xf>
    <xf numFmtId="0" fontId="53" fillId="30" borderId="11" xfId="0" applyFont="1" applyFill="1" applyBorder="1"/>
    <xf numFmtId="164" fontId="53" fillId="30" borderId="1" xfId="1" applyNumberFormat="1" applyFont="1" applyFill="1" applyBorder="1" applyAlignment="1">
      <alignment horizontal="center"/>
    </xf>
    <xf numFmtId="164" fontId="53" fillId="30" borderId="15" xfId="1" applyNumberFormat="1" applyFont="1" applyFill="1" applyBorder="1" applyAlignment="1">
      <alignment horizontal="center"/>
    </xf>
    <xf numFmtId="173" fontId="19" fillId="17" borderId="11" xfId="0" applyNumberFormat="1" applyFont="1" applyFill="1" applyBorder="1"/>
    <xf numFmtId="164" fontId="53" fillId="17" borderId="1" xfId="1" applyNumberFormat="1" applyFont="1" applyFill="1" applyBorder="1" applyAlignment="1">
      <alignment horizontal="center"/>
    </xf>
    <xf numFmtId="164" fontId="55" fillId="17" borderId="1" xfId="1" applyNumberFormat="1" applyFont="1" applyFill="1" applyBorder="1" applyAlignment="1">
      <alignment horizontal="center"/>
    </xf>
    <xf numFmtId="164" fontId="55" fillId="17" borderId="15" xfId="1" applyNumberFormat="1" applyFont="1" applyFill="1" applyBorder="1" applyAlignment="1">
      <alignment horizontal="center"/>
    </xf>
    <xf numFmtId="173" fontId="19" fillId="7" borderId="11" xfId="0" applyNumberFormat="1" applyFont="1" applyFill="1" applyBorder="1"/>
    <xf numFmtId="44" fontId="53" fillId="7" borderId="1" xfId="2" applyFont="1" applyFill="1" applyBorder="1" applyAlignment="1">
      <alignment horizontal="center"/>
    </xf>
    <xf numFmtId="44" fontId="53" fillId="7" borderId="15" xfId="2" applyFont="1" applyFill="1" applyBorder="1" applyAlignment="1">
      <alignment horizontal="center"/>
    </xf>
    <xf numFmtId="0" fontId="19" fillId="25" borderId="11" xfId="0" applyFont="1" applyFill="1" applyBorder="1"/>
    <xf numFmtId="4" fontId="19" fillId="29" borderId="11" xfId="0" applyNumberFormat="1" applyFont="1" applyFill="1" applyBorder="1"/>
    <xf numFmtId="165" fontId="53" fillId="29" borderId="1" xfId="12" applyNumberFormat="1" applyFont="1" applyFill="1" applyBorder="1" applyAlignment="1">
      <alignment horizontal="center"/>
    </xf>
    <xf numFmtId="165" fontId="53" fillId="29" borderId="15" xfId="12" applyNumberFormat="1" applyFont="1" applyFill="1" applyBorder="1" applyAlignment="1">
      <alignment horizontal="center"/>
    </xf>
    <xf numFmtId="0" fontId="19" fillId="30" borderId="22" xfId="0" applyFont="1" applyFill="1" applyBorder="1"/>
    <xf numFmtId="44" fontId="19" fillId="30" borderId="39" xfId="2" applyFont="1" applyFill="1" applyBorder="1" applyAlignment="1">
      <alignment horizontal="center"/>
    </xf>
    <xf numFmtId="44" fontId="19" fillId="30" borderId="20" xfId="2" applyFont="1" applyFill="1" applyBorder="1" applyAlignment="1">
      <alignment horizontal="center"/>
    </xf>
    <xf numFmtId="0" fontId="19" fillId="17" borderId="62" xfId="0" applyFont="1" applyFill="1" applyBorder="1"/>
    <xf numFmtId="44" fontId="19" fillId="17" borderId="63" xfId="2" applyFont="1" applyFill="1" applyBorder="1" applyAlignment="1">
      <alignment horizontal="center"/>
    </xf>
    <xf numFmtId="44" fontId="19" fillId="17" borderId="64" xfId="2" applyFont="1" applyFill="1" applyBorder="1" applyAlignment="1">
      <alignment horizontal="center"/>
    </xf>
    <xf numFmtId="172" fontId="52" fillId="0" borderId="0" xfId="0" applyNumberFormat="1" applyFont="1" applyFill="1" applyBorder="1" applyAlignment="1">
      <alignment horizontal="center"/>
    </xf>
    <xf numFmtId="173" fontId="19" fillId="7" borderId="67" xfId="0" applyNumberFormat="1" applyFont="1" applyFill="1" applyBorder="1"/>
    <xf numFmtId="164" fontId="19" fillId="7" borderId="68" xfId="1" applyNumberFormat="1" applyFont="1" applyFill="1" applyBorder="1" applyAlignment="1">
      <alignment horizontal="center"/>
    </xf>
    <xf numFmtId="164" fontId="19" fillId="7" borderId="69" xfId="1" applyNumberFormat="1" applyFont="1" applyFill="1" applyBorder="1" applyAlignment="1">
      <alignment horizontal="center"/>
    </xf>
    <xf numFmtId="0" fontId="53" fillId="29" borderId="15" xfId="0" applyFont="1" applyFill="1" applyBorder="1" applyAlignment="1">
      <alignment horizontal="center"/>
    </xf>
    <xf numFmtId="0" fontId="53" fillId="0" borderId="0" xfId="0" applyFont="1" applyFill="1" applyBorder="1" applyAlignment="1">
      <alignment horizontal="center"/>
    </xf>
    <xf numFmtId="3" fontId="53" fillId="0" borderId="0" xfId="0" applyNumberFormat="1" applyFont="1" applyFill="1" applyBorder="1" applyAlignment="1">
      <alignment horizontal="center"/>
    </xf>
    <xf numFmtId="3" fontId="53" fillId="30" borderId="1" xfId="0" applyNumberFormat="1" applyFont="1" applyFill="1" applyBorder="1" applyAlignment="1">
      <alignment horizontal="center"/>
    </xf>
    <xf numFmtId="3" fontId="53" fillId="30" borderId="15" xfId="0" applyNumberFormat="1" applyFont="1" applyFill="1" applyBorder="1" applyAlignment="1">
      <alignment horizontal="center"/>
    </xf>
    <xf numFmtId="3" fontId="55" fillId="17" borderId="1" xfId="11" applyNumberFormat="1" applyFont="1" applyFill="1" applyBorder="1" applyAlignment="1">
      <alignment horizontal="center" vertical="top"/>
    </xf>
    <xf numFmtId="3" fontId="55" fillId="17" borderId="15" xfId="11" applyNumberFormat="1" applyFont="1" applyFill="1" applyBorder="1" applyAlignment="1">
      <alignment horizontal="center" vertical="top"/>
    </xf>
    <xf numFmtId="3" fontId="55" fillId="0" borderId="0" xfId="11" applyNumberFormat="1" applyFont="1" applyFill="1" applyBorder="1" applyAlignment="1">
      <alignment horizontal="center" vertical="top"/>
    </xf>
    <xf numFmtId="165" fontId="53" fillId="0" borderId="0" xfId="12" applyNumberFormat="1" applyFont="1" applyFill="1" applyBorder="1" applyAlignment="1">
      <alignment horizontal="center"/>
    </xf>
    <xf numFmtId="0" fontId="0" fillId="17" borderId="62" xfId="0" applyFill="1" applyBorder="1"/>
    <xf numFmtId="0" fontId="0" fillId="17" borderId="63" xfId="0" applyFill="1" applyBorder="1" applyAlignment="1">
      <alignment horizontal="center"/>
    </xf>
    <xf numFmtId="0" fontId="0" fillId="17" borderId="64" xfId="0" applyFill="1" applyBorder="1" applyAlignment="1">
      <alignment horizontal="center"/>
    </xf>
    <xf numFmtId="164" fontId="19" fillId="0" borderId="1" xfId="1" applyNumberFormat="1" applyFont="1" applyBorder="1" applyAlignment="1">
      <alignment horizontal="center"/>
    </xf>
    <xf numFmtId="0" fontId="114" fillId="0" borderId="0" xfId="0" applyFont="1" applyAlignment="1">
      <alignment horizontal="center"/>
    </xf>
    <xf numFmtId="3" fontId="52" fillId="31" borderId="1" xfId="0" applyNumberFormat="1" applyFont="1" applyFill="1" applyBorder="1" applyAlignment="1"/>
    <xf numFmtId="165" fontId="33" fillId="0" borderId="0" xfId="2" applyNumberFormat="1" applyFont="1" applyFill="1" applyBorder="1" applyAlignment="1">
      <alignment horizontal="right" wrapText="1"/>
    </xf>
    <xf numFmtId="165" fontId="34" fillId="0" borderId="41" xfId="2" applyNumberFormat="1" applyFont="1" applyFill="1" applyBorder="1"/>
    <xf numFmtId="0" fontId="0" fillId="0" borderId="0" xfId="0" applyFill="1" applyBorder="1" applyAlignment="1">
      <alignment horizontal="center" vertical="center"/>
    </xf>
    <xf numFmtId="0" fontId="29" fillId="0" borderId="0" xfId="0" applyFont="1" applyFill="1" applyBorder="1" applyAlignment="1">
      <alignment horizontal="left" vertical="center"/>
    </xf>
    <xf numFmtId="0" fontId="28" fillId="0" borderId="0" xfId="0" applyFont="1" applyFill="1" applyBorder="1" applyAlignment="1">
      <alignment horizontal="center" vertical="center"/>
    </xf>
    <xf numFmtId="169" fontId="115" fillId="0" borderId="41" xfId="0" applyNumberFormat="1" applyFont="1" applyFill="1" applyBorder="1" applyAlignment="1">
      <alignment horizontal="center" wrapText="1"/>
    </xf>
    <xf numFmtId="0" fontId="21" fillId="0" borderId="0" xfId="16" applyFont="1" applyFill="1" applyBorder="1" applyAlignment="1">
      <alignment horizontal="center" wrapText="1"/>
    </xf>
    <xf numFmtId="6" fontId="33" fillId="0" borderId="0" xfId="0" applyNumberFormat="1" applyFont="1" applyFill="1" applyBorder="1" applyAlignment="1">
      <alignment horizontal="right" wrapText="1"/>
    </xf>
    <xf numFmtId="165" fontId="37" fillId="0" borderId="41" xfId="2" applyNumberFormat="1" applyFont="1" applyFill="1" applyBorder="1"/>
    <xf numFmtId="0" fontId="51" fillId="0" borderId="0" xfId="0" applyFont="1" applyFill="1" applyBorder="1" applyAlignment="1">
      <alignment horizontal="center"/>
    </xf>
    <xf numFmtId="0" fontId="51" fillId="0" borderId="0" xfId="0" applyFont="1" applyFill="1" applyBorder="1" applyAlignment="1">
      <alignment vertical="center"/>
    </xf>
    <xf numFmtId="0" fontId="30" fillId="0" borderId="0" xfId="0" applyFont="1" applyFill="1" applyBorder="1"/>
    <xf numFmtId="0" fontId="30" fillId="0" borderId="0" xfId="0" applyFont="1" applyFill="1" applyBorder="1" applyAlignment="1">
      <alignment horizontal="center" vertical="center"/>
    </xf>
    <xf numFmtId="0" fontId="53" fillId="0" borderId="0" xfId="0" applyFont="1" applyFill="1" applyBorder="1"/>
    <xf numFmtId="173" fontId="45" fillId="0" borderId="0" xfId="0" applyNumberFormat="1" applyFont="1" applyFill="1" applyBorder="1"/>
    <xf numFmtId="49" fontId="45" fillId="0" borderId="0" xfId="0" applyNumberFormat="1" applyFont="1" applyFill="1" applyBorder="1"/>
    <xf numFmtId="172" fontId="45" fillId="0" borderId="0" xfId="0" applyNumberFormat="1" applyFont="1" applyFill="1" applyBorder="1" applyAlignment="1">
      <alignment horizontal="center"/>
    </xf>
    <xf numFmtId="0" fontId="51" fillId="0" borderId="0" xfId="0" applyFont="1" applyFill="1" applyBorder="1" applyAlignment="1">
      <alignment horizontal="left"/>
    </xf>
    <xf numFmtId="0" fontId="30" fillId="0" borderId="0" xfId="0" applyFont="1" applyFill="1" applyBorder="1" applyAlignment="1">
      <alignment horizontal="center"/>
    </xf>
    <xf numFmtId="0" fontId="30" fillId="0" borderId="0" xfId="0" applyFont="1" applyFill="1" applyBorder="1" applyAlignment="1">
      <alignment horizontal="left" vertical="center"/>
    </xf>
    <xf numFmtId="0" fontId="53" fillId="0" borderId="0" xfId="0" applyFont="1" applyFill="1" applyBorder="1" applyAlignment="1">
      <alignment horizontal="center" vertical="center"/>
    </xf>
    <xf numFmtId="0" fontId="3" fillId="0" borderId="0" xfId="0" applyFont="1" applyFill="1" applyBorder="1" applyAlignment="1">
      <alignment vertical="center"/>
    </xf>
    <xf numFmtId="172" fontId="46" fillId="0" borderId="0" xfId="0" applyNumberFormat="1" applyFont="1" applyFill="1" applyBorder="1" applyAlignment="1">
      <alignment horizontal="center"/>
    </xf>
    <xf numFmtId="175" fontId="19" fillId="0" borderId="0" xfId="0" applyNumberFormat="1" applyFont="1" applyFill="1" applyBorder="1"/>
    <xf numFmtId="0" fontId="53" fillId="0" borderId="0" xfId="11" applyFont="1" applyFill="1" applyBorder="1" applyAlignment="1">
      <alignment horizontal="right"/>
    </xf>
    <xf numFmtId="0" fontId="53" fillId="0" borderId="0" xfId="11" applyFont="1" applyFill="1" applyBorder="1" applyAlignment="1">
      <alignment horizontal="right" vertical="center"/>
    </xf>
    <xf numFmtId="164" fontId="53" fillId="0" borderId="0" xfId="20" applyNumberFormat="1" applyFont="1" applyFill="1" applyBorder="1" applyAlignment="1">
      <alignment horizontal="right"/>
    </xf>
    <xf numFmtId="165" fontId="53" fillId="0" borderId="0" xfId="11" applyNumberFormat="1" applyFont="1" applyFill="1" applyBorder="1" applyAlignment="1">
      <alignment horizontal="right"/>
    </xf>
    <xf numFmtId="0" fontId="51" fillId="0" borderId="0" xfId="11" applyFont="1" applyFill="1" applyBorder="1" applyAlignment="1">
      <alignment horizontal="center" vertical="center"/>
    </xf>
    <xf numFmtId="164" fontId="53" fillId="0" borderId="0" xfId="11" applyNumberFormat="1" applyFont="1" applyFill="1" applyBorder="1" applyAlignment="1">
      <alignment horizontal="right"/>
    </xf>
    <xf numFmtId="165" fontId="54" fillId="0" borderId="0" xfId="11" applyNumberFormat="1" applyFont="1" applyFill="1" applyBorder="1" applyAlignment="1">
      <alignment horizontal="right"/>
    </xf>
    <xf numFmtId="3" fontId="55" fillId="0" borderId="0" xfId="11" applyNumberFormat="1" applyFont="1" applyFill="1" applyBorder="1"/>
    <xf numFmtId="3" fontId="55" fillId="0" borderId="0" xfId="11" applyNumberFormat="1" applyFont="1" applyFill="1" applyBorder="1" applyAlignment="1">
      <alignment vertical="top"/>
    </xf>
    <xf numFmtId="0" fontId="114" fillId="0" borderId="0" xfId="0" applyFont="1" applyFill="1" applyBorder="1" applyAlignment="1">
      <alignment horizontal="center"/>
    </xf>
    <xf numFmtId="0" fontId="51" fillId="0" borderId="0" xfId="0" applyFont="1" applyFill="1" applyBorder="1" applyAlignment="1">
      <alignment horizontal="left" vertical="center"/>
    </xf>
    <xf numFmtId="175" fontId="46" fillId="0" borderId="0" xfId="2" applyNumberFormat="1" applyFont="1" applyFill="1" applyBorder="1"/>
    <xf numFmtId="175" fontId="45" fillId="0" borderId="0" xfId="2" applyNumberFormat="1" applyFont="1" applyFill="1" applyBorder="1"/>
    <xf numFmtId="3" fontId="104" fillId="0" borderId="0" xfId="0" applyNumberFormat="1" applyFont="1" applyFill="1" applyBorder="1" applyAlignment="1">
      <alignment horizontal="right"/>
    </xf>
    <xf numFmtId="3" fontId="104" fillId="0" borderId="0" xfId="0" applyNumberFormat="1" applyFont="1" applyFill="1" applyBorder="1"/>
    <xf numFmtId="49" fontId="104" fillId="0" borderId="0" xfId="0" applyNumberFormat="1" applyFont="1" applyFill="1" applyBorder="1" applyAlignment="1">
      <alignment horizontal="center"/>
    </xf>
    <xf numFmtId="172" fontId="104" fillId="0" borderId="0" xfId="0" applyNumberFormat="1" applyFont="1" applyFill="1" applyBorder="1" applyAlignment="1">
      <alignment horizontal="center"/>
    </xf>
    <xf numFmtId="0" fontId="104" fillId="0" borderId="0" xfId="0" applyFont="1" applyFill="1" applyBorder="1"/>
    <xf numFmtId="4" fontId="53" fillId="0" borderId="0" xfId="0" applyNumberFormat="1" applyFont="1" applyFill="1" applyBorder="1" applyAlignment="1">
      <alignment horizontal="right"/>
    </xf>
    <xf numFmtId="4" fontId="53" fillId="0" borderId="0" xfId="0" applyNumberFormat="1" applyFont="1" applyFill="1" applyBorder="1"/>
    <xf numFmtId="0" fontId="30" fillId="0" borderId="0" xfId="0" applyFont="1" applyFill="1" applyBorder="1" applyAlignment="1">
      <alignment vertical="center"/>
    </xf>
    <xf numFmtId="44" fontId="30" fillId="0" borderId="0" xfId="0" applyNumberFormat="1" applyFont="1" applyFill="1" applyBorder="1" applyAlignment="1">
      <alignment horizontal="center" vertical="center"/>
    </xf>
    <xf numFmtId="49" fontId="19" fillId="0" borderId="0" xfId="0" applyNumberFormat="1" applyFont="1" applyFill="1" applyBorder="1"/>
    <xf numFmtId="49" fontId="19" fillId="0" borderId="0" xfId="0" applyNumberFormat="1" applyFont="1" applyFill="1" applyBorder="1" applyAlignment="1">
      <alignment horizontal="center"/>
    </xf>
    <xf numFmtId="172" fontId="19" fillId="0" borderId="0" xfId="0" applyNumberFormat="1" applyFont="1" applyFill="1" applyBorder="1" applyAlignment="1">
      <alignment horizontal="center"/>
    </xf>
    <xf numFmtId="44" fontId="19" fillId="0" borderId="0" xfId="2" applyFont="1" applyFill="1" applyBorder="1"/>
    <xf numFmtId="3" fontId="19" fillId="0" borderId="0" xfId="0" applyNumberFormat="1" applyFont="1" applyFill="1" applyBorder="1"/>
    <xf numFmtId="2" fontId="19" fillId="0" borderId="0" xfId="0" applyNumberFormat="1" applyFont="1" applyFill="1" applyBorder="1"/>
    <xf numFmtId="43" fontId="53" fillId="0" borderId="0" xfId="1" applyFont="1" applyFill="1" applyBorder="1"/>
    <xf numFmtId="43" fontId="53" fillId="0" borderId="0" xfId="1" applyFont="1" applyFill="1" applyBorder="1" applyAlignment="1">
      <alignment horizontal="center"/>
    </xf>
    <xf numFmtId="0" fontId="113" fillId="0" borderId="0" xfId="0" applyFont="1" applyFill="1" applyBorder="1"/>
    <xf numFmtId="0" fontId="53" fillId="0" borderId="0" xfId="0" applyFont="1" applyFill="1" applyBorder="1" applyAlignment="1">
      <alignment horizontal="right"/>
    </xf>
    <xf numFmtId="164" fontId="53" fillId="0" borderId="0" xfId="1" applyNumberFormat="1" applyFont="1" applyFill="1" applyBorder="1" applyAlignment="1">
      <alignment horizontal="center"/>
    </xf>
    <xf numFmtId="44" fontId="53" fillId="0" borderId="0" xfId="2" applyFont="1" applyFill="1" applyBorder="1" applyAlignment="1">
      <alignment horizontal="center"/>
    </xf>
    <xf numFmtId="44" fontId="53" fillId="0" borderId="0" xfId="2" applyFont="1" applyFill="1" applyBorder="1"/>
    <xf numFmtId="44" fontId="19" fillId="0" borderId="0" xfId="2" applyFont="1" applyFill="1" applyBorder="1" applyAlignment="1">
      <alignment horizontal="center"/>
    </xf>
    <xf numFmtId="0" fontId="30" fillId="0" borderId="0" xfId="11" applyFont="1" applyFill="1" applyBorder="1" applyAlignment="1">
      <alignment horizontal="center" vertical="center"/>
    </xf>
    <xf numFmtId="0" fontId="48" fillId="0" borderId="0" xfId="0" applyFont="1" applyFill="1" applyBorder="1"/>
    <xf numFmtId="0" fontId="48" fillId="0" borderId="0" xfId="0" applyFont="1" applyFill="1" applyBorder="1" applyAlignment="1">
      <alignment horizontal="center"/>
    </xf>
    <xf numFmtId="0" fontId="48" fillId="0" borderId="0" xfId="0" applyNumberFormat="1" applyFont="1" applyFill="1" applyBorder="1"/>
    <xf numFmtId="44" fontId="48" fillId="0" borderId="0" xfId="0" applyNumberFormat="1" applyFont="1" applyFill="1" applyBorder="1"/>
    <xf numFmtId="2" fontId="53" fillId="0" borderId="0" xfId="11" applyNumberFormat="1" applyFont="1" applyFill="1" applyBorder="1"/>
    <xf numFmtId="1" fontId="53" fillId="0" borderId="0" xfId="1" applyNumberFormat="1" applyFont="1" applyFill="1" applyBorder="1"/>
    <xf numFmtId="0" fontId="53" fillId="0" borderId="0" xfId="0" applyFont="1" applyFill="1" applyBorder="1" applyAlignment="1">
      <alignment wrapText="1"/>
    </xf>
    <xf numFmtId="44" fontId="53" fillId="0" borderId="0" xfId="2" applyNumberFormat="1" applyFont="1" applyFill="1" applyBorder="1"/>
    <xf numFmtId="3" fontId="55" fillId="0" borderId="0" xfId="11" applyNumberFormat="1" applyFont="1" applyFill="1" applyBorder="1" applyAlignment="1">
      <alignment horizontal="right"/>
    </xf>
    <xf numFmtId="1" fontId="19" fillId="0" borderId="0" xfId="2" applyNumberFormat="1" applyFont="1" applyFill="1" applyBorder="1"/>
    <xf numFmtId="2" fontId="55" fillId="0" borderId="0" xfId="11" applyNumberFormat="1" applyFont="1" applyFill="1" applyBorder="1" applyAlignment="1">
      <alignment vertical="top"/>
    </xf>
    <xf numFmtId="0" fontId="19" fillId="0" borderId="0" xfId="13" applyFont="1" applyFill="1" applyBorder="1"/>
    <xf numFmtId="164" fontId="55" fillId="0" borderId="0" xfId="1" applyNumberFormat="1" applyFont="1" applyFill="1" applyBorder="1" applyAlignment="1">
      <alignment horizontal="center"/>
    </xf>
    <xf numFmtId="0" fontId="53" fillId="0" borderId="0" xfId="0" applyFont="1" applyFill="1" applyBorder="1" applyAlignment="1">
      <alignment vertical="center"/>
    </xf>
    <xf numFmtId="4" fontId="55" fillId="0" borderId="0" xfId="11" applyNumberFormat="1" applyFont="1" applyFill="1" applyBorder="1" applyAlignment="1">
      <alignment vertical="top"/>
    </xf>
    <xf numFmtId="165" fontId="30" fillId="0" borderId="0" xfId="0" applyNumberFormat="1" applyFont="1" applyFill="1" applyBorder="1"/>
    <xf numFmtId="174" fontId="19" fillId="0" borderId="0" xfId="2" applyNumberFormat="1" applyFont="1" applyFill="1" applyBorder="1" applyAlignment="1">
      <alignment horizontal="center"/>
    </xf>
    <xf numFmtId="174" fontId="19" fillId="0" borderId="0" xfId="0" applyNumberFormat="1" applyFont="1" applyFill="1" applyBorder="1" applyAlignment="1">
      <alignment horizontal="center"/>
    </xf>
    <xf numFmtId="175" fontId="19" fillId="0" borderId="0" xfId="2" applyNumberFormat="1" applyFont="1" applyFill="1" applyBorder="1"/>
    <xf numFmtId="175" fontId="53" fillId="0" borderId="0" xfId="2" applyNumberFormat="1" applyFont="1" applyFill="1" applyBorder="1"/>
    <xf numFmtId="44" fontId="19" fillId="0" borderId="0" xfId="2" applyNumberFormat="1" applyFont="1" applyFill="1" applyBorder="1"/>
    <xf numFmtId="49" fontId="46" fillId="0" borderId="0" xfId="0" applyNumberFormat="1" applyFont="1" applyFill="1" applyBorder="1" applyAlignment="1">
      <alignment horizontal="left" vertical="center"/>
    </xf>
    <xf numFmtId="190" fontId="46" fillId="0" borderId="0" xfId="0" applyNumberFormat="1" applyFont="1" applyFill="1" applyBorder="1" applyAlignment="1">
      <alignment horizontal="right" vertical="center" indent="1"/>
    </xf>
    <xf numFmtId="190" fontId="46" fillId="0" borderId="0" xfId="0" applyNumberFormat="1" applyFont="1" applyFill="1" applyBorder="1" applyAlignment="1"/>
    <xf numFmtId="191" fontId="46" fillId="0" borderId="0" xfId="0" applyNumberFormat="1" applyFont="1" applyFill="1" applyBorder="1" applyAlignment="1">
      <alignment horizontal="right" vertical="center" indent="1"/>
    </xf>
    <xf numFmtId="191" fontId="46" fillId="0" borderId="0" xfId="0" applyNumberFormat="1" applyFont="1" applyFill="1" applyBorder="1" applyAlignment="1"/>
    <xf numFmtId="0" fontId="21" fillId="0" borderId="0" xfId="0" applyFont="1" applyFill="1" applyBorder="1" applyAlignment="1">
      <alignment horizontal="left"/>
    </xf>
    <xf numFmtId="0" fontId="22" fillId="0" borderId="0" xfId="0" applyFont="1" applyFill="1" applyBorder="1" applyAlignment="1"/>
    <xf numFmtId="0" fontId="22" fillId="0" borderId="0" xfId="0" applyFont="1" applyFill="1" applyBorder="1" applyAlignment="1">
      <alignment vertical="top"/>
    </xf>
    <xf numFmtId="9" fontId="21" fillId="0" borderId="0" xfId="3" applyFont="1" applyFill="1" applyBorder="1" applyAlignment="1">
      <alignment horizontal="right"/>
    </xf>
    <xf numFmtId="3" fontId="0" fillId="0" borderId="1" xfId="0" applyNumberFormat="1" applyFont="1" applyBorder="1" applyAlignment="1">
      <alignment horizontal="center" vertical="center"/>
    </xf>
    <xf numFmtId="173" fontId="116" fillId="0" borderId="1" xfId="0" applyNumberFormat="1" applyFont="1" applyBorder="1"/>
    <xf numFmtId="0" fontId="116" fillId="0" borderId="1" xfId="0" applyFont="1" applyBorder="1"/>
    <xf numFmtId="44" fontId="53" fillId="0" borderId="1" xfId="0" applyNumberFormat="1" applyFont="1" applyBorder="1" applyAlignment="1">
      <alignment horizontal="center"/>
    </xf>
    <xf numFmtId="4" fontId="116" fillId="0" borderId="1" xfId="0" applyNumberFormat="1" applyFont="1" applyFill="1" applyBorder="1"/>
    <xf numFmtId="196" fontId="0" fillId="0" borderId="0" xfId="2" applyNumberFormat="1" applyFont="1"/>
    <xf numFmtId="9" fontId="21" fillId="2" borderId="70" xfId="3" applyFont="1" applyFill="1" applyBorder="1"/>
    <xf numFmtId="44" fontId="117" fillId="0" borderId="1" xfId="2" applyFont="1" applyBorder="1" applyAlignment="1">
      <alignment vertical="center"/>
    </xf>
    <xf numFmtId="44" fontId="117" fillId="0" borderId="1" xfId="2" applyFont="1" applyFill="1" applyBorder="1" applyAlignment="1">
      <alignment vertical="center"/>
    </xf>
    <xf numFmtId="4" fontId="19" fillId="0" borderId="1" xfId="0" applyNumberFormat="1" applyFont="1" applyBorder="1" applyAlignment="1">
      <alignment horizontal="center"/>
    </xf>
    <xf numFmtId="3" fontId="48" fillId="0" borderId="1" xfId="2" applyNumberFormat="1" applyFont="1" applyBorder="1" applyAlignment="1">
      <alignment horizontal="center"/>
    </xf>
    <xf numFmtId="3" fontId="48" fillId="0" borderId="1" xfId="2" applyNumberFormat="1" applyFont="1" applyBorder="1"/>
    <xf numFmtId="3" fontId="101" fillId="0" borderId="1" xfId="2" applyNumberFormat="1" applyFont="1" applyFill="1" applyBorder="1" applyAlignment="1"/>
    <xf numFmtId="44" fontId="48" fillId="0" borderId="1" xfId="2" applyFont="1" applyBorder="1" applyAlignment="1">
      <alignment horizontal="center"/>
    </xf>
    <xf numFmtId="44" fontId="48" fillId="0" borderId="1" xfId="2" applyFont="1" applyBorder="1"/>
    <xf numFmtId="44" fontId="48" fillId="0" borderId="1" xfId="2" applyFont="1" applyBorder="1" applyAlignment="1">
      <alignment horizontal="right"/>
    </xf>
    <xf numFmtId="44" fontId="101" fillId="0" borderId="1" xfId="2" applyFont="1" applyFill="1" applyBorder="1" applyAlignment="1"/>
    <xf numFmtId="37" fontId="48" fillId="0" borderId="1" xfId="2" applyNumberFormat="1" applyFont="1" applyBorder="1" applyAlignment="1">
      <alignment horizontal="center"/>
    </xf>
    <xf numFmtId="37" fontId="48" fillId="0" borderId="1" xfId="2" applyNumberFormat="1" applyFont="1" applyBorder="1"/>
    <xf numFmtId="37" fontId="118" fillId="0" borderId="1" xfId="2" applyNumberFormat="1" applyFont="1" applyFill="1" applyBorder="1"/>
    <xf numFmtId="37" fontId="118" fillId="0" borderId="1" xfId="2" applyNumberFormat="1" applyFont="1" applyFill="1" applyBorder="1" applyAlignment="1">
      <alignment vertical="top"/>
    </xf>
    <xf numFmtId="44" fontId="53" fillId="0" borderId="1" xfId="0" applyNumberFormat="1" applyFont="1" applyBorder="1"/>
    <xf numFmtId="44" fontId="101" fillId="0" borderId="1" xfId="2" applyFont="1" applyBorder="1" applyAlignment="1">
      <alignment horizontal="center"/>
    </xf>
    <xf numFmtId="44" fontId="101" fillId="0" borderId="1" xfId="2" applyFont="1" applyBorder="1"/>
    <xf numFmtId="44" fontId="48" fillId="0" borderId="1" xfId="2" applyFont="1" applyFill="1" applyBorder="1" applyAlignment="1">
      <alignment horizontal="center"/>
    </xf>
    <xf numFmtId="0" fontId="92" fillId="0" borderId="1" xfId="0" applyFont="1" applyBorder="1" applyAlignment="1">
      <alignment horizontal="center"/>
    </xf>
    <xf numFmtId="44" fontId="48" fillId="0" borderId="71" xfId="0" applyNumberFormat="1" applyFont="1" applyBorder="1"/>
    <xf numFmtId="0" fontId="48" fillId="0" borderId="71" xfId="0" applyFont="1" applyBorder="1"/>
    <xf numFmtId="175" fontId="53" fillId="0" borderId="1" xfId="0" applyNumberFormat="1" applyFont="1" applyBorder="1" applyAlignment="1">
      <alignment horizontal="center"/>
    </xf>
    <xf numFmtId="175" fontId="53" fillId="0" borderId="1" xfId="0" applyNumberFormat="1" applyFont="1" applyBorder="1"/>
    <xf numFmtId="175" fontId="53" fillId="0" borderId="1" xfId="12" applyNumberFormat="1" applyFont="1" applyBorder="1"/>
    <xf numFmtId="175" fontId="19" fillId="0" borderId="1" xfId="0" applyNumberFormat="1" applyFont="1" applyBorder="1" applyAlignment="1">
      <alignment horizontal="center"/>
    </xf>
    <xf numFmtId="175" fontId="19" fillId="0" borderId="1" xfId="2" applyNumberFormat="1" applyFont="1" applyBorder="1"/>
    <xf numFmtId="49" fontId="45" fillId="0" borderId="2" xfId="0" applyNumberFormat="1" applyFont="1" applyFill="1" applyBorder="1" applyAlignment="1">
      <alignment horizontal="left" vertical="center"/>
    </xf>
    <xf numFmtId="49" fontId="45" fillId="0" borderId="24" xfId="0" applyNumberFormat="1" applyFont="1" applyFill="1" applyBorder="1" applyAlignment="1">
      <alignment horizontal="left" vertical="center"/>
    </xf>
    <xf numFmtId="0" fontId="119" fillId="2" borderId="0" xfId="0" applyFont="1" applyFill="1" applyBorder="1" applyAlignment="1">
      <alignment horizontal="right"/>
    </xf>
    <xf numFmtId="0" fontId="119" fillId="2" borderId="0" xfId="0" applyFont="1" applyFill="1" applyBorder="1" applyAlignment="1">
      <alignment horizontal="center"/>
    </xf>
    <xf numFmtId="0" fontId="119" fillId="2" borderId="0" xfId="0" applyFont="1" applyFill="1" applyBorder="1"/>
    <xf numFmtId="0" fontId="88" fillId="2" borderId="0" xfId="0" applyFont="1" applyFill="1" applyBorder="1"/>
    <xf numFmtId="0" fontId="88" fillId="0" borderId="0" xfId="0" applyFont="1" applyBorder="1"/>
    <xf numFmtId="0" fontId="88" fillId="0" borderId="1" xfId="0" applyFont="1" applyBorder="1"/>
    <xf numFmtId="0" fontId="88" fillId="0" borderId="1" xfId="0" applyFont="1" applyBorder="1" applyAlignment="1">
      <alignment horizontal="center"/>
    </xf>
    <xf numFmtId="0" fontId="120" fillId="4" borderId="1" xfId="0" applyFont="1" applyFill="1" applyBorder="1" applyAlignment="1">
      <alignment wrapText="1"/>
    </xf>
    <xf numFmtId="8" fontId="120" fillId="0" borderId="1" xfId="0" applyNumberFormat="1" applyFont="1" applyBorder="1"/>
    <xf numFmtId="43" fontId="121" fillId="8" borderId="1" xfId="0" applyNumberFormat="1" applyFont="1" applyFill="1" applyBorder="1" applyAlignment="1">
      <alignment horizontal="center"/>
    </xf>
    <xf numFmtId="43" fontId="120" fillId="0" borderId="1" xfId="0" applyNumberFormat="1" applyFont="1" applyBorder="1"/>
    <xf numFmtId="8" fontId="120" fillId="0" borderId="1" xfId="0" applyNumberFormat="1" applyFont="1" applyFill="1" applyBorder="1"/>
    <xf numFmtId="0" fontId="120" fillId="8" borderId="1" xfId="0" applyFont="1" applyFill="1" applyBorder="1" applyAlignment="1">
      <alignment wrapText="1"/>
    </xf>
    <xf numFmtId="1" fontId="120" fillId="0" borderId="1" xfId="0" applyNumberFormat="1" applyFont="1" applyFill="1" applyBorder="1"/>
    <xf numFmtId="1" fontId="120" fillId="8" borderId="1" xfId="0" applyNumberFormat="1" applyFont="1" applyFill="1" applyBorder="1"/>
    <xf numFmtId="2" fontId="120" fillId="0" borderId="1" xfId="0" applyNumberFormat="1" applyFont="1" applyFill="1" applyBorder="1"/>
    <xf numFmtId="2" fontId="120" fillId="4" borderId="1" xfId="0" applyNumberFormat="1" applyFont="1" applyFill="1" applyBorder="1"/>
    <xf numFmtId="1" fontId="120" fillId="4" borderId="1" xfId="0" applyNumberFormat="1" applyFont="1" applyFill="1" applyBorder="1"/>
    <xf numFmtId="44" fontId="120" fillId="0" borderId="1" xfId="0" applyNumberFormat="1" applyFont="1" applyFill="1" applyBorder="1"/>
    <xf numFmtId="44" fontId="120" fillId="4" borderId="1" xfId="0" applyNumberFormat="1" applyFont="1" applyFill="1" applyBorder="1"/>
    <xf numFmtId="8" fontId="121" fillId="0" borderId="1" xfId="0" applyNumberFormat="1" applyFont="1" applyFill="1" applyBorder="1"/>
    <xf numFmtId="44" fontId="121" fillId="0" borderId="1" xfId="0" applyNumberFormat="1" applyFont="1" applyFill="1" applyBorder="1"/>
    <xf numFmtId="44" fontId="121" fillId="8" borderId="1" xfId="0" applyNumberFormat="1" applyFont="1" applyFill="1" applyBorder="1"/>
    <xf numFmtId="0" fontId="122" fillId="4" borderId="1" xfId="0" applyFont="1" applyFill="1" applyBorder="1" applyAlignment="1">
      <alignment wrapText="1"/>
    </xf>
    <xf numFmtId="0" fontId="119" fillId="20" borderId="1" xfId="0" applyFont="1" applyFill="1" applyBorder="1"/>
    <xf numFmtId="0" fontId="88" fillId="0" borderId="1" xfId="0" applyFont="1" applyFill="1" applyBorder="1" applyAlignment="1">
      <alignment horizontal="center"/>
    </xf>
    <xf numFmtId="0" fontId="88" fillId="20" borderId="1" xfId="0" applyFont="1" applyFill="1" applyBorder="1" applyAlignment="1">
      <alignment wrapText="1"/>
    </xf>
    <xf numFmtId="0" fontId="88" fillId="0" borderId="1" xfId="0" applyFont="1" applyFill="1" applyBorder="1"/>
    <xf numFmtId="0" fontId="122" fillId="0" borderId="1" xfId="0" applyFont="1" applyFill="1" applyBorder="1"/>
    <xf numFmtId="0" fontId="119" fillId="20" borderId="1" xfId="0" applyNumberFormat="1" applyFont="1" applyFill="1" applyBorder="1"/>
    <xf numFmtId="0" fontId="88" fillId="0" borderId="1" xfId="0" applyFont="1" applyBorder="1" applyAlignment="1">
      <alignment wrapText="1"/>
    </xf>
    <xf numFmtId="44" fontId="88" fillId="0" borderId="1" xfId="0" applyNumberFormat="1" applyFont="1" applyFill="1" applyBorder="1"/>
    <xf numFmtId="44" fontId="122" fillId="0" borderId="1" xfId="0" applyNumberFormat="1" applyFont="1" applyFill="1" applyBorder="1"/>
    <xf numFmtId="44" fontId="119" fillId="4" borderId="1" xfId="0" applyNumberFormat="1" applyFont="1" applyFill="1" applyBorder="1"/>
    <xf numFmtId="44" fontId="119" fillId="0" borderId="1" xfId="0" applyNumberFormat="1" applyFont="1" applyFill="1" applyBorder="1"/>
    <xf numFmtId="44" fontId="119" fillId="20" borderId="1" xfId="0" applyNumberFormat="1" applyFont="1" applyFill="1" applyBorder="1"/>
    <xf numFmtId="37" fontId="122" fillId="0" borderId="1" xfId="0" applyNumberFormat="1" applyFont="1" applyBorder="1" applyAlignment="1">
      <alignment horizontal="center"/>
    </xf>
    <xf numFmtId="0" fontId="122" fillId="0" borderId="1" xfId="0" applyFont="1" applyBorder="1" applyAlignment="1">
      <alignment horizontal="center"/>
    </xf>
    <xf numFmtId="0" fontId="122" fillId="0" borderId="1" xfId="0" applyNumberFormat="1" applyFont="1" applyBorder="1" applyAlignment="1">
      <alignment horizontal="center"/>
    </xf>
    <xf numFmtId="0" fontId="122" fillId="0" borderId="1" xfId="0" applyNumberFormat="1" applyFont="1" applyBorder="1" applyAlignment="1"/>
    <xf numFmtId="0" fontId="123" fillId="10" borderId="1" xfId="0" applyNumberFormat="1" applyFont="1" applyFill="1" applyBorder="1" applyAlignment="1">
      <alignment horizontal="center" wrapText="1"/>
    </xf>
    <xf numFmtId="0" fontId="122" fillId="0" borderId="1" xfId="0" applyNumberFormat="1" applyFont="1" applyFill="1" applyBorder="1" applyAlignment="1">
      <alignment horizontal="center"/>
    </xf>
    <xf numFmtId="0" fontId="122" fillId="0" borderId="1" xfId="0" applyNumberFormat="1" applyFont="1" applyBorder="1"/>
    <xf numFmtId="0" fontId="122" fillId="10" borderId="1" xfId="0" applyFont="1" applyFill="1" applyBorder="1" applyAlignment="1">
      <alignment wrapText="1"/>
    </xf>
    <xf numFmtId="37" fontId="122" fillId="0" borderId="1" xfId="0" applyNumberFormat="1" applyFont="1" applyBorder="1"/>
    <xf numFmtId="0" fontId="122" fillId="0" borderId="1" xfId="0" applyFont="1" applyBorder="1"/>
    <xf numFmtId="181" fontId="123" fillId="10" borderId="1" xfId="0" applyNumberFormat="1" applyFont="1" applyFill="1" applyBorder="1"/>
    <xf numFmtId="1" fontId="122" fillId="0" borderId="1" xfId="0" applyNumberFormat="1" applyFont="1" applyBorder="1"/>
    <xf numFmtId="1" fontId="122" fillId="0" borderId="1" xfId="0" applyNumberFormat="1" applyFont="1" applyFill="1" applyBorder="1"/>
    <xf numFmtId="1" fontId="123" fillId="4" borderId="1" xfId="0" applyNumberFormat="1" applyFont="1" applyFill="1" applyBorder="1"/>
    <xf numFmtId="44" fontId="122" fillId="0" borderId="1" xfId="0" applyNumberFormat="1" applyFont="1" applyBorder="1"/>
    <xf numFmtId="44" fontId="123" fillId="4" borderId="1" xfId="0" applyNumberFormat="1" applyFont="1" applyFill="1" applyBorder="1"/>
    <xf numFmtId="0" fontId="122" fillId="10" borderId="1" xfId="0" applyFont="1" applyFill="1" applyBorder="1"/>
    <xf numFmtId="44" fontId="123" fillId="0" borderId="1" xfId="0" applyNumberFormat="1" applyFont="1" applyBorder="1"/>
    <xf numFmtId="0" fontId="123" fillId="0" borderId="1" xfId="0" applyFont="1" applyBorder="1"/>
    <xf numFmtId="44" fontId="123" fillId="0" borderId="1" xfId="0" applyNumberFormat="1" applyFont="1" applyFill="1" applyBorder="1"/>
    <xf numFmtId="44" fontId="123" fillId="10" borderId="1" xfId="0" applyNumberFormat="1" applyFont="1" applyFill="1" applyBorder="1"/>
    <xf numFmtId="0" fontId="65" fillId="0" borderId="0" xfId="17" applyFont="1"/>
    <xf numFmtId="190" fontId="46" fillId="16" borderId="26" xfId="0" applyNumberFormat="1" applyFont="1" applyFill="1" applyBorder="1" applyAlignment="1">
      <alignment horizontal="right" vertical="center" indent="1"/>
    </xf>
    <xf numFmtId="190" fontId="46" fillId="16" borderId="17" xfId="0" applyNumberFormat="1" applyFont="1" applyFill="1" applyBorder="1"/>
    <xf numFmtId="190" fontId="46" fillId="16" borderId="17" xfId="0" applyNumberFormat="1" applyFont="1" applyFill="1" applyBorder="1" applyAlignment="1"/>
    <xf numFmtId="190" fontId="46" fillId="16" borderId="1" xfId="0" applyNumberFormat="1" applyFont="1" applyFill="1" applyBorder="1" applyAlignment="1">
      <alignment horizontal="right" vertical="center" indent="1"/>
    </xf>
    <xf numFmtId="190" fontId="46" fillId="16" borderId="2" xfId="0" applyNumberFormat="1" applyFont="1" applyFill="1" applyBorder="1"/>
    <xf numFmtId="190" fontId="46" fillId="16" borderId="2" xfId="0" applyNumberFormat="1" applyFont="1" applyFill="1" applyBorder="1" applyAlignment="1"/>
    <xf numFmtId="190" fontId="46" fillId="16" borderId="1" xfId="0" applyNumberFormat="1" applyFont="1" applyFill="1" applyBorder="1"/>
    <xf numFmtId="190" fontId="46" fillId="16" borderId="1" xfId="0" applyNumberFormat="1" applyFont="1" applyFill="1" applyBorder="1" applyAlignment="1"/>
    <xf numFmtId="190" fontId="46" fillId="32" borderId="1" xfId="0" applyNumberFormat="1" applyFont="1" applyFill="1" applyBorder="1" applyAlignment="1">
      <alignment horizontal="right" vertical="center" indent="1"/>
    </xf>
    <xf numFmtId="190" fontId="46" fillId="32" borderId="1" xfId="0" applyNumberFormat="1" applyFont="1" applyFill="1" applyBorder="1"/>
    <xf numFmtId="190" fontId="46" fillId="32" borderId="1" xfId="0" applyNumberFormat="1" applyFont="1" applyFill="1" applyBorder="1" applyAlignment="1"/>
    <xf numFmtId="173" fontId="46" fillId="17" borderId="1" xfId="0" applyNumberFormat="1" applyFont="1" applyFill="1" applyBorder="1" applyAlignment="1">
      <alignment horizontal="right" vertical="center" indent="1"/>
    </xf>
    <xf numFmtId="173" fontId="46" fillId="32" borderId="1" xfId="0" applyNumberFormat="1" applyFont="1" applyFill="1" applyBorder="1" applyAlignment="1">
      <alignment horizontal="right" vertical="center" indent="1"/>
    </xf>
    <xf numFmtId="0" fontId="46" fillId="32" borderId="1" xfId="0" applyFont="1" applyFill="1" applyBorder="1"/>
    <xf numFmtId="174" fontId="46" fillId="32" borderId="1" xfId="0" applyNumberFormat="1" applyFont="1" applyFill="1" applyBorder="1" applyAlignment="1"/>
    <xf numFmtId="191" fontId="46" fillId="16" borderId="26" xfId="0" applyNumberFormat="1" applyFont="1" applyFill="1" applyBorder="1" applyAlignment="1">
      <alignment horizontal="right" vertical="center" indent="1"/>
    </xf>
    <xf numFmtId="191" fontId="46" fillId="16" borderId="26" xfId="0" applyNumberFormat="1" applyFont="1" applyFill="1" applyBorder="1"/>
    <xf numFmtId="191" fontId="46" fillId="16" borderId="26" xfId="0" applyNumberFormat="1" applyFont="1" applyFill="1" applyBorder="1" applyAlignment="1"/>
    <xf numFmtId="191" fontId="46" fillId="16" borderId="1" xfId="0" applyNumberFormat="1" applyFont="1" applyFill="1" applyBorder="1" applyAlignment="1">
      <alignment horizontal="right" vertical="center" indent="1"/>
    </xf>
    <xf numFmtId="191" fontId="46" fillId="16" borderId="1" xfId="0" applyNumberFormat="1" applyFont="1" applyFill="1" applyBorder="1"/>
    <xf numFmtId="191" fontId="46" fillId="16" borderId="1" xfId="0" applyNumberFormat="1" applyFont="1" applyFill="1" applyBorder="1" applyAlignment="1"/>
    <xf numFmtId="191" fontId="46" fillId="32" borderId="1" xfId="0" applyNumberFormat="1" applyFont="1" applyFill="1" applyBorder="1" applyAlignment="1">
      <alignment horizontal="right" vertical="center" indent="1"/>
    </xf>
    <xf numFmtId="191" fontId="46" fillId="32" borderId="1" xfId="0" applyNumberFormat="1" applyFont="1" applyFill="1" applyBorder="1"/>
    <xf numFmtId="191" fontId="46" fillId="32" borderId="1" xfId="0" applyNumberFormat="1" applyFont="1" applyFill="1" applyBorder="1" applyAlignment="1"/>
    <xf numFmtId="0" fontId="0" fillId="0" borderId="0" xfId="0" applyFill="1" applyBorder="1" applyAlignment="1">
      <alignment horizontal="right" vertical="center" indent="1"/>
    </xf>
    <xf numFmtId="192" fontId="46" fillId="16" borderId="26" xfId="0" applyNumberFormat="1" applyFont="1" applyFill="1" applyBorder="1" applyAlignment="1">
      <alignment horizontal="right" vertical="center" indent="1"/>
    </xf>
    <xf numFmtId="192" fontId="46" fillId="16" borderId="26" xfId="0" applyNumberFormat="1" applyFont="1" applyFill="1" applyBorder="1"/>
    <xf numFmtId="192" fontId="46" fillId="16" borderId="26" xfId="0" applyNumberFormat="1" applyFont="1" applyFill="1" applyBorder="1" applyAlignment="1"/>
    <xf numFmtId="192" fontId="46" fillId="16" borderId="1" xfId="0" applyNumberFormat="1" applyFont="1" applyFill="1" applyBorder="1" applyAlignment="1">
      <alignment horizontal="right" vertical="center" indent="1"/>
    </xf>
    <xf numFmtId="192" fontId="46" fillId="16" borderId="1" xfId="0" applyNumberFormat="1" applyFont="1" applyFill="1" applyBorder="1"/>
    <xf numFmtId="192" fontId="46" fillId="16" borderId="1" xfId="0" applyNumberFormat="1" applyFont="1" applyFill="1" applyBorder="1" applyAlignment="1"/>
    <xf numFmtId="192" fontId="46" fillId="32" borderId="1" xfId="0" applyNumberFormat="1" applyFont="1" applyFill="1" applyBorder="1" applyAlignment="1">
      <alignment horizontal="right" vertical="center" indent="1"/>
    </xf>
    <xf numFmtId="192" fontId="46" fillId="32" borderId="1" xfId="0" applyNumberFormat="1" applyFont="1" applyFill="1" applyBorder="1"/>
    <xf numFmtId="192" fontId="46" fillId="32" borderId="1" xfId="0" applyNumberFormat="1" applyFont="1" applyFill="1" applyBorder="1" applyAlignment="1"/>
    <xf numFmtId="173" fontId="19" fillId="17" borderId="1" xfId="0" applyNumberFormat="1" applyFont="1" applyFill="1" applyBorder="1"/>
    <xf numFmtId="164" fontId="53" fillId="17" borderId="1" xfId="1" applyNumberFormat="1" applyFont="1" applyFill="1" applyBorder="1"/>
    <xf numFmtId="173" fontId="19" fillId="30" borderId="1" xfId="0" applyNumberFormat="1" applyFont="1" applyFill="1" applyBorder="1"/>
    <xf numFmtId="164" fontId="53" fillId="30" borderId="1" xfId="1" applyNumberFormat="1" applyFont="1" applyFill="1" applyBorder="1" applyAlignment="1">
      <alignment horizontal="right"/>
    </xf>
    <xf numFmtId="164" fontId="53" fillId="30" borderId="1" xfId="1" applyNumberFormat="1" applyFont="1" applyFill="1" applyBorder="1"/>
    <xf numFmtId="164" fontId="55" fillId="30" borderId="1" xfId="1" applyNumberFormat="1" applyFont="1" applyFill="1" applyBorder="1"/>
    <xf numFmtId="164" fontId="55" fillId="30" borderId="1" xfId="1" applyNumberFormat="1" applyFont="1" applyFill="1" applyBorder="1" applyAlignment="1">
      <alignment vertical="top"/>
    </xf>
    <xf numFmtId="0" fontId="19" fillId="30" borderId="1" xfId="0" applyFont="1" applyFill="1" applyBorder="1"/>
    <xf numFmtId="165" fontId="19" fillId="30" borderId="1" xfId="2" applyNumberFormat="1" applyFont="1" applyFill="1" applyBorder="1" applyAlignment="1">
      <alignment horizontal="center"/>
    </xf>
    <xf numFmtId="165" fontId="19" fillId="30" borderId="1" xfId="2" applyNumberFormat="1" applyFont="1" applyFill="1" applyBorder="1"/>
    <xf numFmtId="0" fontId="0" fillId="30" borderId="1" xfId="0" applyFill="1" applyBorder="1"/>
    <xf numFmtId="0" fontId="0" fillId="17" borderId="1" xfId="0" applyFill="1" applyBorder="1"/>
    <xf numFmtId="0" fontId="79" fillId="0" borderId="1" xfId="0" applyFont="1" applyFill="1" applyBorder="1" applyAlignment="1">
      <alignment horizontal="center"/>
    </xf>
    <xf numFmtId="17" fontId="2" fillId="0" borderId="35" xfId="17" applyNumberFormat="1" applyFont="1" applyBorder="1"/>
    <xf numFmtId="17" fontId="2" fillId="0" borderId="36" xfId="17" applyNumberFormat="1" applyFont="1" applyBorder="1"/>
    <xf numFmtId="17" fontId="2" fillId="0" borderId="3" xfId="17" applyNumberFormat="1" applyFont="1" applyBorder="1"/>
    <xf numFmtId="17" fontId="2" fillId="0" borderId="0" xfId="17" applyNumberFormat="1" applyFont="1" applyBorder="1"/>
    <xf numFmtId="17" fontId="2" fillId="0" borderId="5" xfId="17" applyNumberFormat="1" applyFont="1" applyBorder="1"/>
    <xf numFmtId="0" fontId="2" fillId="0" borderId="37" xfId="17" applyFont="1" applyBorder="1" applyAlignment="1">
      <alignment horizontal="left" indent="2"/>
    </xf>
    <xf numFmtId="3" fontId="101" fillId="0" borderId="23" xfId="0" applyNumberFormat="1" applyFont="1" applyBorder="1"/>
    <xf numFmtId="41" fontId="2" fillId="0" borderId="38" xfId="17" applyNumberFormat="1" applyFont="1" applyBorder="1"/>
    <xf numFmtId="17" fontId="2" fillId="0" borderId="3" xfId="17" applyNumberFormat="1" applyFont="1" applyBorder="1" applyAlignment="1">
      <alignment horizontal="left" indent="2"/>
    </xf>
    <xf numFmtId="41" fontId="2" fillId="0" borderId="0" xfId="17" applyNumberFormat="1" applyFont="1" applyBorder="1"/>
    <xf numFmtId="41" fontId="2" fillId="0" borderId="5" xfId="17" applyNumberFormat="1" applyFont="1" applyBorder="1"/>
    <xf numFmtId="0" fontId="101" fillId="0" borderId="23" xfId="0" applyFont="1" applyBorder="1"/>
    <xf numFmtId="0" fontId="2" fillId="0" borderId="3" xfId="17" applyFont="1" applyBorder="1" applyAlignment="1">
      <alignment horizontal="left" indent="2"/>
    </xf>
    <xf numFmtId="0" fontId="101" fillId="0" borderId="0" xfId="0" applyFont="1"/>
    <xf numFmtId="17" fontId="2" fillId="0" borderId="17" xfId="17" applyNumberFormat="1" applyFont="1" applyBorder="1" applyAlignment="1">
      <alignment horizontal="left" indent="2"/>
    </xf>
    <xf numFmtId="41" fontId="2" fillId="0" borderId="35" xfId="17" applyNumberFormat="1" applyFont="1" applyBorder="1"/>
    <xf numFmtId="41" fontId="2" fillId="0" borderId="36" xfId="17" applyNumberFormat="1" applyFont="1" applyBorder="1"/>
    <xf numFmtId="0" fontId="2" fillId="0" borderId="40" xfId="17" applyFont="1" applyBorder="1" applyAlignment="1">
      <alignment horizontal="left" indent="2"/>
    </xf>
    <xf numFmtId="41" fontId="2" fillId="0" borderId="41" xfId="17" applyNumberFormat="1" applyFont="1" applyBorder="1"/>
    <xf numFmtId="41" fontId="2" fillId="0" borderId="42" xfId="17" applyNumberFormat="1" applyFont="1" applyBorder="1"/>
    <xf numFmtId="2" fontId="101" fillId="0" borderId="23" xfId="0" applyNumberFormat="1" applyFont="1" applyBorder="1" applyAlignment="1">
      <alignment horizontal="left" indent="4"/>
    </xf>
    <xf numFmtId="2" fontId="2" fillId="0" borderId="38" xfId="17" applyNumberFormat="1" applyFont="1" applyBorder="1" applyAlignment="1">
      <alignment horizontal="left" indent="4"/>
    </xf>
    <xf numFmtId="2" fontId="2" fillId="0" borderId="0" xfId="17" applyNumberFormat="1" applyFont="1" applyBorder="1" applyAlignment="1">
      <alignment horizontal="left" indent="4"/>
    </xf>
    <xf numFmtId="2" fontId="2" fillId="0" borderId="5" xfId="17" applyNumberFormat="1" applyFont="1" applyBorder="1" applyAlignment="1">
      <alignment horizontal="left" indent="4"/>
    </xf>
    <xf numFmtId="2" fontId="101" fillId="0" borderId="0" xfId="0" applyNumberFormat="1" applyFont="1" applyAlignment="1">
      <alignment horizontal="left" indent="4"/>
    </xf>
    <xf numFmtId="197" fontId="2" fillId="0" borderId="36" xfId="17" applyNumberFormat="1" applyFont="1" applyBorder="1"/>
    <xf numFmtId="198" fontId="2" fillId="0" borderId="41" xfId="17" applyNumberFormat="1" applyFont="1" applyBorder="1"/>
    <xf numFmtId="198" fontId="2" fillId="0" borderId="42" xfId="17" applyNumberFormat="1" applyFont="1" applyBorder="1"/>
    <xf numFmtId="1" fontId="79" fillId="0" borderId="1" xfId="0" applyNumberFormat="1" applyFont="1" applyFill="1" applyBorder="1" applyAlignment="1"/>
    <xf numFmtId="0" fontId="79" fillId="0" borderId="1" xfId="0" applyFont="1" applyFill="1" applyBorder="1" applyAlignment="1">
      <alignment horizontal="left" indent="8"/>
    </xf>
    <xf numFmtId="3" fontId="2" fillId="0" borderId="35" xfId="17" applyNumberFormat="1" applyFont="1" applyBorder="1"/>
    <xf numFmtId="3" fontId="2" fillId="0" borderId="36" xfId="17" applyNumberFormat="1" applyFont="1" applyBorder="1"/>
    <xf numFmtId="3" fontId="2" fillId="0" borderId="0" xfId="17" applyNumberFormat="1" applyFont="1" applyBorder="1"/>
    <xf numFmtId="3" fontId="2" fillId="0" borderId="5" xfId="17" applyNumberFormat="1" applyFont="1" applyBorder="1"/>
    <xf numFmtId="3" fontId="2" fillId="0" borderId="38" xfId="17" applyNumberFormat="1" applyFont="1" applyBorder="1"/>
    <xf numFmtId="3" fontId="101" fillId="0" borderId="38" xfId="0" applyNumberFormat="1" applyFont="1" applyBorder="1"/>
    <xf numFmtId="3" fontId="2" fillId="0" borderId="41" xfId="17" applyNumberFormat="1" applyFont="1" applyBorder="1"/>
    <xf numFmtId="3" fontId="2" fillId="0" borderId="42" xfId="17" applyNumberFormat="1" applyFont="1" applyBorder="1"/>
    <xf numFmtId="2" fontId="101" fillId="0" borderId="38" xfId="0" applyNumberFormat="1" applyFont="1" applyBorder="1" applyAlignment="1">
      <alignment horizontal="left" indent="4"/>
    </xf>
    <xf numFmtId="197" fontId="2" fillId="0" borderId="42" xfId="17" applyNumberFormat="1" applyFont="1" applyBorder="1"/>
    <xf numFmtId="0" fontId="53" fillId="2" borderId="1" xfId="0" applyFont="1" applyFill="1" applyBorder="1"/>
    <xf numFmtId="4" fontId="19" fillId="2" borderId="1" xfId="0" applyNumberFormat="1" applyFont="1" applyFill="1" applyBorder="1"/>
    <xf numFmtId="3" fontId="19" fillId="0" borderId="27" xfId="0" applyNumberFormat="1" applyFont="1" applyFill="1" applyBorder="1" applyAlignment="1"/>
    <xf numFmtId="3" fontId="53" fillId="0" borderId="27" xfId="0" applyNumberFormat="1" applyFont="1" applyFill="1" applyBorder="1"/>
    <xf numFmtId="165" fontId="19" fillId="2" borderId="0" xfId="2" applyNumberFormat="1" applyFont="1" applyFill="1" applyBorder="1"/>
    <xf numFmtId="164" fontId="55" fillId="0" borderId="0" xfId="1" applyNumberFormat="1" applyFont="1" applyFill="1" applyBorder="1" applyAlignment="1">
      <alignment vertical="top"/>
    </xf>
    <xf numFmtId="0" fontId="19" fillId="15" borderId="1" xfId="13" applyFill="1" applyBorder="1" applyAlignment="1">
      <alignment horizontal="center"/>
    </xf>
    <xf numFmtId="0" fontId="19" fillId="15" borderId="1" xfId="13" applyFont="1" applyFill="1" applyBorder="1" applyAlignment="1">
      <alignment horizontal="center"/>
    </xf>
    <xf numFmtId="1" fontId="53" fillId="22" borderId="1" xfId="1" applyNumberFormat="1" applyFont="1" applyFill="1" applyBorder="1" applyAlignment="1">
      <alignment horizontal="center"/>
    </xf>
    <xf numFmtId="1" fontId="53" fillId="23" borderId="1" xfId="0" applyNumberFormat="1" applyFont="1" applyFill="1" applyBorder="1" applyAlignment="1">
      <alignment horizontal="center"/>
    </xf>
    <xf numFmtId="1" fontId="53" fillId="23" borderId="1" xfId="1" applyNumberFormat="1" applyFont="1" applyFill="1" applyBorder="1" applyAlignment="1">
      <alignment horizontal="center"/>
    </xf>
    <xf numFmtId="0" fontId="53" fillId="26" borderId="1" xfId="0" applyFont="1" applyFill="1" applyBorder="1" applyAlignment="1">
      <alignment wrapText="1"/>
    </xf>
    <xf numFmtId="0" fontId="0" fillId="26" borderId="1" xfId="0" applyFill="1" applyBorder="1" applyAlignment="1">
      <alignment horizontal="center"/>
    </xf>
    <xf numFmtId="44" fontId="53" fillId="15" borderId="26" xfId="2" applyFont="1" applyFill="1" applyBorder="1" applyAlignment="1">
      <alignment horizontal="center"/>
    </xf>
    <xf numFmtId="44" fontId="53" fillId="22" borderId="1" xfId="2" applyFont="1" applyFill="1" applyBorder="1" applyAlignment="1">
      <alignment horizontal="center"/>
    </xf>
    <xf numFmtId="44" fontId="53" fillId="23" borderId="1" xfId="2" applyFont="1" applyFill="1" applyBorder="1" applyAlignment="1">
      <alignment horizontal="center"/>
    </xf>
    <xf numFmtId="44" fontId="0" fillId="33" borderId="1" xfId="2" applyFont="1" applyFill="1" applyBorder="1" applyAlignment="1">
      <alignment horizontal="center"/>
    </xf>
    <xf numFmtId="0" fontId="0" fillId="33" borderId="1" xfId="0" applyFill="1" applyBorder="1" applyAlignment="1">
      <alignment horizontal="center"/>
    </xf>
    <xf numFmtId="0" fontId="19" fillId="33" borderId="1" xfId="0" applyFont="1" applyFill="1" applyBorder="1" applyAlignment="1">
      <alignment horizontal="center"/>
    </xf>
    <xf numFmtId="44" fontId="0" fillId="0" borderId="1" xfId="2" applyFont="1" applyBorder="1" applyAlignment="1">
      <alignment horizontal="center"/>
    </xf>
    <xf numFmtId="1" fontId="53" fillId="22" borderId="26" xfId="0" applyNumberFormat="1" applyFont="1" applyFill="1" applyBorder="1" applyAlignment="1">
      <alignment horizontal="center"/>
    </xf>
    <xf numFmtId="0" fontId="53" fillId="24" borderId="19" xfId="0" applyFont="1" applyFill="1" applyBorder="1" applyAlignment="1">
      <alignment horizontal="center"/>
    </xf>
    <xf numFmtId="44" fontId="53" fillId="22" borderId="26" xfId="2" applyFont="1" applyFill="1" applyBorder="1" applyAlignment="1">
      <alignment horizontal="center"/>
    </xf>
    <xf numFmtId="44" fontId="19" fillId="24" borderId="19" xfId="2" applyFont="1" applyFill="1" applyBorder="1" applyAlignment="1">
      <alignment horizontal="center"/>
    </xf>
    <xf numFmtId="0" fontId="0" fillId="15" borderId="1" xfId="0" applyFill="1" applyBorder="1" applyAlignment="1">
      <alignment horizontal="center"/>
    </xf>
    <xf numFmtId="1" fontId="53" fillId="22" borderId="1" xfId="0" applyNumberFormat="1" applyFont="1" applyFill="1" applyBorder="1" applyAlignment="1">
      <alignment horizontal="center"/>
    </xf>
    <xf numFmtId="181" fontId="53" fillId="23" borderId="1" xfId="1" applyNumberFormat="1" applyFont="1" applyFill="1" applyBorder="1" applyAlignment="1">
      <alignment horizontal="center"/>
    </xf>
    <xf numFmtId="44" fontId="53" fillId="15" borderId="1" xfId="2" applyFont="1" applyFill="1" applyBorder="1" applyAlignment="1">
      <alignment horizontal="center"/>
    </xf>
    <xf numFmtId="165" fontId="19" fillId="24" borderId="1" xfId="2" applyNumberFormat="1" applyFont="1" applyFill="1" applyBorder="1" applyAlignment="1">
      <alignment horizontal="center"/>
    </xf>
    <xf numFmtId="173" fontId="19" fillId="22" borderId="26" xfId="0" applyNumberFormat="1" applyFont="1" applyFill="1" applyBorder="1" applyAlignment="1">
      <alignment wrapText="1"/>
    </xf>
    <xf numFmtId="0" fontId="53" fillId="22" borderId="26" xfId="0" applyFont="1" applyFill="1" applyBorder="1" applyAlignment="1">
      <alignment horizontal="center"/>
    </xf>
    <xf numFmtId="164" fontId="53" fillId="22" borderId="26" xfId="1" applyNumberFormat="1" applyFont="1" applyFill="1" applyBorder="1" applyAlignment="1">
      <alignment horizontal="center"/>
    </xf>
    <xf numFmtId="164" fontId="53" fillId="23" borderId="1" xfId="1" applyNumberFormat="1" applyFont="1" applyFill="1" applyBorder="1" applyAlignment="1">
      <alignment horizontal="center"/>
    </xf>
    <xf numFmtId="1" fontId="19" fillId="24" borderId="1" xfId="2" applyNumberFormat="1" applyFont="1" applyFill="1" applyBorder="1" applyAlignment="1">
      <alignment horizontal="center"/>
    </xf>
    <xf numFmtId="2" fontId="0" fillId="15" borderId="26" xfId="0" applyNumberFormat="1" applyFill="1" applyBorder="1" applyAlignment="1">
      <alignment horizontal="center"/>
    </xf>
    <xf numFmtId="0" fontId="19" fillId="22" borderId="26" xfId="0" applyFont="1" applyFill="1" applyBorder="1" applyAlignment="1">
      <alignment wrapText="1"/>
    </xf>
    <xf numFmtId="44" fontId="53" fillId="22" borderId="26" xfId="0" applyNumberFormat="1" applyFont="1" applyFill="1" applyBorder="1" applyAlignment="1">
      <alignment horizontal="center"/>
    </xf>
    <xf numFmtId="44" fontId="53" fillId="22" borderId="26" xfId="2" applyNumberFormat="1" applyFont="1" applyFill="1" applyBorder="1" applyAlignment="1">
      <alignment horizontal="center"/>
    </xf>
    <xf numFmtId="44" fontId="53" fillId="23" borderId="1" xfId="0" applyNumberFormat="1" applyFont="1" applyFill="1" applyBorder="1" applyAlignment="1">
      <alignment horizontal="center"/>
    </xf>
    <xf numFmtId="44" fontId="53" fillId="23" borderId="1" xfId="2" applyNumberFormat="1" applyFont="1" applyFill="1" applyBorder="1" applyAlignment="1">
      <alignment horizontal="center"/>
    </xf>
    <xf numFmtId="44" fontId="19" fillId="24" borderId="1" xfId="2" applyNumberFormat="1" applyFont="1" applyFill="1" applyBorder="1" applyAlignment="1">
      <alignment horizontal="center"/>
    </xf>
    <xf numFmtId="175" fontId="19" fillId="27" borderId="1" xfId="2" applyNumberFormat="1" applyFont="1" applyFill="1" applyBorder="1" applyAlignment="1">
      <alignment horizontal="center"/>
    </xf>
    <xf numFmtId="173" fontId="19" fillId="0" borderId="0" xfId="0" applyNumberFormat="1" applyFont="1" applyFill="1" applyBorder="1" applyAlignment="1">
      <alignment horizontal="center"/>
    </xf>
    <xf numFmtId="165" fontId="53" fillId="0" borderId="1" xfId="2" applyNumberFormat="1" applyFont="1" applyFill="1" applyBorder="1" applyAlignment="1">
      <alignment horizontal="right"/>
    </xf>
    <xf numFmtId="49" fontId="52" fillId="0" borderId="1" xfId="0" applyNumberFormat="1" applyFont="1" applyFill="1" applyBorder="1"/>
    <xf numFmtId="172" fontId="52" fillId="0" borderId="35" xfId="0" applyNumberFormat="1" applyFont="1" applyFill="1" applyBorder="1" applyAlignment="1">
      <alignment horizontal="center"/>
    </xf>
    <xf numFmtId="0" fontId="51" fillId="0" borderId="1" xfId="0" applyFont="1" applyFill="1" applyBorder="1" applyAlignment="1">
      <alignment horizontal="center"/>
    </xf>
    <xf numFmtId="0" fontId="51" fillId="0" borderId="1" xfId="0" applyFont="1" applyFill="1" applyBorder="1" applyAlignment="1">
      <alignment horizontal="center" vertical="center"/>
    </xf>
    <xf numFmtId="173" fontId="19" fillId="0" borderId="1" xfId="4" applyNumberFormat="1" applyFont="1" applyFill="1" applyBorder="1"/>
    <xf numFmtId="0" fontId="103" fillId="0" borderId="1" xfId="0" applyFont="1" applyBorder="1" applyAlignment="1">
      <alignment horizontal="right"/>
    </xf>
    <xf numFmtId="0" fontId="0" fillId="0" borderId="1" xfId="0" applyBorder="1" applyAlignment="1">
      <alignment horizontal="right"/>
    </xf>
    <xf numFmtId="0" fontId="103" fillId="0" borderId="1" xfId="0" applyFont="1" applyFill="1" applyBorder="1" applyAlignment="1">
      <alignment horizontal="right"/>
    </xf>
    <xf numFmtId="199" fontId="104" fillId="0" borderId="1" xfId="0" applyNumberFormat="1" applyFont="1" applyFill="1" applyBorder="1" applyAlignment="1">
      <alignment horizontal="right"/>
    </xf>
    <xf numFmtId="166" fontId="19" fillId="0" borderId="1" xfId="1" applyNumberFormat="1" applyBorder="1" applyAlignment="1">
      <alignment horizontal="center" vertical="center"/>
    </xf>
    <xf numFmtId="0" fontId="53" fillId="0" borderId="0" xfId="0" applyFont="1" applyAlignment="1"/>
    <xf numFmtId="168" fontId="0" fillId="0" borderId="0" xfId="0" applyNumberFormat="1"/>
    <xf numFmtId="0" fontId="19" fillId="0" borderId="0" xfId="0" applyFont="1" applyFill="1" applyAlignment="1"/>
    <xf numFmtId="3" fontId="19" fillId="0" borderId="24" xfId="1" applyNumberFormat="1" applyFont="1" applyBorder="1"/>
    <xf numFmtId="3" fontId="19" fillId="0" borderId="24" xfId="0" applyNumberFormat="1" applyFont="1" applyBorder="1"/>
    <xf numFmtId="168" fontId="19" fillId="0" borderId="0" xfId="1" applyNumberFormat="1" applyFont="1"/>
    <xf numFmtId="1" fontId="19" fillId="0" borderId="0" xfId="0" applyNumberFormat="1" applyFont="1" applyFill="1" applyBorder="1" applyAlignment="1" applyProtection="1"/>
    <xf numFmtId="17" fontId="86" fillId="0" borderId="0" xfId="0" applyNumberFormat="1" applyFont="1" applyAlignment="1" applyProtection="1">
      <alignment horizontal="center"/>
    </xf>
    <xf numFmtId="184" fontId="19" fillId="0" borderId="0" xfId="0" applyNumberFormat="1" applyFont="1" applyBorder="1" applyProtection="1"/>
    <xf numFmtId="0" fontId="53" fillId="0" borderId="1" xfId="0" applyFont="1" applyFill="1" applyBorder="1" applyAlignment="1">
      <alignment horizontal="center"/>
    </xf>
    <xf numFmtId="164" fontId="53" fillId="0" borderId="1" xfId="1" applyNumberFormat="1" applyFont="1" applyFill="1" applyBorder="1" applyAlignment="1">
      <alignment horizontal="center"/>
    </xf>
    <xf numFmtId="165" fontId="30" fillId="0" borderId="1" xfId="2" applyNumberFormat="1" applyFont="1" applyFill="1" applyBorder="1"/>
    <xf numFmtId="0" fontId="99" fillId="0" borderId="1" xfId="0" applyFont="1" applyFill="1" applyBorder="1"/>
    <xf numFmtId="0" fontId="53" fillId="0" borderId="1" xfId="0" quotePrefix="1" applyFont="1" applyBorder="1" applyAlignment="1">
      <alignment horizontal="center"/>
    </xf>
    <xf numFmtId="164" fontId="99" fillId="0" borderId="27" xfId="1" applyNumberFormat="1" applyFont="1" applyBorder="1"/>
    <xf numFmtId="164" fontId="99" fillId="0" borderId="1" xfId="1" applyNumberFormat="1" applyFont="1" applyBorder="1"/>
    <xf numFmtId="165" fontId="99" fillId="0" borderId="1" xfId="12" applyNumberFormat="1" applyFont="1" applyBorder="1"/>
    <xf numFmtId="165" fontId="52" fillId="0" borderId="1" xfId="2" applyNumberFormat="1" applyFont="1" applyBorder="1"/>
    <xf numFmtId="164" fontId="92" fillId="0" borderId="1" xfId="1" applyNumberFormat="1" applyFont="1" applyBorder="1"/>
    <xf numFmtId="164" fontId="57" fillId="0" borderId="1" xfId="1" applyNumberFormat="1" applyFont="1" applyBorder="1"/>
    <xf numFmtId="43" fontId="53" fillId="0" borderId="1" xfId="1" applyFont="1" applyFill="1" applyBorder="1" applyAlignment="1">
      <alignment horizontal="center"/>
    </xf>
    <xf numFmtId="43" fontId="99" fillId="0" borderId="1" xfId="1" applyFont="1" applyBorder="1"/>
    <xf numFmtId="3" fontId="47" fillId="0" borderId="0" xfId="0" applyNumberFormat="1" applyFont="1"/>
    <xf numFmtId="0" fontId="47" fillId="0" borderId="1" xfId="0" applyFont="1" applyFill="1" applyBorder="1" applyAlignment="1">
      <alignment horizontal="right"/>
    </xf>
    <xf numFmtId="175" fontId="47" fillId="0" borderId="1" xfId="0" applyNumberFormat="1" applyFont="1" applyFill="1" applyBorder="1"/>
    <xf numFmtId="175" fontId="47" fillId="0" borderId="1" xfId="0" applyNumberFormat="1" applyFont="1" applyBorder="1"/>
    <xf numFmtId="175" fontId="111" fillId="0" borderId="1" xfId="0" applyNumberFormat="1" applyFont="1" applyFill="1" applyBorder="1"/>
    <xf numFmtId="0" fontId="42" fillId="0" borderId="0" xfId="0" applyFont="1" applyFill="1" applyBorder="1" applyAlignment="1">
      <alignment horizontal="center" wrapText="1"/>
    </xf>
    <xf numFmtId="0" fontId="21" fillId="0" borderId="0" xfId="0" applyFont="1" applyFill="1" applyBorder="1" applyAlignment="1">
      <alignment horizontal="center" vertical="center" wrapText="1"/>
    </xf>
    <xf numFmtId="0" fontId="43" fillId="0" borderId="0" xfId="0" applyFont="1" applyFill="1" applyBorder="1" applyAlignment="1">
      <alignment horizontal="center" wrapText="1"/>
    </xf>
    <xf numFmtId="0" fontId="32" fillId="0" borderId="0" xfId="0" applyFont="1" applyFill="1"/>
    <xf numFmtId="0" fontId="30" fillId="0" borderId="1" xfId="0" applyFont="1" applyFill="1" applyBorder="1" applyAlignment="1">
      <alignment horizontal="center"/>
    </xf>
    <xf numFmtId="0" fontId="30" fillId="0" borderId="1" xfId="0" applyFont="1" applyFill="1" applyBorder="1"/>
    <xf numFmtId="3" fontId="19" fillId="0" borderId="2" xfId="0" applyNumberFormat="1" applyFont="1" applyFill="1" applyBorder="1" applyAlignment="1">
      <alignment vertical="center"/>
    </xf>
    <xf numFmtId="3" fontId="53" fillId="0" borderId="2" xfId="0" applyNumberFormat="1" applyFont="1" applyBorder="1" applyAlignment="1">
      <alignment vertical="center"/>
    </xf>
    <xf numFmtId="165" fontId="19" fillId="0" borderId="2" xfId="2" applyNumberFormat="1" applyFont="1" applyFill="1" applyBorder="1" applyAlignment="1">
      <alignment vertical="center"/>
    </xf>
    <xf numFmtId="4" fontId="19" fillId="0" borderId="2" xfId="0" applyNumberFormat="1" applyFont="1" applyBorder="1" applyAlignment="1">
      <alignment vertical="center"/>
    </xf>
    <xf numFmtId="3" fontId="19" fillId="0" borderId="0" xfId="0" applyNumberFormat="1" applyFont="1" applyFill="1" applyBorder="1" applyAlignment="1">
      <alignment vertical="center"/>
    </xf>
    <xf numFmtId="165" fontId="19" fillId="0" borderId="0" xfId="2" applyNumberFormat="1" applyFont="1" applyFill="1" applyBorder="1" applyAlignment="1">
      <alignment vertical="center"/>
    </xf>
    <xf numFmtId="4" fontId="19" fillId="0" borderId="0" xfId="0" applyNumberFormat="1" applyFont="1" applyBorder="1" applyAlignment="1">
      <alignment vertical="center"/>
    </xf>
    <xf numFmtId="168" fontId="0" fillId="0" borderId="1" xfId="0" applyNumberFormat="1" applyBorder="1" applyAlignment="1">
      <alignment horizontal="center"/>
    </xf>
    <xf numFmtId="168" fontId="0" fillId="0" borderId="1" xfId="1" applyNumberFormat="1" applyFont="1" applyBorder="1" applyAlignment="1">
      <alignment horizontal="center"/>
    </xf>
    <xf numFmtId="2" fontId="0" fillId="0" borderId="1" xfId="0" applyNumberFormat="1" applyBorder="1" applyAlignment="1">
      <alignment horizontal="center"/>
    </xf>
    <xf numFmtId="0" fontId="97" fillId="2" borderId="0" xfId="16" applyFont="1" applyFill="1" applyBorder="1" applyAlignment="1">
      <alignment horizontal="center" wrapText="1"/>
    </xf>
    <xf numFmtId="1" fontId="21" fillId="2" borderId="0" xfId="0" applyNumberFormat="1" applyFont="1" applyFill="1" applyBorder="1" applyAlignment="1">
      <alignment horizontal="center" wrapText="1"/>
    </xf>
    <xf numFmtId="1" fontId="21" fillId="2" borderId="0" xfId="0" applyNumberFormat="1" applyFont="1" applyFill="1" applyBorder="1" applyAlignment="1">
      <alignment horizontal="center"/>
    </xf>
    <xf numFmtId="3" fontId="110" fillId="0" borderId="41" xfId="0" applyNumberFormat="1" applyFont="1" applyFill="1" applyBorder="1"/>
    <xf numFmtId="165" fontId="33" fillId="2" borderId="0" xfId="2" applyNumberFormat="1" applyFont="1" applyFill="1" applyBorder="1"/>
    <xf numFmtId="0" fontId="21" fillId="2" borderId="0" xfId="0" applyFont="1" applyFill="1" applyBorder="1" applyAlignment="1">
      <alignment horizontal="left" wrapText="1"/>
    </xf>
    <xf numFmtId="164" fontId="53" fillId="0" borderId="35" xfId="20" applyNumberFormat="1" applyFont="1" applyFill="1" applyBorder="1" applyAlignment="1">
      <alignment horizontal="right"/>
    </xf>
    <xf numFmtId="0" fontId="53" fillId="0" borderId="35" xfId="11" applyFont="1" applyFill="1" applyBorder="1" applyAlignment="1">
      <alignment horizontal="right" vertical="center"/>
    </xf>
    <xf numFmtId="164" fontId="124" fillId="0" borderId="1" xfId="20" applyNumberFormat="1" applyFont="1" applyFill="1" applyBorder="1" applyAlignment="1">
      <alignment horizontal="right"/>
    </xf>
    <xf numFmtId="164" fontId="53" fillId="0" borderId="1" xfId="1" applyNumberFormat="1" applyFont="1" applyBorder="1" applyAlignment="1">
      <alignment vertical="center" wrapText="1"/>
    </xf>
    <xf numFmtId="164" fontId="53" fillId="0" borderId="1" xfId="20" applyNumberFormat="1" applyFont="1" applyFill="1" applyBorder="1"/>
    <xf numFmtId="165" fontId="53" fillId="0" borderId="35" xfId="11" applyNumberFormat="1" applyFont="1" applyFill="1" applyBorder="1" applyAlignment="1">
      <alignment horizontal="right"/>
    </xf>
    <xf numFmtId="164" fontId="21" fillId="0" borderId="1" xfId="0" applyNumberFormat="1" applyFont="1" applyFill="1" applyBorder="1"/>
    <xf numFmtId="165" fontId="53" fillId="0" borderId="1" xfId="2" applyNumberFormat="1" applyFont="1" applyFill="1" applyBorder="1" applyAlignment="1">
      <alignment horizontal="center"/>
    </xf>
    <xf numFmtId="164" fontId="53" fillId="0" borderId="1" xfId="1" applyNumberFormat="1" applyFont="1" applyFill="1" applyBorder="1" applyAlignment="1">
      <alignment vertical="top"/>
    </xf>
    <xf numFmtId="164" fontId="6" fillId="0" borderId="1" xfId="0" applyNumberFormat="1" applyFont="1" applyFill="1" applyBorder="1"/>
    <xf numFmtId="14" fontId="21" fillId="2" borderId="0" xfId="1" applyNumberFormat="1" applyFont="1" applyFill="1" applyBorder="1" applyAlignment="1">
      <alignment horizontal="center"/>
    </xf>
    <xf numFmtId="0" fontId="21" fillId="2" borderId="0" xfId="0" applyNumberFormat="1" applyFont="1" applyFill="1" applyBorder="1" applyAlignment="1">
      <alignment horizontal="center"/>
    </xf>
    <xf numFmtId="164" fontId="0" fillId="0" borderId="0" xfId="0" applyNumberFormat="1" applyFont="1" applyBorder="1"/>
    <xf numFmtId="3" fontId="53" fillId="0" borderId="0" xfId="11" applyNumberFormat="1" applyFont="1" applyFill="1" applyBorder="1" applyAlignment="1">
      <alignment horizontal="right"/>
    </xf>
    <xf numFmtId="169" fontId="32" fillId="0" borderId="41" xfId="0" applyNumberFormat="1" applyFont="1" applyFill="1" applyBorder="1" applyAlignment="1">
      <alignment horizontal="center"/>
    </xf>
    <xf numFmtId="165" fontId="21" fillId="2" borderId="0" xfId="2" applyNumberFormat="1" applyFont="1" applyFill="1" applyBorder="1" applyAlignment="1"/>
    <xf numFmtId="165" fontId="37" fillId="2" borderId="0" xfId="2" applyNumberFormat="1" applyFont="1" applyFill="1" applyBorder="1"/>
    <xf numFmtId="0" fontId="21" fillId="0" borderId="72" xfId="0" applyFont="1" applyFill="1" applyBorder="1" applyAlignment="1">
      <alignment wrapText="1"/>
    </xf>
    <xf numFmtId="0" fontId="21" fillId="0" borderId="72" xfId="0" applyFont="1" applyFill="1" applyBorder="1" applyAlignment="1">
      <alignment horizontal="center" wrapText="1"/>
    </xf>
    <xf numFmtId="0" fontId="21" fillId="0" borderId="72" xfId="0" applyFont="1" applyFill="1" applyBorder="1" applyAlignment="1">
      <alignment horizontal="center"/>
    </xf>
    <xf numFmtId="169" fontId="21" fillId="0" borderId="72" xfId="0" applyNumberFormat="1" applyFont="1" applyFill="1" applyBorder="1" applyAlignment="1">
      <alignment horizontal="center"/>
    </xf>
    <xf numFmtId="169" fontId="21" fillId="0" borderId="72" xfId="0" applyNumberFormat="1" applyFont="1" applyFill="1" applyBorder="1" applyAlignment="1">
      <alignment horizontal="center" wrapText="1"/>
    </xf>
    <xf numFmtId="169" fontId="33" fillId="0" borderId="72" xfId="0" applyNumberFormat="1" applyFont="1" applyFill="1" applyBorder="1" applyAlignment="1">
      <alignment horizontal="center" wrapText="1"/>
    </xf>
    <xf numFmtId="0" fontId="21" fillId="0" borderId="72" xfId="0" applyFont="1" applyFill="1" applyBorder="1" applyAlignment="1">
      <alignment horizontal="left" wrapText="1"/>
    </xf>
    <xf numFmtId="164" fontId="21" fillId="0" borderId="72" xfId="1" applyNumberFormat="1" applyFont="1" applyFill="1" applyBorder="1"/>
    <xf numFmtId="164" fontId="21" fillId="0" borderId="72" xfId="1" applyNumberFormat="1" applyFont="1" applyFill="1" applyBorder="1" applyAlignment="1">
      <alignment horizontal="center" wrapText="1"/>
    </xf>
    <xf numFmtId="0" fontId="21" fillId="0" borderId="72" xfId="0" applyFont="1" applyFill="1" applyBorder="1" applyAlignment="1"/>
    <xf numFmtId="1" fontId="21" fillId="0" borderId="72" xfId="0" applyNumberFormat="1" applyFont="1" applyFill="1" applyBorder="1"/>
    <xf numFmtId="14" fontId="21" fillId="0" borderId="72" xfId="1" applyNumberFormat="1" applyFont="1" applyFill="1" applyBorder="1" applyAlignment="1">
      <alignment horizontal="center"/>
    </xf>
    <xf numFmtId="0" fontId="21" fillId="0" borderId="72" xfId="0" applyFont="1" applyFill="1" applyBorder="1"/>
    <xf numFmtId="1" fontId="21" fillId="0" borderId="72" xfId="0" applyNumberFormat="1" applyFont="1" applyFill="1" applyBorder="1" applyAlignment="1">
      <alignment horizontal="center" wrapText="1"/>
    </xf>
    <xf numFmtId="0" fontId="21" fillId="0" borderId="72" xfId="0" applyNumberFormat="1" applyFont="1" applyFill="1" applyBorder="1" applyAlignment="1">
      <alignment horizontal="center"/>
    </xf>
    <xf numFmtId="165" fontId="21" fillId="0" borderId="72" xfId="2" applyNumberFormat="1" applyFont="1" applyFill="1" applyBorder="1"/>
    <xf numFmtId="2" fontId="21" fillId="0" borderId="72" xfId="0" applyNumberFormat="1" applyFont="1" applyFill="1" applyBorder="1"/>
    <xf numFmtId="9" fontId="21" fillId="0" borderId="72" xfId="3" applyFont="1" applyFill="1" applyBorder="1"/>
    <xf numFmtId="164" fontId="21" fillId="0" borderId="72" xfId="1" applyNumberFormat="1" applyFont="1" applyFill="1" applyBorder="1" applyAlignment="1">
      <alignment horizontal="center"/>
    </xf>
    <xf numFmtId="165" fontId="33" fillId="0" borderId="72" xfId="2" applyNumberFormat="1" applyFont="1" applyFill="1" applyBorder="1"/>
    <xf numFmtId="164" fontId="21" fillId="0" borderId="72" xfId="0" applyNumberFormat="1" applyFont="1" applyFill="1" applyBorder="1"/>
    <xf numFmtId="1" fontId="21" fillId="0" borderId="72" xfId="0" applyNumberFormat="1" applyFont="1" applyFill="1" applyBorder="1" applyAlignment="1">
      <alignment horizontal="center"/>
    </xf>
    <xf numFmtId="3" fontId="21" fillId="0" borderId="41" xfId="0" applyNumberFormat="1" applyFont="1" applyFill="1" applyBorder="1" applyAlignment="1"/>
    <xf numFmtId="0" fontId="19" fillId="0" borderId="72" xfId="0" applyFont="1" applyFill="1" applyBorder="1"/>
    <xf numFmtId="0" fontId="32" fillId="2" borderId="0" xfId="0" applyFont="1" applyFill="1"/>
    <xf numFmtId="0" fontId="32" fillId="2" borderId="0" xfId="0" applyFont="1" applyFill="1" applyAlignment="1">
      <alignment vertical="center"/>
    </xf>
    <xf numFmtId="165" fontId="53" fillId="0" borderId="0" xfId="2" applyNumberFormat="1" applyFont="1" applyBorder="1" applyAlignment="1">
      <alignment horizontal="right"/>
    </xf>
    <xf numFmtId="0" fontId="34" fillId="0" borderId="0" xfId="0" applyFont="1" applyFill="1"/>
    <xf numFmtId="49" fontId="32" fillId="2" borderId="0" xfId="0" applyNumberFormat="1" applyFont="1" applyFill="1" applyBorder="1"/>
    <xf numFmtId="0" fontId="32" fillId="0" borderId="0" xfId="0" applyFont="1" applyFill="1" applyAlignment="1">
      <alignment vertical="center"/>
    </xf>
    <xf numFmtId="165" fontId="53" fillId="0" borderId="0" xfId="0" applyNumberFormat="1" applyFont="1" applyBorder="1" applyAlignment="1">
      <alignment horizontal="center"/>
    </xf>
    <xf numFmtId="0" fontId="125" fillId="2" borderId="0" xfId="0" applyFont="1" applyFill="1"/>
    <xf numFmtId="0" fontId="125" fillId="0" borderId="0" xfId="0" applyFont="1" applyFill="1"/>
    <xf numFmtId="0" fontId="32" fillId="2" borderId="0" xfId="0" applyFont="1" applyFill="1" applyBorder="1" applyAlignment="1">
      <alignment vertical="center"/>
    </xf>
    <xf numFmtId="0" fontId="34" fillId="2" borderId="0" xfId="0" applyFont="1" applyFill="1" applyBorder="1" applyAlignment="1">
      <alignment vertical="center"/>
    </xf>
    <xf numFmtId="0" fontId="125" fillId="2" borderId="0" xfId="0" applyFont="1" applyFill="1" applyBorder="1" applyAlignment="1">
      <alignment wrapText="1"/>
    </xf>
    <xf numFmtId="0" fontId="32" fillId="2" borderId="0" xfId="0" applyFont="1" applyFill="1" applyBorder="1" applyAlignment="1"/>
    <xf numFmtId="0" fontId="28" fillId="0" borderId="0" xfId="0" applyFont="1" applyFill="1" applyBorder="1" applyAlignment="1">
      <alignment horizontal="center" vertical="center" wrapText="1"/>
    </xf>
    <xf numFmtId="0" fontId="23" fillId="0" borderId="0" xfId="0" applyFont="1" applyFill="1" applyBorder="1" applyAlignment="1">
      <alignment horizontal="center" vertical="center"/>
    </xf>
    <xf numFmtId="0" fontId="23"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65" fillId="0" borderId="0" xfId="17" applyFont="1" applyAlignment="1">
      <alignment horizontal="center"/>
    </xf>
    <xf numFmtId="0" fontId="65" fillId="0" borderId="23" xfId="17" applyFont="1" applyBorder="1" applyAlignment="1">
      <alignment horizontal="center"/>
    </xf>
    <xf numFmtId="49" fontId="45" fillId="0" borderId="2" xfId="0" applyNumberFormat="1" applyFont="1" applyFill="1" applyBorder="1" applyAlignment="1">
      <alignment horizontal="left" vertical="center"/>
    </xf>
    <xf numFmtId="49" fontId="45" fillId="0" borderId="24" xfId="0" applyNumberFormat="1" applyFont="1" applyFill="1" applyBorder="1" applyAlignment="1">
      <alignment horizontal="left" vertical="center"/>
    </xf>
    <xf numFmtId="49" fontId="45" fillId="0" borderId="4" xfId="0" applyNumberFormat="1" applyFont="1" applyFill="1" applyBorder="1" applyAlignment="1">
      <alignment horizontal="left" vertical="center"/>
    </xf>
    <xf numFmtId="0" fontId="65" fillId="0" borderId="0" xfId="17" applyFont="1"/>
    <xf numFmtId="0" fontId="70" fillId="0" borderId="23" xfId="0" applyFont="1" applyBorder="1" applyAlignment="1">
      <alignment horizontal="center" vertical="center"/>
    </xf>
    <xf numFmtId="0" fontId="100" fillId="0" borderId="0" xfId="0" applyFont="1" applyAlignment="1">
      <alignment horizontal="center"/>
    </xf>
    <xf numFmtId="0" fontId="0" fillId="0" borderId="0" xfId="0" applyAlignment="1">
      <alignment horizontal="center" vertical="center"/>
    </xf>
    <xf numFmtId="0" fontId="23" fillId="0" borderId="7" xfId="0" applyFont="1" applyFill="1" applyBorder="1" applyAlignment="1">
      <alignment horizontal="center" vertical="center"/>
    </xf>
    <xf numFmtId="0" fontId="28" fillId="0" borderId="13"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2" fillId="0" borderId="23" xfId="0" applyFont="1" applyBorder="1" applyAlignment="1"/>
    <xf numFmtId="0" fontId="0" fillId="0" borderId="23" xfId="0" applyFont="1" applyBorder="1" applyAlignment="1"/>
    <xf numFmtId="0" fontId="0" fillId="0" borderId="0" xfId="0" applyAlignment="1">
      <alignment horizontal="left" vertical="top" wrapText="1"/>
    </xf>
    <xf numFmtId="0" fontId="29" fillId="0" borderId="0" xfId="0" applyFont="1" applyFill="1" applyBorder="1" applyAlignment="1">
      <alignment horizontal="left" vertical="center"/>
    </xf>
    <xf numFmtId="0" fontId="0" fillId="0" borderId="0" xfId="0" applyAlignment="1">
      <alignment vertical="center"/>
    </xf>
    <xf numFmtId="0" fontId="28" fillId="0" borderId="0" xfId="0" applyFont="1" applyFill="1" applyBorder="1" applyAlignment="1">
      <alignment horizontal="center" vertical="center"/>
    </xf>
    <xf numFmtId="0" fontId="76" fillId="0" borderId="9" xfId="0" applyNumberFormat="1" applyFont="1" applyFill="1" applyBorder="1" applyAlignment="1" applyProtection="1">
      <alignment horizontal="center"/>
    </xf>
    <xf numFmtId="0" fontId="76" fillId="0" borderId="10" xfId="0" applyNumberFormat="1" applyFont="1" applyFill="1" applyBorder="1" applyAlignment="1" applyProtection="1">
      <alignment horizontal="center"/>
    </xf>
    <xf numFmtId="0" fontId="74" fillId="0" borderId="28" xfId="0" applyFont="1" applyBorder="1" applyAlignment="1">
      <alignment horizontal="center" vertical="center"/>
    </xf>
    <xf numFmtId="0" fontId="74" fillId="0" borderId="32" xfId="0" applyFont="1" applyBorder="1" applyAlignment="1">
      <alignment horizontal="center" vertical="center"/>
    </xf>
    <xf numFmtId="0" fontId="74" fillId="0" borderId="33" xfId="0" applyFont="1" applyBorder="1" applyAlignment="1">
      <alignment horizontal="center" vertical="center"/>
    </xf>
  </cellXfs>
  <cellStyles count="67">
    <cellStyle name="Comma" xfId="1" builtinId="3"/>
    <cellStyle name="Comma 2" xfId="8"/>
    <cellStyle name="Comma 2 2" xfId="14"/>
    <cellStyle name="Comma 2 3" xfId="49"/>
    <cellStyle name="Comma 3" xfId="20"/>
    <cellStyle name="Comma 3 2" xfId="31"/>
    <cellStyle name="Comma 3 2 2" xfId="66"/>
    <cellStyle name="Comma 3 3" xfId="55"/>
    <cellStyle name="Comma 4" xfId="23"/>
    <cellStyle name="Comma 4 2" xfId="58"/>
    <cellStyle name="Comma 5" xfId="25"/>
    <cellStyle name="Comma 5 2" xfId="60"/>
    <cellStyle name="Comma 6" xfId="27"/>
    <cellStyle name="Comma 6 2" xfId="62"/>
    <cellStyle name="Currency" xfId="2" builtinId="4"/>
    <cellStyle name="Currency 2" xfId="9"/>
    <cellStyle name="Currency 2 2" xfId="15"/>
    <cellStyle name="Currency 2 3" xfId="50"/>
    <cellStyle name="Currency 3" xfId="12"/>
    <cellStyle name="Currency 3 2" xfId="30"/>
    <cellStyle name="Currency 3 2 2" xfId="65"/>
    <cellStyle name="Currency 3 3" xfId="53"/>
    <cellStyle name="Hyperlink" xfId="16" builtinId="8"/>
    <cellStyle name="Normal" xfId="0" builtinId="0"/>
    <cellStyle name="Normal 10" xfId="26"/>
    <cellStyle name="Normal 10 2" xfId="61"/>
    <cellStyle name="Normal 10_16.17 Meter Data" xfId="32"/>
    <cellStyle name="Normal 11" xfId="28"/>
    <cellStyle name="Normal 11 2" xfId="63"/>
    <cellStyle name="Normal 11_16.17 Meter Data" xfId="33"/>
    <cellStyle name="Normal 12" xfId="44"/>
    <cellStyle name="Normal 13" xfId="51"/>
    <cellStyle name="Normal 2" xfId="4"/>
    <cellStyle name="Normal 2 2" xfId="13"/>
    <cellStyle name="Normal 2 3" xfId="17"/>
    <cellStyle name="Normal 2 3 2" xfId="54"/>
    <cellStyle name="Normal 2 3_16.17 Meter Data" xfId="35"/>
    <cellStyle name="Normal 2 4" xfId="45"/>
    <cellStyle name="Normal 2_16.17 Meter Data" xfId="34"/>
    <cellStyle name="Normal 3" xfId="5"/>
    <cellStyle name="Normal 3 2" xfId="46"/>
    <cellStyle name="Normal 3_16.17 Meter Data" xfId="36"/>
    <cellStyle name="Normal 4" xfId="6"/>
    <cellStyle name="Normal 4 2" xfId="47"/>
    <cellStyle name="Normal 4_16.17 Meter Data" xfId="37"/>
    <cellStyle name="Normal 5" xfId="7"/>
    <cellStyle name="Normal 5 2" xfId="48"/>
    <cellStyle name="Normal 5_16.17 Meter Data" xfId="38"/>
    <cellStyle name="Normal 6" xfId="11"/>
    <cellStyle name="Normal 6 2" xfId="29"/>
    <cellStyle name="Normal 6 2 2" xfId="64"/>
    <cellStyle name="Normal 6 2_16.17 Meter Data" xfId="40"/>
    <cellStyle name="Normal 6 3" xfId="52"/>
    <cellStyle name="Normal 6_16.17 Meter Data" xfId="39"/>
    <cellStyle name="Normal 7" xfId="21"/>
    <cellStyle name="Normal 7 2" xfId="56"/>
    <cellStyle name="Normal 7_16.17 Meter Data" xfId="41"/>
    <cellStyle name="Normal 8" xfId="22"/>
    <cellStyle name="Normal 8 2" xfId="57"/>
    <cellStyle name="Normal 8_16.17 Meter Data" xfId="42"/>
    <cellStyle name="Normal 9" xfId="24"/>
    <cellStyle name="Normal 9 2" xfId="59"/>
    <cellStyle name="Normal 9_16.17 Meter Data" xfId="43"/>
    <cellStyle name="Normal_Sheet1" xfId="18"/>
    <cellStyle name="Normal_Sheet1 (3)" xfId="19"/>
    <cellStyle name="Percent" xfId="3" builtinId="5"/>
    <cellStyle name="Total" xfId="10" builtinId="25"/>
  </cellStyles>
  <dxfs count="36">
    <dxf>
      <font>
        <b val="0"/>
        <i val="0"/>
        <strike val="0"/>
        <condense val="0"/>
        <extend val="0"/>
        <outline val="0"/>
        <shadow val="0"/>
        <u val="none"/>
        <vertAlign val="baseline"/>
        <sz val="10"/>
        <color indexed="8"/>
        <name val="Calibri"/>
        <scheme val="minor"/>
      </font>
      <numFmt numFmtId="175" formatCode="&quot;$&quot;#,##0.00"/>
      <alignment horizontal="righ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indexed="8"/>
        <name val="Calibri"/>
        <scheme val="minor"/>
      </font>
      <numFmt numFmtId="175" formatCode="&quot;$&quot;#,##0.00"/>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indexed="8"/>
        <name val="Calibri"/>
        <scheme val="minor"/>
      </font>
      <numFmt numFmtId="175" formatCode="&quot;$&quot;#,##0.00"/>
      <alignment horizontal="righ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indexed="8"/>
        <name val="Calibri"/>
        <scheme val="minor"/>
      </font>
      <numFmt numFmtId="192" formatCode="#,##0&quot; gal&quot;"/>
      <alignment horizontal="righ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indexed="8"/>
        <name val="Calibri"/>
        <scheme val="minor"/>
      </font>
      <numFmt numFmtId="191" formatCode="#,##0&quot; lbs&quot;"/>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indexed="8"/>
        <name val="Calibri"/>
        <scheme val="minor"/>
      </font>
      <numFmt numFmtId="190" formatCode="#,##0&quot; kWh&quot;"/>
      <alignment horizontal="righ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none"/>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font>
        <b val="0"/>
        <i val="0"/>
        <strike val="0"/>
        <condense val="0"/>
        <extend val="0"/>
        <outline val="0"/>
        <shadow val="0"/>
        <u val="none"/>
        <vertAlign val="baseline"/>
        <sz val="10"/>
        <color indexed="8"/>
        <name val="Calibri"/>
        <scheme val="minor"/>
      </font>
      <alignment horizontal="right" vertical="center"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indexed="8"/>
        <name val="Calibri"/>
        <scheme val="minor"/>
      </font>
      <numFmt numFmtId="175" formatCode="&quot;$&quot;#,##0.00"/>
      <alignment horizontal="righ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indexed="8"/>
        <name val="Calibri"/>
        <scheme val="minor"/>
      </font>
      <numFmt numFmtId="175" formatCode="&quot;$&quot;#,##0.00"/>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indexed="8"/>
        <name val="Calibri"/>
        <scheme val="minor"/>
      </font>
      <numFmt numFmtId="175" formatCode="&quot;$&quot;#,##0.00"/>
      <alignment horizontal="righ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indexed="8"/>
        <name val="Calibri"/>
        <scheme val="minor"/>
      </font>
      <numFmt numFmtId="192" formatCode="#,##0&quot; gal&quot;"/>
      <alignment horizontal="righ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indexed="8"/>
        <name val="Calibri"/>
        <scheme val="minor"/>
      </font>
      <numFmt numFmtId="191" formatCode="#,##0&quot; lbs&quot;"/>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indexed="8"/>
        <name val="Calibri"/>
        <scheme val="minor"/>
      </font>
      <numFmt numFmtId="190" formatCode="#,##0&quot; kWh&quot;"/>
      <alignment horizontal="righ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none"/>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font>
        <b val="0"/>
        <i val="0"/>
        <strike val="0"/>
        <condense val="0"/>
        <extend val="0"/>
        <outline val="0"/>
        <shadow val="0"/>
        <u val="none"/>
        <vertAlign val="baseline"/>
        <sz val="10"/>
        <color indexed="8"/>
        <name val="Calibri"/>
        <scheme val="minor"/>
      </font>
      <alignment horizontal="right" vertical="center"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indexed="8"/>
        <name val="Calibri"/>
        <scheme val="minor"/>
      </font>
      <numFmt numFmtId="175" formatCode="&quot;$&quot;#,##0.00"/>
      <alignment horizontal="righ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indexed="8"/>
        <name val="Calibri"/>
        <scheme val="minor"/>
      </font>
      <numFmt numFmtId="175" formatCode="&quot;$&quot;#,##0.00"/>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indexed="8"/>
        <name val="Calibri"/>
        <scheme val="minor"/>
      </font>
      <numFmt numFmtId="175" formatCode="&quot;$&quot;#,##0.00"/>
      <alignment horizontal="righ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indexed="8"/>
        <name val="Calibri"/>
        <scheme val="minor"/>
      </font>
      <numFmt numFmtId="192" formatCode="#,##0&quot; gal&quot;"/>
      <alignment horizontal="righ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indexed="8"/>
        <name val="Calibri"/>
        <scheme val="minor"/>
      </font>
      <numFmt numFmtId="191" formatCode="#,##0&quot; lbs&quot;"/>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indexed="8"/>
        <name val="Calibri"/>
        <scheme val="minor"/>
      </font>
      <numFmt numFmtId="190" formatCode="#,##0&quot; kWh&quot;"/>
      <alignment horizontal="righ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none"/>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font>
        <b val="0"/>
        <i val="0"/>
        <strike val="0"/>
        <condense val="0"/>
        <extend val="0"/>
        <outline val="0"/>
        <shadow val="0"/>
        <u val="none"/>
        <vertAlign val="baseline"/>
        <sz val="10"/>
        <color indexed="8"/>
        <name val="Calibri"/>
        <scheme val="minor"/>
      </font>
      <alignment horizontal="right" vertical="center"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none"/>
      </font>
      <fill>
        <patternFill patternType="solid">
          <fgColor theme="4"/>
          <bgColor theme="4"/>
        </patternFill>
      </fill>
      <alignment horizontal="center" vertical="center" textRotation="0" wrapText="1" indent="0" justifyLastLine="0" shrinkToFit="0" readingOrder="0"/>
    </dxf>
  </dxfs>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143137</xdr:colOff>
      <xdr:row>0</xdr:row>
      <xdr:rowOff>0</xdr:rowOff>
    </xdr:from>
    <xdr:to>
      <xdr:col>0</xdr:col>
      <xdr:colOff>1571481</xdr:colOff>
      <xdr:row>0</xdr:row>
      <xdr:rowOff>1417320</xdr:rowOff>
    </xdr:to>
    <xdr:pic>
      <xdr:nvPicPr>
        <xdr:cNvPr id="2" name="Picture 1" descr="State Construction Office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137" y="0"/>
          <a:ext cx="1428344" cy="1417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91440</xdr:colOff>
      <xdr:row>0</xdr:row>
      <xdr:rowOff>0</xdr:rowOff>
    </xdr:from>
    <xdr:to>
      <xdr:col>16</xdr:col>
      <xdr:colOff>1519784</xdr:colOff>
      <xdr:row>0</xdr:row>
      <xdr:rowOff>1417320</xdr:rowOff>
    </xdr:to>
    <xdr:pic>
      <xdr:nvPicPr>
        <xdr:cNvPr id="12" name="Picture 11" descr="State Construction Office Logo">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80880" y="0"/>
          <a:ext cx="1428344" cy="1417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111760</xdr:colOff>
      <xdr:row>0</xdr:row>
      <xdr:rowOff>0</xdr:rowOff>
    </xdr:from>
    <xdr:to>
      <xdr:col>33</xdr:col>
      <xdr:colOff>1540104</xdr:colOff>
      <xdr:row>0</xdr:row>
      <xdr:rowOff>1417320</xdr:rowOff>
    </xdr:to>
    <xdr:pic>
      <xdr:nvPicPr>
        <xdr:cNvPr id="13" name="Picture 12" descr="State Construction Office Logo">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18960" y="0"/>
          <a:ext cx="1428344" cy="1417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101600</xdr:colOff>
      <xdr:row>0</xdr:row>
      <xdr:rowOff>0</xdr:rowOff>
    </xdr:from>
    <xdr:to>
      <xdr:col>44</xdr:col>
      <xdr:colOff>1529944</xdr:colOff>
      <xdr:row>0</xdr:row>
      <xdr:rowOff>1417320</xdr:rowOff>
    </xdr:to>
    <xdr:pic>
      <xdr:nvPicPr>
        <xdr:cNvPr id="14" name="Picture 13" descr="State Construction Office Logo">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16400" y="0"/>
          <a:ext cx="1428344" cy="1417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71120</xdr:colOff>
      <xdr:row>0</xdr:row>
      <xdr:rowOff>0</xdr:rowOff>
    </xdr:from>
    <xdr:to>
      <xdr:col>57</xdr:col>
      <xdr:colOff>1499464</xdr:colOff>
      <xdr:row>0</xdr:row>
      <xdr:rowOff>1417320</xdr:rowOff>
    </xdr:to>
    <xdr:pic>
      <xdr:nvPicPr>
        <xdr:cNvPr id="15" name="Picture 14" descr="State Construction Office Logo">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37840" y="0"/>
          <a:ext cx="1428344" cy="1417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xdr:colOff>
      <xdr:row>835</xdr:row>
      <xdr:rowOff>1</xdr:rowOff>
    </xdr:from>
    <xdr:to>
      <xdr:col>10</xdr:col>
      <xdr:colOff>205740</xdr:colOff>
      <xdr:row>858</xdr:row>
      <xdr:rowOff>9380</xdr:rowOff>
    </xdr:to>
    <xdr:pic>
      <xdr:nvPicPr>
        <xdr:cNvPr id="2" name="Picture 1">
          <a:extLst>
            <a:ext uri="{FF2B5EF4-FFF2-40B4-BE49-F238E27FC236}">
              <a16:creationId xmlns:a16="http://schemas.microsoft.com/office/drawing/2014/main" id="{0F05AEC8-53C9-4FCA-B4BD-391254A8CB4D}"/>
            </a:ext>
          </a:extLst>
        </xdr:cNvPr>
        <xdr:cNvPicPr>
          <a:picLocks noChangeAspect="1"/>
        </xdr:cNvPicPr>
      </xdr:nvPicPr>
      <xdr:blipFill>
        <a:blip xmlns:r="http://schemas.openxmlformats.org/officeDocument/2006/relationships" r:embed="rId1"/>
        <a:stretch>
          <a:fillRect/>
        </a:stretch>
      </xdr:blipFill>
      <xdr:spPr>
        <a:xfrm>
          <a:off x="617220" y="154190701"/>
          <a:ext cx="8229600" cy="39565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143137</xdr:colOff>
      <xdr:row>0</xdr:row>
      <xdr:rowOff>0</xdr:rowOff>
    </xdr:from>
    <xdr:to>
      <xdr:col>0</xdr:col>
      <xdr:colOff>1571481</xdr:colOff>
      <xdr:row>0</xdr:row>
      <xdr:rowOff>1386840</xdr:rowOff>
    </xdr:to>
    <xdr:pic>
      <xdr:nvPicPr>
        <xdr:cNvPr id="2" name="Picture 1" descr="State Construction Office Logo">
          <a:extLst>
            <a:ext uri="{FF2B5EF4-FFF2-40B4-BE49-F238E27FC236}">
              <a16:creationId xmlns:a16="http://schemas.microsoft.com/office/drawing/2014/main" id="{1347A520-C5BA-4878-B4FB-EA0BC6399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137" y="0"/>
          <a:ext cx="1428344" cy="1386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91440</xdr:colOff>
      <xdr:row>0</xdr:row>
      <xdr:rowOff>0</xdr:rowOff>
    </xdr:from>
    <xdr:to>
      <xdr:col>15</xdr:col>
      <xdr:colOff>1519784</xdr:colOff>
      <xdr:row>0</xdr:row>
      <xdr:rowOff>1386840</xdr:rowOff>
    </xdr:to>
    <xdr:pic>
      <xdr:nvPicPr>
        <xdr:cNvPr id="3" name="Picture 2" descr="State Construction Office Logo">
          <a:extLst>
            <a:ext uri="{FF2B5EF4-FFF2-40B4-BE49-F238E27FC236}">
              <a16:creationId xmlns:a16="http://schemas.microsoft.com/office/drawing/2014/main" id="{C930EE54-61E0-4D63-AA9E-93D1E518A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0320" y="0"/>
          <a:ext cx="1428344" cy="1386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111760</xdr:colOff>
      <xdr:row>0</xdr:row>
      <xdr:rowOff>0</xdr:rowOff>
    </xdr:from>
    <xdr:to>
      <xdr:col>32</xdr:col>
      <xdr:colOff>1540104</xdr:colOff>
      <xdr:row>0</xdr:row>
      <xdr:rowOff>1363980</xdr:rowOff>
    </xdr:to>
    <xdr:pic>
      <xdr:nvPicPr>
        <xdr:cNvPr id="4" name="Picture 3" descr="State Construction Office Logo">
          <a:extLst>
            <a:ext uri="{FF2B5EF4-FFF2-40B4-BE49-F238E27FC236}">
              <a16:creationId xmlns:a16="http://schemas.microsoft.com/office/drawing/2014/main" id="{9E72EE97-CA0A-4A91-A363-8FBA57C120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88880" y="0"/>
          <a:ext cx="1428344" cy="1363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43</xdr:col>
      <xdr:colOff>101600</xdr:colOff>
      <xdr:row>0</xdr:row>
      <xdr:rowOff>0</xdr:rowOff>
    </xdr:from>
    <xdr:to>
      <xdr:col>43</xdr:col>
      <xdr:colOff>1529944</xdr:colOff>
      <xdr:row>0</xdr:row>
      <xdr:rowOff>1371600</xdr:rowOff>
    </xdr:to>
    <xdr:pic>
      <xdr:nvPicPr>
        <xdr:cNvPr id="5" name="Picture 4" descr="State Construction Office Logo">
          <a:extLst>
            <a:ext uri="{FF2B5EF4-FFF2-40B4-BE49-F238E27FC236}">
              <a16:creationId xmlns:a16="http://schemas.microsoft.com/office/drawing/2014/main" id="{CEAE3A8C-6615-49E7-8253-8A687F4C96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29500" y="0"/>
          <a:ext cx="1428344"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71120</xdr:colOff>
      <xdr:row>0</xdr:row>
      <xdr:rowOff>0</xdr:rowOff>
    </xdr:from>
    <xdr:to>
      <xdr:col>56</xdr:col>
      <xdr:colOff>1499464</xdr:colOff>
      <xdr:row>0</xdr:row>
      <xdr:rowOff>1386840</xdr:rowOff>
    </xdr:to>
    <xdr:pic>
      <xdr:nvPicPr>
        <xdr:cNvPr id="6" name="Picture 5" descr="State Construction Office Logo">
          <a:extLst>
            <a:ext uri="{FF2B5EF4-FFF2-40B4-BE49-F238E27FC236}">
              <a16:creationId xmlns:a16="http://schemas.microsoft.com/office/drawing/2014/main" id="{B11EB13A-5FB9-4C21-BDC9-59C668E64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35700" y="0"/>
          <a:ext cx="1428344" cy="1386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143136</xdr:colOff>
      <xdr:row>0</xdr:row>
      <xdr:rowOff>0</xdr:rowOff>
    </xdr:from>
    <xdr:to>
      <xdr:col>0</xdr:col>
      <xdr:colOff>1571886</xdr:colOff>
      <xdr:row>0</xdr:row>
      <xdr:rowOff>1419225</xdr:rowOff>
    </xdr:to>
    <xdr:pic>
      <xdr:nvPicPr>
        <xdr:cNvPr id="7" name="Picture 6" descr="State Construction Office Logo">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43136" y="0"/>
          <a:ext cx="14287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91440</xdr:colOff>
      <xdr:row>0</xdr:row>
      <xdr:rowOff>0</xdr:rowOff>
    </xdr:from>
    <xdr:to>
      <xdr:col>14</xdr:col>
      <xdr:colOff>1520190</xdr:colOff>
      <xdr:row>0</xdr:row>
      <xdr:rowOff>1419225</xdr:rowOff>
    </xdr:to>
    <xdr:pic>
      <xdr:nvPicPr>
        <xdr:cNvPr id="12" name="Picture 11" descr="State Construction Office Logo">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180320" y="0"/>
          <a:ext cx="14287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0</xdr:colOff>
      <xdr:row>0</xdr:row>
      <xdr:rowOff>0</xdr:rowOff>
    </xdr:from>
    <xdr:to>
      <xdr:col>28</xdr:col>
      <xdr:colOff>1428750</xdr:colOff>
      <xdr:row>0</xdr:row>
      <xdr:rowOff>1419225</xdr:rowOff>
    </xdr:to>
    <xdr:pic>
      <xdr:nvPicPr>
        <xdr:cNvPr id="13" name="Picture 12" descr="State Construction Office Logo">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0802600" y="0"/>
          <a:ext cx="14287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0</xdr:colOff>
      <xdr:row>0</xdr:row>
      <xdr:rowOff>0</xdr:rowOff>
    </xdr:from>
    <xdr:to>
      <xdr:col>39</xdr:col>
      <xdr:colOff>1428750</xdr:colOff>
      <xdr:row>0</xdr:row>
      <xdr:rowOff>1419225</xdr:rowOff>
    </xdr:to>
    <xdr:pic>
      <xdr:nvPicPr>
        <xdr:cNvPr id="14" name="Picture 13" descr="State Construction Office Logo">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0792420" y="0"/>
          <a:ext cx="14287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0</xdr:colOff>
      <xdr:row>0</xdr:row>
      <xdr:rowOff>0</xdr:rowOff>
    </xdr:from>
    <xdr:to>
      <xdr:col>52</xdr:col>
      <xdr:colOff>1428750</xdr:colOff>
      <xdr:row>0</xdr:row>
      <xdr:rowOff>1419225</xdr:rowOff>
    </xdr:to>
    <xdr:pic>
      <xdr:nvPicPr>
        <xdr:cNvPr id="15" name="Picture 14" descr="State Construction Office Logo">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2329100" y="0"/>
          <a:ext cx="1428750"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871</xdr:row>
      <xdr:rowOff>0</xdr:rowOff>
    </xdr:from>
    <xdr:to>
      <xdr:col>5</xdr:col>
      <xdr:colOff>699308</xdr:colOff>
      <xdr:row>889</xdr:row>
      <xdr:rowOff>15239</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1" y="86052660"/>
          <a:ext cx="4882687" cy="3032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LTHAGARD\Energy%20Reports\SCO%20Energy%20Benchmarking%20Project%2010.05.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LTHAGARD\Energy%20Reports\SCO%20Energy%20Benchmarking%20Project%2009.24.15%20w%20LEED%20and%20SB66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LTHAGARD\Energy%20Reports\SCO%20Energy%20Benchmarking%20Project%2010.01.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Summary"/>
      <sheetName val="15.16 Meter Data"/>
      <sheetName val="15.16 Raw Meter"/>
      <sheetName val="2015 Summary"/>
      <sheetName val="14.15 Meter Data"/>
      <sheetName val="14.15 Raw Meter"/>
      <sheetName val="2014 Summary"/>
      <sheetName val="13.14 Meter Data"/>
      <sheetName val="13.14 Raw Meter"/>
      <sheetName val="12.13 Meter Data"/>
      <sheetName val="12.13 Raw Meter"/>
      <sheetName val="11.12 Meter Data"/>
      <sheetName val="11.12 Raw Meter"/>
    </sheetNames>
    <sheetDataSet>
      <sheetData sheetId="0"/>
      <sheetData sheetId="1">
        <row r="6">
          <cell r="Y6">
            <v>4786.0519253561797</v>
          </cell>
        </row>
        <row r="7">
          <cell r="W7">
            <v>1709231</v>
          </cell>
        </row>
        <row r="10">
          <cell r="W10">
            <v>112433.72975</v>
          </cell>
        </row>
        <row r="16">
          <cell r="Y16">
            <v>10571.826194908232</v>
          </cell>
        </row>
        <row r="17">
          <cell r="W17">
            <v>969063.92</v>
          </cell>
        </row>
        <row r="21">
          <cell r="W21">
            <v>102256.91581822539</v>
          </cell>
        </row>
        <row r="26">
          <cell r="Y26">
            <v>11395.717218064576</v>
          </cell>
        </row>
        <row r="27">
          <cell r="W27">
            <v>4889384.28</v>
          </cell>
        </row>
        <row r="30">
          <cell r="W30">
            <v>143088.63378870423</v>
          </cell>
        </row>
        <row r="36">
          <cell r="Y36">
            <v>5209.1228885160317</v>
          </cell>
        </row>
        <row r="37">
          <cell r="W37">
            <v>1561671</v>
          </cell>
        </row>
        <row r="41">
          <cell r="W41">
            <v>80478.11</v>
          </cell>
        </row>
        <row r="47">
          <cell r="Y47">
            <v>2908.5996613521038</v>
          </cell>
        </row>
        <row r="48">
          <cell r="W48">
            <v>1351127.36</v>
          </cell>
        </row>
        <row r="52">
          <cell r="W52">
            <v>52638.59</v>
          </cell>
        </row>
        <row r="59">
          <cell r="Y59">
            <v>25526.771565132225</v>
          </cell>
        </row>
        <row r="60">
          <cell r="W60">
            <v>2683000</v>
          </cell>
        </row>
        <row r="65">
          <cell r="W65">
            <v>271145.11</v>
          </cell>
        </row>
        <row r="70">
          <cell r="Y70">
            <v>3119.0465530168958</v>
          </cell>
        </row>
        <row r="74">
          <cell r="W74">
            <v>61509.570000000007</v>
          </cell>
        </row>
        <row r="80">
          <cell r="Y80">
            <v>10036.097331999999</v>
          </cell>
        </row>
        <row r="81">
          <cell r="W81">
            <v>427997.12202429149</v>
          </cell>
        </row>
        <row r="85">
          <cell r="W85">
            <v>163637.77239999999</v>
          </cell>
        </row>
        <row r="89">
          <cell r="W89">
            <v>2531.4084480000001</v>
          </cell>
        </row>
        <row r="91">
          <cell r="W91">
            <v>76605.5</v>
          </cell>
        </row>
        <row r="97">
          <cell r="Y97">
            <v>2717.4964171494562</v>
          </cell>
        </row>
        <row r="101">
          <cell r="W101">
            <v>79111.909999999989</v>
          </cell>
        </row>
        <row r="108">
          <cell r="Y108">
            <v>42659.053549386372</v>
          </cell>
        </row>
        <row r="109">
          <cell r="W109">
            <v>873972.92400000012</v>
          </cell>
        </row>
        <row r="114">
          <cell r="W114">
            <v>433639.98477829847</v>
          </cell>
        </row>
        <row r="119">
          <cell r="Y119">
            <v>9408.4324818499281</v>
          </cell>
        </row>
        <row r="120">
          <cell r="W120">
            <v>4190296</v>
          </cell>
        </row>
        <row r="123">
          <cell r="W123">
            <v>174267.39000000004</v>
          </cell>
        </row>
        <row r="138">
          <cell r="Y138">
            <v>2815.7655949695122</v>
          </cell>
        </row>
        <row r="139">
          <cell r="W139">
            <v>912700</v>
          </cell>
        </row>
        <row r="143">
          <cell r="W143">
            <v>18623.760482327183</v>
          </cell>
        </row>
        <row r="149">
          <cell r="Y149">
            <v>3346.8664771875001</v>
          </cell>
        </row>
        <row r="150">
          <cell r="W150">
            <v>656500</v>
          </cell>
        </row>
        <row r="154">
          <cell r="W154">
            <v>14952.191384359428</v>
          </cell>
        </row>
        <row r="160">
          <cell r="Y160">
            <v>3213.3001996093753</v>
          </cell>
        </row>
        <row r="161">
          <cell r="W161">
            <v>978800</v>
          </cell>
        </row>
        <row r="165">
          <cell r="W165">
            <v>20169.066170950409</v>
          </cell>
        </row>
        <row r="171">
          <cell r="Y171">
            <v>3015.511438</v>
          </cell>
        </row>
        <row r="172">
          <cell r="W172">
            <v>756300</v>
          </cell>
        </row>
        <row r="176">
          <cell r="W176">
            <v>19062.806183613895</v>
          </cell>
        </row>
        <row r="183">
          <cell r="Y183">
            <v>3125.3206140000002</v>
          </cell>
        </row>
        <row r="184">
          <cell r="W184">
            <v>659800</v>
          </cell>
        </row>
        <row r="188">
          <cell r="W188">
            <v>23084.445687565021</v>
          </cell>
        </row>
        <row r="194">
          <cell r="Y194">
            <v>2556.1475869999999</v>
          </cell>
        </row>
        <row r="195">
          <cell r="W195">
            <v>835400</v>
          </cell>
        </row>
        <row r="199">
          <cell r="W199">
            <v>18248.367758849479</v>
          </cell>
        </row>
        <row r="205">
          <cell r="Y205">
            <v>6727.3245769999994</v>
          </cell>
        </row>
        <row r="206">
          <cell r="W206">
            <v>1240811.7647058824</v>
          </cell>
        </row>
        <row r="210">
          <cell r="W210">
            <v>33127.234329548512</v>
          </cell>
        </row>
        <row r="214">
          <cell r="W214">
            <v>2231.702679</v>
          </cell>
        </row>
        <row r="215">
          <cell r="W215">
            <v>1419051.3493714342</v>
          </cell>
        </row>
        <row r="216">
          <cell r="W216">
            <v>43374.198711000005</v>
          </cell>
        </row>
        <row r="221">
          <cell r="Y221">
            <v>7385.2467715834155</v>
          </cell>
        </row>
        <row r="225">
          <cell r="W225">
            <v>131773.86431999999</v>
          </cell>
        </row>
        <row r="236">
          <cell r="W236">
            <v>4225452</v>
          </cell>
        </row>
        <row r="241">
          <cell r="W241">
            <v>2114.1582764</v>
          </cell>
        </row>
        <row r="242">
          <cell r="W242">
            <v>2005449</v>
          </cell>
        </row>
        <row r="243">
          <cell r="W243">
            <v>56971.070000000007</v>
          </cell>
        </row>
        <row r="261">
          <cell r="W261">
            <v>985864</v>
          </cell>
        </row>
        <row r="270">
          <cell r="Y270">
            <v>20265.376148478274</v>
          </cell>
        </row>
        <row r="275">
          <cell r="W275">
            <v>203551.27503749996</v>
          </cell>
        </row>
        <row r="281">
          <cell r="Y281">
            <v>1918.40077</v>
          </cell>
        </row>
        <row r="282">
          <cell r="W282">
            <v>130253</v>
          </cell>
        </row>
        <row r="286">
          <cell r="W286">
            <v>33329.624852000001</v>
          </cell>
        </row>
        <row r="292">
          <cell r="Y292">
            <v>30208.42811328125</v>
          </cell>
        </row>
        <row r="293">
          <cell r="W293">
            <v>1765280</v>
          </cell>
        </row>
        <row r="297">
          <cell r="W297">
            <v>590039.25297781255</v>
          </cell>
        </row>
        <row r="302">
          <cell r="Y302">
            <v>9016.7795875044067</v>
          </cell>
        </row>
        <row r="303">
          <cell r="W303">
            <v>2412382.2800000003</v>
          </cell>
        </row>
        <row r="306">
          <cell r="W306">
            <v>132230.95667009696</v>
          </cell>
        </row>
        <row r="311">
          <cell r="Y311">
            <v>15542.93600766376</v>
          </cell>
        </row>
        <row r="312">
          <cell r="W312">
            <v>6710400</v>
          </cell>
        </row>
        <row r="315">
          <cell r="W315">
            <v>200385.00999999998</v>
          </cell>
        </row>
        <row r="320">
          <cell r="Y320">
            <v>3543.0363477204082</v>
          </cell>
        </row>
        <row r="321">
          <cell r="W321">
            <v>27302</v>
          </cell>
        </row>
        <row r="324">
          <cell r="W324">
            <v>78538.2</v>
          </cell>
        </row>
        <row r="329">
          <cell r="Y329">
            <v>10320.701529586629</v>
          </cell>
        </row>
        <row r="330">
          <cell r="W330">
            <v>3402873</v>
          </cell>
        </row>
        <row r="333">
          <cell r="W333">
            <v>240223.27425000002</v>
          </cell>
        </row>
        <row r="338">
          <cell r="Y338">
            <v>8394.0739864223942</v>
          </cell>
        </row>
        <row r="339">
          <cell r="W339">
            <v>2363896</v>
          </cell>
        </row>
        <row r="342">
          <cell r="W342">
            <v>208325.36600000001</v>
          </cell>
        </row>
        <row r="355">
          <cell r="W355">
            <v>3202.0765999999999</v>
          </cell>
        </row>
        <row r="356">
          <cell r="W356">
            <v>229636</v>
          </cell>
        </row>
        <row r="358">
          <cell r="W358">
            <v>83761.3</v>
          </cell>
        </row>
        <row r="384">
          <cell r="Y384">
            <v>9764.09208176418</v>
          </cell>
        </row>
        <row r="385">
          <cell r="W385">
            <v>597135.88</v>
          </cell>
        </row>
        <row r="390">
          <cell r="W390">
            <v>191606.95986111998</v>
          </cell>
        </row>
        <row r="395">
          <cell r="Y395">
            <v>1859.3974286614559</v>
          </cell>
        </row>
        <row r="396">
          <cell r="W396">
            <v>154338</v>
          </cell>
        </row>
        <row r="399">
          <cell r="W399">
            <v>22920.42</v>
          </cell>
        </row>
        <row r="404">
          <cell r="Y404">
            <v>9281.6801347333276</v>
          </cell>
        </row>
        <row r="405">
          <cell r="W405">
            <v>5659473.6799999997</v>
          </cell>
        </row>
        <row r="408">
          <cell r="W408">
            <v>132904.94247130281</v>
          </cell>
        </row>
        <row r="413">
          <cell r="Y413">
            <v>1668.3426390888299</v>
          </cell>
        </row>
        <row r="414">
          <cell r="W414">
            <v>100329.98974358973</v>
          </cell>
        </row>
        <row r="417">
          <cell r="W417">
            <v>32612.747899459802</v>
          </cell>
        </row>
        <row r="424">
          <cell r="Y424">
            <v>7923.7753822972163</v>
          </cell>
        </row>
        <row r="425">
          <cell r="W425">
            <v>2661077.3200000003</v>
          </cell>
        </row>
        <row r="430">
          <cell r="W430">
            <v>95606.893317379232</v>
          </cell>
        </row>
        <row r="436">
          <cell r="Y436">
            <v>6660.6981380225352</v>
          </cell>
        </row>
        <row r="437">
          <cell r="W437">
            <v>517616</v>
          </cell>
        </row>
        <row r="441">
          <cell r="W441">
            <v>107302.44724392748</v>
          </cell>
        </row>
        <row r="448">
          <cell r="Y448">
            <v>15729.454679478453</v>
          </cell>
        </row>
        <row r="449">
          <cell r="W449">
            <v>2116840</v>
          </cell>
        </row>
        <row r="454">
          <cell r="W454">
            <v>276374.65030219289</v>
          </cell>
        </row>
        <row r="459">
          <cell r="Y459">
            <v>3222.3179278813359</v>
          </cell>
        </row>
        <row r="460">
          <cell r="W460">
            <v>1677016</v>
          </cell>
        </row>
        <row r="463">
          <cell r="W463">
            <v>72819.930000000008</v>
          </cell>
        </row>
        <row r="468">
          <cell r="Y468">
            <v>1749.9322457819521</v>
          </cell>
        </row>
        <row r="469">
          <cell r="W469">
            <v>831776</v>
          </cell>
        </row>
        <row r="472">
          <cell r="W472">
            <v>39904.320000000007</v>
          </cell>
        </row>
        <row r="477">
          <cell r="Y477">
            <v>2544.3501086775682</v>
          </cell>
        </row>
        <row r="478">
          <cell r="W478">
            <v>1345652</v>
          </cell>
        </row>
        <row r="481">
          <cell r="W481">
            <v>57042.94000000001</v>
          </cell>
        </row>
        <row r="487">
          <cell r="Y487">
            <v>8030.0663566021703</v>
          </cell>
        </row>
        <row r="488">
          <cell r="W488">
            <v>4179382.6800000006</v>
          </cell>
        </row>
        <row r="492">
          <cell r="W492">
            <v>101331.44168808</v>
          </cell>
        </row>
        <row r="497">
          <cell r="Y497">
            <v>28554.802774924538</v>
          </cell>
        </row>
        <row r="498">
          <cell r="W498">
            <v>4104276</v>
          </cell>
        </row>
        <row r="501">
          <cell r="W501">
            <v>388989.38</v>
          </cell>
        </row>
        <row r="507">
          <cell r="Y507">
            <v>3729.7453553907617</v>
          </cell>
        </row>
        <row r="512">
          <cell r="W512">
            <v>40839.28875</v>
          </cell>
        </row>
        <row r="518">
          <cell r="Y518">
            <v>6111.362373778562</v>
          </cell>
        </row>
        <row r="519">
          <cell r="W519">
            <v>1066648</v>
          </cell>
        </row>
        <row r="523">
          <cell r="W523">
            <v>104016.03180934874</v>
          </cell>
        </row>
        <row r="528">
          <cell r="Y528">
            <v>3349.099645548104</v>
          </cell>
        </row>
        <row r="529">
          <cell r="W529">
            <v>1756304</v>
          </cell>
        </row>
        <row r="532">
          <cell r="W532">
            <v>76217.97</v>
          </cell>
        </row>
        <row r="539">
          <cell r="Y539">
            <v>8370.3725864030639</v>
          </cell>
        </row>
        <row r="545">
          <cell r="W545">
            <v>81083.678816089145</v>
          </cell>
        </row>
        <row r="551">
          <cell r="Y551">
            <v>5019.2979995490723</v>
          </cell>
        </row>
        <row r="552">
          <cell r="W552">
            <v>513876</v>
          </cell>
        </row>
        <row r="556">
          <cell r="W556">
            <v>87059.429818269185</v>
          </cell>
        </row>
        <row r="562">
          <cell r="Y562">
            <v>5904.0544666839733</v>
          </cell>
        </row>
        <row r="563">
          <cell r="W563">
            <v>238611.99999999997</v>
          </cell>
        </row>
        <row r="567">
          <cell r="W567">
            <v>77663.29463176</v>
          </cell>
        </row>
        <row r="573">
          <cell r="Y573">
            <v>5079.0774535230248</v>
          </cell>
        </row>
        <row r="574">
          <cell r="W574">
            <v>488444</v>
          </cell>
        </row>
        <row r="578">
          <cell r="W578">
            <v>76081.320739222152</v>
          </cell>
        </row>
        <row r="584">
          <cell r="Y584">
            <v>5078.8590686017587</v>
          </cell>
        </row>
        <row r="585">
          <cell r="W585">
            <v>154088</v>
          </cell>
        </row>
        <row r="589">
          <cell r="W589">
            <v>84361.339118600794</v>
          </cell>
        </row>
        <row r="594">
          <cell r="Y594">
            <v>2088.9236977533283</v>
          </cell>
        </row>
        <row r="595">
          <cell r="W595">
            <v>63580</v>
          </cell>
        </row>
        <row r="598">
          <cell r="W598">
            <v>39962.579999999994</v>
          </cell>
        </row>
        <row r="603">
          <cell r="Y603">
            <v>9112.41078932036</v>
          </cell>
        </row>
        <row r="604">
          <cell r="W604">
            <v>5002818.4800000004</v>
          </cell>
        </row>
        <row r="607">
          <cell r="W607">
            <v>128462.11821652544</v>
          </cell>
        </row>
        <row r="621">
          <cell r="Y621">
            <v>1762.2514487508402</v>
          </cell>
        </row>
        <row r="622">
          <cell r="W622">
            <v>109208</v>
          </cell>
        </row>
        <row r="625">
          <cell r="W625">
            <v>25483.760000000002</v>
          </cell>
        </row>
        <row r="630">
          <cell r="Y630">
            <v>2751.2912577685283</v>
          </cell>
        </row>
        <row r="631">
          <cell r="W631">
            <v>106964</v>
          </cell>
        </row>
        <row r="634">
          <cell r="W634">
            <v>48415.192843168719</v>
          </cell>
        </row>
        <row r="642">
          <cell r="Y642">
            <v>16738.084292195243</v>
          </cell>
        </row>
        <row r="643">
          <cell r="W643">
            <v>4194417.4800000004</v>
          </cell>
        </row>
        <row r="648">
          <cell r="W648">
            <v>192697.79638989383</v>
          </cell>
        </row>
        <row r="655">
          <cell r="Y655">
            <v>25465.096888928267</v>
          </cell>
        </row>
        <row r="656">
          <cell r="W656">
            <v>5387297.96</v>
          </cell>
        </row>
        <row r="661">
          <cell r="W661">
            <v>230867.52381183207</v>
          </cell>
        </row>
        <row r="666">
          <cell r="Y666">
            <v>1674.820534</v>
          </cell>
        </row>
        <row r="667">
          <cell r="W667">
            <v>8654.36</v>
          </cell>
        </row>
        <row r="669">
          <cell r="W669">
            <v>40841.285000000003</v>
          </cell>
        </row>
        <row r="705">
          <cell r="Y705">
            <v>43153.437815270212</v>
          </cell>
        </row>
        <row r="706">
          <cell r="W706">
            <v>5333250.8125</v>
          </cell>
        </row>
        <row r="711">
          <cell r="W711">
            <v>787073.69553175219</v>
          </cell>
        </row>
        <row r="716">
          <cell r="Y716">
            <v>5763.3436540895282</v>
          </cell>
        </row>
        <row r="717">
          <cell r="W717">
            <v>950708</v>
          </cell>
        </row>
        <row r="720">
          <cell r="W720">
            <v>114944.21</v>
          </cell>
        </row>
        <row r="762">
          <cell r="Y762">
            <v>2998.1820399999997</v>
          </cell>
        </row>
        <row r="763">
          <cell r="W763">
            <v>1103000</v>
          </cell>
        </row>
        <row r="766">
          <cell r="W766">
            <v>70016.100000000006</v>
          </cell>
        </row>
        <row r="784">
          <cell r="Y784">
            <v>8654.0486707199998</v>
          </cell>
        </row>
        <row r="785">
          <cell r="W785">
            <v>5974020</v>
          </cell>
        </row>
        <row r="788">
          <cell r="W788">
            <v>222500.07935999997</v>
          </cell>
        </row>
      </sheetData>
      <sheetData sheetId="2"/>
      <sheetData sheetId="3"/>
      <sheetData sheetId="4">
        <row r="537">
          <cell r="W537">
            <v>98967.88</v>
          </cell>
        </row>
      </sheetData>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Summary"/>
      <sheetName val="14.15 Meter Data"/>
      <sheetName val="14.15 Raw Meter"/>
      <sheetName val="2014 Summary"/>
      <sheetName val="13.14 Meter Data"/>
      <sheetName val="13.14 Raw Meter"/>
      <sheetName val="12.13 Meter Data"/>
      <sheetName val="12.13 Raw Meter"/>
      <sheetName val="11.12 Meter Data"/>
      <sheetName val="11.12 Raw Meter"/>
    </sheetNames>
    <sheetDataSet>
      <sheetData sheetId="0"/>
      <sheetData sheetId="1">
        <row r="6">
          <cell r="Y6">
            <v>4977.5036684419101</v>
          </cell>
        </row>
        <row r="7">
          <cell r="W7">
            <v>1690222.9999654</v>
          </cell>
        </row>
        <row r="10">
          <cell r="W10">
            <v>119426.84585</v>
          </cell>
        </row>
        <row r="16">
          <cell r="Y16">
            <v>7539.9079772952082</v>
          </cell>
        </row>
        <row r="21">
          <cell r="W21">
            <v>74557.258902409856</v>
          </cell>
        </row>
        <row r="26">
          <cell r="Y26">
            <v>11699.818652976777</v>
          </cell>
        </row>
        <row r="27">
          <cell r="W27">
            <v>4749014.6000000006</v>
          </cell>
        </row>
        <row r="30">
          <cell r="W30">
            <v>152079.25159317223</v>
          </cell>
        </row>
        <row r="36">
          <cell r="Y36">
            <v>5266.0815018623443</v>
          </cell>
        </row>
        <row r="37">
          <cell r="W37">
            <v>573514.04</v>
          </cell>
        </row>
        <row r="41">
          <cell r="W41">
            <v>53111.429999999993</v>
          </cell>
        </row>
        <row r="47">
          <cell r="Y47">
            <v>5468.1767792151441</v>
          </cell>
        </row>
        <row r="48">
          <cell r="W48">
            <v>6365098.5200000005</v>
          </cell>
        </row>
        <row r="52">
          <cell r="W52">
            <v>90016.62</v>
          </cell>
        </row>
        <row r="59">
          <cell r="Y59">
            <v>25820.052486299279</v>
          </cell>
        </row>
        <row r="60">
          <cell r="W60">
            <v>1871000</v>
          </cell>
        </row>
        <row r="65">
          <cell r="W65">
            <v>274420.26</v>
          </cell>
        </row>
        <row r="70">
          <cell r="Y70">
            <v>3571.0090664579279</v>
          </cell>
        </row>
        <row r="71">
          <cell r="W71">
            <v>913308</v>
          </cell>
        </row>
        <row r="74">
          <cell r="W74">
            <v>67408.87000000001</v>
          </cell>
        </row>
        <row r="80">
          <cell r="Y80">
            <v>13935.835685824706</v>
          </cell>
        </row>
        <row r="85">
          <cell r="W85">
            <v>227815.72310912667</v>
          </cell>
        </row>
        <row r="89">
          <cell r="W89">
            <v>2146.7496959999999</v>
          </cell>
        </row>
        <row r="90">
          <cell r="W90">
            <v>56394.562399999995</v>
          </cell>
        </row>
        <row r="91">
          <cell r="W91">
            <v>76577.070000000007</v>
          </cell>
        </row>
        <row r="97">
          <cell r="Y97">
            <v>731.97846893619203</v>
          </cell>
        </row>
        <row r="98">
          <cell r="W98">
            <v>594770</v>
          </cell>
        </row>
        <row r="101">
          <cell r="W101">
            <v>12828.84</v>
          </cell>
        </row>
        <row r="108">
          <cell r="Y108">
            <v>66560.086071436031</v>
          </cell>
        </row>
        <row r="109">
          <cell r="W109">
            <v>663640.56000000006</v>
          </cell>
        </row>
        <row r="114">
          <cell r="W114">
            <v>518840.92753381701</v>
          </cell>
        </row>
        <row r="119">
          <cell r="Y119">
            <v>9280.6087317574802</v>
          </cell>
        </row>
        <row r="120">
          <cell r="W120">
            <v>3709584</v>
          </cell>
        </row>
        <row r="123">
          <cell r="W123">
            <v>173458.66</v>
          </cell>
        </row>
        <row r="128">
          <cell r="Y128">
            <v>2060.4272501071468</v>
          </cell>
        </row>
        <row r="129">
          <cell r="W129">
            <v>340018.36</v>
          </cell>
        </row>
        <row r="132">
          <cell r="W132">
            <v>86351.1</v>
          </cell>
        </row>
        <row r="138">
          <cell r="Y138">
            <v>3737.6974960000002</v>
          </cell>
        </row>
        <row r="139">
          <cell r="W139">
            <v>463600</v>
          </cell>
        </row>
        <row r="143">
          <cell r="W143">
            <v>21544.620000000003</v>
          </cell>
        </row>
        <row r="149">
          <cell r="Y149">
            <v>2996.5500750000001</v>
          </cell>
        </row>
        <row r="150">
          <cell r="W150">
            <v>465900</v>
          </cell>
        </row>
        <row r="154">
          <cell r="W154">
            <v>14804.89</v>
          </cell>
        </row>
        <row r="160">
          <cell r="Y160">
            <v>3009.2254520000001</v>
          </cell>
        </row>
        <row r="161">
          <cell r="W161">
            <v>525800</v>
          </cell>
        </row>
        <row r="165">
          <cell r="W165">
            <v>19763.29</v>
          </cell>
        </row>
        <row r="171">
          <cell r="Y171">
            <v>2464.3936359999998</v>
          </cell>
        </row>
        <row r="172">
          <cell r="W172">
            <v>496800</v>
          </cell>
        </row>
        <row r="176">
          <cell r="W176">
            <v>19024.340000000004</v>
          </cell>
        </row>
        <row r="182">
          <cell r="Y182">
            <v>3205.4453800000001</v>
          </cell>
        </row>
        <row r="183">
          <cell r="W183">
            <v>536100</v>
          </cell>
        </row>
        <row r="187">
          <cell r="W187">
            <v>23000.829999999998</v>
          </cell>
        </row>
        <row r="193">
          <cell r="Y193">
            <v>7152.6503499999999</v>
          </cell>
        </row>
        <row r="194">
          <cell r="W194">
            <v>525200</v>
          </cell>
        </row>
        <row r="198">
          <cell r="W198">
            <v>19585.989999999998</v>
          </cell>
        </row>
        <row r="204">
          <cell r="Y204">
            <v>7720.2166030000008</v>
          </cell>
        </row>
        <row r="205">
          <cell r="W205">
            <v>925800</v>
          </cell>
        </row>
        <row r="209">
          <cell r="W209">
            <v>38727.49</v>
          </cell>
        </row>
        <row r="213">
          <cell r="W213">
            <v>2923.6884289999998</v>
          </cell>
        </row>
        <row r="214">
          <cell r="W214">
            <v>1553840</v>
          </cell>
        </row>
        <row r="215">
          <cell r="W215">
            <v>96702.531759999998</v>
          </cell>
        </row>
        <row r="220">
          <cell r="Y220">
            <v>7364.6859658110316</v>
          </cell>
        </row>
        <row r="221">
          <cell r="W221">
            <v>848245</v>
          </cell>
        </row>
        <row r="224">
          <cell r="W224">
            <v>130334.91504000002</v>
          </cell>
        </row>
        <row r="240">
          <cell r="W240">
            <v>2074.1585989999999</v>
          </cell>
        </row>
        <row r="241">
          <cell r="W241">
            <v>2650585.7971999999</v>
          </cell>
        </row>
        <row r="242">
          <cell r="W242">
            <v>64911.06</v>
          </cell>
        </row>
        <row r="249">
          <cell r="Y249">
            <v>21319.329958500006</v>
          </cell>
        </row>
        <row r="250">
          <cell r="W250">
            <v>858349</v>
          </cell>
        </row>
        <row r="254">
          <cell r="W254">
            <v>206164.52999999997</v>
          </cell>
        </row>
        <row r="279">
          <cell r="W279">
            <v>82682</v>
          </cell>
        </row>
        <row r="289">
          <cell r="Y289">
            <v>38091.304762939471</v>
          </cell>
        </row>
        <row r="294">
          <cell r="W294">
            <v>709069.85437539103</v>
          </cell>
        </row>
        <row r="299">
          <cell r="Y299">
            <v>9876.4026610886467</v>
          </cell>
        </row>
        <row r="300">
          <cell r="W300">
            <v>2243237.04</v>
          </cell>
        </row>
        <row r="303">
          <cell r="W303">
            <v>143891.52185329096</v>
          </cell>
        </row>
        <row r="308">
          <cell r="Y308">
            <v>9115.7525597749282</v>
          </cell>
        </row>
        <row r="309">
          <cell r="W309">
            <v>2992050</v>
          </cell>
        </row>
        <row r="312">
          <cell r="W312">
            <v>195648.13</v>
          </cell>
        </row>
        <row r="317">
          <cell r="Y317">
            <v>3211.15887893428</v>
          </cell>
        </row>
        <row r="318">
          <cell r="W318">
            <v>15176.92</v>
          </cell>
        </row>
        <row r="321">
          <cell r="W321">
            <v>70680.679999999993</v>
          </cell>
        </row>
        <row r="326">
          <cell r="Y326">
            <v>12682.828782166687</v>
          </cell>
        </row>
        <row r="327">
          <cell r="W327">
            <v>2355608.9999082</v>
          </cell>
        </row>
        <row r="330">
          <cell r="W330">
            <v>298171.30054999999</v>
          </cell>
        </row>
        <row r="335">
          <cell r="Y335">
            <v>8724.2833687088041</v>
          </cell>
        </row>
        <row r="336">
          <cell r="W336">
            <v>2745167.9999263999</v>
          </cell>
        </row>
        <row r="339">
          <cell r="W339">
            <v>220128.31359999999</v>
          </cell>
        </row>
        <row r="344">
          <cell r="Y344">
            <v>23198.791299999997</v>
          </cell>
        </row>
        <row r="348">
          <cell r="W348">
            <v>340591.26</v>
          </cell>
        </row>
        <row r="352">
          <cell r="W352">
            <v>3243.7152000000001</v>
          </cell>
        </row>
        <row r="353">
          <cell r="W353">
            <v>220660</v>
          </cell>
        </row>
        <row r="355">
          <cell r="W355">
            <v>83917.500000000015</v>
          </cell>
        </row>
        <row r="368">
          <cell r="Y368">
            <v>24630.68361600022</v>
          </cell>
        </row>
        <row r="369">
          <cell r="W369">
            <v>1160700</v>
          </cell>
        </row>
        <row r="374">
          <cell r="W374">
            <v>220426.58</v>
          </cell>
        </row>
        <row r="381">
          <cell r="Y381">
            <v>12978.529484032564</v>
          </cell>
        </row>
        <row r="382">
          <cell r="W382">
            <v>625746.88</v>
          </cell>
        </row>
        <row r="387">
          <cell r="W387">
            <v>193521.09789769488</v>
          </cell>
        </row>
        <row r="392">
          <cell r="Y392">
            <v>1698.635820484752</v>
          </cell>
        </row>
        <row r="393">
          <cell r="W393">
            <v>154338</v>
          </cell>
        </row>
        <row r="396">
          <cell r="W396">
            <v>22920.42</v>
          </cell>
        </row>
        <row r="401">
          <cell r="Y401">
            <v>10981.178534218929</v>
          </cell>
        </row>
        <row r="402">
          <cell r="W402">
            <v>8471370</v>
          </cell>
        </row>
        <row r="405">
          <cell r="W405">
            <v>149629.63892493953</v>
          </cell>
        </row>
        <row r="410">
          <cell r="Y410">
            <v>1918.2502478482638</v>
          </cell>
        </row>
        <row r="411">
          <cell r="W411">
            <v>120550.17333333332</v>
          </cell>
        </row>
        <row r="414">
          <cell r="W414">
            <v>33166.25</v>
          </cell>
        </row>
        <row r="421">
          <cell r="Y421">
            <v>9709.0475361490317</v>
          </cell>
        </row>
        <row r="422">
          <cell r="W422">
            <v>2377256.2000000002</v>
          </cell>
        </row>
        <row r="427">
          <cell r="W427">
            <v>144007.70119133021</v>
          </cell>
        </row>
        <row r="433">
          <cell r="Y433">
            <v>5261.3204450872308</v>
          </cell>
        </row>
        <row r="434">
          <cell r="W434">
            <v>571472</v>
          </cell>
        </row>
        <row r="438">
          <cell r="W438">
            <v>91337.879146259482</v>
          </cell>
        </row>
        <row r="445">
          <cell r="Y445">
            <v>16548.506401013936</v>
          </cell>
        </row>
        <row r="446">
          <cell r="W446">
            <v>1964248</v>
          </cell>
        </row>
        <row r="451">
          <cell r="W451">
            <v>300411.61470485321</v>
          </cell>
        </row>
        <row r="456">
          <cell r="Y456">
            <v>3553.5589867846397</v>
          </cell>
        </row>
        <row r="457">
          <cell r="W457">
            <v>1941869</v>
          </cell>
        </row>
        <row r="460">
          <cell r="W460">
            <v>78620.689999999988</v>
          </cell>
        </row>
        <row r="465">
          <cell r="Y465">
            <v>2070.3852206900078</v>
          </cell>
        </row>
        <row r="466">
          <cell r="W466">
            <v>699260</v>
          </cell>
        </row>
        <row r="469">
          <cell r="W469">
            <v>46912.73</v>
          </cell>
        </row>
        <row r="474">
          <cell r="Y474">
            <v>2565.031698526016</v>
          </cell>
        </row>
        <row r="475">
          <cell r="W475">
            <v>1202269</v>
          </cell>
        </row>
        <row r="478">
          <cell r="W478">
            <v>57265.61</v>
          </cell>
        </row>
        <row r="484">
          <cell r="Y484">
            <v>8101.0625187544583</v>
          </cell>
        </row>
        <row r="485">
          <cell r="W485">
            <v>2293936.4799999995</v>
          </cell>
        </row>
        <row r="489">
          <cell r="W489">
            <v>93751.755506297428</v>
          </cell>
        </row>
        <row r="494">
          <cell r="Y494">
            <v>28132.099969486808</v>
          </cell>
        </row>
        <row r="495">
          <cell r="W495">
            <v>2997984</v>
          </cell>
        </row>
        <row r="498">
          <cell r="W498">
            <v>410213.44999999995</v>
          </cell>
        </row>
        <row r="515">
          <cell r="Y515">
            <v>6186.9997828501491</v>
          </cell>
        </row>
        <row r="516">
          <cell r="W516">
            <v>1422696</v>
          </cell>
        </row>
        <row r="520">
          <cell r="W520">
            <v>109251.26561439942</v>
          </cell>
        </row>
        <row r="525">
          <cell r="Y525">
            <v>3208.6927340583438</v>
          </cell>
        </row>
        <row r="526">
          <cell r="W526">
            <v>1541790</v>
          </cell>
        </row>
        <row r="529">
          <cell r="W529">
            <v>74606.12</v>
          </cell>
        </row>
        <row r="536">
          <cell r="Y536">
            <v>11226.271627351072</v>
          </cell>
        </row>
        <row r="537">
          <cell r="W537">
            <v>98967.88</v>
          </cell>
        </row>
        <row r="542">
          <cell r="W542">
            <v>93136.063444034837</v>
          </cell>
        </row>
        <row r="548">
          <cell r="Y548">
            <v>5491.1639275531697</v>
          </cell>
        </row>
        <row r="549">
          <cell r="W549">
            <v>690404</v>
          </cell>
        </row>
        <row r="553">
          <cell r="W553">
            <v>96718.143756609585</v>
          </cell>
        </row>
        <row r="559">
          <cell r="Y559">
            <v>6334.0540519178348</v>
          </cell>
        </row>
        <row r="560">
          <cell r="W560">
            <v>184307.20000000001</v>
          </cell>
        </row>
        <row r="564">
          <cell r="W564">
            <v>80823.197825704876</v>
          </cell>
        </row>
        <row r="570">
          <cell r="Y570">
            <v>4198.2810588613384</v>
          </cell>
        </row>
        <row r="571">
          <cell r="W571">
            <v>757724</v>
          </cell>
        </row>
        <row r="575">
          <cell r="W575">
            <v>73828.681368761434</v>
          </cell>
        </row>
        <row r="582">
          <cell r="Y582">
            <v>4461.83066249693</v>
          </cell>
        </row>
        <row r="583">
          <cell r="W583">
            <v>160072</v>
          </cell>
        </row>
        <row r="587">
          <cell r="W587">
            <v>77046.874437856401</v>
          </cell>
        </row>
        <row r="592">
          <cell r="Y592">
            <v>2341.9331527041759</v>
          </cell>
        </row>
        <row r="593">
          <cell r="W593">
            <v>51612</v>
          </cell>
        </row>
        <row r="596">
          <cell r="W596">
            <v>53289.919999999991</v>
          </cell>
        </row>
        <row r="602">
          <cell r="Y602">
            <v>10477.984292818264</v>
          </cell>
        </row>
        <row r="603">
          <cell r="W603">
            <v>3504533.3400000003</v>
          </cell>
        </row>
        <row r="606">
          <cell r="W606">
            <v>146344.37647964407</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3.14 Meter Data"/>
      <sheetName val="13.14 Raw Meter"/>
      <sheetName val="12.13 Meter Data"/>
      <sheetName val="12.13 Raw Meter"/>
      <sheetName val="11.12 Meter Data"/>
      <sheetName val="11.12 Raw Meter"/>
    </sheetNames>
    <sheetDataSet>
      <sheetData sheetId="0"/>
      <sheetData sheetId="1">
        <row r="6">
          <cell r="Y6">
            <v>5419.3772947199996</v>
          </cell>
        </row>
        <row r="7">
          <cell r="W7">
            <v>1686813.173</v>
          </cell>
        </row>
        <row r="10">
          <cell r="W10">
            <v>131154.05768</v>
          </cell>
        </row>
        <row r="15">
          <cell r="Y15">
            <v>5698.822335090832</v>
          </cell>
        </row>
        <row r="16">
          <cell r="W16">
            <v>1535270</v>
          </cell>
        </row>
        <row r="19">
          <cell r="W19">
            <v>72532.839924074098</v>
          </cell>
        </row>
        <row r="24">
          <cell r="Y24">
            <v>12027.527515042584</v>
          </cell>
        </row>
        <row r="25">
          <cell r="W25">
            <v>4537323.12</v>
          </cell>
        </row>
        <row r="28">
          <cell r="W28">
            <v>163500.34471520528</v>
          </cell>
        </row>
        <row r="35">
          <cell r="W35">
            <v>1129435.1200000001</v>
          </cell>
        </row>
        <row r="45">
          <cell r="Y45">
            <v>5625.2607201385044</v>
          </cell>
        </row>
        <row r="46">
          <cell r="W46">
            <v>3417529.72</v>
          </cell>
        </row>
        <row r="57">
          <cell r="Y57">
            <v>25122.282750065078</v>
          </cell>
        </row>
        <row r="63">
          <cell r="W63">
            <v>269941.97000000003</v>
          </cell>
        </row>
        <row r="78">
          <cell r="Y78">
            <v>13048.661900305149</v>
          </cell>
        </row>
        <row r="79">
          <cell r="W79">
            <v>417081.16673464474</v>
          </cell>
        </row>
        <row r="83">
          <cell r="W83">
            <v>215008.26437801085</v>
          </cell>
        </row>
        <row r="87">
          <cell r="W87">
            <v>2061.5612160000001</v>
          </cell>
        </row>
        <row r="88">
          <cell r="W88">
            <v>50815.66</v>
          </cell>
        </row>
        <row r="89">
          <cell r="W89">
            <v>74545.31</v>
          </cell>
        </row>
        <row r="106">
          <cell r="Y106">
            <v>42942.022011398338</v>
          </cell>
        </row>
        <row r="107">
          <cell r="W107">
            <v>1002604.2400000001</v>
          </cell>
        </row>
        <row r="112">
          <cell r="W112">
            <v>439009.38088735915</v>
          </cell>
        </row>
        <row r="117">
          <cell r="Y117">
            <v>8733.6021485828387</v>
          </cell>
        </row>
        <row r="118">
          <cell r="W118">
            <v>498115.64</v>
          </cell>
        </row>
        <row r="121">
          <cell r="W121">
            <v>176086.43999999997</v>
          </cell>
        </row>
        <row r="136">
          <cell r="Y136">
            <v>4244.1871439999995</v>
          </cell>
        </row>
        <row r="137">
          <cell r="W137">
            <v>430300</v>
          </cell>
        </row>
        <row r="141">
          <cell r="W141">
            <v>24482.760000000002</v>
          </cell>
        </row>
        <row r="147">
          <cell r="Y147">
            <v>3338.7712220000003</v>
          </cell>
        </row>
        <row r="148">
          <cell r="W148">
            <v>422800</v>
          </cell>
        </row>
        <row r="152">
          <cell r="W152">
            <v>18646.900000000001</v>
          </cell>
        </row>
        <row r="158">
          <cell r="Y158">
            <v>3787.863891</v>
          </cell>
        </row>
        <row r="159">
          <cell r="W159">
            <v>443300</v>
          </cell>
        </row>
        <row r="163">
          <cell r="W163">
            <v>27071.85</v>
          </cell>
        </row>
        <row r="169">
          <cell r="Y169">
            <v>2552.0620570000001</v>
          </cell>
        </row>
        <row r="170">
          <cell r="W170">
            <v>407900</v>
          </cell>
        </row>
        <row r="174">
          <cell r="W174">
            <v>21730.889999999996</v>
          </cell>
        </row>
        <row r="180">
          <cell r="Y180">
            <v>3528.0014380000002</v>
          </cell>
        </row>
        <row r="181">
          <cell r="W181">
            <v>386000</v>
          </cell>
        </row>
        <row r="185">
          <cell r="W185">
            <v>40689.550000000003</v>
          </cell>
        </row>
        <row r="191">
          <cell r="Y191">
            <v>9693.4978470000005</v>
          </cell>
        </row>
        <row r="192">
          <cell r="W192">
            <v>391330</v>
          </cell>
        </row>
        <row r="196">
          <cell r="W196">
            <v>21007.970000000005</v>
          </cell>
        </row>
        <row r="202">
          <cell r="Y202">
            <v>11456.974553</v>
          </cell>
        </row>
        <row r="203">
          <cell r="W203">
            <v>684000</v>
          </cell>
        </row>
        <row r="207">
          <cell r="W207">
            <v>69732.88</v>
          </cell>
        </row>
        <row r="211">
          <cell r="W211">
            <v>3084.9765699999998</v>
          </cell>
        </row>
        <row r="212">
          <cell r="W212">
            <v>1235936</v>
          </cell>
        </row>
        <row r="213">
          <cell r="W213">
            <v>57797.919999999998</v>
          </cell>
        </row>
        <row r="218">
          <cell r="Y218">
            <v>7071.8135623104399</v>
          </cell>
        </row>
        <row r="219">
          <cell r="W219">
            <v>848245</v>
          </cell>
        </row>
        <row r="222">
          <cell r="W222">
            <v>120780.27840000001</v>
          </cell>
        </row>
        <row r="238">
          <cell r="W238">
            <v>2153.2685259999998</v>
          </cell>
        </row>
        <row r="239">
          <cell r="W239">
            <v>1744309</v>
          </cell>
        </row>
        <row r="240">
          <cell r="W240">
            <v>66675.820000000007</v>
          </cell>
        </row>
        <row r="246">
          <cell r="Y246">
            <v>14655.276047000001</v>
          </cell>
        </row>
        <row r="247">
          <cell r="W247">
            <v>626923</v>
          </cell>
        </row>
        <row r="251">
          <cell r="W251">
            <v>197908.31</v>
          </cell>
        </row>
        <row r="284">
          <cell r="Y284">
            <v>61448.369662455858</v>
          </cell>
        </row>
        <row r="285">
          <cell r="W285">
            <v>1866456.3085054725</v>
          </cell>
        </row>
        <row r="289">
          <cell r="W289">
            <v>1030347.1538839238</v>
          </cell>
        </row>
        <row r="294">
          <cell r="Y294">
            <v>9183.5273533951204</v>
          </cell>
        </row>
        <row r="295">
          <cell r="W295">
            <v>772504.4800000001</v>
          </cell>
        </row>
        <row r="298">
          <cell r="W298">
            <v>138366.50745431395</v>
          </cell>
        </row>
        <row r="303">
          <cell r="Y303">
            <v>7567.2233516250162</v>
          </cell>
        </row>
        <row r="304">
          <cell r="W304">
            <v>1567490</v>
          </cell>
        </row>
        <row r="307">
          <cell r="W307">
            <v>167570.51000000004</v>
          </cell>
        </row>
        <row r="312">
          <cell r="Y312">
            <v>3017.5830470849519</v>
          </cell>
        </row>
        <row r="313">
          <cell r="W313">
            <v>1167628</v>
          </cell>
        </row>
        <row r="316">
          <cell r="W316">
            <v>68964.5</v>
          </cell>
        </row>
        <row r="321">
          <cell r="Y321">
            <v>15303.046902760001</v>
          </cell>
        </row>
        <row r="322">
          <cell r="W322">
            <v>4243580.4589999998</v>
          </cell>
        </row>
        <row r="325">
          <cell r="W325">
            <v>357284.96344000002</v>
          </cell>
        </row>
        <row r="330">
          <cell r="Y330">
            <v>9131.9133395200006</v>
          </cell>
        </row>
        <row r="331">
          <cell r="W331">
            <v>2066184.368</v>
          </cell>
        </row>
        <row r="334">
          <cell r="W334">
            <v>228963.94887999998</v>
          </cell>
        </row>
        <row r="339">
          <cell r="Y339">
            <v>17208.4869</v>
          </cell>
        </row>
        <row r="343">
          <cell r="W343">
            <v>291901.88</v>
          </cell>
        </row>
        <row r="347">
          <cell r="W347">
            <v>3008.9007999999999</v>
          </cell>
        </row>
        <row r="348">
          <cell r="W348">
            <v>175780</v>
          </cell>
        </row>
        <row r="350">
          <cell r="W350">
            <v>75973.5</v>
          </cell>
        </row>
        <row r="363">
          <cell r="Y363">
            <v>34139.341</v>
          </cell>
        </row>
        <row r="364">
          <cell r="W364">
            <v>1167500</v>
          </cell>
        </row>
        <row r="369">
          <cell r="W369">
            <v>242520.84</v>
          </cell>
        </row>
        <row r="376">
          <cell r="W376">
            <v>679393.97100000002</v>
          </cell>
        </row>
        <row r="380">
          <cell r="W380">
            <v>165975.10895098379</v>
          </cell>
        </row>
        <row r="385">
          <cell r="Y385">
            <v>10913.34635051748</v>
          </cell>
        </row>
        <row r="386">
          <cell r="W386">
            <v>4496320</v>
          </cell>
        </row>
        <row r="389">
          <cell r="W389">
            <v>153565.98751242738</v>
          </cell>
        </row>
        <row r="394">
          <cell r="Y394">
            <v>707.10291676999998</v>
          </cell>
        </row>
        <row r="395">
          <cell r="W395">
            <v>8228</v>
          </cell>
        </row>
        <row r="398">
          <cell r="W398">
            <v>15342.100000000002</v>
          </cell>
        </row>
        <row r="405">
          <cell r="Y405">
            <v>13345.272515812689</v>
          </cell>
        </row>
        <row r="407">
          <cell r="Y407">
            <v>3310737.7600000002</v>
          </cell>
        </row>
        <row r="412">
          <cell r="W412">
            <v>108713.37263885731</v>
          </cell>
        </row>
        <row r="418">
          <cell r="Y418">
            <v>1586.1422796271163</v>
          </cell>
        </row>
        <row r="419">
          <cell r="W419">
            <v>967912</v>
          </cell>
        </row>
        <row r="423">
          <cell r="W423">
            <v>75688.068057488737</v>
          </cell>
        </row>
        <row r="429">
          <cell r="Y429">
            <v>5779.4534698182342</v>
          </cell>
        </row>
        <row r="430">
          <cell r="W430">
            <v>1626900</v>
          </cell>
        </row>
        <row r="434">
          <cell r="W434">
            <v>295899.11223345174</v>
          </cell>
        </row>
        <row r="439">
          <cell r="Y439">
            <v>6865.0980174259512</v>
          </cell>
        </row>
        <row r="440">
          <cell r="W440">
            <v>1823624</v>
          </cell>
        </row>
        <row r="443">
          <cell r="W443">
            <v>76867.000000000015</v>
          </cell>
        </row>
        <row r="448">
          <cell r="Y448">
            <v>2459.3069474581439</v>
          </cell>
        </row>
        <row r="449">
          <cell r="W449">
            <v>1306008</v>
          </cell>
        </row>
        <row r="452">
          <cell r="W452">
            <v>53426.130000000005</v>
          </cell>
        </row>
        <row r="457">
          <cell r="Y457">
            <v>2092.5003388396481</v>
          </cell>
        </row>
        <row r="458">
          <cell r="W458">
            <v>1306008</v>
          </cell>
        </row>
        <row r="461">
          <cell r="W461">
            <v>50951.170000000006</v>
          </cell>
        </row>
        <row r="466">
          <cell r="Y466">
            <v>7952.9710459945663</v>
          </cell>
        </row>
        <row r="467">
          <cell r="W467">
            <v>1375634.0279999999</v>
          </cell>
        </row>
        <row r="470">
          <cell r="W470">
            <v>62831.364744550934</v>
          </cell>
        </row>
      </sheetData>
      <sheetData sheetId="2"/>
      <sheetData sheetId="3"/>
      <sheetData sheetId="4"/>
      <sheetData sheetId="5"/>
      <sheetData sheetId="6"/>
    </sheetDataSet>
  </externalBook>
</externalLink>
</file>

<file path=xl/tables/table1.xml><?xml version="1.0" encoding="utf-8"?>
<table xmlns="http://schemas.openxmlformats.org/spreadsheetml/2006/main" id="1" name="Table2" displayName="Table2" ref="B2:H3" totalsRowShown="0" headerRowDxfId="35" dataDxfId="33" headerRowBorderDxfId="34" tableBorderDxfId="32" totalsRowBorderDxfId="31">
  <autoFilter ref="B2:H3"/>
  <tableColumns count="7">
    <tableColumn id="1" name="Building" dataDxfId="30"/>
    <tableColumn id="2" name="2014-2015 Elec Usage" dataDxfId="29"/>
    <tableColumn id="3" name="2014-2015 Steam Usage" dataDxfId="28"/>
    <tableColumn id="4" name="2014-2015 Water Usage" dataDxfId="27"/>
    <tableColumn id="5" name="2014-2015 Elec Expense" dataDxfId="26"/>
    <tableColumn id="6" name="2014-2015 Steam Expense" dataDxfId="25"/>
    <tableColumn id="7" name="2014-2015 Water &amp; Sewer Expense" dataDxfId="24"/>
  </tableColumns>
  <tableStyleInfo name="TableStyleMedium2" showFirstColumn="0" showLastColumn="0" showRowStripes="1" showColumnStripes="0"/>
</table>
</file>

<file path=xl/tables/table2.xml><?xml version="1.0" encoding="utf-8"?>
<table xmlns="http://schemas.openxmlformats.org/spreadsheetml/2006/main" id="2" name="Table23" displayName="Table23" ref="B481:H482" totalsRowShown="0" headerRowDxfId="23" dataDxfId="21" headerRowBorderDxfId="22" tableBorderDxfId="20" totalsRowBorderDxfId="19">
  <autoFilter ref="B481:H482"/>
  <tableColumns count="7">
    <tableColumn id="1" name="Building" dataDxfId="18"/>
    <tableColumn id="2" name="2014-2015 Elec Usage" dataDxfId="17"/>
    <tableColumn id="3" name="2014-2015 Steam Usage" dataDxfId="16"/>
    <tableColumn id="4" name="2014-2015 Water Usage" dataDxfId="15"/>
    <tableColumn id="5" name="2014-2015 Elec Expense" dataDxfId="14"/>
    <tableColumn id="6" name="2014-2015 Steam Expense" dataDxfId="13"/>
    <tableColumn id="7" name="2014-2015 Water &amp; Sewer Expense" dataDxfId="12"/>
  </tableColumns>
  <tableStyleInfo name="TableStyleMedium2" showFirstColumn="0" showLastColumn="0" showRowStripes="1" showColumnStripes="0"/>
</table>
</file>

<file path=xl/tables/table3.xml><?xml version="1.0" encoding="utf-8"?>
<table xmlns="http://schemas.openxmlformats.org/spreadsheetml/2006/main" id="3" name="Table24" displayName="Table24" ref="B485:H486" totalsRowShown="0" headerRowDxfId="11" dataDxfId="9" headerRowBorderDxfId="10" tableBorderDxfId="8" totalsRowBorderDxfId="7">
  <autoFilter ref="B485:H486"/>
  <tableColumns count="7">
    <tableColumn id="1" name="Building" dataDxfId="6"/>
    <tableColumn id="2" name="2014-2015 Elec Usage" dataDxfId="5"/>
    <tableColumn id="3" name="2014-2015 Steam Usage" dataDxfId="4"/>
    <tableColumn id="4" name="2014-2015 Water Usage" dataDxfId="3"/>
    <tableColumn id="5" name="2014-2015 Elec Expense" dataDxfId="2"/>
    <tableColumn id="6" name="2014-2015 Steam Expense" dataDxfId="1"/>
    <tableColumn id="7" name="2014-2015 Water &amp; Sewer Expens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usgbc.org/projects/chidley-north-residence-hall" TargetMode="External"/><Relationship Id="rId18" Type="http://schemas.openxmlformats.org/officeDocument/2006/relationships/hyperlink" Target="http://www.usgbc.org/projects/uncg-quad-housing-project" TargetMode="External"/><Relationship Id="rId26" Type="http://schemas.openxmlformats.org/officeDocument/2006/relationships/hyperlink" Target="http://www.usgbc.org/projects/asu-llc" TargetMode="External"/><Relationship Id="rId39" Type="http://schemas.openxmlformats.org/officeDocument/2006/relationships/hyperlink" Target="http://www.usgbc.org/projects/center-design-innovation" TargetMode="External"/><Relationship Id="rId21" Type="http://schemas.openxmlformats.org/officeDocument/2006/relationships/hyperlink" Target="http://www.usgbc.org/projects/unc-wilmington-teaching-labs" TargetMode="External"/><Relationship Id="rId34" Type="http://schemas.openxmlformats.org/officeDocument/2006/relationships/hyperlink" Target="http://www.usgbc.org/projects/wssu-new-residence-hall" TargetMode="External"/><Relationship Id="rId42" Type="http://schemas.openxmlformats.org/officeDocument/2006/relationships/hyperlink" Target="http://www.usgbc.org/projects/reynolds-coliseum-renovations" TargetMode="External"/><Relationship Id="rId47" Type="http://schemas.openxmlformats.org/officeDocument/2006/relationships/hyperlink" Target="http://www.usgbc.org/projects/wcu-brown-buidling-renovation-addition" TargetMode="External"/><Relationship Id="rId50" Type="http://schemas.openxmlformats.org/officeDocument/2006/relationships/hyperlink" Target="http://www.usgbc.org/projects/ncsu-ccsh-building-3" TargetMode="External"/><Relationship Id="rId55" Type="http://schemas.openxmlformats.org/officeDocument/2006/relationships/hyperlink" Target="http://www.usgbc.org/projects/uncg-spartan-village-housing-phase-1" TargetMode="External"/><Relationship Id="rId63" Type="http://schemas.openxmlformats.org/officeDocument/2006/relationships/drawing" Target="../drawings/drawing1.xml"/><Relationship Id="rId7" Type="http://schemas.openxmlformats.org/officeDocument/2006/relationships/hyperlink" Target="http://www.usgbc.org/projects/wtcc-holding-hall-renovation" TargetMode="External"/><Relationship Id="rId2" Type="http://schemas.openxmlformats.org/officeDocument/2006/relationships/hyperlink" Target="mailto:diane.norris@doa.nc.gov" TargetMode="External"/><Relationship Id="rId16" Type="http://schemas.openxmlformats.org/officeDocument/2006/relationships/hyperlink" Target="http://www.usgbc.org/projects/education-and-psychology-building" TargetMode="External"/><Relationship Id="rId20" Type="http://schemas.openxmlformats.org/officeDocument/2006/relationships/hyperlink" Target="http://www.usgbc.org/projects/uncp-nursing-and-health-building" TargetMode="External"/><Relationship Id="rId29" Type="http://schemas.openxmlformats.org/officeDocument/2006/relationships/hyperlink" Target="http://www.usgbc.org/projects/fayetteville-state-u-lab" TargetMode="External"/><Relationship Id="rId41" Type="http://schemas.openxmlformats.org/officeDocument/2006/relationships/hyperlink" Target="http://www.usgbc.org/projects/wssu-science-building" TargetMode="External"/><Relationship Id="rId54" Type="http://schemas.openxmlformats.org/officeDocument/2006/relationships/hyperlink" Target="http://www.usgbc.org/projects/ncsu-ccsh-building-1" TargetMode="External"/><Relationship Id="rId62" Type="http://schemas.openxmlformats.org/officeDocument/2006/relationships/printerSettings" Target="../printerSettings/printerSettings1.bin"/><Relationship Id="rId1" Type="http://schemas.openxmlformats.org/officeDocument/2006/relationships/hyperlink" Target="mailto:diane.norris@doa.nc.gov" TargetMode="External"/><Relationship Id="rId6" Type="http://schemas.openxmlformats.org/officeDocument/2006/relationships/hyperlink" Target="http://www.usgbc.org/projects/gtcc-aviation-classroom-building" TargetMode="External"/><Relationship Id="rId11" Type="http://schemas.openxmlformats.org/officeDocument/2006/relationships/hyperlink" Target="http://www.usgbc.org/projects/unc-charlotte-phase-ix-residence-housing" TargetMode="External"/><Relationship Id="rId24" Type="http://schemas.openxmlformats.org/officeDocument/2006/relationships/hyperlink" Target="http://www.usgbc.org/projects/continuing-ed-industrial-center-renov" TargetMode="External"/><Relationship Id="rId32" Type="http://schemas.openxmlformats.org/officeDocument/2006/relationships/hyperlink" Target="http://www.usgbc.org/projects/haywood-cc-creative-arts-building" TargetMode="External"/><Relationship Id="rId37" Type="http://schemas.openxmlformats.org/officeDocument/2006/relationships/hyperlink" Target="http://www.usgbc.org/projects/ncat-student-health-center" TargetMode="External"/><Relationship Id="rId40" Type="http://schemas.openxmlformats.org/officeDocument/2006/relationships/hyperlink" Target="http://www.usgbc.org/projects/rudolph-jones-student-center" TargetMode="External"/><Relationship Id="rId45" Type="http://schemas.openxmlformats.org/officeDocument/2006/relationships/hyperlink" Target="http://www.usgbc.org/projects/cvcc-workforce-solutions-complex" TargetMode="External"/><Relationship Id="rId53" Type="http://schemas.openxmlformats.org/officeDocument/2006/relationships/hyperlink" Target="http://www.usgbc.org/projects/ncsu-ccsh-building-6" TargetMode="External"/><Relationship Id="rId58" Type="http://schemas.openxmlformats.org/officeDocument/2006/relationships/hyperlink" Target="http://www.usgbc.org/projects/uncg-spartan-village-housing-phase-1" TargetMode="External"/><Relationship Id="rId5" Type="http://schemas.openxmlformats.org/officeDocument/2006/relationships/hyperlink" Target="http://www.usgbc.org/projects/harrill-hall-renovations" TargetMode="External"/><Relationship Id="rId15" Type="http://schemas.openxmlformats.org/officeDocument/2006/relationships/hyperlink" Target="http://www.usgbc.org/projects/ncsu-student-health-center-add-reno" TargetMode="External"/><Relationship Id="rId23" Type="http://schemas.openxmlformats.org/officeDocument/2006/relationships/hyperlink" Target="http://www.usgbc.org/projects/football-complex-fieldhouse" TargetMode="External"/><Relationship Id="rId28" Type="http://schemas.openxmlformats.org/officeDocument/2006/relationships/hyperlink" Target="http://www.usgbc.org/projects/nc-state-bar" TargetMode="External"/><Relationship Id="rId36" Type="http://schemas.openxmlformats.org/officeDocument/2006/relationships/hyperlink" Target="http://www.usgbc.org/projects/wssu-hill-hall-renovation" TargetMode="External"/><Relationship Id="rId49" Type="http://schemas.openxmlformats.org/officeDocument/2006/relationships/hyperlink" Target="http://www.usgbc.org/projects/alamance-community-college-technical-ctr" TargetMode="External"/><Relationship Id="rId57" Type="http://schemas.openxmlformats.org/officeDocument/2006/relationships/hyperlink" Target="http://www.usgbc.org/projects/uncg-spartan-village-housing-phase-1" TargetMode="External"/><Relationship Id="rId61" Type="http://schemas.openxmlformats.org/officeDocument/2006/relationships/hyperlink" Target="http://www.usgbc.org/projects/engineering-researchinnovation-complex" TargetMode="External"/><Relationship Id="rId10" Type="http://schemas.openxmlformats.org/officeDocument/2006/relationships/hyperlink" Target="http://www.usgbc.org/projects/asu-cone" TargetMode="External"/><Relationship Id="rId19" Type="http://schemas.openxmlformats.org/officeDocument/2006/relationships/hyperlink" Target="http://www.usgbc.org/projects/renaissance-hall-student-housing-project" TargetMode="External"/><Relationship Id="rId31" Type="http://schemas.openxmlformats.org/officeDocument/2006/relationships/hyperlink" Target="http://www.usgbc.org/projects/wssu-student-activities-center" TargetMode="External"/><Relationship Id="rId44" Type="http://schemas.openxmlformats.org/officeDocument/2006/relationships/hyperlink" Target="http://www.usgbc.org/projects/east-carolina-university-belk-hall-0" TargetMode="External"/><Relationship Id="rId52" Type="http://schemas.openxmlformats.org/officeDocument/2006/relationships/hyperlink" Target="http://www.usgbc.org/projects/ncsu-ccsh-building-4" TargetMode="External"/><Relationship Id="rId60" Type="http://schemas.openxmlformats.org/officeDocument/2006/relationships/hyperlink" Target="http://www.usgbc.org/projects/mary-ellen-jones-renovation" TargetMode="External"/><Relationship Id="rId65" Type="http://schemas.openxmlformats.org/officeDocument/2006/relationships/comments" Target="../comments1.xml"/><Relationship Id="rId4" Type="http://schemas.openxmlformats.org/officeDocument/2006/relationships/hyperlink" Target="http://www.usgbc.org/projects/ncsu-talley-student-center" TargetMode="External"/><Relationship Id="rId9" Type="http://schemas.openxmlformats.org/officeDocument/2006/relationships/hyperlink" Target="http://www.usgbc.org/projects/unc-g-student-recreation-center" TargetMode="External"/><Relationship Id="rId14" Type="http://schemas.openxmlformats.org/officeDocument/2006/relationships/hyperlink" Target="http://www.usgbc.org/projects/davis-arena-renovation-and-expansion" TargetMode="External"/><Relationship Id="rId22" Type="http://schemas.openxmlformats.org/officeDocument/2006/relationships/hyperlink" Target="http://www.usgbc.org/projects/james-b-hunt-jr-library" TargetMode="External"/><Relationship Id="rId27" Type="http://schemas.openxmlformats.org/officeDocument/2006/relationships/hyperlink" Target="http://www.usgbc.org/projects/marine-biotechnology-research-facility" TargetMode="External"/><Relationship Id="rId30" Type="http://schemas.openxmlformats.org/officeDocument/2006/relationships/hyperlink" Target="http://www.usgbc.org/projects/unc-wilmington-student-recreation-center" TargetMode="External"/><Relationship Id="rId35" Type="http://schemas.openxmlformats.org/officeDocument/2006/relationships/hyperlink" Target="http://www.usgbc.org/projects/cfcc-union-station-building" TargetMode="External"/><Relationship Id="rId43" Type="http://schemas.openxmlformats.org/officeDocument/2006/relationships/hyperlink" Target="http://www.usgbc.org/projects/new-student-center-1" TargetMode="External"/><Relationship Id="rId48" Type="http://schemas.openxmlformats.org/officeDocument/2006/relationships/hyperlink" Target="http://www.usgbc.org/projects/dccc-health-and-sciences-building" TargetMode="External"/><Relationship Id="rId56" Type="http://schemas.openxmlformats.org/officeDocument/2006/relationships/hyperlink" Target="http://www.usgbc.org/projects/uncg-spartan-village-housing-phase-1" TargetMode="External"/><Relationship Id="rId64" Type="http://schemas.openxmlformats.org/officeDocument/2006/relationships/vmlDrawing" Target="../drawings/vmlDrawing1.vml"/><Relationship Id="rId8" Type="http://schemas.openxmlformats.org/officeDocument/2006/relationships/hyperlink" Target="http://www.usgbc.org/projects/ecu-main-campus-student-union" TargetMode="External"/><Relationship Id="rId51" Type="http://schemas.openxmlformats.org/officeDocument/2006/relationships/hyperlink" Target="http://www.usgbc.org/projects/ncsu-ccsh-building-5" TargetMode="External"/><Relationship Id="rId3" Type="http://schemas.openxmlformats.org/officeDocument/2006/relationships/hyperlink" Target="http://www.usgbc.org/projects/belk-hall-residence-hall-renovation" TargetMode="External"/><Relationship Id="rId12" Type="http://schemas.openxmlformats.org/officeDocument/2006/relationships/hyperlink" Target="http://www.usgbc.org/projects/school-nursing" TargetMode="External"/><Relationship Id="rId17" Type="http://schemas.openxmlformats.org/officeDocument/2006/relationships/hyperlink" Target="http://www.usgbc.org/projects/uncg-quad-housing-project" TargetMode="External"/><Relationship Id="rId25" Type="http://schemas.openxmlformats.org/officeDocument/2006/relationships/hyperlink" Target="http://www.usgbc.org/projects/asu-plemmons-addition" TargetMode="External"/><Relationship Id="rId33" Type="http://schemas.openxmlformats.org/officeDocument/2006/relationships/hyperlink" Target="http://www.usgbc.org/projects/ncsu-ccsh-building-2" TargetMode="External"/><Relationship Id="rId38" Type="http://schemas.openxmlformats.org/officeDocument/2006/relationships/hyperlink" Target="http://www.usgbc.org/projects/uncg-campus-police" TargetMode="External"/><Relationship Id="rId46" Type="http://schemas.openxmlformats.org/officeDocument/2006/relationships/hyperlink" Target="mailto:rjbest@haywood.edu" TargetMode="External"/><Relationship Id="rId59" Type="http://schemas.openxmlformats.org/officeDocument/2006/relationships/hyperlink" Target="http://www.usgbc.org/projects/ecu-hsc-student-services-cent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hyperlink" Target="mailto:diane.norris@doa.nc.gov" TargetMode="External"/><Relationship Id="rId1" Type="http://schemas.openxmlformats.org/officeDocument/2006/relationships/hyperlink" Target="mailto:diane.norris@doa.nc.gov" TargetMode="External"/><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3" Type="http://schemas.openxmlformats.org/officeDocument/2006/relationships/hyperlink" Target="http://www.usgbc.org/projects/chidley-north-residence-hall" TargetMode="External"/><Relationship Id="rId18" Type="http://schemas.openxmlformats.org/officeDocument/2006/relationships/hyperlink" Target="http://www.usgbc.org/projects/uncg-quad-housing-project" TargetMode="External"/><Relationship Id="rId26" Type="http://schemas.openxmlformats.org/officeDocument/2006/relationships/hyperlink" Target="http://www.usgbc.org/projects/asu-llc" TargetMode="External"/><Relationship Id="rId39" Type="http://schemas.openxmlformats.org/officeDocument/2006/relationships/hyperlink" Target="http://www.usgbc.org/projects/center-design-innovation" TargetMode="External"/><Relationship Id="rId21" Type="http://schemas.openxmlformats.org/officeDocument/2006/relationships/hyperlink" Target="http://www.usgbc.org/projects/unc-wilmington-teaching-labs" TargetMode="External"/><Relationship Id="rId34" Type="http://schemas.openxmlformats.org/officeDocument/2006/relationships/hyperlink" Target="http://www.usgbc.org/projects/wssu-new-residence-hall" TargetMode="External"/><Relationship Id="rId42" Type="http://schemas.openxmlformats.org/officeDocument/2006/relationships/hyperlink" Target="http://www.usgbc.org/projects/reynolds-coliseum-renovations" TargetMode="External"/><Relationship Id="rId47" Type="http://schemas.openxmlformats.org/officeDocument/2006/relationships/hyperlink" Target="http://www.usgbc.org/projects/wcu-brown-buidling-renovation-addition" TargetMode="External"/><Relationship Id="rId50" Type="http://schemas.openxmlformats.org/officeDocument/2006/relationships/hyperlink" Target="http://www.usgbc.org/projects/ncsu-ccsh-building-3" TargetMode="External"/><Relationship Id="rId55" Type="http://schemas.openxmlformats.org/officeDocument/2006/relationships/hyperlink" Target="http://www.usgbc.org/projects/uncg-spartan-village-housing-phase-1" TargetMode="External"/><Relationship Id="rId63" Type="http://schemas.openxmlformats.org/officeDocument/2006/relationships/comments" Target="../comments3.xml"/><Relationship Id="rId7" Type="http://schemas.openxmlformats.org/officeDocument/2006/relationships/hyperlink" Target="http://www.usgbc.org/projects/wtcc-holding-hall-renovation" TargetMode="External"/><Relationship Id="rId2" Type="http://schemas.openxmlformats.org/officeDocument/2006/relationships/hyperlink" Target="mailto:diane.norris@doa.nc.gov" TargetMode="External"/><Relationship Id="rId16" Type="http://schemas.openxmlformats.org/officeDocument/2006/relationships/hyperlink" Target="http://www.usgbc.org/projects/education-and-psychology-building" TargetMode="External"/><Relationship Id="rId20" Type="http://schemas.openxmlformats.org/officeDocument/2006/relationships/hyperlink" Target="http://www.usgbc.org/projects/uncp-nursing-and-health-building" TargetMode="External"/><Relationship Id="rId29" Type="http://schemas.openxmlformats.org/officeDocument/2006/relationships/hyperlink" Target="http://www.usgbc.org/projects/fayetteville-state-u-lab" TargetMode="External"/><Relationship Id="rId41" Type="http://schemas.openxmlformats.org/officeDocument/2006/relationships/hyperlink" Target="http://www.usgbc.org/projects/wssu-science-building" TargetMode="External"/><Relationship Id="rId54" Type="http://schemas.openxmlformats.org/officeDocument/2006/relationships/hyperlink" Target="http://www.usgbc.org/projects/ncsu-ccsh-building-1" TargetMode="External"/><Relationship Id="rId62" Type="http://schemas.openxmlformats.org/officeDocument/2006/relationships/vmlDrawing" Target="../drawings/vmlDrawing3.vml"/><Relationship Id="rId1" Type="http://schemas.openxmlformats.org/officeDocument/2006/relationships/hyperlink" Target="mailto:diane.norris@doa.nc.gov" TargetMode="External"/><Relationship Id="rId6" Type="http://schemas.openxmlformats.org/officeDocument/2006/relationships/hyperlink" Target="http://www.usgbc.org/projects/gtcc-aviation-classroom-building" TargetMode="External"/><Relationship Id="rId11" Type="http://schemas.openxmlformats.org/officeDocument/2006/relationships/hyperlink" Target="http://www.usgbc.org/projects/unc-charlotte-phase-ix-residence-housing" TargetMode="External"/><Relationship Id="rId24" Type="http://schemas.openxmlformats.org/officeDocument/2006/relationships/hyperlink" Target="http://www.usgbc.org/projects/continuing-ed-industrial-center-renov" TargetMode="External"/><Relationship Id="rId32" Type="http://schemas.openxmlformats.org/officeDocument/2006/relationships/hyperlink" Target="http://www.usgbc.org/projects/haywood-cc-creative-arts-building" TargetMode="External"/><Relationship Id="rId37" Type="http://schemas.openxmlformats.org/officeDocument/2006/relationships/hyperlink" Target="http://www.usgbc.org/projects/ncat-student-health-center" TargetMode="External"/><Relationship Id="rId40" Type="http://schemas.openxmlformats.org/officeDocument/2006/relationships/hyperlink" Target="http://www.usgbc.org/projects/rudolph-jones-student-center" TargetMode="External"/><Relationship Id="rId45" Type="http://schemas.openxmlformats.org/officeDocument/2006/relationships/hyperlink" Target="http://www.usgbc.org/projects/cvcc-workforce-solutions-complex" TargetMode="External"/><Relationship Id="rId53" Type="http://schemas.openxmlformats.org/officeDocument/2006/relationships/hyperlink" Target="http://www.usgbc.org/projects/ncsu-ccsh-building-6" TargetMode="External"/><Relationship Id="rId58" Type="http://schemas.openxmlformats.org/officeDocument/2006/relationships/hyperlink" Target="http://www.usgbc.org/projects/uncg-spartan-village-housing-phase-1" TargetMode="External"/><Relationship Id="rId5" Type="http://schemas.openxmlformats.org/officeDocument/2006/relationships/hyperlink" Target="http://www.usgbc.org/projects/harrill-hall-renovations" TargetMode="External"/><Relationship Id="rId15" Type="http://schemas.openxmlformats.org/officeDocument/2006/relationships/hyperlink" Target="http://www.usgbc.org/projects/ncsu-student-health-center-add-reno" TargetMode="External"/><Relationship Id="rId23" Type="http://schemas.openxmlformats.org/officeDocument/2006/relationships/hyperlink" Target="http://www.usgbc.org/projects/football-complex-fieldhouse" TargetMode="External"/><Relationship Id="rId28" Type="http://schemas.openxmlformats.org/officeDocument/2006/relationships/hyperlink" Target="http://www.usgbc.org/projects/nc-state-bar" TargetMode="External"/><Relationship Id="rId36" Type="http://schemas.openxmlformats.org/officeDocument/2006/relationships/hyperlink" Target="http://www.usgbc.org/projects/wssu-hill-hall-renovation" TargetMode="External"/><Relationship Id="rId49" Type="http://schemas.openxmlformats.org/officeDocument/2006/relationships/hyperlink" Target="http://www.usgbc.org/projects/alamance-community-college-technical-ctr" TargetMode="External"/><Relationship Id="rId57" Type="http://schemas.openxmlformats.org/officeDocument/2006/relationships/hyperlink" Target="http://www.usgbc.org/projects/uncg-spartan-village-housing-phase-1" TargetMode="External"/><Relationship Id="rId61" Type="http://schemas.openxmlformats.org/officeDocument/2006/relationships/drawing" Target="../drawings/drawing3.xml"/><Relationship Id="rId10" Type="http://schemas.openxmlformats.org/officeDocument/2006/relationships/hyperlink" Target="http://www.usgbc.org/projects/asu-cone" TargetMode="External"/><Relationship Id="rId19" Type="http://schemas.openxmlformats.org/officeDocument/2006/relationships/hyperlink" Target="http://www.usgbc.org/projects/renaissance-hall-student-housing-project" TargetMode="External"/><Relationship Id="rId31" Type="http://schemas.openxmlformats.org/officeDocument/2006/relationships/hyperlink" Target="http://www.usgbc.org/projects/wssu-student-activities-center" TargetMode="External"/><Relationship Id="rId44" Type="http://schemas.openxmlformats.org/officeDocument/2006/relationships/hyperlink" Target="http://www.usgbc.org/projects/east-carolina-university-belk-hall-0" TargetMode="External"/><Relationship Id="rId52" Type="http://schemas.openxmlformats.org/officeDocument/2006/relationships/hyperlink" Target="http://www.usgbc.org/projects/ncsu-ccsh-building-4" TargetMode="External"/><Relationship Id="rId60" Type="http://schemas.openxmlformats.org/officeDocument/2006/relationships/hyperlink" Target="http://www.usgbc.org/projects/mary-ellen-jones-renovation" TargetMode="External"/><Relationship Id="rId4" Type="http://schemas.openxmlformats.org/officeDocument/2006/relationships/hyperlink" Target="http://www.usgbc.org/projects/ncsu-talley-student-center" TargetMode="External"/><Relationship Id="rId9" Type="http://schemas.openxmlformats.org/officeDocument/2006/relationships/hyperlink" Target="http://www.usgbc.org/projects/unc-g-student-recreation-center" TargetMode="External"/><Relationship Id="rId14" Type="http://schemas.openxmlformats.org/officeDocument/2006/relationships/hyperlink" Target="http://www.usgbc.org/projects/davis-arena-renovation-and-expansion" TargetMode="External"/><Relationship Id="rId22" Type="http://schemas.openxmlformats.org/officeDocument/2006/relationships/hyperlink" Target="http://www.usgbc.org/projects/james-b-hunt-jr-library" TargetMode="External"/><Relationship Id="rId27" Type="http://schemas.openxmlformats.org/officeDocument/2006/relationships/hyperlink" Target="http://www.usgbc.org/projects/marine-biotechnology-research-facility" TargetMode="External"/><Relationship Id="rId30" Type="http://schemas.openxmlformats.org/officeDocument/2006/relationships/hyperlink" Target="http://www.usgbc.org/projects/unc-wilmington-student-recreation-center" TargetMode="External"/><Relationship Id="rId35" Type="http://schemas.openxmlformats.org/officeDocument/2006/relationships/hyperlink" Target="http://www.usgbc.org/projects/cfcc-union-station-building" TargetMode="External"/><Relationship Id="rId43" Type="http://schemas.openxmlformats.org/officeDocument/2006/relationships/hyperlink" Target="http://www.usgbc.org/projects/new-student-center-1" TargetMode="External"/><Relationship Id="rId48" Type="http://schemas.openxmlformats.org/officeDocument/2006/relationships/hyperlink" Target="http://www.usgbc.org/projects/dccc-health-and-sciences-building" TargetMode="External"/><Relationship Id="rId56" Type="http://schemas.openxmlformats.org/officeDocument/2006/relationships/hyperlink" Target="http://www.usgbc.org/projects/uncg-spartan-village-housing-phase-1" TargetMode="External"/><Relationship Id="rId8" Type="http://schemas.openxmlformats.org/officeDocument/2006/relationships/hyperlink" Target="http://www.usgbc.org/projects/ecu-main-campus-student-union" TargetMode="External"/><Relationship Id="rId51" Type="http://schemas.openxmlformats.org/officeDocument/2006/relationships/hyperlink" Target="http://www.usgbc.org/projects/ncsu-ccsh-building-5" TargetMode="External"/><Relationship Id="rId3" Type="http://schemas.openxmlformats.org/officeDocument/2006/relationships/hyperlink" Target="http://www.usgbc.org/projects/belk-hall-residence-hall-renovation" TargetMode="External"/><Relationship Id="rId12" Type="http://schemas.openxmlformats.org/officeDocument/2006/relationships/hyperlink" Target="http://www.usgbc.org/projects/school-nursing" TargetMode="External"/><Relationship Id="rId17" Type="http://schemas.openxmlformats.org/officeDocument/2006/relationships/hyperlink" Target="http://www.usgbc.org/projects/uncg-quad-housing-project" TargetMode="External"/><Relationship Id="rId25" Type="http://schemas.openxmlformats.org/officeDocument/2006/relationships/hyperlink" Target="http://www.usgbc.org/projects/asu-plemmons-addition" TargetMode="External"/><Relationship Id="rId33" Type="http://schemas.openxmlformats.org/officeDocument/2006/relationships/hyperlink" Target="http://www.usgbc.org/projects/ncsu-ccsh-building-2" TargetMode="External"/><Relationship Id="rId38" Type="http://schemas.openxmlformats.org/officeDocument/2006/relationships/hyperlink" Target="http://www.usgbc.org/projects/uncg-campus-police" TargetMode="External"/><Relationship Id="rId46" Type="http://schemas.openxmlformats.org/officeDocument/2006/relationships/hyperlink" Target="mailto:rjbest@haywood.edu" TargetMode="External"/><Relationship Id="rId59" Type="http://schemas.openxmlformats.org/officeDocument/2006/relationships/hyperlink" Target="http://www.usgbc.org/projects/ecu-hsc-student-services-cente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3" Type="http://schemas.openxmlformats.org/officeDocument/2006/relationships/hyperlink" Target="http://www.usgbc.org/projects/chidley-north-residence-hall" TargetMode="External"/><Relationship Id="rId18" Type="http://schemas.openxmlformats.org/officeDocument/2006/relationships/hyperlink" Target="http://www.usgbc.org/projects/uncg-quad-housing-project" TargetMode="External"/><Relationship Id="rId26" Type="http://schemas.openxmlformats.org/officeDocument/2006/relationships/hyperlink" Target="http://www.usgbc.org/projects/asu-llc" TargetMode="External"/><Relationship Id="rId39" Type="http://schemas.openxmlformats.org/officeDocument/2006/relationships/hyperlink" Target="http://www.usgbc.org/projects/uncg-spartan-village-hsng-building-2" TargetMode="External"/><Relationship Id="rId3" Type="http://schemas.openxmlformats.org/officeDocument/2006/relationships/hyperlink" Target="http://www.usgbc.org/projects/belk-hall-residence-hall-renovation" TargetMode="External"/><Relationship Id="rId21" Type="http://schemas.openxmlformats.org/officeDocument/2006/relationships/hyperlink" Target="http://www.usgbc.org/projects/unc-wilmington-teaching-labs" TargetMode="External"/><Relationship Id="rId34" Type="http://schemas.openxmlformats.org/officeDocument/2006/relationships/hyperlink" Target="http://www.usgbc.org/projects/uncg-spartan-village-hsng-building-1" TargetMode="External"/><Relationship Id="rId42" Type="http://schemas.openxmlformats.org/officeDocument/2006/relationships/hyperlink" Target="http://www.usgbc.org/projects/uncg-campus-police" TargetMode="External"/><Relationship Id="rId47" Type="http://schemas.openxmlformats.org/officeDocument/2006/relationships/hyperlink" Target="http://www.usgbc.org/projects/new-student-center-1" TargetMode="External"/><Relationship Id="rId50" Type="http://schemas.openxmlformats.org/officeDocument/2006/relationships/hyperlink" Target="mailto:rjbest@haywood.edu" TargetMode="External"/><Relationship Id="rId7" Type="http://schemas.openxmlformats.org/officeDocument/2006/relationships/hyperlink" Target="http://www.usgbc.org/projects/wtcc-holding-hall-renovation" TargetMode="External"/><Relationship Id="rId12" Type="http://schemas.openxmlformats.org/officeDocument/2006/relationships/hyperlink" Target="http://www.usgbc.org/projects/school-nursing" TargetMode="External"/><Relationship Id="rId17" Type="http://schemas.openxmlformats.org/officeDocument/2006/relationships/hyperlink" Target="http://www.usgbc.org/projects/uncg-quad-housing-project" TargetMode="External"/><Relationship Id="rId25" Type="http://schemas.openxmlformats.org/officeDocument/2006/relationships/hyperlink" Target="http://www.usgbc.org/projects/asu-plemmons-addition" TargetMode="External"/><Relationship Id="rId33" Type="http://schemas.openxmlformats.org/officeDocument/2006/relationships/hyperlink" Target="http://www.usgbc.org/projects/ncsu-ccsh-building-2" TargetMode="External"/><Relationship Id="rId38" Type="http://schemas.openxmlformats.org/officeDocument/2006/relationships/hyperlink" Target="http://www.usgbc.org/projects/cfcc-union-station-building" TargetMode="External"/><Relationship Id="rId46" Type="http://schemas.openxmlformats.org/officeDocument/2006/relationships/hyperlink" Target="http://www.usgbc.org/projects/reynolds-coliseum-renovations" TargetMode="External"/><Relationship Id="rId2" Type="http://schemas.openxmlformats.org/officeDocument/2006/relationships/hyperlink" Target="mailto:diane.norris@doa.nc.gov" TargetMode="External"/><Relationship Id="rId16" Type="http://schemas.openxmlformats.org/officeDocument/2006/relationships/hyperlink" Target="http://www.usgbc.org/projects/education-and-psychology-building" TargetMode="External"/><Relationship Id="rId20" Type="http://schemas.openxmlformats.org/officeDocument/2006/relationships/hyperlink" Target="http://www.usgbc.org/projects/uncp-nursing-and-health-building" TargetMode="External"/><Relationship Id="rId29" Type="http://schemas.openxmlformats.org/officeDocument/2006/relationships/hyperlink" Target="http://www.usgbc.org/projects/fayetteville-state-u-lab" TargetMode="External"/><Relationship Id="rId41" Type="http://schemas.openxmlformats.org/officeDocument/2006/relationships/hyperlink" Target="http://www.usgbc.org/projects/ncat-student-health-center" TargetMode="External"/><Relationship Id="rId54" Type="http://schemas.openxmlformats.org/officeDocument/2006/relationships/comments" Target="../comments5.xml"/><Relationship Id="rId1" Type="http://schemas.openxmlformats.org/officeDocument/2006/relationships/hyperlink" Target="mailto:diane.norris@doa.nc.gov" TargetMode="External"/><Relationship Id="rId6" Type="http://schemas.openxmlformats.org/officeDocument/2006/relationships/hyperlink" Target="http://www.usgbc.org/projects/gtcc-aviation-classroom-building" TargetMode="External"/><Relationship Id="rId11" Type="http://schemas.openxmlformats.org/officeDocument/2006/relationships/hyperlink" Target="http://www.usgbc.org/projects/unc-charlotte-phase-ix-residence-housing" TargetMode="External"/><Relationship Id="rId24" Type="http://schemas.openxmlformats.org/officeDocument/2006/relationships/hyperlink" Target="http://www.usgbc.org/projects/continuing-ed-industrial-center-renov" TargetMode="External"/><Relationship Id="rId32" Type="http://schemas.openxmlformats.org/officeDocument/2006/relationships/hyperlink" Target="http://www.usgbc.org/projects/haywood-cc-creative-arts-building" TargetMode="External"/><Relationship Id="rId37" Type="http://schemas.openxmlformats.org/officeDocument/2006/relationships/hyperlink" Target="http://www.usgbc.org/projects/wssu-new-residence-hall" TargetMode="External"/><Relationship Id="rId40" Type="http://schemas.openxmlformats.org/officeDocument/2006/relationships/hyperlink" Target="http://www.usgbc.org/projects/wssu-hill-hall-renovation" TargetMode="External"/><Relationship Id="rId45" Type="http://schemas.openxmlformats.org/officeDocument/2006/relationships/hyperlink" Target="http://www.usgbc.org/projects/wssu-science-building" TargetMode="External"/><Relationship Id="rId53" Type="http://schemas.openxmlformats.org/officeDocument/2006/relationships/vmlDrawing" Target="../drawings/vmlDrawing5.vml"/><Relationship Id="rId5" Type="http://schemas.openxmlformats.org/officeDocument/2006/relationships/hyperlink" Target="http://www.usgbc.org/projects/harrill-hall-renovations" TargetMode="External"/><Relationship Id="rId15" Type="http://schemas.openxmlformats.org/officeDocument/2006/relationships/hyperlink" Target="http://www.usgbc.org/projects/ncsu-student-health-center-add-reno" TargetMode="External"/><Relationship Id="rId23" Type="http://schemas.openxmlformats.org/officeDocument/2006/relationships/hyperlink" Target="http://www.usgbc.org/projects/football-complex-fieldhouse" TargetMode="External"/><Relationship Id="rId28" Type="http://schemas.openxmlformats.org/officeDocument/2006/relationships/hyperlink" Target="http://www.usgbc.org/projects/nc-state-bar" TargetMode="External"/><Relationship Id="rId36" Type="http://schemas.openxmlformats.org/officeDocument/2006/relationships/hyperlink" Target="http://www.usgbc.org/projects/uncg-spartan-village-hsng-building-4" TargetMode="External"/><Relationship Id="rId49" Type="http://schemas.openxmlformats.org/officeDocument/2006/relationships/hyperlink" Target="http://www.usgbc.org/projects/cvcc-workforce-solutions-complex" TargetMode="External"/><Relationship Id="rId10" Type="http://schemas.openxmlformats.org/officeDocument/2006/relationships/hyperlink" Target="http://www.usgbc.org/projects/asu-cone" TargetMode="External"/><Relationship Id="rId19" Type="http://schemas.openxmlformats.org/officeDocument/2006/relationships/hyperlink" Target="http://www.usgbc.org/projects/renaissance-hall-student-housing-project" TargetMode="External"/><Relationship Id="rId31" Type="http://schemas.openxmlformats.org/officeDocument/2006/relationships/hyperlink" Target="http://www.usgbc.org/projects/wssu-student-activities-center" TargetMode="External"/><Relationship Id="rId44" Type="http://schemas.openxmlformats.org/officeDocument/2006/relationships/hyperlink" Target="http://www.usgbc.org/projects/rudolph-jones-student-center" TargetMode="External"/><Relationship Id="rId52" Type="http://schemas.openxmlformats.org/officeDocument/2006/relationships/drawing" Target="../drawings/drawing4.xml"/><Relationship Id="rId4" Type="http://schemas.openxmlformats.org/officeDocument/2006/relationships/hyperlink" Target="http://www.usgbc.org/projects/ncsu-talley-student-center" TargetMode="External"/><Relationship Id="rId9" Type="http://schemas.openxmlformats.org/officeDocument/2006/relationships/hyperlink" Target="http://www.usgbc.org/projects/unc-g-student-recreation-center" TargetMode="External"/><Relationship Id="rId14" Type="http://schemas.openxmlformats.org/officeDocument/2006/relationships/hyperlink" Target="http://www.usgbc.org/projects/davis-arena-renovation-and-expansion" TargetMode="External"/><Relationship Id="rId22" Type="http://schemas.openxmlformats.org/officeDocument/2006/relationships/hyperlink" Target="http://www.usgbc.org/projects/james-b-hunt-jr-library" TargetMode="External"/><Relationship Id="rId27" Type="http://schemas.openxmlformats.org/officeDocument/2006/relationships/hyperlink" Target="http://www.usgbc.org/projects/marine-biotechnology-research-facility" TargetMode="External"/><Relationship Id="rId30" Type="http://schemas.openxmlformats.org/officeDocument/2006/relationships/hyperlink" Target="http://www.usgbc.org/projects/unc-wilmington-student-recreation-center" TargetMode="External"/><Relationship Id="rId35" Type="http://schemas.openxmlformats.org/officeDocument/2006/relationships/hyperlink" Target="http://www.usgbc.org/projects/uncg-spartan-village-hsng-building-3" TargetMode="External"/><Relationship Id="rId43" Type="http://schemas.openxmlformats.org/officeDocument/2006/relationships/hyperlink" Target="http://www.usgbc.org/projects/center-design-innovation" TargetMode="External"/><Relationship Id="rId48" Type="http://schemas.openxmlformats.org/officeDocument/2006/relationships/hyperlink" Target="http://www.usgbc.org/projects/east-carolina-university-belk-hall-0" TargetMode="External"/><Relationship Id="rId8" Type="http://schemas.openxmlformats.org/officeDocument/2006/relationships/hyperlink" Target="http://www.usgbc.org/projects/ecu-student-union" TargetMode="External"/><Relationship Id="rId51" Type="http://schemas.openxmlformats.org/officeDocument/2006/relationships/hyperlink" Target="http://www.usgbc.org/projects/wcu-brown-buidling-renovation-addition"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omments" Target="../comments6.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140"/>
  <sheetViews>
    <sheetView tabSelected="1" zoomScaleNormal="100" zoomScaleSheetLayoutView="91" zoomScalePageLayoutView="65" workbookViewId="0">
      <pane ySplit="3" topLeftCell="A4" activePane="bottomLeft" state="frozen"/>
      <selection activeCell="BC1" sqref="BC1"/>
      <selection pane="bottomLeft" activeCell="A11" sqref="A11"/>
    </sheetView>
  </sheetViews>
  <sheetFormatPr defaultColWidth="8.85546875" defaultRowHeight="14.25" x14ac:dyDescent="0.2"/>
  <cols>
    <col min="1" max="1" width="23.140625" style="26" customWidth="1"/>
    <col min="2" max="2" width="5.42578125" style="31" bestFit="1" customWidth="1"/>
    <col min="3" max="3" width="9" style="1" customWidth="1"/>
    <col min="4" max="5" width="9.5703125" style="26" customWidth="1"/>
    <col min="6" max="6" width="8.85546875" style="26" customWidth="1"/>
    <col min="7" max="7" width="15.28515625" style="26" bestFit="1" customWidth="1"/>
    <col min="8" max="8" width="11.7109375" style="72" customWidth="1"/>
    <col min="9" max="9" width="7.5703125" style="26" customWidth="1"/>
    <col min="10" max="10" width="13.42578125" style="35" customWidth="1"/>
    <col min="11" max="11" width="13" style="35" customWidth="1"/>
    <col min="12" max="12" width="15.42578125" style="32" customWidth="1"/>
    <col min="13" max="13" width="7.28515625" style="31" bestFit="1" customWidth="1"/>
    <col min="14" max="14" width="12.28515625" style="38" customWidth="1"/>
    <col min="15" max="15" width="6.85546875" style="1390" hidden="1" customWidth="1"/>
    <col min="16" max="16" width="10.28515625" style="84" customWidth="1"/>
    <col min="17" max="17" width="23.140625" style="26" customWidth="1"/>
    <col min="18" max="18" width="9.85546875" style="31" customWidth="1"/>
    <col min="19" max="19" width="8.42578125" style="31" customWidth="1"/>
    <col min="20" max="20" width="11" style="38" bestFit="1" customWidth="1"/>
    <col min="21" max="21" width="9.42578125" style="26" customWidth="1"/>
    <col min="22" max="22" width="11.28515625" style="38" customWidth="1"/>
    <col min="23" max="23" width="10.140625" style="26" customWidth="1"/>
    <col min="24" max="24" width="10.28515625" style="39" customWidth="1"/>
    <col min="25" max="25" width="10.42578125" style="26" customWidth="1"/>
    <col min="26" max="26" width="10.42578125" style="31" customWidth="1"/>
    <col min="27" max="27" width="12.85546875" style="26" bestFit="1" customWidth="1"/>
    <col min="28" max="28" width="9.42578125" style="26" customWidth="1"/>
    <col min="29" max="29" width="9.42578125" style="31" customWidth="1"/>
    <col min="30" max="30" width="9.42578125" style="1397" customWidth="1"/>
    <col min="31" max="31" width="10.28515625" style="26" customWidth="1"/>
    <col min="32" max="32" width="7.5703125" style="26" customWidth="1"/>
    <col min="33" max="33" width="9.85546875" style="26" bestFit="1" customWidth="1"/>
    <col min="34" max="34" width="23.140625" style="26" customWidth="1"/>
    <col min="35" max="35" width="14.42578125" style="26" bestFit="1" customWidth="1"/>
    <col min="36" max="36" width="11.5703125" style="26" customWidth="1"/>
    <col min="37" max="37" width="13.5703125" style="26" customWidth="1"/>
    <col min="38" max="38" width="11.5703125" style="26" customWidth="1"/>
    <col min="39" max="39" width="10.28515625" style="26" customWidth="1"/>
    <col min="40" max="40" width="13.140625" style="26" customWidth="1"/>
    <col min="41" max="41" width="12.85546875" style="26" customWidth="1"/>
    <col min="42" max="42" width="12" style="26" customWidth="1"/>
    <col min="43" max="43" width="10.28515625" style="26" customWidth="1"/>
    <col min="44" max="44" width="13.7109375" style="26" customWidth="1"/>
    <col min="45" max="45" width="23.140625" style="26" customWidth="1"/>
    <col min="46" max="46" width="15.140625" style="26" customWidth="1"/>
    <col min="47" max="47" width="10.28515625" style="26" customWidth="1"/>
    <col min="48" max="48" width="10.42578125" style="26" customWidth="1"/>
    <col min="49" max="49" width="15.140625" style="26" customWidth="1"/>
    <col min="50" max="50" width="10.28515625" style="31" customWidth="1"/>
    <col min="51" max="51" width="11" style="26" customWidth="1"/>
    <col min="52" max="52" width="13.28515625" style="26" customWidth="1"/>
    <col min="53" max="53" width="15.140625" style="26" customWidth="1"/>
    <col min="54" max="54" width="14.42578125" style="26" customWidth="1"/>
    <col min="55" max="55" width="10.140625" style="26" customWidth="1"/>
    <col min="56" max="56" width="8.42578125" style="26" customWidth="1"/>
    <col min="57" max="57" width="11.28515625" style="26" customWidth="1"/>
    <col min="58" max="58" width="23.140625" style="26" customWidth="1"/>
    <col min="59" max="59" width="17.7109375" style="947" customWidth="1"/>
    <col min="60" max="60" width="10" style="26" customWidth="1"/>
    <col min="61" max="61" width="17.7109375" style="26" customWidth="1"/>
    <col min="62" max="62" width="15.42578125" style="15" customWidth="1"/>
    <col min="63" max="63" width="13.5703125" style="15" bestFit="1" customWidth="1"/>
    <col min="64" max="64" width="13.28515625" style="3" customWidth="1"/>
    <col min="65" max="65" width="15.85546875" style="3" bestFit="1" customWidth="1"/>
    <col min="66" max="66" width="14.42578125" style="31" customWidth="1"/>
    <col min="67" max="67" width="8.85546875" style="1"/>
    <col min="68" max="68" width="9.85546875" style="31" customWidth="1"/>
    <col min="69" max="69" width="12.7109375" style="26" bestFit="1" customWidth="1"/>
    <col min="70" max="16384" width="8.85546875" style="26"/>
  </cols>
  <sheetData>
    <row r="1" spans="1:68" s="45" customFormat="1" ht="112.9" customHeight="1" x14ac:dyDescent="0.2">
      <c r="A1" s="1738"/>
      <c r="B1" s="1387"/>
      <c r="C1" s="89"/>
      <c r="D1" s="2250" t="s">
        <v>1005</v>
      </c>
      <c r="E1" s="2250"/>
      <c r="F1" s="2250"/>
      <c r="G1" s="2250"/>
      <c r="H1" s="2250"/>
      <c r="I1" s="2250"/>
      <c r="J1" s="2250"/>
      <c r="K1" s="2250"/>
      <c r="L1" s="2250"/>
      <c r="M1" s="2250"/>
      <c r="N1" s="2250"/>
      <c r="O1" s="2250"/>
      <c r="P1" s="2250"/>
      <c r="Q1" s="1738"/>
      <c r="R1" s="2250" t="s">
        <v>1461</v>
      </c>
      <c r="S1" s="2250"/>
      <c r="T1" s="2250"/>
      <c r="U1" s="2250"/>
      <c r="V1" s="2250"/>
      <c r="W1" s="2250"/>
      <c r="X1" s="2250"/>
      <c r="Y1" s="2250"/>
      <c r="Z1" s="2250"/>
      <c r="AA1" s="2250"/>
      <c r="AB1" s="2250"/>
      <c r="AC1" s="2250"/>
      <c r="AD1" s="2250"/>
      <c r="AE1" s="2250"/>
      <c r="AF1" s="2250"/>
      <c r="AG1" s="2250"/>
      <c r="AH1" s="1738"/>
      <c r="AI1" s="2250" t="s">
        <v>962</v>
      </c>
      <c r="AJ1" s="2250"/>
      <c r="AK1" s="2250"/>
      <c r="AL1" s="2250"/>
      <c r="AM1" s="2250"/>
      <c r="AN1" s="2250"/>
      <c r="AO1" s="2250"/>
      <c r="AP1" s="2250"/>
      <c r="AQ1" s="2250"/>
      <c r="AR1" s="2250"/>
      <c r="AS1" s="1738"/>
      <c r="AT1" s="2250" t="s">
        <v>963</v>
      </c>
      <c r="AU1" s="2250"/>
      <c r="AV1" s="2250"/>
      <c r="AW1" s="2250"/>
      <c r="AX1" s="2250"/>
      <c r="AY1" s="2250"/>
      <c r="AZ1" s="2250"/>
      <c r="BA1" s="2250"/>
      <c r="BB1" s="2250"/>
      <c r="BC1" s="2250"/>
      <c r="BD1" s="2250"/>
      <c r="BE1" s="2250"/>
      <c r="BF1" s="1738"/>
      <c r="BG1" s="2250" t="s">
        <v>964</v>
      </c>
      <c r="BH1" s="2250"/>
      <c r="BI1" s="2250"/>
      <c r="BJ1" s="2250"/>
      <c r="BK1" s="2250"/>
      <c r="BL1" s="2250"/>
      <c r="BM1" s="2250"/>
      <c r="BN1" s="1739"/>
      <c r="BO1" s="88"/>
    </row>
    <row r="2" spans="1:68" s="63" customFormat="1" ht="17.45" customHeight="1" x14ac:dyDescent="0.2">
      <c r="A2" s="81">
        <v>42999</v>
      </c>
      <c r="B2" s="81"/>
      <c r="C2" s="942"/>
      <c r="D2" s="2251" t="s">
        <v>218</v>
      </c>
      <c r="E2" s="2251"/>
      <c r="F2" s="2251"/>
      <c r="G2" s="2251"/>
      <c r="H2" s="2251"/>
      <c r="I2" s="2251"/>
      <c r="J2" s="2251"/>
      <c r="K2" s="2251"/>
      <c r="L2" s="2251"/>
      <c r="M2" s="2251"/>
      <c r="N2" s="2251"/>
      <c r="O2" s="2251"/>
      <c r="P2" s="2251"/>
      <c r="Q2" s="81">
        <f>A2</f>
        <v>42999</v>
      </c>
      <c r="R2" s="2252" t="s">
        <v>219</v>
      </c>
      <c r="S2" s="2252"/>
      <c r="T2" s="2253"/>
      <c r="U2" s="2253"/>
      <c r="V2" s="2253"/>
      <c r="W2" s="2253"/>
      <c r="X2" s="2253"/>
      <c r="Y2" s="2253"/>
      <c r="Z2" s="2253"/>
      <c r="AA2" s="2253"/>
      <c r="AB2" s="2253"/>
      <c r="AC2" s="2253"/>
      <c r="AD2" s="2253"/>
      <c r="AE2" s="2253"/>
      <c r="AF2" s="2253"/>
      <c r="AG2" s="2253"/>
      <c r="AH2" s="81">
        <f>A2</f>
        <v>42999</v>
      </c>
      <c r="AI2" s="2251" t="s">
        <v>220</v>
      </c>
      <c r="AJ2" s="2251"/>
      <c r="AK2" s="2251"/>
      <c r="AL2" s="2251"/>
      <c r="AM2" s="2251"/>
      <c r="AN2" s="2251"/>
      <c r="AO2" s="2251"/>
      <c r="AP2" s="2251"/>
      <c r="AQ2" s="2251"/>
      <c r="AR2" s="2251"/>
      <c r="AS2" s="81">
        <f>A2</f>
        <v>42999</v>
      </c>
      <c r="AT2" s="2251" t="s">
        <v>290</v>
      </c>
      <c r="AU2" s="2251"/>
      <c r="AV2" s="2251"/>
      <c r="AW2" s="2251"/>
      <c r="AX2" s="2251"/>
      <c r="AY2" s="2251"/>
      <c r="AZ2" s="2251"/>
      <c r="BA2" s="2251"/>
      <c r="BB2" s="2251"/>
      <c r="BC2" s="2251"/>
      <c r="BD2" s="2251"/>
      <c r="BE2" s="2251"/>
      <c r="BF2" s="81">
        <f>A2</f>
        <v>42999</v>
      </c>
      <c r="BG2" s="2251" t="s">
        <v>291</v>
      </c>
      <c r="BH2" s="2251"/>
      <c r="BI2" s="2251"/>
      <c r="BJ2" s="2251"/>
      <c r="BK2" s="2251"/>
      <c r="BL2" s="2251"/>
      <c r="BM2" s="2251"/>
      <c r="BO2" s="89"/>
    </row>
    <row r="3" spans="1:68" ht="105" x14ac:dyDescent="0.25">
      <c r="A3" s="53" t="s">
        <v>0</v>
      </c>
      <c r="B3" s="53" t="s">
        <v>1590</v>
      </c>
      <c r="C3" s="428" t="s">
        <v>949</v>
      </c>
      <c r="D3" s="428" t="s">
        <v>207</v>
      </c>
      <c r="E3" s="53" t="s">
        <v>983</v>
      </c>
      <c r="F3" s="53" t="s">
        <v>550</v>
      </c>
      <c r="G3" s="54" t="s">
        <v>1591</v>
      </c>
      <c r="H3" s="55" t="s">
        <v>1273</v>
      </c>
      <c r="I3" s="53" t="s">
        <v>205</v>
      </c>
      <c r="J3" s="55" t="s">
        <v>206</v>
      </c>
      <c r="K3" s="55" t="s">
        <v>277</v>
      </c>
      <c r="L3" s="53" t="s">
        <v>968</v>
      </c>
      <c r="M3" s="53" t="s">
        <v>75</v>
      </c>
      <c r="N3" s="56" t="s">
        <v>259</v>
      </c>
      <c r="O3" s="1389" t="s">
        <v>1295</v>
      </c>
      <c r="P3" s="56" t="s">
        <v>489</v>
      </c>
      <c r="Q3" s="53" t="s">
        <v>0</v>
      </c>
      <c r="R3" s="53" t="s">
        <v>246</v>
      </c>
      <c r="S3" s="53" t="s">
        <v>1296</v>
      </c>
      <c r="T3" s="57" t="s">
        <v>1</v>
      </c>
      <c r="U3" s="53" t="s">
        <v>966</v>
      </c>
      <c r="V3" s="57" t="s">
        <v>2</v>
      </c>
      <c r="W3" s="53" t="s">
        <v>965</v>
      </c>
      <c r="X3" s="58" t="s">
        <v>272</v>
      </c>
      <c r="Y3" s="53" t="s">
        <v>41</v>
      </c>
      <c r="Z3" s="53" t="s">
        <v>1036</v>
      </c>
      <c r="AA3" s="53" t="s">
        <v>236</v>
      </c>
      <c r="AB3" s="53" t="s">
        <v>967</v>
      </c>
      <c r="AC3" s="53" t="s">
        <v>1297</v>
      </c>
      <c r="AD3" s="1392" t="s">
        <v>1315</v>
      </c>
      <c r="AE3" s="53" t="s">
        <v>273</v>
      </c>
      <c r="AF3" s="53" t="s">
        <v>969</v>
      </c>
      <c r="AG3" s="53" t="s">
        <v>970</v>
      </c>
      <c r="AH3" s="53" t="s">
        <v>0</v>
      </c>
      <c r="AI3" s="59" t="s">
        <v>1</v>
      </c>
      <c r="AJ3" s="53" t="s">
        <v>1458</v>
      </c>
      <c r="AK3" s="54" t="s">
        <v>2</v>
      </c>
      <c r="AL3" s="53" t="s">
        <v>1456</v>
      </c>
      <c r="AM3" s="53" t="s">
        <v>39</v>
      </c>
      <c r="AN3" s="53" t="s">
        <v>42</v>
      </c>
      <c r="AO3" s="54" t="s">
        <v>237</v>
      </c>
      <c r="AP3" s="53" t="s">
        <v>1457</v>
      </c>
      <c r="AQ3" s="53" t="s">
        <v>239</v>
      </c>
      <c r="AR3" s="53" t="s">
        <v>240</v>
      </c>
      <c r="AS3" s="53" t="s">
        <v>0</v>
      </c>
      <c r="AT3" s="53" t="s">
        <v>71</v>
      </c>
      <c r="AU3" s="53" t="s">
        <v>29</v>
      </c>
      <c r="AV3" s="53" t="s">
        <v>1531</v>
      </c>
      <c r="AW3" s="53" t="s">
        <v>72</v>
      </c>
      <c r="AX3" s="53" t="s">
        <v>31</v>
      </c>
      <c r="AY3" s="53" t="s">
        <v>1270</v>
      </c>
      <c r="AZ3" s="53" t="s">
        <v>40</v>
      </c>
      <c r="BA3" s="53" t="s">
        <v>43</v>
      </c>
      <c r="BB3" s="53" t="s">
        <v>241</v>
      </c>
      <c r="BC3" s="53" t="s">
        <v>242</v>
      </c>
      <c r="BD3" s="53" t="s">
        <v>1271</v>
      </c>
      <c r="BE3" s="53" t="s">
        <v>274</v>
      </c>
      <c r="BF3" s="53" t="s">
        <v>0</v>
      </c>
      <c r="BG3" s="75" t="s">
        <v>255</v>
      </c>
      <c r="BH3" s="53" t="s">
        <v>293</v>
      </c>
      <c r="BI3" s="53" t="s">
        <v>256</v>
      </c>
      <c r="BJ3" s="75" t="s">
        <v>257</v>
      </c>
      <c r="BK3" s="75" t="s">
        <v>258</v>
      </c>
      <c r="BL3" s="53" t="s">
        <v>254</v>
      </c>
      <c r="BM3" s="53" t="s">
        <v>171</v>
      </c>
      <c r="BN3" s="53" t="s">
        <v>292</v>
      </c>
      <c r="BO3" s="54" t="s">
        <v>316</v>
      </c>
      <c r="BP3" s="53" t="s">
        <v>246</v>
      </c>
    </row>
    <row r="4" spans="1:68" s="1737" customFormat="1" ht="27.6" customHeight="1" thickBot="1" x14ac:dyDescent="0.25">
      <c r="A4" s="1716" t="s">
        <v>169</v>
      </c>
      <c r="B4" s="1711">
        <v>1</v>
      </c>
      <c r="C4" s="1752" t="s">
        <v>950</v>
      </c>
      <c r="D4" s="1711" t="s">
        <v>26</v>
      </c>
      <c r="E4" s="1711" t="s">
        <v>984</v>
      </c>
      <c r="F4" s="1711" t="s">
        <v>1485</v>
      </c>
      <c r="G4" s="1712" t="s">
        <v>141</v>
      </c>
      <c r="H4" s="1714">
        <v>39833</v>
      </c>
      <c r="I4" s="1711" t="s">
        <v>10</v>
      </c>
      <c r="J4" s="1714">
        <v>40070</v>
      </c>
      <c r="K4" s="1715">
        <v>40352</v>
      </c>
      <c r="L4" s="1716" t="s">
        <v>135</v>
      </c>
      <c r="M4" s="1711">
        <v>278</v>
      </c>
      <c r="N4" s="1718">
        <v>58803</v>
      </c>
      <c r="O4" s="1718">
        <f>N4/M4</f>
        <v>211.52158273381295</v>
      </c>
      <c r="P4" s="1759">
        <v>8</v>
      </c>
      <c r="Q4" s="1716" t="s">
        <v>169</v>
      </c>
      <c r="R4" s="1711" t="s">
        <v>247</v>
      </c>
      <c r="S4" s="1711">
        <v>5</v>
      </c>
      <c r="T4" s="1729">
        <v>3467</v>
      </c>
      <c r="U4" s="1720">
        <f t="shared" ref="U4:U47" si="0">T4/N4*1000</f>
        <v>58.959576892335427</v>
      </c>
      <c r="V4" s="1729">
        <v>1993</v>
      </c>
      <c r="W4" s="1721">
        <f t="shared" ref="W4:W35" si="1">V4/N4*1000</f>
        <v>33.892828597180419</v>
      </c>
      <c r="X4" s="1743">
        <f t="shared" ref="X4:X35" si="2">(T4-V4)/T4</f>
        <v>0.425151427747332</v>
      </c>
      <c r="Y4" s="1755">
        <f t="shared" ref="Y4:Y35" si="3">T4-V4</f>
        <v>1474</v>
      </c>
      <c r="Z4" s="1740">
        <v>42958</v>
      </c>
      <c r="AA4" s="1729">
        <f>'16.17 Meter Data'!Y6</f>
        <v>4518.4711713390452</v>
      </c>
      <c r="AB4" s="1741">
        <f>AA4/N4*1000</f>
        <v>76.840827361512936</v>
      </c>
      <c r="AC4" s="1725" t="s">
        <v>1298</v>
      </c>
      <c r="AD4" s="1742">
        <v>78</v>
      </c>
      <c r="AE4" s="1743">
        <f>(T4-AA4)/T4</f>
        <v>-0.30327983021028126</v>
      </c>
      <c r="AF4" s="1744"/>
      <c r="AG4" s="1745">
        <f>T4-AA4</f>
        <v>-1051.4711713390452</v>
      </c>
      <c r="AH4" s="1716" t="s">
        <v>169</v>
      </c>
      <c r="AI4" s="1735">
        <v>81830</v>
      </c>
      <c r="AJ4" s="1728">
        <f t="shared" ref="AJ4:AJ35" si="4">AI4/N4</f>
        <v>1.3915956668877438</v>
      </c>
      <c r="AK4" s="1735">
        <v>43969</v>
      </c>
      <c r="AL4" s="1728">
        <f t="shared" ref="AL4:AL35" si="5">AK4/N4</f>
        <v>0.74773395915174401</v>
      </c>
      <c r="AM4" s="1722">
        <f t="shared" ref="AM4:AM35" si="6">(AI4-AK4)/AI4</f>
        <v>0.46267872418428452</v>
      </c>
      <c r="AN4" s="1756">
        <f t="shared" ref="AN4:AN35" si="7">AI4-AK4</f>
        <v>37861</v>
      </c>
      <c r="AO4" s="1735">
        <f>'16.17 Meter Data'!W10</f>
        <v>104124.13821</v>
      </c>
      <c r="AP4" s="1760">
        <f t="shared" ref="AP4:AP10" si="8">AO4/N4</f>
        <v>1.7707283337584818</v>
      </c>
      <c r="AQ4" s="1747">
        <f>(AI4-AO4)/AI4</f>
        <v>-0.27244455835268244</v>
      </c>
      <c r="AR4" s="1748">
        <f>AI4-AO4</f>
        <v>-22294.138210000005</v>
      </c>
      <c r="AS4" s="1716" t="s">
        <v>169</v>
      </c>
      <c r="AT4" s="1718">
        <v>2000376</v>
      </c>
      <c r="AU4" s="1717">
        <f>AT4/M4</f>
        <v>7195.5971223021579</v>
      </c>
      <c r="AV4" s="1717">
        <f t="shared" ref="AV4:AV35" si="9">AT4/N4</f>
        <v>34.018264374266622</v>
      </c>
      <c r="AW4" s="1718">
        <v>1397116</v>
      </c>
      <c r="AX4" s="1729">
        <f>AW4/M4</f>
        <v>5025.5971223021579</v>
      </c>
      <c r="AY4" s="1717">
        <f t="shared" ref="AY4:AY35" si="10">AW4/N4</f>
        <v>23.759263983130111</v>
      </c>
      <c r="AZ4" s="1722">
        <f t="shared" ref="AZ4:AZ35" si="11">(AT4-AW4)/AT4</f>
        <v>0.30157330421880685</v>
      </c>
      <c r="BA4" s="1757">
        <f t="shared" ref="BA4:BA35" si="12">AT4-AW4</f>
        <v>603260</v>
      </c>
      <c r="BB4" s="1761">
        <f>'16.17 Meter Data'!W7</f>
        <v>1664987.0000692001</v>
      </c>
      <c r="BC4" s="1717">
        <f>BB4/M4</f>
        <v>5989.1618707525186</v>
      </c>
      <c r="BD4" s="1717">
        <f>BB4/N4</f>
        <v>28.314660817801816</v>
      </c>
      <c r="BE4" s="1722">
        <f>(AT4-BB4)/AT4</f>
        <v>0.16766297932528682</v>
      </c>
      <c r="BF4" s="1716" t="s">
        <v>169</v>
      </c>
      <c r="BG4" s="1731">
        <v>7585100</v>
      </c>
      <c r="BH4" s="1732">
        <f>BG4/N4</f>
        <v>128.99171810962025</v>
      </c>
      <c r="BI4" s="1727">
        <v>5965486</v>
      </c>
      <c r="BJ4" s="1727">
        <v>883660</v>
      </c>
      <c r="BK4" s="1762">
        <v>0</v>
      </c>
      <c r="BL4" s="1724"/>
      <c r="BM4" s="1727">
        <v>62500</v>
      </c>
      <c r="BN4" s="1736">
        <f>((BG4-BI4)+BK4+BL4+BM4)/AN4</f>
        <v>44.428673304984024</v>
      </c>
      <c r="BO4" s="1712" t="s">
        <v>294</v>
      </c>
      <c r="BP4" s="1711" t="s">
        <v>247</v>
      </c>
    </row>
    <row r="5" spans="1:68" s="41" customFormat="1" ht="27.6" customHeight="1" thickTop="1" x14ac:dyDescent="0.2">
      <c r="A5" s="4" t="s">
        <v>83</v>
      </c>
      <c r="B5" s="11">
        <v>2</v>
      </c>
      <c r="C5" s="11" t="s">
        <v>951</v>
      </c>
      <c r="D5" s="11" t="s">
        <v>63</v>
      </c>
      <c r="E5" s="11" t="s">
        <v>985</v>
      </c>
      <c r="F5" s="11" t="s">
        <v>1471</v>
      </c>
      <c r="G5" s="1" t="s">
        <v>82</v>
      </c>
      <c r="H5" s="33">
        <v>41348</v>
      </c>
      <c r="I5" s="11" t="s">
        <v>168</v>
      </c>
      <c r="J5" s="33">
        <v>40402</v>
      </c>
      <c r="K5" s="60">
        <v>40693</v>
      </c>
      <c r="L5" s="4" t="s">
        <v>202</v>
      </c>
      <c r="M5" s="11" t="s">
        <v>13</v>
      </c>
      <c r="N5" s="6">
        <v>22705</v>
      </c>
      <c r="O5" s="6"/>
      <c r="P5" s="49">
        <v>2</v>
      </c>
      <c r="Q5" s="4" t="s">
        <v>83</v>
      </c>
      <c r="R5" s="11" t="s">
        <v>247</v>
      </c>
      <c r="S5" s="11">
        <v>3</v>
      </c>
      <c r="T5" s="2">
        <v>2082</v>
      </c>
      <c r="U5" s="12">
        <f t="shared" si="0"/>
        <v>91.697863906628498</v>
      </c>
      <c r="V5" s="2">
        <v>1477</v>
      </c>
      <c r="W5" s="23">
        <f t="shared" si="1"/>
        <v>65.051750715701388</v>
      </c>
      <c r="X5" s="1912">
        <f t="shared" si="2"/>
        <v>0.2905859750240154</v>
      </c>
      <c r="Y5" s="13">
        <f t="shared" si="3"/>
        <v>605</v>
      </c>
      <c r="Z5" s="967"/>
      <c r="AA5" s="49"/>
      <c r="AB5" s="40">
        <f>AA5/42856*1000</f>
        <v>0</v>
      </c>
      <c r="AC5" s="1391" t="s">
        <v>1299</v>
      </c>
      <c r="AD5" s="1393">
        <v>277</v>
      </c>
      <c r="AE5" s="1912"/>
      <c r="AF5" s="1912"/>
      <c r="AG5" s="51"/>
      <c r="AH5" s="4" t="s">
        <v>83</v>
      </c>
      <c r="AI5" s="15">
        <v>30538</v>
      </c>
      <c r="AJ5" s="7">
        <f t="shared" si="4"/>
        <v>1.3449900902884828</v>
      </c>
      <c r="AK5" s="15">
        <v>21943</v>
      </c>
      <c r="AL5" s="7">
        <f t="shared" si="5"/>
        <v>0.96643911032812158</v>
      </c>
      <c r="AM5" s="8">
        <f t="shared" si="6"/>
        <v>0.28145261641233871</v>
      </c>
      <c r="AN5" s="16">
        <f t="shared" si="7"/>
        <v>8595</v>
      </c>
      <c r="AO5" s="15"/>
      <c r="AP5" s="46">
        <f t="shared" si="8"/>
        <v>0</v>
      </c>
      <c r="AQ5" s="47"/>
      <c r="AR5" s="48"/>
      <c r="AS5" s="4" t="s">
        <v>83</v>
      </c>
      <c r="AT5" s="2">
        <v>48654</v>
      </c>
      <c r="AU5" s="9" t="s">
        <v>13</v>
      </c>
      <c r="AV5" s="2">
        <f t="shared" si="9"/>
        <v>2.1428760184981281</v>
      </c>
      <c r="AW5" s="2">
        <v>27934</v>
      </c>
      <c r="AX5" s="1" t="s">
        <v>13</v>
      </c>
      <c r="AY5" s="2">
        <f t="shared" si="10"/>
        <v>1.2303016956617485</v>
      </c>
      <c r="AZ5" s="8">
        <f t="shared" si="11"/>
        <v>0.42586426604184652</v>
      </c>
      <c r="BA5" s="17">
        <f t="shared" si="12"/>
        <v>20720</v>
      </c>
      <c r="BB5" s="2"/>
      <c r="BC5" s="9"/>
      <c r="BD5" s="2"/>
      <c r="BE5" s="8"/>
      <c r="BF5" s="4" t="s">
        <v>83</v>
      </c>
      <c r="BG5" s="64">
        <v>4029200</v>
      </c>
      <c r="BH5" s="42">
        <f>BG5/N5</f>
        <v>177.45870953534464</v>
      </c>
      <c r="BI5" s="15">
        <v>3944812</v>
      </c>
      <c r="BJ5" s="15">
        <v>295500</v>
      </c>
      <c r="BK5" s="85">
        <v>0</v>
      </c>
      <c r="BL5" s="3"/>
      <c r="BM5" s="15">
        <v>65100</v>
      </c>
      <c r="BN5" s="1353">
        <f>((BG5-BI5)+BK5+BL5+BM5)/AN5</f>
        <v>17.392437463641652</v>
      </c>
      <c r="BO5" s="1" t="s">
        <v>295</v>
      </c>
      <c r="BP5" s="11" t="s">
        <v>247</v>
      </c>
    </row>
    <row r="6" spans="1:68" s="41" customFormat="1" ht="27.6" customHeight="1" x14ac:dyDescent="0.2">
      <c r="A6" s="4" t="s">
        <v>283</v>
      </c>
      <c r="B6" s="11">
        <v>3</v>
      </c>
      <c r="C6" s="915" t="s">
        <v>952</v>
      </c>
      <c r="D6" s="11" t="s">
        <v>63</v>
      </c>
      <c r="E6" s="11" t="s">
        <v>985</v>
      </c>
      <c r="F6" s="11" t="s">
        <v>1471</v>
      </c>
      <c r="G6" s="1" t="s">
        <v>64</v>
      </c>
      <c r="H6" s="33">
        <v>39974</v>
      </c>
      <c r="I6" s="11" t="s">
        <v>10</v>
      </c>
      <c r="J6" s="33">
        <v>40016</v>
      </c>
      <c r="K6" s="60">
        <v>40743</v>
      </c>
      <c r="L6" s="4" t="s">
        <v>54</v>
      </c>
      <c r="M6" s="11">
        <v>431</v>
      </c>
      <c r="N6" s="6">
        <v>173086</v>
      </c>
      <c r="O6" s="19">
        <f>N6/M6</f>
        <v>401.59164733178653</v>
      </c>
      <c r="P6" s="83">
        <v>5</v>
      </c>
      <c r="Q6" s="4" t="s">
        <v>283</v>
      </c>
      <c r="R6" s="11" t="s">
        <v>247</v>
      </c>
      <c r="S6" s="11">
        <v>3</v>
      </c>
      <c r="T6" s="2">
        <v>38283</v>
      </c>
      <c r="U6" s="12">
        <f t="shared" si="0"/>
        <v>221.17906705337231</v>
      </c>
      <c r="V6" s="2">
        <v>32882</v>
      </c>
      <c r="W6" s="23">
        <f t="shared" si="1"/>
        <v>189.97492575944904</v>
      </c>
      <c r="X6" s="1912">
        <f t="shared" si="2"/>
        <v>0.14108089752631717</v>
      </c>
      <c r="Y6" s="13">
        <f t="shared" si="3"/>
        <v>5401</v>
      </c>
      <c r="Z6" s="967"/>
      <c r="AA6" s="49"/>
      <c r="AB6" s="40">
        <f>AA6/N6*1000</f>
        <v>0</v>
      </c>
      <c r="AC6" s="1391" t="s">
        <v>1298</v>
      </c>
      <c r="AD6" s="1393">
        <v>47</v>
      </c>
      <c r="AE6" s="5"/>
      <c r="AF6" s="1611"/>
      <c r="AG6" s="51"/>
      <c r="AH6" s="4" t="s">
        <v>283</v>
      </c>
      <c r="AI6" s="15">
        <v>478677</v>
      </c>
      <c r="AJ6" s="7">
        <f t="shared" si="4"/>
        <v>2.7655442958991485</v>
      </c>
      <c r="AK6" s="15">
        <v>411144</v>
      </c>
      <c r="AL6" s="7">
        <f t="shared" si="5"/>
        <v>2.3753740914920907</v>
      </c>
      <c r="AM6" s="8">
        <f t="shared" si="6"/>
        <v>0.14108260894089333</v>
      </c>
      <c r="AN6" s="16">
        <f t="shared" si="7"/>
        <v>67533</v>
      </c>
      <c r="AO6" s="15"/>
      <c r="AP6" s="46">
        <f t="shared" si="8"/>
        <v>0</v>
      </c>
      <c r="AQ6" s="47"/>
      <c r="AR6" s="48"/>
      <c r="AS6" s="4" t="s">
        <v>283</v>
      </c>
      <c r="AT6" s="2">
        <v>6961135</v>
      </c>
      <c r="AU6" s="2">
        <f>AT6/M6</f>
        <v>16151.125290023201</v>
      </c>
      <c r="AV6" s="10">
        <f t="shared" si="9"/>
        <v>40.217781911881957</v>
      </c>
      <c r="AW6" s="2">
        <v>5188175</v>
      </c>
      <c r="AX6" s="9">
        <f>AW6/M6</f>
        <v>12037.529002320185</v>
      </c>
      <c r="AY6" s="10">
        <f t="shared" si="10"/>
        <v>29.974550223588274</v>
      </c>
      <c r="AZ6" s="8">
        <f t="shared" si="11"/>
        <v>0.25469409801706189</v>
      </c>
      <c r="BA6" s="2">
        <f t="shared" si="12"/>
        <v>1772960</v>
      </c>
      <c r="BB6" s="2"/>
      <c r="BC6" s="2"/>
      <c r="BD6" s="2"/>
      <c r="BE6" s="8"/>
      <c r="BF6" s="4" t="s">
        <v>283</v>
      </c>
      <c r="BG6" s="64">
        <v>32995620</v>
      </c>
      <c r="BH6" s="42">
        <f>BG6/N6</f>
        <v>190.63136244410293</v>
      </c>
      <c r="BI6" s="15">
        <v>33000165</v>
      </c>
      <c r="BJ6" s="15">
        <v>2747550</v>
      </c>
      <c r="BK6" s="15">
        <v>58700</v>
      </c>
      <c r="BL6" s="15"/>
      <c r="BM6" s="15">
        <v>177000</v>
      </c>
      <c r="BN6" s="1353">
        <f>((BG6-BI6)+BK6+BL6+BM6)/AN6</f>
        <v>3.4228451275672636</v>
      </c>
      <c r="BO6" s="1" t="s">
        <v>296</v>
      </c>
      <c r="BP6" s="11" t="s">
        <v>247</v>
      </c>
    </row>
    <row r="7" spans="1:68" s="41" customFormat="1" ht="27.6" customHeight="1" x14ac:dyDescent="0.2">
      <c r="A7" s="4" t="s">
        <v>529</v>
      </c>
      <c r="B7" s="11">
        <v>4</v>
      </c>
      <c r="C7" s="915" t="s">
        <v>952</v>
      </c>
      <c r="D7" s="11" t="s">
        <v>20</v>
      </c>
      <c r="E7" s="11" t="s">
        <v>986</v>
      </c>
      <c r="F7" s="429" t="s">
        <v>1029</v>
      </c>
      <c r="G7" s="1" t="s">
        <v>470</v>
      </c>
      <c r="H7" s="33">
        <v>40169</v>
      </c>
      <c r="I7" s="11" t="s">
        <v>10</v>
      </c>
      <c r="J7" s="33">
        <v>40203</v>
      </c>
      <c r="K7" s="60">
        <v>40760</v>
      </c>
      <c r="L7" s="4" t="s">
        <v>267</v>
      </c>
      <c r="M7" s="11" t="s">
        <v>13</v>
      </c>
      <c r="N7" s="6">
        <v>69610</v>
      </c>
      <c r="O7" s="6"/>
      <c r="P7" s="49">
        <v>5</v>
      </c>
      <c r="Q7" s="4" t="s">
        <v>529</v>
      </c>
      <c r="R7" s="11" t="s">
        <v>247</v>
      </c>
      <c r="S7" s="11">
        <v>4</v>
      </c>
      <c r="T7" s="2">
        <v>6048.6</v>
      </c>
      <c r="U7" s="12">
        <f t="shared" si="0"/>
        <v>86.892687832208026</v>
      </c>
      <c r="V7" s="2">
        <v>2596.1999999999998</v>
      </c>
      <c r="W7" s="23">
        <f t="shared" si="1"/>
        <v>37.296365464732077</v>
      </c>
      <c r="X7" s="1912">
        <f t="shared" si="2"/>
        <v>0.57077670865985519</v>
      </c>
      <c r="Y7" s="13">
        <f t="shared" si="3"/>
        <v>3452.4000000000005</v>
      </c>
      <c r="Z7" s="967">
        <v>42972</v>
      </c>
      <c r="AA7" s="9">
        <f>'16.17 Meter Data'!Y36</f>
        <v>2987.7912525969841</v>
      </c>
      <c r="AB7" s="40">
        <f>AA7/N7*1000</f>
        <v>42.921868303361357</v>
      </c>
      <c r="AC7" s="1391" t="s">
        <v>1300</v>
      </c>
      <c r="AD7" s="1393">
        <v>72</v>
      </c>
      <c r="AE7" s="1912">
        <f t="shared" ref="AE7:AE12" si="13">(T7-AA7)/T7</f>
        <v>0.5060359004402698</v>
      </c>
      <c r="AF7" s="1611"/>
      <c r="AG7" s="51">
        <f t="shared" ref="AG7:AG12" si="14">T7-AA7</f>
        <v>3060.8087474030162</v>
      </c>
      <c r="AH7" s="4" t="s">
        <v>529</v>
      </c>
      <c r="AI7" s="15">
        <v>148249</v>
      </c>
      <c r="AJ7" s="7">
        <f t="shared" si="4"/>
        <v>2.1297083752334434</v>
      </c>
      <c r="AK7" s="15">
        <v>61035</v>
      </c>
      <c r="AL7" s="7">
        <f t="shared" si="5"/>
        <v>0.87681367619594885</v>
      </c>
      <c r="AM7" s="8">
        <f t="shared" si="6"/>
        <v>0.5882940188466701</v>
      </c>
      <c r="AN7" s="16">
        <f t="shared" si="7"/>
        <v>87214</v>
      </c>
      <c r="AO7" s="29">
        <f>'16.17 Meter Data'!W41</f>
        <v>54160.73000000001</v>
      </c>
      <c r="AP7" s="46">
        <f t="shared" si="8"/>
        <v>0.77805961787099565</v>
      </c>
      <c r="AQ7" s="47">
        <f t="shared" ref="AQ7:AQ12" si="15">(AI7-AO7)/AI7</f>
        <v>0.63466377513507677</v>
      </c>
      <c r="AR7" s="48">
        <f t="shared" ref="AR7:AR12" si="16">AI7-AO7</f>
        <v>94088.26999999999</v>
      </c>
      <c r="AS7" s="4" t="s">
        <v>529</v>
      </c>
      <c r="AT7" s="2">
        <v>871150</v>
      </c>
      <c r="AU7" s="9" t="s">
        <v>13</v>
      </c>
      <c r="AV7" s="10">
        <f t="shared" si="9"/>
        <v>12.514724895848298</v>
      </c>
      <c r="AW7" s="2">
        <v>601563</v>
      </c>
      <c r="AX7" s="9" t="s">
        <v>13</v>
      </c>
      <c r="AY7" s="10">
        <f t="shared" si="10"/>
        <v>8.6419048987214477</v>
      </c>
      <c r="AZ7" s="8">
        <f t="shared" si="11"/>
        <v>0.30946105722321071</v>
      </c>
      <c r="BA7" s="17">
        <f t="shared" si="12"/>
        <v>269587</v>
      </c>
      <c r="BB7" s="2">
        <f>'16.17 Meter Data'!W37</f>
        <v>1549564.28</v>
      </c>
      <c r="BC7" s="9" t="s">
        <v>13</v>
      </c>
      <c r="BD7" s="2">
        <f t="shared" ref="BD7:BD12" si="17">BB7/N7</f>
        <v>22.260656227553511</v>
      </c>
      <c r="BE7" s="8">
        <f t="shared" ref="BE7:BE12" si="18">(AT7-BB7)/AT7</f>
        <v>-0.77875713711760319</v>
      </c>
      <c r="BF7" s="4" t="s">
        <v>529</v>
      </c>
      <c r="BG7" s="64">
        <v>16198787</v>
      </c>
      <c r="BH7" s="42">
        <f>BG7/N7</f>
        <v>232.70775750610545</v>
      </c>
      <c r="BI7" s="15">
        <f>BG7-195321</f>
        <v>16003466</v>
      </c>
      <c r="BJ7" s="15">
        <v>1795875</v>
      </c>
      <c r="BK7" s="15">
        <v>82875</v>
      </c>
      <c r="BL7" s="15">
        <v>16175</v>
      </c>
      <c r="BM7" s="15">
        <v>265694</v>
      </c>
      <c r="BN7" s="1353">
        <f>((BG7-BI7)+BK7+BL7+BM7)/AN7</f>
        <v>6.4217327493292364</v>
      </c>
      <c r="BO7" s="1" t="s">
        <v>302</v>
      </c>
      <c r="BP7" s="11" t="s">
        <v>247</v>
      </c>
    </row>
    <row r="8" spans="1:68" s="41" customFormat="1" ht="27.6" customHeight="1" x14ac:dyDescent="0.2">
      <c r="A8" s="4" t="s">
        <v>191</v>
      </c>
      <c r="B8" s="11">
        <v>5</v>
      </c>
      <c r="C8" s="915" t="s">
        <v>950</v>
      </c>
      <c r="D8" s="11" t="s">
        <v>20</v>
      </c>
      <c r="E8" s="11" t="s">
        <v>986</v>
      </c>
      <c r="F8" s="429" t="s">
        <v>1029</v>
      </c>
      <c r="G8" s="1" t="s">
        <v>70</v>
      </c>
      <c r="H8" s="33">
        <v>40991</v>
      </c>
      <c r="I8" s="11" t="s">
        <v>168</v>
      </c>
      <c r="J8" s="33">
        <v>40028</v>
      </c>
      <c r="K8" s="60">
        <v>40765</v>
      </c>
      <c r="L8" s="4" t="s">
        <v>54</v>
      </c>
      <c r="M8" s="19">
        <v>528</v>
      </c>
      <c r="N8" s="6">
        <v>133570</v>
      </c>
      <c r="O8" s="19">
        <f>N8/M8</f>
        <v>252.97348484848484</v>
      </c>
      <c r="P8" s="49">
        <v>4</v>
      </c>
      <c r="Q8" s="4" t="s">
        <v>191</v>
      </c>
      <c r="R8" s="11" t="s">
        <v>247</v>
      </c>
      <c r="S8" s="11">
        <v>4</v>
      </c>
      <c r="T8" s="2">
        <v>16482</v>
      </c>
      <c r="U8" s="12">
        <f t="shared" si="0"/>
        <v>123.39597214943475</v>
      </c>
      <c r="V8" s="2">
        <v>10635</v>
      </c>
      <c r="W8" s="23">
        <f t="shared" si="1"/>
        <v>79.621172418956348</v>
      </c>
      <c r="X8" s="1912">
        <f t="shared" si="2"/>
        <v>0.35475063705860937</v>
      </c>
      <c r="Y8" s="13">
        <f t="shared" si="3"/>
        <v>5847</v>
      </c>
      <c r="Z8" s="967">
        <v>42972</v>
      </c>
      <c r="AA8" s="49">
        <f>'16.17 Meter Data'!Y47</f>
        <v>7098.8763403554085</v>
      </c>
      <c r="AB8" s="40">
        <f>AA8/N8*1000</f>
        <v>53.147236208395661</v>
      </c>
      <c r="AC8" s="1391" t="s">
        <v>1298</v>
      </c>
      <c r="AD8" s="1393">
        <v>58</v>
      </c>
      <c r="AE8" s="1912">
        <f t="shared" si="13"/>
        <v>0.56929521051113896</v>
      </c>
      <c r="AF8" s="1611"/>
      <c r="AG8" s="51">
        <f t="shared" si="14"/>
        <v>9383.1236596445924</v>
      </c>
      <c r="AH8" s="4" t="s">
        <v>191</v>
      </c>
      <c r="AI8" s="15">
        <v>292778</v>
      </c>
      <c r="AJ8" s="7">
        <f t="shared" si="4"/>
        <v>2.1919442988695068</v>
      </c>
      <c r="AK8" s="15">
        <v>198708</v>
      </c>
      <c r="AL8" s="7">
        <f t="shared" si="5"/>
        <v>1.4876693868383619</v>
      </c>
      <c r="AM8" s="8">
        <f t="shared" si="6"/>
        <v>0.32130146390780728</v>
      </c>
      <c r="AN8" s="16">
        <f t="shared" si="7"/>
        <v>94070</v>
      </c>
      <c r="AO8" s="15">
        <f>'16.17 Meter Data'!W52</f>
        <v>115109.27</v>
      </c>
      <c r="AP8" s="46">
        <f t="shared" si="8"/>
        <v>0.86178984801976499</v>
      </c>
      <c r="AQ8" s="47">
        <f t="shared" si="15"/>
        <v>0.60683770638504253</v>
      </c>
      <c r="AR8" s="48">
        <f t="shared" si="16"/>
        <v>177668.72999999998</v>
      </c>
      <c r="AS8" s="4" t="s">
        <v>191</v>
      </c>
      <c r="AT8" s="2">
        <v>6283057</v>
      </c>
      <c r="AU8" s="2">
        <f>AT8/M8</f>
        <v>11899.729166666666</v>
      </c>
      <c r="AV8" s="2">
        <f t="shared" si="9"/>
        <v>47.039432507299544</v>
      </c>
      <c r="AW8" s="2">
        <v>4373148</v>
      </c>
      <c r="AX8" s="9">
        <f>AW8/M8</f>
        <v>8282.4772727272721</v>
      </c>
      <c r="AY8" s="2">
        <f t="shared" si="10"/>
        <v>32.740495620274011</v>
      </c>
      <c r="AZ8" s="8">
        <f t="shared" si="11"/>
        <v>0.30397766564906226</v>
      </c>
      <c r="BA8" s="17">
        <f t="shared" si="12"/>
        <v>1909909</v>
      </c>
      <c r="BB8" s="2">
        <f>'16.17 Meter Data'!W48</f>
        <v>7548082.9600000009</v>
      </c>
      <c r="BC8" s="2">
        <f>BB8/M8</f>
        <v>14295.611666666668</v>
      </c>
      <c r="BD8" s="2">
        <f t="shared" si="17"/>
        <v>56.51031638841058</v>
      </c>
      <c r="BE8" s="8">
        <f t="shared" si="18"/>
        <v>-0.20133924616631696</v>
      </c>
      <c r="BF8" s="4" t="s">
        <v>191</v>
      </c>
      <c r="BG8" s="64">
        <v>23276802</v>
      </c>
      <c r="BH8" s="42">
        <f>BG8/N8</f>
        <v>174.2666916223703</v>
      </c>
      <c r="BI8" s="15">
        <v>21956196</v>
      </c>
      <c r="BJ8" s="15">
        <v>2186050</v>
      </c>
      <c r="BK8" s="15">
        <f>99800+73700</f>
        <v>173500</v>
      </c>
      <c r="BL8" s="15"/>
      <c r="BM8" s="29">
        <v>104934</v>
      </c>
      <c r="BN8" s="1353">
        <f>((BG8-BI8)+BK8+BL8+BM8)/AN8</f>
        <v>16.998405442755395</v>
      </c>
      <c r="BO8" s="1" t="s">
        <v>297</v>
      </c>
      <c r="BP8" s="11" t="s">
        <v>247</v>
      </c>
    </row>
    <row r="9" spans="1:68" s="41" customFormat="1" ht="27.6" customHeight="1" x14ac:dyDescent="0.2">
      <c r="A9" s="28" t="s">
        <v>1018</v>
      </c>
      <c r="B9" s="11">
        <v>6</v>
      </c>
      <c r="C9" s="11" t="s">
        <v>951</v>
      </c>
      <c r="D9" s="11" t="s">
        <v>147</v>
      </c>
      <c r="E9" s="11" t="s">
        <v>987</v>
      </c>
      <c r="F9" s="429" t="s">
        <v>1504</v>
      </c>
      <c r="G9" s="1" t="s">
        <v>523</v>
      </c>
      <c r="H9" s="33">
        <v>40315</v>
      </c>
      <c r="I9" s="11" t="s">
        <v>10</v>
      </c>
      <c r="J9" s="33" t="s">
        <v>475</v>
      </c>
      <c r="K9" s="60">
        <v>40773</v>
      </c>
      <c r="L9" s="4" t="s">
        <v>524</v>
      </c>
      <c r="M9" s="19" t="s">
        <v>13</v>
      </c>
      <c r="N9" s="6">
        <v>170189</v>
      </c>
      <c r="O9" s="6"/>
      <c r="P9" s="49">
        <v>6</v>
      </c>
      <c r="Q9" s="28" t="s">
        <v>1018</v>
      </c>
      <c r="R9" s="11" t="s">
        <v>247</v>
      </c>
      <c r="S9" s="11">
        <v>4</v>
      </c>
      <c r="T9" s="2">
        <v>10672</v>
      </c>
      <c r="U9" s="12">
        <f t="shared" si="0"/>
        <v>62.706755430727014</v>
      </c>
      <c r="V9" s="2">
        <v>7143</v>
      </c>
      <c r="W9" s="23">
        <f t="shared" si="1"/>
        <v>41.970985198808378</v>
      </c>
      <c r="X9" s="5">
        <f t="shared" si="2"/>
        <v>0.3306784107946027</v>
      </c>
      <c r="Y9" s="13">
        <f t="shared" si="3"/>
        <v>3529</v>
      </c>
      <c r="Z9" s="967">
        <v>42968</v>
      </c>
      <c r="AA9" s="49">
        <f>'16.17 Meter Data'!Y59</f>
        <v>25243.103074200975</v>
      </c>
      <c r="AB9" s="40">
        <f>AA9/N9*1000</f>
        <v>148.32394029109389</v>
      </c>
      <c r="AC9" s="1391" t="s">
        <v>1300</v>
      </c>
      <c r="AD9" s="1393">
        <v>72</v>
      </c>
      <c r="AE9" s="1912">
        <f t="shared" si="13"/>
        <v>-1.3653582340892967</v>
      </c>
      <c r="AF9" s="1611"/>
      <c r="AG9" s="51">
        <f t="shared" si="14"/>
        <v>-14571.103074200975</v>
      </c>
      <c r="AH9" s="28" t="s">
        <v>1018</v>
      </c>
      <c r="AI9" s="15">
        <v>116674</v>
      </c>
      <c r="AJ9" s="7">
        <f t="shared" si="4"/>
        <v>0.68555547068259404</v>
      </c>
      <c r="AK9" s="15">
        <v>78320</v>
      </c>
      <c r="AL9" s="7">
        <f t="shared" si="5"/>
        <v>0.46019425462280172</v>
      </c>
      <c r="AM9" s="8">
        <f t="shared" si="6"/>
        <v>0.32872790853146372</v>
      </c>
      <c r="AN9" s="16">
        <f t="shared" si="7"/>
        <v>38354</v>
      </c>
      <c r="AO9" s="15">
        <f>'16.17 Meter Data'!W65</f>
        <v>261560.66</v>
      </c>
      <c r="AP9" s="22">
        <f t="shared" si="8"/>
        <v>1.5368834648537801</v>
      </c>
      <c r="AQ9" s="47">
        <f t="shared" si="15"/>
        <v>-1.2418076006651011</v>
      </c>
      <c r="AR9" s="48">
        <f t="shared" si="16"/>
        <v>-144886.66</v>
      </c>
      <c r="AS9" s="28" t="s">
        <v>1018</v>
      </c>
      <c r="AT9" s="2">
        <v>1518337</v>
      </c>
      <c r="AU9" s="9" t="s">
        <v>13</v>
      </c>
      <c r="AV9" s="2">
        <f t="shared" si="9"/>
        <v>8.9214755360217168</v>
      </c>
      <c r="AW9" s="2">
        <v>991995</v>
      </c>
      <c r="AX9" s="9" t="s">
        <v>13</v>
      </c>
      <c r="AY9" s="2">
        <f t="shared" si="10"/>
        <v>5.8287844690314889</v>
      </c>
      <c r="AZ9" s="8">
        <f t="shared" si="11"/>
        <v>0.34665690159694457</v>
      </c>
      <c r="BA9" s="17">
        <f t="shared" si="12"/>
        <v>526342</v>
      </c>
      <c r="BB9" s="2">
        <f>'16.17 Meter Data'!W60</f>
        <v>1916000</v>
      </c>
      <c r="BC9" s="9" t="s">
        <v>13</v>
      </c>
      <c r="BD9" s="2">
        <f t="shared" si="17"/>
        <v>11.258071908290194</v>
      </c>
      <c r="BE9" s="8">
        <f t="shared" si="18"/>
        <v>-0.26190694160782485</v>
      </c>
      <c r="BF9" s="28" t="s">
        <v>1018</v>
      </c>
      <c r="BG9" s="71" t="s">
        <v>288</v>
      </c>
      <c r="BH9" s="42"/>
      <c r="BI9" s="15"/>
      <c r="BJ9" s="33" t="s">
        <v>288</v>
      </c>
      <c r="BK9" s="15"/>
      <c r="BL9" s="33" t="s">
        <v>288</v>
      </c>
      <c r="BM9" s="33" t="s">
        <v>288</v>
      </c>
      <c r="BN9" s="1353"/>
      <c r="BO9" s="1" t="s">
        <v>301</v>
      </c>
      <c r="BP9" s="11" t="s">
        <v>247</v>
      </c>
    </row>
    <row r="10" spans="1:68" s="41" customFormat="1" ht="27.6" customHeight="1" x14ac:dyDescent="0.2">
      <c r="A10" s="4" t="s">
        <v>982</v>
      </c>
      <c r="B10" s="11">
        <v>7</v>
      </c>
      <c r="C10" s="915" t="s">
        <v>953</v>
      </c>
      <c r="D10" s="11" t="s">
        <v>276</v>
      </c>
      <c r="E10" s="11" t="s">
        <v>988</v>
      </c>
      <c r="F10" s="11" t="s">
        <v>656</v>
      </c>
      <c r="G10" s="1" t="s">
        <v>118</v>
      </c>
      <c r="H10" s="33">
        <v>40304</v>
      </c>
      <c r="I10" s="11" t="s">
        <v>10</v>
      </c>
      <c r="J10" s="33">
        <v>40477</v>
      </c>
      <c r="K10" s="60">
        <v>40774</v>
      </c>
      <c r="L10" s="4" t="s">
        <v>93</v>
      </c>
      <c r="M10" s="11" t="s">
        <v>13</v>
      </c>
      <c r="N10" s="6">
        <v>67904</v>
      </c>
      <c r="O10" s="6"/>
      <c r="P10" s="83">
        <v>1</v>
      </c>
      <c r="Q10" s="4" t="s">
        <v>92</v>
      </c>
      <c r="R10" s="11" t="s">
        <v>247</v>
      </c>
      <c r="S10" s="11">
        <v>4</v>
      </c>
      <c r="T10" s="2">
        <v>2961</v>
      </c>
      <c r="U10" s="12">
        <f t="shared" si="0"/>
        <v>43.605678605089537</v>
      </c>
      <c r="V10" s="2">
        <v>1736</v>
      </c>
      <c r="W10" s="23">
        <f t="shared" si="1"/>
        <v>25.565504241281811</v>
      </c>
      <c r="X10" s="1912">
        <f t="shared" si="2"/>
        <v>0.41371158392434987</v>
      </c>
      <c r="Y10" s="13">
        <f t="shared" si="3"/>
        <v>1225</v>
      </c>
      <c r="Z10" s="967">
        <v>42975</v>
      </c>
      <c r="AA10" s="49">
        <f>'16.17 Meter Data'!Y70</f>
        <v>3116.2126226551441</v>
      </c>
      <c r="AB10" s="40">
        <f>AA10/N10*1000</f>
        <v>45.891444136650925</v>
      </c>
      <c r="AC10" s="1391" t="s">
        <v>1301</v>
      </c>
      <c r="AD10" s="1393">
        <v>31</v>
      </c>
      <c r="AE10" s="1912">
        <f t="shared" si="13"/>
        <v>-5.2418987725479253E-2</v>
      </c>
      <c r="AF10" s="1611"/>
      <c r="AG10" s="51">
        <f t="shared" si="14"/>
        <v>-155.21262265514406</v>
      </c>
      <c r="AH10" s="4" t="s">
        <v>92</v>
      </c>
      <c r="AI10" s="15">
        <v>72840</v>
      </c>
      <c r="AJ10" s="24">
        <f t="shared" si="4"/>
        <v>1.0726908576814327</v>
      </c>
      <c r="AK10" s="15">
        <v>42637</v>
      </c>
      <c r="AL10" s="24">
        <f t="shared" si="5"/>
        <v>0.62790115457115925</v>
      </c>
      <c r="AM10" s="8">
        <f t="shared" si="6"/>
        <v>0.41464854475562879</v>
      </c>
      <c r="AN10" s="16">
        <f t="shared" si="7"/>
        <v>30203</v>
      </c>
      <c r="AO10" s="15">
        <f>'16.17 Meter Data'!W74</f>
        <v>64193.279999999999</v>
      </c>
      <c r="AP10" s="22">
        <f t="shared" si="8"/>
        <v>0.94535344015080114</v>
      </c>
      <c r="AQ10" s="47">
        <f t="shared" si="15"/>
        <v>0.11870840197693576</v>
      </c>
      <c r="AR10" s="48">
        <f t="shared" si="16"/>
        <v>8646.7200000000012</v>
      </c>
      <c r="AS10" s="4" t="s">
        <v>92</v>
      </c>
      <c r="AT10" s="2">
        <v>109500</v>
      </c>
      <c r="AU10" s="9" t="s">
        <v>13</v>
      </c>
      <c r="AV10" s="2">
        <f t="shared" si="9"/>
        <v>1.6125706880301602</v>
      </c>
      <c r="AW10" s="2">
        <v>87313</v>
      </c>
      <c r="AX10" s="9" t="s">
        <v>13</v>
      </c>
      <c r="AY10" s="2">
        <f t="shared" si="10"/>
        <v>1.2858299952874646</v>
      </c>
      <c r="AZ10" s="8">
        <f t="shared" si="11"/>
        <v>0.20262100456621004</v>
      </c>
      <c r="BA10" s="17">
        <f t="shared" si="12"/>
        <v>22187</v>
      </c>
      <c r="BB10" s="2">
        <f>'16.17 Meter Data'!W71</f>
        <v>555802.54370000004</v>
      </c>
      <c r="BC10" s="9" t="s">
        <v>13</v>
      </c>
      <c r="BD10" s="2">
        <f t="shared" si="17"/>
        <v>8.1851222858741757</v>
      </c>
      <c r="BE10" s="8">
        <f t="shared" si="18"/>
        <v>-4.0758223168949774</v>
      </c>
      <c r="BF10" s="4" t="s">
        <v>92</v>
      </c>
      <c r="BG10" s="64">
        <v>5507600</v>
      </c>
      <c r="BH10" s="42">
        <f t="shared" ref="BH10:BH24" si="19">BG10/N10</f>
        <v>81.108623939679546</v>
      </c>
      <c r="BI10" s="15">
        <v>5351000</v>
      </c>
      <c r="BJ10" s="15">
        <v>484000</v>
      </c>
      <c r="BK10" s="15">
        <v>15000</v>
      </c>
      <c r="BL10" s="3"/>
      <c r="BM10" s="15">
        <v>43640</v>
      </c>
      <c r="BN10" s="1353">
        <f t="shared" ref="BN10:BN24" si="20">((BG10-BI10)+BK10+BL10+BM10)/AN10</f>
        <v>7.1264443929410985</v>
      </c>
      <c r="BO10" s="1"/>
      <c r="BP10" s="11" t="s">
        <v>247</v>
      </c>
    </row>
    <row r="11" spans="1:68" s="1737" customFormat="1" ht="27.6" customHeight="1" thickBot="1" x14ac:dyDescent="0.25">
      <c r="A11" s="1716" t="s">
        <v>269</v>
      </c>
      <c r="B11" s="1711">
        <v>8</v>
      </c>
      <c r="C11" s="1752" t="s">
        <v>950</v>
      </c>
      <c r="D11" s="1711" t="s">
        <v>60</v>
      </c>
      <c r="E11" s="1711" t="s">
        <v>989</v>
      </c>
      <c r="F11" s="1711" t="s">
        <v>510</v>
      </c>
      <c r="G11" s="1712" t="s">
        <v>1023</v>
      </c>
      <c r="H11" s="1714">
        <v>40249</v>
      </c>
      <c r="I11" s="1711" t="s">
        <v>10</v>
      </c>
      <c r="J11" s="1714">
        <v>40339</v>
      </c>
      <c r="K11" s="1715">
        <v>40798</v>
      </c>
      <c r="L11" s="1716" t="s">
        <v>112</v>
      </c>
      <c r="M11" s="1711" t="s">
        <v>13</v>
      </c>
      <c r="N11" s="1753">
        <v>24663</v>
      </c>
      <c r="O11" s="1753"/>
      <c r="P11" s="1754">
        <v>2</v>
      </c>
      <c r="Q11" s="1716" t="s">
        <v>208</v>
      </c>
      <c r="R11" s="1711" t="s">
        <v>247</v>
      </c>
      <c r="S11" s="1711">
        <v>4</v>
      </c>
      <c r="T11" s="1717">
        <v>2746</v>
      </c>
      <c r="U11" s="1720">
        <f t="shared" si="0"/>
        <v>111.34087499493168</v>
      </c>
      <c r="V11" s="1717">
        <v>1547</v>
      </c>
      <c r="W11" s="1721">
        <f t="shared" si="1"/>
        <v>62.725540283015036</v>
      </c>
      <c r="X11" s="1743">
        <f t="shared" si="2"/>
        <v>0.43663510560815733</v>
      </c>
      <c r="Y11" s="1755">
        <f t="shared" si="3"/>
        <v>1199</v>
      </c>
      <c r="Z11" s="1740">
        <v>42986</v>
      </c>
      <c r="AA11" s="1754">
        <f>'16.17 Meter Data'!Y80</f>
        <v>12306.94749</v>
      </c>
      <c r="AB11" s="1741">
        <f>AA11/66128*1000</f>
        <v>186.10796470481492</v>
      </c>
      <c r="AC11" s="1725" t="s">
        <v>1302</v>
      </c>
      <c r="AD11" s="1742">
        <v>48</v>
      </c>
      <c r="AE11" s="1743">
        <f t="shared" si="13"/>
        <v>-3.4817725746540424</v>
      </c>
      <c r="AF11" s="1744"/>
      <c r="AG11" s="1745">
        <f t="shared" si="14"/>
        <v>-9560.9474900000005</v>
      </c>
      <c r="AH11" s="1716" t="s">
        <v>208</v>
      </c>
      <c r="AI11" s="1727">
        <v>69316</v>
      </c>
      <c r="AJ11" s="1728">
        <f t="shared" si="4"/>
        <v>2.8105258889834976</v>
      </c>
      <c r="AK11" s="1727">
        <v>38688</v>
      </c>
      <c r="AL11" s="1728">
        <f t="shared" si="5"/>
        <v>1.5686656124559055</v>
      </c>
      <c r="AM11" s="1722">
        <f t="shared" si="6"/>
        <v>0.44186046511627908</v>
      </c>
      <c r="AN11" s="1756">
        <f t="shared" si="7"/>
        <v>30628</v>
      </c>
      <c r="AO11" s="1727">
        <f>'16.17 Meter Data'!W85</f>
        <v>184274.90519999998</v>
      </c>
      <c r="AP11" s="1746">
        <f>AO11/66128</f>
        <v>2.7866396261795301</v>
      </c>
      <c r="AQ11" s="1747">
        <f t="shared" si="15"/>
        <v>-1.6584757516302149</v>
      </c>
      <c r="AR11" s="1748">
        <f t="shared" si="16"/>
        <v>-114958.90519999998</v>
      </c>
      <c r="AS11" s="1716" t="s">
        <v>208</v>
      </c>
      <c r="AT11" s="1717">
        <v>320198</v>
      </c>
      <c r="AU11" s="1729" t="s">
        <v>13</v>
      </c>
      <c r="AV11" s="1717">
        <f t="shared" si="9"/>
        <v>12.982929894984389</v>
      </c>
      <c r="AW11" s="1717">
        <v>230958</v>
      </c>
      <c r="AX11" s="1729" t="s">
        <v>13</v>
      </c>
      <c r="AY11" s="1717">
        <f t="shared" si="10"/>
        <v>9.3645541904877749</v>
      </c>
      <c r="AZ11" s="1722">
        <f t="shared" si="11"/>
        <v>0.2787025527954578</v>
      </c>
      <c r="BA11" s="1757">
        <f t="shared" si="12"/>
        <v>89240</v>
      </c>
      <c r="BB11" s="1717">
        <f>'16.17 Meter Data'!W81</f>
        <v>436185.56466501253</v>
      </c>
      <c r="BC11" s="1729" t="s">
        <v>13</v>
      </c>
      <c r="BD11" s="1717">
        <f t="shared" si="17"/>
        <v>17.685827541864839</v>
      </c>
      <c r="BE11" s="1722">
        <f t="shared" si="18"/>
        <v>-0.36223700543105369</v>
      </c>
      <c r="BF11" s="1716" t="s">
        <v>208</v>
      </c>
      <c r="BG11" s="1731">
        <v>6017900</v>
      </c>
      <c r="BH11" s="1732">
        <f t="shared" si="19"/>
        <v>244.00518996066984</v>
      </c>
      <c r="BI11" s="1727">
        <v>5778782</v>
      </c>
      <c r="BJ11" s="1727">
        <v>634045</v>
      </c>
      <c r="BK11" s="1727">
        <f>23400+42175</f>
        <v>65575</v>
      </c>
      <c r="BL11" s="1724"/>
      <c r="BM11" s="1727">
        <v>106438</v>
      </c>
      <c r="BN11" s="1736">
        <f t="shared" si="20"/>
        <v>13.423370771842759</v>
      </c>
      <c r="BO11" s="1712" t="s">
        <v>302</v>
      </c>
      <c r="BP11" s="1711" t="s">
        <v>247</v>
      </c>
    </row>
    <row r="12" spans="1:68" s="41" customFormat="1" ht="27.6" customHeight="1" thickTop="1" x14ac:dyDescent="0.2">
      <c r="A12" s="1612" t="s">
        <v>282</v>
      </c>
      <c r="B12" s="2174">
        <v>9</v>
      </c>
      <c r="C12" s="915" t="s">
        <v>953</v>
      </c>
      <c r="D12" s="11" t="s">
        <v>6</v>
      </c>
      <c r="E12" s="11" t="s">
        <v>990</v>
      </c>
      <c r="F12" s="11" t="s">
        <v>547</v>
      </c>
      <c r="G12" s="1" t="s">
        <v>37</v>
      </c>
      <c r="H12" s="33">
        <v>40189</v>
      </c>
      <c r="I12" s="11" t="s">
        <v>10</v>
      </c>
      <c r="J12" s="33">
        <v>40183</v>
      </c>
      <c r="K12" s="60">
        <v>40940</v>
      </c>
      <c r="L12" s="4" t="s">
        <v>12</v>
      </c>
      <c r="M12" s="11" t="s">
        <v>13</v>
      </c>
      <c r="N12" s="6">
        <v>48112</v>
      </c>
      <c r="O12" s="6"/>
      <c r="P12" s="49">
        <v>3</v>
      </c>
      <c r="Q12" s="1612" t="s">
        <v>282</v>
      </c>
      <c r="R12" s="11" t="s">
        <v>247</v>
      </c>
      <c r="S12" s="11">
        <v>3</v>
      </c>
      <c r="T12" s="2">
        <v>3078</v>
      </c>
      <c r="U12" s="12">
        <f t="shared" si="0"/>
        <v>63.975723312271377</v>
      </c>
      <c r="V12" s="2">
        <v>1625</v>
      </c>
      <c r="W12" s="23">
        <f t="shared" si="1"/>
        <v>33.775357499168607</v>
      </c>
      <c r="X12" s="1912">
        <f t="shared" si="2"/>
        <v>0.47205977907732294</v>
      </c>
      <c r="Y12" s="13">
        <f t="shared" si="3"/>
        <v>1453</v>
      </c>
      <c r="Z12" s="967">
        <v>42978</v>
      </c>
      <c r="AA12" s="49">
        <f>'16.17 Meter Data'!W89</f>
        <v>2936.6236990000002</v>
      </c>
      <c r="AB12" s="40">
        <f>AA12/N12*1000</f>
        <v>61.037240168772868</v>
      </c>
      <c r="AC12" s="1391" t="s">
        <v>1300</v>
      </c>
      <c r="AD12" s="1393">
        <v>62</v>
      </c>
      <c r="AE12" s="1912">
        <f t="shared" si="13"/>
        <v>4.593122189733586E-2</v>
      </c>
      <c r="AF12" s="1611"/>
      <c r="AG12" s="51">
        <f t="shared" si="14"/>
        <v>141.37630099999978</v>
      </c>
      <c r="AH12" s="1612" t="s">
        <v>282</v>
      </c>
      <c r="AI12" s="15">
        <v>64655</v>
      </c>
      <c r="AJ12" s="7">
        <f t="shared" si="4"/>
        <v>1.3438435317592285</v>
      </c>
      <c r="AK12" s="15">
        <v>34128</v>
      </c>
      <c r="AL12" s="7">
        <f t="shared" si="5"/>
        <v>0.70934486198869307</v>
      </c>
      <c r="AM12" s="8">
        <f t="shared" si="6"/>
        <v>0.47215219240584644</v>
      </c>
      <c r="AN12" s="16">
        <f t="shared" si="7"/>
        <v>30527</v>
      </c>
      <c r="AO12" s="15">
        <f>'16.17 Meter Data'!W91</f>
        <v>80983.540000000008</v>
      </c>
      <c r="AP12" s="46">
        <f>AO12/N12</f>
        <v>1.6832295477219823</v>
      </c>
      <c r="AQ12" s="47">
        <f t="shared" si="15"/>
        <v>-0.25254875879669025</v>
      </c>
      <c r="AR12" s="48">
        <f t="shared" si="16"/>
        <v>-16328.540000000008</v>
      </c>
      <c r="AS12" s="1612" t="s">
        <v>282</v>
      </c>
      <c r="AT12" s="2">
        <v>1506938</v>
      </c>
      <c r="AU12" s="9" t="s">
        <v>13</v>
      </c>
      <c r="AV12" s="2">
        <f t="shared" si="9"/>
        <v>31.321458264050548</v>
      </c>
      <c r="AW12" s="2">
        <v>1056525</v>
      </c>
      <c r="AX12" s="1" t="s">
        <v>13</v>
      </c>
      <c r="AY12" s="2">
        <f t="shared" si="10"/>
        <v>21.959698204190222</v>
      </c>
      <c r="AZ12" s="8">
        <f t="shared" si="11"/>
        <v>0.29889285425146889</v>
      </c>
      <c r="BA12" s="17">
        <f t="shared" si="12"/>
        <v>450413</v>
      </c>
      <c r="BB12" s="1694">
        <f>'16.17 Meter Data'!W90</f>
        <v>72889.679999999993</v>
      </c>
      <c r="BC12" s="9" t="s">
        <v>13</v>
      </c>
      <c r="BD12" s="2">
        <f t="shared" si="17"/>
        <v>1.5149999999999999</v>
      </c>
      <c r="BE12" s="8">
        <f t="shared" si="18"/>
        <v>0.95163060457696336</v>
      </c>
      <c r="BF12" s="1612" t="s">
        <v>282</v>
      </c>
      <c r="BG12" s="64">
        <v>14394127</v>
      </c>
      <c r="BH12" s="42">
        <f t="shared" si="19"/>
        <v>299.17956019288329</v>
      </c>
      <c r="BI12" s="15">
        <v>13822099</v>
      </c>
      <c r="BJ12" s="15">
        <v>1654600</v>
      </c>
      <c r="BK12" s="15">
        <v>35000</v>
      </c>
      <c r="BL12" s="3"/>
      <c r="BM12" s="15">
        <v>57000</v>
      </c>
      <c r="BN12" s="1353">
        <f t="shared" si="20"/>
        <v>21.752153831034821</v>
      </c>
      <c r="BO12" s="1" t="s">
        <v>298</v>
      </c>
      <c r="BP12" s="11" t="s">
        <v>247</v>
      </c>
    </row>
    <row r="13" spans="1:68" s="41" customFormat="1" ht="27.6" customHeight="1" x14ac:dyDescent="0.2">
      <c r="A13" s="4" t="s">
        <v>307</v>
      </c>
      <c r="B13" s="11">
        <v>10</v>
      </c>
      <c r="C13" s="11" t="s">
        <v>951</v>
      </c>
      <c r="D13" s="11" t="s">
        <v>63</v>
      </c>
      <c r="E13" s="11" t="s">
        <v>985</v>
      </c>
      <c r="F13" s="11" t="s">
        <v>1471</v>
      </c>
      <c r="G13" s="1" t="s">
        <v>308</v>
      </c>
      <c r="H13" s="33">
        <v>40046</v>
      </c>
      <c r="I13" s="11" t="s">
        <v>10</v>
      </c>
      <c r="J13" s="33">
        <v>40086</v>
      </c>
      <c r="K13" s="60">
        <v>41011</v>
      </c>
      <c r="L13" s="4" t="s">
        <v>309</v>
      </c>
      <c r="M13" s="11" t="s">
        <v>13</v>
      </c>
      <c r="N13" s="6">
        <v>200164</v>
      </c>
      <c r="O13" s="6"/>
      <c r="P13" s="49">
        <v>4</v>
      </c>
      <c r="Q13" s="4" t="s">
        <v>307</v>
      </c>
      <c r="R13" s="11" t="s">
        <v>247</v>
      </c>
      <c r="S13" s="11">
        <v>3</v>
      </c>
      <c r="T13" s="2">
        <v>30494.5</v>
      </c>
      <c r="U13" s="12">
        <f t="shared" si="0"/>
        <v>152.34757498850942</v>
      </c>
      <c r="V13" s="2">
        <v>18910.599999999999</v>
      </c>
      <c r="W13" s="23">
        <f t="shared" si="1"/>
        <v>94.475530065346405</v>
      </c>
      <c r="X13" s="1912">
        <f t="shared" si="2"/>
        <v>0.37986850087720742</v>
      </c>
      <c r="Y13" s="13">
        <f t="shared" si="3"/>
        <v>11583.900000000001</v>
      </c>
      <c r="Z13" s="967"/>
      <c r="AA13" s="49"/>
      <c r="AB13" s="2"/>
      <c r="AC13" s="9" t="s">
        <v>1303</v>
      </c>
      <c r="AD13" s="1394">
        <v>175</v>
      </c>
      <c r="AE13" s="5"/>
      <c r="AF13" s="1912"/>
      <c r="AG13" s="2"/>
      <c r="AH13" s="4" t="s">
        <v>307</v>
      </c>
      <c r="AI13" s="15">
        <v>284103</v>
      </c>
      <c r="AJ13" s="7">
        <f t="shared" si="4"/>
        <v>1.4193511320717012</v>
      </c>
      <c r="AK13" s="15">
        <v>165774</v>
      </c>
      <c r="AL13" s="7">
        <f t="shared" si="5"/>
        <v>0.82819088347555003</v>
      </c>
      <c r="AM13" s="8">
        <f t="shared" si="6"/>
        <v>0.4165003537449446</v>
      </c>
      <c r="AN13" s="16">
        <f t="shared" si="7"/>
        <v>118329</v>
      </c>
      <c r="AO13" s="15"/>
      <c r="AP13" s="22">
        <f>AO13/N13</f>
        <v>0</v>
      </c>
      <c r="AQ13" s="47"/>
      <c r="AR13" s="48"/>
      <c r="AS13" s="4" t="s">
        <v>307</v>
      </c>
      <c r="AT13" s="2">
        <v>3172838</v>
      </c>
      <c r="AU13" s="9" t="s">
        <v>13</v>
      </c>
      <c r="AV13" s="2">
        <f t="shared" si="9"/>
        <v>15.851192022541516</v>
      </c>
      <c r="AW13" s="2">
        <v>1985718</v>
      </c>
      <c r="AX13" s="9" t="s">
        <v>13</v>
      </c>
      <c r="AY13" s="2">
        <f t="shared" si="10"/>
        <v>9.9204552267140951</v>
      </c>
      <c r="AZ13" s="8">
        <f t="shared" si="11"/>
        <v>0.37415083909105978</v>
      </c>
      <c r="BA13" s="17">
        <f t="shared" si="12"/>
        <v>1187120</v>
      </c>
      <c r="BB13" s="2"/>
      <c r="BC13" s="9"/>
      <c r="BD13" s="2"/>
      <c r="BE13" s="8"/>
      <c r="BF13" s="4" t="s">
        <v>307</v>
      </c>
      <c r="BG13" s="64">
        <v>61500000</v>
      </c>
      <c r="BH13" s="42">
        <f t="shared" si="19"/>
        <v>307.24805659359328</v>
      </c>
      <c r="BI13" s="15">
        <v>51725930</v>
      </c>
      <c r="BJ13" s="433">
        <v>5792635</v>
      </c>
      <c r="BK13" s="15">
        <f>180000+41084</f>
        <v>221084</v>
      </c>
      <c r="BL13" s="3"/>
      <c r="BM13" s="433">
        <v>404815</v>
      </c>
      <c r="BN13" s="1353">
        <f t="shared" si="20"/>
        <v>87.890280489144672</v>
      </c>
      <c r="BO13" s="1" t="s">
        <v>304</v>
      </c>
      <c r="BP13" s="11" t="s">
        <v>247</v>
      </c>
    </row>
    <row r="14" spans="1:68" s="41" customFormat="1" ht="27.6" customHeight="1" x14ac:dyDescent="0.2">
      <c r="A14" s="4" t="s">
        <v>95</v>
      </c>
      <c r="B14" s="11">
        <v>11</v>
      </c>
      <c r="C14" s="11" t="s">
        <v>951</v>
      </c>
      <c r="D14" s="11" t="s">
        <v>276</v>
      </c>
      <c r="E14" s="11" t="s">
        <v>991</v>
      </c>
      <c r="F14" s="11" t="s">
        <v>656</v>
      </c>
      <c r="G14" s="1" t="s">
        <v>94</v>
      </c>
      <c r="H14" s="33">
        <v>40357</v>
      </c>
      <c r="I14" s="77" t="s">
        <v>4</v>
      </c>
      <c r="J14" s="33">
        <v>40624</v>
      </c>
      <c r="K14" s="60">
        <v>41011</v>
      </c>
      <c r="L14" s="4" t="s">
        <v>96</v>
      </c>
      <c r="M14" s="11" t="s">
        <v>13</v>
      </c>
      <c r="N14" s="6">
        <v>55605</v>
      </c>
      <c r="O14" s="6"/>
      <c r="P14" s="49">
        <v>1</v>
      </c>
      <c r="Q14" s="4" t="s">
        <v>95</v>
      </c>
      <c r="R14" s="11" t="s">
        <v>247</v>
      </c>
      <c r="S14" s="11">
        <v>3</v>
      </c>
      <c r="T14" s="2">
        <v>1743</v>
      </c>
      <c r="U14" s="12">
        <f t="shared" si="0"/>
        <v>31.346101969247371</v>
      </c>
      <c r="V14" s="2">
        <v>749</v>
      </c>
      <c r="W14" s="23">
        <f t="shared" si="1"/>
        <v>13.470011689596259</v>
      </c>
      <c r="X14" s="1912">
        <f t="shared" si="2"/>
        <v>0.57028112449799195</v>
      </c>
      <c r="Y14" s="13">
        <f t="shared" si="3"/>
        <v>994</v>
      </c>
      <c r="Z14" s="967">
        <v>42975</v>
      </c>
      <c r="AA14" s="9">
        <f>'16.17 Meter Data'!Y109</f>
        <v>1208.8460624916402</v>
      </c>
      <c r="AB14" s="2">
        <f>AA14/N14*1000</f>
        <v>21.739880631087857</v>
      </c>
      <c r="AC14" s="19" t="s">
        <v>1301</v>
      </c>
      <c r="AD14" s="1394">
        <v>28</v>
      </c>
      <c r="AE14" s="1912">
        <f>(T14-AA14)/T14</f>
        <v>0.30645664802545025</v>
      </c>
      <c r="AF14" s="1611" t="s">
        <v>955</v>
      </c>
      <c r="AG14" s="51">
        <f>T14-AA14</f>
        <v>534.15393750835983</v>
      </c>
      <c r="AH14" s="4" t="s">
        <v>95</v>
      </c>
      <c r="AI14" s="15">
        <v>42886</v>
      </c>
      <c r="AJ14" s="7">
        <f t="shared" si="4"/>
        <v>0.77126157719629529</v>
      </c>
      <c r="AK14" s="15">
        <v>28420</v>
      </c>
      <c r="AL14" s="7">
        <f t="shared" si="5"/>
        <v>0.5111051164463627</v>
      </c>
      <c r="AM14" s="8">
        <f t="shared" si="6"/>
        <v>0.3373128759968288</v>
      </c>
      <c r="AN14" s="16">
        <f t="shared" si="7"/>
        <v>14466</v>
      </c>
      <c r="AO14" s="29">
        <f>'16.17 Meter Data'!W113</f>
        <v>35398.509999999995</v>
      </c>
      <c r="AP14" s="22">
        <f>AO14/N14</f>
        <v>0.63660660012588788</v>
      </c>
      <c r="AQ14" s="47">
        <f>(AI14-AO14)/AI14</f>
        <v>0.1745905423681389</v>
      </c>
      <c r="AR14" s="48">
        <f>AI14-AO14</f>
        <v>7487.4900000000052</v>
      </c>
      <c r="AS14" s="4" t="s">
        <v>95</v>
      </c>
      <c r="AT14" s="2">
        <v>243256</v>
      </c>
      <c r="AU14" s="9" t="s">
        <v>13</v>
      </c>
      <c r="AV14" s="2">
        <f t="shared" si="9"/>
        <v>4.3747145040913589</v>
      </c>
      <c r="AW14" s="2">
        <v>171756</v>
      </c>
      <c r="AX14" s="9" t="s">
        <v>13</v>
      </c>
      <c r="AY14" s="2">
        <f t="shared" si="10"/>
        <v>3.0888589155651469</v>
      </c>
      <c r="AZ14" s="8">
        <f t="shared" si="11"/>
        <v>0.29392902949978622</v>
      </c>
      <c r="BA14" s="17">
        <f t="shared" si="12"/>
        <v>71500</v>
      </c>
      <c r="BB14" s="1350">
        <f>'16.17 Meter Data'!W110</f>
        <v>70990</v>
      </c>
      <c r="BC14" s="9" t="s">
        <v>13</v>
      </c>
      <c r="BD14" s="2">
        <f>BB14/N14</f>
        <v>1.2766837514611995</v>
      </c>
      <c r="BE14" s="8">
        <f>(AT14-BB14)/AT14</f>
        <v>0.70816752721412835</v>
      </c>
      <c r="BF14" s="4" t="s">
        <v>95</v>
      </c>
      <c r="BG14" s="64">
        <v>4072395</v>
      </c>
      <c r="BH14" s="42">
        <f t="shared" si="19"/>
        <v>73.237928243862967</v>
      </c>
      <c r="BI14" s="15">
        <v>3919435</v>
      </c>
      <c r="BJ14" s="15">
        <v>363080</v>
      </c>
      <c r="BK14" s="15">
        <v>0</v>
      </c>
      <c r="BL14" s="3"/>
      <c r="BM14" s="15">
        <v>11870</v>
      </c>
      <c r="BN14" s="1353">
        <f t="shared" si="20"/>
        <v>11.394303884971658</v>
      </c>
      <c r="BO14" s="1"/>
      <c r="BP14" s="11" t="s">
        <v>247</v>
      </c>
    </row>
    <row r="15" spans="1:68" s="41" customFormat="1" ht="27.6" customHeight="1" x14ac:dyDescent="0.2">
      <c r="A15" s="4" t="s">
        <v>1361</v>
      </c>
      <c r="B15" s="11">
        <v>12</v>
      </c>
      <c r="C15" s="11" t="s">
        <v>951</v>
      </c>
      <c r="D15" s="11" t="s">
        <v>1498</v>
      </c>
      <c r="E15" s="11" t="s">
        <v>988</v>
      </c>
      <c r="F15" s="1613" t="s">
        <v>743</v>
      </c>
      <c r="G15" s="1" t="s">
        <v>35</v>
      </c>
      <c r="H15" s="33">
        <v>40169</v>
      </c>
      <c r="I15" s="11" t="s">
        <v>10</v>
      </c>
      <c r="J15" s="33">
        <v>40322</v>
      </c>
      <c r="K15" s="60">
        <v>41060</v>
      </c>
      <c r="L15" s="4" t="s">
        <v>1294</v>
      </c>
      <c r="M15" s="11">
        <v>100</v>
      </c>
      <c r="N15" s="6">
        <v>108770</v>
      </c>
      <c r="O15" s="6"/>
      <c r="P15" s="83">
        <v>1</v>
      </c>
      <c r="Q15" s="4" t="s">
        <v>1361</v>
      </c>
      <c r="R15" s="11" t="s">
        <v>247</v>
      </c>
      <c r="S15" s="11">
        <v>4</v>
      </c>
      <c r="T15" s="2">
        <v>8495</v>
      </c>
      <c r="U15" s="12">
        <f t="shared" si="0"/>
        <v>78.10057920382458</v>
      </c>
      <c r="V15" s="2">
        <v>5163</v>
      </c>
      <c r="W15" s="23">
        <f t="shared" si="1"/>
        <v>47.467132481382734</v>
      </c>
      <c r="X15" s="1912">
        <f t="shared" si="2"/>
        <v>0.39223072395526781</v>
      </c>
      <c r="Y15" s="13">
        <f t="shared" si="3"/>
        <v>3332</v>
      </c>
      <c r="Z15" s="967">
        <v>42949</v>
      </c>
      <c r="AA15" s="49">
        <f>'16.17 Meter Data'!Y118</f>
        <v>9257.7493526956168</v>
      </c>
      <c r="AB15" s="2">
        <f>AA15/N15*1000</f>
        <v>85.113076700336649</v>
      </c>
      <c r="AC15" s="19" t="s">
        <v>1304</v>
      </c>
      <c r="AD15" s="1394">
        <v>91</v>
      </c>
      <c r="AE15" s="1912">
        <f>(T15-AA15)/T15</f>
        <v>-8.9788034455046128E-2</v>
      </c>
      <c r="AF15" s="1611"/>
      <c r="AG15" s="51">
        <f>T15-AA15</f>
        <v>-762.74935269561684</v>
      </c>
      <c r="AH15" s="4" t="s">
        <v>1361</v>
      </c>
      <c r="AI15" s="15">
        <v>213106</v>
      </c>
      <c r="AJ15" s="7">
        <f t="shared" si="4"/>
        <v>1.9592350832030891</v>
      </c>
      <c r="AK15" s="15">
        <v>120807</v>
      </c>
      <c r="AL15" s="7">
        <f t="shared" si="5"/>
        <v>1.1106647053415464</v>
      </c>
      <c r="AM15" s="8">
        <f t="shared" si="6"/>
        <v>0.43311309864574438</v>
      </c>
      <c r="AN15" s="16">
        <f t="shared" si="7"/>
        <v>92299</v>
      </c>
      <c r="AO15" s="15">
        <f>'16.17 Meter Data'!W122</f>
        <v>168501.81</v>
      </c>
      <c r="AP15" s="22">
        <f>AO15/N15</f>
        <v>1.5491570285924428</v>
      </c>
      <c r="AQ15" s="47">
        <f>(AI15-AO15)/AI15</f>
        <v>0.20930518145899224</v>
      </c>
      <c r="AR15" s="48">
        <f>AI15-AO15</f>
        <v>44604.19</v>
      </c>
      <c r="AS15" s="4" t="s">
        <v>1361</v>
      </c>
      <c r="AT15" s="2">
        <v>4378540</v>
      </c>
      <c r="AU15" s="2">
        <f>AT15/M15</f>
        <v>43785.4</v>
      </c>
      <c r="AV15" s="2">
        <f t="shared" si="9"/>
        <v>40.255033557046978</v>
      </c>
      <c r="AW15" s="2">
        <v>3400982</v>
      </c>
      <c r="AX15" s="9">
        <f>AW15/M15</f>
        <v>34009.82</v>
      </c>
      <c r="AY15" s="2">
        <f t="shared" si="10"/>
        <v>31.267647329226808</v>
      </c>
      <c r="AZ15" s="8">
        <f t="shared" si="11"/>
        <v>0.22326117838366213</v>
      </c>
      <c r="BA15" s="17">
        <f t="shared" si="12"/>
        <v>977558</v>
      </c>
      <c r="BB15" s="242">
        <f>'16.17 Meter Data'!W119</f>
        <v>3837240</v>
      </c>
      <c r="BC15" s="2">
        <f>BB15/M15</f>
        <v>38372.400000000001</v>
      </c>
      <c r="BD15" s="2">
        <f>BB15/N15</f>
        <v>35.278477521375379</v>
      </c>
      <c r="BE15" s="8">
        <f>(AT15-BB15)/AT15</f>
        <v>0.12362568344699375</v>
      </c>
      <c r="BF15" s="4" t="s">
        <v>1361</v>
      </c>
      <c r="BG15" s="64">
        <v>16135100</v>
      </c>
      <c r="BH15" s="42">
        <f t="shared" si="19"/>
        <v>148.34145444515951</v>
      </c>
      <c r="BI15" s="15">
        <v>15834228</v>
      </c>
      <c r="BJ15" s="15">
        <v>1250000</v>
      </c>
      <c r="BK15" s="15">
        <v>0</v>
      </c>
      <c r="BL15" s="3"/>
      <c r="BM15" s="15">
        <v>96941</v>
      </c>
      <c r="BN15" s="1353">
        <f t="shared" si="20"/>
        <v>4.3100466960638792</v>
      </c>
      <c r="BO15" s="1" t="s">
        <v>299</v>
      </c>
      <c r="BP15" s="11" t="s">
        <v>247</v>
      </c>
    </row>
    <row r="16" spans="1:68" s="41" customFormat="1" ht="27.6" customHeight="1" x14ac:dyDescent="0.2">
      <c r="A16" s="4" t="s">
        <v>278</v>
      </c>
      <c r="B16" s="11">
        <v>13</v>
      </c>
      <c r="C16" s="11" t="s">
        <v>951</v>
      </c>
      <c r="D16" s="11" t="s">
        <v>81</v>
      </c>
      <c r="E16" s="11" t="s">
        <v>992</v>
      </c>
      <c r="F16" s="11" t="s">
        <v>551</v>
      </c>
      <c r="G16" s="1" t="s">
        <v>24</v>
      </c>
      <c r="H16" s="33">
        <v>40280</v>
      </c>
      <c r="I16" s="11" t="s">
        <v>10</v>
      </c>
      <c r="J16" s="33">
        <v>40518</v>
      </c>
      <c r="K16" s="60">
        <v>41087</v>
      </c>
      <c r="L16" s="4" t="s">
        <v>12</v>
      </c>
      <c r="M16" s="11" t="s">
        <v>13</v>
      </c>
      <c r="N16" s="6">
        <v>50434</v>
      </c>
      <c r="O16" s="6"/>
      <c r="P16" s="49">
        <v>2</v>
      </c>
      <c r="Q16" s="4" t="s">
        <v>278</v>
      </c>
      <c r="R16" s="11" t="s">
        <v>247</v>
      </c>
      <c r="S16" s="11">
        <v>3</v>
      </c>
      <c r="T16" s="2">
        <v>3018</v>
      </c>
      <c r="U16" s="12">
        <f t="shared" si="0"/>
        <v>59.840583733195864</v>
      </c>
      <c r="V16" s="2">
        <v>1900</v>
      </c>
      <c r="W16" s="23">
        <f t="shared" si="1"/>
        <v>37.672998374112701</v>
      </c>
      <c r="X16" s="5">
        <f t="shared" si="2"/>
        <v>0.37044400265076211</v>
      </c>
      <c r="Y16" s="13">
        <f t="shared" si="3"/>
        <v>1118</v>
      </c>
      <c r="Z16" s="967"/>
      <c r="AA16" s="49"/>
      <c r="AB16" s="2"/>
      <c r="AC16" s="9" t="s">
        <v>1300</v>
      </c>
      <c r="AD16" s="1394">
        <v>62</v>
      </c>
      <c r="AE16" s="5"/>
      <c r="AF16" s="1611"/>
      <c r="AG16" s="2"/>
      <c r="AH16" s="4" t="s">
        <v>278</v>
      </c>
      <c r="AI16" s="15">
        <v>91928</v>
      </c>
      <c r="AJ16" s="7">
        <f t="shared" si="4"/>
        <v>1.8227386287028591</v>
      </c>
      <c r="AK16" s="15">
        <v>56777</v>
      </c>
      <c r="AL16" s="7">
        <f t="shared" si="5"/>
        <v>1.1257683308878932</v>
      </c>
      <c r="AM16" s="8">
        <f t="shared" si="6"/>
        <v>0.38237533722043338</v>
      </c>
      <c r="AN16" s="16">
        <f t="shared" si="7"/>
        <v>35151</v>
      </c>
      <c r="AO16" s="15"/>
      <c r="AP16" s="22"/>
      <c r="AQ16" s="47"/>
      <c r="AR16" s="48"/>
      <c r="AS16" s="4" t="s">
        <v>278</v>
      </c>
      <c r="AT16" s="2">
        <v>1217970</v>
      </c>
      <c r="AU16" s="9" t="s">
        <v>13</v>
      </c>
      <c r="AV16" s="2">
        <f t="shared" si="9"/>
        <v>24.149779910377919</v>
      </c>
      <c r="AW16" s="2">
        <v>954495</v>
      </c>
      <c r="AX16" s="9" t="s">
        <v>13</v>
      </c>
      <c r="AY16" s="2">
        <f t="shared" si="10"/>
        <v>18.925625570051949</v>
      </c>
      <c r="AZ16" s="8">
        <f t="shared" si="11"/>
        <v>0.21632306214438779</v>
      </c>
      <c r="BA16" s="17">
        <f t="shared" si="12"/>
        <v>263475</v>
      </c>
      <c r="BB16" s="817"/>
      <c r="BC16" s="9"/>
      <c r="BD16" s="2"/>
      <c r="BE16" s="8"/>
      <c r="BF16" s="4" t="s">
        <v>278</v>
      </c>
      <c r="BG16" s="64">
        <v>7393799</v>
      </c>
      <c r="BH16" s="42">
        <f t="shared" si="19"/>
        <v>146.60346195027165</v>
      </c>
      <c r="BI16" s="15">
        <v>7243287</v>
      </c>
      <c r="BJ16" s="15">
        <v>943138</v>
      </c>
      <c r="BK16" s="15">
        <v>52150</v>
      </c>
      <c r="BL16" s="3"/>
      <c r="BM16" s="15">
        <v>42310</v>
      </c>
      <c r="BN16" s="1353">
        <f t="shared" si="20"/>
        <v>6.9691331683309148</v>
      </c>
      <c r="BO16" s="1" t="s">
        <v>300</v>
      </c>
      <c r="BP16" s="11" t="s">
        <v>247</v>
      </c>
    </row>
    <row r="17" spans="1:68" s="41" customFormat="1" ht="27.6" customHeight="1" x14ac:dyDescent="0.2">
      <c r="A17" s="4" t="s">
        <v>533</v>
      </c>
      <c r="B17" s="11">
        <v>14</v>
      </c>
      <c r="C17" s="915" t="s">
        <v>950</v>
      </c>
      <c r="D17" s="11" t="s">
        <v>53</v>
      </c>
      <c r="E17" s="11" t="s">
        <v>993</v>
      </c>
      <c r="F17" s="11" t="s">
        <v>548</v>
      </c>
      <c r="G17" s="1" t="s">
        <v>52</v>
      </c>
      <c r="H17" s="33">
        <v>40436</v>
      </c>
      <c r="I17" s="11" t="s">
        <v>10</v>
      </c>
      <c r="J17" s="33">
        <v>40511</v>
      </c>
      <c r="K17" s="60">
        <v>41091</v>
      </c>
      <c r="L17" s="4" t="s">
        <v>135</v>
      </c>
      <c r="M17" s="11">
        <v>86</v>
      </c>
      <c r="N17" s="6">
        <v>30735</v>
      </c>
      <c r="O17" s="19">
        <f t="shared" ref="O17:O25" si="21">N17/M17</f>
        <v>357.38372093023258</v>
      </c>
      <c r="P17" s="49">
        <v>4</v>
      </c>
      <c r="Q17" s="4" t="s">
        <v>533</v>
      </c>
      <c r="R17" s="11" t="s">
        <v>247</v>
      </c>
      <c r="S17" s="11">
        <v>4</v>
      </c>
      <c r="T17" s="2">
        <v>4056</v>
      </c>
      <c r="U17" s="12">
        <f t="shared" si="0"/>
        <v>131.966813079551</v>
      </c>
      <c r="V17" s="2">
        <v>3076</v>
      </c>
      <c r="W17" s="23">
        <f t="shared" si="1"/>
        <v>100.08134049129656</v>
      </c>
      <c r="X17" s="5">
        <f t="shared" si="2"/>
        <v>0.2416173570019724</v>
      </c>
      <c r="Y17" s="9">
        <f t="shared" si="3"/>
        <v>980</v>
      </c>
      <c r="Z17" s="992">
        <v>42978</v>
      </c>
      <c r="AA17" s="49">
        <f>'16.17 Meter Data'!Y137</f>
        <v>3114.5655749999996</v>
      </c>
      <c r="AB17" s="2">
        <f t="shared" ref="AB17:AB24" si="22">AA17/N17*1000</f>
        <v>101.3361176183504</v>
      </c>
      <c r="AC17" s="9" t="s">
        <v>1298</v>
      </c>
      <c r="AD17" s="1394">
        <v>58</v>
      </c>
      <c r="AE17" s="1912">
        <f t="shared" ref="AE17:AE24" si="23">(T17-AA17)/T17</f>
        <v>0.23210907914201193</v>
      </c>
      <c r="AF17" s="1611" t="s">
        <v>955</v>
      </c>
      <c r="AG17" s="51">
        <f t="shared" ref="AG17:AG24" si="24">T17-AA17</f>
        <v>941.43442500000037</v>
      </c>
      <c r="AH17" s="4" t="s">
        <v>533</v>
      </c>
      <c r="AI17" s="15">
        <v>59608</v>
      </c>
      <c r="AJ17" s="7">
        <f t="shared" si="4"/>
        <v>1.9394176020823166</v>
      </c>
      <c r="AK17" s="15">
        <v>46163</v>
      </c>
      <c r="AL17" s="7">
        <f t="shared" si="5"/>
        <v>1.5019684398893769</v>
      </c>
      <c r="AM17" s="8">
        <f t="shared" si="6"/>
        <v>0.22555697221849416</v>
      </c>
      <c r="AN17" s="15">
        <f t="shared" si="7"/>
        <v>13445</v>
      </c>
      <c r="AO17" s="15">
        <f>'16.17 Meter Data'!W142</f>
        <v>19080.008123977426</v>
      </c>
      <c r="AP17" s="22">
        <f t="shared" ref="AP17:AP24" si="25">AO17/N17</f>
        <v>0.62079089389872866</v>
      </c>
      <c r="AQ17" s="47">
        <f t="shared" ref="AQ17:AQ24" si="26">(AI17-AO17)/AI17</f>
        <v>0.67990860079221871</v>
      </c>
      <c r="AR17" s="48">
        <f t="shared" ref="AR17:AR24" si="27">AI17-AO17</f>
        <v>40527.99187602257</v>
      </c>
      <c r="AS17" s="4" t="s">
        <v>533</v>
      </c>
      <c r="AT17" s="2">
        <v>327880</v>
      </c>
      <c r="AU17" s="2">
        <f t="shared" ref="AU17:AU25" si="28">AT17/M17</f>
        <v>3812.5581395348836</v>
      </c>
      <c r="AV17" s="10">
        <f t="shared" si="9"/>
        <v>10.667968114527412</v>
      </c>
      <c r="AW17" s="2">
        <v>209536</v>
      </c>
      <c r="AX17" s="9">
        <f t="shared" ref="AX17:AX25" si="29">AW17/M17</f>
        <v>2436.4651162790697</v>
      </c>
      <c r="AY17" s="10">
        <f t="shared" si="10"/>
        <v>6.8175044737270216</v>
      </c>
      <c r="AZ17" s="8">
        <f t="shared" si="11"/>
        <v>0.36093692814444311</v>
      </c>
      <c r="BA17" s="2">
        <f t="shared" si="12"/>
        <v>118344</v>
      </c>
      <c r="BB17" s="2">
        <f>'16.17 Meter Data'!W138</f>
        <v>700500.00000000244</v>
      </c>
      <c r="BC17" s="2">
        <f t="shared" ref="BC17:BC24" si="30">BB17/M17</f>
        <v>8145.3488372093307</v>
      </c>
      <c r="BD17" s="2">
        <f t="shared" ref="BD17:BD24" si="31">BB17/N17</f>
        <v>22.791605661298274</v>
      </c>
      <c r="BE17" s="8">
        <f t="shared" ref="BE17:BE24" si="32">(AT17-BB17)/AT17</f>
        <v>-1.1364523606197463</v>
      </c>
      <c r="BF17" s="4" t="s">
        <v>533</v>
      </c>
      <c r="BG17" s="64">
        <f t="shared" ref="BG17:BG23" si="33">43376488/7</f>
        <v>6196641.1428571427</v>
      </c>
      <c r="BH17" s="42">
        <f t="shared" si="19"/>
        <v>201.61513397940922</v>
      </c>
      <c r="BI17" s="15">
        <v>6016156</v>
      </c>
      <c r="BJ17" s="15">
        <f t="shared" ref="BJ17:BJ23" si="34">4205215/7</f>
        <v>600745</v>
      </c>
      <c r="BK17" s="15">
        <f t="shared" ref="BK17:BK23" si="35">80000/7</f>
        <v>11428.571428571429</v>
      </c>
      <c r="BL17" s="3"/>
      <c r="BM17" s="15">
        <f t="shared" ref="BM17:BM23" si="36">286151/7</f>
        <v>40878.714285714283</v>
      </c>
      <c r="BN17" s="1353">
        <f t="shared" si="20"/>
        <v>17.31442384317058</v>
      </c>
      <c r="BO17" s="1" t="s">
        <v>297</v>
      </c>
      <c r="BP17" s="11" t="s">
        <v>247</v>
      </c>
    </row>
    <row r="18" spans="1:68" s="41" customFormat="1" ht="27.6" customHeight="1" x14ac:dyDescent="0.2">
      <c r="A18" s="4" t="s">
        <v>534</v>
      </c>
      <c r="B18" s="11">
        <v>15</v>
      </c>
      <c r="C18" s="915" t="s">
        <v>950</v>
      </c>
      <c r="D18" s="11" t="s">
        <v>53</v>
      </c>
      <c r="E18" s="11" t="s">
        <v>993</v>
      </c>
      <c r="F18" s="11" t="s">
        <v>548</v>
      </c>
      <c r="G18" s="1" t="s">
        <v>52</v>
      </c>
      <c r="H18" s="33">
        <v>40436</v>
      </c>
      <c r="I18" s="11" t="s">
        <v>10</v>
      </c>
      <c r="J18" s="33">
        <v>40511</v>
      </c>
      <c r="K18" s="60">
        <v>41091</v>
      </c>
      <c r="L18" s="4" t="s">
        <v>135</v>
      </c>
      <c r="M18" s="11">
        <v>86</v>
      </c>
      <c r="N18" s="6">
        <v>30735</v>
      </c>
      <c r="O18" s="19">
        <f t="shared" si="21"/>
        <v>357.38372093023258</v>
      </c>
      <c r="P18" s="49">
        <v>4</v>
      </c>
      <c r="Q18" s="4" t="s">
        <v>534</v>
      </c>
      <c r="R18" s="11" t="s">
        <v>247</v>
      </c>
      <c r="S18" s="11">
        <v>4</v>
      </c>
      <c r="T18" s="2">
        <v>4056</v>
      </c>
      <c r="U18" s="12">
        <f t="shared" si="0"/>
        <v>131.966813079551</v>
      </c>
      <c r="V18" s="2">
        <v>3076</v>
      </c>
      <c r="W18" s="23">
        <f t="shared" si="1"/>
        <v>100.08134049129656</v>
      </c>
      <c r="X18" s="1912">
        <f t="shared" si="2"/>
        <v>0.2416173570019724</v>
      </c>
      <c r="Y18" s="9">
        <f t="shared" si="3"/>
        <v>980</v>
      </c>
      <c r="Z18" s="992">
        <v>42978</v>
      </c>
      <c r="AA18" s="49">
        <f>'16.17 Meter Data'!Y148</f>
        <v>3716.9567766666669</v>
      </c>
      <c r="AB18" s="2">
        <f t="shared" si="22"/>
        <v>120.93563613686895</v>
      </c>
      <c r="AC18" s="9" t="s">
        <v>1298</v>
      </c>
      <c r="AD18" s="1394">
        <v>58</v>
      </c>
      <c r="AE18" s="1912">
        <f t="shared" si="23"/>
        <v>8.3590538297172862E-2</v>
      </c>
      <c r="AF18" s="1611"/>
      <c r="AG18" s="51">
        <f t="shared" si="24"/>
        <v>339.04322333333312</v>
      </c>
      <c r="AH18" s="4" t="s">
        <v>534</v>
      </c>
      <c r="AI18" s="15">
        <v>59608</v>
      </c>
      <c r="AJ18" s="7">
        <f t="shared" si="4"/>
        <v>1.9394176020823166</v>
      </c>
      <c r="AK18" s="15">
        <v>46163</v>
      </c>
      <c r="AL18" s="7">
        <f t="shared" si="5"/>
        <v>1.5019684398893769</v>
      </c>
      <c r="AM18" s="8">
        <f t="shared" si="6"/>
        <v>0.22555697221849416</v>
      </c>
      <c r="AN18" s="15">
        <f t="shared" si="7"/>
        <v>13445</v>
      </c>
      <c r="AO18" s="15">
        <f>'16.17 Meter Data'!W153</f>
        <v>18272.585550420816</v>
      </c>
      <c r="AP18" s="22">
        <f t="shared" si="25"/>
        <v>0.59452043437191526</v>
      </c>
      <c r="AQ18" s="47">
        <f t="shared" si="26"/>
        <v>0.69345414121559501</v>
      </c>
      <c r="AR18" s="48">
        <f t="shared" si="27"/>
        <v>41335.414449579184</v>
      </c>
      <c r="AS18" s="4" t="s">
        <v>534</v>
      </c>
      <c r="AT18" s="2">
        <v>327880</v>
      </c>
      <c r="AU18" s="2">
        <f t="shared" si="28"/>
        <v>3812.5581395348836</v>
      </c>
      <c r="AV18" s="10">
        <f t="shared" si="9"/>
        <v>10.667968114527412</v>
      </c>
      <c r="AW18" s="2">
        <v>209536</v>
      </c>
      <c r="AX18" s="9">
        <f t="shared" si="29"/>
        <v>2436.4651162790697</v>
      </c>
      <c r="AY18" s="10">
        <f t="shared" si="10"/>
        <v>6.8175044737270216</v>
      </c>
      <c r="AZ18" s="8">
        <f t="shared" si="11"/>
        <v>0.36093692814444311</v>
      </c>
      <c r="BA18" s="2">
        <f t="shared" si="12"/>
        <v>118344</v>
      </c>
      <c r="BB18" s="2">
        <f>'16.17 Meter Data'!W149</f>
        <v>1385500.0000000049</v>
      </c>
      <c r="BC18" s="2">
        <f t="shared" si="30"/>
        <v>16110.465116279127</v>
      </c>
      <c r="BD18" s="2">
        <f t="shared" si="31"/>
        <v>45.078900276557832</v>
      </c>
      <c r="BE18" s="8">
        <f t="shared" si="32"/>
        <v>-3.2256313285348446</v>
      </c>
      <c r="BF18" s="4" t="s">
        <v>534</v>
      </c>
      <c r="BG18" s="64">
        <f t="shared" si="33"/>
        <v>6196641.1428571427</v>
      </c>
      <c r="BH18" s="42">
        <f t="shared" si="19"/>
        <v>201.61513397940922</v>
      </c>
      <c r="BI18" s="15">
        <v>6016156</v>
      </c>
      <c r="BJ18" s="15">
        <f t="shared" si="34"/>
        <v>600745</v>
      </c>
      <c r="BK18" s="15">
        <f t="shared" si="35"/>
        <v>11428.571428571429</v>
      </c>
      <c r="BL18" s="3"/>
      <c r="BM18" s="15">
        <f t="shared" si="36"/>
        <v>40878.714285714283</v>
      </c>
      <c r="BN18" s="1353">
        <f t="shared" si="20"/>
        <v>17.31442384317058</v>
      </c>
      <c r="BO18" s="1" t="s">
        <v>297</v>
      </c>
      <c r="BP18" s="11" t="s">
        <v>247</v>
      </c>
    </row>
    <row r="19" spans="1:68" s="41" customFormat="1" ht="27.6" customHeight="1" x14ac:dyDescent="0.2">
      <c r="A19" s="4" t="s">
        <v>1113</v>
      </c>
      <c r="B19" s="11">
        <v>16</v>
      </c>
      <c r="C19" s="915" t="s">
        <v>950</v>
      </c>
      <c r="D19" s="11" t="s">
        <v>53</v>
      </c>
      <c r="E19" s="11" t="s">
        <v>993</v>
      </c>
      <c r="F19" s="11" t="s">
        <v>548</v>
      </c>
      <c r="G19" s="1" t="s">
        <v>52</v>
      </c>
      <c r="H19" s="33">
        <v>40436</v>
      </c>
      <c r="I19" s="11" t="s">
        <v>10</v>
      </c>
      <c r="J19" s="33">
        <v>40511</v>
      </c>
      <c r="K19" s="60">
        <v>41091</v>
      </c>
      <c r="L19" s="4" t="s">
        <v>135</v>
      </c>
      <c r="M19" s="11">
        <v>86</v>
      </c>
      <c r="N19" s="6">
        <v>30735</v>
      </c>
      <c r="O19" s="19">
        <f t="shared" si="21"/>
        <v>357.38372093023258</v>
      </c>
      <c r="P19" s="49">
        <v>4</v>
      </c>
      <c r="Q19" s="4" t="s">
        <v>1113</v>
      </c>
      <c r="R19" s="11" t="s">
        <v>247</v>
      </c>
      <c r="S19" s="11">
        <v>4</v>
      </c>
      <c r="T19" s="2">
        <v>4056</v>
      </c>
      <c r="U19" s="12">
        <f t="shared" si="0"/>
        <v>131.966813079551</v>
      </c>
      <c r="V19" s="2">
        <v>3076</v>
      </c>
      <c r="W19" s="23">
        <f t="shared" si="1"/>
        <v>100.08134049129656</v>
      </c>
      <c r="X19" s="1912">
        <f t="shared" si="2"/>
        <v>0.2416173570019724</v>
      </c>
      <c r="Y19" s="9">
        <f t="shared" si="3"/>
        <v>980</v>
      </c>
      <c r="Z19" s="992">
        <v>42978</v>
      </c>
      <c r="AA19" s="49">
        <f>'16.17 Meter Data'!Y159</f>
        <v>3420.6581932222225</v>
      </c>
      <c r="AB19" s="2">
        <f t="shared" si="22"/>
        <v>111.2952071977297</v>
      </c>
      <c r="AC19" s="9" t="s">
        <v>1298</v>
      </c>
      <c r="AD19" s="1394">
        <v>58</v>
      </c>
      <c r="AE19" s="1912">
        <f t="shared" si="23"/>
        <v>0.15664245729235146</v>
      </c>
      <c r="AF19" s="1611" t="s">
        <v>955</v>
      </c>
      <c r="AG19" s="51">
        <f t="shared" si="24"/>
        <v>635.34180677777749</v>
      </c>
      <c r="AH19" s="4" t="s">
        <v>1113</v>
      </c>
      <c r="AI19" s="15">
        <v>59608</v>
      </c>
      <c r="AJ19" s="7">
        <f t="shared" si="4"/>
        <v>1.9394176020823166</v>
      </c>
      <c r="AK19" s="15">
        <v>46163</v>
      </c>
      <c r="AL19" s="7">
        <f t="shared" si="5"/>
        <v>1.5019684398893769</v>
      </c>
      <c r="AM19" s="8">
        <f t="shared" si="6"/>
        <v>0.22555697221849416</v>
      </c>
      <c r="AN19" s="15">
        <f t="shared" si="7"/>
        <v>13445</v>
      </c>
      <c r="AO19" s="15">
        <f>'16.17 Meter Data'!W164</f>
        <v>18684.212626516652</v>
      </c>
      <c r="AP19" s="22">
        <f t="shared" si="25"/>
        <v>0.60791321381215724</v>
      </c>
      <c r="AQ19" s="47">
        <f t="shared" si="26"/>
        <v>0.68654857357205989</v>
      </c>
      <c r="AR19" s="48">
        <f t="shared" si="27"/>
        <v>40923.787373483348</v>
      </c>
      <c r="AS19" s="4" t="s">
        <v>1113</v>
      </c>
      <c r="AT19" s="2">
        <v>327880</v>
      </c>
      <c r="AU19" s="2">
        <f t="shared" si="28"/>
        <v>3812.5581395348836</v>
      </c>
      <c r="AV19" s="10">
        <f t="shared" si="9"/>
        <v>10.667968114527412</v>
      </c>
      <c r="AW19" s="2">
        <v>209536</v>
      </c>
      <c r="AX19" s="9">
        <f t="shared" si="29"/>
        <v>2436.4651162790697</v>
      </c>
      <c r="AY19" s="10">
        <f t="shared" si="10"/>
        <v>6.8175044737270216</v>
      </c>
      <c r="AZ19" s="8">
        <f t="shared" si="11"/>
        <v>0.36093692814444311</v>
      </c>
      <c r="BA19" s="2">
        <f t="shared" si="12"/>
        <v>118344</v>
      </c>
      <c r="BB19" s="2">
        <f>'16.17 Meter Data'!W160</f>
        <v>906500.00000000326</v>
      </c>
      <c r="BC19" s="2">
        <f t="shared" si="30"/>
        <v>10540.697674418643</v>
      </c>
      <c r="BD19" s="2">
        <f t="shared" si="31"/>
        <v>29.494062144135455</v>
      </c>
      <c r="BE19" s="8">
        <f t="shared" si="32"/>
        <v>-1.7647309991460389</v>
      </c>
      <c r="BF19" s="4" t="s">
        <v>1113</v>
      </c>
      <c r="BG19" s="64">
        <f t="shared" si="33"/>
        <v>6196641.1428571427</v>
      </c>
      <c r="BH19" s="42">
        <f t="shared" si="19"/>
        <v>201.61513397940922</v>
      </c>
      <c r="BI19" s="15">
        <v>6016156</v>
      </c>
      <c r="BJ19" s="15">
        <f t="shared" si="34"/>
        <v>600745</v>
      </c>
      <c r="BK19" s="15">
        <f t="shared" si="35"/>
        <v>11428.571428571429</v>
      </c>
      <c r="BL19" s="3"/>
      <c r="BM19" s="15">
        <f t="shared" si="36"/>
        <v>40878.714285714283</v>
      </c>
      <c r="BN19" s="1353">
        <f t="shared" si="20"/>
        <v>17.31442384317058</v>
      </c>
      <c r="BO19" s="1" t="s">
        <v>297</v>
      </c>
      <c r="BP19" s="11" t="s">
        <v>247</v>
      </c>
    </row>
    <row r="20" spans="1:68" s="41" customFormat="1" ht="27.6" customHeight="1" x14ac:dyDescent="0.2">
      <c r="A20" s="4" t="s">
        <v>535</v>
      </c>
      <c r="B20" s="11">
        <v>17</v>
      </c>
      <c r="C20" s="915" t="s">
        <v>950</v>
      </c>
      <c r="D20" s="11" t="s">
        <v>53</v>
      </c>
      <c r="E20" s="11" t="s">
        <v>993</v>
      </c>
      <c r="F20" s="11" t="s">
        <v>548</v>
      </c>
      <c r="G20" s="1" t="s">
        <v>52</v>
      </c>
      <c r="H20" s="33">
        <v>40436</v>
      </c>
      <c r="I20" s="11" t="s">
        <v>10</v>
      </c>
      <c r="J20" s="33">
        <v>40511</v>
      </c>
      <c r="K20" s="60">
        <v>41091</v>
      </c>
      <c r="L20" s="4" t="s">
        <v>135</v>
      </c>
      <c r="M20" s="11">
        <v>86</v>
      </c>
      <c r="N20" s="6">
        <v>30735</v>
      </c>
      <c r="O20" s="19">
        <f t="shared" si="21"/>
        <v>357.38372093023258</v>
      </c>
      <c r="P20" s="49">
        <v>4</v>
      </c>
      <c r="Q20" s="4" t="s">
        <v>535</v>
      </c>
      <c r="R20" s="11" t="s">
        <v>247</v>
      </c>
      <c r="S20" s="11">
        <v>4</v>
      </c>
      <c r="T20" s="2">
        <v>4056</v>
      </c>
      <c r="U20" s="12">
        <f t="shared" si="0"/>
        <v>131.966813079551</v>
      </c>
      <c r="V20" s="2">
        <v>3076</v>
      </c>
      <c r="W20" s="23">
        <f t="shared" si="1"/>
        <v>100.08134049129656</v>
      </c>
      <c r="X20" s="1912">
        <f t="shared" si="2"/>
        <v>0.2416173570019724</v>
      </c>
      <c r="Y20" s="9">
        <f t="shared" si="3"/>
        <v>980</v>
      </c>
      <c r="Z20" s="992">
        <v>42978</v>
      </c>
      <c r="AA20" s="49">
        <f>'16.17 Meter Data'!Y170</f>
        <v>3180.9486550000001</v>
      </c>
      <c r="AB20" s="2">
        <f t="shared" si="22"/>
        <v>103.49597055474216</v>
      </c>
      <c r="AC20" s="9" t="s">
        <v>1298</v>
      </c>
      <c r="AD20" s="1394">
        <v>58</v>
      </c>
      <c r="AE20" s="1912">
        <f t="shared" si="23"/>
        <v>0.21574244206114396</v>
      </c>
      <c r="AF20" s="1611" t="s">
        <v>955</v>
      </c>
      <c r="AG20" s="51">
        <f t="shared" si="24"/>
        <v>875.05134499999986</v>
      </c>
      <c r="AH20" s="4" t="s">
        <v>535</v>
      </c>
      <c r="AI20" s="15">
        <v>59608</v>
      </c>
      <c r="AJ20" s="7">
        <f t="shared" si="4"/>
        <v>1.9394176020823166</v>
      </c>
      <c r="AK20" s="15">
        <v>46163</v>
      </c>
      <c r="AL20" s="7">
        <f t="shared" si="5"/>
        <v>1.5019684398893769</v>
      </c>
      <c r="AM20" s="8">
        <f t="shared" si="6"/>
        <v>0.22555697221849416</v>
      </c>
      <c r="AN20" s="15">
        <f t="shared" si="7"/>
        <v>13445</v>
      </c>
      <c r="AO20" s="15">
        <f>'16.17 Meter Data'!W175</f>
        <v>18985.146030439289</v>
      </c>
      <c r="AP20" s="22">
        <f t="shared" si="25"/>
        <v>0.61770444218120346</v>
      </c>
      <c r="AQ20" s="47">
        <f t="shared" si="26"/>
        <v>0.68150003304188544</v>
      </c>
      <c r="AR20" s="48">
        <f t="shared" si="27"/>
        <v>40622.853969560711</v>
      </c>
      <c r="AS20" s="4" t="s">
        <v>535</v>
      </c>
      <c r="AT20" s="2">
        <v>327880</v>
      </c>
      <c r="AU20" s="2">
        <f t="shared" si="28"/>
        <v>3812.5581395348836</v>
      </c>
      <c r="AV20" s="10">
        <f t="shared" si="9"/>
        <v>10.667968114527412</v>
      </c>
      <c r="AW20" s="2">
        <v>209536</v>
      </c>
      <c r="AX20" s="9">
        <f t="shared" si="29"/>
        <v>2436.4651162790697</v>
      </c>
      <c r="AY20" s="10">
        <f t="shared" si="10"/>
        <v>6.8175044737270216</v>
      </c>
      <c r="AZ20" s="8">
        <f t="shared" si="11"/>
        <v>0.36093692814444311</v>
      </c>
      <c r="BA20" s="2">
        <f t="shared" si="12"/>
        <v>118344</v>
      </c>
      <c r="BB20" s="2">
        <f>'16.17 Meter Data'!W171</f>
        <v>887400.00000000338</v>
      </c>
      <c r="BC20" s="2">
        <f t="shared" si="30"/>
        <v>10318.60465116283</v>
      </c>
      <c r="BD20" s="2">
        <f t="shared" si="31"/>
        <v>28.872620790629686</v>
      </c>
      <c r="BE20" s="8">
        <f t="shared" si="32"/>
        <v>-1.7064779797486989</v>
      </c>
      <c r="BF20" s="4" t="s">
        <v>535</v>
      </c>
      <c r="BG20" s="64">
        <f t="shared" si="33"/>
        <v>6196641.1428571427</v>
      </c>
      <c r="BH20" s="42">
        <f t="shared" si="19"/>
        <v>201.61513397940922</v>
      </c>
      <c r="BI20" s="15">
        <v>6016156</v>
      </c>
      <c r="BJ20" s="15">
        <f t="shared" si="34"/>
        <v>600745</v>
      </c>
      <c r="BK20" s="15">
        <f t="shared" si="35"/>
        <v>11428.571428571429</v>
      </c>
      <c r="BL20" s="3"/>
      <c r="BM20" s="15">
        <f t="shared" si="36"/>
        <v>40878.714285714283</v>
      </c>
      <c r="BN20" s="1353">
        <f t="shared" si="20"/>
        <v>17.31442384317058</v>
      </c>
      <c r="BO20" s="1" t="s">
        <v>297</v>
      </c>
      <c r="BP20" s="11" t="s">
        <v>247</v>
      </c>
    </row>
    <row r="21" spans="1:68" s="41" customFormat="1" ht="27.6" customHeight="1" x14ac:dyDescent="0.2">
      <c r="A21" s="4" t="s">
        <v>536</v>
      </c>
      <c r="B21" s="11">
        <v>18</v>
      </c>
      <c r="C21" s="915" t="s">
        <v>950</v>
      </c>
      <c r="D21" s="11" t="s">
        <v>53</v>
      </c>
      <c r="E21" s="11" t="s">
        <v>993</v>
      </c>
      <c r="F21" s="11" t="s">
        <v>548</v>
      </c>
      <c r="G21" s="1" t="s">
        <v>52</v>
      </c>
      <c r="H21" s="33">
        <v>40436</v>
      </c>
      <c r="I21" s="11" t="s">
        <v>10</v>
      </c>
      <c r="J21" s="33">
        <v>40511</v>
      </c>
      <c r="K21" s="60">
        <v>41091</v>
      </c>
      <c r="L21" s="4" t="s">
        <v>135</v>
      </c>
      <c r="M21" s="11">
        <v>86</v>
      </c>
      <c r="N21" s="6">
        <v>30735</v>
      </c>
      <c r="O21" s="19">
        <f t="shared" si="21"/>
        <v>357.38372093023258</v>
      </c>
      <c r="P21" s="49">
        <v>4</v>
      </c>
      <c r="Q21" s="4" t="s">
        <v>536</v>
      </c>
      <c r="R21" s="11" t="s">
        <v>247</v>
      </c>
      <c r="S21" s="11">
        <v>4</v>
      </c>
      <c r="T21" s="2">
        <v>4056</v>
      </c>
      <c r="U21" s="12">
        <f t="shared" si="0"/>
        <v>131.966813079551</v>
      </c>
      <c r="V21" s="2">
        <v>3076</v>
      </c>
      <c r="W21" s="23">
        <f t="shared" si="1"/>
        <v>100.08134049129656</v>
      </c>
      <c r="X21" s="1912">
        <f t="shared" si="2"/>
        <v>0.2416173570019724</v>
      </c>
      <c r="Y21" s="9">
        <f t="shared" si="3"/>
        <v>980</v>
      </c>
      <c r="Z21" s="992">
        <v>42978</v>
      </c>
      <c r="AA21" s="49">
        <f>'16.17 Meter Data'!Y182</f>
        <v>3204.38616</v>
      </c>
      <c r="AB21" s="2">
        <f t="shared" si="22"/>
        <v>104.25853782332845</v>
      </c>
      <c r="AC21" s="9" t="s">
        <v>1298</v>
      </c>
      <c r="AD21" s="1394">
        <v>58</v>
      </c>
      <c r="AE21" s="1912">
        <f t="shared" si="23"/>
        <v>0.20996396449704141</v>
      </c>
      <c r="AF21" s="1611" t="s">
        <v>955</v>
      </c>
      <c r="AG21" s="51">
        <f t="shared" si="24"/>
        <v>851.61383999999998</v>
      </c>
      <c r="AH21" s="4" t="s">
        <v>536</v>
      </c>
      <c r="AI21" s="15">
        <v>59608</v>
      </c>
      <c r="AJ21" s="7">
        <f t="shared" si="4"/>
        <v>1.9394176020823166</v>
      </c>
      <c r="AK21" s="15">
        <v>46163</v>
      </c>
      <c r="AL21" s="7">
        <f t="shared" si="5"/>
        <v>1.5019684398893769</v>
      </c>
      <c r="AM21" s="8">
        <f t="shared" si="6"/>
        <v>0.22555697221849416</v>
      </c>
      <c r="AN21" s="15">
        <f t="shared" si="7"/>
        <v>13445</v>
      </c>
      <c r="AO21" s="15">
        <f>'16.17 Meter Data'!W187</f>
        <v>21548.267825156076</v>
      </c>
      <c r="AP21" s="22">
        <f t="shared" si="25"/>
        <v>0.70109867659528469</v>
      </c>
      <c r="AQ21" s="47">
        <f t="shared" si="26"/>
        <v>0.63850040556374865</v>
      </c>
      <c r="AR21" s="48">
        <f t="shared" si="27"/>
        <v>38059.732174843928</v>
      </c>
      <c r="AS21" s="4" t="s">
        <v>536</v>
      </c>
      <c r="AT21" s="2">
        <v>327880</v>
      </c>
      <c r="AU21" s="2">
        <f t="shared" si="28"/>
        <v>3812.5581395348836</v>
      </c>
      <c r="AV21" s="10">
        <f t="shared" si="9"/>
        <v>10.667968114527412</v>
      </c>
      <c r="AW21" s="2">
        <v>209536</v>
      </c>
      <c r="AX21" s="9">
        <f t="shared" si="29"/>
        <v>2436.4651162790697</v>
      </c>
      <c r="AY21" s="10">
        <f t="shared" si="10"/>
        <v>6.8175044737270216</v>
      </c>
      <c r="AZ21" s="8">
        <f t="shared" si="11"/>
        <v>0.36093692814444311</v>
      </c>
      <c r="BA21" s="2">
        <f t="shared" si="12"/>
        <v>118344</v>
      </c>
      <c r="BB21" s="2">
        <f>'16.17 Meter Data'!W183</f>
        <v>794900.00000000291</v>
      </c>
      <c r="BC21" s="2">
        <f t="shared" si="30"/>
        <v>9243.0232558139869</v>
      </c>
      <c r="BD21" s="2">
        <f t="shared" si="31"/>
        <v>25.863022612656675</v>
      </c>
      <c r="BE21" s="8">
        <f t="shared" si="32"/>
        <v>-1.4243625716725721</v>
      </c>
      <c r="BF21" s="4" t="s">
        <v>536</v>
      </c>
      <c r="BG21" s="64">
        <f t="shared" si="33"/>
        <v>6196641.1428571427</v>
      </c>
      <c r="BH21" s="42">
        <f t="shared" si="19"/>
        <v>201.61513397940922</v>
      </c>
      <c r="BI21" s="15">
        <v>6016156</v>
      </c>
      <c r="BJ21" s="15">
        <f t="shared" si="34"/>
        <v>600745</v>
      </c>
      <c r="BK21" s="15">
        <f t="shared" si="35"/>
        <v>11428.571428571429</v>
      </c>
      <c r="BL21" s="3"/>
      <c r="BM21" s="15">
        <f t="shared" si="36"/>
        <v>40878.714285714283</v>
      </c>
      <c r="BN21" s="1353">
        <f t="shared" si="20"/>
        <v>17.31442384317058</v>
      </c>
      <c r="BO21" s="1" t="s">
        <v>297</v>
      </c>
      <c r="BP21" s="11" t="s">
        <v>247</v>
      </c>
    </row>
    <row r="22" spans="1:68" s="41" customFormat="1" ht="27.6" customHeight="1" x14ac:dyDescent="0.2">
      <c r="A22" s="4" t="s">
        <v>537</v>
      </c>
      <c r="B22" s="11">
        <v>19</v>
      </c>
      <c r="C22" s="915" t="s">
        <v>950</v>
      </c>
      <c r="D22" s="11" t="s">
        <v>53</v>
      </c>
      <c r="E22" s="11" t="s">
        <v>993</v>
      </c>
      <c r="F22" s="11" t="s">
        <v>548</v>
      </c>
      <c r="G22" s="1" t="s">
        <v>52</v>
      </c>
      <c r="H22" s="33">
        <v>40436</v>
      </c>
      <c r="I22" s="11" t="s">
        <v>10</v>
      </c>
      <c r="J22" s="33">
        <v>40511</v>
      </c>
      <c r="K22" s="60">
        <v>41091</v>
      </c>
      <c r="L22" s="4" t="s">
        <v>135</v>
      </c>
      <c r="M22" s="11">
        <v>86</v>
      </c>
      <c r="N22" s="6">
        <v>30735</v>
      </c>
      <c r="O22" s="19">
        <f t="shared" si="21"/>
        <v>357.38372093023258</v>
      </c>
      <c r="P22" s="49">
        <v>4</v>
      </c>
      <c r="Q22" s="4" t="s">
        <v>537</v>
      </c>
      <c r="R22" s="11" t="s">
        <v>247</v>
      </c>
      <c r="S22" s="11">
        <v>4</v>
      </c>
      <c r="T22" s="2">
        <v>4056</v>
      </c>
      <c r="U22" s="12">
        <f t="shared" si="0"/>
        <v>131.966813079551</v>
      </c>
      <c r="V22" s="2">
        <v>3076</v>
      </c>
      <c r="W22" s="23">
        <f t="shared" si="1"/>
        <v>100.08134049129656</v>
      </c>
      <c r="X22" s="1912">
        <f t="shared" si="2"/>
        <v>0.2416173570019724</v>
      </c>
      <c r="Y22" s="9">
        <f t="shared" si="3"/>
        <v>980</v>
      </c>
      <c r="Z22" s="992">
        <v>42978</v>
      </c>
      <c r="AA22" s="49">
        <f>'16.17 Meter Data'!Y193</f>
        <v>3061.4836448148149</v>
      </c>
      <c r="AB22" s="2">
        <f t="shared" si="22"/>
        <v>99.609033506257191</v>
      </c>
      <c r="AC22" s="9" t="s">
        <v>1298</v>
      </c>
      <c r="AD22" s="1394">
        <v>58</v>
      </c>
      <c r="AE22" s="1912">
        <f t="shared" si="23"/>
        <v>0.24519634003579516</v>
      </c>
      <c r="AF22" s="1611" t="s">
        <v>955</v>
      </c>
      <c r="AG22" s="51">
        <f t="shared" si="24"/>
        <v>994.51635518518515</v>
      </c>
      <c r="AH22" s="4" t="s">
        <v>537</v>
      </c>
      <c r="AI22" s="15">
        <v>59608</v>
      </c>
      <c r="AJ22" s="7">
        <f t="shared" si="4"/>
        <v>1.9394176020823166</v>
      </c>
      <c r="AK22" s="15">
        <v>46163</v>
      </c>
      <c r="AL22" s="7">
        <f t="shared" si="5"/>
        <v>1.5019684398893769</v>
      </c>
      <c r="AM22" s="8">
        <f t="shared" si="6"/>
        <v>0.22555697221849416</v>
      </c>
      <c r="AN22" s="15">
        <f t="shared" si="7"/>
        <v>13445</v>
      </c>
      <c r="AO22" s="15">
        <f>'16.17 Meter Data'!W198</f>
        <v>17245.886968675317</v>
      </c>
      <c r="AP22" s="22">
        <f t="shared" si="25"/>
        <v>0.56111556755084813</v>
      </c>
      <c r="AQ22" s="47">
        <f t="shared" si="26"/>
        <v>0.71067831551678773</v>
      </c>
      <c r="AR22" s="48">
        <f t="shared" si="27"/>
        <v>42362.113031324683</v>
      </c>
      <c r="AS22" s="4" t="s">
        <v>537</v>
      </c>
      <c r="AT22" s="2">
        <v>327880</v>
      </c>
      <c r="AU22" s="2">
        <f t="shared" si="28"/>
        <v>3812.5581395348836</v>
      </c>
      <c r="AV22" s="10">
        <f t="shared" si="9"/>
        <v>10.667968114527412</v>
      </c>
      <c r="AW22" s="2">
        <v>209536</v>
      </c>
      <c r="AX22" s="9">
        <f t="shared" si="29"/>
        <v>2436.4651162790697</v>
      </c>
      <c r="AY22" s="10">
        <f t="shared" si="10"/>
        <v>6.8175044737270216</v>
      </c>
      <c r="AZ22" s="8">
        <f t="shared" si="11"/>
        <v>0.36093692814444311</v>
      </c>
      <c r="BA22" s="2">
        <f t="shared" si="12"/>
        <v>118344</v>
      </c>
      <c r="BB22" s="2">
        <f>'16.17 Meter Data'!W194</f>
        <v>929100.00000000338</v>
      </c>
      <c r="BC22" s="2">
        <f t="shared" si="30"/>
        <v>10803.488372093063</v>
      </c>
      <c r="BD22" s="2">
        <f t="shared" si="31"/>
        <v>30.229380185456431</v>
      </c>
      <c r="BE22" s="8">
        <f t="shared" si="32"/>
        <v>-1.8336586556057197</v>
      </c>
      <c r="BF22" s="4" t="s">
        <v>537</v>
      </c>
      <c r="BG22" s="64">
        <f t="shared" si="33"/>
        <v>6196641.1428571427</v>
      </c>
      <c r="BH22" s="42">
        <f t="shared" si="19"/>
        <v>201.61513397940922</v>
      </c>
      <c r="BI22" s="15">
        <v>6016156</v>
      </c>
      <c r="BJ22" s="15">
        <f t="shared" si="34"/>
        <v>600745</v>
      </c>
      <c r="BK22" s="15">
        <f t="shared" si="35"/>
        <v>11428.571428571429</v>
      </c>
      <c r="BL22" s="3"/>
      <c r="BM22" s="15">
        <f t="shared" si="36"/>
        <v>40878.714285714283</v>
      </c>
      <c r="BN22" s="1353">
        <f t="shared" si="20"/>
        <v>17.31442384317058</v>
      </c>
      <c r="BO22" s="1" t="s">
        <v>297</v>
      </c>
      <c r="BP22" s="11" t="s">
        <v>247</v>
      </c>
    </row>
    <row r="23" spans="1:68" s="41" customFormat="1" ht="27.6" customHeight="1" x14ac:dyDescent="0.2">
      <c r="A23" s="4" t="s">
        <v>538</v>
      </c>
      <c r="B23" s="11">
        <v>20</v>
      </c>
      <c r="C23" s="915" t="s">
        <v>950</v>
      </c>
      <c r="D23" s="11" t="s">
        <v>53</v>
      </c>
      <c r="E23" s="11" t="s">
        <v>993</v>
      </c>
      <c r="F23" s="11" t="s">
        <v>548</v>
      </c>
      <c r="G23" s="1" t="s">
        <v>52</v>
      </c>
      <c r="H23" s="33">
        <v>40436</v>
      </c>
      <c r="I23" s="11" t="s">
        <v>10</v>
      </c>
      <c r="J23" s="33">
        <v>40511</v>
      </c>
      <c r="K23" s="60">
        <v>41091</v>
      </c>
      <c r="L23" s="4" t="s">
        <v>135</v>
      </c>
      <c r="M23" s="11">
        <v>118</v>
      </c>
      <c r="N23" s="6">
        <v>54847</v>
      </c>
      <c r="O23" s="19">
        <f t="shared" si="21"/>
        <v>464.80508474576271</v>
      </c>
      <c r="P23" s="49">
        <v>4</v>
      </c>
      <c r="Q23" s="4" t="s">
        <v>538</v>
      </c>
      <c r="R23" s="11" t="s">
        <v>247</v>
      </c>
      <c r="S23" s="11">
        <v>4</v>
      </c>
      <c r="T23" s="2">
        <v>4056</v>
      </c>
      <c r="U23" s="12">
        <f t="shared" si="0"/>
        <v>73.951173263806581</v>
      </c>
      <c r="V23" s="2">
        <v>3076</v>
      </c>
      <c r="W23" s="23">
        <f t="shared" si="1"/>
        <v>56.083286232610718</v>
      </c>
      <c r="X23" s="1912">
        <f t="shared" si="2"/>
        <v>0.2416173570019724</v>
      </c>
      <c r="Y23" s="9">
        <f t="shared" si="3"/>
        <v>980</v>
      </c>
      <c r="Z23" s="992">
        <v>42978</v>
      </c>
      <c r="AA23" s="49">
        <f>'16.17 Meter Data'!Y204</f>
        <v>7790.5180460000001</v>
      </c>
      <c r="AB23" s="2">
        <f t="shared" si="22"/>
        <v>142.0409146534906</v>
      </c>
      <c r="AC23" s="9" t="s">
        <v>1298</v>
      </c>
      <c r="AD23" s="1394">
        <v>58</v>
      </c>
      <c r="AE23" s="1912">
        <f t="shared" si="23"/>
        <v>-0.92073916321499016</v>
      </c>
      <c r="AF23" s="1611"/>
      <c r="AG23" s="51">
        <f t="shared" si="24"/>
        <v>-3734.5180460000001</v>
      </c>
      <c r="AH23" s="4" t="s">
        <v>538</v>
      </c>
      <c r="AI23" s="15">
        <v>59608</v>
      </c>
      <c r="AJ23" s="7">
        <f t="shared" si="4"/>
        <v>1.0868051124035956</v>
      </c>
      <c r="AK23" s="15">
        <v>46163</v>
      </c>
      <c r="AL23" s="7">
        <f t="shared" si="5"/>
        <v>0.84166864185826029</v>
      </c>
      <c r="AM23" s="8">
        <f t="shared" si="6"/>
        <v>0.22555697221849416</v>
      </c>
      <c r="AN23" s="15">
        <f t="shared" si="7"/>
        <v>13445</v>
      </c>
      <c r="AO23" s="15">
        <f>'16.17 Meter Data'!W209</f>
        <v>32425.186764808146</v>
      </c>
      <c r="AP23" s="22">
        <f t="shared" si="25"/>
        <v>0.59119344293777498</v>
      </c>
      <c r="AQ23" s="47">
        <f t="shared" si="26"/>
        <v>0.4560262588107612</v>
      </c>
      <c r="AR23" s="48">
        <f t="shared" si="27"/>
        <v>27182.813235191854</v>
      </c>
      <c r="AS23" s="4" t="s">
        <v>538</v>
      </c>
      <c r="AT23" s="2">
        <v>327880</v>
      </c>
      <c r="AU23" s="2">
        <f t="shared" si="28"/>
        <v>2778.6440677966102</v>
      </c>
      <c r="AV23" s="10">
        <f t="shared" si="9"/>
        <v>5.9780844895801044</v>
      </c>
      <c r="AW23" s="2">
        <v>209536</v>
      </c>
      <c r="AX23" s="9">
        <f t="shared" si="29"/>
        <v>1775.7288135593221</v>
      </c>
      <c r="AY23" s="10">
        <f t="shared" si="10"/>
        <v>3.8203730377231206</v>
      </c>
      <c r="AZ23" s="8">
        <f t="shared" si="11"/>
        <v>0.36093692814444311</v>
      </c>
      <c r="BA23" s="2">
        <f t="shared" si="12"/>
        <v>118344</v>
      </c>
      <c r="BB23" s="2">
        <f>'16.17 Meter Data'!W205</f>
        <v>1269600.0000000044</v>
      </c>
      <c r="BC23" s="2">
        <f t="shared" si="30"/>
        <v>10759.322033898343</v>
      </c>
      <c r="BD23" s="2">
        <f t="shared" si="31"/>
        <v>23.148029974292204</v>
      </c>
      <c r="BE23" s="8">
        <f t="shared" si="32"/>
        <v>-2.8721483469562168</v>
      </c>
      <c r="BF23" s="4" t="s">
        <v>538</v>
      </c>
      <c r="BG23" s="64">
        <f t="shared" si="33"/>
        <v>6196641.1428571427</v>
      </c>
      <c r="BH23" s="42">
        <f t="shared" si="19"/>
        <v>112.98049378921623</v>
      </c>
      <c r="BI23" s="15">
        <v>6016156</v>
      </c>
      <c r="BJ23" s="15">
        <f t="shared" si="34"/>
        <v>600745</v>
      </c>
      <c r="BK23" s="15">
        <f t="shared" si="35"/>
        <v>11428.571428571429</v>
      </c>
      <c r="BL23" s="3"/>
      <c r="BM23" s="15">
        <f t="shared" si="36"/>
        <v>40878.714285714283</v>
      </c>
      <c r="BN23" s="1353">
        <f t="shared" si="20"/>
        <v>17.31442384317058</v>
      </c>
      <c r="BO23" s="1" t="s">
        <v>297</v>
      </c>
      <c r="BP23" s="11" t="s">
        <v>247</v>
      </c>
    </row>
    <row r="24" spans="1:68" s="41" customFormat="1" ht="27.6" customHeight="1" x14ac:dyDescent="0.2">
      <c r="A24" s="20" t="s">
        <v>119</v>
      </c>
      <c r="B24" s="19">
        <v>21</v>
      </c>
      <c r="C24" s="929" t="s">
        <v>950</v>
      </c>
      <c r="D24" s="19" t="s">
        <v>8</v>
      </c>
      <c r="E24" s="19" t="s">
        <v>994</v>
      </c>
      <c r="F24" s="19" t="s">
        <v>651</v>
      </c>
      <c r="G24" s="9" t="s">
        <v>7</v>
      </c>
      <c r="H24" s="36">
        <v>40550</v>
      </c>
      <c r="I24" s="19" t="s">
        <v>10</v>
      </c>
      <c r="J24" s="34">
        <v>40758</v>
      </c>
      <c r="K24" s="61">
        <v>41123</v>
      </c>
      <c r="L24" s="20" t="s">
        <v>54</v>
      </c>
      <c r="M24" s="19">
        <v>350</v>
      </c>
      <c r="N24" s="6">
        <v>71505</v>
      </c>
      <c r="O24" s="19">
        <f t="shared" si="21"/>
        <v>204.3</v>
      </c>
      <c r="P24" s="49">
        <v>10</v>
      </c>
      <c r="Q24" s="20" t="s">
        <v>119</v>
      </c>
      <c r="R24" s="11" t="s">
        <v>247</v>
      </c>
      <c r="S24" s="11">
        <v>4</v>
      </c>
      <c r="T24" s="2">
        <v>5122</v>
      </c>
      <c r="U24" s="12">
        <f t="shared" si="0"/>
        <v>71.631354450737703</v>
      </c>
      <c r="V24" s="2">
        <v>3189</v>
      </c>
      <c r="W24" s="23">
        <f t="shared" si="1"/>
        <v>44.598279840570591</v>
      </c>
      <c r="X24" s="1912">
        <f t="shared" si="2"/>
        <v>0.37739164388910584</v>
      </c>
      <c r="Y24" s="13">
        <f t="shared" si="3"/>
        <v>1933</v>
      </c>
      <c r="Z24" s="992">
        <v>42944</v>
      </c>
      <c r="AA24" s="49">
        <f>'16.17 Meter Data'!W213</f>
        <v>2782.274187</v>
      </c>
      <c r="AB24" s="40">
        <f t="shared" si="22"/>
        <v>38.910204698972102</v>
      </c>
      <c r="AC24" s="1391" t="s">
        <v>1298</v>
      </c>
      <c r="AD24" s="1393">
        <v>58</v>
      </c>
      <c r="AE24" s="1912">
        <f t="shared" si="23"/>
        <v>0.45679926064037485</v>
      </c>
      <c r="AF24" s="1611" t="s">
        <v>955</v>
      </c>
      <c r="AG24" s="51">
        <f t="shared" si="24"/>
        <v>2339.725813</v>
      </c>
      <c r="AH24" s="20" t="s">
        <v>119</v>
      </c>
      <c r="AI24" s="15">
        <v>114129</v>
      </c>
      <c r="AJ24" s="24">
        <f t="shared" si="4"/>
        <v>1.5960981749528005</v>
      </c>
      <c r="AK24" s="15">
        <v>82978</v>
      </c>
      <c r="AL24" s="24">
        <f t="shared" si="5"/>
        <v>1.1604503181595693</v>
      </c>
      <c r="AM24" s="8">
        <f t="shared" si="6"/>
        <v>0.27294552655328619</v>
      </c>
      <c r="AN24" s="16">
        <f t="shared" si="7"/>
        <v>31151</v>
      </c>
      <c r="AO24" s="15">
        <f>'16.17 Meter Data'!W215</f>
        <v>50031.580984999993</v>
      </c>
      <c r="AP24" s="22">
        <f t="shared" si="25"/>
        <v>0.69969346178588898</v>
      </c>
      <c r="AQ24" s="47">
        <f t="shared" si="26"/>
        <v>0.56162254129099531</v>
      </c>
      <c r="AR24" s="48">
        <f t="shared" si="27"/>
        <v>64097.419015000007</v>
      </c>
      <c r="AS24" s="20" t="s">
        <v>119</v>
      </c>
      <c r="AT24" s="2">
        <v>2675470</v>
      </c>
      <c r="AU24" s="2">
        <f t="shared" si="28"/>
        <v>7644.2</v>
      </c>
      <c r="AV24" s="2">
        <f t="shared" si="9"/>
        <v>37.416544297601568</v>
      </c>
      <c r="AW24" s="2">
        <v>1801347</v>
      </c>
      <c r="AX24" s="9">
        <f t="shared" si="29"/>
        <v>5146.7057142857138</v>
      </c>
      <c r="AY24" s="2">
        <f t="shared" si="10"/>
        <v>25.19190266414936</v>
      </c>
      <c r="AZ24" s="8">
        <f t="shared" si="11"/>
        <v>0.32671754869237929</v>
      </c>
      <c r="BA24" s="17">
        <f t="shared" si="12"/>
        <v>874123</v>
      </c>
      <c r="BB24" s="2">
        <f>'16.17 Meter Data'!W214</f>
        <v>1534907.399238019</v>
      </c>
      <c r="BC24" s="2">
        <f t="shared" si="30"/>
        <v>4385.449712108626</v>
      </c>
      <c r="BD24" s="2">
        <f t="shared" si="31"/>
        <v>21.465735252611971</v>
      </c>
      <c r="BE24" s="8">
        <f t="shared" si="32"/>
        <v>0.42630364039289581</v>
      </c>
      <c r="BF24" s="20" t="s">
        <v>119</v>
      </c>
      <c r="BG24" s="64">
        <v>13435000</v>
      </c>
      <c r="BH24" s="42">
        <f t="shared" si="19"/>
        <v>187.88895881406896</v>
      </c>
      <c r="BI24" s="15">
        <v>11750000</v>
      </c>
      <c r="BJ24" s="15">
        <v>998800</v>
      </c>
      <c r="BK24" s="15">
        <v>0</v>
      </c>
      <c r="BL24" s="3"/>
      <c r="BM24" s="15">
        <v>153235</v>
      </c>
      <c r="BN24" s="1353">
        <f t="shared" si="20"/>
        <v>59.010465153606624</v>
      </c>
      <c r="BO24" s="1" t="s">
        <v>313</v>
      </c>
      <c r="BP24" s="11" t="s">
        <v>247</v>
      </c>
    </row>
    <row r="25" spans="1:68" s="41" customFormat="1" ht="27.6" customHeight="1" x14ac:dyDescent="0.2">
      <c r="A25" s="4" t="s">
        <v>1019</v>
      </c>
      <c r="B25" s="11">
        <v>22</v>
      </c>
      <c r="C25" s="915" t="s">
        <v>952</v>
      </c>
      <c r="D25" s="11" t="s">
        <v>56</v>
      </c>
      <c r="E25" s="11" t="s">
        <v>995</v>
      </c>
      <c r="F25" s="11" t="s">
        <v>546</v>
      </c>
      <c r="G25" s="1" t="s">
        <v>55</v>
      </c>
      <c r="H25" s="33">
        <v>40798</v>
      </c>
      <c r="I25" s="11" t="s">
        <v>10</v>
      </c>
      <c r="J25" s="33" t="s">
        <v>475</v>
      </c>
      <c r="K25" s="60">
        <v>41128</v>
      </c>
      <c r="L25" s="4" t="s">
        <v>54</v>
      </c>
      <c r="M25" s="11">
        <v>340</v>
      </c>
      <c r="N25" s="6">
        <v>85000</v>
      </c>
      <c r="O25" s="19">
        <f t="shared" si="21"/>
        <v>250</v>
      </c>
      <c r="P25" s="14">
        <v>3</v>
      </c>
      <c r="Q25" s="4" t="s">
        <v>1019</v>
      </c>
      <c r="R25" s="11" t="s">
        <v>247</v>
      </c>
      <c r="S25" s="11">
        <v>3</v>
      </c>
      <c r="T25" s="2">
        <v>5499</v>
      </c>
      <c r="U25" s="12">
        <f t="shared" si="0"/>
        <v>64.694117647058818</v>
      </c>
      <c r="V25" s="2">
        <v>3624</v>
      </c>
      <c r="W25" s="23">
        <f t="shared" si="1"/>
        <v>42.635294117647057</v>
      </c>
      <c r="X25" s="5">
        <f t="shared" si="2"/>
        <v>0.34097108565193673</v>
      </c>
      <c r="Y25" s="6">
        <f t="shared" si="3"/>
        <v>1875</v>
      </c>
      <c r="Z25" s="1343"/>
      <c r="AA25" s="992"/>
      <c r="AB25" s="40"/>
      <c r="AC25" s="1391" t="s">
        <v>1298</v>
      </c>
      <c r="AD25" s="1393">
        <v>47</v>
      </c>
      <c r="AE25" s="5"/>
      <c r="AF25" s="1611"/>
      <c r="AG25" s="2"/>
      <c r="AH25" s="4" t="s">
        <v>1019</v>
      </c>
      <c r="AI25" s="15">
        <v>174915</v>
      </c>
      <c r="AJ25" s="7">
        <f t="shared" si="4"/>
        <v>2.0578235294117646</v>
      </c>
      <c r="AK25" s="15">
        <v>88110</v>
      </c>
      <c r="AL25" s="7">
        <f t="shared" si="5"/>
        <v>1.0365882352941176</v>
      </c>
      <c r="AM25" s="8">
        <f t="shared" si="6"/>
        <v>0.49626961667095448</v>
      </c>
      <c r="AN25" s="15">
        <f t="shared" si="7"/>
        <v>86805</v>
      </c>
      <c r="AO25" s="1"/>
      <c r="AP25" s="3"/>
      <c r="AQ25" s="3"/>
      <c r="AR25" s="2"/>
      <c r="AS25" s="4" t="s">
        <v>1019</v>
      </c>
      <c r="AT25" s="2">
        <v>2636463</v>
      </c>
      <c r="AU25" s="2">
        <f t="shared" si="28"/>
        <v>7754.302941176471</v>
      </c>
      <c r="AV25" s="10">
        <f t="shared" si="9"/>
        <v>31.017211764705884</v>
      </c>
      <c r="AW25" s="2">
        <v>1734140</v>
      </c>
      <c r="AX25" s="9">
        <f t="shared" si="29"/>
        <v>5100.411764705882</v>
      </c>
      <c r="AY25" s="10">
        <f t="shared" si="10"/>
        <v>20.401647058823528</v>
      </c>
      <c r="AZ25" s="8">
        <f t="shared" si="11"/>
        <v>0.34224754908375349</v>
      </c>
      <c r="BA25" s="2">
        <f t="shared" si="12"/>
        <v>902323</v>
      </c>
      <c r="BB25" s="1"/>
      <c r="BC25" s="3"/>
      <c r="BD25" s="3"/>
      <c r="BE25" s="3"/>
      <c r="BF25" s="4" t="s">
        <v>1019</v>
      </c>
      <c r="BG25" s="71" t="s">
        <v>288</v>
      </c>
      <c r="BH25" s="42"/>
      <c r="BI25" s="3"/>
      <c r="BJ25" s="33" t="s">
        <v>288</v>
      </c>
      <c r="BK25" s="33" t="s">
        <v>288</v>
      </c>
      <c r="BL25" s="3"/>
      <c r="BM25" s="33" t="s">
        <v>288</v>
      </c>
      <c r="BN25" s="1353"/>
      <c r="BO25" s="1" t="s">
        <v>313</v>
      </c>
      <c r="BP25" s="11" t="s">
        <v>247</v>
      </c>
    </row>
    <row r="26" spans="1:68" s="41" customFormat="1" ht="27.6" customHeight="1" x14ac:dyDescent="0.2">
      <c r="A26" s="20" t="s">
        <v>286</v>
      </c>
      <c r="B26" s="19">
        <v>23</v>
      </c>
      <c r="C26" s="929" t="s">
        <v>952</v>
      </c>
      <c r="D26" s="19" t="s">
        <v>11</v>
      </c>
      <c r="E26" s="19" t="s">
        <v>991</v>
      </c>
      <c r="F26" s="19" t="s">
        <v>648</v>
      </c>
      <c r="G26" s="9" t="s">
        <v>9</v>
      </c>
      <c r="H26" s="34">
        <v>40134</v>
      </c>
      <c r="I26" s="19" t="s">
        <v>10</v>
      </c>
      <c r="J26" s="34">
        <v>40375</v>
      </c>
      <c r="K26" s="61">
        <v>41128</v>
      </c>
      <c r="L26" s="20" t="s">
        <v>12</v>
      </c>
      <c r="M26" s="19" t="s">
        <v>13</v>
      </c>
      <c r="N26" s="6">
        <v>87000</v>
      </c>
      <c r="O26" s="6"/>
      <c r="P26" s="49">
        <v>3</v>
      </c>
      <c r="Q26" s="20" t="s">
        <v>286</v>
      </c>
      <c r="R26" s="11" t="s">
        <v>247</v>
      </c>
      <c r="S26" s="11">
        <v>3</v>
      </c>
      <c r="T26" s="2">
        <v>7163</v>
      </c>
      <c r="U26" s="12">
        <f t="shared" si="0"/>
        <v>82.333333333333329</v>
      </c>
      <c r="V26" s="2">
        <v>4954</v>
      </c>
      <c r="W26" s="23">
        <f t="shared" si="1"/>
        <v>56.942528735632187</v>
      </c>
      <c r="X26" s="5">
        <f t="shared" si="2"/>
        <v>0.30839033924333381</v>
      </c>
      <c r="Y26" s="13">
        <f t="shared" si="3"/>
        <v>2209</v>
      </c>
      <c r="Z26" s="967"/>
      <c r="AA26" s="49"/>
      <c r="AB26" s="40"/>
      <c r="AC26" s="1391" t="s">
        <v>1300</v>
      </c>
      <c r="AD26" s="1393">
        <v>62</v>
      </c>
      <c r="AE26" s="5"/>
      <c r="AF26" s="1912"/>
      <c r="AG26" s="2"/>
      <c r="AH26" s="20" t="s">
        <v>286</v>
      </c>
      <c r="AI26" s="15">
        <v>98379</v>
      </c>
      <c r="AJ26" s="24">
        <f t="shared" si="4"/>
        <v>1.1307931034482759</v>
      </c>
      <c r="AK26" s="15">
        <v>65154</v>
      </c>
      <c r="AL26" s="24">
        <f t="shared" si="5"/>
        <v>0.74889655172413794</v>
      </c>
      <c r="AM26" s="8">
        <f t="shared" si="6"/>
        <v>0.3377245143780685</v>
      </c>
      <c r="AN26" s="16">
        <f t="shared" si="7"/>
        <v>33225</v>
      </c>
      <c r="AO26" s="15"/>
      <c r="AP26" s="22">
        <f t="shared" ref="AP26:AP40" si="37">AO26/N26</f>
        <v>0</v>
      </c>
      <c r="AQ26" s="47"/>
      <c r="AR26" s="48"/>
      <c r="AS26" s="20" t="s">
        <v>286</v>
      </c>
      <c r="AT26" s="2">
        <v>2606625</v>
      </c>
      <c r="AU26" s="9" t="s">
        <v>13</v>
      </c>
      <c r="AV26" s="2">
        <f t="shared" si="9"/>
        <v>29.961206896551722</v>
      </c>
      <c r="AW26" s="2">
        <v>1672375</v>
      </c>
      <c r="AX26" s="9" t="s">
        <v>13</v>
      </c>
      <c r="AY26" s="2">
        <f t="shared" si="10"/>
        <v>19.222701149425287</v>
      </c>
      <c r="AZ26" s="8">
        <f t="shared" si="11"/>
        <v>0.35841365750731308</v>
      </c>
      <c r="BA26" s="17">
        <f t="shared" si="12"/>
        <v>934250</v>
      </c>
      <c r="BB26" s="9"/>
      <c r="BC26" s="9"/>
      <c r="BD26" s="2"/>
      <c r="BE26" s="8"/>
      <c r="BF26" s="20" t="s">
        <v>286</v>
      </c>
      <c r="BG26" s="64">
        <v>14834300</v>
      </c>
      <c r="BH26" s="42">
        <f t="shared" ref="BH26:BH49" si="38">BG26/N26</f>
        <v>170.50919540229884</v>
      </c>
      <c r="BI26" s="15">
        <v>14419316</v>
      </c>
      <c r="BJ26" s="15">
        <v>2004260</v>
      </c>
      <c r="BK26" s="15">
        <v>47460</v>
      </c>
      <c r="BL26" s="3"/>
      <c r="BM26" s="85">
        <v>0</v>
      </c>
      <c r="BN26" s="1353">
        <f>((BG26-BI26)+BK26+BL26+BM26)/AN26</f>
        <v>13.918555304740407</v>
      </c>
      <c r="BO26" s="1" t="s">
        <v>301</v>
      </c>
      <c r="BP26" s="11" t="s">
        <v>247</v>
      </c>
    </row>
    <row r="27" spans="1:68" s="41" customFormat="1" ht="27.6" customHeight="1" x14ac:dyDescent="0.2">
      <c r="A27" s="20" t="s">
        <v>279</v>
      </c>
      <c r="B27" s="19">
        <v>24</v>
      </c>
      <c r="C27" s="19" t="s">
        <v>951</v>
      </c>
      <c r="D27" s="19" t="s">
        <v>14</v>
      </c>
      <c r="E27" s="19" t="s">
        <v>988</v>
      </c>
      <c r="F27" s="19" t="s">
        <v>552</v>
      </c>
      <c r="G27" s="9" t="s">
        <v>186</v>
      </c>
      <c r="H27" s="34">
        <v>40602</v>
      </c>
      <c r="I27" s="19" t="s">
        <v>10</v>
      </c>
      <c r="J27" s="34">
        <v>40738</v>
      </c>
      <c r="K27" s="61">
        <v>41129</v>
      </c>
      <c r="L27" s="20" t="s">
        <v>54</v>
      </c>
      <c r="M27" s="19">
        <v>300</v>
      </c>
      <c r="N27" s="6">
        <v>91370</v>
      </c>
      <c r="O27" s="19">
        <f>N27/M27</f>
        <v>304.56666666666666</v>
      </c>
      <c r="P27" s="49">
        <v>6</v>
      </c>
      <c r="Q27" s="20" t="s">
        <v>279</v>
      </c>
      <c r="R27" s="11" t="s">
        <v>247</v>
      </c>
      <c r="S27" s="11">
        <v>4</v>
      </c>
      <c r="T27" s="2">
        <v>5737</v>
      </c>
      <c r="U27" s="12">
        <f t="shared" si="0"/>
        <v>62.788661486264637</v>
      </c>
      <c r="V27" s="2">
        <v>3460</v>
      </c>
      <c r="W27" s="23">
        <f t="shared" si="1"/>
        <v>37.868009193389511</v>
      </c>
      <c r="X27" s="1912">
        <f t="shared" si="2"/>
        <v>0.39689733310092384</v>
      </c>
      <c r="Y27" s="13">
        <f t="shared" si="3"/>
        <v>2277</v>
      </c>
      <c r="Z27" s="967">
        <v>42984</v>
      </c>
      <c r="AA27" s="49">
        <f>'16.17 Meter Data'!W234</f>
        <v>5240.7468250000002</v>
      </c>
      <c r="AB27" s="40">
        <f t="shared" ref="AB27:AB34" si="39">AA27/N27*1000</f>
        <v>57.35741299113495</v>
      </c>
      <c r="AC27" s="1391" t="s">
        <v>1298</v>
      </c>
      <c r="AD27" s="1393">
        <v>58</v>
      </c>
      <c r="AE27" s="1912">
        <f t="shared" ref="AE27:AE34" si="40">(T27-AA27)/T27</f>
        <v>8.6500466271570473E-2</v>
      </c>
      <c r="AF27" s="1611"/>
      <c r="AG27" s="51">
        <f t="shared" ref="AG27:AG34" si="41">T27-AA27</f>
        <v>496.25317499999983</v>
      </c>
      <c r="AH27" s="20" t="s">
        <v>279</v>
      </c>
      <c r="AI27" s="15">
        <v>89281</v>
      </c>
      <c r="AJ27" s="24">
        <f t="shared" si="4"/>
        <v>0.97713691583670792</v>
      </c>
      <c r="AK27" s="15">
        <v>63609</v>
      </c>
      <c r="AL27" s="24">
        <f t="shared" si="5"/>
        <v>0.69616942103535073</v>
      </c>
      <c r="AM27" s="8">
        <f t="shared" si="6"/>
        <v>0.28754158219553994</v>
      </c>
      <c r="AN27" s="16">
        <f t="shared" si="7"/>
        <v>25672</v>
      </c>
      <c r="AO27" s="29">
        <f>'16.17 Meter Data'!W236</f>
        <v>118312</v>
      </c>
      <c r="AP27" s="22">
        <f t="shared" si="37"/>
        <v>1.2948670241873701</v>
      </c>
      <c r="AQ27" s="47">
        <f t="shared" ref="AQ27:AQ34" si="42">(AI27-AO27)/AI27</f>
        <v>-0.32516436867866622</v>
      </c>
      <c r="AR27" s="48">
        <f t="shared" ref="AR27:AR34" si="43">AI27-AO27</f>
        <v>-29031</v>
      </c>
      <c r="AS27" s="20" t="s">
        <v>279</v>
      </c>
      <c r="AT27" s="2">
        <v>2888310</v>
      </c>
      <c r="AU27" s="2">
        <f>AT27/M27</f>
        <v>9627.7000000000007</v>
      </c>
      <c r="AV27" s="2">
        <f t="shared" si="9"/>
        <v>31.611141512531464</v>
      </c>
      <c r="AW27" s="2">
        <v>1728304</v>
      </c>
      <c r="AX27" s="9">
        <f>AW27/M27</f>
        <v>5761.0133333333333</v>
      </c>
      <c r="AY27" s="2">
        <f t="shared" si="10"/>
        <v>18.915442705483201</v>
      </c>
      <c r="AZ27" s="8">
        <f t="shared" si="11"/>
        <v>0.40162101713458737</v>
      </c>
      <c r="BA27" s="17">
        <f t="shared" si="12"/>
        <v>1160006</v>
      </c>
      <c r="BB27" s="9">
        <f>'16.17 Meter Data'!W235</f>
        <v>2955348</v>
      </c>
      <c r="BC27" s="2">
        <f>BB27/M27</f>
        <v>9851.16</v>
      </c>
      <c r="BD27" s="2">
        <f>BB27/N27</f>
        <v>32.344839662909052</v>
      </c>
      <c r="BE27" s="8">
        <f>(AT27-BB27)/AT27</f>
        <v>-2.3210112487925465E-2</v>
      </c>
      <c r="BF27" s="20" t="s">
        <v>279</v>
      </c>
      <c r="BG27" s="64">
        <v>16467600</v>
      </c>
      <c r="BH27" s="42">
        <f t="shared" si="38"/>
        <v>180.22983473787895</v>
      </c>
      <c r="BI27" s="15">
        <v>14927082</v>
      </c>
      <c r="BJ27" s="15">
        <v>1685000</v>
      </c>
      <c r="BK27" s="15">
        <v>0</v>
      </c>
      <c r="BL27" s="3"/>
      <c r="BM27" s="15">
        <v>85000</v>
      </c>
      <c r="BN27" s="1353">
        <f>((BG27-BI27)+BK27+BL27+BM27)/AN27</f>
        <v>63.318712994702402</v>
      </c>
      <c r="BO27" s="1" t="s">
        <v>301</v>
      </c>
      <c r="BP27" s="11" t="s">
        <v>247</v>
      </c>
    </row>
    <row r="28" spans="1:68" s="41" customFormat="1" ht="27.6" customHeight="1" x14ac:dyDescent="0.2">
      <c r="A28" s="20" t="s">
        <v>280</v>
      </c>
      <c r="B28" s="19">
        <v>25</v>
      </c>
      <c r="C28" s="19" t="s">
        <v>951</v>
      </c>
      <c r="D28" s="19" t="s">
        <v>6</v>
      </c>
      <c r="E28" s="19" t="s">
        <v>990</v>
      </c>
      <c r="F28" s="19" t="s">
        <v>547</v>
      </c>
      <c r="G28" s="9" t="s">
        <v>5</v>
      </c>
      <c r="H28" s="36">
        <v>40424</v>
      </c>
      <c r="I28" s="19" t="s">
        <v>10</v>
      </c>
      <c r="J28" s="34">
        <v>40568</v>
      </c>
      <c r="K28" s="61">
        <v>41138</v>
      </c>
      <c r="L28" s="20" t="s">
        <v>54</v>
      </c>
      <c r="M28" s="19">
        <v>210</v>
      </c>
      <c r="N28" s="6">
        <v>53896</v>
      </c>
      <c r="O28" s="19">
        <f>N28/M28</f>
        <v>256.64761904761906</v>
      </c>
      <c r="P28" s="49">
        <v>3</v>
      </c>
      <c r="Q28" s="20" t="s">
        <v>280</v>
      </c>
      <c r="R28" s="11" t="s">
        <v>247</v>
      </c>
      <c r="S28" s="11">
        <v>3</v>
      </c>
      <c r="T28" s="2">
        <v>9118</v>
      </c>
      <c r="U28" s="12">
        <f t="shared" si="0"/>
        <v>169.17767552322994</v>
      </c>
      <c r="V28" s="2">
        <v>6399</v>
      </c>
      <c r="W28" s="23">
        <f t="shared" si="1"/>
        <v>118.72866260947008</v>
      </c>
      <c r="X28" s="1912">
        <f t="shared" si="2"/>
        <v>0.29820135994735686</v>
      </c>
      <c r="Y28" s="13">
        <f t="shared" si="3"/>
        <v>2719</v>
      </c>
      <c r="Z28" s="992">
        <v>42978</v>
      </c>
      <c r="AA28" s="49">
        <f>'16.17 Meter Data'!W240</f>
        <v>2032.2025900000001</v>
      </c>
      <c r="AB28" s="40">
        <f t="shared" si="39"/>
        <v>37.706000259759534</v>
      </c>
      <c r="AC28" s="1391" t="s">
        <v>1298</v>
      </c>
      <c r="AD28" s="1393">
        <v>47</v>
      </c>
      <c r="AE28" s="1912">
        <f t="shared" si="40"/>
        <v>0.77712189186225056</v>
      </c>
      <c r="AF28" s="1611" t="s">
        <v>955</v>
      </c>
      <c r="AG28" s="51">
        <f t="shared" si="41"/>
        <v>7085.7974100000001</v>
      </c>
      <c r="AH28" s="20" t="s">
        <v>280</v>
      </c>
      <c r="AI28" s="15">
        <v>217417</v>
      </c>
      <c r="AJ28" s="24">
        <f t="shared" si="4"/>
        <v>4.0340099450794122</v>
      </c>
      <c r="AK28" s="15">
        <v>145256</v>
      </c>
      <c r="AL28" s="24">
        <f t="shared" si="5"/>
        <v>2.6951165207065459</v>
      </c>
      <c r="AM28" s="8">
        <f t="shared" si="6"/>
        <v>0.33190136925815367</v>
      </c>
      <c r="AN28" s="16">
        <f t="shared" si="7"/>
        <v>72161</v>
      </c>
      <c r="AO28" s="15">
        <f>'16.17 Meter Data'!W242</f>
        <v>54681.08</v>
      </c>
      <c r="AP28" s="22">
        <f t="shared" si="37"/>
        <v>1.0145665726584534</v>
      </c>
      <c r="AQ28" s="47">
        <f t="shared" si="42"/>
        <v>0.74849675968300544</v>
      </c>
      <c r="AR28" s="48">
        <f t="shared" si="43"/>
        <v>162735.91999999998</v>
      </c>
      <c r="AS28" s="20" t="s">
        <v>280</v>
      </c>
      <c r="AT28" s="2">
        <v>1193460</v>
      </c>
      <c r="AU28" s="2">
        <f>AT28/M28</f>
        <v>5683.1428571428569</v>
      </c>
      <c r="AV28" s="2">
        <f t="shared" si="9"/>
        <v>22.143758349413687</v>
      </c>
      <c r="AW28" s="2">
        <v>938250</v>
      </c>
      <c r="AX28" s="9">
        <f>AW28/M28</f>
        <v>4467.8571428571431</v>
      </c>
      <c r="AY28" s="2">
        <f t="shared" si="10"/>
        <v>17.40852753451091</v>
      </c>
      <c r="AZ28" s="8">
        <f t="shared" si="11"/>
        <v>0.21384043034538233</v>
      </c>
      <c r="BA28" s="17">
        <f t="shared" si="12"/>
        <v>255210</v>
      </c>
      <c r="BB28" s="2">
        <f>'16.17 Meter Data'!W241</f>
        <v>3873798</v>
      </c>
      <c r="BC28" s="2">
        <f>BB28/M28</f>
        <v>18446.657142857144</v>
      </c>
      <c r="BD28" s="2">
        <f>BB28/N28</f>
        <v>71.875426747810593</v>
      </c>
      <c r="BE28" s="8">
        <f>(AT28-BB28)/AT28</f>
        <v>-2.2458549092554421</v>
      </c>
      <c r="BF28" s="20" t="s">
        <v>280</v>
      </c>
      <c r="BG28" s="64">
        <v>12474496</v>
      </c>
      <c r="BH28" s="42">
        <f t="shared" si="38"/>
        <v>231.45495027460294</v>
      </c>
      <c r="BI28" s="15">
        <v>12222788</v>
      </c>
      <c r="BJ28" s="15">
        <f>499000+700950</f>
        <v>1199950</v>
      </c>
      <c r="BK28" s="15">
        <v>40000</v>
      </c>
      <c r="BL28" s="3"/>
      <c r="BM28" s="15">
        <v>85000</v>
      </c>
      <c r="BN28" s="1353">
        <f>((BG28-BI28)+BK28+BL28+BM28)/AN28</f>
        <v>5.2203822009118497</v>
      </c>
      <c r="BO28" s="1" t="s">
        <v>302</v>
      </c>
      <c r="BP28" s="11" t="s">
        <v>247</v>
      </c>
    </row>
    <row r="29" spans="1:68" s="1737" customFormat="1" ht="27.6" customHeight="1" thickBot="1" x14ac:dyDescent="0.25">
      <c r="A29" s="1716" t="s">
        <v>281</v>
      </c>
      <c r="B29" s="1711">
        <v>26</v>
      </c>
      <c r="C29" s="1752" t="s">
        <v>952</v>
      </c>
      <c r="D29" s="1711" t="s">
        <v>98</v>
      </c>
      <c r="E29" s="1711" t="s">
        <v>996</v>
      </c>
      <c r="F29" s="1711" t="s">
        <v>723</v>
      </c>
      <c r="G29" s="1712" t="s">
        <v>97</v>
      </c>
      <c r="H29" s="1714">
        <v>40396</v>
      </c>
      <c r="I29" s="1711" t="s">
        <v>10</v>
      </c>
      <c r="J29" s="1714">
        <v>40564</v>
      </c>
      <c r="K29" s="1715">
        <v>41145</v>
      </c>
      <c r="L29" s="1716" t="s">
        <v>88</v>
      </c>
      <c r="M29" s="1711" t="s">
        <v>13</v>
      </c>
      <c r="N29" s="1753">
        <v>85000</v>
      </c>
      <c r="O29" s="1753"/>
      <c r="P29" s="1754">
        <v>3</v>
      </c>
      <c r="Q29" s="1716" t="s">
        <v>281</v>
      </c>
      <c r="R29" s="1711" t="s">
        <v>247</v>
      </c>
      <c r="S29" s="1711">
        <v>3</v>
      </c>
      <c r="T29" s="1717">
        <v>7739</v>
      </c>
      <c r="U29" s="1720">
        <f t="shared" si="0"/>
        <v>91.047058823529412</v>
      </c>
      <c r="V29" s="1717">
        <v>4808</v>
      </c>
      <c r="W29" s="1721">
        <f t="shared" si="1"/>
        <v>56.564705882352939</v>
      </c>
      <c r="X29" s="1743">
        <f t="shared" si="2"/>
        <v>0.37873110220958778</v>
      </c>
      <c r="Y29" s="1755">
        <f t="shared" si="3"/>
        <v>2931</v>
      </c>
      <c r="Z29" s="1740">
        <v>42983</v>
      </c>
      <c r="AA29" s="1754">
        <f>'16.17 Meter Data'!Y249</f>
        <v>3473.9288759999999</v>
      </c>
      <c r="AB29" s="1741">
        <f t="shared" si="39"/>
        <v>40.869751482352939</v>
      </c>
      <c r="AC29" s="1725" t="s">
        <v>1300</v>
      </c>
      <c r="AD29" s="1742">
        <v>62</v>
      </c>
      <c r="AE29" s="1743">
        <f t="shared" si="40"/>
        <v>0.55111398423568936</v>
      </c>
      <c r="AF29" s="1744"/>
      <c r="AG29" s="1745">
        <f t="shared" si="41"/>
        <v>4265.0711240000001</v>
      </c>
      <c r="AH29" s="1716" t="s">
        <v>281</v>
      </c>
      <c r="AI29" s="1727">
        <v>142633</v>
      </c>
      <c r="AJ29" s="1728">
        <f t="shared" si="4"/>
        <v>1.6780352941176471</v>
      </c>
      <c r="AK29" s="1727">
        <v>90792</v>
      </c>
      <c r="AL29" s="1728">
        <f t="shared" si="5"/>
        <v>1.0681411764705881</v>
      </c>
      <c r="AM29" s="1722">
        <f t="shared" si="6"/>
        <v>0.36345726444791876</v>
      </c>
      <c r="AN29" s="1756">
        <f t="shared" si="7"/>
        <v>51841</v>
      </c>
      <c r="AO29" s="1727">
        <f>'16.17 Meter Data'!W254</f>
        <v>142076.03</v>
      </c>
      <c r="AP29" s="1746">
        <f t="shared" si="37"/>
        <v>1.6714827058823529</v>
      </c>
      <c r="AQ29" s="1747">
        <f t="shared" si="42"/>
        <v>3.9049168144819303E-3</v>
      </c>
      <c r="AR29" s="1748">
        <f t="shared" si="43"/>
        <v>556.97000000000116</v>
      </c>
      <c r="AS29" s="1716" t="s">
        <v>281</v>
      </c>
      <c r="AT29" s="1717">
        <v>751030</v>
      </c>
      <c r="AU29" s="1729" t="s">
        <v>13</v>
      </c>
      <c r="AV29" s="1717">
        <f t="shared" si="9"/>
        <v>8.835647058823529</v>
      </c>
      <c r="AW29" s="1717">
        <v>507514</v>
      </c>
      <c r="AX29" s="1729" t="s">
        <v>13</v>
      </c>
      <c r="AY29" s="1717">
        <f t="shared" si="10"/>
        <v>5.9707529411764702</v>
      </c>
      <c r="AZ29" s="1722">
        <f t="shared" si="11"/>
        <v>0.32424270668282223</v>
      </c>
      <c r="BA29" s="1757">
        <f t="shared" si="12"/>
        <v>243516</v>
      </c>
      <c r="BB29" s="1749">
        <f>'16.17 Meter Data'!W250</f>
        <v>671290</v>
      </c>
      <c r="BC29" s="1729" t="s">
        <v>13</v>
      </c>
      <c r="BD29" s="1717">
        <f>BB29/N29</f>
        <v>7.8975294117647055</v>
      </c>
      <c r="BE29" s="1722">
        <f>(AT29-BB29)/AT29</f>
        <v>0.10617418744923639</v>
      </c>
      <c r="BF29" s="1716" t="s">
        <v>281</v>
      </c>
      <c r="BG29" s="1731">
        <v>15645200</v>
      </c>
      <c r="BH29" s="1732">
        <f t="shared" si="38"/>
        <v>184.06117647058824</v>
      </c>
      <c r="BI29" s="1727">
        <v>15440699</v>
      </c>
      <c r="BJ29" s="1727">
        <v>2615450</v>
      </c>
      <c r="BK29" s="1727">
        <f>17520+139300</f>
        <v>156820</v>
      </c>
      <c r="BL29" s="1724"/>
      <c r="BM29" s="1758">
        <v>0</v>
      </c>
      <c r="BN29" s="1736">
        <f>((BG29-BI29)+BK29+BL29+BM29)/AN29</f>
        <v>6.9697922493779059</v>
      </c>
      <c r="BO29" s="1712" t="s">
        <v>302</v>
      </c>
      <c r="BP29" s="1711" t="s">
        <v>247</v>
      </c>
    </row>
    <row r="30" spans="1:68" s="41" customFormat="1" ht="27.6" customHeight="1" thickTop="1" x14ac:dyDescent="0.2">
      <c r="A30" s="4" t="s">
        <v>209</v>
      </c>
      <c r="B30" s="11">
        <v>27</v>
      </c>
      <c r="C30" s="11" t="s">
        <v>951</v>
      </c>
      <c r="D30" s="11" t="s">
        <v>14</v>
      </c>
      <c r="E30" s="11" t="s">
        <v>988</v>
      </c>
      <c r="F30" s="11" t="s">
        <v>552</v>
      </c>
      <c r="G30" s="1" t="s">
        <v>89</v>
      </c>
      <c r="H30" s="33">
        <v>39944</v>
      </c>
      <c r="I30" s="11" t="s">
        <v>10</v>
      </c>
      <c r="J30" s="33">
        <v>40294</v>
      </c>
      <c r="K30" s="60">
        <v>41162</v>
      </c>
      <c r="L30" s="4" t="s">
        <v>90</v>
      </c>
      <c r="M30" s="11" t="s">
        <v>13</v>
      </c>
      <c r="N30" s="19">
        <v>40434</v>
      </c>
      <c r="O30" s="19"/>
      <c r="P30" s="83" t="s">
        <v>91</v>
      </c>
      <c r="Q30" s="4" t="s">
        <v>209</v>
      </c>
      <c r="R30" s="11" t="s">
        <v>247</v>
      </c>
      <c r="S30" s="11">
        <v>4</v>
      </c>
      <c r="T30" s="9">
        <v>3231</v>
      </c>
      <c r="U30" s="12">
        <f t="shared" si="0"/>
        <v>79.907998219320376</v>
      </c>
      <c r="V30" s="9">
        <v>1185</v>
      </c>
      <c r="W30" s="23">
        <f t="shared" si="1"/>
        <v>29.307018845526041</v>
      </c>
      <c r="X30" s="1912">
        <f t="shared" si="2"/>
        <v>0.63324048282265555</v>
      </c>
      <c r="Y30" s="13">
        <f t="shared" si="3"/>
        <v>2046</v>
      </c>
      <c r="Z30" s="967">
        <v>42984</v>
      </c>
      <c r="AA30" s="9">
        <f>'16.17 Meter Data'!W258</f>
        <v>1172.97984</v>
      </c>
      <c r="AB30" s="40">
        <f t="shared" si="39"/>
        <v>29.009740317554535</v>
      </c>
      <c r="AC30" s="1391" t="s">
        <v>1300</v>
      </c>
      <c r="AD30" s="1393">
        <v>72</v>
      </c>
      <c r="AE30" s="1912">
        <f t="shared" si="40"/>
        <v>0.63696074280408543</v>
      </c>
      <c r="AF30" s="1611" t="s">
        <v>955</v>
      </c>
      <c r="AG30" s="51">
        <f t="shared" si="41"/>
        <v>2058.02016</v>
      </c>
      <c r="AH30" s="4" t="s">
        <v>209</v>
      </c>
      <c r="AI30" s="29">
        <v>98370</v>
      </c>
      <c r="AJ30" s="7">
        <f t="shared" si="4"/>
        <v>2.4328535391007566</v>
      </c>
      <c r="AK30" s="29">
        <v>43014</v>
      </c>
      <c r="AL30" s="7">
        <f t="shared" si="5"/>
        <v>1.0638076866003858</v>
      </c>
      <c r="AM30" s="8">
        <f t="shared" si="6"/>
        <v>0.56273254040866116</v>
      </c>
      <c r="AN30" s="16">
        <f t="shared" si="7"/>
        <v>55356</v>
      </c>
      <c r="AO30" s="29">
        <f>'16.17 Meter Data'!W261</f>
        <v>26480</v>
      </c>
      <c r="AP30" s="22">
        <f t="shared" si="37"/>
        <v>0.65489439580551023</v>
      </c>
      <c r="AQ30" s="47">
        <f t="shared" si="42"/>
        <v>0.73081223950391383</v>
      </c>
      <c r="AR30" s="48">
        <f t="shared" si="43"/>
        <v>71890</v>
      </c>
      <c r="AS30" s="4" t="s">
        <v>209</v>
      </c>
      <c r="AT30" s="19">
        <v>957500</v>
      </c>
      <c r="AU30" s="11" t="s">
        <v>13</v>
      </c>
      <c r="AV30" s="2">
        <f t="shared" si="9"/>
        <v>23.680565860414504</v>
      </c>
      <c r="AW30" s="19">
        <v>655500</v>
      </c>
      <c r="AX30" s="11" t="s">
        <v>13</v>
      </c>
      <c r="AY30" s="2">
        <f t="shared" si="10"/>
        <v>16.211604095563139</v>
      </c>
      <c r="AZ30" s="8">
        <f t="shared" si="11"/>
        <v>0.31540469973890339</v>
      </c>
      <c r="BA30" s="17">
        <f t="shared" si="12"/>
        <v>302000</v>
      </c>
      <c r="BB30" s="1694">
        <f>'16.17 Meter Data'!W259</f>
        <v>1053932</v>
      </c>
      <c r="BC30" s="9" t="s">
        <v>13</v>
      </c>
      <c r="BD30" s="2">
        <f>BB30/N30</f>
        <v>26.065489439580553</v>
      </c>
      <c r="BE30" s="8">
        <f>(AT30-BB30)/AT30</f>
        <v>-0.10071227154046998</v>
      </c>
      <c r="BF30" s="4" t="s">
        <v>209</v>
      </c>
      <c r="BG30" s="64">
        <v>5996300</v>
      </c>
      <c r="BH30" s="42">
        <f t="shared" si="38"/>
        <v>148.29846169065638</v>
      </c>
      <c r="BI30" s="346">
        <f>BG30-161700</f>
        <v>5834600</v>
      </c>
      <c r="BJ30" s="15">
        <v>859165</v>
      </c>
      <c r="BK30" s="15">
        <v>76500</v>
      </c>
      <c r="BL30" s="3"/>
      <c r="BM30" s="86">
        <v>0</v>
      </c>
      <c r="BN30" s="1353"/>
      <c r="BO30" s="1" t="s">
        <v>317</v>
      </c>
      <c r="BP30" s="11" t="s">
        <v>247</v>
      </c>
    </row>
    <row r="31" spans="1:68" s="41" customFormat="1" ht="27.6" customHeight="1" x14ac:dyDescent="0.2">
      <c r="A31" s="4" t="s">
        <v>1020</v>
      </c>
      <c r="B31" s="11">
        <v>28</v>
      </c>
      <c r="C31" s="11" t="s">
        <v>951</v>
      </c>
      <c r="D31" s="11" t="s">
        <v>68</v>
      </c>
      <c r="E31" s="11" t="s">
        <v>992</v>
      </c>
      <c r="F31" s="11" t="s">
        <v>650</v>
      </c>
      <c r="G31" s="1" t="s">
        <v>120</v>
      </c>
      <c r="H31" s="33">
        <v>40284</v>
      </c>
      <c r="I31" s="11" t="s">
        <v>10</v>
      </c>
      <c r="J31" s="33">
        <v>40360</v>
      </c>
      <c r="K31" s="60">
        <v>41166</v>
      </c>
      <c r="L31" s="4" t="s">
        <v>121</v>
      </c>
      <c r="M31" s="11" t="s">
        <v>13</v>
      </c>
      <c r="N31" s="6">
        <v>157410</v>
      </c>
      <c r="O31" s="6"/>
      <c r="P31" s="49">
        <v>5</v>
      </c>
      <c r="Q31" s="4" t="s">
        <v>1020</v>
      </c>
      <c r="R31" s="11" t="s">
        <v>247</v>
      </c>
      <c r="S31" s="11">
        <v>3</v>
      </c>
      <c r="T31" s="2">
        <v>43253</v>
      </c>
      <c r="U31" s="12">
        <f t="shared" si="0"/>
        <v>274.77923893018232</v>
      </c>
      <c r="V31" s="2">
        <v>27864</v>
      </c>
      <c r="W31" s="23">
        <f t="shared" si="1"/>
        <v>177.01543739279589</v>
      </c>
      <c r="X31" s="1912">
        <f t="shared" si="2"/>
        <v>0.35579034980232582</v>
      </c>
      <c r="Y31" s="13">
        <f t="shared" si="3"/>
        <v>15389</v>
      </c>
      <c r="Z31" s="967">
        <v>42944</v>
      </c>
      <c r="AA31" s="19">
        <f>'16.17 Meter Data'!Y267</f>
        <v>27796.531378790001</v>
      </c>
      <c r="AB31" s="40">
        <f t="shared" si="39"/>
        <v>176.58682027056733</v>
      </c>
      <c r="AC31" s="9" t="s">
        <v>1303</v>
      </c>
      <c r="AD31" s="1394">
        <v>175</v>
      </c>
      <c r="AE31" s="1912">
        <f t="shared" si="40"/>
        <v>0.35735020972441217</v>
      </c>
      <c r="AF31" s="1611" t="s">
        <v>955</v>
      </c>
      <c r="AG31" s="51">
        <f t="shared" si="41"/>
        <v>15456.468621209999</v>
      </c>
      <c r="AH31" s="4" t="s">
        <v>1020</v>
      </c>
      <c r="AI31" s="15">
        <v>420065</v>
      </c>
      <c r="AJ31" s="7">
        <f t="shared" si="4"/>
        <v>2.6686042818118292</v>
      </c>
      <c r="AK31" s="15">
        <v>302543</v>
      </c>
      <c r="AL31" s="7">
        <f t="shared" si="5"/>
        <v>1.9220062257798107</v>
      </c>
      <c r="AM31" s="8">
        <f t="shared" si="6"/>
        <v>0.27977098782331306</v>
      </c>
      <c r="AN31" s="16">
        <f t="shared" si="7"/>
        <v>117522</v>
      </c>
      <c r="AO31" s="71">
        <f>'16.17 Meter Data'!W272</f>
        <v>287706.72438249999</v>
      </c>
      <c r="AP31" s="22">
        <f t="shared" si="37"/>
        <v>1.8277537918969569</v>
      </c>
      <c r="AQ31" s="47">
        <f t="shared" si="42"/>
        <v>0.31508998754359446</v>
      </c>
      <c r="AR31" s="48">
        <f t="shared" si="43"/>
        <v>132358.27561750001</v>
      </c>
      <c r="AS31" s="4" t="s">
        <v>1020</v>
      </c>
      <c r="AT31" s="2">
        <v>1373584</v>
      </c>
      <c r="AU31" s="9" t="s">
        <v>13</v>
      </c>
      <c r="AV31" s="2">
        <f t="shared" si="9"/>
        <v>8.7261546280414208</v>
      </c>
      <c r="AW31" s="2">
        <v>905161</v>
      </c>
      <c r="AX31" s="9" t="s">
        <v>13</v>
      </c>
      <c r="AY31" s="2">
        <f t="shared" si="10"/>
        <v>5.7503398767549712</v>
      </c>
      <c r="AZ31" s="8">
        <f t="shared" si="11"/>
        <v>0.34102246386096519</v>
      </c>
      <c r="BA31" s="17">
        <f t="shared" si="12"/>
        <v>468423</v>
      </c>
      <c r="BB31" s="1" t="s">
        <v>352</v>
      </c>
      <c r="BC31" s="9"/>
      <c r="BD31" s="2"/>
      <c r="BE31" s="2"/>
      <c r="BF31" s="4" t="s">
        <v>1020</v>
      </c>
      <c r="BG31" s="64">
        <v>33176057</v>
      </c>
      <c r="BH31" s="42">
        <f t="shared" si="38"/>
        <v>210.7620672130106</v>
      </c>
      <c r="BI31" s="346">
        <f>BG31-253510</f>
        <v>32922547</v>
      </c>
      <c r="BJ31" s="15">
        <v>5394860</v>
      </c>
      <c r="BK31" s="15">
        <v>100000</v>
      </c>
      <c r="BL31" s="3"/>
      <c r="BM31" s="15">
        <v>346397</v>
      </c>
      <c r="BN31" s="1353"/>
      <c r="BO31" s="1" t="s">
        <v>303</v>
      </c>
      <c r="BP31" s="11" t="s">
        <v>247</v>
      </c>
    </row>
    <row r="32" spans="1:68" s="41" customFormat="1" ht="27.6" customHeight="1" x14ac:dyDescent="0.2">
      <c r="A32" s="4" t="s">
        <v>16</v>
      </c>
      <c r="B32" s="11">
        <v>29</v>
      </c>
      <c r="C32" s="11" t="s">
        <v>951</v>
      </c>
      <c r="D32" s="11" t="s">
        <v>1139</v>
      </c>
      <c r="E32" s="11" t="s">
        <v>997</v>
      </c>
      <c r="F32" s="11" t="s">
        <v>620</v>
      </c>
      <c r="G32" s="1" t="s">
        <v>15</v>
      </c>
      <c r="H32" s="33">
        <v>40605</v>
      </c>
      <c r="I32" s="11" t="s">
        <v>10</v>
      </c>
      <c r="J32" s="33">
        <v>40753</v>
      </c>
      <c r="K32" s="60">
        <v>41185</v>
      </c>
      <c r="L32" s="4" t="s">
        <v>12</v>
      </c>
      <c r="M32" s="11" t="s">
        <v>13</v>
      </c>
      <c r="N32" s="6">
        <v>31418</v>
      </c>
      <c r="O32" s="6"/>
      <c r="P32" s="49">
        <v>2</v>
      </c>
      <c r="Q32" s="4" t="s">
        <v>16</v>
      </c>
      <c r="R32" s="11" t="s">
        <v>247</v>
      </c>
      <c r="S32" s="11">
        <v>4</v>
      </c>
      <c r="T32" s="2">
        <v>1732</v>
      </c>
      <c r="U32" s="12">
        <f t="shared" si="0"/>
        <v>55.127633840473614</v>
      </c>
      <c r="V32" s="2">
        <v>1161</v>
      </c>
      <c r="W32" s="23">
        <f t="shared" si="1"/>
        <v>36.953338850340572</v>
      </c>
      <c r="X32" s="1912">
        <f t="shared" si="2"/>
        <v>0.32967667436489606</v>
      </c>
      <c r="Y32" s="13">
        <f t="shared" si="3"/>
        <v>571</v>
      </c>
      <c r="Z32" s="967">
        <v>42971</v>
      </c>
      <c r="AA32" s="19">
        <f>'16.17 Meter Data'!Y278</f>
        <v>3405.8745041748803</v>
      </c>
      <c r="AB32" s="40">
        <f t="shared" si="39"/>
        <v>108.40519779027565</v>
      </c>
      <c r="AC32" s="9" t="s">
        <v>1300</v>
      </c>
      <c r="AD32" s="1394">
        <v>72</v>
      </c>
      <c r="AE32" s="1912">
        <f t="shared" si="40"/>
        <v>-0.96644024490466529</v>
      </c>
      <c r="AF32" s="1611"/>
      <c r="AG32" s="51">
        <f t="shared" si="41"/>
        <v>-1673.8745041748803</v>
      </c>
      <c r="AH32" s="4" t="s">
        <v>16</v>
      </c>
      <c r="AI32" s="15">
        <v>36406</v>
      </c>
      <c r="AJ32" s="7">
        <f t="shared" si="4"/>
        <v>1.1587624928385003</v>
      </c>
      <c r="AK32" s="15">
        <v>25403</v>
      </c>
      <c r="AL32" s="7">
        <f t="shared" si="5"/>
        <v>0.80854923928957922</v>
      </c>
      <c r="AM32" s="8">
        <f t="shared" si="6"/>
        <v>0.3022304015821568</v>
      </c>
      <c r="AN32" s="16">
        <f t="shared" si="7"/>
        <v>11003</v>
      </c>
      <c r="AO32" s="71">
        <f>'16.17 Meter Data'!W283</f>
        <v>45654.984656478133</v>
      </c>
      <c r="AP32" s="22">
        <f t="shared" si="37"/>
        <v>1.4531473886459396</v>
      </c>
      <c r="AQ32" s="47">
        <f t="shared" si="42"/>
        <v>-0.25405110851173246</v>
      </c>
      <c r="AR32" s="48">
        <f t="shared" si="43"/>
        <v>-9248.9846564781328</v>
      </c>
      <c r="AS32" s="4" t="s">
        <v>16</v>
      </c>
      <c r="AT32" s="2">
        <v>689715</v>
      </c>
      <c r="AU32" s="9" t="s">
        <v>13</v>
      </c>
      <c r="AV32" s="2">
        <f t="shared" si="9"/>
        <v>21.952861417022088</v>
      </c>
      <c r="AW32" s="2">
        <v>403299</v>
      </c>
      <c r="AX32" s="9" t="s">
        <v>13</v>
      </c>
      <c r="AY32" s="2">
        <f t="shared" si="10"/>
        <v>12.836558660640398</v>
      </c>
      <c r="AZ32" s="8">
        <f t="shared" si="11"/>
        <v>0.41526717557251908</v>
      </c>
      <c r="BA32" s="17">
        <f t="shared" si="12"/>
        <v>286416</v>
      </c>
      <c r="BB32" s="9">
        <f>'16.17 Meter Data'!W279</f>
        <v>106323</v>
      </c>
      <c r="BC32" s="9" t="s">
        <v>13</v>
      </c>
      <c r="BD32" s="2">
        <f>BB32/N32</f>
        <v>3.3841428480488891</v>
      </c>
      <c r="BE32" s="8">
        <f>(AT32-BB32)/AT32</f>
        <v>0.84584502294425956</v>
      </c>
      <c r="BF32" s="4" t="s">
        <v>16</v>
      </c>
      <c r="BG32" s="64">
        <v>4701800</v>
      </c>
      <c r="BH32" s="42">
        <f t="shared" si="38"/>
        <v>149.65306512190463</v>
      </c>
      <c r="BI32" s="346">
        <f>BG32-44306</f>
        <v>4657494</v>
      </c>
      <c r="BJ32" s="15">
        <v>474000</v>
      </c>
      <c r="BK32" s="15">
        <v>0</v>
      </c>
      <c r="BL32" s="3"/>
      <c r="BM32" s="15">
        <v>56984</v>
      </c>
      <c r="BN32" s="1353">
        <f>((BG32-BI32)+BK32+BL32+BM32)/AN32</f>
        <v>9.2056711805871121</v>
      </c>
      <c r="BO32" s="1" t="s">
        <v>304</v>
      </c>
      <c r="BP32" s="11" t="s">
        <v>247</v>
      </c>
    </row>
    <row r="33" spans="1:68" s="41" customFormat="1" ht="27.6" customHeight="1" x14ac:dyDescent="0.2">
      <c r="A33" s="4" t="s">
        <v>102</v>
      </c>
      <c r="B33" s="11">
        <v>30</v>
      </c>
      <c r="C33" s="915" t="s">
        <v>952</v>
      </c>
      <c r="D33" s="11" t="s">
        <v>60</v>
      </c>
      <c r="E33" s="11" t="s">
        <v>989</v>
      </c>
      <c r="F33" s="11" t="s">
        <v>510</v>
      </c>
      <c r="G33" s="1" t="s">
        <v>101</v>
      </c>
      <c r="H33" s="33">
        <v>40396</v>
      </c>
      <c r="I33" s="11" t="s">
        <v>103</v>
      </c>
      <c r="J33" s="33">
        <v>40050</v>
      </c>
      <c r="K33" s="60">
        <v>41200</v>
      </c>
      <c r="L33" s="4" t="s">
        <v>289</v>
      </c>
      <c r="M33" s="11" t="s">
        <v>13</v>
      </c>
      <c r="N33" s="817">
        <v>253028</v>
      </c>
      <c r="O33" s="817"/>
      <c r="P33" s="49">
        <v>4</v>
      </c>
      <c r="Q33" s="4" t="s">
        <v>102</v>
      </c>
      <c r="R33" s="11" t="s">
        <v>247</v>
      </c>
      <c r="S33" s="11">
        <v>4</v>
      </c>
      <c r="T33" s="2">
        <v>15191</v>
      </c>
      <c r="U33" s="12">
        <f t="shared" si="0"/>
        <v>60.036833868188495</v>
      </c>
      <c r="V33" s="2">
        <v>10342</v>
      </c>
      <c r="W33" s="23">
        <f t="shared" si="1"/>
        <v>40.87294686754035</v>
      </c>
      <c r="X33" s="1912">
        <f t="shared" si="2"/>
        <v>0.31920215917319467</v>
      </c>
      <c r="Y33" s="9">
        <f t="shared" si="3"/>
        <v>4849</v>
      </c>
      <c r="Z33" s="992">
        <v>42986</v>
      </c>
      <c r="AA33" s="49">
        <f>'16.17 Meter Data'!Y289</f>
        <v>27639.715690234374</v>
      </c>
      <c r="AB33" s="40">
        <f t="shared" si="39"/>
        <v>109.23579876628031</v>
      </c>
      <c r="AC33" s="1391" t="s">
        <v>1305</v>
      </c>
      <c r="AD33" s="1393">
        <v>67</v>
      </c>
      <c r="AE33" s="1912">
        <f t="shared" si="40"/>
        <v>-0.81947967153145773</v>
      </c>
      <c r="AF33" s="1611"/>
      <c r="AG33" s="51">
        <f t="shared" si="41"/>
        <v>-12448.715690234374</v>
      </c>
      <c r="AH33" s="4" t="s">
        <v>102</v>
      </c>
      <c r="AI33" s="15">
        <v>268448</v>
      </c>
      <c r="AJ33" s="7">
        <f t="shared" si="4"/>
        <v>1.0609418720457815</v>
      </c>
      <c r="AK33" s="15">
        <v>184680</v>
      </c>
      <c r="AL33" s="7">
        <f t="shared" si="5"/>
        <v>0.72987969710862044</v>
      </c>
      <c r="AM33" s="27">
        <f t="shared" si="6"/>
        <v>0.31204553582071759</v>
      </c>
      <c r="AN33" s="15">
        <f t="shared" si="7"/>
        <v>83768</v>
      </c>
      <c r="AO33" s="15">
        <f>'16.17 Meter Data'!W294</f>
        <v>536268.45985456253</v>
      </c>
      <c r="AP33" s="22">
        <f t="shared" si="37"/>
        <v>2.1194036227396276</v>
      </c>
      <c r="AQ33" s="47">
        <f t="shared" si="42"/>
        <v>-0.99766234002325416</v>
      </c>
      <c r="AR33" s="48">
        <f t="shared" si="43"/>
        <v>-267820.45985456253</v>
      </c>
      <c r="AS33" s="4" t="s">
        <v>102</v>
      </c>
      <c r="AT33" s="2">
        <v>4536750</v>
      </c>
      <c r="AU33" s="1" t="s">
        <v>13</v>
      </c>
      <c r="AV33" s="10">
        <f t="shared" si="9"/>
        <v>17.929833852379975</v>
      </c>
      <c r="AW33" s="2">
        <v>2948625</v>
      </c>
      <c r="AX33" s="1" t="s">
        <v>13</v>
      </c>
      <c r="AY33" s="18">
        <f t="shared" si="10"/>
        <v>11.653354569454764</v>
      </c>
      <c r="AZ33" s="8">
        <f t="shared" si="11"/>
        <v>0.35005786080343859</v>
      </c>
      <c r="BA33" s="2">
        <f t="shared" si="12"/>
        <v>1588125</v>
      </c>
      <c r="BB33" s="2">
        <f>'16.17 Meter Data'!W290</f>
        <v>673200</v>
      </c>
      <c r="BC33" s="9" t="s">
        <v>13</v>
      </c>
      <c r="BD33" s="2">
        <f>BB33/N33</f>
        <v>2.6605751142166083</v>
      </c>
      <c r="BE33" s="8">
        <f>(AT33-BB33)/AT33</f>
        <v>0.85161183666721774</v>
      </c>
      <c r="BF33" s="4" t="s">
        <v>102</v>
      </c>
      <c r="BG33" s="65">
        <v>81306000</v>
      </c>
      <c r="BH33" s="42">
        <f t="shared" si="38"/>
        <v>321.33202649509144</v>
      </c>
      <c r="BI33" s="346">
        <f>BG33-461772</f>
        <v>80844228</v>
      </c>
      <c r="BJ33" s="15">
        <v>9829956</v>
      </c>
      <c r="BK33" s="15">
        <v>200000</v>
      </c>
      <c r="BL33" s="3"/>
      <c r="BM33" s="15">
        <v>605005</v>
      </c>
      <c r="BN33" s="1353"/>
      <c r="BO33" s="1" t="s">
        <v>298</v>
      </c>
      <c r="BP33" s="11" t="s">
        <v>247</v>
      </c>
    </row>
    <row r="34" spans="1:68" s="41" customFormat="1" ht="27.6" customHeight="1" x14ac:dyDescent="0.2">
      <c r="A34" s="4" t="s">
        <v>1329</v>
      </c>
      <c r="B34" s="11">
        <v>31</v>
      </c>
      <c r="C34" s="11" t="s">
        <v>951</v>
      </c>
      <c r="D34" s="11" t="s">
        <v>1498</v>
      </c>
      <c r="E34" s="11" t="s">
        <v>998</v>
      </c>
      <c r="F34" s="1613" t="s">
        <v>743</v>
      </c>
      <c r="G34" s="1" t="s">
        <v>35</v>
      </c>
      <c r="H34" s="33">
        <v>40169</v>
      </c>
      <c r="I34" s="11" t="s">
        <v>10</v>
      </c>
      <c r="J34" s="33">
        <v>40322</v>
      </c>
      <c r="K34" s="60">
        <v>41213</v>
      </c>
      <c r="L34" s="4" t="s">
        <v>1294</v>
      </c>
      <c r="M34" s="11">
        <v>100</v>
      </c>
      <c r="N34" s="6">
        <v>108770</v>
      </c>
      <c r="O34" s="6"/>
      <c r="P34" s="83">
        <v>1</v>
      </c>
      <c r="Q34" s="4" t="str">
        <f>A34</f>
        <v>NC Veterans Home - Kinston</v>
      </c>
      <c r="R34" s="11" t="s">
        <v>247</v>
      </c>
      <c r="S34" s="11">
        <v>3</v>
      </c>
      <c r="T34" s="2">
        <v>8495</v>
      </c>
      <c r="U34" s="12">
        <f t="shared" si="0"/>
        <v>78.10057920382458</v>
      </c>
      <c r="V34" s="2">
        <v>5163</v>
      </c>
      <c r="W34" s="23">
        <f t="shared" si="1"/>
        <v>47.467132481382734</v>
      </c>
      <c r="X34" s="1912">
        <f t="shared" si="2"/>
        <v>0.39223072395526781</v>
      </c>
      <c r="Y34" s="13">
        <f t="shared" si="3"/>
        <v>3332</v>
      </c>
      <c r="Z34" s="967">
        <v>42949</v>
      </c>
      <c r="AA34" s="49">
        <f>'16.17 Meter Data'!Y299</f>
        <v>10516.739845650136</v>
      </c>
      <c r="AB34" s="40">
        <f t="shared" si="39"/>
        <v>96.687872075481621</v>
      </c>
      <c r="AC34" s="1391" t="s">
        <v>1304</v>
      </c>
      <c r="AD34" s="1393">
        <v>83</v>
      </c>
      <c r="AE34" s="1912">
        <f t="shared" si="40"/>
        <v>-0.23799174168924497</v>
      </c>
      <c r="AF34" s="1611"/>
      <c r="AG34" s="51">
        <f t="shared" si="41"/>
        <v>-2021.739845650136</v>
      </c>
      <c r="AH34" s="4" t="str">
        <f>A34</f>
        <v>NC Veterans Home - Kinston</v>
      </c>
      <c r="AI34" s="15">
        <v>213106</v>
      </c>
      <c r="AJ34" s="7">
        <f t="shared" si="4"/>
        <v>1.9592350832030891</v>
      </c>
      <c r="AK34" s="15">
        <v>120807</v>
      </c>
      <c r="AL34" s="7">
        <f t="shared" si="5"/>
        <v>1.1106647053415464</v>
      </c>
      <c r="AM34" s="8">
        <f t="shared" si="6"/>
        <v>0.43311309864574438</v>
      </c>
      <c r="AN34" s="16">
        <f t="shared" si="7"/>
        <v>92299</v>
      </c>
      <c r="AO34" s="15">
        <f>'16.17 Meter Data'!W303</f>
        <v>221773.42</v>
      </c>
      <c r="AP34" s="22">
        <f t="shared" si="37"/>
        <v>2.0389208421439737</v>
      </c>
      <c r="AQ34" s="47">
        <f t="shared" si="42"/>
        <v>-4.0671872213827918E-2</v>
      </c>
      <c r="AR34" s="48">
        <f t="shared" si="43"/>
        <v>-8667.4200000000128</v>
      </c>
      <c r="AS34" s="4" t="str">
        <f>A34</f>
        <v>NC Veterans Home - Kinston</v>
      </c>
      <c r="AT34" s="2">
        <v>4378540</v>
      </c>
      <c r="AU34" s="2">
        <f>AT34/M34</f>
        <v>43785.4</v>
      </c>
      <c r="AV34" s="2">
        <f t="shared" si="9"/>
        <v>40.255033557046978</v>
      </c>
      <c r="AW34" s="2">
        <v>3400982</v>
      </c>
      <c r="AX34" s="9">
        <f>AW34/M34</f>
        <v>34009.82</v>
      </c>
      <c r="AY34" s="2">
        <f t="shared" si="10"/>
        <v>31.267647329226808</v>
      </c>
      <c r="AZ34" s="8">
        <f t="shared" si="11"/>
        <v>0.22326117838366213</v>
      </c>
      <c r="BA34" s="17">
        <f t="shared" si="12"/>
        <v>977558</v>
      </c>
      <c r="BB34" s="242">
        <f>'16.17 Meter Data'!W300</f>
        <v>3289700</v>
      </c>
      <c r="BC34" s="2">
        <f>BB34/M34</f>
        <v>32897</v>
      </c>
      <c r="BD34" s="2">
        <f>BB34/N34</f>
        <v>30.24455272593546</v>
      </c>
      <c r="BE34" s="8">
        <f>(AT34-BB34)/AT34</f>
        <v>0.24867649947242687</v>
      </c>
      <c r="BF34" s="4" t="str">
        <f>A34</f>
        <v>NC Veterans Home - Kinston</v>
      </c>
      <c r="BG34" s="64">
        <v>12903000</v>
      </c>
      <c r="BH34" s="42">
        <f t="shared" si="38"/>
        <v>118.62645950170084</v>
      </c>
      <c r="BI34" s="346">
        <f>BG34-300872</f>
        <v>12602128</v>
      </c>
      <c r="BJ34" s="15">
        <v>1077600</v>
      </c>
      <c r="BK34" s="15">
        <v>0</v>
      </c>
      <c r="BL34" s="3"/>
      <c r="BM34" s="15">
        <v>107804</v>
      </c>
      <c r="BN34" s="1353">
        <f>((BG34-BI34)+BK34+BL34+BM34)/AN34</f>
        <v>4.4277402788762608</v>
      </c>
      <c r="BO34" s="1" t="s">
        <v>299</v>
      </c>
      <c r="BP34" s="11" t="s">
        <v>247</v>
      </c>
    </row>
    <row r="35" spans="1:68" s="41" customFormat="1" ht="27.6" customHeight="1" x14ac:dyDescent="0.2">
      <c r="A35" s="1355" t="s">
        <v>527</v>
      </c>
      <c r="B35" s="2175">
        <v>32</v>
      </c>
      <c r="C35" s="915" t="s">
        <v>954</v>
      </c>
      <c r="D35" s="11" t="s">
        <v>63</v>
      </c>
      <c r="E35" s="11" t="s">
        <v>985</v>
      </c>
      <c r="F35" s="11" t="s">
        <v>1471</v>
      </c>
      <c r="G35" s="1" t="s">
        <v>104</v>
      </c>
      <c r="H35" s="33">
        <v>40522</v>
      </c>
      <c r="I35" s="11" t="s">
        <v>10</v>
      </c>
      <c r="J35" s="33">
        <v>40631</v>
      </c>
      <c r="K35" s="60">
        <v>41213</v>
      </c>
      <c r="L35" s="4" t="s">
        <v>1490</v>
      </c>
      <c r="M35" s="11" t="s">
        <v>13</v>
      </c>
      <c r="N35" s="6">
        <v>43290</v>
      </c>
      <c r="O35" s="6"/>
      <c r="P35" s="49">
        <v>2</v>
      </c>
      <c r="Q35" s="1355" t="s">
        <v>527</v>
      </c>
      <c r="R35" s="11" t="s">
        <v>247</v>
      </c>
      <c r="S35" s="11">
        <v>3</v>
      </c>
      <c r="T35" s="2">
        <v>8320</v>
      </c>
      <c r="U35" s="12">
        <f t="shared" si="0"/>
        <v>192.19219219219218</v>
      </c>
      <c r="V35" s="2">
        <v>5184</v>
      </c>
      <c r="W35" s="23">
        <f t="shared" si="1"/>
        <v>119.75051975051976</v>
      </c>
      <c r="X35" s="1912">
        <f t="shared" si="2"/>
        <v>0.37692307692307692</v>
      </c>
      <c r="Y35" s="13">
        <f t="shared" si="3"/>
        <v>3136</v>
      </c>
      <c r="Z35" s="967"/>
      <c r="AA35" s="49"/>
      <c r="AB35" s="40"/>
      <c r="AC35" s="1391" t="s">
        <v>1300</v>
      </c>
      <c r="AD35" s="1393">
        <v>62</v>
      </c>
      <c r="AE35" s="5"/>
      <c r="AF35" s="5"/>
      <c r="AG35" s="51"/>
      <c r="AH35" s="1355" t="s">
        <v>527</v>
      </c>
      <c r="AI35" s="15">
        <v>65175</v>
      </c>
      <c r="AJ35" s="7">
        <f t="shared" si="4"/>
        <v>1.5055440055440055</v>
      </c>
      <c r="AK35" s="15">
        <v>44151</v>
      </c>
      <c r="AL35" s="7">
        <f t="shared" si="5"/>
        <v>1.0198891198891198</v>
      </c>
      <c r="AM35" s="8">
        <f t="shared" si="6"/>
        <v>0.32257767548906791</v>
      </c>
      <c r="AN35" s="16">
        <f t="shared" si="7"/>
        <v>21024</v>
      </c>
      <c r="AO35" s="15"/>
      <c r="AP35" s="22">
        <f t="shared" si="37"/>
        <v>0</v>
      </c>
      <c r="AQ35" s="47"/>
      <c r="AR35" s="48"/>
      <c r="AS35" s="1355" t="s">
        <v>527</v>
      </c>
      <c r="AT35" s="2">
        <v>1349491</v>
      </c>
      <c r="AU35" s="9" t="s">
        <v>13</v>
      </c>
      <c r="AV35" s="2">
        <f t="shared" si="9"/>
        <v>31.173273273273274</v>
      </c>
      <c r="AW35" s="2">
        <v>1113354</v>
      </c>
      <c r="AX35" s="9" t="s">
        <v>13</v>
      </c>
      <c r="AY35" s="2">
        <f t="shared" si="10"/>
        <v>25.718503118503119</v>
      </c>
      <c r="AZ35" s="8">
        <f t="shared" si="11"/>
        <v>0.17498227109332334</v>
      </c>
      <c r="BA35" s="17">
        <f t="shared" si="12"/>
        <v>236137</v>
      </c>
      <c r="BB35" s="2"/>
      <c r="BC35" s="9"/>
      <c r="BD35" s="2"/>
      <c r="BE35" s="8"/>
      <c r="BF35" s="1355" t="s">
        <v>527</v>
      </c>
      <c r="BG35" s="65">
        <f>300*N35</f>
        <v>12987000</v>
      </c>
      <c r="BH35" s="1227">
        <f t="shared" si="38"/>
        <v>300</v>
      </c>
      <c r="BI35" s="346">
        <f>BG35-465544</f>
        <v>12521456</v>
      </c>
      <c r="BJ35" s="15">
        <v>3448472</v>
      </c>
      <c r="BK35" s="15">
        <v>45000</v>
      </c>
      <c r="BL35" s="3"/>
      <c r="BM35" s="15">
        <v>99500</v>
      </c>
      <c r="BN35" s="1353"/>
      <c r="BO35" s="1" t="s">
        <v>295</v>
      </c>
      <c r="BP35" s="11" t="s">
        <v>247</v>
      </c>
    </row>
    <row r="36" spans="1:68" s="41" customFormat="1" ht="27.6" customHeight="1" x14ac:dyDescent="0.2">
      <c r="A36" s="4" t="s">
        <v>1335</v>
      </c>
      <c r="B36" s="11">
        <v>33</v>
      </c>
      <c r="C36" s="915" t="s">
        <v>950</v>
      </c>
      <c r="D36" s="11" t="s">
        <v>78</v>
      </c>
      <c r="E36" s="11" t="s">
        <v>999</v>
      </c>
      <c r="F36" s="11" t="s">
        <v>619</v>
      </c>
      <c r="G36" s="1" t="s">
        <v>23</v>
      </c>
      <c r="H36" s="33">
        <v>40520</v>
      </c>
      <c r="I36" s="11" t="s">
        <v>10</v>
      </c>
      <c r="J36" s="33">
        <v>40830</v>
      </c>
      <c r="K36" s="60">
        <v>41240</v>
      </c>
      <c r="L36" s="4" t="s">
        <v>88</v>
      </c>
      <c r="M36" s="11" t="s">
        <v>13</v>
      </c>
      <c r="N36" s="6">
        <v>43967</v>
      </c>
      <c r="O36" s="6"/>
      <c r="P36" s="49">
        <v>1</v>
      </c>
      <c r="Q36" s="4" t="str">
        <f>A36</f>
        <v xml:space="preserve">Continuing Education and Industrial Center </v>
      </c>
      <c r="R36" s="11" t="s">
        <v>247</v>
      </c>
      <c r="S36" s="11">
        <v>3</v>
      </c>
      <c r="T36" s="2">
        <v>2940</v>
      </c>
      <c r="U36" s="12">
        <f t="shared" si="0"/>
        <v>66.868333067982803</v>
      </c>
      <c r="V36" s="2">
        <v>1839</v>
      </c>
      <c r="W36" s="23">
        <f t="shared" ref="W36:W67" si="44">V36/N36*1000</f>
        <v>41.826824663952507</v>
      </c>
      <c r="X36" s="1912">
        <f t="shared" ref="X36:X67" si="45">(T36-V36)/T36</f>
        <v>0.37448979591836734</v>
      </c>
      <c r="Y36" s="13">
        <f t="shared" ref="Y36:Y67" si="46">T36-V36</f>
        <v>1101</v>
      </c>
      <c r="Z36" s="967">
        <v>42957</v>
      </c>
      <c r="AA36" s="74">
        <f>'16.17 Meter Data'!Y317</f>
        <v>3781.1489410175041</v>
      </c>
      <c r="AB36" s="40">
        <f>AA36/N36*1000</f>
        <v>85.999702982179898</v>
      </c>
      <c r="AC36" s="1391" t="s">
        <v>1300</v>
      </c>
      <c r="AD36" s="1393">
        <v>72</v>
      </c>
      <c r="AE36" s="1912">
        <f>(T36-AA36)/T36</f>
        <v>-0.2861050819787429</v>
      </c>
      <c r="AF36" s="1611"/>
      <c r="AG36" s="51">
        <f>T36-AA36</f>
        <v>-841.14894101750406</v>
      </c>
      <c r="AH36" s="4" t="str">
        <f>A36</f>
        <v xml:space="preserve">Continuing Education and Industrial Center </v>
      </c>
      <c r="AI36" s="15">
        <v>67485</v>
      </c>
      <c r="AJ36" s="7">
        <f t="shared" ref="AJ36:AJ67" si="47">AI36/N36</f>
        <v>1.5349011758819113</v>
      </c>
      <c r="AK36" s="15">
        <v>43675</v>
      </c>
      <c r="AL36" s="7">
        <f t="shared" ref="AL36:AL67" si="48">AK36/N36</f>
        <v>0.99335865535515278</v>
      </c>
      <c r="AM36" s="8">
        <f t="shared" ref="AM36:AM67" si="49">(AI36-AK36)/AI36</f>
        <v>0.35281914499518413</v>
      </c>
      <c r="AN36" s="16">
        <f t="shared" ref="AN36:AN67" si="50">AI36-AK36</f>
        <v>23810</v>
      </c>
      <c r="AO36" s="15">
        <f>'16.17 Meter Data'!W321</f>
        <v>78610.3</v>
      </c>
      <c r="AP36" s="22">
        <f t="shared" si="37"/>
        <v>1.7879386812836902</v>
      </c>
      <c r="AQ36" s="47">
        <f>(AI36-AO36)/AI36</f>
        <v>-0.16485589390234873</v>
      </c>
      <c r="AR36" s="48">
        <f>AI36-AO36</f>
        <v>-11125.300000000003</v>
      </c>
      <c r="AS36" s="4" t="str">
        <f>A36</f>
        <v xml:space="preserve">Continuing Education and Industrial Center </v>
      </c>
      <c r="AT36" s="2">
        <v>544858</v>
      </c>
      <c r="AU36" s="9" t="s">
        <v>13</v>
      </c>
      <c r="AV36" s="2">
        <f t="shared" ref="AV36:AV67" si="51">AT36/N36</f>
        <v>12.392430686651352</v>
      </c>
      <c r="AW36" s="2">
        <v>436998</v>
      </c>
      <c r="AX36" s="9" t="s">
        <v>13</v>
      </c>
      <c r="AY36" s="2">
        <f t="shared" ref="AY36:AY67" si="52">AW36/N36</f>
        <v>9.9392271476334528</v>
      </c>
      <c r="AZ36" s="8">
        <f t="shared" ref="AZ36:AZ67" si="53">(AT36-AW36)/AT36</f>
        <v>0.1979598354066564</v>
      </c>
      <c r="BA36" s="17">
        <f t="shared" ref="BA36:BA67" si="54">AT36-AW36</f>
        <v>107860</v>
      </c>
      <c r="BB36" s="242">
        <f>'16.17 Meter Data'!W318</f>
        <v>9260.24</v>
      </c>
      <c r="BC36" s="9" t="s">
        <v>13</v>
      </c>
      <c r="BD36" s="2">
        <f>BB36/N36</f>
        <v>0.21061796347260445</v>
      </c>
      <c r="BE36" s="8">
        <f>(AT36-BB36)/AT36</f>
        <v>0.98300430570901043</v>
      </c>
      <c r="BF36" s="4" t="str">
        <f>A36</f>
        <v xml:space="preserve">Continuing Education and Industrial Center </v>
      </c>
      <c r="BG36" s="64">
        <v>6361300</v>
      </c>
      <c r="BH36" s="42">
        <f t="shared" si="38"/>
        <v>144.68351263447585</v>
      </c>
      <c r="BI36" s="346">
        <f>BG36-300735</f>
        <v>6060565</v>
      </c>
      <c r="BJ36" s="15">
        <v>363200</v>
      </c>
      <c r="BK36" s="15">
        <v>0</v>
      </c>
      <c r="BL36" s="3"/>
      <c r="BM36" s="15">
        <v>49800</v>
      </c>
      <c r="BN36" s="1353">
        <f t="shared" ref="BN36:BN44" si="55">((BG36-BI36)+BK36+BL36+BM36)/AN36</f>
        <v>14.722175556488871</v>
      </c>
      <c r="BO36" s="1" t="s">
        <v>300</v>
      </c>
      <c r="BP36" s="11" t="s">
        <v>247</v>
      </c>
    </row>
    <row r="37" spans="1:68" s="41" customFormat="1" ht="27.6" customHeight="1" x14ac:dyDescent="0.2">
      <c r="A37" s="4" t="s">
        <v>540</v>
      </c>
      <c r="B37" s="11">
        <v>34</v>
      </c>
      <c r="C37" s="915" t="s">
        <v>950</v>
      </c>
      <c r="D37" s="11" t="s">
        <v>26</v>
      </c>
      <c r="E37" s="11" t="s">
        <v>984</v>
      </c>
      <c r="F37" s="11" t="s">
        <v>1485</v>
      </c>
      <c r="G37" s="1" t="s">
        <v>25</v>
      </c>
      <c r="H37" s="33">
        <v>40409</v>
      </c>
      <c r="I37" s="11" t="s">
        <v>10</v>
      </c>
      <c r="J37" s="33">
        <v>40337</v>
      </c>
      <c r="K37" s="60">
        <v>41261</v>
      </c>
      <c r="L37" s="4" t="s">
        <v>28</v>
      </c>
      <c r="M37" s="11" t="s">
        <v>13</v>
      </c>
      <c r="N37" s="6">
        <v>50560</v>
      </c>
      <c r="O37" s="6"/>
      <c r="P37" s="49">
        <v>4</v>
      </c>
      <c r="Q37" s="4" t="s">
        <v>27</v>
      </c>
      <c r="R37" s="11" t="s">
        <v>247</v>
      </c>
      <c r="S37" s="11">
        <v>5</v>
      </c>
      <c r="T37" s="2">
        <v>2185</v>
      </c>
      <c r="U37" s="12">
        <f t="shared" si="0"/>
        <v>43.215981012658226</v>
      </c>
      <c r="V37" s="2">
        <v>1346</v>
      </c>
      <c r="W37" s="23">
        <f t="shared" si="44"/>
        <v>26.621835443037973</v>
      </c>
      <c r="X37" s="1912">
        <f t="shared" si="45"/>
        <v>0.38398169336384441</v>
      </c>
      <c r="Y37" s="13">
        <f t="shared" si="46"/>
        <v>839</v>
      </c>
      <c r="Z37" s="967">
        <v>42958</v>
      </c>
      <c r="AA37" s="49">
        <f>'16.17 Meter Data'!Y326</f>
        <v>10127.258830728257</v>
      </c>
      <c r="AB37" s="40">
        <f>AA37/N37*1000</f>
        <v>200.30179649383419</v>
      </c>
      <c r="AC37" s="1391" t="s">
        <v>1311</v>
      </c>
      <c r="AD37" s="1393">
        <v>179</v>
      </c>
      <c r="AE37" s="1912">
        <f>(T37-AA37)/T37</f>
        <v>-3.6349010666948542</v>
      </c>
      <c r="AF37" s="1611"/>
      <c r="AG37" s="51">
        <f>T37-AA37</f>
        <v>-7942.2588307282567</v>
      </c>
      <c r="AH37" s="4" t="s">
        <v>27</v>
      </c>
      <c r="AI37" s="15">
        <v>53367</v>
      </c>
      <c r="AJ37" s="7">
        <f t="shared" si="47"/>
        <v>1.0555181962025317</v>
      </c>
      <c r="AK37" s="15">
        <v>32912</v>
      </c>
      <c r="AL37" s="7">
        <f t="shared" si="48"/>
        <v>0.65094936708860762</v>
      </c>
      <c r="AM37" s="8">
        <f t="shared" si="49"/>
        <v>0.38328929863023964</v>
      </c>
      <c r="AN37" s="16">
        <f t="shared" si="50"/>
        <v>20455</v>
      </c>
      <c r="AO37" s="15">
        <f>'16.17 Meter Data'!W330</f>
        <v>232099.18842999995</v>
      </c>
      <c r="AP37" s="22">
        <f t="shared" si="37"/>
        <v>4.5905693914161381</v>
      </c>
      <c r="AQ37" s="47">
        <f>(AI37-AO37)/AI37</f>
        <v>-3.3491144045945989</v>
      </c>
      <c r="AR37" s="48">
        <f>AI37-AO37</f>
        <v>-178732.18842999995</v>
      </c>
      <c r="AS37" s="4" t="s">
        <v>27</v>
      </c>
      <c r="AT37" s="2">
        <v>1220706</v>
      </c>
      <c r="AU37" s="9" t="s">
        <v>13</v>
      </c>
      <c r="AV37" s="2">
        <f t="shared" si="51"/>
        <v>24.143710443037975</v>
      </c>
      <c r="AW37" s="2">
        <v>950466</v>
      </c>
      <c r="AX37" s="9" t="s">
        <v>13</v>
      </c>
      <c r="AY37" s="2">
        <f t="shared" si="52"/>
        <v>18.798773734177214</v>
      </c>
      <c r="AZ37" s="8">
        <f t="shared" si="53"/>
        <v>0.22138008660562003</v>
      </c>
      <c r="BA37" s="17">
        <f t="shared" si="54"/>
        <v>270240</v>
      </c>
      <c r="BB37" s="242">
        <f>'16.17 Meter Data'!W327</f>
        <v>3193821.0003836006</v>
      </c>
      <c r="BC37" s="9" t="s">
        <v>13</v>
      </c>
      <c r="BD37" s="2">
        <f>BB37/N37</f>
        <v>63.168928013916151</v>
      </c>
      <c r="BE37" s="8">
        <f>(AT37-BB37)/AT37</f>
        <v>-1.6163720014349079</v>
      </c>
      <c r="BF37" s="4" t="s">
        <v>27</v>
      </c>
      <c r="BG37" s="65">
        <v>15232506</v>
      </c>
      <c r="BH37" s="42">
        <f t="shared" si="38"/>
        <v>301.27583069620255</v>
      </c>
      <c r="BI37" s="346">
        <f>BG37-603500</f>
        <v>14629006</v>
      </c>
      <c r="BJ37" s="15">
        <f>3650080*0.27</f>
        <v>985521.60000000009</v>
      </c>
      <c r="BK37" s="15">
        <v>90950</v>
      </c>
      <c r="BL37" s="3"/>
      <c r="BM37" s="15">
        <f>263882*0.27</f>
        <v>71248.14</v>
      </c>
      <c r="BN37" s="1353">
        <f t="shared" si="55"/>
        <v>37.433299437790275</v>
      </c>
      <c r="BO37" s="1" t="s">
        <v>294</v>
      </c>
      <c r="BP37" s="11" t="s">
        <v>247</v>
      </c>
    </row>
    <row r="38" spans="1:68" s="41" customFormat="1" ht="27.6" customHeight="1" x14ac:dyDescent="0.2">
      <c r="A38" s="4" t="s">
        <v>1021</v>
      </c>
      <c r="B38" s="11">
        <v>35</v>
      </c>
      <c r="C38" s="915" t="s">
        <v>952</v>
      </c>
      <c r="D38" s="11" t="s">
        <v>26</v>
      </c>
      <c r="E38" s="11" t="s">
        <v>984</v>
      </c>
      <c r="F38" s="11" t="s">
        <v>1485</v>
      </c>
      <c r="G38" s="1" t="s">
        <v>25</v>
      </c>
      <c r="H38" s="33">
        <v>40409</v>
      </c>
      <c r="I38" s="11" t="s">
        <v>10</v>
      </c>
      <c r="J38" s="33">
        <v>40337</v>
      </c>
      <c r="K38" s="60">
        <v>41261</v>
      </c>
      <c r="L38" s="4" t="s">
        <v>192</v>
      </c>
      <c r="M38" s="11">
        <v>333</v>
      </c>
      <c r="N38" s="6">
        <v>128585</v>
      </c>
      <c r="O38" s="19">
        <f>N38/M38</f>
        <v>386.14114114114113</v>
      </c>
      <c r="P38" s="1356" t="s">
        <v>34</v>
      </c>
      <c r="Q38" s="4" t="s">
        <v>1021</v>
      </c>
      <c r="R38" s="11" t="s">
        <v>247</v>
      </c>
      <c r="S38" s="11">
        <v>5</v>
      </c>
      <c r="T38" s="2">
        <v>6323</v>
      </c>
      <c r="U38" s="12">
        <f t="shared" si="0"/>
        <v>49.173698331842751</v>
      </c>
      <c r="V38" s="2">
        <v>3660</v>
      </c>
      <c r="W38" s="23">
        <f t="shared" si="44"/>
        <v>28.46366216899327</v>
      </c>
      <c r="X38" s="1912">
        <f t="shared" si="45"/>
        <v>0.4211608413727661</v>
      </c>
      <c r="Y38" s="13">
        <f t="shared" si="46"/>
        <v>2663</v>
      </c>
      <c r="Z38" s="967">
        <v>42958</v>
      </c>
      <c r="AA38" s="49">
        <f>'16.17 Meter Data'!Y335</f>
        <v>7860.4999166055986</v>
      </c>
      <c r="AB38" s="40">
        <f>AA38/N38*1000</f>
        <v>61.130768881328294</v>
      </c>
      <c r="AC38" s="1391" t="s">
        <v>1300</v>
      </c>
      <c r="AD38" s="1393">
        <v>78</v>
      </c>
      <c r="AE38" s="1912">
        <f>(T38-AA38)/T38</f>
        <v>-0.24315987926705657</v>
      </c>
      <c r="AF38" s="1611"/>
      <c r="AG38" s="51">
        <f>T38-AA38</f>
        <v>-1537.4999166055986</v>
      </c>
      <c r="AH38" s="4" t="s">
        <v>1021</v>
      </c>
      <c r="AI38" s="15">
        <v>153208</v>
      </c>
      <c r="AJ38" s="7">
        <f t="shared" si="47"/>
        <v>1.1914920091768091</v>
      </c>
      <c r="AK38" s="15">
        <v>89024</v>
      </c>
      <c r="AL38" s="7">
        <f t="shared" si="48"/>
        <v>0.69233580899793912</v>
      </c>
      <c r="AM38" s="8">
        <f t="shared" si="49"/>
        <v>0.4189337371416636</v>
      </c>
      <c r="AN38" s="16">
        <f t="shared" si="50"/>
        <v>64184</v>
      </c>
      <c r="AO38" s="15">
        <f>'16.17 Meter Data'!W339</f>
        <v>192429.97336</v>
      </c>
      <c r="AP38" s="22">
        <f t="shared" si="37"/>
        <v>1.4965196046195124</v>
      </c>
      <c r="AQ38" s="47">
        <f>(AI38-AO38)/AI38</f>
        <v>-0.25600473447861732</v>
      </c>
      <c r="AR38" s="48">
        <f>AI38-AO38</f>
        <v>-39221.973360000004</v>
      </c>
      <c r="AS38" s="4" t="s">
        <v>1021</v>
      </c>
      <c r="AT38" s="2">
        <v>3388865</v>
      </c>
      <c r="AU38" s="2">
        <f>AT38/M38</f>
        <v>10176.771771771771</v>
      </c>
      <c r="AV38" s="2">
        <f t="shared" si="51"/>
        <v>26.355056966209123</v>
      </c>
      <c r="AW38" s="2">
        <v>1928009</v>
      </c>
      <c r="AX38" s="9">
        <f>AW38/M38</f>
        <v>5789.8168168168168</v>
      </c>
      <c r="AY38" s="2">
        <f t="shared" si="52"/>
        <v>14.994042851032392</v>
      </c>
      <c r="AZ38" s="8">
        <f t="shared" si="53"/>
        <v>0.43107530102261377</v>
      </c>
      <c r="BA38" s="17">
        <f t="shared" si="54"/>
        <v>1460856</v>
      </c>
      <c r="BB38" s="242">
        <f>'16.17 Meter Data'!W336</f>
        <v>2507192.0001471997</v>
      </c>
      <c r="BC38" s="2">
        <f>BB38/M38</f>
        <v>7529.1051055471462</v>
      </c>
      <c r="BD38" s="2">
        <f>BB38/N38</f>
        <v>19.498324066937823</v>
      </c>
      <c r="BE38" s="8">
        <f>(AT38-BB38)/AT38</f>
        <v>0.26016763720384267</v>
      </c>
      <c r="BF38" s="4" t="s">
        <v>1021</v>
      </c>
      <c r="BG38" s="244">
        <v>40691217</v>
      </c>
      <c r="BH38" s="42">
        <f t="shared" si="38"/>
        <v>316.45383987245793</v>
      </c>
      <c r="BI38" s="346">
        <f>BG38-1381478</f>
        <v>39309739</v>
      </c>
      <c r="BJ38" s="71">
        <f>3650080*0.73</f>
        <v>2664558.4</v>
      </c>
      <c r="BK38" s="15">
        <v>94925</v>
      </c>
      <c r="BL38" s="3"/>
      <c r="BM38" s="71">
        <f>263882*0.73</f>
        <v>192633.86</v>
      </c>
      <c r="BN38" s="1353">
        <f t="shared" si="55"/>
        <v>26.003939611118035</v>
      </c>
      <c r="BO38" s="1" t="s">
        <v>294</v>
      </c>
      <c r="BP38" s="11" t="s">
        <v>247</v>
      </c>
    </row>
    <row r="39" spans="1:68" s="41" customFormat="1" ht="27.6" customHeight="1" x14ac:dyDescent="0.2">
      <c r="A39" s="3" t="s">
        <v>541</v>
      </c>
      <c r="B39" s="1">
        <v>36</v>
      </c>
      <c r="C39" s="915" t="s">
        <v>954</v>
      </c>
      <c r="D39" s="11" t="s">
        <v>98</v>
      </c>
      <c r="E39" s="11" t="s">
        <v>996</v>
      </c>
      <c r="F39" s="11" t="s">
        <v>723</v>
      </c>
      <c r="G39" s="1" t="s">
        <v>492</v>
      </c>
      <c r="H39" s="33">
        <v>40332</v>
      </c>
      <c r="I39" s="77" t="s">
        <v>4</v>
      </c>
      <c r="J39" s="33">
        <v>40756</v>
      </c>
      <c r="K39" s="60">
        <v>41303</v>
      </c>
      <c r="L39" s="4" t="s">
        <v>200</v>
      </c>
      <c r="M39" s="11" t="s">
        <v>13</v>
      </c>
      <c r="N39" s="6">
        <v>68000</v>
      </c>
      <c r="O39" s="6"/>
      <c r="P39" s="83">
        <v>2</v>
      </c>
      <c r="Q39" s="3" t="s">
        <v>493</v>
      </c>
      <c r="R39" s="11" t="s">
        <v>247</v>
      </c>
      <c r="S39" s="11">
        <v>3</v>
      </c>
      <c r="T39" s="2">
        <v>31233</v>
      </c>
      <c r="U39" s="12">
        <f t="shared" si="0"/>
        <v>459.30882352941177</v>
      </c>
      <c r="V39" s="2">
        <v>19781</v>
      </c>
      <c r="W39" s="23">
        <f t="shared" si="44"/>
        <v>290.89705882352939</v>
      </c>
      <c r="X39" s="1912">
        <f t="shared" si="45"/>
        <v>0.36666346492491914</v>
      </c>
      <c r="Y39" s="13">
        <f t="shared" si="46"/>
        <v>11452</v>
      </c>
      <c r="Z39" s="967">
        <v>42983</v>
      </c>
      <c r="AA39" s="49">
        <f>'16.17 Meter Data'!Y344</f>
        <v>22187.463400000001</v>
      </c>
      <c r="AB39" s="40">
        <f>AA39/N39*1000</f>
        <v>326.28622647058825</v>
      </c>
      <c r="AC39" s="1391" t="s">
        <v>1303</v>
      </c>
      <c r="AD39" s="1393">
        <v>175</v>
      </c>
      <c r="AE39" s="1912">
        <f>(T39-AA39)/T39</f>
        <v>0.28961472160855506</v>
      </c>
      <c r="AF39" s="1611" t="s">
        <v>955</v>
      </c>
      <c r="AG39" s="51">
        <f>T39-AA39</f>
        <v>9045.5365999999995</v>
      </c>
      <c r="AH39" s="3" t="s">
        <v>493</v>
      </c>
      <c r="AI39" s="15">
        <v>425995</v>
      </c>
      <c r="AJ39" s="7">
        <f t="shared" si="47"/>
        <v>6.2646323529411765</v>
      </c>
      <c r="AK39" s="15">
        <v>301801</v>
      </c>
      <c r="AL39" s="7">
        <f t="shared" si="48"/>
        <v>4.43825</v>
      </c>
      <c r="AM39" s="8">
        <f t="shared" si="49"/>
        <v>0.2915386330825479</v>
      </c>
      <c r="AN39" s="16">
        <f t="shared" si="50"/>
        <v>124194</v>
      </c>
      <c r="AO39" s="15">
        <f>'16.17 Meter Data'!W374</f>
        <v>182400.86</v>
      </c>
      <c r="AP39" s="22">
        <f t="shared" si="37"/>
        <v>2.6823655882352937</v>
      </c>
      <c r="AQ39" s="47">
        <f>(AI39-AO39)/AI39</f>
        <v>0.57182394159555872</v>
      </c>
      <c r="AR39" s="48">
        <f>AI39-AO39</f>
        <v>243594.14</v>
      </c>
      <c r="AS39" s="3" t="s">
        <v>493</v>
      </c>
      <c r="AT39" s="2">
        <v>5139169</v>
      </c>
      <c r="AU39" s="9" t="s">
        <v>13</v>
      </c>
      <c r="AV39" s="2">
        <f t="shared" si="51"/>
        <v>75.576014705882358</v>
      </c>
      <c r="AW39" s="2">
        <v>4083469</v>
      </c>
      <c r="AX39" s="9" t="s">
        <v>13</v>
      </c>
      <c r="AY39" s="2">
        <f t="shared" si="52"/>
        <v>60.051014705882352</v>
      </c>
      <c r="AZ39" s="8">
        <f t="shared" si="53"/>
        <v>0.20542231633168709</v>
      </c>
      <c r="BA39" s="17">
        <f t="shared" si="54"/>
        <v>1055700</v>
      </c>
      <c r="BB39" s="1" t="s">
        <v>1574</v>
      </c>
      <c r="BC39" s="2"/>
      <c r="BD39" s="2"/>
      <c r="BE39" s="2"/>
      <c r="BF39" s="3" t="s">
        <v>493</v>
      </c>
      <c r="BG39" s="64">
        <v>24371201</v>
      </c>
      <c r="BH39" s="42">
        <f t="shared" si="38"/>
        <v>358.40001470588237</v>
      </c>
      <c r="BI39" s="15">
        <v>19975000</v>
      </c>
      <c r="BJ39" s="15">
        <v>2804957</v>
      </c>
      <c r="BK39" s="15">
        <v>110280</v>
      </c>
      <c r="BL39" s="3"/>
      <c r="BM39" s="15">
        <v>294243</v>
      </c>
      <c r="BN39" s="1353">
        <f t="shared" si="55"/>
        <v>38.655039695959545</v>
      </c>
      <c r="BO39" s="1" t="s">
        <v>494</v>
      </c>
      <c r="BP39" s="11" t="s">
        <v>247</v>
      </c>
    </row>
    <row r="40" spans="1:68" s="41" customFormat="1" ht="27.6" customHeight="1" x14ac:dyDescent="0.2">
      <c r="A40" s="4" t="s">
        <v>61</v>
      </c>
      <c r="B40" s="11">
        <v>37</v>
      </c>
      <c r="C40" s="915" t="s">
        <v>952</v>
      </c>
      <c r="D40" s="11" t="s">
        <v>45</v>
      </c>
      <c r="E40" s="11" t="s">
        <v>989</v>
      </c>
      <c r="F40" s="28" t="s">
        <v>738</v>
      </c>
      <c r="G40" s="1" t="s">
        <v>44</v>
      </c>
      <c r="H40" s="37">
        <v>40694</v>
      </c>
      <c r="I40" s="1" t="s">
        <v>10</v>
      </c>
      <c r="J40" s="33">
        <v>40875</v>
      </c>
      <c r="K40" s="60">
        <v>41389</v>
      </c>
      <c r="L40" s="4" t="s">
        <v>46</v>
      </c>
      <c r="M40" s="1" t="s">
        <v>13</v>
      </c>
      <c r="N40" s="6">
        <v>54565</v>
      </c>
      <c r="O40" s="6"/>
      <c r="P40" s="14">
        <v>4</v>
      </c>
      <c r="Q40" s="4" t="s">
        <v>61</v>
      </c>
      <c r="R40" s="11" t="s">
        <v>247</v>
      </c>
      <c r="S40" s="11">
        <v>4</v>
      </c>
      <c r="T40" s="2">
        <v>1689</v>
      </c>
      <c r="U40" s="12">
        <f t="shared" si="0"/>
        <v>30.953908182901127</v>
      </c>
      <c r="V40" s="2">
        <v>1116</v>
      </c>
      <c r="W40" s="23">
        <f t="shared" si="44"/>
        <v>20.452671126179784</v>
      </c>
      <c r="X40" s="1912">
        <f t="shared" si="45"/>
        <v>0.33925399644760212</v>
      </c>
      <c r="Y40" s="6">
        <f t="shared" si="46"/>
        <v>573</v>
      </c>
      <c r="Z40" s="992">
        <v>42940</v>
      </c>
      <c r="AA40" s="2">
        <f>'16.17 Meter Data'!W352</f>
        <v>3056.0001999999999</v>
      </c>
      <c r="AB40" s="40">
        <f>AA40/N40*1000</f>
        <v>56.006601301200398</v>
      </c>
      <c r="AC40" s="1391" t="s">
        <v>1306</v>
      </c>
      <c r="AD40" s="1393">
        <v>46</v>
      </c>
      <c r="AE40" s="1912">
        <f>(T40-AA40)/T40</f>
        <v>-0.80935476613380697</v>
      </c>
      <c r="AF40" s="1912"/>
      <c r="AG40" s="51">
        <f>T40-AA40</f>
        <v>-1367.0001999999999</v>
      </c>
      <c r="AH40" s="4" t="s">
        <v>61</v>
      </c>
      <c r="AI40" s="15">
        <v>45238</v>
      </c>
      <c r="AJ40" s="7">
        <f t="shared" si="47"/>
        <v>0.82906625125996514</v>
      </c>
      <c r="AK40" s="15">
        <v>29457</v>
      </c>
      <c r="AL40" s="7">
        <f t="shared" si="48"/>
        <v>0.53985155319343903</v>
      </c>
      <c r="AM40" s="8">
        <f t="shared" si="49"/>
        <v>0.34884389230293117</v>
      </c>
      <c r="AN40" s="15">
        <f t="shared" si="50"/>
        <v>15781</v>
      </c>
      <c r="AO40" s="15">
        <f>'16.17 Meter Data'!W355</f>
        <v>76948.419999999984</v>
      </c>
      <c r="AP40" s="22">
        <f t="shared" si="37"/>
        <v>1.4102157060386691</v>
      </c>
      <c r="AQ40" s="47">
        <f>(AI40-AO40)/AI40</f>
        <v>-0.70096865467085157</v>
      </c>
      <c r="AR40" s="48">
        <f>AI40-AO40</f>
        <v>-31710.419999999984</v>
      </c>
      <c r="AS40" s="4" t="s">
        <v>61</v>
      </c>
      <c r="AT40" s="2">
        <v>175310</v>
      </c>
      <c r="AU40" s="9" t="s">
        <v>13</v>
      </c>
      <c r="AV40" s="10">
        <f t="shared" si="51"/>
        <v>3.2128653899019519</v>
      </c>
      <c r="AW40" s="2">
        <v>116629</v>
      </c>
      <c r="AX40" s="1" t="s">
        <v>13</v>
      </c>
      <c r="AY40" s="10">
        <f t="shared" si="52"/>
        <v>2.1374324200494823</v>
      </c>
      <c r="AZ40" s="8">
        <f t="shared" si="53"/>
        <v>0.33472705493126459</v>
      </c>
      <c r="BA40" s="2">
        <f t="shared" si="54"/>
        <v>58681</v>
      </c>
      <c r="BB40" s="242">
        <f>'16.17 Meter Data'!W353</f>
        <v>172040</v>
      </c>
      <c r="BC40" s="9" t="s">
        <v>13</v>
      </c>
      <c r="BD40" s="2">
        <f>BB40/N40</f>
        <v>3.1529368642902962</v>
      </c>
      <c r="BE40" s="8">
        <f>(AT40-BB40)/AT40</f>
        <v>1.8652672408875706E-2</v>
      </c>
      <c r="BF40" s="4" t="s">
        <v>61</v>
      </c>
      <c r="BG40" s="64">
        <v>12962700</v>
      </c>
      <c r="BH40" s="42">
        <f t="shared" si="38"/>
        <v>237.56437276642535</v>
      </c>
      <c r="BI40" s="15">
        <v>12687413</v>
      </c>
      <c r="BJ40" s="71">
        <v>1125000</v>
      </c>
      <c r="BK40" s="71">
        <v>6000</v>
      </c>
      <c r="BL40" s="3"/>
      <c r="BM40" s="71">
        <v>56200</v>
      </c>
      <c r="BN40" s="1353">
        <f t="shared" si="55"/>
        <v>21.385653634116977</v>
      </c>
      <c r="BO40" s="1" t="s">
        <v>416</v>
      </c>
      <c r="BP40" s="11" t="s">
        <v>247</v>
      </c>
    </row>
    <row r="41" spans="1:68" s="41" customFormat="1" ht="27.6" customHeight="1" x14ac:dyDescent="0.2">
      <c r="A41" s="20" t="s">
        <v>187</v>
      </c>
      <c r="B41" s="19">
        <v>38</v>
      </c>
      <c r="C41" s="929" t="s">
        <v>952</v>
      </c>
      <c r="D41" s="19" t="s">
        <v>56</v>
      </c>
      <c r="E41" s="19" t="s">
        <v>995</v>
      </c>
      <c r="F41" s="19" t="s">
        <v>546</v>
      </c>
      <c r="G41" s="9" t="s">
        <v>188</v>
      </c>
      <c r="H41" s="36">
        <v>40554</v>
      </c>
      <c r="I41" s="19" t="s">
        <v>189</v>
      </c>
      <c r="J41" s="34">
        <v>40721</v>
      </c>
      <c r="K41" s="61">
        <v>41415</v>
      </c>
      <c r="L41" s="20" t="s">
        <v>190</v>
      </c>
      <c r="M41" s="19" t="s">
        <v>13</v>
      </c>
      <c r="N41" s="6">
        <v>65861</v>
      </c>
      <c r="O41" s="6"/>
      <c r="P41" s="49">
        <v>4</v>
      </c>
      <c r="Q41" s="20" t="s">
        <v>187</v>
      </c>
      <c r="R41" s="11" t="s">
        <v>247</v>
      </c>
      <c r="S41" s="11">
        <v>3</v>
      </c>
      <c r="T41" s="2">
        <v>13356</v>
      </c>
      <c r="U41" s="12">
        <f t="shared" si="0"/>
        <v>202.79072592277674</v>
      </c>
      <c r="V41" s="2">
        <v>9641</v>
      </c>
      <c r="W41" s="23">
        <f t="shared" si="44"/>
        <v>146.38405125947071</v>
      </c>
      <c r="X41" s="5">
        <f t="shared" si="45"/>
        <v>0.27815214135968852</v>
      </c>
      <c r="Y41" s="13">
        <f t="shared" si="46"/>
        <v>3715</v>
      </c>
      <c r="Z41" s="967"/>
      <c r="AA41" s="873"/>
      <c r="AB41" s="2"/>
      <c r="AC41" s="9" t="s">
        <v>1300</v>
      </c>
      <c r="AD41" s="1394">
        <v>62</v>
      </c>
      <c r="AE41" s="2"/>
      <c r="AF41" s="2"/>
      <c r="AG41" s="2"/>
      <c r="AH41" s="20" t="s">
        <v>187</v>
      </c>
      <c r="AI41" s="15">
        <v>151889</v>
      </c>
      <c r="AJ41" s="24">
        <f t="shared" si="47"/>
        <v>2.3062054933875888</v>
      </c>
      <c r="AK41" s="15">
        <v>100888</v>
      </c>
      <c r="AL41" s="24">
        <f t="shared" si="48"/>
        <v>1.5318321920408133</v>
      </c>
      <c r="AM41" s="8">
        <f t="shared" si="49"/>
        <v>0.33577810111331302</v>
      </c>
      <c r="AN41" s="16">
        <f t="shared" si="50"/>
        <v>51001</v>
      </c>
      <c r="AO41" s="916"/>
      <c r="AP41" s="2"/>
      <c r="AQ41" s="2"/>
      <c r="AR41" s="2"/>
      <c r="AS41" s="20" t="s">
        <v>187</v>
      </c>
      <c r="AT41" s="2">
        <v>2163492</v>
      </c>
      <c r="AU41" s="9" t="s">
        <v>13</v>
      </c>
      <c r="AV41" s="2">
        <f t="shared" si="51"/>
        <v>32.849364570838581</v>
      </c>
      <c r="AW41" s="2">
        <v>1785946</v>
      </c>
      <c r="AX41" s="9" t="s">
        <v>13</v>
      </c>
      <c r="AY41" s="2">
        <f t="shared" si="52"/>
        <v>27.116897708810981</v>
      </c>
      <c r="AZ41" s="8">
        <f t="shared" si="53"/>
        <v>0.17450769404277899</v>
      </c>
      <c r="BA41" s="17">
        <f t="shared" si="54"/>
        <v>377546</v>
      </c>
      <c r="BB41" s="1"/>
      <c r="BC41" s="2"/>
      <c r="BD41" s="2"/>
      <c r="BE41" s="2"/>
      <c r="BF41" s="20" t="s">
        <v>187</v>
      </c>
      <c r="BG41" s="64">
        <v>17028032</v>
      </c>
      <c r="BH41" s="42">
        <f t="shared" si="38"/>
        <v>258.54499628004436</v>
      </c>
      <c r="BI41" s="15">
        <v>16327000</v>
      </c>
      <c r="BJ41" s="15">
        <v>1576000</v>
      </c>
      <c r="BK41" s="15">
        <f>67500+67500</f>
        <v>135000</v>
      </c>
      <c r="BL41" s="3"/>
      <c r="BM41" s="15">
        <v>290182</v>
      </c>
      <c r="BN41" s="1353">
        <f t="shared" si="55"/>
        <v>22.08219446677516</v>
      </c>
      <c r="BO41" s="1" t="s">
        <v>295</v>
      </c>
      <c r="BP41" s="11" t="s">
        <v>247</v>
      </c>
    </row>
    <row r="42" spans="1:68" s="41" customFormat="1" ht="27.6" customHeight="1" x14ac:dyDescent="0.2">
      <c r="A42" s="28" t="s">
        <v>210</v>
      </c>
      <c r="B42" s="11">
        <v>39</v>
      </c>
      <c r="C42" s="915" t="s">
        <v>954</v>
      </c>
      <c r="D42" s="11" t="s">
        <v>98</v>
      </c>
      <c r="E42" s="11" t="s">
        <v>996</v>
      </c>
      <c r="F42" s="11" t="s">
        <v>723</v>
      </c>
      <c r="G42" s="1" t="s">
        <v>136</v>
      </c>
      <c r="H42" s="37">
        <v>40331</v>
      </c>
      <c r="I42" s="1" t="s">
        <v>10</v>
      </c>
      <c r="J42" s="33">
        <v>40658</v>
      </c>
      <c r="K42" s="60">
        <v>41416</v>
      </c>
      <c r="L42" s="28" t="s">
        <v>1491</v>
      </c>
      <c r="M42" s="1" t="s">
        <v>13</v>
      </c>
      <c r="N42" s="2">
        <v>93917</v>
      </c>
      <c r="O42" s="2"/>
      <c r="P42" s="14">
        <v>2</v>
      </c>
      <c r="Q42" s="28" t="s">
        <v>210</v>
      </c>
      <c r="R42" s="11" t="s">
        <v>247</v>
      </c>
      <c r="S42" s="11">
        <v>3</v>
      </c>
      <c r="T42" s="2">
        <v>22917</v>
      </c>
      <c r="U42" s="10">
        <f t="shared" si="0"/>
        <v>244.01333091985478</v>
      </c>
      <c r="V42" s="2">
        <v>15931</v>
      </c>
      <c r="W42" s="10">
        <f t="shared" si="44"/>
        <v>169.62850176219428</v>
      </c>
      <c r="X42" s="8">
        <f t="shared" si="45"/>
        <v>0.30483920233887507</v>
      </c>
      <c r="Y42" s="2">
        <f t="shared" si="46"/>
        <v>6986</v>
      </c>
      <c r="Z42" s="992">
        <v>42983</v>
      </c>
      <c r="AA42" s="2">
        <f>'16.17 Meter Data'!Y368</f>
        <v>6097.3269999999993</v>
      </c>
      <c r="AB42" s="40">
        <f>AA42/N42*1000</f>
        <v>64.922506042569495</v>
      </c>
      <c r="AC42" s="1391" t="s">
        <v>1309</v>
      </c>
      <c r="AD42" s="1396">
        <v>26</v>
      </c>
      <c r="AE42" s="1912">
        <f>(T42-AA42)/T42</f>
        <v>0.73393869180084659</v>
      </c>
      <c r="AF42" s="1912"/>
      <c r="AG42" s="51">
        <f>T42-AA42</f>
        <v>16819.673000000003</v>
      </c>
      <c r="AH42" s="28" t="s">
        <v>210</v>
      </c>
      <c r="AI42" s="15">
        <v>351452</v>
      </c>
      <c r="AJ42" s="7">
        <f t="shared" si="47"/>
        <v>3.7421553073458478</v>
      </c>
      <c r="AK42" s="15">
        <v>248190</v>
      </c>
      <c r="AL42" s="7">
        <f t="shared" si="48"/>
        <v>2.6426525549155104</v>
      </c>
      <c r="AM42" s="8">
        <f t="shared" si="49"/>
        <v>0.29381537165814964</v>
      </c>
      <c r="AN42" s="15">
        <f t="shared" si="50"/>
        <v>103262</v>
      </c>
      <c r="AO42" s="15">
        <f>'16.17 Meter Data'!W374</f>
        <v>182400.86</v>
      </c>
      <c r="AP42" s="22">
        <f t="shared" ref="AP42:AP64" si="56">AO42/N42</f>
        <v>1.9421495575880829</v>
      </c>
      <c r="AQ42" s="47">
        <f>(AI42-AO42)/AI42</f>
        <v>0.4810077620841538</v>
      </c>
      <c r="AR42" s="48">
        <f>AI42-AO42</f>
        <v>169051.14</v>
      </c>
      <c r="AS42" s="28" t="s">
        <v>210</v>
      </c>
      <c r="AT42" s="2">
        <v>810220</v>
      </c>
      <c r="AU42" s="1" t="s">
        <v>13</v>
      </c>
      <c r="AV42" s="10">
        <f t="shared" si="51"/>
        <v>8.6269791411565535</v>
      </c>
      <c r="AW42" s="2">
        <v>634243</v>
      </c>
      <c r="AX42" s="1" t="s">
        <v>13</v>
      </c>
      <c r="AY42" s="10">
        <f t="shared" si="52"/>
        <v>6.7532289148929374</v>
      </c>
      <c r="AZ42" s="8">
        <f t="shared" si="53"/>
        <v>0.21719656389622571</v>
      </c>
      <c r="BA42" s="2">
        <f t="shared" si="54"/>
        <v>175977</v>
      </c>
      <c r="BB42" s="242">
        <f>'16.17 Meter Data'!W369</f>
        <v>975900</v>
      </c>
      <c r="BC42" s="9" t="s">
        <v>13</v>
      </c>
      <c r="BD42" s="2">
        <f>BB42/N42</f>
        <v>10.391090005004418</v>
      </c>
      <c r="BE42" s="8">
        <f>(AT42-BB42)/AT42</f>
        <v>-0.20448767001555132</v>
      </c>
      <c r="BF42" s="28" t="s">
        <v>210</v>
      </c>
      <c r="BG42" s="64">
        <v>21478228</v>
      </c>
      <c r="BH42" s="42">
        <f t="shared" si="38"/>
        <v>228.6937189220269</v>
      </c>
      <c r="BI42" s="346">
        <f>BG42-632796</f>
        <v>20845432</v>
      </c>
      <c r="BJ42" s="468">
        <v>2510110</v>
      </c>
      <c r="BK42" s="469">
        <f>90000+125000</f>
        <v>215000</v>
      </c>
      <c r="BL42" s="3"/>
      <c r="BM42" s="15">
        <v>126000</v>
      </c>
      <c r="BN42" s="1353">
        <f t="shared" si="55"/>
        <v>9.4303422362534128</v>
      </c>
      <c r="BO42" s="1" t="s">
        <v>297</v>
      </c>
      <c r="BP42" s="11" t="s">
        <v>247</v>
      </c>
    </row>
    <row r="43" spans="1:68" s="41" customFormat="1" ht="27.6" customHeight="1" x14ac:dyDescent="0.2">
      <c r="A43" s="937" t="s">
        <v>285</v>
      </c>
      <c r="B43" s="2176">
        <v>40</v>
      </c>
      <c r="C43" s="915" t="s">
        <v>950</v>
      </c>
      <c r="D43" s="11" t="s">
        <v>100</v>
      </c>
      <c r="E43" s="11" t="s">
        <v>1000</v>
      </c>
      <c r="F43" s="11" t="s">
        <v>549</v>
      </c>
      <c r="G43" s="1" t="s">
        <v>99</v>
      </c>
      <c r="H43" s="33">
        <v>40476</v>
      </c>
      <c r="I43" s="11" t="s">
        <v>10</v>
      </c>
      <c r="J43" s="33">
        <v>40680</v>
      </c>
      <c r="K43" s="60">
        <v>41449</v>
      </c>
      <c r="L43" s="4" t="s">
        <v>262</v>
      </c>
      <c r="M43" s="11" t="s">
        <v>13</v>
      </c>
      <c r="N43" s="6">
        <v>91513</v>
      </c>
      <c r="O43" s="6"/>
      <c r="P43" s="49">
        <v>3</v>
      </c>
      <c r="Q43" s="937" t="s">
        <v>285</v>
      </c>
      <c r="R43" s="11" t="s">
        <v>247</v>
      </c>
      <c r="S43" s="11">
        <v>4</v>
      </c>
      <c r="T43" s="2">
        <v>7587</v>
      </c>
      <c r="U43" s="12">
        <f t="shared" si="0"/>
        <v>82.90625375629692</v>
      </c>
      <c r="V43" s="2">
        <v>5004</v>
      </c>
      <c r="W43" s="23">
        <f t="shared" si="44"/>
        <v>54.680755739621695</v>
      </c>
      <c r="X43" s="1912">
        <f t="shared" si="45"/>
        <v>0.34045077105575328</v>
      </c>
      <c r="Y43" s="13">
        <f t="shared" si="46"/>
        <v>2583</v>
      </c>
      <c r="Z43" s="967">
        <v>42975</v>
      </c>
      <c r="AA43" s="49">
        <f>'16.17 Meter Data'!Y381</f>
        <v>9845.580200453438</v>
      </c>
      <c r="AB43" s="40">
        <f>AA43/N43*1000</f>
        <v>107.58668386407874</v>
      </c>
      <c r="AC43" s="1391" t="s">
        <v>1300</v>
      </c>
      <c r="AD43" s="1393">
        <v>72</v>
      </c>
      <c r="AE43" s="1912">
        <f>(T43-AA43)/T43</f>
        <v>-0.29769081329292713</v>
      </c>
      <c r="AF43" s="1912"/>
      <c r="AG43" s="51">
        <f>T43-AA43</f>
        <v>-2258.580200453438</v>
      </c>
      <c r="AH43" s="937" t="s">
        <v>285</v>
      </c>
      <c r="AI43" s="15">
        <v>105529</v>
      </c>
      <c r="AJ43" s="7">
        <f t="shared" si="47"/>
        <v>1.1531585676351994</v>
      </c>
      <c r="AK43" s="15">
        <v>66125</v>
      </c>
      <c r="AL43" s="7">
        <f t="shared" si="48"/>
        <v>0.72257493470872991</v>
      </c>
      <c r="AM43" s="8">
        <f t="shared" si="49"/>
        <v>0.37339499095035489</v>
      </c>
      <c r="AN43" s="16">
        <f t="shared" si="50"/>
        <v>39404</v>
      </c>
      <c r="AO43" s="15">
        <f>'16.17 Meter Data'!W387</f>
        <v>190473.13641986309</v>
      </c>
      <c r="AP43" s="22">
        <f t="shared" si="56"/>
        <v>2.0813779071810901</v>
      </c>
      <c r="AQ43" s="47">
        <f>(AI43-AO43)/AI43</f>
        <v>-0.804936429037166</v>
      </c>
      <c r="AR43" s="48">
        <f>AI43-AO43</f>
        <v>-84944.136419863091</v>
      </c>
      <c r="AS43" s="937" t="s">
        <v>285</v>
      </c>
      <c r="AT43" s="2">
        <v>1434603</v>
      </c>
      <c r="AU43" s="9" t="s">
        <v>13</v>
      </c>
      <c r="AV43" s="2">
        <f t="shared" si="51"/>
        <v>15.67649405002568</v>
      </c>
      <c r="AW43" s="2">
        <v>990985</v>
      </c>
      <c r="AX43" s="9" t="s">
        <v>13</v>
      </c>
      <c r="AY43" s="2">
        <f t="shared" si="52"/>
        <v>10.82889862642466</v>
      </c>
      <c r="AZ43" s="8">
        <f t="shared" si="53"/>
        <v>0.30922701262997498</v>
      </c>
      <c r="BA43" s="17">
        <f t="shared" si="54"/>
        <v>443618</v>
      </c>
      <c r="BB43" s="242">
        <f>'16.17 Meter Data'!W382</f>
        <v>2529212.4</v>
      </c>
      <c r="BC43" s="9" t="s">
        <v>13</v>
      </c>
      <c r="BD43" s="2">
        <f>BB43/N43</f>
        <v>27.637738900484084</v>
      </c>
      <c r="BE43" s="8">
        <f>(AT43-BB43)/AT43</f>
        <v>-0.76300509618340395</v>
      </c>
      <c r="BF43" s="937" t="s">
        <v>285</v>
      </c>
      <c r="BG43" s="64">
        <v>25393206</v>
      </c>
      <c r="BH43" s="42">
        <f t="shared" si="38"/>
        <v>277.48195338367225</v>
      </c>
      <c r="BI43" s="346">
        <f>BG43-77939</f>
        <v>25315267</v>
      </c>
      <c r="BJ43" s="15">
        <f>2230879+177240</f>
        <v>2408119</v>
      </c>
      <c r="BK43" s="68">
        <v>177240</v>
      </c>
      <c r="BL43" s="3"/>
      <c r="BM43" s="15">
        <v>287625</v>
      </c>
      <c r="BN43" s="1353">
        <f t="shared" si="55"/>
        <v>13.775352756065374</v>
      </c>
      <c r="BO43" s="1" t="s">
        <v>305</v>
      </c>
      <c r="BP43" s="11" t="s">
        <v>247</v>
      </c>
    </row>
    <row r="44" spans="1:68" s="41" customFormat="1" ht="27.6" customHeight="1" x14ac:dyDescent="0.2">
      <c r="A44" s="4" t="s">
        <v>956</v>
      </c>
      <c r="B44" s="11">
        <v>41</v>
      </c>
      <c r="C44" s="915" t="s">
        <v>1480</v>
      </c>
      <c r="D44" s="11" t="s">
        <v>957</v>
      </c>
      <c r="E44" s="11" t="s">
        <v>1001</v>
      </c>
      <c r="F44" s="969" t="s">
        <v>1043</v>
      </c>
      <c r="G44" s="1" t="s">
        <v>958</v>
      </c>
      <c r="H44" s="37">
        <v>40119</v>
      </c>
      <c r="I44" s="1" t="s">
        <v>407</v>
      </c>
      <c r="J44" s="33">
        <v>40479</v>
      </c>
      <c r="K44" s="60">
        <v>41455</v>
      </c>
      <c r="L44" s="4" t="s">
        <v>959</v>
      </c>
      <c r="M44" s="1" t="s">
        <v>13</v>
      </c>
      <c r="N44" s="6">
        <v>40722</v>
      </c>
      <c r="O44" s="6"/>
      <c r="P44" s="14">
        <v>3</v>
      </c>
      <c r="Q44" s="4" t="s">
        <v>956</v>
      </c>
      <c r="R44" s="11" t="s">
        <v>247</v>
      </c>
      <c r="S44" s="11">
        <v>4</v>
      </c>
      <c r="T44" s="2">
        <v>3603</v>
      </c>
      <c r="U44" s="12">
        <f t="shared" si="0"/>
        <v>88.477972594666284</v>
      </c>
      <c r="V44" s="2">
        <v>1672</v>
      </c>
      <c r="W44" s="23">
        <f t="shared" si="44"/>
        <v>41.058887088060509</v>
      </c>
      <c r="X44" s="1912">
        <f t="shared" si="45"/>
        <v>0.5359422703302803</v>
      </c>
      <c r="Y44" s="6">
        <f t="shared" si="46"/>
        <v>1931</v>
      </c>
      <c r="Z44" s="992">
        <v>42956</v>
      </c>
      <c r="AA44" s="9">
        <f>'16.17 Meter Data'!Y392</f>
        <v>1783.0509305221121</v>
      </c>
      <c r="AB44" s="40">
        <f>AA44/N44*1000</f>
        <v>43.78593709842621</v>
      </c>
      <c r="AC44" s="1391" t="s">
        <v>1300</v>
      </c>
      <c r="AD44" s="1393">
        <v>72</v>
      </c>
      <c r="AE44" s="1912">
        <f>(T44-AA44)/T44</f>
        <v>0.50512047445958586</v>
      </c>
      <c r="AF44" s="1611" t="s">
        <v>955</v>
      </c>
      <c r="AG44" s="51">
        <f>T44-AA44</f>
        <v>1819.9490694778879</v>
      </c>
      <c r="AH44" s="4" t="s">
        <v>956</v>
      </c>
      <c r="AI44" s="15">
        <v>65069</v>
      </c>
      <c r="AJ44" s="7">
        <f t="shared" si="47"/>
        <v>1.5978832080939049</v>
      </c>
      <c r="AK44" s="15">
        <v>19856</v>
      </c>
      <c r="AL44" s="7">
        <f t="shared" si="48"/>
        <v>0.48759884092136929</v>
      </c>
      <c r="AM44" s="8">
        <f t="shared" si="49"/>
        <v>0.69484700856014381</v>
      </c>
      <c r="AN44" s="15">
        <f t="shared" si="50"/>
        <v>45213</v>
      </c>
      <c r="AO44" s="469">
        <f>'16.17 Meter Data'!W396</f>
        <v>32993.846100000002</v>
      </c>
      <c r="AP44" s="22">
        <f t="shared" si="56"/>
        <v>0.81022165168704885</v>
      </c>
      <c r="AQ44" s="47">
        <f>(AI44-AO44)/AI44</f>
        <v>0.49294063071508704</v>
      </c>
      <c r="AR44" s="48">
        <f>AI44-AO44</f>
        <v>32075.153899999998</v>
      </c>
      <c r="AS44" s="4" t="s">
        <v>956</v>
      </c>
      <c r="AT44" s="2">
        <v>977508</v>
      </c>
      <c r="AU44" s="9" t="s">
        <v>13</v>
      </c>
      <c r="AV44" s="10">
        <f t="shared" si="51"/>
        <v>24.004420215117136</v>
      </c>
      <c r="AW44" s="2">
        <f>AT44-722295</f>
        <v>255213</v>
      </c>
      <c r="AX44" s="9" t="s">
        <v>13</v>
      </c>
      <c r="AY44" s="2">
        <f t="shared" si="52"/>
        <v>6.2672020038308531</v>
      </c>
      <c r="AZ44" s="8">
        <f t="shared" si="53"/>
        <v>0.73891466872905387</v>
      </c>
      <c r="BA44" s="17">
        <f t="shared" si="54"/>
        <v>722295</v>
      </c>
      <c r="BB44" s="9">
        <f>'16.17 Meter Data'!W393</f>
        <v>155086.43264400001</v>
      </c>
      <c r="BC44" s="9" t="s">
        <v>13</v>
      </c>
      <c r="BD44" s="2">
        <f>BB44/N44</f>
        <v>3.8084188557536471</v>
      </c>
      <c r="BE44" s="8">
        <f>(AT44-BB44)/AT44</f>
        <v>0.84134510137615237</v>
      </c>
      <c r="BF44" s="4" t="s">
        <v>956</v>
      </c>
      <c r="BG44" s="64">
        <v>8385286</v>
      </c>
      <c r="BH44" s="42">
        <f t="shared" si="38"/>
        <v>205.91537743725749</v>
      </c>
      <c r="BI44" s="433">
        <f>BG44-26353-63254-77323-1684000-72135-26487-32960</f>
        <v>6402774</v>
      </c>
      <c r="BJ44" s="71">
        <v>851000</v>
      </c>
      <c r="BK44" s="433">
        <v>50000</v>
      </c>
      <c r="BL44" s="3"/>
      <c r="BM44" s="71">
        <v>80000</v>
      </c>
      <c r="BN44" s="1353">
        <f t="shared" si="55"/>
        <v>46.723552960431732</v>
      </c>
      <c r="BO44" s="1" t="s">
        <v>960</v>
      </c>
      <c r="BP44" s="11" t="s">
        <v>247</v>
      </c>
    </row>
    <row r="45" spans="1:68" s="41" customFormat="1" ht="27.6" customHeight="1" x14ac:dyDescent="0.2">
      <c r="A45" s="4" t="s">
        <v>531</v>
      </c>
      <c r="B45" s="11">
        <v>42</v>
      </c>
      <c r="C45" s="11" t="s">
        <v>951</v>
      </c>
      <c r="D45" s="11" t="s">
        <v>63</v>
      </c>
      <c r="E45" s="11" t="s">
        <v>985</v>
      </c>
      <c r="F45" s="11" t="s">
        <v>1471</v>
      </c>
      <c r="G45" s="1" t="s">
        <v>62</v>
      </c>
      <c r="H45" s="37">
        <v>40899</v>
      </c>
      <c r="I45" s="1" t="s">
        <v>103</v>
      </c>
      <c r="J45" s="33">
        <v>40925</v>
      </c>
      <c r="K45" s="60">
        <v>41464</v>
      </c>
      <c r="L45" s="4" t="s">
        <v>135</v>
      </c>
      <c r="M45" s="1">
        <v>400</v>
      </c>
      <c r="N45" s="6">
        <v>164377</v>
      </c>
      <c r="O45" s="19">
        <f>N45/M45</f>
        <v>410.9425</v>
      </c>
      <c r="P45" s="14">
        <v>5</v>
      </c>
      <c r="Q45" s="4" t="s">
        <v>531</v>
      </c>
      <c r="R45" s="11" t="s">
        <v>247</v>
      </c>
      <c r="S45" s="11">
        <v>3</v>
      </c>
      <c r="T45" s="2">
        <v>10765</v>
      </c>
      <c r="U45" s="12">
        <f t="shared" si="0"/>
        <v>65.489697463757096</v>
      </c>
      <c r="V45" s="2">
        <v>7239</v>
      </c>
      <c r="W45" s="23">
        <f t="shared" si="44"/>
        <v>44.039007890398295</v>
      </c>
      <c r="X45" s="5">
        <f t="shared" si="45"/>
        <v>0.32754296330701349</v>
      </c>
      <c r="Y45" s="6">
        <f t="shared" si="46"/>
        <v>3526</v>
      </c>
      <c r="Z45" s="967"/>
      <c r="AA45" s="2"/>
      <c r="AB45" s="40"/>
      <c r="AC45" s="1391" t="s">
        <v>1298</v>
      </c>
      <c r="AD45" s="1393">
        <v>47</v>
      </c>
      <c r="AE45" s="5"/>
      <c r="AF45" s="1611"/>
      <c r="AG45" s="51"/>
      <c r="AH45" s="4" t="s">
        <v>531</v>
      </c>
      <c r="AI45" s="15">
        <v>149183</v>
      </c>
      <c r="AJ45" s="7">
        <f t="shared" si="47"/>
        <v>0.90756614368190192</v>
      </c>
      <c r="AK45" s="15">
        <v>97190</v>
      </c>
      <c r="AL45" s="7">
        <f t="shared" si="48"/>
        <v>0.5912627679054856</v>
      </c>
      <c r="AM45" s="8">
        <f t="shared" si="49"/>
        <v>0.34851826280474318</v>
      </c>
      <c r="AN45" s="15">
        <f t="shared" si="50"/>
        <v>51993</v>
      </c>
      <c r="AO45" s="15"/>
      <c r="AP45" s="22">
        <f t="shared" si="56"/>
        <v>0</v>
      </c>
      <c r="AQ45" s="47"/>
      <c r="AR45" s="48"/>
      <c r="AS45" s="4" t="s">
        <v>531</v>
      </c>
      <c r="AT45" s="2">
        <v>2719308</v>
      </c>
      <c r="AU45" s="2">
        <f>AT45/M45</f>
        <v>6798.27</v>
      </c>
      <c r="AV45" s="10">
        <f t="shared" si="51"/>
        <v>16.543117346100733</v>
      </c>
      <c r="AW45" s="2">
        <v>1869230</v>
      </c>
      <c r="AX45" s="9">
        <f>AW45/M45</f>
        <v>4673.0749999999998</v>
      </c>
      <c r="AY45" s="10">
        <f t="shared" si="52"/>
        <v>11.371603083156403</v>
      </c>
      <c r="AZ45" s="8">
        <f t="shared" si="53"/>
        <v>0.31260820767636471</v>
      </c>
      <c r="BA45" s="2">
        <f t="shared" si="54"/>
        <v>850078</v>
      </c>
      <c r="BB45" s="242"/>
      <c r="BC45" s="2"/>
      <c r="BD45" s="2"/>
      <c r="BE45" s="8"/>
      <c r="BF45" s="4" t="s">
        <v>531</v>
      </c>
      <c r="BG45" s="64">
        <f>1297571+28729713</f>
        <v>30027284</v>
      </c>
      <c r="BH45" s="42">
        <f t="shared" si="38"/>
        <v>182.67326937466922</v>
      </c>
      <c r="BI45" s="346">
        <f>BG45</f>
        <v>30027284</v>
      </c>
      <c r="BJ45" s="15">
        <v>2167790</v>
      </c>
      <c r="BK45" s="15">
        <v>126000</v>
      </c>
      <c r="BL45" s="3"/>
      <c r="BM45" s="15">
        <v>186000</v>
      </c>
      <c r="BN45" s="1353"/>
      <c r="BO45" s="1"/>
      <c r="BP45" s="11" t="s">
        <v>247</v>
      </c>
    </row>
    <row r="46" spans="1:68" s="41" customFormat="1" ht="27.6" customHeight="1" x14ac:dyDescent="0.2">
      <c r="A46" s="4" t="s">
        <v>542</v>
      </c>
      <c r="B46" s="11">
        <v>43</v>
      </c>
      <c r="C46" s="11" t="s">
        <v>951</v>
      </c>
      <c r="D46" s="11" t="s">
        <v>60</v>
      </c>
      <c r="E46" s="11" t="s">
        <v>989</v>
      </c>
      <c r="F46" s="11" t="s">
        <v>510</v>
      </c>
      <c r="G46" s="1" t="s">
        <v>66</v>
      </c>
      <c r="H46" s="37">
        <v>40864</v>
      </c>
      <c r="I46" s="1" t="s">
        <v>10</v>
      </c>
      <c r="J46" s="33">
        <v>41102</v>
      </c>
      <c r="K46" s="60">
        <v>41470</v>
      </c>
      <c r="L46" s="4" t="s">
        <v>12</v>
      </c>
      <c r="M46" s="262" t="s">
        <v>13</v>
      </c>
      <c r="N46" s="2">
        <v>22482</v>
      </c>
      <c r="O46" s="2"/>
      <c r="P46" s="14">
        <v>2.5</v>
      </c>
      <c r="Q46" s="4" t="s">
        <v>542</v>
      </c>
      <c r="R46" s="11" t="s">
        <v>247</v>
      </c>
      <c r="S46" s="11">
        <v>4</v>
      </c>
      <c r="T46" s="2">
        <v>1449</v>
      </c>
      <c r="U46" s="12">
        <f t="shared" si="0"/>
        <v>64.451561248999198</v>
      </c>
      <c r="V46" s="2">
        <v>1017</v>
      </c>
      <c r="W46" s="23">
        <f t="shared" si="44"/>
        <v>45.236188951160933</v>
      </c>
      <c r="X46" s="1912">
        <f t="shared" si="45"/>
        <v>0.29813664596273293</v>
      </c>
      <c r="Y46" s="6">
        <f t="shared" si="46"/>
        <v>432</v>
      </c>
      <c r="Z46" s="992">
        <v>42986</v>
      </c>
      <c r="AA46" s="2">
        <f>'16.17 Meter Data'!Y410</f>
        <v>1696.6880392228973</v>
      </c>
      <c r="AB46" s="40">
        <f>AA46/N46*1000</f>
        <v>75.46873228462313</v>
      </c>
      <c r="AC46" s="1391" t="s">
        <v>1307</v>
      </c>
      <c r="AD46" s="1393">
        <v>52</v>
      </c>
      <c r="AE46" s="1912">
        <f>(T46-AA46)/T46</f>
        <v>-0.17093722513657506</v>
      </c>
      <c r="AF46" s="1912"/>
      <c r="AG46" s="51">
        <f>T46-AA46</f>
        <v>-247.68803922289726</v>
      </c>
      <c r="AH46" s="4" t="s">
        <v>542</v>
      </c>
      <c r="AI46" s="15">
        <v>27666</v>
      </c>
      <c r="AJ46" s="7">
        <f t="shared" si="47"/>
        <v>1.2305844675740591</v>
      </c>
      <c r="AK46" s="15">
        <v>21821</v>
      </c>
      <c r="AL46" s="7">
        <f t="shared" si="48"/>
        <v>0.97059870118316871</v>
      </c>
      <c r="AM46" s="8">
        <f t="shared" si="49"/>
        <v>0.21127015108797803</v>
      </c>
      <c r="AN46" s="15">
        <f t="shared" si="50"/>
        <v>5845</v>
      </c>
      <c r="AO46" s="15">
        <f>'16.17 Meter Data'!W414</f>
        <v>33512.969670410159</v>
      </c>
      <c r="AP46" s="22">
        <f t="shared" si="56"/>
        <v>1.4906578449608647</v>
      </c>
      <c r="AQ46" s="47">
        <f>(AI46-AO46)/AI46</f>
        <v>-0.21134134570990237</v>
      </c>
      <c r="AR46" s="48">
        <f>AI46-AO46</f>
        <v>-5846.9696704101589</v>
      </c>
      <c r="AS46" s="4" t="s">
        <v>542</v>
      </c>
      <c r="AT46" s="2">
        <v>166500</v>
      </c>
      <c r="AU46" s="9" t="s">
        <v>13</v>
      </c>
      <c r="AV46" s="10">
        <f t="shared" si="51"/>
        <v>7.4059247397918337</v>
      </c>
      <c r="AW46" s="2">
        <v>120425</v>
      </c>
      <c r="AX46" s="9" t="s">
        <v>13</v>
      </c>
      <c r="AY46" s="10">
        <f t="shared" si="52"/>
        <v>5.356507428164754</v>
      </c>
      <c r="AZ46" s="8">
        <f t="shared" si="53"/>
        <v>0.27672672672672671</v>
      </c>
      <c r="BA46" s="2">
        <f t="shared" si="54"/>
        <v>46075</v>
      </c>
      <c r="BB46" s="242">
        <f>'16.17 Meter Data'!W411</f>
        <v>83476.800000000003</v>
      </c>
      <c r="BC46" s="9" t="s">
        <v>13</v>
      </c>
      <c r="BD46" s="2">
        <f>BB46/N46</f>
        <v>3.7130504403522822</v>
      </c>
      <c r="BE46" s="8">
        <f>(AT46-BB46)/AT46</f>
        <v>0.49863783783783783</v>
      </c>
      <c r="BF46" s="4" t="s">
        <v>542</v>
      </c>
      <c r="BG46" s="64">
        <v>2670270</v>
      </c>
      <c r="BH46" s="42">
        <f t="shared" si="38"/>
        <v>118.7736856151588</v>
      </c>
      <c r="BI46" s="15">
        <f>BG46-24776</f>
        <v>2645494</v>
      </c>
      <c r="BJ46" s="15">
        <v>292501</v>
      </c>
      <c r="BK46" s="15">
        <v>0</v>
      </c>
      <c r="BL46" s="3"/>
      <c r="BM46" s="85">
        <v>0</v>
      </c>
      <c r="BN46" s="1353"/>
      <c r="BO46" s="1" t="s">
        <v>297</v>
      </c>
      <c r="BP46" s="11" t="s">
        <v>247</v>
      </c>
    </row>
    <row r="47" spans="1:68" s="41" customFormat="1" ht="27.6" customHeight="1" x14ac:dyDescent="0.2">
      <c r="A47" s="28" t="s">
        <v>532</v>
      </c>
      <c r="B47" s="11">
        <v>44</v>
      </c>
      <c r="C47" s="11" t="s">
        <v>951</v>
      </c>
      <c r="D47" s="11" t="s">
        <v>63</v>
      </c>
      <c r="E47" s="11" t="s">
        <v>985</v>
      </c>
      <c r="F47" s="11" t="s">
        <v>1471</v>
      </c>
      <c r="G47" s="1" t="s">
        <v>84</v>
      </c>
      <c r="H47" s="33">
        <v>40963</v>
      </c>
      <c r="I47" s="1" t="s">
        <v>10</v>
      </c>
      <c r="J47" s="33">
        <v>40925</v>
      </c>
      <c r="K47" s="60">
        <v>41484</v>
      </c>
      <c r="L47" s="28" t="s">
        <v>54</v>
      </c>
      <c r="M47" s="1">
        <v>436</v>
      </c>
      <c r="N47" s="2">
        <v>144175</v>
      </c>
      <c r="O47" s="19">
        <f t="shared" ref="O47:O53" si="57">N47/M47</f>
        <v>330.67660550458714</v>
      </c>
      <c r="P47" s="14">
        <v>5</v>
      </c>
      <c r="Q47" s="28" t="s">
        <v>532</v>
      </c>
      <c r="R47" s="11" t="s">
        <v>247</v>
      </c>
      <c r="S47" s="11">
        <v>3</v>
      </c>
      <c r="T47" s="2">
        <v>11671</v>
      </c>
      <c r="U47" s="10">
        <f t="shared" si="0"/>
        <v>80.950234090514996</v>
      </c>
      <c r="V47" s="2">
        <v>6976</v>
      </c>
      <c r="W47" s="23">
        <f t="shared" si="44"/>
        <v>48.385642448413392</v>
      </c>
      <c r="X47" s="5">
        <f t="shared" si="45"/>
        <v>0.40227915345728732</v>
      </c>
      <c r="Y47" s="2">
        <f t="shared" si="46"/>
        <v>4695</v>
      </c>
      <c r="Z47" s="967"/>
      <c r="AA47" s="2"/>
      <c r="AB47" s="40"/>
      <c r="AC47" s="1391" t="s">
        <v>1298</v>
      </c>
      <c r="AD47" s="1393">
        <v>47</v>
      </c>
      <c r="AE47" s="5"/>
      <c r="AF47" s="1611"/>
      <c r="AG47" s="51"/>
      <c r="AH47" s="28" t="s">
        <v>532</v>
      </c>
      <c r="AI47" s="15">
        <v>141674</v>
      </c>
      <c r="AJ47" s="7">
        <f t="shared" si="47"/>
        <v>0.98265302583665681</v>
      </c>
      <c r="AK47" s="15">
        <v>87499</v>
      </c>
      <c r="AL47" s="7">
        <f t="shared" si="48"/>
        <v>0.60689439916767818</v>
      </c>
      <c r="AM47" s="8">
        <f t="shared" si="49"/>
        <v>0.38239197029800809</v>
      </c>
      <c r="AN47" s="15">
        <f t="shared" si="50"/>
        <v>54175</v>
      </c>
      <c r="AO47" s="15"/>
      <c r="AP47" s="22">
        <f t="shared" si="56"/>
        <v>0</v>
      </c>
      <c r="AQ47" s="47"/>
      <c r="AR47" s="48"/>
      <c r="AS47" s="28" t="s">
        <v>532</v>
      </c>
      <c r="AT47" s="2">
        <v>1100206</v>
      </c>
      <c r="AU47" s="2">
        <f t="shared" ref="AU47:AU53" si="58">AT47/M47</f>
        <v>2523.4082568807339</v>
      </c>
      <c r="AV47" s="10">
        <f t="shared" si="51"/>
        <v>7.6310456043003292</v>
      </c>
      <c r="AW47" s="2">
        <v>860579</v>
      </c>
      <c r="AX47" s="9">
        <f t="shared" ref="AX47:AX53" si="59">AW47/M47</f>
        <v>1973.8050458715597</v>
      </c>
      <c r="AY47" s="10">
        <f t="shared" si="52"/>
        <v>5.9689890757759665</v>
      </c>
      <c r="AZ47" s="8">
        <f t="shared" si="53"/>
        <v>0.21780193890962238</v>
      </c>
      <c r="BA47" s="2">
        <f t="shared" si="54"/>
        <v>239627</v>
      </c>
      <c r="BB47" s="242"/>
      <c r="BC47" s="2"/>
      <c r="BD47" s="2"/>
      <c r="BE47" s="8"/>
      <c r="BF47" s="28" t="s">
        <v>532</v>
      </c>
      <c r="BG47" s="64">
        <f>21815053+2840314</f>
        <v>24655367</v>
      </c>
      <c r="BH47" s="42">
        <f t="shared" si="38"/>
        <v>171.01000173400382</v>
      </c>
      <c r="BI47" s="346">
        <f>BG47-1838674</f>
        <v>22816693</v>
      </c>
      <c r="BJ47" s="15">
        <v>2078598</v>
      </c>
      <c r="BK47" s="15">
        <v>0</v>
      </c>
      <c r="BL47" s="3"/>
      <c r="BM47" s="15">
        <v>297680</v>
      </c>
      <c r="BN47" s="1353"/>
      <c r="BO47" s="1" t="s">
        <v>296</v>
      </c>
      <c r="BP47" s="11" t="s">
        <v>247</v>
      </c>
    </row>
    <row r="48" spans="1:68" s="41" customFormat="1" ht="27.6" customHeight="1" x14ac:dyDescent="0.2">
      <c r="A48" s="4" t="s">
        <v>935</v>
      </c>
      <c r="B48" s="11">
        <v>45</v>
      </c>
      <c r="C48" s="915" t="s">
        <v>952</v>
      </c>
      <c r="D48" s="11" t="s">
        <v>60</v>
      </c>
      <c r="E48" s="11" t="s">
        <v>989</v>
      </c>
      <c r="F48" s="11" t="s">
        <v>510</v>
      </c>
      <c r="G48" s="1" t="s">
        <v>59</v>
      </c>
      <c r="H48" s="33">
        <v>40819</v>
      </c>
      <c r="I48" s="11" t="s">
        <v>10</v>
      </c>
      <c r="J48" s="33">
        <v>40816</v>
      </c>
      <c r="K48" s="60">
        <v>41487</v>
      </c>
      <c r="L48" s="4" t="s">
        <v>54</v>
      </c>
      <c r="M48" s="1">
        <v>151</v>
      </c>
      <c r="N48" s="2">
        <v>67202</v>
      </c>
      <c r="O48" s="19">
        <f t="shared" si="57"/>
        <v>445.04635761589407</v>
      </c>
      <c r="P48" s="49">
        <v>6</v>
      </c>
      <c r="Q48" s="4" t="s">
        <v>436</v>
      </c>
      <c r="R48" s="11" t="s">
        <v>247</v>
      </c>
      <c r="S48" s="11">
        <v>4</v>
      </c>
      <c r="T48" s="2">
        <v>4126</v>
      </c>
      <c r="U48" s="12">
        <f>(T48/N48)*1000</f>
        <v>61.396982232671647</v>
      </c>
      <c r="V48" s="2">
        <v>2853</v>
      </c>
      <c r="W48" s="23">
        <f t="shared" si="44"/>
        <v>42.454093628165829</v>
      </c>
      <c r="X48" s="1912">
        <f t="shared" si="45"/>
        <v>0.30853126514784296</v>
      </c>
      <c r="Y48" s="13">
        <f t="shared" si="46"/>
        <v>1273</v>
      </c>
      <c r="Z48" s="992">
        <v>42986</v>
      </c>
      <c r="AA48" s="49">
        <f>'16.17 Meter Data'!Y433</f>
        <v>7129.9571928623127</v>
      </c>
      <c r="AB48" s="40">
        <f t="shared" ref="AB48:AB57" si="60">AA48/N48*1000</f>
        <v>106.09739580462356</v>
      </c>
      <c r="AC48" s="1391" t="s">
        <v>1298</v>
      </c>
      <c r="AD48" s="1393">
        <v>58</v>
      </c>
      <c r="AE48" s="1912">
        <f t="shared" ref="AE48:AE57" si="61">(T48-AA48)/T48</f>
        <v>-0.72805554843972675</v>
      </c>
      <c r="AF48" s="1912"/>
      <c r="AG48" s="51">
        <f t="shared" ref="AG48:AG57" si="62">T48-AA48</f>
        <v>-3003.9571928623127</v>
      </c>
      <c r="AH48" s="4" t="s">
        <v>436</v>
      </c>
      <c r="AI48" s="15">
        <v>76622</v>
      </c>
      <c r="AJ48" s="7">
        <f t="shared" si="47"/>
        <v>1.1401743995714413</v>
      </c>
      <c r="AK48" s="15">
        <v>51093</v>
      </c>
      <c r="AL48" s="7">
        <f t="shared" si="48"/>
        <v>0.76028987232522838</v>
      </c>
      <c r="AM48" s="8">
        <f t="shared" si="49"/>
        <v>0.33318107071076192</v>
      </c>
      <c r="AN48" s="16">
        <f t="shared" si="50"/>
        <v>25529</v>
      </c>
      <c r="AO48" s="15">
        <f>'16.17 Meter Data'!W438</f>
        <v>107563.37474541346</v>
      </c>
      <c r="AP48" s="22">
        <f t="shared" si="56"/>
        <v>1.6005978206811324</v>
      </c>
      <c r="AQ48" s="47">
        <f t="shared" ref="AQ48:AQ57" si="63">(AI48-AO48)/AI48</f>
        <v>-0.40381841697441279</v>
      </c>
      <c r="AR48" s="48">
        <f t="shared" ref="AR48:AR57" si="64">AI48-AO48</f>
        <v>-30941.374745413457</v>
      </c>
      <c r="AS48" s="4" t="s">
        <v>436</v>
      </c>
      <c r="AT48" s="2">
        <v>1630661</v>
      </c>
      <c r="AU48" s="2">
        <f t="shared" si="58"/>
        <v>10799.079470198676</v>
      </c>
      <c r="AV48" s="2">
        <f t="shared" si="51"/>
        <v>24.265066515877503</v>
      </c>
      <c r="AW48" s="2">
        <v>1029702</v>
      </c>
      <c r="AX48" s="9">
        <f t="shared" si="59"/>
        <v>6819.2185430463578</v>
      </c>
      <c r="AY48" s="10">
        <f t="shared" si="52"/>
        <v>15.322490402071367</v>
      </c>
      <c r="AZ48" s="8">
        <f t="shared" si="53"/>
        <v>0.36853705337896719</v>
      </c>
      <c r="BA48" s="2">
        <f t="shared" si="54"/>
        <v>600959</v>
      </c>
      <c r="BB48" s="242">
        <f>'16.17 Meter Data'!W434</f>
        <v>599148</v>
      </c>
      <c r="BC48" s="2">
        <f t="shared" ref="BC48:BC53" si="65">BB48/M48</f>
        <v>3967.8675496688743</v>
      </c>
      <c r="BD48" s="2">
        <f t="shared" ref="BD48:BD54" si="66">BB48/N48</f>
        <v>8.9156275110859795</v>
      </c>
      <c r="BE48" s="8">
        <f t="shared" ref="BE48:BE54" si="67">(AT48-BB48)/AT48</f>
        <v>0.63257353919668158</v>
      </c>
      <c r="BF48" s="4" t="s">
        <v>436</v>
      </c>
      <c r="BG48" s="64">
        <v>14207759</v>
      </c>
      <c r="BH48" s="42">
        <f t="shared" si="38"/>
        <v>211.41869289604477</v>
      </c>
      <c r="BI48" s="42">
        <f>BG48-41.63*N48</f>
        <v>11410139.74</v>
      </c>
      <c r="BJ48" s="15">
        <f>8023000*N48/541421</f>
        <v>995826.99230358633</v>
      </c>
      <c r="BK48" s="15">
        <v>0</v>
      </c>
      <c r="BL48" s="3"/>
      <c r="BM48" s="15">
        <f>379066*N48/541421</f>
        <v>47050.249864707868</v>
      </c>
      <c r="BN48" s="1353"/>
      <c r="BO48" s="1" t="s">
        <v>314</v>
      </c>
      <c r="BP48" s="11" t="s">
        <v>247</v>
      </c>
    </row>
    <row r="49" spans="1:70" s="41" customFormat="1" ht="27.6" customHeight="1" x14ac:dyDescent="0.2">
      <c r="A49" s="4" t="s">
        <v>936</v>
      </c>
      <c r="B49" s="11">
        <v>46</v>
      </c>
      <c r="C49" s="915" t="s">
        <v>952</v>
      </c>
      <c r="D49" s="11" t="s">
        <v>60</v>
      </c>
      <c r="E49" s="11" t="s">
        <v>989</v>
      </c>
      <c r="F49" s="11" t="s">
        <v>510</v>
      </c>
      <c r="G49" s="1" t="s">
        <v>59</v>
      </c>
      <c r="H49" s="33">
        <v>40819</v>
      </c>
      <c r="I49" s="11" t="s">
        <v>10</v>
      </c>
      <c r="J49" s="33">
        <v>40816</v>
      </c>
      <c r="K49" s="60">
        <v>41487</v>
      </c>
      <c r="L49" s="4" t="s">
        <v>1316</v>
      </c>
      <c r="M49" s="1">
        <v>251</v>
      </c>
      <c r="N49" s="2">
        <v>154726</v>
      </c>
      <c r="O49" s="19">
        <f t="shared" si="57"/>
        <v>616.43824701195217</v>
      </c>
      <c r="P49" s="49">
        <v>6</v>
      </c>
      <c r="Q49" s="4" t="s">
        <v>936</v>
      </c>
      <c r="R49" s="11" t="s">
        <v>247</v>
      </c>
      <c r="S49" s="11">
        <v>4</v>
      </c>
      <c r="T49" s="2">
        <v>12056</v>
      </c>
      <c r="U49" s="12">
        <f t="shared" ref="U49:U55" si="68">T49/N49*1000</f>
        <v>77.918384757571445</v>
      </c>
      <c r="V49" s="2">
        <v>8300</v>
      </c>
      <c r="W49" s="23">
        <f t="shared" si="44"/>
        <v>53.643214456523147</v>
      </c>
      <c r="X49" s="1912">
        <f t="shared" si="45"/>
        <v>0.31154611811546118</v>
      </c>
      <c r="Y49" s="13">
        <f t="shared" si="46"/>
        <v>3756</v>
      </c>
      <c r="Z49" s="992">
        <v>42986</v>
      </c>
      <c r="AA49" s="49">
        <f>'16.17 Meter Data'!Y445</f>
        <v>15964.606388453753</v>
      </c>
      <c r="AB49" s="40">
        <f t="shared" si="60"/>
        <v>103.17985592889207</v>
      </c>
      <c r="AC49" s="1391" t="s">
        <v>1298</v>
      </c>
      <c r="AD49" s="1393">
        <v>58</v>
      </c>
      <c r="AE49" s="1912">
        <f t="shared" si="61"/>
        <v>-0.32420424589032454</v>
      </c>
      <c r="AF49" s="1912"/>
      <c r="AG49" s="51">
        <f t="shared" si="62"/>
        <v>-3908.6063884537525</v>
      </c>
      <c r="AH49" s="4" t="s">
        <v>936</v>
      </c>
      <c r="AI49" s="15">
        <v>220350</v>
      </c>
      <c r="AJ49" s="7">
        <f t="shared" si="47"/>
        <v>1.4241303982523945</v>
      </c>
      <c r="AK49" s="15">
        <v>143383</v>
      </c>
      <c r="AL49" s="7">
        <f t="shared" si="48"/>
        <v>0.9266897612553805</v>
      </c>
      <c r="AM49" s="8">
        <f t="shared" si="49"/>
        <v>0.34929430451554344</v>
      </c>
      <c r="AN49" s="16">
        <f t="shared" si="50"/>
        <v>76967</v>
      </c>
      <c r="AO49" s="15">
        <f>'16.17 Meter Data'!W451</f>
        <v>271838.95372503949</v>
      </c>
      <c r="AP49" s="22">
        <f t="shared" si="56"/>
        <v>1.7569054569047187</v>
      </c>
      <c r="AQ49" s="47">
        <f t="shared" si="63"/>
        <v>-0.23366895268908325</v>
      </c>
      <c r="AR49" s="48">
        <f t="shared" si="64"/>
        <v>-51488.953725039493</v>
      </c>
      <c r="AS49" s="4" t="s">
        <v>936</v>
      </c>
      <c r="AT49" s="2">
        <v>5618485</v>
      </c>
      <c r="AU49" s="2">
        <f t="shared" si="58"/>
        <v>22384.402390438248</v>
      </c>
      <c r="AV49" s="2">
        <f t="shared" si="51"/>
        <v>36.312481418766076</v>
      </c>
      <c r="AW49" s="2">
        <v>4483837</v>
      </c>
      <c r="AX49" s="9">
        <f t="shared" si="59"/>
        <v>17863.892430278884</v>
      </c>
      <c r="AY49" s="10">
        <f t="shared" si="52"/>
        <v>28.979208407119682</v>
      </c>
      <c r="AZ49" s="8">
        <f t="shared" si="53"/>
        <v>0.20194910193762197</v>
      </c>
      <c r="BA49" s="2">
        <f t="shared" si="54"/>
        <v>1134648</v>
      </c>
      <c r="BB49" s="242">
        <f>'16.17 Meter Data'!W446</f>
        <v>2965820</v>
      </c>
      <c r="BC49" s="2">
        <f t="shared" si="65"/>
        <v>11816.01593625498</v>
      </c>
      <c r="BD49" s="2">
        <f t="shared" si="66"/>
        <v>19.168207024029574</v>
      </c>
      <c r="BE49" s="8">
        <f t="shared" si="67"/>
        <v>0.4721317223415209</v>
      </c>
      <c r="BF49" s="4" t="s">
        <v>437</v>
      </c>
      <c r="BG49" s="64">
        <v>32712171</v>
      </c>
      <c r="BH49" s="42">
        <f t="shared" si="38"/>
        <v>211.42000051704304</v>
      </c>
      <c r="BI49" s="42">
        <f>BG49-41.63*N49</f>
        <v>26270927.619999997</v>
      </c>
      <c r="BJ49" s="15">
        <f>8023000*N49/541421</f>
        <v>2292793.7741609579</v>
      </c>
      <c r="BK49" s="15">
        <v>0</v>
      </c>
      <c r="BL49" s="3"/>
      <c r="BM49" s="15">
        <f>379066*N49/541421</f>
        <v>108328.57594367415</v>
      </c>
      <c r="BN49" s="1353"/>
      <c r="BO49" s="1" t="s">
        <v>314</v>
      </c>
      <c r="BP49" s="11" t="s">
        <v>247</v>
      </c>
      <c r="BQ49" s="3"/>
      <c r="BR49" s="3"/>
    </row>
    <row r="50" spans="1:70" s="41" customFormat="1" ht="27.6" customHeight="1" x14ac:dyDescent="0.2">
      <c r="A50" s="28" t="s">
        <v>1249</v>
      </c>
      <c r="B50" s="11">
        <v>47</v>
      </c>
      <c r="C50" s="915" t="s">
        <v>952</v>
      </c>
      <c r="D50" s="11" t="s">
        <v>109</v>
      </c>
      <c r="E50" s="11" t="s">
        <v>993</v>
      </c>
      <c r="F50" s="11" t="s">
        <v>548</v>
      </c>
      <c r="G50" s="1" t="s">
        <v>134</v>
      </c>
      <c r="H50" s="37">
        <v>40840</v>
      </c>
      <c r="I50" s="1" t="s">
        <v>4</v>
      </c>
      <c r="J50" s="33" t="s">
        <v>244</v>
      </c>
      <c r="K50" s="60">
        <v>41493</v>
      </c>
      <c r="L50" s="28" t="s">
        <v>135</v>
      </c>
      <c r="M50" s="1">
        <v>243</v>
      </c>
      <c r="N50" s="2">
        <v>116224</v>
      </c>
      <c r="O50" s="19">
        <f t="shared" si="57"/>
        <v>478.28806584362138</v>
      </c>
      <c r="P50" s="14">
        <v>5</v>
      </c>
      <c r="Q50" s="28" t="s">
        <v>1249</v>
      </c>
      <c r="R50" s="11" t="s">
        <v>247</v>
      </c>
      <c r="S50" s="11">
        <v>4</v>
      </c>
      <c r="T50" s="2">
        <v>5889</v>
      </c>
      <c r="U50" s="10">
        <f t="shared" si="68"/>
        <v>50.669397026431717</v>
      </c>
      <c r="V50" s="2">
        <v>4141</v>
      </c>
      <c r="W50" s="10">
        <f t="shared" si="44"/>
        <v>35.629474118942731</v>
      </c>
      <c r="X50" s="8">
        <f t="shared" si="45"/>
        <v>0.29682458821531671</v>
      </c>
      <c r="Y50" s="2">
        <f t="shared" si="46"/>
        <v>1748</v>
      </c>
      <c r="Z50" s="992">
        <v>42978</v>
      </c>
      <c r="AA50" s="2">
        <f>'16.17 Meter Data'!Y456</f>
        <v>3256.6265697208642</v>
      </c>
      <c r="AB50" s="40">
        <f t="shared" si="60"/>
        <v>28.020258894211732</v>
      </c>
      <c r="AC50" s="1391" t="s">
        <v>1308</v>
      </c>
      <c r="AD50" s="1393">
        <v>46</v>
      </c>
      <c r="AE50" s="1912">
        <f t="shared" si="61"/>
        <v>0.44699837498372147</v>
      </c>
      <c r="AF50" s="1611" t="s">
        <v>955</v>
      </c>
      <c r="AG50" s="51">
        <f t="shared" si="62"/>
        <v>2632.3734302791358</v>
      </c>
      <c r="AH50" s="28" t="s">
        <v>1249</v>
      </c>
      <c r="AI50" s="15">
        <v>127318</v>
      </c>
      <c r="AJ50" s="7">
        <f t="shared" si="47"/>
        <v>1.0954536068281939</v>
      </c>
      <c r="AK50" s="15">
        <v>80286</v>
      </c>
      <c r="AL50" s="7">
        <f t="shared" si="48"/>
        <v>0.69078675660792954</v>
      </c>
      <c r="AM50" s="8">
        <f t="shared" si="49"/>
        <v>0.36940573995821485</v>
      </c>
      <c r="AN50" s="15">
        <f t="shared" si="50"/>
        <v>47032</v>
      </c>
      <c r="AO50" s="15">
        <f>'16.17 Meter Data'!W460</f>
        <v>67928.959999999992</v>
      </c>
      <c r="AP50" s="22">
        <f t="shared" si="56"/>
        <v>0.58446585903083692</v>
      </c>
      <c r="AQ50" s="47">
        <f t="shared" si="63"/>
        <v>0.46646224414458293</v>
      </c>
      <c r="AR50" s="48">
        <f t="shared" si="64"/>
        <v>59389.040000000008</v>
      </c>
      <c r="AS50" s="28" t="s">
        <v>1249</v>
      </c>
      <c r="AT50" s="2">
        <v>2900134</v>
      </c>
      <c r="AU50" s="2">
        <f t="shared" si="58"/>
        <v>11934.707818930041</v>
      </c>
      <c r="AV50" s="10">
        <f t="shared" si="51"/>
        <v>24.952970126651984</v>
      </c>
      <c r="AW50" s="2">
        <v>2258696</v>
      </c>
      <c r="AX50" s="9">
        <f t="shared" si="59"/>
        <v>9295.0452674897115</v>
      </c>
      <c r="AY50" s="10">
        <f t="shared" si="52"/>
        <v>19.433989537444933</v>
      </c>
      <c r="AZ50" s="8">
        <f t="shared" si="53"/>
        <v>0.22117529741729175</v>
      </c>
      <c r="BA50" s="2">
        <f t="shared" si="54"/>
        <v>641438</v>
      </c>
      <c r="BB50" s="242">
        <f>'16.17 Meter Data'!W457</f>
        <v>1613548.1640000003</v>
      </c>
      <c r="BC50" s="2">
        <f t="shared" si="65"/>
        <v>6640.1159012345697</v>
      </c>
      <c r="BD50" s="2">
        <f t="shared" si="66"/>
        <v>13.883089241464761</v>
      </c>
      <c r="BE50" s="8">
        <f t="shared" si="67"/>
        <v>0.44362978952007032</v>
      </c>
      <c r="BF50" s="28" t="s">
        <v>1249</v>
      </c>
      <c r="BG50" s="71" t="s">
        <v>244</v>
      </c>
      <c r="BH50" s="42"/>
      <c r="BI50" s="3"/>
      <c r="BJ50" s="71" t="s">
        <v>244</v>
      </c>
      <c r="BK50" s="15"/>
      <c r="BL50" s="3"/>
      <c r="BM50" s="33" t="s">
        <v>244</v>
      </c>
      <c r="BN50" s="1353"/>
      <c r="BO50" s="1" t="s">
        <v>297</v>
      </c>
      <c r="BP50" s="11" t="s">
        <v>247</v>
      </c>
    </row>
    <row r="51" spans="1:70" s="41" customFormat="1" ht="27.6" customHeight="1" x14ac:dyDescent="0.2">
      <c r="A51" s="28" t="s">
        <v>1250</v>
      </c>
      <c r="B51" s="11">
        <v>48</v>
      </c>
      <c r="C51" s="915" t="s">
        <v>952</v>
      </c>
      <c r="D51" s="11" t="s">
        <v>109</v>
      </c>
      <c r="E51" s="11" t="s">
        <v>993</v>
      </c>
      <c r="F51" s="11" t="s">
        <v>548</v>
      </c>
      <c r="G51" s="1" t="s">
        <v>134</v>
      </c>
      <c r="H51" s="37">
        <v>40840</v>
      </c>
      <c r="I51" s="1" t="s">
        <v>4</v>
      </c>
      <c r="J51" s="33" t="s">
        <v>244</v>
      </c>
      <c r="K51" s="60">
        <v>41493</v>
      </c>
      <c r="L51" s="28" t="s">
        <v>135</v>
      </c>
      <c r="M51" s="1">
        <v>130</v>
      </c>
      <c r="N51" s="2">
        <v>56295</v>
      </c>
      <c r="O51" s="19">
        <f t="shared" si="57"/>
        <v>433.03846153846155</v>
      </c>
      <c r="P51" s="14">
        <v>5</v>
      </c>
      <c r="Q51" s="28" t="s">
        <v>1250</v>
      </c>
      <c r="R51" s="11" t="s">
        <v>247</v>
      </c>
      <c r="S51" s="11">
        <v>4</v>
      </c>
      <c r="T51" s="2">
        <v>5889</v>
      </c>
      <c r="U51" s="10">
        <f t="shared" si="68"/>
        <v>104.60964561683986</v>
      </c>
      <c r="V51" s="2">
        <v>4141</v>
      </c>
      <c r="W51" s="10">
        <f t="shared" si="44"/>
        <v>73.55893063327116</v>
      </c>
      <c r="X51" s="8">
        <f t="shared" si="45"/>
        <v>0.29682458821531671</v>
      </c>
      <c r="Y51" s="2">
        <f t="shared" si="46"/>
        <v>1748</v>
      </c>
      <c r="Z51" s="992">
        <v>42978</v>
      </c>
      <c r="AA51" s="2">
        <f>'16.17 Meter Data'!Y465</f>
        <v>2168.4506127907998</v>
      </c>
      <c r="AB51" s="40">
        <f t="shared" si="60"/>
        <v>38.519417582215119</v>
      </c>
      <c r="AC51" s="1391" t="s">
        <v>1308</v>
      </c>
      <c r="AD51" s="1393">
        <v>46</v>
      </c>
      <c r="AE51" s="1912">
        <f t="shared" si="61"/>
        <v>0.63177948500750558</v>
      </c>
      <c r="AF51" s="1611" t="s">
        <v>955</v>
      </c>
      <c r="AG51" s="51">
        <f t="shared" si="62"/>
        <v>3720.5493872092002</v>
      </c>
      <c r="AH51" s="28" t="s">
        <v>1250</v>
      </c>
      <c r="AI51" s="15">
        <v>127318</v>
      </c>
      <c r="AJ51" s="7">
        <f t="shared" si="47"/>
        <v>2.2616218136601831</v>
      </c>
      <c r="AK51" s="15">
        <v>80286</v>
      </c>
      <c r="AL51" s="7">
        <f t="shared" si="48"/>
        <v>1.4261657340794032</v>
      </c>
      <c r="AM51" s="8">
        <f t="shared" si="49"/>
        <v>0.36940573995821485</v>
      </c>
      <c r="AN51" s="15">
        <f t="shared" si="50"/>
        <v>47032</v>
      </c>
      <c r="AO51" s="15">
        <f>'16.17 Meter Data'!W469</f>
        <v>45823.79</v>
      </c>
      <c r="AP51" s="22">
        <f t="shared" si="56"/>
        <v>0.81399396038724581</v>
      </c>
      <c r="AQ51" s="47">
        <f t="shared" si="63"/>
        <v>0.64008396299030768</v>
      </c>
      <c r="AR51" s="48">
        <f t="shared" si="64"/>
        <v>81494.209999999992</v>
      </c>
      <c r="AS51" s="28" t="s">
        <v>1250</v>
      </c>
      <c r="AT51" s="2">
        <v>1736095</v>
      </c>
      <c r="AU51" s="2">
        <f t="shared" si="58"/>
        <v>13354.576923076924</v>
      </c>
      <c r="AV51" s="10">
        <f t="shared" si="51"/>
        <v>30.839239719335641</v>
      </c>
      <c r="AW51" s="2">
        <v>1384588</v>
      </c>
      <c r="AX51" s="9">
        <f t="shared" si="59"/>
        <v>10650.676923076922</v>
      </c>
      <c r="AY51" s="10">
        <f t="shared" si="52"/>
        <v>24.595221600497378</v>
      </c>
      <c r="AZ51" s="8">
        <f t="shared" si="53"/>
        <v>0.20246991092077335</v>
      </c>
      <c r="BA51" s="2">
        <f t="shared" si="54"/>
        <v>351507</v>
      </c>
      <c r="BB51" s="242">
        <f>'16.17 Meter Data'!W466</f>
        <v>2223210.5440000002</v>
      </c>
      <c r="BC51" s="2">
        <f t="shared" si="65"/>
        <v>17101.61956923077</v>
      </c>
      <c r="BD51" s="2">
        <f t="shared" si="66"/>
        <v>39.492149285016438</v>
      </c>
      <c r="BE51" s="8">
        <f t="shared" si="67"/>
        <v>-0.28058115713713838</v>
      </c>
      <c r="BF51" s="28" t="s">
        <v>1250</v>
      </c>
      <c r="BG51" s="71" t="s">
        <v>244</v>
      </c>
      <c r="BH51" s="42"/>
      <c r="BI51" s="3"/>
      <c r="BJ51" s="71" t="s">
        <v>244</v>
      </c>
      <c r="BK51" s="15"/>
      <c r="BL51" s="3"/>
      <c r="BM51" s="33" t="s">
        <v>244</v>
      </c>
      <c r="BN51" s="1353"/>
      <c r="BO51" s="1" t="s">
        <v>297</v>
      </c>
      <c r="BP51" s="11" t="s">
        <v>247</v>
      </c>
    </row>
    <row r="52" spans="1:70" s="41" customFormat="1" ht="27.6" customHeight="1" x14ac:dyDescent="0.2">
      <c r="A52" s="28" t="s">
        <v>1251</v>
      </c>
      <c r="B52" s="11">
        <v>49</v>
      </c>
      <c r="C52" s="915" t="s">
        <v>952</v>
      </c>
      <c r="D52" s="11" t="s">
        <v>109</v>
      </c>
      <c r="E52" s="11" t="s">
        <v>993</v>
      </c>
      <c r="F52" s="11" t="s">
        <v>548</v>
      </c>
      <c r="G52" s="1" t="s">
        <v>134</v>
      </c>
      <c r="H52" s="37">
        <v>40840</v>
      </c>
      <c r="I52" s="1" t="s">
        <v>4</v>
      </c>
      <c r="J52" s="33" t="s">
        <v>244</v>
      </c>
      <c r="K52" s="60">
        <v>41493</v>
      </c>
      <c r="L52" s="28" t="s">
        <v>135</v>
      </c>
      <c r="M52" s="1">
        <v>209</v>
      </c>
      <c r="N52" s="2">
        <v>89104</v>
      </c>
      <c r="O52" s="19">
        <f t="shared" si="57"/>
        <v>426.33492822966508</v>
      </c>
      <c r="P52" s="14">
        <v>5</v>
      </c>
      <c r="Q52" s="28" t="str">
        <f>A52</f>
        <v>Spartan Village 4 - Union Residence Hall</v>
      </c>
      <c r="R52" s="11" t="s">
        <v>247</v>
      </c>
      <c r="S52" s="11">
        <v>4</v>
      </c>
      <c r="T52" s="2">
        <v>5889</v>
      </c>
      <c r="U52" s="10">
        <f t="shared" si="68"/>
        <v>66.09130903214222</v>
      </c>
      <c r="V52" s="2">
        <v>4141</v>
      </c>
      <c r="W52" s="10">
        <f t="shared" si="44"/>
        <v>46.473783444065361</v>
      </c>
      <c r="X52" s="8">
        <f t="shared" si="45"/>
        <v>0.29682458821531671</v>
      </c>
      <c r="Y52" s="2">
        <f t="shared" si="46"/>
        <v>1748</v>
      </c>
      <c r="Z52" s="992">
        <v>42978</v>
      </c>
      <c r="AA52" s="2">
        <f>'16.17 Meter Data'!Y474</f>
        <v>2660.4062249281524</v>
      </c>
      <c r="AB52" s="40">
        <f t="shared" si="60"/>
        <v>29.857315327349529</v>
      </c>
      <c r="AC52" s="1391" t="s">
        <v>1308</v>
      </c>
      <c r="AD52" s="1393">
        <v>46</v>
      </c>
      <c r="AE52" s="1912">
        <f t="shared" si="61"/>
        <v>0.54824142894750338</v>
      </c>
      <c r="AF52" s="1611" t="s">
        <v>955</v>
      </c>
      <c r="AG52" s="51">
        <f t="shared" si="62"/>
        <v>3228.5937750718476</v>
      </c>
      <c r="AH52" s="28" t="s">
        <v>1251</v>
      </c>
      <c r="AI52" s="15">
        <v>127318</v>
      </c>
      <c r="AJ52" s="7">
        <f t="shared" si="47"/>
        <v>1.4288696354821333</v>
      </c>
      <c r="AK52" s="15">
        <v>80286</v>
      </c>
      <c r="AL52" s="7">
        <f t="shared" si="48"/>
        <v>0.9010369904830311</v>
      </c>
      <c r="AM52" s="8">
        <f t="shared" si="49"/>
        <v>0.36940573995821485</v>
      </c>
      <c r="AN52" s="15">
        <f t="shared" si="50"/>
        <v>47032</v>
      </c>
      <c r="AO52" s="15">
        <f>'16.17 Meter Data'!W478</f>
        <v>54137.49</v>
      </c>
      <c r="AP52" s="22">
        <f t="shared" si="56"/>
        <v>0.60757642754534025</v>
      </c>
      <c r="AQ52" s="47">
        <f t="shared" si="63"/>
        <v>0.57478526209962466</v>
      </c>
      <c r="AR52" s="48">
        <f t="shared" si="64"/>
        <v>73180.510000000009</v>
      </c>
      <c r="AS52" s="28" t="str">
        <f>AH52</f>
        <v>Spartan Village 4 - Union Residence Hall</v>
      </c>
      <c r="AT52" s="2">
        <v>2627757</v>
      </c>
      <c r="AU52" s="2">
        <f t="shared" si="58"/>
        <v>12573</v>
      </c>
      <c r="AV52" s="10">
        <f t="shared" si="51"/>
        <v>29.490898276171663</v>
      </c>
      <c r="AW52" s="2">
        <v>2069683</v>
      </c>
      <c r="AX52" s="9">
        <f t="shared" si="59"/>
        <v>9902.78947368421</v>
      </c>
      <c r="AY52" s="10">
        <f t="shared" si="52"/>
        <v>23.227722661159994</v>
      </c>
      <c r="AZ52" s="8">
        <f t="shared" si="53"/>
        <v>0.2123765629774747</v>
      </c>
      <c r="BA52" s="2">
        <f t="shared" si="54"/>
        <v>558074</v>
      </c>
      <c r="BB52" s="242">
        <f>'16.17 Meter Data'!W475</f>
        <v>2450140.4159999997</v>
      </c>
      <c r="BC52" s="2">
        <f t="shared" si="65"/>
        <v>11723.159885167463</v>
      </c>
      <c r="BD52" s="2">
        <f t="shared" si="66"/>
        <v>27.49753564374214</v>
      </c>
      <c r="BE52" s="8">
        <f t="shared" si="67"/>
        <v>6.7592469166669625E-2</v>
      </c>
      <c r="BF52" s="28" t="s">
        <v>1251</v>
      </c>
      <c r="BG52" s="71" t="s">
        <v>244</v>
      </c>
      <c r="BH52" s="42"/>
      <c r="BI52" s="3"/>
      <c r="BJ52" s="71" t="s">
        <v>244</v>
      </c>
      <c r="BK52" s="15"/>
      <c r="BL52" s="3"/>
      <c r="BM52" s="33" t="s">
        <v>244</v>
      </c>
      <c r="BN52" s="1353"/>
      <c r="BO52" s="1" t="s">
        <v>297</v>
      </c>
      <c r="BP52" s="11" t="s">
        <v>247</v>
      </c>
    </row>
    <row r="53" spans="1:70" s="3" customFormat="1" ht="27.6" customHeight="1" x14ac:dyDescent="0.2">
      <c r="A53" s="28" t="s">
        <v>284</v>
      </c>
      <c r="B53" s="11">
        <v>50</v>
      </c>
      <c r="C53" s="915" t="s">
        <v>954</v>
      </c>
      <c r="D53" s="11" t="s">
        <v>100</v>
      </c>
      <c r="E53" s="11" t="s">
        <v>1000</v>
      </c>
      <c r="F53" s="11" t="s">
        <v>549</v>
      </c>
      <c r="G53" s="1" t="s">
        <v>159</v>
      </c>
      <c r="H53" s="37">
        <v>41108</v>
      </c>
      <c r="I53" s="1" t="s">
        <v>10</v>
      </c>
      <c r="J53" s="33" t="s">
        <v>244</v>
      </c>
      <c r="K53" s="60">
        <v>41499</v>
      </c>
      <c r="L53" s="28" t="s">
        <v>135</v>
      </c>
      <c r="M53" s="1">
        <v>227</v>
      </c>
      <c r="N53" s="2">
        <v>55626</v>
      </c>
      <c r="O53" s="19">
        <f t="shared" si="57"/>
        <v>245.04845814977975</v>
      </c>
      <c r="P53" s="14">
        <v>5</v>
      </c>
      <c r="Q53" s="28" t="s">
        <v>284</v>
      </c>
      <c r="R53" s="11" t="s">
        <v>247</v>
      </c>
      <c r="S53" s="11">
        <v>4</v>
      </c>
      <c r="T53" s="2">
        <v>6193</v>
      </c>
      <c r="U53" s="10">
        <f t="shared" si="68"/>
        <v>111.33282997159603</v>
      </c>
      <c r="V53" s="2">
        <v>4672</v>
      </c>
      <c r="W53" s="10">
        <f t="shared" si="44"/>
        <v>83.98950131233596</v>
      </c>
      <c r="X53" s="8">
        <f t="shared" si="45"/>
        <v>0.24559987082189569</v>
      </c>
      <c r="Y53" s="2">
        <f t="shared" si="46"/>
        <v>1521</v>
      </c>
      <c r="Z53" s="992">
        <v>42975</v>
      </c>
      <c r="AA53" s="2">
        <f>'16.17 Meter Data'!Y484</f>
        <v>7804.1190735569471</v>
      </c>
      <c r="AB53" s="40">
        <f t="shared" si="60"/>
        <v>140.29624768196433</v>
      </c>
      <c r="AC53" s="1391" t="s">
        <v>1298</v>
      </c>
      <c r="AD53" s="1393">
        <v>58</v>
      </c>
      <c r="AE53" s="1912">
        <f t="shared" si="61"/>
        <v>-0.26015163467736913</v>
      </c>
      <c r="AF53" s="1912"/>
      <c r="AG53" s="51">
        <f t="shared" si="62"/>
        <v>-1611.1190735569471</v>
      </c>
      <c r="AH53" s="28" t="s">
        <v>284</v>
      </c>
      <c r="AI53" s="15">
        <v>87219</v>
      </c>
      <c r="AJ53" s="7">
        <f t="shared" si="47"/>
        <v>1.5679538345378061</v>
      </c>
      <c r="AK53" s="15">
        <v>53012</v>
      </c>
      <c r="AL53" s="7">
        <f t="shared" si="48"/>
        <v>0.95300758638046956</v>
      </c>
      <c r="AM53" s="8">
        <f t="shared" si="49"/>
        <v>0.39219665439869755</v>
      </c>
      <c r="AN53" s="15">
        <f t="shared" si="50"/>
        <v>34207</v>
      </c>
      <c r="AO53" s="15">
        <f>'16.17 Meter Data'!W489</f>
        <v>96312.686390881572</v>
      </c>
      <c r="AP53" s="22">
        <f t="shared" si="56"/>
        <v>1.7314328981210507</v>
      </c>
      <c r="AQ53" s="47">
        <f t="shared" si="63"/>
        <v>-0.10426267660580346</v>
      </c>
      <c r="AR53" s="48">
        <f t="shared" si="64"/>
        <v>-9093.6863908815722</v>
      </c>
      <c r="AS53" s="28" t="s">
        <v>284</v>
      </c>
      <c r="AT53" s="2">
        <v>2317437</v>
      </c>
      <c r="AU53" s="2">
        <f t="shared" si="58"/>
        <v>10208.973568281939</v>
      </c>
      <c r="AV53" s="10">
        <f t="shared" si="51"/>
        <v>41.661039801531658</v>
      </c>
      <c r="AW53" s="2">
        <v>1848705</v>
      </c>
      <c r="AX53" s="9">
        <f t="shared" si="59"/>
        <v>8144.0748898678412</v>
      </c>
      <c r="AY53" s="10">
        <f t="shared" si="52"/>
        <v>33.234548592384854</v>
      </c>
      <c r="AZ53" s="8">
        <f t="shared" si="53"/>
        <v>0.20226310359246011</v>
      </c>
      <c r="BA53" s="2">
        <f t="shared" si="54"/>
        <v>468732</v>
      </c>
      <c r="BB53" s="242">
        <f>'16.17 Meter Data'!W485</f>
        <v>5569940.8600000003</v>
      </c>
      <c r="BC53" s="2">
        <f t="shared" si="65"/>
        <v>24537.184405286345</v>
      </c>
      <c r="BD53" s="2">
        <f t="shared" si="66"/>
        <v>100.13196814439291</v>
      </c>
      <c r="BE53" s="8">
        <f t="shared" si="67"/>
        <v>-1.403491814448462</v>
      </c>
      <c r="BF53" s="28" t="s">
        <v>284</v>
      </c>
      <c r="BG53" s="244">
        <v>10000000</v>
      </c>
      <c r="BH53" s="42">
        <f>BG53/N53</f>
        <v>179.77204904181497</v>
      </c>
      <c r="BI53" s="15">
        <v>9516280</v>
      </c>
      <c r="BJ53" s="71" t="s">
        <v>244</v>
      </c>
      <c r="BK53" s="15"/>
      <c r="BM53" s="33" t="s">
        <v>244</v>
      </c>
      <c r="BN53" s="1353"/>
      <c r="BO53" s="1" t="s">
        <v>295</v>
      </c>
      <c r="BP53" s="11" t="s">
        <v>247</v>
      </c>
      <c r="BQ53" s="41"/>
      <c r="BR53" s="41"/>
    </row>
    <row r="54" spans="1:70" s="41" customFormat="1" ht="27.6" customHeight="1" x14ac:dyDescent="0.2">
      <c r="A54" s="4" t="s">
        <v>47</v>
      </c>
      <c r="B54" s="11">
        <v>51</v>
      </c>
      <c r="C54" s="915" t="s">
        <v>952</v>
      </c>
      <c r="D54" s="11" t="s">
        <v>80</v>
      </c>
      <c r="E54" s="11" t="s">
        <v>996</v>
      </c>
      <c r="F54" s="11" t="s">
        <v>1481</v>
      </c>
      <c r="G54" s="1" t="s">
        <v>74</v>
      </c>
      <c r="H54" s="33">
        <v>40303</v>
      </c>
      <c r="I54" s="11" t="s">
        <v>10</v>
      </c>
      <c r="J54" s="33">
        <v>40492</v>
      </c>
      <c r="K54" s="60">
        <v>41508</v>
      </c>
      <c r="L54" s="4" t="s">
        <v>48</v>
      </c>
      <c r="M54" s="11" t="s">
        <v>13</v>
      </c>
      <c r="N54" s="6">
        <v>233900</v>
      </c>
      <c r="O54" s="6"/>
      <c r="P54" s="49">
        <v>6</v>
      </c>
      <c r="Q54" s="4" t="s">
        <v>47</v>
      </c>
      <c r="R54" s="11" t="s">
        <v>247</v>
      </c>
      <c r="S54" s="11">
        <v>3</v>
      </c>
      <c r="T54" s="2">
        <v>12463</v>
      </c>
      <c r="U54" s="12">
        <f t="shared" si="68"/>
        <v>53.283454467721249</v>
      </c>
      <c r="V54" s="2">
        <v>8391</v>
      </c>
      <c r="W54" s="23">
        <f t="shared" si="44"/>
        <v>35.87430525865755</v>
      </c>
      <c r="X54" s="1912">
        <f t="shared" si="45"/>
        <v>0.32672711225226669</v>
      </c>
      <c r="Y54" s="9">
        <f t="shared" si="46"/>
        <v>4072</v>
      </c>
      <c r="Z54" s="992">
        <v>42935</v>
      </c>
      <c r="AA54" s="9">
        <f>'16.17 Meter Data'!Y494</f>
        <v>26434.088689851022</v>
      </c>
      <c r="AB54" s="40">
        <f t="shared" si="60"/>
        <v>113.01448777191544</v>
      </c>
      <c r="AC54" s="1391" t="s">
        <v>1300</v>
      </c>
      <c r="AD54" s="1393">
        <v>62</v>
      </c>
      <c r="AE54" s="1912">
        <f t="shared" si="61"/>
        <v>-1.121005270789619</v>
      </c>
      <c r="AF54" s="1912"/>
      <c r="AG54" s="51">
        <f t="shared" si="62"/>
        <v>-13971.088689851022</v>
      </c>
      <c r="AH54" s="4" t="s">
        <v>47</v>
      </c>
      <c r="AI54" s="15">
        <v>407210</v>
      </c>
      <c r="AJ54" s="7">
        <f t="shared" si="47"/>
        <v>1.7409576742197521</v>
      </c>
      <c r="AK54" s="15">
        <v>294497</v>
      </c>
      <c r="AL54" s="7">
        <f t="shared" si="48"/>
        <v>1.2590722530996152</v>
      </c>
      <c r="AM54" s="8">
        <f t="shared" si="49"/>
        <v>0.27679330075391073</v>
      </c>
      <c r="AN54" s="15">
        <f t="shared" si="50"/>
        <v>112713</v>
      </c>
      <c r="AO54" s="29">
        <f>'16.17 Meter Data'!W498</f>
        <v>352676.93000000005</v>
      </c>
      <c r="AP54" s="22">
        <f t="shared" si="56"/>
        <v>1.5078107310816591</v>
      </c>
      <c r="AQ54" s="47">
        <f t="shared" si="63"/>
        <v>0.13391878883131542</v>
      </c>
      <c r="AR54" s="48">
        <f t="shared" si="64"/>
        <v>54533.069999999949</v>
      </c>
      <c r="AS54" s="4" t="s">
        <v>47</v>
      </c>
      <c r="AT54" s="2">
        <v>1939781</v>
      </c>
      <c r="AU54" s="1" t="s">
        <v>13</v>
      </c>
      <c r="AV54" s="10">
        <f t="shared" si="51"/>
        <v>8.2932064985036344</v>
      </c>
      <c r="AW54" s="2">
        <v>1222056</v>
      </c>
      <c r="AX54" s="1" t="s">
        <v>13</v>
      </c>
      <c r="AY54" s="10">
        <f t="shared" si="52"/>
        <v>5.2246943138093203</v>
      </c>
      <c r="AZ54" s="8">
        <f t="shared" si="53"/>
        <v>0.37000310859834179</v>
      </c>
      <c r="BA54" s="2">
        <f t="shared" si="54"/>
        <v>717725</v>
      </c>
      <c r="BB54" s="1349">
        <f>'16.17 Meter Data'!W495</f>
        <v>3911000</v>
      </c>
      <c r="BC54" s="9" t="s">
        <v>13</v>
      </c>
      <c r="BD54" s="2">
        <f t="shared" si="66"/>
        <v>16.720820863616929</v>
      </c>
      <c r="BE54" s="8">
        <f t="shared" si="67"/>
        <v>-1.0162069841904833</v>
      </c>
      <c r="BF54" s="4" t="s">
        <v>47</v>
      </c>
      <c r="BG54" s="64">
        <v>38141300</v>
      </c>
      <c r="BH54" s="42">
        <f>BG54/N54</f>
        <v>163.06669516887558</v>
      </c>
      <c r="BI54" s="15">
        <f>BG54-514107</f>
        <v>37627193</v>
      </c>
      <c r="BJ54" s="15">
        <v>6113085</v>
      </c>
      <c r="BK54" s="15">
        <f>110000+229250</f>
        <v>339250</v>
      </c>
      <c r="BL54" s="3"/>
      <c r="BM54" s="15">
        <v>237711</v>
      </c>
      <c r="BN54" s="1353">
        <f>((BG54-BI54)+BK54+BL54+BM54)/AN54</f>
        <v>9.6800546520809494</v>
      </c>
      <c r="BO54" s="11" t="s">
        <v>312</v>
      </c>
      <c r="BP54" s="11" t="s">
        <v>247</v>
      </c>
    </row>
    <row r="55" spans="1:70" s="1737" customFormat="1" ht="27.6" customHeight="1" thickBot="1" x14ac:dyDescent="0.25">
      <c r="A55" s="1716" t="s">
        <v>1022</v>
      </c>
      <c r="B55" s="1711">
        <v>52</v>
      </c>
      <c r="C55" s="1711" t="s">
        <v>951</v>
      </c>
      <c r="D55" s="1711" t="s">
        <v>68</v>
      </c>
      <c r="E55" s="1711" t="s">
        <v>992</v>
      </c>
      <c r="F55" s="1711" t="s">
        <v>650</v>
      </c>
      <c r="G55" s="1712" t="s">
        <v>67</v>
      </c>
      <c r="H55" s="1713">
        <v>40969</v>
      </c>
      <c r="I55" s="1712" t="s">
        <v>10</v>
      </c>
      <c r="J55" s="1714">
        <v>41030</v>
      </c>
      <c r="K55" s="1715">
        <v>41513</v>
      </c>
      <c r="L55" s="1716" t="s">
        <v>69</v>
      </c>
      <c r="M55" s="1712" t="s">
        <v>13</v>
      </c>
      <c r="N55" s="1753">
        <v>49170</v>
      </c>
      <c r="O55" s="1753"/>
      <c r="P55" s="1719">
        <v>2</v>
      </c>
      <c r="Q55" s="1716" t="s">
        <v>1022</v>
      </c>
      <c r="R55" s="1711" t="s">
        <v>247</v>
      </c>
      <c r="S55" s="1711">
        <v>3</v>
      </c>
      <c r="T55" s="1717">
        <v>2396</v>
      </c>
      <c r="U55" s="1720">
        <f t="shared" si="68"/>
        <v>48.728899735611151</v>
      </c>
      <c r="V55" s="1717">
        <v>1518</v>
      </c>
      <c r="W55" s="1721">
        <f t="shared" si="44"/>
        <v>30.872483221476511</v>
      </c>
      <c r="X55" s="1743">
        <f t="shared" si="45"/>
        <v>0.36644407345575958</v>
      </c>
      <c r="Y55" s="1753">
        <f t="shared" si="46"/>
        <v>878</v>
      </c>
      <c r="Z55" s="1740">
        <v>42944</v>
      </c>
      <c r="AA55" s="1718">
        <f>'16.17 Meter Data'!Y504</f>
        <v>3443.5629799999997</v>
      </c>
      <c r="AB55" s="1741">
        <f t="shared" si="60"/>
        <v>70.033821029082773</v>
      </c>
      <c r="AC55" s="1725" t="s">
        <v>1309</v>
      </c>
      <c r="AD55" s="1726">
        <v>26</v>
      </c>
      <c r="AE55" s="1743">
        <f t="shared" si="61"/>
        <v>-0.43721326377295477</v>
      </c>
      <c r="AF55" s="1743"/>
      <c r="AG55" s="1745">
        <f t="shared" si="62"/>
        <v>-1047.5629799999997</v>
      </c>
      <c r="AH55" s="1716" t="s">
        <v>1022</v>
      </c>
      <c r="AI55" s="1727">
        <v>48568</v>
      </c>
      <c r="AJ55" s="1728">
        <f t="shared" si="47"/>
        <v>0.98775676225340658</v>
      </c>
      <c r="AK55" s="1727">
        <v>38507</v>
      </c>
      <c r="AL55" s="1728">
        <f t="shared" si="48"/>
        <v>0.7831401260931462</v>
      </c>
      <c r="AM55" s="1722">
        <f t="shared" si="49"/>
        <v>0.20715285784878934</v>
      </c>
      <c r="AN55" s="1727">
        <f t="shared" si="50"/>
        <v>10061</v>
      </c>
      <c r="AO55" s="1734">
        <f>'16.17 Meter Data'!W509</f>
        <v>37685.114999999998</v>
      </c>
      <c r="AP55" s="1746">
        <f t="shared" si="56"/>
        <v>0.76642495424039048</v>
      </c>
      <c r="AQ55" s="1747">
        <f t="shared" si="63"/>
        <v>0.22407521413276235</v>
      </c>
      <c r="AR55" s="1748">
        <f t="shared" si="64"/>
        <v>10882.885000000002</v>
      </c>
      <c r="AS55" s="1716" t="s">
        <v>1022</v>
      </c>
      <c r="AT55" s="1717">
        <v>347984</v>
      </c>
      <c r="AU55" s="1729" t="s">
        <v>13</v>
      </c>
      <c r="AV55" s="1730">
        <f t="shared" si="51"/>
        <v>7.0771608704494611</v>
      </c>
      <c r="AW55" s="1717">
        <v>227682</v>
      </c>
      <c r="AX55" s="1729" t="s">
        <v>13</v>
      </c>
      <c r="AY55" s="1730">
        <f t="shared" si="52"/>
        <v>4.6305064063453329</v>
      </c>
      <c r="AZ55" s="1722">
        <f t="shared" si="53"/>
        <v>0.34571129707112969</v>
      </c>
      <c r="BA55" s="1717">
        <f t="shared" si="54"/>
        <v>120302</v>
      </c>
      <c r="BB55" s="1711"/>
      <c r="BF55" s="1716" t="s">
        <v>1022</v>
      </c>
      <c r="BG55" s="1727">
        <v>13828376</v>
      </c>
      <c r="BH55" s="1732">
        <f>BG55/N55</f>
        <v>281.23603823469597</v>
      </c>
      <c r="BI55" s="1727">
        <v>12357348</v>
      </c>
      <c r="BJ55" s="1734">
        <v>736500</v>
      </c>
      <c r="BK55" s="2193"/>
      <c r="BL55" s="1724"/>
      <c r="BM55" s="1734">
        <v>128800</v>
      </c>
      <c r="BN55" s="1736"/>
      <c r="BO55" s="1712" t="s">
        <v>306</v>
      </c>
      <c r="BP55" s="1711" t="s">
        <v>247</v>
      </c>
    </row>
    <row r="56" spans="1:70" s="3" customFormat="1" ht="27.6" customHeight="1" thickTop="1" x14ac:dyDescent="0.2">
      <c r="A56" s="4" t="s">
        <v>937</v>
      </c>
      <c r="B56" s="11">
        <v>53</v>
      </c>
      <c r="C56" s="915" t="s">
        <v>952</v>
      </c>
      <c r="D56" s="11" t="s">
        <v>60</v>
      </c>
      <c r="E56" s="11" t="s">
        <v>989</v>
      </c>
      <c r="F56" s="11" t="s">
        <v>510</v>
      </c>
      <c r="G56" s="1" t="s">
        <v>59</v>
      </c>
      <c r="H56" s="33">
        <v>40819</v>
      </c>
      <c r="I56" s="11" t="s">
        <v>10</v>
      </c>
      <c r="J56" s="33">
        <v>40816</v>
      </c>
      <c r="K56" s="60">
        <v>41613</v>
      </c>
      <c r="L56" s="4" t="s">
        <v>54</v>
      </c>
      <c r="M56" s="1">
        <v>223</v>
      </c>
      <c r="N56" s="2">
        <v>84876</v>
      </c>
      <c r="O56" s="19">
        <f>N56/M56</f>
        <v>380.60986547085201</v>
      </c>
      <c r="P56" s="49">
        <v>6</v>
      </c>
      <c r="Q56" s="4" t="s">
        <v>937</v>
      </c>
      <c r="R56" s="11" t="s">
        <v>247</v>
      </c>
      <c r="S56" s="11">
        <v>4</v>
      </c>
      <c r="T56" s="2">
        <v>5653</v>
      </c>
      <c r="U56" s="10">
        <f>(T56/N56)*1000</f>
        <v>66.6030444413026</v>
      </c>
      <c r="V56" s="2">
        <v>3934</v>
      </c>
      <c r="W56" s="23">
        <f t="shared" si="44"/>
        <v>46.349969367076682</v>
      </c>
      <c r="X56" s="1912">
        <f t="shared" si="45"/>
        <v>0.30408632584468426</v>
      </c>
      <c r="Y56" s="6">
        <f t="shared" si="46"/>
        <v>1719</v>
      </c>
      <c r="Z56" s="992">
        <v>42986</v>
      </c>
      <c r="AA56" s="49">
        <f>'16.17 Meter Data'!Y515</f>
        <v>7127.5924849599187</v>
      </c>
      <c r="AB56" s="40">
        <f t="shared" si="60"/>
        <v>83.976536181722977</v>
      </c>
      <c r="AC56" s="1391" t="s">
        <v>1298</v>
      </c>
      <c r="AD56" s="1393">
        <v>58</v>
      </c>
      <c r="AE56" s="1912">
        <f t="shared" si="61"/>
        <v>-0.26085131522376059</v>
      </c>
      <c r="AF56" s="1912"/>
      <c r="AG56" s="51">
        <f t="shared" si="62"/>
        <v>-1474.5924849599187</v>
      </c>
      <c r="AH56" s="4" t="s">
        <v>937</v>
      </c>
      <c r="AI56" s="15">
        <v>102040</v>
      </c>
      <c r="AJ56" s="7">
        <f t="shared" si="47"/>
        <v>1.202224421509025</v>
      </c>
      <c r="AK56" s="15">
        <v>70049</v>
      </c>
      <c r="AL56" s="7">
        <f t="shared" si="48"/>
        <v>0.82530986380131011</v>
      </c>
      <c r="AM56" s="8">
        <f t="shared" si="49"/>
        <v>0.3135143081144649</v>
      </c>
      <c r="AN56" s="16">
        <f t="shared" si="50"/>
        <v>31991</v>
      </c>
      <c r="AO56" s="15">
        <f>'16.17 Meter Data'!W520</f>
        <v>112774.31176456372</v>
      </c>
      <c r="AP56" s="22">
        <f t="shared" si="56"/>
        <v>1.3286949404373878</v>
      </c>
      <c r="AQ56" s="47">
        <f t="shared" si="63"/>
        <v>-0.10519709686949946</v>
      </c>
      <c r="AR56" s="48">
        <f t="shared" si="64"/>
        <v>-10734.311764563725</v>
      </c>
      <c r="AS56" s="4" t="s">
        <v>937</v>
      </c>
      <c r="AT56" s="2">
        <v>2385879</v>
      </c>
      <c r="AU56" s="2">
        <f>AT56/M56</f>
        <v>10699.008968609865</v>
      </c>
      <c r="AV56" s="2">
        <f t="shared" si="51"/>
        <v>28.110172486922099</v>
      </c>
      <c r="AW56" s="2">
        <v>1498371</v>
      </c>
      <c r="AX56" s="9">
        <f>AW56/M56</f>
        <v>6719.1524663677128</v>
      </c>
      <c r="AY56" s="10">
        <f t="shared" si="52"/>
        <v>17.653647674254206</v>
      </c>
      <c r="AZ56" s="8">
        <f t="shared" si="53"/>
        <v>0.37198365885277501</v>
      </c>
      <c r="BA56" s="2">
        <f t="shared" si="54"/>
        <v>887508</v>
      </c>
      <c r="BB56" s="242">
        <f>'16.17 Meter Data'!W516</f>
        <v>893112</v>
      </c>
      <c r="BC56" s="2">
        <f>BB56/M56</f>
        <v>4004.9865470852019</v>
      </c>
      <c r="BD56" s="2">
        <f>BB56/N56</f>
        <v>10.522550544323483</v>
      </c>
      <c r="BE56" s="8">
        <f>(AT56-BB56)/AT56</f>
        <v>0.62566752127832137</v>
      </c>
      <c r="BF56" s="4" t="s">
        <v>937</v>
      </c>
      <c r="BG56" s="64">
        <v>17944484</v>
      </c>
      <c r="BH56" s="42">
        <f>BG56/N56</f>
        <v>211.4200009425515</v>
      </c>
      <c r="BI56" s="346">
        <f>BG56-3658268</f>
        <v>14286216</v>
      </c>
      <c r="BJ56" s="15">
        <f>8023000*N56/541421</f>
        <v>1257727.624159388</v>
      </c>
      <c r="BK56" s="15">
        <v>0</v>
      </c>
      <c r="BM56" s="15">
        <f>379066*N56/541421</f>
        <v>59424.377362533036</v>
      </c>
      <c r="BN56" s="1353"/>
      <c r="BO56" s="1" t="s">
        <v>961</v>
      </c>
      <c r="BP56" s="11" t="s">
        <v>247</v>
      </c>
      <c r="BQ56" s="41"/>
      <c r="BR56" s="41"/>
    </row>
    <row r="57" spans="1:70" s="3" customFormat="1" ht="27.6" customHeight="1" x14ac:dyDescent="0.2">
      <c r="A57" s="28" t="s">
        <v>1252</v>
      </c>
      <c r="B57" s="11">
        <v>54</v>
      </c>
      <c r="C57" s="915" t="s">
        <v>952</v>
      </c>
      <c r="D57" s="11" t="s">
        <v>109</v>
      </c>
      <c r="E57" s="11" t="s">
        <v>993</v>
      </c>
      <c r="F57" s="11" t="s">
        <v>548</v>
      </c>
      <c r="G57" s="1" t="s">
        <v>134</v>
      </c>
      <c r="H57" s="37">
        <v>40840</v>
      </c>
      <c r="I57" s="1" t="s">
        <v>4</v>
      </c>
      <c r="J57" s="33" t="s">
        <v>244</v>
      </c>
      <c r="K57" s="60">
        <v>41648</v>
      </c>
      <c r="L57" s="28" t="s">
        <v>135</v>
      </c>
      <c r="M57" s="1">
        <v>231</v>
      </c>
      <c r="N57" s="2">
        <v>110627</v>
      </c>
      <c r="O57" s="19">
        <f>N57/M57</f>
        <v>478.90476190476193</v>
      </c>
      <c r="P57" s="14">
        <v>5</v>
      </c>
      <c r="Q57" s="28" t="s">
        <v>1252</v>
      </c>
      <c r="R57" s="11" t="s">
        <v>247</v>
      </c>
      <c r="S57" s="11">
        <v>4</v>
      </c>
      <c r="T57" s="2">
        <v>5889</v>
      </c>
      <c r="U57" s="10">
        <f>T57/N57*1000</f>
        <v>53.232935901723806</v>
      </c>
      <c r="V57" s="2">
        <v>4141</v>
      </c>
      <c r="W57" s="10">
        <f t="shared" si="44"/>
        <v>37.43209162320229</v>
      </c>
      <c r="X57" s="8">
        <f t="shared" si="45"/>
        <v>0.29682458821531671</v>
      </c>
      <c r="Y57" s="2">
        <f t="shared" si="46"/>
        <v>1748</v>
      </c>
      <c r="Z57" s="992">
        <v>42978</v>
      </c>
      <c r="AA57" s="2">
        <f>'16.17 Meter Data'!Y525</f>
        <v>3353.161210483448</v>
      </c>
      <c r="AB57" s="40">
        <f t="shared" si="60"/>
        <v>30.310513802990663</v>
      </c>
      <c r="AC57" s="1391" t="s">
        <v>1308</v>
      </c>
      <c r="AD57" s="1393">
        <v>46</v>
      </c>
      <c r="AE57" s="1912">
        <f t="shared" si="61"/>
        <v>0.43060600942716115</v>
      </c>
      <c r="AF57" s="1611" t="s">
        <v>955</v>
      </c>
      <c r="AG57" s="51">
        <f t="shared" si="62"/>
        <v>2535.838789516552</v>
      </c>
      <c r="AH57" s="28" t="s">
        <v>1252</v>
      </c>
      <c r="AI57" s="15">
        <v>127318</v>
      </c>
      <c r="AJ57" s="7">
        <f t="shared" si="47"/>
        <v>1.1508763683368437</v>
      </c>
      <c r="AK57" s="15">
        <v>80286</v>
      </c>
      <c r="AL57" s="7">
        <f t="shared" si="48"/>
        <v>0.72573603189094882</v>
      </c>
      <c r="AM57" s="8">
        <f t="shared" si="49"/>
        <v>0.36940573995821485</v>
      </c>
      <c r="AN57" s="15">
        <f t="shared" si="50"/>
        <v>47032</v>
      </c>
      <c r="AO57" s="15">
        <f>'16.17 Meter Data'!W529</f>
        <v>72196.210000000006</v>
      </c>
      <c r="AP57" s="22">
        <f t="shared" si="56"/>
        <v>0.65260930875825984</v>
      </c>
      <c r="AQ57" s="47">
        <f t="shared" si="63"/>
        <v>0.43294577357482833</v>
      </c>
      <c r="AR57" s="48">
        <f t="shared" si="64"/>
        <v>55121.789999999994</v>
      </c>
      <c r="AS57" s="28" t="s">
        <v>1252</v>
      </c>
      <c r="AT57" s="2">
        <v>2916495</v>
      </c>
      <c r="AU57" s="2">
        <f>AT57/M57</f>
        <v>12625.519480519481</v>
      </c>
      <c r="AV57" s="10">
        <f t="shared" si="51"/>
        <v>26.363319985175409</v>
      </c>
      <c r="AW57" s="2">
        <v>2297942</v>
      </c>
      <c r="AX57" s="9">
        <f>AW57/M57</f>
        <v>9947.8008658008657</v>
      </c>
      <c r="AY57" s="10">
        <f t="shared" si="52"/>
        <v>20.771981523497882</v>
      </c>
      <c r="AZ57" s="8">
        <f t="shared" si="53"/>
        <v>0.21208779716749043</v>
      </c>
      <c r="BA57" s="2">
        <f t="shared" si="54"/>
        <v>618553</v>
      </c>
      <c r="BB57" s="242">
        <f>'16.17 Meter Data'!W526</f>
        <v>1823002.7240000002</v>
      </c>
      <c r="BC57" s="2">
        <f>BB57/M57</f>
        <v>7891.7866839826847</v>
      </c>
      <c r="BD57" s="2">
        <f>BB57/N57</f>
        <v>16.478822746707404</v>
      </c>
      <c r="BE57" s="8">
        <f>(AT57-BB57)/AT57</f>
        <v>0.37493370501235213</v>
      </c>
      <c r="BF57" s="28" t="s">
        <v>1252</v>
      </c>
      <c r="BG57" s="71" t="s">
        <v>244</v>
      </c>
      <c r="BH57" s="42"/>
      <c r="BJ57" s="71" t="s">
        <v>244</v>
      </c>
      <c r="BK57" s="15"/>
      <c r="BL57" s="3" t="s">
        <v>38</v>
      </c>
      <c r="BM57" s="33" t="s">
        <v>244</v>
      </c>
      <c r="BN57" s="1353"/>
      <c r="BO57" s="1" t="s">
        <v>297</v>
      </c>
      <c r="BP57" s="11" t="s">
        <v>247</v>
      </c>
      <c r="BQ57" s="41"/>
      <c r="BR57" s="41"/>
    </row>
    <row r="58" spans="1:70" s="41" customFormat="1" ht="27.6" customHeight="1" x14ac:dyDescent="0.2">
      <c r="A58" s="20" t="s">
        <v>139</v>
      </c>
      <c r="B58" s="19">
        <v>55</v>
      </c>
      <c r="C58" s="19" t="s">
        <v>951</v>
      </c>
      <c r="D58" s="19" t="s">
        <v>63</v>
      </c>
      <c r="E58" s="19" t="s">
        <v>985</v>
      </c>
      <c r="F58" s="19" t="s">
        <v>1471</v>
      </c>
      <c r="G58" s="9" t="s">
        <v>138</v>
      </c>
      <c r="H58" s="34">
        <v>40577</v>
      </c>
      <c r="I58" s="19" t="s">
        <v>10</v>
      </c>
      <c r="J58" s="34">
        <v>41008</v>
      </c>
      <c r="K58" s="61">
        <v>41667</v>
      </c>
      <c r="L58" s="20" t="s">
        <v>140</v>
      </c>
      <c r="M58" s="19" t="s">
        <v>13</v>
      </c>
      <c r="N58" s="6">
        <v>102914</v>
      </c>
      <c r="O58" s="6"/>
      <c r="P58" s="49">
        <v>4</v>
      </c>
      <c r="Q58" s="20" t="s">
        <v>139</v>
      </c>
      <c r="R58" s="11" t="s">
        <v>247</v>
      </c>
      <c r="S58" s="11">
        <v>3</v>
      </c>
      <c r="T58" s="2">
        <v>7934</v>
      </c>
      <c r="U58" s="12">
        <f>T58/N58*1000</f>
        <v>77.093495539965403</v>
      </c>
      <c r="V58" s="2">
        <v>5513</v>
      </c>
      <c r="W58" s="23">
        <f t="shared" si="44"/>
        <v>53.568999358687833</v>
      </c>
      <c r="X58" s="5">
        <f t="shared" si="45"/>
        <v>0.30514242500630201</v>
      </c>
      <c r="Y58" s="13">
        <f t="shared" si="46"/>
        <v>2421</v>
      </c>
      <c r="Z58" s="967"/>
      <c r="AA58" s="49"/>
      <c r="AB58" s="40"/>
      <c r="AC58" s="1391" t="s">
        <v>1300</v>
      </c>
      <c r="AD58" s="1393">
        <v>62</v>
      </c>
      <c r="AE58" s="5"/>
      <c r="AF58" s="1912"/>
      <c r="AG58" s="51"/>
      <c r="AH58" s="20" t="s">
        <v>139</v>
      </c>
      <c r="AI58" s="15">
        <v>142246</v>
      </c>
      <c r="AJ58" s="7">
        <f t="shared" si="47"/>
        <v>1.3821831820743533</v>
      </c>
      <c r="AK58" s="15">
        <v>98494</v>
      </c>
      <c r="AL58" s="7">
        <f t="shared" si="48"/>
        <v>0.95705151874380556</v>
      </c>
      <c r="AM58" s="8">
        <f t="shared" si="49"/>
        <v>0.30757982649775739</v>
      </c>
      <c r="AN58" s="16">
        <f t="shared" si="50"/>
        <v>43752</v>
      </c>
      <c r="AO58" s="15"/>
      <c r="AP58" s="22">
        <f t="shared" si="56"/>
        <v>0</v>
      </c>
      <c r="AQ58" s="47"/>
      <c r="AR58" s="48"/>
      <c r="AS58" s="20" t="s">
        <v>139</v>
      </c>
      <c r="AT58" s="2">
        <v>776459</v>
      </c>
      <c r="AU58" s="9" t="s">
        <v>13</v>
      </c>
      <c r="AV58" s="2">
        <f t="shared" si="51"/>
        <v>7.544736381833375</v>
      </c>
      <c r="AW58" s="2">
        <v>565009</v>
      </c>
      <c r="AX58" s="9" t="s">
        <v>13</v>
      </c>
      <c r="AY58" s="2">
        <f t="shared" si="52"/>
        <v>5.4901082457197274</v>
      </c>
      <c r="AZ58" s="8">
        <f t="shared" si="53"/>
        <v>0.27232603395671889</v>
      </c>
      <c r="BA58" s="17">
        <f t="shared" si="54"/>
        <v>211450</v>
      </c>
      <c r="BB58" s="2"/>
      <c r="BC58" s="9"/>
      <c r="BD58" s="2"/>
      <c r="BE58" s="8"/>
      <c r="BF58" s="20" t="s">
        <v>139</v>
      </c>
      <c r="BG58" s="64">
        <v>25748184</v>
      </c>
      <c r="BH58" s="42">
        <f t="shared" ref="BH58:BH89" si="69">BG58/N58</f>
        <v>250.19126649435452</v>
      </c>
      <c r="BI58" s="346">
        <f>BG58-1012000</f>
        <v>24736184</v>
      </c>
      <c r="BJ58" s="15">
        <v>2215000</v>
      </c>
      <c r="BK58" s="15">
        <v>0</v>
      </c>
      <c r="BL58" s="3"/>
      <c r="BM58" s="15">
        <v>240424</v>
      </c>
      <c r="BN58" s="1353">
        <f>((BG58-BI58)+BK58+BL58+BM58)/AN58</f>
        <v>28.625525690254161</v>
      </c>
      <c r="BO58" s="1" t="s">
        <v>295</v>
      </c>
      <c r="BP58" s="11" t="s">
        <v>247</v>
      </c>
    </row>
    <row r="59" spans="1:70" s="41" customFormat="1" ht="27.6" customHeight="1" x14ac:dyDescent="0.2">
      <c r="A59" s="4" t="s">
        <v>938</v>
      </c>
      <c r="B59" s="11">
        <v>56</v>
      </c>
      <c r="C59" s="915" t="s">
        <v>952</v>
      </c>
      <c r="D59" s="11" t="s">
        <v>60</v>
      </c>
      <c r="E59" s="11" t="s">
        <v>989</v>
      </c>
      <c r="F59" s="11" t="s">
        <v>510</v>
      </c>
      <c r="G59" s="1" t="s">
        <v>59</v>
      </c>
      <c r="H59" s="33">
        <v>40819</v>
      </c>
      <c r="I59" s="11" t="s">
        <v>10</v>
      </c>
      <c r="J59" s="33">
        <v>40816</v>
      </c>
      <c r="K59" s="60">
        <v>41676</v>
      </c>
      <c r="L59" s="4" t="s">
        <v>54</v>
      </c>
      <c r="M59" s="1">
        <v>219</v>
      </c>
      <c r="N59" s="2">
        <v>88512</v>
      </c>
      <c r="O59" s="19">
        <f>N59/M59</f>
        <v>404.16438356164383</v>
      </c>
      <c r="P59" s="49">
        <v>6</v>
      </c>
      <c r="Q59" s="4" t="s">
        <v>938</v>
      </c>
      <c r="R59" s="11" t="s">
        <v>247</v>
      </c>
      <c r="S59" s="11">
        <v>4</v>
      </c>
      <c r="T59" s="2">
        <v>5069</v>
      </c>
      <c r="U59" s="12">
        <f>(T59/N59)*1000</f>
        <v>57.269070860448302</v>
      </c>
      <c r="V59" s="2">
        <v>3543</v>
      </c>
      <c r="W59" s="23">
        <f t="shared" si="44"/>
        <v>40.028470715835141</v>
      </c>
      <c r="X59" s="1912">
        <f t="shared" si="45"/>
        <v>0.30104557111856384</v>
      </c>
      <c r="Y59" s="13">
        <f t="shared" si="46"/>
        <v>1526</v>
      </c>
      <c r="Z59" s="967">
        <v>42986</v>
      </c>
      <c r="AA59" s="49">
        <f>'16.17 Meter Data'!Y548</f>
        <v>5330.8613410695325</v>
      </c>
      <c r="AB59" s="40">
        <f>AA59/N59*1000</f>
        <v>60.22755491989259</v>
      </c>
      <c r="AC59" s="1391" t="s">
        <v>1298</v>
      </c>
      <c r="AD59" s="1393">
        <v>58</v>
      </c>
      <c r="AE59" s="1912">
        <f>(T59-AA59)/T59</f>
        <v>-5.1659368922772245E-2</v>
      </c>
      <c r="AF59" s="1912"/>
      <c r="AG59" s="51">
        <f>T59-AA59</f>
        <v>-261.8613410695325</v>
      </c>
      <c r="AH59" s="4" t="s">
        <v>938</v>
      </c>
      <c r="AI59" s="15">
        <v>91459</v>
      </c>
      <c r="AJ59" s="7">
        <f t="shared" si="47"/>
        <v>1.0332949204627622</v>
      </c>
      <c r="AK59" s="15">
        <v>63494</v>
      </c>
      <c r="AL59" s="7">
        <f t="shared" si="48"/>
        <v>0.7173490600144613</v>
      </c>
      <c r="AM59" s="8">
        <f t="shared" si="49"/>
        <v>0.30576542494451064</v>
      </c>
      <c r="AN59" s="16">
        <f t="shared" si="50"/>
        <v>27965</v>
      </c>
      <c r="AO59" s="15">
        <f>'16.17 Meter Data'!W553</f>
        <v>89674.041490947493</v>
      </c>
      <c r="AP59" s="22">
        <f t="shared" si="56"/>
        <v>1.0131286321735753</v>
      </c>
      <c r="AQ59" s="47">
        <f>(AI59-AO59)/AI59</f>
        <v>1.9516488361478991E-2</v>
      </c>
      <c r="AR59" s="48">
        <f>AI59-AO59</f>
        <v>1784.958509052507</v>
      </c>
      <c r="AS59" s="4" t="s">
        <v>439</v>
      </c>
      <c r="AT59" s="2">
        <v>2343922</v>
      </c>
      <c r="AU59" s="2">
        <f>AT59/M59</f>
        <v>10702.840182648402</v>
      </c>
      <c r="AV59" s="2">
        <f t="shared" si="51"/>
        <v>26.481403651482285</v>
      </c>
      <c r="AW59" s="2">
        <v>1472334</v>
      </c>
      <c r="AX59" s="9">
        <f>AW59/M59</f>
        <v>6722.9863013698632</v>
      </c>
      <c r="AY59" s="10">
        <f t="shared" si="52"/>
        <v>16.634286876355748</v>
      </c>
      <c r="AZ59" s="8">
        <f t="shared" si="53"/>
        <v>0.37185025781574643</v>
      </c>
      <c r="BA59" s="2">
        <f t="shared" si="54"/>
        <v>871588</v>
      </c>
      <c r="BB59" s="242">
        <f>'16.17 Meter Data'!W549</f>
        <v>805596</v>
      </c>
      <c r="BC59" s="2">
        <f>BB59/M59</f>
        <v>3678.5205479452056</v>
      </c>
      <c r="BD59" s="2">
        <f>BB59/N59</f>
        <v>9.1015455531453355</v>
      </c>
      <c r="BE59" s="8">
        <f>(AT59-BB59)/AT59</f>
        <v>0.65630426268450914</v>
      </c>
      <c r="BF59" s="4" t="s">
        <v>938</v>
      </c>
      <c r="BG59" s="64">
        <v>18713207</v>
      </c>
      <c r="BH59" s="42">
        <f t="shared" si="69"/>
        <v>211.41999954808387</v>
      </c>
      <c r="BJ59" s="15">
        <f>8023000*N59/541421</f>
        <v>1311607.3739289758</v>
      </c>
      <c r="BK59" s="15" t="s">
        <v>253</v>
      </c>
      <c r="BL59" s="3"/>
      <c r="BM59" s="15">
        <f>379066*N59/541421</f>
        <v>61970.056189176263</v>
      </c>
      <c r="BN59" s="1353"/>
      <c r="BO59" s="1" t="s">
        <v>314</v>
      </c>
      <c r="BP59" s="11" t="s">
        <v>247</v>
      </c>
    </row>
    <row r="60" spans="1:70" s="41" customFormat="1" ht="27.6" customHeight="1" x14ac:dyDescent="0.2">
      <c r="A60" s="28" t="s">
        <v>1026</v>
      </c>
      <c r="B60" s="11">
        <v>57</v>
      </c>
      <c r="C60" s="915" t="s">
        <v>950</v>
      </c>
      <c r="D60" s="11" t="s">
        <v>100</v>
      </c>
      <c r="E60" s="11" t="s">
        <v>1000</v>
      </c>
      <c r="F60" s="11" t="s">
        <v>549</v>
      </c>
      <c r="G60" s="1" t="s">
        <v>160</v>
      </c>
      <c r="H60" s="37">
        <v>41179</v>
      </c>
      <c r="I60" s="1" t="s">
        <v>10</v>
      </c>
      <c r="J60" s="33">
        <v>41256</v>
      </c>
      <c r="K60" s="60">
        <v>41723</v>
      </c>
      <c r="L60" s="28" t="s">
        <v>128</v>
      </c>
      <c r="M60" s="1" t="s">
        <v>13</v>
      </c>
      <c r="N60" s="2">
        <v>37898</v>
      </c>
      <c r="O60" s="2"/>
      <c r="P60" s="14">
        <v>3</v>
      </c>
      <c r="Q60" s="28" t="s">
        <v>212</v>
      </c>
      <c r="R60" s="11" t="s">
        <v>249</v>
      </c>
      <c r="S60" s="11">
        <v>4</v>
      </c>
      <c r="T60" s="2">
        <v>2638</v>
      </c>
      <c r="U60" s="10">
        <f>T60/N60*1000</f>
        <v>69.607894875719026</v>
      </c>
      <c r="V60" s="2">
        <v>1913</v>
      </c>
      <c r="W60" s="10">
        <f t="shared" si="44"/>
        <v>50.477597762414902</v>
      </c>
      <c r="X60" s="8">
        <f t="shared" si="45"/>
        <v>0.27482941622441243</v>
      </c>
      <c r="Y60" s="3">
        <f t="shared" si="46"/>
        <v>725</v>
      </c>
      <c r="Z60" s="967">
        <v>42975</v>
      </c>
      <c r="AA60" s="2">
        <f>'16.17 Meter Data'!Y559</f>
        <v>6143.5830984931727</v>
      </c>
      <c r="AB60" s="40">
        <f>AA60/N60*1000</f>
        <v>162.10837243372137</v>
      </c>
      <c r="AC60" s="1391" t="s">
        <v>1300</v>
      </c>
      <c r="AD60" s="1393">
        <v>72</v>
      </c>
      <c r="AE60" s="1912">
        <f>(T60-AA60)/T60</f>
        <v>-1.3288791123931663</v>
      </c>
      <c r="AF60" s="1912"/>
      <c r="AG60" s="51">
        <f>T60-AA60</f>
        <v>-3505.5830984931727</v>
      </c>
      <c r="AH60" s="28" t="s">
        <v>212</v>
      </c>
      <c r="AI60" s="15">
        <v>41267</v>
      </c>
      <c r="AJ60" s="7">
        <f t="shared" si="47"/>
        <v>1.0888965116892713</v>
      </c>
      <c r="AK60" s="15">
        <v>25579</v>
      </c>
      <c r="AL60" s="7">
        <f t="shared" si="48"/>
        <v>0.67494326877407784</v>
      </c>
      <c r="AM60" s="8">
        <f t="shared" si="49"/>
        <v>0.38015848014151743</v>
      </c>
      <c r="AN60" s="15">
        <f t="shared" si="50"/>
        <v>15688</v>
      </c>
      <c r="AO60" s="15">
        <f>'16.17 Meter Data'!W564</f>
        <v>82853.877984726729</v>
      </c>
      <c r="AP60" s="22">
        <f t="shared" si="56"/>
        <v>2.1862335211548558</v>
      </c>
      <c r="AQ60" s="47">
        <f>(AI60-AO60)/AI60</f>
        <v>-1.0077514232855969</v>
      </c>
      <c r="AR60" s="48">
        <f>AI60-AO60</f>
        <v>-41586.877984726729</v>
      </c>
      <c r="AS60" s="28" t="s">
        <v>212</v>
      </c>
      <c r="AT60" s="2">
        <v>2719308</v>
      </c>
      <c r="AU60" s="1" t="s">
        <v>157</v>
      </c>
      <c r="AV60" s="10">
        <f t="shared" si="51"/>
        <v>71.75333790701356</v>
      </c>
      <c r="AW60" s="2">
        <v>1869230</v>
      </c>
      <c r="AX60" s="1" t="s">
        <v>13</v>
      </c>
      <c r="AY60" s="10">
        <f t="shared" si="52"/>
        <v>49.322655549105491</v>
      </c>
      <c r="AZ60" s="8">
        <f t="shared" si="53"/>
        <v>0.31260820767636471</v>
      </c>
      <c r="BA60" s="2">
        <f t="shared" si="54"/>
        <v>850078</v>
      </c>
      <c r="BB60" s="242">
        <f>'16.17 Meter Data'!W560</f>
        <v>159772.79999999999</v>
      </c>
      <c r="BC60" s="9" t="s">
        <v>13</v>
      </c>
      <c r="BD60" s="2">
        <f>BB60/N60</f>
        <v>4.2158636339648528</v>
      </c>
      <c r="BE60" s="8">
        <f>(AT60-BB60)/AT60</f>
        <v>0.94124505205000686</v>
      </c>
      <c r="BF60" s="28" t="s">
        <v>212</v>
      </c>
      <c r="BG60" s="64">
        <f>1970229+8920241</f>
        <v>10890470</v>
      </c>
      <c r="BH60" s="42">
        <f t="shared" si="69"/>
        <v>287.36265766003481</v>
      </c>
      <c r="BI60" s="15">
        <v>10890470</v>
      </c>
      <c r="BJ60" s="15">
        <v>1125000</v>
      </c>
      <c r="BK60" s="15">
        <v>100000</v>
      </c>
      <c r="BL60" s="3"/>
      <c r="BM60" s="15">
        <v>90000</v>
      </c>
      <c r="BN60" s="1353">
        <f>((BG60-BI60)+BK60+BL60+BM60)/AN60</f>
        <v>12.11116777154513</v>
      </c>
      <c r="BO60" s="1" t="s">
        <v>296</v>
      </c>
      <c r="BP60" s="11" t="s">
        <v>249</v>
      </c>
    </row>
    <row r="61" spans="1:70" s="41" customFormat="1" ht="27.6" customHeight="1" x14ac:dyDescent="0.2">
      <c r="A61" s="4" t="s">
        <v>939</v>
      </c>
      <c r="B61" s="11">
        <v>58</v>
      </c>
      <c r="C61" s="915" t="s">
        <v>952</v>
      </c>
      <c r="D61" s="11" t="s">
        <v>60</v>
      </c>
      <c r="E61" s="11" t="s">
        <v>989</v>
      </c>
      <c r="F61" s="429" t="s">
        <v>510</v>
      </c>
      <c r="G61" s="1" t="s">
        <v>59</v>
      </c>
      <c r="H61" s="33">
        <v>40819</v>
      </c>
      <c r="I61" s="11" t="s">
        <v>10</v>
      </c>
      <c r="J61" s="33">
        <v>40816</v>
      </c>
      <c r="K61" s="60">
        <v>41738</v>
      </c>
      <c r="L61" s="4" t="s">
        <v>135</v>
      </c>
      <c r="M61" s="1">
        <v>144</v>
      </c>
      <c r="N61" s="2">
        <v>62645</v>
      </c>
      <c r="O61" s="19">
        <f>N61/M61</f>
        <v>435.03472222222223</v>
      </c>
      <c r="P61" s="49">
        <v>6</v>
      </c>
      <c r="Q61" s="4" t="s">
        <v>939</v>
      </c>
      <c r="R61" s="11" t="s">
        <v>247</v>
      </c>
      <c r="S61" s="11">
        <v>4</v>
      </c>
      <c r="T61" s="2">
        <v>3959</v>
      </c>
      <c r="U61" s="12">
        <f>(T61/N61)*1000</f>
        <v>63.197382073589267</v>
      </c>
      <c r="V61" s="2">
        <v>2756</v>
      </c>
      <c r="W61" s="23">
        <f t="shared" si="44"/>
        <v>43.993934072950758</v>
      </c>
      <c r="X61" s="1912">
        <f t="shared" si="45"/>
        <v>0.30386461227582723</v>
      </c>
      <c r="Y61" s="13">
        <f t="shared" si="46"/>
        <v>1203</v>
      </c>
      <c r="Z61" s="967">
        <v>42986</v>
      </c>
      <c r="AA61" s="49">
        <f>'16.17 Meter Data'!Y570</f>
        <v>4371.5196347724823</v>
      </c>
      <c r="AB61" s="40">
        <f>AA61/N61*1000</f>
        <v>69.78241894440869</v>
      </c>
      <c r="AC61" s="1391" t="s">
        <v>1298</v>
      </c>
      <c r="AD61" s="1393">
        <v>58</v>
      </c>
      <c r="AE61" s="1912">
        <f>(T61-AA61)/T61</f>
        <v>-0.10419793755303922</v>
      </c>
      <c r="AF61" s="1912"/>
      <c r="AG61" s="51">
        <f>T61-AA61</f>
        <v>-412.51963477248228</v>
      </c>
      <c r="AH61" s="4" t="s">
        <v>939</v>
      </c>
      <c r="AI61" s="15">
        <v>73439</v>
      </c>
      <c r="AJ61" s="7">
        <f t="shared" si="47"/>
        <v>1.1723042541304174</v>
      </c>
      <c r="AK61" s="15">
        <v>49084</v>
      </c>
      <c r="AL61" s="7">
        <f t="shared" si="48"/>
        <v>0.7835262191715221</v>
      </c>
      <c r="AM61" s="8">
        <f t="shared" si="49"/>
        <v>0.33163577935429406</v>
      </c>
      <c r="AN61" s="16">
        <f t="shared" si="50"/>
        <v>24355</v>
      </c>
      <c r="AO61" s="15">
        <f>'16.17 Meter Data'!W575</f>
        <v>72614.296041405003</v>
      </c>
      <c r="AP61" s="22">
        <f t="shared" si="56"/>
        <v>1.1591395329460452</v>
      </c>
      <c r="AQ61" s="47">
        <f>(AI61-AO61)/AI61</f>
        <v>1.1229781976810646E-2</v>
      </c>
      <c r="AR61" s="48">
        <f>AI61-AO61</f>
        <v>824.70395859499695</v>
      </c>
      <c r="AS61" s="4" t="s">
        <v>939</v>
      </c>
      <c r="AT61" s="2">
        <v>1557237</v>
      </c>
      <c r="AU61" s="2">
        <f>AT61/M61</f>
        <v>10814.145833333334</v>
      </c>
      <c r="AV61" s="2">
        <f t="shared" si="51"/>
        <v>24.858121158911327</v>
      </c>
      <c r="AW61" s="2">
        <v>984137</v>
      </c>
      <c r="AX61" s="9">
        <f>AW61/M61</f>
        <v>6834.2847222222226</v>
      </c>
      <c r="AY61" s="10">
        <f t="shared" si="52"/>
        <v>15.709745390693591</v>
      </c>
      <c r="AZ61" s="8">
        <f t="shared" si="53"/>
        <v>0.36802362132417865</v>
      </c>
      <c r="BA61" s="2">
        <f t="shared" si="54"/>
        <v>573100</v>
      </c>
      <c r="BB61" s="242">
        <f>'16.17 Meter Data'!W571</f>
        <v>569228</v>
      </c>
      <c r="BC61" s="2">
        <f>BB61/M61</f>
        <v>3952.9722222222222</v>
      </c>
      <c r="BD61" s="2">
        <f>BB61/N61</f>
        <v>9.0865671641791046</v>
      </c>
      <c r="BE61" s="8">
        <f>(AT61-BB61)/AT61</f>
        <v>0.63446283385252211</v>
      </c>
      <c r="BF61" s="4" t="s">
        <v>939</v>
      </c>
      <c r="BG61" s="64">
        <v>13244406</v>
      </c>
      <c r="BH61" s="42">
        <f t="shared" si="69"/>
        <v>211.4200015962966</v>
      </c>
      <c r="BJ61" s="15">
        <f>8023000*N61/541421</f>
        <v>928299.48413526628</v>
      </c>
      <c r="BK61" s="15" t="s">
        <v>253</v>
      </c>
      <c r="BL61" s="3"/>
      <c r="BM61" s="15">
        <f>379066*N61/541421</f>
        <v>43859.749751117888</v>
      </c>
      <c r="BN61" s="1353"/>
      <c r="BO61" s="1" t="s">
        <v>314</v>
      </c>
      <c r="BP61" s="11" t="s">
        <v>247</v>
      </c>
    </row>
    <row r="62" spans="1:70" s="41" customFormat="1" ht="27.6" customHeight="1" x14ac:dyDescent="0.2">
      <c r="A62" s="4" t="s">
        <v>940</v>
      </c>
      <c r="B62" s="11">
        <v>59</v>
      </c>
      <c r="C62" s="915" t="s">
        <v>952</v>
      </c>
      <c r="D62" s="11" t="s">
        <v>60</v>
      </c>
      <c r="E62" s="11" t="s">
        <v>989</v>
      </c>
      <c r="F62" s="11" t="s">
        <v>510</v>
      </c>
      <c r="G62" s="1" t="s">
        <v>59</v>
      </c>
      <c r="H62" s="33">
        <v>40819</v>
      </c>
      <c r="I62" s="11" t="s">
        <v>10</v>
      </c>
      <c r="J62" s="33">
        <v>40816</v>
      </c>
      <c r="K62" s="60">
        <v>41768</v>
      </c>
      <c r="L62" s="4" t="s">
        <v>54</v>
      </c>
      <c r="M62" s="1">
        <v>219</v>
      </c>
      <c r="N62" s="2">
        <v>83460</v>
      </c>
      <c r="O62" s="19">
        <f>N62/M62</f>
        <v>381.09589041095893</v>
      </c>
      <c r="P62" s="49">
        <v>6</v>
      </c>
      <c r="Q62" s="4" t="s">
        <v>940</v>
      </c>
      <c r="R62" s="11" t="s">
        <v>247</v>
      </c>
      <c r="S62" s="11">
        <v>4</v>
      </c>
      <c r="T62" s="2">
        <v>5197</v>
      </c>
      <c r="U62" s="12">
        <f>(T62/N62)*1000</f>
        <v>62.269350587107603</v>
      </c>
      <c r="V62" s="2">
        <v>3476</v>
      </c>
      <c r="W62" s="23">
        <f t="shared" si="44"/>
        <v>41.648693985142586</v>
      </c>
      <c r="X62" s="1912">
        <f t="shared" si="45"/>
        <v>0.33115258803155667</v>
      </c>
      <c r="Y62" s="13">
        <f t="shared" si="46"/>
        <v>1721</v>
      </c>
      <c r="Z62" s="967">
        <v>42986</v>
      </c>
      <c r="AA62" s="49">
        <f>'16.17 Meter Data'!Y581</f>
        <v>4094.2685467972647</v>
      </c>
      <c r="AB62" s="40">
        <f>AA62/N62*1000</f>
        <v>49.056656443772638</v>
      </c>
      <c r="AC62" s="1391" t="s">
        <v>1298</v>
      </c>
      <c r="AD62" s="1393">
        <v>58</v>
      </c>
      <c r="AE62" s="1912">
        <f>(T62-AA62)/T62</f>
        <v>0.21218615609057828</v>
      </c>
      <c r="AF62" s="1611" t="s">
        <v>955</v>
      </c>
      <c r="AG62" s="51">
        <f>T62-AA62</f>
        <v>1102.7314532027353</v>
      </c>
      <c r="AH62" s="4" t="s">
        <v>940</v>
      </c>
      <c r="AI62" s="15">
        <v>96219</v>
      </c>
      <c r="AJ62" s="7">
        <f t="shared" si="47"/>
        <v>1.1528756290438533</v>
      </c>
      <c r="AK62" s="15">
        <v>61768</v>
      </c>
      <c r="AL62" s="7">
        <f t="shared" si="48"/>
        <v>0.74009106158638871</v>
      </c>
      <c r="AM62" s="8">
        <f t="shared" si="49"/>
        <v>0.35804778681965099</v>
      </c>
      <c r="AN62" s="16">
        <f t="shared" si="50"/>
        <v>34451</v>
      </c>
      <c r="AO62" s="15">
        <f>'16.17 Meter Data'!W586</f>
        <v>68640.49003343012</v>
      </c>
      <c r="AP62" s="22">
        <f t="shared" si="56"/>
        <v>0.82243577801857326</v>
      </c>
      <c r="AQ62" s="47">
        <f>(AI62-AO62)/AI62</f>
        <v>0.28662228838971388</v>
      </c>
      <c r="AR62" s="48">
        <f>AI62-AO62</f>
        <v>27578.50996656988</v>
      </c>
      <c r="AS62" s="4" t="s">
        <v>940</v>
      </c>
      <c r="AT62" s="2">
        <v>2343922</v>
      </c>
      <c r="AU62" s="2">
        <f>AT62/M62</f>
        <v>10702.840182648402</v>
      </c>
      <c r="AV62" s="2">
        <f t="shared" si="51"/>
        <v>28.084375748861731</v>
      </c>
      <c r="AW62" s="2">
        <v>1472334</v>
      </c>
      <c r="AX62" s="9">
        <f>AW62/M62</f>
        <v>6722.9863013698632</v>
      </c>
      <c r="AY62" s="10">
        <f t="shared" si="52"/>
        <v>17.6411933860532</v>
      </c>
      <c r="AZ62" s="8">
        <f t="shared" si="53"/>
        <v>0.37185025781574643</v>
      </c>
      <c r="BA62" s="2">
        <f t="shared" si="54"/>
        <v>871588</v>
      </c>
      <c r="BB62" s="242">
        <f>'16.17 Meter Data'!W582</f>
        <v>190740</v>
      </c>
      <c r="BC62" s="2">
        <f>BB62/M62</f>
        <v>870.95890410958907</v>
      </c>
      <c r="BD62" s="2">
        <f>BB62/N62</f>
        <v>2.2854061826024443</v>
      </c>
      <c r="BE62" s="8">
        <f>(AT62-BB62)/AT62</f>
        <v>0.91862357194480027</v>
      </c>
      <c r="BF62" s="4" t="s">
        <v>940</v>
      </c>
      <c r="BG62" s="64">
        <v>17645113</v>
      </c>
      <c r="BH62" s="42">
        <f t="shared" si="69"/>
        <v>211.41999760364246</v>
      </c>
      <c r="BJ62" s="15">
        <f>8023000*N62/541421</f>
        <v>1236744.7513118258</v>
      </c>
      <c r="BK62" s="15" t="s">
        <v>253</v>
      </c>
      <c r="BL62" s="3"/>
      <c r="BM62" s="15">
        <f>379066*N62/541421</f>
        <v>58432.990888790795</v>
      </c>
      <c r="BN62" s="1353"/>
      <c r="BO62" s="1" t="s">
        <v>314</v>
      </c>
      <c r="BP62" s="11" t="s">
        <v>247</v>
      </c>
    </row>
    <row r="63" spans="1:70" s="41" customFormat="1" ht="27.6" customHeight="1" x14ac:dyDescent="0.2">
      <c r="A63" s="28" t="s">
        <v>972</v>
      </c>
      <c r="B63" s="11">
        <v>60</v>
      </c>
      <c r="C63" s="915" t="s">
        <v>953</v>
      </c>
      <c r="D63" s="11" t="s">
        <v>144</v>
      </c>
      <c r="E63" s="11" t="s">
        <v>993</v>
      </c>
      <c r="F63" s="11" t="s">
        <v>1030</v>
      </c>
      <c r="G63" s="1" t="s">
        <v>143</v>
      </c>
      <c r="H63" s="37">
        <v>40977</v>
      </c>
      <c r="I63" s="1" t="s">
        <v>10</v>
      </c>
      <c r="J63" s="33">
        <v>41169</v>
      </c>
      <c r="K63" s="60">
        <v>41841</v>
      </c>
      <c r="L63" s="28" t="s">
        <v>12</v>
      </c>
      <c r="M63" s="1" t="s">
        <v>13</v>
      </c>
      <c r="N63" s="2">
        <v>42087</v>
      </c>
      <c r="O63" s="2"/>
      <c r="P63" s="14">
        <v>4</v>
      </c>
      <c r="Q63" s="28" t="s">
        <v>972</v>
      </c>
      <c r="R63" s="11" t="s">
        <v>247</v>
      </c>
      <c r="S63" s="11">
        <v>4</v>
      </c>
      <c r="T63" s="2">
        <v>2425</v>
      </c>
      <c r="U63" s="10">
        <f t="shared" ref="U63:U89" si="70">T63/N63*1000</f>
        <v>57.618742129398626</v>
      </c>
      <c r="V63" s="2">
        <v>1699</v>
      </c>
      <c r="W63" s="10">
        <f t="shared" si="44"/>
        <v>40.368759949628149</v>
      </c>
      <c r="X63" s="8">
        <f t="shared" si="45"/>
        <v>0.2993814432989691</v>
      </c>
      <c r="Y63" s="2">
        <f t="shared" si="46"/>
        <v>726</v>
      </c>
      <c r="Z63" s="992"/>
      <c r="AA63" s="2"/>
      <c r="AB63" s="40"/>
      <c r="AC63" s="1391" t="s">
        <v>1300</v>
      </c>
      <c r="AD63" s="1393">
        <v>72</v>
      </c>
      <c r="AE63" s="1912"/>
      <c r="AF63" s="1912"/>
      <c r="AG63" s="51"/>
      <c r="AH63" s="28" t="s">
        <v>972</v>
      </c>
      <c r="AI63" s="15">
        <v>68705</v>
      </c>
      <c r="AJ63" s="7">
        <f t="shared" si="47"/>
        <v>1.6324518259795187</v>
      </c>
      <c r="AK63" s="15">
        <v>55378</v>
      </c>
      <c r="AL63" s="7">
        <f t="shared" si="48"/>
        <v>1.3157982274811699</v>
      </c>
      <c r="AM63" s="8">
        <f t="shared" si="49"/>
        <v>0.19397423768284697</v>
      </c>
      <c r="AN63" s="15">
        <f t="shared" si="50"/>
        <v>13327</v>
      </c>
      <c r="AO63" s="15"/>
      <c r="AP63" s="22">
        <f t="shared" si="56"/>
        <v>0</v>
      </c>
      <c r="AQ63" s="47"/>
      <c r="AR63" s="48"/>
      <c r="AS63" s="28" t="s">
        <v>972</v>
      </c>
      <c r="AT63" s="2">
        <v>1135125</v>
      </c>
      <c r="AU63" s="9" t="s">
        <v>13</v>
      </c>
      <c r="AV63" s="10">
        <f t="shared" si="51"/>
        <v>26.970917385415923</v>
      </c>
      <c r="AW63" s="2">
        <v>550575</v>
      </c>
      <c r="AX63" s="9" t="s">
        <v>13</v>
      </c>
      <c r="AY63" s="10">
        <f t="shared" si="52"/>
        <v>13.081830493976762</v>
      </c>
      <c r="AZ63" s="8">
        <f t="shared" si="53"/>
        <v>0.51496531219028741</v>
      </c>
      <c r="BA63" s="2">
        <f t="shared" si="54"/>
        <v>584550</v>
      </c>
      <c r="BB63" s="242"/>
      <c r="BC63" s="9"/>
      <c r="BD63" s="2"/>
      <c r="BE63" s="8"/>
      <c r="BF63" s="28" t="s">
        <v>972</v>
      </c>
      <c r="BG63" s="64">
        <v>6535600</v>
      </c>
      <c r="BH63" s="42">
        <f t="shared" si="69"/>
        <v>155.28785610758666</v>
      </c>
      <c r="BI63" s="3"/>
      <c r="BJ63" s="15">
        <v>686500</v>
      </c>
      <c r="BK63" s="15">
        <v>20000</v>
      </c>
      <c r="BL63" s="3"/>
      <c r="BM63" s="15">
        <v>149249</v>
      </c>
      <c r="BN63" s="1353"/>
      <c r="BO63" s="1" t="s">
        <v>297</v>
      </c>
      <c r="BP63" s="11" t="s">
        <v>247</v>
      </c>
    </row>
    <row r="64" spans="1:70" s="1724" customFormat="1" ht="27.6" customHeight="1" thickBot="1" x14ac:dyDescent="0.25">
      <c r="A64" s="1710" t="s">
        <v>1017</v>
      </c>
      <c r="B64" s="1711">
        <v>61</v>
      </c>
      <c r="C64" s="1711" t="s">
        <v>951</v>
      </c>
      <c r="D64" s="1711" t="s">
        <v>63</v>
      </c>
      <c r="E64" s="1711" t="s">
        <v>985</v>
      </c>
      <c r="F64" s="1711" t="s">
        <v>1471</v>
      </c>
      <c r="G64" s="1712" t="s">
        <v>170</v>
      </c>
      <c r="H64" s="1713">
        <v>41262</v>
      </c>
      <c r="I64" s="1712" t="s">
        <v>10</v>
      </c>
      <c r="J64" s="1714">
        <v>41369</v>
      </c>
      <c r="K64" s="1715">
        <v>41864</v>
      </c>
      <c r="L64" s="1710" t="s">
        <v>135</v>
      </c>
      <c r="M64" s="1712">
        <v>408</v>
      </c>
      <c r="N64" s="1717">
        <v>174657</v>
      </c>
      <c r="O64" s="1718">
        <f>N64/M64</f>
        <v>428.08088235294116</v>
      </c>
      <c r="P64" s="1719">
        <v>6</v>
      </c>
      <c r="Q64" s="1710" t="s">
        <v>1017</v>
      </c>
      <c r="R64" s="1711" t="s">
        <v>249</v>
      </c>
      <c r="S64" s="1711">
        <v>3</v>
      </c>
      <c r="T64" s="1717">
        <v>21396</v>
      </c>
      <c r="U64" s="1730">
        <f t="shared" si="70"/>
        <v>122.50296295023962</v>
      </c>
      <c r="V64" s="1717">
        <v>13060</v>
      </c>
      <c r="W64" s="1730">
        <f t="shared" si="44"/>
        <v>74.77513068471346</v>
      </c>
      <c r="X64" s="1722">
        <f t="shared" si="45"/>
        <v>0.38960553374462514</v>
      </c>
      <c r="Y64" s="1717">
        <f t="shared" si="46"/>
        <v>8336</v>
      </c>
      <c r="Z64" s="1740"/>
      <c r="AA64" s="1717"/>
      <c r="AB64" s="1741"/>
      <c r="AC64" s="1725" t="s">
        <v>1298</v>
      </c>
      <c r="AD64" s="1742">
        <v>47</v>
      </c>
      <c r="AE64" s="1743"/>
      <c r="AF64" s="1744"/>
      <c r="AG64" s="1745"/>
      <c r="AH64" s="1710" t="s">
        <v>1017</v>
      </c>
      <c r="AI64" s="1727">
        <v>306609</v>
      </c>
      <c r="AJ64" s="1728">
        <f t="shared" si="47"/>
        <v>1.7554921932702383</v>
      </c>
      <c r="AK64" s="1727">
        <v>210750</v>
      </c>
      <c r="AL64" s="1728">
        <f t="shared" si="48"/>
        <v>1.2066507497552346</v>
      </c>
      <c r="AM64" s="1722">
        <f t="shared" si="49"/>
        <v>0.31264248603269962</v>
      </c>
      <c r="AN64" s="1727">
        <f t="shared" si="50"/>
        <v>95859</v>
      </c>
      <c r="AO64" s="1727"/>
      <c r="AP64" s="1746">
        <f t="shared" si="56"/>
        <v>0</v>
      </c>
      <c r="AQ64" s="1747"/>
      <c r="AR64" s="1748"/>
      <c r="AS64" s="1710" t="s">
        <v>1017</v>
      </c>
      <c r="AT64" s="1717">
        <v>4970906</v>
      </c>
      <c r="AU64" s="1717">
        <f>AT64/M64</f>
        <v>12183.593137254902</v>
      </c>
      <c r="AV64" s="1730">
        <f t="shared" si="51"/>
        <v>28.460960625683484</v>
      </c>
      <c r="AW64" s="1717">
        <v>3510140</v>
      </c>
      <c r="AX64" s="1729">
        <f>AW64/M64</f>
        <v>8603.2843137254895</v>
      </c>
      <c r="AY64" s="1730">
        <f t="shared" si="52"/>
        <v>20.097333631059733</v>
      </c>
      <c r="AZ64" s="1722">
        <f t="shared" si="53"/>
        <v>0.29386313078541415</v>
      </c>
      <c r="BA64" s="1717">
        <f t="shared" si="54"/>
        <v>1460766</v>
      </c>
      <c r="BB64" s="1749"/>
      <c r="BC64" s="1717"/>
      <c r="BD64" s="1717"/>
      <c r="BE64" s="1722"/>
      <c r="BF64" s="1710" t="s">
        <v>1017</v>
      </c>
      <c r="BG64" s="1731">
        <v>35192772</v>
      </c>
      <c r="BH64" s="1732">
        <f t="shared" si="69"/>
        <v>201.49648740102029</v>
      </c>
      <c r="BI64" s="1727">
        <v>29686104</v>
      </c>
      <c r="BJ64" s="1727">
        <v>2733245</v>
      </c>
      <c r="BK64" s="1727">
        <v>15000</v>
      </c>
      <c r="BM64" s="1727">
        <v>175000</v>
      </c>
      <c r="BN64" s="1736">
        <f>((BG64-BI64)+BK64+BL64+BM64)/AN64</f>
        <v>59.427575918797402</v>
      </c>
      <c r="BO64" s="1712"/>
      <c r="BP64" s="1711" t="s">
        <v>249</v>
      </c>
    </row>
    <row r="65" spans="1:70" s="3" customFormat="1" ht="27.6" customHeight="1" thickTop="1" x14ac:dyDescent="0.2">
      <c r="A65" s="28" t="s">
        <v>149</v>
      </c>
      <c r="B65" s="11">
        <v>62</v>
      </c>
      <c r="C65" s="11" t="s">
        <v>951</v>
      </c>
      <c r="D65" s="11" t="s">
        <v>126</v>
      </c>
      <c r="E65" s="11" t="s">
        <v>1000</v>
      </c>
      <c r="F65" s="11" t="s">
        <v>1032</v>
      </c>
      <c r="G65" s="1" t="s">
        <v>148</v>
      </c>
      <c r="H65" s="37">
        <v>41117</v>
      </c>
      <c r="I65" s="1" t="s">
        <v>173</v>
      </c>
      <c r="J65" s="33">
        <v>41292</v>
      </c>
      <c r="K65" s="60">
        <v>41891</v>
      </c>
      <c r="L65" s="28" t="s">
        <v>150</v>
      </c>
      <c r="M65" s="1" t="s">
        <v>13</v>
      </c>
      <c r="N65" s="2">
        <v>73432</v>
      </c>
      <c r="O65" s="2"/>
      <c r="P65" s="14">
        <v>4</v>
      </c>
      <c r="Q65" s="28" t="s">
        <v>149</v>
      </c>
      <c r="R65" s="11" t="s">
        <v>247</v>
      </c>
      <c r="S65" s="11">
        <v>4</v>
      </c>
      <c r="T65" s="2">
        <v>6402</v>
      </c>
      <c r="U65" s="10">
        <f t="shared" si="70"/>
        <v>87.182699640483705</v>
      </c>
      <c r="V65" s="2">
        <v>4631</v>
      </c>
      <c r="W65" s="10">
        <f t="shared" si="44"/>
        <v>63.065148709009698</v>
      </c>
      <c r="X65" s="8">
        <f t="shared" si="45"/>
        <v>0.2766323024054983</v>
      </c>
      <c r="Y65" s="2">
        <f t="shared" si="46"/>
        <v>1771</v>
      </c>
      <c r="Z65" s="992"/>
      <c r="AC65" s="1391" t="s">
        <v>1310</v>
      </c>
      <c r="AD65" s="1396">
        <v>67</v>
      </c>
      <c r="AH65" s="28" t="s">
        <v>149</v>
      </c>
      <c r="AI65" s="15">
        <v>90245</v>
      </c>
      <c r="AJ65" s="7">
        <f t="shared" si="47"/>
        <v>1.2289601263754222</v>
      </c>
      <c r="AK65" s="15">
        <v>62106</v>
      </c>
      <c r="AL65" s="7">
        <f t="shared" si="48"/>
        <v>0.8457620655844863</v>
      </c>
      <c r="AM65" s="8">
        <f t="shared" si="49"/>
        <v>0.3118067482963045</v>
      </c>
      <c r="AN65" s="15">
        <f t="shared" si="50"/>
        <v>28139</v>
      </c>
      <c r="AS65" s="28" t="s">
        <v>149</v>
      </c>
      <c r="AT65" s="2">
        <v>706800</v>
      </c>
      <c r="AU65" s="1" t="s">
        <v>13</v>
      </c>
      <c r="AV65" s="10">
        <f t="shared" si="51"/>
        <v>9.6252315067000769</v>
      </c>
      <c r="AW65" s="2">
        <v>478350</v>
      </c>
      <c r="AX65" s="1" t="s">
        <v>13</v>
      </c>
      <c r="AY65" s="10">
        <f t="shared" si="52"/>
        <v>6.5141899989105569</v>
      </c>
      <c r="AZ65" s="8">
        <f t="shared" si="53"/>
        <v>0.32321731748726656</v>
      </c>
      <c r="BA65" s="2">
        <f t="shared" si="54"/>
        <v>228450</v>
      </c>
      <c r="BF65" s="28" t="s">
        <v>149</v>
      </c>
      <c r="BG65" s="64">
        <v>15433000</v>
      </c>
      <c r="BH65" s="42">
        <f t="shared" si="69"/>
        <v>210.16722954570216</v>
      </c>
      <c r="BI65" s="76">
        <v>17328709</v>
      </c>
      <c r="BJ65" s="15">
        <v>1833332</v>
      </c>
      <c r="BK65" s="15">
        <v>0</v>
      </c>
      <c r="BM65" s="15">
        <v>108825</v>
      </c>
      <c r="BN65" s="1353">
        <f>((BG65-BI65)+BK65+BL65+BM65)/AN65</f>
        <v>-63.502043427271758</v>
      </c>
      <c r="BO65" s="1"/>
      <c r="BP65" s="11" t="s">
        <v>247</v>
      </c>
    </row>
    <row r="66" spans="1:70" s="3" customFormat="1" ht="27.6" customHeight="1" x14ac:dyDescent="0.2">
      <c r="A66" s="28" t="s">
        <v>111</v>
      </c>
      <c r="B66" s="11">
        <v>63</v>
      </c>
      <c r="C66" s="915" t="s">
        <v>953</v>
      </c>
      <c r="D66" s="11" t="s">
        <v>133</v>
      </c>
      <c r="E66" s="11" t="s">
        <v>993</v>
      </c>
      <c r="F66" s="11" t="s">
        <v>1031</v>
      </c>
      <c r="G66" s="1" t="s">
        <v>1024</v>
      </c>
      <c r="H66" s="37">
        <v>40898</v>
      </c>
      <c r="I66" s="432" t="s">
        <v>4</v>
      </c>
      <c r="J66" s="33">
        <v>41372</v>
      </c>
      <c r="K66" s="60">
        <v>41941</v>
      </c>
      <c r="L66" s="28" t="s">
        <v>112</v>
      </c>
      <c r="M66" s="1" t="s">
        <v>13</v>
      </c>
      <c r="N66" s="2">
        <v>27548</v>
      </c>
      <c r="O66" s="2"/>
      <c r="P66" s="14">
        <v>2</v>
      </c>
      <c r="Q66" s="28" t="s">
        <v>111</v>
      </c>
      <c r="R66" s="11" t="s">
        <v>247</v>
      </c>
      <c r="S66" s="11">
        <v>4</v>
      </c>
      <c r="T66" s="2">
        <v>1911</v>
      </c>
      <c r="U66" s="10">
        <f t="shared" si="70"/>
        <v>69.369827210686793</v>
      </c>
      <c r="V66" s="2">
        <v>1336</v>
      </c>
      <c r="W66" s="10">
        <f t="shared" si="44"/>
        <v>48.497168578481194</v>
      </c>
      <c r="X66" s="8">
        <f t="shared" si="45"/>
        <v>0.30088958660387233</v>
      </c>
      <c r="Y66" s="3">
        <f t="shared" si="46"/>
        <v>575</v>
      </c>
      <c r="Z66" s="967">
        <v>42949</v>
      </c>
      <c r="AA66" s="2">
        <f>'16.17 Meter Data'!Y618</f>
        <v>2146.1854221738804</v>
      </c>
      <c r="AB66" s="40">
        <f>AA66/N66*1000</f>
        <v>77.907122919046046</v>
      </c>
      <c r="AC66" s="1391" t="s">
        <v>1314</v>
      </c>
      <c r="AD66" s="1396">
        <v>32</v>
      </c>
      <c r="AE66" s="1912">
        <f>(T66-AA66)/T66</f>
        <v>-0.12306929470114097</v>
      </c>
      <c r="AF66" s="1912"/>
      <c r="AG66" s="51">
        <f>T66-AA66</f>
        <v>-235.1854221738804</v>
      </c>
      <c r="AH66" s="28" t="s">
        <v>111</v>
      </c>
      <c r="AI66" s="15">
        <v>50033</v>
      </c>
      <c r="AJ66" s="7">
        <f t="shared" si="47"/>
        <v>1.8162117032089444</v>
      </c>
      <c r="AK66" s="15">
        <v>33648</v>
      </c>
      <c r="AL66" s="7">
        <f t="shared" si="48"/>
        <v>1.2214316828807898</v>
      </c>
      <c r="AM66" s="8">
        <f t="shared" si="49"/>
        <v>0.32748386065196972</v>
      </c>
      <c r="AN66" s="15">
        <f t="shared" si="50"/>
        <v>16385</v>
      </c>
      <c r="AO66" s="15">
        <f>'16.17 Meter Data'!W622</f>
        <v>28335.53</v>
      </c>
      <c r="AP66" s="22">
        <f>AO66/N66</f>
        <v>1.0285875562654276</v>
      </c>
      <c r="AQ66" s="47">
        <f>(AI66-AO66)/AI66</f>
        <v>0.43366318229968226</v>
      </c>
      <c r="AR66" s="48">
        <f>AI66-AO66</f>
        <v>21697.47</v>
      </c>
      <c r="AS66" s="28" t="s">
        <v>111</v>
      </c>
      <c r="AT66" s="2">
        <v>154588</v>
      </c>
      <c r="AU66" s="1" t="s">
        <v>13</v>
      </c>
      <c r="AV66" s="10">
        <f t="shared" si="51"/>
        <v>5.6115870480615655</v>
      </c>
      <c r="AW66" s="2">
        <v>101825</v>
      </c>
      <c r="AX66" s="1" t="s">
        <v>157</v>
      </c>
      <c r="AY66" s="10">
        <f t="shared" si="52"/>
        <v>3.6962755916944969</v>
      </c>
      <c r="AZ66" s="8">
        <f t="shared" si="53"/>
        <v>0.34131368540895801</v>
      </c>
      <c r="BA66" s="2">
        <f t="shared" si="54"/>
        <v>52763</v>
      </c>
      <c r="BB66" s="242">
        <f>'16.17 Meter Data'!W619</f>
        <v>115940</v>
      </c>
      <c r="BC66" s="9" t="s">
        <v>13</v>
      </c>
      <c r="BD66" s="2">
        <f>BB66/N66</f>
        <v>4.208653985770292</v>
      </c>
      <c r="BE66" s="8">
        <f>(AT66-BB66)/AT66</f>
        <v>0.25000646880741068</v>
      </c>
      <c r="BF66" s="28" t="s">
        <v>111</v>
      </c>
      <c r="BG66" s="64">
        <v>7444000</v>
      </c>
      <c r="BH66" s="42">
        <f t="shared" si="69"/>
        <v>270.21925366632786</v>
      </c>
      <c r="BI66" s="346">
        <f>BG66-192367</f>
        <v>7251633</v>
      </c>
      <c r="BJ66" s="15">
        <v>785500</v>
      </c>
      <c r="BK66" s="15">
        <v>92000</v>
      </c>
      <c r="BM66" s="15">
        <v>51400</v>
      </c>
      <c r="BN66" s="1353">
        <f>((BG66-BI66)+BK66+BL66+BM66)/AN66</f>
        <v>20.492340555386022</v>
      </c>
      <c r="BO66" s="1" t="s">
        <v>302</v>
      </c>
      <c r="BP66" s="11" t="s">
        <v>247</v>
      </c>
    </row>
    <row r="67" spans="1:70" s="3" customFormat="1" ht="27.6" customHeight="1" x14ac:dyDescent="0.2">
      <c r="A67" s="28" t="s">
        <v>127</v>
      </c>
      <c r="B67" s="11">
        <v>64</v>
      </c>
      <c r="C67" s="915" t="s">
        <v>952</v>
      </c>
      <c r="D67" s="11" t="s">
        <v>109</v>
      </c>
      <c r="E67" s="11" t="s">
        <v>993</v>
      </c>
      <c r="F67" s="11" t="s">
        <v>548</v>
      </c>
      <c r="G67" s="1" t="s">
        <v>137</v>
      </c>
      <c r="H67" s="37">
        <v>40997</v>
      </c>
      <c r="I67" s="1" t="s">
        <v>10</v>
      </c>
      <c r="J67" s="33">
        <v>41214</v>
      </c>
      <c r="K67" s="60">
        <v>41955</v>
      </c>
      <c r="L67" s="28" t="s">
        <v>128</v>
      </c>
      <c r="M67" s="1" t="s">
        <v>13</v>
      </c>
      <c r="N67" s="2">
        <v>25877</v>
      </c>
      <c r="O67" s="2"/>
      <c r="P67" s="14">
        <v>2</v>
      </c>
      <c r="Q67" s="28" t="s">
        <v>127</v>
      </c>
      <c r="R67" s="11" t="s">
        <v>247</v>
      </c>
      <c r="S67" s="11">
        <v>4</v>
      </c>
      <c r="T67" s="2">
        <v>2330</v>
      </c>
      <c r="U67" s="10">
        <f t="shared" si="70"/>
        <v>90.041349460911235</v>
      </c>
      <c r="V67" s="2">
        <v>1242</v>
      </c>
      <c r="W67" s="10">
        <f t="shared" si="44"/>
        <v>47.996290141824787</v>
      </c>
      <c r="X67" s="8">
        <f t="shared" si="45"/>
        <v>0.46695278969957082</v>
      </c>
      <c r="Y67" s="2">
        <f t="shared" si="46"/>
        <v>1088</v>
      </c>
      <c r="Z67" s="992">
        <v>42978</v>
      </c>
      <c r="AA67" s="2">
        <f>'16.17 Meter Data'!Y627</f>
        <v>2478.491856908824</v>
      </c>
      <c r="AB67" s="40">
        <f>AA67/N67*1000</f>
        <v>95.779721641180359</v>
      </c>
      <c r="AC67" s="1391" t="s">
        <v>1312</v>
      </c>
      <c r="AD67" s="1396">
        <v>71</v>
      </c>
      <c r="AE67" s="1912">
        <f>(T67-AA67)/T67</f>
        <v>-6.3730410690482422E-2</v>
      </c>
      <c r="AF67" s="1912"/>
      <c r="AG67" s="51">
        <f>T67-AA67</f>
        <v>-148.49185690882405</v>
      </c>
      <c r="AH67" s="28" t="s">
        <v>127</v>
      </c>
      <c r="AI67" s="15">
        <v>44281</v>
      </c>
      <c r="AJ67" s="7">
        <f t="shared" si="47"/>
        <v>1.7112107276732234</v>
      </c>
      <c r="AK67" s="15">
        <v>29471</v>
      </c>
      <c r="AL67" s="7">
        <f t="shared" si="48"/>
        <v>1.1388878154345559</v>
      </c>
      <c r="AM67" s="8">
        <f t="shared" si="49"/>
        <v>0.33445495810844378</v>
      </c>
      <c r="AN67" s="15">
        <f t="shared" si="50"/>
        <v>14810</v>
      </c>
      <c r="AO67" s="15">
        <f>'16.17 Meter Data'!W631</f>
        <v>40423.613604222199</v>
      </c>
      <c r="AP67" s="22">
        <f>AO67/N67</f>
        <v>1.5621445145968311</v>
      </c>
      <c r="AQ67" s="47">
        <f>(AI67-AO67)/AI67</f>
        <v>8.7111546617687066E-2</v>
      </c>
      <c r="AR67" s="48">
        <f>AI67-AO67</f>
        <v>3857.3863957778012</v>
      </c>
      <c r="AS67" s="28" t="s">
        <v>127</v>
      </c>
      <c r="AT67" s="2">
        <v>617945</v>
      </c>
      <c r="AU67" s="1" t="s">
        <v>13</v>
      </c>
      <c r="AV67" s="10">
        <f t="shared" si="51"/>
        <v>23.880086563357423</v>
      </c>
      <c r="AW67" s="2">
        <v>478128</v>
      </c>
      <c r="AX67" s="1" t="s">
        <v>13</v>
      </c>
      <c r="AY67" s="10">
        <f t="shared" si="52"/>
        <v>18.476948641650885</v>
      </c>
      <c r="AZ67" s="8">
        <f t="shared" si="53"/>
        <v>0.22626123684146648</v>
      </c>
      <c r="BA67" s="2">
        <f t="shared" si="54"/>
        <v>139817</v>
      </c>
      <c r="BB67" s="242">
        <f>'16.17 Meter Data'!W628</f>
        <v>92010.395999999993</v>
      </c>
      <c r="BC67" s="9" t="s">
        <v>13</v>
      </c>
      <c r="BD67" s="2">
        <f>BB67/N67</f>
        <v>3.555682497971171</v>
      </c>
      <c r="BE67" s="8">
        <f>(AT67-BB67)/AT67</f>
        <v>0.85110261269206811</v>
      </c>
      <c r="BF67" s="28" t="s">
        <v>127</v>
      </c>
      <c r="BG67" s="64">
        <v>6143700</v>
      </c>
      <c r="BH67" s="42">
        <f t="shared" si="69"/>
        <v>237.41932990686709</v>
      </c>
      <c r="BJ67" s="15">
        <v>854040</v>
      </c>
      <c r="BK67" s="15">
        <v>43000</v>
      </c>
      <c r="BM67" s="433">
        <v>81680</v>
      </c>
      <c r="BN67" s="1353"/>
      <c r="BO67" s="1" t="s">
        <v>297</v>
      </c>
      <c r="BP67" s="11" t="s">
        <v>247</v>
      </c>
      <c r="BQ67" s="41"/>
      <c r="BR67" s="41"/>
    </row>
    <row r="68" spans="1:70" s="3" customFormat="1" ht="27.6" customHeight="1" x14ac:dyDescent="0.2">
      <c r="A68" s="28" t="s">
        <v>195</v>
      </c>
      <c r="B68" s="11">
        <v>65</v>
      </c>
      <c r="C68" s="11" t="s">
        <v>951</v>
      </c>
      <c r="D68" s="11" t="s">
        <v>63</v>
      </c>
      <c r="E68" s="11" t="s">
        <v>985</v>
      </c>
      <c r="F68" s="11" t="s">
        <v>1471</v>
      </c>
      <c r="G68" s="1" t="s">
        <v>142</v>
      </c>
      <c r="H68" s="37">
        <v>41381</v>
      </c>
      <c r="I68" s="1" t="s">
        <v>173</v>
      </c>
      <c r="J68" s="33">
        <v>41186</v>
      </c>
      <c r="K68" s="60">
        <v>41964</v>
      </c>
      <c r="L68" s="28" t="s">
        <v>202</v>
      </c>
      <c r="M68" s="1" t="s">
        <v>13</v>
      </c>
      <c r="N68" s="2">
        <v>56146</v>
      </c>
      <c r="O68" s="2"/>
      <c r="P68" s="14">
        <v>2</v>
      </c>
      <c r="Q68" s="28" t="s">
        <v>195</v>
      </c>
      <c r="R68" s="11" t="s">
        <v>247</v>
      </c>
      <c r="S68" s="11">
        <v>3</v>
      </c>
      <c r="T68" s="2">
        <v>12578</v>
      </c>
      <c r="U68" s="10">
        <f t="shared" si="70"/>
        <v>224.02308267730558</v>
      </c>
      <c r="V68" s="2">
        <v>7334</v>
      </c>
      <c r="W68" s="10">
        <f t="shared" ref="W68:W89" si="71">V68/N68*1000</f>
        <v>130.62373098706942</v>
      </c>
      <c r="X68" s="8">
        <f t="shared" ref="X68:X89" si="72">(T68-V68)/T68</f>
        <v>0.41691842900302117</v>
      </c>
      <c r="Y68" s="2">
        <f t="shared" ref="Y68:Y89" si="73">T68-V68</f>
        <v>5244</v>
      </c>
      <c r="Z68" s="992"/>
      <c r="AA68" s="2"/>
      <c r="AB68" s="40">
        <f>AA68/N68*1000</f>
        <v>0</v>
      </c>
      <c r="AC68" s="1391" t="s">
        <v>1313</v>
      </c>
      <c r="AD68" s="1396">
        <v>150</v>
      </c>
      <c r="AE68" s="5"/>
      <c r="AF68" s="1912"/>
      <c r="AG68" s="51"/>
      <c r="AH68" s="28" t="s">
        <v>195</v>
      </c>
      <c r="AI68" s="15">
        <v>163454</v>
      </c>
      <c r="AJ68" s="7">
        <f t="shared" ref="AJ68:AJ89" si="74">AI68/N68</f>
        <v>2.9112314323371211</v>
      </c>
      <c r="AK68" s="15">
        <v>113314</v>
      </c>
      <c r="AL68" s="7">
        <f t="shared" ref="AL68:AL89" si="75">AK68/N68</f>
        <v>2.0182025433690733</v>
      </c>
      <c r="AM68" s="8">
        <f t="shared" ref="AM68:AM89" si="76">(AI68-AK68)/AI68</f>
        <v>0.30675297025462822</v>
      </c>
      <c r="AN68" s="15">
        <f t="shared" ref="AN68:AN89" si="77">AI68-AK68</f>
        <v>50140</v>
      </c>
      <c r="AO68" s="15"/>
      <c r="AP68" s="22">
        <f>AO68/N68</f>
        <v>0</v>
      </c>
      <c r="AQ68" s="47"/>
      <c r="AR68" s="48"/>
      <c r="AS68" s="28" t="s">
        <v>195</v>
      </c>
      <c r="AT68" s="2">
        <v>546557</v>
      </c>
      <c r="AU68" s="9" t="s">
        <v>13</v>
      </c>
      <c r="AV68" s="10">
        <f t="shared" ref="AV68:AV89" si="78">AT68/N68</f>
        <v>9.7345670216934419</v>
      </c>
      <c r="AW68" s="2">
        <v>435029</v>
      </c>
      <c r="AX68" s="9" t="s">
        <v>13</v>
      </c>
      <c r="AY68" s="10">
        <f t="shared" ref="AY68:AY89" si="79">AW68/N68</f>
        <v>7.7481744024507533</v>
      </c>
      <c r="AZ68" s="8">
        <f t="shared" ref="AZ68:AZ86" si="80">(AT68-AW68)/AT68</f>
        <v>0.20405556968440619</v>
      </c>
      <c r="BA68" s="2">
        <f t="shared" ref="BA68:BA89" si="81">AT68-AW68</f>
        <v>111528</v>
      </c>
      <c r="BB68" s="242"/>
      <c r="BC68" s="9"/>
      <c r="BD68" s="2"/>
      <c r="BE68" s="8"/>
      <c r="BF68" s="28" t="s">
        <v>195</v>
      </c>
      <c r="BG68" s="64">
        <v>26618418.390000001</v>
      </c>
      <c r="BH68" s="42">
        <f t="shared" si="69"/>
        <v>474.09287197663235</v>
      </c>
      <c r="BI68" s="15">
        <f>BG68-968700</f>
        <v>25649718.390000001</v>
      </c>
      <c r="BJ68" s="15">
        <v>1918410</v>
      </c>
      <c r="BK68" s="15">
        <v>78000</v>
      </c>
      <c r="BL68" s="15"/>
      <c r="BM68" s="15">
        <v>182024</v>
      </c>
      <c r="BN68" s="1353">
        <f>((BG68-BI68)+BK68+BL68+BM68)/AN68</f>
        <v>24.505863581970484</v>
      </c>
      <c r="BO68" s="1" t="s">
        <v>295</v>
      </c>
      <c r="BP68" s="11" t="s">
        <v>247</v>
      </c>
      <c r="BQ68" s="41"/>
      <c r="BR68" s="41"/>
    </row>
    <row r="69" spans="1:70" s="3" customFormat="1" ht="27.6" customHeight="1" x14ac:dyDescent="0.2">
      <c r="A69" s="4" t="s">
        <v>1444</v>
      </c>
      <c r="B69" s="11">
        <v>66</v>
      </c>
      <c r="C69" s="11" t="s">
        <v>951</v>
      </c>
      <c r="D69" s="11" t="s">
        <v>109</v>
      </c>
      <c r="E69" s="11" t="s">
        <v>993</v>
      </c>
      <c r="F69" s="11" t="s">
        <v>548</v>
      </c>
      <c r="G69" s="1" t="s">
        <v>108</v>
      </c>
      <c r="H69" s="33">
        <v>40661</v>
      </c>
      <c r="I69" s="11" t="s">
        <v>10</v>
      </c>
      <c r="J69" s="33">
        <v>40700</v>
      </c>
      <c r="K69" s="60">
        <v>42040</v>
      </c>
      <c r="L69" s="4" t="s">
        <v>202</v>
      </c>
      <c r="M69" s="11" t="s">
        <v>13</v>
      </c>
      <c r="N69" s="6">
        <v>111160</v>
      </c>
      <c r="O69" s="6"/>
      <c r="P69" s="49">
        <v>2</v>
      </c>
      <c r="Q69" s="4" t="str">
        <f>A69</f>
        <v>Moran Commons Dining Hall Renovation</v>
      </c>
      <c r="R69" s="11" t="s">
        <v>247</v>
      </c>
      <c r="S69" s="11">
        <v>4</v>
      </c>
      <c r="T69" s="2">
        <v>18584</v>
      </c>
      <c r="U69" s="12">
        <f t="shared" si="70"/>
        <v>167.18243972652033</v>
      </c>
      <c r="V69" s="2">
        <v>12522</v>
      </c>
      <c r="W69" s="23">
        <f t="shared" si="71"/>
        <v>112.64843468873696</v>
      </c>
      <c r="X69" s="1912">
        <f t="shared" si="72"/>
        <v>0.32619457597933704</v>
      </c>
      <c r="Y69" s="13">
        <f t="shared" si="73"/>
        <v>6062</v>
      </c>
      <c r="Z69" s="992">
        <v>42978</v>
      </c>
      <c r="AA69" s="49">
        <f>'16.17 Meter Data'!Y652</f>
        <v>59609.872698033359</v>
      </c>
      <c r="AB69" s="40">
        <f>AA69/N69*1000</f>
        <v>536.25290300497807</v>
      </c>
      <c r="AC69" s="1391" t="s">
        <v>1313</v>
      </c>
      <c r="AD69" s="1394">
        <v>166</v>
      </c>
      <c r="AE69" s="1912">
        <f>(T69-AA69)/T69</f>
        <v>-2.2075910836221135</v>
      </c>
      <c r="AF69" s="1912"/>
      <c r="AG69" s="51">
        <f>T69-AA69</f>
        <v>-41025.872698033359</v>
      </c>
      <c r="AH69" s="4" t="str">
        <f>A69</f>
        <v>Moran Commons Dining Hall Renovation</v>
      </c>
      <c r="AI69" s="15">
        <v>269366</v>
      </c>
      <c r="AJ69" s="7">
        <f t="shared" si="74"/>
        <v>2.423227779776898</v>
      </c>
      <c r="AK69" s="15">
        <v>187898</v>
      </c>
      <c r="AL69" s="7">
        <f t="shared" si="75"/>
        <v>1.6903382511694853</v>
      </c>
      <c r="AM69" s="8">
        <f t="shared" si="76"/>
        <v>0.30244351551420745</v>
      </c>
      <c r="AN69" s="16">
        <f t="shared" si="77"/>
        <v>81468</v>
      </c>
      <c r="AO69" s="15">
        <f>'16.17 Meter Data'!W658</f>
        <v>213510.50715353823</v>
      </c>
      <c r="AP69" s="22">
        <f>AO69/N69</f>
        <v>1.9207494346306067</v>
      </c>
      <c r="AQ69" s="47">
        <f>(AI69-AO69)/AI69</f>
        <v>0.20735910562751708</v>
      </c>
      <c r="AR69" s="48">
        <f>AI69-AO69</f>
        <v>55855.49284646177</v>
      </c>
      <c r="AS69" s="4" t="s">
        <v>110</v>
      </c>
      <c r="AT69" s="2">
        <v>6216053</v>
      </c>
      <c r="AU69" s="9" t="s">
        <v>13</v>
      </c>
      <c r="AV69" s="2">
        <f t="shared" si="78"/>
        <v>55.91987225620727</v>
      </c>
      <c r="AW69" s="2">
        <v>3532573</v>
      </c>
      <c r="AX69" s="9" t="s">
        <v>13</v>
      </c>
      <c r="AY69" s="2">
        <f t="shared" si="79"/>
        <v>31.779174163368118</v>
      </c>
      <c r="AZ69" s="8">
        <f t="shared" si="80"/>
        <v>0.43170159585190154</v>
      </c>
      <c r="BA69" s="17">
        <f t="shared" si="81"/>
        <v>2683480</v>
      </c>
      <c r="BB69" s="242">
        <f>'16.17 Meter Data'!W653</f>
        <v>4751999.1199999815</v>
      </c>
      <c r="BC69" s="9" t="s">
        <v>13</v>
      </c>
      <c r="BD69" s="2">
        <f>BB69/N69</f>
        <v>42.749182439726354</v>
      </c>
      <c r="BE69" s="8">
        <f>(AT69-BB69)/AT69</f>
        <v>0.23552789527374018</v>
      </c>
      <c r="BF69" s="4" t="s">
        <v>110</v>
      </c>
      <c r="BG69" s="64">
        <f>1862755+26596280</f>
        <v>28459035</v>
      </c>
      <c r="BH69" s="42">
        <f t="shared" si="69"/>
        <v>256.01866678661389</v>
      </c>
      <c r="BI69" s="41"/>
      <c r="BJ69" s="15">
        <v>2837884</v>
      </c>
      <c r="BK69" s="15">
        <v>60000</v>
      </c>
      <c r="BM69" s="15">
        <v>283540</v>
      </c>
      <c r="BN69" s="1353"/>
      <c r="BO69" s="1" t="s">
        <v>304</v>
      </c>
      <c r="BP69" s="11" t="s">
        <v>247</v>
      </c>
    </row>
    <row r="70" spans="1:70" s="41" customFormat="1" ht="27.6" customHeight="1" x14ac:dyDescent="0.2">
      <c r="A70" s="28" t="s">
        <v>124</v>
      </c>
      <c r="B70" s="11">
        <v>67</v>
      </c>
      <c r="C70" s="915" t="s">
        <v>953</v>
      </c>
      <c r="D70" s="11" t="s">
        <v>100</v>
      </c>
      <c r="E70" s="11" t="s">
        <v>1000</v>
      </c>
      <c r="F70" s="11" t="s">
        <v>549</v>
      </c>
      <c r="G70" s="1" t="s">
        <v>123</v>
      </c>
      <c r="H70" s="37">
        <v>41397</v>
      </c>
      <c r="I70" s="1" t="s">
        <v>173</v>
      </c>
      <c r="J70" s="33">
        <v>41011</v>
      </c>
      <c r="K70" s="60">
        <v>42066</v>
      </c>
      <c r="L70" s="28" t="s">
        <v>421</v>
      </c>
      <c r="M70" s="1" t="s">
        <v>13</v>
      </c>
      <c r="N70" s="2">
        <v>23982</v>
      </c>
      <c r="O70" s="2"/>
      <c r="P70" s="14">
        <v>3</v>
      </c>
      <c r="Q70" s="28" t="s">
        <v>124</v>
      </c>
      <c r="R70" s="11" t="s">
        <v>249</v>
      </c>
      <c r="S70" s="11">
        <v>4</v>
      </c>
      <c r="T70" s="2">
        <v>4288</v>
      </c>
      <c r="U70" s="10">
        <f t="shared" si="70"/>
        <v>178.80076724209823</v>
      </c>
      <c r="V70" s="2">
        <v>2361</v>
      </c>
      <c r="W70" s="10">
        <f t="shared" si="71"/>
        <v>98.448836627470598</v>
      </c>
      <c r="X70" s="8">
        <f t="shared" si="72"/>
        <v>0.4493936567164179</v>
      </c>
      <c r="Y70" s="2">
        <f t="shared" si="73"/>
        <v>1927</v>
      </c>
      <c r="Z70" s="992">
        <v>42975</v>
      </c>
      <c r="AA70" s="2">
        <f>'16.17 Meter Data'!Y662</f>
        <v>1387.664366</v>
      </c>
      <c r="AB70" s="40">
        <f>AA70/N70*1000</f>
        <v>57.862745642565258</v>
      </c>
      <c r="AC70" s="1391" t="s">
        <v>1300</v>
      </c>
      <c r="AD70" s="1393">
        <v>72</v>
      </c>
      <c r="AE70" s="1912">
        <f>(T70-AA70)/T70</f>
        <v>0.67638424300373134</v>
      </c>
      <c r="AF70" s="1611" t="s">
        <v>955</v>
      </c>
      <c r="AG70" s="51">
        <f>T70-AA70</f>
        <v>2900.335634</v>
      </c>
      <c r="AH70" s="28" t="s">
        <v>124</v>
      </c>
      <c r="AI70" s="15">
        <v>106582</v>
      </c>
      <c r="AJ70" s="7">
        <f t="shared" si="74"/>
        <v>4.44424985405721</v>
      </c>
      <c r="AK70" s="15">
        <v>65369</v>
      </c>
      <c r="AL70" s="7">
        <f t="shared" si="75"/>
        <v>2.7257526478191978</v>
      </c>
      <c r="AM70" s="8">
        <f t="shared" si="76"/>
        <v>0.38667880129853072</v>
      </c>
      <c r="AN70" s="15">
        <f t="shared" si="77"/>
        <v>41213</v>
      </c>
      <c r="AO70" s="15">
        <f>'16.17 Meter Data'!W665</f>
        <v>37178.36</v>
      </c>
      <c r="AP70" s="22">
        <f>AO70/N70</f>
        <v>1.5502610291051622</v>
      </c>
      <c r="AQ70" s="47">
        <f>(AI70-AO70)/AI70</f>
        <v>0.65117599594678277</v>
      </c>
      <c r="AR70" s="48">
        <f>AI70-AO70</f>
        <v>69403.64</v>
      </c>
      <c r="AS70" s="28" t="s">
        <v>124</v>
      </c>
      <c r="AT70" s="2">
        <v>67775</v>
      </c>
      <c r="AU70" s="1" t="s">
        <v>13</v>
      </c>
      <c r="AV70" s="10">
        <f t="shared" si="78"/>
        <v>2.8260778917521474</v>
      </c>
      <c r="AW70" s="2">
        <v>44733</v>
      </c>
      <c r="AX70" s="1" t="s">
        <v>13</v>
      </c>
      <c r="AY70" s="10">
        <f t="shared" si="79"/>
        <v>1.8652739554666</v>
      </c>
      <c r="AZ70" s="8">
        <f t="shared" si="80"/>
        <v>0.33997786794540757</v>
      </c>
      <c r="BA70" s="2">
        <f t="shared" si="81"/>
        <v>23042</v>
      </c>
      <c r="BB70" s="242">
        <f>'16.17 Meter Data'!W663</f>
        <v>6754.4400000000005</v>
      </c>
      <c r="BC70" s="9" t="s">
        <v>13</v>
      </c>
      <c r="BD70" s="2">
        <f>BB70/N70</f>
        <v>0.28164623467600702</v>
      </c>
      <c r="BE70" s="8">
        <f>(AT70-BB70)/AT70</f>
        <v>0.90034024345260044</v>
      </c>
      <c r="BF70" s="28" t="s">
        <v>124</v>
      </c>
      <c r="BG70" s="64">
        <v>8727727</v>
      </c>
      <c r="BH70" s="42">
        <f t="shared" si="69"/>
        <v>363.92823784505043</v>
      </c>
      <c r="BI70" s="15">
        <v>6497174</v>
      </c>
      <c r="BJ70" s="15">
        <v>700000</v>
      </c>
      <c r="BK70" s="15">
        <v>50000</v>
      </c>
      <c r="BL70" s="15"/>
      <c r="BM70" s="15">
        <v>80300</v>
      </c>
      <c r="BN70" s="1353">
        <f>((BG70-BI70)+BK70+BL70+BM70)/AN70</f>
        <v>57.284182175527143</v>
      </c>
      <c r="BO70" s="1" t="s">
        <v>302</v>
      </c>
      <c r="BP70" s="11" t="s">
        <v>249</v>
      </c>
    </row>
    <row r="71" spans="1:70" s="3" customFormat="1" ht="27.6" customHeight="1" x14ac:dyDescent="0.2">
      <c r="A71" s="28" t="s">
        <v>196</v>
      </c>
      <c r="B71" s="11">
        <v>68</v>
      </c>
      <c r="C71" s="915" t="s">
        <v>953</v>
      </c>
      <c r="D71" s="11" t="s">
        <v>56</v>
      </c>
      <c r="E71" s="11" t="s">
        <v>995</v>
      </c>
      <c r="F71" s="11" t="s">
        <v>546</v>
      </c>
      <c r="G71" s="1" t="s">
        <v>174</v>
      </c>
      <c r="H71" s="37">
        <v>41453</v>
      </c>
      <c r="I71" s="1" t="s">
        <v>173</v>
      </c>
      <c r="J71" s="33">
        <v>41435</v>
      </c>
      <c r="K71" s="60">
        <v>42069</v>
      </c>
      <c r="L71" s="28" t="s">
        <v>175</v>
      </c>
      <c r="M71" s="1" t="s">
        <v>13</v>
      </c>
      <c r="N71" s="2">
        <v>82961</v>
      </c>
      <c r="O71" s="2"/>
      <c r="P71" s="14">
        <v>2</v>
      </c>
      <c r="Q71" s="28" t="s">
        <v>196</v>
      </c>
      <c r="R71" s="11" t="s">
        <v>249</v>
      </c>
      <c r="S71" s="11">
        <v>3</v>
      </c>
      <c r="T71" s="2">
        <v>14304</v>
      </c>
      <c r="U71" s="10">
        <f t="shared" si="70"/>
        <v>172.41836525596366</v>
      </c>
      <c r="V71" s="2">
        <v>11048</v>
      </c>
      <c r="W71" s="10">
        <f t="shared" si="71"/>
        <v>133.1710080640301</v>
      </c>
      <c r="X71" s="8">
        <f t="shared" si="72"/>
        <v>0.22762863534675615</v>
      </c>
      <c r="Y71" s="2">
        <f t="shared" si="73"/>
        <v>3256</v>
      </c>
      <c r="Z71" s="992"/>
      <c r="AC71" s="1391" t="s">
        <v>1313</v>
      </c>
      <c r="AD71" s="1396">
        <v>150</v>
      </c>
      <c r="AH71" s="28" t="s">
        <v>196</v>
      </c>
      <c r="AI71" s="15">
        <v>215110</v>
      </c>
      <c r="AJ71" s="7">
        <f t="shared" si="74"/>
        <v>2.5929050999867407</v>
      </c>
      <c r="AK71" s="15">
        <v>143121</v>
      </c>
      <c r="AL71" s="7">
        <f t="shared" si="75"/>
        <v>1.7251600149467823</v>
      </c>
      <c r="AM71" s="8">
        <f t="shared" si="76"/>
        <v>0.33466133606062015</v>
      </c>
      <c r="AN71" s="15">
        <f t="shared" si="77"/>
        <v>71989</v>
      </c>
      <c r="AS71" s="28" t="s">
        <v>196</v>
      </c>
      <c r="AT71" s="2">
        <v>4017684</v>
      </c>
      <c r="AU71" s="9" t="s">
        <v>13</v>
      </c>
      <c r="AV71" s="10">
        <f t="shared" si="78"/>
        <v>48.428586926387098</v>
      </c>
      <c r="AW71" s="2">
        <v>3910346</v>
      </c>
      <c r="AX71" s="9" t="s">
        <v>13</v>
      </c>
      <c r="AY71" s="10">
        <f t="shared" si="79"/>
        <v>47.134750063282745</v>
      </c>
      <c r="AZ71" s="8">
        <f t="shared" si="80"/>
        <v>2.6716386853719704E-2</v>
      </c>
      <c r="BA71" s="2">
        <f t="shared" si="81"/>
        <v>107338</v>
      </c>
      <c r="BF71" s="28" t="s">
        <v>196</v>
      </c>
      <c r="BG71" s="64">
        <v>17090447</v>
      </c>
      <c r="BH71" s="42">
        <f t="shared" si="69"/>
        <v>206.00579790503971</v>
      </c>
      <c r="BI71" s="15">
        <v>16915711</v>
      </c>
      <c r="BJ71" s="15">
        <v>1536300</v>
      </c>
      <c r="BK71" s="71">
        <v>0</v>
      </c>
      <c r="BL71" s="11"/>
      <c r="BM71" s="15">
        <v>207560</v>
      </c>
      <c r="BN71" s="1353">
        <f>((BG71-BI71)+BK71+BL71+BM71)/AN71</f>
        <v>5.3104779896928695</v>
      </c>
      <c r="BO71" s="1" t="s">
        <v>313</v>
      </c>
      <c r="BP71" s="11" t="s">
        <v>249</v>
      </c>
    </row>
    <row r="72" spans="1:70" s="41" customFormat="1" ht="27.6" customHeight="1" x14ac:dyDescent="0.2">
      <c r="A72" s="4" t="s">
        <v>127</v>
      </c>
      <c r="B72" s="11">
        <v>69</v>
      </c>
      <c r="C72" s="11" t="s">
        <v>951</v>
      </c>
      <c r="D72" s="11" t="s">
        <v>126</v>
      </c>
      <c r="E72" s="11" t="s">
        <v>1000</v>
      </c>
      <c r="F72" s="11" t="s">
        <v>1032</v>
      </c>
      <c r="G72" s="1" t="s">
        <v>125</v>
      </c>
      <c r="H72" s="37">
        <v>41004</v>
      </c>
      <c r="I72" s="1" t="s">
        <v>10</v>
      </c>
      <c r="J72" s="33">
        <v>41424</v>
      </c>
      <c r="K72" s="60">
        <v>42075</v>
      </c>
      <c r="L72" s="4" t="s">
        <v>128</v>
      </c>
      <c r="M72" s="1" t="s">
        <v>13</v>
      </c>
      <c r="N72" s="6">
        <v>9023</v>
      </c>
      <c r="O72" s="6"/>
      <c r="P72" s="14">
        <v>2</v>
      </c>
      <c r="Q72" s="4" t="s">
        <v>127</v>
      </c>
      <c r="R72" s="11" t="s">
        <v>247</v>
      </c>
      <c r="S72" s="11">
        <v>4</v>
      </c>
      <c r="T72" s="2">
        <v>1171</v>
      </c>
      <c r="U72" s="10">
        <f t="shared" si="70"/>
        <v>129.77945251025159</v>
      </c>
      <c r="V72" s="2">
        <v>689</v>
      </c>
      <c r="W72" s="10">
        <f t="shared" si="71"/>
        <v>76.360412279729573</v>
      </c>
      <c r="X72" s="5">
        <f t="shared" si="72"/>
        <v>0.41161400512382579</v>
      </c>
      <c r="Y72" s="2">
        <f t="shared" si="73"/>
        <v>482</v>
      </c>
      <c r="Z72" s="992"/>
      <c r="AA72" s="3"/>
      <c r="AB72" s="3"/>
      <c r="AC72" s="1391" t="s">
        <v>1312</v>
      </c>
      <c r="AD72" s="1396">
        <v>71</v>
      </c>
      <c r="AE72" s="3"/>
      <c r="AF72" s="3"/>
      <c r="AG72" s="3"/>
      <c r="AH72" s="4" t="s">
        <v>127</v>
      </c>
      <c r="AI72" s="15">
        <v>18288</v>
      </c>
      <c r="AJ72" s="7">
        <f t="shared" si="74"/>
        <v>2.0268203479995566</v>
      </c>
      <c r="AK72" s="15">
        <v>12209</v>
      </c>
      <c r="AL72" s="7">
        <f t="shared" si="75"/>
        <v>1.3530976393660645</v>
      </c>
      <c r="AM72" s="8">
        <f t="shared" si="76"/>
        <v>0.33240376202974631</v>
      </c>
      <c r="AN72" s="15">
        <f t="shared" si="77"/>
        <v>6079</v>
      </c>
      <c r="AO72" s="3"/>
      <c r="AP72" s="3"/>
      <c r="AQ72" s="3"/>
      <c r="AR72" s="3"/>
      <c r="AS72" s="4" t="s">
        <v>127</v>
      </c>
      <c r="AT72" s="2">
        <v>289717</v>
      </c>
      <c r="AU72" s="9" t="s">
        <v>13</v>
      </c>
      <c r="AV72" s="10">
        <f t="shared" si="78"/>
        <v>32.108722154494068</v>
      </c>
      <c r="AW72" s="2">
        <v>195438</v>
      </c>
      <c r="AX72" s="9" t="s">
        <v>13</v>
      </c>
      <c r="AY72" s="10">
        <f t="shared" si="79"/>
        <v>21.659980050980828</v>
      </c>
      <c r="AZ72" s="8">
        <f t="shared" si="80"/>
        <v>0.32541756265597116</v>
      </c>
      <c r="BA72" s="2">
        <f t="shared" si="81"/>
        <v>94279</v>
      </c>
      <c r="BB72" s="3"/>
      <c r="BC72" s="3"/>
      <c r="BD72" s="3"/>
      <c r="BE72" s="3"/>
      <c r="BF72" s="4" t="s">
        <v>127</v>
      </c>
      <c r="BG72" s="64">
        <v>3059704</v>
      </c>
      <c r="BH72" s="42">
        <f t="shared" si="69"/>
        <v>339.10052089105619</v>
      </c>
      <c r="BI72" s="3"/>
      <c r="BJ72" s="15">
        <v>292220</v>
      </c>
      <c r="BK72" s="15" t="s">
        <v>253</v>
      </c>
      <c r="BL72" s="3"/>
      <c r="BM72" s="15">
        <v>68561</v>
      </c>
      <c r="BN72" s="1353"/>
      <c r="BO72" s="1" t="s">
        <v>297</v>
      </c>
      <c r="BP72" s="11" t="s">
        <v>247</v>
      </c>
    </row>
    <row r="73" spans="1:70" s="41" customFormat="1" ht="27.6" customHeight="1" x14ac:dyDescent="0.2">
      <c r="A73" s="28" t="s">
        <v>155</v>
      </c>
      <c r="B73" s="11">
        <v>70</v>
      </c>
      <c r="C73" s="11" t="s">
        <v>951</v>
      </c>
      <c r="D73" s="11" t="s">
        <v>126</v>
      </c>
      <c r="E73" s="11" t="s">
        <v>1000</v>
      </c>
      <c r="F73" s="11" t="s">
        <v>1032</v>
      </c>
      <c r="G73" s="1" t="s">
        <v>154</v>
      </c>
      <c r="H73" s="37">
        <v>41052</v>
      </c>
      <c r="I73" s="1" t="s">
        <v>10</v>
      </c>
      <c r="J73" s="33">
        <v>41395</v>
      </c>
      <c r="K73" s="60">
        <v>42088</v>
      </c>
      <c r="L73" s="28" t="s">
        <v>156</v>
      </c>
      <c r="M73" s="1" t="s">
        <v>13</v>
      </c>
      <c r="N73" s="2">
        <v>43637</v>
      </c>
      <c r="O73" s="2"/>
      <c r="P73" s="14">
        <v>2</v>
      </c>
      <c r="Q73" s="28" t="s">
        <v>155</v>
      </c>
      <c r="R73" s="11" t="s">
        <v>249</v>
      </c>
      <c r="S73" s="11">
        <v>4</v>
      </c>
      <c r="T73" s="2">
        <v>1506</v>
      </c>
      <c r="U73" s="10">
        <f t="shared" si="70"/>
        <v>34.51199670004813</v>
      </c>
      <c r="V73" s="2">
        <v>754</v>
      </c>
      <c r="W73" s="10">
        <f t="shared" si="71"/>
        <v>17.278914682494214</v>
      </c>
      <c r="X73" s="8">
        <f t="shared" si="72"/>
        <v>0.49933598937583001</v>
      </c>
      <c r="Y73" s="2">
        <f t="shared" si="73"/>
        <v>752</v>
      </c>
      <c r="Z73" s="992"/>
      <c r="AA73" s="3"/>
      <c r="AB73" s="3"/>
      <c r="AC73" s="1391"/>
      <c r="AD73" s="1396"/>
      <c r="AE73" s="3"/>
      <c r="AF73" s="3"/>
      <c r="AG73" s="3"/>
      <c r="AH73" s="28" t="s">
        <v>155</v>
      </c>
      <c r="AI73" s="15">
        <v>27891</v>
      </c>
      <c r="AJ73" s="7">
        <f t="shared" si="74"/>
        <v>0.63915942892499489</v>
      </c>
      <c r="AK73" s="15">
        <v>14976</v>
      </c>
      <c r="AL73" s="7">
        <f t="shared" si="75"/>
        <v>0.34319499507298851</v>
      </c>
      <c r="AM73" s="8">
        <f t="shared" si="76"/>
        <v>0.46305259761213297</v>
      </c>
      <c r="AN73" s="15">
        <f t="shared" si="77"/>
        <v>12915</v>
      </c>
      <c r="AO73" s="3"/>
      <c r="AP73" s="3"/>
      <c r="AQ73" s="3"/>
      <c r="AR73" s="3"/>
      <c r="AS73" s="28" t="s">
        <v>155</v>
      </c>
      <c r="AT73" s="2">
        <v>128138</v>
      </c>
      <c r="AU73" s="1" t="s">
        <v>13</v>
      </c>
      <c r="AV73" s="10">
        <f t="shared" si="78"/>
        <v>2.9364530100602702</v>
      </c>
      <c r="AW73" s="2">
        <v>58898</v>
      </c>
      <c r="AX73" s="1" t="s">
        <v>13</v>
      </c>
      <c r="AY73" s="10">
        <f t="shared" si="79"/>
        <v>1.3497261498269817</v>
      </c>
      <c r="AZ73" s="8">
        <f t="shared" si="80"/>
        <v>0.54035492984126487</v>
      </c>
      <c r="BA73" s="2">
        <f t="shared" si="81"/>
        <v>69240</v>
      </c>
      <c r="BB73" s="3"/>
      <c r="BC73" s="3"/>
      <c r="BD73" s="3"/>
      <c r="BE73" s="3"/>
      <c r="BF73" s="28" t="s">
        <v>155</v>
      </c>
      <c r="BG73" s="64">
        <v>5260039</v>
      </c>
      <c r="BH73" s="42">
        <f t="shared" si="69"/>
        <v>120.5408025299631</v>
      </c>
      <c r="BI73" s="76">
        <v>1412707</v>
      </c>
      <c r="BJ73" s="15">
        <v>596884</v>
      </c>
      <c r="BK73" s="15">
        <v>0</v>
      </c>
      <c r="BL73" s="3"/>
      <c r="BM73" s="15">
        <v>65343</v>
      </c>
      <c r="BN73" s="1353"/>
      <c r="BO73" s="1"/>
      <c r="BP73" s="11" t="s">
        <v>249</v>
      </c>
      <c r="BQ73" s="3"/>
      <c r="BR73" s="3"/>
    </row>
    <row r="74" spans="1:70" s="41" customFormat="1" ht="27.6" customHeight="1" x14ac:dyDescent="0.2">
      <c r="A74" s="4" t="s">
        <v>211</v>
      </c>
      <c r="B74" s="11">
        <v>71</v>
      </c>
      <c r="C74" s="915" t="s">
        <v>952</v>
      </c>
      <c r="D74" s="11" t="s">
        <v>60</v>
      </c>
      <c r="E74" s="11" t="s">
        <v>989</v>
      </c>
      <c r="F74" s="11" t="s">
        <v>510</v>
      </c>
      <c r="G74" s="1" t="s">
        <v>106</v>
      </c>
      <c r="H74" s="33">
        <v>40961</v>
      </c>
      <c r="I74" s="11" t="s">
        <v>10</v>
      </c>
      <c r="J74" s="33">
        <v>40595</v>
      </c>
      <c r="K74" s="60">
        <v>42131</v>
      </c>
      <c r="L74" s="4" t="s">
        <v>107</v>
      </c>
      <c r="M74" s="11" t="s">
        <v>13</v>
      </c>
      <c r="N74" s="6">
        <v>294736</v>
      </c>
      <c r="O74" s="6"/>
      <c r="P74" s="14">
        <v>5</v>
      </c>
      <c r="Q74" s="4" t="s">
        <v>211</v>
      </c>
      <c r="R74" s="11" t="s">
        <v>247</v>
      </c>
      <c r="S74" s="11">
        <v>4</v>
      </c>
      <c r="T74" s="2">
        <v>41725</v>
      </c>
      <c r="U74" s="12">
        <f t="shared" si="70"/>
        <v>141.56736876391076</v>
      </c>
      <c r="V74" s="2">
        <v>27808</v>
      </c>
      <c r="W74" s="23">
        <f t="shared" si="71"/>
        <v>94.348840996688565</v>
      </c>
      <c r="X74" s="1912">
        <f t="shared" si="72"/>
        <v>0.33354104254044337</v>
      </c>
      <c r="Y74" s="13">
        <f t="shared" si="73"/>
        <v>13917</v>
      </c>
      <c r="Z74" s="967">
        <v>42986</v>
      </c>
      <c r="AA74" s="49">
        <f>'16.17 Meter Data'!Y685</f>
        <v>43327.502314817801</v>
      </c>
      <c r="AB74" s="40">
        <f>AA74/N74*1000</f>
        <v>147.00444572369105</v>
      </c>
      <c r="AC74" s="1391" t="s">
        <v>1313</v>
      </c>
      <c r="AD74" s="1394">
        <v>166</v>
      </c>
      <c r="AE74" s="1912">
        <f>(T74-AA74)/T74</f>
        <v>-3.8406286754171376E-2</v>
      </c>
      <c r="AF74" s="1611"/>
      <c r="AG74" s="51">
        <f>T74-AA74</f>
        <v>-1602.5023148178007</v>
      </c>
      <c r="AH74" s="4" t="s">
        <v>211</v>
      </c>
      <c r="AI74" s="15">
        <v>940212</v>
      </c>
      <c r="AJ74" s="7">
        <f t="shared" si="74"/>
        <v>3.1900141143260408</v>
      </c>
      <c r="AK74" s="15">
        <v>699461</v>
      </c>
      <c r="AL74" s="7">
        <f t="shared" si="75"/>
        <v>2.3731780305086585</v>
      </c>
      <c r="AM74" s="8">
        <f t="shared" si="76"/>
        <v>0.25606033532862799</v>
      </c>
      <c r="AN74" s="16">
        <f t="shared" si="77"/>
        <v>240751</v>
      </c>
      <c r="AO74" s="15">
        <f>'16.17 Meter Data'!W691</f>
        <v>766115.77111624996</v>
      </c>
      <c r="AP74" s="22">
        <f>AO74/N74</f>
        <v>2.599328792940971</v>
      </c>
      <c r="AQ74" s="47">
        <f>(AI74-AO74)/AI74</f>
        <v>0.18516699306512791</v>
      </c>
      <c r="AR74" s="48">
        <f>AI74-AO74</f>
        <v>174096.22888375004</v>
      </c>
      <c r="AS74" s="4" t="s">
        <v>211</v>
      </c>
      <c r="AT74" s="2">
        <v>1088442</v>
      </c>
      <c r="AU74" s="9" t="s">
        <v>13</v>
      </c>
      <c r="AV74" s="2">
        <f t="shared" si="78"/>
        <v>3.69293876553933</v>
      </c>
      <c r="AW74" s="2">
        <v>869385</v>
      </c>
      <c r="AX74" s="9" t="s">
        <v>13</v>
      </c>
      <c r="AY74" s="2">
        <f t="shared" si="79"/>
        <v>2.9497075348786712</v>
      </c>
      <c r="AZ74" s="8">
        <f t="shared" si="80"/>
        <v>0.20125739359561648</v>
      </c>
      <c r="BA74" s="2">
        <f t="shared" si="81"/>
        <v>219057</v>
      </c>
      <c r="BB74" s="242">
        <f>'16.17 Meter Data'!W686</f>
        <v>5175987.5535727972</v>
      </c>
      <c r="BC74" s="9" t="s">
        <v>13</v>
      </c>
      <c r="BD74" s="2">
        <f>BB74/N74</f>
        <v>17.561436518012041</v>
      </c>
      <c r="BE74" s="8">
        <f>(AT74-BB74)/AT74</f>
        <v>-3.7554096162889681</v>
      </c>
      <c r="BF74" s="4" t="s">
        <v>211</v>
      </c>
      <c r="BG74" s="64">
        <f>1313896+5398362+16733777+8332055+57337600</f>
        <v>89115690</v>
      </c>
      <c r="BH74" s="42">
        <f t="shared" si="69"/>
        <v>302.35766923619781</v>
      </c>
      <c r="BJ74" s="15">
        <v>9079497</v>
      </c>
      <c r="BK74" s="15">
        <v>178918</v>
      </c>
      <c r="BL74" s="3"/>
      <c r="BM74" s="15">
        <v>526000</v>
      </c>
      <c r="BN74" s="1353"/>
      <c r="BO74" s="1" t="s">
        <v>297</v>
      </c>
      <c r="BP74" s="11" t="s">
        <v>247</v>
      </c>
      <c r="BQ74" s="3" t="s">
        <v>38</v>
      </c>
      <c r="BR74" s="3"/>
    </row>
    <row r="75" spans="1:70" s="3" customFormat="1" ht="27.6" customHeight="1" x14ac:dyDescent="0.2">
      <c r="A75" s="28" t="s">
        <v>163</v>
      </c>
      <c r="B75" s="11">
        <v>72</v>
      </c>
      <c r="C75" s="11" t="s">
        <v>951</v>
      </c>
      <c r="D75" s="11" t="s">
        <v>162</v>
      </c>
      <c r="E75" s="11" t="s">
        <v>1002</v>
      </c>
      <c r="F75" s="11" t="s">
        <v>1584</v>
      </c>
      <c r="G75" s="1" t="s">
        <v>161</v>
      </c>
      <c r="H75" s="37">
        <v>41232</v>
      </c>
      <c r="I75" s="1" t="s">
        <v>10</v>
      </c>
      <c r="J75" s="33">
        <v>41583</v>
      </c>
      <c r="K75" s="60">
        <v>42160</v>
      </c>
      <c r="L75" s="28" t="s">
        <v>164</v>
      </c>
      <c r="M75" s="1" t="s">
        <v>13</v>
      </c>
      <c r="N75" s="2">
        <v>79295</v>
      </c>
      <c r="O75" s="2"/>
      <c r="P75" s="14">
        <v>2</v>
      </c>
      <c r="Q75" s="28" t="s">
        <v>163</v>
      </c>
      <c r="R75" s="11" t="s">
        <v>249</v>
      </c>
      <c r="S75" s="11">
        <v>4</v>
      </c>
      <c r="T75" s="2">
        <v>5941</v>
      </c>
      <c r="U75" s="10">
        <f t="shared" si="70"/>
        <v>74.922756794249324</v>
      </c>
      <c r="V75" s="2">
        <v>4122</v>
      </c>
      <c r="W75" s="10">
        <f t="shared" si="71"/>
        <v>51.983101078252098</v>
      </c>
      <c r="X75" s="8">
        <f t="shared" si="72"/>
        <v>0.30617741121023395</v>
      </c>
      <c r="Y75" s="2">
        <f t="shared" si="73"/>
        <v>1819</v>
      </c>
      <c r="Z75" s="992">
        <v>42984</v>
      </c>
      <c r="AA75" s="2">
        <f>'16.17 Meter Data'!Y696</f>
        <v>5346.1844845837204</v>
      </c>
      <c r="AB75" s="40">
        <f>AA75/N75*1000</f>
        <v>67.421457652862358</v>
      </c>
      <c r="AC75" s="1391" t="s">
        <v>1300</v>
      </c>
      <c r="AD75" s="1396">
        <v>62</v>
      </c>
      <c r="AE75" s="1912">
        <f>(T75-AA75)/T75</f>
        <v>0.10012043686522128</v>
      </c>
      <c r="AF75" s="1611"/>
      <c r="AG75" s="51">
        <f>T75-AA75</f>
        <v>594.8155154162796</v>
      </c>
      <c r="AH75" s="28" t="s">
        <v>163</v>
      </c>
      <c r="AI75" s="15">
        <v>95436</v>
      </c>
      <c r="AJ75" s="7">
        <f t="shared" si="74"/>
        <v>1.2035563402484393</v>
      </c>
      <c r="AK75" s="15">
        <v>64835</v>
      </c>
      <c r="AL75" s="7">
        <f t="shared" si="75"/>
        <v>0.8176429787502365</v>
      </c>
      <c r="AM75" s="8">
        <f t="shared" si="76"/>
        <v>0.32064420134959554</v>
      </c>
      <c r="AN75" s="15">
        <f t="shared" si="77"/>
        <v>30601</v>
      </c>
      <c r="AO75" s="15">
        <f>'16.17 Meter Data'!W701</f>
        <v>125375.38</v>
      </c>
      <c r="AP75" s="22">
        <f>AO75/N75</f>
        <v>1.5811259221892933</v>
      </c>
      <c r="AQ75" s="47">
        <f>(AI75-AO75)/AI75</f>
        <v>-0.31371159730080894</v>
      </c>
      <c r="AR75" s="48">
        <f>AI75-AO75</f>
        <v>-29939.380000000005</v>
      </c>
      <c r="AS75" s="28" t="s">
        <v>163</v>
      </c>
      <c r="AT75" s="2">
        <v>2356578</v>
      </c>
      <c r="AU75" s="1" t="s">
        <v>13</v>
      </c>
      <c r="AV75" s="10">
        <f t="shared" si="78"/>
        <v>29.719124787187088</v>
      </c>
      <c r="AW75" s="2">
        <v>1527392</v>
      </c>
      <c r="AX75" s="1" t="s">
        <v>13</v>
      </c>
      <c r="AY75" s="10">
        <f t="shared" si="79"/>
        <v>19.262147676398261</v>
      </c>
      <c r="AZ75" s="8">
        <f t="shared" si="80"/>
        <v>0.35186019728606477</v>
      </c>
      <c r="BA75" s="2">
        <f t="shared" si="81"/>
        <v>829186</v>
      </c>
      <c r="BB75" s="242">
        <f>'16.17 Meter Data'!W697</f>
        <v>440572</v>
      </c>
      <c r="BC75" s="9" t="s">
        <v>13</v>
      </c>
      <c r="BD75" s="2">
        <f>BB75/N75</f>
        <v>5.556113247997982</v>
      </c>
      <c r="BE75" s="8">
        <f>(AT75-BB75)/AT75</f>
        <v>0.81304586565774606</v>
      </c>
      <c r="BF75" s="28" t="s">
        <v>163</v>
      </c>
      <c r="BG75" s="64">
        <v>11310270</v>
      </c>
      <c r="BH75" s="42">
        <f t="shared" si="69"/>
        <v>142.63534901317863</v>
      </c>
      <c r="BJ75" s="15">
        <v>861998</v>
      </c>
      <c r="BK75" s="71" t="s">
        <v>172</v>
      </c>
      <c r="BL75" s="11"/>
      <c r="BM75" s="15">
        <v>52620</v>
      </c>
      <c r="BN75" s="1353"/>
      <c r="BO75" s="1" t="s">
        <v>297</v>
      </c>
      <c r="BP75" s="11" t="s">
        <v>249</v>
      </c>
      <c r="BQ75" s="41"/>
      <c r="BR75" s="41"/>
    </row>
    <row r="76" spans="1:70" s="3" customFormat="1" ht="27.6" customHeight="1" x14ac:dyDescent="0.2">
      <c r="A76" s="28" t="s">
        <v>152</v>
      </c>
      <c r="B76" s="11">
        <v>73</v>
      </c>
      <c r="C76" s="11" t="s">
        <v>951</v>
      </c>
      <c r="D76" s="11" t="s">
        <v>126</v>
      </c>
      <c r="E76" s="11" t="s">
        <v>1000</v>
      </c>
      <c r="F76" s="11" t="s">
        <v>1032</v>
      </c>
      <c r="G76" s="1" t="s">
        <v>151</v>
      </c>
      <c r="H76" s="37">
        <v>40998</v>
      </c>
      <c r="I76" s="1" t="s">
        <v>10</v>
      </c>
      <c r="J76" s="33">
        <v>41375</v>
      </c>
      <c r="K76" s="60">
        <v>42171</v>
      </c>
      <c r="L76" s="28" t="s">
        <v>153</v>
      </c>
      <c r="M76" s="1" t="s">
        <v>13</v>
      </c>
      <c r="N76" s="2">
        <v>29936</v>
      </c>
      <c r="O76" s="2"/>
      <c r="P76" s="14">
        <v>2</v>
      </c>
      <c r="Q76" s="28" t="s">
        <v>152</v>
      </c>
      <c r="R76" s="11" t="s">
        <v>247</v>
      </c>
      <c r="S76" s="11">
        <v>4</v>
      </c>
      <c r="T76" s="2">
        <v>8887</v>
      </c>
      <c r="U76" s="10">
        <f t="shared" si="70"/>
        <v>296.86664885088186</v>
      </c>
      <c r="V76" s="2">
        <v>5860</v>
      </c>
      <c r="W76" s="10">
        <f t="shared" si="71"/>
        <v>195.75093532870122</v>
      </c>
      <c r="X76" s="8">
        <f t="shared" si="72"/>
        <v>0.34060987959941486</v>
      </c>
      <c r="Y76" s="2">
        <f t="shared" si="73"/>
        <v>3027</v>
      </c>
      <c r="Z76" s="992"/>
      <c r="AC76" s="1391" t="s">
        <v>1303</v>
      </c>
      <c r="AD76" s="1396">
        <v>194</v>
      </c>
      <c r="AH76" s="28" t="s">
        <v>152</v>
      </c>
      <c r="AI76" s="15">
        <v>148285</v>
      </c>
      <c r="AJ76" s="7">
        <f t="shared" si="74"/>
        <v>4.953400587920898</v>
      </c>
      <c r="AK76" s="15">
        <v>99346</v>
      </c>
      <c r="AL76" s="7">
        <f t="shared" si="75"/>
        <v>3.318613041154463</v>
      </c>
      <c r="AM76" s="8">
        <f t="shared" si="76"/>
        <v>0.33003338166368817</v>
      </c>
      <c r="AN76" s="15">
        <f t="shared" si="77"/>
        <v>48939</v>
      </c>
      <c r="AS76" s="28" t="s">
        <v>152</v>
      </c>
      <c r="AT76" s="2">
        <v>55005</v>
      </c>
      <c r="AU76" s="1" t="s">
        <v>13</v>
      </c>
      <c r="AV76" s="10">
        <f t="shared" si="78"/>
        <v>1.837419828968466</v>
      </c>
      <c r="AW76" s="2">
        <v>40257</v>
      </c>
      <c r="AX76" s="1" t="s">
        <v>13</v>
      </c>
      <c r="AY76" s="10">
        <f t="shared" si="79"/>
        <v>1.3447688401924105</v>
      </c>
      <c r="AZ76" s="8">
        <f t="shared" si="80"/>
        <v>0.2681210799018271</v>
      </c>
      <c r="BA76" s="2">
        <f t="shared" si="81"/>
        <v>14748</v>
      </c>
      <c r="BF76" s="28" t="s">
        <v>152</v>
      </c>
      <c r="BG76" s="64">
        <v>7820696</v>
      </c>
      <c r="BH76" s="42">
        <f t="shared" si="69"/>
        <v>261.24719401389632</v>
      </c>
      <c r="BJ76" s="15">
        <v>827850</v>
      </c>
      <c r="BK76" s="15" t="s">
        <v>253</v>
      </c>
      <c r="BM76" s="15">
        <v>47760</v>
      </c>
      <c r="BN76" s="1353"/>
      <c r="BO76" s="1"/>
      <c r="BP76" s="11" t="s">
        <v>247</v>
      </c>
      <c r="BQ76" s="41"/>
      <c r="BR76" s="41"/>
    </row>
    <row r="77" spans="1:70" s="3" customFormat="1" ht="27.6" customHeight="1" x14ac:dyDescent="0.2">
      <c r="A77" s="28" t="s">
        <v>214</v>
      </c>
      <c r="B77" s="11">
        <v>74</v>
      </c>
      <c r="C77" s="11" t="s">
        <v>951</v>
      </c>
      <c r="D77" s="11" t="s">
        <v>63</v>
      </c>
      <c r="E77" s="11" t="s">
        <v>985</v>
      </c>
      <c r="F77" s="11" t="s">
        <v>1471</v>
      </c>
      <c r="G77" s="1" t="s">
        <v>231</v>
      </c>
      <c r="H77" s="37">
        <v>41715</v>
      </c>
      <c r="I77" s="11" t="s">
        <v>528</v>
      </c>
      <c r="J77" s="33">
        <v>41676</v>
      </c>
      <c r="K77" s="60">
        <v>42213</v>
      </c>
      <c r="L77" s="28" t="s">
        <v>135</v>
      </c>
      <c r="M77" s="1">
        <v>400</v>
      </c>
      <c r="N77" s="2">
        <v>99713</v>
      </c>
      <c r="O77" s="19">
        <f>N77/M77</f>
        <v>249.2825</v>
      </c>
      <c r="P77" s="14">
        <v>12</v>
      </c>
      <c r="Q77" s="28" t="s">
        <v>214</v>
      </c>
      <c r="R77" s="11" t="s">
        <v>249</v>
      </c>
      <c r="S77" s="11">
        <v>3</v>
      </c>
      <c r="T77" s="2">
        <v>12163</v>
      </c>
      <c r="U77" s="10">
        <f t="shared" si="70"/>
        <v>121.98008283774432</v>
      </c>
      <c r="V77" s="2">
        <v>9302</v>
      </c>
      <c r="W77" s="10">
        <f t="shared" si="71"/>
        <v>93.287735801751026</v>
      </c>
      <c r="X77" s="8">
        <f t="shared" si="72"/>
        <v>0.23522157362492807</v>
      </c>
      <c r="Y77" s="2">
        <f t="shared" si="73"/>
        <v>2861</v>
      </c>
      <c r="Z77" s="992"/>
      <c r="AC77" s="1391" t="s">
        <v>1298</v>
      </c>
      <c r="AD77" s="1396">
        <v>47</v>
      </c>
      <c r="AH77" s="28" t="s">
        <v>214</v>
      </c>
      <c r="AI77" s="15">
        <v>169440</v>
      </c>
      <c r="AJ77" s="7">
        <f t="shared" si="74"/>
        <v>1.6992769247741017</v>
      </c>
      <c r="AK77" s="15">
        <v>126115</v>
      </c>
      <c r="AL77" s="7">
        <f t="shared" si="75"/>
        <v>1.2647799183657096</v>
      </c>
      <c r="AM77" s="8">
        <f t="shared" si="76"/>
        <v>0.25569523135033051</v>
      </c>
      <c r="AN77" s="15">
        <f t="shared" si="77"/>
        <v>43325</v>
      </c>
      <c r="AS77" s="28" t="s">
        <v>214</v>
      </c>
      <c r="AT77" s="2">
        <v>3663471</v>
      </c>
      <c r="AU77" s="9">
        <f>AT77/M77</f>
        <v>9158.6774999999998</v>
      </c>
      <c r="AV77" s="10">
        <f t="shared" si="78"/>
        <v>36.740154242676482</v>
      </c>
      <c r="AW77" s="2">
        <v>2570153</v>
      </c>
      <c r="AX77" s="9">
        <f>AW77/M77</f>
        <v>6425.3824999999997</v>
      </c>
      <c r="AY77" s="10">
        <f t="shared" si="79"/>
        <v>25.77550570136291</v>
      </c>
      <c r="AZ77" s="8">
        <f t="shared" si="80"/>
        <v>0.2984377384180194</v>
      </c>
      <c r="BA77" s="2">
        <f t="shared" si="81"/>
        <v>1093318</v>
      </c>
      <c r="BF77" s="28" t="s">
        <v>214</v>
      </c>
      <c r="BG77" s="64">
        <v>15172636</v>
      </c>
      <c r="BH77" s="42">
        <f t="shared" si="69"/>
        <v>152.16306800517486</v>
      </c>
      <c r="BI77" s="15">
        <v>14796933</v>
      </c>
      <c r="BJ77" s="15">
        <v>1251550</v>
      </c>
      <c r="BK77" s="71">
        <v>11880</v>
      </c>
      <c r="BL77" s="71"/>
      <c r="BM77" s="15">
        <v>95000</v>
      </c>
      <c r="BN77" s="1353">
        <f t="shared" ref="BN77:BN83" si="82">((BG77-BI77)+BK77+BL77+BM77)/AN77</f>
        <v>11.138672821696479</v>
      </c>
      <c r="BO77" s="1" t="s">
        <v>296</v>
      </c>
      <c r="BP77" s="11" t="s">
        <v>249</v>
      </c>
      <c r="BQ77" s="346">
        <f>BG77-BI77</f>
        <v>375703</v>
      </c>
    </row>
    <row r="78" spans="1:70" s="3" customFormat="1" ht="27.6" customHeight="1" x14ac:dyDescent="0.2">
      <c r="A78" s="28" t="s">
        <v>1395</v>
      </c>
      <c r="B78" s="11">
        <v>75</v>
      </c>
      <c r="C78" s="11" t="s">
        <v>951</v>
      </c>
      <c r="D78" s="11" t="s">
        <v>63</v>
      </c>
      <c r="E78" s="11" t="s">
        <v>985</v>
      </c>
      <c r="F78" s="11" t="s">
        <v>1471</v>
      </c>
      <c r="G78" s="1" t="s">
        <v>275</v>
      </c>
      <c r="H78" s="37">
        <v>41558</v>
      </c>
      <c r="I78" s="432" t="s">
        <v>407</v>
      </c>
      <c r="J78" s="33">
        <v>41641</v>
      </c>
      <c r="K78" s="60">
        <v>42214</v>
      </c>
      <c r="L78" s="4" t="s">
        <v>135</v>
      </c>
      <c r="M78" s="1">
        <v>412</v>
      </c>
      <c r="N78" s="2">
        <v>143986</v>
      </c>
      <c r="O78" s="19">
        <f>N78/M78</f>
        <v>349.48058252427182</v>
      </c>
      <c r="P78" s="14">
        <v>6</v>
      </c>
      <c r="Q78" s="28" t="str">
        <f>A78</f>
        <v>Laurel Residence Hall</v>
      </c>
      <c r="R78" s="11" t="s">
        <v>249</v>
      </c>
      <c r="S78" s="11">
        <v>3</v>
      </c>
      <c r="T78" s="2">
        <v>7705</v>
      </c>
      <c r="U78" s="10">
        <f t="shared" si="70"/>
        <v>53.512147014293056</v>
      </c>
      <c r="V78" s="2">
        <v>5840</v>
      </c>
      <c r="W78" s="10">
        <f t="shared" si="71"/>
        <v>40.559498840165013</v>
      </c>
      <c r="X78" s="8">
        <f t="shared" si="72"/>
        <v>0.24205061648280338</v>
      </c>
      <c r="Y78" s="2">
        <f t="shared" si="73"/>
        <v>1865</v>
      </c>
      <c r="Z78" s="992"/>
      <c r="AC78" s="1391" t="s">
        <v>1298</v>
      </c>
      <c r="AD78" s="1396">
        <v>47</v>
      </c>
      <c r="AH78" s="28" t="str">
        <f>A78</f>
        <v>Laurel Residence Hall</v>
      </c>
      <c r="AI78" s="15">
        <v>102473</v>
      </c>
      <c r="AJ78" s="7">
        <f t="shared" si="74"/>
        <v>0.7116872473712722</v>
      </c>
      <c r="AK78" s="15">
        <v>56750</v>
      </c>
      <c r="AL78" s="7">
        <f t="shared" si="75"/>
        <v>0.39413554095537068</v>
      </c>
      <c r="AM78" s="8">
        <f t="shared" si="76"/>
        <v>0.4461955832268012</v>
      </c>
      <c r="AN78" s="15">
        <f t="shared" si="77"/>
        <v>45723</v>
      </c>
      <c r="AS78" s="28" t="str">
        <f>A78</f>
        <v>Laurel Residence Hall</v>
      </c>
      <c r="AT78" s="2">
        <v>4730466</v>
      </c>
      <c r="AU78" s="9">
        <f>AT78/M78</f>
        <v>11481.713592233009</v>
      </c>
      <c r="AV78" s="10">
        <f t="shared" si="78"/>
        <v>32.853652438431517</v>
      </c>
      <c r="AW78" s="2">
        <v>2731460</v>
      </c>
      <c r="AX78" s="9">
        <f>AW78/M78</f>
        <v>6629.7572815533977</v>
      </c>
      <c r="AY78" s="10">
        <f t="shared" si="79"/>
        <v>18.970316558554305</v>
      </c>
      <c r="AZ78" s="8">
        <f t="shared" si="80"/>
        <v>0.42258120024538809</v>
      </c>
      <c r="BA78" s="2">
        <f t="shared" si="81"/>
        <v>1999006</v>
      </c>
      <c r="BF78" s="28" t="str">
        <f>A78</f>
        <v>Laurel Residence Hall</v>
      </c>
      <c r="BG78" s="64">
        <v>28765101</v>
      </c>
      <c r="BH78" s="42">
        <f t="shared" si="69"/>
        <v>199.77706860389205</v>
      </c>
      <c r="BI78" s="15">
        <v>26520850</v>
      </c>
      <c r="BJ78" s="15">
        <v>2312090</v>
      </c>
      <c r="BK78" s="15">
        <v>13945</v>
      </c>
      <c r="BL78" s="15"/>
      <c r="BM78" s="15">
        <v>200000</v>
      </c>
      <c r="BN78" s="1353">
        <f t="shared" si="82"/>
        <v>53.762788968352908</v>
      </c>
      <c r="BO78" s="1" t="s">
        <v>313</v>
      </c>
      <c r="BP78" s="11" t="s">
        <v>249</v>
      </c>
    </row>
    <row r="79" spans="1:70" s="3" customFormat="1" ht="27.6" customHeight="1" x14ac:dyDescent="0.2">
      <c r="A79" s="28" t="s">
        <v>213</v>
      </c>
      <c r="B79" s="11">
        <v>76</v>
      </c>
      <c r="C79" s="915" t="s">
        <v>952</v>
      </c>
      <c r="D79" s="11" t="s">
        <v>26</v>
      </c>
      <c r="E79" s="11" t="s">
        <v>984</v>
      </c>
      <c r="F79" s="11" t="s">
        <v>1485</v>
      </c>
      <c r="G79" s="1" t="s">
        <v>176</v>
      </c>
      <c r="H79" s="37">
        <v>41691</v>
      </c>
      <c r="I79" s="1" t="s">
        <v>474</v>
      </c>
      <c r="J79" s="33">
        <v>41764</v>
      </c>
      <c r="K79" s="60">
        <v>42215</v>
      </c>
      <c r="L79" s="28" t="s">
        <v>135</v>
      </c>
      <c r="M79" s="1">
        <v>176</v>
      </c>
      <c r="N79" s="2">
        <v>32839</v>
      </c>
      <c r="O79" s="19">
        <f>N79/M79</f>
        <v>186.58522727272728</v>
      </c>
      <c r="P79" s="14">
        <v>5</v>
      </c>
      <c r="Q79" s="28" t="s">
        <v>213</v>
      </c>
      <c r="R79" s="11" t="s">
        <v>249</v>
      </c>
      <c r="S79" s="11">
        <v>5</v>
      </c>
      <c r="T79" s="2">
        <v>3330</v>
      </c>
      <c r="U79" s="10">
        <f t="shared" si="70"/>
        <v>101.40381863028716</v>
      </c>
      <c r="V79" s="2">
        <v>2305</v>
      </c>
      <c r="W79" s="10">
        <f t="shared" si="71"/>
        <v>70.190931514357928</v>
      </c>
      <c r="X79" s="8">
        <f t="shared" si="72"/>
        <v>0.30780780780780781</v>
      </c>
      <c r="Y79" s="2">
        <f t="shared" si="73"/>
        <v>1025</v>
      </c>
      <c r="Z79" s="992">
        <v>42958</v>
      </c>
      <c r="AA79" s="2">
        <f>'16.17 Meter Data'!Y741</f>
        <v>2402.96252</v>
      </c>
      <c r="AB79" s="40">
        <f>AA79/N79*1000</f>
        <v>73.174046712750084</v>
      </c>
      <c r="AC79" s="1391" t="s">
        <v>1298</v>
      </c>
      <c r="AD79" s="1396">
        <v>47</v>
      </c>
      <c r="AE79" s="1912">
        <f>(T79-AA79)/T79</f>
        <v>0.27838963363363362</v>
      </c>
      <c r="AF79" s="1611" t="s">
        <v>955</v>
      </c>
      <c r="AG79" s="51">
        <f>T79-AA79</f>
        <v>927.03747999999996</v>
      </c>
      <c r="AH79" s="28" t="s">
        <v>213</v>
      </c>
      <c r="AI79" s="15">
        <v>87029</v>
      </c>
      <c r="AJ79" s="7">
        <f t="shared" si="74"/>
        <v>2.6501720515241023</v>
      </c>
      <c r="AK79" s="15">
        <v>60703</v>
      </c>
      <c r="AL79" s="7">
        <f t="shared" si="75"/>
        <v>1.8485033039982948</v>
      </c>
      <c r="AM79" s="8">
        <f t="shared" si="76"/>
        <v>0.30249686885980537</v>
      </c>
      <c r="AN79" s="15">
        <f t="shared" si="77"/>
        <v>26326</v>
      </c>
      <c r="AO79" s="15">
        <f>'16.17 Meter Data'!W745</f>
        <v>55948.56</v>
      </c>
      <c r="AP79" s="22">
        <f>AO79/N79</f>
        <v>1.7037230122719935</v>
      </c>
      <c r="AQ79" s="47">
        <f>(AI79-AO79)/AI79</f>
        <v>0.35712739431683693</v>
      </c>
      <c r="AR79" s="48">
        <f>AI79-AO79</f>
        <v>31080.440000000002</v>
      </c>
      <c r="AS79" s="28" t="s">
        <v>213</v>
      </c>
      <c r="AT79" s="2">
        <v>1209992</v>
      </c>
      <c r="AU79" s="2">
        <f>AT79/M79</f>
        <v>6874.954545454545</v>
      </c>
      <c r="AV79" s="10">
        <f t="shared" si="78"/>
        <v>36.846188982612141</v>
      </c>
      <c r="AW79" s="2">
        <v>755467</v>
      </c>
      <c r="AX79" s="9">
        <f>AW79/M79</f>
        <v>4292.426136363636</v>
      </c>
      <c r="AY79" s="10">
        <f t="shared" si="79"/>
        <v>23.005176771521665</v>
      </c>
      <c r="AZ79" s="8">
        <f t="shared" si="80"/>
        <v>0.37564297945771541</v>
      </c>
      <c r="BA79" s="2">
        <f t="shared" si="81"/>
        <v>454525</v>
      </c>
      <c r="BB79" s="242">
        <f>'16.17 Meter Data'!W742</f>
        <v>1156000</v>
      </c>
      <c r="BC79" s="2">
        <f>BB79/M79</f>
        <v>6568.181818181818</v>
      </c>
      <c r="BD79" s="2">
        <f>BB79/N79</f>
        <v>35.202046347330921</v>
      </c>
      <c r="BE79" s="8">
        <f>(AT79-BB79)/AT79</f>
        <v>4.4621782623356185E-2</v>
      </c>
      <c r="BF79" s="28" t="s">
        <v>213</v>
      </c>
      <c r="BG79" s="64">
        <v>7222300</v>
      </c>
      <c r="BH79" s="42">
        <f t="shared" si="69"/>
        <v>219.93057035841531</v>
      </c>
      <c r="BI79" s="15">
        <f>BG79-710194</f>
        <v>6512106</v>
      </c>
      <c r="BJ79" s="15">
        <v>806400</v>
      </c>
      <c r="BK79" s="15">
        <v>50600</v>
      </c>
      <c r="BL79" s="15"/>
      <c r="BM79" s="15">
        <v>19450</v>
      </c>
      <c r="BN79" s="1353">
        <f t="shared" si="82"/>
        <v>29.637772544252829</v>
      </c>
      <c r="BO79" s="1" t="s">
        <v>296</v>
      </c>
      <c r="BP79" s="11" t="s">
        <v>249</v>
      </c>
    </row>
    <row r="80" spans="1:70" s="3" customFormat="1" ht="27.6" customHeight="1" x14ac:dyDescent="0.2">
      <c r="A80" s="28" t="s">
        <v>1488</v>
      </c>
      <c r="B80" s="11">
        <v>77</v>
      </c>
      <c r="C80" s="11" t="s">
        <v>951</v>
      </c>
      <c r="D80" s="11" t="s">
        <v>98</v>
      </c>
      <c r="E80" s="11" t="s">
        <v>996</v>
      </c>
      <c r="F80" s="11" t="s">
        <v>723</v>
      </c>
      <c r="G80" s="1" t="s">
        <v>491</v>
      </c>
      <c r="H80" s="37">
        <v>41822</v>
      </c>
      <c r="I80" s="1" t="s">
        <v>10</v>
      </c>
      <c r="J80" s="33">
        <v>41789</v>
      </c>
      <c r="K80" s="60">
        <v>42219</v>
      </c>
      <c r="L80" s="4" t="s">
        <v>421</v>
      </c>
      <c r="M80" s="1" t="s">
        <v>13</v>
      </c>
      <c r="N80" s="2">
        <v>43554</v>
      </c>
      <c r="O80" s="2"/>
      <c r="P80" s="14">
        <v>2</v>
      </c>
      <c r="Q80" s="28" t="str">
        <f>A80</f>
        <v>Osprey Hall Renovation</v>
      </c>
      <c r="R80" s="11" t="s">
        <v>248</v>
      </c>
      <c r="S80" s="11">
        <v>3</v>
      </c>
      <c r="T80" s="2">
        <v>5934.9</v>
      </c>
      <c r="U80" s="10">
        <f t="shared" si="70"/>
        <v>136.26532580245214</v>
      </c>
      <c r="V80" s="2">
        <v>5079</v>
      </c>
      <c r="W80" s="10">
        <f t="shared" si="71"/>
        <v>116.61385865821738</v>
      </c>
      <c r="X80" s="8">
        <f t="shared" si="72"/>
        <v>0.14421472981853101</v>
      </c>
      <c r="Y80" s="2">
        <f t="shared" si="73"/>
        <v>855.89999999999964</v>
      </c>
      <c r="Z80" s="992">
        <v>42983</v>
      </c>
      <c r="AA80" s="2">
        <f>'16.17 Meter Data'!Y752</f>
        <v>7499.9558930000003</v>
      </c>
      <c r="AB80" s="40">
        <f>AA80/N80*1000</f>
        <v>172.19901485512239</v>
      </c>
      <c r="AC80" s="1391" t="s">
        <v>1300</v>
      </c>
      <c r="AD80" s="1396">
        <v>62</v>
      </c>
      <c r="AE80" s="1912">
        <f>(T80-AA80)/T80</f>
        <v>-0.26370383544794362</v>
      </c>
      <c r="AF80" s="1611"/>
      <c r="AG80" s="51">
        <f>T80-AA80</f>
        <v>-1565.0558930000007</v>
      </c>
      <c r="AH80" s="28" t="str">
        <f>Q80</f>
        <v>Osprey Hall Renovation</v>
      </c>
      <c r="AI80" s="15">
        <v>110349</v>
      </c>
      <c r="AJ80" s="7">
        <f t="shared" si="74"/>
        <v>2.5336134453781511</v>
      </c>
      <c r="AK80" s="15">
        <v>91957</v>
      </c>
      <c r="AL80" s="7">
        <f t="shared" si="75"/>
        <v>2.1113330578132894</v>
      </c>
      <c r="AM80" s="8">
        <f t="shared" si="76"/>
        <v>0.16667119774533526</v>
      </c>
      <c r="AN80" s="15">
        <f t="shared" si="77"/>
        <v>18392</v>
      </c>
      <c r="AO80" s="15">
        <f>'16.17 Meter Data'!W758</f>
        <v>83804.640000000014</v>
      </c>
      <c r="AP80" s="22">
        <f>AO80/N80</f>
        <v>1.9241548422647752</v>
      </c>
      <c r="AQ80" s="47">
        <f>(AI80-AO80)/AI80</f>
        <v>0.24054916673463272</v>
      </c>
      <c r="AR80" s="48">
        <f>AI80-AO80</f>
        <v>26544.359999999986</v>
      </c>
      <c r="AS80" s="28" t="str">
        <f>AH80</f>
        <v>Osprey Hall Renovation</v>
      </c>
      <c r="AT80" s="9">
        <v>1075870</v>
      </c>
      <c r="AU80" s="9" t="s">
        <v>13</v>
      </c>
      <c r="AV80" s="2">
        <f t="shared" si="78"/>
        <v>24.701979152316664</v>
      </c>
      <c r="AW80" s="9">
        <v>760602</v>
      </c>
      <c r="AX80" s="9" t="s">
        <v>13</v>
      </c>
      <c r="AY80" s="2">
        <f t="shared" si="79"/>
        <v>17.463424714147955</v>
      </c>
      <c r="AZ80" s="8">
        <f t="shared" si="80"/>
        <v>0.29303540390567634</v>
      </c>
      <c r="BA80" s="2">
        <f t="shared" si="81"/>
        <v>315268</v>
      </c>
      <c r="BB80" s="1350">
        <f>'16.17 Meter Data'!W753</f>
        <v>161728</v>
      </c>
      <c r="BC80" s="9" t="s">
        <v>13</v>
      </c>
      <c r="BD80" s="2">
        <f>BB80/N80</f>
        <v>3.7132754741240759</v>
      </c>
      <c r="BE80" s="8">
        <f>(AT80-BB80)/AT80</f>
        <v>0.84967700558617676</v>
      </c>
      <c r="BF80" s="28" t="str">
        <f>AS80</f>
        <v>Osprey Hall Renovation</v>
      </c>
      <c r="BG80" s="64">
        <v>9820475</v>
      </c>
      <c r="BH80" s="42">
        <f t="shared" si="69"/>
        <v>225.47814207650273</v>
      </c>
      <c r="BI80" s="243">
        <v>5837018</v>
      </c>
      <c r="BJ80" s="71">
        <v>859450</v>
      </c>
      <c r="BK80" s="65"/>
      <c r="BL80" s="15">
        <v>17250</v>
      </c>
      <c r="BM80" s="1235">
        <v>0</v>
      </c>
      <c r="BN80" s="1353">
        <f t="shared" si="82"/>
        <v>217.52430404523707</v>
      </c>
      <c r="BO80" s="1" t="s">
        <v>299</v>
      </c>
      <c r="BP80" s="11" t="s">
        <v>248</v>
      </c>
      <c r="BQ80" s="41"/>
      <c r="BR80" s="41"/>
    </row>
    <row r="81" spans="1:70" s="3" customFormat="1" ht="27.6" customHeight="1" x14ac:dyDescent="0.2">
      <c r="A81" s="28" t="s">
        <v>1274</v>
      </c>
      <c r="B81" s="11">
        <v>78</v>
      </c>
      <c r="C81" s="915" t="s">
        <v>953</v>
      </c>
      <c r="D81" s="11" t="s">
        <v>68</v>
      </c>
      <c r="E81" s="11" t="s">
        <v>992</v>
      </c>
      <c r="F81" s="11" t="s">
        <v>650</v>
      </c>
      <c r="G81" s="1" t="s">
        <v>177</v>
      </c>
      <c r="H81" s="37">
        <v>41550</v>
      </c>
      <c r="I81" s="1" t="s">
        <v>10</v>
      </c>
      <c r="J81" s="33">
        <v>41416</v>
      </c>
      <c r="K81" s="60">
        <v>42226</v>
      </c>
      <c r="L81" s="28" t="s">
        <v>135</v>
      </c>
      <c r="M81" s="1">
        <v>720</v>
      </c>
      <c r="N81" s="2">
        <v>208077</v>
      </c>
      <c r="O81" s="19">
        <f>N81/M81</f>
        <v>288.99583333333334</v>
      </c>
      <c r="P81" s="14">
        <v>5</v>
      </c>
      <c r="Q81" s="28" t="str">
        <f>A81</f>
        <v>Gateway Residence Hall (Belk Replacement)</v>
      </c>
      <c r="R81" s="11" t="s">
        <v>249</v>
      </c>
      <c r="S81" s="11">
        <v>3</v>
      </c>
      <c r="T81" s="2">
        <v>22829</v>
      </c>
      <c r="U81" s="10">
        <f t="shared" si="70"/>
        <v>109.71419234225792</v>
      </c>
      <c r="V81" s="2">
        <v>15444</v>
      </c>
      <c r="W81" s="10">
        <f t="shared" si="71"/>
        <v>74.222523392782492</v>
      </c>
      <c r="X81" s="8">
        <f t="shared" si="72"/>
        <v>0.32349204958605282</v>
      </c>
      <c r="Y81" s="2">
        <f t="shared" si="73"/>
        <v>7385</v>
      </c>
      <c r="Z81" s="992"/>
      <c r="AA81" s="2"/>
      <c r="AB81" s="40"/>
      <c r="AC81" s="1391" t="s">
        <v>1298</v>
      </c>
      <c r="AD81" s="1396">
        <v>47</v>
      </c>
      <c r="AE81" s="1912"/>
      <c r="AF81" s="1611"/>
      <c r="AG81" s="51"/>
      <c r="AH81" s="28" t="str">
        <f>A81</f>
        <v>Gateway Residence Hall (Belk Replacement)</v>
      </c>
      <c r="AI81" s="15">
        <v>519318</v>
      </c>
      <c r="AJ81" s="7">
        <f t="shared" si="74"/>
        <v>2.4957972289104515</v>
      </c>
      <c r="AK81" s="15">
        <v>339219</v>
      </c>
      <c r="AL81" s="7">
        <f t="shared" si="75"/>
        <v>1.6302570682968325</v>
      </c>
      <c r="AM81" s="8">
        <f t="shared" si="76"/>
        <v>0.34679907108939034</v>
      </c>
      <c r="AN81" s="15">
        <f t="shared" si="77"/>
        <v>180099</v>
      </c>
      <c r="AO81" s="15"/>
      <c r="AP81" s="22">
        <f>AO81/N81</f>
        <v>0</v>
      </c>
      <c r="AQ81" s="47"/>
      <c r="AR81" s="48"/>
      <c r="AS81" s="28" t="str">
        <f>A81</f>
        <v>Gateway Residence Hall (Belk Replacement)</v>
      </c>
      <c r="AT81" s="2">
        <v>11970900</v>
      </c>
      <c r="AU81" s="2">
        <f>AT81/M81</f>
        <v>16626.25</v>
      </c>
      <c r="AV81" s="10">
        <f t="shared" si="78"/>
        <v>57.531106273158493</v>
      </c>
      <c r="AW81" s="2">
        <v>7250002</v>
      </c>
      <c r="AX81" s="9">
        <f>AW81/M81</f>
        <v>10069.447222222223</v>
      </c>
      <c r="AY81" s="10">
        <f t="shared" si="79"/>
        <v>34.842880279896384</v>
      </c>
      <c r="AZ81" s="8">
        <f t="shared" si="80"/>
        <v>0.39436450058057454</v>
      </c>
      <c r="BA81" s="2">
        <f t="shared" si="81"/>
        <v>4720898</v>
      </c>
      <c r="BB81" s="242"/>
      <c r="BC81" s="2"/>
      <c r="BD81" s="2"/>
      <c r="BE81" s="8"/>
      <c r="BF81" s="28" t="str">
        <f>A81</f>
        <v>Gateway Residence Hall (Belk Replacement)</v>
      </c>
      <c r="BG81" s="64">
        <v>48137413</v>
      </c>
      <c r="BH81" s="42">
        <f t="shared" si="69"/>
        <v>231.34422833854774</v>
      </c>
      <c r="BI81" s="15">
        <v>41707231</v>
      </c>
      <c r="BJ81" s="15">
        <v>3917050</v>
      </c>
      <c r="BK81" s="15">
        <v>91100</v>
      </c>
      <c r="BL81" s="15"/>
      <c r="BM81" s="15">
        <v>322840</v>
      </c>
      <c r="BN81" s="1353">
        <f t="shared" si="82"/>
        <v>38.001998900604669</v>
      </c>
      <c r="BO81" s="1" t="s">
        <v>297</v>
      </c>
      <c r="BP81" s="11" t="s">
        <v>249</v>
      </c>
    </row>
    <row r="82" spans="1:70" s="1724" customFormat="1" ht="27.6" customHeight="1" thickBot="1" x14ac:dyDescent="0.25">
      <c r="A82" s="1710" t="s">
        <v>233</v>
      </c>
      <c r="B82" s="1711">
        <v>79</v>
      </c>
      <c r="C82" s="1711" t="s">
        <v>951</v>
      </c>
      <c r="D82" s="1711" t="s">
        <v>63</v>
      </c>
      <c r="E82" s="1711" t="s">
        <v>985</v>
      </c>
      <c r="F82" s="1711" t="s">
        <v>1471</v>
      </c>
      <c r="G82" s="1712" t="s">
        <v>310</v>
      </c>
      <c r="H82" s="1713">
        <v>41645</v>
      </c>
      <c r="I82" s="1712" t="s">
        <v>103</v>
      </c>
      <c r="J82" s="1714">
        <v>41778</v>
      </c>
      <c r="K82" s="1715">
        <v>42240</v>
      </c>
      <c r="L82" s="1716" t="s">
        <v>135</v>
      </c>
      <c r="M82" s="1712">
        <v>248</v>
      </c>
      <c r="N82" s="1717">
        <v>52844</v>
      </c>
      <c r="O82" s="1718">
        <f>N82/M82</f>
        <v>213.08064516129033</v>
      </c>
      <c r="P82" s="1719">
        <v>4</v>
      </c>
      <c r="Q82" s="1710" t="s">
        <v>233</v>
      </c>
      <c r="R82" s="1711" t="s">
        <v>249</v>
      </c>
      <c r="S82" s="1711">
        <v>3</v>
      </c>
      <c r="T82" s="1717">
        <v>4104</v>
      </c>
      <c r="U82" s="1720">
        <f t="shared" si="70"/>
        <v>77.662553932329132</v>
      </c>
      <c r="V82" s="1717">
        <v>2776</v>
      </c>
      <c r="W82" s="1721">
        <f t="shared" si="71"/>
        <v>52.531980924986755</v>
      </c>
      <c r="X82" s="1722">
        <f t="shared" si="72"/>
        <v>0.3235867446393762</v>
      </c>
      <c r="Y82" s="1717">
        <f t="shared" si="73"/>
        <v>1328</v>
      </c>
      <c r="Z82" s="1723"/>
      <c r="AC82" s="1725" t="s">
        <v>1298</v>
      </c>
      <c r="AD82" s="1726">
        <v>47</v>
      </c>
      <c r="AH82" s="1710" t="s">
        <v>233</v>
      </c>
      <c r="AI82" s="1727">
        <v>78156</v>
      </c>
      <c r="AJ82" s="1728">
        <f t="shared" si="74"/>
        <v>1.4789947770797063</v>
      </c>
      <c r="AK82" s="1727">
        <v>52863</v>
      </c>
      <c r="AL82" s="1728">
        <f t="shared" si="75"/>
        <v>1.0003595488607979</v>
      </c>
      <c r="AM82" s="1722">
        <f t="shared" si="76"/>
        <v>0.32362198679563947</v>
      </c>
      <c r="AN82" s="1727">
        <f t="shared" si="77"/>
        <v>25293</v>
      </c>
      <c r="AS82" s="1710" t="s">
        <v>233</v>
      </c>
      <c r="AT82" s="1729">
        <v>3786332</v>
      </c>
      <c r="AU82" s="1729">
        <f>AT82/M82</f>
        <v>15267.467741935483</v>
      </c>
      <c r="AV82" s="1730">
        <f t="shared" si="78"/>
        <v>71.651124063280605</v>
      </c>
      <c r="AW82" s="1729">
        <v>2951199</v>
      </c>
      <c r="AX82" s="1729">
        <f>AW82/M82</f>
        <v>11899.995967741936</v>
      </c>
      <c r="AY82" s="1730">
        <f t="shared" si="79"/>
        <v>55.847380970403449</v>
      </c>
      <c r="AZ82" s="1722">
        <f t="shared" si="80"/>
        <v>0.22056518023247829</v>
      </c>
      <c r="BA82" s="1717">
        <f t="shared" si="81"/>
        <v>835133</v>
      </c>
      <c r="BB82" s="1719"/>
      <c r="BF82" s="1710" t="s">
        <v>233</v>
      </c>
      <c r="BG82" s="1731">
        <v>7187260</v>
      </c>
      <c r="BH82" s="1732">
        <f t="shared" si="69"/>
        <v>136.00900764514421</v>
      </c>
      <c r="BI82" s="1733">
        <v>5929373</v>
      </c>
      <c r="BJ82" s="1734">
        <v>591176</v>
      </c>
      <c r="BK82" s="1727">
        <v>0</v>
      </c>
      <c r="BL82" s="1727"/>
      <c r="BM82" s="1735">
        <v>77500</v>
      </c>
      <c r="BN82" s="1736">
        <f t="shared" si="82"/>
        <v>52.796702645000593</v>
      </c>
      <c r="BO82" s="1712" t="s">
        <v>311</v>
      </c>
      <c r="BP82" s="1711" t="s">
        <v>249</v>
      </c>
      <c r="BQ82" s="1737"/>
      <c r="BR82" s="1737"/>
    </row>
    <row r="83" spans="1:70" s="3" customFormat="1" ht="27.6" customHeight="1" thickTop="1" x14ac:dyDescent="0.2">
      <c r="A83" s="28" t="s">
        <v>265</v>
      </c>
      <c r="B83" s="11">
        <v>80</v>
      </c>
      <c r="C83" s="915" t="s">
        <v>953</v>
      </c>
      <c r="D83" s="11" t="s">
        <v>264</v>
      </c>
      <c r="E83" s="11" t="s">
        <v>989</v>
      </c>
      <c r="F83" s="11" t="s">
        <v>1503</v>
      </c>
      <c r="G83" s="1" t="s">
        <v>266</v>
      </c>
      <c r="H83" s="37">
        <v>41596</v>
      </c>
      <c r="I83" s="1" t="s">
        <v>10</v>
      </c>
      <c r="J83" s="33">
        <v>41870</v>
      </c>
      <c r="K83" s="60">
        <v>42359</v>
      </c>
      <c r="L83" s="4" t="s">
        <v>267</v>
      </c>
      <c r="M83" s="1" t="s">
        <v>13</v>
      </c>
      <c r="N83" s="2">
        <v>47729</v>
      </c>
      <c r="O83" s="2"/>
      <c r="P83" s="14">
        <v>1</v>
      </c>
      <c r="Q83" s="28" t="s">
        <v>265</v>
      </c>
      <c r="R83" s="11" t="s">
        <v>249</v>
      </c>
      <c r="S83" s="11">
        <v>4</v>
      </c>
      <c r="T83" s="2">
        <v>2614</v>
      </c>
      <c r="U83" s="10">
        <f t="shared" si="70"/>
        <v>54.767541746108236</v>
      </c>
      <c r="V83" s="2">
        <v>1818</v>
      </c>
      <c r="W83" s="10">
        <f t="shared" si="71"/>
        <v>38.090050074378262</v>
      </c>
      <c r="X83" s="27">
        <f t="shared" si="72"/>
        <v>0.3045141545524101</v>
      </c>
      <c r="Y83" s="2">
        <f t="shared" si="73"/>
        <v>796</v>
      </c>
      <c r="Z83" s="992">
        <v>42964</v>
      </c>
      <c r="AA83" s="2">
        <f>'16.17 Meter Data'!Y786</f>
        <v>3466.5263120563759</v>
      </c>
      <c r="AB83" s="40">
        <f>AA83/N83*1000</f>
        <v>72.62935138084552</v>
      </c>
      <c r="AC83" s="1391" t="s">
        <v>1300</v>
      </c>
      <c r="AD83" s="1396">
        <v>72</v>
      </c>
      <c r="AE83" s="1912">
        <f>(T83-AA83)/T83</f>
        <v>-0.32613860445921039</v>
      </c>
      <c r="AF83" s="1611"/>
      <c r="AG83" s="51">
        <f>T83-AA83</f>
        <v>-852.5263120563759</v>
      </c>
      <c r="AH83" s="28" t="s">
        <v>265</v>
      </c>
      <c r="AI83" s="15">
        <v>52390</v>
      </c>
      <c r="AJ83" s="7">
        <f t="shared" si="74"/>
        <v>1.0976555134195143</v>
      </c>
      <c r="AK83" s="15">
        <v>33542</v>
      </c>
      <c r="AL83" s="7">
        <f t="shared" si="75"/>
        <v>0.70275932871000857</v>
      </c>
      <c r="AM83" s="8">
        <f t="shared" si="76"/>
        <v>0.35976331360946745</v>
      </c>
      <c r="AN83" s="15">
        <f t="shared" si="77"/>
        <v>18848</v>
      </c>
      <c r="AO83" s="15">
        <f>'16.17 Meter Data'!W791</f>
        <v>59031.560000000005</v>
      </c>
      <c r="AP83" s="22">
        <f>AO83/N83</f>
        <v>1.2368069727000357</v>
      </c>
      <c r="AQ83" s="47">
        <f>(AI83-AO83)/AI83</f>
        <v>-0.12677152128268762</v>
      </c>
      <c r="AR83" s="48">
        <f>AI83-AO83</f>
        <v>-6641.5600000000049</v>
      </c>
      <c r="AS83" s="28" t="s">
        <v>265</v>
      </c>
      <c r="AT83" s="9">
        <v>1075022</v>
      </c>
      <c r="AU83" s="9" t="s">
        <v>13</v>
      </c>
      <c r="AV83" s="2">
        <f t="shared" si="78"/>
        <v>22.523455341616209</v>
      </c>
      <c r="AW83" s="9">
        <v>817762</v>
      </c>
      <c r="AX83" s="9" t="s">
        <v>13</v>
      </c>
      <c r="AY83" s="2">
        <f t="shared" si="79"/>
        <v>17.133440884996542</v>
      </c>
      <c r="AZ83" s="8">
        <f t="shared" si="80"/>
        <v>0.23930673046691137</v>
      </c>
      <c r="BA83" s="2">
        <f t="shared" si="81"/>
        <v>257260</v>
      </c>
      <c r="BB83" s="1350">
        <f>'16.17 Meter Data'!W787</f>
        <v>360597.45475707733</v>
      </c>
      <c r="BC83" s="9" t="s">
        <v>13</v>
      </c>
      <c r="BD83" s="2">
        <f>BB83/N83</f>
        <v>7.5551018197967137</v>
      </c>
      <c r="BE83" s="8">
        <f>(AT83-BB83)/AT83</f>
        <v>0.66456737187045722</v>
      </c>
      <c r="BF83" s="28" t="s">
        <v>265</v>
      </c>
      <c r="BG83" s="64">
        <v>4947300</v>
      </c>
      <c r="BH83" s="42">
        <f t="shared" si="69"/>
        <v>103.65396299943431</v>
      </c>
      <c r="BI83" s="68">
        <v>3327846</v>
      </c>
      <c r="BJ83" s="71">
        <v>449750</v>
      </c>
      <c r="BK83" s="15">
        <v>41200</v>
      </c>
      <c r="BL83" s="15"/>
      <c r="BM83" s="29"/>
      <c r="BN83" s="1353">
        <f t="shared" si="82"/>
        <v>88.107703735144312</v>
      </c>
      <c r="BO83" s="1" t="s">
        <v>314</v>
      </c>
      <c r="BP83" s="11" t="s">
        <v>249</v>
      </c>
      <c r="BQ83" s="41"/>
      <c r="BR83" s="41"/>
    </row>
    <row r="84" spans="1:70" s="3" customFormat="1" ht="27.6" customHeight="1" x14ac:dyDescent="0.2">
      <c r="A84" s="347" t="s">
        <v>1513</v>
      </c>
      <c r="B84" s="348">
        <v>81</v>
      </c>
      <c r="C84" s="11" t="s">
        <v>951</v>
      </c>
      <c r="D84" s="11" t="s">
        <v>147</v>
      </c>
      <c r="E84" s="11" t="s">
        <v>987</v>
      </c>
      <c r="F84" s="11" t="s">
        <v>1504</v>
      </c>
      <c r="G84" s="1" t="s">
        <v>146</v>
      </c>
      <c r="H84" s="37">
        <v>41156</v>
      </c>
      <c r="I84" s="1" t="s">
        <v>10</v>
      </c>
      <c r="J84" s="33" t="s">
        <v>945</v>
      </c>
      <c r="K84" s="60">
        <v>42398</v>
      </c>
      <c r="L84" s="28" t="s">
        <v>234</v>
      </c>
      <c r="M84" s="1">
        <v>66</v>
      </c>
      <c r="N84" s="2">
        <v>97014</v>
      </c>
      <c r="O84" s="19">
        <f>N84/M84</f>
        <v>1469.909090909091</v>
      </c>
      <c r="P84" s="14">
        <v>5</v>
      </c>
      <c r="Q84" s="28" t="str">
        <f>A84</f>
        <v>McLean Hall at Rizzo</v>
      </c>
      <c r="R84" s="11" t="s">
        <v>247</v>
      </c>
      <c r="S84" s="11">
        <v>4</v>
      </c>
      <c r="T84" s="2">
        <v>6933</v>
      </c>
      <c r="U84" s="10">
        <f t="shared" si="70"/>
        <v>71.463912425010818</v>
      </c>
      <c r="V84" s="2">
        <v>4473</v>
      </c>
      <c r="W84" s="10">
        <f t="shared" si="71"/>
        <v>46.106747479745195</v>
      </c>
      <c r="X84" s="8">
        <f t="shared" si="72"/>
        <v>0.35482475118996104</v>
      </c>
      <c r="Y84" s="2">
        <f t="shared" si="73"/>
        <v>2460</v>
      </c>
      <c r="Z84" s="992">
        <v>42968</v>
      </c>
      <c r="AA84" s="2">
        <f>'16.17 Meter Data'!Y796</f>
        <v>8920.572679772964</v>
      </c>
      <c r="AB84" s="40">
        <f>AA84/N84*1000</f>
        <v>91.951395466354995</v>
      </c>
      <c r="AC84" s="1391"/>
      <c r="AD84" s="1396"/>
      <c r="AE84" s="1912">
        <f>(T84-AA84)/T84</f>
        <v>-0.28668291933837647</v>
      </c>
      <c r="AF84" s="1611"/>
      <c r="AG84" s="51">
        <f>T84-AA84</f>
        <v>-1987.572679772964</v>
      </c>
      <c r="AH84" s="28" t="str">
        <f>Q84</f>
        <v>McLean Hall at Rizzo</v>
      </c>
      <c r="AI84" s="15">
        <v>14092</v>
      </c>
      <c r="AJ84" s="7">
        <f t="shared" si="74"/>
        <v>0.14525738553198508</v>
      </c>
      <c r="AK84" s="15">
        <v>10313</v>
      </c>
      <c r="AL84" s="7">
        <f t="shared" si="75"/>
        <v>0.10630424474818068</v>
      </c>
      <c r="AM84" s="8">
        <f t="shared" si="76"/>
        <v>0.26816633550950897</v>
      </c>
      <c r="AN84" s="15">
        <f t="shared" si="77"/>
        <v>3779</v>
      </c>
      <c r="AO84" s="15">
        <f>'16.17 Meter Data'!W800</f>
        <v>91991.55</v>
      </c>
      <c r="AP84" s="22">
        <f>AO84/N84</f>
        <v>0.94822963695961415</v>
      </c>
      <c r="AQ84" s="47">
        <f>(AI84-AO84)/AI84</f>
        <v>-5.5279271927334657</v>
      </c>
      <c r="AR84" s="48">
        <f>AI84-AO84</f>
        <v>-77899.55</v>
      </c>
      <c r="AS84" s="28" t="str">
        <f>AH84</f>
        <v>McLean Hall at Rizzo</v>
      </c>
      <c r="AT84" s="2">
        <v>2116678</v>
      </c>
      <c r="AU84" s="2">
        <f>AT84/M84</f>
        <v>32070.878787878788</v>
      </c>
      <c r="AV84" s="10">
        <f t="shared" si="78"/>
        <v>21.818273651225596</v>
      </c>
      <c r="AW84" s="2">
        <v>1698607</v>
      </c>
      <c r="AX84" s="9">
        <f>AW84/M84</f>
        <v>25736.469696969696</v>
      </c>
      <c r="AY84" s="10">
        <f t="shared" si="79"/>
        <v>17.508885315521471</v>
      </c>
      <c r="AZ84" s="8">
        <f t="shared" si="80"/>
        <v>0.19751280071886229</v>
      </c>
      <c r="BA84" s="2">
        <f t="shared" si="81"/>
        <v>418071</v>
      </c>
      <c r="BB84" s="242">
        <f>'16.17 Meter Data'!W797</f>
        <v>1248000</v>
      </c>
      <c r="BC84" s="2">
        <f>BB84/M84</f>
        <v>18909.090909090908</v>
      </c>
      <c r="BD84" s="2">
        <f>BB84/N84</f>
        <v>12.864122703939637</v>
      </c>
      <c r="BE84" s="8">
        <f>(AT84-BB84)/AT84</f>
        <v>0.4103968577176122</v>
      </c>
      <c r="BF84" s="28" t="str">
        <f>AS84</f>
        <v>McLean Hall at Rizzo</v>
      </c>
      <c r="BG84" s="65">
        <v>25040939</v>
      </c>
      <c r="BH84" s="42">
        <f t="shared" si="69"/>
        <v>258.11675634444515</v>
      </c>
      <c r="BJ84" s="71" t="s">
        <v>244</v>
      </c>
      <c r="BK84" s="15"/>
      <c r="BM84" s="33" t="s">
        <v>244</v>
      </c>
      <c r="BN84" s="1353"/>
      <c r="BO84" s="1"/>
      <c r="BP84" s="11" t="s">
        <v>247</v>
      </c>
      <c r="BQ84" s="41"/>
      <c r="BR84" s="41"/>
    </row>
    <row r="85" spans="1:70" s="3" customFormat="1" ht="27.6" customHeight="1" x14ac:dyDescent="0.2">
      <c r="A85" s="28" t="s">
        <v>1027</v>
      </c>
      <c r="B85" s="11">
        <v>82</v>
      </c>
      <c r="C85" s="11" t="s">
        <v>951</v>
      </c>
      <c r="D85" s="11" t="s">
        <v>63</v>
      </c>
      <c r="E85" s="11" t="s">
        <v>985</v>
      </c>
      <c r="F85" s="11" t="s">
        <v>1471</v>
      </c>
      <c r="G85" s="1" t="s">
        <v>270</v>
      </c>
      <c r="H85" s="37">
        <v>41565</v>
      </c>
      <c r="I85" s="432" t="s">
        <v>4</v>
      </c>
      <c r="J85" s="33">
        <v>41764</v>
      </c>
      <c r="K85" s="60">
        <v>42418</v>
      </c>
      <c r="L85" s="4" t="s">
        <v>245</v>
      </c>
      <c r="M85" s="1" t="s">
        <v>13</v>
      </c>
      <c r="N85" s="2">
        <v>105000</v>
      </c>
      <c r="O85" s="2"/>
      <c r="P85" s="14">
        <v>3</v>
      </c>
      <c r="Q85" s="28" t="s">
        <v>271</v>
      </c>
      <c r="R85" s="11" t="s">
        <v>248</v>
      </c>
      <c r="S85" s="11">
        <v>3</v>
      </c>
      <c r="T85" s="2">
        <v>5893</v>
      </c>
      <c r="U85" s="10">
        <f t="shared" si="70"/>
        <v>56.123809523809527</v>
      </c>
      <c r="V85" s="2">
        <v>5553</v>
      </c>
      <c r="W85" s="10">
        <f t="shared" si="71"/>
        <v>52.885714285714286</v>
      </c>
      <c r="X85" s="8">
        <f t="shared" si="72"/>
        <v>5.7695571016460209E-2</v>
      </c>
      <c r="Y85" s="2">
        <f t="shared" si="73"/>
        <v>340</v>
      </c>
      <c r="Z85" s="992"/>
      <c r="AC85" s="1391"/>
      <c r="AD85" s="1396"/>
      <c r="AH85" s="28" t="s">
        <v>271</v>
      </c>
      <c r="AI85" s="15">
        <v>96234</v>
      </c>
      <c r="AJ85" s="7">
        <f t="shared" si="74"/>
        <v>0.91651428571428573</v>
      </c>
      <c r="AK85" s="15">
        <v>84246</v>
      </c>
      <c r="AL85" s="7">
        <f t="shared" si="75"/>
        <v>0.80234285714285714</v>
      </c>
      <c r="AM85" s="8">
        <f t="shared" si="76"/>
        <v>0.12457135731654093</v>
      </c>
      <c r="AN85" s="15">
        <f t="shared" si="77"/>
        <v>11988</v>
      </c>
      <c r="AS85" s="28" t="s">
        <v>271</v>
      </c>
      <c r="AT85" s="19">
        <v>2939272</v>
      </c>
      <c r="AU85" s="19" t="s">
        <v>13</v>
      </c>
      <c r="AV85" s="10">
        <f t="shared" si="78"/>
        <v>27.993066666666667</v>
      </c>
      <c r="AW85" s="19">
        <v>1888963</v>
      </c>
      <c r="AX85" s="19" t="s">
        <v>13</v>
      </c>
      <c r="AY85" s="10">
        <f t="shared" si="79"/>
        <v>17.990123809523809</v>
      </c>
      <c r="AZ85" s="8">
        <f t="shared" si="80"/>
        <v>0.3573364424932432</v>
      </c>
      <c r="BA85" s="2">
        <f t="shared" si="81"/>
        <v>1050309</v>
      </c>
      <c r="BB85" s="14"/>
      <c r="BC85" s="14"/>
      <c r="BD85" s="14"/>
      <c r="BE85" s="14"/>
      <c r="BF85" s="28" t="s">
        <v>271</v>
      </c>
      <c r="BG85" s="64">
        <v>14388687</v>
      </c>
      <c r="BH85" s="42">
        <f t="shared" si="69"/>
        <v>137.03511428571429</v>
      </c>
      <c r="BI85" s="68">
        <v>13744319</v>
      </c>
      <c r="BJ85" s="71">
        <v>1224800</v>
      </c>
      <c r="BK85" s="15">
        <v>0</v>
      </c>
      <c r="BL85" s="15"/>
      <c r="BM85" s="29">
        <v>136650</v>
      </c>
      <c r="BN85" s="1353">
        <f>((BG85-BI85)+BK85+BL85+BM85)/AN85</f>
        <v>65.14998331664998</v>
      </c>
      <c r="BO85" s="1" t="s">
        <v>304</v>
      </c>
      <c r="BP85" s="11" t="s">
        <v>248</v>
      </c>
      <c r="BQ85" s="41"/>
      <c r="BR85" s="41"/>
    </row>
    <row r="86" spans="1:70" s="41" customFormat="1" ht="27.6" hidden="1" customHeight="1" x14ac:dyDescent="0.2">
      <c r="A86" s="431" t="s">
        <v>521</v>
      </c>
      <c r="B86" s="900"/>
      <c r="C86" s="900"/>
      <c r="D86" s="11" t="s">
        <v>26</v>
      </c>
      <c r="E86" s="11"/>
      <c r="F86" s="11" t="s">
        <v>508</v>
      </c>
      <c r="G86" s="1" t="s">
        <v>158</v>
      </c>
      <c r="H86" s="37">
        <v>41166</v>
      </c>
      <c r="I86" s="1" t="s">
        <v>10</v>
      </c>
      <c r="J86" s="33" t="s">
        <v>522</v>
      </c>
      <c r="K86" s="60">
        <v>42550</v>
      </c>
      <c r="L86" s="28" t="s">
        <v>135</v>
      </c>
      <c r="M86" s="1">
        <v>192</v>
      </c>
      <c r="N86" s="2">
        <v>78450</v>
      </c>
      <c r="O86" s="2"/>
      <c r="P86" s="14">
        <v>12</v>
      </c>
      <c r="Q86" s="431" t="s">
        <v>521</v>
      </c>
      <c r="R86" s="11" t="s">
        <v>247</v>
      </c>
      <c r="S86" s="11"/>
      <c r="T86" s="2">
        <v>6070</v>
      </c>
      <c r="U86" s="10">
        <f t="shared" si="70"/>
        <v>77.374123645634157</v>
      </c>
      <c r="V86" s="2">
        <v>3601</v>
      </c>
      <c r="W86" s="10">
        <f t="shared" si="71"/>
        <v>45.901848311026129</v>
      </c>
      <c r="X86" s="8">
        <f t="shared" si="72"/>
        <v>0.40675453047775945</v>
      </c>
      <c r="Y86" s="2">
        <f t="shared" si="73"/>
        <v>2469</v>
      </c>
      <c r="Z86" s="992"/>
      <c r="AA86" s="3"/>
      <c r="AB86" s="3"/>
      <c r="AC86" s="1"/>
      <c r="AD86" s="1396"/>
      <c r="AE86" s="3"/>
      <c r="AF86" s="3"/>
      <c r="AG86" s="3"/>
      <c r="AH86" s="431" t="s">
        <v>521</v>
      </c>
      <c r="AI86" s="15">
        <v>143502</v>
      </c>
      <c r="AJ86" s="7">
        <f t="shared" si="74"/>
        <v>1.8292160611854684</v>
      </c>
      <c r="AK86" s="15">
        <v>87933</v>
      </c>
      <c r="AL86" s="7">
        <f t="shared" si="75"/>
        <v>1.1208795411089867</v>
      </c>
      <c r="AM86" s="8">
        <f t="shared" si="76"/>
        <v>0.38723502111468827</v>
      </c>
      <c r="AN86" s="15">
        <f t="shared" si="77"/>
        <v>55569</v>
      </c>
      <c r="AO86" s="3"/>
      <c r="AP86" s="3"/>
      <c r="AQ86" s="3"/>
      <c r="AR86" s="3"/>
      <c r="AS86" s="431" t="s">
        <v>521</v>
      </c>
      <c r="AT86" s="2">
        <v>2528379</v>
      </c>
      <c r="AU86" s="2">
        <f>AT86/M86</f>
        <v>13168.640625</v>
      </c>
      <c r="AV86" s="10">
        <f t="shared" si="78"/>
        <v>32.229177820267687</v>
      </c>
      <c r="AW86" s="2">
        <v>1493037</v>
      </c>
      <c r="AX86" s="9">
        <f>AW86/M86</f>
        <v>7776.234375</v>
      </c>
      <c r="AY86" s="10">
        <f t="shared" si="79"/>
        <v>19.031701720841301</v>
      </c>
      <c r="AZ86" s="8">
        <f t="shared" si="80"/>
        <v>0.40948845090075497</v>
      </c>
      <c r="BA86" s="2">
        <f t="shared" si="81"/>
        <v>1035342</v>
      </c>
      <c r="BB86" s="3"/>
      <c r="BC86" s="3"/>
      <c r="BD86" s="3"/>
      <c r="BE86" s="3"/>
      <c r="BF86" s="431" t="s">
        <v>521</v>
      </c>
      <c r="BG86" s="65">
        <v>11873469</v>
      </c>
      <c r="BH86" s="42">
        <f t="shared" si="69"/>
        <v>151.35078393881454</v>
      </c>
      <c r="BI86" s="3"/>
      <c r="BJ86" s="15">
        <v>1313285</v>
      </c>
      <c r="BK86" s="15">
        <v>103000</v>
      </c>
      <c r="BL86" s="3"/>
      <c r="BM86" s="15">
        <v>92600</v>
      </c>
      <c r="BN86" s="1353">
        <f>((BG86-BI86)+BK86+BL86+BM86)/AN86</f>
        <v>217.19068185499108</v>
      </c>
      <c r="BO86" s="1"/>
      <c r="BP86" s="11" t="s">
        <v>247</v>
      </c>
      <c r="BQ86" s="3"/>
      <c r="BR86" s="3"/>
    </row>
    <row r="87" spans="1:70" s="41" customFormat="1" ht="27.6" hidden="1" customHeight="1" x14ac:dyDescent="0.2">
      <c r="A87" s="4" t="s">
        <v>519</v>
      </c>
      <c r="B87" s="11"/>
      <c r="C87" s="11"/>
      <c r="D87" s="11" t="s">
        <v>79</v>
      </c>
      <c r="E87" s="11"/>
      <c r="F87" s="11"/>
      <c r="G87" s="1" t="s">
        <v>21</v>
      </c>
      <c r="H87" s="33">
        <v>41738</v>
      </c>
      <c r="I87" s="11" t="s">
        <v>4</v>
      </c>
      <c r="J87" s="33" t="s">
        <v>518</v>
      </c>
      <c r="K87" s="33" t="s">
        <v>518</v>
      </c>
      <c r="L87" s="4" t="s">
        <v>88</v>
      </c>
      <c r="M87" s="11" t="s">
        <v>13</v>
      </c>
      <c r="N87" s="6">
        <v>44978</v>
      </c>
      <c r="O87" s="6"/>
      <c r="P87" s="49">
        <v>3</v>
      </c>
      <c r="Q87" s="4" t="s">
        <v>519</v>
      </c>
      <c r="R87" s="11" t="s">
        <v>249</v>
      </c>
      <c r="S87" s="11"/>
      <c r="T87" s="2">
        <v>6871</v>
      </c>
      <c r="U87" s="12">
        <f t="shared" si="70"/>
        <v>152.76357330250346</v>
      </c>
      <c r="V87" s="2">
        <v>4929</v>
      </c>
      <c r="W87" s="23">
        <f t="shared" si="71"/>
        <v>109.58690915558718</v>
      </c>
      <c r="X87" s="5">
        <f t="shared" si="72"/>
        <v>0.28263717071750838</v>
      </c>
      <c r="Y87" s="13">
        <f t="shared" si="73"/>
        <v>1942</v>
      </c>
      <c r="Z87" s="967"/>
      <c r="AA87" s="14"/>
      <c r="AB87" s="2"/>
      <c r="AC87" s="9"/>
      <c r="AD87" s="1394"/>
      <c r="AE87" s="2"/>
      <c r="AF87" s="2"/>
      <c r="AG87" s="2"/>
      <c r="AH87" s="4" t="s">
        <v>519</v>
      </c>
      <c r="AI87" s="15">
        <v>134054</v>
      </c>
      <c r="AJ87" s="7">
        <f t="shared" si="74"/>
        <v>2.9804348792743118</v>
      </c>
      <c r="AK87" s="15">
        <v>98221</v>
      </c>
      <c r="AL87" s="7">
        <f t="shared" si="75"/>
        <v>2.1837565031793322</v>
      </c>
      <c r="AM87" s="8">
        <f t="shared" si="76"/>
        <v>0.26730272875110028</v>
      </c>
      <c r="AN87" s="16">
        <f t="shared" si="77"/>
        <v>35833</v>
      </c>
      <c r="AO87" s="3"/>
      <c r="AP87" s="2"/>
      <c r="AQ87" s="2"/>
      <c r="AR87" s="2"/>
      <c r="AS87" s="4" t="s">
        <v>519</v>
      </c>
      <c r="AT87" s="3"/>
      <c r="AU87" s="9" t="s">
        <v>13</v>
      </c>
      <c r="AV87" s="2">
        <f t="shared" si="78"/>
        <v>0</v>
      </c>
      <c r="AW87" s="3"/>
      <c r="AX87" s="9" t="s">
        <v>13</v>
      </c>
      <c r="AY87" s="2">
        <f t="shared" si="79"/>
        <v>0</v>
      </c>
      <c r="AZ87" s="8"/>
      <c r="BA87" s="17">
        <f t="shared" si="81"/>
        <v>0</v>
      </c>
      <c r="BB87" s="3"/>
      <c r="BC87" s="9"/>
      <c r="BD87" s="2"/>
      <c r="BE87" s="2"/>
      <c r="BF87" s="4" t="s">
        <v>519</v>
      </c>
      <c r="BG87" s="65">
        <v>4825393</v>
      </c>
      <c r="BH87" s="42">
        <f t="shared" si="69"/>
        <v>107.28340522032994</v>
      </c>
      <c r="BI87" s="15">
        <v>4180000</v>
      </c>
      <c r="BJ87" s="15">
        <v>932460</v>
      </c>
      <c r="BK87" s="15">
        <v>308832</v>
      </c>
      <c r="BL87" s="3"/>
      <c r="BM87" s="15">
        <v>28700</v>
      </c>
      <c r="BN87" s="1353">
        <f>((BG87-BI87)+BK87+BL87+BM87)/AN87</f>
        <v>27.4307202857701</v>
      </c>
      <c r="BO87" s="1"/>
      <c r="BP87" s="11" t="s">
        <v>249</v>
      </c>
      <c r="BQ87" s="3"/>
      <c r="BR87" s="3"/>
    </row>
    <row r="88" spans="1:70" s="41" customFormat="1" ht="27.6" customHeight="1" x14ac:dyDescent="0.2">
      <c r="A88" s="28" t="s">
        <v>1454</v>
      </c>
      <c r="B88" s="11">
        <v>83</v>
      </c>
      <c r="C88" s="915" t="s">
        <v>950</v>
      </c>
      <c r="D88" s="11" t="s">
        <v>109</v>
      </c>
      <c r="E88" s="11" t="s">
        <v>993</v>
      </c>
      <c r="F88" s="11" t="s">
        <v>548</v>
      </c>
      <c r="G88" s="1" t="s">
        <v>226</v>
      </c>
      <c r="H88" s="37">
        <v>41715</v>
      </c>
      <c r="I88" s="1" t="s">
        <v>10</v>
      </c>
      <c r="J88" s="33">
        <v>41704</v>
      </c>
      <c r="K88" s="60">
        <v>42550</v>
      </c>
      <c r="L88" s="28" t="s">
        <v>235</v>
      </c>
      <c r="M88" s="1" t="s">
        <v>13</v>
      </c>
      <c r="N88" s="2">
        <v>213000</v>
      </c>
      <c r="O88" s="2"/>
      <c r="P88" s="14">
        <v>3</v>
      </c>
      <c r="Q88" s="28" t="s">
        <v>178</v>
      </c>
      <c r="R88" s="11" t="s">
        <v>249</v>
      </c>
      <c r="S88" s="11">
        <v>4</v>
      </c>
      <c r="T88" s="2">
        <v>20211</v>
      </c>
      <c r="U88" s="10">
        <f t="shared" si="70"/>
        <v>94.887323943661983</v>
      </c>
      <c r="V88" s="2">
        <v>15288</v>
      </c>
      <c r="W88" s="10">
        <f t="shared" si="71"/>
        <v>71.774647887323951</v>
      </c>
      <c r="X88" s="8">
        <f t="shared" si="72"/>
        <v>0.24358022858839246</v>
      </c>
      <c r="Y88" s="2">
        <f t="shared" si="73"/>
        <v>4923</v>
      </c>
      <c r="Z88" s="992">
        <v>42978</v>
      </c>
      <c r="AA88" s="2">
        <f>'16.17 Meter Data'!Y818</f>
        <v>32368.423922955328</v>
      </c>
      <c r="AB88" s="40">
        <f>AA88/N88*1000</f>
        <v>151.96443156317054</v>
      </c>
      <c r="AC88" s="1391"/>
      <c r="AD88" s="1396"/>
      <c r="AE88" s="1912">
        <f>(T88-AA88)/T88</f>
        <v>-0.60152510627654876</v>
      </c>
      <c r="AF88" s="1611"/>
      <c r="AG88" s="51">
        <f>T88-AA88</f>
        <v>-12157.423922955328</v>
      </c>
      <c r="AH88" s="28" t="s">
        <v>178</v>
      </c>
      <c r="AI88" s="15">
        <v>275822</v>
      </c>
      <c r="AJ88" s="7">
        <f t="shared" si="74"/>
        <v>1.2949389671361502</v>
      </c>
      <c r="AK88" s="15">
        <v>188166</v>
      </c>
      <c r="AL88" s="7">
        <f t="shared" si="75"/>
        <v>0.88340845070422536</v>
      </c>
      <c r="AM88" s="8">
        <f t="shared" si="76"/>
        <v>0.31779916032803762</v>
      </c>
      <c r="AN88" s="15">
        <f t="shared" si="77"/>
        <v>87656</v>
      </c>
      <c r="AO88" s="15">
        <f>'16.17 Meter Data'!W822</f>
        <v>451041.06999999995</v>
      </c>
      <c r="AP88" s="22">
        <f>AO88/N88</f>
        <v>2.1175637089201875</v>
      </c>
      <c r="AQ88" s="47">
        <f>(AI88-AO88)/AI88</f>
        <v>-0.63526140046841784</v>
      </c>
      <c r="AR88" s="48">
        <f>AI88-AO88</f>
        <v>-175219.06999999995</v>
      </c>
      <c r="AS88" s="28" t="s">
        <v>178</v>
      </c>
      <c r="AT88" s="2">
        <v>2060500</v>
      </c>
      <c r="AU88" s="9" t="s">
        <v>13</v>
      </c>
      <c r="AV88" s="10">
        <f t="shared" si="78"/>
        <v>9.6737089201877939</v>
      </c>
      <c r="AW88" s="2">
        <v>1524900</v>
      </c>
      <c r="AX88" s="9" t="s">
        <v>13</v>
      </c>
      <c r="AY88" s="10">
        <f t="shared" si="79"/>
        <v>7.1591549295774648</v>
      </c>
      <c r="AZ88" s="8">
        <f>(AT88-AW88)/AT88</f>
        <v>0.25993690851735018</v>
      </c>
      <c r="BA88" s="2">
        <f t="shared" si="81"/>
        <v>535600</v>
      </c>
      <c r="BB88" s="242">
        <f>'16.17 Meter Data'!W819</f>
        <v>4071364</v>
      </c>
      <c r="BC88" s="9" t="s">
        <v>13</v>
      </c>
      <c r="BD88" s="2">
        <f>BB88/N88</f>
        <v>19.114384976525823</v>
      </c>
      <c r="BE88" s="8">
        <f>(AT88-BB88)/AT88</f>
        <v>-0.97591070128609558</v>
      </c>
      <c r="BF88" s="28" t="s">
        <v>315</v>
      </c>
      <c r="BG88" s="64">
        <v>69872746</v>
      </c>
      <c r="BH88" s="42">
        <f t="shared" si="69"/>
        <v>328.04106103286387</v>
      </c>
      <c r="BI88" s="15">
        <v>63588816</v>
      </c>
      <c r="BJ88" s="15">
        <v>6427000</v>
      </c>
      <c r="BK88" s="15">
        <v>67200</v>
      </c>
      <c r="BL88" s="15"/>
      <c r="BM88" s="15">
        <v>344800</v>
      </c>
      <c r="BN88" s="1353">
        <f>((BG88-BI88)+BK88+BL88+BM88)/AN88</f>
        <v>76.388724103312953</v>
      </c>
      <c r="BO88" s="1" t="s">
        <v>304</v>
      </c>
      <c r="BP88" s="11" t="s">
        <v>249</v>
      </c>
      <c r="BQ88" s="3"/>
      <c r="BR88" s="3"/>
    </row>
    <row r="89" spans="1:70" s="1737" customFormat="1" ht="27.6" customHeight="1" thickBot="1" x14ac:dyDescent="0.25">
      <c r="A89" s="1710" t="s">
        <v>417</v>
      </c>
      <c r="B89" s="1711">
        <v>84</v>
      </c>
      <c r="C89" s="1752" t="s">
        <v>953</v>
      </c>
      <c r="D89" s="1711" t="s">
        <v>60</v>
      </c>
      <c r="E89" s="1711" t="s">
        <v>989</v>
      </c>
      <c r="F89" s="1711" t="s">
        <v>510</v>
      </c>
      <c r="G89" s="1712" t="s">
        <v>428</v>
      </c>
      <c r="H89" s="1713">
        <v>41961</v>
      </c>
      <c r="I89" s="1712" t="s">
        <v>10</v>
      </c>
      <c r="J89" s="1714">
        <v>42171</v>
      </c>
      <c r="K89" s="1715">
        <v>42614</v>
      </c>
      <c r="L89" s="1716" t="s">
        <v>418</v>
      </c>
      <c r="M89" s="1712" t="s">
        <v>13</v>
      </c>
      <c r="N89" s="1717">
        <v>165584</v>
      </c>
      <c r="O89" s="1717"/>
      <c r="P89" s="1719">
        <v>3</v>
      </c>
      <c r="Q89" s="1710" t="s">
        <v>417</v>
      </c>
      <c r="R89" s="1711" t="s">
        <v>249</v>
      </c>
      <c r="S89" s="1711">
        <v>4</v>
      </c>
      <c r="T89" s="1717">
        <v>29857</v>
      </c>
      <c r="U89" s="1730">
        <f t="shared" si="70"/>
        <v>180.31331529616386</v>
      </c>
      <c r="V89" s="1717">
        <v>22062</v>
      </c>
      <c r="W89" s="1730">
        <f t="shared" si="71"/>
        <v>133.23751087061552</v>
      </c>
      <c r="X89" s="1722">
        <f t="shared" si="72"/>
        <v>0.26107780420002008</v>
      </c>
      <c r="Y89" s="1717">
        <f t="shared" si="73"/>
        <v>7795</v>
      </c>
      <c r="Z89" s="1723">
        <v>42986</v>
      </c>
      <c r="AA89" s="1717">
        <f>'16.17 Meter Data'!Y828</f>
        <v>16841.852944741149</v>
      </c>
      <c r="AB89" s="1741">
        <f>AA89/N89*1000</f>
        <v>101.7118377665786</v>
      </c>
      <c r="AC89" s="1725"/>
      <c r="AD89" s="1726"/>
      <c r="AE89" s="1743">
        <f>(T89-AA89)/T89</f>
        <v>0.4359161019278176</v>
      </c>
      <c r="AF89" s="1744" t="s">
        <v>955</v>
      </c>
      <c r="AG89" s="1745">
        <f>T89-AA89</f>
        <v>13015.147055258851</v>
      </c>
      <c r="AH89" s="1710" t="s">
        <v>417</v>
      </c>
      <c r="AI89" s="1727">
        <v>534913</v>
      </c>
      <c r="AJ89" s="1728">
        <f t="shared" si="74"/>
        <v>3.2304630882210841</v>
      </c>
      <c r="AK89" s="1727">
        <v>426967</v>
      </c>
      <c r="AL89" s="1728">
        <f t="shared" si="75"/>
        <v>2.5785522755821817</v>
      </c>
      <c r="AM89" s="1722">
        <f t="shared" si="76"/>
        <v>0.20180104054304157</v>
      </c>
      <c r="AN89" s="1727">
        <f t="shared" si="77"/>
        <v>107946</v>
      </c>
      <c r="AO89" s="1727">
        <f>'16.17 Meter Data'!W833</f>
        <v>290782.33090957586</v>
      </c>
      <c r="AP89" s="1746">
        <f>AO89/N89</f>
        <v>1.7561016215913123</v>
      </c>
      <c r="AQ89" s="1747">
        <f>(AI89-AO89)/AI89</f>
        <v>0.45639322486165812</v>
      </c>
      <c r="AR89" s="1748">
        <f>AI89-AO89</f>
        <v>244130.66909042414</v>
      </c>
      <c r="AS89" s="1710" t="s">
        <v>417</v>
      </c>
      <c r="AT89" s="1729">
        <v>330635</v>
      </c>
      <c r="AU89" s="1729" t="s">
        <v>13</v>
      </c>
      <c r="AV89" s="1717">
        <f t="shared" si="78"/>
        <v>1.9967810899603826</v>
      </c>
      <c r="AW89" s="1729">
        <v>247594</v>
      </c>
      <c r="AX89" s="1729" t="s">
        <v>13</v>
      </c>
      <c r="AY89" s="1717">
        <f t="shared" si="79"/>
        <v>1.4952773214803363</v>
      </c>
      <c r="AZ89" s="1722">
        <f>(AT89-AW89)/AT89</f>
        <v>0.25115610869992588</v>
      </c>
      <c r="BA89" s="1717">
        <f t="shared" si="81"/>
        <v>83041</v>
      </c>
      <c r="BB89" s="2235">
        <f>'16.17 Meter Data'!W829</f>
        <v>1585115.1852536001</v>
      </c>
      <c r="BC89" s="1729" t="s">
        <v>13</v>
      </c>
      <c r="BD89" s="1717">
        <f>BB89/N89</f>
        <v>9.5728765173784911</v>
      </c>
      <c r="BE89" s="1722">
        <f>(AT89-BB89)/AT89</f>
        <v>-3.7941542342873564</v>
      </c>
      <c r="BF89" s="1710" t="s">
        <v>417</v>
      </c>
      <c r="BG89" s="1731">
        <v>23473863</v>
      </c>
      <c r="BH89" s="1732">
        <f t="shared" si="69"/>
        <v>141.76407744709633</v>
      </c>
      <c r="BI89" s="1733">
        <f>BG89</f>
        <v>23473863</v>
      </c>
      <c r="BJ89" s="1727">
        <v>3170473</v>
      </c>
      <c r="BK89" s="1727">
        <v>35000</v>
      </c>
      <c r="BL89" s="1727">
        <v>60000</v>
      </c>
      <c r="BM89" s="1830">
        <v>330235</v>
      </c>
      <c r="BN89" s="1736">
        <f>((BG89-BI89)+BK89+BL89+BM89)/AN89</f>
        <v>3.9393307764993608</v>
      </c>
      <c r="BO89" s="1712" t="s">
        <v>419</v>
      </c>
      <c r="BP89" s="1711" t="s">
        <v>249</v>
      </c>
    </row>
    <row r="90" spans="1:70" s="3" customFormat="1" ht="27.6" customHeight="1" thickTop="1" thickBot="1" x14ac:dyDescent="0.25">
      <c r="A90" s="921" t="s">
        <v>1489</v>
      </c>
      <c r="B90" s="917"/>
      <c r="C90" s="2190"/>
      <c r="D90" s="917"/>
      <c r="E90" s="917"/>
      <c r="F90" s="917"/>
      <c r="G90" s="918"/>
      <c r="H90" s="919"/>
      <c r="I90" s="918"/>
      <c r="J90" s="920"/>
      <c r="K90" s="932"/>
      <c r="L90" s="2195"/>
      <c r="M90" s="925">
        <f>SUM(M4:M89)</f>
        <v>9309</v>
      </c>
      <c r="N90" s="925">
        <f>SUM(N4:N89)</f>
        <v>7300141</v>
      </c>
      <c r="O90" s="922"/>
      <c r="P90" s="933"/>
      <c r="Q90" s="921"/>
      <c r="R90" s="917"/>
      <c r="S90" s="917"/>
      <c r="T90" s="925">
        <f>SUM(T4:T89)</f>
        <v>763483</v>
      </c>
      <c r="U90" s="923"/>
      <c r="V90" s="925">
        <f>SUM(V4:V89)</f>
        <v>518812.8</v>
      </c>
      <c r="W90" s="923"/>
      <c r="X90" s="1919">
        <f t="shared" ref="X90:X99" si="83">(T90-V90)/T90</f>
        <v>0.32046581259831591</v>
      </c>
      <c r="Y90" s="925">
        <f>SUM(Y4:Y89)</f>
        <v>244670.19999999998</v>
      </c>
      <c r="Z90" s="2206"/>
      <c r="AA90" s="430"/>
      <c r="AB90" s="430"/>
      <c r="AC90" s="2191"/>
      <c r="AD90" s="2207"/>
      <c r="AE90" s="430"/>
      <c r="AF90" s="430"/>
      <c r="AG90" s="430"/>
      <c r="AH90" s="921"/>
      <c r="AI90" s="926"/>
      <c r="AJ90" s="927"/>
      <c r="AK90" s="926"/>
      <c r="AL90" s="927"/>
      <c r="AM90" s="924"/>
      <c r="AN90" s="1354">
        <f>SUM(AN4:AN89)</f>
        <v>4099688</v>
      </c>
      <c r="AO90" s="430"/>
      <c r="AP90" s="430"/>
      <c r="AQ90" s="430"/>
      <c r="AR90" s="430"/>
      <c r="AS90" s="921"/>
      <c r="AT90" s="925"/>
      <c r="AU90" s="925"/>
      <c r="AV90" s="922"/>
      <c r="AW90" s="925"/>
      <c r="AX90" s="925"/>
      <c r="AY90" s="922"/>
      <c r="AZ90" s="924"/>
      <c r="BA90" s="922">
        <f>SUM(BA4:BA89)</f>
        <v>51922584</v>
      </c>
      <c r="BB90" s="933"/>
      <c r="BC90" s="430"/>
      <c r="BD90" s="430"/>
      <c r="BE90" s="430"/>
      <c r="BF90" s="921"/>
      <c r="BG90" s="2194">
        <f>SUM(BG4:BG89)</f>
        <v>1447680418.3899999</v>
      </c>
      <c r="BH90" s="928"/>
      <c r="BI90" s="2211"/>
      <c r="BJ90" s="926"/>
      <c r="BK90" s="926"/>
      <c r="BL90" s="926"/>
      <c r="BM90" s="2212"/>
      <c r="BN90" s="2192"/>
      <c r="BO90" s="918"/>
      <c r="BP90" s="917"/>
      <c r="BQ90" s="41"/>
      <c r="BR90" s="41"/>
    </row>
    <row r="91" spans="1:70" s="2236" customFormat="1" ht="27.6" customHeight="1" thickTop="1" x14ac:dyDescent="0.2">
      <c r="A91" s="2213" t="s">
        <v>1463</v>
      </c>
      <c r="B91" s="2214">
        <v>85</v>
      </c>
      <c r="C91" s="2214" t="s">
        <v>951</v>
      </c>
      <c r="D91" s="2214" t="s">
        <v>63</v>
      </c>
      <c r="E91" s="2214" t="s">
        <v>985</v>
      </c>
      <c r="F91" s="2214" t="s">
        <v>1471</v>
      </c>
      <c r="G91" s="2215" t="s">
        <v>517</v>
      </c>
      <c r="H91" s="2216">
        <v>41934</v>
      </c>
      <c r="I91" s="2215" t="s">
        <v>10</v>
      </c>
      <c r="J91" s="2217">
        <v>42093</v>
      </c>
      <c r="K91" s="2218">
        <v>42710</v>
      </c>
      <c r="L91" s="2219" t="s">
        <v>135</v>
      </c>
      <c r="M91" s="2215">
        <v>436</v>
      </c>
      <c r="N91" s="2220">
        <v>157219</v>
      </c>
      <c r="O91" s="2221">
        <f>N91/M91</f>
        <v>360.5940366972477</v>
      </c>
      <c r="P91" s="2222">
        <v>6</v>
      </c>
      <c r="Q91" s="2213" t="str">
        <f>A91</f>
        <v>Levine Residence Hall</v>
      </c>
      <c r="R91" s="2214" t="s">
        <v>249</v>
      </c>
      <c r="S91" s="2214">
        <v>3</v>
      </c>
      <c r="T91" s="2220">
        <v>8086</v>
      </c>
      <c r="U91" s="2223">
        <f t="shared" ref="U91:U105" si="84">T91/N91*1000</f>
        <v>51.431442764551363</v>
      </c>
      <c r="V91" s="2220">
        <v>6532</v>
      </c>
      <c r="W91" s="2223">
        <f t="shared" ref="W91:W105" si="85">V91/N91*1000</f>
        <v>41.547141248831252</v>
      </c>
      <c r="X91" s="8">
        <f t="shared" si="83"/>
        <v>0.19218402176601534</v>
      </c>
      <c r="Y91" s="2220">
        <f t="shared" ref="Y91:Y105" si="86">T91-V91</f>
        <v>1554</v>
      </c>
      <c r="Z91" s="2224"/>
      <c r="AA91" s="2225"/>
      <c r="AB91" s="2225"/>
      <c r="AC91" s="2226" t="s">
        <v>1298</v>
      </c>
      <c r="AD91" s="2227">
        <v>47</v>
      </c>
      <c r="AE91" s="2225"/>
      <c r="AF91" s="2225"/>
      <c r="AG91" s="2225"/>
      <c r="AH91" s="2213" t="str">
        <f>A91</f>
        <v>Levine Residence Hall</v>
      </c>
      <c r="AI91" s="2228">
        <v>132669</v>
      </c>
      <c r="AJ91" s="2229">
        <f t="shared" ref="AJ91:AJ114" si="87">AI91/N91</f>
        <v>0.84384838982565724</v>
      </c>
      <c r="AK91" s="2228">
        <v>106400</v>
      </c>
      <c r="AL91" s="2229">
        <f t="shared" ref="AL91:AL114" si="88">AK91/N91</f>
        <v>0.67676298666191748</v>
      </c>
      <c r="AM91" s="2230">
        <f t="shared" ref="AM91:AM114" si="89">(AI91-AK91)/AI91</f>
        <v>0.1980040552050592</v>
      </c>
      <c r="AN91" s="2228">
        <f t="shared" ref="AN91:AN114" si="90">AI91-AK91</f>
        <v>26269</v>
      </c>
      <c r="AO91" s="2225"/>
      <c r="AP91" s="2225"/>
      <c r="AQ91" s="2225"/>
      <c r="AR91" s="2225"/>
      <c r="AS91" s="2213" t="str">
        <f>A91</f>
        <v>Levine Residence Hall</v>
      </c>
      <c r="AT91" s="2220">
        <v>3855098</v>
      </c>
      <c r="AU91" s="2231">
        <f>AT91/M91</f>
        <v>8841.9678899082573</v>
      </c>
      <c r="AV91" s="2223">
        <f t="shared" ref="AV91:AV105" si="91">AT91/N91</f>
        <v>24.520560492052486</v>
      </c>
      <c r="AW91" s="2220">
        <v>2204228</v>
      </c>
      <c r="AX91" s="2231">
        <f>AW91/M91</f>
        <v>5055.5688073394494</v>
      </c>
      <c r="AY91" s="2223">
        <f t="shared" ref="AY91:AY105" si="92">AW91/N91</f>
        <v>14.02011207296828</v>
      </c>
      <c r="AZ91" s="2230">
        <f t="shared" ref="AZ91:AZ105" si="93">(AT91-AW91)/AT91</f>
        <v>0.42823035886506644</v>
      </c>
      <c r="BA91" s="2220">
        <f t="shared" ref="BA91:BA105" si="94">AT91-AW91</f>
        <v>1650870</v>
      </c>
      <c r="BB91" s="2225"/>
      <c r="BC91" s="2225"/>
      <c r="BD91" s="2225"/>
      <c r="BE91" s="2225"/>
      <c r="BF91" s="2213" t="str">
        <f>A91</f>
        <v>Levine Residence Hall</v>
      </c>
      <c r="BG91" s="2232">
        <v>38708442</v>
      </c>
      <c r="BH91" s="2233">
        <f t="shared" ref="BH91:BH105" si="95">BG91/N91</f>
        <v>246.20715053524066</v>
      </c>
      <c r="BI91" s="2228">
        <v>36840000</v>
      </c>
      <c r="BJ91" s="2228">
        <v>3018220</v>
      </c>
      <c r="BK91" s="2228"/>
      <c r="BL91" s="2228">
        <v>27500</v>
      </c>
      <c r="BM91" s="2228">
        <v>164340</v>
      </c>
      <c r="BN91" s="2234">
        <f t="shared" ref="BN91:BN105" si="96">((BG91-BI91)+BK91+BL91+BM91)/AN91</f>
        <v>78.430164833073206</v>
      </c>
      <c r="BO91" s="2215" t="s">
        <v>313</v>
      </c>
      <c r="BP91" s="2214"/>
      <c r="BQ91" s="2225"/>
      <c r="BR91" s="2225"/>
    </row>
    <row r="92" spans="1:70" s="41" customFormat="1" ht="27.6" customHeight="1" x14ac:dyDescent="0.2">
      <c r="A92" s="28" t="s">
        <v>944</v>
      </c>
      <c r="B92" s="11">
        <v>86</v>
      </c>
      <c r="C92" s="915" t="s">
        <v>953</v>
      </c>
      <c r="D92" s="11" t="s">
        <v>68</v>
      </c>
      <c r="E92" s="11" t="s">
        <v>992</v>
      </c>
      <c r="F92" s="11" t="s">
        <v>650</v>
      </c>
      <c r="G92" s="1" t="s">
        <v>472</v>
      </c>
      <c r="H92" s="37">
        <v>42023</v>
      </c>
      <c r="I92" s="1" t="s">
        <v>10</v>
      </c>
      <c r="J92" s="33">
        <v>42172</v>
      </c>
      <c r="K92" s="60">
        <v>42838</v>
      </c>
      <c r="L92" s="4" t="s">
        <v>471</v>
      </c>
      <c r="M92" s="1" t="s">
        <v>13</v>
      </c>
      <c r="N92" s="2">
        <v>75843</v>
      </c>
      <c r="O92" s="2"/>
      <c r="P92" s="14">
        <v>4</v>
      </c>
      <c r="Q92" s="28" t="s">
        <v>944</v>
      </c>
      <c r="R92" s="11" t="s">
        <v>248</v>
      </c>
      <c r="S92" s="11">
        <v>3</v>
      </c>
      <c r="T92" s="2">
        <v>10944</v>
      </c>
      <c r="U92" s="10">
        <f t="shared" si="84"/>
        <v>144.29808947430877</v>
      </c>
      <c r="V92" s="2">
        <v>9185</v>
      </c>
      <c r="W92" s="10">
        <f t="shared" si="85"/>
        <v>121.1054415041599</v>
      </c>
      <c r="X92" s="8">
        <f t="shared" si="83"/>
        <v>0.16072733918128654</v>
      </c>
      <c r="Y92" s="2">
        <f t="shared" si="86"/>
        <v>1759</v>
      </c>
      <c r="Z92" s="992"/>
      <c r="AA92" s="3"/>
      <c r="AB92" s="3"/>
      <c r="AC92" s="1391"/>
      <c r="AD92" s="1396"/>
      <c r="AE92" s="3"/>
      <c r="AF92" s="3"/>
      <c r="AG92" s="3"/>
      <c r="AH92" s="28" t="s">
        <v>944</v>
      </c>
      <c r="AI92" s="15">
        <v>107685</v>
      </c>
      <c r="AJ92" s="7">
        <f t="shared" si="87"/>
        <v>1.4198409873027174</v>
      </c>
      <c r="AK92" s="15">
        <v>91262</v>
      </c>
      <c r="AL92" s="7">
        <f t="shared" si="88"/>
        <v>1.2033015571641417</v>
      </c>
      <c r="AM92" s="8">
        <f t="shared" si="89"/>
        <v>0.15250963458234665</v>
      </c>
      <c r="AN92" s="15">
        <f t="shared" si="90"/>
        <v>16423</v>
      </c>
      <c r="AO92" s="3"/>
      <c r="AP92" s="3"/>
      <c r="AQ92" s="3"/>
      <c r="AR92" s="3"/>
      <c r="AS92" s="28" t="s">
        <v>944</v>
      </c>
      <c r="AT92" s="9">
        <v>1899740</v>
      </c>
      <c r="AU92" s="9" t="s">
        <v>13</v>
      </c>
      <c r="AV92" s="10">
        <f t="shared" si="91"/>
        <v>25.048323510409663</v>
      </c>
      <c r="AW92" s="9">
        <v>1215180</v>
      </c>
      <c r="AX92" s="19" t="s">
        <v>13</v>
      </c>
      <c r="AY92" s="10">
        <f t="shared" si="92"/>
        <v>16.022309244096355</v>
      </c>
      <c r="AZ92" s="8">
        <f t="shared" si="93"/>
        <v>0.36034404708012674</v>
      </c>
      <c r="BA92" s="2">
        <f t="shared" si="94"/>
        <v>684560</v>
      </c>
      <c r="BB92" s="14"/>
      <c r="BC92" s="3"/>
      <c r="BD92" s="3"/>
      <c r="BE92" s="3"/>
      <c r="BF92" s="28" t="s">
        <v>944</v>
      </c>
      <c r="BG92" s="64">
        <v>26731311</v>
      </c>
      <c r="BH92" s="42">
        <f t="shared" si="95"/>
        <v>352.45587595427395</v>
      </c>
      <c r="BI92" s="68">
        <v>21220000</v>
      </c>
      <c r="BJ92" s="71">
        <v>2903738</v>
      </c>
      <c r="BK92" s="15">
        <v>154488</v>
      </c>
      <c r="BL92" s="15"/>
      <c r="BM92" s="29">
        <v>300000</v>
      </c>
      <c r="BN92" s="1353">
        <f t="shared" si="96"/>
        <v>363.25878341350545</v>
      </c>
      <c r="BO92" s="1" t="s">
        <v>473</v>
      </c>
      <c r="BP92" s="11" t="s">
        <v>247</v>
      </c>
      <c r="BQ92" s="41" t="s">
        <v>38</v>
      </c>
    </row>
    <row r="93" spans="1:70" s="41" customFormat="1" ht="27.6" customHeight="1" x14ac:dyDescent="0.2">
      <c r="A93" s="28" t="s">
        <v>941</v>
      </c>
      <c r="B93" s="11">
        <v>87</v>
      </c>
      <c r="C93" s="915" t="s">
        <v>953</v>
      </c>
      <c r="D93" s="11" t="s">
        <v>8</v>
      </c>
      <c r="E93" s="11" t="s">
        <v>994</v>
      </c>
      <c r="F93" s="11" t="s">
        <v>651</v>
      </c>
      <c r="G93" s="1" t="s">
        <v>971</v>
      </c>
      <c r="H93" s="37">
        <v>42251</v>
      </c>
      <c r="I93" s="11" t="s">
        <v>10</v>
      </c>
      <c r="J93" s="33">
        <v>42338</v>
      </c>
      <c r="K93" s="60">
        <v>42928</v>
      </c>
      <c r="L93" s="28" t="s">
        <v>202</v>
      </c>
      <c r="M93" s="1" t="s">
        <v>13</v>
      </c>
      <c r="N93" s="2">
        <v>64342</v>
      </c>
      <c r="O93" s="2"/>
      <c r="P93" s="14">
        <v>3</v>
      </c>
      <c r="Q93" s="28" t="s">
        <v>941</v>
      </c>
      <c r="R93" s="11" t="s">
        <v>248</v>
      </c>
      <c r="S93" s="11">
        <v>4</v>
      </c>
      <c r="T93" s="2">
        <v>9679</v>
      </c>
      <c r="U93" s="10">
        <f t="shared" si="84"/>
        <v>150.43051195175781</v>
      </c>
      <c r="V93" s="2">
        <v>9209</v>
      </c>
      <c r="W93" s="10">
        <f t="shared" si="85"/>
        <v>143.12579652482049</v>
      </c>
      <c r="X93" s="8">
        <f t="shared" si="83"/>
        <v>4.8558735406550264E-2</v>
      </c>
      <c r="Y93" s="2">
        <f t="shared" si="86"/>
        <v>470</v>
      </c>
      <c r="Z93" s="992"/>
      <c r="AA93" s="3"/>
      <c r="AB93" s="3"/>
      <c r="AC93" s="1391" t="s">
        <v>1311</v>
      </c>
      <c r="AD93" s="1396">
        <v>166</v>
      </c>
      <c r="AE93" s="3"/>
      <c r="AF93" s="3"/>
      <c r="AG93" s="3"/>
      <c r="AH93" s="28" t="s">
        <v>941</v>
      </c>
      <c r="AI93" s="15">
        <v>137469</v>
      </c>
      <c r="AJ93" s="7">
        <f t="shared" si="87"/>
        <v>2.1365360106928599</v>
      </c>
      <c r="AK93" s="15">
        <v>123584</v>
      </c>
      <c r="AL93" s="7">
        <f t="shared" si="88"/>
        <v>1.9207360666438718</v>
      </c>
      <c r="AM93" s="8">
        <f t="shared" si="89"/>
        <v>0.10100459012577381</v>
      </c>
      <c r="AN93" s="15">
        <f t="shared" si="90"/>
        <v>13885</v>
      </c>
      <c r="AO93" s="3"/>
      <c r="AP93" s="3"/>
      <c r="AQ93" s="3"/>
      <c r="AR93" s="3"/>
      <c r="AS93" s="28" t="s">
        <v>941</v>
      </c>
      <c r="AT93" s="2">
        <v>649069</v>
      </c>
      <c r="AU93" s="9" t="s">
        <v>13</v>
      </c>
      <c r="AV93" s="10">
        <f t="shared" si="91"/>
        <v>10.087796462652699</v>
      </c>
      <c r="AW93" s="2">
        <v>492976</v>
      </c>
      <c r="AX93" s="9" t="s">
        <v>13</v>
      </c>
      <c r="AY93" s="10">
        <f t="shared" si="92"/>
        <v>7.6618072176805194</v>
      </c>
      <c r="AZ93" s="8">
        <f t="shared" si="93"/>
        <v>0.24048752906085485</v>
      </c>
      <c r="BA93" s="2">
        <f t="shared" si="94"/>
        <v>156093</v>
      </c>
      <c r="BB93" s="3"/>
      <c r="BC93" s="3"/>
      <c r="BD93" s="3"/>
      <c r="BE93" s="3"/>
      <c r="BF93" s="28" t="s">
        <v>941</v>
      </c>
      <c r="BG93" s="64">
        <v>21056907</v>
      </c>
      <c r="BH93" s="42">
        <f t="shared" si="95"/>
        <v>327.2653476733704</v>
      </c>
      <c r="BI93" s="15">
        <f>BG93-101109</f>
        <v>20955798</v>
      </c>
      <c r="BJ93" s="15">
        <v>2504600</v>
      </c>
      <c r="BK93" s="71">
        <v>62800</v>
      </c>
      <c r="BL93" s="71">
        <v>17574</v>
      </c>
      <c r="BM93" s="15">
        <v>139652</v>
      </c>
      <c r="BN93" s="1353">
        <f t="shared" si="96"/>
        <v>23.12819589485056</v>
      </c>
      <c r="BO93" s="1" t="s">
        <v>313</v>
      </c>
      <c r="BP93" s="11" t="s">
        <v>248</v>
      </c>
      <c r="BQ93" s="346"/>
      <c r="BR93" s="3"/>
    </row>
    <row r="94" spans="1:70" s="1737" customFormat="1" ht="27.6" customHeight="1" thickBot="1" x14ac:dyDescent="0.25">
      <c r="A94" s="1710" t="s">
        <v>946</v>
      </c>
      <c r="B94" s="1711">
        <v>88</v>
      </c>
      <c r="C94" s="1711" t="s">
        <v>951</v>
      </c>
      <c r="D94" s="1711" t="s">
        <v>68</v>
      </c>
      <c r="E94" s="1711" t="s">
        <v>992</v>
      </c>
      <c r="F94" s="1711" t="s">
        <v>650</v>
      </c>
      <c r="G94" s="1712" t="s">
        <v>1028</v>
      </c>
      <c r="H94" s="1713">
        <v>42508</v>
      </c>
      <c r="I94" s="1712" t="s">
        <v>10</v>
      </c>
      <c r="J94" s="1714" t="s">
        <v>1455</v>
      </c>
      <c r="K94" s="1715">
        <v>42944</v>
      </c>
      <c r="L94" s="1710" t="s">
        <v>135</v>
      </c>
      <c r="M94" s="1712">
        <v>395</v>
      </c>
      <c r="N94" s="1717">
        <v>83462</v>
      </c>
      <c r="O94" s="1718">
        <f>N94/M94</f>
        <v>211.29620253164558</v>
      </c>
      <c r="P94" s="1719">
        <v>10</v>
      </c>
      <c r="Q94" s="1710" t="s">
        <v>946</v>
      </c>
      <c r="R94" s="1711" t="s">
        <v>248</v>
      </c>
      <c r="S94" s="1711">
        <v>3</v>
      </c>
      <c r="T94" s="1717">
        <v>5199</v>
      </c>
      <c r="U94" s="1730">
        <f t="shared" si="84"/>
        <v>62.291821427715611</v>
      </c>
      <c r="V94" s="1717">
        <v>5139</v>
      </c>
      <c r="W94" s="1730">
        <f t="shared" si="85"/>
        <v>61.572931393927774</v>
      </c>
      <c r="X94" s="1722">
        <f t="shared" si="83"/>
        <v>1.1540680900173111E-2</v>
      </c>
      <c r="Y94" s="1717">
        <f t="shared" si="86"/>
        <v>60</v>
      </c>
      <c r="Z94" s="1723"/>
      <c r="AA94" s="1724"/>
      <c r="AB94" s="1724"/>
      <c r="AC94" s="1725" t="s">
        <v>1298</v>
      </c>
      <c r="AD94" s="1726">
        <v>47</v>
      </c>
      <c r="AE94" s="1724"/>
      <c r="AF94" s="1724"/>
      <c r="AG94" s="1724"/>
      <c r="AH94" s="1710" t="s">
        <v>946</v>
      </c>
      <c r="AI94" s="1727">
        <v>123606</v>
      </c>
      <c r="AJ94" s="1728">
        <f t="shared" si="87"/>
        <v>1.4809853586063118</v>
      </c>
      <c r="AK94" s="1727">
        <v>119683</v>
      </c>
      <c r="AL94" s="1728">
        <f t="shared" si="88"/>
        <v>1.4339819318971507</v>
      </c>
      <c r="AM94" s="1722">
        <f t="shared" si="89"/>
        <v>3.1737941523874248E-2</v>
      </c>
      <c r="AN94" s="1727">
        <f t="shared" si="90"/>
        <v>3923</v>
      </c>
      <c r="AO94" s="1724"/>
      <c r="AP94" s="1724"/>
      <c r="AQ94" s="1724"/>
      <c r="AR94" s="1724"/>
      <c r="AS94" s="1710" t="s">
        <v>946</v>
      </c>
      <c r="AT94" s="1717">
        <v>2958825</v>
      </c>
      <c r="AU94" s="1729">
        <f>AT94/M94</f>
        <v>7490.6962025316452</v>
      </c>
      <c r="AV94" s="1730">
        <f t="shared" si="91"/>
        <v>35.451163403704683</v>
      </c>
      <c r="AW94" s="1717">
        <v>1891131</v>
      </c>
      <c r="AX94" s="1729">
        <f>AW94/M94</f>
        <v>4787.6734177215194</v>
      </c>
      <c r="AY94" s="1730">
        <f t="shared" si="92"/>
        <v>22.658587141453594</v>
      </c>
      <c r="AZ94" s="1722">
        <f t="shared" si="93"/>
        <v>0.36085067552153305</v>
      </c>
      <c r="BA94" s="1717">
        <f t="shared" si="94"/>
        <v>1067694</v>
      </c>
      <c r="BB94" s="1724"/>
      <c r="BC94" s="1724"/>
      <c r="BD94" s="1724"/>
      <c r="BE94" s="1724"/>
      <c r="BF94" s="1710" t="s">
        <v>946</v>
      </c>
      <c r="BG94" s="1823">
        <v>17178395</v>
      </c>
      <c r="BH94" s="1732">
        <f t="shared" si="95"/>
        <v>205.82294936617862</v>
      </c>
      <c r="BI94" s="1734">
        <f>BG94-131119</f>
        <v>17047276</v>
      </c>
      <c r="BJ94" s="1727">
        <v>1750000</v>
      </c>
      <c r="BK94" s="1727"/>
      <c r="BL94" s="1727">
        <v>23400</v>
      </c>
      <c r="BM94" s="1727">
        <v>89500</v>
      </c>
      <c r="BN94" s="1736">
        <f t="shared" si="96"/>
        <v>62.202141218455267</v>
      </c>
      <c r="BO94" s="1712" t="s">
        <v>947</v>
      </c>
      <c r="BP94" s="1711" t="s">
        <v>248</v>
      </c>
      <c r="BQ94" s="1724"/>
      <c r="BR94" s="1724"/>
    </row>
    <row r="95" spans="1:70" s="41" customFormat="1" ht="27.6" customHeight="1" thickTop="1" x14ac:dyDescent="0.2">
      <c r="A95" s="28" t="s">
        <v>514</v>
      </c>
      <c r="B95" s="11">
        <v>89</v>
      </c>
      <c r="C95" s="11" t="s">
        <v>951</v>
      </c>
      <c r="D95" s="11" t="s">
        <v>63</v>
      </c>
      <c r="E95" s="11" t="s">
        <v>985</v>
      </c>
      <c r="F95" s="11" t="s">
        <v>1471</v>
      </c>
      <c r="G95" s="1" t="s">
        <v>513</v>
      </c>
      <c r="H95" s="37">
        <v>42272</v>
      </c>
      <c r="I95" s="11" t="s">
        <v>10</v>
      </c>
      <c r="J95" s="33">
        <v>42524</v>
      </c>
      <c r="K95" s="60">
        <v>42992</v>
      </c>
      <c r="L95" s="28" t="s">
        <v>135</v>
      </c>
      <c r="M95" s="1">
        <v>95</v>
      </c>
      <c r="N95" s="2">
        <v>29845</v>
      </c>
      <c r="O95" s="19">
        <f>N95/M95</f>
        <v>314.15789473684208</v>
      </c>
      <c r="P95" s="14">
        <v>3</v>
      </c>
      <c r="Q95" s="28" t="s">
        <v>514</v>
      </c>
      <c r="R95" s="11" t="s">
        <v>249</v>
      </c>
      <c r="S95" s="11">
        <v>3</v>
      </c>
      <c r="T95" s="2">
        <v>2122</v>
      </c>
      <c r="U95" s="12">
        <f t="shared" si="84"/>
        <v>71.100686882224835</v>
      </c>
      <c r="V95" s="2">
        <v>1669</v>
      </c>
      <c r="W95" s="10">
        <f t="shared" si="85"/>
        <v>55.922265036019439</v>
      </c>
      <c r="X95" s="8">
        <f t="shared" si="83"/>
        <v>0.21347785108388312</v>
      </c>
      <c r="Y95" s="2">
        <f t="shared" si="86"/>
        <v>453</v>
      </c>
      <c r="Z95" s="992"/>
      <c r="AA95" s="3"/>
      <c r="AB95" s="3"/>
      <c r="AC95" s="1391" t="s">
        <v>1298</v>
      </c>
      <c r="AD95" s="1396">
        <v>47</v>
      </c>
      <c r="AE95" s="3"/>
      <c r="AF95" s="3"/>
      <c r="AG95" s="3"/>
      <c r="AH95" s="28" t="s">
        <v>514</v>
      </c>
      <c r="AI95" s="15">
        <v>34775</v>
      </c>
      <c r="AJ95" s="7">
        <f t="shared" si="87"/>
        <v>1.1651867984587032</v>
      </c>
      <c r="AK95" s="15">
        <v>26751</v>
      </c>
      <c r="AL95" s="7">
        <f t="shared" si="88"/>
        <v>0.89633104372591721</v>
      </c>
      <c r="AM95" s="8">
        <f t="shared" si="89"/>
        <v>0.23074047447879223</v>
      </c>
      <c r="AN95" s="15">
        <f t="shared" si="90"/>
        <v>8024</v>
      </c>
      <c r="AO95" s="3"/>
      <c r="AP95" s="3"/>
      <c r="AQ95" s="3"/>
      <c r="AR95" s="3"/>
      <c r="AS95" s="28" t="s">
        <v>514</v>
      </c>
      <c r="AT95" s="2">
        <v>1044184</v>
      </c>
      <c r="AU95" s="2">
        <f>AT95/M95</f>
        <v>10991.410526315789</v>
      </c>
      <c r="AV95" s="2">
        <f t="shared" si="91"/>
        <v>34.986898978053276</v>
      </c>
      <c r="AW95" s="2">
        <v>677227</v>
      </c>
      <c r="AX95" s="9">
        <f>AW95/M95</f>
        <v>7128.7052631578945</v>
      </c>
      <c r="AY95" s="10">
        <f t="shared" si="92"/>
        <v>22.691472608477131</v>
      </c>
      <c r="AZ95" s="8">
        <f t="shared" si="93"/>
        <v>0.35142944155436207</v>
      </c>
      <c r="BA95" s="2">
        <f t="shared" si="94"/>
        <v>366957</v>
      </c>
      <c r="BB95" s="3"/>
      <c r="BC95" s="3"/>
      <c r="BD95" s="3"/>
      <c r="BE95" s="3"/>
      <c r="BF95" s="28" t="s">
        <v>514</v>
      </c>
      <c r="BG95" s="64">
        <f>0.36*14943000</f>
        <v>5379480</v>
      </c>
      <c r="BH95" s="42">
        <f t="shared" si="95"/>
        <v>180.24727760093819</v>
      </c>
      <c r="BI95" s="15">
        <f>0.36*14328323</f>
        <v>5158196.28</v>
      </c>
      <c r="BJ95" s="15">
        <f>0.36*1245525</f>
        <v>448389</v>
      </c>
      <c r="BK95" s="71"/>
      <c r="BL95" s="71">
        <f>0.36*9200</f>
        <v>3312</v>
      </c>
      <c r="BM95" s="15">
        <f>0.36*65000</f>
        <v>23400</v>
      </c>
      <c r="BN95" s="1353">
        <f t="shared" si="96"/>
        <v>30.906744765702857</v>
      </c>
      <c r="BO95" s="1" t="s">
        <v>311</v>
      </c>
      <c r="BP95" s="11" t="s">
        <v>249</v>
      </c>
      <c r="BQ95" s="346"/>
      <c r="BR95" s="3"/>
    </row>
    <row r="96" spans="1:70" s="41" customFormat="1" ht="27.6" customHeight="1" x14ac:dyDescent="0.2">
      <c r="A96" s="28" t="s">
        <v>516</v>
      </c>
      <c r="B96" s="11">
        <v>90</v>
      </c>
      <c r="C96" s="11" t="s">
        <v>951</v>
      </c>
      <c r="D96" s="11" t="s">
        <v>63</v>
      </c>
      <c r="E96" s="11" t="s">
        <v>985</v>
      </c>
      <c r="F96" s="11" t="s">
        <v>1471</v>
      </c>
      <c r="G96" s="1" t="s">
        <v>513</v>
      </c>
      <c r="H96" s="37">
        <v>42272</v>
      </c>
      <c r="I96" s="11" t="s">
        <v>10</v>
      </c>
      <c r="J96" s="33">
        <v>42524</v>
      </c>
      <c r="K96" s="62">
        <v>43009</v>
      </c>
      <c r="L96" s="28" t="s">
        <v>135</v>
      </c>
      <c r="M96" s="1">
        <v>95</v>
      </c>
      <c r="N96" s="2">
        <v>29799</v>
      </c>
      <c r="O96" s="19">
        <f>N96/M96</f>
        <v>313.67368421052629</v>
      </c>
      <c r="P96" s="14">
        <v>3</v>
      </c>
      <c r="Q96" s="28" t="s">
        <v>516</v>
      </c>
      <c r="R96" s="11" t="s">
        <v>249</v>
      </c>
      <c r="S96" s="11">
        <v>3</v>
      </c>
      <c r="T96" s="2">
        <v>2122</v>
      </c>
      <c r="U96" s="12">
        <f t="shared" si="84"/>
        <v>71.210443303466562</v>
      </c>
      <c r="V96" s="2">
        <v>1669</v>
      </c>
      <c r="W96" s="10">
        <f t="shared" si="85"/>
        <v>56.008590892311823</v>
      </c>
      <c r="X96" s="8">
        <f t="shared" si="83"/>
        <v>0.21347785108388312</v>
      </c>
      <c r="Y96" s="2">
        <f t="shared" si="86"/>
        <v>453</v>
      </c>
      <c r="Z96" s="992"/>
      <c r="AA96" s="3"/>
      <c r="AB96" s="3"/>
      <c r="AC96" s="1391" t="s">
        <v>1298</v>
      </c>
      <c r="AD96" s="1396">
        <v>47</v>
      </c>
      <c r="AE96" s="3"/>
      <c r="AF96" s="3"/>
      <c r="AG96" s="3"/>
      <c r="AH96" s="28" t="s">
        <v>516</v>
      </c>
      <c r="AI96" s="15">
        <v>34775</v>
      </c>
      <c r="AJ96" s="7">
        <f t="shared" si="87"/>
        <v>1.1669854693110506</v>
      </c>
      <c r="AK96" s="15">
        <v>26751</v>
      </c>
      <c r="AL96" s="7">
        <f t="shared" si="88"/>
        <v>0.89771468841236279</v>
      </c>
      <c r="AM96" s="8">
        <f t="shared" si="89"/>
        <v>0.23074047447879223</v>
      </c>
      <c r="AN96" s="15">
        <f t="shared" si="90"/>
        <v>8024</v>
      </c>
      <c r="AO96" s="3"/>
      <c r="AP96" s="3"/>
      <c r="AQ96" s="3"/>
      <c r="AR96" s="3"/>
      <c r="AS96" s="28" t="s">
        <v>516</v>
      </c>
      <c r="AT96" s="2">
        <v>1044184</v>
      </c>
      <c r="AU96" s="2">
        <f>AT96/M96</f>
        <v>10991.410526315789</v>
      </c>
      <c r="AV96" s="2">
        <f t="shared" si="91"/>
        <v>35.040907413000433</v>
      </c>
      <c r="AW96" s="2">
        <v>677227</v>
      </c>
      <c r="AX96" s="9">
        <f>AW96/M96</f>
        <v>7128.7052631578945</v>
      </c>
      <c r="AY96" s="10">
        <f t="shared" si="92"/>
        <v>22.726500889291586</v>
      </c>
      <c r="AZ96" s="8">
        <f t="shared" si="93"/>
        <v>0.35142944155436207</v>
      </c>
      <c r="BA96" s="2">
        <f t="shared" si="94"/>
        <v>366957</v>
      </c>
      <c r="BB96" s="3"/>
      <c r="BC96" s="3"/>
      <c r="BD96" s="3"/>
      <c r="BE96" s="3"/>
      <c r="BF96" s="28" t="s">
        <v>516</v>
      </c>
      <c r="BG96" s="64">
        <f>0.36*14943000</f>
        <v>5379480</v>
      </c>
      <c r="BH96" s="42">
        <f t="shared" si="95"/>
        <v>180.52552099063726</v>
      </c>
      <c r="BI96" s="15">
        <f>0.36*14328323</f>
        <v>5158196.28</v>
      </c>
      <c r="BJ96" s="15">
        <f>0.36*1245525</f>
        <v>448389</v>
      </c>
      <c r="BK96" s="71"/>
      <c r="BL96" s="71">
        <f>0.36*9200</f>
        <v>3312</v>
      </c>
      <c r="BM96" s="15">
        <f>0.36*65000</f>
        <v>23400</v>
      </c>
      <c r="BN96" s="1353">
        <f t="shared" si="96"/>
        <v>30.906744765702857</v>
      </c>
      <c r="BO96" s="1" t="s">
        <v>311</v>
      </c>
      <c r="BP96" s="11" t="s">
        <v>249</v>
      </c>
      <c r="BQ96" s="346"/>
      <c r="BR96" s="3" t="s">
        <v>38</v>
      </c>
    </row>
    <row r="97" spans="1:70" s="41" customFormat="1" ht="27.6" customHeight="1" x14ac:dyDescent="0.2">
      <c r="A97" s="28" t="s">
        <v>251</v>
      </c>
      <c r="B97" s="11">
        <v>91</v>
      </c>
      <c r="C97" s="11" t="s">
        <v>951</v>
      </c>
      <c r="D97" s="11" t="s">
        <v>252</v>
      </c>
      <c r="E97" s="11" t="s">
        <v>1003</v>
      </c>
      <c r="F97" s="11"/>
      <c r="G97" s="1" t="s">
        <v>427</v>
      </c>
      <c r="H97" s="37">
        <v>41943</v>
      </c>
      <c r="I97" s="1" t="s">
        <v>103</v>
      </c>
      <c r="J97" s="33">
        <v>42215</v>
      </c>
      <c r="K97" s="62">
        <v>42996</v>
      </c>
      <c r="L97" s="4" t="s">
        <v>200</v>
      </c>
      <c r="M97" s="1" t="s">
        <v>13</v>
      </c>
      <c r="N97" s="2">
        <v>35357</v>
      </c>
      <c r="O97" s="2"/>
      <c r="P97" s="14">
        <v>2</v>
      </c>
      <c r="Q97" s="28" t="s">
        <v>251</v>
      </c>
      <c r="R97" s="11" t="s">
        <v>249</v>
      </c>
      <c r="S97" s="11">
        <v>4</v>
      </c>
      <c r="T97" s="2">
        <v>7819</v>
      </c>
      <c r="U97" s="10">
        <f t="shared" si="84"/>
        <v>221.14432785587013</v>
      </c>
      <c r="V97" s="2">
        <v>5695</v>
      </c>
      <c r="W97" s="10">
        <f t="shared" si="85"/>
        <v>161.07135786407218</v>
      </c>
      <c r="X97" s="8">
        <f t="shared" si="83"/>
        <v>0.27164599053587413</v>
      </c>
      <c r="Y97" s="2">
        <f t="shared" si="86"/>
        <v>2124</v>
      </c>
      <c r="Z97" s="992"/>
      <c r="AA97" s="3"/>
      <c r="AB97" s="3"/>
      <c r="AC97" s="1391" t="s">
        <v>1303</v>
      </c>
      <c r="AD97" s="1396">
        <v>194</v>
      </c>
      <c r="AE97" s="3"/>
      <c r="AF97" s="3"/>
      <c r="AG97" s="3"/>
      <c r="AH97" s="28" t="s">
        <v>251</v>
      </c>
      <c r="AI97" s="15">
        <v>205920</v>
      </c>
      <c r="AJ97" s="7">
        <f t="shared" si="87"/>
        <v>5.8240235314082076</v>
      </c>
      <c r="AK97" s="15">
        <v>145347</v>
      </c>
      <c r="AL97" s="7">
        <f t="shared" si="88"/>
        <v>4.1108408518822301</v>
      </c>
      <c r="AM97" s="8">
        <f t="shared" si="89"/>
        <v>0.2941579254079254</v>
      </c>
      <c r="AN97" s="15">
        <f t="shared" si="90"/>
        <v>60573</v>
      </c>
      <c r="AO97" s="3"/>
      <c r="AP97" s="3"/>
      <c r="AQ97" s="3"/>
      <c r="AR97" s="3"/>
      <c r="AS97" s="28" t="s">
        <v>251</v>
      </c>
      <c r="AT97" s="9">
        <v>142308</v>
      </c>
      <c r="AU97" s="19" t="s">
        <v>13</v>
      </c>
      <c r="AV97" s="10">
        <f t="shared" si="91"/>
        <v>4.0248889894504627</v>
      </c>
      <c r="AW97" s="9">
        <v>97350</v>
      </c>
      <c r="AX97" s="19" t="s">
        <v>13</v>
      </c>
      <c r="AY97" s="10">
        <f t="shared" si="92"/>
        <v>2.753344457957406</v>
      </c>
      <c r="AZ97" s="8">
        <f t="shared" si="93"/>
        <v>0.31592039800995025</v>
      </c>
      <c r="BA97" s="2">
        <f t="shared" si="94"/>
        <v>44958</v>
      </c>
      <c r="BB97" s="14"/>
      <c r="BC97" s="3"/>
      <c r="BD97" s="3"/>
      <c r="BE97" s="3"/>
      <c r="BF97" s="28" t="s">
        <v>251</v>
      </c>
      <c r="BG97" s="64">
        <v>14468100</v>
      </c>
      <c r="BH97" s="42">
        <f t="shared" si="95"/>
        <v>409.2004412139039</v>
      </c>
      <c r="BI97" s="68">
        <v>13630000</v>
      </c>
      <c r="BJ97" s="71">
        <v>1440000</v>
      </c>
      <c r="BK97" s="15"/>
      <c r="BL97" s="15"/>
      <c r="BM97" s="29">
        <v>120000</v>
      </c>
      <c r="BN97" s="1353">
        <f t="shared" si="96"/>
        <v>15.817278325326466</v>
      </c>
      <c r="BO97" s="1" t="s">
        <v>295</v>
      </c>
      <c r="BP97" s="11" t="s">
        <v>249</v>
      </c>
      <c r="BR97" s="41" t="s">
        <v>38</v>
      </c>
    </row>
    <row r="98" spans="1:70" s="41" customFormat="1" ht="27.6" customHeight="1" x14ac:dyDescent="0.2">
      <c r="A98" s="28" t="s">
        <v>1255</v>
      </c>
      <c r="B98" s="11">
        <v>92</v>
      </c>
      <c r="C98" s="915" t="s">
        <v>953</v>
      </c>
      <c r="D98" s="11" t="s">
        <v>1256</v>
      </c>
      <c r="E98" s="11" t="s">
        <v>1484</v>
      </c>
      <c r="F98" s="11"/>
      <c r="G98" s="1" t="s">
        <v>1257</v>
      </c>
      <c r="H98" s="37">
        <v>42356</v>
      </c>
      <c r="I98" s="1" t="s">
        <v>10</v>
      </c>
      <c r="J98" s="33">
        <v>42492</v>
      </c>
      <c r="K98" s="62">
        <v>43011</v>
      </c>
      <c r="L98" s="28" t="s">
        <v>1258</v>
      </c>
      <c r="M98" s="1" t="s">
        <v>13</v>
      </c>
      <c r="N98" s="2">
        <v>55099</v>
      </c>
      <c r="O98" s="2"/>
      <c r="P98" s="14">
        <v>1</v>
      </c>
      <c r="Q98" s="28" t="s">
        <v>1255</v>
      </c>
      <c r="R98" s="11" t="s">
        <v>248</v>
      </c>
      <c r="S98" s="11">
        <v>4</v>
      </c>
      <c r="T98" s="2">
        <v>5015</v>
      </c>
      <c r="U98" s="10">
        <f t="shared" si="84"/>
        <v>91.017985807364923</v>
      </c>
      <c r="V98" s="2">
        <v>4773</v>
      </c>
      <c r="W98" s="10">
        <f t="shared" si="85"/>
        <v>86.625891576979612</v>
      </c>
      <c r="X98" s="8">
        <f t="shared" si="83"/>
        <v>4.8255234297108672E-2</v>
      </c>
      <c r="Y98" s="2">
        <f t="shared" si="86"/>
        <v>242</v>
      </c>
      <c r="Z98" s="992"/>
      <c r="AA98" s="3"/>
      <c r="AB98" s="3"/>
      <c r="AC98" s="1391" t="s">
        <v>1300</v>
      </c>
      <c r="AD98" s="1396">
        <v>72</v>
      </c>
      <c r="AE98" s="3"/>
      <c r="AF98" s="3"/>
      <c r="AG98" s="3"/>
      <c r="AH98" s="28" t="s">
        <v>1255</v>
      </c>
      <c r="AI98" s="15">
        <v>128985</v>
      </c>
      <c r="AJ98" s="7">
        <f t="shared" si="87"/>
        <v>2.3409680756456561</v>
      </c>
      <c r="AK98" s="15">
        <v>124246</v>
      </c>
      <c r="AL98" s="7">
        <f t="shared" si="88"/>
        <v>2.2549592551588957</v>
      </c>
      <c r="AM98" s="8">
        <f t="shared" si="89"/>
        <v>3.67407062836764E-2</v>
      </c>
      <c r="AN98" s="15">
        <f t="shared" si="90"/>
        <v>4739</v>
      </c>
      <c r="AO98" s="3"/>
      <c r="AP98" s="3"/>
      <c r="AQ98" s="3"/>
      <c r="AR98" s="3"/>
      <c r="AS98" s="28" t="s">
        <v>1255</v>
      </c>
      <c r="AT98" s="2">
        <v>152441</v>
      </c>
      <c r="AU98" s="9" t="s">
        <v>13</v>
      </c>
      <c r="AV98" s="10">
        <f t="shared" si="91"/>
        <v>2.7666745312982086</v>
      </c>
      <c r="AW98" s="2">
        <v>85722</v>
      </c>
      <c r="AX98" s="9" t="s">
        <v>13</v>
      </c>
      <c r="AY98" s="10">
        <f t="shared" si="92"/>
        <v>1.5557814116408646</v>
      </c>
      <c r="AZ98" s="8">
        <f t="shared" si="93"/>
        <v>0.43767096778425751</v>
      </c>
      <c r="BA98" s="2">
        <f t="shared" si="94"/>
        <v>66719</v>
      </c>
      <c r="BB98" s="3"/>
      <c r="BC98" s="3"/>
      <c r="BD98" s="3"/>
      <c r="BE98" s="3"/>
      <c r="BF98" s="28" t="s">
        <v>1255</v>
      </c>
      <c r="BG98" s="64">
        <v>13631526</v>
      </c>
      <c r="BH98" s="42">
        <f t="shared" si="95"/>
        <v>247.40060618160038</v>
      </c>
      <c r="BI98" s="15">
        <f>BG98-22950-13608-42000+106986</f>
        <v>13659954</v>
      </c>
      <c r="BJ98" s="15">
        <v>861500</v>
      </c>
      <c r="BK98" s="15">
        <f>35000+8500</f>
        <v>43500</v>
      </c>
      <c r="BL98" s="15">
        <v>0</v>
      </c>
      <c r="BM98" s="15">
        <v>153000</v>
      </c>
      <c r="BN98" s="1353">
        <f t="shared" si="96"/>
        <v>35.465710065414648</v>
      </c>
      <c r="BO98" s="1" t="s">
        <v>1259</v>
      </c>
      <c r="BP98" s="11" t="s">
        <v>248</v>
      </c>
      <c r="BQ98" s="3"/>
      <c r="BR98" s="3"/>
    </row>
    <row r="99" spans="1:70" s="41" customFormat="1" ht="27.6" customHeight="1" x14ac:dyDescent="0.2">
      <c r="A99" s="28" t="s">
        <v>515</v>
      </c>
      <c r="B99" s="11">
        <v>93</v>
      </c>
      <c r="C99" s="11" t="s">
        <v>951</v>
      </c>
      <c r="D99" s="11" t="s">
        <v>63</v>
      </c>
      <c r="E99" s="11" t="s">
        <v>985</v>
      </c>
      <c r="F99" s="11" t="s">
        <v>1471</v>
      </c>
      <c r="G99" s="1" t="s">
        <v>513</v>
      </c>
      <c r="H99" s="37">
        <v>42272</v>
      </c>
      <c r="I99" s="11" t="s">
        <v>10</v>
      </c>
      <c r="J99" s="33">
        <v>42524</v>
      </c>
      <c r="K99" s="62">
        <v>43061</v>
      </c>
      <c r="L99" s="28" t="s">
        <v>135</v>
      </c>
      <c r="M99" s="1">
        <v>64</v>
      </c>
      <c r="N99" s="2">
        <v>23270</v>
      </c>
      <c r="O99" s="19">
        <f>N99/M99</f>
        <v>363.59375</v>
      </c>
      <c r="P99" s="14">
        <v>3</v>
      </c>
      <c r="Q99" s="28" t="s">
        <v>515</v>
      </c>
      <c r="R99" s="11" t="s">
        <v>249</v>
      </c>
      <c r="S99" s="11">
        <v>3</v>
      </c>
      <c r="T99" s="2">
        <v>1704</v>
      </c>
      <c r="U99" s="12">
        <f t="shared" si="84"/>
        <v>73.227331327889985</v>
      </c>
      <c r="V99" s="2">
        <v>1196</v>
      </c>
      <c r="W99" s="10">
        <f t="shared" si="85"/>
        <v>51.396648044692739</v>
      </c>
      <c r="X99" s="8">
        <f t="shared" si="83"/>
        <v>0.2981220657276995</v>
      </c>
      <c r="Y99" s="2">
        <f t="shared" si="86"/>
        <v>508</v>
      </c>
      <c r="Z99" s="992"/>
      <c r="AA99" s="3"/>
      <c r="AB99" s="3"/>
      <c r="AC99" s="1391" t="s">
        <v>1298</v>
      </c>
      <c r="AD99" s="1396">
        <v>47</v>
      </c>
      <c r="AE99" s="3"/>
      <c r="AF99" s="3"/>
      <c r="AG99" s="3"/>
      <c r="AH99" s="28" t="s">
        <v>515</v>
      </c>
      <c r="AI99" s="15">
        <v>28673</v>
      </c>
      <c r="AJ99" s="7">
        <f t="shared" si="87"/>
        <v>1.2321873657069187</v>
      </c>
      <c r="AK99" s="15">
        <v>19427</v>
      </c>
      <c r="AL99" s="7">
        <f t="shared" si="88"/>
        <v>0.83485174043833266</v>
      </c>
      <c r="AM99" s="8">
        <f t="shared" si="89"/>
        <v>0.32246364175356607</v>
      </c>
      <c r="AN99" s="15">
        <f t="shared" si="90"/>
        <v>9246</v>
      </c>
      <c r="AO99" s="3"/>
      <c r="AP99" s="3"/>
      <c r="AQ99" s="3"/>
      <c r="AR99" s="3"/>
      <c r="AS99" s="28" t="s">
        <v>515</v>
      </c>
      <c r="AT99" s="2">
        <v>692800</v>
      </c>
      <c r="AU99" s="2">
        <f>AT99/M99</f>
        <v>10825</v>
      </c>
      <c r="AV99" s="2">
        <f t="shared" si="91"/>
        <v>29.772238934250108</v>
      </c>
      <c r="AW99" s="2">
        <v>449405</v>
      </c>
      <c r="AX99" s="9">
        <f>AW99/M99</f>
        <v>7021.953125</v>
      </c>
      <c r="AY99" s="10">
        <f t="shared" si="92"/>
        <v>19.312634293081221</v>
      </c>
      <c r="AZ99" s="8">
        <f t="shared" si="93"/>
        <v>0.35132072748267901</v>
      </c>
      <c r="BA99" s="2">
        <f t="shared" si="94"/>
        <v>243395</v>
      </c>
      <c r="BB99" s="3"/>
      <c r="BC99" s="3"/>
      <c r="BD99" s="3"/>
      <c r="BE99" s="3"/>
      <c r="BF99" s="28" t="s">
        <v>515</v>
      </c>
      <c r="BG99" s="64">
        <f>0.28*14943000</f>
        <v>4184040.0000000005</v>
      </c>
      <c r="BH99" s="42">
        <f t="shared" si="95"/>
        <v>179.80403953588313</v>
      </c>
      <c r="BI99" s="15">
        <f>0.28*14328323</f>
        <v>4011930.4400000004</v>
      </c>
      <c r="BJ99" s="15">
        <f>0.28*1245525</f>
        <v>348747.00000000006</v>
      </c>
      <c r="BK99" s="71"/>
      <c r="BL99" s="71">
        <f>0.28*9200</f>
        <v>2576.0000000000005</v>
      </c>
      <c r="BM99" s="15">
        <f>0.28*65000</f>
        <v>18200</v>
      </c>
      <c r="BN99" s="1353">
        <f t="shared" si="96"/>
        <v>20.861514168288995</v>
      </c>
      <c r="BO99" s="1" t="s">
        <v>311</v>
      </c>
      <c r="BP99" s="11" t="s">
        <v>249</v>
      </c>
      <c r="BQ99" s="346"/>
      <c r="BR99" s="3"/>
    </row>
    <row r="100" spans="1:70" s="3" customFormat="1" ht="27.6" customHeight="1" x14ac:dyDescent="0.2">
      <c r="A100" s="28" t="s">
        <v>1025</v>
      </c>
      <c r="B100" s="11">
        <v>94</v>
      </c>
      <c r="C100" s="915" t="s">
        <v>953</v>
      </c>
      <c r="D100" s="11" t="s">
        <v>165</v>
      </c>
      <c r="E100" s="11" t="s">
        <v>1004</v>
      </c>
      <c r="F100" s="11"/>
      <c r="G100" s="1" t="s">
        <v>942</v>
      </c>
      <c r="H100" s="37">
        <v>42164</v>
      </c>
      <c r="I100" s="1" t="s">
        <v>4</v>
      </c>
      <c r="J100" s="33">
        <v>42635</v>
      </c>
      <c r="K100" s="62">
        <v>43175</v>
      </c>
      <c r="L100" s="28" t="s">
        <v>1492</v>
      </c>
      <c r="M100" s="1" t="s">
        <v>13</v>
      </c>
      <c r="N100" s="2">
        <v>80200</v>
      </c>
      <c r="O100" s="2"/>
      <c r="P100" s="14">
        <v>1</v>
      </c>
      <c r="Q100" s="28" t="s">
        <v>1025</v>
      </c>
      <c r="R100" s="11" t="s">
        <v>248</v>
      </c>
      <c r="S100" s="11">
        <v>4</v>
      </c>
      <c r="T100" s="2">
        <v>6020</v>
      </c>
      <c r="U100" s="10">
        <f t="shared" si="84"/>
        <v>75.062344139650875</v>
      </c>
      <c r="V100" s="2">
        <v>5167</v>
      </c>
      <c r="W100" s="10">
        <f t="shared" si="85"/>
        <v>64.426433915211973</v>
      </c>
      <c r="X100" s="8">
        <f t="shared" ref="X100:X105" si="97">(T100-V100)/T100</f>
        <v>0.14169435215946843</v>
      </c>
      <c r="Y100" s="2">
        <f t="shared" si="86"/>
        <v>853</v>
      </c>
      <c r="Z100" s="992"/>
      <c r="AC100" s="1391"/>
      <c r="AD100" s="1396">
        <v>72</v>
      </c>
      <c r="AH100" s="28" t="s">
        <v>1025</v>
      </c>
      <c r="AI100" s="15">
        <v>88975</v>
      </c>
      <c r="AJ100" s="7">
        <f t="shared" si="87"/>
        <v>1.1094139650872819</v>
      </c>
      <c r="AK100" s="15">
        <v>79804</v>
      </c>
      <c r="AL100" s="7">
        <f t="shared" si="88"/>
        <v>0.99506234413965089</v>
      </c>
      <c r="AM100" s="8">
        <f t="shared" si="89"/>
        <v>0.10307389716212419</v>
      </c>
      <c r="AN100" s="15">
        <f t="shared" si="90"/>
        <v>9171</v>
      </c>
      <c r="AS100" s="28" t="s">
        <v>1025</v>
      </c>
      <c r="AT100" s="2">
        <v>935004</v>
      </c>
      <c r="AU100" s="1" t="s">
        <v>13</v>
      </c>
      <c r="AV100" s="10">
        <f t="shared" si="91"/>
        <v>11.658403990024938</v>
      </c>
      <c r="AW100" s="2">
        <v>509544</v>
      </c>
      <c r="AX100" s="1" t="s">
        <v>13</v>
      </c>
      <c r="AY100" s="10">
        <f t="shared" si="92"/>
        <v>6.3534164588528679</v>
      </c>
      <c r="AZ100" s="8">
        <f t="shared" si="93"/>
        <v>0.45503548647920222</v>
      </c>
      <c r="BA100" s="2">
        <f t="shared" si="94"/>
        <v>425460</v>
      </c>
      <c r="BF100" s="28" t="s">
        <v>1025</v>
      </c>
      <c r="BG100" s="64">
        <v>20463200</v>
      </c>
      <c r="BH100" s="42">
        <f t="shared" si="95"/>
        <v>255.15211970074813</v>
      </c>
      <c r="BI100" s="15">
        <v>20407437</v>
      </c>
      <c r="BJ100" s="15">
        <v>1928500</v>
      </c>
      <c r="BK100" s="15">
        <v>53000</v>
      </c>
      <c r="BL100" s="15"/>
      <c r="BM100" s="15">
        <v>45670</v>
      </c>
      <c r="BN100" s="1353">
        <f t="shared" si="96"/>
        <v>16.839275978628283</v>
      </c>
      <c r="BO100" s="1" t="s">
        <v>304</v>
      </c>
      <c r="BP100" s="11" t="s">
        <v>247</v>
      </c>
    </row>
    <row r="101" spans="1:70" s="3" customFormat="1" ht="27.6" customHeight="1" x14ac:dyDescent="0.2">
      <c r="A101" s="28" t="s">
        <v>943</v>
      </c>
      <c r="B101" s="11">
        <v>95</v>
      </c>
      <c r="C101" s="915" t="s">
        <v>953</v>
      </c>
      <c r="D101" s="11" t="s">
        <v>68</v>
      </c>
      <c r="E101" s="11" t="s">
        <v>992</v>
      </c>
      <c r="F101" s="11" t="s">
        <v>650</v>
      </c>
      <c r="G101" s="1" t="s">
        <v>525</v>
      </c>
      <c r="H101" s="37">
        <v>42205</v>
      </c>
      <c r="I101" s="1" t="s">
        <v>10</v>
      </c>
      <c r="J101" s="33">
        <v>42356</v>
      </c>
      <c r="K101" s="62">
        <v>43177</v>
      </c>
      <c r="L101" s="4" t="s">
        <v>432</v>
      </c>
      <c r="M101" s="1" t="s">
        <v>13</v>
      </c>
      <c r="N101" s="2">
        <v>213911</v>
      </c>
      <c r="O101" s="2"/>
      <c r="P101" s="14">
        <v>4</v>
      </c>
      <c r="Q101" s="28" t="s">
        <v>943</v>
      </c>
      <c r="R101" s="11" t="s">
        <v>249</v>
      </c>
      <c r="S101" s="11">
        <v>3</v>
      </c>
      <c r="T101" s="2">
        <v>38581</v>
      </c>
      <c r="U101" s="10">
        <f t="shared" si="84"/>
        <v>180.36005628509054</v>
      </c>
      <c r="V101" s="2">
        <v>23447</v>
      </c>
      <c r="W101" s="10">
        <f t="shared" si="85"/>
        <v>109.61100644660631</v>
      </c>
      <c r="X101" s="8">
        <f t="shared" si="97"/>
        <v>0.39226562297503953</v>
      </c>
      <c r="Y101" s="2">
        <f t="shared" si="86"/>
        <v>15134</v>
      </c>
      <c r="Z101" s="992"/>
      <c r="AC101" s="1391"/>
      <c r="AD101" s="1396"/>
      <c r="AH101" s="28" t="s">
        <v>943</v>
      </c>
      <c r="AI101" s="15">
        <v>629463</v>
      </c>
      <c r="AJ101" s="7">
        <f t="shared" si="87"/>
        <v>2.9426396959483148</v>
      </c>
      <c r="AK101" s="15">
        <v>393838</v>
      </c>
      <c r="AL101" s="7">
        <f t="shared" si="88"/>
        <v>1.8411301896583159</v>
      </c>
      <c r="AM101" s="8">
        <f t="shared" si="89"/>
        <v>0.37432700571757194</v>
      </c>
      <c r="AN101" s="15">
        <f t="shared" si="90"/>
        <v>235625</v>
      </c>
      <c r="AS101" s="28" t="s">
        <v>943</v>
      </c>
      <c r="AT101" s="9">
        <v>1394940</v>
      </c>
      <c r="AU101" s="9" t="s">
        <v>13</v>
      </c>
      <c r="AV101" s="2">
        <f t="shared" si="91"/>
        <v>6.5211232708930353</v>
      </c>
      <c r="AW101" s="9">
        <v>863295</v>
      </c>
      <c r="AX101" s="9" t="s">
        <v>13</v>
      </c>
      <c r="AY101" s="2">
        <f t="shared" si="92"/>
        <v>4.0357672115973466</v>
      </c>
      <c r="AZ101" s="8">
        <f t="shared" si="93"/>
        <v>0.38112391930835737</v>
      </c>
      <c r="BA101" s="2">
        <f t="shared" si="94"/>
        <v>531645</v>
      </c>
      <c r="BB101" s="14"/>
      <c r="BF101" s="28" t="s">
        <v>943</v>
      </c>
      <c r="BG101" s="64">
        <v>95491076</v>
      </c>
      <c r="BH101" s="42">
        <f t="shared" si="95"/>
        <v>446.40563598879908</v>
      </c>
      <c r="BI101" s="68">
        <f>BG101-2000000</f>
        <v>93491076</v>
      </c>
      <c r="BJ101" s="15">
        <v>9640712</v>
      </c>
      <c r="BK101" s="15">
        <v>161300</v>
      </c>
      <c r="BL101" s="15"/>
      <c r="BM101" s="29">
        <v>707030</v>
      </c>
      <c r="BN101" s="1353">
        <f t="shared" si="96"/>
        <v>12.173283819628647</v>
      </c>
      <c r="BO101" s="1" t="s">
        <v>298</v>
      </c>
      <c r="BP101" s="11" t="s">
        <v>249</v>
      </c>
      <c r="BQ101" s="41"/>
      <c r="BR101" s="41"/>
    </row>
    <row r="102" spans="1:70" s="41" customFormat="1" ht="27.6" customHeight="1" x14ac:dyDescent="0.2">
      <c r="A102" s="28" t="s">
        <v>215</v>
      </c>
      <c r="B102" s="11">
        <v>96</v>
      </c>
      <c r="C102" s="915" t="s">
        <v>953</v>
      </c>
      <c r="D102" s="11" t="s">
        <v>133</v>
      </c>
      <c r="E102" s="11" t="s">
        <v>993</v>
      </c>
      <c r="F102" s="11"/>
      <c r="G102" s="1" t="s">
        <v>194</v>
      </c>
      <c r="H102" s="37">
        <v>41768</v>
      </c>
      <c r="I102" s="1" t="s">
        <v>10</v>
      </c>
      <c r="J102" s="33">
        <v>41690</v>
      </c>
      <c r="K102" s="62">
        <v>43231</v>
      </c>
      <c r="L102" s="4" t="s">
        <v>107</v>
      </c>
      <c r="M102" s="1" t="s">
        <v>13</v>
      </c>
      <c r="N102" s="2">
        <v>182275</v>
      </c>
      <c r="O102" s="2"/>
      <c r="P102" s="14">
        <v>4</v>
      </c>
      <c r="Q102" s="28" t="s">
        <v>215</v>
      </c>
      <c r="R102" s="11" t="s">
        <v>249</v>
      </c>
      <c r="S102" s="11">
        <v>4</v>
      </c>
      <c r="T102" s="2">
        <v>31691</v>
      </c>
      <c r="U102" s="10">
        <f t="shared" si="84"/>
        <v>173.86366753531752</v>
      </c>
      <c r="V102" s="2">
        <v>23425</v>
      </c>
      <c r="W102" s="10">
        <f t="shared" si="85"/>
        <v>128.5146070497874</v>
      </c>
      <c r="X102" s="8">
        <f t="shared" si="97"/>
        <v>0.26083115079991165</v>
      </c>
      <c r="Y102" s="2">
        <f t="shared" si="86"/>
        <v>8266</v>
      </c>
      <c r="Z102" s="992"/>
      <c r="AA102" s="3"/>
      <c r="AB102" s="3"/>
      <c r="AC102" s="1391" t="s">
        <v>1313</v>
      </c>
      <c r="AD102" s="1396">
        <v>166</v>
      </c>
      <c r="AE102" s="3"/>
      <c r="AF102" s="3"/>
      <c r="AG102" s="3"/>
      <c r="AH102" s="28" t="s">
        <v>215</v>
      </c>
      <c r="AI102" s="15">
        <v>529117</v>
      </c>
      <c r="AJ102" s="7">
        <f t="shared" si="87"/>
        <v>2.9028500891510083</v>
      </c>
      <c r="AK102" s="15">
        <v>366504</v>
      </c>
      <c r="AL102" s="7">
        <f t="shared" si="88"/>
        <v>2.0107200658345907</v>
      </c>
      <c r="AM102" s="8">
        <f t="shared" si="89"/>
        <v>0.30732900284814135</v>
      </c>
      <c r="AN102" s="15">
        <f t="shared" si="90"/>
        <v>162613</v>
      </c>
      <c r="AO102" s="3"/>
      <c r="AP102" s="3"/>
      <c r="AQ102" s="3"/>
      <c r="AR102" s="3"/>
      <c r="AS102" s="28" t="s">
        <v>215</v>
      </c>
      <c r="AT102" s="2">
        <v>5763776</v>
      </c>
      <c r="AU102" s="1" t="s">
        <v>13</v>
      </c>
      <c r="AV102" s="10">
        <f t="shared" si="91"/>
        <v>31.621319434919766</v>
      </c>
      <c r="AW102" s="2">
        <v>4434106</v>
      </c>
      <c r="AX102" s="1" t="s">
        <v>13</v>
      </c>
      <c r="AY102" s="10">
        <f t="shared" si="92"/>
        <v>24.326462762309696</v>
      </c>
      <c r="AZ102" s="8">
        <f t="shared" si="93"/>
        <v>0.23069425321178338</v>
      </c>
      <c r="BA102" s="2">
        <f t="shared" si="94"/>
        <v>1329670</v>
      </c>
      <c r="BB102" s="3"/>
      <c r="BC102" s="3"/>
      <c r="BD102" s="3"/>
      <c r="BE102" s="3"/>
      <c r="BF102" s="28" t="s">
        <v>215</v>
      </c>
      <c r="BG102" s="64">
        <v>71806942</v>
      </c>
      <c r="BH102" s="42">
        <f t="shared" si="95"/>
        <v>393.94838568097657</v>
      </c>
      <c r="BI102" s="15">
        <v>64958142</v>
      </c>
      <c r="BJ102" s="15">
        <v>7250000</v>
      </c>
      <c r="BK102" s="15">
        <v>166000</v>
      </c>
      <c r="BL102" s="15"/>
      <c r="BM102" s="15">
        <v>594000</v>
      </c>
      <c r="BN102" s="1353">
        <f t="shared" si="96"/>
        <v>46.790846980253733</v>
      </c>
      <c r="BO102" s="1" t="s">
        <v>302</v>
      </c>
      <c r="BP102" s="11" t="s">
        <v>249</v>
      </c>
      <c r="BQ102" s="3"/>
      <c r="BR102" s="3"/>
    </row>
    <row r="103" spans="1:70" s="41" customFormat="1" ht="27.6" customHeight="1" x14ac:dyDescent="0.2">
      <c r="A103" s="28" t="s">
        <v>539</v>
      </c>
      <c r="B103" s="11">
        <v>97</v>
      </c>
      <c r="C103" s="11" t="s">
        <v>951</v>
      </c>
      <c r="D103" s="11" t="s">
        <v>100</v>
      </c>
      <c r="E103" s="11" t="s">
        <v>1000</v>
      </c>
      <c r="F103" s="11" t="s">
        <v>549</v>
      </c>
      <c r="G103" s="1" t="s">
        <v>520</v>
      </c>
      <c r="H103" s="37">
        <v>41932</v>
      </c>
      <c r="I103" s="11" t="s">
        <v>10</v>
      </c>
      <c r="J103" s="33">
        <v>42366</v>
      </c>
      <c r="K103" s="62">
        <v>43257</v>
      </c>
      <c r="L103" s="28" t="s">
        <v>135</v>
      </c>
      <c r="M103" s="1">
        <v>290</v>
      </c>
      <c r="N103" s="2">
        <v>71021</v>
      </c>
      <c r="O103" s="19">
        <f>N103/M103</f>
        <v>244.9</v>
      </c>
      <c r="P103" s="14">
        <v>6</v>
      </c>
      <c r="Q103" s="28" t="s">
        <v>539</v>
      </c>
      <c r="R103" s="11" t="s">
        <v>248</v>
      </c>
      <c r="S103" s="11">
        <v>4</v>
      </c>
      <c r="T103" s="2">
        <v>3347</v>
      </c>
      <c r="U103" s="10">
        <f t="shared" si="84"/>
        <v>47.126906126356992</v>
      </c>
      <c r="V103" s="2">
        <v>3202</v>
      </c>
      <c r="W103" s="10">
        <f t="shared" si="85"/>
        <v>45.085256473437433</v>
      </c>
      <c r="X103" s="8">
        <f t="shared" si="97"/>
        <v>4.3322378249178367E-2</v>
      </c>
      <c r="Y103" s="2">
        <f t="shared" si="86"/>
        <v>145</v>
      </c>
      <c r="Z103" s="992"/>
      <c r="AA103" s="3"/>
      <c r="AB103" s="3"/>
      <c r="AC103" s="1391" t="s">
        <v>1298</v>
      </c>
      <c r="AD103" s="1396">
        <v>58</v>
      </c>
      <c r="AE103" s="3"/>
      <c r="AF103" s="3"/>
      <c r="AG103" s="3"/>
      <c r="AH103" s="28" t="s">
        <v>539</v>
      </c>
      <c r="AI103" s="15">
        <v>54763</v>
      </c>
      <c r="AJ103" s="7">
        <f t="shared" si="87"/>
        <v>0.77108179270919863</v>
      </c>
      <c r="AK103" s="15">
        <v>50499</v>
      </c>
      <c r="AL103" s="7">
        <f t="shared" si="88"/>
        <v>0.71104321257092973</v>
      </c>
      <c r="AM103" s="8">
        <f t="shared" si="89"/>
        <v>7.786279057027555E-2</v>
      </c>
      <c r="AN103" s="15">
        <f t="shared" si="90"/>
        <v>4264</v>
      </c>
      <c r="AO103" s="3"/>
      <c r="AP103" s="3"/>
      <c r="AQ103" s="3"/>
      <c r="AR103" s="3"/>
      <c r="AS103" s="28" t="s">
        <v>539</v>
      </c>
      <c r="AT103" s="2">
        <v>2798472</v>
      </c>
      <c r="AU103" s="9">
        <f>AT103/M103</f>
        <v>9649.9034482758616</v>
      </c>
      <c r="AV103" s="10">
        <f t="shared" si="91"/>
        <v>39.403444051759337</v>
      </c>
      <c r="AW103" s="2">
        <v>2000107</v>
      </c>
      <c r="AX103" s="9">
        <f>AW103/M103</f>
        <v>6896.9206896551723</v>
      </c>
      <c r="AY103" s="10">
        <f t="shared" si="92"/>
        <v>28.162191464496416</v>
      </c>
      <c r="AZ103" s="8">
        <f t="shared" si="93"/>
        <v>0.2852860418113885</v>
      </c>
      <c r="BA103" s="2">
        <f t="shared" si="94"/>
        <v>798365</v>
      </c>
      <c r="BB103" s="3"/>
      <c r="BC103" s="3"/>
      <c r="BD103" s="3"/>
      <c r="BE103" s="3"/>
      <c r="BF103" s="28" t="s">
        <v>539</v>
      </c>
      <c r="BG103" s="1822">
        <v>17750570</v>
      </c>
      <c r="BH103" s="42">
        <f t="shared" si="95"/>
        <v>249.93410399740921</v>
      </c>
      <c r="BI103" s="15">
        <v>16000000</v>
      </c>
      <c r="BJ103" s="15">
        <v>1735188</v>
      </c>
      <c r="BK103" s="71">
        <v>75000</v>
      </c>
      <c r="BL103" s="71">
        <v>11000</v>
      </c>
      <c r="BM103" s="15">
        <v>176132</v>
      </c>
      <c r="BN103" s="1353">
        <f t="shared" si="96"/>
        <v>472.0220450281426</v>
      </c>
      <c r="BO103" s="1" t="s">
        <v>302</v>
      </c>
      <c r="BP103" s="11" t="s">
        <v>248</v>
      </c>
      <c r="BQ103" s="346"/>
      <c r="BR103" s="3"/>
    </row>
    <row r="104" spans="1:70" s="3" customFormat="1" ht="27.6" hidden="1" customHeight="1" x14ac:dyDescent="0.2">
      <c r="A104" s="28" t="s">
        <v>422</v>
      </c>
      <c r="B104" s="11"/>
      <c r="C104" s="11"/>
      <c r="D104" s="11" t="s">
        <v>180</v>
      </c>
      <c r="E104" s="11"/>
      <c r="F104" s="11"/>
      <c r="G104" s="1" t="s">
        <v>181</v>
      </c>
      <c r="H104" s="37">
        <v>41226</v>
      </c>
      <c r="I104" s="1" t="s">
        <v>4</v>
      </c>
      <c r="J104" s="33" t="s">
        <v>73</v>
      </c>
      <c r="K104" s="33" t="s">
        <v>1264</v>
      </c>
      <c r="L104" s="28" t="s">
        <v>182</v>
      </c>
      <c r="M104" s="1" t="s">
        <v>13</v>
      </c>
      <c r="N104" s="2">
        <v>185810</v>
      </c>
      <c r="O104" s="19" t="e">
        <f>N104/M104</f>
        <v>#VALUE!</v>
      </c>
      <c r="P104" s="14">
        <v>6</v>
      </c>
      <c r="Q104" s="28" t="s">
        <v>179</v>
      </c>
      <c r="R104" s="11" t="s">
        <v>247</v>
      </c>
      <c r="S104" s="11"/>
      <c r="T104" s="2">
        <v>10582</v>
      </c>
      <c r="U104" s="10">
        <f t="shared" si="84"/>
        <v>56.950648511920775</v>
      </c>
      <c r="V104" s="2">
        <v>3675</v>
      </c>
      <c r="W104" s="10">
        <f t="shared" si="85"/>
        <v>19.778268123351811</v>
      </c>
      <c r="X104" s="8">
        <f t="shared" si="97"/>
        <v>0.65271215271215266</v>
      </c>
      <c r="Y104" s="2">
        <f t="shared" si="86"/>
        <v>6907</v>
      </c>
      <c r="Z104" s="992"/>
      <c r="AC104" s="1"/>
      <c r="AD104" s="1396"/>
      <c r="AH104" s="28" t="s">
        <v>179</v>
      </c>
      <c r="AI104" s="15">
        <v>267259</v>
      </c>
      <c r="AJ104" s="7">
        <f t="shared" si="87"/>
        <v>1.4383456218718045</v>
      </c>
      <c r="AK104" s="15">
        <v>93214</v>
      </c>
      <c r="AL104" s="7">
        <f t="shared" si="88"/>
        <v>0.5016629890748614</v>
      </c>
      <c r="AM104" s="8">
        <f t="shared" si="89"/>
        <v>0.65122222263796536</v>
      </c>
      <c r="AN104" s="15">
        <f t="shared" si="90"/>
        <v>174045</v>
      </c>
      <c r="AS104" s="28" t="s">
        <v>179</v>
      </c>
      <c r="AT104" s="2">
        <v>115375</v>
      </c>
      <c r="AU104" s="9" t="s">
        <v>13</v>
      </c>
      <c r="AV104" s="7">
        <f t="shared" si="91"/>
        <v>0.62092998223992246</v>
      </c>
      <c r="AW104" s="2">
        <v>50944</v>
      </c>
      <c r="AX104" s="9" t="s">
        <v>13</v>
      </c>
      <c r="AY104" s="7">
        <f t="shared" si="92"/>
        <v>0.27417254184381895</v>
      </c>
      <c r="AZ104" s="8">
        <f t="shared" si="93"/>
        <v>0.55844853737811484</v>
      </c>
      <c r="BA104" s="2">
        <f t="shared" si="94"/>
        <v>64431</v>
      </c>
      <c r="BF104" s="28" t="s">
        <v>179</v>
      </c>
      <c r="BG104" s="64">
        <v>45400738</v>
      </c>
      <c r="BH104" s="42">
        <f t="shared" si="95"/>
        <v>244.33958344545505</v>
      </c>
      <c r="BI104" s="15">
        <v>42736000</v>
      </c>
      <c r="BJ104" s="29" t="s">
        <v>260</v>
      </c>
      <c r="BK104" s="15"/>
      <c r="BL104" s="15"/>
      <c r="BM104" s="15"/>
      <c r="BN104" s="1353">
        <f t="shared" si="96"/>
        <v>15.31062656209601</v>
      </c>
      <c r="BO104" s="1"/>
      <c r="BP104" s="11" t="s">
        <v>247</v>
      </c>
      <c r="BQ104" s="41"/>
      <c r="BR104" s="41"/>
    </row>
    <row r="105" spans="1:70" s="41" customFormat="1" ht="27.6" hidden="1" customHeight="1" x14ac:dyDescent="0.2">
      <c r="A105" s="28" t="s">
        <v>431</v>
      </c>
      <c r="B105" s="11"/>
      <c r="C105" s="11"/>
      <c r="D105" s="11" t="s">
        <v>227</v>
      </c>
      <c r="E105" s="11"/>
      <c r="F105" s="11"/>
      <c r="G105" s="1" t="s">
        <v>228</v>
      </c>
      <c r="H105" s="37">
        <v>41299</v>
      </c>
      <c r="I105" s="1" t="s">
        <v>4</v>
      </c>
      <c r="J105" s="33" t="s">
        <v>73</v>
      </c>
      <c r="K105" s="33" t="s">
        <v>1264</v>
      </c>
      <c r="L105" s="4" t="s">
        <v>229</v>
      </c>
      <c r="M105" s="1" t="s">
        <v>13</v>
      </c>
      <c r="N105" s="2">
        <v>69250</v>
      </c>
      <c r="O105" s="19" t="e">
        <f>N105/M105</f>
        <v>#VALUE!</v>
      </c>
      <c r="P105" s="14">
        <v>2</v>
      </c>
      <c r="Q105" s="28" t="s">
        <v>431</v>
      </c>
      <c r="R105" s="11" t="s">
        <v>247</v>
      </c>
      <c r="S105" s="11"/>
      <c r="T105" s="2">
        <v>4413</v>
      </c>
      <c r="U105" s="12">
        <f t="shared" si="84"/>
        <v>63.725631768953072</v>
      </c>
      <c r="V105" s="2">
        <v>2774</v>
      </c>
      <c r="W105" s="23">
        <f t="shared" si="85"/>
        <v>40.057761732851986</v>
      </c>
      <c r="X105" s="8">
        <f t="shared" si="97"/>
        <v>0.37140267391796966</v>
      </c>
      <c r="Y105" s="2">
        <f t="shared" si="86"/>
        <v>1639</v>
      </c>
      <c r="Z105" s="992"/>
      <c r="AA105" s="3"/>
      <c r="AB105" s="3"/>
      <c r="AC105" s="1"/>
      <c r="AD105" s="1396"/>
      <c r="AE105" s="3"/>
      <c r="AF105" s="3"/>
      <c r="AG105" s="3"/>
      <c r="AH105" s="28" t="s">
        <v>431</v>
      </c>
      <c r="AI105" s="15">
        <v>82649</v>
      </c>
      <c r="AJ105" s="7">
        <f t="shared" si="87"/>
        <v>1.1934873646209385</v>
      </c>
      <c r="AK105" s="15">
        <v>58907</v>
      </c>
      <c r="AL105" s="7">
        <f t="shared" si="88"/>
        <v>0.85064259927797836</v>
      </c>
      <c r="AM105" s="8">
        <f t="shared" si="89"/>
        <v>0.28726300378709968</v>
      </c>
      <c r="AN105" s="15">
        <f t="shared" si="90"/>
        <v>23742</v>
      </c>
      <c r="AO105" s="3"/>
      <c r="AP105" s="3"/>
      <c r="AQ105" s="3"/>
      <c r="AR105" s="3"/>
      <c r="AS105" s="28" t="s">
        <v>431</v>
      </c>
      <c r="AT105" s="9">
        <v>60744</v>
      </c>
      <c r="AU105" s="9" t="s">
        <v>13</v>
      </c>
      <c r="AV105" s="2">
        <f t="shared" si="91"/>
        <v>0.87716967509025268</v>
      </c>
      <c r="AW105" s="9">
        <v>45643</v>
      </c>
      <c r="AX105" s="9" t="s">
        <v>13</v>
      </c>
      <c r="AY105" s="2">
        <f t="shared" si="92"/>
        <v>0.65910469314079423</v>
      </c>
      <c r="AZ105" s="8">
        <f t="shared" si="93"/>
        <v>0.24860068484130121</v>
      </c>
      <c r="BA105" s="2">
        <f t="shared" si="94"/>
        <v>15101</v>
      </c>
      <c r="BB105" s="14"/>
      <c r="BC105" s="3"/>
      <c r="BD105" s="3"/>
      <c r="BE105" s="3"/>
      <c r="BF105" s="28" t="s">
        <v>431</v>
      </c>
      <c r="BG105" s="64">
        <v>10191099</v>
      </c>
      <c r="BH105" s="42">
        <f t="shared" si="95"/>
        <v>147.16388447653429</v>
      </c>
      <c r="BI105" s="68">
        <v>8586550</v>
      </c>
      <c r="BJ105" s="66" t="s">
        <v>230</v>
      </c>
      <c r="BK105" s="15">
        <v>0</v>
      </c>
      <c r="BL105" s="15"/>
      <c r="BM105" s="29">
        <v>0</v>
      </c>
      <c r="BN105" s="1353">
        <f t="shared" si="96"/>
        <v>67.582722601297277</v>
      </c>
      <c r="BO105" s="1"/>
      <c r="BP105" s="11" t="s">
        <v>247</v>
      </c>
    </row>
    <row r="106" spans="1:70" s="41" customFormat="1" ht="42.75" hidden="1" x14ac:dyDescent="0.2">
      <c r="A106" s="28" t="s">
        <v>430</v>
      </c>
      <c r="B106" s="11"/>
      <c r="C106" s="11"/>
      <c r="D106" s="11" t="s">
        <v>216</v>
      </c>
      <c r="E106" s="11"/>
      <c r="F106" s="11"/>
      <c r="G106" s="1" t="s">
        <v>217</v>
      </c>
      <c r="H106" s="37" t="s">
        <v>38</v>
      </c>
      <c r="I106" s="1" t="s">
        <v>4</v>
      </c>
      <c r="J106" s="33">
        <v>42192</v>
      </c>
      <c r="K106" s="62">
        <v>43013</v>
      </c>
      <c r="L106" s="4" t="s">
        <v>225</v>
      </c>
      <c r="M106" s="1" t="s">
        <v>13</v>
      </c>
      <c r="N106" s="2">
        <v>32221</v>
      </c>
      <c r="O106" s="2"/>
      <c r="P106" s="14">
        <v>2</v>
      </c>
      <c r="Q106" s="28" t="s">
        <v>430</v>
      </c>
      <c r="R106" s="11" t="s">
        <v>249</v>
      </c>
      <c r="S106" s="11">
        <v>3</v>
      </c>
      <c r="T106" s="2"/>
      <c r="U106" s="10"/>
      <c r="V106" s="2"/>
      <c r="W106" s="10"/>
      <c r="X106" s="8"/>
      <c r="Y106" s="2"/>
      <c r="Z106" s="992"/>
      <c r="AA106" s="3"/>
      <c r="AB106" s="3"/>
      <c r="AC106" s="1"/>
      <c r="AD106" s="1396"/>
      <c r="AE106" s="3"/>
      <c r="AF106" s="3"/>
      <c r="AG106" s="3"/>
      <c r="AH106" s="28" t="s">
        <v>430</v>
      </c>
      <c r="AI106" s="15">
        <v>28938</v>
      </c>
      <c r="AJ106" s="7">
        <f t="shared" si="87"/>
        <v>0.89810992830762548</v>
      </c>
      <c r="AK106" s="15">
        <v>22854</v>
      </c>
      <c r="AL106" s="7">
        <f t="shared" si="88"/>
        <v>0.70928897303001148</v>
      </c>
      <c r="AM106" s="8">
        <f t="shared" si="89"/>
        <v>0.21024258760107817</v>
      </c>
      <c r="AN106" s="15">
        <f t="shared" si="90"/>
        <v>6084</v>
      </c>
      <c r="AO106" s="3"/>
      <c r="AP106" s="3"/>
      <c r="AQ106" s="3"/>
      <c r="AR106" s="3"/>
      <c r="AS106" s="28" t="s">
        <v>430</v>
      </c>
      <c r="AT106" s="80" t="s">
        <v>222</v>
      </c>
      <c r="AU106" s="80" t="s">
        <v>222</v>
      </c>
      <c r="AV106" s="80" t="s">
        <v>222</v>
      </c>
      <c r="AW106" s="80" t="s">
        <v>222</v>
      </c>
      <c r="AX106" s="80" t="s">
        <v>222</v>
      </c>
      <c r="AY106" s="80" t="s">
        <v>222</v>
      </c>
      <c r="AZ106" s="80" t="s">
        <v>222</v>
      </c>
      <c r="BA106" s="80" t="s">
        <v>222</v>
      </c>
      <c r="BB106" s="3"/>
      <c r="BC106" s="3"/>
      <c r="BD106" s="3"/>
      <c r="BE106" s="3"/>
      <c r="BF106" s="28" t="s">
        <v>430</v>
      </c>
      <c r="BG106" s="1352" t="s">
        <v>1254</v>
      </c>
      <c r="BH106" s="42"/>
      <c r="BI106" s="68">
        <v>2041899</v>
      </c>
      <c r="BJ106" s="71" t="s">
        <v>224</v>
      </c>
      <c r="BK106" s="15">
        <v>0</v>
      </c>
      <c r="BL106" s="15"/>
      <c r="BM106" s="68" t="s">
        <v>223</v>
      </c>
      <c r="BN106" s="1353"/>
      <c r="BO106" s="1"/>
      <c r="BP106" s="11" t="s">
        <v>249</v>
      </c>
      <c r="BQ106" s="3"/>
      <c r="BR106" s="3"/>
    </row>
    <row r="107" spans="1:70" s="3" customFormat="1" ht="27.6" customHeight="1" x14ac:dyDescent="0.25">
      <c r="A107" s="28" t="s">
        <v>1265</v>
      </c>
      <c r="B107" s="11">
        <v>98</v>
      </c>
      <c r="C107" s="11" t="s">
        <v>951</v>
      </c>
      <c r="D107" s="11" t="s">
        <v>63</v>
      </c>
      <c r="E107" s="11" t="s">
        <v>985</v>
      </c>
      <c r="F107" s="11" t="s">
        <v>1471</v>
      </c>
      <c r="G107" s="1" t="s">
        <v>1266</v>
      </c>
      <c r="H107" s="37">
        <v>42604</v>
      </c>
      <c r="I107" s="11" t="s">
        <v>10</v>
      </c>
      <c r="J107" s="33">
        <v>42778</v>
      </c>
      <c r="K107" s="62">
        <v>43266</v>
      </c>
      <c r="L107" s="28" t="s">
        <v>135</v>
      </c>
      <c r="M107" s="1">
        <v>402</v>
      </c>
      <c r="N107" s="2">
        <v>102000</v>
      </c>
      <c r="O107" s="19">
        <f>N107/M107</f>
        <v>253.73134328358208</v>
      </c>
      <c r="P107" s="14">
        <v>12</v>
      </c>
      <c r="Q107" s="28" t="str">
        <f>A107</f>
        <v>Scott Residence Hall Renovation</v>
      </c>
      <c r="R107" s="11" t="s">
        <v>248</v>
      </c>
      <c r="S107" s="11">
        <v>3</v>
      </c>
      <c r="T107" s="2">
        <v>5644</v>
      </c>
      <c r="U107" s="10">
        <f t="shared" ref="U107:U114" si="98">T107/N107*1000</f>
        <v>55.333333333333329</v>
      </c>
      <c r="V107" s="2">
        <v>5896</v>
      </c>
      <c r="W107" s="10">
        <f t="shared" ref="W107:W114" si="99">V107/N107*1000</f>
        <v>57.803921568627452</v>
      </c>
      <c r="X107" s="1698">
        <f t="shared" ref="X107:X114" si="100">(T107-V107)/T107</f>
        <v>-4.4649184975194899E-2</v>
      </c>
      <c r="Y107" s="1673">
        <f t="shared" ref="Y107:Y114" si="101">T107-V107</f>
        <v>-252</v>
      </c>
      <c r="Z107" s="992"/>
      <c r="AC107" s="1391" t="s">
        <v>1298</v>
      </c>
      <c r="AD107" s="1396">
        <v>47</v>
      </c>
      <c r="AH107" s="28" t="str">
        <f>A107</f>
        <v>Scott Residence Hall Renovation</v>
      </c>
      <c r="AI107" s="15">
        <v>70232</v>
      </c>
      <c r="AJ107" s="7">
        <f t="shared" si="87"/>
        <v>0.68854901960784309</v>
      </c>
      <c r="AK107" s="15">
        <v>81265</v>
      </c>
      <c r="AL107" s="7">
        <f t="shared" si="88"/>
        <v>0.79671568627450984</v>
      </c>
      <c r="AM107" s="8">
        <f t="shared" si="89"/>
        <v>-0.15709363253217906</v>
      </c>
      <c r="AN107" s="15">
        <f t="shared" si="90"/>
        <v>-11033</v>
      </c>
      <c r="AS107" s="28" t="str">
        <f>A107</f>
        <v>Scott Residence Hall Renovation</v>
      </c>
      <c r="AT107" s="2">
        <v>5477216</v>
      </c>
      <c r="AU107" s="9">
        <f>AT107/M107</f>
        <v>13624.915422885571</v>
      </c>
      <c r="AV107" s="10">
        <f t="shared" ref="AV107:AV114" si="102">AT107/N107</f>
        <v>53.698196078431373</v>
      </c>
      <c r="AW107" s="2">
        <v>4142946</v>
      </c>
      <c r="AX107" s="9">
        <f>AW107/M107</f>
        <v>10305.835820895523</v>
      </c>
      <c r="AY107" s="10">
        <f t="shared" ref="AY107:AY114" si="103">AW107/N107</f>
        <v>40.617117647058826</v>
      </c>
      <c r="AZ107" s="8">
        <f t="shared" ref="AZ107:AZ114" si="104">(AT107-AW107)/AT107</f>
        <v>0.24360368479168978</v>
      </c>
      <c r="BA107" s="2">
        <f t="shared" ref="BA107:BA114" si="105">AT107-AW107</f>
        <v>1334270</v>
      </c>
      <c r="BF107" s="28" t="str">
        <f>A107</f>
        <v>Scott Residence Hall Renovation</v>
      </c>
      <c r="BG107" s="1822">
        <v>17387927</v>
      </c>
      <c r="BH107" s="42">
        <f t="shared" ref="BH107:BH114" si="106">BG107/N107</f>
        <v>170.46987254901961</v>
      </c>
      <c r="BI107" s="15">
        <v>17300000</v>
      </c>
      <c r="BJ107" s="15">
        <v>1485000</v>
      </c>
      <c r="BK107" s="71"/>
      <c r="BL107" s="71">
        <v>12000</v>
      </c>
      <c r="BM107" s="15">
        <f>0.0075*BG107</f>
        <v>130409.4525</v>
      </c>
      <c r="BN107" s="1353">
        <f t="shared" ref="BN107:BN114" si="107">((BG107-BI107)+BK107+BL107+BM107)/AN107</f>
        <v>-20.877046360917248</v>
      </c>
      <c r="BO107" s="1" t="s">
        <v>1267</v>
      </c>
      <c r="BP107" s="11" t="s">
        <v>248</v>
      </c>
      <c r="BQ107" s="346"/>
    </row>
    <row r="108" spans="1:70" s="3" customFormat="1" ht="27.6" customHeight="1" x14ac:dyDescent="0.2">
      <c r="A108" s="28" t="s">
        <v>268</v>
      </c>
      <c r="B108" s="11">
        <v>99</v>
      </c>
      <c r="C108" s="915" t="s">
        <v>953</v>
      </c>
      <c r="D108" s="11" t="s">
        <v>198</v>
      </c>
      <c r="E108" s="11" t="s">
        <v>987</v>
      </c>
      <c r="F108" s="11"/>
      <c r="G108" s="11" t="s">
        <v>948</v>
      </c>
      <c r="H108" s="37">
        <v>42044</v>
      </c>
      <c r="I108" s="1" t="s">
        <v>407</v>
      </c>
      <c r="J108" s="33">
        <v>42373</v>
      </c>
      <c r="K108" s="62">
        <v>43285</v>
      </c>
      <c r="L108" s="4" t="s">
        <v>200</v>
      </c>
      <c r="M108" s="1" t="s">
        <v>13</v>
      </c>
      <c r="N108" s="2">
        <v>221618</v>
      </c>
      <c r="O108" s="2"/>
      <c r="P108" s="14">
        <v>11</v>
      </c>
      <c r="Q108" s="28" t="s">
        <v>268</v>
      </c>
      <c r="R108" s="11" t="s">
        <v>248</v>
      </c>
      <c r="S108" s="11">
        <v>4</v>
      </c>
      <c r="T108" s="2">
        <v>27375.8</v>
      </c>
      <c r="U108" s="10">
        <f t="shared" si="98"/>
        <v>123.5269698309704</v>
      </c>
      <c r="V108" s="2">
        <v>22956.3</v>
      </c>
      <c r="W108" s="10">
        <f t="shared" si="99"/>
        <v>103.5849976084975</v>
      </c>
      <c r="X108" s="8">
        <f t="shared" si="100"/>
        <v>0.16143820454562058</v>
      </c>
      <c r="Y108" s="2">
        <f t="shared" si="101"/>
        <v>4419.5</v>
      </c>
      <c r="Z108" s="992"/>
      <c r="AC108" s="1391" t="s">
        <v>1303</v>
      </c>
      <c r="AD108" s="1396">
        <v>194</v>
      </c>
      <c r="AH108" s="28" t="s">
        <v>268</v>
      </c>
      <c r="AI108" s="15">
        <v>1006324</v>
      </c>
      <c r="AJ108" s="7">
        <f t="shared" si="87"/>
        <v>4.5408044472921878</v>
      </c>
      <c r="AK108" s="15">
        <v>813664</v>
      </c>
      <c r="AL108" s="7">
        <f t="shared" si="88"/>
        <v>3.6714707289119115</v>
      </c>
      <c r="AM108" s="8">
        <f t="shared" si="89"/>
        <v>0.19144927478625173</v>
      </c>
      <c r="AN108" s="15">
        <f t="shared" si="90"/>
        <v>192660</v>
      </c>
      <c r="AS108" s="28" t="s">
        <v>268</v>
      </c>
      <c r="AT108" s="9">
        <v>663675</v>
      </c>
      <c r="AU108" s="9" t="s">
        <v>13</v>
      </c>
      <c r="AV108" s="2">
        <f t="shared" si="102"/>
        <v>2.9946800350152065</v>
      </c>
      <c r="AW108" s="9">
        <v>445591</v>
      </c>
      <c r="AX108" s="9" t="s">
        <v>13</v>
      </c>
      <c r="AY108" s="2">
        <f t="shared" si="103"/>
        <v>2.0106263931630104</v>
      </c>
      <c r="AZ108" s="8">
        <f t="shared" si="104"/>
        <v>0.32860059517082907</v>
      </c>
      <c r="BA108" s="2">
        <f t="shared" si="105"/>
        <v>218084</v>
      </c>
      <c r="BB108" s="14"/>
      <c r="BF108" s="28" t="s">
        <v>268</v>
      </c>
      <c r="BG108" s="64">
        <v>84957809</v>
      </c>
      <c r="BH108" s="42">
        <f t="shared" si="106"/>
        <v>383.35247588192294</v>
      </c>
      <c r="BI108" s="68">
        <v>75208000</v>
      </c>
      <c r="BJ108" s="71">
        <v>8628179</v>
      </c>
      <c r="BK108" s="15"/>
      <c r="BL108" s="15">
        <v>10370</v>
      </c>
      <c r="BM108" s="29">
        <v>730000</v>
      </c>
      <c r="BN108" s="1353">
        <f t="shared" si="107"/>
        <v>54.44917990241877</v>
      </c>
      <c r="BO108" s="11" t="s">
        <v>424</v>
      </c>
      <c r="BP108" s="11" t="s">
        <v>249</v>
      </c>
      <c r="BQ108" s="41"/>
      <c r="BR108" s="41"/>
    </row>
    <row r="109" spans="1:70" s="1737" customFormat="1" ht="27.6" customHeight="1" thickBot="1" x14ac:dyDescent="0.25">
      <c r="A109" s="1710" t="s">
        <v>1377</v>
      </c>
      <c r="B109" s="1711">
        <v>100</v>
      </c>
      <c r="C109" s="1752" t="s">
        <v>953</v>
      </c>
      <c r="D109" s="1711" t="s">
        <v>1261</v>
      </c>
      <c r="E109" s="1711" t="s">
        <v>1499</v>
      </c>
      <c r="F109" s="1711"/>
      <c r="G109" s="1712" t="s">
        <v>1262</v>
      </c>
      <c r="H109" s="1713">
        <v>42586</v>
      </c>
      <c r="I109" s="1712" t="s">
        <v>474</v>
      </c>
      <c r="J109" s="1714">
        <v>42745</v>
      </c>
      <c r="K109" s="1763">
        <v>43313</v>
      </c>
      <c r="L109" s="1716" t="s">
        <v>1263</v>
      </c>
      <c r="M109" s="1712" t="s">
        <v>13</v>
      </c>
      <c r="N109" s="1717">
        <v>48794</v>
      </c>
      <c r="O109" s="1717"/>
      <c r="P109" s="1719">
        <v>3</v>
      </c>
      <c r="Q109" s="1710" t="s">
        <v>1260</v>
      </c>
      <c r="R109" s="1711" t="s">
        <v>248</v>
      </c>
      <c r="S109" s="1711">
        <v>3</v>
      </c>
      <c r="T109" s="1717">
        <v>2713</v>
      </c>
      <c r="U109" s="1730">
        <f t="shared" si="98"/>
        <v>55.601098495716684</v>
      </c>
      <c r="V109" s="1717">
        <v>1981</v>
      </c>
      <c r="W109" s="1730">
        <f t="shared" si="99"/>
        <v>40.599254006640159</v>
      </c>
      <c r="X109" s="1722">
        <f t="shared" si="100"/>
        <v>0.26981201621820861</v>
      </c>
      <c r="Y109" s="1717">
        <f t="shared" si="101"/>
        <v>732</v>
      </c>
      <c r="Z109" s="1723"/>
      <c r="AA109" s="1724"/>
      <c r="AB109" s="1724"/>
      <c r="AC109" s="1725"/>
      <c r="AD109" s="1726"/>
      <c r="AE109" s="1724"/>
      <c r="AF109" s="1724"/>
      <c r="AG109" s="1724"/>
      <c r="AH109" s="1710" t="s">
        <v>1260</v>
      </c>
      <c r="AI109" s="1727">
        <v>66149</v>
      </c>
      <c r="AJ109" s="1728">
        <f t="shared" si="87"/>
        <v>1.3556789769233921</v>
      </c>
      <c r="AK109" s="1727">
        <v>48211</v>
      </c>
      <c r="AL109" s="1728">
        <f t="shared" si="88"/>
        <v>0.9880518096487273</v>
      </c>
      <c r="AM109" s="1722">
        <f t="shared" si="89"/>
        <v>0.27117567914858881</v>
      </c>
      <c r="AN109" s="1727">
        <f t="shared" si="90"/>
        <v>17938</v>
      </c>
      <c r="AO109" s="1724"/>
      <c r="AP109" s="1724"/>
      <c r="AQ109" s="1724"/>
      <c r="AR109" s="1724"/>
      <c r="AS109" s="1710" t="s">
        <v>1260</v>
      </c>
      <c r="AT109" s="1717">
        <v>854321</v>
      </c>
      <c r="AU109" s="1712" t="s">
        <v>13</v>
      </c>
      <c r="AV109" s="1730">
        <f t="shared" si="102"/>
        <v>17.508730581628889</v>
      </c>
      <c r="AW109" s="1717">
        <v>540545</v>
      </c>
      <c r="AX109" s="1712" t="s">
        <v>13</v>
      </c>
      <c r="AY109" s="1730">
        <f t="shared" si="103"/>
        <v>11.078103865229332</v>
      </c>
      <c r="AZ109" s="1722">
        <f t="shared" si="104"/>
        <v>0.3672811507618331</v>
      </c>
      <c r="BA109" s="1717">
        <f t="shared" si="105"/>
        <v>313776</v>
      </c>
      <c r="BB109" s="1724"/>
      <c r="BC109" s="1724"/>
      <c r="BD109" s="1724"/>
      <c r="BE109" s="1724"/>
      <c r="BF109" s="1710" t="s">
        <v>1260</v>
      </c>
      <c r="BG109" s="1731">
        <v>10391571</v>
      </c>
      <c r="BH109" s="1732">
        <f t="shared" si="106"/>
        <v>212.96821330491454</v>
      </c>
      <c r="BI109" s="1727">
        <v>8685925</v>
      </c>
      <c r="BJ109" s="1727">
        <v>811900</v>
      </c>
      <c r="BK109" s="1727">
        <v>32900</v>
      </c>
      <c r="BL109" s="1727">
        <f>10000+6000+7500</f>
        <v>23500</v>
      </c>
      <c r="BM109" s="1727">
        <v>98750</v>
      </c>
      <c r="BN109" s="1736">
        <f t="shared" si="107"/>
        <v>103.73486453339279</v>
      </c>
      <c r="BO109" s="1711" t="s">
        <v>1259</v>
      </c>
      <c r="BP109" s="1711" t="s">
        <v>248</v>
      </c>
      <c r="BQ109" s="1724"/>
      <c r="BR109" s="1724"/>
    </row>
    <row r="110" spans="1:70" s="41" customFormat="1" ht="27.6" customHeight="1" thickTop="1" x14ac:dyDescent="0.2">
      <c r="A110" s="28" t="s">
        <v>1459</v>
      </c>
      <c r="B110" s="11">
        <v>101</v>
      </c>
      <c r="C110" s="1828" t="s">
        <v>951</v>
      </c>
      <c r="D110" s="11" t="s">
        <v>1462</v>
      </c>
      <c r="E110" s="11"/>
      <c r="F110" s="11"/>
      <c r="G110" s="1" t="s">
        <v>1460</v>
      </c>
      <c r="H110" s="37">
        <v>42810</v>
      </c>
      <c r="I110" s="1" t="s">
        <v>22</v>
      </c>
      <c r="J110" s="33" t="s">
        <v>73</v>
      </c>
      <c r="K110" s="62">
        <v>43438</v>
      </c>
      <c r="L110" s="4" t="s">
        <v>1263</v>
      </c>
      <c r="M110" s="1" t="s">
        <v>13</v>
      </c>
      <c r="N110" s="2">
        <v>55294</v>
      </c>
      <c r="O110" s="2"/>
      <c r="P110" s="14">
        <v>3</v>
      </c>
      <c r="Q110" s="28" t="str">
        <f>A110</f>
        <v>Advanced Technology Center</v>
      </c>
      <c r="R110" s="11" t="s">
        <v>248</v>
      </c>
      <c r="S110" s="11">
        <v>3</v>
      </c>
      <c r="T110" s="2">
        <v>3043.3359999999998</v>
      </c>
      <c r="U110" s="10">
        <f t="shared" si="98"/>
        <v>55.039172423771113</v>
      </c>
      <c r="V110" s="2">
        <v>2810.44</v>
      </c>
      <c r="W110" s="10">
        <f t="shared" si="99"/>
        <v>50.827214525988353</v>
      </c>
      <c r="X110" s="8">
        <f t="shared" si="100"/>
        <v>7.6526548498095426E-2</v>
      </c>
      <c r="Y110" s="2">
        <f t="shared" si="101"/>
        <v>232.89599999999973</v>
      </c>
      <c r="Z110" s="992"/>
      <c r="AA110" s="3"/>
      <c r="AB110" s="3"/>
      <c r="AC110" s="1391" t="s">
        <v>1300</v>
      </c>
      <c r="AD110" s="1396">
        <v>72</v>
      </c>
      <c r="AE110" s="3"/>
      <c r="AF110" s="3"/>
      <c r="AG110" s="3"/>
      <c r="AH110" s="28" t="str">
        <f>A110</f>
        <v>Advanced Technology Center</v>
      </c>
      <c r="AI110" s="15">
        <v>102036</v>
      </c>
      <c r="AJ110" s="7">
        <f t="shared" si="87"/>
        <v>1.8453358411400875</v>
      </c>
      <c r="AK110" s="15">
        <v>94226</v>
      </c>
      <c r="AL110" s="7">
        <f t="shared" si="88"/>
        <v>1.7040908597677868</v>
      </c>
      <c r="AM110" s="8">
        <f t="shared" si="89"/>
        <v>7.6541612764122469E-2</v>
      </c>
      <c r="AN110" s="15">
        <f t="shared" si="90"/>
        <v>7810</v>
      </c>
      <c r="AO110" s="3"/>
      <c r="AP110" s="3"/>
      <c r="AQ110" s="3"/>
      <c r="AR110" s="3"/>
      <c r="AS110" s="28" t="str">
        <f>A110</f>
        <v>Advanced Technology Center</v>
      </c>
      <c r="AT110" s="2">
        <v>1602716</v>
      </c>
      <c r="AU110" s="1" t="s">
        <v>13</v>
      </c>
      <c r="AV110" s="2">
        <f t="shared" si="102"/>
        <v>28.985351032661772</v>
      </c>
      <c r="AW110" s="2">
        <v>866197</v>
      </c>
      <c r="AX110" s="1" t="s">
        <v>13</v>
      </c>
      <c r="AY110" s="10">
        <f t="shared" si="103"/>
        <v>15.665298224038775</v>
      </c>
      <c r="AZ110" s="8">
        <f t="shared" si="104"/>
        <v>0.45954429855320594</v>
      </c>
      <c r="BA110" s="2">
        <f t="shared" si="105"/>
        <v>736519</v>
      </c>
      <c r="BB110" s="3"/>
      <c r="BC110" s="3"/>
      <c r="BD110" s="3"/>
      <c r="BE110" s="3"/>
      <c r="BF110" s="28" t="str">
        <f>A110</f>
        <v>Advanced Technology Center</v>
      </c>
      <c r="BG110" s="65">
        <v>12584164</v>
      </c>
      <c r="BH110" s="42">
        <f t="shared" si="106"/>
        <v>227.58642890729556</v>
      </c>
      <c r="BI110" s="15"/>
      <c r="BJ110" s="15">
        <v>1250000</v>
      </c>
      <c r="BK110" s="15">
        <v>0</v>
      </c>
      <c r="BL110" s="15">
        <v>16000</v>
      </c>
      <c r="BM110" s="15"/>
      <c r="BN110" s="1353">
        <f t="shared" si="107"/>
        <v>1613.3372599231755</v>
      </c>
      <c r="BO110" s="11" t="s">
        <v>1259</v>
      </c>
      <c r="BP110" s="11" t="s">
        <v>248</v>
      </c>
      <c r="BQ110" s="3"/>
      <c r="BR110" s="3"/>
    </row>
    <row r="111" spans="1:70" s="41" customFormat="1" ht="27.6" customHeight="1" x14ac:dyDescent="0.2">
      <c r="A111" s="4" t="s">
        <v>115</v>
      </c>
      <c r="B111" s="11">
        <v>102</v>
      </c>
      <c r="C111" s="915" t="s">
        <v>953</v>
      </c>
      <c r="D111" s="11" t="s">
        <v>100</v>
      </c>
      <c r="E111" s="11" t="s">
        <v>1000</v>
      </c>
      <c r="F111" s="11" t="s">
        <v>549</v>
      </c>
      <c r="G111" s="1" t="s">
        <v>1500</v>
      </c>
      <c r="H111" s="33">
        <v>42900</v>
      </c>
      <c r="I111" s="11" t="s">
        <v>103</v>
      </c>
      <c r="J111" s="33" t="s">
        <v>73</v>
      </c>
      <c r="K111" s="62">
        <v>43725</v>
      </c>
      <c r="L111" s="4" t="s">
        <v>90</v>
      </c>
      <c r="M111" s="11" t="s">
        <v>13</v>
      </c>
      <c r="N111" s="6">
        <v>102095</v>
      </c>
      <c r="O111" s="6"/>
      <c r="P111" s="49">
        <v>5</v>
      </c>
      <c r="Q111" s="4" t="s">
        <v>115</v>
      </c>
      <c r="R111" s="11" t="s">
        <v>248</v>
      </c>
      <c r="S111" s="11">
        <v>4</v>
      </c>
      <c r="T111" s="2">
        <v>18355</v>
      </c>
      <c r="U111" s="12">
        <f t="shared" si="98"/>
        <v>179.78353494294529</v>
      </c>
      <c r="V111" s="2">
        <v>13275</v>
      </c>
      <c r="W111" s="23">
        <f t="shared" si="99"/>
        <v>130.02595621724862</v>
      </c>
      <c r="X111" s="1912">
        <f t="shared" si="100"/>
        <v>0.2767638245709616</v>
      </c>
      <c r="Y111" s="13">
        <f t="shared" si="101"/>
        <v>5080</v>
      </c>
      <c r="Z111" s="967"/>
      <c r="AA111" s="14"/>
      <c r="AB111" s="2"/>
      <c r="AC111" s="1391"/>
      <c r="AD111" s="1394"/>
      <c r="AE111" s="2"/>
      <c r="AF111" s="2"/>
      <c r="AG111" s="2"/>
      <c r="AH111" s="4" t="s">
        <v>115</v>
      </c>
      <c r="AI111" s="15">
        <v>246679</v>
      </c>
      <c r="AJ111" s="7">
        <f t="shared" si="87"/>
        <v>2.4161712130858515</v>
      </c>
      <c r="AK111" s="15">
        <v>195121</v>
      </c>
      <c r="AL111" s="7">
        <f t="shared" si="88"/>
        <v>1.9111709682158773</v>
      </c>
      <c r="AM111" s="8">
        <f t="shared" si="89"/>
        <v>0.20900846849549415</v>
      </c>
      <c r="AN111" s="16">
        <f t="shared" si="90"/>
        <v>51558</v>
      </c>
      <c r="AO111" s="3"/>
      <c r="AP111" s="2"/>
      <c r="AQ111" s="2"/>
      <c r="AR111" s="2"/>
      <c r="AS111" s="4" t="s">
        <v>115</v>
      </c>
      <c r="AT111" s="2">
        <v>1071543</v>
      </c>
      <c r="AU111" s="9" t="s">
        <v>13</v>
      </c>
      <c r="AV111" s="2">
        <f t="shared" si="102"/>
        <v>10.495548263871884</v>
      </c>
      <c r="AW111" s="2">
        <v>715542</v>
      </c>
      <c r="AX111" s="9" t="s">
        <v>13</v>
      </c>
      <c r="AY111" s="2">
        <f t="shared" si="103"/>
        <v>7.008590038689456</v>
      </c>
      <c r="AZ111" s="8">
        <f t="shared" si="104"/>
        <v>0.33223211760983928</v>
      </c>
      <c r="BA111" s="17">
        <f t="shared" si="105"/>
        <v>356001</v>
      </c>
      <c r="BB111" s="3"/>
      <c r="BC111" s="9"/>
      <c r="BD111" s="2"/>
      <c r="BE111" s="2"/>
      <c r="BF111" s="4" t="s">
        <v>115</v>
      </c>
      <c r="BG111" s="65">
        <v>42805871</v>
      </c>
      <c r="BH111" s="42">
        <f t="shared" si="106"/>
        <v>419.27490082766053</v>
      </c>
      <c r="BI111" s="15">
        <v>41343286</v>
      </c>
      <c r="BJ111" s="15">
        <v>4603210</v>
      </c>
      <c r="BK111" s="15">
        <v>138000</v>
      </c>
      <c r="BL111" s="15"/>
      <c r="BM111" s="15">
        <v>455967</v>
      </c>
      <c r="BN111" s="1353">
        <f t="shared" si="107"/>
        <v>39.888125994026147</v>
      </c>
      <c r="BO111" s="1" t="s">
        <v>298</v>
      </c>
      <c r="BP111" s="11" t="s">
        <v>248</v>
      </c>
      <c r="BQ111" s="3"/>
      <c r="BR111" s="3"/>
    </row>
    <row r="112" spans="1:70" s="41" customFormat="1" ht="27.6" customHeight="1" x14ac:dyDescent="0.2">
      <c r="A112" s="28" t="s">
        <v>1464</v>
      </c>
      <c r="B112" s="11">
        <v>103</v>
      </c>
      <c r="C112" s="915" t="s">
        <v>953</v>
      </c>
      <c r="D112" s="11" t="s">
        <v>133</v>
      </c>
      <c r="E112" s="11" t="s">
        <v>993</v>
      </c>
      <c r="F112" s="11"/>
      <c r="G112" s="1" t="s">
        <v>1465</v>
      </c>
      <c r="H112" s="37">
        <v>42870</v>
      </c>
      <c r="I112" s="1" t="s">
        <v>22</v>
      </c>
      <c r="J112" s="33" t="s">
        <v>73</v>
      </c>
      <c r="K112" s="62">
        <v>44177</v>
      </c>
      <c r="L112" s="4" t="s">
        <v>309</v>
      </c>
      <c r="M112" s="1" t="s">
        <v>13</v>
      </c>
      <c r="N112" s="2">
        <v>130000</v>
      </c>
      <c r="O112" s="2"/>
      <c r="P112" s="14">
        <v>5</v>
      </c>
      <c r="Q112" s="28" t="str">
        <f>A112</f>
        <v>Engineering Research &amp; Innovation Complex (ERIC)</v>
      </c>
      <c r="R112" s="11" t="s">
        <v>248</v>
      </c>
      <c r="S112" s="11">
        <v>4</v>
      </c>
      <c r="T112" s="2">
        <v>22207</v>
      </c>
      <c r="U112" s="10">
        <f t="shared" si="98"/>
        <v>170.82307692307691</v>
      </c>
      <c r="V112" s="2">
        <v>13985</v>
      </c>
      <c r="W112" s="10">
        <f t="shared" si="99"/>
        <v>107.57692307692307</v>
      </c>
      <c r="X112" s="8">
        <f t="shared" si="100"/>
        <v>0.37024361687756113</v>
      </c>
      <c r="Y112" s="2">
        <f t="shared" si="101"/>
        <v>8222</v>
      </c>
      <c r="Z112" s="992"/>
      <c r="AA112" s="3"/>
      <c r="AB112" s="3"/>
      <c r="AC112" s="9" t="s">
        <v>1303</v>
      </c>
      <c r="AD112" s="1394">
        <v>175</v>
      </c>
      <c r="AE112" s="3"/>
      <c r="AF112" s="3"/>
      <c r="AG112" s="3"/>
      <c r="AH112" s="28" t="str">
        <f>A112</f>
        <v>Engineering Research &amp; Innovation Complex (ERIC)</v>
      </c>
      <c r="AI112" s="15">
        <v>374077</v>
      </c>
      <c r="AJ112" s="7">
        <f t="shared" si="87"/>
        <v>2.8775153846153847</v>
      </c>
      <c r="AK112" s="15">
        <v>253210</v>
      </c>
      <c r="AL112" s="7">
        <f t="shared" si="88"/>
        <v>1.9477692307692307</v>
      </c>
      <c r="AM112" s="8">
        <f t="shared" si="89"/>
        <v>0.32310727470547507</v>
      </c>
      <c r="AN112" s="15">
        <f t="shared" si="90"/>
        <v>120867</v>
      </c>
      <c r="AO112" s="3"/>
      <c r="AP112" s="3"/>
      <c r="AQ112" s="3"/>
      <c r="AR112" s="3"/>
      <c r="AS112" s="28" t="str">
        <f>A112</f>
        <v>Engineering Research &amp; Innovation Complex (ERIC)</v>
      </c>
      <c r="AT112" s="2">
        <v>3986280</v>
      </c>
      <c r="AU112" s="1" t="s">
        <v>13</v>
      </c>
      <c r="AV112" s="2">
        <f t="shared" si="102"/>
        <v>30.663692307692308</v>
      </c>
      <c r="AW112" s="2">
        <v>3044169</v>
      </c>
      <c r="AX112" s="1" t="s">
        <v>13</v>
      </c>
      <c r="AY112" s="10">
        <f t="shared" si="103"/>
        <v>23.416684615384614</v>
      </c>
      <c r="AZ112" s="8">
        <f t="shared" si="104"/>
        <v>0.23633839068003251</v>
      </c>
      <c r="BA112" s="2">
        <f t="shared" si="105"/>
        <v>942111</v>
      </c>
      <c r="BB112" s="3"/>
      <c r="BC112" s="3"/>
      <c r="BD112" s="3"/>
      <c r="BE112" s="3"/>
      <c r="BF112" s="28" t="str">
        <f>A112</f>
        <v>Engineering Research &amp; Innovation Complex (ERIC)</v>
      </c>
      <c r="BG112" s="65">
        <v>74530558</v>
      </c>
      <c r="BH112" s="42">
        <f t="shared" si="106"/>
        <v>573.31198461538463</v>
      </c>
      <c r="BI112" s="15">
        <f>74530558-(76835795-76104156)</f>
        <v>73798919</v>
      </c>
      <c r="BJ112" s="15">
        <f>0.11*BG112</f>
        <v>8198361.3799999999</v>
      </c>
      <c r="BK112" s="15">
        <f>0.0005*BG112</f>
        <v>37265.279000000002</v>
      </c>
      <c r="BL112" s="15">
        <v>36000</v>
      </c>
      <c r="BM112" s="15">
        <f>0.004*BG112</f>
        <v>298122.23200000002</v>
      </c>
      <c r="BN112" s="1353">
        <f t="shared" si="107"/>
        <v>9.1259525842454927</v>
      </c>
      <c r="BO112" s="11" t="s">
        <v>1466</v>
      </c>
      <c r="BP112" s="11" t="s">
        <v>248</v>
      </c>
      <c r="BQ112" s="3"/>
      <c r="BR112" s="3"/>
    </row>
    <row r="113" spans="1:70" s="1737" customFormat="1" ht="27.6" customHeight="1" thickBot="1" x14ac:dyDescent="0.3">
      <c r="A113" s="1710" t="s">
        <v>414</v>
      </c>
      <c r="B113" s="1711">
        <v>104</v>
      </c>
      <c r="C113" s="1711" t="s">
        <v>951</v>
      </c>
      <c r="D113" s="1711" t="s">
        <v>130</v>
      </c>
      <c r="E113" s="1711"/>
      <c r="F113" s="1711" t="s">
        <v>570</v>
      </c>
      <c r="G113" s="1712" t="s">
        <v>511</v>
      </c>
      <c r="H113" s="2210">
        <v>42494</v>
      </c>
      <c r="I113" s="1712" t="s">
        <v>1272</v>
      </c>
      <c r="J113" s="1714" t="s">
        <v>73</v>
      </c>
      <c r="K113" s="1714" t="s">
        <v>73</v>
      </c>
      <c r="L113" s="1716" t="s">
        <v>415</v>
      </c>
      <c r="M113" s="1712" t="s">
        <v>13</v>
      </c>
      <c r="N113" s="1717">
        <v>36215</v>
      </c>
      <c r="O113" s="1717"/>
      <c r="P113" s="1719">
        <v>1</v>
      </c>
      <c r="Q113" s="1710" t="s">
        <v>414</v>
      </c>
      <c r="R113" s="1711" t="s">
        <v>248</v>
      </c>
      <c r="S113" s="1711">
        <v>3</v>
      </c>
      <c r="T113" s="1717">
        <v>4215</v>
      </c>
      <c r="U113" s="1730">
        <f t="shared" si="98"/>
        <v>116.38823691840398</v>
      </c>
      <c r="V113" s="1717">
        <v>3907</v>
      </c>
      <c r="W113" s="1730">
        <f t="shared" si="99"/>
        <v>107.88347369874361</v>
      </c>
      <c r="X113" s="1722">
        <f t="shared" si="100"/>
        <v>7.3072360616844606E-2</v>
      </c>
      <c r="Y113" s="1717">
        <f t="shared" si="101"/>
        <v>308</v>
      </c>
      <c r="Z113" s="1723"/>
      <c r="AA113" s="1724"/>
      <c r="AB113" s="1724"/>
      <c r="AC113" s="1725"/>
      <c r="AD113" s="1726">
        <v>32</v>
      </c>
      <c r="AE113" s="1724"/>
      <c r="AF113" s="1724"/>
      <c r="AG113" s="1724"/>
      <c r="AH113" s="1710" t="s">
        <v>414</v>
      </c>
      <c r="AI113" s="1727">
        <v>66838</v>
      </c>
      <c r="AJ113" s="1728">
        <f t="shared" si="87"/>
        <v>1.8455888444014912</v>
      </c>
      <c r="AK113" s="1727">
        <v>33837</v>
      </c>
      <c r="AL113" s="1728">
        <f t="shared" si="88"/>
        <v>0.9343366008559989</v>
      </c>
      <c r="AM113" s="1722">
        <f t="shared" si="89"/>
        <v>0.49374607259343489</v>
      </c>
      <c r="AN113" s="1727">
        <f t="shared" si="90"/>
        <v>33001</v>
      </c>
      <c r="AO113" s="1724"/>
      <c r="AP113" s="1724"/>
      <c r="AQ113" s="1724"/>
      <c r="AR113" s="1724"/>
      <c r="AS113" s="1710" t="s">
        <v>414</v>
      </c>
      <c r="AT113" s="1729">
        <v>252297</v>
      </c>
      <c r="AU113" s="1729" t="s">
        <v>13</v>
      </c>
      <c r="AV113" s="1717">
        <f t="shared" si="102"/>
        <v>6.9666436559436695</v>
      </c>
      <c r="AW113" s="1729">
        <v>187574</v>
      </c>
      <c r="AX113" s="1729" t="s">
        <v>13</v>
      </c>
      <c r="AY113" s="1717">
        <f t="shared" si="103"/>
        <v>5.1794560265083529</v>
      </c>
      <c r="AZ113" s="1722">
        <f t="shared" si="104"/>
        <v>0.25653495681676752</v>
      </c>
      <c r="BA113" s="1717">
        <f t="shared" si="105"/>
        <v>64723</v>
      </c>
      <c r="BB113" s="1719"/>
      <c r="BC113" s="1724"/>
      <c r="BD113" s="1724"/>
      <c r="BE113" s="1724"/>
      <c r="BF113" s="1710" t="s">
        <v>414</v>
      </c>
      <c r="BG113" s="1823">
        <v>6807340.1699999999</v>
      </c>
      <c r="BH113" s="1732">
        <f t="shared" si="106"/>
        <v>187.9701827971835</v>
      </c>
      <c r="BI113" s="1733">
        <f>BG113-40240</f>
        <v>6767100.1699999999</v>
      </c>
      <c r="BJ113" s="1734">
        <v>539733</v>
      </c>
      <c r="BK113" s="1727">
        <v>12290</v>
      </c>
      <c r="BL113" s="1727">
        <v>8000</v>
      </c>
      <c r="BM113" s="1735">
        <v>37090</v>
      </c>
      <c r="BN113" s="1736">
        <f t="shared" si="107"/>
        <v>2.9580921790248782</v>
      </c>
      <c r="BO113" s="1711" t="s">
        <v>512</v>
      </c>
      <c r="BP113" s="1711" t="s">
        <v>248</v>
      </c>
    </row>
    <row r="114" spans="1:70" s="41" customFormat="1" ht="27.6" customHeight="1" thickTop="1" x14ac:dyDescent="0.2">
      <c r="A114" s="28" t="s">
        <v>1449</v>
      </c>
      <c r="B114" s="11">
        <v>105</v>
      </c>
      <c r="C114" s="11" t="s">
        <v>951</v>
      </c>
      <c r="D114" s="11" t="s">
        <v>63</v>
      </c>
      <c r="E114" s="11"/>
      <c r="F114" s="11" t="s">
        <v>1471</v>
      </c>
      <c r="G114" s="1" t="s">
        <v>1447</v>
      </c>
      <c r="H114" s="37">
        <v>42768</v>
      </c>
      <c r="I114" s="1" t="s">
        <v>22</v>
      </c>
      <c r="J114" s="33" t="s">
        <v>73</v>
      </c>
      <c r="K114" s="33" t="s">
        <v>73</v>
      </c>
      <c r="L114" s="28" t="s">
        <v>1450</v>
      </c>
      <c r="M114" s="1" t="s">
        <v>13</v>
      </c>
      <c r="N114" s="2">
        <v>38000</v>
      </c>
      <c r="O114" s="19"/>
      <c r="P114" s="14">
        <v>1</v>
      </c>
      <c r="Q114" s="28" t="s">
        <v>1449</v>
      </c>
      <c r="R114" s="11" t="s">
        <v>248</v>
      </c>
      <c r="S114" s="11">
        <v>4</v>
      </c>
      <c r="T114" s="2">
        <v>2199</v>
      </c>
      <c r="U114" s="10">
        <f t="shared" si="98"/>
        <v>57.868421052631575</v>
      </c>
      <c r="V114" s="2">
        <v>1860</v>
      </c>
      <c r="W114" s="10">
        <f t="shared" si="99"/>
        <v>48.94736842105263</v>
      </c>
      <c r="X114" s="8">
        <f t="shared" si="100"/>
        <v>0.15416098226466576</v>
      </c>
      <c r="Y114" s="2">
        <f t="shared" si="101"/>
        <v>339</v>
      </c>
      <c r="Z114" s="992"/>
      <c r="AA114" s="3"/>
      <c r="AB114" s="3"/>
      <c r="AC114" s="1391" t="s">
        <v>1451</v>
      </c>
      <c r="AD114" s="1396">
        <f>(53+65)/2</f>
        <v>59</v>
      </c>
      <c r="AE114" s="3"/>
      <c r="AF114" s="3"/>
      <c r="AG114" s="3"/>
      <c r="AH114" s="28" t="s">
        <v>1449</v>
      </c>
      <c r="AI114" s="15">
        <v>38591</v>
      </c>
      <c r="AJ114" s="7">
        <f t="shared" si="87"/>
        <v>1.0155526315789474</v>
      </c>
      <c r="AK114" s="15">
        <v>33870</v>
      </c>
      <c r="AL114" s="7">
        <f t="shared" si="88"/>
        <v>0.89131578947368417</v>
      </c>
      <c r="AM114" s="8">
        <f t="shared" si="89"/>
        <v>0.12233422300536395</v>
      </c>
      <c r="AN114" s="15">
        <f t="shared" si="90"/>
        <v>4721</v>
      </c>
      <c r="AO114" s="3"/>
      <c r="AP114" s="3"/>
      <c r="AQ114" s="3"/>
      <c r="AR114" s="3"/>
      <c r="AS114" s="28" t="s">
        <v>1449</v>
      </c>
      <c r="AT114" s="2">
        <v>999115</v>
      </c>
      <c r="AU114" s="9" t="s">
        <v>13</v>
      </c>
      <c r="AV114" s="10">
        <f t="shared" si="102"/>
        <v>26.2925</v>
      </c>
      <c r="AW114" s="2">
        <v>599526</v>
      </c>
      <c r="AX114" s="9" t="s">
        <v>13</v>
      </c>
      <c r="AY114" s="10">
        <f t="shared" si="103"/>
        <v>15.776999999999999</v>
      </c>
      <c r="AZ114" s="8">
        <f t="shared" si="104"/>
        <v>0.39994294951031661</v>
      </c>
      <c r="BA114" s="2">
        <f t="shared" si="105"/>
        <v>399589</v>
      </c>
      <c r="BB114" s="3"/>
      <c r="BC114" s="3"/>
      <c r="BD114" s="3"/>
      <c r="BE114" s="3"/>
      <c r="BF114" s="28" t="s">
        <v>1449</v>
      </c>
      <c r="BG114" s="65">
        <v>7280513</v>
      </c>
      <c r="BH114" s="42">
        <f t="shared" si="106"/>
        <v>191.59244736842106</v>
      </c>
      <c r="BI114" s="71">
        <v>6936265</v>
      </c>
      <c r="BJ114" s="15">
        <v>1748670</v>
      </c>
      <c r="BK114" s="15">
        <v>52800</v>
      </c>
      <c r="BL114" s="15">
        <v>10000</v>
      </c>
      <c r="BM114" s="15"/>
      <c r="BN114" s="1353">
        <f t="shared" si="107"/>
        <v>86.220715950010586</v>
      </c>
      <c r="BO114" s="1" t="s">
        <v>313</v>
      </c>
      <c r="BP114" s="11" t="s">
        <v>248</v>
      </c>
      <c r="BQ114" s="3"/>
      <c r="BR114" s="3"/>
    </row>
    <row r="115" spans="1:70" s="1737" customFormat="1" ht="27.6" customHeight="1" thickBot="1" x14ac:dyDescent="0.25">
      <c r="A115" s="1710" t="s">
        <v>1452</v>
      </c>
      <c r="B115" s="1711">
        <v>106</v>
      </c>
      <c r="C115" s="1711" t="s">
        <v>951</v>
      </c>
      <c r="D115" s="1711" t="s">
        <v>63</v>
      </c>
      <c r="E115" s="1711"/>
      <c r="F115" s="1711" t="s">
        <v>1471</v>
      </c>
      <c r="G115" s="1712" t="s">
        <v>1447</v>
      </c>
      <c r="H115" s="1713">
        <v>42657</v>
      </c>
      <c r="I115" s="1712" t="s">
        <v>1448</v>
      </c>
      <c r="J115" s="1714" t="s">
        <v>73</v>
      </c>
      <c r="K115" s="1714" t="s">
        <v>73</v>
      </c>
      <c r="L115" s="1710" t="s">
        <v>156</v>
      </c>
      <c r="M115" s="1712" t="s">
        <v>13</v>
      </c>
      <c r="N115" s="1717">
        <v>23000</v>
      </c>
      <c r="O115" s="1718"/>
      <c r="P115" s="1719">
        <v>1</v>
      </c>
      <c r="Q115" s="1710" t="s">
        <v>1452</v>
      </c>
      <c r="R115" s="1711" t="s">
        <v>248</v>
      </c>
      <c r="S115" s="1711">
        <v>4</v>
      </c>
      <c r="T115" s="1717"/>
      <c r="U115" s="1730"/>
      <c r="V115" s="1717"/>
      <c r="W115" s="1730"/>
      <c r="X115" s="1722"/>
      <c r="Y115" s="1717"/>
      <c r="Z115" s="1723"/>
      <c r="AA115" s="1724"/>
      <c r="AB115" s="1724"/>
      <c r="AC115" s="1725" t="s">
        <v>1453</v>
      </c>
      <c r="AD115" s="1726">
        <f>(13+53)/2</f>
        <v>33</v>
      </c>
      <c r="AE115" s="1724"/>
      <c r="AF115" s="1724"/>
      <c r="AG115" s="1724"/>
      <c r="AH115" s="1710" t="s">
        <v>1452</v>
      </c>
      <c r="AI115" s="1727"/>
      <c r="AJ115" s="1728"/>
      <c r="AK115" s="1727"/>
      <c r="AL115" s="1728"/>
      <c r="AM115" s="1722"/>
      <c r="AN115" s="1727"/>
      <c r="AO115" s="1724"/>
      <c r="AP115" s="1724"/>
      <c r="AQ115" s="1724"/>
      <c r="AR115" s="1724"/>
      <c r="AS115" s="1710" t="s">
        <v>1452</v>
      </c>
      <c r="AT115" s="1717"/>
      <c r="AU115" s="1729"/>
      <c r="AV115" s="1730"/>
      <c r="AW115" s="1717"/>
      <c r="AX115" s="1729"/>
      <c r="AY115" s="1730"/>
      <c r="AZ115" s="1722"/>
      <c r="BA115" s="1717"/>
      <c r="BB115" s="1724"/>
      <c r="BC115" s="1724"/>
      <c r="BD115" s="1724"/>
      <c r="BE115" s="1724"/>
      <c r="BF115" s="1710" t="s">
        <v>1452</v>
      </c>
      <c r="BG115" s="1823"/>
      <c r="BH115" s="1732"/>
      <c r="BI115" s="1734"/>
      <c r="BJ115" s="1727"/>
      <c r="BK115" s="1727"/>
      <c r="BL115" s="1727"/>
      <c r="BM115" s="1727"/>
      <c r="BN115" s="1736"/>
      <c r="BO115" s="1712" t="s">
        <v>313</v>
      </c>
      <c r="BP115" s="1711" t="s">
        <v>248</v>
      </c>
      <c r="BQ115" s="1724"/>
      <c r="BR115" s="1724"/>
    </row>
    <row r="116" spans="1:70" s="41" customFormat="1" ht="27.6" customHeight="1" thickTop="1" x14ac:dyDescent="0.2">
      <c r="A116" s="28" t="s">
        <v>495</v>
      </c>
      <c r="B116" s="11">
        <v>107</v>
      </c>
      <c r="C116" s="11" t="s">
        <v>951</v>
      </c>
      <c r="D116" s="11" t="s">
        <v>198</v>
      </c>
      <c r="E116" s="11" t="s">
        <v>987</v>
      </c>
      <c r="F116" s="11"/>
      <c r="G116" s="1" t="s">
        <v>543</v>
      </c>
      <c r="H116" s="37">
        <v>42018</v>
      </c>
      <c r="I116" s="11" t="s">
        <v>4</v>
      </c>
      <c r="J116" s="33" t="s">
        <v>184</v>
      </c>
      <c r="K116" s="33" t="s">
        <v>184</v>
      </c>
      <c r="L116" s="28" t="s">
        <v>496</v>
      </c>
      <c r="M116" s="1">
        <v>275</v>
      </c>
      <c r="N116" s="2">
        <v>112886</v>
      </c>
      <c r="O116" s="19">
        <f>N116/M116</f>
        <v>410.49454545454546</v>
      </c>
      <c r="P116" s="14">
        <v>7</v>
      </c>
      <c r="Q116" s="28" t="s">
        <v>495</v>
      </c>
      <c r="R116" s="11" t="s">
        <v>248</v>
      </c>
      <c r="S116" s="11">
        <v>4</v>
      </c>
      <c r="T116" s="2">
        <v>9032</v>
      </c>
      <c r="U116" s="10">
        <f t="shared" ref="U116:U125" si="108">T116/N116*1000</f>
        <v>80.009921513739528</v>
      </c>
      <c r="V116" s="2">
        <v>7916</v>
      </c>
      <c r="W116" s="10">
        <f t="shared" ref="W116:W125" si="109">V116/N116*1000</f>
        <v>70.123841751855849</v>
      </c>
      <c r="X116" s="8">
        <f t="shared" ref="X116:X125" si="110">(T116-V116)/T116</f>
        <v>0.12356067316209035</v>
      </c>
      <c r="Y116" s="2">
        <f t="shared" ref="Y116:Y125" si="111">T116-V116</f>
        <v>1116</v>
      </c>
      <c r="Z116" s="992"/>
      <c r="AA116" s="3"/>
      <c r="AB116" s="3"/>
      <c r="AC116" s="1391" t="s">
        <v>1298</v>
      </c>
      <c r="AD116" s="1396">
        <v>58</v>
      </c>
      <c r="AE116" s="3"/>
      <c r="AF116" s="3"/>
      <c r="AG116" s="3"/>
      <c r="AH116" s="28" t="s">
        <v>495</v>
      </c>
      <c r="AI116" s="15">
        <v>219320</v>
      </c>
      <c r="AJ116" s="7">
        <f t="shared" ref="AJ116:AJ125" si="112">AI116/N116</f>
        <v>1.9428449940648087</v>
      </c>
      <c r="AK116" s="15">
        <v>186485</v>
      </c>
      <c r="AL116" s="7">
        <f t="shared" ref="AL116:AL125" si="113">AK116/N116</f>
        <v>1.6519763301029358</v>
      </c>
      <c r="AM116" s="8">
        <f t="shared" ref="AM116:AM125" si="114">(AI116-AK116)/AI116</f>
        <v>0.14971274849534927</v>
      </c>
      <c r="AN116" s="15">
        <f t="shared" ref="AN116:AN125" si="115">AI116-AK116</f>
        <v>32835</v>
      </c>
      <c r="AO116" s="3"/>
      <c r="AP116" s="3"/>
      <c r="AQ116" s="3"/>
      <c r="AR116" s="3"/>
      <c r="AS116" s="28" t="s">
        <v>495</v>
      </c>
      <c r="AT116" s="2">
        <v>917871</v>
      </c>
      <c r="AU116" s="9">
        <f>AT116/M116</f>
        <v>3337.7127272727271</v>
      </c>
      <c r="AV116" s="10">
        <f>AT116/N116</f>
        <v>8.1309551228673183</v>
      </c>
      <c r="AW116" s="2">
        <v>584333</v>
      </c>
      <c r="AX116" s="9">
        <f>AW116/M116</f>
        <v>2124.8472727272729</v>
      </c>
      <c r="AY116" s="10">
        <f>AW116/N116</f>
        <v>5.1763106142480027</v>
      </c>
      <c r="AZ116" s="8">
        <f>(AT116-AW116)/AT116</f>
        <v>0.36338221819841787</v>
      </c>
      <c r="BA116" s="2">
        <f>AT116-AW116</f>
        <v>333538</v>
      </c>
      <c r="BB116" s="3"/>
      <c r="BC116" s="3"/>
      <c r="BD116" s="3"/>
      <c r="BE116" s="3"/>
      <c r="BF116" s="28" t="s">
        <v>495</v>
      </c>
      <c r="BG116" s="65">
        <v>26052469</v>
      </c>
      <c r="BH116" s="42">
        <f>BG116/N116</f>
        <v>230.78565101075421</v>
      </c>
      <c r="BI116" s="15">
        <v>25799369</v>
      </c>
      <c r="BJ116" s="242">
        <v>1961668</v>
      </c>
      <c r="BK116" s="71">
        <v>53300</v>
      </c>
      <c r="BL116" s="71">
        <v>31970</v>
      </c>
      <c r="BM116" s="15">
        <v>250000</v>
      </c>
      <c r="BN116" s="1353">
        <f>((BG116-BI116)+BK116+BL116+BM116)/AN116</f>
        <v>17.918988883813004</v>
      </c>
      <c r="BO116" s="1" t="s">
        <v>296</v>
      </c>
      <c r="BP116" s="11" t="s">
        <v>248</v>
      </c>
      <c r="BQ116" s="346"/>
      <c r="BR116" s="3"/>
    </row>
    <row r="117" spans="1:70" s="41" customFormat="1" ht="27.6" customHeight="1" x14ac:dyDescent="0.2">
      <c r="A117" s="28" t="s">
        <v>426</v>
      </c>
      <c r="B117" s="11">
        <v>108</v>
      </c>
      <c r="C117" s="11" t="s">
        <v>951</v>
      </c>
      <c r="D117" s="11" t="s">
        <v>63</v>
      </c>
      <c r="E117" s="11" t="s">
        <v>985</v>
      </c>
      <c r="F117" s="11" t="s">
        <v>1471</v>
      </c>
      <c r="G117" s="1" t="s">
        <v>490</v>
      </c>
      <c r="H117" s="37">
        <v>41829</v>
      </c>
      <c r="I117" s="11" t="s">
        <v>4</v>
      </c>
      <c r="J117" s="33" t="s">
        <v>73</v>
      </c>
      <c r="K117" s="33" t="s">
        <v>184</v>
      </c>
      <c r="L117" s="28" t="s">
        <v>135</v>
      </c>
      <c r="M117" s="1">
        <v>440</v>
      </c>
      <c r="N117" s="2">
        <v>99436</v>
      </c>
      <c r="O117" s="19">
        <f>N117/M117</f>
        <v>225.9909090909091</v>
      </c>
      <c r="P117" s="14">
        <v>12</v>
      </c>
      <c r="Q117" s="28" t="s">
        <v>426</v>
      </c>
      <c r="R117" s="11" t="s">
        <v>248</v>
      </c>
      <c r="S117" s="11">
        <v>3</v>
      </c>
      <c r="T117" s="2">
        <v>5384</v>
      </c>
      <c r="U117" s="10">
        <f t="shared" si="108"/>
        <v>54.145379942877831</v>
      </c>
      <c r="V117" s="2">
        <v>4674</v>
      </c>
      <c r="W117" s="10">
        <f t="shared" si="109"/>
        <v>47.00510881370932</v>
      </c>
      <c r="X117" s="8">
        <f t="shared" si="110"/>
        <v>0.13187221396731055</v>
      </c>
      <c r="Y117" s="2">
        <f t="shared" si="111"/>
        <v>710</v>
      </c>
      <c r="Z117" s="992"/>
      <c r="AA117" s="3"/>
      <c r="AB117" s="3"/>
      <c r="AC117" s="1391" t="s">
        <v>1298</v>
      </c>
      <c r="AD117" s="1396">
        <v>47</v>
      </c>
      <c r="AE117" s="3"/>
      <c r="AF117" s="3"/>
      <c r="AG117" s="3"/>
      <c r="AH117" s="28" t="s">
        <v>426</v>
      </c>
      <c r="AI117" s="15">
        <v>58913</v>
      </c>
      <c r="AJ117" s="7">
        <f t="shared" si="112"/>
        <v>0.59247153948268227</v>
      </c>
      <c r="AK117" s="15">
        <v>50839</v>
      </c>
      <c r="AL117" s="7">
        <f t="shared" si="113"/>
        <v>0.51127358300816605</v>
      </c>
      <c r="AM117" s="8">
        <f t="shared" si="114"/>
        <v>0.13704954763804253</v>
      </c>
      <c r="AN117" s="15">
        <f t="shared" si="115"/>
        <v>8074</v>
      </c>
      <c r="AO117" s="3"/>
      <c r="AP117" s="3"/>
      <c r="AQ117" s="3"/>
      <c r="AR117" s="3"/>
      <c r="AS117" s="28" t="s">
        <v>426</v>
      </c>
      <c r="AT117" s="2">
        <v>4280271</v>
      </c>
      <c r="AU117" s="9">
        <f>AT117/M117</f>
        <v>9727.8886363636357</v>
      </c>
      <c r="AV117" s="10">
        <f>AT117/N117</f>
        <v>43.045486544108776</v>
      </c>
      <c r="AW117" s="2">
        <v>2887348</v>
      </c>
      <c r="AX117" s="9">
        <f>AW117/M117</f>
        <v>6562.1545454545458</v>
      </c>
      <c r="AY117" s="10">
        <f>AW117/N117</f>
        <v>29.037250090510479</v>
      </c>
      <c r="AZ117" s="8">
        <f>(AT117-AW117)/AT117</f>
        <v>0.32542869365047211</v>
      </c>
      <c r="BA117" s="2">
        <f>AT117-AW117</f>
        <v>1392923</v>
      </c>
      <c r="BB117" s="3"/>
      <c r="BC117" s="3"/>
      <c r="BD117" s="3"/>
      <c r="BE117" s="3"/>
      <c r="BF117" s="28" t="s">
        <v>426</v>
      </c>
      <c r="BG117" s="65">
        <v>15688400</v>
      </c>
      <c r="BH117" s="42">
        <f>BG117/N117</f>
        <v>157.77384448288348</v>
      </c>
      <c r="BI117" s="15">
        <v>15615290</v>
      </c>
      <c r="BJ117" s="15">
        <v>1287470</v>
      </c>
      <c r="BK117" s="71"/>
      <c r="BL117" s="71">
        <v>4100</v>
      </c>
      <c r="BM117" s="15">
        <v>100000</v>
      </c>
      <c r="BN117" s="1353">
        <f>((BG117-BI117)+BK117+BL117+BM117)/AN117</f>
        <v>21.948228882833789</v>
      </c>
      <c r="BO117" s="1" t="s">
        <v>304</v>
      </c>
      <c r="BP117" s="11" t="s">
        <v>248</v>
      </c>
      <c r="BQ117" s="346">
        <f>BG117-BI117</f>
        <v>73110</v>
      </c>
      <c r="BR117" s="3"/>
    </row>
    <row r="118" spans="1:70" s="3" customFormat="1" ht="27.6" customHeight="1" x14ac:dyDescent="0.2">
      <c r="A118" s="28" t="s">
        <v>197</v>
      </c>
      <c r="B118" s="11">
        <v>109</v>
      </c>
      <c r="C118" s="11" t="s">
        <v>951</v>
      </c>
      <c r="D118" s="11" t="s">
        <v>198</v>
      </c>
      <c r="E118" s="11" t="s">
        <v>987</v>
      </c>
      <c r="F118" s="11"/>
      <c r="G118" s="1" t="s">
        <v>199</v>
      </c>
      <c r="H118" s="37">
        <v>41579</v>
      </c>
      <c r="I118" s="1" t="s">
        <v>4</v>
      </c>
      <c r="J118" s="33" t="s">
        <v>73</v>
      </c>
      <c r="K118" s="33" t="s">
        <v>184</v>
      </c>
      <c r="L118" s="4" t="s">
        <v>200</v>
      </c>
      <c r="M118" s="1" t="s">
        <v>13</v>
      </c>
      <c r="N118" s="2">
        <v>274810</v>
      </c>
      <c r="O118" s="2"/>
      <c r="P118" s="14">
        <v>9</v>
      </c>
      <c r="Q118" s="28" t="s">
        <v>197</v>
      </c>
      <c r="R118" s="11" t="s">
        <v>249</v>
      </c>
      <c r="S118" s="11">
        <v>4</v>
      </c>
      <c r="T118" s="2">
        <v>15342</v>
      </c>
      <c r="U118" s="10">
        <f t="shared" si="108"/>
        <v>55.827662748808265</v>
      </c>
      <c r="V118" s="2">
        <v>11509</v>
      </c>
      <c r="W118" s="10">
        <f t="shared" si="109"/>
        <v>41.87984425603144</v>
      </c>
      <c r="X118" s="8">
        <f t="shared" si="110"/>
        <v>0.24983704862469039</v>
      </c>
      <c r="Y118" s="2">
        <f t="shared" si="111"/>
        <v>3833</v>
      </c>
      <c r="Z118" s="992"/>
      <c r="AC118" s="1391"/>
      <c r="AD118" s="1396"/>
      <c r="AH118" s="28" t="s">
        <v>197</v>
      </c>
      <c r="AI118" s="15">
        <v>293091</v>
      </c>
      <c r="AJ118" s="7">
        <f t="shared" si="112"/>
        <v>1.0665223245151196</v>
      </c>
      <c r="AK118" s="15">
        <v>229379</v>
      </c>
      <c r="AL118" s="7">
        <f t="shared" si="113"/>
        <v>0.83468214402678209</v>
      </c>
      <c r="AM118" s="8">
        <f t="shared" si="114"/>
        <v>0.21737958518002942</v>
      </c>
      <c r="AN118" s="15">
        <f t="shared" si="115"/>
        <v>63712</v>
      </c>
      <c r="AS118" s="28" t="s">
        <v>197</v>
      </c>
      <c r="AT118" s="2">
        <v>1871354</v>
      </c>
      <c r="AU118" s="1" t="s">
        <v>13</v>
      </c>
      <c r="AV118" s="10">
        <f>AT118/N118</f>
        <v>6.809628470579673</v>
      </c>
      <c r="AW118" s="2">
        <v>1339798</v>
      </c>
      <c r="AX118" s="1" t="s">
        <v>13</v>
      </c>
      <c r="AY118" s="10">
        <f>AW118/N118</f>
        <v>4.8753611586186816</v>
      </c>
      <c r="AZ118" s="8">
        <f>(AT118-AW118)/AT118</f>
        <v>0.28404887584070143</v>
      </c>
      <c r="BA118" s="2">
        <f>AT118-AW118</f>
        <v>531556</v>
      </c>
      <c r="BF118" s="28" t="s">
        <v>197</v>
      </c>
      <c r="BG118" s="65">
        <v>72817169</v>
      </c>
      <c r="BH118" s="42">
        <f>BG118/N118</f>
        <v>264.97277755540193</v>
      </c>
      <c r="BI118" s="15">
        <v>78341076</v>
      </c>
      <c r="BJ118" s="15">
        <v>7995000</v>
      </c>
      <c r="BK118" s="15">
        <f>178500+44500</f>
        <v>223000</v>
      </c>
      <c r="BL118" s="15">
        <v>65350</v>
      </c>
      <c r="BM118" s="15">
        <v>500000</v>
      </c>
      <c r="BN118" s="1353">
        <f>((BG118-BI118)+BK118+BL118+BM118)/AN118</f>
        <v>-74.327552109492714</v>
      </c>
      <c r="BO118" s="11" t="s">
        <v>423</v>
      </c>
      <c r="BP118" s="11" t="s">
        <v>249</v>
      </c>
    </row>
    <row r="119" spans="1:70" s="3" customFormat="1" ht="27.6" customHeight="1" x14ac:dyDescent="0.2">
      <c r="A119" s="4" t="s">
        <v>58</v>
      </c>
      <c r="B119" s="11">
        <v>110</v>
      </c>
      <c r="C119" s="11"/>
      <c r="D119" s="11" t="s">
        <v>45</v>
      </c>
      <c r="E119" s="11" t="s">
        <v>989</v>
      </c>
      <c r="F119" s="11"/>
      <c r="G119" s="1" t="s">
        <v>57</v>
      </c>
      <c r="H119" s="33">
        <v>41088</v>
      </c>
      <c r="I119" s="11" t="s">
        <v>10</v>
      </c>
      <c r="J119" s="33" t="s">
        <v>184</v>
      </c>
      <c r="K119" s="33" t="s">
        <v>184</v>
      </c>
      <c r="L119" s="4" t="s">
        <v>65</v>
      </c>
      <c r="M119" s="11" t="s">
        <v>13</v>
      </c>
      <c r="N119" s="6">
        <v>34386</v>
      </c>
      <c r="O119" s="6"/>
      <c r="P119" s="14">
        <v>2</v>
      </c>
      <c r="Q119" s="4" t="s">
        <v>58</v>
      </c>
      <c r="R119" s="11" t="s">
        <v>247</v>
      </c>
      <c r="S119" s="11">
        <v>4</v>
      </c>
      <c r="T119" s="2">
        <v>2484</v>
      </c>
      <c r="U119" s="12">
        <f t="shared" si="108"/>
        <v>72.238701797243067</v>
      </c>
      <c r="V119" s="2">
        <v>1436</v>
      </c>
      <c r="W119" s="23">
        <f t="shared" si="109"/>
        <v>41.761181876345027</v>
      </c>
      <c r="X119" s="1912">
        <f t="shared" si="110"/>
        <v>0.4219001610305958</v>
      </c>
      <c r="Y119" s="13">
        <f t="shared" si="111"/>
        <v>1048</v>
      </c>
      <c r="Z119" s="967"/>
      <c r="AA119" s="25"/>
      <c r="AB119" s="2"/>
      <c r="AC119" s="1391"/>
      <c r="AD119" s="1394"/>
      <c r="AE119" s="2"/>
      <c r="AF119" s="2"/>
      <c r="AG119" s="2"/>
      <c r="AH119" s="4" t="s">
        <v>58</v>
      </c>
      <c r="AI119" s="15">
        <v>59882</v>
      </c>
      <c r="AJ119" s="7">
        <f t="shared" si="112"/>
        <v>1.74146454952597</v>
      </c>
      <c r="AK119" s="15">
        <v>41042</v>
      </c>
      <c r="AL119" s="7">
        <f t="shared" si="113"/>
        <v>1.1935671494212761</v>
      </c>
      <c r="AM119" s="8">
        <f t="shared" si="114"/>
        <v>0.31461875020874386</v>
      </c>
      <c r="AN119" s="16">
        <f t="shared" si="115"/>
        <v>18840</v>
      </c>
      <c r="AO119" s="7"/>
      <c r="AP119" s="2"/>
      <c r="AQ119" s="2"/>
      <c r="AR119" s="2"/>
      <c r="AS119" s="4" t="s">
        <v>58</v>
      </c>
      <c r="AT119" s="2">
        <v>667359</v>
      </c>
      <c r="AU119" s="9" t="s">
        <v>13</v>
      </c>
      <c r="AV119" s="2">
        <f>AT119/N119</f>
        <v>19.407869481765836</v>
      </c>
      <c r="AW119" s="2">
        <v>310095</v>
      </c>
      <c r="AX119" s="9" t="s">
        <v>13</v>
      </c>
      <c r="AY119" s="2">
        <f>AW119/N119</f>
        <v>9.0180596754493116</v>
      </c>
      <c r="AZ119" s="8">
        <f>(AT119-AW119)/AT119</f>
        <v>0.53534004935874091</v>
      </c>
      <c r="BA119" s="2">
        <f>AT119-AW119</f>
        <v>357264</v>
      </c>
      <c r="BC119" s="9"/>
      <c r="BD119" s="2"/>
      <c r="BE119" s="2"/>
      <c r="BF119" s="4" t="s">
        <v>58</v>
      </c>
      <c r="BG119" s="65">
        <v>6245727</v>
      </c>
      <c r="BH119" s="42">
        <f>BG119/N119</f>
        <v>181.6357529227011</v>
      </c>
      <c r="BI119" s="15">
        <v>5604454</v>
      </c>
      <c r="BJ119" s="71" t="s">
        <v>204</v>
      </c>
      <c r="BK119" s="71" t="s">
        <v>204</v>
      </c>
      <c r="BL119" s="11"/>
      <c r="BM119" s="15">
        <v>84000</v>
      </c>
      <c r="BN119" s="1353"/>
      <c r="BO119" s="1"/>
      <c r="BP119" s="11" t="s">
        <v>247</v>
      </c>
      <c r="BQ119" s="41"/>
      <c r="BR119" s="41"/>
    </row>
    <row r="120" spans="1:70" s="41" customFormat="1" ht="27.6" customHeight="1" x14ac:dyDescent="0.2">
      <c r="A120" s="20" t="s">
        <v>50</v>
      </c>
      <c r="B120" s="19">
        <v>111</v>
      </c>
      <c r="C120" s="19"/>
      <c r="D120" s="19" t="s">
        <v>6</v>
      </c>
      <c r="E120" s="19" t="s">
        <v>990</v>
      </c>
      <c r="F120" s="19" t="s">
        <v>547</v>
      </c>
      <c r="G120" s="9" t="s">
        <v>49</v>
      </c>
      <c r="H120" s="34">
        <v>40567</v>
      </c>
      <c r="I120" s="19" t="s">
        <v>10</v>
      </c>
      <c r="J120" s="33" t="s">
        <v>184</v>
      </c>
      <c r="K120" s="34" t="s">
        <v>184</v>
      </c>
      <c r="L120" s="20" t="s">
        <v>51</v>
      </c>
      <c r="M120" s="19" t="s">
        <v>13</v>
      </c>
      <c r="N120" s="6">
        <v>44000</v>
      </c>
      <c r="O120" s="6"/>
      <c r="P120" s="49">
        <v>1</v>
      </c>
      <c r="Q120" s="20" t="s">
        <v>50</v>
      </c>
      <c r="R120" s="11" t="s">
        <v>247</v>
      </c>
      <c r="S120" s="11">
        <v>3</v>
      </c>
      <c r="T120" s="2">
        <v>1913</v>
      </c>
      <c r="U120" s="12">
        <f t="shared" si="108"/>
        <v>43.477272727272727</v>
      </c>
      <c r="V120" s="2">
        <v>1115</v>
      </c>
      <c r="W120" s="23">
        <f t="shared" si="109"/>
        <v>25.34090909090909</v>
      </c>
      <c r="X120" s="5">
        <f t="shared" si="110"/>
        <v>0.41714584422373235</v>
      </c>
      <c r="Y120" s="13">
        <f t="shared" si="111"/>
        <v>798</v>
      </c>
      <c r="Z120" s="967"/>
      <c r="AA120" s="21"/>
      <c r="AB120" s="2"/>
      <c r="AC120" s="1391"/>
      <c r="AD120" s="1394"/>
      <c r="AE120" s="2"/>
      <c r="AF120" s="2"/>
      <c r="AG120" s="2"/>
      <c r="AH120" s="20" t="s">
        <v>50</v>
      </c>
      <c r="AI120" s="15">
        <v>118819</v>
      </c>
      <c r="AJ120" s="7">
        <f t="shared" si="112"/>
        <v>2.7004318181818183</v>
      </c>
      <c r="AK120" s="15">
        <v>67443</v>
      </c>
      <c r="AL120" s="7">
        <f t="shared" si="113"/>
        <v>1.5327954545454545</v>
      </c>
      <c r="AM120" s="8">
        <f t="shared" si="114"/>
        <v>0.43238875937350085</v>
      </c>
      <c r="AN120" s="16">
        <f t="shared" si="115"/>
        <v>51376</v>
      </c>
      <c r="AO120" s="22"/>
      <c r="AP120" s="2"/>
      <c r="AQ120" s="2"/>
      <c r="AR120" s="2"/>
      <c r="AS120" s="20" t="s">
        <v>50</v>
      </c>
      <c r="AT120" s="2">
        <v>179563</v>
      </c>
      <c r="AU120" s="9" t="s">
        <v>13</v>
      </c>
      <c r="AV120" s="2">
        <f>AT120/N120</f>
        <v>4.0809772727272726</v>
      </c>
      <c r="AW120" s="2">
        <v>121788</v>
      </c>
      <c r="AX120" s="9" t="s">
        <v>13</v>
      </c>
      <c r="AY120" s="2">
        <f>AW120/N120</f>
        <v>2.7679090909090909</v>
      </c>
      <c r="AZ120" s="8">
        <f>(AT120-AW120)/AT120</f>
        <v>0.32175336789873193</v>
      </c>
      <c r="BA120" s="17">
        <f>AT120-AW120</f>
        <v>57775</v>
      </c>
      <c r="BB120" s="2"/>
      <c r="BC120" s="2"/>
      <c r="BD120" s="2"/>
      <c r="BE120" s="2"/>
      <c r="BF120" s="20" t="s">
        <v>50</v>
      </c>
      <c r="BG120" s="945"/>
      <c r="BH120" s="261"/>
      <c r="BJ120" s="15"/>
      <c r="BK120" s="15"/>
      <c r="BL120" s="3"/>
      <c r="BM120" s="3"/>
      <c r="BN120" s="1353"/>
      <c r="BO120" s="1"/>
      <c r="BP120" s="11" t="s">
        <v>247</v>
      </c>
      <c r="BQ120" s="3"/>
      <c r="BR120" s="3"/>
    </row>
    <row r="121" spans="1:70" s="3" customFormat="1" ht="27.6" customHeight="1" x14ac:dyDescent="0.2">
      <c r="A121" s="28" t="s">
        <v>131</v>
      </c>
      <c r="B121" s="11">
        <v>112</v>
      </c>
      <c r="C121" s="11"/>
      <c r="D121" s="11" t="s">
        <v>130</v>
      </c>
      <c r="E121" s="11" t="s">
        <v>985</v>
      </c>
      <c r="F121" s="11"/>
      <c r="G121" s="1" t="s">
        <v>129</v>
      </c>
      <c r="H121" s="37">
        <v>40836</v>
      </c>
      <c r="I121" s="1" t="s">
        <v>22</v>
      </c>
      <c r="J121" s="33" t="s">
        <v>184</v>
      </c>
      <c r="K121" s="33" t="s">
        <v>184</v>
      </c>
      <c r="L121" s="28" t="s">
        <v>132</v>
      </c>
      <c r="M121" s="1" t="s">
        <v>13</v>
      </c>
      <c r="N121" s="2">
        <v>68400</v>
      </c>
      <c r="O121" s="2"/>
      <c r="P121" s="14">
        <v>1</v>
      </c>
      <c r="Q121" s="28" t="s">
        <v>131</v>
      </c>
      <c r="R121" s="11" t="s">
        <v>247</v>
      </c>
      <c r="S121" s="11">
        <v>3</v>
      </c>
      <c r="T121" s="2">
        <v>23291</v>
      </c>
      <c r="U121" s="10">
        <f t="shared" si="108"/>
        <v>340.51169590643275</v>
      </c>
      <c r="V121" s="2">
        <v>8015</v>
      </c>
      <c r="W121" s="10">
        <f t="shared" si="109"/>
        <v>117.17836257309941</v>
      </c>
      <c r="X121" s="8">
        <f t="shared" si="110"/>
        <v>0.655875660126229</v>
      </c>
      <c r="Y121" s="2">
        <f t="shared" si="111"/>
        <v>15276</v>
      </c>
      <c r="Z121" s="992"/>
      <c r="AC121" s="1391"/>
      <c r="AD121" s="1396"/>
      <c r="AH121" s="28" t="s">
        <v>131</v>
      </c>
      <c r="AI121" s="15">
        <v>210152</v>
      </c>
      <c r="AJ121" s="7">
        <f t="shared" si="112"/>
        <v>3.0723976608187136</v>
      </c>
      <c r="AK121" s="15">
        <v>107570</v>
      </c>
      <c r="AL121" s="7">
        <f t="shared" si="113"/>
        <v>1.5726608187134503</v>
      </c>
      <c r="AM121" s="8">
        <f t="shared" si="114"/>
        <v>0.48813239940614411</v>
      </c>
      <c r="AN121" s="15">
        <f t="shared" si="115"/>
        <v>102582</v>
      </c>
      <c r="AS121" s="28" t="s">
        <v>131</v>
      </c>
      <c r="AX121" s="1"/>
      <c r="BF121" s="28" t="s">
        <v>131</v>
      </c>
      <c r="BG121" s="65"/>
      <c r="BH121" s="42"/>
      <c r="BJ121" s="15"/>
      <c r="BK121" s="15"/>
      <c r="BN121" s="1353"/>
      <c r="BO121" s="1"/>
      <c r="BP121" s="11" t="s">
        <v>247</v>
      </c>
    </row>
    <row r="122" spans="1:70" s="3" customFormat="1" ht="27.6" customHeight="1" x14ac:dyDescent="0.2">
      <c r="A122" s="4" t="s">
        <v>18</v>
      </c>
      <c r="B122" s="11">
        <v>113</v>
      </c>
      <c r="C122" s="11"/>
      <c r="D122" s="11" t="s">
        <v>77</v>
      </c>
      <c r="E122" s="11" t="s">
        <v>991</v>
      </c>
      <c r="F122" s="11"/>
      <c r="G122" s="1" t="s">
        <v>17</v>
      </c>
      <c r="H122" s="33">
        <v>40534</v>
      </c>
      <c r="I122" s="11" t="s">
        <v>19</v>
      </c>
      <c r="J122" s="33" t="s">
        <v>184</v>
      </c>
      <c r="K122" s="33" t="s">
        <v>184</v>
      </c>
      <c r="L122" s="4" t="s">
        <v>12</v>
      </c>
      <c r="M122" s="11" t="s">
        <v>13</v>
      </c>
      <c r="N122" s="6">
        <v>34271</v>
      </c>
      <c r="O122" s="6"/>
      <c r="P122" s="49">
        <v>2</v>
      </c>
      <c r="Q122" s="4" t="s">
        <v>18</v>
      </c>
      <c r="R122" s="11" t="s">
        <v>247</v>
      </c>
      <c r="S122" s="11">
        <v>3</v>
      </c>
      <c r="T122" s="2">
        <v>2178</v>
      </c>
      <c r="U122" s="12">
        <f t="shared" si="108"/>
        <v>63.552274517813892</v>
      </c>
      <c r="V122" s="2">
        <v>1492</v>
      </c>
      <c r="W122" s="23">
        <f t="shared" si="109"/>
        <v>43.535350587960664</v>
      </c>
      <c r="X122" s="1912">
        <f t="shared" si="110"/>
        <v>0.31496786042240588</v>
      </c>
      <c r="Y122" s="13">
        <f t="shared" si="111"/>
        <v>686</v>
      </c>
      <c r="Z122" s="967"/>
      <c r="AA122" s="25"/>
      <c r="AB122" s="2"/>
      <c r="AC122" s="1391"/>
      <c r="AD122" s="1394"/>
      <c r="AE122" s="2"/>
      <c r="AF122" s="2"/>
      <c r="AG122" s="2"/>
      <c r="AH122" s="4" t="s">
        <v>18</v>
      </c>
      <c r="AI122" s="15">
        <v>51338</v>
      </c>
      <c r="AJ122" s="7">
        <f t="shared" si="112"/>
        <v>1.4980012255259549</v>
      </c>
      <c r="AK122" s="15">
        <v>36026</v>
      </c>
      <c r="AL122" s="7">
        <f t="shared" si="113"/>
        <v>1.0512094774007179</v>
      </c>
      <c r="AM122" s="8">
        <f t="shared" si="114"/>
        <v>0.29825859986754449</v>
      </c>
      <c r="AN122" s="16">
        <f t="shared" si="115"/>
        <v>15312</v>
      </c>
      <c r="AO122" s="7"/>
      <c r="AP122" s="2"/>
      <c r="AQ122" s="2"/>
      <c r="AR122" s="2"/>
      <c r="AS122" s="4" t="s">
        <v>18</v>
      </c>
      <c r="AT122" s="2"/>
      <c r="AU122" s="9" t="s">
        <v>13</v>
      </c>
      <c r="AV122" s="2">
        <f>AT122/N122</f>
        <v>0</v>
      </c>
      <c r="AX122" s="9" t="s">
        <v>13</v>
      </c>
      <c r="AY122" s="2">
        <f>AW122/N122</f>
        <v>0</v>
      </c>
      <c r="AZ122" s="8"/>
      <c r="BA122" s="17">
        <f>AT122-AW122</f>
        <v>0</v>
      </c>
      <c r="BC122" s="9"/>
      <c r="BD122" s="2"/>
      <c r="BE122" s="2"/>
      <c r="BF122" s="4" t="s">
        <v>18</v>
      </c>
      <c r="BG122" s="945"/>
      <c r="BH122" s="261"/>
      <c r="BI122" s="41"/>
      <c r="BJ122" s="15"/>
      <c r="BK122" s="15"/>
      <c r="BN122" s="1353"/>
      <c r="BO122" s="1"/>
      <c r="BP122" s="11" t="s">
        <v>247</v>
      </c>
    </row>
    <row r="123" spans="1:70" s="3" customFormat="1" ht="27.6" customHeight="1" x14ac:dyDescent="0.2">
      <c r="A123" s="4" t="s">
        <v>87</v>
      </c>
      <c r="B123" s="11">
        <v>114</v>
      </c>
      <c r="C123" s="11"/>
      <c r="D123" s="11" t="s">
        <v>86</v>
      </c>
      <c r="E123" s="11"/>
      <c r="F123" s="11"/>
      <c r="G123" s="1" t="s">
        <v>85</v>
      </c>
      <c r="H123" s="33">
        <v>40382</v>
      </c>
      <c r="I123" s="11" t="s">
        <v>10</v>
      </c>
      <c r="J123" s="33" t="s">
        <v>185</v>
      </c>
      <c r="K123" s="33" t="s">
        <v>184</v>
      </c>
      <c r="L123" s="4" t="s">
        <v>88</v>
      </c>
      <c r="M123" s="11" t="s">
        <v>13</v>
      </c>
      <c r="N123" s="6">
        <v>75000</v>
      </c>
      <c r="O123" s="6"/>
      <c r="P123" s="49">
        <v>3</v>
      </c>
      <c r="Q123" s="4" t="s">
        <v>87</v>
      </c>
      <c r="R123" s="11" t="s">
        <v>247</v>
      </c>
      <c r="S123" s="11">
        <v>4</v>
      </c>
      <c r="T123" s="2">
        <v>5827</v>
      </c>
      <c r="U123" s="12">
        <f t="shared" si="108"/>
        <v>77.693333333333342</v>
      </c>
      <c r="V123" s="2">
        <v>3550</v>
      </c>
      <c r="W123" s="23">
        <f t="shared" si="109"/>
        <v>47.333333333333329</v>
      </c>
      <c r="X123" s="5">
        <f t="shared" si="110"/>
        <v>0.39076711858589325</v>
      </c>
      <c r="Y123" s="13">
        <f t="shared" si="111"/>
        <v>2277</v>
      </c>
      <c r="Z123" s="967"/>
      <c r="AA123" s="14"/>
      <c r="AB123" s="2"/>
      <c r="AC123" s="1391"/>
      <c r="AD123" s="1394"/>
      <c r="AE123" s="2"/>
      <c r="AF123" s="2"/>
      <c r="AG123" s="2"/>
      <c r="AH123" s="4" t="s">
        <v>87</v>
      </c>
      <c r="AI123" s="15">
        <v>135642</v>
      </c>
      <c r="AJ123" s="7">
        <f t="shared" si="112"/>
        <v>1.8085599999999999</v>
      </c>
      <c r="AK123" s="15">
        <v>87360</v>
      </c>
      <c r="AL123" s="7">
        <f t="shared" si="113"/>
        <v>1.1648000000000001</v>
      </c>
      <c r="AM123" s="8">
        <f t="shared" si="114"/>
        <v>0.35595169637722829</v>
      </c>
      <c r="AN123" s="16">
        <f t="shared" si="115"/>
        <v>48282</v>
      </c>
      <c r="AP123" s="2"/>
      <c r="AQ123" s="2"/>
      <c r="AR123" s="2"/>
      <c r="AS123" s="4" t="s">
        <v>87</v>
      </c>
      <c r="AT123" s="2">
        <v>587500</v>
      </c>
      <c r="AU123" s="9" t="s">
        <v>13</v>
      </c>
      <c r="AV123" s="2">
        <f>AT123/N123</f>
        <v>7.833333333333333</v>
      </c>
      <c r="AW123" s="2">
        <v>398125</v>
      </c>
      <c r="AX123" s="9" t="s">
        <v>13</v>
      </c>
      <c r="AY123" s="2">
        <f>AW123/N123</f>
        <v>5.3083333333333336</v>
      </c>
      <c r="AZ123" s="8">
        <f>(AT123-AW123)/AT123</f>
        <v>0.32234042553191489</v>
      </c>
      <c r="BA123" s="17">
        <f>AT123-AW123</f>
        <v>189375</v>
      </c>
      <c r="BC123" s="9"/>
      <c r="BD123" s="2"/>
      <c r="BE123" s="2"/>
      <c r="BF123" s="4" t="s">
        <v>87</v>
      </c>
      <c r="BG123" s="945"/>
      <c r="BH123" s="261"/>
      <c r="BI123" s="41"/>
      <c r="BJ123" s="15"/>
      <c r="BK123" s="15"/>
      <c r="BN123" s="1353"/>
      <c r="BO123" s="1"/>
      <c r="BP123" s="11" t="s">
        <v>247</v>
      </c>
    </row>
    <row r="124" spans="1:70" s="3" customFormat="1" ht="27.6" customHeight="1" x14ac:dyDescent="0.2">
      <c r="A124" s="4" t="s">
        <v>117</v>
      </c>
      <c r="B124" s="11">
        <v>115</v>
      </c>
      <c r="C124" s="11"/>
      <c r="D124" s="11" t="s">
        <v>113</v>
      </c>
      <c r="E124" s="11" t="s">
        <v>986</v>
      </c>
      <c r="F124" s="11"/>
      <c r="G124" s="1" t="s">
        <v>116</v>
      </c>
      <c r="H124" s="33">
        <v>40308</v>
      </c>
      <c r="I124" s="11" t="s">
        <v>10</v>
      </c>
      <c r="J124" s="33" t="s">
        <v>183</v>
      </c>
      <c r="K124" s="33" t="s">
        <v>184</v>
      </c>
      <c r="L124" s="11" t="s">
        <v>193</v>
      </c>
      <c r="M124" s="11">
        <v>31</v>
      </c>
      <c r="N124" s="19">
        <v>26000</v>
      </c>
      <c r="O124" s="19">
        <f>N124/M124</f>
        <v>838.70967741935488</v>
      </c>
      <c r="P124" s="83">
        <v>4</v>
      </c>
      <c r="Q124" s="4" t="s">
        <v>117</v>
      </c>
      <c r="R124" s="11" t="s">
        <v>247</v>
      </c>
      <c r="S124" s="11">
        <v>4</v>
      </c>
      <c r="T124" s="9">
        <v>1846</v>
      </c>
      <c r="U124" s="12">
        <f t="shared" si="108"/>
        <v>71</v>
      </c>
      <c r="V124" s="9">
        <v>1121</v>
      </c>
      <c r="W124" s="23">
        <f t="shared" si="109"/>
        <v>43.11538461538462</v>
      </c>
      <c r="X124" s="5">
        <f t="shared" si="110"/>
        <v>0.39274106175514628</v>
      </c>
      <c r="Y124" s="13">
        <f t="shared" si="111"/>
        <v>725</v>
      </c>
      <c r="Z124" s="967"/>
      <c r="AA124" s="1"/>
      <c r="AB124" s="11"/>
      <c r="AC124" s="1391"/>
      <c r="AD124" s="1393"/>
      <c r="AE124" s="11"/>
      <c r="AF124" s="11"/>
      <c r="AG124" s="11"/>
      <c r="AH124" s="4" t="s">
        <v>117</v>
      </c>
      <c r="AI124" s="29">
        <v>30466</v>
      </c>
      <c r="AJ124" s="7">
        <f t="shared" si="112"/>
        <v>1.1717692307692307</v>
      </c>
      <c r="AK124" s="29">
        <v>19282</v>
      </c>
      <c r="AL124" s="7">
        <f t="shared" si="113"/>
        <v>0.74161538461538457</v>
      </c>
      <c r="AM124" s="8">
        <f t="shared" si="114"/>
        <v>0.36709774830959102</v>
      </c>
      <c r="AN124" s="16">
        <f t="shared" si="115"/>
        <v>11184</v>
      </c>
      <c r="AO124" s="1"/>
      <c r="AP124" s="11"/>
      <c r="AQ124" s="11"/>
      <c r="AR124" s="11"/>
      <c r="AS124" s="4" t="s">
        <v>117</v>
      </c>
      <c r="AT124" s="19">
        <v>475929</v>
      </c>
      <c r="AU124" s="2">
        <f>AT124/M124</f>
        <v>15352.548387096775</v>
      </c>
      <c r="AV124" s="2">
        <f>AT124/N124</f>
        <v>18.304961538461537</v>
      </c>
      <c r="AW124" s="19">
        <v>337075</v>
      </c>
      <c r="AX124" s="9">
        <f>AW124/M124</f>
        <v>10873.387096774193</v>
      </c>
      <c r="AY124" s="2">
        <f>AW124/N124</f>
        <v>12.964423076923078</v>
      </c>
      <c r="AZ124" s="8">
        <f>(AT124-AW124)/AT124</f>
        <v>0.2917536019028048</v>
      </c>
      <c r="BA124" s="17">
        <f>AT124-AW124</f>
        <v>138854</v>
      </c>
      <c r="BB124" s="11"/>
      <c r="BC124" s="11"/>
      <c r="BD124" s="11"/>
      <c r="BE124" s="11"/>
      <c r="BF124" s="4" t="s">
        <v>117</v>
      </c>
      <c r="BG124" s="945"/>
      <c r="BH124" s="261"/>
      <c r="BI124" s="41"/>
      <c r="BJ124" s="15"/>
      <c r="BK124" s="15"/>
      <c r="BN124" s="1353"/>
      <c r="BO124" s="1"/>
      <c r="BP124" s="11" t="s">
        <v>247</v>
      </c>
    </row>
    <row r="125" spans="1:70" s="1724" customFormat="1" ht="27.6" customHeight="1" thickBot="1" x14ac:dyDescent="0.3">
      <c r="A125" s="1710" t="s">
        <v>1467</v>
      </c>
      <c r="B125" s="1711">
        <v>116</v>
      </c>
      <c r="C125" s="1711" t="s">
        <v>951</v>
      </c>
      <c r="D125" s="1711" t="s">
        <v>68</v>
      </c>
      <c r="E125" s="1711" t="s">
        <v>992</v>
      </c>
      <c r="F125" s="1711" t="s">
        <v>650</v>
      </c>
      <c r="G125" s="1712" t="s">
        <v>1468</v>
      </c>
      <c r="H125" s="1713">
        <v>42915</v>
      </c>
      <c r="I125" s="1712" t="s">
        <v>4</v>
      </c>
      <c r="J125" s="1714"/>
      <c r="K125" s="1827"/>
      <c r="L125" s="1710" t="s">
        <v>135</v>
      </c>
      <c r="M125" s="1712">
        <v>395</v>
      </c>
      <c r="N125" s="1717">
        <v>83462</v>
      </c>
      <c r="O125" s="1718">
        <f>N125/M125</f>
        <v>211.29620253164558</v>
      </c>
      <c r="P125" s="1719">
        <v>10</v>
      </c>
      <c r="Q125" s="1710" t="str">
        <f>A125</f>
        <v>Greene Residence Hall Renovation</v>
      </c>
      <c r="R125" s="1711" t="s">
        <v>248</v>
      </c>
      <c r="S125" s="1711">
        <v>3</v>
      </c>
      <c r="T125" s="1717">
        <v>5199</v>
      </c>
      <c r="U125" s="1730">
        <f t="shared" si="108"/>
        <v>62.291821427715611</v>
      </c>
      <c r="V125" s="1717">
        <v>5139</v>
      </c>
      <c r="W125" s="1730">
        <f t="shared" si="109"/>
        <v>61.572931393927774</v>
      </c>
      <c r="X125" s="1722">
        <f t="shared" si="110"/>
        <v>1.1540680900173111E-2</v>
      </c>
      <c r="Y125" s="1717">
        <f t="shared" si="111"/>
        <v>60</v>
      </c>
      <c r="Z125" s="1723"/>
      <c r="AC125" s="1725" t="s">
        <v>1298</v>
      </c>
      <c r="AD125" s="1726">
        <v>47</v>
      </c>
      <c r="AH125" s="1710" t="str">
        <f>A125</f>
        <v>Greene Residence Hall Renovation</v>
      </c>
      <c r="AI125" s="1727">
        <v>123606</v>
      </c>
      <c r="AJ125" s="1728">
        <f t="shared" si="112"/>
        <v>1.4809853586063118</v>
      </c>
      <c r="AK125" s="1727">
        <v>119683</v>
      </c>
      <c r="AL125" s="1728">
        <f t="shared" si="113"/>
        <v>1.4339819318971507</v>
      </c>
      <c r="AM125" s="1722">
        <f t="shared" si="114"/>
        <v>3.1737941523874248E-2</v>
      </c>
      <c r="AN125" s="1727">
        <f t="shared" si="115"/>
        <v>3923</v>
      </c>
      <c r="AS125" s="1710" t="str">
        <f>A125</f>
        <v>Greene Residence Hall Renovation</v>
      </c>
      <c r="AT125" s="1717">
        <v>2958825</v>
      </c>
      <c r="AU125" s="1729">
        <f>AT125/M125</f>
        <v>7490.6962025316452</v>
      </c>
      <c r="AV125" s="1730">
        <f>AT125/N125</f>
        <v>35.451163403704683</v>
      </c>
      <c r="AW125" s="1717">
        <v>1891131</v>
      </c>
      <c r="AX125" s="1729">
        <f>AW125/M125</f>
        <v>4787.6734177215194</v>
      </c>
      <c r="AY125" s="1730">
        <f>AW125/N125</f>
        <v>22.658587141453594</v>
      </c>
      <c r="AZ125" s="1722">
        <f>(AT125-AW125)/AT125</f>
        <v>0.36085067552153305</v>
      </c>
      <c r="BA125" s="1717">
        <f>AT125-AW125</f>
        <v>1067694</v>
      </c>
      <c r="BF125" s="1710" t="str">
        <f>A125</f>
        <v>Greene Residence Hall Renovation</v>
      </c>
      <c r="BG125" s="1823">
        <v>19000000</v>
      </c>
      <c r="BH125" s="1732">
        <f>BG125/N125</f>
        <v>227.64851069948</v>
      </c>
      <c r="BI125" s="1734">
        <f>BG125-131119</f>
        <v>18868881</v>
      </c>
      <c r="BJ125" s="1727">
        <v>1750000</v>
      </c>
      <c r="BK125" s="1727"/>
      <c r="BL125" s="1727">
        <v>23400</v>
      </c>
      <c r="BM125" s="1727">
        <v>89500</v>
      </c>
      <c r="BN125" s="1736">
        <f>((BG125-BI125)+BK125+BL125+BM125)/AN125</f>
        <v>62.202141218455267</v>
      </c>
      <c r="BO125" s="1712" t="s">
        <v>947</v>
      </c>
      <c r="BP125" s="1711" t="s">
        <v>248</v>
      </c>
    </row>
    <row r="126" spans="1:70" ht="15" thickTop="1" x14ac:dyDescent="0.2">
      <c r="BM126" s="87"/>
      <c r="BN126" s="1353"/>
    </row>
    <row r="127" spans="1:70" x14ac:dyDescent="0.2">
      <c r="U127" s="902"/>
      <c r="BM127" s="87"/>
      <c r="BN127" s="1353"/>
    </row>
    <row r="128" spans="1:70" x14ac:dyDescent="0.2">
      <c r="A128" s="28"/>
      <c r="B128" s="11"/>
      <c r="C128" s="11"/>
      <c r="Q128" s="28"/>
      <c r="R128" s="11"/>
      <c r="S128" s="11"/>
      <c r="AH128" s="28"/>
      <c r="AS128" s="28"/>
      <c r="BF128" s="28"/>
      <c r="BP128" s="11"/>
    </row>
    <row r="129" spans="1:68" x14ac:dyDescent="0.2">
      <c r="A129" s="28"/>
      <c r="B129" s="11"/>
      <c r="C129" s="11"/>
      <c r="Q129" s="28"/>
      <c r="R129" s="11"/>
      <c r="S129" s="11"/>
      <c r="AH129" s="28"/>
      <c r="AK129" s="30"/>
      <c r="AS129" s="28"/>
      <c r="BF129" s="28"/>
      <c r="BP129" s="11"/>
    </row>
    <row r="130" spans="1:68" x14ac:dyDescent="0.2">
      <c r="BI130" s="43"/>
    </row>
    <row r="131" spans="1:68" x14ac:dyDescent="0.2">
      <c r="AI131" s="502"/>
      <c r="AK131" s="43"/>
      <c r="AM131" s="8"/>
    </row>
    <row r="132" spans="1:68" x14ac:dyDescent="0.2">
      <c r="BI132" s="44"/>
    </row>
    <row r="134" spans="1:68" x14ac:dyDescent="0.2">
      <c r="AK134" s="43"/>
    </row>
    <row r="140" spans="1:68" x14ac:dyDescent="0.2">
      <c r="BE140" s="26" t="s">
        <v>38</v>
      </c>
    </row>
  </sheetData>
  <autoFilter ref="K3:K125"/>
  <sortState ref="A4:BR89">
    <sortCondition ref="K4:K125"/>
  </sortState>
  <mergeCells count="10">
    <mergeCell ref="BG1:BM1"/>
    <mergeCell ref="AI2:AR2"/>
    <mergeCell ref="AT2:BE2"/>
    <mergeCell ref="D1:P1"/>
    <mergeCell ref="D2:P2"/>
    <mergeCell ref="AI1:AR1"/>
    <mergeCell ref="AT1:BE1"/>
    <mergeCell ref="BG2:BM2"/>
    <mergeCell ref="R1:AG1"/>
    <mergeCell ref="R2:AG2"/>
  </mergeCells>
  <phoneticPr fontId="20" type="noConversion"/>
  <hyperlinks>
    <hyperlink ref="F34" r:id="rId1"/>
    <hyperlink ref="F15" r:id="rId2"/>
    <hyperlink ref="C79" r:id="rId3" display="In Progress"/>
    <hyperlink ref="C74" r:id="rId4" display="In Progress"/>
    <hyperlink ref="C24" r:id="rId5"/>
    <hyperlink ref="C63" r:id="rId6"/>
    <hyperlink ref="C83" r:id="rId7"/>
    <hyperlink ref="C101" r:id="rId8"/>
    <hyperlink ref="C88" r:id="rId9"/>
    <hyperlink ref="C4" r:id="rId10"/>
    <hyperlink ref="C6" r:id="rId11"/>
    <hyperlink ref="C7" r:id="rId12"/>
    <hyperlink ref="C8" r:id="rId13"/>
    <hyperlink ref="C10" r:id="rId14"/>
    <hyperlink ref="C11" r:id="rId15"/>
    <hyperlink ref="C12" r:id="rId16"/>
    <hyperlink ref="C17" r:id="rId17"/>
    <hyperlink ref="C18:C23" r:id="rId18" display="Gold"/>
    <hyperlink ref="C25" r:id="rId19"/>
    <hyperlink ref="C26" r:id="rId20" display="In Progress"/>
    <hyperlink ref="C29" r:id="rId21"/>
    <hyperlink ref="C33" r:id="rId22"/>
    <hyperlink ref="C35" r:id="rId23"/>
    <hyperlink ref="C36" r:id="rId24"/>
    <hyperlink ref="C37" r:id="rId25" display="In Progress"/>
    <hyperlink ref="C38" r:id="rId26" display="In Progress"/>
    <hyperlink ref="C39" r:id="rId27" display="In Progress"/>
    <hyperlink ref="C40" r:id="rId28" display="In Progress"/>
    <hyperlink ref="C41" r:id="rId29" display="In Progress"/>
    <hyperlink ref="C42" r:id="rId30" display="In Progress"/>
    <hyperlink ref="C43" r:id="rId31"/>
    <hyperlink ref="C44" r:id="rId32" display="In Progress"/>
    <hyperlink ref="C56" r:id="rId33"/>
    <hyperlink ref="C53" r:id="rId34" display="In Progress"/>
    <hyperlink ref="C54" r:id="rId35" display="In Progress"/>
    <hyperlink ref="C60" r:id="rId36"/>
    <hyperlink ref="C66" r:id="rId37"/>
    <hyperlink ref="C67" r:id="rId38" display="In Progress"/>
    <hyperlink ref="C70" r:id="rId39"/>
    <hyperlink ref="C71" r:id="rId40"/>
    <hyperlink ref="C111" r:id="rId41"/>
    <hyperlink ref="C89" r:id="rId42"/>
    <hyperlink ref="C102" r:id="rId43"/>
    <hyperlink ref="C81" r:id="rId44"/>
    <hyperlink ref="C100" r:id="rId45"/>
    <hyperlink ref="F44" r:id="rId46" display="rjbest@haywood.edu"/>
    <hyperlink ref="C93" r:id="rId47"/>
    <hyperlink ref="C109" r:id="rId48"/>
    <hyperlink ref="C98" r:id="rId49"/>
    <hyperlink ref="C59" r:id="rId50"/>
    <hyperlink ref="C61" r:id="rId51"/>
    <hyperlink ref="C62" r:id="rId52"/>
    <hyperlink ref="C48" r:id="rId53"/>
    <hyperlink ref="C49" r:id="rId54"/>
    <hyperlink ref="C50" r:id="rId55"/>
    <hyperlink ref="C51" r:id="rId56"/>
    <hyperlink ref="C52" r:id="rId57"/>
    <hyperlink ref="C57" r:id="rId58"/>
    <hyperlink ref="C92" r:id="rId59"/>
    <hyperlink ref="C108" r:id="rId60"/>
    <hyperlink ref="C112" r:id="rId61"/>
  </hyperlinks>
  <printOptions horizontalCentered="1" gridLines="1"/>
  <pageMargins left="0.25" right="0.25" top="0.75" bottom="0.75" header="0.3" footer="0.3"/>
  <pageSetup scale="59" fitToHeight="0" orientation="landscape" r:id="rId62"/>
  <headerFooter alignWithMargins="0">
    <oddFooter>&amp;CPage &amp;P of &amp;N</oddFooter>
  </headerFooter>
  <rowBreaks count="5" manualBreakCount="5">
    <brk id="23" max="55" man="1"/>
    <brk id="44" max="55" man="1"/>
    <brk id="64" max="59" man="1"/>
    <brk id="82" max="59" man="1"/>
    <brk id="105" max="59" man="1"/>
  </rowBreaks>
  <colBreaks count="4" manualBreakCount="4">
    <brk id="16" max="101" man="1"/>
    <brk id="33" max="101" man="1"/>
    <brk id="44" max="101" man="1"/>
    <brk id="57" max="101" man="1"/>
  </colBreaks>
  <drawing r:id="rId63"/>
  <legacyDrawing r:id="rId6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131"/>
  <sheetViews>
    <sheetView topLeftCell="AK1" workbookViewId="0">
      <selection sqref="A1:XFD1048576"/>
    </sheetView>
  </sheetViews>
  <sheetFormatPr defaultColWidth="8.85546875" defaultRowHeight="14.25" x14ac:dyDescent="0.2"/>
  <cols>
    <col min="1" max="1" width="23.140625" style="26" customWidth="1"/>
    <col min="2" max="2" width="9.5703125" style="26" customWidth="1"/>
    <col min="3" max="3" width="8.85546875" style="26" hidden="1" customWidth="1"/>
    <col min="4" max="4" width="15.28515625" style="26" bestFit="1" customWidth="1"/>
    <col min="5" max="5" width="11.7109375" style="72" customWidth="1"/>
    <col min="6" max="6" width="7.5703125" style="26" customWidth="1"/>
    <col min="7" max="7" width="13.42578125" style="35" customWidth="1"/>
    <col min="8" max="8" width="13" style="35" customWidth="1"/>
    <col min="9" max="9" width="15.42578125" style="32" customWidth="1"/>
    <col min="10" max="10" width="6.28515625" style="31" customWidth="1"/>
    <col min="11" max="11" width="12.28515625" style="38" customWidth="1"/>
    <col min="12" max="12" width="10.28515625" style="84" customWidth="1"/>
    <col min="13" max="13" width="23.140625" style="26" customWidth="1"/>
    <col min="14" max="14" width="9.85546875" style="31" customWidth="1"/>
    <col min="15" max="15" width="9.42578125" style="38" customWidth="1"/>
    <col min="16" max="16" width="9.42578125" style="26" customWidth="1"/>
    <col min="17" max="17" width="11.28515625" style="38" customWidth="1"/>
    <col min="18" max="18" width="10.140625" style="26" customWidth="1"/>
    <col min="19" max="19" width="10.28515625" style="39" customWidth="1"/>
    <col min="20" max="20" width="10.42578125" style="26" customWidth="1"/>
    <col min="21" max="21" width="10.42578125" style="31" customWidth="1"/>
    <col min="22" max="22" width="11.28515625" style="26" bestFit="1" customWidth="1"/>
    <col min="23" max="23" width="9.42578125" style="26" customWidth="1"/>
    <col min="24" max="24" width="10.28515625" style="26" customWidth="1"/>
    <col min="25" max="25" width="9.85546875" style="26" bestFit="1" customWidth="1"/>
    <col min="26" max="26" width="23.140625" style="26" customWidth="1"/>
    <col min="27" max="27" width="13.5703125" style="26" customWidth="1"/>
    <col min="28" max="28" width="11.5703125" style="26" customWidth="1"/>
    <col min="29" max="29" width="13.5703125" style="26" customWidth="1"/>
    <col min="30" max="30" width="11.5703125" style="26" customWidth="1"/>
    <col min="31" max="31" width="10.28515625" style="26" customWidth="1"/>
    <col min="32" max="32" width="13.140625" style="26" customWidth="1"/>
    <col min="33" max="33" width="12.85546875" style="26" customWidth="1"/>
    <col min="34" max="34" width="12" style="26" customWidth="1"/>
    <col min="35" max="35" width="10.28515625" style="26" customWidth="1"/>
    <col min="36" max="36" width="13.7109375" style="26" customWidth="1"/>
    <col min="37" max="37" width="23.140625" style="26" customWidth="1"/>
    <col min="38" max="38" width="15.140625" style="26" customWidth="1"/>
    <col min="39" max="39" width="10.28515625" style="26" customWidth="1"/>
    <col min="40" max="40" width="10.42578125" style="26" customWidth="1"/>
    <col min="41" max="41" width="15.140625" style="26" customWidth="1"/>
    <col min="42" max="42" width="10.28515625" style="31" customWidth="1"/>
    <col min="43" max="43" width="11" style="26" customWidth="1"/>
    <col min="44" max="44" width="13.28515625" style="26" customWidth="1"/>
    <col min="45" max="45" width="15.140625" style="26" customWidth="1"/>
    <col min="46" max="46" width="14.42578125" style="26" customWidth="1"/>
    <col min="47" max="47" width="10.140625" style="26" customWidth="1"/>
    <col min="48" max="48" width="8.42578125" style="26" customWidth="1"/>
    <col min="49" max="49" width="11.28515625" style="26" customWidth="1"/>
    <col min="50" max="50" width="23.140625" style="26" customWidth="1"/>
    <col min="51" max="51" width="15" style="26" customWidth="1"/>
    <col min="52" max="52" width="10" style="26" customWidth="1"/>
    <col min="53" max="53" width="18.7109375" style="26" bestFit="1" customWidth="1"/>
    <col min="54" max="54" width="15.42578125" style="15" customWidth="1"/>
    <col min="55" max="55" width="13.5703125" style="15" bestFit="1" customWidth="1"/>
    <col min="56" max="56" width="13.28515625" style="3" customWidth="1"/>
    <col min="57" max="57" width="15.85546875" style="3" bestFit="1" customWidth="1"/>
    <col min="58" max="58" width="10.7109375" style="26" customWidth="1"/>
    <col min="59" max="59" width="8.85546875" style="1"/>
    <col min="60" max="60" width="9.85546875" style="31" customWidth="1"/>
    <col min="61" max="61" width="12.7109375" style="26" bestFit="1" customWidth="1"/>
    <col min="62" max="16384" width="8.85546875" style="26"/>
  </cols>
  <sheetData>
    <row r="1" spans="1:60" s="45" customFormat="1" ht="112.9" customHeight="1" x14ac:dyDescent="0.2">
      <c r="A1" s="52"/>
      <c r="B1" s="2250" t="s">
        <v>1140</v>
      </c>
      <c r="C1" s="2250"/>
      <c r="D1" s="2250"/>
      <c r="E1" s="2250"/>
      <c r="F1" s="2250"/>
      <c r="G1" s="2250"/>
      <c r="H1" s="2250"/>
      <c r="I1" s="2250"/>
      <c r="J1" s="2250"/>
      <c r="K1" s="2250"/>
      <c r="L1" s="2250"/>
      <c r="M1" s="52"/>
      <c r="N1" s="2269"/>
      <c r="O1" s="2270"/>
      <c r="P1" s="2270"/>
      <c r="Q1" s="2270"/>
      <c r="R1" s="2270"/>
      <c r="S1" s="2270"/>
      <c r="T1" s="2270"/>
      <c r="U1" s="2270"/>
      <c r="V1" s="2270"/>
      <c r="W1" s="2270"/>
      <c r="X1" s="2270"/>
      <c r="Y1" s="2270"/>
      <c r="Z1" s="52"/>
      <c r="AA1" s="2271"/>
      <c r="AB1" s="2271"/>
      <c r="AC1" s="2271"/>
      <c r="AD1" s="2271"/>
      <c r="AE1" s="2271"/>
      <c r="AF1" s="2271"/>
      <c r="AG1" s="2271"/>
      <c r="AH1" s="2271"/>
      <c r="AI1" s="2271"/>
      <c r="AJ1" s="2271"/>
      <c r="AK1" s="52"/>
      <c r="AL1" s="2271"/>
      <c r="AM1" s="2271"/>
      <c r="AN1" s="2271"/>
      <c r="AO1" s="2271"/>
      <c r="AP1" s="2271"/>
      <c r="AQ1" s="2271"/>
      <c r="AR1" s="2271"/>
      <c r="AS1" s="2271"/>
      <c r="AT1" s="2271"/>
      <c r="AU1" s="2271"/>
      <c r="AV1" s="2271"/>
      <c r="AW1" s="2271"/>
      <c r="AX1" s="52"/>
      <c r="AY1" s="2271"/>
      <c r="AZ1" s="2271"/>
      <c r="BA1" s="2271"/>
      <c r="BB1" s="2271"/>
      <c r="BC1" s="2271"/>
      <c r="BD1" s="2271"/>
      <c r="BE1" s="2271"/>
      <c r="BG1" s="88"/>
    </row>
    <row r="2" spans="1:60" s="63" customFormat="1" ht="17.45" customHeight="1" x14ac:dyDescent="0.2">
      <c r="A2" s="81">
        <v>74776</v>
      </c>
      <c r="B2" s="2251" t="s">
        <v>218</v>
      </c>
      <c r="C2" s="2251"/>
      <c r="D2" s="2251"/>
      <c r="E2" s="2251"/>
      <c r="F2" s="2251"/>
      <c r="G2" s="2251"/>
      <c r="H2" s="2251"/>
      <c r="I2" s="2251"/>
      <c r="J2" s="2251"/>
      <c r="K2" s="2251"/>
      <c r="L2" s="2251"/>
      <c r="M2" s="81">
        <v>74776</v>
      </c>
      <c r="N2" s="2252" t="s">
        <v>219</v>
      </c>
      <c r="O2" s="2262"/>
      <c r="P2" s="2262"/>
      <c r="Q2" s="2262"/>
      <c r="R2" s="2262"/>
      <c r="S2" s="2262"/>
      <c r="T2" s="2262"/>
      <c r="U2" s="2262"/>
      <c r="V2" s="2262"/>
      <c r="W2" s="2262"/>
      <c r="X2" s="2262"/>
      <c r="Y2" s="2262"/>
      <c r="Z2" s="81">
        <v>74776</v>
      </c>
      <c r="AA2" s="2251" t="s">
        <v>220</v>
      </c>
      <c r="AB2" s="2251"/>
      <c r="AC2" s="2251"/>
      <c r="AD2" s="2251"/>
      <c r="AE2" s="2251"/>
      <c r="AF2" s="2251"/>
      <c r="AG2" s="2251"/>
      <c r="AH2" s="2251"/>
      <c r="AI2" s="2251"/>
      <c r="AJ2" s="2251"/>
      <c r="AK2" s="81">
        <v>74776</v>
      </c>
      <c r="AL2" s="2251" t="s">
        <v>290</v>
      </c>
      <c r="AM2" s="2251"/>
      <c r="AN2" s="2251"/>
      <c r="AO2" s="2251"/>
      <c r="AP2" s="2251"/>
      <c r="AQ2" s="2251"/>
      <c r="AR2" s="2251"/>
      <c r="AS2" s="2251"/>
      <c r="AT2" s="2251"/>
      <c r="AU2" s="2251"/>
      <c r="AV2" s="2251"/>
      <c r="AW2" s="2251"/>
      <c r="AX2" s="81">
        <v>74776</v>
      </c>
      <c r="AY2" s="2251" t="s">
        <v>291</v>
      </c>
      <c r="AZ2" s="2251"/>
      <c r="BA2" s="2251"/>
      <c r="BB2" s="2251"/>
      <c r="BC2" s="2251"/>
      <c r="BD2" s="2251"/>
      <c r="BE2" s="2251"/>
      <c r="BG2" s="89"/>
    </row>
    <row r="3" spans="1:60" ht="105" x14ac:dyDescent="0.25">
      <c r="A3" s="53" t="s">
        <v>0</v>
      </c>
      <c r="B3" s="428" t="s">
        <v>207</v>
      </c>
      <c r="C3" s="53" t="s">
        <v>550</v>
      </c>
      <c r="D3" s="54" t="s">
        <v>3</v>
      </c>
      <c r="E3" s="55" t="s">
        <v>1141</v>
      </c>
      <c r="F3" s="53" t="s">
        <v>205</v>
      </c>
      <c r="G3" s="55" t="s">
        <v>206</v>
      </c>
      <c r="H3" s="55" t="s">
        <v>277</v>
      </c>
      <c r="I3" s="53" t="s">
        <v>1142</v>
      </c>
      <c r="J3" s="53" t="s">
        <v>75</v>
      </c>
      <c r="K3" s="56" t="s">
        <v>259</v>
      </c>
      <c r="L3" s="56" t="s">
        <v>489</v>
      </c>
      <c r="M3" s="53" t="s">
        <v>0</v>
      </c>
      <c r="N3" s="53" t="s">
        <v>246</v>
      </c>
      <c r="O3" s="57" t="s">
        <v>1</v>
      </c>
      <c r="P3" s="53" t="s">
        <v>1143</v>
      </c>
      <c r="Q3" s="57" t="s">
        <v>2</v>
      </c>
      <c r="R3" s="53" t="s">
        <v>1144</v>
      </c>
      <c r="S3" s="58" t="s">
        <v>272</v>
      </c>
      <c r="T3" s="53" t="s">
        <v>41</v>
      </c>
      <c r="U3" s="53" t="s">
        <v>1145</v>
      </c>
      <c r="V3" s="53" t="s">
        <v>236</v>
      </c>
      <c r="W3" s="53" t="s">
        <v>1146</v>
      </c>
      <c r="X3" s="53" t="s">
        <v>273</v>
      </c>
      <c r="Y3" s="53" t="s">
        <v>1147</v>
      </c>
      <c r="Z3" s="53" t="s">
        <v>0</v>
      </c>
      <c r="AA3" s="59" t="s">
        <v>1</v>
      </c>
      <c r="AB3" s="53" t="s">
        <v>33</v>
      </c>
      <c r="AC3" s="54" t="s">
        <v>2</v>
      </c>
      <c r="AD3" s="53" t="s">
        <v>201</v>
      </c>
      <c r="AE3" s="53" t="s">
        <v>39</v>
      </c>
      <c r="AF3" s="53" t="s">
        <v>42</v>
      </c>
      <c r="AG3" s="54" t="s">
        <v>237</v>
      </c>
      <c r="AH3" s="53" t="s">
        <v>238</v>
      </c>
      <c r="AI3" s="53" t="s">
        <v>239</v>
      </c>
      <c r="AJ3" s="53" t="s">
        <v>240</v>
      </c>
      <c r="AK3" s="53" t="s">
        <v>0</v>
      </c>
      <c r="AL3" s="53" t="s">
        <v>71</v>
      </c>
      <c r="AM3" s="53" t="s">
        <v>29</v>
      </c>
      <c r="AN3" s="53" t="s">
        <v>30</v>
      </c>
      <c r="AO3" s="53" t="s">
        <v>72</v>
      </c>
      <c r="AP3" s="53" t="s">
        <v>31</v>
      </c>
      <c r="AQ3" s="53" t="s">
        <v>32</v>
      </c>
      <c r="AR3" s="53" t="s">
        <v>40</v>
      </c>
      <c r="AS3" s="53" t="s">
        <v>43</v>
      </c>
      <c r="AT3" s="53" t="s">
        <v>241</v>
      </c>
      <c r="AU3" s="53" t="s">
        <v>242</v>
      </c>
      <c r="AV3" s="53" t="s">
        <v>243</v>
      </c>
      <c r="AW3" s="53" t="s">
        <v>274</v>
      </c>
      <c r="AX3" s="53" t="s">
        <v>0</v>
      </c>
      <c r="AY3" s="53" t="s">
        <v>255</v>
      </c>
      <c r="AZ3" s="53" t="s">
        <v>293</v>
      </c>
      <c r="BA3" s="53" t="s">
        <v>256</v>
      </c>
      <c r="BB3" s="75" t="s">
        <v>257</v>
      </c>
      <c r="BC3" s="75" t="s">
        <v>258</v>
      </c>
      <c r="BD3" s="53" t="s">
        <v>254</v>
      </c>
      <c r="BE3" s="53" t="s">
        <v>171</v>
      </c>
      <c r="BF3" s="53" t="s">
        <v>292</v>
      </c>
      <c r="BG3" s="54" t="s">
        <v>316</v>
      </c>
      <c r="BH3" s="53" t="s">
        <v>246</v>
      </c>
    </row>
    <row r="4" spans="1:60" s="41" customFormat="1" ht="28.5" x14ac:dyDescent="0.2">
      <c r="A4" s="4" t="s">
        <v>169</v>
      </c>
      <c r="B4" s="11" t="s">
        <v>26</v>
      </c>
      <c r="C4" s="11" t="s">
        <v>508</v>
      </c>
      <c r="D4" s="1" t="s">
        <v>141</v>
      </c>
      <c r="E4" s="33">
        <v>39833</v>
      </c>
      <c r="F4" s="11" t="s">
        <v>10</v>
      </c>
      <c r="G4" s="33">
        <v>40070</v>
      </c>
      <c r="H4" s="60">
        <v>40352</v>
      </c>
      <c r="I4" s="4" t="s">
        <v>135</v>
      </c>
      <c r="J4" s="11">
        <v>278</v>
      </c>
      <c r="K4" s="19">
        <v>58803</v>
      </c>
      <c r="L4" s="83">
        <v>8</v>
      </c>
      <c r="M4" s="4" t="s">
        <v>169</v>
      </c>
      <c r="N4" s="11" t="s">
        <v>247</v>
      </c>
      <c r="O4" s="9">
        <v>3467</v>
      </c>
      <c r="P4" s="12">
        <f t="shared" ref="P4:P47" si="0">O4/K4*1000</f>
        <v>58.959576892335427</v>
      </c>
      <c r="Q4" s="9">
        <v>1993</v>
      </c>
      <c r="R4" s="23">
        <f t="shared" ref="R4:R67" si="1">Q4/K4*1000</f>
        <v>33.892828597180419</v>
      </c>
      <c r="S4" s="5">
        <f t="shared" ref="S4:S67" si="2">(O4-Q4)/O4</f>
        <v>0.425151427747332</v>
      </c>
      <c r="T4" s="13">
        <f t="shared" ref="T4:T67" si="3">O4-Q4</f>
        <v>1474</v>
      </c>
      <c r="U4" s="74" t="s">
        <v>1148</v>
      </c>
      <c r="V4" s="9">
        <f>'[3]13.14 Meter Data'!Y6</f>
        <v>5419.3772947199996</v>
      </c>
      <c r="W4" s="40">
        <f>V4/K4*1000</f>
        <v>92.161578401101977</v>
      </c>
      <c r="X4" s="5">
        <f>(O4-V4)/O4</f>
        <v>-0.56313161082203622</v>
      </c>
      <c r="Y4" s="51">
        <f>O4-V4</f>
        <v>-1952.3772947199996</v>
      </c>
      <c r="Z4" s="4" t="s">
        <v>169</v>
      </c>
      <c r="AA4" s="29">
        <v>81830</v>
      </c>
      <c r="AB4" s="7">
        <f t="shared" ref="AB4:AB67" si="4">AA4/K4</f>
        <v>1.3915956668877438</v>
      </c>
      <c r="AC4" s="29">
        <v>43969</v>
      </c>
      <c r="AD4" s="7">
        <f t="shared" ref="AD4:AD67" si="5">AC4/K4</f>
        <v>0.74773395915174401</v>
      </c>
      <c r="AE4" s="8">
        <f t="shared" ref="AE4:AE67" si="6">(AA4-AC4)/AA4</f>
        <v>0.46267872418428452</v>
      </c>
      <c r="AF4" s="16">
        <f t="shared" ref="AF4:AF67" si="7">AA4-AC4</f>
        <v>37861</v>
      </c>
      <c r="AG4" s="29">
        <f>'[3]13.14 Meter Data'!W10</f>
        <v>131154.05768</v>
      </c>
      <c r="AH4" s="46">
        <f>AG4/K4</f>
        <v>2.2303973892488478</v>
      </c>
      <c r="AI4" s="47">
        <f>(AA4-AG4)/AA4</f>
        <v>-0.60276252816815346</v>
      </c>
      <c r="AJ4" s="48">
        <f>AA4-AG4</f>
        <v>-49324.057679999998</v>
      </c>
      <c r="AK4" s="4" t="s">
        <v>169</v>
      </c>
      <c r="AL4" s="19">
        <v>2000376</v>
      </c>
      <c r="AM4" s="2">
        <f>AL4/J4</f>
        <v>7195.5971223021579</v>
      </c>
      <c r="AN4" s="2">
        <f t="shared" ref="AN4:AN67" si="8">AL4/K4</f>
        <v>34.018264374266622</v>
      </c>
      <c r="AO4" s="19">
        <v>1397116</v>
      </c>
      <c r="AP4" s="9">
        <f>AO4/J4</f>
        <v>5025.5971223021579</v>
      </c>
      <c r="AQ4" s="2">
        <f t="shared" ref="AQ4:AQ67" si="9">AO4/K4</f>
        <v>23.759263983130111</v>
      </c>
      <c r="AR4" s="8">
        <f t="shared" ref="AR4:AR67" si="10">(AL4-AO4)/AL4</f>
        <v>0.30157330421880685</v>
      </c>
      <c r="AS4" s="17">
        <f t="shared" ref="AS4:AS67" si="11">AL4-AO4</f>
        <v>603260</v>
      </c>
      <c r="AT4" s="50">
        <f>'[3]13.14 Meter Data'!W7</f>
        <v>1686813.173</v>
      </c>
      <c r="AU4" s="2">
        <f>AT4/J4</f>
        <v>6067.6732841726616</v>
      </c>
      <c r="AV4" s="51">
        <f t="shared" ref="AV4:AV9" si="12">AT4/K4</f>
        <v>28.685835297518832</v>
      </c>
      <c r="AW4" s="8">
        <f t="shared" ref="AW4:AW9" si="13">(AL4-AT4)/AL4</f>
        <v>0.15675194413450275</v>
      </c>
      <c r="AX4" s="4" t="s">
        <v>169</v>
      </c>
      <c r="AY4" s="64">
        <v>7585100</v>
      </c>
      <c r="AZ4" s="42">
        <f>AY4/K4</f>
        <v>128.99171810962025</v>
      </c>
      <c r="BA4" s="15">
        <v>5965486</v>
      </c>
      <c r="BB4" s="15">
        <v>883660</v>
      </c>
      <c r="BC4" s="85">
        <v>0</v>
      </c>
      <c r="BD4" s="3"/>
      <c r="BE4" s="15">
        <v>62500</v>
      </c>
      <c r="BF4" s="10">
        <f>((AY4-BA4)+BC4+BD4+BE4)/AF4</f>
        <v>44.428673304984024</v>
      </c>
      <c r="BG4" s="1" t="s">
        <v>294</v>
      </c>
      <c r="BH4" s="11" t="s">
        <v>247</v>
      </c>
    </row>
    <row r="5" spans="1:60" s="41" customFormat="1" ht="42.75" x14ac:dyDescent="0.2">
      <c r="A5" s="4" t="s">
        <v>83</v>
      </c>
      <c r="B5" s="11" t="s">
        <v>63</v>
      </c>
      <c r="C5" s="11" t="s">
        <v>545</v>
      </c>
      <c r="D5" s="1" t="s">
        <v>82</v>
      </c>
      <c r="E5" s="33">
        <v>41348</v>
      </c>
      <c r="F5" s="11" t="s">
        <v>168</v>
      </c>
      <c r="G5" s="33">
        <v>40402</v>
      </c>
      <c r="H5" s="60">
        <v>40693</v>
      </c>
      <c r="I5" s="4" t="s">
        <v>202</v>
      </c>
      <c r="J5" s="11" t="s">
        <v>13</v>
      </c>
      <c r="K5" s="6">
        <v>22705</v>
      </c>
      <c r="L5" s="49">
        <v>2</v>
      </c>
      <c r="M5" s="4" t="s">
        <v>83</v>
      </c>
      <c r="N5" s="11" t="s">
        <v>247</v>
      </c>
      <c r="O5" s="2">
        <v>2082</v>
      </c>
      <c r="P5" s="12">
        <f t="shared" si="0"/>
        <v>91.697863906628498</v>
      </c>
      <c r="Q5" s="2">
        <v>1477</v>
      </c>
      <c r="R5" s="23">
        <f t="shared" si="1"/>
        <v>65.051750715701388</v>
      </c>
      <c r="S5" s="5">
        <f t="shared" si="2"/>
        <v>0.2905859750240154</v>
      </c>
      <c r="T5" s="13">
        <f t="shared" si="3"/>
        <v>605</v>
      </c>
      <c r="U5" s="74" t="s">
        <v>1149</v>
      </c>
      <c r="V5" s="49">
        <f>'[3]13.14 Meter Data'!Y15</f>
        <v>5698.822335090832</v>
      </c>
      <c r="W5" s="40">
        <f>V5/K5*1000</f>
        <v>250.99415701787413</v>
      </c>
      <c r="X5" s="5">
        <f>(O5-V5)/O5</f>
        <v>-1.737186520216538</v>
      </c>
      <c r="Y5" s="51">
        <f>O5-V5</f>
        <v>-3616.822335090832</v>
      </c>
      <c r="Z5" s="4" t="s">
        <v>83</v>
      </c>
      <c r="AA5" s="15">
        <v>30538</v>
      </c>
      <c r="AB5" s="7">
        <f t="shared" si="4"/>
        <v>1.3449900902884828</v>
      </c>
      <c r="AC5" s="15">
        <v>21943</v>
      </c>
      <c r="AD5" s="7">
        <f t="shared" si="5"/>
        <v>0.96643911032812158</v>
      </c>
      <c r="AE5" s="8">
        <f t="shared" si="6"/>
        <v>0.28145261641233871</v>
      </c>
      <c r="AF5" s="16">
        <f t="shared" si="7"/>
        <v>8595</v>
      </c>
      <c r="AG5" s="15">
        <f>'[3]13.14 Meter Data'!W19</f>
        <v>72532.839924074098</v>
      </c>
      <c r="AH5" s="46">
        <f>AG5/K5</f>
        <v>3.1945756407872317</v>
      </c>
      <c r="AI5" s="47">
        <f>(AA5-AG5)/AA5</f>
        <v>-1.3751666750957527</v>
      </c>
      <c r="AJ5" s="48">
        <f>AA5-AG5</f>
        <v>-41994.839924074098</v>
      </c>
      <c r="AK5" s="4" t="s">
        <v>83</v>
      </c>
      <c r="AL5" s="2">
        <v>48654</v>
      </c>
      <c r="AM5" s="9" t="s">
        <v>13</v>
      </c>
      <c r="AN5" s="2">
        <f t="shared" si="8"/>
        <v>2.1428760184981281</v>
      </c>
      <c r="AO5" s="2">
        <v>27934</v>
      </c>
      <c r="AP5" s="1" t="s">
        <v>13</v>
      </c>
      <c r="AQ5" s="2">
        <f t="shared" si="9"/>
        <v>1.2303016956617485</v>
      </c>
      <c r="AR5" s="8">
        <f t="shared" si="10"/>
        <v>0.42586426604184652</v>
      </c>
      <c r="AS5" s="17">
        <f t="shared" si="11"/>
        <v>20720</v>
      </c>
      <c r="AT5" s="2">
        <f>'[3]13.14 Meter Data'!W16</f>
        <v>1535270</v>
      </c>
      <c r="AU5" s="9" t="s">
        <v>13</v>
      </c>
      <c r="AV5" s="2">
        <f t="shared" si="12"/>
        <v>67.618145782867217</v>
      </c>
      <c r="AW5" s="8">
        <f t="shared" si="13"/>
        <v>-30.554856743535989</v>
      </c>
      <c r="AX5" s="4" t="s">
        <v>83</v>
      </c>
      <c r="AY5" s="64">
        <v>4029200</v>
      </c>
      <c r="AZ5" s="42">
        <f>AY5/K5</f>
        <v>177.45870953534464</v>
      </c>
      <c r="BA5" s="15">
        <v>3944812</v>
      </c>
      <c r="BB5" s="15">
        <v>295500</v>
      </c>
      <c r="BC5" s="85">
        <v>0</v>
      </c>
      <c r="BD5" s="3"/>
      <c r="BE5" s="15">
        <v>65100</v>
      </c>
      <c r="BF5" s="10">
        <f>((AY5-BA5)+BC5+BD5+BE5)/AF5</f>
        <v>17.392437463641652</v>
      </c>
      <c r="BG5" s="1" t="s">
        <v>295</v>
      </c>
      <c r="BH5" s="11" t="s">
        <v>247</v>
      </c>
    </row>
    <row r="6" spans="1:60" s="41" customFormat="1" ht="42.75" x14ac:dyDescent="0.2">
      <c r="A6" s="4" t="s">
        <v>283</v>
      </c>
      <c r="B6" s="11" t="s">
        <v>63</v>
      </c>
      <c r="C6" s="11" t="s">
        <v>545</v>
      </c>
      <c r="D6" s="1" t="s">
        <v>64</v>
      </c>
      <c r="E6" s="33">
        <v>39974</v>
      </c>
      <c r="F6" s="11" t="s">
        <v>10</v>
      </c>
      <c r="G6" s="33">
        <v>40016</v>
      </c>
      <c r="H6" s="60">
        <v>40743</v>
      </c>
      <c r="I6" s="4" t="s">
        <v>54</v>
      </c>
      <c r="J6" s="11">
        <v>431</v>
      </c>
      <c r="K6" s="6">
        <v>173086</v>
      </c>
      <c r="L6" s="83">
        <v>5</v>
      </c>
      <c r="M6" s="4" t="s">
        <v>283</v>
      </c>
      <c r="N6" s="11" t="s">
        <v>247</v>
      </c>
      <c r="O6" s="2">
        <v>38283</v>
      </c>
      <c r="P6" s="12">
        <f t="shared" si="0"/>
        <v>221.17906705337231</v>
      </c>
      <c r="Q6" s="2">
        <v>32882</v>
      </c>
      <c r="R6" s="23">
        <f t="shared" si="1"/>
        <v>189.97492575944904</v>
      </c>
      <c r="S6" s="5">
        <f t="shared" si="2"/>
        <v>0.14108089752631717</v>
      </c>
      <c r="T6" s="13">
        <f t="shared" si="3"/>
        <v>5401</v>
      </c>
      <c r="U6" s="74" t="s">
        <v>1149</v>
      </c>
      <c r="V6" s="49">
        <f>'[3]13.14 Meter Data'!Y24</f>
        <v>12027.527515042584</v>
      </c>
      <c r="W6" s="40">
        <f>V6/K6*1000</f>
        <v>69.488736899821959</v>
      </c>
      <c r="X6" s="5">
        <f>(O6-V6)/O6</f>
        <v>0.68582588838276559</v>
      </c>
      <c r="Y6" s="51">
        <f>O6-V6</f>
        <v>26255.472484957416</v>
      </c>
      <c r="Z6" s="4" t="s">
        <v>283</v>
      </c>
      <c r="AA6" s="15">
        <v>478677</v>
      </c>
      <c r="AB6" s="7">
        <f t="shared" si="4"/>
        <v>2.7655442958991485</v>
      </c>
      <c r="AC6" s="15">
        <v>411144</v>
      </c>
      <c r="AD6" s="7">
        <f t="shared" si="5"/>
        <v>2.3753740914920907</v>
      </c>
      <c r="AE6" s="8">
        <f t="shared" si="6"/>
        <v>0.14108260894089333</v>
      </c>
      <c r="AF6" s="16">
        <f t="shared" si="7"/>
        <v>67533</v>
      </c>
      <c r="AG6" s="15">
        <f>'[3]13.14 Meter Data'!W28</f>
        <v>163500.34471520528</v>
      </c>
      <c r="AH6" s="46">
        <f>AG6/K6</f>
        <v>0.94461911832964707</v>
      </c>
      <c r="AI6" s="47">
        <f>(AA6-AG6)/AA6</f>
        <v>0.65843283735127178</v>
      </c>
      <c r="AJ6" s="48">
        <f>AA6-AG6</f>
        <v>315176.65528479475</v>
      </c>
      <c r="AK6" s="4" t="s">
        <v>283</v>
      </c>
      <c r="AL6" s="2">
        <v>6961135</v>
      </c>
      <c r="AM6" s="2">
        <f>AL6/J6</f>
        <v>16151.125290023201</v>
      </c>
      <c r="AN6" s="10">
        <f t="shared" si="8"/>
        <v>40.217781911881957</v>
      </c>
      <c r="AO6" s="2">
        <v>5188175</v>
      </c>
      <c r="AP6" s="9">
        <f>AO6/J6</f>
        <v>12037.529002320185</v>
      </c>
      <c r="AQ6" s="10">
        <f t="shared" si="9"/>
        <v>29.974550223588274</v>
      </c>
      <c r="AR6" s="8">
        <f t="shared" si="10"/>
        <v>0.25469409801706189</v>
      </c>
      <c r="AS6" s="2">
        <f t="shared" si="11"/>
        <v>1772960</v>
      </c>
      <c r="AT6" s="2">
        <f>'[3]13.14 Meter Data'!W25</f>
        <v>4537323.12</v>
      </c>
      <c r="AU6" s="2">
        <f>AT6/J6</f>
        <v>10527.431832946637</v>
      </c>
      <c r="AV6" s="2">
        <f t="shared" si="12"/>
        <v>26.214269900511884</v>
      </c>
      <c r="AW6" s="8">
        <f t="shared" si="13"/>
        <v>0.34819205201450626</v>
      </c>
      <c r="AX6" s="4" t="s">
        <v>283</v>
      </c>
      <c r="AY6" s="64">
        <v>32995620</v>
      </c>
      <c r="AZ6" s="42">
        <f>AY6/K6</f>
        <v>190.63136244410293</v>
      </c>
      <c r="BA6" s="15">
        <v>33000165</v>
      </c>
      <c r="BB6" s="15">
        <v>2747550</v>
      </c>
      <c r="BC6" s="15">
        <v>58700</v>
      </c>
      <c r="BD6" s="15"/>
      <c r="BE6" s="15">
        <v>177000</v>
      </c>
      <c r="BF6" s="10">
        <f>((AY6-BA6)+BC6+BD6+BE6)/AF6</f>
        <v>3.4228451275672636</v>
      </c>
      <c r="BG6" s="1" t="s">
        <v>296</v>
      </c>
      <c r="BH6" s="11" t="s">
        <v>247</v>
      </c>
    </row>
    <row r="7" spans="1:60" s="41" customFormat="1" ht="31.15" customHeight="1" x14ac:dyDescent="0.2">
      <c r="A7" s="4" t="s">
        <v>529</v>
      </c>
      <c r="B7" s="11" t="s">
        <v>20</v>
      </c>
      <c r="C7" s="429" t="s">
        <v>570</v>
      </c>
      <c r="D7" s="1" t="s">
        <v>470</v>
      </c>
      <c r="E7" s="33">
        <v>40169</v>
      </c>
      <c r="F7" s="11" t="s">
        <v>10</v>
      </c>
      <c r="G7" s="33">
        <v>40203</v>
      </c>
      <c r="H7" s="60">
        <v>40760</v>
      </c>
      <c r="I7" s="4" t="s">
        <v>267</v>
      </c>
      <c r="J7" s="11" t="s">
        <v>13</v>
      </c>
      <c r="K7" s="6">
        <v>69610</v>
      </c>
      <c r="L7" s="49">
        <v>5</v>
      </c>
      <c r="M7" s="4" t="s">
        <v>529</v>
      </c>
      <c r="N7" s="11" t="s">
        <v>247</v>
      </c>
      <c r="O7" s="2">
        <v>6048.6</v>
      </c>
      <c r="P7" s="12">
        <f t="shared" si="0"/>
        <v>86.892687832208026</v>
      </c>
      <c r="Q7" s="2">
        <v>2596.1999999999998</v>
      </c>
      <c r="R7" s="23">
        <f t="shared" si="1"/>
        <v>37.296365464732077</v>
      </c>
      <c r="S7" s="5">
        <f t="shared" si="2"/>
        <v>0.57077670865985519</v>
      </c>
      <c r="T7" s="13">
        <f t="shared" si="3"/>
        <v>3452.4000000000005</v>
      </c>
      <c r="U7" s="74" t="s">
        <v>1150</v>
      </c>
      <c r="V7" s="83" t="s">
        <v>1151</v>
      </c>
      <c r="W7" s="40"/>
      <c r="X7" s="5"/>
      <c r="Y7" s="51"/>
      <c r="Z7" s="4" t="s">
        <v>529</v>
      </c>
      <c r="AA7" s="15">
        <v>148249</v>
      </c>
      <c r="AB7" s="7">
        <f t="shared" si="4"/>
        <v>2.1297083752334434</v>
      </c>
      <c r="AC7" s="15">
        <v>61035</v>
      </c>
      <c r="AD7" s="7">
        <f t="shared" si="5"/>
        <v>0.87681367619594885</v>
      </c>
      <c r="AE7" s="8">
        <f t="shared" si="6"/>
        <v>0.5882940188466701</v>
      </c>
      <c r="AF7" s="16">
        <f t="shared" si="7"/>
        <v>87214</v>
      </c>
      <c r="AG7" s="15" t="s">
        <v>1151</v>
      </c>
      <c r="AH7" s="22"/>
      <c r="AI7" s="47"/>
      <c r="AJ7" s="48"/>
      <c r="AK7" s="4" t="s">
        <v>529</v>
      </c>
      <c r="AL7" s="2">
        <v>871150</v>
      </c>
      <c r="AM7" s="9" t="s">
        <v>13</v>
      </c>
      <c r="AN7" s="10">
        <f t="shared" si="8"/>
        <v>12.514724895848298</v>
      </c>
      <c r="AO7" s="2">
        <v>601563</v>
      </c>
      <c r="AP7" s="9" t="s">
        <v>13</v>
      </c>
      <c r="AQ7" s="10">
        <f t="shared" si="9"/>
        <v>8.6419048987214477</v>
      </c>
      <c r="AR7" s="8">
        <f t="shared" si="10"/>
        <v>0.30946105722321071</v>
      </c>
      <c r="AS7" s="17">
        <f t="shared" si="11"/>
        <v>269587</v>
      </c>
      <c r="AT7" s="2">
        <f>'[3]13.14 Meter Data'!W35</f>
        <v>1129435.1200000001</v>
      </c>
      <c r="AU7" s="9" t="s">
        <v>13</v>
      </c>
      <c r="AV7" s="2">
        <f t="shared" si="12"/>
        <v>16.225184887228849</v>
      </c>
      <c r="AW7" s="8">
        <f t="shared" si="13"/>
        <v>-0.29648753945933548</v>
      </c>
      <c r="AX7" s="4" t="s">
        <v>529</v>
      </c>
      <c r="AY7" s="64">
        <v>16198787</v>
      </c>
      <c r="AZ7" s="42">
        <f>AY7/K7</f>
        <v>232.70775750610545</v>
      </c>
      <c r="BA7" s="15">
        <f>AY7-195321</f>
        <v>16003466</v>
      </c>
      <c r="BB7" s="73">
        <v>1795875</v>
      </c>
      <c r="BC7" s="73">
        <v>82875</v>
      </c>
      <c r="BD7" s="73">
        <v>16175</v>
      </c>
      <c r="BE7" s="73">
        <v>265694</v>
      </c>
      <c r="BF7" s="10">
        <f>((AY7-BA7)+BC7+BD7+BE7)/AF7</f>
        <v>6.4217327493292364</v>
      </c>
      <c r="BG7" s="1" t="s">
        <v>302</v>
      </c>
      <c r="BH7" s="11" t="s">
        <v>247</v>
      </c>
    </row>
    <row r="8" spans="1:60" s="41" customFormat="1" ht="29.25" customHeight="1" x14ac:dyDescent="0.2">
      <c r="A8" s="4" t="s">
        <v>191</v>
      </c>
      <c r="B8" s="11" t="s">
        <v>20</v>
      </c>
      <c r="C8" s="429" t="s">
        <v>570</v>
      </c>
      <c r="D8" s="1" t="s">
        <v>70</v>
      </c>
      <c r="E8" s="33">
        <v>40991</v>
      </c>
      <c r="F8" s="11" t="s">
        <v>168</v>
      </c>
      <c r="G8" s="33">
        <v>40028</v>
      </c>
      <c r="H8" s="60">
        <v>40765</v>
      </c>
      <c r="I8" s="4" t="s">
        <v>54</v>
      </c>
      <c r="J8" s="19">
        <v>528</v>
      </c>
      <c r="K8" s="6">
        <v>133570</v>
      </c>
      <c r="L8" s="49">
        <v>4</v>
      </c>
      <c r="M8" s="4" t="s">
        <v>191</v>
      </c>
      <c r="N8" s="11" t="s">
        <v>247</v>
      </c>
      <c r="O8" s="2">
        <v>16482</v>
      </c>
      <c r="P8" s="12">
        <f t="shared" si="0"/>
        <v>123.39597214943475</v>
      </c>
      <c r="Q8" s="2">
        <v>10635</v>
      </c>
      <c r="R8" s="23">
        <f t="shared" si="1"/>
        <v>79.621172418956348</v>
      </c>
      <c r="S8" s="5">
        <f t="shared" si="2"/>
        <v>0.35475063705860937</v>
      </c>
      <c r="T8" s="13">
        <f t="shared" si="3"/>
        <v>5847</v>
      </c>
      <c r="U8" s="74" t="s">
        <v>1149</v>
      </c>
      <c r="V8" s="49">
        <f>'[3]13.14 Meter Data'!Y45</f>
        <v>5625.2607201385044</v>
      </c>
      <c r="W8" s="40">
        <f>V8/K8*1000</f>
        <v>42.11470180533432</v>
      </c>
      <c r="X8" s="5">
        <f>(O8-V8)/O8</f>
        <v>0.65870278363435852</v>
      </c>
      <c r="Y8" s="51">
        <f>O8-V8</f>
        <v>10856.739279861496</v>
      </c>
      <c r="Z8" s="4" t="s">
        <v>191</v>
      </c>
      <c r="AA8" s="15">
        <v>292778</v>
      </c>
      <c r="AB8" s="7">
        <f t="shared" si="4"/>
        <v>2.1919442988695068</v>
      </c>
      <c r="AC8" s="15">
        <v>198708</v>
      </c>
      <c r="AD8" s="7">
        <f t="shared" si="5"/>
        <v>1.4876693868383619</v>
      </c>
      <c r="AE8" s="8">
        <f t="shared" si="6"/>
        <v>0.32130146390780728</v>
      </c>
      <c r="AF8" s="16">
        <f t="shared" si="7"/>
        <v>94070</v>
      </c>
      <c r="AG8" s="15">
        <v>100460</v>
      </c>
      <c r="AH8" s="22">
        <f>AG8/K8</f>
        <v>0.7521149958823089</v>
      </c>
      <c r="AI8" s="47">
        <f>(AA8-AG8)/AA8</f>
        <v>0.65687312571299761</v>
      </c>
      <c r="AJ8" s="48">
        <f>AA8-AG8</f>
        <v>192318</v>
      </c>
      <c r="AK8" s="4" t="s">
        <v>191</v>
      </c>
      <c r="AL8" s="2">
        <v>6283057</v>
      </c>
      <c r="AM8" s="2">
        <f>AL8/J8</f>
        <v>11899.729166666666</v>
      </c>
      <c r="AN8" s="2">
        <f t="shared" si="8"/>
        <v>47.039432507299544</v>
      </c>
      <c r="AO8" s="2">
        <v>4373148</v>
      </c>
      <c r="AP8" s="9">
        <f>AO8/J8</f>
        <v>8282.4772727272721</v>
      </c>
      <c r="AQ8" s="2">
        <f t="shared" si="9"/>
        <v>32.740495620274011</v>
      </c>
      <c r="AR8" s="8">
        <f t="shared" si="10"/>
        <v>0.30397766564906226</v>
      </c>
      <c r="AS8" s="17">
        <f t="shared" si="11"/>
        <v>1909909</v>
      </c>
      <c r="AT8" s="2">
        <f>'[3]13.14 Meter Data'!W46</f>
        <v>3417529.72</v>
      </c>
      <c r="AU8" s="2">
        <f>AT8/J8</f>
        <v>6472.5941666666668</v>
      </c>
      <c r="AV8" s="2">
        <f t="shared" si="12"/>
        <v>25.586057647675378</v>
      </c>
      <c r="AW8" s="8">
        <f t="shared" si="13"/>
        <v>0.45607214449908695</v>
      </c>
      <c r="AX8" s="4" t="s">
        <v>191</v>
      </c>
      <c r="AY8" s="64">
        <v>23276802</v>
      </c>
      <c r="AZ8" s="42">
        <f>AY8/K8</f>
        <v>174.2666916223703</v>
      </c>
      <c r="BA8" s="15">
        <v>21956196</v>
      </c>
      <c r="BB8" s="15">
        <v>2186050</v>
      </c>
      <c r="BC8" s="15">
        <f>99800+73700</f>
        <v>173500</v>
      </c>
      <c r="BD8" s="15"/>
      <c r="BE8" s="29">
        <v>104934</v>
      </c>
      <c r="BF8" s="10">
        <f>((AY8-BA8)+BC8+BD8+BE8)/AF8</f>
        <v>16.998405442755395</v>
      </c>
      <c r="BG8" s="1" t="s">
        <v>297</v>
      </c>
      <c r="BH8" s="11" t="s">
        <v>247</v>
      </c>
    </row>
    <row r="9" spans="1:60" s="41" customFormat="1" ht="57" x14ac:dyDescent="0.2">
      <c r="A9" s="349" t="s">
        <v>1152</v>
      </c>
      <c r="B9" s="11" t="s">
        <v>147</v>
      </c>
      <c r="C9" s="429" t="s">
        <v>1153</v>
      </c>
      <c r="D9" s="1" t="s">
        <v>523</v>
      </c>
      <c r="E9" s="33">
        <v>40315</v>
      </c>
      <c r="F9" s="11" t="s">
        <v>10</v>
      </c>
      <c r="G9" s="33" t="s">
        <v>475</v>
      </c>
      <c r="H9" s="60">
        <v>40773</v>
      </c>
      <c r="I9" s="4" t="s">
        <v>524</v>
      </c>
      <c r="J9" s="19" t="s">
        <v>13</v>
      </c>
      <c r="K9" s="6">
        <v>170189</v>
      </c>
      <c r="L9" s="49">
        <v>6</v>
      </c>
      <c r="M9" s="349" t="s">
        <v>1152</v>
      </c>
      <c r="N9" s="11" t="s">
        <v>247</v>
      </c>
      <c r="O9" s="2">
        <v>10672</v>
      </c>
      <c r="P9" s="12">
        <f t="shared" si="0"/>
        <v>62.706755430727014</v>
      </c>
      <c r="Q9" s="2">
        <v>7143</v>
      </c>
      <c r="R9" s="23">
        <f t="shared" si="1"/>
        <v>41.970985198808378</v>
      </c>
      <c r="S9" s="5">
        <f t="shared" si="2"/>
        <v>0.3306784107946027</v>
      </c>
      <c r="T9" s="13">
        <f t="shared" si="3"/>
        <v>3529</v>
      </c>
      <c r="U9" s="74" t="s">
        <v>1150</v>
      </c>
      <c r="V9" s="49">
        <f>'[3]13.14 Meter Data'!Y57</f>
        <v>25122.282750065078</v>
      </c>
      <c r="W9" s="40">
        <f>V9/K9*1000</f>
        <v>147.61402176442121</v>
      </c>
      <c r="X9" s="5">
        <f>(O9-V9)/O9</f>
        <v>-1.354036989323939</v>
      </c>
      <c r="Y9" s="51">
        <f>O9-V9</f>
        <v>-14450.282750065078</v>
      </c>
      <c r="Z9" s="349" t="s">
        <v>1152</v>
      </c>
      <c r="AA9" s="15">
        <v>116674</v>
      </c>
      <c r="AB9" s="7">
        <f t="shared" si="4"/>
        <v>0.68555547068259404</v>
      </c>
      <c r="AC9" s="15">
        <v>78320</v>
      </c>
      <c r="AD9" s="7">
        <f t="shared" si="5"/>
        <v>0.46019425462280172</v>
      </c>
      <c r="AE9" s="8">
        <f t="shared" si="6"/>
        <v>0.32872790853146372</v>
      </c>
      <c r="AF9" s="16">
        <f t="shared" si="7"/>
        <v>38354</v>
      </c>
      <c r="AG9" s="15">
        <f>'[3]13.14 Meter Data'!W63</f>
        <v>269941.97000000003</v>
      </c>
      <c r="AH9" s="22">
        <f>AG9/K9</f>
        <v>1.5861305372262604</v>
      </c>
      <c r="AI9" s="47">
        <f>(AA9-AG9)/AA9</f>
        <v>-1.3136428853043525</v>
      </c>
      <c r="AJ9" s="48">
        <f>AA9-AG9</f>
        <v>-153267.97000000003</v>
      </c>
      <c r="AK9" s="349" t="s">
        <v>1152</v>
      </c>
      <c r="AL9" s="2">
        <v>1518337</v>
      </c>
      <c r="AM9" s="9" t="s">
        <v>13</v>
      </c>
      <c r="AN9" s="2">
        <f t="shared" si="8"/>
        <v>8.9214755360217168</v>
      </c>
      <c r="AO9" s="2">
        <v>991995</v>
      </c>
      <c r="AP9" s="9" t="s">
        <v>13</v>
      </c>
      <c r="AQ9" s="2">
        <f t="shared" si="9"/>
        <v>5.8287844690314889</v>
      </c>
      <c r="AR9" s="8">
        <f t="shared" si="10"/>
        <v>0.34665690159694457</v>
      </c>
      <c r="AS9" s="17">
        <f t="shared" si="11"/>
        <v>526342</v>
      </c>
      <c r="AT9" s="2">
        <v>1089000</v>
      </c>
      <c r="AU9" s="9" t="s">
        <v>13</v>
      </c>
      <c r="AV9" s="2">
        <f t="shared" si="12"/>
        <v>6.3987684280417652</v>
      </c>
      <c r="AW9" s="8">
        <f t="shared" si="13"/>
        <v>0.28276792306319348</v>
      </c>
      <c r="AX9" s="349" t="s">
        <v>1152</v>
      </c>
      <c r="AY9" s="71" t="s">
        <v>1154</v>
      </c>
      <c r="AZ9" s="42"/>
      <c r="BA9" s="15"/>
      <c r="BB9" s="15"/>
      <c r="BC9" s="15"/>
      <c r="BD9" s="15"/>
      <c r="BE9" s="29"/>
      <c r="BF9" s="10"/>
      <c r="BG9" s="1" t="s">
        <v>301</v>
      </c>
      <c r="BH9" s="11" t="s">
        <v>247</v>
      </c>
    </row>
    <row r="10" spans="1:60" s="41" customFormat="1" ht="30.6" customHeight="1" x14ac:dyDescent="0.2">
      <c r="A10" s="4" t="s">
        <v>92</v>
      </c>
      <c r="B10" s="11" t="s">
        <v>276</v>
      </c>
      <c r="C10" s="11" t="s">
        <v>656</v>
      </c>
      <c r="D10" s="1" t="s">
        <v>118</v>
      </c>
      <c r="E10" s="33">
        <v>40304</v>
      </c>
      <c r="F10" s="11" t="s">
        <v>10</v>
      </c>
      <c r="G10" s="33">
        <v>40477</v>
      </c>
      <c r="H10" s="60">
        <v>40774</v>
      </c>
      <c r="I10" s="4" t="s">
        <v>93</v>
      </c>
      <c r="J10" s="11" t="s">
        <v>13</v>
      </c>
      <c r="K10" s="6">
        <v>67904</v>
      </c>
      <c r="L10" s="83">
        <v>1</v>
      </c>
      <c r="M10" s="4" t="s">
        <v>92</v>
      </c>
      <c r="N10" s="11" t="s">
        <v>247</v>
      </c>
      <c r="O10" s="2">
        <v>2961</v>
      </c>
      <c r="P10" s="12">
        <f t="shared" si="0"/>
        <v>43.605678605089537</v>
      </c>
      <c r="Q10" s="2">
        <v>1736</v>
      </c>
      <c r="R10" s="23">
        <f t="shared" si="1"/>
        <v>25.565504241281811</v>
      </c>
      <c r="S10" s="5">
        <f t="shared" si="2"/>
        <v>0.41371158392434987</v>
      </c>
      <c r="T10" s="13">
        <f t="shared" si="3"/>
        <v>1225</v>
      </c>
      <c r="U10" s="74" t="s">
        <v>1150</v>
      </c>
      <c r="V10" s="49">
        <v>3354</v>
      </c>
      <c r="W10" s="2">
        <f>V10/K10*1000</f>
        <v>49.39326107445806</v>
      </c>
      <c r="X10" s="5">
        <f>(O10-V10)/O10</f>
        <v>-0.13272543059777103</v>
      </c>
      <c r="Y10" s="2">
        <f>O10-V10</f>
        <v>-393</v>
      </c>
      <c r="Z10" s="4" t="s">
        <v>92</v>
      </c>
      <c r="AA10" s="15">
        <v>72840</v>
      </c>
      <c r="AB10" s="24">
        <f t="shared" si="4"/>
        <v>1.0726908576814327</v>
      </c>
      <c r="AC10" s="15">
        <v>42637</v>
      </c>
      <c r="AD10" s="24">
        <f t="shared" si="5"/>
        <v>0.62790115457115925</v>
      </c>
      <c r="AE10" s="8">
        <f t="shared" si="6"/>
        <v>0.41464854475562879</v>
      </c>
      <c r="AF10" s="16">
        <f t="shared" si="7"/>
        <v>30203</v>
      </c>
      <c r="AG10" s="15">
        <v>61917.13</v>
      </c>
      <c r="AH10" s="22">
        <f>AG10/K10</f>
        <v>0.91183332351555135</v>
      </c>
      <c r="AI10" s="47">
        <f>(AA10-AG10)/AA10</f>
        <v>0.14995702910488745</v>
      </c>
      <c r="AJ10" s="2">
        <f>AA10-AG10</f>
        <v>10922.870000000003</v>
      </c>
      <c r="AK10" s="4" t="s">
        <v>92</v>
      </c>
      <c r="AL10" s="2">
        <v>109500</v>
      </c>
      <c r="AM10" s="9" t="s">
        <v>13</v>
      </c>
      <c r="AN10" s="2">
        <f t="shared" si="8"/>
        <v>1.6125706880301602</v>
      </c>
      <c r="AO10" s="2">
        <v>87313</v>
      </c>
      <c r="AP10" s="9" t="s">
        <v>13</v>
      </c>
      <c r="AQ10" s="2">
        <f t="shared" si="9"/>
        <v>1.2858299952874646</v>
      </c>
      <c r="AR10" s="8">
        <f t="shared" si="10"/>
        <v>0.20262100456621004</v>
      </c>
      <c r="AS10" s="17">
        <f t="shared" si="11"/>
        <v>22187</v>
      </c>
      <c r="AT10" s="2" t="s">
        <v>38</v>
      </c>
      <c r="AU10" s="9" t="s">
        <v>13</v>
      </c>
      <c r="AV10" s="2"/>
      <c r="AW10" s="8"/>
      <c r="AX10" s="4" t="s">
        <v>92</v>
      </c>
      <c r="AY10" s="64">
        <v>5507600</v>
      </c>
      <c r="AZ10" s="42">
        <f t="shared" ref="AZ10:AZ25" si="14">AY10/K10</f>
        <v>81.108623939679546</v>
      </c>
      <c r="BA10" s="15">
        <v>5351000</v>
      </c>
      <c r="BB10" s="15">
        <v>484000</v>
      </c>
      <c r="BC10" s="15">
        <v>15000</v>
      </c>
      <c r="BD10" s="3"/>
      <c r="BE10" s="15">
        <v>43640</v>
      </c>
      <c r="BF10" s="10">
        <f t="shared" ref="BF10:BF25" si="15">((AY10-BA10)+BC10+BD10+BE10)/AF10</f>
        <v>7.1264443929410985</v>
      </c>
      <c r="BG10" s="1"/>
      <c r="BH10" s="11" t="s">
        <v>247</v>
      </c>
    </row>
    <row r="11" spans="1:60" s="41" customFormat="1" ht="29.25" customHeight="1" x14ac:dyDescent="0.2">
      <c r="A11" s="4" t="s">
        <v>269</v>
      </c>
      <c r="B11" s="11" t="s">
        <v>60</v>
      </c>
      <c r="C11" s="11" t="s">
        <v>510</v>
      </c>
      <c r="D11" s="1" t="s">
        <v>1155</v>
      </c>
      <c r="E11" s="33">
        <v>40249</v>
      </c>
      <c r="F11" s="11" t="s">
        <v>10</v>
      </c>
      <c r="G11" s="33">
        <v>40339</v>
      </c>
      <c r="H11" s="60">
        <v>40798</v>
      </c>
      <c r="I11" s="4" t="s">
        <v>112</v>
      </c>
      <c r="J11" s="11" t="s">
        <v>13</v>
      </c>
      <c r="K11" s="6">
        <v>24663</v>
      </c>
      <c r="L11" s="49">
        <v>2</v>
      </c>
      <c r="M11" s="4" t="s">
        <v>208</v>
      </c>
      <c r="N11" s="11" t="s">
        <v>247</v>
      </c>
      <c r="O11" s="2">
        <v>2746</v>
      </c>
      <c r="P11" s="12">
        <f t="shared" si="0"/>
        <v>111.34087499493168</v>
      </c>
      <c r="Q11" s="2">
        <v>1547</v>
      </c>
      <c r="R11" s="23">
        <f t="shared" si="1"/>
        <v>62.725540283015036</v>
      </c>
      <c r="S11" s="5">
        <f t="shared" si="2"/>
        <v>0.43663510560815733</v>
      </c>
      <c r="T11" s="13">
        <f t="shared" si="3"/>
        <v>1199</v>
      </c>
      <c r="U11" s="74" t="s">
        <v>1149</v>
      </c>
      <c r="V11" s="49">
        <f>'[3]13.14 Meter Data'!Y78</f>
        <v>13048.661900305149</v>
      </c>
      <c r="W11" s="40">
        <f>(V11/K11*1000)*K11/66128</f>
        <v>197.32430892065611</v>
      </c>
      <c r="X11" s="5">
        <f>(O11-V11)/O11</f>
        <v>-3.7518797888948106</v>
      </c>
      <c r="Y11" s="51">
        <f>O11-V11</f>
        <v>-10302.661900305149</v>
      </c>
      <c r="Z11" s="4" t="s">
        <v>208</v>
      </c>
      <c r="AA11" s="15">
        <v>69316</v>
      </c>
      <c r="AB11" s="7">
        <f t="shared" si="4"/>
        <v>2.8105258889834976</v>
      </c>
      <c r="AC11" s="15">
        <v>38688</v>
      </c>
      <c r="AD11" s="7">
        <f t="shared" si="5"/>
        <v>1.5686656124559055</v>
      </c>
      <c r="AE11" s="8">
        <f t="shared" si="6"/>
        <v>0.44186046511627908</v>
      </c>
      <c r="AF11" s="16">
        <f t="shared" si="7"/>
        <v>30628</v>
      </c>
      <c r="AG11" s="15">
        <f>'[3]13.14 Meter Data'!W83</f>
        <v>215008.26437801085</v>
      </c>
      <c r="AH11" s="22">
        <f>AG11/66128</f>
        <v>3.2513952392029224</v>
      </c>
      <c r="AI11" s="47">
        <f>(AA11-AG11)/AA11</f>
        <v>-2.1018562002713783</v>
      </c>
      <c r="AJ11" s="48">
        <f>AA11-AG11</f>
        <v>-145692.26437801085</v>
      </c>
      <c r="AK11" s="4" t="s">
        <v>208</v>
      </c>
      <c r="AL11" s="2">
        <v>320198</v>
      </c>
      <c r="AM11" s="9" t="s">
        <v>13</v>
      </c>
      <c r="AN11" s="2">
        <f t="shared" si="8"/>
        <v>12.982929894984389</v>
      </c>
      <c r="AO11" s="2">
        <v>230958</v>
      </c>
      <c r="AP11" s="9" t="s">
        <v>13</v>
      </c>
      <c r="AQ11" s="2">
        <f t="shared" si="9"/>
        <v>9.3645541904877749</v>
      </c>
      <c r="AR11" s="8">
        <f t="shared" si="10"/>
        <v>0.2787025527954578</v>
      </c>
      <c r="AS11" s="17">
        <f t="shared" si="11"/>
        <v>89240</v>
      </c>
      <c r="AT11" s="2">
        <f>'[3]13.14 Meter Data'!W79</f>
        <v>417081.16673464474</v>
      </c>
      <c r="AU11" s="9" t="s">
        <v>13</v>
      </c>
      <c r="AV11" s="2">
        <f>AT11/66128</f>
        <v>6.3071795114723681</v>
      </c>
      <c r="AW11" s="8">
        <f>(AL11-AT11)/AL11</f>
        <v>-0.30257267920050951</v>
      </c>
      <c r="AX11" s="4" t="s">
        <v>208</v>
      </c>
      <c r="AY11" s="64">
        <v>6017900</v>
      </c>
      <c r="AZ11" s="42">
        <f t="shared" si="14"/>
        <v>244.00518996066984</v>
      </c>
      <c r="BA11" s="15">
        <v>5778782</v>
      </c>
      <c r="BB11" s="15">
        <v>634045</v>
      </c>
      <c r="BC11" s="15">
        <f>23400+42175</f>
        <v>65575</v>
      </c>
      <c r="BD11" s="3"/>
      <c r="BE11" s="15">
        <v>106438</v>
      </c>
      <c r="BF11" s="10">
        <f t="shared" si="15"/>
        <v>13.423370771842759</v>
      </c>
      <c r="BG11" s="1" t="s">
        <v>302</v>
      </c>
      <c r="BH11" s="11" t="s">
        <v>247</v>
      </c>
    </row>
    <row r="12" spans="1:60" s="41" customFormat="1" ht="29.25" customHeight="1" x14ac:dyDescent="0.2">
      <c r="A12" s="241" t="s">
        <v>282</v>
      </c>
      <c r="B12" s="11" t="s">
        <v>6</v>
      </c>
      <c r="C12" s="11" t="s">
        <v>547</v>
      </c>
      <c r="D12" s="1" t="s">
        <v>37</v>
      </c>
      <c r="E12" s="33">
        <v>40189</v>
      </c>
      <c r="F12" s="11" t="s">
        <v>10</v>
      </c>
      <c r="G12" s="33">
        <v>40183</v>
      </c>
      <c r="H12" s="60">
        <v>40940</v>
      </c>
      <c r="I12" s="4" t="s">
        <v>12</v>
      </c>
      <c r="J12" s="11" t="s">
        <v>13</v>
      </c>
      <c r="K12" s="6">
        <v>48112</v>
      </c>
      <c r="L12" s="49">
        <v>3</v>
      </c>
      <c r="M12" s="241" t="s">
        <v>282</v>
      </c>
      <c r="N12" s="11" t="s">
        <v>247</v>
      </c>
      <c r="O12" s="2">
        <v>3078</v>
      </c>
      <c r="P12" s="12">
        <f t="shared" si="0"/>
        <v>63.975723312271377</v>
      </c>
      <c r="Q12" s="2">
        <v>1625</v>
      </c>
      <c r="R12" s="23">
        <f t="shared" si="1"/>
        <v>33.775357499168607</v>
      </c>
      <c r="S12" s="5">
        <f t="shared" si="2"/>
        <v>0.47205977907732294</v>
      </c>
      <c r="T12" s="13">
        <f t="shared" si="3"/>
        <v>1453</v>
      </c>
      <c r="U12" s="74" t="s">
        <v>1156</v>
      </c>
      <c r="V12" s="49">
        <f>'[3]13.14 Meter Data'!W87</f>
        <v>2061.5612160000001</v>
      </c>
      <c r="W12" s="2">
        <f>V12/K12*1000</f>
        <v>42.849210508812767</v>
      </c>
      <c r="X12" s="5">
        <f>(O12-V12)/O12</f>
        <v>0.33022702534113058</v>
      </c>
      <c r="Y12" s="2">
        <f>O12-V12</f>
        <v>1016.4387839999999</v>
      </c>
      <c r="Z12" s="241" t="s">
        <v>282</v>
      </c>
      <c r="AA12" s="15">
        <v>64655</v>
      </c>
      <c r="AB12" s="7">
        <f t="shared" si="4"/>
        <v>1.3438435317592285</v>
      </c>
      <c r="AC12" s="15">
        <v>34128</v>
      </c>
      <c r="AD12" s="7">
        <f t="shared" si="5"/>
        <v>0.70934486198869307</v>
      </c>
      <c r="AE12" s="8">
        <f t="shared" si="6"/>
        <v>0.47215219240584644</v>
      </c>
      <c r="AF12" s="16">
        <f t="shared" si="7"/>
        <v>30527</v>
      </c>
      <c r="AG12" s="15">
        <f>'[3]13.14 Meter Data'!W89</f>
        <v>74545.31</v>
      </c>
      <c r="AH12" s="22">
        <f>AG12/K12</f>
        <v>1.5494119970069837</v>
      </c>
      <c r="AI12" s="47">
        <f>(AA12-AG12)/AA12</f>
        <v>-0.15297053592142909</v>
      </c>
      <c r="AJ12" s="48">
        <f>AA12-AG12</f>
        <v>-9890.3099999999977</v>
      </c>
      <c r="AK12" s="241" t="s">
        <v>282</v>
      </c>
      <c r="AL12" s="2">
        <v>1506938</v>
      </c>
      <c r="AM12" s="9" t="s">
        <v>13</v>
      </c>
      <c r="AN12" s="2">
        <f t="shared" si="8"/>
        <v>31.321458264050548</v>
      </c>
      <c r="AO12" s="2">
        <v>1056525</v>
      </c>
      <c r="AP12" s="1" t="s">
        <v>13</v>
      </c>
      <c r="AQ12" s="2">
        <f t="shared" si="9"/>
        <v>21.959698204190222</v>
      </c>
      <c r="AR12" s="8">
        <f t="shared" si="10"/>
        <v>0.29889285425146889</v>
      </c>
      <c r="AS12" s="17">
        <f t="shared" si="11"/>
        <v>450413</v>
      </c>
      <c r="AT12" s="242">
        <f>'[3]13.14 Meter Data'!W88</f>
        <v>50815.66</v>
      </c>
      <c r="AU12" s="9" t="s">
        <v>13</v>
      </c>
      <c r="AV12" s="2">
        <f>AT12/K12</f>
        <v>1.056195128034586</v>
      </c>
      <c r="AW12" s="8">
        <f>(AL12-AT12)/AL12</f>
        <v>0.96627886482390124</v>
      </c>
      <c r="AX12" s="241" t="s">
        <v>282</v>
      </c>
      <c r="AY12" s="64">
        <v>14394127</v>
      </c>
      <c r="AZ12" s="42">
        <f t="shared" si="14"/>
        <v>299.17956019288329</v>
      </c>
      <c r="BA12" s="15">
        <v>13822099</v>
      </c>
      <c r="BB12" s="15">
        <v>1654600</v>
      </c>
      <c r="BC12" s="15">
        <v>35000</v>
      </c>
      <c r="BD12" s="3"/>
      <c r="BE12" s="15">
        <v>57000</v>
      </c>
      <c r="BF12" s="10">
        <f t="shared" si="15"/>
        <v>21.752153831034821</v>
      </c>
      <c r="BG12" s="1" t="s">
        <v>298</v>
      </c>
      <c r="BH12" s="11" t="s">
        <v>247</v>
      </c>
    </row>
    <row r="13" spans="1:60" s="41" customFormat="1" ht="29.25" customHeight="1" x14ac:dyDescent="0.2">
      <c r="A13" s="4" t="s">
        <v>95</v>
      </c>
      <c r="B13" s="11" t="s">
        <v>276</v>
      </c>
      <c r="C13" s="11" t="s">
        <v>656</v>
      </c>
      <c r="D13" s="1" t="s">
        <v>94</v>
      </c>
      <c r="E13" s="33">
        <v>40357</v>
      </c>
      <c r="F13" s="77" t="s">
        <v>4</v>
      </c>
      <c r="G13" s="33">
        <v>40624</v>
      </c>
      <c r="H13" s="60">
        <v>41011</v>
      </c>
      <c r="I13" s="4" t="s">
        <v>96</v>
      </c>
      <c r="J13" s="11" t="s">
        <v>13</v>
      </c>
      <c r="K13" s="6">
        <v>55605</v>
      </c>
      <c r="L13" s="49">
        <v>1</v>
      </c>
      <c r="M13" s="4" t="s">
        <v>95</v>
      </c>
      <c r="N13" s="11" t="s">
        <v>247</v>
      </c>
      <c r="O13" s="2">
        <v>1743</v>
      </c>
      <c r="P13" s="12">
        <f t="shared" si="0"/>
        <v>31.346101969247371</v>
      </c>
      <c r="Q13" s="2">
        <v>749</v>
      </c>
      <c r="R13" s="23">
        <f t="shared" si="1"/>
        <v>13.470011689596259</v>
      </c>
      <c r="S13" s="5">
        <f t="shared" si="2"/>
        <v>0.57028112449799195</v>
      </c>
      <c r="T13" s="13">
        <f t="shared" si="3"/>
        <v>994</v>
      </c>
      <c r="U13" s="74">
        <v>0</v>
      </c>
      <c r="V13" s="14"/>
      <c r="W13" s="2"/>
      <c r="X13" s="2"/>
      <c r="Y13" s="2"/>
      <c r="Z13" s="4" t="s">
        <v>95</v>
      </c>
      <c r="AA13" s="15">
        <v>42886</v>
      </c>
      <c r="AB13" s="7">
        <f t="shared" si="4"/>
        <v>0.77126157719629529</v>
      </c>
      <c r="AC13" s="15">
        <v>28420</v>
      </c>
      <c r="AD13" s="7">
        <f t="shared" si="5"/>
        <v>0.5111051164463627</v>
      </c>
      <c r="AE13" s="8">
        <f t="shared" si="6"/>
        <v>0.3373128759968288</v>
      </c>
      <c r="AF13" s="16">
        <f t="shared" si="7"/>
        <v>14466</v>
      </c>
      <c r="AG13" s="3"/>
      <c r="AH13" s="2"/>
      <c r="AI13" s="2"/>
      <c r="AJ13" s="2"/>
      <c r="AK13" s="4" t="s">
        <v>95</v>
      </c>
      <c r="AL13" s="2">
        <v>243256</v>
      </c>
      <c r="AM13" s="9" t="s">
        <v>13</v>
      </c>
      <c r="AN13" s="2">
        <f t="shared" si="8"/>
        <v>4.3747145040913589</v>
      </c>
      <c r="AO13" s="2">
        <v>171756</v>
      </c>
      <c r="AP13" s="9" t="s">
        <v>13</v>
      </c>
      <c r="AQ13" s="2">
        <f t="shared" si="9"/>
        <v>3.0888589155651469</v>
      </c>
      <c r="AR13" s="8">
        <f t="shared" si="10"/>
        <v>0.29392902949978622</v>
      </c>
      <c r="AS13" s="17">
        <f t="shared" si="11"/>
        <v>71500</v>
      </c>
      <c r="AT13" s="3"/>
      <c r="AU13" s="9" t="s">
        <v>13</v>
      </c>
      <c r="AV13" s="2"/>
      <c r="AW13" s="2"/>
      <c r="AX13" s="4" t="s">
        <v>95</v>
      </c>
      <c r="AY13" s="64">
        <v>4072395</v>
      </c>
      <c r="AZ13" s="42">
        <f t="shared" si="14"/>
        <v>73.237928243862967</v>
      </c>
      <c r="BA13" s="15">
        <v>3919435</v>
      </c>
      <c r="BB13" s="15">
        <v>363080</v>
      </c>
      <c r="BC13" s="15">
        <v>0</v>
      </c>
      <c r="BD13" s="3"/>
      <c r="BE13" s="15">
        <v>11870</v>
      </c>
      <c r="BF13" s="10">
        <f t="shared" si="15"/>
        <v>11.394303884971658</v>
      </c>
      <c r="BG13" s="1"/>
      <c r="BH13" s="11" t="s">
        <v>247</v>
      </c>
    </row>
    <row r="14" spans="1:60" s="41" customFormat="1" ht="29.25" customHeight="1" x14ac:dyDescent="0.2">
      <c r="A14" s="4" t="s">
        <v>307</v>
      </c>
      <c r="B14" s="11" t="s">
        <v>63</v>
      </c>
      <c r="C14" s="11" t="s">
        <v>545</v>
      </c>
      <c r="D14" s="1" t="s">
        <v>308</v>
      </c>
      <c r="E14" s="33">
        <v>40046</v>
      </c>
      <c r="F14" s="11" t="s">
        <v>10</v>
      </c>
      <c r="G14" s="33">
        <v>40086</v>
      </c>
      <c r="H14" s="60">
        <v>41011</v>
      </c>
      <c r="I14" s="4" t="s">
        <v>309</v>
      </c>
      <c r="J14" s="11" t="s">
        <v>13</v>
      </c>
      <c r="K14" s="6">
        <v>200164</v>
      </c>
      <c r="L14" s="49">
        <v>4</v>
      </c>
      <c r="M14" s="4" t="s">
        <v>307</v>
      </c>
      <c r="N14" s="11" t="s">
        <v>247</v>
      </c>
      <c r="O14" s="2">
        <v>30494.5</v>
      </c>
      <c r="P14" s="12">
        <f t="shared" si="0"/>
        <v>152.34757498850942</v>
      </c>
      <c r="Q14" s="2">
        <v>18910.599999999999</v>
      </c>
      <c r="R14" s="23">
        <f t="shared" si="1"/>
        <v>94.475530065346405</v>
      </c>
      <c r="S14" s="5">
        <f t="shared" si="2"/>
        <v>0.37986850087720742</v>
      </c>
      <c r="T14" s="13">
        <f t="shared" si="3"/>
        <v>11583.900000000001</v>
      </c>
      <c r="U14" s="74" t="s">
        <v>1150</v>
      </c>
      <c r="V14" s="49">
        <f>'[3]13.14 Meter Data'!Y106</f>
        <v>42942.022011398338</v>
      </c>
      <c r="W14" s="2">
        <f t="shared" ref="W14:W29" si="16">V14/K14*1000</f>
        <v>214.53419201953565</v>
      </c>
      <c r="X14" s="5">
        <f t="shared" ref="X14:X29" si="17">(O14-V14)/O14</f>
        <v>-0.40818908365109569</v>
      </c>
      <c r="Y14" s="2">
        <f t="shared" ref="Y14:Y29" si="18">O14-V14</f>
        <v>-12447.522011398338</v>
      </c>
      <c r="Z14" s="4" t="s">
        <v>307</v>
      </c>
      <c r="AA14" s="15">
        <v>284103</v>
      </c>
      <c r="AB14" s="7">
        <f t="shared" si="4"/>
        <v>1.4193511320717012</v>
      </c>
      <c r="AC14" s="15">
        <v>165774</v>
      </c>
      <c r="AD14" s="7">
        <f t="shared" si="5"/>
        <v>0.82819088347555003</v>
      </c>
      <c r="AE14" s="8">
        <f t="shared" si="6"/>
        <v>0.4165003537449446</v>
      </c>
      <c r="AF14" s="16">
        <f t="shared" si="7"/>
        <v>118329</v>
      </c>
      <c r="AG14" s="15">
        <f>'[3]13.14 Meter Data'!W112</f>
        <v>439009.38088735915</v>
      </c>
      <c r="AH14" s="22">
        <f t="shared" ref="AH14:AH25" si="19">AG14/K14</f>
        <v>2.1932484407154091</v>
      </c>
      <c r="AI14" s="47">
        <f t="shared" ref="AI14:AI25" si="20">(AA14-AG14)/AA14</f>
        <v>-0.54524725500033133</v>
      </c>
      <c r="AJ14" s="48">
        <f t="shared" ref="AJ14:AJ25" si="21">AA14-AG14</f>
        <v>-154906.38088735915</v>
      </c>
      <c r="AK14" s="4" t="s">
        <v>307</v>
      </c>
      <c r="AL14" s="2">
        <v>3172838</v>
      </c>
      <c r="AM14" s="9" t="s">
        <v>13</v>
      </c>
      <c r="AN14" s="2">
        <f t="shared" si="8"/>
        <v>15.851192022541516</v>
      </c>
      <c r="AO14" s="2">
        <v>1985718</v>
      </c>
      <c r="AP14" s="9" t="s">
        <v>13</v>
      </c>
      <c r="AQ14" s="2">
        <f t="shared" si="9"/>
        <v>9.9204552267140951</v>
      </c>
      <c r="AR14" s="8">
        <f t="shared" si="10"/>
        <v>0.37415083909105978</v>
      </c>
      <c r="AS14" s="17">
        <f t="shared" si="11"/>
        <v>1187120</v>
      </c>
      <c r="AT14" s="2">
        <f>'[3]13.14 Meter Data'!W107</f>
        <v>1002604.2400000001</v>
      </c>
      <c r="AU14" s="9" t="s">
        <v>13</v>
      </c>
      <c r="AV14" s="2">
        <f t="shared" ref="AV14:AV25" si="22">AT14/K14</f>
        <v>5.0089138906097004</v>
      </c>
      <c r="AW14" s="8">
        <f t="shared" ref="AW14:AW25" si="23">(AL14-AT14)/AL14</f>
        <v>0.68400396112250283</v>
      </c>
      <c r="AX14" s="4" t="s">
        <v>307</v>
      </c>
      <c r="AY14" s="64">
        <v>61500000</v>
      </c>
      <c r="AZ14" s="42">
        <f t="shared" si="14"/>
        <v>307.24805659359328</v>
      </c>
      <c r="BA14" s="15">
        <v>51725930</v>
      </c>
      <c r="BB14" s="67">
        <v>5792635</v>
      </c>
      <c r="BC14" s="15">
        <f>180000+41084</f>
        <v>221084</v>
      </c>
      <c r="BD14" s="3"/>
      <c r="BE14" s="67">
        <v>404815</v>
      </c>
      <c r="BF14" s="10">
        <f t="shared" si="15"/>
        <v>87.890280489144672</v>
      </c>
      <c r="BG14" s="1" t="s">
        <v>304</v>
      </c>
      <c r="BH14" s="11" t="s">
        <v>247</v>
      </c>
    </row>
    <row r="15" spans="1:60" s="41" customFormat="1" ht="29.25" customHeight="1" x14ac:dyDescent="0.2">
      <c r="A15" s="4" t="s">
        <v>287</v>
      </c>
      <c r="B15" s="11" t="s">
        <v>36</v>
      </c>
      <c r="C15" s="822" t="s">
        <v>743</v>
      </c>
      <c r="D15" s="1" t="s">
        <v>35</v>
      </c>
      <c r="E15" s="33">
        <v>40169</v>
      </c>
      <c r="F15" s="11" t="s">
        <v>10</v>
      </c>
      <c r="G15" s="33">
        <v>40322</v>
      </c>
      <c r="H15" s="60">
        <v>41060</v>
      </c>
      <c r="I15" s="4" t="s">
        <v>250</v>
      </c>
      <c r="J15" s="11">
        <v>100</v>
      </c>
      <c r="K15" s="6">
        <v>108770</v>
      </c>
      <c r="L15" s="83">
        <v>1</v>
      </c>
      <c r="M15" s="4" t="s">
        <v>145</v>
      </c>
      <c r="N15" s="11" t="s">
        <v>247</v>
      </c>
      <c r="O15" s="2">
        <v>8495</v>
      </c>
      <c r="P15" s="12">
        <f t="shared" si="0"/>
        <v>78.10057920382458</v>
      </c>
      <c r="Q15" s="2">
        <v>5163</v>
      </c>
      <c r="R15" s="23">
        <f t="shared" si="1"/>
        <v>47.467132481382734</v>
      </c>
      <c r="S15" s="5">
        <f t="shared" si="2"/>
        <v>0.39223072395526781</v>
      </c>
      <c r="T15" s="13">
        <f t="shared" si="3"/>
        <v>3332</v>
      </c>
      <c r="U15" s="74" t="s">
        <v>1150</v>
      </c>
      <c r="V15" s="49">
        <f>'[3]13.14 Meter Data'!Y117</f>
        <v>8733.6021485828387</v>
      </c>
      <c r="W15" s="2">
        <f t="shared" si="16"/>
        <v>80.29421852149342</v>
      </c>
      <c r="X15" s="5">
        <f t="shared" si="17"/>
        <v>-2.808736298797395E-2</v>
      </c>
      <c r="Y15" s="2">
        <f t="shared" si="18"/>
        <v>-238.60214858283871</v>
      </c>
      <c r="Z15" s="4" t="s">
        <v>145</v>
      </c>
      <c r="AA15" s="15">
        <v>213106</v>
      </c>
      <c r="AB15" s="7">
        <f t="shared" si="4"/>
        <v>1.9592350832030891</v>
      </c>
      <c r="AC15" s="15">
        <v>120807</v>
      </c>
      <c r="AD15" s="7">
        <f t="shared" si="5"/>
        <v>1.1106647053415464</v>
      </c>
      <c r="AE15" s="8">
        <f t="shared" si="6"/>
        <v>0.43311309864574438</v>
      </c>
      <c r="AF15" s="16">
        <f t="shared" si="7"/>
        <v>92299</v>
      </c>
      <c r="AG15" s="15">
        <f>'[3]13.14 Meter Data'!W121</f>
        <v>176086.43999999997</v>
      </c>
      <c r="AH15" s="22">
        <f t="shared" si="19"/>
        <v>1.6188879286567985</v>
      </c>
      <c r="AI15" s="47">
        <f t="shared" si="20"/>
        <v>0.17371430180285879</v>
      </c>
      <c r="AJ15" s="48">
        <f t="shared" si="21"/>
        <v>37019.560000000027</v>
      </c>
      <c r="AK15" s="4" t="s">
        <v>145</v>
      </c>
      <c r="AL15" s="2">
        <v>4378540</v>
      </c>
      <c r="AM15" s="2">
        <f>AL15/J15</f>
        <v>43785.4</v>
      </c>
      <c r="AN15" s="2">
        <f t="shared" si="8"/>
        <v>40.255033557046978</v>
      </c>
      <c r="AO15" s="2">
        <v>3400982</v>
      </c>
      <c r="AP15" s="9">
        <f>AO15/J15</f>
        <v>34009.82</v>
      </c>
      <c r="AQ15" s="2">
        <f t="shared" si="9"/>
        <v>31.267647329226808</v>
      </c>
      <c r="AR15" s="8">
        <f t="shared" si="10"/>
        <v>0.22326117838366213</v>
      </c>
      <c r="AS15" s="17">
        <f t="shared" si="11"/>
        <v>977558</v>
      </c>
      <c r="AT15" s="242">
        <f>'[3]13.14 Meter Data'!W118</f>
        <v>498115.64</v>
      </c>
      <c r="AU15" s="2">
        <f>AT15/J15</f>
        <v>4981.1563999999998</v>
      </c>
      <c r="AV15" s="2">
        <f t="shared" si="22"/>
        <v>4.5795314884618925</v>
      </c>
      <c r="AW15" s="8">
        <f t="shared" si="23"/>
        <v>0.88623704705221373</v>
      </c>
      <c r="AX15" s="4" t="s">
        <v>145</v>
      </c>
      <c r="AY15" s="64">
        <v>16135100</v>
      </c>
      <c r="AZ15" s="42">
        <f t="shared" si="14"/>
        <v>148.34145444515951</v>
      </c>
      <c r="BA15" s="15">
        <v>15834228</v>
      </c>
      <c r="BB15" s="15">
        <v>1250000</v>
      </c>
      <c r="BC15" s="15">
        <v>0</v>
      </c>
      <c r="BD15" s="3"/>
      <c r="BE15" s="15">
        <v>96941</v>
      </c>
      <c r="BF15" s="10">
        <f t="shared" si="15"/>
        <v>4.3100466960638792</v>
      </c>
      <c r="BG15" s="1" t="s">
        <v>299</v>
      </c>
      <c r="BH15" s="11" t="s">
        <v>247</v>
      </c>
    </row>
    <row r="16" spans="1:60" s="41" customFormat="1" ht="29.25" customHeight="1" x14ac:dyDescent="0.2">
      <c r="A16" s="4" t="s">
        <v>278</v>
      </c>
      <c r="B16" s="11" t="s">
        <v>81</v>
      </c>
      <c r="C16" s="11" t="s">
        <v>551</v>
      </c>
      <c r="D16" s="1" t="s">
        <v>24</v>
      </c>
      <c r="E16" s="33">
        <v>40280</v>
      </c>
      <c r="F16" s="11" t="s">
        <v>10</v>
      </c>
      <c r="G16" s="33">
        <v>40518</v>
      </c>
      <c r="H16" s="60">
        <v>41087</v>
      </c>
      <c r="I16" s="4" t="s">
        <v>12</v>
      </c>
      <c r="J16" s="11" t="s">
        <v>13</v>
      </c>
      <c r="K16" s="6">
        <v>50434</v>
      </c>
      <c r="L16" s="49">
        <v>2</v>
      </c>
      <c r="M16" s="4" t="s">
        <v>278</v>
      </c>
      <c r="N16" s="11" t="s">
        <v>247</v>
      </c>
      <c r="O16" s="2">
        <v>3018</v>
      </c>
      <c r="P16" s="12">
        <f t="shared" si="0"/>
        <v>59.840583733195864</v>
      </c>
      <c r="Q16" s="2">
        <v>1900</v>
      </c>
      <c r="R16" s="23">
        <f t="shared" si="1"/>
        <v>37.672998374112701</v>
      </c>
      <c r="S16" s="5">
        <f t="shared" si="2"/>
        <v>0.37044400265076211</v>
      </c>
      <c r="T16" s="13">
        <f t="shared" si="3"/>
        <v>1118</v>
      </c>
      <c r="U16" s="74" t="s">
        <v>1150</v>
      </c>
      <c r="V16" s="49">
        <v>4167</v>
      </c>
      <c r="W16" s="40">
        <f t="shared" si="16"/>
        <v>82.62283380259349</v>
      </c>
      <c r="X16" s="5">
        <f t="shared" si="17"/>
        <v>-0.38071570576540753</v>
      </c>
      <c r="Y16" s="51">
        <f t="shared" si="18"/>
        <v>-1149</v>
      </c>
      <c r="Z16" s="4" t="s">
        <v>278</v>
      </c>
      <c r="AA16" s="15">
        <v>91928</v>
      </c>
      <c r="AB16" s="7">
        <f t="shared" si="4"/>
        <v>1.8227386287028591</v>
      </c>
      <c r="AC16" s="15">
        <v>56777</v>
      </c>
      <c r="AD16" s="7">
        <f t="shared" si="5"/>
        <v>1.1257683308878932</v>
      </c>
      <c r="AE16" s="8">
        <f t="shared" si="6"/>
        <v>0.38237533722043338</v>
      </c>
      <c r="AF16" s="16">
        <f t="shared" si="7"/>
        <v>35151</v>
      </c>
      <c r="AG16" s="15">
        <v>53735.175000000003</v>
      </c>
      <c r="AH16" s="22">
        <f t="shared" si="19"/>
        <v>1.0654553475829798</v>
      </c>
      <c r="AI16" s="47">
        <f t="shared" si="20"/>
        <v>0.41546454834218083</v>
      </c>
      <c r="AJ16" s="48">
        <f t="shared" si="21"/>
        <v>38192.824999999997</v>
      </c>
      <c r="AK16" s="4" t="s">
        <v>278</v>
      </c>
      <c r="AL16" s="2">
        <v>1217970</v>
      </c>
      <c r="AM16" s="9" t="s">
        <v>13</v>
      </c>
      <c r="AN16" s="2">
        <f t="shared" si="8"/>
        <v>24.149779910377919</v>
      </c>
      <c r="AO16" s="2">
        <v>954495</v>
      </c>
      <c r="AP16" s="9" t="s">
        <v>13</v>
      </c>
      <c r="AQ16" s="2">
        <f t="shared" si="9"/>
        <v>18.925625570051949</v>
      </c>
      <c r="AR16" s="8">
        <f t="shared" si="10"/>
        <v>0.21632306214438779</v>
      </c>
      <c r="AS16" s="17">
        <f t="shared" si="11"/>
        <v>263475</v>
      </c>
      <c r="AT16" s="82">
        <v>295475</v>
      </c>
      <c r="AU16" s="9" t="s">
        <v>13</v>
      </c>
      <c r="AV16" s="2">
        <f t="shared" si="22"/>
        <v>5.8586469445215528</v>
      </c>
      <c r="AW16" s="8">
        <f t="shared" si="23"/>
        <v>0.75740371273512486</v>
      </c>
      <c r="AX16" s="4" t="s">
        <v>278</v>
      </c>
      <c r="AY16" s="64">
        <v>7393799</v>
      </c>
      <c r="AZ16" s="42">
        <f t="shared" si="14"/>
        <v>146.60346195027165</v>
      </c>
      <c r="BA16" s="15">
        <v>7243287</v>
      </c>
      <c r="BB16" s="15">
        <v>943138</v>
      </c>
      <c r="BC16" s="15">
        <v>52150</v>
      </c>
      <c r="BD16" s="3"/>
      <c r="BE16" s="15">
        <v>42310</v>
      </c>
      <c r="BF16" s="10">
        <f t="shared" si="15"/>
        <v>6.9691331683309148</v>
      </c>
      <c r="BG16" s="1" t="s">
        <v>300</v>
      </c>
      <c r="BH16" s="11" t="s">
        <v>247</v>
      </c>
    </row>
    <row r="17" spans="1:60" s="41" customFormat="1" ht="29.25" customHeight="1" x14ac:dyDescent="0.2">
      <c r="A17" s="4" t="s">
        <v>533</v>
      </c>
      <c r="B17" s="11" t="s">
        <v>53</v>
      </c>
      <c r="C17" s="11" t="s">
        <v>548</v>
      </c>
      <c r="D17" s="1" t="s">
        <v>52</v>
      </c>
      <c r="E17" s="33">
        <v>40436</v>
      </c>
      <c r="F17" s="11" t="s">
        <v>10</v>
      </c>
      <c r="G17" s="33">
        <v>40511</v>
      </c>
      <c r="H17" s="60">
        <v>41091</v>
      </c>
      <c r="I17" s="4" t="s">
        <v>135</v>
      </c>
      <c r="J17" s="11">
        <v>86</v>
      </c>
      <c r="K17" s="6">
        <v>30735</v>
      </c>
      <c r="L17" s="49">
        <v>4</v>
      </c>
      <c r="M17" s="4" t="s">
        <v>533</v>
      </c>
      <c r="N17" s="11" t="s">
        <v>247</v>
      </c>
      <c r="O17" s="2">
        <v>4056</v>
      </c>
      <c r="P17" s="12">
        <f t="shared" si="0"/>
        <v>131.966813079551</v>
      </c>
      <c r="Q17" s="2">
        <v>3076</v>
      </c>
      <c r="R17" s="23">
        <f t="shared" si="1"/>
        <v>100.08134049129656</v>
      </c>
      <c r="S17" s="5">
        <f t="shared" si="2"/>
        <v>0.2416173570019724</v>
      </c>
      <c r="T17" s="9">
        <f t="shared" si="3"/>
        <v>980</v>
      </c>
      <c r="U17" s="9" t="s">
        <v>1156</v>
      </c>
      <c r="V17" s="49">
        <f>'[3]13.14 Meter Data'!Y136</f>
        <v>4244.1871439999995</v>
      </c>
      <c r="W17" s="40">
        <f t="shared" si="16"/>
        <v>138.08970697901412</v>
      </c>
      <c r="X17" s="5">
        <f t="shared" si="17"/>
        <v>-4.6397224852070894E-2</v>
      </c>
      <c r="Y17" s="51">
        <f t="shared" si="18"/>
        <v>-188.18714399999953</v>
      </c>
      <c r="Z17" s="4" t="s">
        <v>533</v>
      </c>
      <c r="AA17" s="15">
        <v>59608</v>
      </c>
      <c r="AB17" s="7">
        <f t="shared" si="4"/>
        <v>1.9394176020823166</v>
      </c>
      <c r="AC17" s="15">
        <v>46163</v>
      </c>
      <c r="AD17" s="7">
        <f t="shared" si="5"/>
        <v>1.5019684398893769</v>
      </c>
      <c r="AE17" s="8">
        <f t="shared" si="6"/>
        <v>0.22555697221849416</v>
      </c>
      <c r="AF17" s="15">
        <f t="shared" si="7"/>
        <v>13445</v>
      </c>
      <c r="AG17" s="15">
        <f>'[3]13.14 Meter Data'!W141</f>
        <v>24482.760000000002</v>
      </c>
      <c r="AH17" s="22">
        <f t="shared" si="19"/>
        <v>0.79657589067837975</v>
      </c>
      <c r="AI17" s="47">
        <f t="shared" si="20"/>
        <v>0.5892705677090323</v>
      </c>
      <c r="AJ17" s="48">
        <f t="shared" si="21"/>
        <v>35125.24</v>
      </c>
      <c r="AK17" s="4" t="s">
        <v>533</v>
      </c>
      <c r="AL17" s="2">
        <v>327880</v>
      </c>
      <c r="AM17" s="2">
        <f t="shared" ref="AM17:AM24" si="24">AL17/J17</f>
        <v>3812.5581395348836</v>
      </c>
      <c r="AN17" s="10">
        <f t="shared" si="8"/>
        <v>10.667968114527412</v>
      </c>
      <c r="AO17" s="2">
        <v>209536</v>
      </c>
      <c r="AP17" s="9">
        <f t="shared" ref="AP17:AP24" si="25">AO17/J17</f>
        <v>2436.4651162790697</v>
      </c>
      <c r="AQ17" s="10">
        <f t="shared" si="9"/>
        <v>6.8175044737270216</v>
      </c>
      <c r="AR17" s="8">
        <f t="shared" si="10"/>
        <v>0.36093692814444311</v>
      </c>
      <c r="AS17" s="2">
        <f t="shared" si="11"/>
        <v>118344</v>
      </c>
      <c r="AT17" s="2">
        <f>'[3]13.14 Meter Data'!W137</f>
        <v>430300</v>
      </c>
      <c r="AU17" s="2">
        <f t="shared" ref="AU17:AU24" si="26">AT17/J17</f>
        <v>5003.4883720930229</v>
      </c>
      <c r="AV17" s="2">
        <f t="shared" si="22"/>
        <v>14.000325361965187</v>
      </c>
      <c r="AW17" s="8">
        <f t="shared" si="23"/>
        <v>-0.31237037940710016</v>
      </c>
      <c r="AX17" s="4" t="s">
        <v>533</v>
      </c>
      <c r="AY17" s="64">
        <f t="shared" ref="AY17:AY23" si="27">43376488/7</f>
        <v>6196641.1428571427</v>
      </c>
      <c r="AZ17" s="42">
        <f t="shared" si="14"/>
        <v>201.61513397940922</v>
      </c>
      <c r="BA17" s="15">
        <v>6016156</v>
      </c>
      <c r="BB17" s="15">
        <f t="shared" ref="BB17:BB23" si="28">4205215/7</f>
        <v>600745</v>
      </c>
      <c r="BC17" s="15">
        <f t="shared" ref="BC17:BC23" si="29">80000/7</f>
        <v>11428.571428571429</v>
      </c>
      <c r="BD17" s="3"/>
      <c r="BE17" s="15">
        <f t="shared" ref="BE17:BE23" si="30">286151/7</f>
        <v>40878.714285714283</v>
      </c>
      <c r="BF17" s="10">
        <f t="shared" si="15"/>
        <v>17.31442384317058</v>
      </c>
      <c r="BG17" s="1" t="s">
        <v>297</v>
      </c>
      <c r="BH17" s="11" t="s">
        <v>247</v>
      </c>
    </row>
    <row r="18" spans="1:60" s="41" customFormat="1" ht="29.25" customHeight="1" x14ac:dyDescent="0.2">
      <c r="A18" s="4" t="s">
        <v>534</v>
      </c>
      <c r="B18" s="11" t="s">
        <v>53</v>
      </c>
      <c r="C18" s="11" t="s">
        <v>548</v>
      </c>
      <c r="D18" s="1" t="s">
        <v>52</v>
      </c>
      <c r="E18" s="33">
        <v>40436</v>
      </c>
      <c r="F18" s="11" t="s">
        <v>10</v>
      </c>
      <c r="G18" s="33">
        <v>40511</v>
      </c>
      <c r="H18" s="60">
        <v>41091</v>
      </c>
      <c r="I18" s="4" t="s">
        <v>135</v>
      </c>
      <c r="J18" s="11">
        <v>86</v>
      </c>
      <c r="K18" s="6">
        <v>30735</v>
      </c>
      <c r="L18" s="49">
        <v>4</v>
      </c>
      <c r="M18" s="4" t="s">
        <v>534</v>
      </c>
      <c r="N18" s="11" t="s">
        <v>247</v>
      </c>
      <c r="O18" s="2">
        <v>4056</v>
      </c>
      <c r="P18" s="12">
        <f t="shared" si="0"/>
        <v>131.966813079551</v>
      </c>
      <c r="Q18" s="2">
        <v>3076</v>
      </c>
      <c r="R18" s="23">
        <f t="shared" si="1"/>
        <v>100.08134049129656</v>
      </c>
      <c r="S18" s="5">
        <f t="shared" si="2"/>
        <v>0.2416173570019724</v>
      </c>
      <c r="T18" s="9">
        <f t="shared" si="3"/>
        <v>980</v>
      </c>
      <c r="U18" s="9" t="s">
        <v>1156</v>
      </c>
      <c r="V18" s="49">
        <f>'[3]13.14 Meter Data'!Y147</f>
        <v>3338.7712220000003</v>
      </c>
      <c r="W18" s="40">
        <f t="shared" si="16"/>
        <v>108.63091660972833</v>
      </c>
      <c r="X18" s="5">
        <f t="shared" si="17"/>
        <v>0.17683155276134116</v>
      </c>
      <c r="Y18" s="51">
        <f t="shared" si="18"/>
        <v>717.22877799999969</v>
      </c>
      <c r="Z18" s="4" t="s">
        <v>534</v>
      </c>
      <c r="AA18" s="15">
        <v>59608</v>
      </c>
      <c r="AB18" s="7">
        <f t="shared" si="4"/>
        <v>1.9394176020823166</v>
      </c>
      <c r="AC18" s="15">
        <v>46163</v>
      </c>
      <c r="AD18" s="7">
        <f t="shared" si="5"/>
        <v>1.5019684398893769</v>
      </c>
      <c r="AE18" s="8">
        <f t="shared" si="6"/>
        <v>0.22555697221849416</v>
      </c>
      <c r="AF18" s="15">
        <f t="shared" si="7"/>
        <v>13445</v>
      </c>
      <c r="AG18" s="15">
        <f>'[3]13.14 Meter Data'!W152</f>
        <v>18646.900000000001</v>
      </c>
      <c r="AH18" s="22">
        <f t="shared" si="19"/>
        <v>0.60669920286318535</v>
      </c>
      <c r="AI18" s="47">
        <f t="shared" si="20"/>
        <v>0.68717454033015701</v>
      </c>
      <c r="AJ18" s="48">
        <f t="shared" si="21"/>
        <v>40961.1</v>
      </c>
      <c r="AK18" s="4" t="s">
        <v>534</v>
      </c>
      <c r="AL18" s="2">
        <v>327880</v>
      </c>
      <c r="AM18" s="2">
        <f t="shared" si="24"/>
        <v>3812.5581395348836</v>
      </c>
      <c r="AN18" s="10">
        <f t="shared" si="8"/>
        <v>10.667968114527412</v>
      </c>
      <c r="AO18" s="2">
        <v>209536</v>
      </c>
      <c r="AP18" s="9">
        <f t="shared" si="25"/>
        <v>2436.4651162790697</v>
      </c>
      <c r="AQ18" s="10">
        <f t="shared" si="9"/>
        <v>6.8175044737270216</v>
      </c>
      <c r="AR18" s="8">
        <f t="shared" si="10"/>
        <v>0.36093692814444311</v>
      </c>
      <c r="AS18" s="2">
        <f t="shared" si="11"/>
        <v>118344</v>
      </c>
      <c r="AT18" s="2">
        <f>'[3]13.14 Meter Data'!W148</f>
        <v>422800</v>
      </c>
      <c r="AU18" s="2">
        <f t="shared" si="26"/>
        <v>4916.2790697674418</v>
      </c>
      <c r="AV18" s="2">
        <f t="shared" si="22"/>
        <v>13.756303888075484</v>
      </c>
      <c r="AW18" s="8">
        <f t="shared" si="23"/>
        <v>-0.28949615713065757</v>
      </c>
      <c r="AX18" s="4" t="s">
        <v>534</v>
      </c>
      <c r="AY18" s="64">
        <f t="shared" si="27"/>
        <v>6196641.1428571427</v>
      </c>
      <c r="AZ18" s="42">
        <f t="shared" si="14"/>
        <v>201.61513397940922</v>
      </c>
      <c r="BA18" s="15">
        <v>6016156</v>
      </c>
      <c r="BB18" s="15">
        <f t="shared" si="28"/>
        <v>600745</v>
      </c>
      <c r="BC18" s="15">
        <f t="shared" si="29"/>
        <v>11428.571428571429</v>
      </c>
      <c r="BD18" s="3"/>
      <c r="BE18" s="15">
        <f t="shared" si="30"/>
        <v>40878.714285714283</v>
      </c>
      <c r="BF18" s="10">
        <f t="shared" si="15"/>
        <v>17.31442384317058</v>
      </c>
      <c r="BG18" s="1" t="s">
        <v>297</v>
      </c>
      <c r="BH18" s="11" t="s">
        <v>247</v>
      </c>
    </row>
    <row r="19" spans="1:60" s="41" customFormat="1" ht="29.25" customHeight="1" x14ac:dyDescent="0.2">
      <c r="A19" s="4" t="s">
        <v>1157</v>
      </c>
      <c r="B19" s="11" t="s">
        <v>53</v>
      </c>
      <c r="C19" s="11" t="s">
        <v>548</v>
      </c>
      <c r="D19" s="1" t="s">
        <v>52</v>
      </c>
      <c r="E19" s="33">
        <v>40436</v>
      </c>
      <c r="F19" s="11" t="s">
        <v>10</v>
      </c>
      <c r="G19" s="33">
        <v>40511</v>
      </c>
      <c r="H19" s="60">
        <v>41091</v>
      </c>
      <c r="I19" s="4" t="s">
        <v>135</v>
      </c>
      <c r="J19" s="11">
        <v>86</v>
      </c>
      <c r="K19" s="6">
        <v>30735</v>
      </c>
      <c r="L19" s="49">
        <v>4</v>
      </c>
      <c r="M19" s="4" t="s">
        <v>1157</v>
      </c>
      <c r="N19" s="11" t="s">
        <v>247</v>
      </c>
      <c r="O19" s="2">
        <v>4056</v>
      </c>
      <c r="P19" s="12">
        <f t="shared" si="0"/>
        <v>131.966813079551</v>
      </c>
      <c r="Q19" s="2">
        <v>3076</v>
      </c>
      <c r="R19" s="23">
        <f t="shared" si="1"/>
        <v>100.08134049129656</v>
      </c>
      <c r="S19" s="5">
        <f t="shared" si="2"/>
        <v>0.2416173570019724</v>
      </c>
      <c r="T19" s="9">
        <f t="shared" si="3"/>
        <v>980</v>
      </c>
      <c r="U19" s="9" t="s">
        <v>1156</v>
      </c>
      <c r="V19" s="49">
        <f>'[3]13.14 Meter Data'!Y158</f>
        <v>3787.863891</v>
      </c>
      <c r="W19" s="40">
        <f t="shared" si="16"/>
        <v>123.24268394338701</v>
      </c>
      <c r="X19" s="5">
        <f t="shared" si="17"/>
        <v>6.6108508136094687E-2</v>
      </c>
      <c r="Y19" s="51">
        <f t="shared" si="18"/>
        <v>268.13610900000003</v>
      </c>
      <c r="Z19" s="4" t="s">
        <v>1157</v>
      </c>
      <c r="AA19" s="15">
        <v>59608</v>
      </c>
      <c r="AB19" s="7">
        <f t="shared" si="4"/>
        <v>1.9394176020823166</v>
      </c>
      <c r="AC19" s="15">
        <v>46163</v>
      </c>
      <c r="AD19" s="7">
        <f t="shared" si="5"/>
        <v>1.5019684398893769</v>
      </c>
      <c r="AE19" s="8">
        <f t="shared" si="6"/>
        <v>0.22555697221849416</v>
      </c>
      <c r="AF19" s="15">
        <f t="shared" si="7"/>
        <v>13445</v>
      </c>
      <c r="AG19" s="15">
        <f>'[3]13.14 Meter Data'!W163</f>
        <v>27071.85</v>
      </c>
      <c r="AH19" s="22">
        <f t="shared" si="19"/>
        <v>0.88081503172279152</v>
      </c>
      <c r="AI19" s="47">
        <f t="shared" si="20"/>
        <v>0.54583529056502489</v>
      </c>
      <c r="AJ19" s="48">
        <f t="shared" si="21"/>
        <v>32536.15</v>
      </c>
      <c r="AK19" s="4" t="s">
        <v>1157</v>
      </c>
      <c r="AL19" s="2">
        <v>327880</v>
      </c>
      <c r="AM19" s="2">
        <f t="shared" si="24"/>
        <v>3812.5581395348836</v>
      </c>
      <c r="AN19" s="10">
        <f t="shared" si="8"/>
        <v>10.667968114527412</v>
      </c>
      <c r="AO19" s="2">
        <v>209536</v>
      </c>
      <c r="AP19" s="9">
        <f t="shared" si="25"/>
        <v>2436.4651162790697</v>
      </c>
      <c r="AQ19" s="10">
        <f t="shared" si="9"/>
        <v>6.8175044737270216</v>
      </c>
      <c r="AR19" s="8">
        <f t="shared" si="10"/>
        <v>0.36093692814444311</v>
      </c>
      <c r="AS19" s="2">
        <f t="shared" si="11"/>
        <v>118344</v>
      </c>
      <c r="AT19" s="2">
        <f>'[3]13.14 Meter Data'!W159</f>
        <v>443300</v>
      </c>
      <c r="AU19" s="2">
        <f t="shared" si="26"/>
        <v>5154.6511627906975</v>
      </c>
      <c r="AV19" s="2">
        <f t="shared" si="22"/>
        <v>14.423295916707337</v>
      </c>
      <c r="AW19" s="8">
        <f t="shared" si="23"/>
        <v>-0.352019031352934</v>
      </c>
      <c r="AX19" s="4" t="s">
        <v>1157</v>
      </c>
      <c r="AY19" s="64">
        <f t="shared" si="27"/>
        <v>6196641.1428571427</v>
      </c>
      <c r="AZ19" s="42">
        <f t="shared" si="14"/>
        <v>201.61513397940922</v>
      </c>
      <c r="BA19" s="15">
        <v>6016156</v>
      </c>
      <c r="BB19" s="15">
        <f t="shared" si="28"/>
        <v>600745</v>
      </c>
      <c r="BC19" s="15">
        <f t="shared" si="29"/>
        <v>11428.571428571429</v>
      </c>
      <c r="BD19" s="3"/>
      <c r="BE19" s="15">
        <f t="shared" si="30"/>
        <v>40878.714285714283</v>
      </c>
      <c r="BF19" s="10">
        <f t="shared" si="15"/>
        <v>17.31442384317058</v>
      </c>
      <c r="BG19" s="1" t="s">
        <v>297</v>
      </c>
      <c r="BH19" s="11" t="s">
        <v>247</v>
      </c>
    </row>
    <row r="20" spans="1:60" s="41" customFormat="1" ht="29.25" customHeight="1" x14ac:dyDescent="0.2">
      <c r="A20" s="4" t="s">
        <v>535</v>
      </c>
      <c r="B20" s="11" t="s">
        <v>53</v>
      </c>
      <c r="C20" s="11" t="s">
        <v>548</v>
      </c>
      <c r="D20" s="1" t="s">
        <v>52</v>
      </c>
      <c r="E20" s="33">
        <v>40436</v>
      </c>
      <c r="F20" s="11" t="s">
        <v>10</v>
      </c>
      <c r="G20" s="33">
        <v>40511</v>
      </c>
      <c r="H20" s="60">
        <v>41091</v>
      </c>
      <c r="I20" s="4" t="s">
        <v>135</v>
      </c>
      <c r="J20" s="11">
        <v>86</v>
      </c>
      <c r="K20" s="6">
        <v>30735</v>
      </c>
      <c r="L20" s="49">
        <v>4</v>
      </c>
      <c r="M20" s="4" t="s">
        <v>535</v>
      </c>
      <c r="N20" s="11" t="s">
        <v>247</v>
      </c>
      <c r="O20" s="2">
        <v>4056</v>
      </c>
      <c r="P20" s="12">
        <f t="shared" si="0"/>
        <v>131.966813079551</v>
      </c>
      <c r="Q20" s="2">
        <v>3076</v>
      </c>
      <c r="R20" s="23">
        <f t="shared" si="1"/>
        <v>100.08134049129656</v>
      </c>
      <c r="S20" s="5">
        <f t="shared" si="2"/>
        <v>0.2416173570019724</v>
      </c>
      <c r="T20" s="9">
        <f t="shared" si="3"/>
        <v>980</v>
      </c>
      <c r="U20" s="9" t="s">
        <v>1156</v>
      </c>
      <c r="V20" s="49">
        <f>'[3]13.14 Meter Data'!Y169</f>
        <v>2552.0620570000001</v>
      </c>
      <c r="W20" s="40">
        <f t="shared" si="16"/>
        <v>83.034392614283391</v>
      </c>
      <c r="X20" s="5">
        <f t="shared" si="17"/>
        <v>0.37079337845167648</v>
      </c>
      <c r="Y20" s="51">
        <f t="shared" si="18"/>
        <v>1503.9379429999999</v>
      </c>
      <c r="Z20" s="4" t="s">
        <v>535</v>
      </c>
      <c r="AA20" s="15">
        <v>59608</v>
      </c>
      <c r="AB20" s="7">
        <f t="shared" si="4"/>
        <v>1.9394176020823166</v>
      </c>
      <c r="AC20" s="15">
        <v>46163</v>
      </c>
      <c r="AD20" s="7">
        <f t="shared" si="5"/>
        <v>1.5019684398893769</v>
      </c>
      <c r="AE20" s="8">
        <f t="shared" si="6"/>
        <v>0.22555697221849416</v>
      </c>
      <c r="AF20" s="15">
        <f t="shared" si="7"/>
        <v>13445</v>
      </c>
      <c r="AG20" s="15">
        <f>'[3]13.14 Meter Data'!W174</f>
        <v>21730.889999999996</v>
      </c>
      <c r="AH20" s="22">
        <f t="shared" si="19"/>
        <v>0.70704050756466552</v>
      </c>
      <c r="AI20" s="47">
        <f t="shared" si="20"/>
        <v>0.6354366863508254</v>
      </c>
      <c r="AJ20" s="48">
        <f t="shared" si="21"/>
        <v>37877.11</v>
      </c>
      <c r="AK20" s="4" t="s">
        <v>535</v>
      </c>
      <c r="AL20" s="2">
        <v>327880</v>
      </c>
      <c r="AM20" s="2">
        <f t="shared" si="24"/>
        <v>3812.5581395348836</v>
      </c>
      <c r="AN20" s="10">
        <f t="shared" si="8"/>
        <v>10.667968114527412</v>
      </c>
      <c r="AO20" s="2">
        <v>209536</v>
      </c>
      <c r="AP20" s="9">
        <f t="shared" si="25"/>
        <v>2436.4651162790697</v>
      </c>
      <c r="AQ20" s="10">
        <f t="shared" si="9"/>
        <v>6.8175044737270216</v>
      </c>
      <c r="AR20" s="8">
        <f t="shared" si="10"/>
        <v>0.36093692814444311</v>
      </c>
      <c r="AS20" s="2">
        <f t="shared" si="11"/>
        <v>118344</v>
      </c>
      <c r="AT20" s="2">
        <f>'[3]13.14 Meter Data'!W170</f>
        <v>407900</v>
      </c>
      <c r="AU20" s="2">
        <f t="shared" si="26"/>
        <v>4743.0232558139533</v>
      </c>
      <c r="AV20" s="2">
        <f t="shared" si="22"/>
        <v>13.271514559947942</v>
      </c>
      <c r="AW20" s="8">
        <f t="shared" si="23"/>
        <v>-0.24405270220812492</v>
      </c>
      <c r="AX20" s="4" t="s">
        <v>535</v>
      </c>
      <c r="AY20" s="64">
        <f t="shared" si="27"/>
        <v>6196641.1428571427</v>
      </c>
      <c r="AZ20" s="42">
        <f t="shared" si="14"/>
        <v>201.61513397940922</v>
      </c>
      <c r="BA20" s="15">
        <v>6016156</v>
      </c>
      <c r="BB20" s="15">
        <f t="shared" si="28"/>
        <v>600745</v>
      </c>
      <c r="BC20" s="15">
        <f t="shared" si="29"/>
        <v>11428.571428571429</v>
      </c>
      <c r="BD20" s="3"/>
      <c r="BE20" s="15">
        <f t="shared" si="30"/>
        <v>40878.714285714283</v>
      </c>
      <c r="BF20" s="10">
        <f t="shared" si="15"/>
        <v>17.31442384317058</v>
      </c>
      <c r="BG20" s="1" t="s">
        <v>297</v>
      </c>
      <c r="BH20" s="11" t="s">
        <v>247</v>
      </c>
    </row>
    <row r="21" spans="1:60" s="41" customFormat="1" ht="29.25" customHeight="1" x14ac:dyDescent="0.2">
      <c r="A21" s="4" t="s">
        <v>536</v>
      </c>
      <c r="B21" s="11" t="s">
        <v>53</v>
      </c>
      <c r="C21" s="11" t="s">
        <v>548</v>
      </c>
      <c r="D21" s="1" t="s">
        <v>52</v>
      </c>
      <c r="E21" s="33">
        <v>40436</v>
      </c>
      <c r="F21" s="11" t="s">
        <v>10</v>
      </c>
      <c r="G21" s="33">
        <v>40511</v>
      </c>
      <c r="H21" s="60">
        <v>41091</v>
      </c>
      <c r="I21" s="4" t="s">
        <v>135</v>
      </c>
      <c r="J21" s="11">
        <v>86</v>
      </c>
      <c r="K21" s="6">
        <v>30735</v>
      </c>
      <c r="L21" s="49">
        <v>4</v>
      </c>
      <c r="M21" s="4" t="s">
        <v>536</v>
      </c>
      <c r="N21" s="11" t="s">
        <v>247</v>
      </c>
      <c r="O21" s="2">
        <v>4056</v>
      </c>
      <c r="P21" s="12">
        <f t="shared" si="0"/>
        <v>131.966813079551</v>
      </c>
      <c r="Q21" s="2">
        <v>3076</v>
      </c>
      <c r="R21" s="23">
        <f t="shared" si="1"/>
        <v>100.08134049129656</v>
      </c>
      <c r="S21" s="5">
        <f t="shared" si="2"/>
        <v>0.2416173570019724</v>
      </c>
      <c r="T21" s="9">
        <f t="shared" si="3"/>
        <v>980</v>
      </c>
      <c r="U21" s="9" t="s">
        <v>1156</v>
      </c>
      <c r="V21" s="49">
        <f>'[3]13.14 Meter Data'!Y180</f>
        <v>3528.0014380000002</v>
      </c>
      <c r="W21" s="40">
        <f t="shared" si="16"/>
        <v>114.78774810476656</v>
      </c>
      <c r="X21" s="5">
        <f t="shared" si="17"/>
        <v>0.13017716025641018</v>
      </c>
      <c r="Y21" s="51">
        <f t="shared" si="18"/>
        <v>527.99856199999977</v>
      </c>
      <c r="Z21" s="4" t="s">
        <v>536</v>
      </c>
      <c r="AA21" s="15">
        <v>59608</v>
      </c>
      <c r="AB21" s="7">
        <f t="shared" si="4"/>
        <v>1.9394176020823166</v>
      </c>
      <c r="AC21" s="15">
        <v>46163</v>
      </c>
      <c r="AD21" s="7">
        <f t="shared" si="5"/>
        <v>1.5019684398893769</v>
      </c>
      <c r="AE21" s="8">
        <f t="shared" si="6"/>
        <v>0.22555697221849416</v>
      </c>
      <c r="AF21" s="15">
        <f t="shared" si="7"/>
        <v>13445</v>
      </c>
      <c r="AG21" s="15">
        <f>'[3]13.14 Meter Data'!W185</f>
        <v>40689.550000000003</v>
      </c>
      <c r="AH21" s="22">
        <f t="shared" si="19"/>
        <v>1.3238831950544983</v>
      </c>
      <c r="AI21" s="47">
        <f t="shared" si="20"/>
        <v>0.31738105623406249</v>
      </c>
      <c r="AJ21" s="48">
        <f t="shared" si="21"/>
        <v>18918.449999999997</v>
      </c>
      <c r="AK21" s="4" t="s">
        <v>536</v>
      </c>
      <c r="AL21" s="2">
        <v>327880</v>
      </c>
      <c r="AM21" s="2">
        <f t="shared" si="24"/>
        <v>3812.5581395348836</v>
      </c>
      <c r="AN21" s="10">
        <f t="shared" si="8"/>
        <v>10.667968114527412</v>
      </c>
      <c r="AO21" s="2">
        <v>209536</v>
      </c>
      <c r="AP21" s="9">
        <f t="shared" si="25"/>
        <v>2436.4651162790697</v>
      </c>
      <c r="AQ21" s="10">
        <f t="shared" si="9"/>
        <v>6.8175044737270216</v>
      </c>
      <c r="AR21" s="8">
        <f t="shared" si="10"/>
        <v>0.36093692814444311</v>
      </c>
      <c r="AS21" s="2">
        <f t="shared" si="11"/>
        <v>118344</v>
      </c>
      <c r="AT21" s="2">
        <f>'[3]13.14 Meter Data'!W181</f>
        <v>386000</v>
      </c>
      <c r="AU21" s="2">
        <f t="shared" si="26"/>
        <v>4488.3720930232557</v>
      </c>
      <c r="AV21" s="2">
        <f t="shared" si="22"/>
        <v>12.558971856190011</v>
      </c>
      <c r="AW21" s="8">
        <f t="shared" si="23"/>
        <v>-0.17725997316091252</v>
      </c>
      <c r="AX21" s="4" t="s">
        <v>536</v>
      </c>
      <c r="AY21" s="64">
        <f t="shared" si="27"/>
        <v>6196641.1428571427</v>
      </c>
      <c r="AZ21" s="42">
        <f t="shared" si="14"/>
        <v>201.61513397940922</v>
      </c>
      <c r="BA21" s="15">
        <v>6016156</v>
      </c>
      <c r="BB21" s="15">
        <f t="shared" si="28"/>
        <v>600745</v>
      </c>
      <c r="BC21" s="15">
        <f t="shared" si="29"/>
        <v>11428.571428571429</v>
      </c>
      <c r="BD21" s="3"/>
      <c r="BE21" s="15">
        <f t="shared" si="30"/>
        <v>40878.714285714283</v>
      </c>
      <c r="BF21" s="10">
        <f t="shared" si="15"/>
        <v>17.31442384317058</v>
      </c>
      <c r="BG21" s="1" t="s">
        <v>297</v>
      </c>
      <c r="BH21" s="11" t="s">
        <v>247</v>
      </c>
    </row>
    <row r="22" spans="1:60" s="41" customFormat="1" ht="28.5" x14ac:dyDescent="0.2">
      <c r="A22" s="4" t="s">
        <v>537</v>
      </c>
      <c r="B22" s="11" t="s">
        <v>53</v>
      </c>
      <c r="C22" s="11" t="s">
        <v>548</v>
      </c>
      <c r="D22" s="1" t="s">
        <v>52</v>
      </c>
      <c r="E22" s="33">
        <v>40436</v>
      </c>
      <c r="F22" s="11" t="s">
        <v>10</v>
      </c>
      <c r="G22" s="33">
        <v>40511</v>
      </c>
      <c r="H22" s="60">
        <v>41091</v>
      </c>
      <c r="I22" s="4" t="s">
        <v>135</v>
      </c>
      <c r="J22" s="11">
        <v>86</v>
      </c>
      <c r="K22" s="6">
        <v>30735</v>
      </c>
      <c r="L22" s="49">
        <v>4</v>
      </c>
      <c r="M22" s="4" t="s">
        <v>537</v>
      </c>
      <c r="N22" s="11" t="s">
        <v>247</v>
      </c>
      <c r="O22" s="2">
        <v>4056</v>
      </c>
      <c r="P22" s="12">
        <f t="shared" si="0"/>
        <v>131.966813079551</v>
      </c>
      <c r="Q22" s="2">
        <v>3076</v>
      </c>
      <c r="R22" s="23">
        <f t="shared" si="1"/>
        <v>100.08134049129656</v>
      </c>
      <c r="S22" s="5">
        <f t="shared" si="2"/>
        <v>0.2416173570019724</v>
      </c>
      <c r="T22" s="9">
        <f t="shared" si="3"/>
        <v>980</v>
      </c>
      <c r="U22" s="9" t="s">
        <v>1156</v>
      </c>
      <c r="V22" s="49">
        <f>'[3]13.14 Meter Data'!Y191</f>
        <v>9693.4978470000005</v>
      </c>
      <c r="W22" s="40">
        <f t="shared" si="16"/>
        <v>315.38955090287948</v>
      </c>
      <c r="X22" s="5">
        <f t="shared" si="17"/>
        <v>-1.3899156427514794</v>
      </c>
      <c r="Y22" s="51">
        <f t="shared" si="18"/>
        <v>-5637.4978470000005</v>
      </c>
      <c r="Z22" s="4" t="s">
        <v>537</v>
      </c>
      <c r="AA22" s="15">
        <v>59608</v>
      </c>
      <c r="AB22" s="7">
        <f t="shared" si="4"/>
        <v>1.9394176020823166</v>
      </c>
      <c r="AC22" s="15">
        <v>46163</v>
      </c>
      <c r="AD22" s="7">
        <f t="shared" si="5"/>
        <v>1.5019684398893769</v>
      </c>
      <c r="AE22" s="8">
        <f t="shared" si="6"/>
        <v>0.22555697221849416</v>
      </c>
      <c r="AF22" s="15">
        <f t="shared" si="7"/>
        <v>13445</v>
      </c>
      <c r="AG22" s="15">
        <f>'[3]13.14 Meter Data'!W196</f>
        <v>21007.970000000005</v>
      </c>
      <c r="AH22" s="22">
        <f t="shared" si="19"/>
        <v>0.68351944037742007</v>
      </c>
      <c r="AI22" s="47">
        <f t="shared" si="20"/>
        <v>0.64756458864581934</v>
      </c>
      <c r="AJ22" s="48">
        <f t="shared" si="21"/>
        <v>38600.03</v>
      </c>
      <c r="AK22" s="4" t="s">
        <v>537</v>
      </c>
      <c r="AL22" s="2">
        <v>327880</v>
      </c>
      <c r="AM22" s="2">
        <f t="shared" si="24"/>
        <v>3812.5581395348836</v>
      </c>
      <c r="AN22" s="10">
        <f t="shared" si="8"/>
        <v>10.667968114527412</v>
      </c>
      <c r="AO22" s="2">
        <v>209536</v>
      </c>
      <c r="AP22" s="9">
        <f t="shared" si="25"/>
        <v>2436.4651162790697</v>
      </c>
      <c r="AQ22" s="10">
        <f t="shared" si="9"/>
        <v>6.8175044737270216</v>
      </c>
      <c r="AR22" s="8">
        <f t="shared" si="10"/>
        <v>0.36093692814444311</v>
      </c>
      <c r="AS22" s="2">
        <f t="shared" si="11"/>
        <v>118344</v>
      </c>
      <c r="AT22" s="2">
        <f>'[3]13.14 Meter Data'!W192</f>
        <v>391330</v>
      </c>
      <c r="AU22" s="2">
        <f t="shared" si="26"/>
        <v>4550.3488372093025</v>
      </c>
      <c r="AV22" s="2">
        <f t="shared" si="22"/>
        <v>12.732389783634293</v>
      </c>
      <c r="AW22" s="8">
        <f t="shared" si="23"/>
        <v>-0.19351592045870442</v>
      </c>
      <c r="AX22" s="4" t="s">
        <v>537</v>
      </c>
      <c r="AY22" s="64">
        <f t="shared" si="27"/>
        <v>6196641.1428571427</v>
      </c>
      <c r="AZ22" s="42">
        <f t="shared" si="14"/>
        <v>201.61513397940922</v>
      </c>
      <c r="BA22" s="15">
        <v>6016156</v>
      </c>
      <c r="BB22" s="15">
        <f t="shared" si="28"/>
        <v>600745</v>
      </c>
      <c r="BC22" s="15">
        <f t="shared" si="29"/>
        <v>11428.571428571429</v>
      </c>
      <c r="BD22" s="3"/>
      <c r="BE22" s="15">
        <f t="shared" si="30"/>
        <v>40878.714285714283</v>
      </c>
      <c r="BF22" s="10">
        <f t="shared" si="15"/>
        <v>17.31442384317058</v>
      </c>
      <c r="BG22" s="1" t="s">
        <v>297</v>
      </c>
      <c r="BH22" s="11" t="s">
        <v>247</v>
      </c>
    </row>
    <row r="23" spans="1:60" s="41" customFormat="1" ht="29.25" customHeight="1" x14ac:dyDescent="0.2">
      <c r="A23" s="4" t="s">
        <v>538</v>
      </c>
      <c r="B23" s="11" t="s">
        <v>53</v>
      </c>
      <c r="C23" s="11" t="s">
        <v>548</v>
      </c>
      <c r="D23" s="1" t="s">
        <v>52</v>
      </c>
      <c r="E23" s="33">
        <v>40436</v>
      </c>
      <c r="F23" s="11" t="s">
        <v>10</v>
      </c>
      <c r="G23" s="33">
        <v>40511</v>
      </c>
      <c r="H23" s="60">
        <v>41091</v>
      </c>
      <c r="I23" s="4" t="s">
        <v>135</v>
      </c>
      <c r="J23" s="11">
        <v>118</v>
      </c>
      <c r="K23" s="6">
        <v>54847</v>
      </c>
      <c r="L23" s="49">
        <v>4</v>
      </c>
      <c r="M23" s="4" t="s">
        <v>538</v>
      </c>
      <c r="N23" s="11" t="s">
        <v>247</v>
      </c>
      <c r="O23" s="2">
        <v>4056</v>
      </c>
      <c r="P23" s="12">
        <f t="shared" si="0"/>
        <v>73.951173263806581</v>
      </c>
      <c r="Q23" s="2">
        <v>3076</v>
      </c>
      <c r="R23" s="23">
        <f t="shared" si="1"/>
        <v>56.083286232610718</v>
      </c>
      <c r="S23" s="5">
        <f t="shared" si="2"/>
        <v>0.2416173570019724</v>
      </c>
      <c r="T23" s="9">
        <f t="shared" si="3"/>
        <v>980</v>
      </c>
      <c r="U23" s="9" t="s">
        <v>1156</v>
      </c>
      <c r="V23" s="49">
        <f>'[3]13.14 Meter Data'!Y202</f>
        <v>11456.974553</v>
      </c>
      <c r="W23" s="40">
        <f t="shared" si="16"/>
        <v>208.88972146152025</v>
      </c>
      <c r="X23" s="5">
        <f t="shared" si="17"/>
        <v>-1.824697868096647</v>
      </c>
      <c r="Y23" s="51">
        <f t="shared" si="18"/>
        <v>-7400.974553</v>
      </c>
      <c r="Z23" s="4" t="s">
        <v>538</v>
      </c>
      <c r="AA23" s="15">
        <v>59608</v>
      </c>
      <c r="AB23" s="7">
        <f t="shared" si="4"/>
        <v>1.0868051124035956</v>
      </c>
      <c r="AC23" s="15">
        <v>46163</v>
      </c>
      <c r="AD23" s="7">
        <f t="shared" si="5"/>
        <v>0.84166864185826029</v>
      </c>
      <c r="AE23" s="8">
        <f t="shared" si="6"/>
        <v>0.22555697221849416</v>
      </c>
      <c r="AF23" s="15">
        <f t="shared" si="7"/>
        <v>13445</v>
      </c>
      <c r="AG23" s="15">
        <f>'[3]13.14 Meter Data'!W207</f>
        <v>69732.88</v>
      </c>
      <c r="AH23" s="7">
        <f t="shared" si="19"/>
        <v>1.2714073695917736</v>
      </c>
      <c r="AI23" s="8">
        <f t="shared" si="20"/>
        <v>-0.16985773721648109</v>
      </c>
      <c r="AJ23" s="15">
        <f t="shared" si="21"/>
        <v>-10124.880000000005</v>
      </c>
      <c r="AK23" s="4" t="s">
        <v>538</v>
      </c>
      <c r="AL23" s="2">
        <v>327880</v>
      </c>
      <c r="AM23" s="2">
        <f t="shared" si="24"/>
        <v>2778.6440677966102</v>
      </c>
      <c r="AN23" s="10">
        <f t="shared" si="8"/>
        <v>5.9780844895801044</v>
      </c>
      <c r="AO23" s="2">
        <v>209536</v>
      </c>
      <c r="AP23" s="9">
        <f t="shared" si="25"/>
        <v>1775.7288135593221</v>
      </c>
      <c r="AQ23" s="10">
        <f t="shared" si="9"/>
        <v>3.8203730377231206</v>
      </c>
      <c r="AR23" s="8">
        <f t="shared" si="10"/>
        <v>0.36093692814444311</v>
      </c>
      <c r="AS23" s="2">
        <f t="shared" si="11"/>
        <v>118344</v>
      </c>
      <c r="AT23" s="2">
        <f>'[3]13.14 Meter Data'!W203</f>
        <v>684000</v>
      </c>
      <c r="AU23" s="2">
        <f t="shared" si="26"/>
        <v>5796.6101694915251</v>
      </c>
      <c r="AV23" s="10">
        <f t="shared" si="22"/>
        <v>12.471055846263241</v>
      </c>
      <c r="AW23" s="8">
        <f t="shared" si="23"/>
        <v>-1.0861290716115652</v>
      </c>
      <c r="AX23" s="4" t="s">
        <v>538</v>
      </c>
      <c r="AY23" s="64">
        <f t="shared" si="27"/>
        <v>6196641.1428571427</v>
      </c>
      <c r="AZ23" s="42">
        <f t="shared" si="14"/>
        <v>112.98049378921623</v>
      </c>
      <c r="BA23" s="15">
        <v>6016156</v>
      </c>
      <c r="BB23" s="15">
        <f t="shared" si="28"/>
        <v>600745</v>
      </c>
      <c r="BC23" s="15">
        <f t="shared" si="29"/>
        <v>11428.571428571429</v>
      </c>
      <c r="BD23" s="3"/>
      <c r="BE23" s="15">
        <f t="shared" si="30"/>
        <v>40878.714285714283</v>
      </c>
      <c r="BF23" s="10">
        <f t="shared" si="15"/>
        <v>17.31442384317058</v>
      </c>
      <c r="BG23" s="1" t="s">
        <v>297</v>
      </c>
      <c r="BH23" s="11" t="s">
        <v>247</v>
      </c>
    </row>
    <row r="24" spans="1:60" s="41" customFormat="1" ht="42.6" customHeight="1" x14ac:dyDescent="0.2">
      <c r="A24" s="20" t="s">
        <v>119</v>
      </c>
      <c r="B24" s="19" t="s">
        <v>8</v>
      </c>
      <c r="C24" s="19" t="s">
        <v>651</v>
      </c>
      <c r="D24" s="9" t="s">
        <v>7</v>
      </c>
      <c r="E24" s="36">
        <v>40550</v>
      </c>
      <c r="F24" s="19" t="s">
        <v>10</v>
      </c>
      <c r="G24" s="34">
        <v>40758</v>
      </c>
      <c r="H24" s="61">
        <v>41123</v>
      </c>
      <c r="I24" s="20" t="s">
        <v>54</v>
      </c>
      <c r="J24" s="19">
        <v>350</v>
      </c>
      <c r="K24" s="6">
        <v>71505</v>
      </c>
      <c r="L24" s="49">
        <v>10</v>
      </c>
      <c r="M24" s="20" t="s">
        <v>119</v>
      </c>
      <c r="N24" s="11" t="s">
        <v>247</v>
      </c>
      <c r="O24" s="2">
        <v>5122</v>
      </c>
      <c r="P24" s="12">
        <f t="shared" si="0"/>
        <v>71.631354450737703</v>
      </c>
      <c r="Q24" s="2">
        <v>3189</v>
      </c>
      <c r="R24" s="23">
        <f t="shared" si="1"/>
        <v>44.598279840570591</v>
      </c>
      <c r="S24" s="5">
        <f t="shared" si="2"/>
        <v>0.37739164388910584</v>
      </c>
      <c r="T24" s="13">
        <f t="shared" si="3"/>
        <v>1933</v>
      </c>
      <c r="U24" s="74" t="s">
        <v>1156</v>
      </c>
      <c r="V24" s="49">
        <f>'[3]13.14 Meter Data'!W211</f>
        <v>3084.9765699999998</v>
      </c>
      <c r="W24" s="40">
        <f t="shared" si="16"/>
        <v>43.143508425984194</v>
      </c>
      <c r="X24" s="5">
        <f t="shared" si="17"/>
        <v>0.39770078680203047</v>
      </c>
      <c r="Y24" s="51">
        <f t="shared" si="18"/>
        <v>2037.0234300000002</v>
      </c>
      <c r="Z24" s="20" t="s">
        <v>119</v>
      </c>
      <c r="AA24" s="15">
        <v>114129</v>
      </c>
      <c r="AB24" s="24">
        <f t="shared" si="4"/>
        <v>1.5960981749528005</v>
      </c>
      <c r="AC24" s="15">
        <v>82978</v>
      </c>
      <c r="AD24" s="24">
        <f t="shared" si="5"/>
        <v>1.1604503181595693</v>
      </c>
      <c r="AE24" s="8">
        <f t="shared" si="6"/>
        <v>0.27294552655328619</v>
      </c>
      <c r="AF24" s="16">
        <f t="shared" si="7"/>
        <v>31151</v>
      </c>
      <c r="AG24" s="15">
        <f>'[3]13.14 Meter Data'!W213</f>
        <v>57797.919999999998</v>
      </c>
      <c r="AH24" s="22">
        <f t="shared" si="19"/>
        <v>0.8083059925879309</v>
      </c>
      <c r="AI24" s="47">
        <f t="shared" si="20"/>
        <v>0.49357376302254469</v>
      </c>
      <c r="AJ24" s="48">
        <f t="shared" si="21"/>
        <v>56331.08</v>
      </c>
      <c r="AK24" s="20" t="s">
        <v>119</v>
      </c>
      <c r="AL24" s="2">
        <v>2675470</v>
      </c>
      <c r="AM24" s="2">
        <f t="shared" si="24"/>
        <v>7644.2</v>
      </c>
      <c r="AN24" s="2">
        <f t="shared" si="8"/>
        <v>37.416544297601568</v>
      </c>
      <c r="AO24" s="2">
        <v>1801347</v>
      </c>
      <c r="AP24" s="9">
        <f t="shared" si="25"/>
        <v>5146.7057142857138</v>
      </c>
      <c r="AQ24" s="2">
        <f t="shared" si="9"/>
        <v>25.19190266414936</v>
      </c>
      <c r="AR24" s="8">
        <f t="shared" si="10"/>
        <v>0.32671754869237929</v>
      </c>
      <c r="AS24" s="17">
        <f t="shared" si="11"/>
        <v>874123</v>
      </c>
      <c r="AT24" s="2">
        <f>'[3]13.14 Meter Data'!W212</f>
        <v>1235936</v>
      </c>
      <c r="AU24" s="2">
        <f t="shared" si="26"/>
        <v>3531.2457142857143</v>
      </c>
      <c r="AV24" s="2">
        <f t="shared" si="22"/>
        <v>17.28460946786938</v>
      </c>
      <c r="AW24" s="8">
        <f t="shared" si="23"/>
        <v>0.53804901568696339</v>
      </c>
      <c r="AX24" s="20" t="s">
        <v>119</v>
      </c>
      <c r="AY24" s="64">
        <v>13435000</v>
      </c>
      <c r="AZ24" s="42">
        <f t="shared" si="14"/>
        <v>187.88895881406896</v>
      </c>
      <c r="BA24" s="15">
        <v>11750000</v>
      </c>
      <c r="BB24" s="15">
        <v>998800</v>
      </c>
      <c r="BC24" s="15">
        <v>0</v>
      </c>
      <c r="BD24" s="3"/>
      <c r="BE24" s="15">
        <v>153235</v>
      </c>
      <c r="BF24" s="10">
        <f t="shared" si="15"/>
        <v>59.010465153606624</v>
      </c>
      <c r="BG24" s="1" t="s">
        <v>313</v>
      </c>
      <c r="BH24" s="11" t="s">
        <v>247</v>
      </c>
    </row>
    <row r="25" spans="1:60" s="41" customFormat="1" ht="31.15" customHeight="1" x14ac:dyDescent="0.2">
      <c r="A25" s="20" t="s">
        <v>286</v>
      </c>
      <c r="B25" s="19" t="s">
        <v>11</v>
      </c>
      <c r="C25" s="19" t="s">
        <v>648</v>
      </c>
      <c r="D25" s="9" t="s">
        <v>9</v>
      </c>
      <c r="E25" s="34">
        <v>40134</v>
      </c>
      <c r="F25" s="19" t="s">
        <v>10</v>
      </c>
      <c r="G25" s="34">
        <v>40375</v>
      </c>
      <c r="H25" s="61">
        <v>41128</v>
      </c>
      <c r="I25" s="20" t="s">
        <v>12</v>
      </c>
      <c r="J25" s="19" t="s">
        <v>13</v>
      </c>
      <c r="K25" s="6">
        <v>87000</v>
      </c>
      <c r="L25" s="49">
        <v>3</v>
      </c>
      <c r="M25" s="20" t="s">
        <v>286</v>
      </c>
      <c r="N25" s="11" t="s">
        <v>247</v>
      </c>
      <c r="O25" s="2">
        <v>7163</v>
      </c>
      <c r="P25" s="12">
        <f t="shared" si="0"/>
        <v>82.333333333333329</v>
      </c>
      <c r="Q25" s="2">
        <v>4954</v>
      </c>
      <c r="R25" s="23">
        <f t="shared" si="1"/>
        <v>56.942528735632187</v>
      </c>
      <c r="S25" s="5">
        <f t="shared" si="2"/>
        <v>0.30839033924333381</v>
      </c>
      <c r="T25" s="13">
        <f t="shared" si="3"/>
        <v>2209</v>
      </c>
      <c r="U25" s="74" t="s">
        <v>1156</v>
      </c>
      <c r="V25" s="49">
        <f>'[3]13.14 Meter Data'!Y218</f>
        <v>7071.8135623104399</v>
      </c>
      <c r="W25" s="40">
        <f t="shared" si="16"/>
        <v>81.285213359890108</v>
      </c>
      <c r="X25" s="5">
        <f t="shared" si="17"/>
        <v>1.2730202106597805E-2</v>
      </c>
      <c r="Y25" s="2">
        <f t="shared" si="18"/>
        <v>91.18643768956008</v>
      </c>
      <c r="Z25" s="20" t="s">
        <v>286</v>
      </c>
      <c r="AA25" s="15">
        <v>98379</v>
      </c>
      <c r="AB25" s="24">
        <f t="shared" si="4"/>
        <v>1.1307931034482759</v>
      </c>
      <c r="AC25" s="15">
        <v>65154</v>
      </c>
      <c r="AD25" s="24">
        <f t="shared" si="5"/>
        <v>0.74889655172413794</v>
      </c>
      <c r="AE25" s="8">
        <f t="shared" si="6"/>
        <v>0.3377245143780685</v>
      </c>
      <c r="AF25" s="16">
        <f t="shared" si="7"/>
        <v>33225</v>
      </c>
      <c r="AG25" s="15">
        <f>'[3]13.14 Meter Data'!W222</f>
        <v>120780.27840000001</v>
      </c>
      <c r="AH25" s="22">
        <f t="shared" si="19"/>
        <v>1.3882790620689656</v>
      </c>
      <c r="AI25" s="47">
        <f t="shared" si="20"/>
        <v>-0.22770386362943321</v>
      </c>
      <c r="AJ25" s="48">
        <f t="shared" si="21"/>
        <v>-22401.27840000001</v>
      </c>
      <c r="AK25" s="20" t="s">
        <v>286</v>
      </c>
      <c r="AL25" s="2">
        <v>2606625</v>
      </c>
      <c r="AM25" s="9" t="s">
        <v>13</v>
      </c>
      <c r="AN25" s="2">
        <f t="shared" si="8"/>
        <v>29.961206896551722</v>
      </c>
      <c r="AO25" s="2">
        <v>1672375</v>
      </c>
      <c r="AP25" s="9" t="s">
        <v>13</v>
      </c>
      <c r="AQ25" s="2">
        <f t="shared" si="9"/>
        <v>19.222701149425287</v>
      </c>
      <c r="AR25" s="8">
        <f t="shared" si="10"/>
        <v>0.35841365750731308</v>
      </c>
      <c r="AS25" s="17">
        <f t="shared" si="11"/>
        <v>934250</v>
      </c>
      <c r="AT25" s="2">
        <f>'[3]13.14 Meter Data'!W219</f>
        <v>848245</v>
      </c>
      <c r="AU25" s="9" t="s">
        <v>13</v>
      </c>
      <c r="AV25" s="2">
        <f t="shared" si="22"/>
        <v>9.7499425287356321</v>
      </c>
      <c r="AW25" s="8">
        <f t="shared" si="23"/>
        <v>0.67458111542703691</v>
      </c>
      <c r="AX25" s="20" t="s">
        <v>286</v>
      </c>
      <c r="AY25" s="64">
        <v>14834300</v>
      </c>
      <c r="AZ25" s="42">
        <f t="shared" si="14"/>
        <v>170.50919540229884</v>
      </c>
      <c r="BA25" s="15">
        <v>14419316</v>
      </c>
      <c r="BB25" s="15">
        <v>2004260</v>
      </c>
      <c r="BC25" s="15">
        <v>47460</v>
      </c>
      <c r="BD25" s="3"/>
      <c r="BE25" s="85">
        <v>0</v>
      </c>
      <c r="BF25" s="10">
        <f t="shared" si="15"/>
        <v>13.918555304740407</v>
      </c>
      <c r="BG25" s="1" t="s">
        <v>301</v>
      </c>
      <c r="BH25" s="11" t="s">
        <v>247</v>
      </c>
    </row>
    <row r="26" spans="1:60" s="41" customFormat="1" ht="28.5" x14ac:dyDescent="0.2">
      <c r="A26" s="4" t="s">
        <v>1158</v>
      </c>
      <c r="B26" s="11" t="s">
        <v>56</v>
      </c>
      <c r="C26" s="11" t="s">
        <v>546</v>
      </c>
      <c r="D26" s="1" t="s">
        <v>55</v>
      </c>
      <c r="E26" s="33">
        <v>40798</v>
      </c>
      <c r="F26" s="11" t="s">
        <v>10</v>
      </c>
      <c r="G26" s="33" t="s">
        <v>475</v>
      </c>
      <c r="H26" s="60">
        <v>41128</v>
      </c>
      <c r="I26" s="4" t="s">
        <v>54</v>
      </c>
      <c r="J26" s="11">
        <v>340</v>
      </c>
      <c r="K26" s="6">
        <v>85000</v>
      </c>
      <c r="L26" s="14">
        <v>3</v>
      </c>
      <c r="M26" s="4" t="s">
        <v>1158</v>
      </c>
      <c r="N26" s="11" t="s">
        <v>247</v>
      </c>
      <c r="O26" s="2">
        <v>5499</v>
      </c>
      <c r="P26" s="12">
        <f t="shared" si="0"/>
        <v>64.694117647058818</v>
      </c>
      <c r="Q26" s="2">
        <v>3624</v>
      </c>
      <c r="R26" s="23">
        <f t="shared" si="1"/>
        <v>42.635294117647057</v>
      </c>
      <c r="S26" s="5">
        <f t="shared" si="2"/>
        <v>0.34097108565193673</v>
      </c>
      <c r="T26" s="6">
        <f t="shared" si="3"/>
        <v>1875</v>
      </c>
      <c r="U26" s="9" t="s">
        <v>1150</v>
      </c>
      <c r="V26" s="49">
        <v>1980</v>
      </c>
      <c r="W26" s="40">
        <f t="shared" si="16"/>
        <v>23.294117647058822</v>
      </c>
      <c r="X26" s="5">
        <f t="shared" si="17"/>
        <v>0.63993453355155483</v>
      </c>
      <c r="Y26" s="2">
        <f t="shared" si="18"/>
        <v>3519</v>
      </c>
      <c r="Z26" s="4" t="s">
        <v>1158</v>
      </c>
      <c r="AA26" s="15">
        <v>174915</v>
      </c>
      <c r="AB26" s="7">
        <f t="shared" si="4"/>
        <v>2.0578235294117646</v>
      </c>
      <c r="AC26" s="15">
        <v>88110</v>
      </c>
      <c r="AD26" s="7">
        <f t="shared" si="5"/>
        <v>1.0365882352941176</v>
      </c>
      <c r="AE26" s="8">
        <f t="shared" si="6"/>
        <v>0.49626961667095448</v>
      </c>
      <c r="AF26" s="15">
        <f t="shared" si="7"/>
        <v>86805</v>
      </c>
      <c r="AG26" s="3"/>
      <c r="AH26" s="3"/>
      <c r="AI26" s="3"/>
      <c r="AJ26" s="2"/>
      <c r="AK26" s="4" t="s">
        <v>1158</v>
      </c>
      <c r="AL26" s="2">
        <v>2636463</v>
      </c>
      <c r="AM26" s="2">
        <f>AL26/J26</f>
        <v>7754.302941176471</v>
      </c>
      <c r="AN26" s="10">
        <f t="shared" si="8"/>
        <v>31.017211764705884</v>
      </c>
      <c r="AO26" s="2">
        <v>1734140</v>
      </c>
      <c r="AP26" s="9">
        <f>AO26/J26</f>
        <v>5100.411764705882</v>
      </c>
      <c r="AQ26" s="10">
        <f t="shared" si="9"/>
        <v>20.401647058823528</v>
      </c>
      <c r="AR26" s="8">
        <f t="shared" si="10"/>
        <v>0.34224754908375349</v>
      </c>
      <c r="AS26" s="2">
        <f t="shared" si="11"/>
        <v>902323</v>
      </c>
      <c r="AT26" s="3"/>
      <c r="AU26" s="3"/>
      <c r="AV26" s="3"/>
      <c r="AW26" s="3"/>
      <c r="AX26" s="4" t="s">
        <v>1158</v>
      </c>
      <c r="AY26" s="33" t="s">
        <v>288</v>
      </c>
      <c r="AZ26" s="42"/>
      <c r="BA26" s="3"/>
      <c r="BB26" s="33" t="s">
        <v>288</v>
      </c>
      <c r="BC26" s="33" t="s">
        <v>288</v>
      </c>
      <c r="BD26" s="3"/>
      <c r="BE26" s="33" t="s">
        <v>288</v>
      </c>
      <c r="BF26" s="10"/>
      <c r="BG26" s="1" t="s">
        <v>313</v>
      </c>
      <c r="BH26" s="11" t="s">
        <v>247</v>
      </c>
    </row>
    <row r="27" spans="1:60" s="41" customFormat="1" ht="29.25" customHeight="1" x14ac:dyDescent="0.2">
      <c r="A27" s="20" t="s">
        <v>279</v>
      </c>
      <c r="B27" s="19" t="s">
        <v>14</v>
      </c>
      <c r="C27" s="19" t="s">
        <v>552</v>
      </c>
      <c r="D27" s="9" t="s">
        <v>186</v>
      </c>
      <c r="E27" s="34">
        <v>40602</v>
      </c>
      <c r="F27" s="19" t="s">
        <v>10</v>
      </c>
      <c r="G27" s="34">
        <v>40738</v>
      </c>
      <c r="H27" s="61">
        <v>41129</v>
      </c>
      <c r="I27" s="20" t="s">
        <v>54</v>
      </c>
      <c r="J27" s="19">
        <v>300</v>
      </c>
      <c r="K27" s="6">
        <v>91370</v>
      </c>
      <c r="L27" s="49">
        <v>6</v>
      </c>
      <c r="M27" s="20" t="s">
        <v>279</v>
      </c>
      <c r="N27" s="11" t="s">
        <v>247</v>
      </c>
      <c r="O27" s="2">
        <v>5737</v>
      </c>
      <c r="P27" s="12">
        <f t="shared" si="0"/>
        <v>62.788661486264637</v>
      </c>
      <c r="Q27" s="2">
        <v>3460</v>
      </c>
      <c r="R27" s="23">
        <f t="shared" si="1"/>
        <v>37.868009193389511</v>
      </c>
      <c r="S27" s="5">
        <f t="shared" si="2"/>
        <v>0.39689733310092384</v>
      </c>
      <c r="T27" s="13">
        <f t="shared" si="3"/>
        <v>2277</v>
      </c>
      <c r="U27" s="74" t="s">
        <v>1150</v>
      </c>
      <c r="V27" s="49">
        <v>4293</v>
      </c>
      <c r="W27" s="40">
        <f t="shared" si="16"/>
        <v>46.984787129254677</v>
      </c>
      <c r="X27" s="5">
        <f t="shared" si="17"/>
        <v>0.25169949450932544</v>
      </c>
      <c r="Y27" s="51">
        <f t="shared" si="18"/>
        <v>1444</v>
      </c>
      <c r="Z27" s="20" t="s">
        <v>279</v>
      </c>
      <c r="AA27" s="15">
        <v>89281</v>
      </c>
      <c r="AB27" s="24">
        <f t="shared" si="4"/>
        <v>0.97713691583670792</v>
      </c>
      <c r="AC27" s="15">
        <v>63609</v>
      </c>
      <c r="AD27" s="24">
        <f t="shared" si="5"/>
        <v>0.69616942103535073</v>
      </c>
      <c r="AE27" s="8">
        <f t="shared" si="6"/>
        <v>0.28754158219553994</v>
      </c>
      <c r="AF27" s="16">
        <f t="shared" si="7"/>
        <v>25672</v>
      </c>
      <c r="AG27" s="15">
        <v>107053</v>
      </c>
      <c r="AH27" s="22">
        <f>AG27/K27</f>
        <v>1.1716427711502682</v>
      </c>
      <c r="AI27" s="47">
        <f>(AA27-AG27)/AA27</f>
        <v>-0.19905691020485883</v>
      </c>
      <c r="AJ27" s="48">
        <f>AA27-AG27</f>
        <v>-17772</v>
      </c>
      <c r="AK27" s="20" t="s">
        <v>279</v>
      </c>
      <c r="AL27" s="2">
        <v>2888310</v>
      </c>
      <c r="AM27" s="2">
        <f>AL27/J27</f>
        <v>9627.7000000000007</v>
      </c>
      <c r="AN27" s="2">
        <f t="shared" si="8"/>
        <v>31.611141512531464</v>
      </c>
      <c r="AO27" s="2">
        <v>1728304</v>
      </c>
      <c r="AP27" s="9">
        <f>AO27/J27</f>
        <v>5761.0133333333333</v>
      </c>
      <c r="AQ27" s="2">
        <f t="shared" si="9"/>
        <v>18.915442705483201</v>
      </c>
      <c r="AR27" s="8">
        <f t="shared" si="10"/>
        <v>0.40162101713458737</v>
      </c>
      <c r="AS27" s="17">
        <f t="shared" si="11"/>
        <v>1160006</v>
      </c>
      <c r="AT27" s="2">
        <v>1738352</v>
      </c>
      <c r="AU27" s="2">
        <f>AT27/J27</f>
        <v>5794.5066666666671</v>
      </c>
      <c r="AV27" s="2">
        <f>AT27/K27</f>
        <v>19.025413155302616</v>
      </c>
      <c r="AW27" s="8">
        <f>(AL27-AT27)/AL27</f>
        <v>0.39814216618022302</v>
      </c>
      <c r="AX27" s="20" t="s">
        <v>279</v>
      </c>
      <c r="AY27" s="64">
        <v>16467600</v>
      </c>
      <c r="AZ27" s="42">
        <f t="shared" ref="AZ27:AZ42" si="31">AY27/K27</f>
        <v>180.22983473787895</v>
      </c>
      <c r="BA27" s="15">
        <v>14927082</v>
      </c>
      <c r="BB27" s="15">
        <v>1685000</v>
      </c>
      <c r="BC27" s="15">
        <v>0</v>
      </c>
      <c r="BD27" s="3"/>
      <c r="BE27" s="15">
        <v>85000</v>
      </c>
      <c r="BF27" s="10">
        <f>((AY27-BA27)+BC27+BD27+BE27)/AF27</f>
        <v>63.318712994702402</v>
      </c>
      <c r="BG27" s="1" t="s">
        <v>301</v>
      </c>
      <c r="BH27" s="11" t="s">
        <v>247</v>
      </c>
    </row>
    <row r="28" spans="1:60" s="41" customFormat="1" ht="29.25" customHeight="1" x14ac:dyDescent="0.2">
      <c r="A28" s="20" t="s">
        <v>280</v>
      </c>
      <c r="B28" s="19" t="s">
        <v>6</v>
      </c>
      <c r="C28" s="19" t="s">
        <v>547</v>
      </c>
      <c r="D28" s="9" t="s">
        <v>5</v>
      </c>
      <c r="E28" s="36">
        <v>40424</v>
      </c>
      <c r="F28" s="19" t="s">
        <v>10</v>
      </c>
      <c r="G28" s="34">
        <v>40568</v>
      </c>
      <c r="H28" s="61">
        <v>41138</v>
      </c>
      <c r="I28" s="20" t="s">
        <v>54</v>
      </c>
      <c r="J28" s="19">
        <v>210</v>
      </c>
      <c r="K28" s="6">
        <v>53896</v>
      </c>
      <c r="L28" s="49">
        <v>3</v>
      </c>
      <c r="M28" s="20" t="s">
        <v>280</v>
      </c>
      <c r="N28" s="11" t="s">
        <v>247</v>
      </c>
      <c r="O28" s="2">
        <v>9118</v>
      </c>
      <c r="P28" s="12">
        <f t="shared" si="0"/>
        <v>169.17767552322994</v>
      </c>
      <c r="Q28" s="2">
        <v>6399</v>
      </c>
      <c r="R28" s="23">
        <f t="shared" si="1"/>
        <v>118.72866260947008</v>
      </c>
      <c r="S28" s="5">
        <f t="shared" si="2"/>
        <v>0.29820135994735686</v>
      </c>
      <c r="T28" s="13">
        <f t="shared" si="3"/>
        <v>2719</v>
      </c>
      <c r="U28" s="74" t="s">
        <v>1156</v>
      </c>
      <c r="V28" s="49">
        <f>'[3]13.14 Meter Data'!W238</f>
        <v>2153.2685259999998</v>
      </c>
      <c r="W28" s="40">
        <f t="shared" si="16"/>
        <v>39.952288221760426</v>
      </c>
      <c r="X28" s="5">
        <f t="shared" si="17"/>
        <v>0.76384420640491335</v>
      </c>
      <c r="Y28" s="51">
        <f t="shared" si="18"/>
        <v>6964.7314740000002</v>
      </c>
      <c r="Z28" s="20" t="s">
        <v>280</v>
      </c>
      <c r="AA28" s="15">
        <v>217417</v>
      </c>
      <c r="AB28" s="24">
        <f t="shared" si="4"/>
        <v>4.0340099450794122</v>
      </c>
      <c r="AC28" s="15">
        <v>145256</v>
      </c>
      <c r="AD28" s="24">
        <f t="shared" si="5"/>
        <v>2.6951165207065459</v>
      </c>
      <c r="AE28" s="8">
        <f t="shared" si="6"/>
        <v>0.33190136925815367</v>
      </c>
      <c r="AF28" s="16">
        <f t="shared" si="7"/>
        <v>72161</v>
      </c>
      <c r="AG28" s="15">
        <f>'[3]13.14 Meter Data'!W240</f>
        <v>66675.820000000007</v>
      </c>
      <c r="AH28" s="22">
        <f>AG28/K28</f>
        <v>1.2371200089060415</v>
      </c>
      <c r="AI28" s="47">
        <f>(AA28-AG28)/AA28</f>
        <v>0.69332747669225492</v>
      </c>
      <c r="AJ28" s="48">
        <f>AA28-AG28</f>
        <v>150741.18</v>
      </c>
      <c r="AK28" s="20" t="s">
        <v>280</v>
      </c>
      <c r="AL28" s="2">
        <v>1193460</v>
      </c>
      <c r="AM28" s="2">
        <f>AL28/J28</f>
        <v>5683.1428571428569</v>
      </c>
      <c r="AN28" s="2">
        <f t="shared" si="8"/>
        <v>22.143758349413687</v>
      </c>
      <c r="AO28" s="2">
        <v>938250</v>
      </c>
      <c r="AP28" s="9">
        <f>AO28/J28</f>
        <v>4467.8571428571431</v>
      </c>
      <c r="AQ28" s="2">
        <f t="shared" si="9"/>
        <v>17.40852753451091</v>
      </c>
      <c r="AR28" s="8">
        <f t="shared" si="10"/>
        <v>0.21384043034538233</v>
      </c>
      <c r="AS28" s="17">
        <f t="shared" si="11"/>
        <v>255210</v>
      </c>
      <c r="AT28" s="2">
        <f>'[3]13.14 Meter Data'!W239</f>
        <v>1744309</v>
      </c>
      <c r="AU28" s="2">
        <f>AT28/J28</f>
        <v>8306.2333333333336</v>
      </c>
      <c r="AV28" s="2">
        <f>AT28/K28</f>
        <v>32.36434985898768</v>
      </c>
      <c r="AW28" s="8">
        <f>(AL28-AT28)/AL28</f>
        <v>-0.46155631525145374</v>
      </c>
      <c r="AX28" s="20" t="s">
        <v>280</v>
      </c>
      <c r="AY28" s="64">
        <v>12474496</v>
      </c>
      <c r="AZ28" s="42">
        <f t="shared" si="31"/>
        <v>231.45495027460294</v>
      </c>
      <c r="BA28" s="15">
        <v>12222788</v>
      </c>
      <c r="BB28" s="15">
        <f>499000+700950</f>
        <v>1199950</v>
      </c>
      <c r="BC28" s="15">
        <v>40000</v>
      </c>
      <c r="BD28" s="3"/>
      <c r="BE28" s="15">
        <v>85000</v>
      </c>
      <c r="BF28" s="10">
        <f>((AY28-BA28)+BC28+BD28+BE28)/AF28</f>
        <v>5.2203822009118497</v>
      </c>
      <c r="BG28" s="1" t="s">
        <v>302</v>
      </c>
      <c r="BH28" s="11" t="s">
        <v>247</v>
      </c>
    </row>
    <row r="29" spans="1:60" s="41" customFormat="1" ht="29.25" customHeight="1" x14ac:dyDescent="0.2">
      <c r="A29" s="4" t="s">
        <v>281</v>
      </c>
      <c r="B29" s="11" t="s">
        <v>98</v>
      </c>
      <c r="C29" s="11" t="s">
        <v>723</v>
      </c>
      <c r="D29" s="1" t="s">
        <v>97</v>
      </c>
      <c r="E29" s="33">
        <v>40396</v>
      </c>
      <c r="F29" s="11" t="s">
        <v>10</v>
      </c>
      <c r="G29" s="33">
        <v>40564</v>
      </c>
      <c r="H29" s="60">
        <v>41145</v>
      </c>
      <c r="I29" s="4" t="s">
        <v>88</v>
      </c>
      <c r="J29" s="11" t="s">
        <v>13</v>
      </c>
      <c r="K29" s="6">
        <v>85000</v>
      </c>
      <c r="L29" s="49">
        <v>3</v>
      </c>
      <c r="M29" s="4" t="s">
        <v>281</v>
      </c>
      <c r="N29" s="11" t="s">
        <v>247</v>
      </c>
      <c r="O29" s="2">
        <v>7739</v>
      </c>
      <c r="P29" s="12">
        <f t="shared" si="0"/>
        <v>91.047058823529412</v>
      </c>
      <c r="Q29" s="2">
        <v>4808</v>
      </c>
      <c r="R29" s="23">
        <f t="shared" si="1"/>
        <v>56.564705882352939</v>
      </c>
      <c r="S29" s="5">
        <f t="shared" si="2"/>
        <v>0.37873110220958778</v>
      </c>
      <c r="T29" s="13">
        <f t="shared" si="3"/>
        <v>2931</v>
      </c>
      <c r="U29" s="74" t="s">
        <v>1150</v>
      </c>
      <c r="V29" s="49">
        <f>'[3]13.14 Meter Data'!Y246</f>
        <v>14655.276047000001</v>
      </c>
      <c r="W29" s="40">
        <f t="shared" si="16"/>
        <v>172.41501231764707</v>
      </c>
      <c r="X29" s="5">
        <f t="shared" si="17"/>
        <v>-0.89369118064349418</v>
      </c>
      <c r="Y29" s="51">
        <f t="shared" si="18"/>
        <v>-6916.2760470000012</v>
      </c>
      <c r="Z29" s="4" t="s">
        <v>281</v>
      </c>
      <c r="AA29" s="15">
        <v>142633</v>
      </c>
      <c r="AB29" s="7">
        <f t="shared" si="4"/>
        <v>1.6780352941176471</v>
      </c>
      <c r="AC29" s="15">
        <v>90792</v>
      </c>
      <c r="AD29" s="7">
        <f t="shared" si="5"/>
        <v>1.0681411764705881</v>
      </c>
      <c r="AE29" s="8">
        <f t="shared" si="6"/>
        <v>0.36345726444791876</v>
      </c>
      <c r="AF29" s="16">
        <f t="shared" si="7"/>
        <v>51841</v>
      </c>
      <c r="AG29" s="15">
        <f>'[3]13.14 Meter Data'!W251</f>
        <v>197908.31</v>
      </c>
      <c r="AH29" s="22">
        <f>AG29/K29</f>
        <v>2.3283330588235294</v>
      </c>
      <c r="AI29" s="47">
        <f>(AA29-AG29)/AA29</f>
        <v>-0.38753521274880287</v>
      </c>
      <c r="AJ29" s="48">
        <f>AA29-AG29</f>
        <v>-55275.31</v>
      </c>
      <c r="AK29" s="4" t="s">
        <v>281</v>
      </c>
      <c r="AL29" s="2">
        <v>751030</v>
      </c>
      <c r="AM29" s="9" t="s">
        <v>13</v>
      </c>
      <c r="AN29" s="2">
        <f t="shared" si="8"/>
        <v>8.835647058823529</v>
      </c>
      <c r="AO29" s="2">
        <v>507514</v>
      </c>
      <c r="AP29" s="9" t="s">
        <v>13</v>
      </c>
      <c r="AQ29" s="2">
        <f t="shared" si="9"/>
        <v>5.9707529411764702</v>
      </c>
      <c r="AR29" s="8">
        <f t="shared" si="10"/>
        <v>0.32424270668282223</v>
      </c>
      <c r="AS29" s="17">
        <f t="shared" si="11"/>
        <v>243516</v>
      </c>
      <c r="AT29" s="242">
        <f>'[3]13.14 Meter Data'!W247</f>
        <v>626923</v>
      </c>
      <c r="AU29" s="9" t="s">
        <v>13</v>
      </c>
      <c r="AV29" s="2">
        <f>AT29/K29</f>
        <v>7.3755647058823532</v>
      </c>
      <c r="AW29" s="8">
        <f>(AL29-AT29)/AL29</f>
        <v>0.16524905796040104</v>
      </c>
      <c r="AX29" s="4" t="s">
        <v>281</v>
      </c>
      <c r="AY29" s="64">
        <v>15645200</v>
      </c>
      <c r="AZ29" s="42">
        <f t="shared" si="31"/>
        <v>184.06117647058824</v>
      </c>
      <c r="BA29" s="15">
        <v>15440699</v>
      </c>
      <c r="BB29" s="15">
        <v>2615450</v>
      </c>
      <c r="BC29" s="15">
        <f>17520+139300</f>
        <v>156820</v>
      </c>
      <c r="BD29" s="3"/>
      <c r="BE29" s="86">
        <v>0</v>
      </c>
      <c r="BF29" s="10">
        <f>((AY29-BA29)+BC29+BD29+BE29)/AF29</f>
        <v>6.9697922493779059</v>
      </c>
      <c r="BG29" s="1" t="s">
        <v>302</v>
      </c>
      <c r="BH29" s="11" t="s">
        <v>247</v>
      </c>
    </row>
    <row r="30" spans="1:60" s="41" customFormat="1" ht="29.25" customHeight="1" x14ac:dyDescent="0.2">
      <c r="A30" s="4" t="s">
        <v>209</v>
      </c>
      <c r="B30" s="11" t="s">
        <v>14</v>
      </c>
      <c r="C30" s="11" t="s">
        <v>552</v>
      </c>
      <c r="D30" s="1" t="s">
        <v>89</v>
      </c>
      <c r="E30" s="33">
        <v>39944</v>
      </c>
      <c r="F30" s="11" t="s">
        <v>10</v>
      </c>
      <c r="G30" s="33">
        <v>40294</v>
      </c>
      <c r="H30" s="60">
        <v>41162</v>
      </c>
      <c r="I30" s="4" t="s">
        <v>90</v>
      </c>
      <c r="J30" s="11" t="s">
        <v>13</v>
      </c>
      <c r="K30" s="19">
        <v>40434</v>
      </c>
      <c r="L30" s="83" t="s">
        <v>91</v>
      </c>
      <c r="M30" s="4" t="s">
        <v>209</v>
      </c>
      <c r="N30" s="11" t="s">
        <v>247</v>
      </c>
      <c r="O30" s="9">
        <v>3231</v>
      </c>
      <c r="P30" s="12">
        <f t="shared" si="0"/>
        <v>79.907998219320376</v>
      </c>
      <c r="Q30" s="9">
        <v>1185</v>
      </c>
      <c r="R30" s="23">
        <f t="shared" si="1"/>
        <v>29.307018845526041</v>
      </c>
      <c r="S30" s="5">
        <f t="shared" si="2"/>
        <v>0.63324048282265555</v>
      </c>
      <c r="T30" s="13">
        <f t="shared" si="3"/>
        <v>2046</v>
      </c>
      <c r="U30" s="74">
        <v>0</v>
      </c>
      <c r="V30" s="1" t="s">
        <v>352</v>
      </c>
      <c r="W30" s="40"/>
      <c r="X30" s="11"/>
      <c r="Y30" s="11"/>
      <c r="Z30" s="4" t="s">
        <v>209</v>
      </c>
      <c r="AA30" s="29">
        <v>98370</v>
      </c>
      <c r="AB30" s="7">
        <f t="shared" si="4"/>
        <v>2.4328535391007566</v>
      </c>
      <c r="AC30" s="29">
        <v>43014</v>
      </c>
      <c r="AD30" s="7">
        <f t="shared" si="5"/>
        <v>1.0638076866003858</v>
      </c>
      <c r="AE30" s="8">
        <f t="shared" si="6"/>
        <v>0.56273254040866116</v>
      </c>
      <c r="AF30" s="16">
        <f t="shared" si="7"/>
        <v>55356</v>
      </c>
      <c r="AG30" s="1"/>
      <c r="AH30" s="11"/>
      <c r="AI30" s="11"/>
      <c r="AJ30" s="11"/>
      <c r="AK30" s="4" t="s">
        <v>209</v>
      </c>
      <c r="AL30" s="19">
        <v>957500</v>
      </c>
      <c r="AM30" s="11" t="s">
        <v>13</v>
      </c>
      <c r="AN30" s="2">
        <f t="shared" si="8"/>
        <v>23.680565860414504</v>
      </c>
      <c r="AO30" s="19">
        <v>655500</v>
      </c>
      <c r="AP30" s="11" t="s">
        <v>13</v>
      </c>
      <c r="AQ30" s="2">
        <f t="shared" si="9"/>
        <v>16.211604095563139</v>
      </c>
      <c r="AR30" s="8">
        <f t="shared" si="10"/>
        <v>0.31540469973890339</v>
      </c>
      <c r="AS30" s="17">
        <f t="shared" si="11"/>
        <v>302000</v>
      </c>
      <c r="AT30" s="11"/>
      <c r="AU30" s="11"/>
      <c r="AV30" s="11"/>
      <c r="AW30" s="11"/>
      <c r="AX30" s="4" t="s">
        <v>209</v>
      </c>
      <c r="AY30" s="64">
        <v>5996300</v>
      </c>
      <c r="AZ30" s="42">
        <f t="shared" si="31"/>
        <v>148.29846169065638</v>
      </c>
      <c r="BA30" s="502">
        <f>AY30-161700</f>
        <v>5834600</v>
      </c>
      <c r="BB30" s="15">
        <v>859165</v>
      </c>
      <c r="BC30" s="15">
        <v>76500</v>
      </c>
      <c r="BD30" s="3"/>
      <c r="BE30" s="86">
        <v>0</v>
      </c>
      <c r="BF30" s="10"/>
      <c r="BG30" s="1" t="s">
        <v>317</v>
      </c>
      <c r="BH30" s="11" t="s">
        <v>247</v>
      </c>
    </row>
    <row r="31" spans="1:60" s="41" customFormat="1" ht="42" customHeight="1" x14ac:dyDescent="0.2">
      <c r="A31" s="4" t="s">
        <v>1159</v>
      </c>
      <c r="B31" s="11" t="s">
        <v>68</v>
      </c>
      <c r="C31" s="11" t="s">
        <v>650</v>
      </c>
      <c r="D31" s="1" t="s">
        <v>120</v>
      </c>
      <c r="E31" s="33">
        <v>40284</v>
      </c>
      <c r="F31" s="11" t="s">
        <v>10</v>
      </c>
      <c r="G31" s="33">
        <v>40360</v>
      </c>
      <c r="H31" s="60">
        <v>41166</v>
      </c>
      <c r="I31" s="4" t="s">
        <v>121</v>
      </c>
      <c r="J31" s="11" t="s">
        <v>13</v>
      </c>
      <c r="K31" s="6">
        <v>157410</v>
      </c>
      <c r="L31" s="49">
        <v>5</v>
      </c>
      <c r="M31" s="4" t="s">
        <v>1159</v>
      </c>
      <c r="N31" s="11" t="s">
        <v>247</v>
      </c>
      <c r="O31" s="2">
        <v>43253</v>
      </c>
      <c r="P31" s="12">
        <f t="shared" si="0"/>
        <v>274.77923893018232</v>
      </c>
      <c r="Q31" s="2">
        <v>27864</v>
      </c>
      <c r="R31" s="23">
        <f t="shared" si="1"/>
        <v>177.01543739279589</v>
      </c>
      <c r="S31" s="5">
        <f t="shared" si="2"/>
        <v>0.35579034980232582</v>
      </c>
      <c r="T31" s="13">
        <f t="shared" si="3"/>
        <v>15389</v>
      </c>
      <c r="U31" s="74" t="s">
        <v>1150</v>
      </c>
      <c r="V31" s="11" t="s">
        <v>1160</v>
      </c>
      <c r="W31" s="2"/>
      <c r="X31" s="2"/>
      <c r="Y31" s="2"/>
      <c r="Z31" s="4" t="s">
        <v>1159</v>
      </c>
      <c r="AA31" s="15">
        <v>420065</v>
      </c>
      <c r="AB31" s="7">
        <f t="shared" si="4"/>
        <v>2.6686042818118292</v>
      </c>
      <c r="AC31" s="15">
        <v>302543</v>
      </c>
      <c r="AD31" s="7">
        <f t="shared" si="5"/>
        <v>1.9220062257798107</v>
      </c>
      <c r="AE31" s="8">
        <f t="shared" si="6"/>
        <v>0.27977098782331306</v>
      </c>
      <c r="AF31" s="16">
        <f t="shared" si="7"/>
        <v>117522</v>
      </c>
      <c r="AG31" s="3"/>
      <c r="AH31" s="2"/>
      <c r="AI31" s="2"/>
      <c r="AJ31" s="2"/>
      <c r="AK31" s="4" t="s">
        <v>1159</v>
      </c>
      <c r="AL31" s="2">
        <v>1373584</v>
      </c>
      <c r="AM31" s="9" t="s">
        <v>13</v>
      </c>
      <c r="AN31" s="2">
        <f t="shared" si="8"/>
        <v>8.7261546280414208</v>
      </c>
      <c r="AO31" s="2">
        <v>905161</v>
      </c>
      <c r="AP31" s="9" t="s">
        <v>13</v>
      </c>
      <c r="AQ31" s="2">
        <f t="shared" si="9"/>
        <v>5.7503398767549712</v>
      </c>
      <c r="AR31" s="8">
        <f t="shared" si="10"/>
        <v>0.34102246386096519</v>
      </c>
      <c r="AS31" s="17">
        <f t="shared" si="11"/>
        <v>468423</v>
      </c>
      <c r="AT31" s="3"/>
      <c r="AU31" s="9"/>
      <c r="AV31" s="2"/>
      <c r="AW31" s="2"/>
      <c r="AX31" s="4" t="s">
        <v>1159</v>
      </c>
      <c r="AY31" s="64">
        <v>33176057</v>
      </c>
      <c r="AZ31" s="42">
        <f t="shared" si="31"/>
        <v>210.7620672130106</v>
      </c>
      <c r="BA31" s="502">
        <f>AY31-253510</f>
        <v>32922547</v>
      </c>
      <c r="BB31" s="15">
        <v>5394860</v>
      </c>
      <c r="BC31" s="15">
        <v>100000</v>
      </c>
      <c r="BD31" s="3"/>
      <c r="BE31" s="15">
        <v>346397</v>
      </c>
      <c r="BF31" s="10"/>
      <c r="BG31" s="1" t="s">
        <v>303</v>
      </c>
      <c r="BH31" s="11" t="s">
        <v>247</v>
      </c>
    </row>
    <row r="32" spans="1:60" s="41" customFormat="1" ht="29.25" customHeight="1" x14ac:dyDescent="0.2">
      <c r="A32" s="4" t="s">
        <v>16</v>
      </c>
      <c r="B32" s="11" t="s">
        <v>76</v>
      </c>
      <c r="C32" s="11" t="s">
        <v>620</v>
      </c>
      <c r="D32" s="1" t="s">
        <v>15</v>
      </c>
      <c r="E32" s="33">
        <v>40605</v>
      </c>
      <c r="F32" s="11" t="s">
        <v>10</v>
      </c>
      <c r="G32" s="33">
        <v>40753</v>
      </c>
      <c r="H32" s="60">
        <v>41185</v>
      </c>
      <c r="I32" s="4" t="s">
        <v>12</v>
      </c>
      <c r="J32" s="11" t="s">
        <v>13</v>
      </c>
      <c r="K32" s="6">
        <v>31418</v>
      </c>
      <c r="L32" s="49">
        <v>2</v>
      </c>
      <c r="M32" s="4" t="s">
        <v>16</v>
      </c>
      <c r="N32" s="11" t="s">
        <v>247</v>
      </c>
      <c r="O32" s="2">
        <v>1732</v>
      </c>
      <c r="P32" s="12">
        <f t="shared" si="0"/>
        <v>55.127633840473614</v>
      </c>
      <c r="Q32" s="2">
        <v>1161</v>
      </c>
      <c r="R32" s="23">
        <f t="shared" si="1"/>
        <v>36.953338850340572</v>
      </c>
      <c r="S32" s="5">
        <f t="shared" si="2"/>
        <v>0.32967667436489606</v>
      </c>
      <c r="T32" s="13">
        <f t="shared" si="3"/>
        <v>571</v>
      </c>
      <c r="U32" s="74" t="s">
        <v>1150</v>
      </c>
      <c r="V32" s="11" t="s">
        <v>1160</v>
      </c>
      <c r="W32" s="2"/>
      <c r="X32" s="2"/>
      <c r="Y32" s="2"/>
      <c r="Z32" s="4" t="s">
        <v>16</v>
      </c>
      <c r="AA32" s="15">
        <v>36406</v>
      </c>
      <c r="AB32" s="7">
        <f t="shared" si="4"/>
        <v>1.1587624928385003</v>
      </c>
      <c r="AC32" s="15">
        <v>25403</v>
      </c>
      <c r="AD32" s="7">
        <f t="shared" si="5"/>
        <v>0.80854923928957922</v>
      </c>
      <c r="AE32" s="8">
        <f t="shared" si="6"/>
        <v>0.3022304015821568</v>
      </c>
      <c r="AF32" s="16">
        <f t="shared" si="7"/>
        <v>11003</v>
      </c>
      <c r="AG32" s="7"/>
      <c r="AH32" s="2"/>
      <c r="AI32" s="2"/>
      <c r="AJ32" s="2"/>
      <c r="AK32" s="4" t="s">
        <v>16</v>
      </c>
      <c r="AL32" s="2">
        <v>689715</v>
      </c>
      <c r="AM32" s="9" t="s">
        <v>13</v>
      </c>
      <c r="AN32" s="2">
        <f t="shared" si="8"/>
        <v>21.952861417022088</v>
      </c>
      <c r="AO32" s="2">
        <v>403299</v>
      </c>
      <c r="AP32" s="9" t="s">
        <v>13</v>
      </c>
      <c r="AQ32" s="2">
        <f t="shared" si="9"/>
        <v>12.836558660640398</v>
      </c>
      <c r="AR32" s="8">
        <f t="shared" si="10"/>
        <v>0.41526717557251908</v>
      </c>
      <c r="AS32" s="17">
        <f t="shared" si="11"/>
        <v>286416</v>
      </c>
      <c r="AT32" s="3"/>
      <c r="AU32" s="9"/>
      <c r="AV32" s="2"/>
      <c r="AW32" s="2"/>
      <c r="AX32" s="4" t="s">
        <v>16</v>
      </c>
      <c r="AY32" s="64">
        <v>4701800</v>
      </c>
      <c r="AZ32" s="42">
        <f t="shared" si="31"/>
        <v>149.65306512190463</v>
      </c>
      <c r="BA32" s="502">
        <f>AY32-44306</f>
        <v>4657494</v>
      </c>
      <c r="BB32" s="15">
        <v>474000</v>
      </c>
      <c r="BC32" s="15">
        <v>0</v>
      </c>
      <c r="BD32" s="3"/>
      <c r="BE32" s="15">
        <v>56984</v>
      </c>
      <c r="BF32" s="10">
        <f>((AY32-BA32)+BC32+BD32+BE32)/AF32</f>
        <v>9.2056711805871121</v>
      </c>
      <c r="BG32" s="1" t="s">
        <v>304</v>
      </c>
      <c r="BH32" s="11" t="s">
        <v>247</v>
      </c>
    </row>
    <row r="33" spans="1:60" s="41" customFormat="1" ht="45" customHeight="1" x14ac:dyDescent="0.2">
      <c r="A33" s="4" t="s">
        <v>102</v>
      </c>
      <c r="B33" s="11" t="s">
        <v>60</v>
      </c>
      <c r="C33" s="11" t="s">
        <v>510</v>
      </c>
      <c r="D33" s="1" t="s">
        <v>101</v>
      </c>
      <c r="E33" s="33">
        <v>40396</v>
      </c>
      <c r="F33" s="11" t="s">
        <v>103</v>
      </c>
      <c r="G33" s="33">
        <v>40050</v>
      </c>
      <c r="H33" s="60">
        <v>41200</v>
      </c>
      <c r="I33" s="4" t="s">
        <v>289</v>
      </c>
      <c r="J33" s="11" t="s">
        <v>13</v>
      </c>
      <c r="K33" s="817">
        <v>253028</v>
      </c>
      <c r="L33" s="49">
        <v>4</v>
      </c>
      <c r="M33" s="4" t="s">
        <v>102</v>
      </c>
      <c r="N33" s="11" t="s">
        <v>247</v>
      </c>
      <c r="O33" s="2">
        <v>15191</v>
      </c>
      <c r="P33" s="12">
        <f t="shared" si="0"/>
        <v>60.036833868188495</v>
      </c>
      <c r="Q33" s="2">
        <v>10342</v>
      </c>
      <c r="R33" s="23">
        <f t="shared" si="1"/>
        <v>40.87294686754035</v>
      </c>
      <c r="S33" s="5">
        <f t="shared" si="2"/>
        <v>0.31920215917319467</v>
      </c>
      <c r="T33" s="9">
        <f t="shared" si="3"/>
        <v>4849</v>
      </c>
      <c r="U33" s="9" t="s">
        <v>1150</v>
      </c>
      <c r="V33" s="49">
        <f>'[3]13.14 Meter Data'!Y284</f>
        <v>61448.369662455858</v>
      </c>
      <c r="W33" s="40">
        <f>V33/K33*1000</f>
        <v>242.85205456493298</v>
      </c>
      <c r="X33" s="5">
        <f t="shared" ref="X33:X40" si="32">(O33-V33)/O33</f>
        <v>-3.0450509948295608</v>
      </c>
      <c r="Y33" s="51">
        <f t="shared" ref="Y33:Y40" si="33">O33-V33</f>
        <v>-46257.369662455858</v>
      </c>
      <c r="Z33" s="4" t="s">
        <v>102</v>
      </c>
      <c r="AA33" s="15">
        <v>268448</v>
      </c>
      <c r="AB33" s="7">
        <f t="shared" si="4"/>
        <v>1.0609418720457815</v>
      </c>
      <c r="AC33" s="15">
        <v>184680</v>
      </c>
      <c r="AD33" s="7">
        <f t="shared" si="5"/>
        <v>0.72987969710862044</v>
      </c>
      <c r="AE33" s="27">
        <f t="shared" si="6"/>
        <v>0.31204553582071759</v>
      </c>
      <c r="AF33" s="15">
        <f t="shared" si="7"/>
        <v>83768</v>
      </c>
      <c r="AG33" s="15">
        <f>'[3]13.14 Meter Data'!W289</f>
        <v>1030347.1538839238</v>
      </c>
      <c r="AH33" s="22">
        <f>AG33/K33</f>
        <v>4.0720677311756948</v>
      </c>
      <c r="AI33" s="47">
        <f t="shared" ref="AI33:AI40" si="34">(AA33-AG33)/AA33</f>
        <v>-2.8381628989000616</v>
      </c>
      <c r="AJ33" s="48">
        <f t="shared" ref="AJ33:AJ40" si="35">AA33-AG33</f>
        <v>-761899.15388392378</v>
      </c>
      <c r="AK33" s="4" t="s">
        <v>102</v>
      </c>
      <c r="AL33" s="2">
        <v>4536750</v>
      </c>
      <c r="AM33" s="1" t="s">
        <v>13</v>
      </c>
      <c r="AN33" s="10">
        <f t="shared" si="8"/>
        <v>17.929833852379975</v>
      </c>
      <c r="AO33" s="2">
        <v>2948625</v>
      </c>
      <c r="AP33" s="1" t="s">
        <v>13</v>
      </c>
      <c r="AQ33" s="18">
        <f t="shared" si="9"/>
        <v>11.653354569454764</v>
      </c>
      <c r="AR33" s="8">
        <f t="shared" si="10"/>
        <v>0.35005786080343859</v>
      </c>
      <c r="AS33" s="2">
        <f t="shared" si="11"/>
        <v>1588125</v>
      </c>
      <c r="AT33" s="2">
        <f>'[3]13.14 Meter Data'!W285</f>
        <v>1866456.3085054725</v>
      </c>
      <c r="AU33" s="9" t="s">
        <v>13</v>
      </c>
      <c r="AV33" s="2">
        <f>AT33/K33</f>
        <v>7.3764812926058481</v>
      </c>
      <c r="AW33" s="8">
        <f t="shared" ref="AW33:AW38" si="36">(AL33-AT33)/AL33</f>
        <v>0.58859176535945934</v>
      </c>
      <c r="AX33" s="4" t="s">
        <v>102</v>
      </c>
      <c r="AY33" s="65">
        <v>81306000</v>
      </c>
      <c r="AZ33" s="42">
        <f t="shared" si="31"/>
        <v>321.33202649509144</v>
      </c>
      <c r="BA33" s="502">
        <f>AY33-461772</f>
        <v>80844228</v>
      </c>
      <c r="BB33" s="15">
        <v>9829956</v>
      </c>
      <c r="BC33" s="15">
        <v>200000</v>
      </c>
      <c r="BD33" s="3"/>
      <c r="BE33" s="15">
        <v>605005</v>
      </c>
      <c r="BF33" s="10"/>
      <c r="BG33" s="1" t="s">
        <v>298</v>
      </c>
      <c r="BH33" s="11" t="s">
        <v>247</v>
      </c>
    </row>
    <row r="34" spans="1:60" s="41" customFormat="1" ht="29.25" customHeight="1" x14ac:dyDescent="0.2">
      <c r="A34" s="1226" t="s">
        <v>527</v>
      </c>
      <c r="B34" s="11" t="s">
        <v>63</v>
      </c>
      <c r="C34" s="11" t="s">
        <v>545</v>
      </c>
      <c r="D34" s="1" t="s">
        <v>104</v>
      </c>
      <c r="E34" s="33">
        <v>40522</v>
      </c>
      <c r="F34" s="11" t="s">
        <v>10</v>
      </c>
      <c r="G34" s="33">
        <v>40631</v>
      </c>
      <c r="H34" s="60">
        <v>41213</v>
      </c>
      <c r="I34" s="4" t="s">
        <v>105</v>
      </c>
      <c r="J34" s="11" t="s">
        <v>13</v>
      </c>
      <c r="K34" s="6">
        <v>43290</v>
      </c>
      <c r="L34" s="49">
        <v>2</v>
      </c>
      <c r="M34" s="1226" t="s">
        <v>527</v>
      </c>
      <c r="N34" s="11" t="s">
        <v>247</v>
      </c>
      <c r="O34" s="2">
        <v>8320</v>
      </c>
      <c r="P34" s="12">
        <f t="shared" si="0"/>
        <v>192.19219219219218</v>
      </c>
      <c r="Q34" s="2">
        <v>5184</v>
      </c>
      <c r="R34" s="23">
        <f t="shared" si="1"/>
        <v>119.75051975051976</v>
      </c>
      <c r="S34" s="5">
        <f t="shared" si="2"/>
        <v>0.37692307692307692</v>
      </c>
      <c r="T34" s="13">
        <f t="shared" si="3"/>
        <v>3136</v>
      </c>
      <c r="U34" s="74" t="s">
        <v>1150</v>
      </c>
      <c r="V34" s="49">
        <f>'[3]13.14 Meter Data'!Y294</f>
        <v>9183.5273533951204</v>
      </c>
      <c r="W34" s="40">
        <f>V34/K34*1000</f>
        <v>212.13969400312126</v>
      </c>
      <c r="X34" s="5">
        <f t="shared" si="32"/>
        <v>-0.10378934535999043</v>
      </c>
      <c r="Y34" s="51">
        <f t="shared" si="33"/>
        <v>-863.52735339512037</v>
      </c>
      <c r="Z34" s="1226" t="s">
        <v>527</v>
      </c>
      <c r="AA34" s="15">
        <v>65175</v>
      </c>
      <c r="AB34" s="7">
        <f t="shared" si="4"/>
        <v>1.5055440055440055</v>
      </c>
      <c r="AC34" s="15">
        <v>44151</v>
      </c>
      <c r="AD34" s="7">
        <f t="shared" si="5"/>
        <v>1.0198891198891198</v>
      </c>
      <c r="AE34" s="8">
        <f t="shared" si="6"/>
        <v>0.32257767548906791</v>
      </c>
      <c r="AF34" s="16">
        <f t="shared" si="7"/>
        <v>21024</v>
      </c>
      <c r="AG34" s="15">
        <f>'[3]13.14 Meter Data'!W298</f>
        <v>138366.50745431395</v>
      </c>
      <c r="AH34" s="22">
        <f>AG34/K34</f>
        <v>3.1962695184641707</v>
      </c>
      <c r="AI34" s="47">
        <f t="shared" si="34"/>
        <v>-1.1229997307911614</v>
      </c>
      <c r="AJ34" s="48">
        <f t="shared" si="35"/>
        <v>-73191.507454313949</v>
      </c>
      <c r="AK34" s="1226" t="s">
        <v>527</v>
      </c>
      <c r="AL34" s="2">
        <v>1349491</v>
      </c>
      <c r="AM34" s="9" t="s">
        <v>13</v>
      </c>
      <c r="AN34" s="2">
        <f t="shared" si="8"/>
        <v>31.173273273273274</v>
      </c>
      <c r="AO34" s="2">
        <v>1113354</v>
      </c>
      <c r="AP34" s="9" t="s">
        <v>13</v>
      </c>
      <c r="AQ34" s="2">
        <f t="shared" si="9"/>
        <v>25.718503118503119</v>
      </c>
      <c r="AR34" s="8">
        <f t="shared" si="10"/>
        <v>0.17498227109332334</v>
      </c>
      <c r="AS34" s="17">
        <f t="shared" si="11"/>
        <v>236137</v>
      </c>
      <c r="AT34" s="2">
        <f>'[3]13.14 Meter Data'!W295</f>
        <v>772504.4800000001</v>
      </c>
      <c r="AU34" s="9" t="s">
        <v>13</v>
      </c>
      <c r="AV34" s="2">
        <f>AT34/K34</f>
        <v>17.844871332871335</v>
      </c>
      <c r="AW34" s="8">
        <f t="shared" si="36"/>
        <v>0.42755862766035485</v>
      </c>
      <c r="AX34" s="1226" t="s">
        <v>527</v>
      </c>
      <c r="AY34" s="65">
        <f>300*K34</f>
        <v>12987000</v>
      </c>
      <c r="AZ34" s="1227">
        <f t="shared" si="31"/>
        <v>300</v>
      </c>
      <c r="BA34" s="502">
        <f>AY34-465544</f>
        <v>12521456</v>
      </c>
      <c r="BB34" s="15">
        <v>3448472</v>
      </c>
      <c r="BC34" s="15">
        <v>45000</v>
      </c>
      <c r="BD34" s="3"/>
      <c r="BE34" s="15">
        <v>99500</v>
      </c>
      <c r="BF34" s="10"/>
      <c r="BG34" s="1" t="s">
        <v>295</v>
      </c>
      <c r="BH34" s="11" t="s">
        <v>247</v>
      </c>
    </row>
    <row r="35" spans="1:60" s="41" customFormat="1" ht="29.25" customHeight="1" x14ac:dyDescent="0.2">
      <c r="A35" s="4" t="s">
        <v>122</v>
      </c>
      <c r="B35" s="11" t="s">
        <v>36</v>
      </c>
      <c r="C35" s="822" t="s">
        <v>743</v>
      </c>
      <c r="D35" s="1" t="s">
        <v>35</v>
      </c>
      <c r="E35" s="33">
        <v>40169</v>
      </c>
      <c r="F35" s="11" t="s">
        <v>10</v>
      </c>
      <c r="G35" s="33">
        <v>40322</v>
      </c>
      <c r="H35" s="60">
        <v>41213</v>
      </c>
      <c r="I35" s="4" t="s">
        <v>232</v>
      </c>
      <c r="J35" s="11">
        <v>100</v>
      </c>
      <c r="K35" s="6">
        <v>108770</v>
      </c>
      <c r="L35" s="83">
        <v>1</v>
      </c>
      <c r="M35" s="4" t="s">
        <v>122</v>
      </c>
      <c r="N35" s="11" t="s">
        <v>247</v>
      </c>
      <c r="O35" s="2">
        <v>8495</v>
      </c>
      <c r="P35" s="12">
        <f t="shared" si="0"/>
        <v>78.10057920382458</v>
      </c>
      <c r="Q35" s="2">
        <v>5163</v>
      </c>
      <c r="R35" s="23">
        <f t="shared" si="1"/>
        <v>47.467132481382734</v>
      </c>
      <c r="S35" s="5">
        <f t="shared" si="2"/>
        <v>0.39223072395526781</v>
      </c>
      <c r="T35" s="13">
        <f t="shared" si="3"/>
        <v>3332</v>
      </c>
      <c r="U35" s="74" t="s">
        <v>1150</v>
      </c>
      <c r="V35" s="49">
        <f>'[3]13.14 Meter Data'!Y303</f>
        <v>7567.2233516250162</v>
      </c>
      <c r="W35" s="40">
        <f>V35/K35*1000</f>
        <v>69.570868360991227</v>
      </c>
      <c r="X35" s="5">
        <f t="shared" si="32"/>
        <v>0.1092144377133589</v>
      </c>
      <c r="Y35" s="51">
        <f t="shared" si="33"/>
        <v>927.77664837498378</v>
      </c>
      <c r="Z35" s="4" t="s">
        <v>122</v>
      </c>
      <c r="AA35" s="15">
        <v>213106</v>
      </c>
      <c r="AB35" s="7">
        <f t="shared" si="4"/>
        <v>1.9592350832030891</v>
      </c>
      <c r="AC35" s="15">
        <v>120807</v>
      </c>
      <c r="AD35" s="7">
        <f t="shared" si="5"/>
        <v>1.1106647053415464</v>
      </c>
      <c r="AE35" s="8">
        <f t="shared" si="6"/>
        <v>0.43311309864574438</v>
      </c>
      <c r="AF35" s="16">
        <f t="shared" si="7"/>
        <v>92299</v>
      </c>
      <c r="AG35" s="15">
        <f>'[3]13.14 Meter Data'!W307</f>
        <v>167570.51000000004</v>
      </c>
      <c r="AH35" s="22">
        <f>AG35/K35</f>
        <v>1.5405949250712516</v>
      </c>
      <c r="AI35" s="47">
        <f t="shared" si="34"/>
        <v>0.213675307124154</v>
      </c>
      <c r="AJ35" s="48">
        <f t="shared" si="35"/>
        <v>45535.489999999962</v>
      </c>
      <c r="AK35" s="4" t="s">
        <v>122</v>
      </c>
      <c r="AL35" s="2">
        <v>4378540</v>
      </c>
      <c r="AM35" s="2">
        <f>AL35/J35</f>
        <v>43785.4</v>
      </c>
      <c r="AN35" s="2">
        <f t="shared" si="8"/>
        <v>40.255033557046978</v>
      </c>
      <c r="AO35" s="2">
        <v>3400982</v>
      </c>
      <c r="AP35" s="9">
        <f>AO35/J35</f>
        <v>34009.82</v>
      </c>
      <c r="AQ35" s="2">
        <f t="shared" si="9"/>
        <v>31.267647329226808</v>
      </c>
      <c r="AR35" s="8">
        <f t="shared" si="10"/>
        <v>0.22326117838366213</v>
      </c>
      <c r="AS35" s="17">
        <f t="shared" si="11"/>
        <v>977558</v>
      </c>
      <c r="AT35" s="242">
        <f>'[3]13.14 Meter Data'!W304</f>
        <v>1567490</v>
      </c>
      <c r="AU35" s="2">
        <f>AT35/J35</f>
        <v>15674.9</v>
      </c>
      <c r="AV35" s="2">
        <f>AT35/K35</f>
        <v>14.411050841224602</v>
      </c>
      <c r="AW35" s="8">
        <f t="shared" si="36"/>
        <v>0.64200623952276326</v>
      </c>
      <c r="AX35" s="4" t="s">
        <v>122</v>
      </c>
      <c r="AY35" s="64">
        <v>12903000</v>
      </c>
      <c r="AZ35" s="42">
        <f t="shared" si="31"/>
        <v>118.62645950170084</v>
      </c>
      <c r="BA35" s="502">
        <f>AY35-300872</f>
        <v>12602128</v>
      </c>
      <c r="BB35" s="15">
        <v>1077600</v>
      </c>
      <c r="BC35" s="15">
        <v>0</v>
      </c>
      <c r="BD35" s="3"/>
      <c r="BE35" s="15">
        <v>107804</v>
      </c>
      <c r="BF35" s="10">
        <f t="shared" ref="BF35:BF42" si="37">((AY35-BA35)+BC35+BD35+BE35)/AF35</f>
        <v>4.4277402788762608</v>
      </c>
      <c r="BG35" s="1" t="s">
        <v>299</v>
      </c>
      <c r="BH35" s="11" t="s">
        <v>247</v>
      </c>
    </row>
    <row r="36" spans="1:60" s="41" customFormat="1" ht="29.25" customHeight="1" x14ac:dyDescent="0.2">
      <c r="A36" s="4" t="s">
        <v>544</v>
      </c>
      <c r="B36" s="11" t="s">
        <v>78</v>
      </c>
      <c r="C36" s="11" t="s">
        <v>619</v>
      </c>
      <c r="D36" s="1" t="s">
        <v>23</v>
      </c>
      <c r="E36" s="33">
        <v>40520</v>
      </c>
      <c r="F36" s="11" t="s">
        <v>10</v>
      </c>
      <c r="G36" s="33">
        <v>40830</v>
      </c>
      <c r="H36" s="60">
        <v>41240</v>
      </c>
      <c r="I36" s="4" t="s">
        <v>88</v>
      </c>
      <c r="J36" s="11" t="s">
        <v>13</v>
      </c>
      <c r="K36" s="6">
        <v>43967</v>
      </c>
      <c r="L36" s="49">
        <v>1</v>
      </c>
      <c r="M36" s="4" t="s">
        <v>530</v>
      </c>
      <c r="N36" s="11" t="s">
        <v>247</v>
      </c>
      <c r="O36" s="2">
        <v>2940</v>
      </c>
      <c r="P36" s="12">
        <f t="shared" si="0"/>
        <v>66.868333067982803</v>
      </c>
      <c r="Q36" s="2">
        <v>1839</v>
      </c>
      <c r="R36" s="23">
        <f t="shared" si="1"/>
        <v>41.826824663952507</v>
      </c>
      <c r="S36" s="5">
        <f t="shared" si="2"/>
        <v>0.37448979591836734</v>
      </c>
      <c r="T36" s="13">
        <f t="shared" si="3"/>
        <v>1101</v>
      </c>
      <c r="U36" s="74" t="s">
        <v>1150</v>
      </c>
      <c r="V36" s="74">
        <f>'[3]13.14 Meter Data'!Y312</f>
        <v>3017.5830470849519</v>
      </c>
      <c r="W36" s="40">
        <f>V36/K36*1000</f>
        <v>68.632907568971092</v>
      </c>
      <c r="X36" s="5">
        <f t="shared" si="32"/>
        <v>-2.6388791525493838E-2</v>
      </c>
      <c r="Y36" s="51">
        <f t="shared" si="33"/>
        <v>-77.583047084951886</v>
      </c>
      <c r="Z36" s="4" t="s">
        <v>530</v>
      </c>
      <c r="AA36" s="15">
        <v>67485</v>
      </c>
      <c r="AB36" s="7">
        <f t="shared" si="4"/>
        <v>1.5349011758819113</v>
      </c>
      <c r="AC36" s="15">
        <v>43675</v>
      </c>
      <c r="AD36" s="7">
        <f t="shared" si="5"/>
        <v>0.99335865535515278</v>
      </c>
      <c r="AE36" s="8">
        <f t="shared" si="6"/>
        <v>0.35281914499518413</v>
      </c>
      <c r="AF36" s="16">
        <f t="shared" si="7"/>
        <v>23810</v>
      </c>
      <c r="AG36" s="15">
        <f>'[3]13.14 Meter Data'!W316</f>
        <v>68964.5</v>
      </c>
      <c r="AH36" s="22">
        <f>AG36/K36</f>
        <v>1.5685514135601701</v>
      </c>
      <c r="AI36" s="47">
        <f t="shared" si="34"/>
        <v>-2.1923390383048084E-2</v>
      </c>
      <c r="AJ36" s="48">
        <f t="shared" si="35"/>
        <v>-1479.5</v>
      </c>
      <c r="AK36" s="4" t="s">
        <v>530</v>
      </c>
      <c r="AL36" s="2">
        <v>544858</v>
      </c>
      <c r="AM36" s="9" t="s">
        <v>13</v>
      </c>
      <c r="AN36" s="2">
        <f t="shared" si="8"/>
        <v>12.392430686651352</v>
      </c>
      <c r="AO36" s="2">
        <v>436998</v>
      </c>
      <c r="AP36" s="9" t="s">
        <v>13</v>
      </c>
      <c r="AQ36" s="2">
        <f t="shared" si="9"/>
        <v>9.9392271476334528</v>
      </c>
      <c r="AR36" s="8">
        <f t="shared" si="10"/>
        <v>0.1979598354066564</v>
      </c>
      <c r="AS36" s="17">
        <f t="shared" si="11"/>
        <v>107860</v>
      </c>
      <c r="AT36" s="242">
        <f>'[3]13.14 Meter Data'!W313</f>
        <v>1167628</v>
      </c>
      <c r="AU36" s="9" t="s">
        <v>13</v>
      </c>
      <c r="AV36" s="2">
        <f>AT36/K36</f>
        <v>26.5569176882662</v>
      </c>
      <c r="AW36" s="8">
        <f t="shared" si="36"/>
        <v>-1.1429950555924664</v>
      </c>
      <c r="AX36" s="4" t="s">
        <v>530</v>
      </c>
      <c r="AY36" s="64">
        <v>6361300</v>
      </c>
      <c r="AZ36" s="42">
        <f t="shared" si="31"/>
        <v>144.68351263447585</v>
      </c>
      <c r="BA36" s="502">
        <f>AY36-300735</f>
        <v>6060565</v>
      </c>
      <c r="BB36" s="15">
        <v>363200</v>
      </c>
      <c r="BC36" s="15">
        <v>0</v>
      </c>
      <c r="BD36" s="3"/>
      <c r="BE36" s="15">
        <v>49800</v>
      </c>
      <c r="BF36" s="10">
        <f t="shared" si="37"/>
        <v>14.722175556488871</v>
      </c>
      <c r="BG36" s="1" t="s">
        <v>300</v>
      </c>
      <c r="BH36" s="11" t="s">
        <v>247</v>
      </c>
    </row>
    <row r="37" spans="1:60" s="41" customFormat="1" ht="42.75" x14ac:dyDescent="0.2">
      <c r="A37" s="4" t="s">
        <v>540</v>
      </c>
      <c r="B37" s="11" t="s">
        <v>26</v>
      </c>
      <c r="C37" s="11" t="s">
        <v>508</v>
      </c>
      <c r="D37" s="1" t="s">
        <v>25</v>
      </c>
      <c r="E37" s="33">
        <v>40409</v>
      </c>
      <c r="F37" s="11" t="s">
        <v>10</v>
      </c>
      <c r="G37" s="33">
        <v>40337</v>
      </c>
      <c r="H37" s="60">
        <v>41261</v>
      </c>
      <c r="I37" s="4" t="s">
        <v>28</v>
      </c>
      <c r="J37" s="11" t="s">
        <v>13</v>
      </c>
      <c r="K37" s="6">
        <v>50560</v>
      </c>
      <c r="L37" s="49">
        <v>4</v>
      </c>
      <c r="M37" s="4" t="s">
        <v>27</v>
      </c>
      <c r="N37" s="11" t="s">
        <v>247</v>
      </c>
      <c r="O37" s="2">
        <v>2185</v>
      </c>
      <c r="P37" s="12">
        <f t="shared" si="0"/>
        <v>43.215981012658226</v>
      </c>
      <c r="Q37" s="2">
        <v>1346</v>
      </c>
      <c r="R37" s="23">
        <f t="shared" si="1"/>
        <v>26.621835443037973</v>
      </c>
      <c r="S37" s="5">
        <f t="shared" si="2"/>
        <v>0.38398169336384441</v>
      </c>
      <c r="T37" s="13">
        <f t="shared" si="3"/>
        <v>839</v>
      </c>
      <c r="U37" s="74" t="s">
        <v>1150</v>
      </c>
      <c r="V37" s="49">
        <f>'[3]13.14 Meter Data'!Y321</f>
        <v>15303.046902760001</v>
      </c>
      <c r="W37" s="40">
        <f>V37/(K37+57469)*1000</f>
        <v>141.65684124411038</v>
      </c>
      <c r="X37" s="5">
        <f t="shared" si="32"/>
        <v>-6.0036827930251722</v>
      </c>
      <c r="Y37" s="51">
        <f t="shared" si="33"/>
        <v>-13118.046902760001</v>
      </c>
      <c r="Z37" s="4" t="s">
        <v>27</v>
      </c>
      <c r="AA37" s="15">
        <v>53367</v>
      </c>
      <c r="AB37" s="7">
        <f t="shared" si="4"/>
        <v>1.0555181962025317</v>
      </c>
      <c r="AC37" s="15">
        <v>32912</v>
      </c>
      <c r="AD37" s="7">
        <f t="shared" si="5"/>
        <v>0.65094936708860762</v>
      </c>
      <c r="AE37" s="8">
        <f t="shared" si="6"/>
        <v>0.38328929863023964</v>
      </c>
      <c r="AF37" s="16">
        <f t="shared" si="7"/>
        <v>20455</v>
      </c>
      <c r="AG37" s="15">
        <f>'[3]13.14 Meter Data'!W325</f>
        <v>357284.96344000002</v>
      </c>
      <c r="AH37" s="22">
        <f>AG37/(K37+57469)</f>
        <v>3.3073060330096551</v>
      </c>
      <c r="AI37" s="47">
        <f t="shared" si="34"/>
        <v>-5.6948669297505949</v>
      </c>
      <c r="AJ37" s="48">
        <f t="shared" si="35"/>
        <v>-303917.96344000002</v>
      </c>
      <c r="AK37" s="4" t="s">
        <v>27</v>
      </c>
      <c r="AL37" s="2">
        <v>1220706</v>
      </c>
      <c r="AM37" s="9" t="s">
        <v>13</v>
      </c>
      <c r="AN37" s="2">
        <f t="shared" si="8"/>
        <v>24.143710443037975</v>
      </c>
      <c r="AO37" s="2">
        <v>950466</v>
      </c>
      <c r="AP37" s="9" t="s">
        <v>13</v>
      </c>
      <c r="AQ37" s="2">
        <f t="shared" si="9"/>
        <v>18.798773734177214</v>
      </c>
      <c r="AR37" s="8">
        <f t="shared" si="10"/>
        <v>0.22138008660562003</v>
      </c>
      <c r="AS37" s="17">
        <f t="shared" si="11"/>
        <v>270240</v>
      </c>
      <c r="AT37" s="242">
        <f>'[3]13.14 Meter Data'!W322</f>
        <v>4243580.4589999998</v>
      </c>
      <c r="AU37" s="9" t="s">
        <v>13</v>
      </c>
      <c r="AV37" s="2">
        <f>AT37/(K37+57469)</f>
        <v>39.281863749548734</v>
      </c>
      <c r="AW37" s="8">
        <f t="shared" si="36"/>
        <v>-2.4763329245534957</v>
      </c>
      <c r="AX37" s="4" t="s">
        <v>27</v>
      </c>
      <c r="AY37" s="65">
        <v>15232506</v>
      </c>
      <c r="AZ37" s="42">
        <f t="shared" si="31"/>
        <v>301.27583069620255</v>
      </c>
      <c r="BA37" s="502">
        <f>AY37-603500</f>
        <v>14629006</v>
      </c>
      <c r="BB37" s="15">
        <f>3650080*0.27</f>
        <v>985521.60000000009</v>
      </c>
      <c r="BC37" s="15">
        <v>90950</v>
      </c>
      <c r="BD37" s="3"/>
      <c r="BE37" s="15">
        <f>263882*0.27</f>
        <v>71248.14</v>
      </c>
      <c r="BF37" s="10">
        <f t="shared" si="37"/>
        <v>37.433299437790275</v>
      </c>
      <c r="BG37" s="1" t="s">
        <v>294</v>
      </c>
      <c r="BH37" s="11" t="s">
        <v>247</v>
      </c>
    </row>
    <row r="38" spans="1:60" s="41" customFormat="1" ht="29.25" customHeight="1" x14ac:dyDescent="0.2">
      <c r="A38" s="4" t="s">
        <v>1161</v>
      </c>
      <c r="B38" s="11" t="s">
        <v>26</v>
      </c>
      <c r="C38" s="11" t="s">
        <v>508</v>
      </c>
      <c r="D38" s="1" t="s">
        <v>25</v>
      </c>
      <c r="E38" s="33">
        <v>40409</v>
      </c>
      <c r="F38" s="11" t="s">
        <v>10</v>
      </c>
      <c r="G38" s="33">
        <v>40337</v>
      </c>
      <c r="H38" s="60">
        <v>41261</v>
      </c>
      <c r="I38" s="4" t="s">
        <v>192</v>
      </c>
      <c r="J38" s="11">
        <v>333</v>
      </c>
      <c r="K38" s="6">
        <v>128585</v>
      </c>
      <c r="L38" s="83" t="s">
        <v>34</v>
      </c>
      <c r="M38" s="4" t="s">
        <v>1161</v>
      </c>
      <c r="N38" s="11" t="s">
        <v>247</v>
      </c>
      <c r="O38" s="2">
        <v>6323</v>
      </c>
      <c r="P38" s="12">
        <f t="shared" si="0"/>
        <v>49.173698331842751</v>
      </c>
      <c r="Q38" s="2">
        <v>3660</v>
      </c>
      <c r="R38" s="23">
        <f t="shared" si="1"/>
        <v>28.46366216899327</v>
      </c>
      <c r="S38" s="5">
        <f t="shared" si="2"/>
        <v>0.4211608413727661</v>
      </c>
      <c r="T38" s="13">
        <f t="shared" si="3"/>
        <v>2663</v>
      </c>
      <c r="U38" s="74" t="s">
        <v>1150</v>
      </c>
      <c r="V38" s="49">
        <f>'[3]13.14 Meter Data'!Y330</f>
        <v>9131.9133395200006</v>
      </c>
      <c r="W38" s="40">
        <f>V38/K38*1000</f>
        <v>71.018496243885366</v>
      </c>
      <c r="X38" s="5">
        <f t="shared" si="32"/>
        <v>-0.44423744101217788</v>
      </c>
      <c r="Y38" s="51">
        <f t="shared" si="33"/>
        <v>-2808.9133395200006</v>
      </c>
      <c r="Z38" s="4" t="s">
        <v>1161</v>
      </c>
      <c r="AA38" s="15">
        <v>153208</v>
      </c>
      <c r="AB38" s="7">
        <f t="shared" si="4"/>
        <v>1.1914920091768091</v>
      </c>
      <c r="AC38" s="15">
        <v>89024</v>
      </c>
      <c r="AD38" s="7">
        <f t="shared" si="5"/>
        <v>0.69233580899793912</v>
      </c>
      <c r="AE38" s="8">
        <f t="shared" si="6"/>
        <v>0.4189337371416636</v>
      </c>
      <c r="AF38" s="16">
        <f t="shared" si="7"/>
        <v>64184</v>
      </c>
      <c r="AG38" s="15">
        <f>'[3]13.14 Meter Data'!W334</f>
        <v>228963.94887999998</v>
      </c>
      <c r="AH38" s="22">
        <f>AG38/K38</f>
        <v>1.7806427567756735</v>
      </c>
      <c r="AI38" s="47">
        <f t="shared" si="34"/>
        <v>-0.49446470732598807</v>
      </c>
      <c r="AJ38" s="48">
        <f t="shared" si="35"/>
        <v>-75755.948879999982</v>
      </c>
      <c r="AK38" s="4" t="s">
        <v>1161</v>
      </c>
      <c r="AL38" s="2">
        <v>3388865</v>
      </c>
      <c r="AM38" s="2">
        <f>AL38/J38</f>
        <v>10176.771771771771</v>
      </c>
      <c r="AN38" s="2">
        <f t="shared" si="8"/>
        <v>26.355056966209123</v>
      </c>
      <c r="AO38" s="2">
        <v>1928009</v>
      </c>
      <c r="AP38" s="9">
        <f>AO38/J38</f>
        <v>5789.8168168168168</v>
      </c>
      <c r="AQ38" s="2">
        <f t="shared" si="9"/>
        <v>14.994042851032392</v>
      </c>
      <c r="AR38" s="8">
        <f t="shared" si="10"/>
        <v>0.43107530102261377</v>
      </c>
      <c r="AS38" s="17">
        <f t="shared" si="11"/>
        <v>1460856</v>
      </c>
      <c r="AT38" s="242">
        <f>'[3]13.14 Meter Data'!W331</f>
        <v>2066184.368</v>
      </c>
      <c r="AU38" s="2">
        <f>AT38/J38</f>
        <v>6204.7578618618618</v>
      </c>
      <c r="AV38" s="2">
        <f>AT38/K38</f>
        <v>16.068626729400787</v>
      </c>
      <c r="AW38" s="8">
        <f t="shared" si="36"/>
        <v>0.39030195419410335</v>
      </c>
      <c r="AX38" s="4" t="s">
        <v>1161</v>
      </c>
      <c r="AY38" s="244">
        <v>40691217</v>
      </c>
      <c r="AZ38" s="42">
        <f t="shared" si="31"/>
        <v>316.45383987245793</v>
      </c>
      <c r="BA38" s="502">
        <f>AY38-1381478</f>
        <v>39309739</v>
      </c>
      <c r="BB38" s="71">
        <f>3650080*0.73</f>
        <v>2664558.4</v>
      </c>
      <c r="BC38" s="15">
        <v>94925</v>
      </c>
      <c r="BD38" s="3"/>
      <c r="BE38" s="71">
        <f>263882*0.73</f>
        <v>192633.86</v>
      </c>
      <c r="BF38" s="10">
        <f t="shared" si="37"/>
        <v>26.003939611118035</v>
      </c>
      <c r="BG38" s="1" t="s">
        <v>294</v>
      </c>
      <c r="BH38" s="11" t="s">
        <v>247</v>
      </c>
    </row>
    <row r="39" spans="1:60" s="41" customFormat="1" ht="29.25" customHeight="1" x14ac:dyDescent="0.2">
      <c r="A39" s="347" t="s">
        <v>541</v>
      </c>
      <c r="B39" s="11" t="s">
        <v>98</v>
      </c>
      <c r="C39" s="11" t="s">
        <v>723</v>
      </c>
      <c r="D39" s="348" t="s">
        <v>492</v>
      </c>
      <c r="E39" s="33">
        <v>40332</v>
      </c>
      <c r="F39" s="77" t="s">
        <v>4</v>
      </c>
      <c r="G39" s="33">
        <v>40756</v>
      </c>
      <c r="H39" s="60">
        <v>41303</v>
      </c>
      <c r="I39" s="4" t="s">
        <v>200</v>
      </c>
      <c r="J39" s="11" t="s">
        <v>13</v>
      </c>
      <c r="K39" s="6">
        <v>68000</v>
      </c>
      <c r="L39" s="83">
        <v>2</v>
      </c>
      <c r="M39" s="347" t="s">
        <v>493</v>
      </c>
      <c r="N39" s="11" t="s">
        <v>247</v>
      </c>
      <c r="O39" s="2">
        <v>31233</v>
      </c>
      <c r="P39" s="12">
        <f t="shared" si="0"/>
        <v>459.30882352941177</v>
      </c>
      <c r="Q39" s="2">
        <v>19781</v>
      </c>
      <c r="R39" s="23">
        <f t="shared" si="1"/>
        <v>290.89705882352939</v>
      </c>
      <c r="S39" s="5">
        <f t="shared" si="2"/>
        <v>0.36666346492491914</v>
      </c>
      <c r="T39" s="13">
        <f t="shared" si="3"/>
        <v>11452</v>
      </c>
      <c r="U39" s="74" t="s">
        <v>1150</v>
      </c>
      <c r="V39" s="49">
        <f>'[3]13.14 Meter Data'!Y339</f>
        <v>17208.4869</v>
      </c>
      <c r="W39" s="40">
        <f>V39/K39*1000</f>
        <v>253.06598382352939</v>
      </c>
      <c r="X39" s="5">
        <f t="shared" si="32"/>
        <v>0.44902869080779945</v>
      </c>
      <c r="Y39" s="51">
        <f t="shared" si="33"/>
        <v>14024.5131</v>
      </c>
      <c r="Z39" s="347" t="s">
        <v>493</v>
      </c>
      <c r="AA39" s="15">
        <v>425995</v>
      </c>
      <c r="AB39" s="7">
        <f t="shared" si="4"/>
        <v>6.2646323529411765</v>
      </c>
      <c r="AC39" s="15">
        <v>301801</v>
      </c>
      <c r="AD39" s="7">
        <f t="shared" si="5"/>
        <v>4.43825</v>
      </c>
      <c r="AE39" s="8">
        <f t="shared" si="6"/>
        <v>0.2915386330825479</v>
      </c>
      <c r="AF39" s="16">
        <f t="shared" si="7"/>
        <v>124194</v>
      </c>
      <c r="AG39" s="15">
        <f>'[3]13.14 Meter Data'!W343</f>
        <v>291901.88</v>
      </c>
      <c r="AH39" s="22">
        <f>AG39/K39</f>
        <v>4.2926747058823533</v>
      </c>
      <c r="AI39" s="47">
        <f t="shared" si="34"/>
        <v>0.31477627671686287</v>
      </c>
      <c r="AJ39" s="48">
        <f t="shared" si="35"/>
        <v>134093.12</v>
      </c>
      <c r="AK39" s="347" t="s">
        <v>493</v>
      </c>
      <c r="AL39" s="2">
        <v>5139169</v>
      </c>
      <c r="AM39" s="9" t="s">
        <v>13</v>
      </c>
      <c r="AN39" s="2">
        <f t="shared" si="8"/>
        <v>75.576014705882358</v>
      </c>
      <c r="AO39" s="2">
        <v>4083469</v>
      </c>
      <c r="AP39" s="9" t="s">
        <v>13</v>
      </c>
      <c r="AQ39" s="2">
        <f t="shared" si="9"/>
        <v>60.051014705882352</v>
      </c>
      <c r="AR39" s="8">
        <f t="shared" si="10"/>
        <v>0.20542231633168709</v>
      </c>
      <c r="AS39" s="17">
        <f t="shared" si="11"/>
        <v>1055700</v>
      </c>
      <c r="AT39" s="1" t="s">
        <v>1160</v>
      </c>
      <c r="AU39" s="2"/>
      <c r="AV39" s="2"/>
      <c r="AW39" s="2"/>
      <c r="AX39" s="347" t="s">
        <v>493</v>
      </c>
      <c r="AY39" s="70">
        <v>24371201</v>
      </c>
      <c r="AZ39" s="42">
        <f t="shared" si="31"/>
        <v>358.40001470588237</v>
      </c>
      <c r="BA39" s="73">
        <v>19975000</v>
      </c>
      <c r="BB39" s="73">
        <v>2804957</v>
      </c>
      <c r="BC39" s="73">
        <v>110280</v>
      </c>
      <c r="BD39" s="3"/>
      <c r="BE39" s="73">
        <v>294243</v>
      </c>
      <c r="BF39" s="10">
        <f t="shared" si="37"/>
        <v>38.655039695959545</v>
      </c>
      <c r="BG39" s="1" t="s">
        <v>494</v>
      </c>
      <c r="BH39" s="11" t="s">
        <v>247</v>
      </c>
    </row>
    <row r="40" spans="1:60" s="41" customFormat="1" ht="28.9" customHeight="1" x14ac:dyDescent="0.2">
      <c r="A40" s="4" t="s">
        <v>1162</v>
      </c>
      <c r="B40" s="11" t="s">
        <v>45</v>
      </c>
      <c r="C40" s="1228" t="s">
        <v>738</v>
      </c>
      <c r="D40" s="1" t="s">
        <v>44</v>
      </c>
      <c r="E40" s="37">
        <v>40694</v>
      </c>
      <c r="F40" s="1" t="s">
        <v>10</v>
      </c>
      <c r="G40" s="33">
        <v>40875</v>
      </c>
      <c r="H40" s="60">
        <v>41389</v>
      </c>
      <c r="I40" s="4" t="s">
        <v>46</v>
      </c>
      <c r="J40" s="1" t="s">
        <v>13</v>
      </c>
      <c r="K40" s="6">
        <v>54565</v>
      </c>
      <c r="L40" s="14">
        <v>4</v>
      </c>
      <c r="M40" s="4" t="s">
        <v>61</v>
      </c>
      <c r="N40" s="11" t="s">
        <v>247</v>
      </c>
      <c r="O40" s="2">
        <v>1689</v>
      </c>
      <c r="P40" s="12">
        <f t="shared" si="0"/>
        <v>30.953908182901127</v>
      </c>
      <c r="Q40" s="2">
        <v>1116</v>
      </c>
      <c r="R40" s="23">
        <f t="shared" si="1"/>
        <v>20.452671126179784</v>
      </c>
      <c r="S40" s="5">
        <f t="shared" si="2"/>
        <v>0.33925399644760212</v>
      </c>
      <c r="T40" s="6">
        <f t="shared" si="3"/>
        <v>573</v>
      </c>
      <c r="U40" s="9" t="s">
        <v>1150</v>
      </c>
      <c r="V40" s="2">
        <f>'[3]13.14 Meter Data'!W347</f>
        <v>3008.9007999999999</v>
      </c>
      <c r="W40" s="40">
        <f>V40/K40*1000</f>
        <v>55.143421607257395</v>
      </c>
      <c r="X40" s="5">
        <f t="shared" si="32"/>
        <v>-0.78146879810538772</v>
      </c>
      <c r="Y40" s="51">
        <f t="shared" si="33"/>
        <v>-1319.9007999999999</v>
      </c>
      <c r="Z40" s="4" t="s">
        <v>61</v>
      </c>
      <c r="AA40" s="15">
        <v>45238</v>
      </c>
      <c r="AB40" s="7">
        <f t="shared" si="4"/>
        <v>0.82906625125996514</v>
      </c>
      <c r="AC40" s="15">
        <v>29457</v>
      </c>
      <c r="AD40" s="7">
        <f t="shared" si="5"/>
        <v>0.53985155319343903</v>
      </c>
      <c r="AE40" s="8">
        <f t="shared" si="6"/>
        <v>0.34884389230293117</v>
      </c>
      <c r="AF40" s="15">
        <f t="shared" si="7"/>
        <v>15781</v>
      </c>
      <c r="AG40" s="15">
        <f>'[3]13.14 Meter Data'!W350</f>
        <v>75973.5</v>
      </c>
      <c r="AH40" s="22">
        <f>AG40/K40</f>
        <v>1.3923485750939246</v>
      </c>
      <c r="AI40" s="47">
        <f t="shared" si="34"/>
        <v>-0.67941774614262351</v>
      </c>
      <c r="AJ40" s="48">
        <f t="shared" si="35"/>
        <v>-30735.5</v>
      </c>
      <c r="AK40" s="4" t="s">
        <v>61</v>
      </c>
      <c r="AL40" s="2">
        <v>175310</v>
      </c>
      <c r="AM40" s="9" t="s">
        <v>13</v>
      </c>
      <c r="AN40" s="10">
        <f t="shared" si="8"/>
        <v>3.2128653899019519</v>
      </c>
      <c r="AO40" s="2">
        <v>116629</v>
      </c>
      <c r="AP40" s="1" t="s">
        <v>13</v>
      </c>
      <c r="AQ40" s="10">
        <f t="shared" si="9"/>
        <v>2.1374324200494823</v>
      </c>
      <c r="AR40" s="8">
        <f t="shared" si="10"/>
        <v>0.33472705493126459</v>
      </c>
      <c r="AS40" s="2">
        <f t="shared" si="11"/>
        <v>58681</v>
      </c>
      <c r="AT40" s="242">
        <f>'[3]13.14 Meter Data'!W348</f>
        <v>175780</v>
      </c>
      <c r="AU40" s="9" t="s">
        <v>13</v>
      </c>
      <c r="AV40" s="2">
        <f>AT40/K40</f>
        <v>3.2214789700357374</v>
      </c>
      <c r="AW40" s="8">
        <f>(AL40-AT40)/AL40</f>
        <v>-2.6809651474530832E-3</v>
      </c>
      <c r="AX40" s="4" t="s">
        <v>61</v>
      </c>
      <c r="AY40" s="64">
        <v>12962700</v>
      </c>
      <c r="AZ40" s="42">
        <f t="shared" si="31"/>
        <v>237.56437276642535</v>
      </c>
      <c r="BA40" s="15">
        <v>12687413</v>
      </c>
      <c r="BB40" s="71">
        <v>1125000</v>
      </c>
      <c r="BC40" s="71">
        <v>6000</v>
      </c>
      <c r="BD40" s="3"/>
      <c r="BE40" s="71">
        <v>56200</v>
      </c>
      <c r="BF40" s="10">
        <f t="shared" si="37"/>
        <v>21.385653634116977</v>
      </c>
      <c r="BG40" s="1" t="s">
        <v>416</v>
      </c>
      <c r="BH40" s="11" t="s">
        <v>247</v>
      </c>
    </row>
    <row r="41" spans="1:60" s="41" customFormat="1" ht="42.75" x14ac:dyDescent="0.2">
      <c r="A41" s="20" t="s">
        <v>187</v>
      </c>
      <c r="B41" s="19" t="s">
        <v>56</v>
      </c>
      <c r="C41" s="19" t="s">
        <v>546</v>
      </c>
      <c r="D41" s="9" t="s">
        <v>188</v>
      </c>
      <c r="E41" s="36">
        <v>40554</v>
      </c>
      <c r="F41" s="19" t="s">
        <v>189</v>
      </c>
      <c r="G41" s="34">
        <v>40721</v>
      </c>
      <c r="H41" s="61">
        <v>41415</v>
      </c>
      <c r="I41" s="20" t="s">
        <v>190</v>
      </c>
      <c r="J41" s="19" t="s">
        <v>13</v>
      </c>
      <c r="K41" s="6">
        <v>65861</v>
      </c>
      <c r="L41" s="49">
        <v>4</v>
      </c>
      <c r="M41" s="20" t="s">
        <v>187</v>
      </c>
      <c r="N41" s="11" t="s">
        <v>247</v>
      </c>
      <c r="O41" s="2">
        <v>13356</v>
      </c>
      <c r="P41" s="12">
        <f t="shared" si="0"/>
        <v>202.79072592277674</v>
      </c>
      <c r="Q41" s="2">
        <v>9641</v>
      </c>
      <c r="R41" s="23">
        <f t="shared" si="1"/>
        <v>146.38405125947071</v>
      </c>
      <c r="S41" s="5">
        <f t="shared" si="2"/>
        <v>0.27815214135968852</v>
      </c>
      <c r="T41" s="13">
        <f t="shared" si="3"/>
        <v>3715</v>
      </c>
      <c r="U41" s="74">
        <v>0</v>
      </c>
      <c r="V41" s="873" t="s">
        <v>352</v>
      </c>
      <c r="W41" s="2"/>
      <c r="X41" s="2"/>
      <c r="Y41" s="2"/>
      <c r="Z41" s="20" t="s">
        <v>187</v>
      </c>
      <c r="AA41" s="15">
        <v>151889</v>
      </c>
      <c r="AB41" s="24">
        <f t="shared" si="4"/>
        <v>2.3062054933875888</v>
      </c>
      <c r="AC41" s="15">
        <v>100888</v>
      </c>
      <c r="AD41" s="24">
        <f t="shared" si="5"/>
        <v>1.5318321920408133</v>
      </c>
      <c r="AE41" s="8">
        <f t="shared" si="6"/>
        <v>0.33577810111331302</v>
      </c>
      <c r="AF41" s="16">
        <f t="shared" si="7"/>
        <v>51001</v>
      </c>
      <c r="AG41" s="22"/>
      <c r="AH41" s="2"/>
      <c r="AI41" s="2"/>
      <c r="AJ41" s="2"/>
      <c r="AK41" s="20" t="s">
        <v>187</v>
      </c>
      <c r="AL41" s="2">
        <v>2163492</v>
      </c>
      <c r="AM41" s="9" t="s">
        <v>13</v>
      </c>
      <c r="AN41" s="2">
        <f t="shared" si="8"/>
        <v>32.849364570838581</v>
      </c>
      <c r="AO41" s="2">
        <v>1785946</v>
      </c>
      <c r="AP41" s="9" t="s">
        <v>13</v>
      </c>
      <c r="AQ41" s="2">
        <f t="shared" si="9"/>
        <v>27.116897708810981</v>
      </c>
      <c r="AR41" s="8">
        <f t="shared" si="10"/>
        <v>0.17450769404277899</v>
      </c>
      <c r="AS41" s="17">
        <f t="shared" si="11"/>
        <v>377546</v>
      </c>
      <c r="AT41" s="2"/>
      <c r="AU41" s="2"/>
      <c r="AV41" s="2"/>
      <c r="AW41" s="2"/>
      <c r="AX41" s="20" t="s">
        <v>187</v>
      </c>
      <c r="AY41" s="64">
        <v>17028032</v>
      </c>
      <c r="AZ41" s="42">
        <f t="shared" si="31"/>
        <v>258.54499628004436</v>
      </c>
      <c r="BA41" s="15">
        <v>16327000</v>
      </c>
      <c r="BB41" s="15">
        <v>1576000</v>
      </c>
      <c r="BC41" s="15">
        <f>67500+67500</f>
        <v>135000</v>
      </c>
      <c r="BD41" s="3"/>
      <c r="BE41" s="15">
        <v>290182</v>
      </c>
      <c r="BF41" s="10">
        <f t="shared" si="37"/>
        <v>22.08219446677516</v>
      </c>
      <c r="BG41" s="1" t="s">
        <v>295</v>
      </c>
      <c r="BH41" s="11" t="s">
        <v>247</v>
      </c>
    </row>
    <row r="42" spans="1:60" s="41" customFormat="1" ht="42.75" x14ac:dyDescent="0.2">
      <c r="A42" s="28" t="s">
        <v>210</v>
      </c>
      <c r="B42" s="11" t="s">
        <v>98</v>
      </c>
      <c r="C42" s="11" t="s">
        <v>723</v>
      </c>
      <c r="D42" s="1" t="s">
        <v>136</v>
      </c>
      <c r="E42" s="37">
        <v>40331</v>
      </c>
      <c r="F42" s="1" t="s">
        <v>10</v>
      </c>
      <c r="G42" s="33">
        <v>40658</v>
      </c>
      <c r="H42" s="60">
        <v>41416</v>
      </c>
      <c r="I42" s="28" t="s">
        <v>261</v>
      </c>
      <c r="J42" s="1" t="s">
        <v>13</v>
      </c>
      <c r="K42" s="2">
        <v>93917</v>
      </c>
      <c r="L42" s="14">
        <v>2</v>
      </c>
      <c r="M42" s="28" t="s">
        <v>210</v>
      </c>
      <c r="N42" s="11" t="s">
        <v>247</v>
      </c>
      <c r="O42" s="2">
        <v>22917</v>
      </c>
      <c r="P42" s="10">
        <f t="shared" si="0"/>
        <v>244.01333091985478</v>
      </c>
      <c r="Q42" s="2">
        <v>15931</v>
      </c>
      <c r="R42" s="10">
        <f t="shared" si="1"/>
        <v>169.62850176219428</v>
      </c>
      <c r="S42" s="8">
        <f t="shared" si="2"/>
        <v>0.30483920233887507</v>
      </c>
      <c r="T42" s="2">
        <f t="shared" si="3"/>
        <v>6986</v>
      </c>
      <c r="U42" s="9" t="s">
        <v>1150</v>
      </c>
      <c r="V42" s="2">
        <f>'[3]13.14 Meter Data'!Y363</f>
        <v>34139.341</v>
      </c>
      <c r="W42" s="40">
        <f>V42/K42*1000</f>
        <v>363.50544629832729</v>
      </c>
      <c r="X42" s="5">
        <f>(O42-V42)/O42</f>
        <v>-0.48969502989047431</v>
      </c>
      <c r="Y42" s="51">
        <f>O42-V42</f>
        <v>-11222.341</v>
      </c>
      <c r="Z42" s="28" t="s">
        <v>210</v>
      </c>
      <c r="AA42" s="15">
        <v>351452</v>
      </c>
      <c r="AB42" s="7">
        <f t="shared" si="4"/>
        <v>3.7421553073458478</v>
      </c>
      <c r="AC42" s="15">
        <v>248190</v>
      </c>
      <c r="AD42" s="7">
        <f t="shared" si="5"/>
        <v>2.6426525549155104</v>
      </c>
      <c r="AE42" s="8">
        <f t="shared" si="6"/>
        <v>0.29381537165814964</v>
      </c>
      <c r="AF42" s="15">
        <f t="shared" si="7"/>
        <v>103262</v>
      </c>
      <c r="AG42" s="15">
        <f>'[3]13.14 Meter Data'!W369</f>
        <v>242520.84</v>
      </c>
      <c r="AH42" s="22">
        <f>AG42/K42</f>
        <v>2.5822890424523783</v>
      </c>
      <c r="AI42" s="47">
        <f>(AA42-AG42)/AA42</f>
        <v>0.30994605237699602</v>
      </c>
      <c r="AJ42" s="48">
        <f>AA42-AG42</f>
        <v>108931.16</v>
      </c>
      <c r="AK42" s="28" t="s">
        <v>210</v>
      </c>
      <c r="AL42" s="2">
        <v>810220</v>
      </c>
      <c r="AM42" s="1" t="s">
        <v>13</v>
      </c>
      <c r="AN42" s="10">
        <f t="shared" si="8"/>
        <v>8.6269791411565535</v>
      </c>
      <c r="AO42" s="2">
        <v>634243</v>
      </c>
      <c r="AP42" s="1" t="s">
        <v>13</v>
      </c>
      <c r="AQ42" s="10">
        <f t="shared" si="9"/>
        <v>6.7532289148929374</v>
      </c>
      <c r="AR42" s="8">
        <f t="shared" si="10"/>
        <v>0.21719656389622571</v>
      </c>
      <c r="AS42" s="2">
        <f t="shared" si="11"/>
        <v>175977</v>
      </c>
      <c r="AT42" s="242">
        <f>'[3]13.14 Meter Data'!W364</f>
        <v>1167500</v>
      </c>
      <c r="AU42" s="9" t="s">
        <v>13</v>
      </c>
      <c r="AV42" s="2">
        <f>AT42/K42</f>
        <v>12.431189241564359</v>
      </c>
      <c r="AW42" s="8">
        <f>(AL42-AT42)/AL42</f>
        <v>-0.44096665103305277</v>
      </c>
      <c r="AX42" s="28" t="s">
        <v>210</v>
      </c>
      <c r="AY42" s="64">
        <v>21478228</v>
      </c>
      <c r="AZ42" s="42">
        <f t="shared" si="31"/>
        <v>228.6937189220269</v>
      </c>
      <c r="BA42" s="346">
        <f>AY42-632796</f>
        <v>20845432</v>
      </c>
      <c r="BB42" s="468">
        <v>2510110</v>
      </c>
      <c r="BC42" s="469">
        <f>90000+125000</f>
        <v>215000</v>
      </c>
      <c r="BD42" s="3"/>
      <c r="BE42" s="15">
        <v>126000</v>
      </c>
      <c r="BF42" s="10">
        <f t="shared" si="37"/>
        <v>9.4303422362534128</v>
      </c>
      <c r="BG42" s="1" t="s">
        <v>297</v>
      </c>
      <c r="BH42" s="11" t="s">
        <v>247</v>
      </c>
    </row>
    <row r="43" spans="1:60" s="41" customFormat="1" ht="26.45" hidden="1" customHeight="1" x14ac:dyDescent="0.2">
      <c r="A43" s="20" t="s">
        <v>1163</v>
      </c>
      <c r="B43" s="19" t="s">
        <v>1164</v>
      </c>
      <c r="C43" s="19"/>
      <c r="D43" s="9" t="s">
        <v>1165</v>
      </c>
      <c r="E43" s="34">
        <v>40451</v>
      </c>
      <c r="F43" s="19" t="s">
        <v>10</v>
      </c>
      <c r="G43" s="34">
        <v>40630</v>
      </c>
      <c r="H43" s="61">
        <v>41446</v>
      </c>
      <c r="I43" s="20" t="s">
        <v>1166</v>
      </c>
      <c r="J43" s="19" t="s">
        <v>13</v>
      </c>
      <c r="K43" s="6">
        <v>30000</v>
      </c>
      <c r="L43" s="49">
        <v>2</v>
      </c>
      <c r="M43" s="20" t="s">
        <v>1163</v>
      </c>
      <c r="N43" s="11" t="s">
        <v>247</v>
      </c>
      <c r="O43" s="2">
        <v>1854</v>
      </c>
      <c r="P43" s="12">
        <f t="shared" si="0"/>
        <v>61.800000000000004</v>
      </c>
      <c r="Q43" s="2">
        <v>1119</v>
      </c>
      <c r="R43" s="23">
        <f t="shared" si="1"/>
        <v>37.299999999999997</v>
      </c>
      <c r="S43" s="5">
        <f t="shared" si="2"/>
        <v>0.3964401294498382</v>
      </c>
      <c r="T43" s="13">
        <f t="shared" si="3"/>
        <v>735</v>
      </c>
      <c r="U43" s="74">
        <v>0</v>
      </c>
      <c r="V43" s="21"/>
      <c r="W43" s="2"/>
      <c r="X43" s="2"/>
      <c r="Y43" s="2"/>
      <c r="Z43" s="20" t="s">
        <v>1163</v>
      </c>
      <c r="AA43" s="15">
        <v>81247</v>
      </c>
      <c r="AB43" s="24">
        <f t="shared" si="4"/>
        <v>2.7082333333333333</v>
      </c>
      <c r="AC43" s="15">
        <v>62132</v>
      </c>
      <c r="AD43" s="24">
        <f t="shared" si="5"/>
        <v>2.0710666666666668</v>
      </c>
      <c r="AE43" s="8">
        <f t="shared" si="6"/>
        <v>0.23527022536216721</v>
      </c>
      <c r="AF43" s="16">
        <f t="shared" si="7"/>
        <v>19115</v>
      </c>
      <c r="AG43" s="22"/>
      <c r="AH43" s="2"/>
      <c r="AI43" s="2"/>
      <c r="AJ43" s="2"/>
      <c r="AK43" s="20" t="s">
        <v>1163</v>
      </c>
      <c r="AL43" s="2">
        <v>36402</v>
      </c>
      <c r="AM43" s="9" t="s">
        <v>13</v>
      </c>
      <c r="AN43" s="2">
        <f t="shared" si="8"/>
        <v>1.2134</v>
      </c>
      <c r="AO43" s="2">
        <v>28077</v>
      </c>
      <c r="AP43" s="9" t="s">
        <v>13</v>
      </c>
      <c r="AQ43" s="2">
        <f t="shared" si="9"/>
        <v>0.93589999999999995</v>
      </c>
      <c r="AR43" s="8">
        <f t="shared" si="10"/>
        <v>0.22869622548211638</v>
      </c>
      <c r="AS43" s="17">
        <f t="shared" si="11"/>
        <v>8325</v>
      </c>
      <c r="AT43" s="2"/>
      <c r="AU43" s="9"/>
      <c r="AV43" s="2"/>
      <c r="AW43" s="2"/>
      <c r="AX43" s="20" t="s">
        <v>1163</v>
      </c>
      <c r="AY43" s="64">
        <v>2610700</v>
      </c>
      <c r="AZ43" s="42" t="s">
        <v>38</v>
      </c>
      <c r="BB43" s="15">
        <v>846024</v>
      </c>
      <c r="BC43" s="15">
        <v>10000</v>
      </c>
      <c r="BD43" s="3"/>
      <c r="BE43" s="85">
        <v>0</v>
      </c>
      <c r="BF43" s="10"/>
      <c r="BG43" s="1" t="s">
        <v>1167</v>
      </c>
      <c r="BH43" s="11" t="s">
        <v>247</v>
      </c>
    </row>
    <row r="44" spans="1:60" s="41" customFormat="1" ht="29.25" customHeight="1" x14ac:dyDescent="0.2">
      <c r="A44" s="857" t="s">
        <v>285</v>
      </c>
      <c r="B44" s="11" t="s">
        <v>100</v>
      </c>
      <c r="C44" s="11" t="s">
        <v>549</v>
      </c>
      <c r="D44" s="1" t="s">
        <v>99</v>
      </c>
      <c r="E44" s="33">
        <v>40476</v>
      </c>
      <c r="F44" s="11" t="s">
        <v>10</v>
      </c>
      <c r="G44" s="33">
        <v>40680</v>
      </c>
      <c r="H44" s="60">
        <v>41449</v>
      </c>
      <c r="I44" s="4" t="s">
        <v>262</v>
      </c>
      <c r="J44" s="11" t="s">
        <v>13</v>
      </c>
      <c r="K44" s="6">
        <v>91513</v>
      </c>
      <c r="L44" s="49">
        <v>3</v>
      </c>
      <c r="M44" s="857" t="s">
        <v>285</v>
      </c>
      <c r="N44" s="11" t="s">
        <v>247</v>
      </c>
      <c r="O44" s="2">
        <v>7587</v>
      </c>
      <c r="P44" s="12">
        <f t="shared" si="0"/>
        <v>82.90625375629692</v>
      </c>
      <c r="Q44" s="2">
        <v>5004</v>
      </c>
      <c r="R44" s="23">
        <f t="shared" si="1"/>
        <v>54.680755739621695</v>
      </c>
      <c r="S44" s="5">
        <f t="shared" si="2"/>
        <v>0.34045077105575328</v>
      </c>
      <c r="T44" s="13">
        <f t="shared" si="3"/>
        <v>2583</v>
      </c>
      <c r="U44" s="74" t="s">
        <v>1150</v>
      </c>
      <c r="V44" s="49">
        <f>'[3]13.14 Meter Data'!Y385</f>
        <v>10913.34635051748</v>
      </c>
      <c r="W44" s="40">
        <f t="shared" ref="W44:W53" si="38">V44/K44*1000</f>
        <v>119.25460153767749</v>
      </c>
      <c r="X44" s="5">
        <f t="shared" ref="X44:X53" si="39">(O44-V44)/O44</f>
        <v>-0.43842709246309219</v>
      </c>
      <c r="Y44" s="51">
        <f t="shared" ref="Y44:Y53" si="40">O44-V44</f>
        <v>-3326.3463505174805</v>
      </c>
      <c r="Z44" s="857" t="s">
        <v>285</v>
      </c>
      <c r="AA44" s="15">
        <v>105529</v>
      </c>
      <c r="AB44" s="7">
        <f t="shared" si="4"/>
        <v>1.1531585676351994</v>
      </c>
      <c r="AC44" s="15">
        <v>66125</v>
      </c>
      <c r="AD44" s="7">
        <f t="shared" si="5"/>
        <v>0.72257493470872991</v>
      </c>
      <c r="AE44" s="8">
        <f t="shared" si="6"/>
        <v>0.37339499095035489</v>
      </c>
      <c r="AF44" s="16">
        <f t="shared" si="7"/>
        <v>39404</v>
      </c>
      <c r="AG44" s="15">
        <f>'[3]13.14 Meter Data'!W380</f>
        <v>165975.10895098379</v>
      </c>
      <c r="AH44" s="22">
        <f t="shared" ref="AH44:AH53" si="41">AG44/K44</f>
        <v>1.8136779359324227</v>
      </c>
      <c r="AI44" s="47">
        <f t="shared" ref="AI44:AI53" si="42">(AA44-AG44)/AA44</f>
        <v>-0.57279145022679823</v>
      </c>
      <c r="AJ44" s="48">
        <f t="shared" ref="AJ44:AJ53" si="43">AA44-AG44</f>
        <v>-60446.108950983791</v>
      </c>
      <c r="AK44" s="857" t="s">
        <v>285</v>
      </c>
      <c r="AL44" s="2">
        <v>1434603</v>
      </c>
      <c r="AM44" s="9" t="s">
        <v>13</v>
      </c>
      <c r="AN44" s="2">
        <f t="shared" si="8"/>
        <v>15.67649405002568</v>
      </c>
      <c r="AO44" s="2">
        <v>990985</v>
      </c>
      <c r="AP44" s="9" t="s">
        <v>13</v>
      </c>
      <c r="AQ44" s="2">
        <f t="shared" si="9"/>
        <v>10.82889862642466</v>
      </c>
      <c r="AR44" s="8">
        <f t="shared" si="10"/>
        <v>0.30922701262997498</v>
      </c>
      <c r="AS44" s="17">
        <f t="shared" si="11"/>
        <v>443618</v>
      </c>
      <c r="AT44" s="242">
        <f>'[3]13.14 Meter Data'!W376</f>
        <v>679393.97100000002</v>
      </c>
      <c r="AU44" s="9" t="s">
        <v>13</v>
      </c>
      <c r="AV44" s="2">
        <f t="shared" ref="AV44:AV53" si="44">AT44/K44</f>
        <v>7.424015943090053</v>
      </c>
      <c r="AW44" s="8">
        <f t="shared" ref="AW44:AW53" si="45">(AL44-AT44)/AL44</f>
        <v>0.52642370676765626</v>
      </c>
      <c r="AX44" s="857" t="s">
        <v>285</v>
      </c>
      <c r="AY44" s="64">
        <v>25393206</v>
      </c>
      <c r="AZ44" s="42">
        <f t="shared" ref="AZ44:AZ49" si="46">AY44/K44</f>
        <v>277.48195338367225</v>
      </c>
      <c r="BA44" s="346">
        <f>AY44-77939</f>
        <v>25315267</v>
      </c>
      <c r="BB44" s="15">
        <f>2230879+177240</f>
        <v>2408119</v>
      </c>
      <c r="BC44" s="68">
        <v>177240</v>
      </c>
      <c r="BD44" s="3"/>
      <c r="BE44" s="15">
        <v>287625</v>
      </c>
      <c r="BF44" s="10">
        <f>((AY44-BA44)+BC44+BD44+BE44)/AF44</f>
        <v>13.775352756065374</v>
      </c>
      <c r="BG44" s="1" t="s">
        <v>305</v>
      </c>
      <c r="BH44" s="11" t="s">
        <v>247</v>
      </c>
    </row>
    <row r="45" spans="1:60" s="41" customFormat="1" ht="29.25" customHeight="1" x14ac:dyDescent="0.2">
      <c r="A45" s="4" t="s">
        <v>1168</v>
      </c>
      <c r="B45" s="11" t="s">
        <v>63</v>
      </c>
      <c r="C45" s="11" t="s">
        <v>545</v>
      </c>
      <c r="D45" s="3" t="s">
        <v>62</v>
      </c>
      <c r="E45" s="37">
        <v>40899</v>
      </c>
      <c r="F45" s="1" t="s">
        <v>103</v>
      </c>
      <c r="G45" s="33">
        <v>40925</v>
      </c>
      <c r="H45" s="60">
        <v>41464</v>
      </c>
      <c r="I45" s="4" t="s">
        <v>135</v>
      </c>
      <c r="J45" s="1">
        <v>400</v>
      </c>
      <c r="K45" s="6">
        <v>164377</v>
      </c>
      <c r="L45" s="14">
        <v>5</v>
      </c>
      <c r="M45" s="4" t="s">
        <v>1168</v>
      </c>
      <c r="N45" s="11" t="s">
        <v>247</v>
      </c>
      <c r="O45" s="2">
        <v>10765</v>
      </c>
      <c r="P45" s="12">
        <f t="shared" si="0"/>
        <v>65.489697463757096</v>
      </c>
      <c r="Q45" s="2">
        <v>7239</v>
      </c>
      <c r="R45" s="23">
        <f t="shared" si="1"/>
        <v>44.039007890398295</v>
      </c>
      <c r="S45" s="5">
        <f t="shared" si="2"/>
        <v>0.32754296330701349</v>
      </c>
      <c r="T45" s="6">
        <f t="shared" si="3"/>
        <v>3526</v>
      </c>
      <c r="U45" s="9" t="s">
        <v>1150</v>
      </c>
      <c r="V45" s="2">
        <f>'[3]13.14 Meter Data'!Y385</f>
        <v>10913.34635051748</v>
      </c>
      <c r="W45" s="40">
        <f t="shared" si="38"/>
        <v>66.392173786584991</v>
      </c>
      <c r="X45" s="5">
        <f t="shared" si="39"/>
        <v>-1.3780432003481696E-2</v>
      </c>
      <c r="Y45" s="51">
        <f t="shared" si="40"/>
        <v>-148.34635051748046</v>
      </c>
      <c r="Z45" s="4" t="s">
        <v>1168</v>
      </c>
      <c r="AA45" s="15">
        <v>149183</v>
      </c>
      <c r="AB45" s="7">
        <f t="shared" si="4"/>
        <v>0.90756614368190192</v>
      </c>
      <c r="AC45" s="15">
        <v>97190</v>
      </c>
      <c r="AD45" s="7">
        <f t="shared" si="5"/>
        <v>0.5912627679054856</v>
      </c>
      <c r="AE45" s="8">
        <f t="shared" si="6"/>
        <v>0.34851826280474318</v>
      </c>
      <c r="AF45" s="15">
        <f t="shared" si="7"/>
        <v>51993</v>
      </c>
      <c r="AG45" s="15">
        <f>'[3]13.14 Meter Data'!W389</f>
        <v>153565.98751242738</v>
      </c>
      <c r="AH45" s="22">
        <f t="shared" si="41"/>
        <v>0.93423038206335063</v>
      </c>
      <c r="AI45" s="47">
        <f t="shared" si="42"/>
        <v>-2.9379939486586154E-2</v>
      </c>
      <c r="AJ45" s="48">
        <f t="shared" si="43"/>
        <v>-4382.9875124273822</v>
      </c>
      <c r="AK45" s="4" t="s">
        <v>1168</v>
      </c>
      <c r="AL45" s="2">
        <v>2719308</v>
      </c>
      <c r="AM45" s="2">
        <f>AL45/J45</f>
        <v>6798.27</v>
      </c>
      <c r="AN45" s="10">
        <f t="shared" si="8"/>
        <v>16.543117346100733</v>
      </c>
      <c r="AO45" s="2">
        <v>1869230</v>
      </c>
      <c r="AP45" s="9">
        <f>AO45/J45</f>
        <v>4673.0749999999998</v>
      </c>
      <c r="AQ45" s="10">
        <f t="shared" si="9"/>
        <v>11.371603083156403</v>
      </c>
      <c r="AR45" s="8">
        <f t="shared" si="10"/>
        <v>0.31260820767636471</v>
      </c>
      <c r="AS45" s="2">
        <f t="shared" si="11"/>
        <v>850078</v>
      </c>
      <c r="AT45" s="242">
        <f>'[3]13.14 Meter Data'!W386</f>
        <v>4496320</v>
      </c>
      <c r="AU45" s="2">
        <f>AT45/J45</f>
        <v>11240.8</v>
      </c>
      <c r="AV45" s="2">
        <f t="shared" si="44"/>
        <v>27.353705202065981</v>
      </c>
      <c r="AW45" s="8">
        <f t="shared" si="45"/>
        <v>-0.65347948816390056</v>
      </c>
      <c r="AX45" s="4" t="s">
        <v>1168</v>
      </c>
      <c r="AY45" s="64">
        <f>1297571+28729713</f>
        <v>30027284</v>
      </c>
      <c r="AZ45" s="42">
        <f t="shared" si="46"/>
        <v>182.67326937466922</v>
      </c>
      <c r="BA45" s="346">
        <f>AY45</f>
        <v>30027284</v>
      </c>
      <c r="BB45" s="15">
        <v>2167790</v>
      </c>
      <c r="BC45" s="15">
        <v>126000</v>
      </c>
      <c r="BD45" s="3"/>
      <c r="BE45" s="15">
        <v>186000</v>
      </c>
      <c r="BF45" s="10"/>
      <c r="BG45" s="1"/>
      <c r="BH45" s="11" t="s">
        <v>247</v>
      </c>
    </row>
    <row r="46" spans="1:60" s="41" customFormat="1" ht="30" customHeight="1" x14ac:dyDescent="0.2">
      <c r="A46" s="4" t="s">
        <v>542</v>
      </c>
      <c r="B46" s="11" t="s">
        <v>60</v>
      </c>
      <c r="C46" s="11" t="s">
        <v>510</v>
      </c>
      <c r="D46" s="1" t="s">
        <v>66</v>
      </c>
      <c r="E46" s="37">
        <v>40864</v>
      </c>
      <c r="F46" s="1" t="s">
        <v>10</v>
      </c>
      <c r="G46" s="33">
        <v>41102</v>
      </c>
      <c r="H46" s="60">
        <v>41470</v>
      </c>
      <c r="I46" s="4" t="s">
        <v>12</v>
      </c>
      <c r="J46" s="262" t="s">
        <v>13</v>
      </c>
      <c r="K46" s="2">
        <v>22482</v>
      </c>
      <c r="L46" s="14">
        <v>2.5</v>
      </c>
      <c r="M46" s="4" t="s">
        <v>542</v>
      </c>
      <c r="N46" s="11" t="s">
        <v>247</v>
      </c>
      <c r="O46" s="2">
        <v>1449</v>
      </c>
      <c r="P46" s="12">
        <f t="shared" si="0"/>
        <v>64.451561248999198</v>
      </c>
      <c r="Q46" s="2">
        <v>1017</v>
      </c>
      <c r="R46" s="23">
        <f t="shared" si="1"/>
        <v>45.236188951160933</v>
      </c>
      <c r="S46" s="5">
        <f t="shared" si="2"/>
        <v>0.29813664596273293</v>
      </c>
      <c r="T46" s="6">
        <f t="shared" si="3"/>
        <v>432</v>
      </c>
      <c r="U46" s="9" t="s">
        <v>1150</v>
      </c>
      <c r="V46" s="2">
        <f>'[3]13.14 Meter Data'!Y394</f>
        <v>707.10291676999998</v>
      </c>
      <c r="W46" s="40">
        <f t="shared" si="38"/>
        <v>31.451957867182635</v>
      </c>
      <c r="X46" s="5">
        <f t="shared" si="39"/>
        <v>0.51200626861973775</v>
      </c>
      <c r="Y46" s="51">
        <f t="shared" si="40"/>
        <v>741.89708323000002</v>
      </c>
      <c r="Z46" s="4" t="s">
        <v>542</v>
      </c>
      <c r="AA46" s="15">
        <v>27666</v>
      </c>
      <c r="AB46" s="7">
        <f t="shared" si="4"/>
        <v>1.2305844675740591</v>
      </c>
      <c r="AC46" s="15">
        <v>21821</v>
      </c>
      <c r="AD46" s="7">
        <f t="shared" si="5"/>
        <v>0.97059870118316871</v>
      </c>
      <c r="AE46" s="8">
        <f t="shared" si="6"/>
        <v>0.21127015108797803</v>
      </c>
      <c r="AF46" s="15">
        <f t="shared" si="7"/>
        <v>5845</v>
      </c>
      <c r="AG46" s="15">
        <f>'[3]13.14 Meter Data'!W398</f>
        <v>15342.100000000002</v>
      </c>
      <c r="AH46" s="22">
        <f t="shared" si="41"/>
        <v>0.68241704474690879</v>
      </c>
      <c r="AI46" s="47">
        <f t="shared" si="42"/>
        <v>0.44545290247957775</v>
      </c>
      <c r="AJ46" s="48">
        <f t="shared" si="43"/>
        <v>12323.899999999998</v>
      </c>
      <c r="AK46" s="4" t="s">
        <v>542</v>
      </c>
      <c r="AL46" s="2">
        <v>166500</v>
      </c>
      <c r="AM46" s="9" t="s">
        <v>13</v>
      </c>
      <c r="AN46" s="10">
        <f t="shared" si="8"/>
        <v>7.4059247397918337</v>
      </c>
      <c r="AO46" s="2">
        <v>120425</v>
      </c>
      <c r="AP46" s="9" t="s">
        <v>13</v>
      </c>
      <c r="AQ46" s="10">
        <f t="shared" si="9"/>
        <v>5.356507428164754</v>
      </c>
      <c r="AR46" s="8">
        <f t="shared" si="10"/>
        <v>0.27672672672672671</v>
      </c>
      <c r="AS46" s="2">
        <f t="shared" si="11"/>
        <v>46075</v>
      </c>
      <c r="AT46" s="242">
        <f>'[3]13.14 Meter Data'!W395</f>
        <v>8228</v>
      </c>
      <c r="AU46" s="9" t="s">
        <v>13</v>
      </c>
      <c r="AV46" s="2">
        <f t="shared" si="44"/>
        <v>0.36598167422827149</v>
      </c>
      <c r="AW46" s="8">
        <f t="shared" si="45"/>
        <v>0.95058258258258255</v>
      </c>
      <c r="AX46" s="4" t="s">
        <v>542</v>
      </c>
      <c r="AY46" s="64">
        <v>2670270</v>
      </c>
      <c r="AZ46" s="42">
        <f t="shared" si="46"/>
        <v>118.7736856151588</v>
      </c>
      <c r="BA46" s="15">
        <f>AY46-24776</f>
        <v>2645494</v>
      </c>
      <c r="BB46" s="15">
        <v>292501</v>
      </c>
      <c r="BC46" s="15">
        <v>0</v>
      </c>
      <c r="BD46" s="3"/>
      <c r="BE46" s="85">
        <v>0</v>
      </c>
      <c r="BF46" s="10"/>
      <c r="BG46" s="1" t="s">
        <v>297</v>
      </c>
      <c r="BH46" s="11" t="s">
        <v>247</v>
      </c>
    </row>
    <row r="47" spans="1:60" s="41" customFormat="1" ht="29.25" customHeight="1" x14ac:dyDescent="0.2">
      <c r="A47" s="28" t="s">
        <v>1169</v>
      </c>
      <c r="B47" s="11" t="s">
        <v>63</v>
      </c>
      <c r="C47" s="11" t="s">
        <v>545</v>
      </c>
      <c r="D47" s="1" t="s">
        <v>84</v>
      </c>
      <c r="E47" s="33">
        <v>40963</v>
      </c>
      <c r="F47" s="1" t="s">
        <v>10</v>
      </c>
      <c r="G47" s="33">
        <v>40925</v>
      </c>
      <c r="H47" s="60">
        <v>41484</v>
      </c>
      <c r="I47" s="28" t="s">
        <v>54</v>
      </c>
      <c r="J47" s="1">
        <v>436</v>
      </c>
      <c r="K47" s="2">
        <v>144175</v>
      </c>
      <c r="L47" s="14">
        <v>5</v>
      </c>
      <c r="M47" s="28" t="s">
        <v>532</v>
      </c>
      <c r="N47" s="11" t="s">
        <v>247</v>
      </c>
      <c r="O47" s="2">
        <v>11671</v>
      </c>
      <c r="P47" s="10">
        <f t="shared" si="0"/>
        <v>80.950234090514996</v>
      </c>
      <c r="Q47" s="2">
        <v>6976</v>
      </c>
      <c r="R47" s="23">
        <f t="shared" si="1"/>
        <v>48.385642448413392</v>
      </c>
      <c r="S47" s="5">
        <f t="shared" si="2"/>
        <v>0.40227915345728732</v>
      </c>
      <c r="T47" s="2">
        <f t="shared" si="3"/>
        <v>4695</v>
      </c>
      <c r="U47" s="9" t="s">
        <v>1150</v>
      </c>
      <c r="V47" s="2">
        <f>'[3]13.14 Meter Data'!Y405</f>
        <v>13345.272515812689</v>
      </c>
      <c r="W47" s="40">
        <f t="shared" si="38"/>
        <v>92.56301380830719</v>
      </c>
      <c r="X47" s="5">
        <f t="shared" si="39"/>
        <v>-0.14345578920509713</v>
      </c>
      <c r="Y47" s="51">
        <f t="shared" si="40"/>
        <v>-1674.2725158126887</v>
      </c>
      <c r="Z47" s="28" t="s">
        <v>532</v>
      </c>
      <c r="AA47" s="15">
        <v>141674</v>
      </c>
      <c r="AB47" s="7">
        <f t="shared" si="4"/>
        <v>0.98265302583665681</v>
      </c>
      <c r="AC47" s="15">
        <v>87499</v>
      </c>
      <c r="AD47" s="7">
        <f t="shared" si="5"/>
        <v>0.60689439916767818</v>
      </c>
      <c r="AE47" s="8">
        <f t="shared" si="6"/>
        <v>0.38239197029800809</v>
      </c>
      <c r="AF47" s="15">
        <f t="shared" si="7"/>
        <v>54175</v>
      </c>
      <c r="AG47" s="15">
        <f>'[3]13.14 Meter Data'!W412</f>
        <v>108713.37263885731</v>
      </c>
      <c r="AH47" s="22">
        <f t="shared" si="41"/>
        <v>0.75403761150585968</v>
      </c>
      <c r="AI47" s="47">
        <f t="shared" si="42"/>
        <v>0.23265120883960846</v>
      </c>
      <c r="AJ47" s="48">
        <f t="shared" si="43"/>
        <v>32960.627361142688</v>
      </c>
      <c r="AK47" s="28" t="s">
        <v>532</v>
      </c>
      <c r="AL47" s="2">
        <v>1100206</v>
      </c>
      <c r="AM47" s="2">
        <f t="shared" ref="AM47:AM53" si="47">AL47/J47</f>
        <v>2523.4082568807339</v>
      </c>
      <c r="AN47" s="10">
        <f t="shared" si="8"/>
        <v>7.6310456043003292</v>
      </c>
      <c r="AO47" s="2">
        <v>860579</v>
      </c>
      <c r="AP47" s="9">
        <f t="shared" ref="AP47:AP53" si="48">AO47/J47</f>
        <v>1973.8050458715597</v>
      </c>
      <c r="AQ47" s="10">
        <f t="shared" si="9"/>
        <v>5.9689890757759665</v>
      </c>
      <c r="AR47" s="8">
        <f t="shared" si="10"/>
        <v>0.21780193890962238</v>
      </c>
      <c r="AS47" s="2">
        <f t="shared" si="11"/>
        <v>239627</v>
      </c>
      <c r="AT47" s="242">
        <f>'[3]13.14 Meter Data'!Y407</f>
        <v>3310737.7600000002</v>
      </c>
      <c r="AU47" s="2">
        <f t="shared" ref="AU47:AU53" si="49">AT47/J47</f>
        <v>7593.4352293577986</v>
      </c>
      <c r="AV47" s="2">
        <f t="shared" si="44"/>
        <v>22.963327622680772</v>
      </c>
      <c r="AW47" s="8">
        <f t="shared" si="45"/>
        <v>-2.0091980592725363</v>
      </c>
      <c r="AX47" s="28" t="s">
        <v>532</v>
      </c>
      <c r="AY47" s="64">
        <f>21815053+2840314</f>
        <v>24655367</v>
      </c>
      <c r="AZ47" s="42">
        <f t="shared" si="46"/>
        <v>171.01000173400382</v>
      </c>
      <c r="BA47" s="346">
        <f>AY47-1838674</f>
        <v>22816693</v>
      </c>
      <c r="BB47" s="15">
        <v>2078598</v>
      </c>
      <c r="BC47" s="15">
        <v>0</v>
      </c>
      <c r="BD47" s="3"/>
      <c r="BE47" s="73">
        <v>297680</v>
      </c>
      <c r="BF47" s="10"/>
      <c r="BG47" s="1"/>
      <c r="BH47" s="11" t="s">
        <v>247</v>
      </c>
    </row>
    <row r="48" spans="1:60" s="41" customFormat="1" ht="29.25" customHeight="1" x14ac:dyDescent="0.2">
      <c r="A48" s="4" t="s">
        <v>1170</v>
      </c>
      <c r="B48" s="11" t="s">
        <v>60</v>
      </c>
      <c r="C48" s="11" t="s">
        <v>510</v>
      </c>
      <c r="D48" s="1" t="s">
        <v>59</v>
      </c>
      <c r="E48" s="33">
        <v>40819</v>
      </c>
      <c r="F48" s="11" t="s">
        <v>10</v>
      </c>
      <c r="G48" s="33">
        <v>40816</v>
      </c>
      <c r="H48" s="60">
        <v>41487</v>
      </c>
      <c r="I48" s="4" t="s">
        <v>54</v>
      </c>
      <c r="J48" s="1">
        <v>151</v>
      </c>
      <c r="K48" s="2">
        <v>67202</v>
      </c>
      <c r="L48" s="49">
        <v>6</v>
      </c>
      <c r="M48" s="4" t="s">
        <v>436</v>
      </c>
      <c r="N48" s="11" t="s">
        <v>247</v>
      </c>
      <c r="O48" s="2">
        <v>4126</v>
      </c>
      <c r="P48" s="12">
        <f>(O48/K48)*1000</f>
        <v>61.396982232671647</v>
      </c>
      <c r="Q48" s="2">
        <v>2853</v>
      </c>
      <c r="R48" s="23">
        <f t="shared" si="1"/>
        <v>42.454093628165829</v>
      </c>
      <c r="S48" s="5">
        <f t="shared" si="2"/>
        <v>0.30853126514784296</v>
      </c>
      <c r="T48" s="13">
        <f t="shared" si="3"/>
        <v>1273</v>
      </c>
      <c r="U48" s="9" t="s">
        <v>1150</v>
      </c>
      <c r="V48" s="49">
        <f>'[3]13.14 Meter Data'!Y418</f>
        <v>1586.1422796271163</v>
      </c>
      <c r="W48" s="40">
        <f t="shared" si="38"/>
        <v>23.602605274056074</v>
      </c>
      <c r="X48" s="5">
        <f t="shared" si="39"/>
        <v>0.61557385370161988</v>
      </c>
      <c r="Y48" s="51">
        <f t="shared" si="40"/>
        <v>2539.8577203728837</v>
      </c>
      <c r="Z48" s="4" t="s">
        <v>436</v>
      </c>
      <c r="AA48" s="15">
        <v>76622</v>
      </c>
      <c r="AB48" s="7">
        <f t="shared" si="4"/>
        <v>1.1401743995714413</v>
      </c>
      <c r="AC48" s="15">
        <v>51093</v>
      </c>
      <c r="AD48" s="7">
        <f t="shared" si="5"/>
        <v>0.76028987232522838</v>
      </c>
      <c r="AE48" s="8">
        <f t="shared" si="6"/>
        <v>0.33318107071076192</v>
      </c>
      <c r="AF48" s="16">
        <f t="shared" si="7"/>
        <v>25529</v>
      </c>
      <c r="AG48" s="15">
        <f>'[3]13.14 Meter Data'!W423</f>
        <v>75688.068057488737</v>
      </c>
      <c r="AH48" s="22">
        <f t="shared" si="41"/>
        <v>1.1262770164204747</v>
      </c>
      <c r="AI48" s="47">
        <f t="shared" si="42"/>
        <v>1.2188822303140907E-2</v>
      </c>
      <c r="AJ48" s="48">
        <f t="shared" si="43"/>
        <v>933.9319425112626</v>
      </c>
      <c r="AK48" s="4" t="s">
        <v>436</v>
      </c>
      <c r="AL48" s="2">
        <v>1630661</v>
      </c>
      <c r="AM48" s="2">
        <f t="shared" si="47"/>
        <v>10799.079470198676</v>
      </c>
      <c r="AN48" s="2">
        <f t="shared" si="8"/>
        <v>24.265066515877503</v>
      </c>
      <c r="AO48" s="2">
        <v>1029702</v>
      </c>
      <c r="AP48" s="9">
        <f t="shared" si="48"/>
        <v>6819.2185430463578</v>
      </c>
      <c r="AQ48" s="10">
        <f t="shared" si="9"/>
        <v>15.322490402071367</v>
      </c>
      <c r="AR48" s="8">
        <f t="shared" si="10"/>
        <v>0.36853705337896719</v>
      </c>
      <c r="AS48" s="2">
        <f t="shared" si="11"/>
        <v>600959</v>
      </c>
      <c r="AT48" s="242">
        <f>'[3]13.14 Meter Data'!W419</f>
        <v>967912</v>
      </c>
      <c r="AU48" s="2">
        <f t="shared" si="49"/>
        <v>6410.013245033113</v>
      </c>
      <c r="AV48" s="2">
        <f t="shared" si="44"/>
        <v>14.403023719532158</v>
      </c>
      <c r="AW48" s="8">
        <f t="shared" si="45"/>
        <v>0.40642966257241697</v>
      </c>
      <c r="AX48" s="4" t="s">
        <v>436</v>
      </c>
      <c r="AY48" s="64">
        <v>14207759</v>
      </c>
      <c r="AZ48" s="42">
        <f t="shared" si="46"/>
        <v>211.41869289604477</v>
      </c>
      <c r="BA48" s="42">
        <f>AY48-41.63*K48</f>
        <v>11410139.74</v>
      </c>
      <c r="BB48" s="73">
        <f>8023000*K48/541421</f>
        <v>995826.99230358633</v>
      </c>
      <c r="BC48" s="15">
        <v>0</v>
      </c>
      <c r="BD48" s="3"/>
      <c r="BE48" s="15">
        <f>379066*K48/541421</f>
        <v>47050.249864707868</v>
      </c>
      <c r="BF48" s="10"/>
      <c r="BG48" s="1" t="s">
        <v>314</v>
      </c>
      <c r="BH48" s="11" t="s">
        <v>247</v>
      </c>
    </row>
    <row r="49" spans="1:62" s="41" customFormat="1" ht="30" customHeight="1" x14ac:dyDescent="0.2">
      <c r="A49" s="4" t="s">
        <v>1171</v>
      </c>
      <c r="B49" s="11" t="s">
        <v>60</v>
      </c>
      <c r="C49" s="11" t="s">
        <v>510</v>
      </c>
      <c r="D49" s="1" t="s">
        <v>59</v>
      </c>
      <c r="E49" s="33">
        <v>40819</v>
      </c>
      <c r="F49" s="11" t="s">
        <v>10</v>
      </c>
      <c r="G49" s="33">
        <v>40816</v>
      </c>
      <c r="H49" s="60">
        <v>41487</v>
      </c>
      <c r="I49" s="4" t="s">
        <v>54</v>
      </c>
      <c r="J49" s="1">
        <v>251</v>
      </c>
      <c r="K49" s="2">
        <v>154726</v>
      </c>
      <c r="L49" s="49">
        <v>6</v>
      </c>
      <c r="M49" s="4" t="s">
        <v>437</v>
      </c>
      <c r="N49" s="11" t="s">
        <v>247</v>
      </c>
      <c r="O49" s="2">
        <v>12056</v>
      </c>
      <c r="P49" s="12">
        <f t="shared" ref="P49:P55" si="50">O49/K49*1000</f>
        <v>77.918384757571445</v>
      </c>
      <c r="Q49" s="2">
        <v>8300</v>
      </c>
      <c r="R49" s="23">
        <f t="shared" si="1"/>
        <v>53.643214456523147</v>
      </c>
      <c r="S49" s="5">
        <f t="shared" si="2"/>
        <v>0.31154611811546118</v>
      </c>
      <c r="T49" s="13">
        <f t="shared" si="3"/>
        <v>3756</v>
      </c>
      <c r="U49" s="9" t="s">
        <v>1150</v>
      </c>
      <c r="V49" s="49">
        <f>'[3]13.14 Meter Data'!Y429</f>
        <v>5779.4534698182342</v>
      </c>
      <c r="W49" s="40">
        <f t="shared" si="38"/>
        <v>37.352826737705584</v>
      </c>
      <c r="X49" s="5">
        <f t="shared" si="39"/>
        <v>0.52061600283524934</v>
      </c>
      <c r="Y49" s="51">
        <f t="shared" si="40"/>
        <v>6276.5465301817658</v>
      </c>
      <c r="Z49" s="4" t="s">
        <v>437</v>
      </c>
      <c r="AA49" s="15">
        <v>220350</v>
      </c>
      <c r="AB49" s="7">
        <f t="shared" si="4"/>
        <v>1.4241303982523945</v>
      </c>
      <c r="AC49" s="15">
        <v>143383</v>
      </c>
      <c r="AD49" s="7">
        <f t="shared" si="5"/>
        <v>0.9266897612553805</v>
      </c>
      <c r="AE49" s="8">
        <f t="shared" si="6"/>
        <v>0.34929430451554344</v>
      </c>
      <c r="AF49" s="16">
        <f t="shared" si="7"/>
        <v>76967</v>
      </c>
      <c r="AG49" s="15">
        <f>'[3]13.14 Meter Data'!W434</f>
        <v>295899.11223345174</v>
      </c>
      <c r="AH49" s="22">
        <f t="shared" si="41"/>
        <v>1.9124071728956462</v>
      </c>
      <c r="AI49" s="47">
        <f t="shared" si="42"/>
        <v>-0.34285959715657699</v>
      </c>
      <c r="AJ49" s="48">
        <f t="shared" si="43"/>
        <v>-75549.112233451742</v>
      </c>
      <c r="AK49" s="4" t="s">
        <v>437</v>
      </c>
      <c r="AL49" s="2">
        <v>5618485</v>
      </c>
      <c r="AM49" s="2">
        <f t="shared" si="47"/>
        <v>22384.402390438248</v>
      </c>
      <c r="AN49" s="2">
        <f t="shared" si="8"/>
        <v>36.312481418766076</v>
      </c>
      <c r="AO49" s="2">
        <v>4483837</v>
      </c>
      <c r="AP49" s="9">
        <f t="shared" si="48"/>
        <v>17863.892430278884</v>
      </c>
      <c r="AQ49" s="10">
        <f t="shared" si="9"/>
        <v>28.979208407119682</v>
      </c>
      <c r="AR49" s="8">
        <f t="shared" si="10"/>
        <v>0.20194910193762197</v>
      </c>
      <c r="AS49" s="2">
        <f t="shared" si="11"/>
        <v>1134648</v>
      </c>
      <c r="AT49" s="242">
        <f>'[3]13.14 Meter Data'!W430</f>
        <v>1626900</v>
      </c>
      <c r="AU49" s="2">
        <f t="shared" si="49"/>
        <v>6481.6733067729083</v>
      </c>
      <c r="AV49" s="2">
        <f t="shared" si="44"/>
        <v>10.514716337267169</v>
      </c>
      <c r="AW49" s="8">
        <f t="shared" si="45"/>
        <v>0.71043795613942196</v>
      </c>
      <c r="AX49" s="4" t="s">
        <v>437</v>
      </c>
      <c r="AY49" s="64">
        <v>32712171</v>
      </c>
      <c r="AZ49" s="42">
        <f t="shared" si="46"/>
        <v>211.42000051704304</v>
      </c>
      <c r="BA49" s="42">
        <f>AY49-41.63*K49</f>
        <v>26270927.619999997</v>
      </c>
      <c r="BB49" s="73">
        <f>8023000*K49/541421</f>
        <v>2292793.7741609579</v>
      </c>
      <c r="BC49" s="15">
        <v>0</v>
      </c>
      <c r="BD49" s="3"/>
      <c r="BE49" s="15">
        <f>379066*K49/541421</f>
        <v>108328.57594367415</v>
      </c>
      <c r="BF49" s="10"/>
      <c r="BG49" s="1" t="s">
        <v>314</v>
      </c>
      <c r="BH49" s="11" t="s">
        <v>247</v>
      </c>
      <c r="BI49" s="3"/>
      <c r="BJ49" s="3"/>
    </row>
    <row r="50" spans="1:62" s="41" customFormat="1" ht="29.25" customHeight="1" x14ac:dyDescent="0.2">
      <c r="A50" s="28" t="s">
        <v>749</v>
      </c>
      <c r="B50" s="11" t="s">
        <v>109</v>
      </c>
      <c r="C50" s="11" t="s">
        <v>548</v>
      </c>
      <c r="D50" s="1" t="s">
        <v>134</v>
      </c>
      <c r="E50" s="37">
        <v>40840</v>
      </c>
      <c r="F50" s="1" t="s">
        <v>4</v>
      </c>
      <c r="G50" s="33" t="s">
        <v>244</v>
      </c>
      <c r="H50" s="60">
        <v>41493</v>
      </c>
      <c r="I50" s="28" t="s">
        <v>135</v>
      </c>
      <c r="J50" s="1">
        <v>243</v>
      </c>
      <c r="K50" s="2">
        <v>116224</v>
      </c>
      <c r="L50" s="14">
        <v>5</v>
      </c>
      <c r="M50" s="28" t="s">
        <v>433</v>
      </c>
      <c r="N50" s="11" t="s">
        <v>247</v>
      </c>
      <c r="O50" s="2">
        <v>5889</v>
      </c>
      <c r="P50" s="10">
        <f t="shared" si="50"/>
        <v>50.669397026431717</v>
      </c>
      <c r="Q50" s="2">
        <v>4141</v>
      </c>
      <c r="R50" s="10">
        <f t="shared" si="1"/>
        <v>35.629474118942731</v>
      </c>
      <c r="S50" s="8">
        <f t="shared" si="2"/>
        <v>0.29682458821531671</v>
      </c>
      <c r="T50" s="2">
        <f t="shared" si="3"/>
        <v>1748</v>
      </c>
      <c r="U50" s="9" t="s">
        <v>1150</v>
      </c>
      <c r="V50" s="2">
        <f>'[3]13.14 Meter Data'!Y439</f>
        <v>6865.0980174259512</v>
      </c>
      <c r="W50" s="40">
        <f t="shared" si="38"/>
        <v>59.067817468216127</v>
      </c>
      <c r="X50" s="5">
        <f t="shared" si="39"/>
        <v>-0.16574936617862984</v>
      </c>
      <c r="Y50" s="51">
        <f t="shared" si="40"/>
        <v>-976.09801742595118</v>
      </c>
      <c r="Z50" s="28" t="s">
        <v>433</v>
      </c>
      <c r="AA50" s="15">
        <v>127318</v>
      </c>
      <c r="AB50" s="7">
        <f t="shared" si="4"/>
        <v>1.0954536068281939</v>
      </c>
      <c r="AC50" s="15">
        <v>80286</v>
      </c>
      <c r="AD50" s="7">
        <f t="shared" si="5"/>
        <v>0.69078675660792954</v>
      </c>
      <c r="AE50" s="8">
        <f t="shared" si="6"/>
        <v>0.36940573995821485</v>
      </c>
      <c r="AF50" s="15">
        <f t="shared" si="7"/>
        <v>47032</v>
      </c>
      <c r="AG50" s="15">
        <f>'[3]13.14 Meter Data'!W443</f>
        <v>76867.000000000015</v>
      </c>
      <c r="AH50" s="22">
        <f t="shared" si="41"/>
        <v>0.66136942455947145</v>
      </c>
      <c r="AI50" s="47">
        <f t="shared" si="42"/>
        <v>0.39625975902857402</v>
      </c>
      <c r="AJ50" s="48">
        <f t="shared" si="43"/>
        <v>50450.999999999985</v>
      </c>
      <c r="AK50" s="28" t="s">
        <v>433</v>
      </c>
      <c r="AL50" s="2">
        <v>2900134</v>
      </c>
      <c r="AM50" s="2">
        <f t="shared" si="47"/>
        <v>11934.707818930041</v>
      </c>
      <c r="AN50" s="10">
        <f t="shared" si="8"/>
        <v>24.952970126651984</v>
      </c>
      <c r="AO50" s="2">
        <v>2258696</v>
      </c>
      <c r="AP50" s="9">
        <f t="shared" si="48"/>
        <v>9295.0452674897115</v>
      </c>
      <c r="AQ50" s="10">
        <f t="shared" si="9"/>
        <v>19.433989537444933</v>
      </c>
      <c r="AR50" s="8">
        <f t="shared" si="10"/>
        <v>0.22117529741729175</v>
      </c>
      <c r="AS50" s="2">
        <f t="shared" si="11"/>
        <v>641438</v>
      </c>
      <c r="AT50" s="242">
        <f>'[3]13.14 Meter Data'!W440</f>
        <v>1823624</v>
      </c>
      <c r="AU50" s="2">
        <f t="shared" si="49"/>
        <v>7504.6255144032921</v>
      </c>
      <c r="AV50" s="2">
        <f t="shared" si="44"/>
        <v>15.690597466960352</v>
      </c>
      <c r="AW50" s="8">
        <f t="shared" si="45"/>
        <v>0.37119319314210997</v>
      </c>
      <c r="AX50" s="28" t="s">
        <v>433</v>
      </c>
      <c r="AY50" s="33" t="s">
        <v>244</v>
      </c>
      <c r="AZ50" s="42"/>
      <c r="BA50" s="3"/>
      <c r="BB50" s="71" t="s">
        <v>244</v>
      </c>
      <c r="BC50" s="15"/>
      <c r="BD50" s="3"/>
      <c r="BE50" s="33" t="s">
        <v>244</v>
      </c>
      <c r="BF50" s="10"/>
      <c r="BG50" s="1" t="s">
        <v>297</v>
      </c>
      <c r="BH50" s="11" t="s">
        <v>247</v>
      </c>
    </row>
    <row r="51" spans="1:62" s="41" customFormat="1" ht="29.25" customHeight="1" x14ac:dyDescent="0.2">
      <c r="A51" s="28" t="s">
        <v>750</v>
      </c>
      <c r="B51" s="11" t="s">
        <v>109</v>
      </c>
      <c r="C51" s="11" t="s">
        <v>548</v>
      </c>
      <c r="D51" s="1" t="s">
        <v>134</v>
      </c>
      <c r="E51" s="37">
        <v>40840</v>
      </c>
      <c r="F51" s="1" t="s">
        <v>4</v>
      </c>
      <c r="G51" s="33" t="s">
        <v>244</v>
      </c>
      <c r="H51" s="60">
        <v>41493</v>
      </c>
      <c r="I51" s="28" t="s">
        <v>135</v>
      </c>
      <c r="J51" s="1">
        <v>130</v>
      </c>
      <c r="K51" s="2">
        <v>56295</v>
      </c>
      <c r="L51" s="14">
        <v>5</v>
      </c>
      <c r="M51" s="28" t="s">
        <v>434</v>
      </c>
      <c r="N51" s="11" t="s">
        <v>247</v>
      </c>
      <c r="O51" s="2">
        <v>5889</v>
      </c>
      <c r="P51" s="10">
        <f t="shared" si="50"/>
        <v>104.60964561683986</v>
      </c>
      <c r="Q51" s="2">
        <v>4141</v>
      </c>
      <c r="R51" s="10">
        <f t="shared" si="1"/>
        <v>73.55893063327116</v>
      </c>
      <c r="S51" s="8">
        <f t="shared" si="2"/>
        <v>0.29682458821531671</v>
      </c>
      <c r="T51" s="2">
        <f t="shared" si="3"/>
        <v>1748</v>
      </c>
      <c r="U51" s="9" t="s">
        <v>1150</v>
      </c>
      <c r="V51" s="2">
        <f>'[3]13.14 Meter Data'!Y448</f>
        <v>2459.3069474581439</v>
      </c>
      <c r="W51" s="40">
        <f t="shared" si="38"/>
        <v>43.68606354841716</v>
      </c>
      <c r="X51" s="5">
        <f t="shared" si="39"/>
        <v>0.58238971855015387</v>
      </c>
      <c r="Y51" s="51">
        <f t="shared" si="40"/>
        <v>3429.6930525418561</v>
      </c>
      <c r="Z51" s="28" t="s">
        <v>434</v>
      </c>
      <c r="AA51" s="15">
        <v>127318</v>
      </c>
      <c r="AB51" s="7">
        <f t="shared" si="4"/>
        <v>2.2616218136601831</v>
      </c>
      <c r="AC51" s="15">
        <v>80286</v>
      </c>
      <c r="AD51" s="7">
        <f t="shared" si="5"/>
        <v>1.4261657340794032</v>
      </c>
      <c r="AE51" s="8">
        <f t="shared" si="6"/>
        <v>0.36940573995821485</v>
      </c>
      <c r="AF51" s="15">
        <f t="shared" si="7"/>
        <v>47032</v>
      </c>
      <c r="AG51" s="15">
        <f>'[3]13.14 Meter Data'!W452</f>
        <v>53426.130000000005</v>
      </c>
      <c r="AH51" s="22">
        <f t="shared" si="41"/>
        <v>0.94903863575806036</v>
      </c>
      <c r="AI51" s="47">
        <f t="shared" si="42"/>
        <v>0.58037253177084147</v>
      </c>
      <c r="AJ51" s="48">
        <f t="shared" si="43"/>
        <v>73891.87</v>
      </c>
      <c r="AK51" s="28" t="s">
        <v>434</v>
      </c>
      <c r="AL51" s="2">
        <v>1736095</v>
      </c>
      <c r="AM51" s="2">
        <f t="shared" si="47"/>
        <v>13354.576923076924</v>
      </c>
      <c r="AN51" s="10">
        <f t="shared" si="8"/>
        <v>30.839239719335641</v>
      </c>
      <c r="AO51" s="2">
        <v>1384588</v>
      </c>
      <c r="AP51" s="9">
        <f t="shared" si="48"/>
        <v>10650.676923076922</v>
      </c>
      <c r="AQ51" s="10">
        <f t="shared" si="9"/>
        <v>24.595221600497378</v>
      </c>
      <c r="AR51" s="8">
        <f t="shared" si="10"/>
        <v>0.20246991092077335</v>
      </c>
      <c r="AS51" s="2">
        <f t="shared" si="11"/>
        <v>351507</v>
      </c>
      <c r="AT51" s="242">
        <f>'[3]13.14 Meter Data'!W449</f>
        <v>1306008</v>
      </c>
      <c r="AU51" s="2">
        <f t="shared" si="49"/>
        <v>10046.215384615385</v>
      </c>
      <c r="AV51" s="2">
        <f t="shared" si="44"/>
        <v>23.199360511590726</v>
      </c>
      <c r="AW51" s="8">
        <f t="shared" si="45"/>
        <v>0.24773241095677367</v>
      </c>
      <c r="AX51" s="28" t="s">
        <v>434</v>
      </c>
      <c r="AY51" s="33" t="s">
        <v>244</v>
      </c>
      <c r="AZ51" s="42"/>
      <c r="BA51" s="3"/>
      <c r="BB51" s="71" t="s">
        <v>244</v>
      </c>
      <c r="BC51" s="15"/>
      <c r="BD51" s="3"/>
      <c r="BE51" s="33" t="s">
        <v>244</v>
      </c>
      <c r="BF51" s="10"/>
      <c r="BG51" s="1" t="s">
        <v>297</v>
      </c>
      <c r="BH51" s="11" t="s">
        <v>247</v>
      </c>
    </row>
    <row r="52" spans="1:62" s="41" customFormat="1" ht="29.25" customHeight="1" x14ac:dyDescent="0.2">
      <c r="A52" s="28" t="s">
        <v>435</v>
      </c>
      <c r="B52" s="11" t="s">
        <v>109</v>
      </c>
      <c r="C52" s="11" t="s">
        <v>548</v>
      </c>
      <c r="D52" s="1" t="s">
        <v>134</v>
      </c>
      <c r="E52" s="37">
        <v>40840</v>
      </c>
      <c r="F52" s="1" t="s">
        <v>4</v>
      </c>
      <c r="G52" s="33" t="s">
        <v>244</v>
      </c>
      <c r="H52" s="60">
        <v>41493</v>
      </c>
      <c r="I52" s="28" t="s">
        <v>135</v>
      </c>
      <c r="J52" s="1">
        <v>209</v>
      </c>
      <c r="K52" s="2">
        <v>89104</v>
      </c>
      <c r="L52" s="14">
        <v>5</v>
      </c>
      <c r="M52" s="28" t="s">
        <v>435</v>
      </c>
      <c r="N52" s="11" t="s">
        <v>247</v>
      </c>
      <c r="O52" s="2">
        <v>5889</v>
      </c>
      <c r="P52" s="10">
        <f t="shared" si="50"/>
        <v>66.09130903214222</v>
      </c>
      <c r="Q52" s="2">
        <v>4141</v>
      </c>
      <c r="R52" s="10">
        <f t="shared" si="1"/>
        <v>46.473783444065361</v>
      </c>
      <c r="S52" s="8">
        <f t="shared" si="2"/>
        <v>0.29682458821531671</v>
      </c>
      <c r="T52" s="2">
        <f t="shared" si="3"/>
        <v>1748</v>
      </c>
      <c r="U52" s="9" t="s">
        <v>1150</v>
      </c>
      <c r="V52" s="2">
        <f>'[3]13.14 Meter Data'!Y457</f>
        <v>2092.5003388396481</v>
      </c>
      <c r="W52" s="40">
        <f t="shared" si="38"/>
        <v>23.483798020735861</v>
      </c>
      <c r="X52" s="5">
        <f t="shared" si="39"/>
        <v>0.64467645799972018</v>
      </c>
      <c r="Y52" s="51">
        <f t="shared" si="40"/>
        <v>3796.4996611603519</v>
      </c>
      <c r="Z52" s="28" t="s">
        <v>435</v>
      </c>
      <c r="AA52" s="15">
        <v>127318</v>
      </c>
      <c r="AB52" s="7">
        <f t="shared" si="4"/>
        <v>1.4288696354821333</v>
      </c>
      <c r="AC52" s="15">
        <v>80286</v>
      </c>
      <c r="AD52" s="7">
        <f t="shared" si="5"/>
        <v>0.9010369904830311</v>
      </c>
      <c r="AE52" s="8">
        <f t="shared" si="6"/>
        <v>0.36940573995821485</v>
      </c>
      <c r="AF52" s="15">
        <f t="shared" si="7"/>
        <v>47032</v>
      </c>
      <c r="AG52" s="15">
        <f>'[3]13.14 Meter Data'!W461</f>
        <v>50951.170000000006</v>
      </c>
      <c r="AH52" s="22">
        <f t="shared" si="41"/>
        <v>0.57181686568504231</v>
      </c>
      <c r="AI52" s="47">
        <f t="shared" si="42"/>
        <v>0.59981173125559617</v>
      </c>
      <c r="AJ52" s="48">
        <f t="shared" si="43"/>
        <v>76366.829999999987</v>
      </c>
      <c r="AK52" s="28" t="s">
        <v>435</v>
      </c>
      <c r="AL52" s="2">
        <v>2627757</v>
      </c>
      <c r="AM52" s="2">
        <f t="shared" si="47"/>
        <v>12573</v>
      </c>
      <c r="AN52" s="10">
        <f t="shared" si="8"/>
        <v>29.490898276171663</v>
      </c>
      <c r="AO52" s="2">
        <v>2069683</v>
      </c>
      <c r="AP52" s="9">
        <f t="shared" si="48"/>
        <v>9902.78947368421</v>
      </c>
      <c r="AQ52" s="10">
        <f t="shared" si="9"/>
        <v>23.227722661159994</v>
      </c>
      <c r="AR52" s="8">
        <f t="shared" si="10"/>
        <v>0.2123765629774747</v>
      </c>
      <c r="AS52" s="2">
        <f t="shared" si="11"/>
        <v>558074</v>
      </c>
      <c r="AT52" s="242">
        <f>'[3]13.14 Meter Data'!W458</f>
        <v>1306008</v>
      </c>
      <c r="AU52" s="2">
        <f t="shared" si="49"/>
        <v>6248.8421052631575</v>
      </c>
      <c r="AV52" s="2">
        <f t="shared" si="44"/>
        <v>14.657119770156221</v>
      </c>
      <c r="AW52" s="8">
        <f t="shared" si="45"/>
        <v>0.50299513996157175</v>
      </c>
      <c r="AX52" s="28" t="s">
        <v>435</v>
      </c>
      <c r="AY52" s="33" t="s">
        <v>244</v>
      </c>
      <c r="AZ52" s="42"/>
      <c r="BA52" s="3"/>
      <c r="BB52" s="71" t="s">
        <v>244</v>
      </c>
      <c r="BC52" s="15"/>
      <c r="BD52" s="3"/>
      <c r="BE52" s="33" t="s">
        <v>244</v>
      </c>
      <c r="BF52" s="10"/>
      <c r="BG52" s="1" t="s">
        <v>297</v>
      </c>
      <c r="BH52" s="11" t="s">
        <v>247</v>
      </c>
    </row>
    <row r="53" spans="1:62" s="41" customFormat="1" ht="29.25" customHeight="1" x14ac:dyDescent="0.2">
      <c r="A53" s="349" t="s">
        <v>284</v>
      </c>
      <c r="B53" s="11" t="s">
        <v>100</v>
      </c>
      <c r="C53" s="11" t="s">
        <v>549</v>
      </c>
      <c r="D53" s="1" t="s">
        <v>159</v>
      </c>
      <c r="E53" s="37">
        <v>41108</v>
      </c>
      <c r="F53" s="1" t="s">
        <v>10</v>
      </c>
      <c r="G53" s="33" t="s">
        <v>244</v>
      </c>
      <c r="H53" s="60">
        <v>41499</v>
      </c>
      <c r="I53" s="28" t="s">
        <v>135</v>
      </c>
      <c r="J53" s="1">
        <v>227</v>
      </c>
      <c r="K53" s="2">
        <v>55626</v>
      </c>
      <c r="L53" s="14">
        <v>5</v>
      </c>
      <c r="M53" s="349" t="s">
        <v>284</v>
      </c>
      <c r="N53" s="11" t="s">
        <v>247</v>
      </c>
      <c r="O53" s="2">
        <v>6193</v>
      </c>
      <c r="P53" s="10">
        <f t="shared" si="50"/>
        <v>111.33282997159603</v>
      </c>
      <c r="Q53" s="2">
        <v>4672</v>
      </c>
      <c r="R53" s="10">
        <f t="shared" si="1"/>
        <v>83.98950131233596</v>
      </c>
      <c r="S53" s="8">
        <f t="shared" si="2"/>
        <v>0.24559987082189569</v>
      </c>
      <c r="T53" s="2">
        <f t="shared" si="3"/>
        <v>1521</v>
      </c>
      <c r="U53" s="9" t="s">
        <v>1150</v>
      </c>
      <c r="V53" s="2">
        <f>'[3]13.14 Meter Data'!Y466</f>
        <v>7952.9710459945663</v>
      </c>
      <c r="W53" s="40">
        <f t="shared" si="38"/>
        <v>142.97219009086697</v>
      </c>
      <c r="X53" s="5">
        <f t="shared" si="39"/>
        <v>-0.28418715420548463</v>
      </c>
      <c r="Y53" s="51">
        <f t="shared" si="40"/>
        <v>-1759.9710459945663</v>
      </c>
      <c r="Z53" s="349" t="s">
        <v>284</v>
      </c>
      <c r="AA53" s="15">
        <v>87219</v>
      </c>
      <c r="AB53" s="7">
        <f t="shared" si="4"/>
        <v>1.5679538345378061</v>
      </c>
      <c r="AC53" s="15">
        <v>53012</v>
      </c>
      <c r="AD53" s="7">
        <f t="shared" si="5"/>
        <v>0.95300758638046956</v>
      </c>
      <c r="AE53" s="8">
        <f t="shared" si="6"/>
        <v>0.39219665439869755</v>
      </c>
      <c r="AF53" s="15">
        <f t="shared" si="7"/>
        <v>34207</v>
      </c>
      <c r="AG53" s="15">
        <f>'[3]13.14 Meter Data'!W470</f>
        <v>62831.364744550934</v>
      </c>
      <c r="AH53" s="22">
        <f t="shared" si="41"/>
        <v>1.1295323184221575</v>
      </c>
      <c r="AI53" s="47">
        <f t="shared" si="42"/>
        <v>0.27961379120890018</v>
      </c>
      <c r="AJ53" s="48">
        <f t="shared" si="43"/>
        <v>24387.635255449066</v>
      </c>
      <c r="AK53" s="349" t="s">
        <v>284</v>
      </c>
      <c r="AL53" s="2">
        <v>2317437</v>
      </c>
      <c r="AM53" s="2">
        <f t="shared" si="47"/>
        <v>10208.973568281939</v>
      </c>
      <c r="AN53" s="10">
        <f t="shared" si="8"/>
        <v>41.661039801531658</v>
      </c>
      <c r="AO53" s="2">
        <v>1848705</v>
      </c>
      <c r="AP53" s="9">
        <f t="shared" si="48"/>
        <v>8144.0748898678412</v>
      </c>
      <c r="AQ53" s="10">
        <f t="shared" si="9"/>
        <v>33.234548592384854</v>
      </c>
      <c r="AR53" s="8">
        <f t="shared" si="10"/>
        <v>0.20226310359246011</v>
      </c>
      <c r="AS53" s="2">
        <f t="shared" si="11"/>
        <v>468732</v>
      </c>
      <c r="AT53" s="242">
        <f>'[3]13.14 Meter Data'!W467</f>
        <v>1375634.0279999999</v>
      </c>
      <c r="AU53" s="2">
        <f t="shared" si="49"/>
        <v>6060.0617973568278</v>
      </c>
      <c r="AV53" s="2">
        <f t="shared" si="44"/>
        <v>24.730054794520548</v>
      </c>
      <c r="AW53" s="8">
        <f t="shared" si="45"/>
        <v>0.40639852216047301</v>
      </c>
      <c r="AX53" s="349" t="s">
        <v>284</v>
      </c>
      <c r="AY53" s="244">
        <v>10000000</v>
      </c>
      <c r="AZ53" s="42"/>
      <c r="BA53" s="15">
        <v>9516280</v>
      </c>
      <c r="BB53" s="71" t="s">
        <v>244</v>
      </c>
      <c r="BC53" s="15"/>
      <c r="BD53" s="3"/>
      <c r="BE53" s="33" t="s">
        <v>244</v>
      </c>
      <c r="BF53" s="10"/>
      <c r="BG53" s="1" t="s">
        <v>295</v>
      </c>
      <c r="BH53" s="11" t="s">
        <v>247</v>
      </c>
    </row>
    <row r="54" spans="1:62" s="3" customFormat="1" ht="28.5" x14ac:dyDescent="0.2">
      <c r="A54" s="4" t="s">
        <v>47</v>
      </c>
      <c r="B54" s="11" t="s">
        <v>80</v>
      </c>
      <c r="C54" s="11" t="s">
        <v>509</v>
      </c>
      <c r="D54" s="1" t="s">
        <v>74</v>
      </c>
      <c r="E54" s="33">
        <v>40303</v>
      </c>
      <c r="F54" s="11" t="s">
        <v>10</v>
      </c>
      <c r="G54" s="33">
        <v>40492</v>
      </c>
      <c r="H54" s="60">
        <v>41508</v>
      </c>
      <c r="I54" s="4" t="s">
        <v>48</v>
      </c>
      <c r="J54" s="11" t="s">
        <v>13</v>
      </c>
      <c r="K54" s="6">
        <v>233900</v>
      </c>
      <c r="L54" s="49">
        <v>6</v>
      </c>
      <c r="M54" s="4" t="s">
        <v>47</v>
      </c>
      <c r="N54" s="11" t="s">
        <v>247</v>
      </c>
      <c r="O54" s="2">
        <v>12463</v>
      </c>
      <c r="P54" s="12">
        <f t="shared" si="50"/>
        <v>53.283454467721249</v>
      </c>
      <c r="Q54" s="2">
        <v>8391</v>
      </c>
      <c r="R54" s="23">
        <f t="shared" si="1"/>
        <v>35.87430525865755</v>
      </c>
      <c r="S54" s="5">
        <f t="shared" si="2"/>
        <v>0.32672711225226669</v>
      </c>
      <c r="T54" s="9">
        <f t="shared" si="3"/>
        <v>4072</v>
      </c>
      <c r="U54" s="9">
        <v>0</v>
      </c>
      <c r="V54" s="1" t="s">
        <v>352</v>
      </c>
      <c r="W54" s="2"/>
      <c r="Y54" s="2"/>
      <c r="Z54" s="4" t="s">
        <v>47</v>
      </c>
      <c r="AA54" s="15">
        <v>407210</v>
      </c>
      <c r="AB54" s="7">
        <f t="shared" si="4"/>
        <v>1.7409576742197521</v>
      </c>
      <c r="AC54" s="15">
        <v>294497</v>
      </c>
      <c r="AD54" s="7">
        <f t="shared" si="5"/>
        <v>1.2590722530996152</v>
      </c>
      <c r="AE54" s="8">
        <f t="shared" si="6"/>
        <v>0.27679330075391073</v>
      </c>
      <c r="AF54" s="15">
        <f t="shared" si="7"/>
        <v>112713</v>
      </c>
      <c r="AJ54" s="2"/>
      <c r="AK54" s="4" t="s">
        <v>47</v>
      </c>
      <c r="AL54" s="2">
        <v>1939781</v>
      </c>
      <c r="AM54" s="1" t="s">
        <v>13</v>
      </c>
      <c r="AN54" s="10">
        <f t="shared" si="8"/>
        <v>8.2932064985036344</v>
      </c>
      <c r="AO54" s="2">
        <v>1222056</v>
      </c>
      <c r="AP54" s="1" t="s">
        <v>13</v>
      </c>
      <c r="AQ54" s="18">
        <f t="shared" si="9"/>
        <v>5.2246943138093203</v>
      </c>
      <c r="AR54" s="8">
        <f t="shared" si="10"/>
        <v>0.37000310859834179</v>
      </c>
      <c r="AS54" s="2">
        <f t="shared" si="11"/>
        <v>717725</v>
      </c>
      <c r="AU54" s="1"/>
      <c r="AX54" s="4" t="s">
        <v>47</v>
      </c>
      <c r="AY54" s="64">
        <v>38141300</v>
      </c>
      <c r="AZ54" s="42">
        <f>AY54/K54</f>
        <v>163.06669516887558</v>
      </c>
      <c r="BA54" s="15">
        <f>AY54-514107</f>
        <v>37627193</v>
      </c>
      <c r="BB54" s="15">
        <v>6113085</v>
      </c>
      <c r="BC54" s="15">
        <f>110000+229250</f>
        <v>339250</v>
      </c>
      <c r="BE54" s="15">
        <v>237711</v>
      </c>
      <c r="BF54" s="10">
        <f>((AY54-BA54)+BC54+BD54+BE54)/AF54</f>
        <v>9.6800546520809494</v>
      </c>
      <c r="BG54" s="11" t="s">
        <v>312</v>
      </c>
      <c r="BH54" s="11" t="s">
        <v>247</v>
      </c>
      <c r="BI54" s="41"/>
      <c r="BJ54" s="41"/>
    </row>
    <row r="55" spans="1:62" s="41" customFormat="1" ht="29.25" customHeight="1" x14ac:dyDescent="0.2">
      <c r="A55" s="4" t="s">
        <v>1172</v>
      </c>
      <c r="B55" s="11" t="s">
        <v>68</v>
      </c>
      <c r="C55" s="11" t="s">
        <v>650</v>
      </c>
      <c r="D55" s="1" t="s">
        <v>67</v>
      </c>
      <c r="E55" s="37">
        <v>40969</v>
      </c>
      <c r="F55" s="1" t="s">
        <v>10</v>
      </c>
      <c r="G55" s="33">
        <v>41030</v>
      </c>
      <c r="H55" s="60">
        <v>41513</v>
      </c>
      <c r="I55" s="4" t="s">
        <v>69</v>
      </c>
      <c r="J55" s="1" t="s">
        <v>13</v>
      </c>
      <c r="K55" s="6">
        <v>49170</v>
      </c>
      <c r="L55" s="14">
        <v>2</v>
      </c>
      <c r="M55" s="4" t="s">
        <v>1173</v>
      </c>
      <c r="N55" s="11" t="s">
        <v>247</v>
      </c>
      <c r="O55" s="2">
        <v>2396</v>
      </c>
      <c r="P55" s="12">
        <f t="shared" si="50"/>
        <v>48.728899735611151</v>
      </c>
      <c r="Q55" s="2">
        <v>1518</v>
      </c>
      <c r="R55" s="23">
        <f t="shared" si="1"/>
        <v>30.872483221476511</v>
      </c>
      <c r="S55" s="5">
        <f t="shared" si="2"/>
        <v>0.36644407345575958</v>
      </c>
      <c r="T55" s="6">
        <f t="shared" si="3"/>
        <v>878</v>
      </c>
      <c r="U55" s="9" t="s">
        <v>1150</v>
      </c>
      <c r="V55" s="1229" t="s">
        <v>1174</v>
      </c>
      <c r="Z55" s="4" t="s">
        <v>1173</v>
      </c>
      <c r="AA55" s="15">
        <v>48568</v>
      </c>
      <c r="AB55" s="7">
        <f t="shared" si="4"/>
        <v>0.98775676225340658</v>
      </c>
      <c r="AC55" s="15">
        <v>38507</v>
      </c>
      <c r="AD55" s="7">
        <f t="shared" si="5"/>
        <v>0.7831401260931462</v>
      </c>
      <c r="AE55" s="8">
        <f t="shared" si="6"/>
        <v>0.20715285784878934</v>
      </c>
      <c r="AF55" s="15">
        <f t="shared" si="7"/>
        <v>10061</v>
      </c>
      <c r="AG55" s="1230" t="s">
        <v>1174</v>
      </c>
      <c r="AK55" s="4" t="s">
        <v>1173</v>
      </c>
      <c r="AL55" s="2">
        <v>347984</v>
      </c>
      <c r="AM55" s="9" t="s">
        <v>13</v>
      </c>
      <c r="AN55" s="10">
        <f t="shared" si="8"/>
        <v>7.0771608704494611</v>
      </c>
      <c r="AO55" s="2">
        <v>227682</v>
      </c>
      <c r="AP55" s="9" t="s">
        <v>13</v>
      </c>
      <c r="AQ55" s="10">
        <f t="shared" si="9"/>
        <v>4.6305064063453329</v>
      </c>
      <c r="AR55" s="8">
        <f t="shared" si="10"/>
        <v>0.34571129707112969</v>
      </c>
      <c r="AS55" s="2">
        <f t="shared" si="11"/>
        <v>120302</v>
      </c>
      <c r="AT55" s="1230" t="s">
        <v>1174</v>
      </c>
      <c r="AX55" s="4" t="s">
        <v>1173</v>
      </c>
      <c r="AY55" s="64">
        <v>13828376</v>
      </c>
      <c r="AZ55" s="42">
        <f>AY55/K55</f>
        <v>281.23603823469597</v>
      </c>
      <c r="BA55" s="15">
        <v>12357348</v>
      </c>
      <c r="BB55" s="71">
        <v>736500</v>
      </c>
      <c r="BC55" s="470"/>
      <c r="BD55" s="3"/>
      <c r="BE55" s="71">
        <v>128800</v>
      </c>
      <c r="BF55" s="10"/>
      <c r="BG55" s="1" t="s">
        <v>306</v>
      </c>
      <c r="BH55" s="11" t="s">
        <v>247</v>
      </c>
    </row>
    <row r="56" spans="1:62" s="3" customFormat="1" ht="29.25" customHeight="1" x14ac:dyDescent="0.2">
      <c r="A56" s="4" t="s">
        <v>1175</v>
      </c>
      <c r="B56" s="11" t="s">
        <v>60</v>
      </c>
      <c r="C56" s="11" t="s">
        <v>510</v>
      </c>
      <c r="D56" s="1" t="s">
        <v>59</v>
      </c>
      <c r="E56" s="33">
        <v>40819</v>
      </c>
      <c r="F56" s="11" t="s">
        <v>10</v>
      </c>
      <c r="G56" s="33">
        <v>40816</v>
      </c>
      <c r="H56" s="60">
        <v>41613</v>
      </c>
      <c r="I56" s="4" t="s">
        <v>54</v>
      </c>
      <c r="J56" s="1">
        <v>223</v>
      </c>
      <c r="K56" s="2">
        <v>84876</v>
      </c>
      <c r="L56" s="49">
        <v>6</v>
      </c>
      <c r="M56" s="4" t="s">
        <v>1175</v>
      </c>
      <c r="N56" s="11" t="s">
        <v>247</v>
      </c>
      <c r="O56" s="2">
        <v>5653</v>
      </c>
      <c r="P56" s="10">
        <f>(O56/K56)*1000</f>
        <v>66.6030444413026</v>
      </c>
      <c r="Q56" s="2">
        <v>3934</v>
      </c>
      <c r="R56" s="23">
        <f t="shared" si="1"/>
        <v>46.349969367076682</v>
      </c>
      <c r="S56" s="5">
        <f t="shared" si="2"/>
        <v>0.30408632584468426</v>
      </c>
      <c r="T56" s="6">
        <f t="shared" si="3"/>
        <v>1719</v>
      </c>
      <c r="U56" s="9">
        <v>0</v>
      </c>
      <c r="V56" s="25"/>
      <c r="W56" s="2"/>
      <c r="X56" s="2"/>
      <c r="Y56" s="2"/>
      <c r="Z56" s="4" t="s">
        <v>1175</v>
      </c>
      <c r="AA56" s="15">
        <v>102040</v>
      </c>
      <c r="AB56" s="7">
        <f t="shared" si="4"/>
        <v>1.202224421509025</v>
      </c>
      <c r="AC56" s="15">
        <v>70049</v>
      </c>
      <c r="AD56" s="7">
        <f t="shared" si="5"/>
        <v>0.82530986380131011</v>
      </c>
      <c r="AE56" s="8">
        <f t="shared" si="6"/>
        <v>0.3135143081144649</v>
      </c>
      <c r="AF56" s="16">
        <f t="shared" si="7"/>
        <v>31991</v>
      </c>
      <c r="AG56" s="8"/>
      <c r="AH56" s="2"/>
      <c r="AI56" s="2"/>
      <c r="AJ56" s="2"/>
      <c r="AK56" s="4" t="s">
        <v>1175</v>
      </c>
      <c r="AL56" s="2">
        <v>2385879</v>
      </c>
      <c r="AM56" s="2">
        <f>AL56/J56</f>
        <v>10699.008968609865</v>
      </c>
      <c r="AN56" s="2">
        <f t="shared" si="8"/>
        <v>28.110172486922099</v>
      </c>
      <c r="AO56" s="2">
        <v>1498371</v>
      </c>
      <c r="AP56" s="9">
        <f>AO56/J56</f>
        <v>6719.1524663677128</v>
      </c>
      <c r="AQ56" s="10">
        <f t="shared" si="9"/>
        <v>17.653647674254206</v>
      </c>
      <c r="AR56" s="8">
        <f t="shared" si="10"/>
        <v>0.37198365885277501</v>
      </c>
      <c r="AS56" s="2">
        <f t="shared" si="11"/>
        <v>887508</v>
      </c>
      <c r="AU56" s="9"/>
      <c r="AV56" s="2"/>
      <c r="AW56" s="2"/>
      <c r="AX56" s="4" t="s">
        <v>1175</v>
      </c>
      <c r="AY56" s="64">
        <v>17944484</v>
      </c>
      <c r="AZ56" s="42">
        <f>AY56/K56</f>
        <v>211.4200009425515</v>
      </c>
      <c r="BA56" s="346">
        <f>AY56-3658268</f>
        <v>14286216</v>
      </c>
      <c r="BB56" s="73">
        <f>8023000*K56/541421</f>
        <v>1257727.624159388</v>
      </c>
      <c r="BC56" s="15">
        <v>0</v>
      </c>
      <c r="BE56" s="15">
        <f>379066*K56/541421</f>
        <v>59424.377362533036</v>
      </c>
      <c r="BF56" s="10"/>
      <c r="BG56" s="1"/>
      <c r="BH56" s="11" t="s">
        <v>247</v>
      </c>
      <c r="BI56" s="41"/>
      <c r="BJ56" s="41"/>
    </row>
    <row r="57" spans="1:62" s="3" customFormat="1" ht="30" customHeight="1" x14ac:dyDescent="0.2">
      <c r="A57" s="28" t="s">
        <v>438</v>
      </c>
      <c r="B57" s="11" t="s">
        <v>109</v>
      </c>
      <c r="C57" s="11" t="s">
        <v>548</v>
      </c>
      <c r="D57" s="1" t="s">
        <v>134</v>
      </c>
      <c r="E57" s="37">
        <v>40840</v>
      </c>
      <c r="F57" s="1" t="s">
        <v>4</v>
      </c>
      <c r="G57" s="33" t="s">
        <v>244</v>
      </c>
      <c r="H57" s="60">
        <v>41648</v>
      </c>
      <c r="I57" s="28" t="s">
        <v>135</v>
      </c>
      <c r="J57" s="1">
        <v>231</v>
      </c>
      <c r="K57" s="2">
        <v>110627</v>
      </c>
      <c r="L57" s="14">
        <v>5</v>
      </c>
      <c r="M57" s="28" t="s">
        <v>438</v>
      </c>
      <c r="N57" s="11" t="s">
        <v>247</v>
      </c>
      <c r="O57" s="2">
        <v>5889</v>
      </c>
      <c r="P57" s="10">
        <f>O57/K57*1000</f>
        <v>53.232935901723806</v>
      </c>
      <c r="Q57" s="2">
        <v>4141</v>
      </c>
      <c r="R57" s="10">
        <f t="shared" si="1"/>
        <v>37.43209162320229</v>
      </c>
      <c r="S57" s="8">
        <f t="shared" si="2"/>
        <v>0.29682458821531671</v>
      </c>
      <c r="T57" s="2">
        <f t="shared" si="3"/>
        <v>1748</v>
      </c>
      <c r="U57" s="9">
        <v>0</v>
      </c>
      <c r="Z57" s="28" t="s">
        <v>438</v>
      </c>
      <c r="AA57" s="15">
        <v>127318</v>
      </c>
      <c r="AB57" s="7">
        <f t="shared" si="4"/>
        <v>1.1508763683368437</v>
      </c>
      <c r="AC57" s="15">
        <v>80286</v>
      </c>
      <c r="AD57" s="7">
        <f t="shared" si="5"/>
        <v>0.72573603189094882</v>
      </c>
      <c r="AE57" s="8">
        <f t="shared" si="6"/>
        <v>0.36940573995821485</v>
      </c>
      <c r="AF57" s="15">
        <f t="shared" si="7"/>
        <v>47032</v>
      </c>
      <c r="AK57" s="28" t="s">
        <v>438</v>
      </c>
      <c r="AL57" s="2">
        <v>2916495</v>
      </c>
      <c r="AM57" s="2">
        <f>AL57/J57</f>
        <v>12625.519480519481</v>
      </c>
      <c r="AN57" s="10">
        <f t="shared" si="8"/>
        <v>26.363319985175409</v>
      </c>
      <c r="AO57" s="2">
        <v>2297942</v>
      </c>
      <c r="AP57" s="9">
        <f>AO57/J57</f>
        <v>9947.8008658008657</v>
      </c>
      <c r="AQ57" s="10">
        <f t="shared" si="9"/>
        <v>20.771981523497882</v>
      </c>
      <c r="AR57" s="8">
        <f t="shared" si="10"/>
        <v>0.21208779716749043</v>
      </c>
      <c r="AS57" s="2">
        <f t="shared" si="11"/>
        <v>618553</v>
      </c>
      <c r="AX57" s="28" t="s">
        <v>438</v>
      </c>
      <c r="AY57" s="33" t="s">
        <v>244</v>
      </c>
      <c r="AZ57" s="42"/>
      <c r="BB57" s="71" t="s">
        <v>244</v>
      </c>
      <c r="BC57" s="15"/>
      <c r="BD57" s="3" t="s">
        <v>38</v>
      </c>
      <c r="BE57" s="33" t="s">
        <v>244</v>
      </c>
      <c r="BF57" s="10"/>
      <c r="BG57" s="1"/>
      <c r="BH57" s="11" t="s">
        <v>247</v>
      </c>
      <c r="BI57" s="41"/>
      <c r="BJ57" s="41"/>
    </row>
    <row r="58" spans="1:62" s="41" customFormat="1" ht="29.25" customHeight="1" x14ac:dyDescent="0.2">
      <c r="A58" s="20" t="s">
        <v>139</v>
      </c>
      <c r="B58" s="19" t="s">
        <v>63</v>
      </c>
      <c r="C58" s="19" t="s">
        <v>545</v>
      </c>
      <c r="D58" s="9" t="s">
        <v>138</v>
      </c>
      <c r="E58" s="34">
        <v>40577</v>
      </c>
      <c r="F58" s="19" t="s">
        <v>10</v>
      </c>
      <c r="G58" s="34">
        <v>41008</v>
      </c>
      <c r="H58" s="61">
        <v>41667</v>
      </c>
      <c r="I58" s="20" t="s">
        <v>140</v>
      </c>
      <c r="J58" s="19" t="s">
        <v>13</v>
      </c>
      <c r="K58" s="6">
        <v>102914</v>
      </c>
      <c r="L58" s="49">
        <v>4</v>
      </c>
      <c r="M58" s="20" t="s">
        <v>139</v>
      </c>
      <c r="N58" s="11" t="s">
        <v>247</v>
      </c>
      <c r="O58" s="2">
        <v>7934</v>
      </c>
      <c r="P58" s="12">
        <f>O58/K58*1000</f>
        <v>77.093495539965403</v>
      </c>
      <c r="Q58" s="2">
        <v>5513</v>
      </c>
      <c r="R58" s="23">
        <f t="shared" si="1"/>
        <v>53.568999358687833</v>
      </c>
      <c r="S58" s="5">
        <f t="shared" si="2"/>
        <v>0.30514242500630201</v>
      </c>
      <c r="T58" s="13">
        <f t="shared" si="3"/>
        <v>2421</v>
      </c>
      <c r="U58" s="74">
        <v>0</v>
      </c>
      <c r="V58" s="21"/>
      <c r="W58" s="2"/>
      <c r="X58" s="2"/>
      <c r="Y58" s="2"/>
      <c r="Z58" s="20" t="s">
        <v>139</v>
      </c>
      <c r="AA58" s="15">
        <v>142246</v>
      </c>
      <c r="AB58" s="7">
        <f t="shared" si="4"/>
        <v>1.3821831820743533</v>
      </c>
      <c r="AC58" s="15">
        <v>98494</v>
      </c>
      <c r="AD58" s="7">
        <f t="shared" si="5"/>
        <v>0.95705151874380556</v>
      </c>
      <c r="AE58" s="8">
        <f t="shared" si="6"/>
        <v>0.30757982649775739</v>
      </c>
      <c r="AF58" s="16">
        <f t="shared" si="7"/>
        <v>43752</v>
      </c>
      <c r="AG58" s="22"/>
      <c r="AH58" s="2"/>
      <c r="AI58" s="2"/>
      <c r="AJ58" s="2"/>
      <c r="AK58" s="20" t="s">
        <v>139</v>
      </c>
      <c r="AL58" s="2">
        <v>776459</v>
      </c>
      <c r="AM58" s="9" t="s">
        <v>13</v>
      </c>
      <c r="AN58" s="2">
        <f t="shared" si="8"/>
        <v>7.544736381833375</v>
      </c>
      <c r="AO58" s="2">
        <v>565009</v>
      </c>
      <c r="AP58" s="9" t="s">
        <v>13</v>
      </c>
      <c r="AQ58" s="2">
        <f t="shared" si="9"/>
        <v>5.4901082457197274</v>
      </c>
      <c r="AR58" s="8">
        <f t="shared" si="10"/>
        <v>0.27232603395671889</v>
      </c>
      <c r="AS58" s="17">
        <f t="shared" si="11"/>
        <v>211450</v>
      </c>
      <c r="AT58" s="2"/>
      <c r="AU58" s="2"/>
      <c r="AV58" s="2"/>
      <c r="AW58" s="2"/>
      <c r="AX58" s="20" t="s">
        <v>139</v>
      </c>
      <c r="AY58" s="69">
        <v>25748184</v>
      </c>
      <c r="AZ58" s="42">
        <f t="shared" ref="AZ58:AZ111" si="51">AY58/K58</f>
        <v>250.19126649435452</v>
      </c>
      <c r="BB58" s="15">
        <v>2215000</v>
      </c>
      <c r="BC58" s="15" t="s">
        <v>253</v>
      </c>
      <c r="BD58" s="3"/>
      <c r="BE58" s="1231">
        <v>240424</v>
      </c>
      <c r="BF58" s="10"/>
      <c r="BG58" s="1" t="s">
        <v>295</v>
      </c>
      <c r="BH58" s="11" t="s">
        <v>247</v>
      </c>
    </row>
    <row r="59" spans="1:62" s="41" customFormat="1" ht="29.25" customHeight="1" x14ac:dyDescent="0.2">
      <c r="A59" s="4" t="s">
        <v>439</v>
      </c>
      <c r="B59" s="11" t="s">
        <v>60</v>
      </c>
      <c r="C59" s="11" t="s">
        <v>510</v>
      </c>
      <c r="D59" s="1" t="s">
        <v>59</v>
      </c>
      <c r="E59" s="33">
        <v>40819</v>
      </c>
      <c r="F59" s="11" t="s">
        <v>10</v>
      </c>
      <c r="G59" s="33">
        <v>40816</v>
      </c>
      <c r="H59" s="60">
        <v>41676</v>
      </c>
      <c r="I59" s="4" t="s">
        <v>54</v>
      </c>
      <c r="J59" s="1">
        <v>219</v>
      </c>
      <c r="K59" s="2">
        <v>88512</v>
      </c>
      <c r="L59" s="49">
        <v>6</v>
      </c>
      <c r="M59" s="4" t="s">
        <v>439</v>
      </c>
      <c r="N59" s="11" t="s">
        <v>247</v>
      </c>
      <c r="O59" s="2">
        <v>5069</v>
      </c>
      <c r="P59" s="12">
        <f>(O59/K59)*1000</f>
        <v>57.269070860448302</v>
      </c>
      <c r="Q59" s="2">
        <v>3543</v>
      </c>
      <c r="R59" s="23">
        <f t="shared" si="1"/>
        <v>40.028470715835141</v>
      </c>
      <c r="S59" s="5">
        <f t="shared" si="2"/>
        <v>0.30104557111856384</v>
      </c>
      <c r="T59" s="13">
        <f t="shared" si="3"/>
        <v>1526</v>
      </c>
      <c r="U59" s="74">
        <v>0</v>
      </c>
      <c r="V59" s="25"/>
      <c r="W59" s="2"/>
      <c r="X59" s="2"/>
      <c r="Y59" s="2"/>
      <c r="Z59" s="4" t="s">
        <v>439</v>
      </c>
      <c r="AA59" s="15">
        <v>91459</v>
      </c>
      <c r="AB59" s="7">
        <f t="shared" si="4"/>
        <v>1.0332949204627622</v>
      </c>
      <c r="AC59" s="15">
        <v>63494</v>
      </c>
      <c r="AD59" s="7">
        <f t="shared" si="5"/>
        <v>0.7173490600144613</v>
      </c>
      <c r="AE59" s="8">
        <f t="shared" si="6"/>
        <v>0.30576542494451064</v>
      </c>
      <c r="AF59" s="16">
        <f t="shared" si="7"/>
        <v>27965</v>
      </c>
      <c r="AG59" s="7"/>
      <c r="AH59" s="2"/>
      <c r="AI59" s="2"/>
      <c r="AJ59" s="2"/>
      <c r="AK59" s="4" t="s">
        <v>439</v>
      </c>
      <c r="AL59" s="2">
        <v>2343922</v>
      </c>
      <c r="AM59" s="2">
        <f>AL59/J59</f>
        <v>10702.840182648402</v>
      </c>
      <c r="AN59" s="2">
        <f t="shared" si="8"/>
        <v>26.481403651482285</v>
      </c>
      <c r="AO59" s="2">
        <v>1472334</v>
      </c>
      <c r="AP59" s="9">
        <f>AO59/J59</f>
        <v>6722.9863013698632</v>
      </c>
      <c r="AQ59" s="10">
        <f t="shared" si="9"/>
        <v>16.634286876355748</v>
      </c>
      <c r="AR59" s="8">
        <f t="shared" si="10"/>
        <v>0.37185025781574643</v>
      </c>
      <c r="AS59" s="2">
        <f t="shared" si="11"/>
        <v>871588</v>
      </c>
      <c r="AT59" s="3"/>
      <c r="AU59" s="9"/>
      <c r="AV59" s="2"/>
      <c r="AW59" s="2"/>
      <c r="AX59" s="4" t="s">
        <v>439</v>
      </c>
      <c r="AY59" s="64">
        <v>18713207</v>
      </c>
      <c r="AZ59" s="42">
        <f t="shared" si="51"/>
        <v>211.41999954808387</v>
      </c>
      <c r="BB59" s="73">
        <f>8023000*K59/541421</f>
        <v>1311607.3739289758</v>
      </c>
      <c r="BC59" s="15" t="s">
        <v>253</v>
      </c>
      <c r="BD59" s="3"/>
      <c r="BE59" s="15">
        <f>379066*K59/541421</f>
        <v>61970.056189176263</v>
      </c>
      <c r="BF59" s="10"/>
      <c r="BG59" s="1" t="s">
        <v>314</v>
      </c>
      <c r="BH59" s="11" t="s">
        <v>247</v>
      </c>
    </row>
    <row r="60" spans="1:62" s="41" customFormat="1" ht="29.25" customHeight="1" x14ac:dyDescent="0.2">
      <c r="A60" s="28" t="s">
        <v>212</v>
      </c>
      <c r="B60" s="11" t="s">
        <v>100</v>
      </c>
      <c r="C60" s="11" t="s">
        <v>549</v>
      </c>
      <c r="D60" s="1" t="s">
        <v>160</v>
      </c>
      <c r="E60" s="37">
        <v>41179</v>
      </c>
      <c r="F60" s="1" t="s">
        <v>10</v>
      </c>
      <c r="G60" s="33">
        <v>41256</v>
      </c>
      <c r="H60" s="60">
        <v>41723</v>
      </c>
      <c r="I60" s="28" t="s">
        <v>128</v>
      </c>
      <c r="J60" s="1" t="s">
        <v>13</v>
      </c>
      <c r="K60" s="2">
        <v>37898</v>
      </c>
      <c r="L60" s="14">
        <v>3</v>
      </c>
      <c r="M60" s="28" t="s">
        <v>212</v>
      </c>
      <c r="N60" s="11" t="s">
        <v>249</v>
      </c>
      <c r="O60" s="2">
        <v>2638</v>
      </c>
      <c r="P60" s="10">
        <f>O60/K60*1000</f>
        <v>69.607894875719026</v>
      </c>
      <c r="Q60" s="2">
        <v>1913</v>
      </c>
      <c r="R60" s="10">
        <f t="shared" si="1"/>
        <v>50.477597762414902</v>
      </c>
      <c r="S60" s="8">
        <f t="shared" si="2"/>
        <v>0.27482941622441243</v>
      </c>
      <c r="T60" s="3">
        <f t="shared" si="3"/>
        <v>725</v>
      </c>
      <c r="U60" s="74">
        <v>0</v>
      </c>
      <c r="V60" s="3"/>
      <c r="W60" s="3"/>
      <c r="X60" s="3"/>
      <c r="Y60" s="3"/>
      <c r="Z60" s="28" t="s">
        <v>212</v>
      </c>
      <c r="AA60" s="15">
        <v>41267</v>
      </c>
      <c r="AB60" s="7">
        <f t="shared" si="4"/>
        <v>1.0888965116892713</v>
      </c>
      <c r="AC60" s="15">
        <v>25579</v>
      </c>
      <c r="AD60" s="7">
        <f t="shared" si="5"/>
        <v>0.67494326877407784</v>
      </c>
      <c r="AE60" s="8">
        <f t="shared" si="6"/>
        <v>0.38015848014151743</v>
      </c>
      <c r="AF60" s="15">
        <f t="shared" si="7"/>
        <v>15688</v>
      </c>
      <c r="AG60" s="3"/>
      <c r="AH60" s="3"/>
      <c r="AI60" s="3"/>
      <c r="AJ60" s="3"/>
      <c r="AK60" s="28" t="s">
        <v>212</v>
      </c>
      <c r="AL60" s="2">
        <v>2719308</v>
      </c>
      <c r="AM60" s="1" t="s">
        <v>157</v>
      </c>
      <c r="AN60" s="10">
        <f t="shared" si="8"/>
        <v>71.75333790701356</v>
      </c>
      <c r="AO60" s="2">
        <v>1869230</v>
      </c>
      <c r="AP60" s="1" t="s">
        <v>13</v>
      </c>
      <c r="AQ60" s="10">
        <f t="shared" si="9"/>
        <v>49.322655549105491</v>
      </c>
      <c r="AR60" s="8">
        <f t="shared" si="10"/>
        <v>0.31260820767636471</v>
      </c>
      <c r="AS60" s="2">
        <f t="shared" si="11"/>
        <v>850078</v>
      </c>
      <c r="AT60" s="3"/>
      <c r="AU60" s="3"/>
      <c r="AV60" s="3"/>
      <c r="AW60" s="3"/>
      <c r="AX60" s="28" t="s">
        <v>212</v>
      </c>
      <c r="AY60" s="70">
        <f>1970229+8920241</f>
        <v>10890470</v>
      </c>
      <c r="AZ60" s="42">
        <f t="shared" si="51"/>
        <v>287.36265766003481</v>
      </c>
      <c r="BA60" s="3"/>
      <c r="BB60" s="73">
        <v>1125000</v>
      </c>
      <c r="BC60" s="15">
        <v>100000</v>
      </c>
      <c r="BD60" s="3"/>
      <c r="BE60" s="15">
        <v>90000</v>
      </c>
      <c r="BF60" s="10"/>
      <c r="BG60" s="1" t="s">
        <v>296</v>
      </c>
      <c r="BH60" s="11" t="s">
        <v>249</v>
      </c>
    </row>
    <row r="61" spans="1:62" s="41" customFormat="1" ht="30.6" customHeight="1" x14ac:dyDescent="0.2">
      <c r="A61" s="4" t="s">
        <v>1176</v>
      </c>
      <c r="B61" s="11" t="s">
        <v>60</v>
      </c>
      <c r="C61" s="429" t="s">
        <v>510</v>
      </c>
      <c r="D61" s="1" t="s">
        <v>59</v>
      </c>
      <c r="E61" s="33">
        <v>40819</v>
      </c>
      <c r="F61" s="11" t="s">
        <v>10</v>
      </c>
      <c r="G61" s="33">
        <v>40816</v>
      </c>
      <c r="H61" s="60">
        <v>41738</v>
      </c>
      <c r="I61" s="4" t="s">
        <v>135</v>
      </c>
      <c r="J61" s="1">
        <v>144</v>
      </c>
      <c r="K61" s="2">
        <v>62645</v>
      </c>
      <c r="L61" s="49">
        <v>6</v>
      </c>
      <c r="M61" s="4" t="s">
        <v>1176</v>
      </c>
      <c r="N61" s="11" t="s">
        <v>247</v>
      </c>
      <c r="O61" s="2">
        <v>3959</v>
      </c>
      <c r="P61" s="12">
        <f>(O61/K61)*1000</f>
        <v>63.197382073589267</v>
      </c>
      <c r="Q61" s="2">
        <v>2756</v>
      </c>
      <c r="R61" s="23">
        <f t="shared" si="1"/>
        <v>43.993934072950758</v>
      </c>
      <c r="S61" s="5">
        <f t="shared" si="2"/>
        <v>0.30386461227582723</v>
      </c>
      <c r="T61" s="13">
        <f t="shared" si="3"/>
        <v>1203</v>
      </c>
      <c r="U61" s="74">
        <v>0</v>
      </c>
      <c r="V61" s="25"/>
      <c r="W61" s="2"/>
      <c r="X61" s="2"/>
      <c r="Y61" s="2"/>
      <c r="Z61" s="4" t="s">
        <v>1176</v>
      </c>
      <c r="AA61" s="15">
        <v>73439</v>
      </c>
      <c r="AB61" s="7">
        <f t="shared" si="4"/>
        <v>1.1723042541304174</v>
      </c>
      <c r="AC61" s="15">
        <v>49084</v>
      </c>
      <c r="AD61" s="7">
        <f t="shared" si="5"/>
        <v>0.7835262191715221</v>
      </c>
      <c r="AE61" s="8">
        <f t="shared" si="6"/>
        <v>0.33163577935429406</v>
      </c>
      <c r="AF61" s="16">
        <f t="shared" si="7"/>
        <v>24355</v>
      </c>
      <c r="AG61" s="7"/>
      <c r="AH61" s="2"/>
      <c r="AI61" s="2"/>
      <c r="AJ61" s="2"/>
      <c r="AK61" s="4" t="s">
        <v>1176</v>
      </c>
      <c r="AL61" s="2">
        <v>1557237</v>
      </c>
      <c r="AM61" s="2">
        <f>AL61/J61</f>
        <v>10814.145833333334</v>
      </c>
      <c r="AN61" s="2">
        <f t="shared" si="8"/>
        <v>24.858121158911327</v>
      </c>
      <c r="AO61" s="2">
        <v>984137</v>
      </c>
      <c r="AP61" s="9">
        <f>AO61/J61</f>
        <v>6834.2847222222226</v>
      </c>
      <c r="AQ61" s="10">
        <f t="shared" si="9"/>
        <v>15.709745390693591</v>
      </c>
      <c r="AR61" s="8">
        <f t="shared" si="10"/>
        <v>0.36802362132417865</v>
      </c>
      <c r="AS61" s="2">
        <f t="shared" si="11"/>
        <v>573100</v>
      </c>
      <c r="AT61" s="3"/>
      <c r="AU61" s="9"/>
      <c r="AV61" s="2"/>
      <c r="AW61" s="2"/>
      <c r="AX61" s="4" t="s">
        <v>1176</v>
      </c>
      <c r="AY61" s="64">
        <v>13244406</v>
      </c>
      <c r="AZ61" s="42">
        <f t="shared" si="51"/>
        <v>211.4200015962966</v>
      </c>
      <c r="BB61" s="73">
        <f>8023000*K61/541421</f>
        <v>928299.48413526628</v>
      </c>
      <c r="BC61" s="15" t="s">
        <v>253</v>
      </c>
      <c r="BD61" s="3"/>
      <c r="BE61" s="15">
        <f>379066*K61/541421</f>
        <v>43859.749751117888</v>
      </c>
      <c r="BF61" s="10"/>
      <c r="BG61" s="1" t="s">
        <v>314</v>
      </c>
      <c r="BH61" s="11" t="s">
        <v>247</v>
      </c>
    </row>
    <row r="62" spans="1:62" s="41" customFormat="1" ht="31.9" customHeight="1" x14ac:dyDescent="0.2">
      <c r="A62" s="4" t="s">
        <v>1177</v>
      </c>
      <c r="B62" s="11" t="s">
        <v>60</v>
      </c>
      <c r="C62" s="11" t="s">
        <v>510</v>
      </c>
      <c r="D62" s="1" t="s">
        <v>59</v>
      </c>
      <c r="E62" s="33">
        <v>40819</v>
      </c>
      <c r="F62" s="11" t="s">
        <v>10</v>
      </c>
      <c r="G62" s="33">
        <v>40816</v>
      </c>
      <c r="H62" s="60">
        <v>41768</v>
      </c>
      <c r="I62" s="4" t="s">
        <v>54</v>
      </c>
      <c r="J62" s="1">
        <v>219</v>
      </c>
      <c r="K62" s="2">
        <v>83460</v>
      </c>
      <c r="L62" s="49">
        <v>6</v>
      </c>
      <c r="M62" s="4" t="s">
        <v>1177</v>
      </c>
      <c r="N62" s="11" t="s">
        <v>247</v>
      </c>
      <c r="O62" s="2">
        <v>5197</v>
      </c>
      <c r="P62" s="12">
        <f>(O62/K62)*1000</f>
        <v>62.269350587107603</v>
      </c>
      <c r="Q62" s="2">
        <v>3476</v>
      </c>
      <c r="R62" s="23">
        <f t="shared" si="1"/>
        <v>41.648693985142586</v>
      </c>
      <c r="S62" s="5">
        <f t="shared" si="2"/>
        <v>0.33115258803155667</v>
      </c>
      <c r="T62" s="13">
        <f t="shared" si="3"/>
        <v>1721</v>
      </c>
      <c r="U62" s="74">
        <v>0</v>
      </c>
      <c r="V62" s="25"/>
      <c r="W62" s="2"/>
      <c r="X62" s="2"/>
      <c r="Y62" s="2"/>
      <c r="Z62" s="4" t="s">
        <v>1177</v>
      </c>
      <c r="AA62" s="15">
        <v>96219</v>
      </c>
      <c r="AB62" s="7">
        <f t="shared" si="4"/>
        <v>1.1528756290438533</v>
      </c>
      <c r="AC62" s="15">
        <v>61768</v>
      </c>
      <c r="AD62" s="7">
        <f t="shared" si="5"/>
        <v>0.74009106158638871</v>
      </c>
      <c r="AE62" s="8">
        <f t="shared" si="6"/>
        <v>0.35804778681965099</v>
      </c>
      <c r="AF62" s="16">
        <f t="shared" si="7"/>
        <v>34451</v>
      </c>
      <c r="AG62" s="7"/>
      <c r="AH62" s="2"/>
      <c r="AI62" s="2"/>
      <c r="AJ62" s="2"/>
      <c r="AK62" s="4" t="s">
        <v>1177</v>
      </c>
      <c r="AL62" s="2">
        <v>2343922</v>
      </c>
      <c r="AM62" s="2">
        <f>AL62/J62</f>
        <v>10702.840182648402</v>
      </c>
      <c r="AN62" s="2">
        <f t="shared" si="8"/>
        <v>28.084375748861731</v>
      </c>
      <c r="AO62" s="2">
        <v>1472334</v>
      </c>
      <c r="AP62" s="9">
        <f>AO62/J62</f>
        <v>6722.9863013698632</v>
      </c>
      <c r="AQ62" s="10">
        <f t="shared" si="9"/>
        <v>17.6411933860532</v>
      </c>
      <c r="AR62" s="8">
        <f t="shared" si="10"/>
        <v>0.37185025781574643</v>
      </c>
      <c r="AS62" s="2">
        <f t="shared" si="11"/>
        <v>871588</v>
      </c>
      <c r="AT62" s="3"/>
      <c r="AU62" s="9"/>
      <c r="AV62" s="2"/>
      <c r="AW62" s="2"/>
      <c r="AX62" s="4" t="s">
        <v>1177</v>
      </c>
      <c r="AY62" s="64">
        <v>17645113</v>
      </c>
      <c r="AZ62" s="42">
        <f t="shared" si="51"/>
        <v>211.41999760364246</v>
      </c>
      <c r="BB62" s="73">
        <f>8023000*K62/541421</f>
        <v>1236744.7513118258</v>
      </c>
      <c r="BC62" s="15" t="s">
        <v>253</v>
      </c>
      <c r="BD62" s="3"/>
      <c r="BE62" s="15">
        <f>379066*K62/541421</f>
        <v>58432.990888790795</v>
      </c>
      <c r="BF62" s="10"/>
      <c r="BG62" s="1" t="s">
        <v>314</v>
      </c>
      <c r="BH62" s="11" t="s">
        <v>247</v>
      </c>
    </row>
    <row r="63" spans="1:62" s="41" customFormat="1" ht="28.5" x14ac:dyDescent="0.2">
      <c r="A63" s="28" t="s">
        <v>1178</v>
      </c>
      <c r="B63" s="11" t="s">
        <v>144</v>
      </c>
      <c r="C63" s="11"/>
      <c r="D63" s="1" t="s">
        <v>143</v>
      </c>
      <c r="E63" s="37">
        <v>40977</v>
      </c>
      <c r="F63" s="1" t="s">
        <v>10</v>
      </c>
      <c r="G63" s="33">
        <v>41169</v>
      </c>
      <c r="H63" s="60">
        <v>41841</v>
      </c>
      <c r="I63" s="28" t="s">
        <v>12</v>
      </c>
      <c r="J63" s="1" t="s">
        <v>13</v>
      </c>
      <c r="K63" s="2">
        <v>42087</v>
      </c>
      <c r="L63" s="14">
        <v>4</v>
      </c>
      <c r="M63" s="28" t="s">
        <v>1178</v>
      </c>
      <c r="N63" s="11" t="s">
        <v>247</v>
      </c>
      <c r="O63" s="2">
        <v>2425</v>
      </c>
      <c r="P63" s="10">
        <f t="shared" ref="P63:P87" si="52">O63/K63*1000</f>
        <v>57.618742129398626</v>
      </c>
      <c r="Q63" s="2">
        <v>1699</v>
      </c>
      <c r="R63" s="10">
        <f t="shared" si="1"/>
        <v>40.368759949628149</v>
      </c>
      <c r="S63" s="8">
        <f t="shared" si="2"/>
        <v>0.2993814432989691</v>
      </c>
      <c r="T63" s="2">
        <f t="shared" si="3"/>
        <v>726</v>
      </c>
      <c r="U63" s="9">
        <v>0</v>
      </c>
      <c r="V63" s="3"/>
      <c r="W63" s="3"/>
      <c r="X63" s="3"/>
      <c r="Y63" s="3"/>
      <c r="Z63" s="28" t="s">
        <v>1178</v>
      </c>
      <c r="AA63" s="15">
        <v>68705</v>
      </c>
      <c r="AB63" s="7">
        <f t="shared" si="4"/>
        <v>1.6324518259795187</v>
      </c>
      <c r="AC63" s="15">
        <v>55378</v>
      </c>
      <c r="AD63" s="7">
        <f t="shared" si="5"/>
        <v>1.3157982274811699</v>
      </c>
      <c r="AE63" s="8">
        <f t="shared" si="6"/>
        <v>0.19397423768284697</v>
      </c>
      <c r="AF63" s="15">
        <f t="shared" si="7"/>
        <v>13327</v>
      </c>
      <c r="AG63" s="3"/>
      <c r="AH63" s="3"/>
      <c r="AI63" s="3"/>
      <c r="AJ63" s="3"/>
      <c r="AK63" s="28" t="s">
        <v>1178</v>
      </c>
      <c r="AL63" s="2">
        <v>1135125</v>
      </c>
      <c r="AM63" s="9" t="s">
        <v>13</v>
      </c>
      <c r="AN63" s="10">
        <f t="shared" si="8"/>
        <v>26.970917385415923</v>
      </c>
      <c r="AO63" s="2">
        <v>550575</v>
      </c>
      <c r="AP63" s="9" t="s">
        <v>13</v>
      </c>
      <c r="AQ63" s="10">
        <f t="shared" si="9"/>
        <v>13.081830493976762</v>
      </c>
      <c r="AR63" s="8">
        <f t="shared" si="10"/>
        <v>0.51496531219028741</v>
      </c>
      <c r="AS63" s="2">
        <f t="shared" si="11"/>
        <v>584550</v>
      </c>
      <c r="AT63" s="3"/>
      <c r="AU63" s="3"/>
      <c r="AV63" s="3"/>
      <c r="AW63" s="3"/>
      <c r="AX63" s="28" t="s">
        <v>1178</v>
      </c>
      <c r="AY63" s="64">
        <v>6535600</v>
      </c>
      <c r="AZ63" s="42">
        <f t="shared" si="51"/>
        <v>155.28785610758666</v>
      </c>
      <c r="BA63" s="3"/>
      <c r="BB63" s="15">
        <v>686500</v>
      </c>
      <c r="BC63" s="15">
        <v>20000</v>
      </c>
      <c r="BD63" s="3"/>
      <c r="BE63" s="15">
        <v>149249</v>
      </c>
      <c r="BF63" s="10"/>
      <c r="BG63" s="1" t="s">
        <v>297</v>
      </c>
      <c r="BH63" s="11" t="s">
        <v>247</v>
      </c>
    </row>
    <row r="64" spans="1:62" s="3" customFormat="1" ht="30" customHeight="1" x14ac:dyDescent="0.2">
      <c r="A64" s="28" t="s">
        <v>1179</v>
      </c>
      <c r="B64" s="11" t="s">
        <v>63</v>
      </c>
      <c r="C64" s="11" t="s">
        <v>545</v>
      </c>
      <c r="D64" s="1" t="s">
        <v>170</v>
      </c>
      <c r="E64" s="37">
        <v>41262</v>
      </c>
      <c r="F64" s="1" t="s">
        <v>10</v>
      </c>
      <c r="G64" s="33">
        <v>41369</v>
      </c>
      <c r="H64" s="60">
        <v>41864</v>
      </c>
      <c r="I64" s="28" t="s">
        <v>135</v>
      </c>
      <c r="J64" s="1">
        <v>408</v>
      </c>
      <c r="K64" s="2">
        <v>174657</v>
      </c>
      <c r="L64" s="14">
        <v>6</v>
      </c>
      <c r="M64" s="28" t="s">
        <v>1179</v>
      </c>
      <c r="N64" s="11" t="s">
        <v>249</v>
      </c>
      <c r="O64" s="2">
        <v>21396</v>
      </c>
      <c r="P64" s="10">
        <f t="shared" si="52"/>
        <v>122.50296295023962</v>
      </c>
      <c r="Q64" s="2">
        <v>13060</v>
      </c>
      <c r="R64" s="10">
        <f t="shared" si="1"/>
        <v>74.77513068471346</v>
      </c>
      <c r="S64" s="8">
        <f t="shared" si="2"/>
        <v>0.38960553374462514</v>
      </c>
      <c r="T64" s="2">
        <f t="shared" si="3"/>
        <v>8336</v>
      </c>
      <c r="U64" s="9">
        <v>0</v>
      </c>
      <c r="Z64" s="28" t="s">
        <v>1179</v>
      </c>
      <c r="AA64" s="15">
        <v>306609</v>
      </c>
      <c r="AB64" s="7">
        <f t="shared" si="4"/>
        <v>1.7554921932702383</v>
      </c>
      <c r="AC64" s="15">
        <v>210750</v>
      </c>
      <c r="AD64" s="7">
        <f t="shared" si="5"/>
        <v>1.2066507497552346</v>
      </c>
      <c r="AE64" s="8">
        <f t="shared" si="6"/>
        <v>0.31264248603269962</v>
      </c>
      <c r="AF64" s="15">
        <f t="shared" si="7"/>
        <v>95859</v>
      </c>
      <c r="AJ64" s="3" t="s">
        <v>38</v>
      </c>
      <c r="AK64" s="28" t="s">
        <v>1179</v>
      </c>
      <c r="AL64" s="2">
        <v>4970906</v>
      </c>
      <c r="AM64" s="2">
        <f>AL64/J64</f>
        <v>12183.593137254902</v>
      </c>
      <c r="AN64" s="10">
        <f t="shared" si="8"/>
        <v>28.460960625683484</v>
      </c>
      <c r="AO64" s="2">
        <v>3510140</v>
      </c>
      <c r="AP64" s="9">
        <f>AO64/J64</f>
        <v>8603.2843137254895</v>
      </c>
      <c r="AQ64" s="10">
        <f t="shared" si="9"/>
        <v>20.097333631059733</v>
      </c>
      <c r="AR64" s="8">
        <f t="shared" si="10"/>
        <v>0.29386313078541415</v>
      </c>
      <c r="AS64" s="2">
        <f t="shared" si="11"/>
        <v>1460766</v>
      </c>
      <c r="AX64" s="28" t="s">
        <v>1179</v>
      </c>
      <c r="AY64" s="69">
        <v>35192772</v>
      </c>
      <c r="AZ64" s="42">
        <f t="shared" si="51"/>
        <v>201.49648740102029</v>
      </c>
      <c r="BA64" s="15">
        <v>29686104</v>
      </c>
      <c r="BB64" s="73">
        <v>2733245</v>
      </c>
      <c r="BC64" s="15">
        <v>15000</v>
      </c>
      <c r="BE64" s="15">
        <v>175000</v>
      </c>
      <c r="BF64" s="10">
        <f>((AY64-BA64)+BC64+BD64+BE64)/AF64</f>
        <v>59.427575918797402</v>
      </c>
      <c r="BG64" s="1"/>
      <c r="BH64" s="11" t="s">
        <v>249</v>
      </c>
    </row>
    <row r="65" spans="1:62" s="3" customFormat="1" ht="28.5" x14ac:dyDescent="0.2">
      <c r="A65" s="28" t="s">
        <v>149</v>
      </c>
      <c r="B65" s="11" t="s">
        <v>126</v>
      </c>
      <c r="C65" s="11"/>
      <c r="D65" s="1" t="s">
        <v>148</v>
      </c>
      <c r="E65" s="37">
        <v>41117</v>
      </c>
      <c r="F65" s="1" t="s">
        <v>173</v>
      </c>
      <c r="G65" s="33">
        <v>41292</v>
      </c>
      <c r="H65" s="60">
        <v>41891</v>
      </c>
      <c r="I65" s="28" t="s">
        <v>150</v>
      </c>
      <c r="J65" s="1" t="s">
        <v>13</v>
      </c>
      <c r="K65" s="2">
        <v>73432</v>
      </c>
      <c r="L65" s="14">
        <v>4</v>
      </c>
      <c r="M65" s="28" t="s">
        <v>149</v>
      </c>
      <c r="N65" s="11" t="s">
        <v>247</v>
      </c>
      <c r="O65" s="2">
        <v>6402</v>
      </c>
      <c r="P65" s="10">
        <f t="shared" si="52"/>
        <v>87.182699640483705</v>
      </c>
      <c r="Q65" s="2">
        <v>4631</v>
      </c>
      <c r="R65" s="10">
        <f t="shared" si="1"/>
        <v>63.065148709009698</v>
      </c>
      <c r="S65" s="8">
        <f t="shared" si="2"/>
        <v>0.2766323024054983</v>
      </c>
      <c r="T65" s="2">
        <f t="shared" si="3"/>
        <v>1771</v>
      </c>
      <c r="U65" s="9">
        <v>0</v>
      </c>
      <c r="Z65" s="28" t="s">
        <v>149</v>
      </c>
      <c r="AA65" s="15">
        <v>90245</v>
      </c>
      <c r="AB65" s="7">
        <f t="shared" si="4"/>
        <v>1.2289601263754222</v>
      </c>
      <c r="AC65" s="15">
        <v>62106</v>
      </c>
      <c r="AD65" s="7">
        <f t="shared" si="5"/>
        <v>0.8457620655844863</v>
      </c>
      <c r="AE65" s="8">
        <f t="shared" si="6"/>
        <v>0.3118067482963045</v>
      </c>
      <c r="AF65" s="15">
        <f t="shared" si="7"/>
        <v>28139</v>
      </c>
      <c r="AK65" s="28" t="s">
        <v>149</v>
      </c>
      <c r="AL65" s="2">
        <v>706800</v>
      </c>
      <c r="AM65" s="1" t="s">
        <v>13</v>
      </c>
      <c r="AN65" s="10">
        <f t="shared" si="8"/>
        <v>9.6252315067000769</v>
      </c>
      <c r="AO65" s="2">
        <v>478350</v>
      </c>
      <c r="AP65" s="1" t="s">
        <v>13</v>
      </c>
      <c r="AQ65" s="10">
        <f t="shared" si="9"/>
        <v>6.5141899989105569</v>
      </c>
      <c r="AR65" s="8">
        <f t="shared" si="10"/>
        <v>0.32321731748726656</v>
      </c>
      <c r="AS65" s="2">
        <f t="shared" si="11"/>
        <v>228450</v>
      </c>
      <c r="AX65" s="28" t="s">
        <v>149</v>
      </c>
      <c r="AY65" s="70">
        <v>15433000</v>
      </c>
      <c r="AZ65" s="42">
        <f t="shared" si="51"/>
        <v>210.16722954570216</v>
      </c>
      <c r="BA65" s="76">
        <v>17328709</v>
      </c>
      <c r="BB65" s="73">
        <v>1833332</v>
      </c>
      <c r="BC65" s="15">
        <v>0</v>
      </c>
      <c r="BE65" s="15">
        <v>108825</v>
      </c>
      <c r="BF65" s="10">
        <f>((AY65-BA65)+BC65+BD65+BE65)/AF65</f>
        <v>-63.502043427271758</v>
      </c>
      <c r="BG65" s="1"/>
      <c r="BH65" s="11" t="s">
        <v>247</v>
      </c>
    </row>
    <row r="66" spans="1:62" s="3" customFormat="1" ht="42.75" x14ac:dyDescent="0.2">
      <c r="A66" s="28" t="s">
        <v>195</v>
      </c>
      <c r="B66" s="11" t="s">
        <v>63</v>
      </c>
      <c r="C66" s="11" t="s">
        <v>545</v>
      </c>
      <c r="D66" s="1" t="s">
        <v>142</v>
      </c>
      <c r="E66" s="37">
        <v>41381</v>
      </c>
      <c r="F66" s="1" t="s">
        <v>173</v>
      </c>
      <c r="G66" s="33">
        <v>41186</v>
      </c>
      <c r="H66" s="62">
        <v>41914</v>
      </c>
      <c r="I66" s="28" t="s">
        <v>202</v>
      </c>
      <c r="J66" s="1" t="s">
        <v>13</v>
      </c>
      <c r="K66" s="2">
        <v>56146</v>
      </c>
      <c r="L66" s="14">
        <v>2</v>
      </c>
      <c r="M66" s="28" t="s">
        <v>195</v>
      </c>
      <c r="N66" s="11" t="s">
        <v>247</v>
      </c>
      <c r="O66" s="2">
        <v>12578</v>
      </c>
      <c r="P66" s="10">
        <f t="shared" si="52"/>
        <v>224.02308267730558</v>
      </c>
      <c r="Q66" s="2">
        <v>7334</v>
      </c>
      <c r="R66" s="10">
        <f t="shared" si="1"/>
        <v>130.62373098706942</v>
      </c>
      <c r="S66" s="8">
        <f t="shared" si="2"/>
        <v>0.41691842900302117</v>
      </c>
      <c r="T66" s="2">
        <f t="shared" si="3"/>
        <v>5244</v>
      </c>
      <c r="U66" s="9">
        <v>0</v>
      </c>
      <c r="Z66" s="28" t="s">
        <v>195</v>
      </c>
      <c r="AA66" s="15">
        <v>163454</v>
      </c>
      <c r="AB66" s="7">
        <f t="shared" si="4"/>
        <v>2.9112314323371211</v>
      </c>
      <c r="AC66" s="15">
        <v>113314</v>
      </c>
      <c r="AD66" s="7">
        <f t="shared" si="5"/>
        <v>2.0182025433690733</v>
      </c>
      <c r="AE66" s="8">
        <f t="shared" si="6"/>
        <v>0.30675297025462822</v>
      </c>
      <c r="AF66" s="15">
        <f t="shared" si="7"/>
        <v>50140</v>
      </c>
      <c r="AK66" s="28" t="s">
        <v>195</v>
      </c>
      <c r="AL66" s="2">
        <v>546557</v>
      </c>
      <c r="AM66" s="9" t="s">
        <v>13</v>
      </c>
      <c r="AN66" s="10">
        <f t="shared" si="8"/>
        <v>9.7345670216934419</v>
      </c>
      <c r="AO66" s="2">
        <v>435029</v>
      </c>
      <c r="AP66" s="9" t="s">
        <v>13</v>
      </c>
      <c r="AQ66" s="10">
        <f t="shared" si="9"/>
        <v>7.7481744024507533</v>
      </c>
      <c r="AR66" s="8">
        <f t="shared" si="10"/>
        <v>0.20405556968440619</v>
      </c>
      <c r="AS66" s="2">
        <f t="shared" si="11"/>
        <v>111528</v>
      </c>
      <c r="AX66" s="28" t="s">
        <v>195</v>
      </c>
      <c r="AY66" s="69">
        <v>26618418.390000001</v>
      </c>
      <c r="AZ66" s="42">
        <f t="shared" si="51"/>
        <v>474.09287197663235</v>
      </c>
      <c r="BA66" s="15">
        <f>AY66-968700</f>
        <v>25649718.390000001</v>
      </c>
      <c r="BB66" s="15">
        <v>1918410</v>
      </c>
      <c r="BC66" s="15">
        <v>78000</v>
      </c>
      <c r="BD66" s="15"/>
      <c r="BE66" s="15">
        <v>182024</v>
      </c>
      <c r="BF66" s="10">
        <f>((AY66-BA66)+BC66+BD66+BE66)/AF66</f>
        <v>24.505863581970484</v>
      </c>
      <c r="BG66" s="1" t="s">
        <v>295</v>
      </c>
      <c r="BH66" s="11" t="s">
        <v>247</v>
      </c>
      <c r="BI66" s="41"/>
      <c r="BJ66" s="41"/>
    </row>
    <row r="67" spans="1:62" s="3" customFormat="1" ht="28.5" x14ac:dyDescent="0.2">
      <c r="A67" s="28" t="s">
        <v>111</v>
      </c>
      <c r="B67" s="11" t="s">
        <v>133</v>
      </c>
      <c r="C67" s="11"/>
      <c r="D67" s="1" t="s">
        <v>1180</v>
      </c>
      <c r="E67" s="37">
        <v>40898</v>
      </c>
      <c r="F67" s="432" t="s">
        <v>4</v>
      </c>
      <c r="G67" s="33">
        <v>41372</v>
      </c>
      <c r="H67" s="62">
        <v>41919</v>
      </c>
      <c r="I67" s="28" t="s">
        <v>112</v>
      </c>
      <c r="J67" s="1" t="s">
        <v>13</v>
      </c>
      <c r="K67" s="2">
        <v>27548</v>
      </c>
      <c r="L67" s="14">
        <v>2</v>
      </c>
      <c r="M67" s="28" t="s">
        <v>111</v>
      </c>
      <c r="N67" s="11" t="s">
        <v>247</v>
      </c>
      <c r="O67" s="2">
        <v>1911</v>
      </c>
      <c r="P67" s="10">
        <f t="shared" si="52"/>
        <v>69.369827210686793</v>
      </c>
      <c r="Q67" s="2">
        <v>1336</v>
      </c>
      <c r="R67" s="10">
        <f t="shared" si="1"/>
        <v>48.497168578481194</v>
      </c>
      <c r="S67" s="8">
        <f t="shared" si="2"/>
        <v>0.30088958660387233</v>
      </c>
      <c r="T67" s="3">
        <f t="shared" si="3"/>
        <v>575</v>
      </c>
      <c r="U67" s="74">
        <v>0</v>
      </c>
      <c r="Z67" s="28" t="s">
        <v>111</v>
      </c>
      <c r="AA67" s="15">
        <v>50033</v>
      </c>
      <c r="AB67" s="7">
        <f t="shared" si="4"/>
        <v>1.8162117032089444</v>
      </c>
      <c r="AC67" s="15">
        <v>33648</v>
      </c>
      <c r="AD67" s="7">
        <f t="shared" si="5"/>
        <v>1.2214316828807898</v>
      </c>
      <c r="AE67" s="8">
        <f t="shared" si="6"/>
        <v>0.32748386065196972</v>
      </c>
      <c r="AF67" s="15">
        <f t="shared" si="7"/>
        <v>16385</v>
      </c>
      <c r="AK67" s="28" t="s">
        <v>111</v>
      </c>
      <c r="AL67" s="2">
        <v>154588</v>
      </c>
      <c r="AM67" s="1" t="s">
        <v>13</v>
      </c>
      <c r="AN67" s="10">
        <f t="shared" si="8"/>
        <v>5.6115870480615655</v>
      </c>
      <c r="AO67" s="2">
        <v>101825</v>
      </c>
      <c r="AP67" s="1" t="s">
        <v>157</v>
      </c>
      <c r="AQ67" s="10">
        <f t="shared" si="9"/>
        <v>3.6962755916944969</v>
      </c>
      <c r="AR67" s="8">
        <f t="shared" si="10"/>
        <v>0.34131368540895801</v>
      </c>
      <c r="AS67" s="2">
        <f t="shared" si="11"/>
        <v>52763</v>
      </c>
      <c r="AX67" s="28" t="s">
        <v>111</v>
      </c>
      <c r="AY67" s="70">
        <v>7444000</v>
      </c>
      <c r="AZ67" s="42">
        <f t="shared" si="51"/>
        <v>270.21925366632786</v>
      </c>
      <c r="BA67" s="41"/>
      <c r="BB67" s="73">
        <v>785500</v>
      </c>
      <c r="BC67" s="15">
        <v>92000</v>
      </c>
      <c r="BE67" s="15">
        <v>51400</v>
      </c>
      <c r="BF67" s="10"/>
      <c r="BG67" s="1"/>
      <c r="BH67" s="11" t="s">
        <v>247</v>
      </c>
    </row>
    <row r="68" spans="1:62" s="3" customFormat="1" ht="26.45" customHeight="1" x14ac:dyDescent="0.2">
      <c r="A68" s="28" t="s">
        <v>124</v>
      </c>
      <c r="B68" s="11" t="s">
        <v>100</v>
      </c>
      <c r="C68" s="11" t="s">
        <v>549</v>
      </c>
      <c r="D68" s="1" t="s">
        <v>123</v>
      </c>
      <c r="E68" s="37">
        <v>41397</v>
      </c>
      <c r="F68" s="1" t="s">
        <v>173</v>
      </c>
      <c r="G68" s="33">
        <v>41011</v>
      </c>
      <c r="H68" s="62">
        <v>41924</v>
      </c>
      <c r="I68" s="28" t="s">
        <v>1181</v>
      </c>
      <c r="J68" s="1" t="s">
        <v>13</v>
      </c>
      <c r="K68" s="2">
        <v>23982</v>
      </c>
      <c r="L68" s="14">
        <v>3</v>
      </c>
      <c r="M68" s="28" t="s">
        <v>124</v>
      </c>
      <c r="N68" s="11" t="s">
        <v>249</v>
      </c>
      <c r="O68" s="2">
        <v>4288</v>
      </c>
      <c r="P68" s="10">
        <f t="shared" si="52"/>
        <v>178.80076724209823</v>
      </c>
      <c r="Q68" s="2">
        <v>2361</v>
      </c>
      <c r="R68" s="10">
        <f t="shared" ref="R68:R87" si="53">Q68/K68*1000</f>
        <v>98.448836627470598</v>
      </c>
      <c r="S68" s="8">
        <f t="shared" ref="S68:S87" si="54">(O68-Q68)/O68</f>
        <v>0.4493936567164179</v>
      </c>
      <c r="T68" s="2">
        <f t="shared" ref="T68:T87" si="55">O68-Q68</f>
        <v>1927</v>
      </c>
      <c r="U68" s="9">
        <v>0</v>
      </c>
      <c r="Z68" s="28" t="s">
        <v>124</v>
      </c>
      <c r="AA68" s="15">
        <v>106582</v>
      </c>
      <c r="AB68" s="7">
        <f t="shared" ref="AB68:AB87" si="56">AA68/K68</f>
        <v>4.44424985405721</v>
      </c>
      <c r="AC68" s="15">
        <v>65369</v>
      </c>
      <c r="AD68" s="7">
        <f t="shared" ref="AD68:AD87" si="57">AC68/K68</f>
        <v>2.7257526478191978</v>
      </c>
      <c r="AE68" s="8">
        <f t="shared" ref="AE68:AE87" si="58">(AA68-AC68)/AA68</f>
        <v>0.38667880129853072</v>
      </c>
      <c r="AF68" s="15">
        <f t="shared" ref="AF68:AF87" si="59">AA68-AC68</f>
        <v>41213</v>
      </c>
      <c r="AK68" s="28" t="s">
        <v>124</v>
      </c>
      <c r="AL68" s="2">
        <v>67775</v>
      </c>
      <c r="AM68" s="1" t="s">
        <v>13</v>
      </c>
      <c r="AN68" s="10">
        <f t="shared" ref="AN68:AN87" si="60">AL68/K68</f>
        <v>2.8260778917521474</v>
      </c>
      <c r="AO68" s="2">
        <v>44733</v>
      </c>
      <c r="AP68" s="1" t="s">
        <v>13</v>
      </c>
      <c r="AQ68" s="10">
        <f t="shared" ref="AQ68:AQ87" si="61">AO68/K68</f>
        <v>1.8652739554666</v>
      </c>
      <c r="AR68" s="8">
        <f t="shared" ref="AR68:AR86" si="62">(AL68-AO68)/AL68</f>
        <v>0.33997786794540757</v>
      </c>
      <c r="AS68" s="2">
        <f t="shared" ref="AS68:AS87" si="63">AL68-AO68</f>
        <v>23042</v>
      </c>
      <c r="AX68" s="28" t="s">
        <v>124</v>
      </c>
      <c r="AY68" s="69">
        <v>8727727</v>
      </c>
      <c r="AZ68" s="42">
        <f t="shared" si="51"/>
        <v>363.92823784505043</v>
      </c>
      <c r="BA68" s="15">
        <v>6497174</v>
      </c>
      <c r="BB68" s="15">
        <v>700000</v>
      </c>
      <c r="BC68" s="15">
        <v>50000</v>
      </c>
      <c r="BD68" s="15"/>
      <c r="BE68" s="15">
        <v>80300</v>
      </c>
      <c r="BF68" s="10">
        <f>((AY68-BA68)+BC68+BD68+BE68)/AF68</f>
        <v>57.284182175527143</v>
      </c>
      <c r="BG68" s="1" t="s">
        <v>302</v>
      </c>
      <c r="BH68" s="11" t="s">
        <v>249</v>
      </c>
      <c r="BI68" s="41"/>
      <c r="BJ68" s="41"/>
    </row>
    <row r="69" spans="1:62" s="3" customFormat="1" ht="28.5" x14ac:dyDescent="0.2">
      <c r="A69" s="28" t="s">
        <v>152</v>
      </c>
      <c r="B69" s="11" t="s">
        <v>126</v>
      </c>
      <c r="C69" s="11"/>
      <c r="D69" s="1" t="s">
        <v>151</v>
      </c>
      <c r="E69" s="37">
        <v>40998</v>
      </c>
      <c r="F69" s="1" t="s">
        <v>10</v>
      </c>
      <c r="G69" s="33">
        <v>41375</v>
      </c>
      <c r="H69" s="62">
        <v>41942</v>
      </c>
      <c r="I69" s="28" t="s">
        <v>153</v>
      </c>
      <c r="J69" s="1" t="s">
        <v>13</v>
      </c>
      <c r="K69" s="2">
        <v>29936</v>
      </c>
      <c r="L69" s="14">
        <v>2</v>
      </c>
      <c r="M69" s="28" t="s">
        <v>152</v>
      </c>
      <c r="N69" s="11" t="s">
        <v>247</v>
      </c>
      <c r="O69" s="2">
        <v>8887</v>
      </c>
      <c r="P69" s="10">
        <f t="shared" si="52"/>
        <v>296.86664885088186</v>
      </c>
      <c r="Q69" s="2">
        <v>5860</v>
      </c>
      <c r="R69" s="10">
        <f t="shared" si="53"/>
        <v>195.75093532870122</v>
      </c>
      <c r="S69" s="8">
        <f t="shared" si="54"/>
        <v>0.34060987959941486</v>
      </c>
      <c r="T69" s="2">
        <f t="shared" si="55"/>
        <v>3027</v>
      </c>
      <c r="U69" s="9">
        <v>0</v>
      </c>
      <c r="Z69" s="28" t="s">
        <v>152</v>
      </c>
      <c r="AA69" s="15">
        <v>148285</v>
      </c>
      <c r="AB69" s="7">
        <f t="shared" si="56"/>
        <v>4.953400587920898</v>
      </c>
      <c r="AC69" s="15">
        <v>99346</v>
      </c>
      <c r="AD69" s="7">
        <f t="shared" si="57"/>
        <v>3.318613041154463</v>
      </c>
      <c r="AE69" s="8">
        <f t="shared" si="58"/>
        <v>0.33003338166368817</v>
      </c>
      <c r="AF69" s="15">
        <f t="shared" si="59"/>
        <v>48939</v>
      </c>
      <c r="AK69" s="28" t="s">
        <v>152</v>
      </c>
      <c r="AL69" s="2">
        <v>55005</v>
      </c>
      <c r="AM69" s="1" t="s">
        <v>13</v>
      </c>
      <c r="AN69" s="10">
        <f t="shared" si="60"/>
        <v>1.837419828968466</v>
      </c>
      <c r="AO69" s="2">
        <v>40257</v>
      </c>
      <c r="AP69" s="1" t="s">
        <v>13</v>
      </c>
      <c r="AQ69" s="10">
        <f t="shared" si="61"/>
        <v>1.3447688401924105</v>
      </c>
      <c r="AR69" s="8">
        <f t="shared" si="62"/>
        <v>0.2681210799018271</v>
      </c>
      <c r="AS69" s="2">
        <f t="shared" si="63"/>
        <v>14748</v>
      </c>
      <c r="AX69" s="28" t="s">
        <v>152</v>
      </c>
      <c r="AY69" s="70">
        <v>7820696</v>
      </c>
      <c r="AZ69" s="42">
        <f t="shared" si="51"/>
        <v>261.24719401389632</v>
      </c>
      <c r="BB69" s="15">
        <v>827850</v>
      </c>
      <c r="BC69" s="15" t="s">
        <v>253</v>
      </c>
      <c r="BE69" s="15">
        <v>47760</v>
      </c>
      <c r="BF69" s="10"/>
      <c r="BG69" s="1"/>
      <c r="BH69" s="11" t="s">
        <v>247</v>
      </c>
      <c r="BI69" s="41"/>
      <c r="BJ69" s="41"/>
    </row>
    <row r="70" spans="1:62" s="41" customFormat="1" ht="29.25" customHeight="1" x14ac:dyDescent="0.2">
      <c r="A70" s="4" t="s">
        <v>110</v>
      </c>
      <c r="B70" s="11" t="s">
        <v>109</v>
      </c>
      <c r="C70" s="11" t="s">
        <v>548</v>
      </c>
      <c r="D70" s="1" t="s">
        <v>108</v>
      </c>
      <c r="E70" s="33">
        <v>40661</v>
      </c>
      <c r="F70" s="11" t="s">
        <v>10</v>
      </c>
      <c r="G70" s="33">
        <v>40700</v>
      </c>
      <c r="H70" s="62">
        <v>41943</v>
      </c>
      <c r="I70" s="4" t="s">
        <v>202</v>
      </c>
      <c r="J70" s="11" t="s">
        <v>13</v>
      </c>
      <c r="K70" s="6">
        <v>111160</v>
      </c>
      <c r="L70" s="49">
        <v>2</v>
      </c>
      <c r="M70" s="4" t="s">
        <v>110</v>
      </c>
      <c r="N70" s="11" t="s">
        <v>247</v>
      </c>
      <c r="O70" s="2">
        <v>18584</v>
      </c>
      <c r="P70" s="12">
        <f t="shared" si="52"/>
        <v>167.18243972652033</v>
      </c>
      <c r="Q70" s="2">
        <v>12522</v>
      </c>
      <c r="R70" s="23">
        <f t="shared" si="53"/>
        <v>112.64843468873696</v>
      </c>
      <c r="S70" s="5">
        <f t="shared" si="54"/>
        <v>0.32619457597933704</v>
      </c>
      <c r="T70" s="13">
        <f t="shared" si="55"/>
        <v>6062</v>
      </c>
      <c r="U70" s="74">
        <v>0</v>
      </c>
      <c r="V70" s="25"/>
      <c r="W70" s="2"/>
      <c r="X70" s="2"/>
      <c r="Y70" s="2"/>
      <c r="Z70" s="4" t="s">
        <v>110</v>
      </c>
      <c r="AA70" s="15">
        <v>269366</v>
      </c>
      <c r="AB70" s="7">
        <f t="shared" si="56"/>
        <v>2.423227779776898</v>
      </c>
      <c r="AC70" s="15">
        <v>187898</v>
      </c>
      <c r="AD70" s="7">
        <f t="shared" si="57"/>
        <v>1.6903382511694853</v>
      </c>
      <c r="AE70" s="8">
        <f t="shared" si="58"/>
        <v>0.30244351551420745</v>
      </c>
      <c r="AF70" s="16">
        <f t="shared" si="59"/>
        <v>81468</v>
      </c>
      <c r="AG70" s="7"/>
      <c r="AH70" s="2"/>
      <c r="AI70" s="2"/>
      <c r="AJ70" s="2"/>
      <c r="AK70" s="4" t="s">
        <v>110</v>
      </c>
      <c r="AL70" s="2">
        <v>6216053</v>
      </c>
      <c r="AM70" s="9" t="s">
        <v>13</v>
      </c>
      <c r="AN70" s="2">
        <f t="shared" si="60"/>
        <v>55.91987225620727</v>
      </c>
      <c r="AO70" s="2">
        <v>3532573</v>
      </c>
      <c r="AP70" s="9" t="s">
        <v>13</v>
      </c>
      <c r="AQ70" s="2">
        <f t="shared" si="61"/>
        <v>31.779174163368118</v>
      </c>
      <c r="AR70" s="8">
        <f t="shared" si="62"/>
        <v>0.43170159585190154</v>
      </c>
      <c r="AS70" s="17">
        <f t="shared" si="63"/>
        <v>2683480</v>
      </c>
      <c r="AT70" s="3"/>
      <c r="AU70" s="9"/>
      <c r="AV70" s="2"/>
      <c r="AW70" s="2"/>
      <c r="AX70" s="4" t="s">
        <v>110</v>
      </c>
      <c r="AY70" s="64">
        <f>1862755+26596280</f>
        <v>28459035</v>
      </c>
      <c r="AZ70" s="42">
        <f t="shared" si="51"/>
        <v>256.01866678661389</v>
      </c>
      <c r="BB70" s="73">
        <v>2837884</v>
      </c>
      <c r="BC70" s="15">
        <v>60000</v>
      </c>
      <c r="BD70" s="3"/>
      <c r="BE70" s="15">
        <v>283540</v>
      </c>
      <c r="BF70" s="10"/>
      <c r="BG70" s="1" t="s">
        <v>304</v>
      </c>
      <c r="BH70" s="11" t="s">
        <v>247</v>
      </c>
      <c r="BI70" s="3"/>
      <c r="BJ70" s="3"/>
    </row>
    <row r="71" spans="1:62" s="3" customFormat="1" ht="28.5" x14ac:dyDescent="0.2">
      <c r="A71" s="28" t="s">
        <v>127</v>
      </c>
      <c r="B71" s="11" t="s">
        <v>109</v>
      </c>
      <c r="C71" s="11" t="s">
        <v>548</v>
      </c>
      <c r="D71" s="1" t="s">
        <v>137</v>
      </c>
      <c r="E71" s="37">
        <v>40997</v>
      </c>
      <c r="F71" s="1" t="s">
        <v>10</v>
      </c>
      <c r="G71" s="33">
        <v>41214</v>
      </c>
      <c r="H71" s="62">
        <v>41943</v>
      </c>
      <c r="I71" s="28" t="s">
        <v>128</v>
      </c>
      <c r="J71" s="1" t="s">
        <v>13</v>
      </c>
      <c r="K71" s="2">
        <v>25877</v>
      </c>
      <c r="L71" s="14">
        <v>2</v>
      </c>
      <c r="M71" s="28" t="s">
        <v>127</v>
      </c>
      <c r="N71" s="11" t="s">
        <v>247</v>
      </c>
      <c r="O71" s="2">
        <v>2330</v>
      </c>
      <c r="P71" s="10">
        <f t="shared" si="52"/>
        <v>90.041349460911235</v>
      </c>
      <c r="Q71" s="2">
        <v>1242</v>
      </c>
      <c r="R71" s="10">
        <f t="shared" si="53"/>
        <v>47.996290141824787</v>
      </c>
      <c r="S71" s="8">
        <f t="shared" si="54"/>
        <v>0.46695278969957082</v>
      </c>
      <c r="T71" s="2">
        <f t="shared" si="55"/>
        <v>1088</v>
      </c>
      <c r="U71" s="9">
        <v>0</v>
      </c>
      <c r="Z71" s="28" t="s">
        <v>127</v>
      </c>
      <c r="AA71" s="15">
        <v>44281</v>
      </c>
      <c r="AB71" s="7">
        <f t="shared" si="56"/>
        <v>1.7112107276732234</v>
      </c>
      <c r="AC71" s="15">
        <v>29471</v>
      </c>
      <c r="AD71" s="7">
        <f t="shared" si="57"/>
        <v>1.1388878154345559</v>
      </c>
      <c r="AE71" s="8">
        <f t="shared" si="58"/>
        <v>0.33445495810844378</v>
      </c>
      <c r="AF71" s="15">
        <f t="shared" si="59"/>
        <v>14810</v>
      </c>
      <c r="AK71" s="28" t="s">
        <v>127</v>
      </c>
      <c r="AL71" s="2">
        <v>617945</v>
      </c>
      <c r="AM71" s="1" t="s">
        <v>13</v>
      </c>
      <c r="AN71" s="10">
        <f t="shared" si="60"/>
        <v>23.880086563357423</v>
      </c>
      <c r="AO71" s="2">
        <v>478128</v>
      </c>
      <c r="AP71" s="1" t="s">
        <v>13</v>
      </c>
      <c r="AQ71" s="10">
        <f t="shared" si="61"/>
        <v>18.476948641650885</v>
      </c>
      <c r="AR71" s="8">
        <f t="shared" si="62"/>
        <v>0.22626123684146648</v>
      </c>
      <c r="AS71" s="2">
        <f t="shared" si="63"/>
        <v>139817</v>
      </c>
      <c r="AV71" s="3" t="s">
        <v>38</v>
      </c>
      <c r="AX71" s="28" t="s">
        <v>127</v>
      </c>
      <c r="AY71" s="70">
        <v>6143700</v>
      </c>
      <c r="AZ71" s="42">
        <f t="shared" si="51"/>
        <v>237.41932990686709</v>
      </c>
      <c r="BB71" s="73">
        <v>854040</v>
      </c>
      <c r="BC71" s="15">
        <v>43000</v>
      </c>
      <c r="BE71" s="67">
        <v>81680</v>
      </c>
      <c r="BF71" s="10"/>
      <c r="BG71" s="1" t="s">
        <v>297</v>
      </c>
      <c r="BH71" s="11" t="s">
        <v>247</v>
      </c>
      <c r="BI71" s="41"/>
      <c r="BJ71" s="41"/>
    </row>
    <row r="72" spans="1:62" s="41" customFormat="1" ht="28.5" x14ac:dyDescent="0.2">
      <c r="A72" s="28" t="s">
        <v>155</v>
      </c>
      <c r="B72" s="11" t="s">
        <v>126</v>
      </c>
      <c r="C72" s="11"/>
      <c r="D72" s="1" t="s">
        <v>154</v>
      </c>
      <c r="E72" s="37">
        <v>41052</v>
      </c>
      <c r="F72" s="1" t="s">
        <v>10</v>
      </c>
      <c r="G72" s="33">
        <v>41395</v>
      </c>
      <c r="H72" s="62">
        <v>41943</v>
      </c>
      <c r="I72" s="28" t="s">
        <v>156</v>
      </c>
      <c r="J72" s="1" t="s">
        <v>13</v>
      </c>
      <c r="K72" s="2">
        <v>43637</v>
      </c>
      <c r="L72" s="14">
        <v>2</v>
      </c>
      <c r="M72" s="28" t="s">
        <v>155</v>
      </c>
      <c r="N72" s="11" t="s">
        <v>249</v>
      </c>
      <c r="O72" s="2">
        <v>1506</v>
      </c>
      <c r="P72" s="10">
        <f t="shared" si="52"/>
        <v>34.51199670004813</v>
      </c>
      <c r="Q72" s="2">
        <v>754</v>
      </c>
      <c r="R72" s="10">
        <f t="shared" si="53"/>
        <v>17.278914682494214</v>
      </c>
      <c r="S72" s="8">
        <f t="shared" si="54"/>
        <v>0.49933598937583001</v>
      </c>
      <c r="T72" s="2">
        <f t="shared" si="55"/>
        <v>752</v>
      </c>
      <c r="U72" s="9">
        <v>0</v>
      </c>
      <c r="V72" s="3"/>
      <c r="W72" s="3"/>
      <c r="X72" s="3"/>
      <c r="Y72" s="3"/>
      <c r="Z72" s="28" t="s">
        <v>155</v>
      </c>
      <c r="AA72" s="15">
        <v>27891</v>
      </c>
      <c r="AB72" s="7">
        <f t="shared" si="56"/>
        <v>0.63915942892499489</v>
      </c>
      <c r="AC72" s="15">
        <v>14976</v>
      </c>
      <c r="AD72" s="7">
        <f t="shared" si="57"/>
        <v>0.34319499507298851</v>
      </c>
      <c r="AE72" s="8">
        <f t="shared" si="58"/>
        <v>0.46305259761213297</v>
      </c>
      <c r="AF72" s="15">
        <f t="shared" si="59"/>
        <v>12915</v>
      </c>
      <c r="AG72" s="3"/>
      <c r="AH72" s="3"/>
      <c r="AI72" s="3"/>
      <c r="AJ72" s="3"/>
      <c r="AK72" s="28" t="s">
        <v>155</v>
      </c>
      <c r="AL72" s="2">
        <v>128138</v>
      </c>
      <c r="AM72" s="1" t="s">
        <v>13</v>
      </c>
      <c r="AN72" s="10">
        <f t="shared" si="60"/>
        <v>2.9364530100602702</v>
      </c>
      <c r="AO72" s="2">
        <v>58898</v>
      </c>
      <c r="AP72" s="1" t="s">
        <v>13</v>
      </c>
      <c r="AQ72" s="10">
        <f t="shared" si="61"/>
        <v>1.3497261498269817</v>
      </c>
      <c r="AR72" s="8">
        <f t="shared" si="62"/>
        <v>0.54035492984126487</v>
      </c>
      <c r="AS72" s="2">
        <f t="shared" si="63"/>
        <v>69240</v>
      </c>
      <c r="AT72" s="3"/>
      <c r="AU72" s="3"/>
      <c r="AV72" s="3"/>
      <c r="AW72" s="3"/>
      <c r="AX72" s="28" t="s">
        <v>155</v>
      </c>
      <c r="AY72" s="70">
        <v>5260039</v>
      </c>
      <c r="AZ72" s="42">
        <f t="shared" si="51"/>
        <v>120.5408025299631</v>
      </c>
      <c r="BA72" s="76">
        <v>1412707</v>
      </c>
      <c r="BB72" s="73">
        <v>596884</v>
      </c>
      <c r="BC72" s="15">
        <v>0</v>
      </c>
      <c r="BD72" s="3"/>
      <c r="BE72" s="73">
        <v>65343</v>
      </c>
      <c r="BF72" s="10"/>
      <c r="BG72" s="1"/>
      <c r="BH72" s="11" t="s">
        <v>249</v>
      </c>
      <c r="BI72" s="3"/>
      <c r="BJ72" s="3"/>
    </row>
    <row r="73" spans="1:62" s="263" customFormat="1" ht="28.5" x14ac:dyDescent="0.2">
      <c r="A73" s="4" t="s">
        <v>127</v>
      </c>
      <c r="B73" s="11" t="s">
        <v>126</v>
      </c>
      <c r="C73" s="11"/>
      <c r="D73" s="1" t="s">
        <v>125</v>
      </c>
      <c r="E73" s="37">
        <v>41004</v>
      </c>
      <c r="F73" s="1" t="s">
        <v>10</v>
      </c>
      <c r="G73" s="33">
        <v>41424</v>
      </c>
      <c r="H73" s="62">
        <v>41943</v>
      </c>
      <c r="I73" s="4" t="s">
        <v>128</v>
      </c>
      <c r="J73" s="1" t="s">
        <v>13</v>
      </c>
      <c r="K73" s="6">
        <v>9023</v>
      </c>
      <c r="L73" s="14">
        <v>2</v>
      </c>
      <c r="M73" s="4" t="s">
        <v>127</v>
      </c>
      <c r="N73" s="11" t="s">
        <v>247</v>
      </c>
      <c r="O73" s="2">
        <v>1171</v>
      </c>
      <c r="P73" s="10">
        <f t="shared" si="52"/>
        <v>129.77945251025159</v>
      </c>
      <c r="Q73" s="2">
        <v>689</v>
      </c>
      <c r="R73" s="10">
        <f t="shared" si="53"/>
        <v>76.360412279729573</v>
      </c>
      <c r="S73" s="5">
        <f t="shared" si="54"/>
        <v>0.41161400512382579</v>
      </c>
      <c r="T73" s="2">
        <f t="shared" si="55"/>
        <v>482</v>
      </c>
      <c r="U73" s="9">
        <v>0</v>
      </c>
      <c r="V73" s="3"/>
      <c r="W73" s="3"/>
      <c r="X73" s="3"/>
      <c r="Y73" s="3"/>
      <c r="Z73" s="4" t="s">
        <v>127</v>
      </c>
      <c r="AA73" s="15">
        <v>18288</v>
      </c>
      <c r="AB73" s="7">
        <f t="shared" si="56"/>
        <v>2.0268203479995566</v>
      </c>
      <c r="AC73" s="15">
        <v>12209</v>
      </c>
      <c r="AD73" s="7">
        <f t="shared" si="57"/>
        <v>1.3530976393660645</v>
      </c>
      <c r="AE73" s="8">
        <f t="shared" si="58"/>
        <v>0.33240376202974631</v>
      </c>
      <c r="AF73" s="15">
        <f t="shared" si="59"/>
        <v>6079</v>
      </c>
      <c r="AG73" s="3"/>
      <c r="AH73" s="3"/>
      <c r="AI73" s="3"/>
      <c r="AJ73" s="3"/>
      <c r="AK73" s="4" t="s">
        <v>127</v>
      </c>
      <c r="AL73" s="2">
        <v>289717</v>
      </c>
      <c r="AM73" s="9" t="s">
        <v>13</v>
      </c>
      <c r="AN73" s="10">
        <f t="shared" si="60"/>
        <v>32.108722154494068</v>
      </c>
      <c r="AO73" s="2">
        <v>195438</v>
      </c>
      <c r="AP73" s="9" t="s">
        <v>13</v>
      </c>
      <c r="AQ73" s="10">
        <f t="shared" si="61"/>
        <v>21.659980050980828</v>
      </c>
      <c r="AR73" s="8">
        <f t="shared" si="62"/>
        <v>0.32541756265597116</v>
      </c>
      <c r="AS73" s="2">
        <f t="shared" si="63"/>
        <v>94279</v>
      </c>
      <c r="AT73" s="3"/>
      <c r="AU73" s="3"/>
      <c r="AV73" s="3"/>
      <c r="AW73" s="3"/>
      <c r="AX73" s="4" t="s">
        <v>127</v>
      </c>
      <c r="AY73" s="70">
        <v>3059704</v>
      </c>
      <c r="AZ73" s="42">
        <f t="shared" si="51"/>
        <v>339.10052089105619</v>
      </c>
      <c r="BA73" s="3"/>
      <c r="BB73" s="73">
        <v>292220</v>
      </c>
      <c r="BC73" s="15" t="s">
        <v>253</v>
      </c>
      <c r="BD73" s="3"/>
      <c r="BE73" s="73">
        <v>68561</v>
      </c>
      <c r="BF73" s="10"/>
      <c r="BG73" s="1" t="s">
        <v>297</v>
      </c>
      <c r="BH73" s="11" t="s">
        <v>247</v>
      </c>
      <c r="BI73" s="41"/>
      <c r="BJ73" s="41"/>
    </row>
    <row r="74" spans="1:62" s="41" customFormat="1" ht="42.75" x14ac:dyDescent="0.2">
      <c r="A74" s="28" t="s">
        <v>196</v>
      </c>
      <c r="B74" s="11" t="s">
        <v>56</v>
      </c>
      <c r="C74" s="11" t="s">
        <v>546</v>
      </c>
      <c r="D74" s="1" t="s">
        <v>174</v>
      </c>
      <c r="E74" s="37">
        <v>41453</v>
      </c>
      <c r="F74" s="1" t="s">
        <v>173</v>
      </c>
      <c r="G74" s="33">
        <v>41410</v>
      </c>
      <c r="H74" s="62">
        <v>42020</v>
      </c>
      <c r="I74" s="28" t="s">
        <v>175</v>
      </c>
      <c r="J74" s="1" t="s">
        <v>13</v>
      </c>
      <c r="K74" s="2">
        <v>82961</v>
      </c>
      <c r="L74" s="14">
        <v>2</v>
      </c>
      <c r="M74" s="28" t="s">
        <v>196</v>
      </c>
      <c r="N74" s="11" t="s">
        <v>249</v>
      </c>
      <c r="O74" s="2">
        <v>14304</v>
      </c>
      <c r="P74" s="10">
        <f t="shared" si="52"/>
        <v>172.41836525596366</v>
      </c>
      <c r="Q74" s="2">
        <v>11048</v>
      </c>
      <c r="R74" s="10">
        <f t="shared" si="53"/>
        <v>133.1710080640301</v>
      </c>
      <c r="S74" s="8">
        <f t="shared" si="54"/>
        <v>0.22762863534675615</v>
      </c>
      <c r="T74" s="2">
        <f t="shared" si="55"/>
        <v>3256</v>
      </c>
      <c r="U74" s="9">
        <v>0</v>
      </c>
      <c r="V74" s="3"/>
      <c r="W74" s="3"/>
      <c r="X74" s="3"/>
      <c r="Y74" s="3"/>
      <c r="Z74" s="28" t="s">
        <v>196</v>
      </c>
      <c r="AA74" s="15">
        <v>215110</v>
      </c>
      <c r="AB74" s="7">
        <f t="shared" si="56"/>
        <v>2.5929050999867407</v>
      </c>
      <c r="AC74" s="15">
        <v>143121</v>
      </c>
      <c r="AD74" s="7">
        <f t="shared" si="57"/>
        <v>1.7251600149467823</v>
      </c>
      <c r="AE74" s="8">
        <f t="shared" si="58"/>
        <v>0.33466133606062015</v>
      </c>
      <c r="AF74" s="15">
        <f t="shared" si="59"/>
        <v>71989</v>
      </c>
      <c r="AG74" s="3"/>
      <c r="AH74" s="3"/>
      <c r="AI74" s="3"/>
      <c r="AJ74" s="3"/>
      <c r="AK74" s="28" t="s">
        <v>196</v>
      </c>
      <c r="AL74" s="2">
        <v>4017684</v>
      </c>
      <c r="AM74" s="9" t="s">
        <v>13</v>
      </c>
      <c r="AN74" s="10">
        <f t="shared" si="60"/>
        <v>48.428586926387098</v>
      </c>
      <c r="AO74" s="2">
        <v>3910346</v>
      </c>
      <c r="AP74" s="9" t="s">
        <v>13</v>
      </c>
      <c r="AQ74" s="10">
        <f t="shared" si="61"/>
        <v>47.134750063282745</v>
      </c>
      <c r="AR74" s="8">
        <f t="shared" si="62"/>
        <v>2.6716386853719704E-2</v>
      </c>
      <c r="AS74" s="2">
        <f t="shared" si="63"/>
        <v>107338</v>
      </c>
      <c r="AT74" s="3"/>
      <c r="AU74" s="3"/>
      <c r="AV74" s="3"/>
      <c r="AW74" s="3"/>
      <c r="AX74" s="28" t="s">
        <v>196</v>
      </c>
      <c r="AY74" s="70">
        <v>17090447</v>
      </c>
      <c r="AZ74" s="42">
        <f t="shared" si="51"/>
        <v>206.00579790503971</v>
      </c>
      <c r="BA74" s="15">
        <v>16915711</v>
      </c>
      <c r="BB74" s="15">
        <v>1536300</v>
      </c>
      <c r="BC74" s="71">
        <v>0</v>
      </c>
      <c r="BD74" s="11"/>
      <c r="BE74" s="15">
        <v>207560</v>
      </c>
      <c r="BF74" s="10">
        <f>((AY74-BA74)+BC74+BD74+BE74)/AF74</f>
        <v>5.3104779896928695</v>
      </c>
      <c r="BG74" s="1" t="s">
        <v>313</v>
      </c>
      <c r="BH74" s="11" t="s">
        <v>249</v>
      </c>
      <c r="BI74" s="3"/>
      <c r="BJ74" s="3"/>
    </row>
    <row r="75" spans="1:62" s="3" customFormat="1" ht="57" customHeight="1" x14ac:dyDescent="0.2">
      <c r="A75" s="4" t="s">
        <v>211</v>
      </c>
      <c r="B75" s="11" t="s">
        <v>60</v>
      </c>
      <c r="C75" s="11" t="s">
        <v>510</v>
      </c>
      <c r="D75" s="1" t="s">
        <v>106</v>
      </c>
      <c r="E75" s="33">
        <v>40961</v>
      </c>
      <c r="F75" s="11" t="s">
        <v>10</v>
      </c>
      <c r="G75" s="33">
        <v>40595</v>
      </c>
      <c r="H75" s="62">
        <v>42038</v>
      </c>
      <c r="I75" s="4" t="s">
        <v>107</v>
      </c>
      <c r="J75" s="11" t="s">
        <v>13</v>
      </c>
      <c r="K75" s="6">
        <v>294736</v>
      </c>
      <c r="L75" s="14">
        <v>5</v>
      </c>
      <c r="M75" s="4" t="s">
        <v>211</v>
      </c>
      <c r="N75" s="11" t="s">
        <v>247</v>
      </c>
      <c r="O75" s="2">
        <v>41725</v>
      </c>
      <c r="P75" s="12">
        <f t="shared" si="52"/>
        <v>141.56736876391076</v>
      </c>
      <c r="Q75" s="2">
        <v>27808</v>
      </c>
      <c r="R75" s="23">
        <f t="shared" si="53"/>
        <v>94.348840996688565</v>
      </c>
      <c r="S75" s="5">
        <f t="shared" si="54"/>
        <v>0.33354104254044337</v>
      </c>
      <c r="T75" s="13">
        <f t="shared" si="55"/>
        <v>13917</v>
      </c>
      <c r="U75" s="74">
        <v>0</v>
      </c>
      <c r="V75" s="25"/>
      <c r="W75" s="2"/>
      <c r="X75" s="2"/>
      <c r="Y75" s="2"/>
      <c r="Z75" s="4" t="s">
        <v>211</v>
      </c>
      <c r="AA75" s="15">
        <v>940212</v>
      </c>
      <c r="AB75" s="7">
        <f t="shared" si="56"/>
        <v>3.1900141143260408</v>
      </c>
      <c r="AC75" s="15">
        <v>699461</v>
      </c>
      <c r="AD75" s="7">
        <f t="shared" si="57"/>
        <v>2.3731780305086585</v>
      </c>
      <c r="AE75" s="8">
        <f t="shared" si="58"/>
        <v>0.25606033532862799</v>
      </c>
      <c r="AF75" s="16">
        <f t="shared" si="59"/>
        <v>240751</v>
      </c>
      <c r="AG75" s="7"/>
      <c r="AH75" s="2"/>
      <c r="AI75" s="2"/>
      <c r="AJ75" s="2"/>
      <c r="AK75" s="4" t="s">
        <v>211</v>
      </c>
      <c r="AL75" s="2">
        <v>1088442</v>
      </c>
      <c r="AM75" s="9" t="s">
        <v>13</v>
      </c>
      <c r="AN75" s="2">
        <f t="shared" si="60"/>
        <v>3.69293876553933</v>
      </c>
      <c r="AO75" s="2">
        <v>869385</v>
      </c>
      <c r="AP75" s="9" t="s">
        <v>13</v>
      </c>
      <c r="AQ75" s="2">
        <f t="shared" si="61"/>
        <v>2.9497075348786712</v>
      </c>
      <c r="AR75" s="8">
        <f t="shared" si="62"/>
        <v>0.20125739359561648</v>
      </c>
      <c r="AS75" s="2">
        <f t="shared" si="63"/>
        <v>219057</v>
      </c>
      <c r="AU75" s="9"/>
      <c r="AV75" s="2"/>
      <c r="AW75" s="2"/>
      <c r="AX75" s="4" t="s">
        <v>211</v>
      </c>
      <c r="AY75" s="64">
        <f>1313896+5398362+16733777+8332055+57337600</f>
        <v>89115690</v>
      </c>
      <c r="AZ75" s="42">
        <f t="shared" si="51"/>
        <v>302.35766923619781</v>
      </c>
      <c r="BA75" s="41"/>
      <c r="BB75" s="73">
        <v>9079497</v>
      </c>
      <c r="BC75" s="73">
        <v>178918</v>
      </c>
      <c r="BE75" s="15">
        <v>526000</v>
      </c>
      <c r="BF75" s="10"/>
      <c r="BG75" s="1" t="s">
        <v>297</v>
      </c>
      <c r="BH75" s="11" t="s">
        <v>247</v>
      </c>
      <c r="BI75" s="3" t="s">
        <v>38</v>
      </c>
    </row>
    <row r="76" spans="1:62" s="3" customFormat="1" ht="42.6" customHeight="1" x14ac:dyDescent="0.2">
      <c r="A76" s="28" t="s">
        <v>1182</v>
      </c>
      <c r="B76" s="11" t="s">
        <v>68</v>
      </c>
      <c r="C76" s="11" t="s">
        <v>650</v>
      </c>
      <c r="D76" s="1" t="s">
        <v>177</v>
      </c>
      <c r="E76" s="37">
        <v>41550</v>
      </c>
      <c r="F76" s="1" t="s">
        <v>10</v>
      </c>
      <c r="G76" s="33">
        <v>41416</v>
      </c>
      <c r="H76" s="62">
        <v>42088</v>
      </c>
      <c r="I76" s="28" t="s">
        <v>135</v>
      </c>
      <c r="J76" s="1">
        <v>720</v>
      </c>
      <c r="K76" s="2">
        <v>208077</v>
      </c>
      <c r="L76" s="14">
        <v>5</v>
      </c>
      <c r="M76" s="28" t="s">
        <v>1182</v>
      </c>
      <c r="N76" s="11" t="s">
        <v>249</v>
      </c>
      <c r="O76" s="2">
        <v>22829</v>
      </c>
      <c r="P76" s="10">
        <f t="shared" si="52"/>
        <v>109.71419234225792</v>
      </c>
      <c r="Q76" s="2">
        <v>15444</v>
      </c>
      <c r="R76" s="10">
        <f t="shared" si="53"/>
        <v>74.222523392782492</v>
      </c>
      <c r="S76" s="8">
        <f t="shared" si="54"/>
        <v>0.32349204958605282</v>
      </c>
      <c r="T76" s="2">
        <f t="shared" si="55"/>
        <v>7385</v>
      </c>
      <c r="U76" s="9">
        <v>0</v>
      </c>
      <c r="Z76" s="28" t="s">
        <v>1182</v>
      </c>
      <c r="AA76" s="15">
        <v>519318</v>
      </c>
      <c r="AB76" s="7">
        <f t="shared" si="56"/>
        <v>2.4957972289104515</v>
      </c>
      <c r="AC76" s="15">
        <v>339219</v>
      </c>
      <c r="AD76" s="7">
        <f t="shared" si="57"/>
        <v>1.6302570682968325</v>
      </c>
      <c r="AE76" s="8">
        <f t="shared" si="58"/>
        <v>0.34679907108939034</v>
      </c>
      <c r="AF76" s="15">
        <f t="shared" si="59"/>
        <v>180099</v>
      </c>
      <c r="AK76" s="28" t="s">
        <v>1182</v>
      </c>
      <c r="AL76" s="2">
        <v>11970900</v>
      </c>
      <c r="AM76" s="2">
        <f>AL76/J76</f>
        <v>16626.25</v>
      </c>
      <c r="AN76" s="10">
        <f t="shared" si="60"/>
        <v>57.531106273158493</v>
      </c>
      <c r="AO76" s="2">
        <v>7250002</v>
      </c>
      <c r="AP76" s="9">
        <f>AO76/J76</f>
        <v>10069.447222222223</v>
      </c>
      <c r="AQ76" s="10">
        <f t="shared" si="61"/>
        <v>34.842880279896384</v>
      </c>
      <c r="AR76" s="8">
        <f t="shared" si="62"/>
        <v>0.39436450058057454</v>
      </c>
      <c r="AS76" s="2">
        <f t="shared" si="63"/>
        <v>4720898</v>
      </c>
      <c r="AX76" s="28" t="s">
        <v>1182</v>
      </c>
      <c r="AY76" s="1232">
        <v>48137413</v>
      </c>
      <c r="AZ76" s="42">
        <f t="shared" si="51"/>
        <v>231.34422833854774</v>
      </c>
      <c r="BA76" s="15">
        <v>41707231</v>
      </c>
      <c r="BB76" s="15">
        <v>3917050</v>
      </c>
      <c r="BC76" s="15">
        <v>91100</v>
      </c>
      <c r="BD76" s="15"/>
      <c r="BE76" s="15">
        <v>322840</v>
      </c>
      <c r="BF76" s="10">
        <f>((AY76-BA76)+BC76+BD76+BE76)/AF76</f>
        <v>38.001998900604669</v>
      </c>
      <c r="BG76" s="1" t="s">
        <v>297</v>
      </c>
      <c r="BH76" s="11" t="s">
        <v>249</v>
      </c>
    </row>
    <row r="77" spans="1:62" s="3" customFormat="1" ht="42.75" x14ac:dyDescent="0.2">
      <c r="A77" s="28" t="s">
        <v>163</v>
      </c>
      <c r="B77" s="11" t="s">
        <v>162</v>
      </c>
      <c r="C77" s="11"/>
      <c r="D77" s="1" t="s">
        <v>161</v>
      </c>
      <c r="E77" s="37">
        <v>41232</v>
      </c>
      <c r="F77" s="1" t="s">
        <v>10</v>
      </c>
      <c r="G77" s="33">
        <v>41583</v>
      </c>
      <c r="H77" s="62">
        <v>42097</v>
      </c>
      <c r="I77" s="28" t="s">
        <v>164</v>
      </c>
      <c r="J77" s="1" t="s">
        <v>13</v>
      </c>
      <c r="K77" s="2">
        <v>79295</v>
      </c>
      <c r="L77" s="14">
        <v>2</v>
      </c>
      <c r="M77" s="28" t="s">
        <v>163</v>
      </c>
      <c r="N77" s="11" t="s">
        <v>249</v>
      </c>
      <c r="O77" s="2">
        <v>5941</v>
      </c>
      <c r="P77" s="10">
        <f t="shared" si="52"/>
        <v>74.922756794249324</v>
      </c>
      <c r="Q77" s="2">
        <v>4122</v>
      </c>
      <c r="R77" s="10">
        <f t="shared" si="53"/>
        <v>51.983101078252098</v>
      </c>
      <c r="S77" s="8">
        <f t="shared" si="54"/>
        <v>0.30617741121023395</v>
      </c>
      <c r="T77" s="2">
        <f t="shared" si="55"/>
        <v>1819</v>
      </c>
      <c r="U77" s="9">
        <v>0</v>
      </c>
      <c r="Z77" s="28" t="s">
        <v>163</v>
      </c>
      <c r="AA77" s="15">
        <v>95436</v>
      </c>
      <c r="AB77" s="7">
        <f t="shared" si="56"/>
        <v>1.2035563402484393</v>
      </c>
      <c r="AC77" s="15">
        <v>64835</v>
      </c>
      <c r="AD77" s="7">
        <f t="shared" si="57"/>
        <v>0.8176429787502365</v>
      </c>
      <c r="AE77" s="8">
        <f t="shared" si="58"/>
        <v>0.32064420134959554</v>
      </c>
      <c r="AF77" s="15">
        <f t="shared" si="59"/>
        <v>30601</v>
      </c>
      <c r="AK77" s="28" t="s">
        <v>163</v>
      </c>
      <c r="AL77" s="2">
        <v>2356578</v>
      </c>
      <c r="AM77" s="1" t="s">
        <v>13</v>
      </c>
      <c r="AN77" s="10">
        <f t="shared" si="60"/>
        <v>29.719124787187088</v>
      </c>
      <c r="AO77" s="2">
        <v>1527392</v>
      </c>
      <c r="AP77" s="1" t="s">
        <v>13</v>
      </c>
      <c r="AQ77" s="10">
        <f t="shared" si="61"/>
        <v>19.262147676398261</v>
      </c>
      <c r="AR77" s="8">
        <f t="shared" si="62"/>
        <v>0.35186019728606477</v>
      </c>
      <c r="AS77" s="2">
        <f t="shared" si="63"/>
        <v>829186</v>
      </c>
      <c r="AX77" s="28" t="s">
        <v>163</v>
      </c>
      <c r="AY77" s="70">
        <v>11310270</v>
      </c>
      <c r="AZ77" s="42">
        <f t="shared" si="51"/>
        <v>142.63534901317863</v>
      </c>
      <c r="BB77" s="15">
        <v>861998</v>
      </c>
      <c r="BC77" s="71" t="s">
        <v>172</v>
      </c>
      <c r="BD77" s="11"/>
      <c r="BE77" s="15">
        <v>52620</v>
      </c>
      <c r="BF77" s="10"/>
      <c r="BG77" s="1" t="s">
        <v>297</v>
      </c>
      <c r="BH77" s="11" t="s">
        <v>249</v>
      </c>
      <c r="BI77" s="41"/>
      <c r="BJ77" s="41"/>
    </row>
    <row r="78" spans="1:62" s="3" customFormat="1" ht="42.75" x14ac:dyDescent="0.2">
      <c r="A78" s="28" t="s">
        <v>214</v>
      </c>
      <c r="B78" s="11" t="s">
        <v>63</v>
      </c>
      <c r="C78" s="11" t="s">
        <v>545</v>
      </c>
      <c r="D78" s="1" t="s">
        <v>231</v>
      </c>
      <c r="E78" s="37">
        <v>41715</v>
      </c>
      <c r="F78" s="11" t="s">
        <v>528</v>
      </c>
      <c r="G78" s="33">
        <v>41676</v>
      </c>
      <c r="H78" s="62">
        <v>42109</v>
      </c>
      <c r="I78" s="28" t="s">
        <v>135</v>
      </c>
      <c r="J78" s="1">
        <v>400</v>
      </c>
      <c r="K78" s="2">
        <v>99713</v>
      </c>
      <c r="L78" s="14">
        <v>12</v>
      </c>
      <c r="M78" s="28" t="s">
        <v>214</v>
      </c>
      <c r="N78" s="11" t="s">
        <v>249</v>
      </c>
      <c r="O78" s="2">
        <v>12163</v>
      </c>
      <c r="P78" s="10">
        <f t="shared" si="52"/>
        <v>121.98008283774432</v>
      </c>
      <c r="Q78" s="2">
        <v>9302</v>
      </c>
      <c r="R78" s="10">
        <f t="shared" si="53"/>
        <v>93.287735801751026</v>
      </c>
      <c r="S78" s="8">
        <f t="shared" si="54"/>
        <v>0.23522157362492807</v>
      </c>
      <c r="T78" s="2">
        <f t="shared" si="55"/>
        <v>2861</v>
      </c>
      <c r="U78" s="9">
        <v>0</v>
      </c>
      <c r="Z78" s="28" t="s">
        <v>214</v>
      </c>
      <c r="AA78" s="15">
        <v>169440</v>
      </c>
      <c r="AB78" s="7">
        <f t="shared" si="56"/>
        <v>1.6992769247741017</v>
      </c>
      <c r="AC78" s="15">
        <v>126115</v>
      </c>
      <c r="AD78" s="7">
        <f t="shared" si="57"/>
        <v>1.2647799183657096</v>
      </c>
      <c r="AE78" s="8">
        <f t="shared" si="58"/>
        <v>0.25569523135033051</v>
      </c>
      <c r="AF78" s="15">
        <f t="shared" si="59"/>
        <v>43325</v>
      </c>
      <c r="AK78" s="28" t="s">
        <v>214</v>
      </c>
      <c r="AL78" s="2">
        <v>3663471</v>
      </c>
      <c r="AM78" s="9">
        <f>AL78/J78</f>
        <v>9158.6774999999998</v>
      </c>
      <c r="AN78" s="10">
        <f t="shared" si="60"/>
        <v>36.740154242676482</v>
      </c>
      <c r="AO78" s="2">
        <v>2570153</v>
      </c>
      <c r="AP78" s="9">
        <f>AO78/J78</f>
        <v>6425.3824999999997</v>
      </c>
      <c r="AQ78" s="10">
        <f t="shared" si="61"/>
        <v>25.77550570136291</v>
      </c>
      <c r="AR78" s="8">
        <f t="shared" si="62"/>
        <v>0.2984377384180194</v>
      </c>
      <c r="AS78" s="2">
        <f t="shared" si="63"/>
        <v>1093318</v>
      </c>
      <c r="AX78" s="28" t="s">
        <v>214</v>
      </c>
      <c r="AY78" s="1233">
        <v>15172636</v>
      </c>
      <c r="AZ78" s="42">
        <f t="shared" si="51"/>
        <v>152.16306800517486</v>
      </c>
      <c r="BA78" s="15">
        <v>14796933</v>
      </c>
      <c r="BB78" s="15">
        <v>1251550</v>
      </c>
      <c r="BC78" s="71">
        <v>11880</v>
      </c>
      <c r="BD78" s="71"/>
      <c r="BE78" s="15">
        <v>95000</v>
      </c>
      <c r="BF78" s="10">
        <f>((AY78-BA78)+BC78+BD78+BE78)/AF78</f>
        <v>11.138672821696479</v>
      </c>
      <c r="BG78" s="1" t="s">
        <v>296</v>
      </c>
      <c r="BH78" s="11" t="s">
        <v>249</v>
      </c>
      <c r="BI78" s="346">
        <f>AY78-BA78</f>
        <v>375703</v>
      </c>
    </row>
    <row r="79" spans="1:62" s="3" customFormat="1" ht="57" x14ac:dyDescent="0.2">
      <c r="A79" s="28" t="s">
        <v>263</v>
      </c>
      <c r="B79" s="11" t="s">
        <v>147</v>
      </c>
      <c r="C79" s="11" t="s">
        <v>1153</v>
      </c>
      <c r="D79" s="1" t="s">
        <v>146</v>
      </c>
      <c r="E79" s="37">
        <v>41156</v>
      </c>
      <c r="F79" s="1" t="s">
        <v>10</v>
      </c>
      <c r="G79" s="33" t="s">
        <v>1183</v>
      </c>
      <c r="H79" s="62">
        <v>42109</v>
      </c>
      <c r="I79" s="28" t="s">
        <v>234</v>
      </c>
      <c r="J79" s="1">
        <v>66</v>
      </c>
      <c r="K79" s="2">
        <v>97014</v>
      </c>
      <c r="L79" s="14">
        <v>5</v>
      </c>
      <c r="M79" s="28" t="s">
        <v>263</v>
      </c>
      <c r="N79" s="11" t="s">
        <v>247</v>
      </c>
      <c r="O79" s="2">
        <v>6933</v>
      </c>
      <c r="P79" s="10">
        <f t="shared" si="52"/>
        <v>71.463912425010818</v>
      </c>
      <c r="Q79" s="2">
        <v>4473</v>
      </c>
      <c r="R79" s="10">
        <f t="shared" si="53"/>
        <v>46.106747479745195</v>
      </c>
      <c r="S79" s="8">
        <f t="shared" si="54"/>
        <v>0.35482475118996104</v>
      </c>
      <c r="T79" s="2">
        <f t="shared" si="55"/>
        <v>2460</v>
      </c>
      <c r="U79" s="9">
        <v>0</v>
      </c>
      <c r="Z79" s="28" t="s">
        <v>263</v>
      </c>
      <c r="AA79" s="15">
        <v>14092</v>
      </c>
      <c r="AB79" s="7">
        <f t="shared" si="56"/>
        <v>0.14525738553198508</v>
      </c>
      <c r="AC79" s="15">
        <v>10313</v>
      </c>
      <c r="AD79" s="7">
        <f t="shared" si="57"/>
        <v>0.10630424474818068</v>
      </c>
      <c r="AE79" s="8">
        <f t="shared" si="58"/>
        <v>0.26816633550950897</v>
      </c>
      <c r="AF79" s="15">
        <f t="shared" si="59"/>
        <v>3779</v>
      </c>
      <c r="AK79" s="28" t="s">
        <v>263</v>
      </c>
      <c r="AL79" s="2">
        <v>2116678</v>
      </c>
      <c r="AM79" s="2">
        <f>AL79/J79</f>
        <v>32070.878787878788</v>
      </c>
      <c r="AN79" s="10">
        <f t="shared" si="60"/>
        <v>21.818273651225596</v>
      </c>
      <c r="AO79" s="2">
        <v>1698607</v>
      </c>
      <c r="AP79" s="9">
        <f>AO79/J79</f>
        <v>25736.469696969696</v>
      </c>
      <c r="AQ79" s="10">
        <f t="shared" si="61"/>
        <v>17.508885315521471</v>
      </c>
      <c r="AR79" s="8">
        <f t="shared" si="62"/>
        <v>0.19751280071886229</v>
      </c>
      <c r="AS79" s="2">
        <f t="shared" si="63"/>
        <v>418071</v>
      </c>
      <c r="AX79" s="28" t="s">
        <v>263</v>
      </c>
      <c r="AY79" s="65">
        <v>25040939</v>
      </c>
      <c r="AZ79" s="42">
        <f t="shared" si="51"/>
        <v>258.11675634444515</v>
      </c>
      <c r="BB79" s="71" t="s">
        <v>244</v>
      </c>
      <c r="BC79" s="15"/>
      <c r="BE79" s="33" t="s">
        <v>244</v>
      </c>
      <c r="BF79" s="10"/>
      <c r="BG79" s="1"/>
      <c r="BH79" s="11" t="s">
        <v>247</v>
      </c>
      <c r="BI79" s="41"/>
      <c r="BJ79" s="41"/>
    </row>
    <row r="80" spans="1:62" s="3" customFormat="1" ht="28.5" x14ac:dyDescent="0.2">
      <c r="A80" s="28" t="s">
        <v>213</v>
      </c>
      <c r="B80" s="11" t="s">
        <v>26</v>
      </c>
      <c r="C80" s="11" t="s">
        <v>508</v>
      </c>
      <c r="D80" s="1" t="s">
        <v>176</v>
      </c>
      <c r="E80" s="37">
        <v>41691</v>
      </c>
      <c r="F80" s="1" t="s">
        <v>474</v>
      </c>
      <c r="G80" s="33">
        <v>41764</v>
      </c>
      <c r="H80" s="62">
        <v>42178</v>
      </c>
      <c r="I80" s="28" t="s">
        <v>135</v>
      </c>
      <c r="J80" s="1">
        <v>176</v>
      </c>
      <c r="K80" s="2">
        <v>32839</v>
      </c>
      <c r="L80" s="14">
        <v>5</v>
      </c>
      <c r="M80" s="28" t="s">
        <v>213</v>
      </c>
      <c r="N80" s="11" t="s">
        <v>249</v>
      </c>
      <c r="O80" s="2">
        <v>3330</v>
      </c>
      <c r="P80" s="10">
        <f t="shared" si="52"/>
        <v>101.40381863028716</v>
      </c>
      <c r="Q80" s="2">
        <v>2305</v>
      </c>
      <c r="R80" s="10">
        <f t="shared" si="53"/>
        <v>70.190931514357928</v>
      </c>
      <c r="S80" s="8">
        <f t="shared" si="54"/>
        <v>0.30780780780780781</v>
      </c>
      <c r="T80" s="2">
        <f t="shared" si="55"/>
        <v>1025</v>
      </c>
      <c r="U80" s="9">
        <v>0</v>
      </c>
      <c r="Z80" s="28" t="s">
        <v>213</v>
      </c>
      <c r="AA80" s="15">
        <v>87029</v>
      </c>
      <c r="AB80" s="7">
        <f t="shared" si="56"/>
        <v>2.6501720515241023</v>
      </c>
      <c r="AC80" s="15">
        <v>60703</v>
      </c>
      <c r="AD80" s="7">
        <f t="shared" si="57"/>
        <v>1.8485033039982948</v>
      </c>
      <c r="AE80" s="8">
        <f t="shared" si="58"/>
        <v>0.30249686885980537</v>
      </c>
      <c r="AF80" s="15">
        <f t="shared" si="59"/>
        <v>26326</v>
      </c>
      <c r="AK80" s="28" t="s">
        <v>213</v>
      </c>
      <c r="AL80" s="2">
        <v>1209992</v>
      </c>
      <c r="AM80" s="2">
        <f>AL80/J80</f>
        <v>6874.954545454545</v>
      </c>
      <c r="AN80" s="10">
        <f t="shared" si="60"/>
        <v>36.846188982612141</v>
      </c>
      <c r="AO80" s="2">
        <v>755467</v>
      </c>
      <c r="AP80" s="9">
        <f>AO80/J80</f>
        <v>4292.426136363636</v>
      </c>
      <c r="AQ80" s="10">
        <f t="shared" si="61"/>
        <v>23.005176771521665</v>
      </c>
      <c r="AR80" s="8">
        <f t="shared" si="62"/>
        <v>0.37564297945771541</v>
      </c>
      <c r="AS80" s="2">
        <f t="shared" si="63"/>
        <v>454525</v>
      </c>
      <c r="AX80" s="28" t="s">
        <v>213</v>
      </c>
      <c r="AY80" s="1233">
        <v>7222300</v>
      </c>
      <c r="AZ80" s="42">
        <f t="shared" si="51"/>
        <v>219.93057035841531</v>
      </c>
      <c r="BA80" s="15">
        <f>AY80-710194</f>
        <v>6512106</v>
      </c>
      <c r="BB80" s="15">
        <v>806400</v>
      </c>
      <c r="BC80" s="15">
        <v>50600</v>
      </c>
      <c r="BD80" s="15"/>
      <c r="BE80" s="15">
        <v>125000</v>
      </c>
      <c r="BF80" s="10">
        <f t="shared" ref="BF80:BF87" si="64">((AY80-BA80)+BC80+BD80+BE80)/AF80</f>
        <v>33.647116918635568</v>
      </c>
      <c r="BG80" s="1" t="s">
        <v>296</v>
      </c>
      <c r="BH80" s="11" t="s">
        <v>249</v>
      </c>
    </row>
    <row r="81" spans="1:62" s="3" customFormat="1" ht="42.75" x14ac:dyDescent="0.2">
      <c r="A81" s="28" t="s">
        <v>203</v>
      </c>
      <c r="B81" s="11" t="s">
        <v>63</v>
      </c>
      <c r="C81" s="11" t="s">
        <v>545</v>
      </c>
      <c r="D81" s="1" t="s">
        <v>275</v>
      </c>
      <c r="E81" s="37">
        <v>41558</v>
      </c>
      <c r="F81" s="432" t="s">
        <v>407</v>
      </c>
      <c r="G81" s="33">
        <v>41641</v>
      </c>
      <c r="H81" s="62">
        <v>42180</v>
      </c>
      <c r="I81" s="4" t="s">
        <v>135</v>
      </c>
      <c r="J81" s="1">
        <v>412</v>
      </c>
      <c r="K81" s="2">
        <v>143986</v>
      </c>
      <c r="L81" s="14">
        <v>6</v>
      </c>
      <c r="M81" s="28" t="s">
        <v>203</v>
      </c>
      <c r="N81" s="11" t="s">
        <v>249</v>
      </c>
      <c r="O81" s="2">
        <v>7705</v>
      </c>
      <c r="P81" s="10">
        <f t="shared" si="52"/>
        <v>53.512147014293056</v>
      </c>
      <c r="Q81" s="2">
        <v>5840</v>
      </c>
      <c r="R81" s="10">
        <f t="shared" si="53"/>
        <v>40.559498840165013</v>
      </c>
      <c r="S81" s="8">
        <f t="shared" si="54"/>
        <v>0.24205061648280338</v>
      </c>
      <c r="T81" s="2">
        <f t="shared" si="55"/>
        <v>1865</v>
      </c>
      <c r="U81" s="9">
        <v>0</v>
      </c>
      <c r="Z81" s="28" t="s">
        <v>203</v>
      </c>
      <c r="AA81" s="15">
        <v>102473</v>
      </c>
      <c r="AB81" s="7">
        <f t="shared" si="56"/>
        <v>0.7116872473712722</v>
      </c>
      <c r="AC81" s="15">
        <v>56750</v>
      </c>
      <c r="AD81" s="7">
        <f t="shared" si="57"/>
        <v>0.39413554095537068</v>
      </c>
      <c r="AE81" s="8">
        <f t="shared" si="58"/>
        <v>0.4461955832268012</v>
      </c>
      <c r="AF81" s="15">
        <f t="shared" si="59"/>
        <v>45723</v>
      </c>
      <c r="AK81" s="28" t="s">
        <v>203</v>
      </c>
      <c r="AL81" s="2">
        <v>4730466</v>
      </c>
      <c r="AM81" s="9">
        <f>AL81/J81</f>
        <v>11481.713592233009</v>
      </c>
      <c r="AN81" s="10">
        <f t="shared" si="60"/>
        <v>32.853652438431517</v>
      </c>
      <c r="AO81" s="2">
        <v>2731460</v>
      </c>
      <c r="AP81" s="9">
        <f>AO81/J81</f>
        <v>6629.7572815533977</v>
      </c>
      <c r="AQ81" s="10">
        <f t="shared" si="61"/>
        <v>18.970316558554305</v>
      </c>
      <c r="AR81" s="8">
        <f t="shared" si="62"/>
        <v>0.42258120024538809</v>
      </c>
      <c r="AS81" s="2">
        <f t="shared" si="63"/>
        <v>1999006</v>
      </c>
      <c r="AX81" s="28" t="s">
        <v>203</v>
      </c>
      <c r="AY81" s="1234">
        <v>30113256</v>
      </c>
      <c r="AZ81" s="42">
        <f t="shared" si="51"/>
        <v>209.14016640506716</v>
      </c>
      <c r="BA81" s="15">
        <v>26520850</v>
      </c>
      <c r="BB81" s="73">
        <v>2312090</v>
      </c>
      <c r="BC81" s="15">
        <v>13945</v>
      </c>
      <c r="BD81" s="15"/>
      <c r="BE81" s="15">
        <v>200000</v>
      </c>
      <c r="BF81" s="10">
        <f t="shared" si="64"/>
        <v>83.24805896376003</v>
      </c>
      <c r="BG81" s="1" t="s">
        <v>313</v>
      </c>
      <c r="BH81" s="11" t="s">
        <v>249</v>
      </c>
    </row>
    <row r="82" spans="1:62" s="3" customFormat="1" ht="40.15" customHeight="1" x14ac:dyDescent="0.2">
      <c r="A82" s="28" t="s">
        <v>271</v>
      </c>
      <c r="B82" s="11" t="s">
        <v>63</v>
      </c>
      <c r="C82" s="11" t="s">
        <v>545</v>
      </c>
      <c r="D82" s="1" t="s">
        <v>270</v>
      </c>
      <c r="E82" s="37">
        <v>41565</v>
      </c>
      <c r="F82" s="432" t="s">
        <v>4</v>
      </c>
      <c r="G82" s="33">
        <v>41764</v>
      </c>
      <c r="H82" s="62">
        <v>42191</v>
      </c>
      <c r="I82" s="4" t="s">
        <v>245</v>
      </c>
      <c r="J82" s="1" t="s">
        <v>13</v>
      </c>
      <c r="K82" s="2">
        <v>105000</v>
      </c>
      <c r="L82" s="14">
        <v>3</v>
      </c>
      <c r="M82" s="28" t="s">
        <v>271</v>
      </c>
      <c r="N82" s="11" t="s">
        <v>248</v>
      </c>
      <c r="O82" s="2">
        <v>5893</v>
      </c>
      <c r="P82" s="10">
        <f t="shared" si="52"/>
        <v>56.123809523809527</v>
      </c>
      <c r="Q82" s="2">
        <v>5553</v>
      </c>
      <c r="R82" s="10">
        <f t="shared" si="53"/>
        <v>52.885714285714286</v>
      </c>
      <c r="S82" s="8">
        <f t="shared" si="54"/>
        <v>5.7695571016460209E-2</v>
      </c>
      <c r="T82" s="2">
        <f t="shared" si="55"/>
        <v>340</v>
      </c>
      <c r="U82" s="9">
        <v>0</v>
      </c>
      <c r="Z82" s="28" t="s">
        <v>271</v>
      </c>
      <c r="AA82" s="15">
        <v>96234</v>
      </c>
      <c r="AB82" s="7">
        <f t="shared" si="56"/>
        <v>0.91651428571428573</v>
      </c>
      <c r="AC82" s="15">
        <v>84246</v>
      </c>
      <c r="AD82" s="7">
        <f t="shared" si="57"/>
        <v>0.80234285714285714</v>
      </c>
      <c r="AE82" s="8">
        <f t="shared" si="58"/>
        <v>0.12457135731654093</v>
      </c>
      <c r="AF82" s="15">
        <f t="shared" si="59"/>
        <v>11988</v>
      </c>
      <c r="AK82" s="28" t="s">
        <v>271</v>
      </c>
      <c r="AL82" s="19">
        <v>2939272</v>
      </c>
      <c r="AM82" s="19" t="s">
        <v>13</v>
      </c>
      <c r="AN82" s="10">
        <f t="shared" si="60"/>
        <v>27.993066666666667</v>
      </c>
      <c r="AO82" s="19">
        <v>1888963</v>
      </c>
      <c r="AP82" s="19" t="s">
        <v>13</v>
      </c>
      <c r="AQ82" s="10">
        <f t="shared" si="61"/>
        <v>17.990123809523809</v>
      </c>
      <c r="AR82" s="8">
        <f t="shared" si="62"/>
        <v>0.3573364424932432</v>
      </c>
      <c r="AS82" s="2">
        <f t="shared" si="63"/>
        <v>1050309</v>
      </c>
      <c r="AT82" s="14"/>
      <c r="AU82" s="14"/>
      <c r="AV82" s="14"/>
      <c r="AW82" s="14"/>
      <c r="AX82" s="28" t="s">
        <v>271</v>
      </c>
      <c r="AY82" s="70">
        <v>14388687</v>
      </c>
      <c r="AZ82" s="42">
        <f t="shared" si="51"/>
        <v>137.03511428571429</v>
      </c>
      <c r="BA82" s="68">
        <v>13744319</v>
      </c>
      <c r="BB82" s="71">
        <v>1224800</v>
      </c>
      <c r="BC82" s="15">
        <v>0</v>
      </c>
      <c r="BD82" s="15"/>
      <c r="BE82" s="29">
        <v>136650</v>
      </c>
      <c r="BF82" s="10">
        <f t="shared" si="64"/>
        <v>65.14998331664998</v>
      </c>
      <c r="BG82" s="1" t="s">
        <v>304</v>
      </c>
      <c r="BH82" s="11" t="s">
        <v>248</v>
      </c>
      <c r="BI82" s="41"/>
      <c r="BJ82" s="41"/>
    </row>
    <row r="83" spans="1:62" s="3" customFormat="1" ht="42.75" x14ac:dyDescent="0.2">
      <c r="A83" s="28" t="s">
        <v>420</v>
      </c>
      <c r="B83" s="11" t="s">
        <v>98</v>
      </c>
      <c r="C83" s="11"/>
      <c r="D83" s="1" t="s">
        <v>491</v>
      </c>
      <c r="E83" s="37">
        <v>41822</v>
      </c>
      <c r="F83" s="1" t="s">
        <v>10</v>
      </c>
      <c r="G83" s="33">
        <v>41789</v>
      </c>
      <c r="H83" s="62">
        <v>42215</v>
      </c>
      <c r="I83" s="4" t="s">
        <v>421</v>
      </c>
      <c r="J83" s="1" t="s">
        <v>13</v>
      </c>
      <c r="K83" s="2">
        <v>43554</v>
      </c>
      <c r="L83" s="14">
        <v>2</v>
      </c>
      <c r="M83" s="28" t="s">
        <v>420</v>
      </c>
      <c r="N83" s="11" t="s">
        <v>248</v>
      </c>
      <c r="O83" s="2">
        <v>5934.9</v>
      </c>
      <c r="P83" s="10">
        <f t="shared" si="52"/>
        <v>136.26532580245214</v>
      </c>
      <c r="Q83" s="2">
        <v>5079</v>
      </c>
      <c r="R83" s="10">
        <f t="shared" si="53"/>
        <v>116.61385865821738</v>
      </c>
      <c r="S83" s="8">
        <f t="shared" si="54"/>
        <v>0.14421472981853101</v>
      </c>
      <c r="T83" s="2">
        <f t="shared" si="55"/>
        <v>855.89999999999964</v>
      </c>
      <c r="U83" s="9"/>
      <c r="Z83" s="28" t="s">
        <v>420</v>
      </c>
      <c r="AA83" s="15">
        <v>110349</v>
      </c>
      <c r="AB83" s="7">
        <f t="shared" si="56"/>
        <v>2.5336134453781511</v>
      </c>
      <c r="AC83" s="15">
        <v>91957</v>
      </c>
      <c r="AD83" s="7">
        <f t="shared" si="57"/>
        <v>2.1113330578132894</v>
      </c>
      <c r="AE83" s="8">
        <f t="shared" si="58"/>
        <v>0.16667119774533526</v>
      </c>
      <c r="AF83" s="15">
        <f t="shared" si="59"/>
        <v>18392</v>
      </c>
      <c r="AK83" s="28" t="s">
        <v>420</v>
      </c>
      <c r="AL83" s="9">
        <v>1075870</v>
      </c>
      <c r="AM83" s="9" t="s">
        <v>13</v>
      </c>
      <c r="AN83" s="2">
        <f t="shared" si="60"/>
        <v>24.701979152316664</v>
      </c>
      <c r="AO83" s="9">
        <v>760602</v>
      </c>
      <c r="AP83" s="9" t="s">
        <v>13</v>
      </c>
      <c r="AQ83" s="2">
        <f t="shared" si="61"/>
        <v>17.463424714147955</v>
      </c>
      <c r="AR83" s="8">
        <f t="shared" si="62"/>
        <v>0.29303540390567634</v>
      </c>
      <c r="AS83" s="2">
        <f t="shared" si="63"/>
        <v>315268</v>
      </c>
      <c r="AT83" s="14"/>
      <c r="AX83" s="28" t="s">
        <v>420</v>
      </c>
      <c r="AY83" s="64">
        <v>9820475</v>
      </c>
      <c r="AZ83" s="42">
        <f t="shared" si="51"/>
        <v>225.47814207650273</v>
      </c>
      <c r="BA83" s="243">
        <v>5837018</v>
      </c>
      <c r="BB83" s="244">
        <v>859450</v>
      </c>
      <c r="BC83" s="65"/>
      <c r="BD83" s="15">
        <v>17250</v>
      </c>
      <c r="BE83" s="1235">
        <f>0.01*AY83</f>
        <v>98204.75</v>
      </c>
      <c r="BF83" s="10">
        <f t="shared" si="64"/>
        <v>222.86384025663332</v>
      </c>
      <c r="BG83" s="1" t="s">
        <v>299</v>
      </c>
      <c r="BH83" s="11" t="s">
        <v>248</v>
      </c>
      <c r="BI83" s="41"/>
      <c r="BJ83" s="41"/>
    </row>
    <row r="84" spans="1:62" s="3" customFormat="1" ht="42.75" x14ac:dyDescent="0.2">
      <c r="A84" s="28" t="s">
        <v>233</v>
      </c>
      <c r="B84" s="11" t="s">
        <v>63</v>
      </c>
      <c r="C84" s="11" t="s">
        <v>545</v>
      </c>
      <c r="D84" s="1" t="s">
        <v>310</v>
      </c>
      <c r="E84" s="37">
        <v>41645</v>
      </c>
      <c r="F84" s="1" t="s">
        <v>103</v>
      </c>
      <c r="G84" s="33">
        <v>41778</v>
      </c>
      <c r="H84" s="62">
        <v>42217</v>
      </c>
      <c r="I84" s="4" t="s">
        <v>135</v>
      </c>
      <c r="J84" s="1">
        <v>248</v>
      </c>
      <c r="K84" s="2">
        <v>52844</v>
      </c>
      <c r="L84" s="14">
        <v>4</v>
      </c>
      <c r="M84" s="28" t="s">
        <v>233</v>
      </c>
      <c r="N84" s="11" t="s">
        <v>249</v>
      </c>
      <c r="O84" s="2">
        <v>4104</v>
      </c>
      <c r="P84" s="12">
        <f t="shared" si="52"/>
        <v>77.662553932329132</v>
      </c>
      <c r="Q84" s="2">
        <v>2776</v>
      </c>
      <c r="R84" s="23">
        <f t="shared" si="53"/>
        <v>52.531980924986755</v>
      </c>
      <c r="S84" s="8">
        <f t="shared" si="54"/>
        <v>0.3235867446393762</v>
      </c>
      <c r="T84" s="2">
        <f t="shared" si="55"/>
        <v>1328</v>
      </c>
      <c r="U84" s="9">
        <v>0</v>
      </c>
      <c r="Z84" s="28" t="s">
        <v>233</v>
      </c>
      <c r="AA84" s="15">
        <v>78156</v>
      </c>
      <c r="AB84" s="7">
        <f t="shared" si="56"/>
        <v>1.4789947770797063</v>
      </c>
      <c r="AC84" s="15">
        <v>52863</v>
      </c>
      <c r="AD84" s="7">
        <f t="shared" si="57"/>
        <v>1.0003595488607979</v>
      </c>
      <c r="AE84" s="8">
        <f t="shared" si="58"/>
        <v>0.32362198679563947</v>
      </c>
      <c r="AF84" s="15">
        <f t="shared" si="59"/>
        <v>25293</v>
      </c>
      <c r="AK84" s="28" t="s">
        <v>233</v>
      </c>
      <c r="AL84" s="9">
        <v>3786332</v>
      </c>
      <c r="AM84" s="9">
        <f>AL84/J84</f>
        <v>15267.467741935483</v>
      </c>
      <c r="AN84" s="10">
        <f t="shared" si="60"/>
        <v>71.651124063280605</v>
      </c>
      <c r="AO84" s="9">
        <v>2951199</v>
      </c>
      <c r="AP84" s="9">
        <f>AO84/J84</f>
        <v>11899.995967741936</v>
      </c>
      <c r="AQ84" s="10">
        <f t="shared" si="61"/>
        <v>55.847380970403449</v>
      </c>
      <c r="AR84" s="8">
        <f t="shared" si="62"/>
        <v>0.22056518023247829</v>
      </c>
      <c r="AS84" s="2">
        <f t="shared" si="63"/>
        <v>835133</v>
      </c>
      <c r="AT84" s="14"/>
      <c r="AX84" s="28" t="s">
        <v>233</v>
      </c>
      <c r="AY84" s="70">
        <v>7187260</v>
      </c>
      <c r="AZ84" s="42">
        <f t="shared" si="51"/>
        <v>136.00900764514421</v>
      </c>
      <c r="BA84" s="68">
        <v>5929373</v>
      </c>
      <c r="BB84" s="71">
        <v>591176</v>
      </c>
      <c r="BC84" s="15">
        <v>0</v>
      </c>
      <c r="BD84" s="15"/>
      <c r="BE84" s="29">
        <v>77500</v>
      </c>
      <c r="BF84" s="10">
        <f t="shared" si="64"/>
        <v>52.796702645000593</v>
      </c>
      <c r="BG84" s="1" t="s">
        <v>311</v>
      </c>
      <c r="BH84" s="11" t="s">
        <v>249</v>
      </c>
      <c r="BI84" s="41"/>
      <c r="BJ84" s="41"/>
    </row>
    <row r="85" spans="1:62" s="430" customFormat="1" ht="42.75" x14ac:dyDescent="0.2">
      <c r="A85" s="28" t="s">
        <v>178</v>
      </c>
      <c r="B85" s="11" t="s">
        <v>109</v>
      </c>
      <c r="C85" s="11" t="s">
        <v>548</v>
      </c>
      <c r="D85" s="1" t="s">
        <v>226</v>
      </c>
      <c r="E85" s="37">
        <v>41715</v>
      </c>
      <c r="F85" s="1" t="s">
        <v>10</v>
      </c>
      <c r="G85" s="33">
        <v>41704</v>
      </c>
      <c r="H85" s="62">
        <v>42565</v>
      </c>
      <c r="I85" s="28" t="s">
        <v>235</v>
      </c>
      <c r="J85" s="1" t="s">
        <v>13</v>
      </c>
      <c r="K85" s="2">
        <v>213000</v>
      </c>
      <c r="L85" s="14">
        <v>3</v>
      </c>
      <c r="M85" s="28" t="s">
        <v>178</v>
      </c>
      <c r="N85" s="11" t="s">
        <v>249</v>
      </c>
      <c r="O85" s="2">
        <v>20211</v>
      </c>
      <c r="P85" s="10">
        <f t="shared" si="52"/>
        <v>94.887323943661983</v>
      </c>
      <c r="Q85" s="2">
        <v>15288</v>
      </c>
      <c r="R85" s="10">
        <f t="shared" si="53"/>
        <v>71.774647887323951</v>
      </c>
      <c r="S85" s="8">
        <f t="shared" si="54"/>
        <v>0.24358022858839246</v>
      </c>
      <c r="T85" s="2">
        <f t="shared" si="55"/>
        <v>4923</v>
      </c>
      <c r="U85" s="9">
        <v>0</v>
      </c>
      <c r="V85" s="3"/>
      <c r="W85" s="3"/>
      <c r="X85" s="3"/>
      <c r="Y85" s="3"/>
      <c r="Z85" s="28" t="s">
        <v>178</v>
      </c>
      <c r="AA85" s="15">
        <v>275822</v>
      </c>
      <c r="AB85" s="7">
        <f t="shared" si="56"/>
        <v>1.2949389671361502</v>
      </c>
      <c r="AC85" s="15">
        <v>188166</v>
      </c>
      <c r="AD85" s="7">
        <f t="shared" si="57"/>
        <v>0.88340845070422536</v>
      </c>
      <c r="AE85" s="8">
        <f t="shared" si="58"/>
        <v>0.31779916032803762</v>
      </c>
      <c r="AF85" s="15">
        <f t="shared" si="59"/>
        <v>87656</v>
      </c>
      <c r="AG85" s="3"/>
      <c r="AH85" s="3"/>
      <c r="AI85" s="3"/>
      <c r="AJ85" s="3"/>
      <c r="AK85" s="28" t="s">
        <v>178</v>
      </c>
      <c r="AL85" s="2">
        <v>2060500</v>
      </c>
      <c r="AM85" s="9" t="s">
        <v>13</v>
      </c>
      <c r="AN85" s="10">
        <f t="shared" si="60"/>
        <v>9.6737089201877939</v>
      </c>
      <c r="AO85" s="2">
        <v>1524900</v>
      </c>
      <c r="AP85" s="9" t="s">
        <v>13</v>
      </c>
      <c r="AQ85" s="10">
        <f t="shared" si="61"/>
        <v>7.1591549295774648</v>
      </c>
      <c r="AR85" s="8">
        <f t="shared" si="62"/>
        <v>0.25993690851735018</v>
      </c>
      <c r="AS85" s="2">
        <f t="shared" si="63"/>
        <v>535600</v>
      </c>
      <c r="AT85" s="3"/>
      <c r="AU85" s="3"/>
      <c r="AV85" s="3"/>
      <c r="AW85" s="3"/>
      <c r="AX85" s="28" t="s">
        <v>315</v>
      </c>
      <c r="AY85" s="70">
        <v>69872746</v>
      </c>
      <c r="AZ85" s="42">
        <f t="shared" si="51"/>
        <v>328.04106103286387</v>
      </c>
      <c r="BA85" s="15">
        <v>63588816</v>
      </c>
      <c r="BB85" s="15">
        <v>6427000</v>
      </c>
      <c r="BC85" s="15">
        <v>67200</v>
      </c>
      <c r="BD85" s="15"/>
      <c r="BE85" s="15">
        <v>344800</v>
      </c>
      <c r="BF85" s="10">
        <f t="shared" si="64"/>
        <v>76.388724103312953</v>
      </c>
      <c r="BG85" s="1" t="s">
        <v>304</v>
      </c>
      <c r="BH85" s="11" t="s">
        <v>249</v>
      </c>
      <c r="BI85" s="3"/>
      <c r="BJ85" s="3"/>
    </row>
    <row r="86" spans="1:62" s="41" customFormat="1" ht="42.75" hidden="1" x14ac:dyDescent="0.2">
      <c r="A86" s="431" t="s">
        <v>521</v>
      </c>
      <c r="B86" s="11" t="s">
        <v>26</v>
      </c>
      <c r="C86" s="11" t="s">
        <v>508</v>
      </c>
      <c r="D86" s="1" t="s">
        <v>158</v>
      </c>
      <c r="E86" s="37">
        <v>41166</v>
      </c>
      <c r="F86" s="1" t="s">
        <v>10</v>
      </c>
      <c r="G86" s="33" t="s">
        <v>522</v>
      </c>
      <c r="H86" s="33" t="s">
        <v>522</v>
      </c>
      <c r="I86" s="28" t="s">
        <v>135</v>
      </c>
      <c r="J86" s="1">
        <v>192</v>
      </c>
      <c r="K86" s="2">
        <v>78450</v>
      </c>
      <c r="L86" s="14">
        <v>12</v>
      </c>
      <c r="M86" s="431" t="s">
        <v>521</v>
      </c>
      <c r="N86" s="11" t="s">
        <v>247</v>
      </c>
      <c r="O86" s="2">
        <v>6070</v>
      </c>
      <c r="P86" s="10">
        <f t="shared" si="52"/>
        <v>77.374123645634157</v>
      </c>
      <c r="Q86" s="2">
        <v>3601</v>
      </c>
      <c r="R86" s="10">
        <f t="shared" si="53"/>
        <v>45.901848311026129</v>
      </c>
      <c r="S86" s="8">
        <f t="shared" si="54"/>
        <v>0.40675453047775945</v>
      </c>
      <c r="T86" s="2">
        <f t="shared" si="55"/>
        <v>2469</v>
      </c>
      <c r="U86" s="9">
        <v>0</v>
      </c>
      <c r="V86" s="3"/>
      <c r="W86" s="3"/>
      <c r="X86" s="3"/>
      <c r="Y86" s="3"/>
      <c r="Z86" s="431" t="s">
        <v>521</v>
      </c>
      <c r="AA86" s="15">
        <v>143502</v>
      </c>
      <c r="AB86" s="7">
        <f t="shared" si="56"/>
        <v>1.8292160611854684</v>
      </c>
      <c r="AC86" s="15">
        <v>87933</v>
      </c>
      <c r="AD86" s="7">
        <f t="shared" si="57"/>
        <v>1.1208795411089867</v>
      </c>
      <c r="AE86" s="8">
        <f t="shared" si="58"/>
        <v>0.38723502111468827</v>
      </c>
      <c r="AF86" s="15">
        <f t="shared" si="59"/>
        <v>55569</v>
      </c>
      <c r="AG86" s="3"/>
      <c r="AH86" s="3"/>
      <c r="AI86" s="3"/>
      <c r="AJ86" s="3"/>
      <c r="AK86" s="431" t="s">
        <v>521</v>
      </c>
      <c r="AL86" s="2">
        <v>2528379</v>
      </c>
      <c r="AM86" s="2">
        <f>AL86/J86</f>
        <v>13168.640625</v>
      </c>
      <c r="AN86" s="10">
        <f t="shared" si="60"/>
        <v>32.229177820267687</v>
      </c>
      <c r="AO86" s="2">
        <v>1493037</v>
      </c>
      <c r="AP86" s="9">
        <f>AO86/J86</f>
        <v>7776.234375</v>
      </c>
      <c r="AQ86" s="10">
        <f t="shared" si="61"/>
        <v>19.031701720841301</v>
      </c>
      <c r="AR86" s="8">
        <f t="shared" si="62"/>
        <v>0.40948845090075497</v>
      </c>
      <c r="AS86" s="2">
        <f t="shared" si="63"/>
        <v>1035342</v>
      </c>
      <c r="AT86" s="3"/>
      <c r="AU86" s="3"/>
      <c r="AV86" s="3"/>
      <c r="AW86" s="3"/>
      <c r="AX86" s="431" t="s">
        <v>521</v>
      </c>
      <c r="AY86" s="79">
        <v>11873469</v>
      </c>
      <c r="AZ86" s="42">
        <f t="shared" si="51"/>
        <v>151.35078393881454</v>
      </c>
      <c r="BA86" s="3"/>
      <c r="BB86" s="15">
        <v>1313285</v>
      </c>
      <c r="BC86" s="15">
        <v>103000</v>
      </c>
      <c r="BD86" s="3"/>
      <c r="BE86" s="15">
        <v>92600</v>
      </c>
      <c r="BF86" s="10">
        <f t="shared" si="64"/>
        <v>217.19068185499108</v>
      </c>
      <c r="BG86" s="1"/>
      <c r="BH86" s="11" t="s">
        <v>247</v>
      </c>
      <c r="BI86" s="3"/>
      <c r="BJ86" s="3"/>
    </row>
    <row r="87" spans="1:62" s="41" customFormat="1" ht="42.75" hidden="1" x14ac:dyDescent="0.2">
      <c r="A87" s="4" t="s">
        <v>519</v>
      </c>
      <c r="B87" s="11" t="s">
        <v>79</v>
      </c>
      <c r="C87" s="11"/>
      <c r="D87" s="1" t="s">
        <v>21</v>
      </c>
      <c r="E87" s="33">
        <v>41738</v>
      </c>
      <c r="F87" s="11" t="s">
        <v>4</v>
      </c>
      <c r="G87" s="33" t="s">
        <v>518</v>
      </c>
      <c r="H87" s="33" t="s">
        <v>518</v>
      </c>
      <c r="I87" s="4" t="s">
        <v>88</v>
      </c>
      <c r="J87" s="11" t="s">
        <v>13</v>
      </c>
      <c r="K87" s="6">
        <v>44978</v>
      </c>
      <c r="L87" s="49">
        <v>3</v>
      </c>
      <c r="M87" s="4" t="s">
        <v>519</v>
      </c>
      <c r="N87" s="11" t="s">
        <v>249</v>
      </c>
      <c r="O87" s="2">
        <v>6871</v>
      </c>
      <c r="P87" s="12">
        <f t="shared" si="52"/>
        <v>152.76357330250346</v>
      </c>
      <c r="Q87" s="2">
        <v>4929</v>
      </c>
      <c r="R87" s="23">
        <f t="shared" si="53"/>
        <v>109.58690915558718</v>
      </c>
      <c r="S87" s="5">
        <f t="shared" si="54"/>
        <v>0.28263717071750838</v>
      </c>
      <c r="T87" s="13">
        <f t="shared" si="55"/>
        <v>1942</v>
      </c>
      <c r="U87" s="74">
        <v>0</v>
      </c>
      <c r="V87" s="14"/>
      <c r="W87" s="2"/>
      <c r="X87" s="2"/>
      <c r="Y87" s="2"/>
      <c r="Z87" s="4" t="s">
        <v>519</v>
      </c>
      <c r="AA87" s="15">
        <v>134054</v>
      </c>
      <c r="AB87" s="7">
        <f t="shared" si="56"/>
        <v>2.9804348792743118</v>
      </c>
      <c r="AC87" s="15">
        <v>98221</v>
      </c>
      <c r="AD87" s="7">
        <f t="shared" si="57"/>
        <v>2.1837565031793322</v>
      </c>
      <c r="AE87" s="8">
        <f t="shared" si="58"/>
        <v>0.26730272875110028</v>
      </c>
      <c r="AF87" s="16">
        <f t="shared" si="59"/>
        <v>35833</v>
      </c>
      <c r="AG87" s="3"/>
      <c r="AH87" s="2"/>
      <c r="AI87" s="2"/>
      <c r="AJ87" s="2"/>
      <c r="AK87" s="4" t="s">
        <v>519</v>
      </c>
      <c r="AL87" s="3"/>
      <c r="AM87" s="9" t="s">
        <v>13</v>
      </c>
      <c r="AN87" s="2">
        <f t="shared" si="60"/>
        <v>0</v>
      </c>
      <c r="AO87" s="3"/>
      <c r="AP87" s="9" t="s">
        <v>13</v>
      </c>
      <c r="AQ87" s="2">
        <f t="shared" si="61"/>
        <v>0</v>
      </c>
      <c r="AR87" s="8"/>
      <c r="AS87" s="17">
        <f t="shared" si="63"/>
        <v>0</v>
      </c>
      <c r="AT87" s="3"/>
      <c r="AU87" s="9"/>
      <c r="AV87" s="2"/>
      <c r="AW87" s="2"/>
      <c r="AX87" s="4" t="s">
        <v>519</v>
      </c>
      <c r="AY87" s="65">
        <v>4825393</v>
      </c>
      <c r="AZ87" s="42">
        <f t="shared" si="51"/>
        <v>107.28340522032994</v>
      </c>
      <c r="BA87" s="15">
        <v>4180000</v>
      </c>
      <c r="BB87" s="15">
        <v>932460</v>
      </c>
      <c r="BC87" s="15">
        <v>308832</v>
      </c>
      <c r="BD87" s="3"/>
      <c r="BE87" s="15">
        <v>28700</v>
      </c>
      <c r="BF87" s="10">
        <f t="shared" si="64"/>
        <v>27.4307202857701</v>
      </c>
      <c r="BG87" s="1"/>
      <c r="BH87" s="11" t="s">
        <v>249</v>
      </c>
      <c r="BI87" s="3"/>
      <c r="BJ87" s="3"/>
    </row>
    <row r="88" spans="1:62" s="41" customFormat="1" ht="43.15" customHeight="1" x14ac:dyDescent="0.2">
      <c r="A88" s="28" t="s">
        <v>929</v>
      </c>
      <c r="B88" s="11" t="s">
        <v>63</v>
      </c>
      <c r="C88" s="11" t="s">
        <v>545</v>
      </c>
      <c r="D88" s="1" t="s">
        <v>930</v>
      </c>
      <c r="E88" s="37">
        <v>41894</v>
      </c>
      <c r="F88" s="1" t="s">
        <v>167</v>
      </c>
      <c r="G88" s="33" t="s">
        <v>73</v>
      </c>
      <c r="H88" s="62">
        <v>42653</v>
      </c>
      <c r="I88" s="4" t="s">
        <v>931</v>
      </c>
      <c r="J88" s="1" t="s">
        <v>13</v>
      </c>
      <c r="K88" s="2">
        <v>99552</v>
      </c>
      <c r="L88" s="14">
        <v>2</v>
      </c>
      <c r="M88" s="28" t="s">
        <v>929</v>
      </c>
      <c r="N88" s="11"/>
      <c r="O88" s="2"/>
      <c r="P88" s="12"/>
      <c r="Q88" s="2"/>
      <c r="R88" s="23"/>
      <c r="S88" s="8"/>
      <c r="T88" s="2"/>
      <c r="U88" s="9"/>
      <c r="V88" s="3"/>
      <c r="W88" s="3"/>
      <c r="X88" s="3"/>
      <c r="Y88" s="3"/>
      <c r="Z88" s="28" t="s">
        <v>929</v>
      </c>
      <c r="AA88" s="15"/>
      <c r="AB88" s="7"/>
      <c r="AC88" s="15"/>
      <c r="AD88" s="7"/>
      <c r="AE88" s="8"/>
      <c r="AF88" s="15"/>
      <c r="AG88" s="3"/>
      <c r="AH88" s="3"/>
      <c r="AI88" s="3"/>
      <c r="AJ88" s="3"/>
      <c r="AK88" s="28" t="s">
        <v>929</v>
      </c>
      <c r="AL88" s="9"/>
      <c r="AM88" s="9"/>
      <c r="AN88" s="2"/>
      <c r="AO88" s="9"/>
      <c r="AP88" s="9"/>
      <c r="AQ88" s="2"/>
      <c r="AR88" s="8"/>
      <c r="AS88" s="2"/>
      <c r="AT88" s="14"/>
      <c r="AU88" s="3"/>
      <c r="AV88" s="3"/>
      <c r="AW88" s="3"/>
      <c r="AX88" s="28" t="s">
        <v>929</v>
      </c>
      <c r="AY88" s="65">
        <v>11500000</v>
      </c>
      <c r="AZ88" s="42">
        <f t="shared" si="51"/>
        <v>115.51751848280296</v>
      </c>
      <c r="BA88" s="68"/>
      <c r="BB88" s="66"/>
      <c r="BC88" s="15"/>
      <c r="BD88" s="15"/>
      <c r="BE88" s="29">
        <v>31000</v>
      </c>
      <c r="BF88" s="10"/>
      <c r="BG88" s="1" t="s">
        <v>304</v>
      </c>
      <c r="BH88" s="11"/>
    </row>
    <row r="89" spans="1:62" s="263" customFormat="1" ht="58.9" customHeight="1" x14ac:dyDescent="0.2">
      <c r="A89" s="28" t="s">
        <v>215</v>
      </c>
      <c r="B89" s="11" t="s">
        <v>133</v>
      </c>
      <c r="C89" s="11"/>
      <c r="D89" s="1" t="s">
        <v>194</v>
      </c>
      <c r="E89" s="37">
        <v>41768</v>
      </c>
      <c r="F89" s="1" t="s">
        <v>10</v>
      </c>
      <c r="G89" s="33">
        <v>41690</v>
      </c>
      <c r="H89" s="62">
        <v>42948</v>
      </c>
      <c r="I89" s="4" t="s">
        <v>107</v>
      </c>
      <c r="J89" s="1" t="s">
        <v>13</v>
      </c>
      <c r="K89" s="2">
        <v>182275</v>
      </c>
      <c r="L89" s="14">
        <v>4</v>
      </c>
      <c r="M89" s="28" t="s">
        <v>215</v>
      </c>
      <c r="N89" s="11" t="s">
        <v>249</v>
      </c>
      <c r="O89" s="2">
        <v>31691</v>
      </c>
      <c r="P89" s="10">
        <f>O89/K89*1000</f>
        <v>173.86366753531752</v>
      </c>
      <c r="Q89" s="2">
        <v>23425</v>
      </c>
      <c r="R89" s="10">
        <f>Q89/K89*1000</f>
        <v>128.5146070497874</v>
      </c>
      <c r="S89" s="8">
        <f>(O89-Q89)/O89</f>
        <v>0.26083115079991165</v>
      </c>
      <c r="T89" s="2">
        <f>O89-Q89</f>
        <v>8266</v>
      </c>
      <c r="U89" s="9">
        <v>0</v>
      </c>
      <c r="V89" s="3"/>
      <c r="W89" s="3"/>
      <c r="X89" s="3"/>
      <c r="Y89" s="3"/>
      <c r="Z89" s="28" t="s">
        <v>215</v>
      </c>
      <c r="AA89" s="15">
        <v>529117</v>
      </c>
      <c r="AB89" s="7">
        <f t="shared" ref="AB89:AB116" si="65">AA89/K89</f>
        <v>2.9028500891510083</v>
      </c>
      <c r="AC89" s="15">
        <v>366504</v>
      </c>
      <c r="AD89" s="7">
        <f t="shared" ref="AD89:AD116" si="66">AC89/K89</f>
        <v>2.0107200658345907</v>
      </c>
      <c r="AE89" s="8">
        <f t="shared" ref="AE89:AE116" si="67">(AA89-AC89)/AA89</f>
        <v>0.30732900284814135</v>
      </c>
      <c r="AF89" s="15">
        <f t="shared" ref="AF89:AF116" si="68">AA89-AC89</f>
        <v>162613</v>
      </c>
      <c r="AG89" s="3"/>
      <c r="AH89" s="3"/>
      <c r="AI89" s="3"/>
      <c r="AJ89" s="3"/>
      <c r="AK89" s="28" t="s">
        <v>215</v>
      </c>
      <c r="AL89" s="2">
        <v>5763776</v>
      </c>
      <c r="AM89" s="1" t="s">
        <v>13</v>
      </c>
      <c r="AN89" s="10">
        <f>AL89/K89</f>
        <v>31.621319434919766</v>
      </c>
      <c r="AO89" s="2">
        <v>4434106</v>
      </c>
      <c r="AP89" s="1" t="s">
        <v>13</v>
      </c>
      <c r="AQ89" s="10">
        <f>AO89/K89</f>
        <v>24.326462762309696</v>
      </c>
      <c r="AR89" s="8">
        <f>(AL89-AO89)/AL89</f>
        <v>0.23069425321178338</v>
      </c>
      <c r="AS89" s="2">
        <f>AL89-AO89</f>
        <v>1329670</v>
      </c>
      <c r="AT89" s="3"/>
      <c r="AU89" s="3"/>
      <c r="AV89" s="3"/>
      <c r="AW89" s="3"/>
      <c r="AX89" s="28" t="s">
        <v>215</v>
      </c>
      <c r="AY89" s="944">
        <v>71022605</v>
      </c>
      <c r="AZ89" s="42">
        <f t="shared" si="51"/>
        <v>389.64534357426965</v>
      </c>
      <c r="BA89" s="15">
        <v>64958142</v>
      </c>
      <c r="BB89" s="15">
        <v>7250000</v>
      </c>
      <c r="BC89" s="15">
        <v>166000</v>
      </c>
      <c r="BD89" s="15"/>
      <c r="BE89" s="15">
        <v>594000</v>
      </c>
      <c r="BF89" s="10">
        <f>((AY89-BA89)+BC89+BD89+BE89)/AF89</f>
        <v>41.967511822548012</v>
      </c>
      <c r="BG89" s="1" t="s">
        <v>302</v>
      </c>
      <c r="BH89" s="11" t="s">
        <v>249</v>
      </c>
      <c r="BI89" s="3"/>
      <c r="BJ89" s="3"/>
    </row>
    <row r="90" spans="1:62" s="41" customFormat="1" ht="42.75" hidden="1" x14ac:dyDescent="0.2">
      <c r="A90" s="28" t="s">
        <v>429</v>
      </c>
      <c r="B90" s="11" t="s">
        <v>216</v>
      </c>
      <c r="C90" s="11" t="s">
        <v>509</v>
      </c>
      <c r="D90" s="1" t="s">
        <v>217</v>
      </c>
      <c r="E90" s="37">
        <v>41474</v>
      </c>
      <c r="F90" s="1" t="s">
        <v>4</v>
      </c>
      <c r="G90" s="33" t="s">
        <v>73</v>
      </c>
      <c r="H90" s="33" t="s">
        <v>73</v>
      </c>
      <c r="I90" s="4" t="s">
        <v>221</v>
      </c>
      <c r="J90" s="1" t="s">
        <v>13</v>
      </c>
      <c r="K90" s="2">
        <v>94236</v>
      </c>
      <c r="L90" s="14">
        <v>2</v>
      </c>
      <c r="M90" s="28" t="s">
        <v>429</v>
      </c>
      <c r="N90" s="11" t="s">
        <v>249</v>
      </c>
      <c r="O90" s="2">
        <v>6944</v>
      </c>
      <c r="P90" s="12">
        <f>O90/K90*1000</f>
        <v>73.687338172248403</v>
      </c>
      <c r="Q90" s="2">
        <v>6610</v>
      </c>
      <c r="R90" s="10">
        <f>Q90/K90*1000</f>
        <v>70.143045120760632</v>
      </c>
      <c r="S90" s="8">
        <f>(O90-Q90)/O90</f>
        <v>4.8099078341013825E-2</v>
      </c>
      <c r="T90" s="2">
        <f>O90-Q90</f>
        <v>334</v>
      </c>
      <c r="U90" s="9">
        <v>0</v>
      </c>
      <c r="V90" s="3"/>
      <c r="W90" s="3"/>
      <c r="X90" s="3"/>
      <c r="Y90" s="3"/>
      <c r="Z90" s="28" t="s">
        <v>440</v>
      </c>
      <c r="AA90" s="15">
        <v>249013</v>
      </c>
      <c r="AB90" s="7">
        <f t="shared" si="65"/>
        <v>2.642440256377605</v>
      </c>
      <c r="AC90" s="15">
        <v>222050</v>
      </c>
      <c r="AD90" s="7">
        <f t="shared" si="66"/>
        <v>2.35631817988879</v>
      </c>
      <c r="AE90" s="8">
        <f t="shared" si="67"/>
        <v>0.10827948741631963</v>
      </c>
      <c r="AF90" s="15">
        <f t="shared" si="68"/>
        <v>26963</v>
      </c>
      <c r="AG90" s="3"/>
      <c r="AH90" s="3"/>
      <c r="AI90" s="3"/>
      <c r="AJ90" s="3"/>
      <c r="AK90" s="28" t="s">
        <v>429</v>
      </c>
      <c r="AL90" s="80" t="s">
        <v>222</v>
      </c>
      <c r="AM90" s="80" t="s">
        <v>222</v>
      </c>
      <c r="AN90" s="80" t="s">
        <v>222</v>
      </c>
      <c r="AO90" s="80" t="s">
        <v>222</v>
      </c>
      <c r="AP90" s="80" t="s">
        <v>222</v>
      </c>
      <c r="AQ90" s="80" t="s">
        <v>222</v>
      </c>
      <c r="AR90" s="80" t="s">
        <v>222</v>
      </c>
      <c r="AS90" s="80" t="s">
        <v>222</v>
      </c>
      <c r="AT90" s="3"/>
      <c r="AU90" s="3"/>
      <c r="AV90" s="3"/>
      <c r="AW90" s="3"/>
      <c r="AX90" s="28" t="s">
        <v>429</v>
      </c>
      <c r="AY90" s="65">
        <v>21563001</v>
      </c>
      <c r="AZ90" s="42">
        <f t="shared" si="51"/>
        <v>228.81914554947153</v>
      </c>
      <c r="BA90" s="68">
        <v>3432421</v>
      </c>
      <c r="BB90" s="15">
        <v>2079762</v>
      </c>
      <c r="BC90" s="15">
        <v>0</v>
      </c>
      <c r="BD90" s="15"/>
      <c r="BE90" s="68">
        <v>0</v>
      </c>
      <c r="BF90" s="10"/>
      <c r="BG90" s="1"/>
      <c r="BH90" s="11" t="s">
        <v>249</v>
      </c>
      <c r="BI90" s="3"/>
      <c r="BJ90" s="3"/>
    </row>
    <row r="91" spans="1:62" s="263" customFormat="1" ht="42.75" hidden="1" x14ac:dyDescent="0.2">
      <c r="A91" s="28" t="s">
        <v>430</v>
      </c>
      <c r="B91" s="11" t="s">
        <v>216</v>
      </c>
      <c r="C91" s="11" t="s">
        <v>509</v>
      </c>
      <c r="D91" s="1" t="s">
        <v>217</v>
      </c>
      <c r="E91" s="37">
        <v>41474</v>
      </c>
      <c r="F91" s="1" t="s">
        <v>4</v>
      </c>
      <c r="G91" s="33" t="s">
        <v>73</v>
      </c>
      <c r="H91" s="33" t="s">
        <v>73</v>
      </c>
      <c r="I91" s="4" t="s">
        <v>225</v>
      </c>
      <c r="J91" s="1" t="s">
        <v>13</v>
      </c>
      <c r="K91" s="2">
        <v>32221</v>
      </c>
      <c r="L91" s="14">
        <v>2</v>
      </c>
      <c r="M91" s="28" t="s">
        <v>430</v>
      </c>
      <c r="N91" s="11" t="s">
        <v>249</v>
      </c>
      <c r="O91" s="2"/>
      <c r="P91" s="10"/>
      <c r="Q91" s="2"/>
      <c r="R91" s="10"/>
      <c r="S91" s="8"/>
      <c r="T91" s="2"/>
      <c r="U91" s="9">
        <v>0</v>
      </c>
      <c r="V91" s="3"/>
      <c r="W91" s="3"/>
      <c r="X91" s="3"/>
      <c r="Y91" s="3"/>
      <c r="Z91" s="28" t="s">
        <v>430</v>
      </c>
      <c r="AA91" s="15">
        <v>28938</v>
      </c>
      <c r="AB91" s="7">
        <f t="shared" si="65"/>
        <v>0.89810992830762548</v>
      </c>
      <c r="AC91" s="15">
        <v>22854</v>
      </c>
      <c r="AD91" s="7">
        <f t="shared" si="66"/>
        <v>0.70928897303001148</v>
      </c>
      <c r="AE91" s="8">
        <f t="shared" si="67"/>
        <v>0.21024258760107817</v>
      </c>
      <c r="AF91" s="15">
        <f t="shared" si="68"/>
        <v>6084</v>
      </c>
      <c r="AG91" s="3"/>
      <c r="AH91" s="3"/>
      <c r="AI91" s="3"/>
      <c r="AJ91" s="3"/>
      <c r="AK91" s="28" t="s">
        <v>430</v>
      </c>
      <c r="AL91" s="80" t="s">
        <v>222</v>
      </c>
      <c r="AM91" s="80" t="s">
        <v>222</v>
      </c>
      <c r="AN91" s="80" t="s">
        <v>222</v>
      </c>
      <c r="AO91" s="80" t="s">
        <v>222</v>
      </c>
      <c r="AP91" s="80" t="s">
        <v>222</v>
      </c>
      <c r="AQ91" s="80" t="s">
        <v>222</v>
      </c>
      <c r="AR91" s="80" t="s">
        <v>222</v>
      </c>
      <c r="AS91" s="80" t="s">
        <v>222</v>
      </c>
      <c r="AT91" s="3"/>
      <c r="AU91" s="3"/>
      <c r="AV91" s="3"/>
      <c r="AW91" s="3"/>
      <c r="AX91" s="28" t="s">
        <v>430</v>
      </c>
      <c r="AY91" s="65">
        <v>6833178</v>
      </c>
      <c r="AZ91" s="42">
        <f t="shared" si="51"/>
        <v>212.07218894509791</v>
      </c>
      <c r="BA91" s="68">
        <v>2041899</v>
      </c>
      <c r="BB91" s="71" t="s">
        <v>224</v>
      </c>
      <c r="BC91" s="15">
        <v>0</v>
      </c>
      <c r="BD91" s="15"/>
      <c r="BE91" s="68" t="s">
        <v>223</v>
      </c>
      <c r="BF91" s="10"/>
      <c r="BG91" s="1"/>
      <c r="BH91" s="11" t="s">
        <v>249</v>
      </c>
      <c r="BI91" s="3"/>
      <c r="BJ91" s="3"/>
    </row>
    <row r="92" spans="1:62" s="41" customFormat="1" ht="42.75" x14ac:dyDescent="0.2">
      <c r="A92" s="4" t="s">
        <v>115</v>
      </c>
      <c r="B92" s="11" t="s">
        <v>100</v>
      </c>
      <c r="C92" s="11" t="s">
        <v>549</v>
      </c>
      <c r="D92" s="1" t="s">
        <v>114</v>
      </c>
      <c r="E92" s="33">
        <v>41365</v>
      </c>
      <c r="F92" s="11" t="s">
        <v>10</v>
      </c>
      <c r="G92" s="33" t="s">
        <v>526</v>
      </c>
      <c r="H92" s="33" t="s">
        <v>73</v>
      </c>
      <c r="I92" s="4" t="s">
        <v>90</v>
      </c>
      <c r="J92" s="11" t="s">
        <v>13</v>
      </c>
      <c r="K92" s="6">
        <v>123275</v>
      </c>
      <c r="L92" s="49">
        <v>6</v>
      </c>
      <c r="M92" s="4" t="s">
        <v>115</v>
      </c>
      <c r="N92" s="11" t="s">
        <v>247</v>
      </c>
      <c r="O92" s="2">
        <v>23068</v>
      </c>
      <c r="P92" s="12">
        <f t="shared" ref="P92:P116" si="69">O92/K92*1000</f>
        <v>187.1263435408639</v>
      </c>
      <c r="Q92" s="2">
        <v>15903</v>
      </c>
      <c r="R92" s="23">
        <f t="shared" ref="R92:R101" si="70">Q92/K92*1000</f>
        <v>129.00425877104036</v>
      </c>
      <c r="S92" s="5">
        <f t="shared" ref="S92:S101" si="71">(O92-Q92)/O92</f>
        <v>0.3106034333275533</v>
      </c>
      <c r="T92" s="13">
        <f t="shared" ref="T92:T101" si="72">O92-Q92</f>
        <v>7165</v>
      </c>
      <c r="U92" s="74">
        <v>0</v>
      </c>
      <c r="V92" s="14"/>
      <c r="W92" s="2"/>
      <c r="X92" s="2"/>
      <c r="Y92" s="2"/>
      <c r="Z92" s="4" t="s">
        <v>115</v>
      </c>
      <c r="AA92" s="15">
        <v>425425</v>
      </c>
      <c r="AB92" s="7">
        <f t="shared" si="65"/>
        <v>3.4510241330358955</v>
      </c>
      <c r="AC92" s="15">
        <v>296267</v>
      </c>
      <c r="AD92" s="7">
        <f t="shared" si="66"/>
        <v>2.4033015615493816</v>
      </c>
      <c r="AE92" s="8">
        <f t="shared" si="67"/>
        <v>0.30359757889169653</v>
      </c>
      <c r="AF92" s="16">
        <f t="shared" si="68"/>
        <v>129158</v>
      </c>
      <c r="AG92" s="3"/>
      <c r="AH92" s="2"/>
      <c r="AI92" s="2"/>
      <c r="AJ92" s="2"/>
      <c r="AK92" s="4" t="s">
        <v>115</v>
      </c>
      <c r="AL92" s="2">
        <v>1377837</v>
      </c>
      <c r="AM92" s="9" t="s">
        <v>13</v>
      </c>
      <c r="AN92" s="2">
        <f>AL92/K92</f>
        <v>11.176937740823362</v>
      </c>
      <c r="AO92" s="2">
        <v>878485</v>
      </c>
      <c r="AP92" s="9" t="s">
        <v>13</v>
      </c>
      <c r="AQ92" s="2">
        <f>AO92/K92</f>
        <v>7.1262218616913406</v>
      </c>
      <c r="AR92" s="8">
        <f>(AL92-AO92)/AL92</f>
        <v>0.36241732512626673</v>
      </c>
      <c r="AS92" s="17">
        <f>AL92-AO92</f>
        <v>499352</v>
      </c>
      <c r="AT92" s="3"/>
      <c r="AU92" s="9"/>
      <c r="AV92" s="2"/>
      <c r="AW92" s="2"/>
      <c r="AX92" s="4" t="s">
        <v>115</v>
      </c>
      <c r="AY92" s="65">
        <v>42881459</v>
      </c>
      <c r="AZ92" s="42">
        <f t="shared" si="51"/>
        <v>347.85203001419592</v>
      </c>
      <c r="BA92" s="15">
        <v>39331912</v>
      </c>
      <c r="BB92" s="15">
        <v>4603210</v>
      </c>
      <c r="BC92" s="15">
        <v>138000</v>
      </c>
      <c r="BD92" s="15"/>
      <c r="BE92" s="73">
        <v>455967</v>
      </c>
      <c r="BF92" s="10">
        <f>((AY92-BA92)+BC92+BD92+BE92)/AF92</f>
        <v>32.080970594155993</v>
      </c>
      <c r="BG92" s="1" t="s">
        <v>298</v>
      </c>
      <c r="BH92" s="11" t="s">
        <v>247</v>
      </c>
      <c r="BI92" s="3"/>
      <c r="BJ92" s="3"/>
    </row>
    <row r="93" spans="1:62" s="41" customFormat="1" ht="71.25" x14ac:dyDescent="0.2">
      <c r="A93" s="28" t="s">
        <v>1184</v>
      </c>
      <c r="B93" s="11" t="s">
        <v>68</v>
      </c>
      <c r="C93" s="11" t="s">
        <v>650</v>
      </c>
      <c r="D93" s="1" t="s">
        <v>525</v>
      </c>
      <c r="E93" s="37">
        <v>41775</v>
      </c>
      <c r="F93" s="1" t="s">
        <v>22</v>
      </c>
      <c r="G93" s="33" t="s">
        <v>73</v>
      </c>
      <c r="H93" s="33" t="s">
        <v>73</v>
      </c>
      <c r="I93" s="4" t="s">
        <v>432</v>
      </c>
      <c r="J93" s="1" t="s">
        <v>13</v>
      </c>
      <c r="K93" s="2">
        <v>219070</v>
      </c>
      <c r="L93" s="14">
        <v>4</v>
      </c>
      <c r="M93" s="28" t="s">
        <v>1184</v>
      </c>
      <c r="N93" s="11" t="s">
        <v>249</v>
      </c>
      <c r="O93" s="2">
        <v>13361</v>
      </c>
      <c r="P93" s="10">
        <f t="shared" si="69"/>
        <v>60.989638015246271</v>
      </c>
      <c r="Q93" s="2">
        <v>9943</v>
      </c>
      <c r="R93" s="10">
        <f t="shared" si="70"/>
        <v>45.387319121741911</v>
      </c>
      <c r="S93" s="8">
        <f t="shared" si="71"/>
        <v>0.25581917521143627</v>
      </c>
      <c r="T93" s="2">
        <f t="shared" si="72"/>
        <v>3418</v>
      </c>
      <c r="U93" s="9"/>
      <c r="V93" s="3"/>
      <c r="W93" s="3"/>
      <c r="X93" s="3"/>
      <c r="Y93" s="3"/>
      <c r="Z93" s="28" t="s">
        <v>1184</v>
      </c>
      <c r="AA93" s="15">
        <v>249185</v>
      </c>
      <c r="AB93" s="7">
        <f t="shared" si="65"/>
        <v>1.1374674761491761</v>
      </c>
      <c r="AC93" s="15">
        <v>204787</v>
      </c>
      <c r="AD93" s="7">
        <f t="shared" si="66"/>
        <v>0.9348016615693614</v>
      </c>
      <c r="AE93" s="8">
        <f t="shared" si="67"/>
        <v>0.17817284346971127</v>
      </c>
      <c r="AF93" s="15">
        <f t="shared" si="68"/>
        <v>44398</v>
      </c>
      <c r="AG93" s="3"/>
      <c r="AH93" s="3"/>
      <c r="AI93" s="3"/>
      <c r="AJ93" s="3"/>
      <c r="AK93" s="28" t="s">
        <v>1184</v>
      </c>
      <c r="AL93" s="9"/>
      <c r="AM93" s="9"/>
      <c r="AN93" s="2"/>
      <c r="AO93" s="9"/>
      <c r="AP93" s="9"/>
      <c r="AQ93" s="2"/>
      <c r="AR93" s="8"/>
      <c r="AS93" s="2"/>
      <c r="AT93" s="14"/>
      <c r="AU93" s="3"/>
      <c r="AV93" s="3"/>
      <c r="AW93" s="3"/>
      <c r="AX93" s="28" t="s">
        <v>1184</v>
      </c>
      <c r="AY93" s="65">
        <v>73076027</v>
      </c>
      <c r="AZ93" s="42">
        <f t="shared" si="51"/>
        <v>333.57386680056601</v>
      </c>
      <c r="BA93" s="68">
        <v>70925238</v>
      </c>
      <c r="BB93" s="71"/>
      <c r="BC93" s="15"/>
      <c r="BD93" s="15"/>
      <c r="BE93" s="29"/>
      <c r="BF93" s="10"/>
      <c r="BG93" s="1" t="s">
        <v>298</v>
      </c>
      <c r="BH93" s="11" t="s">
        <v>249</v>
      </c>
    </row>
    <row r="94" spans="1:62" s="41" customFormat="1" ht="27" customHeight="1" x14ac:dyDescent="0.2">
      <c r="A94" s="28" t="s">
        <v>268</v>
      </c>
      <c r="B94" s="11" t="s">
        <v>198</v>
      </c>
      <c r="C94" s="11"/>
      <c r="D94" s="1" t="s">
        <v>1185</v>
      </c>
      <c r="E94" s="37">
        <v>41796</v>
      </c>
      <c r="F94" s="1" t="s">
        <v>4</v>
      </c>
      <c r="G94" s="33" t="s">
        <v>73</v>
      </c>
      <c r="H94" s="33" t="s">
        <v>73</v>
      </c>
      <c r="I94" s="4" t="s">
        <v>200</v>
      </c>
      <c r="J94" s="1" t="s">
        <v>13</v>
      </c>
      <c r="K94" s="2">
        <v>207610</v>
      </c>
      <c r="L94" s="14">
        <v>11</v>
      </c>
      <c r="M94" s="28" t="s">
        <v>268</v>
      </c>
      <c r="N94" s="11" t="s">
        <v>249</v>
      </c>
      <c r="O94" s="2">
        <v>26345.5</v>
      </c>
      <c r="P94" s="10">
        <f t="shared" si="69"/>
        <v>126.8989933047541</v>
      </c>
      <c r="Q94" s="2">
        <v>22268.5</v>
      </c>
      <c r="R94" s="10">
        <f t="shared" si="70"/>
        <v>107.26121092432928</v>
      </c>
      <c r="S94" s="8">
        <f t="shared" si="71"/>
        <v>0.15475128579833369</v>
      </c>
      <c r="T94" s="2">
        <f t="shared" si="72"/>
        <v>4077</v>
      </c>
      <c r="U94" s="9"/>
      <c r="V94" s="3"/>
      <c r="W94" s="3"/>
      <c r="X94" s="3"/>
      <c r="Y94" s="3"/>
      <c r="Z94" s="28" t="s">
        <v>268</v>
      </c>
      <c r="AA94" s="15">
        <v>1001430</v>
      </c>
      <c r="AB94" s="7">
        <f t="shared" si="65"/>
        <v>4.82361157940369</v>
      </c>
      <c r="AC94" s="15">
        <v>788087</v>
      </c>
      <c r="AD94" s="7">
        <f t="shared" si="66"/>
        <v>3.7959973026347478</v>
      </c>
      <c r="AE94" s="8">
        <f t="shared" si="67"/>
        <v>0.21303835515213246</v>
      </c>
      <c r="AF94" s="15">
        <f t="shared" si="68"/>
        <v>213343</v>
      </c>
      <c r="AG94" s="3"/>
      <c r="AH94" s="3"/>
      <c r="AI94" s="3"/>
      <c r="AJ94" s="3"/>
      <c r="AK94" s="28" t="s">
        <v>268</v>
      </c>
      <c r="AL94" s="9">
        <v>663675</v>
      </c>
      <c r="AM94" s="9" t="s">
        <v>13</v>
      </c>
      <c r="AN94" s="2">
        <f t="shared" ref="AN94:AN101" si="73">AL94/K94</f>
        <v>3.1967390780790907</v>
      </c>
      <c r="AO94" s="9">
        <v>445591</v>
      </c>
      <c r="AP94" s="9" t="s">
        <v>13</v>
      </c>
      <c r="AQ94" s="2">
        <f t="shared" ref="AQ94:AQ101" si="74">AO94/K94</f>
        <v>2.1462887144164537</v>
      </c>
      <c r="AR94" s="8">
        <f t="shared" ref="AR94:AR101" si="75">(AL94-AO94)/AL94</f>
        <v>0.32860059517082907</v>
      </c>
      <c r="AS94" s="2">
        <f t="shared" ref="AS94:AS101" si="76">AL94-AO94</f>
        <v>218084</v>
      </c>
      <c r="AT94" s="14"/>
      <c r="AU94" s="3"/>
      <c r="AV94" s="3"/>
      <c r="AW94" s="3"/>
      <c r="AX94" s="28" t="s">
        <v>268</v>
      </c>
      <c r="AY94" s="65">
        <v>52755217</v>
      </c>
      <c r="AZ94" s="42">
        <f t="shared" si="51"/>
        <v>254.10730215307547</v>
      </c>
      <c r="BA94" s="68">
        <v>47940800</v>
      </c>
      <c r="BB94" s="71">
        <v>5184529</v>
      </c>
      <c r="BC94" s="15"/>
      <c r="BD94" s="15">
        <v>10370</v>
      </c>
      <c r="BE94" s="29">
        <v>730000</v>
      </c>
      <c r="BF94" s="10">
        <f t="shared" ref="BF94:BF109" si="77">((AY94-BA94)+BC94+BD94+BE94)/AF94</f>
        <v>26.036884266181687</v>
      </c>
      <c r="BG94" s="11" t="s">
        <v>424</v>
      </c>
      <c r="BH94" s="11" t="s">
        <v>249</v>
      </c>
    </row>
    <row r="95" spans="1:62" s="41" customFormat="1" ht="42" customHeight="1" x14ac:dyDescent="0.2">
      <c r="A95" s="28" t="s">
        <v>197</v>
      </c>
      <c r="B95" s="11" t="s">
        <v>198</v>
      </c>
      <c r="C95" s="11"/>
      <c r="D95" s="1" t="s">
        <v>199</v>
      </c>
      <c r="E95" s="37">
        <v>41579</v>
      </c>
      <c r="F95" s="1" t="s">
        <v>4</v>
      </c>
      <c r="G95" s="33" t="s">
        <v>73</v>
      </c>
      <c r="H95" s="33" t="s">
        <v>73</v>
      </c>
      <c r="I95" s="4" t="s">
        <v>200</v>
      </c>
      <c r="J95" s="1" t="s">
        <v>13</v>
      </c>
      <c r="K95" s="2">
        <v>274810</v>
      </c>
      <c r="L95" s="14">
        <v>9</v>
      </c>
      <c r="M95" s="28" t="s">
        <v>197</v>
      </c>
      <c r="N95" s="11" t="s">
        <v>249</v>
      </c>
      <c r="O95" s="2">
        <v>15342</v>
      </c>
      <c r="P95" s="10">
        <f t="shared" si="69"/>
        <v>55.827662748808265</v>
      </c>
      <c r="Q95" s="2">
        <v>11509</v>
      </c>
      <c r="R95" s="10">
        <f t="shared" si="70"/>
        <v>41.87984425603144</v>
      </c>
      <c r="S95" s="8">
        <f t="shared" si="71"/>
        <v>0.24983704862469039</v>
      </c>
      <c r="T95" s="2">
        <f t="shared" si="72"/>
        <v>3833</v>
      </c>
      <c r="U95" s="9">
        <v>0</v>
      </c>
      <c r="V95" s="3"/>
      <c r="W95" s="3"/>
      <c r="X95" s="3"/>
      <c r="Y95" s="3"/>
      <c r="Z95" s="28" t="s">
        <v>197</v>
      </c>
      <c r="AA95" s="15">
        <v>293091</v>
      </c>
      <c r="AB95" s="7">
        <f t="shared" si="65"/>
        <v>1.0665223245151196</v>
      </c>
      <c r="AC95" s="15">
        <v>229379</v>
      </c>
      <c r="AD95" s="7">
        <f t="shared" si="66"/>
        <v>0.83468214402678209</v>
      </c>
      <c r="AE95" s="8">
        <f t="shared" si="67"/>
        <v>0.21737958518002942</v>
      </c>
      <c r="AF95" s="15">
        <f t="shared" si="68"/>
        <v>63712</v>
      </c>
      <c r="AG95" s="3"/>
      <c r="AH95" s="3"/>
      <c r="AI95" s="3"/>
      <c r="AJ95" s="3"/>
      <c r="AK95" s="28" t="s">
        <v>197</v>
      </c>
      <c r="AL95" s="2">
        <v>1871354</v>
      </c>
      <c r="AM95" s="1" t="s">
        <v>13</v>
      </c>
      <c r="AN95" s="10">
        <f t="shared" si="73"/>
        <v>6.809628470579673</v>
      </c>
      <c r="AO95" s="2">
        <v>1339798</v>
      </c>
      <c r="AP95" s="1" t="s">
        <v>13</v>
      </c>
      <c r="AQ95" s="10">
        <f t="shared" si="74"/>
        <v>4.8753611586186816</v>
      </c>
      <c r="AR95" s="8">
        <f t="shared" si="75"/>
        <v>0.28404887584070143</v>
      </c>
      <c r="AS95" s="2">
        <f t="shared" si="76"/>
        <v>531556</v>
      </c>
      <c r="AT95" s="3"/>
      <c r="AU95" s="3"/>
      <c r="AV95" s="3"/>
      <c r="AW95" s="3"/>
      <c r="AX95" s="28" t="s">
        <v>197</v>
      </c>
      <c r="AY95" s="65">
        <v>72817169</v>
      </c>
      <c r="AZ95" s="42">
        <f t="shared" si="51"/>
        <v>264.97277755540193</v>
      </c>
      <c r="BA95" s="15">
        <v>78341076</v>
      </c>
      <c r="BB95" s="15">
        <v>7995000</v>
      </c>
      <c r="BC95" s="15">
        <f>178500+44500</f>
        <v>223000</v>
      </c>
      <c r="BD95" s="15">
        <v>65350</v>
      </c>
      <c r="BE95" s="15">
        <v>500000</v>
      </c>
      <c r="BF95" s="10">
        <f t="shared" si="77"/>
        <v>-74.327552109492714</v>
      </c>
      <c r="BG95" s="11" t="s">
        <v>423</v>
      </c>
      <c r="BH95" s="11" t="s">
        <v>249</v>
      </c>
      <c r="BI95" s="3"/>
      <c r="BJ95" s="3"/>
    </row>
    <row r="96" spans="1:62" s="41" customFormat="1" ht="28.5" x14ac:dyDescent="0.2">
      <c r="A96" s="245" t="s">
        <v>265</v>
      </c>
      <c r="B96" s="11" t="s">
        <v>264</v>
      </c>
      <c r="C96" s="11"/>
      <c r="D96" s="1" t="s">
        <v>266</v>
      </c>
      <c r="E96" s="37">
        <v>41596</v>
      </c>
      <c r="F96" s="1" t="s">
        <v>10</v>
      </c>
      <c r="G96" s="33" t="s">
        <v>73</v>
      </c>
      <c r="H96" s="33" t="s">
        <v>73</v>
      </c>
      <c r="I96" s="4" t="s">
        <v>267</v>
      </c>
      <c r="J96" s="1" t="s">
        <v>13</v>
      </c>
      <c r="K96" s="2">
        <v>47729</v>
      </c>
      <c r="L96" s="246">
        <v>1</v>
      </c>
      <c r="M96" s="245" t="s">
        <v>265</v>
      </c>
      <c r="N96" s="11" t="s">
        <v>249</v>
      </c>
      <c r="O96" s="2">
        <v>2614</v>
      </c>
      <c r="P96" s="10">
        <f t="shared" si="69"/>
        <v>54.767541746108236</v>
      </c>
      <c r="Q96" s="2">
        <v>1818</v>
      </c>
      <c r="R96" s="10">
        <f t="shared" si="70"/>
        <v>38.090050074378262</v>
      </c>
      <c r="S96" s="27">
        <f t="shared" si="71"/>
        <v>0.3045141545524101</v>
      </c>
      <c r="T96" s="2">
        <f t="shared" si="72"/>
        <v>796</v>
      </c>
      <c r="U96" s="9"/>
      <c r="V96" s="3"/>
      <c r="W96" s="3"/>
      <c r="X96" s="3"/>
      <c r="Y96" s="3"/>
      <c r="Z96" s="245" t="s">
        <v>265</v>
      </c>
      <c r="AA96" s="15">
        <v>52390</v>
      </c>
      <c r="AB96" s="7">
        <f t="shared" si="65"/>
        <v>1.0976555134195143</v>
      </c>
      <c r="AC96" s="15">
        <v>33542</v>
      </c>
      <c r="AD96" s="7">
        <f t="shared" si="66"/>
        <v>0.70275932871000857</v>
      </c>
      <c r="AE96" s="8">
        <f t="shared" si="67"/>
        <v>0.35976331360946745</v>
      </c>
      <c r="AF96" s="15">
        <f t="shared" si="68"/>
        <v>18848</v>
      </c>
      <c r="AG96" s="3"/>
      <c r="AH96" s="3"/>
      <c r="AI96" s="3"/>
      <c r="AJ96" s="3"/>
      <c r="AK96" s="245" t="s">
        <v>265</v>
      </c>
      <c r="AL96" s="9">
        <v>1075022</v>
      </c>
      <c r="AM96" s="9" t="s">
        <v>13</v>
      </c>
      <c r="AN96" s="2">
        <f t="shared" si="73"/>
        <v>22.523455341616209</v>
      </c>
      <c r="AO96" s="9">
        <v>817762</v>
      </c>
      <c r="AP96" s="9" t="s">
        <v>13</v>
      </c>
      <c r="AQ96" s="2">
        <f t="shared" si="74"/>
        <v>17.133440884996542</v>
      </c>
      <c r="AR96" s="8">
        <f t="shared" si="75"/>
        <v>0.23930673046691137</v>
      </c>
      <c r="AS96" s="2">
        <f t="shared" si="76"/>
        <v>257260</v>
      </c>
      <c r="AT96" s="14"/>
      <c r="AU96" s="3"/>
      <c r="AV96" s="3"/>
      <c r="AW96" s="3"/>
      <c r="AX96" s="245" t="s">
        <v>265</v>
      </c>
      <c r="AY96" s="65">
        <v>3636045</v>
      </c>
      <c r="AZ96" s="42">
        <f t="shared" si="51"/>
        <v>76.181042971778169</v>
      </c>
      <c r="BA96" s="68">
        <v>3327846</v>
      </c>
      <c r="BB96" s="71">
        <v>449750</v>
      </c>
      <c r="BC96" s="15">
        <v>41200</v>
      </c>
      <c r="BD96" s="15"/>
      <c r="BE96" s="255"/>
      <c r="BF96" s="10">
        <f t="shared" si="77"/>
        <v>18.537722835314092</v>
      </c>
      <c r="BG96" s="1" t="s">
        <v>314</v>
      </c>
      <c r="BH96" s="11" t="s">
        <v>249</v>
      </c>
    </row>
    <row r="97" spans="1:62" s="41" customFormat="1" ht="43.9" customHeight="1" x14ac:dyDescent="0.2">
      <c r="A97" s="245" t="s">
        <v>417</v>
      </c>
      <c r="B97" s="11" t="s">
        <v>60</v>
      </c>
      <c r="C97" s="11" t="s">
        <v>510</v>
      </c>
      <c r="D97" s="1" t="s">
        <v>428</v>
      </c>
      <c r="E97" s="37">
        <v>41786</v>
      </c>
      <c r="F97" s="1" t="s">
        <v>4</v>
      </c>
      <c r="G97" s="33" t="s">
        <v>73</v>
      </c>
      <c r="H97" s="33" t="s">
        <v>73</v>
      </c>
      <c r="I97" s="4" t="s">
        <v>418</v>
      </c>
      <c r="J97" s="1" t="s">
        <v>13</v>
      </c>
      <c r="K97" s="2">
        <v>165584</v>
      </c>
      <c r="L97" s="246">
        <v>3</v>
      </c>
      <c r="M97" s="28" t="s">
        <v>417</v>
      </c>
      <c r="N97" s="11" t="s">
        <v>249</v>
      </c>
      <c r="O97" s="2">
        <v>29645</v>
      </c>
      <c r="P97" s="10">
        <f t="shared" si="69"/>
        <v>179.03299835732923</v>
      </c>
      <c r="Q97" s="2">
        <v>21778</v>
      </c>
      <c r="R97" s="10">
        <f t="shared" si="70"/>
        <v>131.52236931104454</v>
      </c>
      <c r="S97" s="8">
        <f t="shared" si="71"/>
        <v>0.26537358745150952</v>
      </c>
      <c r="T97" s="2">
        <f t="shared" si="72"/>
        <v>7867</v>
      </c>
      <c r="U97" s="9"/>
      <c r="V97" s="3"/>
      <c r="W97" s="3"/>
      <c r="X97" s="3"/>
      <c r="Y97" s="3"/>
      <c r="Z97" s="28" t="s">
        <v>417</v>
      </c>
      <c r="AA97" s="15">
        <v>531737</v>
      </c>
      <c r="AB97" s="7">
        <f t="shared" si="65"/>
        <v>3.2112824910619384</v>
      </c>
      <c r="AC97" s="15">
        <v>421010</v>
      </c>
      <c r="AD97" s="7">
        <f t="shared" si="66"/>
        <v>2.5425765774470963</v>
      </c>
      <c r="AE97" s="8">
        <f t="shared" si="67"/>
        <v>0.20823640258247969</v>
      </c>
      <c r="AF97" s="15">
        <f t="shared" si="68"/>
        <v>110727</v>
      </c>
      <c r="AG97" s="3"/>
      <c r="AH97" s="3"/>
      <c r="AI97" s="3"/>
      <c r="AJ97" s="3"/>
      <c r="AK97" s="28" t="s">
        <v>417</v>
      </c>
      <c r="AL97" s="9">
        <v>395678</v>
      </c>
      <c r="AM97" s="9" t="s">
        <v>13</v>
      </c>
      <c r="AN97" s="2">
        <f t="shared" si="73"/>
        <v>2.3895907817180402</v>
      </c>
      <c r="AO97" s="9">
        <v>296302</v>
      </c>
      <c r="AP97" s="9" t="s">
        <v>13</v>
      </c>
      <c r="AQ97" s="2">
        <f t="shared" si="74"/>
        <v>1.7894361774084453</v>
      </c>
      <c r="AR97" s="8">
        <f t="shared" si="75"/>
        <v>0.25115371590030278</v>
      </c>
      <c r="AS97" s="2">
        <f t="shared" si="76"/>
        <v>99376</v>
      </c>
      <c r="AT97" s="14"/>
      <c r="AU97" s="3"/>
      <c r="AV97" s="3"/>
      <c r="AW97" s="3"/>
      <c r="AX97" s="245" t="s">
        <v>417</v>
      </c>
      <c r="AY97" s="65">
        <v>23537423</v>
      </c>
      <c r="AZ97" s="42">
        <f t="shared" si="51"/>
        <v>142.14793095951299</v>
      </c>
      <c r="BA97" s="68">
        <f>AY97</f>
        <v>23537423</v>
      </c>
      <c r="BB97" s="73">
        <v>3170473</v>
      </c>
      <c r="BC97" s="15">
        <v>35000</v>
      </c>
      <c r="BD97" s="15">
        <v>60000</v>
      </c>
      <c r="BE97" s="941">
        <v>58725</v>
      </c>
      <c r="BF97" s="10">
        <f t="shared" si="77"/>
        <v>1.3883244375807164</v>
      </c>
      <c r="BG97" s="1" t="s">
        <v>419</v>
      </c>
      <c r="BH97" s="11" t="s">
        <v>249</v>
      </c>
    </row>
    <row r="98" spans="1:62" s="3" customFormat="1" ht="42.75" x14ac:dyDescent="0.2">
      <c r="A98" s="28" t="s">
        <v>426</v>
      </c>
      <c r="B98" s="11" t="s">
        <v>63</v>
      </c>
      <c r="C98" s="11" t="s">
        <v>545</v>
      </c>
      <c r="D98" s="1" t="s">
        <v>490</v>
      </c>
      <c r="E98" s="37">
        <v>41829</v>
      </c>
      <c r="F98" s="11" t="s">
        <v>4</v>
      </c>
      <c r="G98" s="33" t="s">
        <v>73</v>
      </c>
      <c r="H98" s="33" t="s">
        <v>73</v>
      </c>
      <c r="I98" s="28" t="s">
        <v>135</v>
      </c>
      <c r="J98" s="1">
        <v>440</v>
      </c>
      <c r="K98" s="2">
        <v>99436</v>
      </c>
      <c r="L98" s="14">
        <v>12</v>
      </c>
      <c r="M98" s="28" t="s">
        <v>426</v>
      </c>
      <c r="N98" s="11" t="s">
        <v>248</v>
      </c>
      <c r="O98" s="2">
        <v>5384</v>
      </c>
      <c r="P98" s="10">
        <f t="shared" si="69"/>
        <v>54.145379942877831</v>
      </c>
      <c r="Q98" s="2">
        <v>4674</v>
      </c>
      <c r="R98" s="10">
        <f t="shared" si="70"/>
        <v>47.00510881370932</v>
      </c>
      <c r="S98" s="8">
        <f t="shared" si="71"/>
        <v>0.13187221396731055</v>
      </c>
      <c r="T98" s="2">
        <f t="shared" si="72"/>
        <v>710</v>
      </c>
      <c r="U98" s="9"/>
      <c r="Z98" s="28" t="s">
        <v>426</v>
      </c>
      <c r="AA98" s="15">
        <v>58913</v>
      </c>
      <c r="AB98" s="7">
        <f t="shared" si="65"/>
        <v>0.59247153948268227</v>
      </c>
      <c r="AC98" s="15">
        <v>50839</v>
      </c>
      <c r="AD98" s="7">
        <f t="shared" si="66"/>
        <v>0.51127358300816605</v>
      </c>
      <c r="AE98" s="8">
        <f t="shared" si="67"/>
        <v>0.13704954763804253</v>
      </c>
      <c r="AF98" s="15">
        <f t="shared" si="68"/>
        <v>8074</v>
      </c>
      <c r="AK98" s="28" t="s">
        <v>426</v>
      </c>
      <c r="AL98" s="2">
        <v>4280271</v>
      </c>
      <c r="AM98" s="9">
        <f>AL98/J98</f>
        <v>9727.8886363636357</v>
      </c>
      <c r="AN98" s="10">
        <f t="shared" si="73"/>
        <v>43.045486544108776</v>
      </c>
      <c r="AO98" s="2">
        <v>2887348</v>
      </c>
      <c r="AP98" s="9">
        <f>AO98/J98</f>
        <v>6562.1545454545458</v>
      </c>
      <c r="AQ98" s="10">
        <f t="shared" si="74"/>
        <v>29.037250090510479</v>
      </c>
      <c r="AR98" s="8">
        <f t="shared" si="75"/>
        <v>0.32542869365047211</v>
      </c>
      <c r="AS98" s="2">
        <f t="shared" si="76"/>
        <v>1392923</v>
      </c>
      <c r="AX98" s="28" t="s">
        <v>426</v>
      </c>
      <c r="AY98" s="944">
        <v>15688400</v>
      </c>
      <c r="AZ98" s="42">
        <f t="shared" si="51"/>
        <v>157.77384448288348</v>
      </c>
      <c r="BA98" s="15">
        <v>15615290</v>
      </c>
      <c r="BB98" s="67">
        <v>1287470</v>
      </c>
      <c r="BC98" s="71"/>
      <c r="BD98" s="71">
        <v>4100</v>
      </c>
      <c r="BE98" s="15">
        <v>100000</v>
      </c>
      <c r="BF98" s="10">
        <f t="shared" si="77"/>
        <v>21.948228882833789</v>
      </c>
      <c r="BG98" s="1" t="s">
        <v>304</v>
      </c>
      <c r="BH98" s="11" t="s">
        <v>248</v>
      </c>
      <c r="BI98" s="346">
        <f>AY98-BA98</f>
        <v>73110</v>
      </c>
    </row>
    <row r="99" spans="1:62" s="41" customFormat="1" ht="71.25" x14ac:dyDescent="0.2">
      <c r="A99" s="245" t="s">
        <v>1186</v>
      </c>
      <c r="B99" s="11" t="s">
        <v>68</v>
      </c>
      <c r="C99" s="11" t="s">
        <v>650</v>
      </c>
      <c r="D99" s="1" t="s">
        <v>472</v>
      </c>
      <c r="E99" s="37">
        <v>41789</v>
      </c>
      <c r="F99" s="1" t="s">
        <v>4</v>
      </c>
      <c r="G99" s="33" t="s">
        <v>73</v>
      </c>
      <c r="H99" s="33" t="s">
        <v>73</v>
      </c>
      <c r="I99" s="4" t="s">
        <v>471</v>
      </c>
      <c r="J99" s="1" t="s">
        <v>13</v>
      </c>
      <c r="K99" s="2">
        <v>75843</v>
      </c>
      <c r="L99" s="246">
        <v>4</v>
      </c>
      <c r="M99" s="28" t="s">
        <v>1186</v>
      </c>
      <c r="N99" s="11" t="s">
        <v>247</v>
      </c>
      <c r="O99" s="2">
        <v>6819</v>
      </c>
      <c r="P99" s="10">
        <f t="shared" si="69"/>
        <v>89.909418140105231</v>
      </c>
      <c r="Q99" s="2">
        <v>5027</v>
      </c>
      <c r="R99" s="10">
        <f t="shared" si="70"/>
        <v>66.281660799282733</v>
      </c>
      <c r="S99" s="8">
        <f t="shared" si="71"/>
        <v>0.26279513125091658</v>
      </c>
      <c r="T99" s="2">
        <f t="shared" si="72"/>
        <v>1792</v>
      </c>
      <c r="U99" s="9"/>
      <c r="V99" s="3"/>
      <c r="W99" s="3"/>
      <c r="X99" s="3"/>
      <c r="Y99" s="3"/>
      <c r="Z99" s="28" t="s">
        <v>1186</v>
      </c>
      <c r="AA99" s="15">
        <v>96722</v>
      </c>
      <c r="AB99" s="7">
        <f t="shared" si="65"/>
        <v>1.2752923803119602</v>
      </c>
      <c r="AC99" s="15">
        <v>73792</v>
      </c>
      <c r="AD99" s="7">
        <f t="shared" si="66"/>
        <v>0.97295729335601178</v>
      </c>
      <c r="AE99" s="8">
        <f t="shared" si="67"/>
        <v>0.2370711937304853</v>
      </c>
      <c r="AF99" s="15">
        <f t="shared" si="68"/>
        <v>22930</v>
      </c>
      <c r="AG99" s="3"/>
      <c r="AH99" s="3"/>
      <c r="AI99" s="3"/>
      <c r="AJ99" s="3"/>
      <c r="AK99" s="28" t="s">
        <v>1186</v>
      </c>
      <c r="AL99" s="9">
        <v>1871360</v>
      </c>
      <c r="AM99" s="9" t="s">
        <v>13</v>
      </c>
      <c r="AN99" s="10">
        <f t="shared" si="73"/>
        <v>24.674129451630343</v>
      </c>
      <c r="AO99" s="9">
        <v>1215180</v>
      </c>
      <c r="AP99" s="19" t="s">
        <v>13</v>
      </c>
      <c r="AQ99" s="10">
        <f t="shared" si="74"/>
        <v>16.022309244096355</v>
      </c>
      <c r="AR99" s="8">
        <f t="shared" si="75"/>
        <v>0.35064338235294118</v>
      </c>
      <c r="AS99" s="2">
        <f t="shared" si="76"/>
        <v>656180</v>
      </c>
      <c r="AT99" s="14"/>
      <c r="AU99" s="3"/>
      <c r="AV99" s="3"/>
      <c r="AW99" s="3"/>
      <c r="AX99" s="245" t="s">
        <v>1186</v>
      </c>
      <c r="AY99" s="65">
        <v>25507078.25</v>
      </c>
      <c r="AZ99" s="42">
        <f t="shared" si="51"/>
        <v>336.31420500243922</v>
      </c>
      <c r="BA99" s="68">
        <v>21220000</v>
      </c>
      <c r="BB99" s="71">
        <v>2903738</v>
      </c>
      <c r="BC99" s="15">
        <v>154488</v>
      </c>
      <c r="BD99" s="15"/>
      <c r="BE99" s="255">
        <v>300000</v>
      </c>
      <c r="BF99" s="10">
        <f t="shared" si="77"/>
        <v>206.78439816833841</v>
      </c>
      <c r="BG99" s="1" t="s">
        <v>473</v>
      </c>
      <c r="BH99" s="11" t="s">
        <v>247</v>
      </c>
    </row>
    <row r="100" spans="1:62" s="41" customFormat="1" ht="28.5" x14ac:dyDescent="0.2">
      <c r="A100" s="245" t="s">
        <v>495</v>
      </c>
      <c r="B100" s="11" t="s">
        <v>198</v>
      </c>
      <c r="C100" s="11"/>
      <c r="D100" s="1" t="s">
        <v>543</v>
      </c>
      <c r="E100" s="37">
        <v>41869</v>
      </c>
      <c r="F100" s="11" t="s">
        <v>22</v>
      </c>
      <c r="G100" s="33" t="s">
        <v>73</v>
      </c>
      <c r="H100" s="33" t="s">
        <v>73</v>
      </c>
      <c r="I100" s="28" t="s">
        <v>496</v>
      </c>
      <c r="J100" s="1">
        <v>275</v>
      </c>
      <c r="K100" s="2">
        <v>109249</v>
      </c>
      <c r="L100" s="246">
        <v>7</v>
      </c>
      <c r="M100" s="28" t="s">
        <v>495</v>
      </c>
      <c r="N100" s="11" t="s">
        <v>248</v>
      </c>
      <c r="O100" s="2">
        <v>9552</v>
      </c>
      <c r="P100" s="10">
        <f t="shared" si="69"/>
        <v>87.433294583932124</v>
      </c>
      <c r="Q100" s="2">
        <v>8694</v>
      </c>
      <c r="R100" s="10">
        <f t="shared" si="70"/>
        <v>79.579675786506058</v>
      </c>
      <c r="S100" s="8">
        <f t="shared" si="71"/>
        <v>8.9824120603015076E-2</v>
      </c>
      <c r="T100" s="2">
        <f t="shared" si="72"/>
        <v>858</v>
      </c>
      <c r="U100" s="9"/>
      <c r="V100" s="3"/>
      <c r="W100" s="3"/>
      <c r="X100" s="3"/>
      <c r="Y100" s="3"/>
      <c r="Z100" s="28" t="s">
        <v>495</v>
      </c>
      <c r="AA100" s="15">
        <v>229389</v>
      </c>
      <c r="AB100" s="7">
        <f t="shared" si="65"/>
        <v>2.099689699676885</v>
      </c>
      <c r="AC100" s="15">
        <v>203080</v>
      </c>
      <c r="AD100" s="7">
        <f t="shared" si="66"/>
        <v>1.8588728500947378</v>
      </c>
      <c r="AE100" s="8">
        <f t="shared" si="67"/>
        <v>0.11469163734965496</v>
      </c>
      <c r="AF100" s="15">
        <f t="shared" si="68"/>
        <v>26309</v>
      </c>
      <c r="AG100" s="3"/>
      <c r="AH100" s="3"/>
      <c r="AI100" s="3"/>
      <c r="AJ100" s="3"/>
      <c r="AK100" s="28" t="s">
        <v>495</v>
      </c>
      <c r="AL100" s="2">
        <v>926079</v>
      </c>
      <c r="AM100" s="9">
        <f>AL100/J100</f>
        <v>3367.56</v>
      </c>
      <c r="AN100" s="10">
        <f t="shared" si="73"/>
        <v>8.4767732427756783</v>
      </c>
      <c r="AO100" s="2">
        <v>589878</v>
      </c>
      <c r="AP100" s="9">
        <f>AO100/J100</f>
        <v>2145.0109090909091</v>
      </c>
      <c r="AQ100" s="10">
        <f t="shared" si="74"/>
        <v>5.3993903834360042</v>
      </c>
      <c r="AR100" s="8">
        <f t="shared" si="75"/>
        <v>0.36303706271279235</v>
      </c>
      <c r="AS100" s="2">
        <f t="shared" si="76"/>
        <v>336201</v>
      </c>
      <c r="AT100" s="3"/>
      <c r="AU100" s="3"/>
      <c r="AV100" s="3"/>
      <c r="AW100" s="3"/>
      <c r="AX100" s="245" t="s">
        <v>495</v>
      </c>
      <c r="AY100" s="1236">
        <v>24351716</v>
      </c>
      <c r="AZ100" s="42">
        <f t="shared" si="51"/>
        <v>222.90104257247205</v>
      </c>
      <c r="BA100" s="15">
        <v>24137876</v>
      </c>
      <c r="BB100" s="1237">
        <v>1961668</v>
      </c>
      <c r="BC100" s="71">
        <v>53300</v>
      </c>
      <c r="BD100" s="71">
        <v>31970</v>
      </c>
      <c r="BE100" s="256">
        <v>250000</v>
      </c>
      <c r="BF100" s="10">
        <f t="shared" si="77"/>
        <v>20.871564863734843</v>
      </c>
      <c r="BG100" s="1" t="s">
        <v>296</v>
      </c>
      <c r="BH100" s="11" t="s">
        <v>248</v>
      </c>
      <c r="BI100" s="346"/>
      <c r="BJ100" s="3"/>
    </row>
    <row r="101" spans="1:62" s="41" customFormat="1" ht="28.5" x14ac:dyDescent="0.2">
      <c r="A101" s="245" t="s">
        <v>251</v>
      </c>
      <c r="B101" s="11" t="s">
        <v>252</v>
      </c>
      <c r="C101" s="11"/>
      <c r="D101" s="1" t="s">
        <v>427</v>
      </c>
      <c r="E101" s="37">
        <v>41829</v>
      </c>
      <c r="F101" s="1" t="s">
        <v>10</v>
      </c>
      <c r="G101" s="33" t="s">
        <v>73</v>
      </c>
      <c r="H101" s="33" t="s">
        <v>73</v>
      </c>
      <c r="I101" s="4" t="s">
        <v>200</v>
      </c>
      <c r="J101" s="1" t="s">
        <v>13</v>
      </c>
      <c r="K101" s="2">
        <v>35357</v>
      </c>
      <c r="L101" s="246">
        <v>2</v>
      </c>
      <c r="M101" s="28" t="s">
        <v>251</v>
      </c>
      <c r="N101" s="11" t="s">
        <v>249</v>
      </c>
      <c r="O101" s="2">
        <v>7819</v>
      </c>
      <c r="P101" s="10">
        <f t="shared" si="69"/>
        <v>221.14432785587013</v>
      </c>
      <c r="Q101" s="2">
        <v>5719</v>
      </c>
      <c r="R101" s="10">
        <f t="shared" si="70"/>
        <v>161.75014848544842</v>
      </c>
      <c r="S101" s="8">
        <f t="shared" si="71"/>
        <v>0.26857654431512984</v>
      </c>
      <c r="T101" s="2">
        <f t="shared" si="72"/>
        <v>2100</v>
      </c>
      <c r="U101" s="9">
        <v>0</v>
      </c>
      <c r="V101" s="3"/>
      <c r="W101" s="3"/>
      <c r="X101" s="3"/>
      <c r="Y101" s="3"/>
      <c r="Z101" s="28" t="s">
        <v>251</v>
      </c>
      <c r="AA101" s="15">
        <v>205920</v>
      </c>
      <c r="AB101" s="7">
        <f t="shared" si="65"/>
        <v>5.8240235314082076</v>
      </c>
      <c r="AC101" s="15">
        <v>148867</v>
      </c>
      <c r="AD101" s="7">
        <f t="shared" si="66"/>
        <v>4.2103968096840791</v>
      </c>
      <c r="AE101" s="8">
        <f t="shared" si="67"/>
        <v>0.27706390831390831</v>
      </c>
      <c r="AF101" s="15">
        <f t="shared" si="68"/>
        <v>57053</v>
      </c>
      <c r="AG101" s="3"/>
      <c r="AH101" s="3"/>
      <c r="AI101" s="3"/>
      <c r="AJ101" s="3"/>
      <c r="AK101" s="28" t="s">
        <v>251</v>
      </c>
      <c r="AL101" s="9">
        <v>90384</v>
      </c>
      <c r="AM101" s="19" t="s">
        <v>13</v>
      </c>
      <c r="AN101" s="10">
        <f t="shared" si="73"/>
        <v>2.55632548010295</v>
      </c>
      <c r="AO101" s="9">
        <v>69048</v>
      </c>
      <c r="AP101" s="19" t="s">
        <v>13</v>
      </c>
      <c r="AQ101" s="10">
        <f t="shared" si="74"/>
        <v>1.9528806176994655</v>
      </c>
      <c r="AR101" s="8">
        <f t="shared" si="75"/>
        <v>0.23605947955390336</v>
      </c>
      <c r="AS101" s="2">
        <f t="shared" si="76"/>
        <v>21336</v>
      </c>
      <c r="AT101" s="14"/>
      <c r="AU101" s="3"/>
      <c r="AV101" s="3"/>
      <c r="AW101" s="3"/>
      <c r="AX101" s="245" t="s">
        <v>251</v>
      </c>
      <c r="AY101" s="65">
        <v>14101085</v>
      </c>
      <c r="AZ101" s="42">
        <f t="shared" si="51"/>
        <v>398.82017705122041</v>
      </c>
      <c r="BA101" s="68">
        <v>13630000</v>
      </c>
      <c r="BB101" s="71">
        <v>1440000</v>
      </c>
      <c r="BC101" s="15"/>
      <c r="BD101" s="15"/>
      <c r="BE101" s="255">
        <v>120000</v>
      </c>
      <c r="BF101" s="10">
        <f t="shared" si="77"/>
        <v>10.360279038788494</v>
      </c>
      <c r="BG101" s="1" t="s">
        <v>295</v>
      </c>
      <c r="BH101" s="11" t="s">
        <v>249</v>
      </c>
      <c r="BJ101" s="41" t="s">
        <v>38</v>
      </c>
    </row>
    <row r="102" spans="1:62" s="41" customFormat="1" ht="42.75" x14ac:dyDescent="0.2">
      <c r="A102" s="245" t="s">
        <v>414</v>
      </c>
      <c r="B102" s="11" t="s">
        <v>130</v>
      </c>
      <c r="C102" s="11"/>
      <c r="D102" s="1" t="s">
        <v>511</v>
      </c>
      <c r="E102" s="37">
        <v>41733</v>
      </c>
      <c r="F102" s="1" t="s">
        <v>22</v>
      </c>
      <c r="G102" s="33" t="s">
        <v>73</v>
      </c>
      <c r="H102" s="33" t="s">
        <v>73</v>
      </c>
      <c r="I102" s="4" t="s">
        <v>415</v>
      </c>
      <c r="J102" s="1" t="s">
        <v>13</v>
      </c>
      <c r="K102" s="2">
        <v>36700</v>
      </c>
      <c r="L102" s="246">
        <v>1</v>
      </c>
      <c r="M102" s="28" t="s">
        <v>414</v>
      </c>
      <c r="N102" s="11"/>
      <c r="O102" s="2">
        <v>1102.3800000000001</v>
      </c>
      <c r="P102" s="10">
        <f t="shared" si="69"/>
        <v>30.037602179836515</v>
      </c>
      <c r="Q102" s="2"/>
      <c r="R102" s="10"/>
      <c r="S102" s="8"/>
      <c r="T102" s="2"/>
      <c r="U102" s="9"/>
      <c r="V102" s="3"/>
      <c r="W102" s="3"/>
      <c r="X102" s="3"/>
      <c r="Y102" s="3"/>
      <c r="Z102" s="28" t="s">
        <v>414</v>
      </c>
      <c r="AA102" s="15">
        <v>63506</v>
      </c>
      <c r="AB102" s="7">
        <f t="shared" si="65"/>
        <v>1.7304087193460491</v>
      </c>
      <c r="AC102" s="15">
        <f>0.7*AA102</f>
        <v>44454.2</v>
      </c>
      <c r="AD102" s="7">
        <f t="shared" si="66"/>
        <v>1.2112861035422342</v>
      </c>
      <c r="AE102" s="8">
        <f t="shared" si="67"/>
        <v>0.30000000000000004</v>
      </c>
      <c r="AF102" s="15">
        <f t="shared" si="68"/>
        <v>19051.800000000003</v>
      </c>
      <c r="AG102" s="3"/>
      <c r="AH102" s="3"/>
      <c r="AI102" s="3"/>
      <c r="AJ102" s="3"/>
      <c r="AK102" s="28" t="s">
        <v>414</v>
      </c>
      <c r="AL102" s="9"/>
      <c r="AM102" s="9"/>
      <c r="AN102" s="2"/>
      <c r="AO102" s="9"/>
      <c r="AP102" s="9"/>
      <c r="AQ102" s="2"/>
      <c r="AR102" s="8"/>
      <c r="AS102" s="2"/>
      <c r="AT102" s="14"/>
      <c r="AU102" s="3"/>
      <c r="AV102" s="3"/>
      <c r="AW102" s="3"/>
      <c r="AX102" s="245" t="s">
        <v>414</v>
      </c>
      <c r="AY102" s="65">
        <v>6528314</v>
      </c>
      <c r="AZ102" s="42">
        <f t="shared" si="51"/>
        <v>177.88321525885559</v>
      </c>
      <c r="BA102" s="68">
        <f>0.95*AY102</f>
        <v>6201898.2999999998</v>
      </c>
      <c r="BB102" s="71">
        <v>539733</v>
      </c>
      <c r="BC102" s="15">
        <v>12290</v>
      </c>
      <c r="BD102" s="15">
        <v>8000</v>
      </c>
      <c r="BE102" s="255">
        <v>37090</v>
      </c>
      <c r="BF102" s="10">
        <f t="shared" si="77"/>
        <v>20.144852454886159</v>
      </c>
      <c r="BG102" s="11" t="s">
        <v>512</v>
      </c>
      <c r="BH102" s="11"/>
    </row>
    <row r="103" spans="1:62" s="41" customFormat="1" ht="42.75" x14ac:dyDescent="0.2">
      <c r="A103" s="245" t="s">
        <v>425</v>
      </c>
      <c r="B103" s="11" t="s">
        <v>63</v>
      </c>
      <c r="C103" s="11" t="s">
        <v>545</v>
      </c>
      <c r="D103" s="1" t="s">
        <v>517</v>
      </c>
      <c r="E103" s="37">
        <v>41737</v>
      </c>
      <c r="F103" s="1" t="s">
        <v>4</v>
      </c>
      <c r="G103" s="33" t="s">
        <v>73</v>
      </c>
      <c r="H103" s="33" t="s">
        <v>73</v>
      </c>
      <c r="I103" s="4" t="s">
        <v>135</v>
      </c>
      <c r="J103" s="1">
        <v>419</v>
      </c>
      <c r="K103" s="2">
        <v>157219</v>
      </c>
      <c r="L103" s="246">
        <v>6</v>
      </c>
      <c r="M103" s="28" t="s">
        <v>425</v>
      </c>
      <c r="N103" s="11" t="s">
        <v>249</v>
      </c>
      <c r="O103" s="2">
        <v>8498</v>
      </c>
      <c r="P103" s="10">
        <f t="shared" si="69"/>
        <v>54.051991171550512</v>
      </c>
      <c r="Q103" s="2">
        <v>7032</v>
      </c>
      <c r="R103" s="10">
        <f t="shared" ref="R103:R116" si="78">Q103/K103*1000</f>
        <v>44.727418441791386</v>
      </c>
      <c r="S103" s="8">
        <f t="shared" ref="S103:S116" si="79">(O103-Q103)/O103</f>
        <v>0.17251117910096495</v>
      </c>
      <c r="T103" s="2">
        <f t="shared" ref="T103:T116" si="80">O103-Q103</f>
        <v>1466</v>
      </c>
      <c r="U103" s="9"/>
      <c r="V103" s="3"/>
      <c r="W103" s="3"/>
      <c r="X103" s="3"/>
      <c r="Y103" s="3"/>
      <c r="Z103" s="28" t="s">
        <v>425</v>
      </c>
      <c r="AA103" s="15">
        <v>149191</v>
      </c>
      <c r="AB103" s="7">
        <f t="shared" si="65"/>
        <v>0.94893746938983203</v>
      </c>
      <c r="AC103" s="15">
        <v>140621</v>
      </c>
      <c r="AD103" s="7">
        <f t="shared" si="66"/>
        <v>0.89442751830249523</v>
      </c>
      <c r="AE103" s="8">
        <f t="shared" si="67"/>
        <v>5.744314335315133E-2</v>
      </c>
      <c r="AF103" s="15">
        <f t="shared" si="68"/>
        <v>8570</v>
      </c>
      <c r="AG103" s="3"/>
      <c r="AH103" s="3"/>
      <c r="AI103" s="3"/>
      <c r="AJ103" s="3"/>
      <c r="AK103" s="28" t="s">
        <v>425</v>
      </c>
      <c r="AL103" s="2">
        <v>4009898</v>
      </c>
      <c r="AM103" s="9">
        <f>AL103/J103</f>
        <v>9570.1622911694503</v>
      </c>
      <c r="AN103" s="10">
        <f t="shared" ref="AN103:AN114" si="81">AL103/K103</f>
        <v>25.505174310992945</v>
      </c>
      <c r="AO103" s="2">
        <v>2294948</v>
      </c>
      <c r="AP103" s="9">
        <f>AO103/J103</f>
        <v>5477.2028639618138</v>
      </c>
      <c r="AQ103" s="10">
        <f t="shared" ref="AQ103:AQ114" si="82">AO103/K103</f>
        <v>14.597141566858967</v>
      </c>
      <c r="AR103" s="8">
        <f t="shared" ref="AR103:AR111" si="83">(AL103-AO103)/AL103</f>
        <v>0.42767920780029817</v>
      </c>
      <c r="AS103" s="2">
        <f t="shared" ref="AS103:AS114" si="84">AL103-AO103</f>
        <v>1714950</v>
      </c>
      <c r="AT103" s="3"/>
      <c r="AU103" s="3"/>
      <c r="AV103" s="3"/>
      <c r="AW103" s="3"/>
      <c r="AX103" s="245" t="s">
        <v>425</v>
      </c>
      <c r="AY103" s="65">
        <v>37955586</v>
      </c>
      <c r="AZ103" s="42">
        <f t="shared" si="51"/>
        <v>241.41856900247424</v>
      </c>
      <c r="BA103" s="15">
        <v>34937000</v>
      </c>
      <c r="BB103" s="73">
        <v>3018220</v>
      </c>
      <c r="BC103" s="15"/>
      <c r="BD103" s="15">
        <v>27500</v>
      </c>
      <c r="BE103" s="256">
        <v>164340</v>
      </c>
      <c r="BF103" s="10">
        <f t="shared" si="77"/>
        <v>374.61213535589263</v>
      </c>
      <c r="BG103" s="1" t="s">
        <v>313</v>
      </c>
      <c r="BH103" s="11" t="s">
        <v>247</v>
      </c>
      <c r="BI103" s="3"/>
      <c r="BJ103" s="3"/>
    </row>
    <row r="104" spans="1:62" s="41" customFormat="1" ht="42.75" x14ac:dyDescent="0.2">
      <c r="A104" s="245" t="s">
        <v>514</v>
      </c>
      <c r="B104" s="11" t="s">
        <v>63</v>
      </c>
      <c r="C104" s="11" t="s">
        <v>545</v>
      </c>
      <c r="D104" s="1" t="s">
        <v>513</v>
      </c>
      <c r="E104" s="37">
        <v>41813</v>
      </c>
      <c r="F104" s="11" t="s">
        <v>4</v>
      </c>
      <c r="G104" s="33" t="s">
        <v>73</v>
      </c>
      <c r="H104" s="33" t="s">
        <v>73</v>
      </c>
      <c r="I104" s="28" t="s">
        <v>135</v>
      </c>
      <c r="J104" s="1">
        <v>95</v>
      </c>
      <c r="K104" s="2">
        <v>29845</v>
      </c>
      <c r="L104" s="246">
        <v>3</v>
      </c>
      <c r="M104" s="28" t="s">
        <v>514</v>
      </c>
      <c r="N104" s="11" t="s">
        <v>249</v>
      </c>
      <c r="O104" s="2">
        <v>2122</v>
      </c>
      <c r="P104" s="12">
        <f t="shared" si="69"/>
        <v>71.100686882224835</v>
      </c>
      <c r="Q104" s="2">
        <v>1669</v>
      </c>
      <c r="R104" s="10">
        <f t="shared" si="78"/>
        <v>55.922265036019439</v>
      </c>
      <c r="S104" s="8">
        <f t="shared" si="79"/>
        <v>0.21347785108388312</v>
      </c>
      <c r="T104" s="2">
        <f t="shared" si="80"/>
        <v>453</v>
      </c>
      <c r="U104" s="9"/>
      <c r="V104" s="3"/>
      <c r="W104" s="3"/>
      <c r="X104" s="3"/>
      <c r="Y104" s="3"/>
      <c r="Z104" s="28" t="s">
        <v>514</v>
      </c>
      <c r="AA104" s="15">
        <v>34775</v>
      </c>
      <c r="AB104" s="7">
        <f t="shared" si="65"/>
        <v>1.1651867984587032</v>
      </c>
      <c r="AC104" s="15">
        <v>26751</v>
      </c>
      <c r="AD104" s="7">
        <f t="shared" si="66"/>
        <v>0.89633104372591721</v>
      </c>
      <c r="AE104" s="8">
        <f t="shared" si="67"/>
        <v>0.23074047447879223</v>
      </c>
      <c r="AF104" s="15">
        <f t="shared" si="68"/>
        <v>8024</v>
      </c>
      <c r="AG104" s="3"/>
      <c r="AH104" s="3"/>
      <c r="AI104" s="3"/>
      <c r="AJ104" s="3"/>
      <c r="AK104" s="28" t="s">
        <v>514</v>
      </c>
      <c r="AL104" s="2">
        <v>1069151</v>
      </c>
      <c r="AM104" s="2">
        <f>AL104/J104</f>
        <v>11254.221052631579</v>
      </c>
      <c r="AN104" s="2">
        <f t="shared" si="81"/>
        <v>35.82345451499414</v>
      </c>
      <c r="AO104" s="2">
        <v>696432</v>
      </c>
      <c r="AP104" s="9">
        <f>AO104/J104</f>
        <v>7330.863157894737</v>
      </c>
      <c r="AQ104" s="10">
        <f t="shared" si="82"/>
        <v>23.334963980566258</v>
      </c>
      <c r="AR104" s="8">
        <f t="shared" si="83"/>
        <v>0.34861212307709577</v>
      </c>
      <c r="AS104" s="2">
        <f t="shared" si="84"/>
        <v>372719</v>
      </c>
      <c r="AT104" s="3"/>
      <c r="AU104" s="3"/>
      <c r="AV104" s="3"/>
      <c r="AW104" s="3"/>
      <c r="AX104" s="245" t="s">
        <v>514</v>
      </c>
      <c r="AY104" s="1236">
        <f>0.36*14905786</f>
        <v>5366082.96</v>
      </c>
      <c r="AZ104" s="42">
        <f t="shared" si="51"/>
        <v>179.7983903501424</v>
      </c>
      <c r="BA104" s="15">
        <f>0.36*14328323</f>
        <v>5158196.28</v>
      </c>
      <c r="BB104" s="67">
        <f>0.36*1245525</f>
        <v>448389</v>
      </c>
      <c r="BC104" s="71"/>
      <c r="BD104" s="71">
        <f>0.36*9200</f>
        <v>3312</v>
      </c>
      <c r="BE104" s="256">
        <f>0.36*65000</f>
        <v>23400</v>
      </c>
      <c r="BF104" s="10">
        <f t="shared" si="77"/>
        <v>29.237123629112624</v>
      </c>
      <c r="BG104" s="1" t="s">
        <v>311</v>
      </c>
      <c r="BH104" s="11" t="s">
        <v>249</v>
      </c>
      <c r="BI104" s="346"/>
      <c r="BJ104" s="3"/>
    </row>
    <row r="105" spans="1:62" s="3" customFormat="1" ht="42.75" x14ac:dyDescent="0.2">
      <c r="A105" s="28" t="s">
        <v>515</v>
      </c>
      <c r="B105" s="11" t="s">
        <v>63</v>
      </c>
      <c r="C105" s="11" t="s">
        <v>545</v>
      </c>
      <c r="D105" s="1" t="s">
        <v>513</v>
      </c>
      <c r="E105" s="37">
        <v>41813</v>
      </c>
      <c r="F105" s="11" t="s">
        <v>4</v>
      </c>
      <c r="G105" s="33" t="s">
        <v>73</v>
      </c>
      <c r="H105" s="33" t="s">
        <v>73</v>
      </c>
      <c r="I105" s="28" t="s">
        <v>135</v>
      </c>
      <c r="J105" s="1">
        <v>64</v>
      </c>
      <c r="K105" s="2">
        <v>23270</v>
      </c>
      <c r="L105" s="14">
        <v>3</v>
      </c>
      <c r="M105" s="28" t="s">
        <v>515</v>
      </c>
      <c r="N105" s="11" t="s">
        <v>249</v>
      </c>
      <c r="O105" s="2">
        <v>1704</v>
      </c>
      <c r="P105" s="12">
        <f t="shared" si="69"/>
        <v>73.227331327889985</v>
      </c>
      <c r="Q105" s="2">
        <v>1196</v>
      </c>
      <c r="R105" s="10">
        <f t="shared" si="78"/>
        <v>51.396648044692739</v>
      </c>
      <c r="S105" s="8">
        <f t="shared" si="79"/>
        <v>0.2981220657276995</v>
      </c>
      <c r="T105" s="2">
        <f t="shared" si="80"/>
        <v>508</v>
      </c>
      <c r="U105" s="9"/>
      <c r="Z105" s="28" t="s">
        <v>515</v>
      </c>
      <c r="AA105" s="15">
        <v>28673</v>
      </c>
      <c r="AB105" s="7">
        <f t="shared" si="65"/>
        <v>1.2321873657069187</v>
      </c>
      <c r="AC105" s="15">
        <v>19427</v>
      </c>
      <c r="AD105" s="7">
        <f t="shared" si="66"/>
        <v>0.83485174043833266</v>
      </c>
      <c r="AE105" s="8">
        <f t="shared" si="67"/>
        <v>0.32246364175356607</v>
      </c>
      <c r="AF105" s="15">
        <f t="shared" si="68"/>
        <v>9246</v>
      </c>
      <c r="AK105" s="28" t="s">
        <v>515</v>
      </c>
      <c r="AL105" s="2">
        <v>710168</v>
      </c>
      <c r="AM105" s="2">
        <f>AL105/J105</f>
        <v>11096.375</v>
      </c>
      <c r="AN105" s="2">
        <f t="shared" si="81"/>
        <v>30.518607649333905</v>
      </c>
      <c r="AO105" s="2">
        <v>462765</v>
      </c>
      <c r="AP105" s="9">
        <f>AO105/J105</f>
        <v>7230.703125</v>
      </c>
      <c r="AQ105" s="10">
        <f t="shared" si="82"/>
        <v>19.886764073914911</v>
      </c>
      <c r="AR105" s="8">
        <f t="shared" si="83"/>
        <v>0.34837249777517432</v>
      </c>
      <c r="AS105" s="2">
        <f t="shared" si="84"/>
        <v>247403</v>
      </c>
      <c r="AX105" s="28" t="s">
        <v>515</v>
      </c>
      <c r="AY105" s="1236">
        <f>0.28*14905786</f>
        <v>4173620.0800000005</v>
      </c>
      <c r="AZ105" s="42">
        <f t="shared" si="51"/>
        <v>179.35625612376452</v>
      </c>
      <c r="BA105" s="15">
        <f>0.28*14328323</f>
        <v>4011930.4400000004</v>
      </c>
      <c r="BB105" s="67">
        <f>0.28*1245525</f>
        <v>348747.00000000006</v>
      </c>
      <c r="BC105" s="71"/>
      <c r="BD105" s="71">
        <f>0.28*9200</f>
        <v>2576.0000000000005</v>
      </c>
      <c r="BE105" s="15">
        <f>0.28*65000</f>
        <v>18200</v>
      </c>
      <c r="BF105" s="10">
        <f t="shared" si="77"/>
        <v>19.734548994159649</v>
      </c>
      <c r="BG105" s="1" t="s">
        <v>311</v>
      </c>
      <c r="BH105" s="11" t="s">
        <v>249</v>
      </c>
      <c r="BI105" s="346"/>
    </row>
    <row r="106" spans="1:62" s="3" customFormat="1" ht="42.75" x14ac:dyDescent="0.2">
      <c r="A106" s="28" t="s">
        <v>516</v>
      </c>
      <c r="B106" s="11" t="s">
        <v>63</v>
      </c>
      <c r="C106" s="11" t="s">
        <v>545</v>
      </c>
      <c r="D106" s="1" t="s">
        <v>513</v>
      </c>
      <c r="E106" s="37">
        <v>41813</v>
      </c>
      <c r="F106" s="11" t="s">
        <v>4</v>
      </c>
      <c r="G106" s="33" t="s">
        <v>73</v>
      </c>
      <c r="H106" s="33" t="s">
        <v>73</v>
      </c>
      <c r="I106" s="28" t="s">
        <v>135</v>
      </c>
      <c r="J106" s="1">
        <v>95</v>
      </c>
      <c r="K106" s="2">
        <v>29799</v>
      </c>
      <c r="L106" s="14">
        <v>3</v>
      </c>
      <c r="M106" s="28" t="s">
        <v>516</v>
      </c>
      <c r="N106" s="11" t="s">
        <v>249</v>
      </c>
      <c r="O106" s="2">
        <v>2122</v>
      </c>
      <c r="P106" s="12">
        <f t="shared" si="69"/>
        <v>71.210443303466562</v>
      </c>
      <c r="Q106" s="2">
        <v>1669</v>
      </c>
      <c r="R106" s="10">
        <f t="shared" si="78"/>
        <v>56.008590892311823</v>
      </c>
      <c r="S106" s="8">
        <f t="shared" si="79"/>
        <v>0.21347785108388312</v>
      </c>
      <c r="T106" s="2">
        <f t="shared" si="80"/>
        <v>453</v>
      </c>
      <c r="U106" s="9"/>
      <c r="Z106" s="28" t="s">
        <v>516</v>
      </c>
      <c r="AA106" s="15">
        <v>34775</v>
      </c>
      <c r="AB106" s="7">
        <f t="shared" si="65"/>
        <v>1.1669854693110506</v>
      </c>
      <c r="AC106" s="15">
        <v>26751</v>
      </c>
      <c r="AD106" s="7">
        <f t="shared" si="66"/>
        <v>0.89771468841236279</v>
      </c>
      <c r="AE106" s="8">
        <f t="shared" si="67"/>
        <v>0.23074047447879223</v>
      </c>
      <c r="AF106" s="15">
        <f t="shared" si="68"/>
        <v>8024</v>
      </c>
      <c r="AK106" s="28" t="s">
        <v>516</v>
      </c>
      <c r="AL106" s="2">
        <v>1069151</v>
      </c>
      <c r="AM106" s="2">
        <f>AL106/J106</f>
        <v>11254.221052631579</v>
      </c>
      <c r="AN106" s="2">
        <f t="shared" si="81"/>
        <v>35.878754320614789</v>
      </c>
      <c r="AO106" s="2">
        <v>696432</v>
      </c>
      <c r="AP106" s="9">
        <f>AO106/J106</f>
        <v>7330.863157894737</v>
      </c>
      <c r="AQ106" s="10">
        <f t="shared" si="82"/>
        <v>23.370985603543744</v>
      </c>
      <c r="AR106" s="8">
        <f t="shared" si="83"/>
        <v>0.34861212307709577</v>
      </c>
      <c r="AS106" s="2">
        <f t="shared" si="84"/>
        <v>372719</v>
      </c>
      <c r="AX106" s="28" t="s">
        <v>516</v>
      </c>
      <c r="AY106" s="1238">
        <f>0.36*14905786</f>
        <v>5366082.96</v>
      </c>
      <c r="AZ106" s="42">
        <f t="shared" si="51"/>
        <v>180.07594080338265</v>
      </c>
      <c r="BA106" s="15">
        <f>0.36*14328323</f>
        <v>5158196.28</v>
      </c>
      <c r="BB106" s="433">
        <f>0.36*1245525</f>
        <v>448389</v>
      </c>
      <c r="BC106" s="71"/>
      <c r="BD106" s="71">
        <f>0.36*9200</f>
        <v>3312</v>
      </c>
      <c r="BE106" s="15">
        <f>0.36*65000</f>
        <v>23400</v>
      </c>
      <c r="BF106" s="10">
        <f t="shared" si="77"/>
        <v>29.237123629112624</v>
      </c>
      <c r="BG106" s="1" t="s">
        <v>311</v>
      </c>
      <c r="BH106" s="11" t="s">
        <v>249</v>
      </c>
      <c r="BI106" s="346"/>
      <c r="BJ106" s="3" t="s">
        <v>38</v>
      </c>
    </row>
    <row r="107" spans="1:62" s="3" customFormat="1" ht="57" hidden="1" x14ac:dyDescent="0.2">
      <c r="A107" s="28" t="s">
        <v>422</v>
      </c>
      <c r="B107" s="11" t="s">
        <v>180</v>
      </c>
      <c r="C107" s="11"/>
      <c r="D107" s="1" t="s">
        <v>181</v>
      </c>
      <c r="E107" s="37">
        <v>41226</v>
      </c>
      <c r="F107" s="1" t="s">
        <v>4</v>
      </c>
      <c r="G107" s="33" t="s">
        <v>73</v>
      </c>
      <c r="H107" s="33" t="s">
        <v>73</v>
      </c>
      <c r="I107" s="28" t="s">
        <v>182</v>
      </c>
      <c r="J107" s="1" t="s">
        <v>13</v>
      </c>
      <c r="K107" s="2">
        <v>185810</v>
      </c>
      <c r="L107" s="14">
        <v>6</v>
      </c>
      <c r="M107" s="28" t="s">
        <v>179</v>
      </c>
      <c r="N107" s="11" t="s">
        <v>247</v>
      </c>
      <c r="O107" s="2">
        <v>10582</v>
      </c>
      <c r="P107" s="10">
        <f t="shared" si="69"/>
        <v>56.950648511920775</v>
      </c>
      <c r="Q107" s="2">
        <v>3675</v>
      </c>
      <c r="R107" s="10">
        <f t="shared" si="78"/>
        <v>19.778268123351811</v>
      </c>
      <c r="S107" s="8">
        <f t="shared" si="79"/>
        <v>0.65271215271215266</v>
      </c>
      <c r="T107" s="2">
        <f t="shared" si="80"/>
        <v>6907</v>
      </c>
      <c r="U107" s="9">
        <v>0</v>
      </c>
      <c r="Z107" s="28" t="s">
        <v>179</v>
      </c>
      <c r="AA107" s="15">
        <v>267259</v>
      </c>
      <c r="AB107" s="7">
        <f t="shared" si="65"/>
        <v>1.4383456218718045</v>
      </c>
      <c r="AC107" s="15">
        <v>93214</v>
      </c>
      <c r="AD107" s="7">
        <f t="shared" si="66"/>
        <v>0.5016629890748614</v>
      </c>
      <c r="AE107" s="8">
        <f t="shared" si="67"/>
        <v>0.65122222263796536</v>
      </c>
      <c r="AF107" s="15">
        <f t="shared" si="68"/>
        <v>174045</v>
      </c>
      <c r="AK107" s="28" t="s">
        <v>179</v>
      </c>
      <c r="AL107" s="2">
        <v>115375</v>
      </c>
      <c r="AM107" s="9" t="s">
        <v>13</v>
      </c>
      <c r="AN107" s="7">
        <f t="shared" si="81"/>
        <v>0.62092998223992246</v>
      </c>
      <c r="AO107" s="2">
        <v>50944</v>
      </c>
      <c r="AP107" s="9" t="s">
        <v>13</v>
      </c>
      <c r="AQ107" s="7">
        <f t="shared" si="82"/>
        <v>0.27417254184381895</v>
      </c>
      <c r="AR107" s="8">
        <f t="shared" si="83"/>
        <v>0.55844853737811484</v>
      </c>
      <c r="AS107" s="2">
        <f t="shared" si="84"/>
        <v>64431</v>
      </c>
      <c r="AX107" s="28" t="s">
        <v>179</v>
      </c>
      <c r="AY107" s="65">
        <v>45400738</v>
      </c>
      <c r="AZ107" s="42">
        <f t="shared" si="51"/>
        <v>244.33958344545505</v>
      </c>
      <c r="BA107" s="15">
        <v>42736000</v>
      </c>
      <c r="BB107" s="29" t="s">
        <v>260</v>
      </c>
      <c r="BC107" s="15"/>
      <c r="BD107" s="15"/>
      <c r="BE107" s="15"/>
      <c r="BF107" s="10">
        <f t="shared" si="77"/>
        <v>15.31062656209601</v>
      </c>
      <c r="BG107" s="1"/>
      <c r="BH107" s="11" t="s">
        <v>247</v>
      </c>
      <c r="BI107" s="41"/>
      <c r="BJ107" s="41"/>
    </row>
    <row r="108" spans="1:62" s="41" customFormat="1" ht="42.75" hidden="1" x14ac:dyDescent="0.2">
      <c r="A108" s="245" t="s">
        <v>431</v>
      </c>
      <c r="B108" s="11" t="s">
        <v>227</v>
      </c>
      <c r="C108" s="11"/>
      <c r="D108" s="1" t="s">
        <v>228</v>
      </c>
      <c r="E108" s="37">
        <v>41299</v>
      </c>
      <c r="F108" s="1" t="s">
        <v>4</v>
      </c>
      <c r="G108" s="33" t="s">
        <v>73</v>
      </c>
      <c r="H108" s="33" t="s">
        <v>73</v>
      </c>
      <c r="I108" s="4" t="s">
        <v>229</v>
      </c>
      <c r="J108" s="1" t="s">
        <v>13</v>
      </c>
      <c r="K108" s="2">
        <v>69250</v>
      </c>
      <c r="L108" s="246">
        <v>2</v>
      </c>
      <c r="M108" s="28" t="s">
        <v>431</v>
      </c>
      <c r="N108" s="11" t="s">
        <v>247</v>
      </c>
      <c r="O108" s="2">
        <v>4413</v>
      </c>
      <c r="P108" s="12">
        <f t="shared" si="69"/>
        <v>63.725631768953072</v>
      </c>
      <c r="Q108" s="2">
        <v>2774</v>
      </c>
      <c r="R108" s="23">
        <f t="shared" si="78"/>
        <v>40.057761732851986</v>
      </c>
      <c r="S108" s="8">
        <f t="shared" si="79"/>
        <v>0.37140267391796966</v>
      </c>
      <c r="T108" s="2">
        <f t="shared" si="80"/>
        <v>1639</v>
      </c>
      <c r="U108" s="9">
        <v>0</v>
      </c>
      <c r="V108" s="3"/>
      <c r="W108" s="3"/>
      <c r="X108" s="3"/>
      <c r="Y108" s="3"/>
      <c r="Z108" s="28" t="s">
        <v>431</v>
      </c>
      <c r="AA108" s="15">
        <v>82649</v>
      </c>
      <c r="AB108" s="7">
        <f t="shared" si="65"/>
        <v>1.1934873646209385</v>
      </c>
      <c r="AC108" s="15">
        <v>58907</v>
      </c>
      <c r="AD108" s="7">
        <f t="shared" si="66"/>
        <v>0.85064259927797836</v>
      </c>
      <c r="AE108" s="8">
        <f t="shared" si="67"/>
        <v>0.28726300378709968</v>
      </c>
      <c r="AF108" s="15">
        <f t="shared" si="68"/>
        <v>23742</v>
      </c>
      <c r="AG108" s="3"/>
      <c r="AH108" s="3"/>
      <c r="AI108" s="3"/>
      <c r="AJ108" s="3"/>
      <c r="AK108" s="28" t="s">
        <v>431</v>
      </c>
      <c r="AL108" s="9">
        <v>60744</v>
      </c>
      <c r="AM108" s="9" t="s">
        <v>13</v>
      </c>
      <c r="AN108" s="2">
        <f t="shared" si="81"/>
        <v>0.87716967509025268</v>
      </c>
      <c r="AO108" s="9">
        <v>45643</v>
      </c>
      <c r="AP108" s="9" t="s">
        <v>13</v>
      </c>
      <c r="AQ108" s="2">
        <f t="shared" si="82"/>
        <v>0.65910469314079423</v>
      </c>
      <c r="AR108" s="8">
        <f t="shared" si="83"/>
        <v>0.24860068484130121</v>
      </c>
      <c r="AS108" s="2">
        <f t="shared" si="84"/>
        <v>15101</v>
      </c>
      <c r="AT108" s="14"/>
      <c r="AU108" s="3"/>
      <c r="AV108" s="3"/>
      <c r="AW108" s="3"/>
      <c r="AX108" s="245" t="s">
        <v>431</v>
      </c>
      <c r="AY108" s="65">
        <v>10191099</v>
      </c>
      <c r="AZ108" s="42">
        <f t="shared" si="51"/>
        <v>147.16388447653429</v>
      </c>
      <c r="BA108" s="68">
        <v>8586550</v>
      </c>
      <c r="BB108" s="66" t="s">
        <v>230</v>
      </c>
      <c r="BC108" s="15">
        <v>0</v>
      </c>
      <c r="BD108" s="15"/>
      <c r="BE108" s="255">
        <v>0</v>
      </c>
      <c r="BF108" s="10">
        <f t="shared" si="77"/>
        <v>67.582722601297277</v>
      </c>
      <c r="BG108" s="1"/>
      <c r="BH108" s="11" t="s">
        <v>247</v>
      </c>
    </row>
    <row r="109" spans="1:62" s="263" customFormat="1" ht="33.6" customHeight="1" x14ac:dyDescent="0.2">
      <c r="A109" s="245" t="s">
        <v>539</v>
      </c>
      <c r="B109" s="11" t="s">
        <v>100</v>
      </c>
      <c r="C109" s="11" t="s">
        <v>549</v>
      </c>
      <c r="D109" s="1" t="s">
        <v>520</v>
      </c>
      <c r="E109" s="37">
        <v>41851</v>
      </c>
      <c r="F109" s="11" t="s">
        <v>4</v>
      </c>
      <c r="G109" s="33" t="s">
        <v>73</v>
      </c>
      <c r="H109" s="33" t="s">
        <v>73</v>
      </c>
      <c r="I109" s="28" t="s">
        <v>135</v>
      </c>
      <c r="J109" s="1">
        <v>290</v>
      </c>
      <c r="K109" s="2">
        <v>71021</v>
      </c>
      <c r="L109" s="246">
        <v>6</v>
      </c>
      <c r="M109" s="245" t="s">
        <v>539</v>
      </c>
      <c r="N109" s="11" t="s">
        <v>248</v>
      </c>
      <c r="O109" s="2">
        <v>3150</v>
      </c>
      <c r="P109" s="10">
        <f t="shared" si="69"/>
        <v>44.353078666873181</v>
      </c>
      <c r="Q109" s="2">
        <v>2905</v>
      </c>
      <c r="R109" s="10">
        <f t="shared" si="78"/>
        <v>40.903394770560823</v>
      </c>
      <c r="S109" s="8">
        <f t="shared" si="79"/>
        <v>7.7777777777777779E-2</v>
      </c>
      <c r="T109" s="2">
        <f t="shared" si="80"/>
        <v>245</v>
      </c>
      <c r="U109" s="9"/>
      <c r="V109" s="3"/>
      <c r="W109" s="3"/>
      <c r="X109" s="3"/>
      <c r="Y109" s="3"/>
      <c r="Z109" s="245" t="s">
        <v>539</v>
      </c>
      <c r="AA109" s="15">
        <v>73009</v>
      </c>
      <c r="AB109" s="7">
        <f t="shared" si="65"/>
        <v>1.0279917207586489</v>
      </c>
      <c r="AC109" s="15">
        <v>68936</v>
      </c>
      <c r="AD109" s="7">
        <f t="shared" si="66"/>
        <v>0.97064248602526015</v>
      </c>
      <c r="AE109" s="8">
        <f t="shared" si="67"/>
        <v>5.578764261940309E-2</v>
      </c>
      <c r="AF109" s="15">
        <f t="shared" si="68"/>
        <v>4073</v>
      </c>
      <c r="AG109" s="3"/>
      <c r="AH109" s="3"/>
      <c r="AI109" s="3"/>
      <c r="AJ109" s="3"/>
      <c r="AK109" s="245" t="s">
        <v>539</v>
      </c>
      <c r="AL109" s="2">
        <v>2516360</v>
      </c>
      <c r="AM109" s="9">
        <f>AL109/J109</f>
        <v>8677.1034482758623</v>
      </c>
      <c r="AN109" s="10">
        <f t="shared" si="81"/>
        <v>35.431210487039046</v>
      </c>
      <c r="AO109" s="2">
        <v>1717995</v>
      </c>
      <c r="AP109" s="9">
        <f>AO109/J109</f>
        <v>5924.1206896551721</v>
      </c>
      <c r="AQ109" s="10">
        <f t="shared" si="82"/>
        <v>24.189957899776122</v>
      </c>
      <c r="AR109" s="8">
        <f t="shared" si="83"/>
        <v>0.31726978651703253</v>
      </c>
      <c r="AS109" s="2">
        <f t="shared" si="84"/>
        <v>798365</v>
      </c>
      <c r="AT109" s="3"/>
      <c r="AU109" s="3"/>
      <c r="AV109" s="3"/>
      <c r="AW109" s="3"/>
      <c r="AX109" s="245" t="s">
        <v>539</v>
      </c>
      <c r="AY109" s="1236">
        <v>16840890</v>
      </c>
      <c r="AZ109" s="42">
        <f t="shared" si="51"/>
        <v>237.12549809211359</v>
      </c>
      <c r="BA109" s="15">
        <v>14317971</v>
      </c>
      <c r="BB109" s="15">
        <v>1735188</v>
      </c>
      <c r="BC109" s="71">
        <v>75000</v>
      </c>
      <c r="BD109" s="71">
        <v>11000</v>
      </c>
      <c r="BE109" s="256">
        <v>176132</v>
      </c>
      <c r="BF109" s="10">
        <f t="shared" si="77"/>
        <v>683.78369752025537</v>
      </c>
      <c r="BG109" s="1" t="s">
        <v>302</v>
      </c>
      <c r="BH109" s="11" t="s">
        <v>248</v>
      </c>
      <c r="BI109" s="346"/>
      <c r="BJ109" s="3"/>
    </row>
    <row r="110" spans="1:62" s="3" customFormat="1" ht="41.45" customHeight="1" x14ac:dyDescent="0.2">
      <c r="A110" s="245" t="s">
        <v>1187</v>
      </c>
      <c r="B110" s="11" t="s">
        <v>165</v>
      </c>
      <c r="C110" s="11"/>
      <c r="D110" s="1" t="s">
        <v>1188</v>
      </c>
      <c r="E110" s="37">
        <v>41149</v>
      </c>
      <c r="F110" s="1" t="s">
        <v>167</v>
      </c>
      <c r="G110" s="33" t="s">
        <v>73</v>
      </c>
      <c r="H110" s="33" t="s">
        <v>73</v>
      </c>
      <c r="I110" s="28" t="s">
        <v>166</v>
      </c>
      <c r="J110" s="1" t="s">
        <v>13</v>
      </c>
      <c r="K110" s="2">
        <v>56300</v>
      </c>
      <c r="L110" s="246">
        <v>1</v>
      </c>
      <c r="M110" s="245" t="s">
        <v>1187</v>
      </c>
      <c r="N110" s="11" t="s">
        <v>247</v>
      </c>
      <c r="O110" s="2">
        <v>5351</v>
      </c>
      <c r="P110" s="10">
        <f t="shared" si="69"/>
        <v>95.044404973357018</v>
      </c>
      <c r="Q110" s="2">
        <v>3925</v>
      </c>
      <c r="R110" s="10">
        <f t="shared" si="78"/>
        <v>69.715808170515089</v>
      </c>
      <c r="S110" s="8">
        <f t="shared" si="79"/>
        <v>0.26649224444029151</v>
      </c>
      <c r="T110" s="2">
        <f t="shared" si="80"/>
        <v>1426</v>
      </c>
      <c r="U110" s="9">
        <v>0</v>
      </c>
      <c r="Z110" s="245" t="s">
        <v>1187</v>
      </c>
      <c r="AA110" s="15">
        <v>77860</v>
      </c>
      <c r="AB110" s="7">
        <f t="shared" si="65"/>
        <v>1.3829484902309059</v>
      </c>
      <c r="AC110" s="15">
        <v>56493</v>
      </c>
      <c r="AD110" s="7">
        <f t="shared" si="66"/>
        <v>1.0034280639431616</v>
      </c>
      <c r="AE110" s="8">
        <f t="shared" si="67"/>
        <v>0.27442846134086823</v>
      </c>
      <c r="AF110" s="15">
        <f t="shared" si="68"/>
        <v>21367</v>
      </c>
      <c r="AK110" s="245" t="s">
        <v>1187</v>
      </c>
      <c r="AL110" s="2">
        <v>35250</v>
      </c>
      <c r="AM110" s="1" t="s">
        <v>13</v>
      </c>
      <c r="AN110" s="10">
        <f t="shared" si="81"/>
        <v>0.62611012433392543</v>
      </c>
      <c r="AO110" s="2">
        <v>23345</v>
      </c>
      <c r="AP110" s="1" t="s">
        <v>13</v>
      </c>
      <c r="AQ110" s="18">
        <f t="shared" si="82"/>
        <v>0.41465364120781528</v>
      </c>
      <c r="AR110" s="8">
        <f t="shared" si="83"/>
        <v>0.33773049645390069</v>
      </c>
      <c r="AS110" s="2">
        <f t="shared" si="84"/>
        <v>11905</v>
      </c>
      <c r="AX110" s="245" t="s">
        <v>1187</v>
      </c>
      <c r="AY110" s="65">
        <v>14858000</v>
      </c>
      <c r="AZ110" s="42">
        <f t="shared" si="51"/>
        <v>263.90763765541743</v>
      </c>
      <c r="BB110" s="15">
        <v>1282000</v>
      </c>
      <c r="BC110" s="15">
        <v>45000</v>
      </c>
      <c r="BD110" s="15"/>
      <c r="BE110" s="256">
        <v>45670</v>
      </c>
      <c r="BF110" s="10"/>
      <c r="BG110" s="1"/>
      <c r="BH110" s="11" t="s">
        <v>247</v>
      </c>
    </row>
    <row r="111" spans="1:62" s="3" customFormat="1" ht="28.9" customHeight="1" x14ac:dyDescent="0.2">
      <c r="A111" s="247" t="s">
        <v>58</v>
      </c>
      <c r="B111" s="11" t="s">
        <v>45</v>
      </c>
      <c r="C111" s="11"/>
      <c r="D111" s="1" t="s">
        <v>57</v>
      </c>
      <c r="E111" s="33">
        <v>41088</v>
      </c>
      <c r="F111" s="11" t="s">
        <v>10</v>
      </c>
      <c r="G111" s="33" t="s">
        <v>184</v>
      </c>
      <c r="H111" s="33" t="s">
        <v>184</v>
      </c>
      <c r="I111" s="4" t="s">
        <v>65</v>
      </c>
      <c r="J111" s="11" t="s">
        <v>13</v>
      </c>
      <c r="K111" s="6">
        <v>34386</v>
      </c>
      <c r="L111" s="246">
        <v>2</v>
      </c>
      <c r="M111" s="4" t="s">
        <v>58</v>
      </c>
      <c r="N111" s="11" t="s">
        <v>247</v>
      </c>
      <c r="O111" s="2">
        <v>2484</v>
      </c>
      <c r="P111" s="12">
        <f t="shared" si="69"/>
        <v>72.238701797243067</v>
      </c>
      <c r="Q111" s="2">
        <v>1436</v>
      </c>
      <c r="R111" s="23">
        <f t="shared" si="78"/>
        <v>41.761181876345027</v>
      </c>
      <c r="S111" s="5">
        <f t="shared" si="79"/>
        <v>0.4219001610305958</v>
      </c>
      <c r="T111" s="13">
        <f t="shared" si="80"/>
        <v>1048</v>
      </c>
      <c r="U111" s="74">
        <v>0</v>
      </c>
      <c r="V111" s="25"/>
      <c r="W111" s="2"/>
      <c r="X111" s="2"/>
      <c r="Y111" s="2"/>
      <c r="Z111" s="4" t="s">
        <v>58</v>
      </c>
      <c r="AA111" s="15">
        <v>59882</v>
      </c>
      <c r="AB111" s="7">
        <f t="shared" si="65"/>
        <v>1.74146454952597</v>
      </c>
      <c r="AC111" s="15">
        <v>41042</v>
      </c>
      <c r="AD111" s="7">
        <f t="shared" si="66"/>
        <v>1.1935671494212761</v>
      </c>
      <c r="AE111" s="8">
        <f t="shared" si="67"/>
        <v>0.31461875020874386</v>
      </c>
      <c r="AF111" s="16">
        <f t="shared" si="68"/>
        <v>18840</v>
      </c>
      <c r="AG111" s="7"/>
      <c r="AH111" s="2"/>
      <c r="AI111" s="2"/>
      <c r="AJ111" s="2"/>
      <c r="AK111" s="4" t="s">
        <v>58</v>
      </c>
      <c r="AL111" s="2">
        <v>667359</v>
      </c>
      <c r="AM111" s="9" t="s">
        <v>13</v>
      </c>
      <c r="AN111" s="2">
        <f t="shared" si="81"/>
        <v>19.407869481765836</v>
      </c>
      <c r="AO111" s="2">
        <v>310095</v>
      </c>
      <c r="AP111" s="9" t="s">
        <v>13</v>
      </c>
      <c r="AQ111" s="2">
        <f t="shared" si="82"/>
        <v>9.0180596754493116</v>
      </c>
      <c r="AR111" s="8">
        <f t="shared" si="83"/>
        <v>0.53534004935874091</v>
      </c>
      <c r="AS111" s="2">
        <f t="shared" si="84"/>
        <v>357264</v>
      </c>
      <c r="AU111" s="9"/>
      <c r="AV111" s="2"/>
      <c r="AW111" s="2"/>
      <c r="AX111" s="247" t="s">
        <v>58</v>
      </c>
      <c r="AY111" s="65">
        <v>6245727</v>
      </c>
      <c r="AZ111" s="42">
        <f t="shared" si="51"/>
        <v>181.6357529227011</v>
      </c>
      <c r="BA111" s="15">
        <v>5604454</v>
      </c>
      <c r="BB111" s="71" t="s">
        <v>204</v>
      </c>
      <c r="BC111" s="71" t="s">
        <v>204</v>
      </c>
      <c r="BD111" s="11"/>
      <c r="BE111" s="256">
        <v>84000</v>
      </c>
      <c r="BF111" s="10"/>
      <c r="BG111" s="1"/>
      <c r="BH111" s="11" t="s">
        <v>247</v>
      </c>
      <c r="BI111" s="41"/>
      <c r="BJ111" s="41"/>
    </row>
    <row r="112" spans="1:62" s="3" customFormat="1" ht="28.5" x14ac:dyDescent="0.2">
      <c r="A112" s="247" t="s">
        <v>18</v>
      </c>
      <c r="B112" s="11" t="s">
        <v>77</v>
      </c>
      <c r="C112" s="11"/>
      <c r="D112" s="1" t="s">
        <v>17</v>
      </c>
      <c r="E112" s="33">
        <v>40534</v>
      </c>
      <c r="F112" s="11" t="s">
        <v>19</v>
      </c>
      <c r="G112" s="33" t="s">
        <v>184</v>
      </c>
      <c r="H112" s="33" t="s">
        <v>184</v>
      </c>
      <c r="I112" s="4" t="s">
        <v>12</v>
      </c>
      <c r="J112" s="11" t="s">
        <v>13</v>
      </c>
      <c r="K112" s="6">
        <v>34271</v>
      </c>
      <c r="L112" s="248">
        <v>2</v>
      </c>
      <c r="M112" s="4" t="s">
        <v>18</v>
      </c>
      <c r="N112" s="11" t="s">
        <v>247</v>
      </c>
      <c r="O112" s="2">
        <v>2178</v>
      </c>
      <c r="P112" s="12">
        <f t="shared" si="69"/>
        <v>63.552274517813892</v>
      </c>
      <c r="Q112" s="2">
        <v>1492</v>
      </c>
      <c r="R112" s="23">
        <f t="shared" si="78"/>
        <v>43.535350587960664</v>
      </c>
      <c r="S112" s="5">
        <f t="shared" si="79"/>
        <v>0.31496786042240588</v>
      </c>
      <c r="T112" s="13">
        <f t="shared" si="80"/>
        <v>686</v>
      </c>
      <c r="U112" s="74">
        <v>0</v>
      </c>
      <c r="V112" s="25"/>
      <c r="W112" s="2"/>
      <c r="X112" s="2"/>
      <c r="Y112" s="2"/>
      <c r="Z112" s="4" t="s">
        <v>18</v>
      </c>
      <c r="AA112" s="15">
        <v>51338</v>
      </c>
      <c r="AB112" s="7">
        <f t="shared" si="65"/>
        <v>1.4980012255259549</v>
      </c>
      <c r="AC112" s="15">
        <v>36026</v>
      </c>
      <c r="AD112" s="7">
        <f t="shared" si="66"/>
        <v>1.0512094774007179</v>
      </c>
      <c r="AE112" s="8">
        <f t="shared" si="67"/>
        <v>0.29825859986754449</v>
      </c>
      <c r="AF112" s="16">
        <f t="shared" si="68"/>
        <v>15312</v>
      </c>
      <c r="AG112" s="7"/>
      <c r="AH112" s="2"/>
      <c r="AI112" s="2"/>
      <c r="AJ112" s="2"/>
      <c r="AK112" s="4" t="s">
        <v>18</v>
      </c>
      <c r="AL112" s="2"/>
      <c r="AM112" s="9" t="s">
        <v>13</v>
      </c>
      <c r="AN112" s="2">
        <f t="shared" si="81"/>
        <v>0</v>
      </c>
      <c r="AP112" s="9" t="s">
        <v>13</v>
      </c>
      <c r="AQ112" s="2">
        <f t="shared" si="82"/>
        <v>0</v>
      </c>
      <c r="AR112" s="8"/>
      <c r="AS112" s="17">
        <f t="shared" si="84"/>
        <v>0</v>
      </c>
      <c r="AU112" s="9"/>
      <c r="AV112" s="2"/>
      <c r="AW112" s="2"/>
      <c r="AX112" s="247" t="s">
        <v>18</v>
      </c>
      <c r="AY112" s="1239"/>
      <c r="AZ112" s="261"/>
      <c r="BA112" s="41"/>
      <c r="BB112" s="15"/>
      <c r="BC112" s="15"/>
      <c r="BE112" s="257"/>
      <c r="BF112" s="10"/>
      <c r="BG112" s="1"/>
      <c r="BH112" s="11" t="s">
        <v>247</v>
      </c>
    </row>
    <row r="113" spans="1:60" s="3" customFormat="1" ht="28.9" customHeight="1" x14ac:dyDescent="0.2">
      <c r="A113" s="249" t="s">
        <v>50</v>
      </c>
      <c r="B113" s="19" t="s">
        <v>6</v>
      </c>
      <c r="C113" s="19" t="s">
        <v>547</v>
      </c>
      <c r="D113" s="9" t="s">
        <v>49</v>
      </c>
      <c r="E113" s="34">
        <v>40567</v>
      </c>
      <c r="F113" s="19" t="s">
        <v>10</v>
      </c>
      <c r="G113" s="33" t="s">
        <v>184</v>
      </c>
      <c r="H113" s="34" t="s">
        <v>184</v>
      </c>
      <c r="I113" s="20" t="s">
        <v>51</v>
      </c>
      <c r="J113" s="19" t="s">
        <v>13</v>
      </c>
      <c r="K113" s="6">
        <v>44000</v>
      </c>
      <c r="L113" s="248">
        <v>1</v>
      </c>
      <c r="M113" s="249" t="s">
        <v>50</v>
      </c>
      <c r="N113" s="11" t="s">
        <v>247</v>
      </c>
      <c r="O113" s="2">
        <v>1913</v>
      </c>
      <c r="P113" s="12">
        <f t="shared" si="69"/>
        <v>43.477272727272727</v>
      </c>
      <c r="Q113" s="2">
        <v>1115</v>
      </c>
      <c r="R113" s="23">
        <f t="shared" si="78"/>
        <v>25.34090909090909</v>
      </c>
      <c r="S113" s="5">
        <f t="shared" si="79"/>
        <v>0.41714584422373235</v>
      </c>
      <c r="T113" s="13">
        <f t="shared" si="80"/>
        <v>798</v>
      </c>
      <c r="U113" s="74">
        <v>0</v>
      </c>
      <c r="V113" s="21"/>
      <c r="W113" s="2"/>
      <c r="X113" s="2"/>
      <c r="Y113" s="2"/>
      <c r="Z113" s="249" t="s">
        <v>50</v>
      </c>
      <c r="AA113" s="15">
        <v>118819</v>
      </c>
      <c r="AB113" s="7">
        <f t="shared" si="65"/>
        <v>2.7004318181818183</v>
      </c>
      <c r="AC113" s="15">
        <v>67443</v>
      </c>
      <c r="AD113" s="7">
        <f t="shared" si="66"/>
        <v>1.5327954545454545</v>
      </c>
      <c r="AE113" s="8">
        <f t="shared" si="67"/>
        <v>0.43238875937350085</v>
      </c>
      <c r="AF113" s="16">
        <f t="shared" si="68"/>
        <v>51376</v>
      </c>
      <c r="AG113" s="22"/>
      <c r="AH113" s="2"/>
      <c r="AI113" s="2"/>
      <c r="AJ113" s="2"/>
      <c r="AK113" s="249" t="s">
        <v>50</v>
      </c>
      <c r="AL113" s="2">
        <v>179563</v>
      </c>
      <c r="AM113" s="9" t="s">
        <v>13</v>
      </c>
      <c r="AN113" s="2">
        <f t="shared" si="81"/>
        <v>4.0809772727272726</v>
      </c>
      <c r="AO113" s="2">
        <v>121788</v>
      </c>
      <c r="AP113" s="9" t="s">
        <v>13</v>
      </c>
      <c r="AQ113" s="2">
        <f t="shared" si="82"/>
        <v>2.7679090909090909</v>
      </c>
      <c r="AR113" s="8">
        <f>(AL113-AO113)/AL113</f>
        <v>0.32175336789873193</v>
      </c>
      <c r="AS113" s="17">
        <f t="shared" si="84"/>
        <v>57775</v>
      </c>
      <c r="AT113" s="2"/>
      <c r="AU113" s="2"/>
      <c r="AV113" s="2"/>
      <c r="AW113" s="2"/>
      <c r="AX113" s="249" t="s">
        <v>50</v>
      </c>
      <c r="AY113" s="1239"/>
      <c r="AZ113" s="261"/>
      <c r="BA113" s="41"/>
      <c r="BB113" s="15"/>
      <c r="BC113" s="15"/>
      <c r="BE113" s="257"/>
      <c r="BF113" s="10"/>
      <c r="BG113" s="1"/>
      <c r="BH113" s="11" t="s">
        <v>247</v>
      </c>
    </row>
    <row r="114" spans="1:60" s="3" customFormat="1" ht="42.75" x14ac:dyDescent="0.2">
      <c r="A114" s="247" t="s">
        <v>87</v>
      </c>
      <c r="B114" s="11" t="s">
        <v>86</v>
      </c>
      <c r="C114" s="11"/>
      <c r="D114" s="1" t="s">
        <v>85</v>
      </c>
      <c r="E114" s="33">
        <v>40382</v>
      </c>
      <c r="F114" s="11" t="s">
        <v>10</v>
      </c>
      <c r="G114" s="33" t="s">
        <v>185</v>
      </c>
      <c r="H114" s="33" t="s">
        <v>184</v>
      </c>
      <c r="I114" s="4" t="s">
        <v>88</v>
      </c>
      <c r="J114" s="11" t="s">
        <v>13</v>
      </c>
      <c r="K114" s="6">
        <v>75000</v>
      </c>
      <c r="L114" s="248">
        <v>3</v>
      </c>
      <c r="M114" s="4" t="s">
        <v>87</v>
      </c>
      <c r="N114" s="11" t="s">
        <v>247</v>
      </c>
      <c r="O114" s="2">
        <v>5827</v>
      </c>
      <c r="P114" s="12">
        <f t="shared" si="69"/>
        <v>77.693333333333342</v>
      </c>
      <c r="Q114" s="2">
        <v>3550</v>
      </c>
      <c r="R114" s="23">
        <f t="shared" si="78"/>
        <v>47.333333333333329</v>
      </c>
      <c r="S114" s="5">
        <f t="shared" si="79"/>
        <v>0.39076711858589325</v>
      </c>
      <c r="T114" s="13">
        <f t="shared" si="80"/>
        <v>2277</v>
      </c>
      <c r="U114" s="74">
        <v>0</v>
      </c>
      <c r="V114" s="14"/>
      <c r="W114" s="2"/>
      <c r="X114" s="2"/>
      <c r="Y114" s="2"/>
      <c r="Z114" s="4" t="s">
        <v>87</v>
      </c>
      <c r="AA114" s="15">
        <v>135642</v>
      </c>
      <c r="AB114" s="7">
        <f t="shared" si="65"/>
        <v>1.8085599999999999</v>
      </c>
      <c r="AC114" s="15">
        <v>87360</v>
      </c>
      <c r="AD114" s="7">
        <f t="shared" si="66"/>
        <v>1.1648000000000001</v>
      </c>
      <c r="AE114" s="8">
        <f t="shared" si="67"/>
        <v>0.35595169637722829</v>
      </c>
      <c r="AF114" s="16">
        <f t="shared" si="68"/>
        <v>48282</v>
      </c>
      <c r="AH114" s="2"/>
      <c r="AI114" s="2"/>
      <c r="AJ114" s="2"/>
      <c r="AK114" s="4" t="s">
        <v>87</v>
      </c>
      <c r="AL114" s="2">
        <v>587500</v>
      </c>
      <c r="AM114" s="9" t="s">
        <v>13</v>
      </c>
      <c r="AN114" s="2">
        <f t="shared" si="81"/>
        <v>7.833333333333333</v>
      </c>
      <c r="AO114" s="2">
        <v>398125</v>
      </c>
      <c r="AP114" s="9" t="s">
        <v>13</v>
      </c>
      <c r="AQ114" s="2">
        <f t="shared" si="82"/>
        <v>5.3083333333333336</v>
      </c>
      <c r="AR114" s="8">
        <f>(AL114-AO114)/AL114</f>
        <v>0.32234042553191489</v>
      </c>
      <c r="AS114" s="17">
        <f t="shared" si="84"/>
        <v>189375</v>
      </c>
      <c r="AU114" s="9"/>
      <c r="AV114" s="2"/>
      <c r="AW114" s="2"/>
      <c r="AX114" s="247" t="s">
        <v>87</v>
      </c>
      <c r="AY114" s="1239"/>
      <c r="AZ114" s="261"/>
      <c r="BA114" s="41"/>
      <c r="BB114" s="15"/>
      <c r="BC114" s="15"/>
      <c r="BE114" s="257"/>
      <c r="BF114" s="10"/>
      <c r="BG114" s="1"/>
      <c r="BH114" s="11" t="s">
        <v>247</v>
      </c>
    </row>
    <row r="115" spans="1:60" s="3" customFormat="1" ht="28.5" x14ac:dyDescent="0.2">
      <c r="A115" s="245" t="s">
        <v>131</v>
      </c>
      <c r="B115" s="11" t="s">
        <v>130</v>
      </c>
      <c r="C115" s="11"/>
      <c r="D115" s="1" t="s">
        <v>129</v>
      </c>
      <c r="E115" s="37">
        <v>40836</v>
      </c>
      <c r="F115" s="1" t="s">
        <v>22</v>
      </c>
      <c r="G115" s="33" t="s">
        <v>184</v>
      </c>
      <c r="H115" s="33" t="s">
        <v>184</v>
      </c>
      <c r="I115" s="28" t="s">
        <v>132</v>
      </c>
      <c r="J115" s="1" t="s">
        <v>13</v>
      </c>
      <c r="K115" s="2">
        <v>68400</v>
      </c>
      <c r="L115" s="246">
        <v>1</v>
      </c>
      <c r="M115" s="28" t="s">
        <v>131</v>
      </c>
      <c r="N115" s="11" t="s">
        <v>247</v>
      </c>
      <c r="O115" s="2">
        <v>23291</v>
      </c>
      <c r="P115" s="10">
        <f t="shared" si="69"/>
        <v>340.51169590643275</v>
      </c>
      <c r="Q115" s="2">
        <v>8015</v>
      </c>
      <c r="R115" s="10">
        <f t="shared" si="78"/>
        <v>117.17836257309941</v>
      </c>
      <c r="S115" s="8">
        <f t="shared" si="79"/>
        <v>0.655875660126229</v>
      </c>
      <c r="T115" s="2">
        <f t="shared" si="80"/>
        <v>15276</v>
      </c>
      <c r="U115" s="9">
        <v>0</v>
      </c>
      <c r="Z115" s="28" t="s">
        <v>131</v>
      </c>
      <c r="AA115" s="15">
        <v>210152</v>
      </c>
      <c r="AB115" s="7">
        <f t="shared" si="65"/>
        <v>3.0723976608187136</v>
      </c>
      <c r="AC115" s="15">
        <v>107570</v>
      </c>
      <c r="AD115" s="7">
        <f t="shared" si="66"/>
        <v>1.5726608187134503</v>
      </c>
      <c r="AE115" s="8">
        <f t="shared" si="67"/>
        <v>0.48813239940614411</v>
      </c>
      <c r="AF115" s="15">
        <f t="shared" si="68"/>
        <v>102582</v>
      </c>
      <c r="AK115" s="28" t="s">
        <v>131</v>
      </c>
      <c r="AP115" s="1"/>
      <c r="AX115" s="245" t="s">
        <v>131</v>
      </c>
      <c r="AY115" s="1240"/>
      <c r="AZ115" s="42"/>
      <c r="BB115" s="15"/>
      <c r="BC115" s="15"/>
      <c r="BE115" s="257"/>
      <c r="BF115" s="10"/>
      <c r="BG115" s="1"/>
      <c r="BH115" s="11" t="s">
        <v>247</v>
      </c>
    </row>
    <row r="116" spans="1:60" s="3" customFormat="1" ht="29.45" customHeight="1" thickBot="1" x14ac:dyDescent="0.25">
      <c r="A116" s="250" t="s">
        <v>117</v>
      </c>
      <c r="B116" s="251" t="s">
        <v>113</v>
      </c>
      <c r="C116" s="251"/>
      <c r="D116" s="252" t="s">
        <v>116</v>
      </c>
      <c r="E116" s="253">
        <v>40308</v>
      </c>
      <c r="F116" s="251" t="s">
        <v>10</v>
      </c>
      <c r="G116" s="253" t="s">
        <v>183</v>
      </c>
      <c r="H116" s="253" t="s">
        <v>184</v>
      </c>
      <c r="I116" s="251" t="s">
        <v>193</v>
      </c>
      <c r="J116" s="251">
        <v>31</v>
      </c>
      <c r="K116" s="254">
        <v>26000</v>
      </c>
      <c r="L116" s="1241">
        <v>4</v>
      </c>
      <c r="M116" s="4" t="s">
        <v>117</v>
      </c>
      <c r="N116" s="11" t="s">
        <v>247</v>
      </c>
      <c r="O116" s="9">
        <v>1846</v>
      </c>
      <c r="P116" s="12">
        <f t="shared" si="69"/>
        <v>71</v>
      </c>
      <c r="Q116" s="9">
        <v>1121</v>
      </c>
      <c r="R116" s="23">
        <f t="shared" si="78"/>
        <v>43.11538461538462</v>
      </c>
      <c r="S116" s="5">
        <f t="shared" si="79"/>
        <v>0.39274106175514628</v>
      </c>
      <c r="T116" s="13">
        <f t="shared" si="80"/>
        <v>725</v>
      </c>
      <c r="U116" s="74">
        <v>0</v>
      </c>
      <c r="V116" s="1"/>
      <c r="W116" s="11"/>
      <c r="X116" s="11"/>
      <c r="Y116" s="11"/>
      <c r="Z116" s="4" t="s">
        <v>117</v>
      </c>
      <c r="AA116" s="29">
        <v>30466</v>
      </c>
      <c r="AB116" s="7">
        <f t="shared" si="65"/>
        <v>1.1717692307692307</v>
      </c>
      <c r="AC116" s="29">
        <v>19282</v>
      </c>
      <c r="AD116" s="7">
        <f t="shared" si="66"/>
        <v>0.74161538461538457</v>
      </c>
      <c r="AE116" s="8">
        <f t="shared" si="67"/>
        <v>0.36709774830959102</v>
      </c>
      <c r="AF116" s="16">
        <f t="shared" si="68"/>
        <v>11184</v>
      </c>
      <c r="AG116" s="1"/>
      <c r="AH116" s="11"/>
      <c r="AI116" s="11"/>
      <c r="AJ116" s="11"/>
      <c r="AK116" s="4" t="s">
        <v>117</v>
      </c>
      <c r="AL116" s="19">
        <v>475929</v>
      </c>
      <c r="AM116" s="2">
        <f>AL116/J116</f>
        <v>15352.548387096775</v>
      </c>
      <c r="AN116" s="2">
        <f>AL116/K116</f>
        <v>18.304961538461537</v>
      </c>
      <c r="AO116" s="19">
        <v>337075</v>
      </c>
      <c r="AP116" s="9">
        <f>AO116/J116</f>
        <v>10873.387096774193</v>
      </c>
      <c r="AQ116" s="2">
        <f>AO116/K116</f>
        <v>12.964423076923078</v>
      </c>
      <c r="AR116" s="8">
        <f>(AL116-AO116)/AL116</f>
        <v>0.2917536019028048</v>
      </c>
      <c r="AS116" s="17">
        <f>AL116-AO116</f>
        <v>138854</v>
      </c>
      <c r="AT116" s="11"/>
      <c r="AU116" s="11"/>
      <c r="AV116" s="11"/>
      <c r="AW116" s="11"/>
      <c r="AX116" s="250" t="s">
        <v>117</v>
      </c>
      <c r="AY116" s="1242"/>
      <c r="AZ116" s="264"/>
      <c r="BA116" s="265"/>
      <c r="BB116" s="258"/>
      <c r="BC116" s="258"/>
      <c r="BD116" s="259"/>
      <c r="BE116" s="260"/>
      <c r="BF116" s="10"/>
      <c r="BG116" s="1"/>
      <c r="BH116" s="11" t="s">
        <v>247</v>
      </c>
    </row>
    <row r="117" spans="1:60" x14ac:dyDescent="0.2">
      <c r="BE117" s="87"/>
      <c r="BF117" s="10"/>
    </row>
    <row r="118" spans="1:60" x14ac:dyDescent="0.2">
      <c r="BE118" s="87"/>
      <c r="BF118" s="10"/>
    </row>
    <row r="119" spans="1:60" x14ac:dyDescent="0.2">
      <c r="A119" s="28"/>
      <c r="M119" s="28"/>
      <c r="N119" s="11"/>
      <c r="Z119" s="28"/>
      <c r="AK119" s="28"/>
      <c r="AX119" s="28"/>
      <c r="BH119" s="11"/>
    </row>
    <row r="120" spans="1:60" x14ac:dyDescent="0.2">
      <c r="A120" s="28"/>
      <c r="M120" s="28"/>
      <c r="N120" s="11"/>
      <c r="Z120" s="28"/>
      <c r="AC120" s="41"/>
      <c r="AK120" s="28"/>
      <c r="AX120" s="28"/>
      <c r="BH120" s="11"/>
    </row>
    <row r="121" spans="1:60" x14ac:dyDescent="0.2">
      <c r="BA121" s="43"/>
    </row>
    <row r="123" spans="1:60" x14ac:dyDescent="0.2">
      <c r="BA123" s="44"/>
    </row>
    <row r="131" spans="49:49" x14ac:dyDescent="0.2">
      <c r="AW131" s="26" t="s">
        <v>38</v>
      </c>
    </row>
  </sheetData>
  <sheetProtection algorithmName="SHA-512" hashValue="bzmLXZLdstS3sVbg8vDgnGab5xjAWD9A6zU5BYQR25NzyYSWlSg7H9opJ9K3CHMjjGmxDeDNMUI514NfNMMEKA==" saltValue="v2PLP6pCHw8uKt9oP2/Zgw==" spinCount="100000" sheet="1" objects="1" scenarios="1" selectLockedCells="1" selectUnlockedCells="1"/>
  <mergeCells count="10">
    <mergeCell ref="B2:L2"/>
    <mergeCell ref="N2:Y2"/>
    <mergeCell ref="AA2:AJ2"/>
    <mergeCell ref="AL2:AW2"/>
    <mergeCell ref="AY2:BE2"/>
    <mergeCell ref="B1:L1"/>
    <mergeCell ref="N1:Y1"/>
    <mergeCell ref="AA1:AJ1"/>
    <mergeCell ref="AL1:AW1"/>
    <mergeCell ref="AY1:BE1"/>
  </mergeCells>
  <hyperlinks>
    <hyperlink ref="C35" r:id="rId1"/>
    <hyperlink ref="C15" r:id="rId2"/>
  </hyperlinks>
  <pageMargins left="0.7" right="0.7" top="0.75" bottom="0.75" header="0.3" footer="0.3"/>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0"/>
  <sheetViews>
    <sheetView topLeftCell="D46" zoomScale="75" zoomScaleNormal="75" workbookViewId="0">
      <selection activeCell="W56" sqref="W56"/>
    </sheetView>
  </sheetViews>
  <sheetFormatPr defaultRowHeight="15" x14ac:dyDescent="0.25"/>
  <cols>
    <col min="1" max="1" width="8.85546875" style="462"/>
    <col min="2" max="2" width="17.5703125" customWidth="1"/>
    <col min="3" max="3" width="11.7109375" style="497" customWidth="1"/>
    <col min="4" max="5" width="12.5703125" bestFit="1" customWidth="1"/>
    <col min="6" max="6" width="11.85546875" bestFit="1" customWidth="1"/>
    <col min="7" max="8" width="12.28515625" bestFit="1" customWidth="1"/>
    <col min="9" max="9" width="11.85546875" bestFit="1" customWidth="1"/>
    <col min="10" max="10" width="14.28515625" bestFit="1" customWidth="1"/>
    <col min="11" max="13" width="12.28515625" bestFit="1" customWidth="1"/>
    <col min="14" max="14" width="11.85546875" bestFit="1" customWidth="1"/>
    <col min="15" max="15" width="12.28515625" bestFit="1" customWidth="1"/>
    <col min="16" max="16" width="11.5703125" bestFit="1" customWidth="1"/>
    <col min="17" max="17" width="12.7109375" bestFit="1" customWidth="1"/>
    <col min="18" max="18" width="11.42578125" bestFit="1" customWidth="1"/>
    <col min="20" max="20" width="13.140625" bestFit="1" customWidth="1"/>
    <col min="23" max="23" width="14.140625" bestFit="1" customWidth="1"/>
    <col min="25" max="25" width="9.85546875" style="345" bestFit="1" customWidth="1"/>
    <col min="26" max="26" width="8.85546875" style="345"/>
  </cols>
  <sheetData>
    <row r="1" spans="1:26" s="125" customFormat="1" ht="18" x14ac:dyDescent="0.25">
      <c r="A1" s="461"/>
      <c r="B1" s="124" t="s">
        <v>554</v>
      </c>
      <c r="C1" s="601"/>
      <c r="U1" s="126"/>
      <c r="X1" s="126"/>
      <c r="Y1" s="157"/>
      <c r="Z1" s="157"/>
    </row>
    <row r="2" spans="1:26" s="125" customFormat="1" x14ac:dyDescent="0.25">
      <c r="A2" s="461"/>
      <c r="C2" s="152"/>
      <c r="U2" s="126"/>
      <c r="X2" s="126"/>
      <c r="Y2" s="157"/>
      <c r="Z2" s="157"/>
    </row>
    <row r="3" spans="1:26" s="128" customFormat="1" x14ac:dyDescent="0.25">
      <c r="A3" s="459">
        <v>1</v>
      </c>
      <c r="B3" s="127" t="s">
        <v>336</v>
      </c>
      <c r="C3" s="602"/>
      <c r="T3" s="172" t="s">
        <v>336</v>
      </c>
      <c r="U3" s="129"/>
      <c r="X3" s="129"/>
      <c r="Y3" s="166"/>
      <c r="Z3" s="166"/>
    </row>
    <row r="4" spans="1:26" s="125" customFormat="1" x14ac:dyDescent="0.25">
      <c r="A4" s="461"/>
      <c r="B4" s="130" t="s">
        <v>337</v>
      </c>
      <c r="C4" s="186" t="s">
        <v>392</v>
      </c>
      <c r="D4" s="131">
        <v>41456</v>
      </c>
      <c r="E4" s="131">
        <v>41487</v>
      </c>
      <c r="F4" s="131">
        <v>41518</v>
      </c>
      <c r="G4" s="131">
        <v>41548</v>
      </c>
      <c r="H4" s="131">
        <v>41579</v>
      </c>
      <c r="I4" s="131">
        <v>41609</v>
      </c>
      <c r="J4" s="131">
        <v>41640</v>
      </c>
      <c r="K4" s="131">
        <v>41671</v>
      </c>
      <c r="L4" s="131">
        <v>41699</v>
      </c>
      <c r="M4" s="131">
        <v>41730</v>
      </c>
      <c r="N4" s="131">
        <v>41760</v>
      </c>
      <c r="O4" s="131">
        <v>41791</v>
      </c>
      <c r="P4" s="131">
        <v>41821</v>
      </c>
      <c r="Q4" s="151">
        <v>41852</v>
      </c>
      <c r="R4" s="131">
        <v>41896</v>
      </c>
      <c r="S4" s="132"/>
      <c r="T4" s="133" t="s">
        <v>338</v>
      </c>
      <c r="U4" s="134" t="s">
        <v>339</v>
      </c>
      <c r="V4" s="132"/>
      <c r="W4" s="133" t="s">
        <v>338</v>
      </c>
      <c r="X4" s="134" t="s">
        <v>339</v>
      </c>
      <c r="Y4" s="157"/>
      <c r="Z4" s="157"/>
    </row>
    <row r="5" spans="1:26" s="125" customFormat="1" x14ac:dyDescent="0.25">
      <c r="A5" s="461"/>
      <c r="B5" s="135" t="s">
        <v>340</v>
      </c>
      <c r="C5" s="603"/>
      <c r="D5" s="136"/>
      <c r="E5" s="96">
        <v>96643.12</v>
      </c>
      <c r="F5" s="96">
        <v>114833.84</v>
      </c>
      <c r="G5" s="96">
        <v>95351.84</v>
      </c>
      <c r="H5" s="96">
        <v>74287.039999999994</v>
      </c>
      <c r="I5" s="96">
        <v>71859.28</v>
      </c>
      <c r="J5" s="96">
        <v>63800.56</v>
      </c>
      <c r="K5" s="96">
        <v>84077.36</v>
      </c>
      <c r="L5" s="96">
        <v>66297.759999999995</v>
      </c>
      <c r="M5" s="96">
        <v>75581.2</v>
      </c>
      <c r="N5" s="96">
        <v>80548.399999999994</v>
      </c>
      <c r="O5" s="96">
        <v>73478.080000000002</v>
      </c>
      <c r="P5" s="96">
        <v>82502.959999999992</v>
      </c>
      <c r="Q5" s="434"/>
      <c r="R5" s="136"/>
      <c r="T5" s="143">
        <f>SUM(C5:S5)</f>
        <v>979261.43999999994</v>
      </c>
      <c r="U5" s="138" t="s">
        <v>341</v>
      </c>
      <c r="V5" s="139"/>
      <c r="W5" s="140">
        <f>T5*3413/1000000</f>
        <v>3342.2192947199997</v>
      </c>
      <c r="X5" s="138" t="s">
        <v>342</v>
      </c>
      <c r="Y5" s="157"/>
      <c r="Z5" s="157"/>
    </row>
    <row r="6" spans="1:26" s="125" customFormat="1" x14ac:dyDescent="0.25">
      <c r="A6" s="461"/>
      <c r="B6" s="135" t="s">
        <v>343</v>
      </c>
      <c r="C6" s="603"/>
      <c r="D6" s="136"/>
      <c r="E6" s="96">
        <v>95933</v>
      </c>
      <c r="F6" s="96">
        <v>132637.80000000002</v>
      </c>
      <c r="G6" s="96">
        <v>192700.2</v>
      </c>
      <c r="H6" s="96">
        <v>214389.40000000002</v>
      </c>
      <c r="I6" s="96">
        <v>207715.80000000002</v>
      </c>
      <c r="J6" s="96">
        <v>381229.4</v>
      </c>
      <c r="K6" s="96">
        <v>204379</v>
      </c>
      <c r="L6" s="96">
        <v>255265.2</v>
      </c>
      <c r="M6" s="96">
        <v>206881.6</v>
      </c>
      <c r="N6" s="96">
        <v>81751.600000000006</v>
      </c>
      <c r="O6" s="96">
        <v>45881</v>
      </c>
      <c r="P6" s="96">
        <v>58394.000000000007</v>
      </c>
      <c r="Q6" s="434"/>
      <c r="R6" s="136"/>
      <c r="T6" s="140">
        <f>SUM(C6:S6)</f>
        <v>2077158.0000000002</v>
      </c>
      <c r="U6" s="138" t="s">
        <v>344</v>
      </c>
      <c r="V6" s="139"/>
      <c r="W6" s="140">
        <f>T6/1000</f>
        <v>2077.1580000000004</v>
      </c>
      <c r="X6" s="138" t="s">
        <v>342</v>
      </c>
      <c r="Y6" s="495">
        <f>W6+W5</f>
        <v>5419.3772947199996</v>
      </c>
      <c r="Z6" s="138" t="s">
        <v>342</v>
      </c>
    </row>
    <row r="7" spans="1:26" s="125" customFormat="1" x14ac:dyDescent="0.25">
      <c r="A7" s="461"/>
      <c r="B7" s="135" t="s">
        <v>345</v>
      </c>
      <c r="C7" s="603"/>
      <c r="D7" s="141"/>
      <c r="E7" s="101">
        <v>128000</v>
      </c>
      <c r="F7" s="101">
        <v>190000</v>
      </c>
      <c r="G7" s="101">
        <v>224300</v>
      </c>
      <c r="H7" s="101">
        <v>173473</v>
      </c>
      <c r="I7" s="101">
        <v>80000</v>
      </c>
      <c r="J7" s="101">
        <v>185000</v>
      </c>
      <c r="K7" s="101">
        <v>190346</v>
      </c>
      <c r="L7" s="101">
        <v>140346</v>
      </c>
      <c r="M7" s="101">
        <v>186283</v>
      </c>
      <c r="N7" s="101">
        <v>77895</v>
      </c>
      <c r="O7" s="101">
        <v>33085.172999999995</v>
      </c>
      <c r="P7" s="101">
        <v>78085</v>
      </c>
      <c r="Q7" s="435"/>
      <c r="R7" s="141"/>
      <c r="T7" s="140">
        <f>SUM(C7:S7)</f>
        <v>1686813.173</v>
      </c>
      <c r="U7" s="138" t="s">
        <v>346</v>
      </c>
      <c r="V7" s="139"/>
      <c r="W7" s="137">
        <f>T7</f>
        <v>1686813.173</v>
      </c>
      <c r="X7" s="138" t="s">
        <v>346</v>
      </c>
      <c r="Y7" s="157"/>
      <c r="Z7" s="157"/>
    </row>
    <row r="8" spans="1:26" s="125" customFormat="1" x14ac:dyDescent="0.25">
      <c r="A8" s="461"/>
      <c r="B8" s="135" t="s">
        <v>347</v>
      </c>
      <c r="C8" s="603"/>
      <c r="D8" s="142"/>
      <c r="E8" s="467">
        <v>8598.2021000000004</v>
      </c>
      <c r="F8" s="467">
        <v>10227.898870000001</v>
      </c>
      <c r="G8" s="467">
        <v>8508.3278799999989</v>
      </c>
      <c r="H8" s="467">
        <v>6649.7123899999997</v>
      </c>
      <c r="I8" s="467">
        <v>6446.96126</v>
      </c>
      <c r="J8" s="467">
        <v>5908.2048100000002</v>
      </c>
      <c r="K8" s="467">
        <v>7624.8998100000008</v>
      </c>
      <c r="L8" s="467">
        <v>5899.6244800000004</v>
      </c>
      <c r="M8" s="467">
        <v>6712.9535100000003</v>
      </c>
      <c r="N8" s="467">
        <v>7134.1322399999999</v>
      </c>
      <c r="O8" s="467">
        <v>6494.8623899999993</v>
      </c>
      <c r="P8" s="467">
        <v>7323.4779399999998</v>
      </c>
      <c r="Q8" s="436"/>
      <c r="R8" s="142"/>
      <c r="T8" s="143">
        <f>SUM(C8:S8)</f>
        <v>87529.257679999995</v>
      </c>
      <c r="U8" s="138"/>
      <c r="V8" s="139"/>
      <c r="W8" s="143">
        <f>T8</f>
        <v>87529.257679999995</v>
      </c>
      <c r="X8" s="138"/>
      <c r="Y8" s="157"/>
      <c r="Z8" s="157"/>
    </row>
    <row r="9" spans="1:26" s="125" customFormat="1" ht="16.5" x14ac:dyDescent="0.35">
      <c r="A9" s="461"/>
      <c r="B9" s="144" t="s">
        <v>348</v>
      </c>
      <c r="C9" s="604"/>
      <c r="D9" s="145"/>
      <c r="E9" s="466">
        <v>2014.8</v>
      </c>
      <c r="F9" s="466">
        <v>2785.68</v>
      </c>
      <c r="G9" s="466">
        <v>4047.12</v>
      </c>
      <c r="H9" s="466">
        <v>4502.6400000000003</v>
      </c>
      <c r="I9" s="466">
        <v>4362.4799999999996</v>
      </c>
      <c r="J9" s="466">
        <v>8006.64</v>
      </c>
      <c r="K9" s="466">
        <v>4292.3999999999996</v>
      </c>
      <c r="L9" s="466">
        <v>5361.12</v>
      </c>
      <c r="M9" s="466">
        <v>4344.96</v>
      </c>
      <c r="N9" s="466">
        <v>1716.96</v>
      </c>
      <c r="O9" s="466">
        <v>963.6</v>
      </c>
      <c r="P9" s="466">
        <v>1226.4000000000001</v>
      </c>
      <c r="Q9" s="437"/>
      <c r="R9" s="145"/>
      <c r="T9" s="143">
        <f>SUM(C9:S9)</f>
        <v>43624.799999999996</v>
      </c>
      <c r="U9" s="138"/>
      <c r="V9" s="139"/>
      <c r="W9" s="146">
        <f>T9</f>
        <v>43624.799999999996</v>
      </c>
      <c r="X9" s="138"/>
      <c r="Y9" s="157"/>
      <c r="Z9" s="157"/>
    </row>
    <row r="10" spans="1:26" x14ac:dyDescent="0.25">
      <c r="W10" s="143">
        <f>SUM(W8:W9)</f>
        <v>131154.05768</v>
      </c>
      <c r="X10" s="138"/>
    </row>
    <row r="11" spans="1:26" x14ac:dyDescent="0.25">
      <c r="W11" s="149"/>
      <c r="X11" s="150"/>
    </row>
    <row r="12" spans="1:26" s="128" customFormat="1" x14ac:dyDescent="0.25">
      <c r="A12" s="459">
        <v>2</v>
      </c>
      <c r="B12" s="172" t="s">
        <v>371</v>
      </c>
      <c r="C12" s="173"/>
      <c r="S12" s="173"/>
      <c r="T12" s="598" t="s">
        <v>371</v>
      </c>
      <c r="W12" s="129"/>
      <c r="Y12" s="166"/>
      <c r="Z12" s="764"/>
    </row>
    <row r="13" spans="1:26" s="125" customFormat="1" x14ac:dyDescent="0.25">
      <c r="A13" s="461"/>
      <c r="B13" s="130" t="s">
        <v>337</v>
      </c>
      <c r="C13" s="605" t="s">
        <v>392</v>
      </c>
      <c r="D13" s="131">
        <v>41456</v>
      </c>
      <c r="E13" s="131">
        <v>41487</v>
      </c>
      <c r="F13" s="131">
        <v>41518</v>
      </c>
      <c r="G13" s="131">
        <v>41548</v>
      </c>
      <c r="H13" s="131">
        <v>41579</v>
      </c>
      <c r="I13" s="131">
        <v>41609</v>
      </c>
      <c r="J13" s="131">
        <v>41640</v>
      </c>
      <c r="K13" s="131">
        <v>41671</v>
      </c>
      <c r="L13" s="131">
        <v>41699</v>
      </c>
      <c r="M13" s="131">
        <v>41730</v>
      </c>
      <c r="N13" s="131">
        <v>41760</v>
      </c>
      <c r="O13" s="131">
        <v>41791</v>
      </c>
      <c r="P13" s="560">
        <v>41821</v>
      </c>
      <c r="Q13" s="131">
        <v>41852</v>
      </c>
      <c r="R13" s="131">
        <v>41896</v>
      </c>
      <c r="T13" s="133" t="s">
        <v>338</v>
      </c>
      <c r="U13" s="134" t="s">
        <v>339</v>
      </c>
      <c r="V13" s="132"/>
      <c r="W13" s="133" t="s">
        <v>338</v>
      </c>
      <c r="X13" s="134" t="s">
        <v>339</v>
      </c>
      <c r="Y13" s="157"/>
      <c r="Z13" s="157"/>
    </row>
    <row r="14" spans="1:26" s="125" customFormat="1" x14ac:dyDescent="0.25">
      <c r="A14" s="461"/>
      <c r="B14" s="135" t="s">
        <v>340</v>
      </c>
      <c r="C14" s="606"/>
      <c r="D14" s="136">
        <v>63690</v>
      </c>
      <c r="E14" s="136">
        <v>96100</v>
      </c>
      <c r="F14" s="136">
        <v>52663</v>
      </c>
      <c r="G14" s="136">
        <v>52331</v>
      </c>
      <c r="H14" s="136">
        <v>33231</v>
      </c>
      <c r="I14" s="136">
        <v>38321</v>
      </c>
      <c r="J14" s="136">
        <v>43278</v>
      </c>
      <c r="K14" s="136">
        <v>49566</v>
      </c>
      <c r="L14" s="136">
        <v>62030</v>
      </c>
      <c r="M14" s="136">
        <v>69156</v>
      </c>
      <c r="N14" s="136">
        <v>80988</v>
      </c>
      <c r="O14" s="136">
        <v>46669</v>
      </c>
      <c r="P14" s="174"/>
      <c r="Q14" s="174"/>
      <c r="R14" s="174"/>
      <c r="T14" s="140">
        <f>SUM(C14:S14)</f>
        <v>688023</v>
      </c>
      <c r="U14" s="138" t="s">
        <v>341</v>
      </c>
      <c r="V14" s="139"/>
      <c r="W14" s="140">
        <f>T14*3413/1000000</f>
        <v>2348.222499</v>
      </c>
      <c r="X14" s="138" t="s">
        <v>342</v>
      </c>
      <c r="Y14" s="157"/>
      <c r="Z14" s="157"/>
    </row>
    <row r="15" spans="1:26" s="125" customFormat="1" x14ac:dyDescent="0.25">
      <c r="A15" s="461"/>
      <c r="B15" s="135" t="s">
        <v>372</v>
      </c>
      <c r="C15" s="606"/>
      <c r="D15" s="136">
        <v>1239</v>
      </c>
      <c r="E15" s="136">
        <v>1174</v>
      </c>
      <c r="F15" s="136">
        <v>2619</v>
      </c>
      <c r="G15" s="136">
        <v>2610</v>
      </c>
      <c r="H15" s="136">
        <v>3129</v>
      </c>
      <c r="I15" s="136">
        <v>3244</v>
      </c>
      <c r="J15" s="136">
        <v>4291</v>
      </c>
      <c r="K15" s="136">
        <v>4676</v>
      </c>
      <c r="L15" s="136">
        <v>3776</v>
      </c>
      <c r="M15" s="136">
        <v>3140</v>
      </c>
      <c r="N15" s="136">
        <v>1973</v>
      </c>
      <c r="O15" s="136">
        <v>1643</v>
      </c>
      <c r="P15" s="174"/>
      <c r="Q15" s="174"/>
      <c r="R15" s="174"/>
      <c r="T15" s="140">
        <f>SUM(C15:S15)</f>
        <v>33514</v>
      </c>
      <c r="U15" s="138" t="s">
        <v>354</v>
      </c>
      <c r="V15" s="139"/>
      <c r="W15" s="140">
        <f>T15*99976.124488/1000000</f>
        <v>3350.599836090832</v>
      </c>
      <c r="X15" s="138" t="s">
        <v>342</v>
      </c>
      <c r="Y15" s="495">
        <f>W14+W15</f>
        <v>5698.822335090832</v>
      </c>
      <c r="Z15" s="153" t="s">
        <v>342</v>
      </c>
    </row>
    <row r="16" spans="1:26" s="125" customFormat="1" x14ac:dyDescent="0.25">
      <c r="A16" s="461"/>
      <c r="B16" s="135" t="s">
        <v>373</v>
      </c>
      <c r="C16" s="606"/>
      <c r="D16" s="141">
        <v>7650</v>
      </c>
      <c r="E16" s="141">
        <v>51000</v>
      </c>
      <c r="F16" s="141">
        <v>19210</v>
      </c>
      <c r="G16" s="141">
        <v>18520</v>
      </c>
      <c r="H16" s="141">
        <v>14660</v>
      </c>
      <c r="I16" s="141">
        <v>14145</v>
      </c>
      <c r="J16" s="141">
        <v>15295</v>
      </c>
      <c r="K16" s="141">
        <v>15220</v>
      </c>
      <c r="L16" s="141">
        <v>14250</v>
      </c>
      <c r="M16" s="141">
        <v>14880</v>
      </c>
      <c r="N16" s="141">
        <v>7480</v>
      </c>
      <c r="O16" s="141">
        <v>12940</v>
      </c>
      <c r="P16" s="178"/>
      <c r="Q16" s="178"/>
      <c r="R16" s="178"/>
      <c r="T16" s="140">
        <f>SUM(C16:S16)</f>
        <v>205250</v>
      </c>
      <c r="U16" s="138" t="s">
        <v>367</v>
      </c>
      <c r="V16" s="139"/>
      <c r="W16" s="137">
        <f>T16*7.48</f>
        <v>1535270</v>
      </c>
      <c r="X16" s="138" t="s">
        <v>346</v>
      </c>
      <c r="Y16" s="157"/>
      <c r="Z16" s="157"/>
    </row>
    <row r="17" spans="1:26" s="125" customFormat="1" x14ac:dyDescent="0.25">
      <c r="A17" s="461"/>
      <c r="B17" s="135" t="s">
        <v>347</v>
      </c>
      <c r="C17" s="606"/>
      <c r="D17" s="142">
        <v>4256.4121177097659</v>
      </c>
      <c r="E17" s="142">
        <v>6377.5561831554178</v>
      </c>
      <c r="F17" s="142">
        <v>3556.6848231160116</v>
      </c>
      <c r="G17" s="142">
        <v>3171.2637059333579</v>
      </c>
      <c r="H17" s="142">
        <v>1908.1012395095074</v>
      </c>
      <c r="I17" s="142">
        <v>2236.8601957945912</v>
      </c>
      <c r="J17" s="142">
        <v>2480.046986112271</v>
      </c>
      <c r="K17" s="142">
        <v>2889.8894743621131</v>
      </c>
      <c r="L17" s="142">
        <v>3675.1047274251073</v>
      </c>
      <c r="M17" s="142">
        <v>3931.462642454655</v>
      </c>
      <c r="N17" s="142">
        <v>4675.4303886231037</v>
      </c>
      <c r="O17" s="142">
        <v>3027.0494729911525</v>
      </c>
      <c r="P17" s="176"/>
      <c r="Q17" s="176"/>
      <c r="R17" s="176"/>
      <c r="T17" s="143">
        <f>SUM(C17:S17)</f>
        <v>42185.861957187051</v>
      </c>
      <c r="U17" s="138"/>
      <c r="V17" s="139"/>
      <c r="W17" s="143">
        <f>T17</f>
        <v>42185.861957187051</v>
      </c>
      <c r="X17" s="138"/>
      <c r="Y17" s="157"/>
      <c r="Z17" s="157"/>
    </row>
    <row r="18" spans="1:26" s="125" customFormat="1" ht="16.5" x14ac:dyDescent="0.35">
      <c r="A18" s="461"/>
      <c r="B18" s="144" t="s">
        <v>374</v>
      </c>
      <c r="C18" s="607"/>
      <c r="D18" s="145">
        <v>1127.617731958763</v>
      </c>
      <c r="E18" s="145">
        <v>1064.8768612637361</v>
      </c>
      <c r="F18" s="145">
        <v>2370.4083184445608</v>
      </c>
      <c r="G18" s="145">
        <v>2363.1817955112219</v>
      </c>
      <c r="H18" s="145">
        <v>2919.3326813471504</v>
      </c>
      <c r="I18" s="145">
        <v>2999.3231699402222</v>
      </c>
      <c r="J18" s="145">
        <v>4019.7123583902812</v>
      </c>
      <c r="K18" s="145">
        <v>4315.7190610328635</v>
      </c>
      <c r="L18" s="145">
        <v>3231.4580576021435</v>
      </c>
      <c r="M18" s="145">
        <v>2576.3889728096678</v>
      </c>
      <c r="N18" s="145">
        <v>1748.7576526162788</v>
      </c>
      <c r="O18" s="145">
        <v>1610.2013059701492</v>
      </c>
      <c r="P18" s="179"/>
      <c r="Q18" s="179"/>
      <c r="R18" s="179"/>
      <c r="T18" s="143">
        <f>SUM(C18:S18)</f>
        <v>30346.97796688704</v>
      </c>
      <c r="U18" s="138"/>
      <c r="V18" s="139"/>
      <c r="W18" s="146">
        <f>T18</f>
        <v>30346.97796688704</v>
      </c>
      <c r="X18" s="138"/>
      <c r="Y18" s="157"/>
      <c r="Z18" s="157"/>
    </row>
    <row r="19" spans="1:26" x14ac:dyDescent="0.25">
      <c r="W19" s="143">
        <f>SUM(W17:W18)</f>
        <v>72532.839924074098</v>
      </c>
      <c r="X19" s="138"/>
    </row>
    <row r="20" spans="1:26" x14ac:dyDescent="0.25">
      <c r="W20" s="149"/>
      <c r="X20" s="150"/>
    </row>
    <row r="21" spans="1:26" s="128" customFormat="1" x14ac:dyDescent="0.25">
      <c r="A21" s="459">
        <v>3</v>
      </c>
      <c r="B21" s="127" t="s">
        <v>375</v>
      </c>
      <c r="C21" s="173"/>
      <c r="S21" s="173"/>
      <c r="T21" s="598" t="s">
        <v>375</v>
      </c>
      <c r="W21" s="129"/>
      <c r="Y21" s="166"/>
      <c r="Z21" s="166"/>
    </row>
    <row r="22" spans="1:26" s="125" customFormat="1" x14ac:dyDescent="0.25">
      <c r="A22" s="461"/>
      <c r="B22" s="130" t="s">
        <v>337</v>
      </c>
      <c r="C22" s="608" t="s">
        <v>392</v>
      </c>
      <c r="D22" s="131">
        <v>41456</v>
      </c>
      <c r="E22" s="131">
        <v>41487</v>
      </c>
      <c r="F22" s="131">
        <v>41518</v>
      </c>
      <c r="G22" s="131">
        <v>41548</v>
      </c>
      <c r="H22" s="131">
        <v>41579</v>
      </c>
      <c r="I22" s="131">
        <v>41609</v>
      </c>
      <c r="J22" s="131">
        <v>41640</v>
      </c>
      <c r="K22" s="131">
        <v>41671</v>
      </c>
      <c r="L22" s="131">
        <v>41699</v>
      </c>
      <c r="M22" s="131">
        <v>41730</v>
      </c>
      <c r="N22" s="131">
        <v>41760</v>
      </c>
      <c r="O22" s="131">
        <v>41791</v>
      </c>
      <c r="P22" s="560">
        <v>41821</v>
      </c>
      <c r="Q22" s="131">
        <v>41852</v>
      </c>
      <c r="R22" s="131">
        <v>41896</v>
      </c>
      <c r="S22" s="132"/>
      <c r="T22" s="133" t="s">
        <v>338</v>
      </c>
      <c r="U22" s="134" t="s">
        <v>339</v>
      </c>
      <c r="V22" s="132"/>
      <c r="W22" s="133" t="s">
        <v>338</v>
      </c>
      <c r="X22" s="134" t="s">
        <v>339</v>
      </c>
      <c r="Y22" s="157"/>
      <c r="Z22" s="157"/>
    </row>
    <row r="23" spans="1:26" s="125" customFormat="1" x14ac:dyDescent="0.25">
      <c r="A23" s="461"/>
      <c r="B23" s="135" t="s">
        <v>340</v>
      </c>
      <c r="C23" s="606"/>
      <c r="D23" s="136">
        <v>217457</v>
      </c>
      <c r="E23" s="136">
        <v>160490</v>
      </c>
      <c r="F23" s="136">
        <v>203429</v>
      </c>
      <c r="G23" s="136">
        <v>166251</v>
      </c>
      <c r="H23" s="136">
        <v>138132</v>
      </c>
      <c r="I23" s="136">
        <v>124889</v>
      </c>
      <c r="J23" s="136">
        <v>139000</v>
      </c>
      <c r="K23" s="136">
        <v>133870</v>
      </c>
      <c r="L23" s="136">
        <v>139130</v>
      </c>
      <c r="M23" s="136">
        <v>146224</v>
      </c>
      <c r="N23" s="136">
        <v>153776</v>
      </c>
      <c r="O23" s="136">
        <v>65996</v>
      </c>
      <c r="P23" s="174"/>
      <c r="Q23" s="174"/>
      <c r="R23" s="174"/>
      <c r="T23" s="140">
        <f>SUM(C23:S23)</f>
        <v>1788644</v>
      </c>
      <c r="U23" s="138" t="s">
        <v>341</v>
      </c>
      <c r="V23" s="139"/>
      <c r="W23" s="140">
        <f>T23*3413/1000000</f>
        <v>6104.6419720000004</v>
      </c>
      <c r="X23" s="138" t="s">
        <v>342</v>
      </c>
      <c r="Y23" s="157"/>
      <c r="Z23" s="157"/>
    </row>
    <row r="24" spans="1:26" s="125" customFormat="1" x14ac:dyDescent="0.25">
      <c r="A24" s="461"/>
      <c r="B24" s="135" t="s">
        <v>372</v>
      </c>
      <c r="C24" s="606"/>
      <c r="D24" s="136">
        <v>3277</v>
      </c>
      <c r="E24" s="136">
        <v>3078</v>
      </c>
      <c r="F24" s="136">
        <v>3630</v>
      </c>
      <c r="G24" s="136">
        <v>4223</v>
      </c>
      <c r="H24" s="136">
        <v>4887</v>
      </c>
      <c r="I24" s="136">
        <v>5896</v>
      </c>
      <c r="J24" s="136">
        <v>8070</v>
      </c>
      <c r="K24" s="136">
        <v>8390</v>
      </c>
      <c r="L24" s="136">
        <v>6911</v>
      </c>
      <c r="M24" s="136">
        <v>4287</v>
      </c>
      <c r="N24" s="136">
        <v>3143</v>
      </c>
      <c r="O24" s="136">
        <v>3451</v>
      </c>
      <c r="P24" s="174"/>
      <c r="Q24" s="174"/>
      <c r="R24" s="174"/>
      <c r="T24" s="140">
        <f>SUM(C24:S24)</f>
        <v>59243</v>
      </c>
      <c r="U24" s="138" t="s">
        <v>354</v>
      </c>
      <c r="V24" s="139"/>
      <c r="W24" s="140">
        <f>T24*99976.124488/1000000</f>
        <v>5922.8855430425847</v>
      </c>
      <c r="X24" s="138" t="s">
        <v>342</v>
      </c>
      <c r="Y24" s="495">
        <f>W23+W24</f>
        <v>12027.527515042584</v>
      </c>
      <c r="Z24" s="153" t="s">
        <v>342</v>
      </c>
    </row>
    <row r="25" spans="1:26" s="125" customFormat="1" x14ac:dyDescent="0.25">
      <c r="A25" s="461"/>
      <c r="B25" s="135" t="s">
        <v>373</v>
      </c>
      <c r="C25" s="606"/>
      <c r="D25" s="141">
        <v>23765</v>
      </c>
      <c r="E25" s="141">
        <v>60876</v>
      </c>
      <c r="F25" s="141">
        <v>74436</v>
      </c>
      <c r="G25" s="141">
        <v>50221</v>
      </c>
      <c r="H25" s="141">
        <v>55522</v>
      </c>
      <c r="I25" s="141">
        <v>41439</v>
      </c>
      <c r="J25" s="141">
        <v>76667</v>
      </c>
      <c r="K25" s="141">
        <v>19317</v>
      </c>
      <c r="L25" s="141">
        <v>60140</v>
      </c>
      <c r="M25" s="141">
        <v>54212</v>
      </c>
      <c r="N25" s="141">
        <v>42411</v>
      </c>
      <c r="O25" s="141">
        <v>47588</v>
      </c>
      <c r="P25" s="178"/>
      <c r="Q25" s="178"/>
      <c r="R25" s="178"/>
      <c r="T25" s="140">
        <f>SUM(C25:S25)</f>
        <v>606594</v>
      </c>
      <c r="U25" s="138" t="s">
        <v>367</v>
      </c>
      <c r="V25" s="139"/>
      <c r="W25" s="137">
        <f>T25*7.48</f>
        <v>4537323.12</v>
      </c>
      <c r="X25" s="138" t="s">
        <v>346</v>
      </c>
      <c r="Y25" s="157"/>
      <c r="Z25" s="157"/>
    </row>
    <row r="26" spans="1:26" s="125" customFormat="1" x14ac:dyDescent="0.25">
      <c r="A26" s="461"/>
      <c r="B26" s="135" t="s">
        <v>347</v>
      </c>
      <c r="C26" s="606"/>
      <c r="D26" s="142">
        <v>14532.683464920909</v>
      </c>
      <c r="E26" s="142">
        <v>10650.717917113559</v>
      </c>
      <c r="F26" s="142">
        <v>13738.921764458293</v>
      </c>
      <c r="G26" s="142">
        <v>10074.826821102724</v>
      </c>
      <c r="H26" s="142">
        <v>7931.4447478537295</v>
      </c>
      <c r="I26" s="142">
        <v>7289.9776360896294</v>
      </c>
      <c r="J26" s="142">
        <v>7965.398841665643</v>
      </c>
      <c r="K26" s="142">
        <v>7805.1386824205329</v>
      </c>
      <c r="L26" s="142">
        <v>8243.0649802781736</v>
      </c>
      <c r="M26" s="142">
        <v>8312.7160829181776</v>
      </c>
      <c r="N26" s="142">
        <v>8877.4754709451572</v>
      </c>
      <c r="O26" s="142">
        <v>4280.6393327374508</v>
      </c>
      <c r="P26" s="176"/>
      <c r="Q26" s="176"/>
      <c r="R26" s="176"/>
      <c r="T26" s="143">
        <f>SUM(C26:S26)</f>
        <v>109703.00574250398</v>
      </c>
      <c r="U26" s="138"/>
      <c r="V26" s="139"/>
      <c r="W26" s="143">
        <f>T26</f>
        <v>109703.00574250398</v>
      </c>
      <c r="X26" s="138"/>
      <c r="Y26" s="157"/>
      <c r="Z26" s="157"/>
    </row>
    <row r="27" spans="1:26" s="125" customFormat="1" ht="16.5" x14ac:dyDescent="0.35">
      <c r="A27" s="461"/>
      <c r="B27" s="144" t="s">
        <v>374</v>
      </c>
      <c r="C27" s="607"/>
      <c r="D27" s="145">
        <v>2982.4078350515465</v>
      </c>
      <c r="E27" s="145">
        <v>2791.9003228021975</v>
      </c>
      <c r="F27" s="145">
        <v>3285.4456647398838</v>
      </c>
      <c r="G27" s="145">
        <v>3823.6462538099195</v>
      </c>
      <c r="H27" s="145">
        <v>4559.5330181347153</v>
      </c>
      <c r="I27" s="145">
        <v>5451.2975986336469</v>
      </c>
      <c r="J27" s="145">
        <v>7559.7946241457857</v>
      </c>
      <c r="K27" s="145">
        <v>7743.5592219986584</v>
      </c>
      <c r="L27" s="145">
        <v>5914.355570997991</v>
      </c>
      <c r="M27" s="145">
        <v>3517.5094033232631</v>
      </c>
      <c r="N27" s="145">
        <v>2785.7806904069762</v>
      </c>
      <c r="O27" s="145">
        <v>3382.1087686567162</v>
      </c>
      <c r="P27" s="179"/>
      <c r="Q27" s="179"/>
      <c r="R27" s="179"/>
      <c r="T27" s="143">
        <f>SUM(C27:S27)</f>
        <v>53797.338972701298</v>
      </c>
      <c r="U27" s="138"/>
      <c r="V27" s="139"/>
      <c r="W27" s="146">
        <f>T27</f>
        <v>53797.338972701298</v>
      </c>
      <c r="X27" s="138"/>
      <c r="Y27" s="157"/>
      <c r="Z27" s="157"/>
    </row>
    <row r="28" spans="1:26" x14ac:dyDescent="0.25">
      <c r="W28" s="143">
        <f>SUM(W26:W27)</f>
        <v>163500.34471520528</v>
      </c>
      <c r="X28" s="138"/>
    </row>
    <row r="29" spans="1:26" x14ac:dyDescent="0.25">
      <c r="W29" s="149"/>
      <c r="X29" s="150"/>
    </row>
    <row r="30" spans="1:26" s="125" customFormat="1" x14ac:dyDescent="0.25">
      <c r="A30" s="461">
        <v>4</v>
      </c>
      <c r="B30" s="148" t="s">
        <v>553</v>
      </c>
      <c r="C30" s="152"/>
      <c r="S30" s="139"/>
      <c r="T30" s="766" t="s">
        <v>553</v>
      </c>
      <c r="U30" s="139"/>
      <c r="V30" s="149"/>
      <c r="W30" s="150"/>
      <c r="Y30" s="157"/>
      <c r="Z30" s="157"/>
    </row>
    <row r="31" spans="1:26" s="125" customFormat="1" x14ac:dyDescent="0.25">
      <c r="A31" s="461"/>
      <c r="B31" s="130" t="s">
        <v>337</v>
      </c>
      <c r="C31" s="186" t="s">
        <v>392</v>
      </c>
      <c r="D31" s="131">
        <v>41456</v>
      </c>
      <c r="E31" s="131">
        <v>41487</v>
      </c>
      <c r="F31" s="131">
        <v>41518</v>
      </c>
      <c r="G31" s="131">
        <v>41548</v>
      </c>
      <c r="H31" s="131">
        <v>41579</v>
      </c>
      <c r="I31" s="131">
        <v>41609</v>
      </c>
      <c r="J31" s="131">
        <v>41640</v>
      </c>
      <c r="K31" s="131">
        <v>41671</v>
      </c>
      <c r="L31" s="131">
        <v>41699</v>
      </c>
      <c r="M31" s="131">
        <v>41730</v>
      </c>
      <c r="N31" s="131">
        <v>41760</v>
      </c>
      <c r="O31" s="131">
        <v>41791</v>
      </c>
      <c r="P31" s="131">
        <v>41821</v>
      </c>
      <c r="Q31" s="131">
        <v>41852</v>
      </c>
      <c r="R31" s="131">
        <v>41896</v>
      </c>
      <c r="T31" s="133" t="s">
        <v>338</v>
      </c>
      <c r="U31" s="134" t="s">
        <v>339</v>
      </c>
      <c r="V31" s="132"/>
      <c r="W31" s="133" t="s">
        <v>338</v>
      </c>
      <c r="X31" s="134" t="s">
        <v>339</v>
      </c>
      <c r="Y31" s="157"/>
      <c r="Z31" s="157"/>
    </row>
    <row r="32" spans="1:26" s="125" customFormat="1" x14ac:dyDescent="0.25">
      <c r="A32" s="461"/>
      <c r="B32" s="135" t="s">
        <v>340</v>
      </c>
      <c r="C32" s="152" t="s">
        <v>351</v>
      </c>
      <c r="D32" s="440"/>
      <c r="E32" s="440"/>
      <c r="F32" s="136"/>
      <c r="G32" s="136"/>
      <c r="H32" s="136"/>
      <c r="I32" s="136"/>
      <c r="J32" s="136"/>
      <c r="K32" s="136"/>
      <c r="L32" s="136"/>
      <c r="M32" s="136"/>
      <c r="N32" s="136"/>
      <c r="O32" s="136"/>
      <c r="P32" s="174"/>
      <c r="Q32" s="174"/>
      <c r="R32" s="174"/>
      <c r="T32" s="140">
        <f t="shared" ref="T32:T38" si="0">SUM(C32:S32)</f>
        <v>0</v>
      </c>
      <c r="U32" s="138" t="s">
        <v>341</v>
      </c>
      <c r="V32" s="139"/>
      <c r="W32" s="140">
        <f>T32*3413/1000000</f>
        <v>0</v>
      </c>
      <c r="X32" s="138" t="s">
        <v>342</v>
      </c>
      <c r="Y32" s="157"/>
      <c r="Z32" s="157"/>
    </row>
    <row r="33" spans="1:26" s="125" customFormat="1" x14ac:dyDescent="0.25">
      <c r="A33" s="461"/>
      <c r="B33" s="135" t="s">
        <v>350</v>
      </c>
      <c r="C33" s="152" t="s">
        <v>351</v>
      </c>
      <c r="D33" s="552"/>
      <c r="E33" s="440"/>
      <c r="F33" s="153"/>
      <c r="G33" s="153"/>
      <c r="H33" s="153"/>
      <c r="I33" s="153"/>
      <c r="J33" s="153"/>
      <c r="K33" s="153"/>
      <c r="L33" s="153"/>
      <c r="M33" s="153"/>
      <c r="N33" s="153"/>
      <c r="O33" s="153"/>
      <c r="P33" s="554"/>
      <c r="Q33" s="174"/>
      <c r="R33" s="174"/>
      <c r="T33" s="140">
        <f t="shared" si="0"/>
        <v>0</v>
      </c>
      <c r="U33" s="138" t="s">
        <v>344</v>
      </c>
      <c r="V33" s="139"/>
      <c r="W33" s="140"/>
      <c r="X33" s="138" t="s">
        <v>342</v>
      </c>
      <c r="Y33" s="157"/>
      <c r="Z33" s="157"/>
    </row>
    <row r="34" spans="1:26" s="125" customFormat="1" x14ac:dyDescent="0.25">
      <c r="A34" s="461"/>
      <c r="B34" s="135" t="s">
        <v>353</v>
      </c>
      <c r="C34" s="152"/>
      <c r="D34" s="440">
        <v>43</v>
      </c>
      <c r="E34" s="440">
        <v>41</v>
      </c>
      <c r="F34" s="136">
        <v>47</v>
      </c>
      <c r="G34" s="136">
        <v>45</v>
      </c>
      <c r="H34" s="136">
        <v>51</v>
      </c>
      <c r="I34" s="136">
        <v>48</v>
      </c>
      <c r="J34" s="136">
        <v>50</v>
      </c>
      <c r="K34" s="136">
        <v>44</v>
      </c>
      <c r="L34" s="136">
        <v>45</v>
      </c>
      <c r="M34" s="136">
        <v>50</v>
      </c>
      <c r="N34" s="136">
        <v>44</v>
      </c>
      <c r="O34" s="136">
        <v>46</v>
      </c>
      <c r="P34" s="174"/>
      <c r="Q34" s="178"/>
      <c r="R34" s="178"/>
      <c r="T34" s="140">
        <f t="shared" si="0"/>
        <v>554</v>
      </c>
      <c r="U34" s="138" t="s">
        <v>354</v>
      </c>
      <c r="V34" s="139"/>
      <c r="W34" s="140">
        <f>T34*99976.124488/1000000</f>
        <v>55.386772966351998</v>
      </c>
      <c r="X34" s="138" t="s">
        <v>342</v>
      </c>
      <c r="Y34" s="157"/>
      <c r="Z34" s="157"/>
    </row>
    <row r="35" spans="1:26" s="125" customFormat="1" x14ac:dyDescent="0.25">
      <c r="A35" s="461"/>
      <c r="B35" s="135" t="s">
        <v>366</v>
      </c>
      <c r="C35" s="152"/>
      <c r="D35" s="556">
        <v>50613</v>
      </c>
      <c r="E35" s="448">
        <v>32576</v>
      </c>
      <c r="F35" s="160">
        <v>14693</v>
      </c>
      <c r="G35" s="160">
        <v>8110</v>
      </c>
      <c r="H35" s="160">
        <v>2418</v>
      </c>
      <c r="I35" s="160">
        <v>2393</v>
      </c>
      <c r="J35" s="160">
        <v>1963</v>
      </c>
      <c r="K35" s="160">
        <v>2199</v>
      </c>
      <c r="L35" s="160">
        <v>2114</v>
      </c>
      <c r="M35" s="557">
        <v>5877</v>
      </c>
      <c r="N35" s="160">
        <v>12506</v>
      </c>
      <c r="O35" s="160">
        <v>15532</v>
      </c>
      <c r="P35" s="178"/>
      <c r="Q35" s="176"/>
      <c r="R35" s="176"/>
      <c r="T35" s="140">
        <f t="shared" si="0"/>
        <v>150994</v>
      </c>
      <c r="U35" s="138" t="s">
        <v>367</v>
      </c>
      <c r="V35" s="139"/>
      <c r="W35" s="137">
        <f>T35*7.48</f>
        <v>1129435.1200000001</v>
      </c>
      <c r="X35" s="138" t="s">
        <v>346</v>
      </c>
      <c r="Y35" s="157"/>
      <c r="Z35" s="157"/>
    </row>
    <row r="36" spans="1:26" s="125" customFormat="1" x14ac:dyDescent="0.25">
      <c r="A36" s="461"/>
      <c r="B36" s="135" t="s">
        <v>347</v>
      </c>
      <c r="C36" s="152" t="s">
        <v>351</v>
      </c>
      <c r="D36" s="440"/>
      <c r="E36" s="440"/>
      <c r="F36" s="142"/>
      <c r="G36" s="142"/>
      <c r="H36" s="142"/>
      <c r="I36" s="142"/>
      <c r="J36" s="142"/>
      <c r="K36" s="142"/>
      <c r="L36" s="142"/>
      <c r="M36" s="142"/>
      <c r="N36" s="142"/>
      <c r="O36" s="142"/>
      <c r="P36" s="176"/>
      <c r="Q36" s="179"/>
      <c r="R36" s="179"/>
      <c r="S36" s="155"/>
      <c r="T36" s="143">
        <f t="shared" si="0"/>
        <v>0</v>
      </c>
      <c r="U36" s="138"/>
      <c r="V36" s="139"/>
      <c r="W36" s="143">
        <f>T36</f>
        <v>0</v>
      </c>
      <c r="X36" s="138"/>
      <c r="Y36" s="157"/>
      <c r="Z36" s="157"/>
    </row>
    <row r="37" spans="1:26" s="125" customFormat="1" x14ac:dyDescent="0.25">
      <c r="A37" s="461"/>
      <c r="B37" s="144" t="s">
        <v>348</v>
      </c>
      <c r="C37" s="152" t="s">
        <v>351</v>
      </c>
      <c r="D37" s="552"/>
      <c r="E37" s="440"/>
      <c r="F37" s="153"/>
      <c r="G37" s="153"/>
      <c r="H37" s="153"/>
      <c r="I37" s="153"/>
      <c r="J37" s="153"/>
      <c r="K37" s="153"/>
      <c r="L37" s="153"/>
      <c r="M37" s="153"/>
      <c r="N37" s="153"/>
      <c r="O37" s="153"/>
      <c r="P37" s="554"/>
      <c r="Q37" s="554"/>
      <c r="R37" s="554"/>
      <c r="S37" s="157"/>
      <c r="T37" s="143">
        <f t="shared" si="0"/>
        <v>0</v>
      </c>
      <c r="U37" s="138"/>
      <c r="V37" s="139"/>
      <c r="W37" s="143">
        <f>T37</f>
        <v>0</v>
      </c>
      <c r="X37" s="138"/>
      <c r="Y37" s="157"/>
      <c r="Z37" s="157"/>
    </row>
    <row r="38" spans="1:26" s="125" customFormat="1" ht="16.5" x14ac:dyDescent="0.35">
      <c r="A38" s="461"/>
      <c r="B38" s="135" t="s">
        <v>356</v>
      </c>
      <c r="C38" s="152"/>
      <c r="D38" s="555">
        <v>57.69</v>
      </c>
      <c r="E38" s="555">
        <v>55.53</v>
      </c>
      <c r="F38" s="145">
        <v>58.99</v>
      </c>
      <c r="G38" s="145">
        <v>56.83</v>
      </c>
      <c r="H38" s="145">
        <v>62.08</v>
      </c>
      <c r="I38" s="145">
        <v>59.46</v>
      </c>
      <c r="J38" s="145">
        <v>61.21</v>
      </c>
      <c r="K38" s="145">
        <v>55.96</v>
      </c>
      <c r="L38" s="145">
        <v>56.8</v>
      </c>
      <c r="M38" s="145">
        <v>60.88</v>
      </c>
      <c r="N38" s="145">
        <v>55.67</v>
      </c>
      <c r="O38" s="145">
        <v>57.4</v>
      </c>
      <c r="P38" s="179"/>
      <c r="Q38" s="179"/>
      <c r="R38" s="179"/>
      <c r="S38" s="155"/>
      <c r="T38" s="143">
        <f t="shared" si="0"/>
        <v>698.49999999999989</v>
      </c>
      <c r="U38" s="138"/>
      <c r="V38" s="139"/>
      <c r="W38" s="146">
        <f>T38</f>
        <v>698.49999999999989</v>
      </c>
      <c r="X38" s="138"/>
      <c r="Y38" s="157"/>
      <c r="Z38" s="157"/>
    </row>
    <row r="39" spans="1:26" x14ac:dyDescent="0.25">
      <c r="C39" s="609" t="s">
        <v>676</v>
      </c>
      <c r="W39" s="143">
        <f>SUM(W36:W38)</f>
        <v>698.49999999999989</v>
      </c>
      <c r="X39" s="138"/>
    </row>
    <row r="40" spans="1:26" x14ac:dyDescent="0.25">
      <c r="W40" s="149"/>
      <c r="X40" s="150"/>
    </row>
    <row r="41" spans="1:26" s="125" customFormat="1" x14ac:dyDescent="0.25">
      <c r="A41" s="461">
        <v>5</v>
      </c>
      <c r="B41" s="148" t="s">
        <v>555</v>
      </c>
      <c r="C41" s="152"/>
      <c r="S41" s="139"/>
      <c r="T41" s="766" t="s">
        <v>555</v>
      </c>
      <c r="U41" s="139"/>
      <c r="V41" s="149"/>
      <c r="W41" s="150"/>
      <c r="Y41" s="157"/>
      <c r="Z41" s="157"/>
    </row>
    <row r="42" spans="1:26" s="125" customFormat="1" x14ac:dyDescent="0.25">
      <c r="A42" s="461"/>
      <c r="B42" s="130" t="s">
        <v>337</v>
      </c>
      <c r="C42" s="186" t="s">
        <v>392</v>
      </c>
      <c r="D42" s="131">
        <v>41456</v>
      </c>
      <c r="E42" s="131">
        <v>41487</v>
      </c>
      <c r="F42" s="131">
        <v>41518</v>
      </c>
      <c r="G42" s="131">
        <v>41548</v>
      </c>
      <c r="H42" s="131">
        <v>41579</v>
      </c>
      <c r="I42" s="131">
        <v>41609</v>
      </c>
      <c r="J42" s="131">
        <v>41640</v>
      </c>
      <c r="K42" s="131">
        <v>41671</v>
      </c>
      <c r="L42" s="131">
        <v>41699</v>
      </c>
      <c r="M42" s="131">
        <v>41730</v>
      </c>
      <c r="N42" s="131">
        <v>41760</v>
      </c>
      <c r="O42" s="131">
        <v>41791</v>
      </c>
      <c r="P42" s="451">
        <v>41821</v>
      </c>
      <c r="Q42" s="553">
        <v>41852</v>
      </c>
      <c r="R42" s="451">
        <v>41896</v>
      </c>
      <c r="T42" s="133" t="s">
        <v>338</v>
      </c>
      <c r="U42" s="134" t="s">
        <v>339</v>
      </c>
      <c r="V42" s="132"/>
      <c r="W42" s="133" t="s">
        <v>338</v>
      </c>
      <c r="X42" s="134" t="s">
        <v>339</v>
      </c>
      <c r="Y42" s="157"/>
      <c r="Z42" s="157"/>
    </row>
    <row r="43" spans="1:26" s="125" customFormat="1" x14ac:dyDescent="0.25">
      <c r="A43" s="461"/>
      <c r="B43" s="135" t="s">
        <v>340</v>
      </c>
      <c r="C43" s="152"/>
      <c r="D43" s="448">
        <v>176060</v>
      </c>
      <c r="E43" s="448">
        <v>174415</v>
      </c>
      <c r="F43" s="558">
        <v>174280</v>
      </c>
      <c r="G43" s="558">
        <v>168764</v>
      </c>
      <c r="H43" s="558">
        <v>120336</v>
      </c>
      <c r="I43" s="558">
        <v>89358</v>
      </c>
      <c r="J43" s="558">
        <v>83521</v>
      </c>
      <c r="K43" s="558">
        <v>92352</v>
      </c>
      <c r="L43" s="558">
        <v>97382</v>
      </c>
      <c r="M43" s="558">
        <v>128712</v>
      </c>
      <c r="N43" s="558">
        <v>104508</v>
      </c>
      <c r="O43" s="558">
        <v>67634</v>
      </c>
      <c r="P43" s="174"/>
      <c r="Q43" s="174"/>
      <c r="R43" s="174"/>
      <c r="T43" s="140">
        <f t="shared" ref="T43:T49" si="1">SUM(C43:S43)</f>
        <v>1477322</v>
      </c>
      <c r="U43" s="138" t="s">
        <v>341</v>
      </c>
      <c r="V43" s="139"/>
      <c r="W43" s="140">
        <f>T43*3413/1000000</f>
        <v>5042.0999860000002</v>
      </c>
      <c r="X43" s="138" t="s">
        <v>342</v>
      </c>
      <c r="Y43" s="157"/>
      <c r="Z43" s="157"/>
    </row>
    <row r="44" spans="1:26" s="125" customFormat="1" x14ac:dyDescent="0.25">
      <c r="A44" s="461"/>
      <c r="B44" s="135" t="s">
        <v>350</v>
      </c>
      <c r="C44" s="152" t="s">
        <v>351</v>
      </c>
      <c r="D44" s="552"/>
      <c r="E44" s="440"/>
      <c r="F44" s="153"/>
      <c r="G44" s="153"/>
      <c r="H44" s="153"/>
      <c r="I44" s="153"/>
      <c r="J44" s="153"/>
      <c r="K44" s="153"/>
      <c r="L44" s="153"/>
      <c r="M44" s="153"/>
      <c r="N44" s="153"/>
      <c r="O44" s="153"/>
      <c r="P44" s="554"/>
      <c r="Q44" s="174"/>
      <c r="R44" s="174"/>
      <c r="T44" s="140">
        <f t="shared" si="1"/>
        <v>0</v>
      </c>
      <c r="U44" s="138" t="s">
        <v>344</v>
      </c>
      <c r="V44" s="139"/>
      <c r="W44" s="140"/>
      <c r="X44" s="138" t="s">
        <v>342</v>
      </c>
      <c r="Y44" s="157"/>
      <c r="Z44" s="157"/>
    </row>
    <row r="45" spans="1:26" s="125" customFormat="1" x14ac:dyDescent="0.25">
      <c r="A45" s="461"/>
      <c r="B45" s="135" t="s">
        <v>353</v>
      </c>
      <c r="C45" s="152"/>
      <c r="D45" s="440">
        <v>280</v>
      </c>
      <c r="E45" s="440">
        <v>299</v>
      </c>
      <c r="F45" s="136">
        <v>34</v>
      </c>
      <c r="G45" s="136">
        <v>0</v>
      </c>
      <c r="H45" s="136">
        <v>0</v>
      </c>
      <c r="I45" s="136">
        <v>0</v>
      </c>
      <c r="J45" s="136">
        <v>0</v>
      </c>
      <c r="K45" s="136">
        <v>817</v>
      </c>
      <c r="L45" s="136">
        <v>1425</v>
      </c>
      <c r="M45" s="136">
        <v>1191</v>
      </c>
      <c r="N45" s="136">
        <v>1572</v>
      </c>
      <c r="O45" s="136">
        <v>215</v>
      </c>
      <c r="P45" s="174"/>
      <c r="Q45" s="178"/>
      <c r="R45" s="178"/>
      <c r="T45" s="140">
        <f t="shared" si="1"/>
        <v>5833</v>
      </c>
      <c r="U45" s="138" t="s">
        <v>354</v>
      </c>
      <c r="V45" s="139"/>
      <c r="W45" s="140">
        <f>T45*99976.124488/1000000</f>
        <v>583.16073413850404</v>
      </c>
      <c r="X45" s="138" t="s">
        <v>342</v>
      </c>
      <c r="Y45" s="495">
        <f>W43+W44+W45</f>
        <v>5625.2607201385044</v>
      </c>
      <c r="Z45" s="153" t="s">
        <v>677</v>
      </c>
    </row>
    <row r="46" spans="1:26" s="125" customFormat="1" x14ac:dyDescent="0.25">
      <c r="A46" s="461"/>
      <c r="B46" s="135" t="s">
        <v>366</v>
      </c>
      <c r="C46" s="152"/>
      <c r="D46" s="556">
        <v>16447</v>
      </c>
      <c r="E46" s="448">
        <v>26360</v>
      </c>
      <c r="F46" s="160">
        <v>52340</v>
      </c>
      <c r="G46" s="160">
        <v>57520</v>
      </c>
      <c r="H46" s="160">
        <v>62064</v>
      </c>
      <c r="I46" s="160">
        <v>44528</v>
      </c>
      <c r="J46" s="160">
        <v>12184</v>
      </c>
      <c r="K46" s="160">
        <v>41108</v>
      </c>
      <c r="L46" s="160">
        <v>44390</v>
      </c>
      <c r="M46" s="557">
        <v>28911</v>
      </c>
      <c r="N46" s="160">
        <v>52833</v>
      </c>
      <c r="O46" s="160">
        <v>18204</v>
      </c>
      <c r="P46" s="178"/>
      <c r="Q46" s="176"/>
      <c r="R46" s="176"/>
      <c r="T46" s="140">
        <f t="shared" si="1"/>
        <v>456889</v>
      </c>
      <c r="U46" s="138" t="s">
        <v>367</v>
      </c>
      <c r="V46" s="139"/>
      <c r="W46" s="137">
        <f>T46*7.48</f>
        <v>3417529.72</v>
      </c>
      <c r="X46" s="138" t="s">
        <v>346</v>
      </c>
      <c r="Y46" s="157"/>
      <c r="Z46" s="157"/>
    </row>
    <row r="47" spans="1:26" s="125" customFormat="1" x14ac:dyDescent="0.25">
      <c r="A47" s="461"/>
      <c r="B47" s="135" t="s">
        <v>347</v>
      </c>
      <c r="C47" s="152"/>
      <c r="D47" s="555">
        <v>7381.1394400000008</v>
      </c>
      <c r="E47" s="555">
        <v>7312.1744600000002</v>
      </c>
      <c r="F47" s="142">
        <v>7306.5147200000001</v>
      </c>
      <c r="G47" s="142">
        <v>7075.2619360000008</v>
      </c>
      <c r="H47" s="142">
        <v>5044.9664640000001</v>
      </c>
      <c r="I47" s="142">
        <v>3746.2447920000004</v>
      </c>
      <c r="J47" s="142">
        <v>3501.5344040000004</v>
      </c>
      <c r="K47" s="142">
        <v>3871.7652480000002</v>
      </c>
      <c r="L47" s="142">
        <v>4082.6429680000001</v>
      </c>
      <c r="M47" s="142">
        <v>5396.1218880000006</v>
      </c>
      <c r="N47" s="142">
        <v>4381.3933919999999</v>
      </c>
      <c r="O47" s="142">
        <v>2835.4878160000003</v>
      </c>
      <c r="P47" s="176"/>
      <c r="Q47" s="179"/>
      <c r="R47" s="179"/>
      <c r="S47" s="155"/>
      <c r="T47" s="143">
        <f t="shared" si="1"/>
        <v>61935.247528</v>
      </c>
      <c r="U47" s="138"/>
      <c r="V47" s="139"/>
      <c r="W47" s="143">
        <f>T47</f>
        <v>61935.247528</v>
      </c>
      <c r="X47" s="138"/>
      <c r="Y47" s="157"/>
      <c r="Z47" s="157"/>
    </row>
    <row r="48" spans="1:26" s="125" customFormat="1" x14ac:dyDescent="0.25">
      <c r="A48" s="461"/>
      <c r="B48" s="144" t="s">
        <v>348</v>
      </c>
      <c r="C48" s="152" t="s">
        <v>351</v>
      </c>
      <c r="D48" s="552"/>
      <c r="E48" s="440"/>
      <c r="F48" s="153"/>
      <c r="G48" s="153"/>
      <c r="H48" s="153"/>
      <c r="I48" s="153"/>
      <c r="J48" s="153"/>
      <c r="K48" s="153"/>
      <c r="L48" s="153"/>
      <c r="M48" s="153"/>
      <c r="N48" s="153"/>
      <c r="O48" s="153"/>
      <c r="P48" s="554"/>
      <c r="Q48" s="554"/>
      <c r="R48" s="554"/>
      <c r="S48" s="157"/>
      <c r="T48" s="143">
        <f t="shared" si="1"/>
        <v>0</v>
      </c>
      <c r="U48" s="138"/>
      <c r="V48" s="139"/>
      <c r="W48" s="143">
        <f>T48</f>
        <v>0</v>
      </c>
      <c r="X48" s="138"/>
      <c r="Y48" s="157"/>
      <c r="Z48" s="157"/>
    </row>
    <row r="49" spans="1:26" s="125" customFormat="1" ht="16.5" x14ac:dyDescent="0.35">
      <c r="A49" s="461"/>
      <c r="B49" s="135" t="s">
        <v>356</v>
      </c>
      <c r="C49" s="152"/>
      <c r="D49" s="555">
        <v>291.38</v>
      </c>
      <c r="E49" s="555">
        <v>309.81</v>
      </c>
      <c r="F49" s="145">
        <v>50.7</v>
      </c>
      <c r="G49" s="145">
        <v>17.5</v>
      </c>
      <c r="H49" s="145">
        <v>17.5</v>
      </c>
      <c r="I49" s="145">
        <v>17.5</v>
      </c>
      <c r="J49" s="145">
        <v>17.5</v>
      </c>
      <c r="K49" s="145">
        <v>735.92</v>
      </c>
      <c r="L49" s="145">
        <v>1237.4000000000001</v>
      </c>
      <c r="M49" s="145">
        <v>1044.99</v>
      </c>
      <c r="N49" s="145">
        <v>1373.96</v>
      </c>
      <c r="O49" s="145">
        <v>213.95</v>
      </c>
      <c r="P49" s="179"/>
      <c r="Q49" s="179"/>
      <c r="R49" s="179"/>
      <c r="S49" s="155"/>
      <c r="T49" s="143">
        <f t="shared" si="1"/>
        <v>5328.11</v>
      </c>
      <c r="U49" s="138"/>
      <c r="V49" s="139"/>
      <c r="W49" s="146">
        <f>T49</f>
        <v>5328.11</v>
      </c>
      <c r="X49" s="138"/>
      <c r="Y49" s="157"/>
      <c r="Z49" s="157"/>
    </row>
    <row r="50" spans="1:26" x14ac:dyDescent="0.25">
      <c r="C50" s="711" t="s">
        <v>676</v>
      </c>
      <c r="W50" s="143">
        <f>SUM(W47:W49)</f>
        <v>67263.357527999993</v>
      </c>
      <c r="X50" s="138"/>
    </row>
    <row r="51" spans="1:26" x14ac:dyDescent="0.25">
      <c r="W51" s="149"/>
      <c r="X51" s="150"/>
    </row>
    <row r="52" spans="1:26" s="125" customFormat="1" x14ac:dyDescent="0.25">
      <c r="A52" s="461">
        <v>6</v>
      </c>
      <c r="B52" s="148" t="s">
        <v>556</v>
      </c>
      <c r="C52" s="152"/>
      <c r="D52" s="157"/>
      <c r="S52" s="126"/>
      <c r="T52" s="569" t="s">
        <v>556</v>
      </c>
      <c r="V52" s="126"/>
      <c r="Y52" s="157"/>
      <c r="Z52" s="157"/>
    </row>
    <row r="53" spans="1:26" s="157" customFormat="1" x14ac:dyDescent="0.25">
      <c r="A53" s="461"/>
      <c r="B53" s="130" t="s">
        <v>337</v>
      </c>
      <c r="C53" s="186" t="s">
        <v>392</v>
      </c>
      <c r="D53" s="131">
        <v>41456</v>
      </c>
      <c r="E53" s="131">
        <v>41487</v>
      </c>
      <c r="F53" s="131">
        <v>41518</v>
      </c>
      <c r="G53" s="131">
        <v>41548</v>
      </c>
      <c r="H53" s="131">
        <v>41579</v>
      </c>
      <c r="I53" s="131">
        <v>41609</v>
      </c>
      <c r="J53" s="131">
        <v>41640</v>
      </c>
      <c r="K53" s="131">
        <v>41671</v>
      </c>
      <c r="L53" s="131">
        <v>41699</v>
      </c>
      <c r="M53" s="131">
        <v>41730</v>
      </c>
      <c r="N53" s="131">
        <v>41760</v>
      </c>
      <c r="O53" s="131">
        <v>41791</v>
      </c>
      <c r="P53" s="131">
        <v>41821</v>
      </c>
      <c r="Q53" s="151">
        <v>41852</v>
      </c>
      <c r="R53" s="131">
        <v>41896</v>
      </c>
      <c r="T53" s="133" t="s">
        <v>338</v>
      </c>
      <c r="U53" s="134" t="s">
        <v>339</v>
      </c>
      <c r="V53" s="132"/>
      <c r="W53" s="133" t="s">
        <v>338</v>
      </c>
      <c r="X53" s="134" t="s">
        <v>339</v>
      </c>
    </row>
    <row r="54" spans="1:26" s="157" customFormat="1" x14ac:dyDescent="0.25">
      <c r="A54" s="461"/>
      <c r="B54" s="135" t="s">
        <v>319</v>
      </c>
      <c r="C54" s="599"/>
      <c r="F54" s="136">
        <v>142751</v>
      </c>
      <c r="G54" s="136">
        <v>191399</v>
      </c>
      <c r="H54" s="136">
        <v>157749</v>
      </c>
      <c r="I54" s="136">
        <v>168745</v>
      </c>
      <c r="J54" s="136">
        <v>149433</v>
      </c>
      <c r="K54" s="136">
        <v>140210</v>
      </c>
      <c r="L54" s="136">
        <v>148789</v>
      </c>
      <c r="M54" s="136">
        <v>168547</v>
      </c>
      <c r="N54" s="136">
        <v>150998</v>
      </c>
      <c r="O54" s="136">
        <v>145846</v>
      </c>
      <c r="P54" s="136">
        <v>158623</v>
      </c>
      <c r="Q54" s="136">
        <v>145460</v>
      </c>
      <c r="T54" s="141">
        <f t="shared" ref="T54:T59" si="2">SUM(F54:Q54)</f>
        <v>1868550</v>
      </c>
      <c r="U54" s="188" t="s">
        <v>341</v>
      </c>
      <c r="W54" s="160">
        <f>T54*3413/1000000</f>
        <v>6377.3611499999997</v>
      </c>
      <c r="X54" s="138" t="s">
        <v>342</v>
      </c>
    </row>
    <row r="55" spans="1:26" s="157" customFormat="1" x14ac:dyDescent="0.25">
      <c r="A55" s="461"/>
      <c r="B55" s="135" t="s">
        <v>859</v>
      </c>
      <c r="C55" s="599"/>
      <c r="F55" s="137">
        <v>726</v>
      </c>
      <c r="G55" s="137">
        <v>476</v>
      </c>
      <c r="H55" s="137">
        <v>435</v>
      </c>
      <c r="I55" s="136">
        <v>605</v>
      </c>
      <c r="J55" s="136">
        <v>850</v>
      </c>
      <c r="K55" s="136">
        <v>760</v>
      </c>
      <c r="L55" s="136">
        <v>702</v>
      </c>
      <c r="M55" s="136">
        <v>656</v>
      </c>
      <c r="N55" s="136">
        <v>359</v>
      </c>
      <c r="O55" s="136">
        <v>458</v>
      </c>
      <c r="P55" s="136">
        <v>580</v>
      </c>
      <c r="Q55" s="136">
        <v>734</v>
      </c>
      <c r="T55" s="141">
        <f t="shared" si="2"/>
        <v>7341</v>
      </c>
      <c r="U55" s="188" t="s">
        <v>860</v>
      </c>
      <c r="W55" s="160">
        <f>T55*1194000/1000000</f>
        <v>8765.1540000000005</v>
      </c>
      <c r="X55" s="138" t="s">
        <v>342</v>
      </c>
    </row>
    <row r="56" spans="1:26" s="157" customFormat="1" x14ac:dyDescent="0.25">
      <c r="A56" s="461"/>
      <c r="B56" s="192" t="s">
        <v>323</v>
      </c>
      <c r="C56" s="599"/>
      <c r="F56" s="141">
        <v>167254</v>
      </c>
      <c r="G56" s="141">
        <v>113689</v>
      </c>
      <c r="H56" s="141">
        <v>57995</v>
      </c>
      <c r="I56" s="141">
        <v>11238</v>
      </c>
      <c r="J56" s="141">
        <v>14795</v>
      </c>
      <c r="K56" s="141">
        <v>1337</v>
      </c>
      <c r="L56" s="141">
        <v>2008</v>
      </c>
      <c r="M56" s="141">
        <v>2309</v>
      </c>
      <c r="N56" s="141">
        <v>18183</v>
      </c>
      <c r="O56" s="141">
        <v>91876</v>
      </c>
      <c r="P56" s="141">
        <v>155036</v>
      </c>
      <c r="Q56" s="141">
        <v>166476</v>
      </c>
      <c r="T56" s="141">
        <f t="shared" si="2"/>
        <v>802196</v>
      </c>
      <c r="U56" s="188" t="s">
        <v>397</v>
      </c>
      <c r="W56" s="160">
        <f>T56*0.012</f>
        <v>9626.3520000000008</v>
      </c>
      <c r="X56" s="138" t="s">
        <v>342</v>
      </c>
    </row>
    <row r="57" spans="1:26" s="157" customFormat="1" x14ac:dyDescent="0.25">
      <c r="A57" s="461"/>
      <c r="B57" s="192" t="s">
        <v>861</v>
      </c>
      <c r="C57" s="599"/>
      <c r="F57" s="141">
        <v>151</v>
      </c>
      <c r="G57" s="141">
        <v>316</v>
      </c>
      <c r="H57" s="141">
        <v>335</v>
      </c>
      <c r="I57" s="141">
        <v>385</v>
      </c>
      <c r="J57" s="141">
        <v>416</v>
      </c>
      <c r="K57" s="141">
        <v>305</v>
      </c>
      <c r="L57" s="141">
        <v>372</v>
      </c>
      <c r="M57" s="141">
        <v>281</v>
      </c>
      <c r="N57" s="141">
        <v>379</v>
      </c>
      <c r="O57" s="141">
        <v>289</v>
      </c>
      <c r="P57" s="141">
        <v>176</v>
      </c>
      <c r="Q57" s="141">
        <v>130</v>
      </c>
      <c r="T57" s="141">
        <f t="shared" si="2"/>
        <v>3535</v>
      </c>
      <c r="U57" s="188" t="s">
        <v>354</v>
      </c>
      <c r="W57" s="140">
        <f>T57*99976.124488/1000000</f>
        <v>353.41560006508001</v>
      </c>
      <c r="X57" s="138" t="s">
        <v>342</v>
      </c>
      <c r="Y57" s="495">
        <f>W54+W55+W56+W57</f>
        <v>25122.282750065078</v>
      </c>
      <c r="Z57" s="153" t="s">
        <v>677</v>
      </c>
    </row>
    <row r="58" spans="1:26" s="157" customFormat="1" x14ac:dyDescent="0.25">
      <c r="A58" s="461"/>
      <c r="B58" s="135" t="s">
        <v>862</v>
      </c>
      <c r="C58" s="599"/>
      <c r="F58" s="141">
        <v>64</v>
      </c>
      <c r="G58" s="141">
        <v>71</v>
      </c>
      <c r="H58" s="141">
        <v>108</v>
      </c>
      <c r="I58" s="141">
        <v>91</v>
      </c>
      <c r="J58" s="141">
        <v>28</v>
      </c>
      <c r="K58" s="141">
        <v>67</v>
      </c>
      <c r="L58" s="141">
        <v>65</v>
      </c>
      <c r="M58" s="141">
        <v>94</v>
      </c>
      <c r="N58" s="141">
        <v>122</v>
      </c>
      <c r="O58" s="141">
        <v>32</v>
      </c>
      <c r="P58" s="141">
        <v>210</v>
      </c>
      <c r="Q58" s="141">
        <v>137</v>
      </c>
      <c r="T58" s="141">
        <f t="shared" si="2"/>
        <v>1089</v>
      </c>
      <c r="U58" s="188" t="s">
        <v>863</v>
      </c>
      <c r="W58" s="141">
        <f>T58*1000</f>
        <v>1089000</v>
      </c>
      <c r="X58" s="188" t="s">
        <v>346</v>
      </c>
    </row>
    <row r="59" spans="1:26" s="157" customFormat="1" x14ac:dyDescent="0.25">
      <c r="A59" s="461"/>
      <c r="B59" s="135" t="s">
        <v>324</v>
      </c>
      <c r="C59" s="599"/>
      <c r="F59" s="142">
        <v>9107.51</v>
      </c>
      <c r="G59" s="142">
        <v>11560.5</v>
      </c>
      <c r="H59" s="142">
        <v>9480.7099999999991</v>
      </c>
      <c r="I59" s="142">
        <v>9095.36</v>
      </c>
      <c r="J59" s="142">
        <v>8323.42</v>
      </c>
      <c r="K59" s="142">
        <v>8454.66</v>
      </c>
      <c r="L59" s="142">
        <v>8793.43</v>
      </c>
      <c r="M59" s="142">
        <v>8882.43</v>
      </c>
      <c r="N59" s="142">
        <v>8923.98</v>
      </c>
      <c r="O59" s="142">
        <v>8459.07</v>
      </c>
      <c r="P59" s="142">
        <v>9850.49</v>
      </c>
      <c r="Q59" s="142">
        <v>9833.1</v>
      </c>
      <c r="T59" s="171">
        <f t="shared" si="2"/>
        <v>110764.66000000002</v>
      </c>
      <c r="U59" s="188"/>
      <c r="W59" s="439">
        <f>T59</f>
        <v>110764.66000000002</v>
      </c>
      <c r="X59" s="188"/>
    </row>
    <row r="60" spans="1:26" s="157" customFormat="1" x14ac:dyDescent="0.25">
      <c r="A60" s="461"/>
      <c r="B60" s="195" t="s">
        <v>326</v>
      </c>
      <c r="C60" s="599"/>
      <c r="F60" s="196">
        <v>8154.58</v>
      </c>
      <c r="G60" s="196">
        <v>5346.53</v>
      </c>
      <c r="H60" s="196">
        <v>4886.01</v>
      </c>
      <c r="I60" s="196">
        <v>6795.48</v>
      </c>
      <c r="J60" s="196">
        <v>9547.3700000000008</v>
      </c>
      <c r="K60" s="196">
        <v>8536.4699999999993</v>
      </c>
      <c r="L60" s="196">
        <v>7885</v>
      </c>
      <c r="M60" s="196">
        <v>7368.32</v>
      </c>
      <c r="N60" s="196">
        <v>4032.36</v>
      </c>
      <c r="O60" s="196">
        <v>5144.3500000000004</v>
      </c>
      <c r="P60" s="196">
        <v>6515.78</v>
      </c>
      <c r="Q60" s="196">
        <v>8245.83</v>
      </c>
      <c r="T60" s="171">
        <f>SUM(F60:Q60)</f>
        <v>82458.080000000002</v>
      </c>
      <c r="U60" s="188"/>
      <c r="W60" s="190">
        <f>T60</f>
        <v>82458.080000000002</v>
      </c>
      <c r="X60" s="438"/>
    </row>
    <row r="61" spans="1:26" s="157" customFormat="1" x14ac:dyDescent="0.25">
      <c r="A61" s="461"/>
      <c r="B61" s="195" t="s">
        <v>398</v>
      </c>
      <c r="C61" s="599"/>
      <c r="F61" s="198">
        <v>16290.54</v>
      </c>
      <c r="G61" s="198">
        <v>11073.31</v>
      </c>
      <c r="H61" s="198">
        <v>5648.71</v>
      </c>
      <c r="I61" s="198">
        <v>1094.58</v>
      </c>
      <c r="J61" s="198">
        <v>1441.03</v>
      </c>
      <c r="K61" s="198">
        <v>130.22</v>
      </c>
      <c r="L61" s="198">
        <v>195.58</v>
      </c>
      <c r="M61" s="198">
        <v>224.9</v>
      </c>
      <c r="N61" s="198">
        <v>1771.02</v>
      </c>
      <c r="O61" s="198">
        <v>8948.7199999999993</v>
      </c>
      <c r="P61" s="198">
        <v>14418.35</v>
      </c>
      <c r="Q61" s="198">
        <v>15482.27</v>
      </c>
      <c r="T61" s="171">
        <f>SUM(F61:Q61)</f>
        <v>76719.23</v>
      </c>
      <c r="U61" s="188"/>
      <c r="W61" s="190">
        <f>T61</f>
        <v>76719.23</v>
      </c>
      <c r="X61" s="188"/>
    </row>
    <row r="62" spans="1:26" s="157" customFormat="1" x14ac:dyDescent="0.25">
      <c r="A62" s="461"/>
      <c r="B62" s="195" t="s">
        <v>829</v>
      </c>
      <c r="C62" s="599"/>
      <c r="F62" s="198">
        <v>158.1</v>
      </c>
      <c r="G62" s="198">
        <v>307.18</v>
      </c>
      <c r="H62" s="198">
        <v>324.45</v>
      </c>
      <c r="I62" s="198">
        <v>369.91</v>
      </c>
      <c r="J62" s="198">
        <v>398.09</v>
      </c>
      <c r="K62" s="198">
        <v>297.18</v>
      </c>
      <c r="L62" s="198">
        <v>358.09</v>
      </c>
      <c r="M62" s="198">
        <v>273.51</v>
      </c>
      <c r="N62" s="198">
        <v>361.96</v>
      </c>
      <c r="O62" s="198">
        <v>280.73</v>
      </c>
      <c r="P62" s="198">
        <v>178.27</v>
      </c>
      <c r="Q62" s="198">
        <v>136.25</v>
      </c>
      <c r="T62" s="171">
        <f>SUM(F62:Q62)</f>
        <v>3443.7200000000003</v>
      </c>
      <c r="U62" s="188"/>
      <c r="W62" s="190">
        <f>T62</f>
        <v>3443.7200000000003</v>
      </c>
      <c r="X62" s="188"/>
    </row>
    <row r="63" spans="1:26" s="125" customFormat="1" x14ac:dyDescent="0.25">
      <c r="A63" s="461"/>
      <c r="B63" s="200"/>
      <c r="C63" s="152"/>
      <c r="E63" s="201"/>
      <c r="F63" s="202"/>
      <c r="G63" s="202"/>
      <c r="H63" s="203"/>
      <c r="I63" s="203"/>
      <c r="J63" s="203"/>
      <c r="K63" s="203"/>
      <c r="L63" s="203"/>
      <c r="M63" s="203"/>
      <c r="N63" s="203"/>
      <c r="O63" s="203"/>
      <c r="P63" s="203"/>
      <c r="S63" s="126"/>
      <c r="V63" s="126"/>
      <c r="W63" s="190">
        <f>SUM(W59:W61)</f>
        <v>269941.97000000003</v>
      </c>
      <c r="X63" s="440"/>
      <c r="Y63" s="157"/>
      <c r="Z63" s="157"/>
    </row>
    <row r="64" spans="1:26" s="125" customFormat="1" x14ac:dyDescent="0.25">
      <c r="A64" s="461"/>
      <c r="B64" s="200"/>
      <c r="C64" s="152"/>
      <c r="E64" s="201"/>
      <c r="F64" s="202"/>
      <c r="G64" s="202"/>
      <c r="H64" s="203"/>
      <c r="I64" s="203"/>
      <c r="J64" s="203"/>
      <c r="K64" s="203"/>
      <c r="L64" s="203"/>
      <c r="M64" s="203"/>
      <c r="N64" s="203"/>
      <c r="O64" s="203"/>
      <c r="P64" s="203"/>
      <c r="S64" s="126"/>
      <c r="V64" s="126"/>
      <c r="W64" s="443"/>
      <c r="X64" s="444"/>
      <c r="Y64" s="157"/>
      <c r="Z64" s="157"/>
    </row>
    <row r="65" spans="1:26" s="128" customFormat="1" x14ac:dyDescent="0.25">
      <c r="A65" s="459">
        <v>7</v>
      </c>
      <c r="B65" s="172" t="s">
        <v>557</v>
      </c>
      <c r="C65" s="173"/>
      <c r="S65" s="173"/>
      <c r="T65" s="598" t="s">
        <v>557</v>
      </c>
      <c r="W65" s="129"/>
      <c r="Y65" s="166"/>
      <c r="Z65" s="764"/>
    </row>
    <row r="66" spans="1:26" s="125" customFormat="1" x14ac:dyDescent="0.25">
      <c r="A66" s="461"/>
      <c r="B66" s="130" t="s">
        <v>337</v>
      </c>
      <c r="C66" s="186" t="s">
        <v>392</v>
      </c>
      <c r="D66" s="131">
        <v>41456</v>
      </c>
      <c r="E66" s="131">
        <v>41487</v>
      </c>
      <c r="F66" s="131">
        <v>41518</v>
      </c>
      <c r="G66" s="131">
        <v>41548</v>
      </c>
      <c r="H66" s="131">
        <v>41579</v>
      </c>
      <c r="I66" s="131">
        <v>41609</v>
      </c>
      <c r="J66" s="131">
        <v>41640</v>
      </c>
      <c r="K66" s="131">
        <v>41671</v>
      </c>
      <c r="L66" s="131">
        <v>41699</v>
      </c>
      <c r="M66" s="131">
        <v>41730</v>
      </c>
      <c r="N66" s="131">
        <v>41760</v>
      </c>
      <c r="O66" s="131">
        <v>41791</v>
      </c>
      <c r="P66" s="131">
        <v>41821</v>
      </c>
      <c r="Q66" s="151">
        <v>41852</v>
      </c>
      <c r="R66" s="131">
        <v>41896</v>
      </c>
      <c r="T66" s="133" t="s">
        <v>338</v>
      </c>
      <c r="U66" s="134" t="s">
        <v>339</v>
      </c>
      <c r="V66" s="132"/>
      <c r="W66" s="133" t="s">
        <v>338</v>
      </c>
      <c r="X66" s="134" t="s">
        <v>339</v>
      </c>
      <c r="Y66" s="157"/>
      <c r="Z66" s="157"/>
    </row>
    <row r="67" spans="1:26" s="125" customFormat="1" x14ac:dyDescent="0.25">
      <c r="A67" s="461"/>
      <c r="B67" s="135" t="s">
        <v>340</v>
      </c>
      <c r="C67" s="603"/>
      <c r="D67" s="136">
        <v>36600</v>
      </c>
      <c r="E67" s="136">
        <v>43800</v>
      </c>
      <c r="F67" s="136">
        <v>61400</v>
      </c>
      <c r="G67" s="136">
        <v>37700</v>
      </c>
      <c r="H67" s="136">
        <v>75700</v>
      </c>
      <c r="I67" s="136">
        <v>28400</v>
      </c>
      <c r="J67" s="136">
        <v>37900</v>
      </c>
      <c r="K67" s="136">
        <v>36200</v>
      </c>
      <c r="L67" s="136">
        <v>45900</v>
      </c>
      <c r="M67" s="136">
        <v>42000</v>
      </c>
      <c r="N67" s="136">
        <v>41400</v>
      </c>
      <c r="O67" s="136">
        <v>50300</v>
      </c>
      <c r="P67" s="136"/>
      <c r="Q67" s="434"/>
      <c r="R67" s="136"/>
      <c r="T67" s="143">
        <f>SUM(C67:S67)</f>
        <v>537300</v>
      </c>
      <c r="U67" s="138" t="s">
        <v>341</v>
      </c>
      <c r="V67" s="139"/>
      <c r="W67" s="140">
        <f>T67*3413/1000000</f>
        <v>1833.8049000000001</v>
      </c>
      <c r="X67" s="138" t="s">
        <v>342</v>
      </c>
      <c r="Y67" s="157"/>
      <c r="Z67" s="157"/>
    </row>
    <row r="68" spans="1:26" s="125" customFormat="1" x14ac:dyDescent="0.25">
      <c r="A68" s="461"/>
      <c r="B68" s="135" t="s">
        <v>372</v>
      </c>
      <c r="C68" s="603"/>
      <c r="D68" s="136">
        <v>110</v>
      </c>
      <c r="E68" s="136">
        <v>155</v>
      </c>
      <c r="F68" s="136">
        <v>142</v>
      </c>
      <c r="G68" s="136">
        <v>347</v>
      </c>
      <c r="H68" s="136">
        <v>1226</v>
      </c>
      <c r="I68" s="136">
        <v>4592</v>
      </c>
      <c r="J68" s="136">
        <v>5878</v>
      </c>
      <c r="K68" s="136">
        <v>7314</v>
      </c>
      <c r="L68" s="136">
        <v>5593</v>
      </c>
      <c r="M68" s="136">
        <v>2972</v>
      </c>
      <c r="N68" s="136">
        <v>1035</v>
      </c>
      <c r="O68" s="136">
        <v>276</v>
      </c>
      <c r="P68" s="136"/>
      <c r="Q68" s="434"/>
      <c r="R68" s="136"/>
      <c r="T68" s="143">
        <f>SUM(C68:S68)</f>
        <v>29640</v>
      </c>
      <c r="U68" s="138" t="s">
        <v>354</v>
      </c>
      <c r="V68" s="139"/>
      <c r="W68" s="140">
        <f>T68*99976.124488/1000000</f>
        <v>2963.2923298243199</v>
      </c>
      <c r="X68" s="138" t="s">
        <v>342</v>
      </c>
      <c r="Y68" s="495">
        <f>W67+W68</f>
        <v>4797.0972298243196</v>
      </c>
      <c r="Z68" s="153" t="s">
        <v>677</v>
      </c>
    </row>
    <row r="69" spans="1:26" s="125" customFormat="1" x14ac:dyDescent="0.25">
      <c r="A69" s="461"/>
      <c r="B69" s="135" t="s">
        <v>322</v>
      </c>
      <c r="C69" s="603"/>
      <c r="D69" s="141">
        <v>12716</v>
      </c>
      <c r="E69" s="141">
        <v>29172</v>
      </c>
      <c r="F69" s="141">
        <v>71060</v>
      </c>
      <c r="G69" s="141">
        <v>105468</v>
      </c>
      <c r="H69" s="141">
        <v>34408</v>
      </c>
      <c r="I69" s="141">
        <v>11968</v>
      </c>
      <c r="J69" s="141">
        <v>17204</v>
      </c>
      <c r="K69" s="141">
        <v>15708</v>
      </c>
      <c r="L69" s="141">
        <v>23936</v>
      </c>
      <c r="M69" s="141">
        <v>15708</v>
      </c>
      <c r="N69" s="141">
        <v>48620</v>
      </c>
      <c r="O69" s="141">
        <v>82280</v>
      </c>
      <c r="P69" s="141"/>
      <c r="Q69" s="435"/>
      <c r="R69" s="141"/>
      <c r="T69" s="143">
        <f>SUM(C69:S69)</f>
        <v>468248</v>
      </c>
      <c r="U69" s="138" t="s">
        <v>346</v>
      </c>
      <c r="V69" s="139"/>
      <c r="W69" s="137">
        <f>T69</f>
        <v>468248</v>
      </c>
      <c r="X69" s="138" t="s">
        <v>346</v>
      </c>
      <c r="Y69" s="157"/>
      <c r="Z69" s="157"/>
    </row>
    <row r="70" spans="1:26" s="125" customFormat="1" x14ac:dyDescent="0.25">
      <c r="A70" s="461"/>
      <c r="B70" s="135" t="s">
        <v>347</v>
      </c>
      <c r="C70" s="603"/>
      <c r="D70" s="142">
        <v>4034.18</v>
      </c>
      <c r="E70" s="142">
        <v>4478.51</v>
      </c>
      <c r="F70" s="142">
        <v>5764.87</v>
      </c>
      <c r="G70" s="142">
        <v>3969.19</v>
      </c>
      <c r="H70" s="142">
        <v>7040.4</v>
      </c>
      <c r="I70" s="142">
        <v>3284.26</v>
      </c>
      <c r="J70" s="142">
        <v>3914</v>
      </c>
      <c r="K70" s="142">
        <v>3792.91</v>
      </c>
      <c r="L70" s="142">
        <v>4483.8</v>
      </c>
      <c r="M70" s="142">
        <v>4348.46</v>
      </c>
      <c r="N70" s="142">
        <v>4211.3999999999996</v>
      </c>
      <c r="O70" s="142">
        <v>4943.1000000000004</v>
      </c>
      <c r="P70" s="142"/>
      <c r="Q70" s="436"/>
      <c r="R70" s="142"/>
      <c r="T70" s="143">
        <f>SUM(C70:S70)</f>
        <v>54265.080000000009</v>
      </c>
      <c r="U70" s="138"/>
      <c r="V70" s="139"/>
      <c r="W70" s="143">
        <f>T70</f>
        <v>54265.080000000009</v>
      </c>
      <c r="X70" s="138"/>
      <c r="Y70" s="157"/>
      <c r="Z70" s="157"/>
    </row>
    <row r="71" spans="1:26" s="125" customFormat="1" ht="16.5" x14ac:dyDescent="0.35">
      <c r="A71" s="461"/>
      <c r="B71" s="144" t="s">
        <v>374</v>
      </c>
      <c r="C71" s="604"/>
      <c r="D71" s="145">
        <v>125.47</v>
      </c>
      <c r="E71" s="145">
        <v>169.65</v>
      </c>
      <c r="F71" s="145">
        <v>155.9</v>
      </c>
      <c r="G71" s="145">
        <v>338.38</v>
      </c>
      <c r="H71" s="145">
        <v>1073.25</v>
      </c>
      <c r="I71" s="145">
        <v>3850</v>
      </c>
      <c r="J71" s="145">
        <v>4856.3500000000004</v>
      </c>
      <c r="K71" s="145">
        <v>5952.64</v>
      </c>
      <c r="L71" s="145">
        <v>4638.7700000000004</v>
      </c>
      <c r="M71" s="145">
        <v>2517.46</v>
      </c>
      <c r="N71" s="145">
        <v>3464.35</v>
      </c>
      <c r="O71" s="145">
        <v>269</v>
      </c>
      <c r="P71" s="145"/>
      <c r="Q71" s="437"/>
      <c r="R71" s="145"/>
      <c r="T71" s="143">
        <f>SUM(C71:S71)</f>
        <v>27411.219999999998</v>
      </c>
      <c r="U71" s="138"/>
      <c r="V71" s="139"/>
      <c r="W71" s="146">
        <f>T71</f>
        <v>27411.219999999998</v>
      </c>
      <c r="X71" s="138"/>
      <c r="Y71" s="157"/>
      <c r="Z71" s="157"/>
    </row>
    <row r="72" spans="1:26" x14ac:dyDescent="0.25">
      <c r="W72" s="455">
        <f>SUM(W70:W71)</f>
        <v>81676.3</v>
      </c>
      <c r="X72" s="441"/>
    </row>
    <row r="73" spans="1:26" x14ac:dyDescent="0.25">
      <c r="W73" s="445"/>
      <c r="X73" s="116"/>
    </row>
    <row r="74" spans="1:26" s="125" customFormat="1" x14ac:dyDescent="0.25">
      <c r="A74" s="461">
        <v>8</v>
      </c>
      <c r="B74" s="148" t="s">
        <v>359</v>
      </c>
      <c r="C74" s="152"/>
      <c r="R74" s="139"/>
      <c r="S74" s="147"/>
      <c r="T74" s="569" t="s">
        <v>359</v>
      </c>
      <c r="U74" s="149"/>
      <c r="V74" s="150"/>
      <c r="Y74" s="157"/>
      <c r="Z74" s="157"/>
    </row>
    <row r="75" spans="1:26" s="125" customFormat="1" x14ac:dyDescent="0.25">
      <c r="A75" s="461"/>
      <c r="B75" s="130" t="s">
        <v>337</v>
      </c>
      <c r="C75" s="186" t="s">
        <v>392</v>
      </c>
      <c r="D75" s="131">
        <v>41456</v>
      </c>
      <c r="E75" s="131">
        <v>41487</v>
      </c>
      <c r="F75" s="131">
        <v>41518</v>
      </c>
      <c r="G75" s="131">
        <v>41548</v>
      </c>
      <c r="H75" s="131">
        <v>41579</v>
      </c>
      <c r="I75" s="131">
        <v>41609</v>
      </c>
      <c r="J75" s="131">
        <v>41640</v>
      </c>
      <c r="K75" s="131">
        <v>41671</v>
      </c>
      <c r="L75" s="131">
        <v>41699</v>
      </c>
      <c r="M75" s="131">
        <v>41730</v>
      </c>
      <c r="N75" s="131">
        <v>41760</v>
      </c>
      <c r="O75" s="131">
        <v>41791</v>
      </c>
      <c r="P75" s="131">
        <v>41821</v>
      </c>
      <c r="Q75" s="151">
        <v>41852</v>
      </c>
      <c r="R75" s="131">
        <v>41896</v>
      </c>
      <c r="T75" s="133" t="s">
        <v>338</v>
      </c>
      <c r="U75" s="134" t="s">
        <v>339</v>
      </c>
      <c r="V75" s="132"/>
      <c r="W75" s="133" t="s">
        <v>338</v>
      </c>
      <c r="X75" s="134" t="s">
        <v>339</v>
      </c>
      <c r="Y75" s="157"/>
      <c r="Z75" s="157"/>
    </row>
    <row r="76" spans="1:26" s="125" customFormat="1" x14ac:dyDescent="0.25">
      <c r="A76" s="461"/>
      <c r="B76" s="153" t="s">
        <v>360</v>
      </c>
      <c r="C76" s="152"/>
      <c r="E76" s="596"/>
      <c r="F76" s="140">
        <v>64384.345313581289</v>
      </c>
      <c r="G76" s="140">
        <v>67020.260850515595</v>
      </c>
      <c r="H76" s="140">
        <v>64748.809190144995</v>
      </c>
      <c r="I76" s="140">
        <v>61389.542288934004</v>
      </c>
      <c r="J76" s="140">
        <v>63016.694164709988</v>
      </c>
      <c r="K76" s="140">
        <v>61018.710105759616</v>
      </c>
      <c r="L76" s="140">
        <v>68301.223659187206</v>
      </c>
      <c r="M76" s="140">
        <v>66171.77878844981</v>
      </c>
      <c r="N76" s="140">
        <v>66079.468869445613</v>
      </c>
      <c r="O76" s="140">
        <v>63531.14189528452</v>
      </c>
      <c r="P76" s="140">
        <v>67398.999345735152</v>
      </c>
      <c r="Q76" s="160">
        <v>74291.666666666672</v>
      </c>
      <c r="T76" s="159">
        <f t="shared" ref="T76:T82" si="3">SUM(E76:Q76)</f>
        <v>787352.64113841439</v>
      </c>
      <c r="U76" s="138" t="s">
        <v>341</v>
      </c>
      <c r="V76" s="139"/>
      <c r="W76" s="140">
        <f>T76*3413/1000000</f>
        <v>2687.2345642054079</v>
      </c>
      <c r="X76" s="138" t="s">
        <v>342</v>
      </c>
      <c r="Y76" s="157"/>
      <c r="Z76" s="157"/>
    </row>
    <row r="77" spans="1:26" s="125" customFormat="1" x14ac:dyDescent="0.25">
      <c r="A77" s="461"/>
      <c r="B77" s="153" t="s">
        <v>362</v>
      </c>
      <c r="C77" s="152"/>
      <c r="E77" s="596"/>
      <c r="F77" s="140">
        <v>783.64348275862062</v>
      </c>
      <c r="G77" s="140">
        <v>475.62931034941568</v>
      </c>
      <c r="H77" s="140">
        <v>131.87864813940161</v>
      </c>
      <c r="I77" s="140">
        <v>121.77494277739279</v>
      </c>
      <c r="J77" s="140">
        <v>114.29096774193548</v>
      </c>
      <c r="K77" s="140">
        <v>106.27651135005974</v>
      </c>
      <c r="L77" s="140">
        <v>165.18440740740741</v>
      </c>
      <c r="M77" s="140">
        <v>313.43655172413793</v>
      </c>
      <c r="N77" s="140">
        <v>604.77343678160923</v>
      </c>
      <c r="O77" s="140">
        <v>845.34574712643678</v>
      </c>
      <c r="P77" s="140">
        <v>958.5018275862069</v>
      </c>
      <c r="Q77" s="160">
        <v>937.07033333333334</v>
      </c>
      <c r="T77" s="159">
        <f t="shared" si="3"/>
        <v>5557.8061670759571</v>
      </c>
      <c r="U77" s="138" t="s">
        <v>363</v>
      </c>
      <c r="V77" s="139"/>
      <c r="W77" s="160">
        <f>T77*10*100000/1000000</f>
        <v>5557.8061670759571</v>
      </c>
      <c r="X77" s="138" t="s">
        <v>342</v>
      </c>
      <c r="Y77" s="157"/>
      <c r="Z77" s="157"/>
    </row>
    <row r="78" spans="1:26" s="125" customFormat="1" x14ac:dyDescent="0.25">
      <c r="A78" s="461"/>
      <c r="B78" s="153" t="s">
        <v>364</v>
      </c>
      <c r="C78" s="152"/>
      <c r="E78" s="596"/>
      <c r="F78" s="140">
        <v>366.45000000000005</v>
      </c>
      <c r="G78" s="140">
        <v>436.58333333333337</v>
      </c>
      <c r="H78" s="140">
        <v>504.86904761904771</v>
      </c>
      <c r="I78" s="140">
        <v>640.31797235022998</v>
      </c>
      <c r="J78" s="140">
        <v>599.6651835372636</v>
      </c>
      <c r="K78" s="140">
        <v>438.34482758620686</v>
      </c>
      <c r="L78" s="140">
        <v>329.42528735632186</v>
      </c>
      <c r="M78" s="140">
        <v>375.63218390804599</v>
      </c>
      <c r="N78" s="140">
        <v>331.59770114942529</v>
      </c>
      <c r="O78" s="140">
        <v>298.73563218390808</v>
      </c>
      <c r="P78" s="140">
        <v>290</v>
      </c>
      <c r="Q78" s="160">
        <v>192</v>
      </c>
      <c r="T78" s="161">
        <f t="shared" si="3"/>
        <v>4803.6211690237824</v>
      </c>
      <c r="U78" s="162" t="s">
        <v>365</v>
      </c>
      <c r="V78" s="163"/>
      <c r="W78" s="164">
        <f>T78</f>
        <v>4803.6211690237824</v>
      </c>
      <c r="X78" s="138" t="s">
        <v>342</v>
      </c>
      <c r="Y78" s="495">
        <f>W76+W77+W78</f>
        <v>13048.661900305149</v>
      </c>
      <c r="Z78" s="153" t="s">
        <v>677</v>
      </c>
    </row>
    <row r="79" spans="1:26" s="166" customFormat="1" x14ac:dyDescent="0.25">
      <c r="A79" s="459"/>
      <c r="B79" s="165" t="s">
        <v>864</v>
      </c>
      <c r="C79" s="610"/>
      <c r="E79" s="767"/>
      <c r="F79" s="771">
        <v>58.522993500775925</v>
      </c>
      <c r="G79" s="771">
        <v>71.1527046223528</v>
      </c>
      <c r="H79" s="771">
        <v>82.338329494368111</v>
      </c>
      <c r="I79" s="771">
        <v>36.590271368564558</v>
      </c>
      <c r="J79" s="771">
        <v>33.131750811020829</v>
      </c>
      <c r="K79" s="771">
        <v>31.787411614413905</v>
      </c>
      <c r="L79" s="771">
        <v>45.388772973276033</v>
      </c>
      <c r="M79" s="771">
        <v>44.861178860359146</v>
      </c>
      <c r="N79" s="771">
        <v>39.300655788642871</v>
      </c>
      <c r="O79" s="771">
        <v>30.8218394776049</v>
      </c>
      <c r="P79" s="771">
        <v>36.06457573797347</v>
      </c>
      <c r="Q79" s="164">
        <v>47.634658444022769</v>
      </c>
      <c r="T79" s="170">
        <f t="shared" si="3"/>
        <v>557.59514269337535</v>
      </c>
      <c r="U79" s="162" t="s">
        <v>379</v>
      </c>
      <c r="V79" s="163"/>
      <c r="W79" s="164">
        <f>T79*748</f>
        <v>417081.16673464474</v>
      </c>
      <c r="X79" s="162" t="s">
        <v>346</v>
      </c>
    </row>
    <row r="80" spans="1:26" s="125" customFormat="1" x14ac:dyDescent="0.25">
      <c r="A80" s="461"/>
      <c r="B80" s="153" t="s">
        <v>368</v>
      </c>
      <c r="C80" s="152"/>
      <c r="E80" s="184"/>
      <c r="F80" s="171">
        <v>5601.4380422815721</v>
      </c>
      <c r="G80" s="171">
        <v>5830.7626939948559</v>
      </c>
      <c r="H80" s="171">
        <v>5633.1463995426138</v>
      </c>
      <c r="I80" s="171">
        <v>5340.8901791372582</v>
      </c>
      <c r="J80" s="171">
        <v>5482.4523923297684</v>
      </c>
      <c r="K80" s="171">
        <v>5308.627779201086</v>
      </c>
      <c r="L80" s="171">
        <v>5942.2064583492865</v>
      </c>
      <c r="M80" s="171">
        <v>5756.9447545951334</v>
      </c>
      <c r="N80" s="171">
        <v>5748.9137916417676</v>
      </c>
      <c r="O80" s="171">
        <v>5527.2093448897531</v>
      </c>
      <c r="P80" s="171">
        <v>5863.7129430789582</v>
      </c>
      <c r="Q80" s="171">
        <v>6463.375</v>
      </c>
      <c r="T80" s="143">
        <f t="shared" si="3"/>
        <v>68499.679779042053</v>
      </c>
      <c r="U80" s="138"/>
      <c r="V80" s="139"/>
      <c r="W80" s="143">
        <f>T80</f>
        <v>68499.679779042053</v>
      </c>
      <c r="X80" s="138"/>
      <c r="Y80" s="157"/>
      <c r="Z80" s="157"/>
    </row>
    <row r="81" spans="1:26" s="125" customFormat="1" x14ac:dyDescent="0.25">
      <c r="A81" s="461"/>
      <c r="B81" s="153" t="s">
        <v>369</v>
      </c>
      <c r="C81" s="152"/>
      <c r="E81" s="184"/>
      <c r="F81" s="171">
        <v>10743.75214862069</v>
      </c>
      <c r="G81" s="171">
        <v>6520.8778448904895</v>
      </c>
      <c r="H81" s="171">
        <v>1808.0562659911961</v>
      </c>
      <c r="I81" s="171">
        <v>1669.5344654780554</v>
      </c>
      <c r="J81" s="171">
        <v>1566.9291677419355</v>
      </c>
      <c r="K81" s="171">
        <v>1457.0509706093192</v>
      </c>
      <c r="L81" s="171">
        <v>2264.6782255555559</v>
      </c>
      <c r="M81" s="171">
        <v>4297.2151241379315</v>
      </c>
      <c r="N81" s="171">
        <v>8291.4438182758622</v>
      </c>
      <c r="O81" s="171">
        <v>11589.690193103448</v>
      </c>
      <c r="P81" s="171">
        <v>13802.426317241379</v>
      </c>
      <c r="Q81" s="171">
        <v>13493.8128</v>
      </c>
      <c r="T81" s="143">
        <f t="shared" si="3"/>
        <v>77505.467341645854</v>
      </c>
      <c r="U81" s="138"/>
      <c r="V81" s="139"/>
      <c r="W81" s="143">
        <f>T81</f>
        <v>77505.467341645854</v>
      </c>
      <c r="X81" s="138"/>
      <c r="Y81" s="157"/>
      <c r="Z81" s="157"/>
    </row>
    <row r="82" spans="1:26" s="125" customFormat="1" ht="16.5" x14ac:dyDescent="0.35">
      <c r="A82" s="461"/>
      <c r="B82" s="153" t="s">
        <v>326</v>
      </c>
      <c r="C82" s="152"/>
      <c r="E82" s="184"/>
      <c r="F82" s="171">
        <v>5284.2090000000007</v>
      </c>
      <c r="G82" s="171">
        <v>6295.5316666666668</v>
      </c>
      <c r="H82" s="171">
        <v>7280.211666666668</v>
      </c>
      <c r="I82" s="171">
        <v>9233.3851612903163</v>
      </c>
      <c r="J82" s="171">
        <v>8647.1719466073409</v>
      </c>
      <c r="K82" s="171">
        <v>6320.9324137931026</v>
      </c>
      <c r="L82" s="171">
        <v>4750.3126436781613</v>
      </c>
      <c r="M82" s="171">
        <v>5416.6160919540234</v>
      </c>
      <c r="N82" s="171">
        <v>4781.6388505747127</v>
      </c>
      <c r="O82" s="171">
        <v>4307.767816091955</v>
      </c>
      <c r="P82" s="171">
        <v>4022.2999999999997</v>
      </c>
      <c r="Q82" s="171">
        <v>2663.04</v>
      </c>
      <c r="T82" s="143">
        <f t="shared" si="3"/>
        <v>69003.117257322941</v>
      </c>
      <c r="U82" s="138"/>
      <c r="V82" s="139"/>
      <c r="W82" s="146">
        <f>T82</f>
        <v>69003.117257322941</v>
      </c>
      <c r="X82" s="138"/>
      <c r="Y82" s="157"/>
      <c r="Z82" s="157"/>
    </row>
    <row r="83" spans="1:26" s="125" customFormat="1" x14ac:dyDescent="0.25">
      <c r="A83" s="461"/>
      <c r="C83" s="152"/>
      <c r="T83" s="139"/>
      <c r="U83" s="147"/>
      <c r="V83" s="139"/>
      <c r="W83" s="143">
        <f>SUM(W80:W82)</f>
        <v>215008.26437801085</v>
      </c>
      <c r="X83" s="150"/>
      <c r="Y83" s="157"/>
      <c r="Z83" s="157"/>
    </row>
    <row r="84" spans="1:26" s="125" customFormat="1" x14ac:dyDescent="0.25">
      <c r="A84" s="461"/>
      <c r="C84" s="152"/>
      <c r="T84" s="139"/>
      <c r="U84" s="147"/>
      <c r="V84" s="139"/>
      <c r="W84" s="149"/>
      <c r="X84" s="150"/>
      <c r="Y84" s="157"/>
      <c r="Z84" s="157"/>
    </row>
    <row r="85" spans="1:26" s="125" customFormat="1" x14ac:dyDescent="0.25">
      <c r="A85" s="461">
        <v>9</v>
      </c>
      <c r="B85" s="148" t="s">
        <v>413</v>
      </c>
      <c r="C85" s="152"/>
      <c r="S85" s="126"/>
      <c r="T85" s="569" t="s">
        <v>413</v>
      </c>
      <c r="V85" s="126"/>
      <c r="Y85" s="157"/>
      <c r="Z85" s="157"/>
    </row>
    <row r="86" spans="1:26" s="125" customFormat="1" x14ac:dyDescent="0.25">
      <c r="A86" s="461"/>
      <c r="B86" s="130" t="s">
        <v>337</v>
      </c>
      <c r="C86" s="186" t="s">
        <v>392</v>
      </c>
      <c r="D86" s="131">
        <v>41456</v>
      </c>
      <c r="E86" s="131">
        <v>41487</v>
      </c>
      <c r="F86" s="131">
        <v>41518</v>
      </c>
      <c r="G86" s="131">
        <v>41548</v>
      </c>
      <c r="H86" s="131">
        <v>41579</v>
      </c>
      <c r="I86" s="131">
        <v>41609</v>
      </c>
      <c r="J86" s="131">
        <v>41640</v>
      </c>
      <c r="K86" s="131">
        <v>41671</v>
      </c>
      <c r="L86" s="131">
        <v>41699</v>
      </c>
      <c r="M86" s="131">
        <v>41730</v>
      </c>
      <c r="N86" s="131">
        <v>41760</v>
      </c>
      <c r="O86" s="131">
        <v>41791</v>
      </c>
      <c r="P86" s="131">
        <v>41821</v>
      </c>
      <c r="Q86" s="151">
        <v>41852</v>
      </c>
      <c r="R86" s="131">
        <v>41896</v>
      </c>
      <c r="T86" s="133" t="s">
        <v>338</v>
      </c>
      <c r="U86" s="134" t="s">
        <v>339</v>
      </c>
      <c r="V86" s="132"/>
      <c r="W86" s="133" t="s">
        <v>338</v>
      </c>
      <c r="X86" s="134" t="s">
        <v>339</v>
      </c>
      <c r="Y86" s="157"/>
      <c r="Z86" s="157"/>
    </row>
    <row r="87" spans="1:26" s="125" customFormat="1" x14ac:dyDescent="0.25">
      <c r="A87" s="461"/>
      <c r="B87" s="238" t="s">
        <v>409</v>
      </c>
      <c r="C87" s="152"/>
      <c r="D87" s="239">
        <v>57984</v>
      </c>
      <c r="E87" s="239">
        <v>55872</v>
      </c>
      <c r="F87" s="239">
        <v>54912</v>
      </c>
      <c r="G87" s="239">
        <v>47040</v>
      </c>
      <c r="H87" s="239">
        <v>52224</v>
      </c>
      <c r="I87" s="239">
        <v>53760</v>
      </c>
      <c r="J87" s="239">
        <v>45312</v>
      </c>
      <c r="K87" s="239">
        <v>61824</v>
      </c>
      <c r="L87" s="239">
        <v>48768</v>
      </c>
      <c r="M87" s="239">
        <v>40704</v>
      </c>
      <c r="N87" s="239">
        <v>37632</v>
      </c>
      <c r="O87" s="239">
        <v>48000</v>
      </c>
      <c r="T87" s="137">
        <f>SUM(D87:O87)</f>
        <v>604032</v>
      </c>
      <c r="U87" s="138" t="s">
        <v>341</v>
      </c>
      <c r="V87" s="139"/>
      <c r="W87" s="140">
        <f>T87*3413/1000000</f>
        <v>2061.5612160000001</v>
      </c>
      <c r="X87" s="138" t="s">
        <v>342</v>
      </c>
      <c r="Y87" s="157"/>
      <c r="Z87" s="157"/>
    </row>
    <row r="88" spans="1:26" s="125" customFormat="1" x14ac:dyDescent="0.25">
      <c r="A88" s="461"/>
      <c r="B88" s="238" t="s">
        <v>322</v>
      </c>
      <c r="C88" s="152"/>
      <c r="D88" s="240">
        <v>4032.55</v>
      </c>
      <c r="E88" s="240">
        <v>6507.99</v>
      </c>
      <c r="F88" s="240">
        <v>6506.21</v>
      </c>
      <c r="G88" s="240">
        <v>6886</v>
      </c>
      <c r="H88" s="240">
        <v>3459.8</v>
      </c>
      <c r="I88" s="240">
        <v>1843.55</v>
      </c>
      <c r="J88" s="240">
        <v>1631.21</v>
      </c>
      <c r="K88" s="240">
        <v>3347.66</v>
      </c>
      <c r="L88" s="240">
        <v>2224.4499999999998</v>
      </c>
      <c r="M88" s="240">
        <v>5903.93</v>
      </c>
      <c r="N88" s="240">
        <v>4066.09</v>
      </c>
      <c r="O88" s="240">
        <v>4406.22</v>
      </c>
      <c r="T88" s="137">
        <f>SUM(D88:O88)</f>
        <v>50815.66</v>
      </c>
      <c r="U88" s="138" t="s">
        <v>346</v>
      </c>
      <c r="V88" s="139"/>
      <c r="W88" s="137">
        <f>T88</f>
        <v>50815.66</v>
      </c>
      <c r="X88" s="138" t="s">
        <v>346</v>
      </c>
      <c r="Y88" s="157"/>
      <c r="Z88" s="157"/>
    </row>
    <row r="89" spans="1:26" s="125" customFormat="1" x14ac:dyDescent="0.25">
      <c r="A89" s="461"/>
      <c r="B89" s="238" t="s">
        <v>347</v>
      </c>
      <c r="C89" s="152"/>
      <c r="D89" s="142">
        <v>7149.86</v>
      </c>
      <c r="E89" s="142">
        <v>6834.85</v>
      </c>
      <c r="F89" s="142">
        <v>7081.17</v>
      </c>
      <c r="G89" s="142">
        <v>5824.79</v>
      </c>
      <c r="H89" s="142">
        <v>6651.71</v>
      </c>
      <c r="I89" s="142">
        <v>6224.35</v>
      </c>
      <c r="J89" s="142">
        <v>5518.37</v>
      </c>
      <c r="K89" s="142">
        <v>6829.41</v>
      </c>
      <c r="L89" s="142">
        <v>5946.53</v>
      </c>
      <c r="M89" s="142">
        <v>5304.53</v>
      </c>
      <c r="N89" s="142">
        <v>4903.43</v>
      </c>
      <c r="O89" s="142">
        <v>6276.31</v>
      </c>
      <c r="T89" s="143">
        <f>SUM(D89:Q89)</f>
        <v>74545.31</v>
      </c>
      <c r="U89" s="138"/>
      <c r="V89" s="139"/>
      <c r="W89" s="143">
        <f>T89</f>
        <v>74545.31</v>
      </c>
      <c r="X89" s="138"/>
      <c r="Y89" s="157"/>
      <c r="Z89" s="157"/>
    </row>
    <row r="90" spans="1:26" s="125" customFormat="1" x14ac:dyDescent="0.25">
      <c r="A90" s="461"/>
      <c r="C90" s="152"/>
      <c r="S90" s="126"/>
      <c r="V90" s="126"/>
      <c r="Y90" s="157"/>
      <c r="Z90" s="157"/>
    </row>
    <row r="91" spans="1:26" s="125" customFormat="1" x14ac:dyDescent="0.25">
      <c r="A91" s="461"/>
      <c r="C91" s="152"/>
      <c r="S91" s="126"/>
      <c r="V91" s="126"/>
      <c r="Y91" s="157"/>
      <c r="Z91" s="157"/>
    </row>
    <row r="92" spans="1:26" s="128" customFormat="1" x14ac:dyDescent="0.25">
      <c r="A92" s="459">
        <v>10</v>
      </c>
      <c r="B92" s="172" t="s">
        <v>558</v>
      </c>
      <c r="C92" s="173"/>
      <c r="S92" s="173"/>
      <c r="T92" s="598" t="s">
        <v>558</v>
      </c>
      <c r="W92" s="129"/>
      <c r="Y92" s="166"/>
      <c r="Z92" s="764"/>
    </row>
    <row r="93" spans="1:26" s="125" customFormat="1" x14ac:dyDescent="0.25">
      <c r="A93" s="461"/>
      <c r="B93" s="130" t="s">
        <v>337</v>
      </c>
      <c r="C93" s="186" t="s">
        <v>392</v>
      </c>
      <c r="D93" s="131">
        <v>41456</v>
      </c>
      <c r="E93" s="131">
        <v>41487</v>
      </c>
      <c r="F93" s="131">
        <v>41518</v>
      </c>
      <c r="G93" s="131">
        <v>41548</v>
      </c>
      <c r="H93" s="131">
        <v>41579</v>
      </c>
      <c r="I93" s="131">
        <v>41609</v>
      </c>
      <c r="J93" s="131">
        <v>41640</v>
      </c>
      <c r="K93" s="131">
        <v>41671</v>
      </c>
      <c r="L93" s="131">
        <v>41699</v>
      </c>
      <c r="M93" s="131">
        <v>41730</v>
      </c>
      <c r="N93" s="131">
        <v>41760</v>
      </c>
      <c r="O93" s="131">
        <v>41791</v>
      </c>
      <c r="P93" s="131">
        <v>41821</v>
      </c>
      <c r="Q93" s="151">
        <v>41852</v>
      </c>
      <c r="R93" s="131">
        <v>41896</v>
      </c>
      <c r="T93" s="133" t="s">
        <v>338</v>
      </c>
      <c r="U93" s="134" t="s">
        <v>339</v>
      </c>
      <c r="V93" s="132"/>
      <c r="W93" s="133" t="s">
        <v>338</v>
      </c>
      <c r="X93" s="134" t="s">
        <v>339</v>
      </c>
      <c r="Y93" s="157"/>
      <c r="Z93" s="157"/>
    </row>
    <row r="94" spans="1:26" s="125" customFormat="1" x14ac:dyDescent="0.25">
      <c r="A94" s="461"/>
      <c r="B94" s="135" t="s">
        <v>340</v>
      </c>
      <c r="C94" s="603"/>
      <c r="D94" s="136">
        <v>2160</v>
      </c>
      <c r="E94" s="136">
        <v>3000</v>
      </c>
      <c r="F94" s="136">
        <v>3880</v>
      </c>
      <c r="G94" s="136">
        <v>4120</v>
      </c>
      <c r="H94" s="136">
        <v>2640</v>
      </c>
      <c r="I94" s="136">
        <v>2560</v>
      </c>
      <c r="J94" s="136">
        <v>2440</v>
      </c>
      <c r="K94" s="136">
        <v>2120</v>
      </c>
      <c r="L94" s="136">
        <v>2360</v>
      </c>
      <c r="M94" s="136">
        <v>3120</v>
      </c>
      <c r="N94" s="136">
        <v>2080</v>
      </c>
      <c r="O94" s="136">
        <v>3840</v>
      </c>
      <c r="P94" s="136"/>
      <c r="Q94" s="434"/>
      <c r="R94" s="136"/>
      <c r="T94" s="143">
        <f>SUM(C94:S94)</f>
        <v>34320</v>
      </c>
      <c r="U94" s="138" t="s">
        <v>341</v>
      </c>
      <c r="V94" s="139"/>
      <c r="W94" s="140">
        <f>T94*3413/1000000</f>
        <v>117.13415999999999</v>
      </c>
      <c r="X94" s="138" t="s">
        <v>342</v>
      </c>
      <c r="Y94" s="157"/>
      <c r="Z94" s="157"/>
    </row>
    <row r="95" spans="1:26" s="125" customFormat="1" x14ac:dyDescent="0.25">
      <c r="A95" s="461"/>
      <c r="B95" s="135" t="s">
        <v>372</v>
      </c>
      <c r="C95" s="603"/>
      <c r="D95" s="136">
        <v>27</v>
      </c>
      <c r="E95" s="136">
        <v>23</v>
      </c>
      <c r="F95" s="136">
        <v>28</v>
      </c>
      <c r="G95" s="136">
        <v>247</v>
      </c>
      <c r="H95" s="136">
        <v>420</v>
      </c>
      <c r="I95" s="136">
        <v>706</v>
      </c>
      <c r="J95" s="136">
        <v>1706</v>
      </c>
      <c r="K95" s="136">
        <v>844</v>
      </c>
      <c r="L95" s="136">
        <v>414</v>
      </c>
      <c r="M95" s="136">
        <v>85</v>
      </c>
      <c r="N95" s="136">
        <v>28</v>
      </c>
      <c r="O95" s="136">
        <v>27</v>
      </c>
      <c r="P95" s="136"/>
      <c r="Q95" s="434"/>
      <c r="R95" s="136"/>
      <c r="T95" s="143">
        <f>SUM(C95:S95)</f>
        <v>4555</v>
      </c>
      <c r="U95" s="138" t="s">
        <v>354</v>
      </c>
      <c r="V95" s="139"/>
      <c r="W95" s="140">
        <f>T95*99976.124488/1000000</f>
        <v>455.39124704284001</v>
      </c>
      <c r="X95" s="138" t="s">
        <v>342</v>
      </c>
      <c r="Y95" s="495">
        <f>W94+W95</f>
        <v>572.52540704284002</v>
      </c>
      <c r="Z95" s="153" t="s">
        <v>677</v>
      </c>
    </row>
    <row r="96" spans="1:26" s="125" customFormat="1" x14ac:dyDescent="0.25">
      <c r="A96" s="461"/>
      <c r="B96" s="135" t="s">
        <v>322</v>
      </c>
      <c r="C96" s="603"/>
      <c r="D96" s="141">
        <v>34980</v>
      </c>
      <c r="E96" s="141">
        <v>69680</v>
      </c>
      <c r="F96" s="141">
        <v>57720</v>
      </c>
      <c r="G96" s="141">
        <v>86280</v>
      </c>
      <c r="H96" s="141">
        <v>18990</v>
      </c>
      <c r="I96" s="141">
        <v>28600</v>
      </c>
      <c r="J96" s="141">
        <v>38130</v>
      </c>
      <c r="K96" s="141" t="s">
        <v>330</v>
      </c>
      <c r="L96" s="141">
        <v>36090</v>
      </c>
      <c r="M96" s="141">
        <v>43300</v>
      </c>
      <c r="N96" s="141">
        <v>75980</v>
      </c>
      <c r="O96" s="141">
        <v>29880</v>
      </c>
      <c r="P96" s="141"/>
      <c r="Q96" s="435"/>
      <c r="R96" s="141"/>
      <c r="T96" s="143">
        <f>SUM(C96:S96)</f>
        <v>519630</v>
      </c>
      <c r="U96" s="138" t="s">
        <v>346</v>
      </c>
      <c r="V96" s="139"/>
      <c r="W96" s="137">
        <f>T96</f>
        <v>519630</v>
      </c>
      <c r="X96" s="138" t="s">
        <v>346</v>
      </c>
      <c r="Y96" s="157"/>
      <c r="Z96" s="157"/>
    </row>
    <row r="97" spans="1:26" s="125" customFormat="1" x14ac:dyDescent="0.25">
      <c r="A97" s="461"/>
      <c r="B97" s="135" t="s">
        <v>347</v>
      </c>
      <c r="C97" s="603"/>
      <c r="D97" s="142">
        <v>628.28</v>
      </c>
      <c r="E97" s="142">
        <v>700.93</v>
      </c>
      <c r="F97" s="142">
        <v>929.19</v>
      </c>
      <c r="G97" s="142">
        <v>802.74</v>
      </c>
      <c r="H97" s="142">
        <v>1005.66</v>
      </c>
      <c r="I97" s="142">
        <v>654.97</v>
      </c>
      <c r="J97" s="142">
        <v>715.15</v>
      </c>
      <c r="K97" s="142">
        <v>633.25</v>
      </c>
      <c r="L97" s="142">
        <v>0</v>
      </c>
      <c r="M97" s="142">
        <v>0</v>
      </c>
      <c r="N97" s="142">
        <v>252.79</v>
      </c>
      <c r="O97" s="142">
        <v>876.54</v>
      </c>
      <c r="P97" s="142"/>
      <c r="Q97" s="436"/>
      <c r="R97" s="142"/>
      <c r="T97" s="143">
        <f>SUM(C97:S97)</f>
        <v>7199.5</v>
      </c>
      <c r="U97" s="138"/>
      <c r="V97" s="139"/>
      <c r="W97" s="143">
        <f>T97</f>
        <v>7199.5</v>
      </c>
      <c r="X97" s="138"/>
      <c r="Y97" s="157"/>
      <c r="Z97" s="157"/>
    </row>
    <row r="98" spans="1:26" s="125" customFormat="1" ht="16.5" x14ac:dyDescent="0.35">
      <c r="A98" s="461"/>
      <c r="B98" s="144" t="s">
        <v>374</v>
      </c>
      <c r="C98" s="604"/>
      <c r="D98" s="145">
        <v>46.59</v>
      </c>
      <c r="E98" s="145">
        <v>42.94</v>
      </c>
      <c r="F98" s="145">
        <v>47.5</v>
      </c>
      <c r="G98" s="145">
        <v>261.43</v>
      </c>
      <c r="H98" s="145">
        <v>408.94</v>
      </c>
      <c r="I98" s="145">
        <v>676.07</v>
      </c>
      <c r="J98" s="145">
        <v>1620.61</v>
      </c>
      <c r="K98" s="145">
        <v>790.77</v>
      </c>
      <c r="L98" s="145">
        <v>364.27</v>
      </c>
      <c r="M98" s="145">
        <v>92.09</v>
      </c>
      <c r="N98" s="145">
        <v>47.23</v>
      </c>
      <c r="O98" s="145">
        <v>48.21</v>
      </c>
      <c r="P98" s="145"/>
      <c r="Q98" s="437"/>
      <c r="R98" s="145"/>
      <c r="T98" s="143">
        <f>SUM(C98:S98)</f>
        <v>4446.6499999999996</v>
      </c>
      <c r="U98" s="138"/>
      <c r="V98" s="139"/>
      <c r="W98" s="146">
        <f>T98</f>
        <v>4446.6499999999996</v>
      </c>
      <c r="X98" s="138"/>
      <c r="Y98" s="157"/>
      <c r="Z98" s="157"/>
    </row>
    <row r="99" spans="1:26" x14ac:dyDescent="0.25">
      <c r="W99" s="455">
        <f>SUM(W97:W98)</f>
        <v>11646.15</v>
      </c>
      <c r="X99" s="441"/>
    </row>
    <row r="100" spans="1:26" x14ac:dyDescent="0.25">
      <c r="W100" s="445"/>
      <c r="X100" s="116"/>
    </row>
    <row r="101" spans="1:26" s="125" customFormat="1" ht="16.5" x14ac:dyDescent="0.35">
      <c r="A101" s="461">
        <v>11</v>
      </c>
      <c r="B101" s="127" t="s">
        <v>376</v>
      </c>
      <c r="C101" s="611"/>
      <c r="D101" s="179"/>
      <c r="E101" s="179"/>
      <c r="F101" s="179"/>
      <c r="G101" s="179"/>
      <c r="H101" s="179"/>
      <c r="I101" s="179"/>
      <c r="J101" s="179"/>
      <c r="K101" s="179"/>
      <c r="L101" s="179"/>
      <c r="M101" s="179"/>
      <c r="N101" s="179"/>
      <c r="O101" s="179"/>
      <c r="R101" s="149"/>
      <c r="S101" s="150"/>
      <c r="T101" s="569" t="s">
        <v>376</v>
      </c>
      <c r="U101" s="181"/>
      <c r="V101" s="150"/>
      <c r="Y101" s="157"/>
      <c r="Z101" s="157"/>
    </row>
    <row r="102" spans="1:26" s="125" customFormat="1" x14ac:dyDescent="0.25">
      <c r="A102" s="461"/>
      <c r="B102" s="130" t="s">
        <v>337</v>
      </c>
      <c r="C102" s="186" t="s">
        <v>392</v>
      </c>
      <c r="D102" s="131">
        <v>41456</v>
      </c>
      <c r="E102" s="131">
        <v>41487</v>
      </c>
      <c r="F102" s="131">
        <v>41518</v>
      </c>
      <c r="G102" s="131">
        <v>41548</v>
      </c>
      <c r="H102" s="131">
        <v>41579</v>
      </c>
      <c r="I102" s="131">
        <v>41609</v>
      </c>
      <c r="J102" s="131">
        <v>41640</v>
      </c>
      <c r="K102" s="131">
        <v>41671</v>
      </c>
      <c r="L102" s="131">
        <v>41699</v>
      </c>
      <c r="M102" s="131">
        <v>41730</v>
      </c>
      <c r="N102" s="131">
        <v>41760</v>
      </c>
      <c r="O102" s="131">
        <v>41791</v>
      </c>
      <c r="P102" s="131">
        <v>41821</v>
      </c>
      <c r="Q102" s="131">
        <v>41852</v>
      </c>
      <c r="R102" s="131">
        <v>41896</v>
      </c>
      <c r="T102" s="133" t="s">
        <v>338</v>
      </c>
      <c r="U102" s="134" t="s">
        <v>339</v>
      </c>
      <c r="V102" s="132"/>
      <c r="W102" s="133" t="s">
        <v>338</v>
      </c>
      <c r="X102" s="134" t="s">
        <v>339</v>
      </c>
      <c r="Y102" s="157"/>
      <c r="Z102" s="157"/>
    </row>
    <row r="103" spans="1:26" s="125" customFormat="1" x14ac:dyDescent="0.25">
      <c r="A103" s="461"/>
      <c r="B103" s="135" t="s">
        <v>340</v>
      </c>
      <c r="C103" s="612"/>
      <c r="D103" s="448">
        <v>360773</v>
      </c>
      <c r="E103" s="160">
        <v>376949</v>
      </c>
      <c r="F103" s="160">
        <v>339208</v>
      </c>
      <c r="G103" s="160">
        <v>475978</v>
      </c>
      <c r="H103" s="160">
        <v>334420</v>
      </c>
      <c r="I103" s="160">
        <v>456727</v>
      </c>
      <c r="J103" s="160">
        <v>399272</v>
      </c>
      <c r="K103" s="160">
        <v>284263</v>
      </c>
      <c r="L103" s="160">
        <v>314420</v>
      </c>
      <c r="M103" s="160">
        <v>413293</v>
      </c>
      <c r="N103" s="160">
        <v>410392</v>
      </c>
      <c r="O103" s="160">
        <v>391747</v>
      </c>
      <c r="P103" s="456"/>
      <c r="Q103" s="444"/>
      <c r="T103" s="137">
        <f t="shared" ref="T103:T111" si="4">SUM(D103:Q103)</f>
        <v>4557442</v>
      </c>
      <c r="U103" s="138" t="s">
        <v>341</v>
      </c>
      <c r="V103" s="139"/>
      <c r="W103" s="140">
        <f>T103*3413/1000000</f>
        <v>15554.549546</v>
      </c>
      <c r="X103" s="138" t="s">
        <v>342</v>
      </c>
      <c r="Y103" s="157"/>
      <c r="Z103" s="157"/>
    </row>
    <row r="104" spans="1:26" s="125" customFormat="1" x14ac:dyDescent="0.25">
      <c r="A104" s="461"/>
      <c r="B104" s="135" t="s">
        <v>372</v>
      </c>
      <c r="C104" s="612"/>
      <c r="D104" s="440">
        <v>499</v>
      </c>
      <c r="E104" s="160">
        <v>480</v>
      </c>
      <c r="F104" s="160">
        <v>514</v>
      </c>
      <c r="G104" s="160">
        <v>501</v>
      </c>
      <c r="H104" s="160">
        <v>4215</v>
      </c>
      <c r="I104" s="160">
        <v>4822</v>
      </c>
      <c r="J104" s="160">
        <v>6505</v>
      </c>
      <c r="K104" s="160">
        <v>4875</v>
      </c>
      <c r="L104" s="160">
        <v>4806</v>
      </c>
      <c r="M104" s="160">
        <v>2638</v>
      </c>
      <c r="N104" s="160">
        <v>452</v>
      </c>
      <c r="O104" s="160">
        <v>165</v>
      </c>
      <c r="P104" s="456"/>
      <c r="Q104" s="444"/>
      <c r="T104" s="137">
        <f t="shared" si="4"/>
        <v>30472</v>
      </c>
      <c r="U104" s="138" t="s">
        <v>354</v>
      </c>
      <c r="V104" s="139"/>
      <c r="W104" s="140">
        <f>T104*99976.124488/1000000</f>
        <v>3046.4724653983358</v>
      </c>
      <c r="X104" s="138" t="s">
        <v>342</v>
      </c>
      <c r="Y104" s="157"/>
      <c r="Z104" s="157"/>
    </row>
    <row r="105" spans="1:26" s="157" customFormat="1" x14ac:dyDescent="0.25">
      <c r="A105" s="461"/>
      <c r="B105" s="192" t="s">
        <v>739</v>
      </c>
      <c r="C105" s="599"/>
      <c r="D105" s="160">
        <v>2730</v>
      </c>
      <c r="E105" s="160">
        <v>2466</v>
      </c>
      <c r="F105" s="160">
        <v>2118</v>
      </c>
      <c r="G105" s="160">
        <v>1481</v>
      </c>
      <c r="H105" s="160">
        <v>1018</v>
      </c>
      <c r="I105" s="160">
        <v>728</v>
      </c>
      <c r="J105" s="160">
        <v>486</v>
      </c>
      <c r="K105" s="160">
        <v>530</v>
      </c>
      <c r="L105" s="160">
        <v>613</v>
      </c>
      <c r="M105" s="160">
        <v>1247</v>
      </c>
      <c r="N105" s="160">
        <v>1912</v>
      </c>
      <c r="O105" s="160">
        <v>2337</v>
      </c>
      <c r="P105" s="178"/>
      <c r="Q105" s="178"/>
      <c r="T105" s="141">
        <f t="shared" si="4"/>
        <v>17666</v>
      </c>
      <c r="U105" s="138" t="s">
        <v>342</v>
      </c>
      <c r="W105" s="193">
        <f>T105</f>
        <v>17666</v>
      </c>
      <c r="X105" s="138" t="s">
        <v>342</v>
      </c>
    </row>
    <row r="106" spans="1:26" s="125" customFormat="1" x14ac:dyDescent="0.25">
      <c r="A106" s="461"/>
      <c r="B106" s="153" t="s">
        <v>740</v>
      </c>
      <c r="C106" s="152"/>
      <c r="D106" s="440">
        <v>418</v>
      </c>
      <c r="E106" s="140">
        <v>526</v>
      </c>
      <c r="F106" s="140">
        <v>551</v>
      </c>
      <c r="G106" s="140">
        <v>613</v>
      </c>
      <c r="H106" s="140">
        <v>955</v>
      </c>
      <c r="I106" s="140">
        <v>735</v>
      </c>
      <c r="J106" s="140">
        <v>925</v>
      </c>
      <c r="K106" s="140">
        <v>588</v>
      </c>
      <c r="L106" s="140">
        <v>602</v>
      </c>
      <c r="M106" s="140">
        <v>410</v>
      </c>
      <c r="N106" s="140">
        <v>184</v>
      </c>
      <c r="O106" s="140">
        <v>168</v>
      </c>
      <c r="P106" s="596"/>
      <c r="Q106" s="444"/>
      <c r="T106" s="161">
        <f t="shared" si="4"/>
        <v>6675</v>
      </c>
      <c r="U106" s="162" t="s">
        <v>342</v>
      </c>
      <c r="V106" s="163"/>
      <c r="W106" s="164">
        <f>T106</f>
        <v>6675</v>
      </c>
      <c r="X106" s="138" t="s">
        <v>342</v>
      </c>
      <c r="Y106" s="495">
        <f>W103+W104+W105+W106</f>
        <v>42942.022011398338</v>
      </c>
      <c r="Z106" s="153" t="s">
        <v>342</v>
      </c>
    </row>
    <row r="107" spans="1:26" s="125" customFormat="1" x14ac:dyDescent="0.25">
      <c r="A107" s="461"/>
      <c r="B107" s="135" t="s">
        <v>373</v>
      </c>
      <c r="C107" s="201"/>
      <c r="D107" s="448">
        <v>6260</v>
      </c>
      <c r="E107" s="160">
        <v>6901</v>
      </c>
      <c r="F107" s="160">
        <v>11570</v>
      </c>
      <c r="G107" s="160">
        <v>8030</v>
      </c>
      <c r="H107" s="160">
        <v>14562</v>
      </c>
      <c r="I107" s="160">
        <v>12049</v>
      </c>
      <c r="J107" s="160">
        <v>18954</v>
      </c>
      <c r="K107" s="160">
        <v>14132</v>
      </c>
      <c r="L107" s="160">
        <v>17648</v>
      </c>
      <c r="M107" s="160">
        <v>9747</v>
      </c>
      <c r="N107" s="160">
        <v>5630</v>
      </c>
      <c r="O107" s="160">
        <v>8555</v>
      </c>
      <c r="P107" s="456"/>
      <c r="Q107" s="444"/>
      <c r="T107" s="137">
        <f t="shared" si="4"/>
        <v>134038</v>
      </c>
      <c r="U107" s="138" t="s">
        <v>367</v>
      </c>
      <c r="V107" s="139"/>
      <c r="W107" s="137">
        <f>T107*7.48</f>
        <v>1002604.2400000001</v>
      </c>
      <c r="X107" s="138" t="s">
        <v>346</v>
      </c>
      <c r="Y107" s="157"/>
      <c r="Z107" s="157"/>
    </row>
    <row r="108" spans="1:26" s="125" customFormat="1" x14ac:dyDescent="0.25">
      <c r="A108" s="461"/>
      <c r="B108" s="135" t="s">
        <v>347</v>
      </c>
      <c r="C108" s="613"/>
      <c r="D108" s="555">
        <v>24110.512936764098</v>
      </c>
      <c r="E108" s="142">
        <v>25015.748446246114</v>
      </c>
      <c r="F108" s="142">
        <v>22908.986299290507</v>
      </c>
      <c r="G108" s="142">
        <v>28844.313241152431</v>
      </c>
      <c r="H108" s="142">
        <v>19202.167148649438</v>
      </c>
      <c r="I108" s="142">
        <v>26659.910927289897</v>
      </c>
      <c r="J108" s="142">
        <v>22880.292995032552</v>
      </c>
      <c r="K108" s="142">
        <v>16573.632160162157</v>
      </c>
      <c r="L108" s="142">
        <v>18628.509243865909</v>
      </c>
      <c r="M108" s="142">
        <v>23495.37263416062</v>
      </c>
      <c r="N108" s="142">
        <v>23691.895441890312</v>
      </c>
      <c r="O108" s="142">
        <v>25409.534163917484</v>
      </c>
      <c r="P108" s="176"/>
      <c r="Q108" s="444"/>
      <c r="T108" s="143">
        <f t="shared" si="4"/>
        <v>277420.87563842151</v>
      </c>
      <c r="U108" s="138"/>
      <c r="V108" s="139"/>
      <c r="W108" s="156">
        <f>T108</f>
        <v>277420.87563842151</v>
      </c>
      <c r="X108" s="138"/>
      <c r="Y108" s="157"/>
      <c r="Z108" s="157"/>
    </row>
    <row r="109" spans="1:26" s="125" customFormat="1" x14ac:dyDescent="0.25">
      <c r="A109" s="461"/>
      <c r="B109" s="144" t="s">
        <v>374</v>
      </c>
      <c r="C109" s="611"/>
      <c r="D109" s="555">
        <v>564.21929999999998</v>
      </c>
      <c r="E109" s="145">
        <v>473.04768683274023</v>
      </c>
      <c r="F109" s="145">
        <v>480.09089855072466</v>
      </c>
      <c r="G109" s="145">
        <v>468.34964444444444</v>
      </c>
      <c r="H109" s="145">
        <v>4041.7166666666662</v>
      </c>
      <c r="I109" s="145">
        <v>4628.9636952998371</v>
      </c>
      <c r="J109" s="145">
        <v>6263.0235079171744</v>
      </c>
      <c r="K109" s="145">
        <v>4577.6692815854667</v>
      </c>
      <c r="L109" s="145">
        <v>4222.6035281146633</v>
      </c>
      <c r="M109" s="145">
        <v>2212.2262760675271</v>
      </c>
      <c r="N109" s="145">
        <v>410.60476345840129</v>
      </c>
      <c r="O109" s="145">
        <v>176.88000000000002</v>
      </c>
      <c r="P109" s="179"/>
      <c r="Q109" s="444"/>
      <c r="T109" s="143">
        <f t="shared" si="4"/>
        <v>28519.395248937646</v>
      </c>
      <c r="U109" s="138"/>
      <c r="V109" s="139"/>
      <c r="W109" s="156">
        <f>T109</f>
        <v>28519.395248937646</v>
      </c>
      <c r="X109" s="138"/>
      <c r="Y109" s="157"/>
      <c r="Z109" s="157"/>
    </row>
    <row r="110" spans="1:26" s="125" customFormat="1" x14ac:dyDescent="0.25">
      <c r="A110" s="461"/>
      <c r="B110" s="144" t="s">
        <v>742</v>
      </c>
      <c r="C110" s="611"/>
      <c r="D110" s="555">
        <v>12858.3</v>
      </c>
      <c r="E110" s="145">
        <v>11614.86</v>
      </c>
      <c r="F110" s="145">
        <v>9975.7800000000007</v>
      </c>
      <c r="G110" s="145">
        <v>6975.51</v>
      </c>
      <c r="H110" s="145">
        <v>4794.78</v>
      </c>
      <c r="I110" s="145">
        <v>3428.88</v>
      </c>
      <c r="J110" s="145">
        <v>2289.06</v>
      </c>
      <c r="K110" s="145">
        <v>2496.3000000000002</v>
      </c>
      <c r="L110" s="145">
        <v>2887.23</v>
      </c>
      <c r="M110" s="145">
        <v>5873.37</v>
      </c>
      <c r="N110" s="145">
        <v>9005.52</v>
      </c>
      <c r="O110" s="145">
        <v>11007.27</v>
      </c>
      <c r="P110" s="179"/>
      <c r="Q110" s="444"/>
      <c r="T110" s="143">
        <f t="shared" si="4"/>
        <v>83206.860000000015</v>
      </c>
      <c r="U110" s="138"/>
      <c r="V110" s="139"/>
      <c r="W110" s="156">
        <f>T110</f>
        <v>83206.860000000015</v>
      </c>
      <c r="X110" s="138"/>
      <c r="Y110" s="157"/>
      <c r="Z110" s="157"/>
    </row>
    <row r="111" spans="1:26" s="125" customFormat="1" ht="16.5" x14ac:dyDescent="0.35">
      <c r="A111" s="461"/>
      <c r="B111" s="144" t="s">
        <v>741</v>
      </c>
      <c r="C111" s="611"/>
      <c r="D111" s="555">
        <v>3122.46</v>
      </c>
      <c r="E111" s="145">
        <v>3929.22</v>
      </c>
      <c r="F111" s="145">
        <v>4115.97</v>
      </c>
      <c r="G111" s="145">
        <v>4579.1099999999997</v>
      </c>
      <c r="H111" s="145">
        <v>7133.8499999999995</v>
      </c>
      <c r="I111" s="145">
        <v>5490.45</v>
      </c>
      <c r="J111" s="145">
        <v>6909.75</v>
      </c>
      <c r="K111" s="145">
        <v>4392.3599999999997</v>
      </c>
      <c r="L111" s="145">
        <v>4496.9399999999996</v>
      </c>
      <c r="M111" s="145">
        <v>3062.7</v>
      </c>
      <c r="N111" s="145">
        <v>1374.48</v>
      </c>
      <c r="O111" s="145">
        <v>1254.96</v>
      </c>
      <c r="P111" s="179"/>
      <c r="Q111" s="444"/>
      <c r="T111" s="143">
        <f t="shared" si="4"/>
        <v>49862.25</v>
      </c>
      <c r="U111" s="138"/>
      <c r="V111" s="139"/>
      <c r="W111" s="597">
        <f>T111</f>
        <v>49862.25</v>
      </c>
      <c r="X111" s="138"/>
      <c r="Y111" s="157"/>
      <c r="Z111" s="157"/>
    </row>
    <row r="112" spans="1:26" s="125" customFormat="1" x14ac:dyDescent="0.25">
      <c r="A112" s="461"/>
      <c r="B112" s="180"/>
      <c r="C112" s="611"/>
      <c r="D112" s="179"/>
      <c r="E112" s="179"/>
      <c r="F112" s="179"/>
      <c r="G112" s="179"/>
      <c r="H112" s="179"/>
      <c r="I112" s="179"/>
      <c r="J112" s="179"/>
      <c r="K112" s="179"/>
      <c r="L112" s="179"/>
      <c r="M112" s="179"/>
      <c r="N112" s="179"/>
      <c r="O112" s="179"/>
      <c r="T112" s="149"/>
      <c r="U112" s="150"/>
      <c r="V112" s="139"/>
      <c r="W112" s="156">
        <f>SUM(W108:W111)</f>
        <v>439009.38088735915</v>
      </c>
      <c r="X112" s="138"/>
      <c r="Y112" s="157"/>
      <c r="Z112" s="157"/>
    </row>
    <row r="114" spans="1:26" s="125" customFormat="1" ht="16.5" x14ac:dyDescent="0.35">
      <c r="A114" s="461">
        <v>12</v>
      </c>
      <c r="B114" s="127" t="s">
        <v>559</v>
      </c>
      <c r="C114" s="611"/>
      <c r="D114" s="179"/>
      <c r="E114" s="179"/>
      <c r="F114" s="179"/>
      <c r="G114" s="179"/>
      <c r="H114" s="179"/>
      <c r="I114" s="179"/>
      <c r="J114" s="179"/>
      <c r="K114" s="179"/>
      <c r="L114" s="179"/>
      <c r="M114" s="179"/>
      <c r="N114" s="179"/>
      <c r="O114" s="179"/>
      <c r="R114" s="149"/>
      <c r="S114" s="150"/>
      <c r="T114" s="569" t="s">
        <v>559</v>
      </c>
      <c r="U114" s="181"/>
      <c r="V114" s="150"/>
      <c r="Y114" s="157"/>
      <c r="Z114" s="157"/>
    </row>
    <row r="115" spans="1:26" s="125" customFormat="1" x14ac:dyDescent="0.25">
      <c r="A115" s="461"/>
      <c r="B115" s="130" t="s">
        <v>337</v>
      </c>
      <c r="C115" s="186" t="s">
        <v>392</v>
      </c>
      <c r="D115" s="131">
        <v>41456</v>
      </c>
      <c r="E115" s="131">
        <v>41487</v>
      </c>
      <c r="F115" s="131">
        <v>41518</v>
      </c>
      <c r="G115" s="131">
        <v>41548</v>
      </c>
      <c r="H115" s="131">
        <v>41579</v>
      </c>
      <c r="I115" s="131">
        <v>41609</v>
      </c>
      <c r="J115" s="131">
        <v>41640</v>
      </c>
      <c r="K115" s="131">
        <v>41671</v>
      </c>
      <c r="L115" s="131">
        <v>41699</v>
      </c>
      <c r="M115" s="131">
        <v>41730</v>
      </c>
      <c r="N115" s="131">
        <v>41760</v>
      </c>
      <c r="O115" s="131">
        <v>41791</v>
      </c>
      <c r="P115" s="131">
        <v>41821</v>
      </c>
      <c r="Q115" s="151">
        <v>41852</v>
      </c>
      <c r="R115" s="131">
        <v>41896</v>
      </c>
      <c r="T115" s="133" t="s">
        <v>338</v>
      </c>
      <c r="U115" s="134" t="s">
        <v>339</v>
      </c>
      <c r="V115" s="132"/>
      <c r="W115" s="133" t="s">
        <v>338</v>
      </c>
      <c r="X115" s="134" t="s">
        <v>339</v>
      </c>
      <c r="Y115" s="157"/>
      <c r="Z115" s="157"/>
    </row>
    <row r="116" spans="1:26" s="125" customFormat="1" x14ac:dyDescent="0.25">
      <c r="A116" s="461"/>
      <c r="B116" s="135" t="s">
        <v>340</v>
      </c>
      <c r="C116" s="612"/>
      <c r="E116" s="456"/>
      <c r="F116" s="160">
        <v>152296</v>
      </c>
      <c r="G116" s="160">
        <v>149628</v>
      </c>
      <c r="H116" s="160">
        <v>156506</v>
      </c>
      <c r="I116" s="160">
        <v>161390</v>
      </c>
      <c r="J116" s="160">
        <v>165600</v>
      </c>
      <c r="K116" s="160">
        <v>159984</v>
      </c>
      <c r="L116" s="160">
        <v>154587</v>
      </c>
      <c r="M116" s="160">
        <v>140548</v>
      </c>
      <c r="N116" s="160">
        <v>156153</v>
      </c>
      <c r="O116" s="160">
        <v>169544</v>
      </c>
      <c r="P116" s="160">
        <v>174724</v>
      </c>
      <c r="Q116" s="153">
        <v>171911</v>
      </c>
      <c r="T116" s="137">
        <f>SUM(E116:Q116)</f>
        <v>1912871</v>
      </c>
      <c r="U116" s="138" t="s">
        <v>341</v>
      </c>
      <c r="V116" s="139"/>
      <c r="W116" s="140">
        <f>T116*3413/1000000</f>
        <v>6528.6287229999998</v>
      </c>
      <c r="X116" s="138" t="s">
        <v>342</v>
      </c>
      <c r="Y116" s="157"/>
      <c r="Z116" s="157"/>
    </row>
    <row r="117" spans="1:26" s="125" customFormat="1" x14ac:dyDescent="0.25">
      <c r="A117" s="461"/>
      <c r="B117" s="135" t="s">
        <v>372</v>
      </c>
      <c r="C117" s="612"/>
      <c r="E117" s="456"/>
      <c r="F117" s="160">
        <v>1213</v>
      </c>
      <c r="G117" s="160">
        <v>1541</v>
      </c>
      <c r="H117" s="160">
        <v>1649</v>
      </c>
      <c r="I117" s="160">
        <v>2164</v>
      </c>
      <c r="J117" s="160">
        <v>2889</v>
      </c>
      <c r="K117" s="160">
        <v>1316</v>
      </c>
      <c r="L117" s="160">
        <v>1988</v>
      </c>
      <c r="M117" s="160">
        <v>2180</v>
      </c>
      <c r="N117" s="160">
        <v>1850</v>
      </c>
      <c r="O117" s="160">
        <v>1648</v>
      </c>
      <c r="P117" s="160">
        <v>1898</v>
      </c>
      <c r="Q117" s="153">
        <v>1719</v>
      </c>
      <c r="T117" s="137">
        <f>SUM(E117:Q117)</f>
        <v>22055</v>
      </c>
      <c r="U117" s="138" t="s">
        <v>354</v>
      </c>
      <c r="V117" s="139"/>
      <c r="W117" s="140">
        <f>T117*99976.124488/1000000</f>
        <v>2204.9734255828398</v>
      </c>
      <c r="X117" s="138" t="s">
        <v>342</v>
      </c>
      <c r="Y117" s="495">
        <f>W116+W117</f>
        <v>8733.6021485828387</v>
      </c>
      <c r="Z117" s="153" t="s">
        <v>677</v>
      </c>
    </row>
    <row r="118" spans="1:26" s="125" customFormat="1" x14ac:dyDescent="0.25">
      <c r="A118" s="461"/>
      <c r="B118" s="135" t="s">
        <v>373</v>
      </c>
      <c r="C118" s="201"/>
      <c r="E118" s="456"/>
      <c r="F118" s="160">
        <v>3809</v>
      </c>
      <c r="G118" s="160">
        <v>4051</v>
      </c>
      <c r="H118" s="160">
        <v>4539</v>
      </c>
      <c r="I118" s="160">
        <v>4647</v>
      </c>
      <c r="J118" s="160">
        <v>5009</v>
      </c>
      <c r="K118" s="160">
        <v>5463</v>
      </c>
      <c r="L118" s="160">
        <v>5791</v>
      </c>
      <c r="M118" s="160">
        <v>6173</v>
      </c>
      <c r="N118" s="160">
        <v>6567</v>
      </c>
      <c r="O118" s="160">
        <v>6978</v>
      </c>
      <c r="P118" s="160">
        <v>5886</v>
      </c>
      <c r="Q118" s="153">
        <v>7680</v>
      </c>
      <c r="T118" s="137">
        <f>SUM(E118:Q118)</f>
        <v>66593</v>
      </c>
      <c r="U118" s="138" t="s">
        <v>367</v>
      </c>
      <c r="V118" s="139"/>
      <c r="W118" s="137">
        <f>T118*7.48</f>
        <v>498115.64</v>
      </c>
      <c r="X118" s="138" t="s">
        <v>346</v>
      </c>
      <c r="Y118" s="157"/>
      <c r="Z118" s="157"/>
    </row>
    <row r="119" spans="1:26" s="125" customFormat="1" x14ac:dyDescent="0.25">
      <c r="A119" s="461"/>
      <c r="B119" s="135" t="s">
        <v>347</v>
      </c>
      <c r="C119" s="613"/>
      <c r="E119" s="176"/>
      <c r="F119" s="142">
        <v>12775.39</v>
      </c>
      <c r="G119" s="142">
        <v>12473.39</v>
      </c>
      <c r="H119" s="142">
        <v>12326.65</v>
      </c>
      <c r="I119" s="142">
        <v>13270.41</v>
      </c>
      <c r="J119" s="142">
        <v>13817.56</v>
      </c>
      <c r="K119" s="142">
        <v>13187.61</v>
      </c>
      <c r="L119" s="142">
        <v>12639.42</v>
      </c>
      <c r="M119" s="142">
        <v>11636.7</v>
      </c>
      <c r="N119" s="142">
        <v>12726.58</v>
      </c>
      <c r="O119" s="142">
        <v>13809.79</v>
      </c>
      <c r="P119" s="142">
        <v>14353.83</v>
      </c>
      <c r="Q119" s="171">
        <v>14122.68</v>
      </c>
      <c r="T119" s="143">
        <f>SUM(E119:Q119)</f>
        <v>157140.00999999998</v>
      </c>
      <c r="U119" s="138"/>
      <c r="V119" s="139"/>
      <c r="W119" s="143">
        <f>T119</f>
        <v>157140.00999999998</v>
      </c>
      <c r="X119" s="138"/>
      <c r="Y119" s="157"/>
      <c r="Z119" s="157"/>
    </row>
    <row r="120" spans="1:26" s="125" customFormat="1" ht="16.5" x14ac:dyDescent="0.35">
      <c r="A120" s="461"/>
      <c r="B120" s="144" t="s">
        <v>374</v>
      </c>
      <c r="C120" s="611"/>
      <c r="E120" s="179"/>
      <c r="F120" s="145">
        <v>1079.77</v>
      </c>
      <c r="G120" s="145">
        <v>1278.27</v>
      </c>
      <c r="H120" s="145">
        <v>1326.43</v>
      </c>
      <c r="I120" s="145">
        <v>1846.92</v>
      </c>
      <c r="J120" s="145">
        <v>2444.9</v>
      </c>
      <c r="K120" s="145">
        <v>1147.49</v>
      </c>
      <c r="L120" s="145">
        <v>1701.75</v>
      </c>
      <c r="M120" s="145">
        <v>1883.57</v>
      </c>
      <c r="N120" s="145">
        <v>1540.93</v>
      </c>
      <c r="O120" s="145">
        <v>1474.33</v>
      </c>
      <c r="P120" s="145">
        <v>1688.33</v>
      </c>
      <c r="Q120" s="171">
        <v>1533.74</v>
      </c>
      <c r="T120" s="143">
        <f>SUM(E120:Q120)</f>
        <v>18946.430000000004</v>
      </c>
      <c r="U120" s="138"/>
      <c r="V120" s="139"/>
      <c r="W120" s="146">
        <f>T120</f>
        <v>18946.430000000004</v>
      </c>
      <c r="X120" s="138"/>
      <c r="Y120" s="157"/>
      <c r="Z120" s="157"/>
    </row>
    <row r="121" spans="1:26" s="125" customFormat="1" x14ac:dyDescent="0.25">
      <c r="A121" s="461"/>
      <c r="B121" s="180"/>
      <c r="C121" s="611"/>
      <c r="D121" s="179"/>
      <c r="E121" s="179"/>
      <c r="F121" s="179"/>
      <c r="G121" s="179"/>
      <c r="H121" s="179"/>
      <c r="I121" s="179"/>
      <c r="J121" s="179"/>
      <c r="K121" s="179"/>
      <c r="L121" s="179"/>
      <c r="M121" s="179"/>
      <c r="N121" s="179"/>
      <c r="O121" s="179"/>
      <c r="T121" s="149"/>
      <c r="U121" s="150"/>
      <c r="V121" s="139"/>
      <c r="W121" s="143">
        <f>SUM(W119:W120)</f>
        <v>176086.43999999997</v>
      </c>
      <c r="X121" s="138"/>
      <c r="Y121" s="157"/>
      <c r="Z121" s="157"/>
    </row>
    <row r="123" spans="1:26" s="128" customFormat="1" x14ac:dyDescent="0.25">
      <c r="A123" s="459">
        <v>13</v>
      </c>
      <c r="B123" s="127" t="s">
        <v>377</v>
      </c>
      <c r="C123" s="173"/>
      <c r="Q123" s="173"/>
      <c r="R123" s="129"/>
      <c r="T123" s="598" t="s">
        <v>377</v>
      </c>
      <c r="U123" s="129"/>
      <c r="Y123" s="166"/>
      <c r="Z123" s="166"/>
    </row>
    <row r="124" spans="1:26" s="125" customFormat="1" x14ac:dyDescent="0.25">
      <c r="A124" s="461"/>
      <c r="B124" s="130" t="s">
        <v>337</v>
      </c>
      <c r="C124" s="186" t="s">
        <v>392</v>
      </c>
      <c r="D124" s="131">
        <v>41456</v>
      </c>
      <c r="E124" s="131">
        <v>41487</v>
      </c>
      <c r="F124" s="131">
        <v>41518</v>
      </c>
      <c r="G124" s="131">
        <v>41548</v>
      </c>
      <c r="H124" s="131">
        <v>41579</v>
      </c>
      <c r="I124" s="131">
        <v>41609</v>
      </c>
      <c r="J124" s="131">
        <v>41640</v>
      </c>
      <c r="K124" s="131">
        <v>41671</v>
      </c>
      <c r="L124" s="131">
        <v>41699</v>
      </c>
      <c r="M124" s="131">
        <v>41730</v>
      </c>
      <c r="N124" s="131">
        <v>41760</v>
      </c>
      <c r="O124" s="131">
        <v>41791</v>
      </c>
      <c r="P124" s="131">
        <v>41821</v>
      </c>
      <c r="Q124" s="151">
        <v>41852</v>
      </c>
      <c r="R124" s="131">
        <v>41896</v>
      </c>
      <c r="T124" s="133" t="s">
        <v>338</v>
      </c>
      <c r="U124" s="134" t="s">
        <v>339</v>
      </c>
      <c r="V124" s="132"/>
      <c r="W124" s="133" t="s">
        <v>338</v>
      </c>
      <c r="X124" s="134" t="s">
        <v>339</v>
      </c>
      <c r="Y124" s="157"/>
      <c r="Z124" s="157"/>
    </row>
    <row r="125" spans="1:26" s="125" customFormat="1" x14ac:dyDescent="0.25">
      <c r="A125" s="461"/>
      <c r="B125" s="135" t="s">
        <v>340</v>
      </c>
      <c r="C125" s="152"/>
      <c r="E125" s="136"/>
      <c r="F125" s="136"/>
      <c r="G125" s="136"/>
      <c r="H125" s="136"/>
      <c r="I125" s="136"/>
      <c r="J125" s="136"/>
      <c r="K125" s="136"/>
      <c r="L125" s="136"/>
      <c r="M125" s="136"/>
      <c r="N125" s="136"/>
      <c r="O125" s="136"/>
      <c r="P125" s="136"/>
      <c r="T125" s="137">
        <f>SUM(E125:P125)</f>
        <v>0</v>
      </c>
      <c r="U125" s="138" t="s">
        <v>341</v>
      </c>
      <c r="V125" s="139"/>
      <c r="W125" s="140">
        <f>T125*3413/1000000</f>
        <v>0</v>
      </c>
      <c r="X125" s="138" t="s">
        <v>342</v>
      </c>
      <c r="Y125" s="157"/>
      <c r="Z125" s="157"/>
    </row>
    <row r="126" spans="1:26" s="125" customFormat="1" x14ac:dyDescent="0.25">
      <c r="A126" s="461"/>
      <c r="B126" s="135" t="s">
        <v>378</v>
      </c>
      <c r="C126" s="152"/>
      <c r="E126" s="136"/>
      <c r="F126" s="153"/>
      <c r="G126" s="153"/>
      <c r="H126" s="153"/>
      <c r="I126" s="153"/>
      <c r="J126" s="153"/>
      <c r="K126" s="153"/>
      <c r="L126" s="153"/>
      <c r="M126" s="153"/>
      <c r="N126" s="153"/>
      <c r="O126" s="153"/>
      <c r="P126" s="153"/>
      <c r="T126" s="137">
        <f>SUM(E126:P126)</f>
        <v>0</v>
      </c>
      <c r="U126" s="138" t="s">
        <v>379</v>
      </c>
      <c r="V126" s="139"/>
      <c r="W126" s="140">
        <f>T126*100*1027/1000000</f>
        <v>0</v>
      </c>
      <c r="X126" s="138" t="s">
        <v>342</v>
      </c>
      <c r="Y126" s="157"/>
      <c r="Z126" s="157"/>
    </row>
    <row r="127" spans="1:26" s="125" customFormat="1" x14ac:dyDescent="0.25">
      <c r="A127" s="461"/>
      <c r="B127" s="135" t="s">
        <v>380</v>
      </c>
      <c r="C127" s="152"/>
      <c r="E127" s="141"/>
      <c r="F127" s="141"/>
      <c r="G127" s="141"/>
      <c r="H127" s="141"/>
      <c r="I127" s="141"/>
      <c r="J127" s="141"/>
      <c r="K127" s="141"/>
      <c r="L127" s="141"/>
      <c r="M127" s="141"/>
      <c r="N127" s="141"/>
      <c r="O127" s="141"/>
      <c r="P127" s="141"/>
      <c r="T127" s="137">
        <f>SUM(E127:P127)</f>
        <v>0</v>
      </c>
      <c r="U127" s="138" t="s">
        <v>379</v>
      </c>
      <c r="V127" s="139" t="s">
        <v>38</v>
      </c>
      <c r="W127" s="140">
        <f>T127*748</f>
        <v>0</v>
      </c>
      <c r="X127" s="138" t="s">
        <v>346</v>
      </c>
      <c r="Y127" s="157"/>
      <c r="Z127" s="157"/>
    </row>
    <row r="128" spans="1:26" s="125" customFormat="1" x14ac:dyDescent="0.25">
      <c r="A128" s="461"/>
      <c r="B128" s="135" t="s">
        <v>347</v>
      </c>
      <c r="C128" s="152"/>
      <c r="E128" s="171"/>
      <c r="F128" s="171"/>
      <c r="G128" s="171"/>
      <c r="H128" s="171"/>
      <c r="I128" s="171"/>
      <c r="J128" s="171"/>
      <c r="K128" s="171"/>
      <c r="L128" s="171"/>
      <c r="M128" s="171"/>
      <c r="N128" s="171"/>
      <c r="O128" s="171"/>
      <c r="P128" s="171"/>
      <c r="T128" s="143">
        <f>SUM(E128:P128)</f>
        <v>0</v>
      </c>
      <c r="U128" s="138"/>
      <c r="V128" s="139"/>
      <c r="W128" s="143">
        <f>T128</f>
        <v>0</v>
      </c>
      <c r="X128" s="138"/>
      <c r="Y128" s="157"/>
      <c r="Z128" s="157"/>
    </row>
    <row r="129" spans="1:26" s="125" customFormat="1" ht="16.5" x14ac:dyDescent="0.35">
      <c r="A129" s="461"/>
      <c r="B129" s="135" t="s">
        <v>381</v>
      </c>
      <c r="C129" s="152"/>
      <c r="E129" s="171"/>
      <c r="F129" s="171"/>
      <c r="G129" s="171"/>
      <c r="H129" s="171"/>
      <c r="I129" s="171"/>
      <c r="J129" s="171"/>
      <c r="K129" s="171"/>
      <c r="L129" s="171"/>
      <c r="M129" s="171"/>
      <c r="N129" s="171"/>
      <c r="O129" s="171"/>
      <c r="P129" s="171"/>
      <c r="T129" s="143">
        <f>SUM(E129:P129)</f>
        <v>0</v>
      </c>
      <c r="U129" s="138"/>
      <c r="V129" s="139"/>
      <c r="W129" s="146">
        <f>T129</f>
        <v>0</v>
      </c>
      <c r="X129" s="138"/>
      <c r="Y129" s="157"/>
      <c r="Z129" s="157"/>
    </row>
    <row r="130" spans="1:26" s="125" customFormat="1" x14ac:dyDescent="0.25">
      <c r="A130" s="463"/>
      <c r="B130" s="157"/>
      <c r="C130" s="446"/>
      <c r="D130" s="185"/>
      <c r="E130" s="185"/>
      <c r="F130" s="185"/>
      <c r="G130" s="185"/>
      <c r="H130" s="185"/>
      <c r="I130" s="185"/>
      <c r="J130" s="185"/>
      <c r="K130" s="185"/>
      <c r="L130" s="185"/>
      <c r="M130" s="185"/>
      <c r="N130" s="185"/>
      <c r="T130" s="149"/>
      <c r="U130" s="150"/>
      <c r="V130" s="139"/>
      <c r="W130" s="143">
        <f>SUM(W128:W129)</f>
        <v>0</v>
      </c>
      <c r="X130" s="150"/>
      <c r="Y130" s="157"/>
      <c r="Z130" s="157"/>
    </row>
    <row r="131" spans="1:26" s="157" customFormat="1" x14ac:dyDescent="0.25">
      <c r="A131" s="461"/>
      <c r="C131" s="599"/>
      <c r="R131" s="182"/>
      <c r="U131" s="182"/>
    </row>
    <row r="132" spans="1:26" s="125" customFormat="1" x14ac:dyDescent="0.25">
      <c r="A132" s="461">
        <v>14</v>
      </c>
      <c r="B132" s="148" t="s">
        <v>396</v>
      </c>
      <c r="C132" s="152"/>
      <c r="D132" s="157"/>
      <c r="S132" s="126"/>
      <c r="T132" s="148" t="s">
        <v>396</v>
      </c>
      <c r="V132" s="126"/>
      <c r="Y132" s="157"/>
      <c r="Z132" s="157"/>
    </row>
    <row r="133" spans="1:26" s="157" customFormat="1" x14ac:dyDescent="0.25">
      <c r="A133" s="461"/>
      <c r="B133" s="130" t="s">
        <v>337</v>
      </c>
      <c r="C133" s="186" t="s">
        <v>392</v>
      </c>
      <c r="D133" s="131">
        <v>41456</v>
      </c>
      <c r="E133" s="131">
        <v>41487</v>
      </c>
      <c r="F133" s="131">
        <v>41518</v>
      </c>
      <c r="G133" s="131">
        <v>41548</v>
      </c>
      <c r="H133" s="131">
        <v>41579</v>
      </c>
      <c r="I133" s="131">
        <v>41609</v>
      </c>
      <c r="J133" s="131">
        <v>41640</v>
      </c>
      <c r="K133" s="131">
        <v>41671</v>
      </c>
      <c r="L133" s="131">
        <v>41699</v>
      </c>
      <c r="M133" s="131">
        <v>41730</v>
      </c>
      <c r="N133" s="131">
        <v>41760</v>
      </c>
      <c r="O133" s="131">
        <v>41791</v>
      </c>
      <c r="P133" s="131">
        <v>41821</v>
      </c>
      <c r="Q133" s="151">
        <v>41852</v>
      </c>
      <c r="R133" s="131">
        <v>41896</v>
      </c>
      <c r="T133" s="133" t="s">
        <v>338</v>
      </c>
      <c r="U133" s="134" t="s">
        <v>339</v>
      </c>
      <c r="V133" s="132"/>
      <c r="W133" s="133" t="s">
        <v>338</v>
      </c>
      <c r="X133" s="134" t="s">
        <v>339</v>
      </c>
    </row>
    <row r="134" spans="1:26" s="157" customFormat="1" x14ac:dyDescent="0.25">
      <c r="A134" s="461"/>
      <c r="B134" s="135" t="s">
        <v>319</v>
      </c>
      <c r="C134" s="599"/>
      <c r="F134" s="136">
        <v>25053</v>
      </c>
      <c r="G134" s="136">
        <v>25134</v>
      </c>
      <c r="H134" s="136">
        <v>28239</v>
      </c>
      <c r="I134" s="136">
        <v>20460</v>
      </c>
      <c r="J134" s="136">
        <v>25563</v>
      </c>
      <c r="K134" s="136">
        <v>24454</v>
      </c>
      <c r="L134" s="136">
        <v>22098</v>
      </c>
      <c r="M134" s="136">
        <v>25793</v>
      </c>
      <c r="N134" s="136">
        <v>20663</v>
      </c>
      <c r="O134" s="136">
        <v>15650</v>
      </c>
      <c r="P134" s="136">
        <v>15399</v>
      </c>
      <c r="Q134" s="136">
        <v>25182</v>
      </c>
      <c r="T134" s="141">
        <f t="shared" ref="T134:T140" si="5">SUM(F134:Q134)</f>
        <v>273688</v>
      </c>
      <c r="U134" s="188" t="s">
        <v>341</v>
      </c>
      <c r="W134" s="140">
        <f>T134*3413/1000000</f>
        <v>934.09714399999996</v>
      </c>
      <c r="X134" s="138" t="s">
        <v>342</v>
      </c>
    </row>
    <row r="135" spans="1:26" s="157" customFormat="1" x14ac:dyDescent="0.25">
      <c r="A135" s="461"/>
      <c r="B135" s="135" t="s">
        <v>320</v>
      </c>
      <c r="C135" s="599"/>
      <c r="F135" s="137">
        <v>11480</v>
      </c>
      <c r="G135" s="137">
        <v>25760</v>
      </c>
      <c r="H135" s="137">
        <v>123940</v>
      </c>
      <c r="I135" s="136">
        <v>175720</v>
      </c>
      <c r="J135" s="136">
        <v>246650</v>
      </c>
      <c r="K135" s="136">
        <v>178290</v>
      </c>
      <c r="L135" s="136">
        <v>97990</v>
      </c>
      <c r="M135" s="136">
        <v>25440</v>
      </c>
      <c r="N135" s="136">
        <v>6630</v>
      </c>
      <c r="O135" s="136">
        <v>4130</v>
      </c>
      <c r="P135" s="136">
        <v>3810</v>
      </c>
      <c r="Q135" s="136">
        <v>9290</v>
      </c>
      <c r="T135" s="141">
        <f t="shared" si="5"/>
        <v>909130</v>
      </c>
      <c r="U135" s="188" t="s">
        <v>344</v>
      </c>
      <c r="W135" s="160">
        <f>T135/1000</f>
        <v>909.13</v>
      </c>
      <c r="X135" s="138" t="s">
        <v>342</v>
      </c>
    </row>
    <row r="136" spans="1:26" s="157" customFormat="1" x14ac:dyDescent="0.25">
      <c r="A136" s="461"/>
      <c r="B136" s="192" t="s">
        <v>323</v>
      </c>
      <c r="C136" s="599"/>
      <c r="F136" s="141">
        <v>19492</v>
      </c>
      <c r="G136" s="141">
        <v>18522</v>
      </c>
      <c r="H136" s="141">
        <v>11913</v>
      </c>
      <c r="I136" s="141">
        <v>10588</v>
      </c>
      <c r="J136" s="141">
        <v>7195</v>
      </c>
      <c r="K136" s="141">
        <v>8456</v>
      </c>
      <c r="L136" s="141">
        <v>8389</v>
      </c>
      <c r="M136" s="141">
        <v>14529</v>
      </c>
      <c r="N136" s="141">
        <v>28608</v>
      </c>
      <c r="O136" s="141">
        <v>22546</v>
      </c>
      <c r="P136" s="141">
        <v>21501</v>
      </c>
      <c r="Q136" s="141">
        <v>28341</v>
      </c>
      <c r="T136" s="141">
        <f t="shared" si="5"/>
        <v>200080</v>
      </c>
      <c r="U136" s="188" t="s">
        <v>397</v>
      </c>
      <c r="W136" s="193">
        <f>T136*0.012</f>
        <v>2400.96</v>
      </c>
      <c r="X136" s="138" t="s">
        <v>342</v>
      </c>
      <c r="Y136" s="495">
        <f>W134+W135+W136</f>
        <v>4244.1871439999995</v>
      </c>
      <c r="Z136" s="153" t="s">
        <v>677</v>
      </c>
    </row>
    <row r="137" spans="1:26" s="157" customFormat="1" x14ac:dyDescent="0.25">
      <c r="A137" s="461"/>
      <c r="B137" s="135" t="s">
        <v>345</v>
      </c>
      <c r="C137" s="599"/>
      <c r="F137" s="141">
        <v>52600</v>
      </c>
      <c r="G137" s="141">
        <v>52900</v>
      </c>
      <c r="H137" s="141">
        <v>59100</v>
      </c>
      <c r="I137" s="141">
        <v>15700</v>
      </c>
      <c r="J137" s="141">
        <v>43700</v>
      </c>
      <c r="K137" s="141">
        <v>51400</v>
      </c>
      <c r="L137" s="141">
        <v>39400</v>
      </c>
      <c r="M137" s="141">
        <v>52700</v>
      </c>
      <c r="N137" s="141">
        <v>13700</v>
      </c>
      <c r="O137" s="141">
        <v>1000</v>
      </c>
      <c r="P137" s="141">
        <v>600</v>
      </c>
      <c r="Q137" s="141">
        <v>47500</v>
      </c>
      <c r="T137" s="141">
        <f t="shared" si="5"/>
        <v>430300</v>
      </c>
      <c r="U137" s="188" t="s">
        <v>346</v>
      </c>
      <c r="W137" s="141">
        <f>T137</f>
        <v>430300</v>
      </c>
      <c r="X137" s="188" t="s">
        <v>346</v>
      </c>
    </row>
    <row r="138" spans="1:26" s="157" customFormat="1" x14ac:dyDescent="0.25">
      <c r="A138" s="461"/>
      <c r="B138" s="135" t="s">
        <v>324</v>
      </c>
      <c r="C138" s="599"/>
      <c r="F138" s="142">
        <v>1782.02</v>
      </c>
      <c r="G138" s="142">
        <v>1601.38</v>
      </c>
      <c r="H138" s="142">
        <v>1702.92</v>
      </c>
      <c r="I138" s="142">
        <v>1277.51</v>
      </c>
      <c r="J138" s="142">
        <v>1564.76</v>
      </c>
      <c r="K138" s="142">
        <v>1465.44</v>
      </c>
      <c r="L138" s="142">
        <v>1379.16</v>
      </c>
      <c r="M138" s="142">
        <v>1530.04</v>
      </c>
      <c r="N138" s="142">
        <v>1261.9100000000001</v>
      </c>
      <c r="O138" s="142">
        <v>1061.54</v>
      </c>
      <c r="P138" s="142">
        <v>1044.52</v>
      </c>
      <c r="Q138" s="142">
        <v>1708.09</v>
      </c>
      <c r="T138" s="171">
        <f t="shared" si="5"/>
        <v>17379.29</v>
      </c>
      <c r="U138" s="188"/>
      <c r="W138" s="190">
        <f>T138</f>
        <v>17379.29</v>
      </c>
      <c r="X138" s="188"/>
    </row>
    <row r="139" spans="1:26" s="157" customFormat="1" x14ac:dyDescent="0.25">
      <c r="A139" s="461"/>
      <c r="B139" s="195" t="s">
        <v>326</v>
      </c>
      <c r="C139" s="599"/>
      <c r="F139" s="196">
        <v>89.69</v>
      </c>
      <c r="G139" s="196">
        <v>201.27</v>
      </c>
      <c r="H139" s="196">
        <v>968.4</v>
      </c>
      <c r="I139" s="196">
        <v>1372.99</v>
      </c>
      <c r="J139" s="196">
        <v>1927.2</v>
      </c>
      <c r="K139" s="196">
        <v>1393.09</v>
      </c>
      <c r="L139" s="196">
        <v>765.65</v>
      </c>
      <c r="M139" s="196">
        <v>198.76</v>
      </c>
      <c r="N139" s="196">
        <v>51.8</v>
      </c>
      <c r="O139" s="196">
        <v>32.270000000000003</v>
      </c>
      <c r="P139" s="196">
        <v>29.77</v>
      </c>
      <c r="Q139" s="196">
        <v>72.58</v>
      </c>
      <c r="T139" s="171">
        <f t="shared" si="5"/>
        <v>7103.4700000000012</v>
      </c>
      <c r="U139" s="188"/>
      <c r="W139" s="190">
        <f>T139</f>
        <v>7103.4700000000012</v>
      </c>
      <c r="X139" s="188"/>
    </row>
    <row r="140" spans="1:26" s="157" customFormat="1" ht="16.5" x14ac:dyDescent="0.35">
      <c r="A140" s="461"/>
      <c r="B140" s="195" t="s">
        <v>398</v>
      </c>
      <c r="C140" s="599"/>
      <c r="E140" s="599" t="s">
        <v>351</v>
      </c>
      <c r="F140" s="198"/>
      <c r="G140" s="198"/>
      <c r="H140" s="198"/>
      <c r="I140" s="198"/>
      <c r="J140" s="198"/>
      <c r="K140" s="198"/>
      <c r="L140" s="198"/>
      <c r="M140" s="198"/>
      <c r="N140" s="198"/>
      <c r="O140" s="198"/>
      <c r="P140" s="198"/>
      <c r="Q140" s="198"/>
      <c r="T140" s="171">
        <f t="shared" si="5"/>
        <v>0</v>
      </c>
      <c r="U140" s="188"/>
      <c r="W140" s="197">
        <f>T140</f>
        <v>0</v>
      </c>
      <c r="X140" s="188"/>
    </row>
    <row r="141" spans="1:26" s="157" customFormat="1" x14ac:dyDescent="0.25">
      <c r="A141" s="461"/>
      <c r="B141" s="200"/>
      <c r="C141" s="599"/>
      <c r="E141" s="446" t="s">
        <v>351</v>
      </c>
      <c r="F141" s="600" t="s">
        <v>744</v>
      </c>
      <c r="G141" s="446"/>
      <c r="H141" s="446"/>
      <c r="I141" s="446"/>
      <c r="J141" s="446"/>
      <c r="K141" s="446"/>
      <c r="L141" s="446"/>
      <c r="M141" s="446"/>
      <c r="N141" s="446"/>
      <c r="O141" s="446"/>
      <c r="P141" s="446"/>
      <c r="Q141" s="194"/>
      <c r="T141" s="184"/>
      <c r="U141" s="199"/>
      <c r="W141" s="190">
        <f>SUM(W138:W140)</f>
        <v>24482.760000000002</v>
      </c>
      <c r="X141" s="188"/>
    </row>
    <row r="142" spans="1:26" s="125" customFormat="1" x14ac:dyDescent="0.25">
      <c r="A142" s="461"/>
      <c r="B142" s="200"/>
      <c r="C142" s="152"/>
      <c r="E142" s="201"/>
      <c r="F142" s="202"/>
      <c r="G142" s="202"/>
      <c r="H142" s="203"/>
      <c r="I142" s="203"/>
      <c r="J142" s="203"/>
      <c r="K142" s="203"/>
      <c r="L142" s="203"/>
      <c r="M142" s="203"/>
      <c r="N142" s="203"/>
      <c r="O142" s="203"/>
      <c r="P142" s="203"/>
      <c r="S142" s="126"/>
      <c r="V142" s="126"/>
      <c r="Y142" s="157"/>
      <c r="Z142" s="157"/>
    </row>
    <row r="143" spans="1:26" s="125" customFormat="1" x14ac:dyDescent="0.25">
      <c r="A143" s="461">
        <v>15</v>
      </c>
      <c r="B143" s="148" t="s">
        <v>560</v>
      </c>
      <c r="C143" s="152"/>
      <c r="S143" s="126"/>
      <c r="T143" s="148" t="s">
        <v>560</v>
      </c>
      <c r="V143" s="126"/>
      <c r="Y143" s="157"/>
      <c r="Z143" s="157"/>
    </row>
    <row r="144" spans="1:26" s="157" customFormat="1" x14ac:dyDescent="0.25">
      <c r="A144" s="461"/>
      <c r="B144" s="130" t="s">
        <v>337</v>
      </c>
      <c r="C144" s="186" t="s">
        <v>392</v>
      </c>
      <c r="D144" s="131">
        <v>41456</v>
      </c>
      <c r="E144" s="131">
        <v>41487</v>
      </c>
      <c r="F144" s="131">
        <v>41518</v>
      </c>
      <c r="G144" s="131">
        <v>41548</v>
      </c>
      <c r="H144" s="131">
        <v>41579</v>
      </c>
      <c r="I144" s="131">
        <v>41609</v>
      </c>
      <c r="J144" s="131">
        <v>41640</v>
      </c>
      <c r="K144" s="131">
        <v>41671</v>
      </c>
      <c r="L144" s="131">
        <v>41699</v>
      </c>
      <c r="M144" s="131">
        <v>41730</v>
      </c>
      <c r="N144" s="131">
        <v>41760</v>
      </c>
      <c r="O144" s="131">
        <v>41791</v>
      </c>
      <c r="P144" s="131">
        <v>41821</v>
      </c>
      <c r="Q144" s="151">
        <v>41852</v>
      </c>
      <c r="R144" s="131">
        <v>41896</v>
      </c>
      <c r="T144" s="133" t="s">
        <v>338</v>
      </c>
      <c r="U144" s="134" t="s">
        <v>339</v>
      </c>
      <c r="V144" s="132"/>
      <c r="W144" s="133" t="s">
        <v>338</v>
      </c>
      <c r="X144" s="134" t="s">
        <v>339</v>
      </c>
    </row>
    <row r="145" spans="1:26" s="157" customFormat="1" x14ac:dyDescent="0.25">
      <c r="A145" s="461"/>
      <c r="B145" s="135" t="s">
        <v>319</v>
      </c>
      <c r="C145" s="599"/>
      <c r="F145" s="136">
        <v>23834</v>
      </c>
      <c r="G145" s="136">
        <v>24071</v>
      </c>
      <c r="H145" s="136">
        <v>28259</v>
      </c>
      <c r="I145" s="136">
        <v>19016</v>
      </c>
      <c r="J145" s="136">
        <v>18684</v>
      </c>
      <c r="K145" s="136">
        <v>17980</v>
      </c>
      <c r="L145" s="136">
        <v>22050</v>
      </c>
      <c r="M145" s="136">
        <v>24756</v>
      </c>
      <c r="N145" s="136">
        <v>20501</v>
      </c>
      <c r="O145" s="136">
        <v>15721</v>
      </c>
      <c r="P145" s="136">
        <v>15058</v>
      </c>
      <c r="Q145" s="136">
        <v>22964</v>
      </c>
      <c r="T145" s="141">
        <f t="shared" ref="T145:T150" si="6">SUM(F145:Q145)</f>
        <v>252894</v>
      </c>
      <c r="U145" s="188" t="s">
        <v>341</v>
      </c>
      <c r="W145" s="140">
        <f>T145*3413/1000000</f>
        <v>863.12722199999996</v>
      </c>
      <c r="X145" s="138" t="s">
        <v>342</v>
      </c>
    </row>
    <row r="146" spans="1:26" s="157" customFormat="1" x14ac:dyDescent="0.25">
      <c r="A146" s="461"/>
      <c r="B146" s="135" t="s">
        <v>320</v>
      </c>
      <c r="C146" s="599"/>
      <c r="F146" s="137">
        <v>18790</v>
      </c>
      <c r="G146" s="137">
        <v>35540</v>
      </c>
      <c r="H146" s="137">
        <v>67950</v>
      </c>
      <c r="I146" s="136">
        <v>35990</v>
      </c>
      <c r="J146" s="136">
        <v>65960</v>
      </c>
      <c r="K146" s="136">
        <v>49660</v>
      </c>
      <c r="L146" s="136">
        <v>16350</v>
      </c>
      <c r="M146" s="136">
        <v>15230</v>
      </c>
      <c r="N146" s="136">
        <v>7320</v>
      </c>
      <c r="O146" s="136">
        <v>3870</v>
      </c>
      <c r="P146" s="136">
        <v>3580</v>
      </c>
      <c r="Q146" s="136">
        <v>7620</v>
      </c>
      <c r="T146" s="141">
        <f t="shared" si="6"/>
        <v>327860</v>
      </c>
      <c r="U146" s="188" t="s">
        <v>344</v>
      </c>
      <c r="W146" s="160">
        <f>T146/1000</f>
        <v>327.86</v>
      </c>
      <c r="X146" s="138" t="s">
        <v>342</v>
      </c>
    </row>
    <row r="147" spans="1:26" s="157" customFormat="1" x14ac:dyDescent="0.25">
      <c r="A147" s="461"/>
      <c r="B147" s="192" t="s">
        <v>323</v>
      </c>
      <c r="C147" s="599"/>
      <c r="F147" s="141">
        <v>17804</v>
      </c>
      <c r="G147" s="141">
        <v>15818</v>
      </c>
      <c r="H147" s="141">
        <v>13265</v>
      </c>
      <c r="I147" s="141">
        <v>10015</v>
      </c>
      <c r="J147" s="141">
        <v>6558</v>
      </c>
      <c r="K147" s="141">
        <v>6932</v>
      </c>
      <c r="L147" s="141">
        <v>10604</v>
      </c>
      <c r="M147" s="141">
        <v>13436</v>
      </c>
      <c r="N147" s="141">
        <v>17467</v>
      </c>
      <c r="O147" s="141">
        <v>22527</v>
      </c>
      <c r="P147" s="141">
        <v>20569</v>
      </c>
      <c r="Q147" s="141">
        <v>23987</v>
      </c>
      <c r="T147" s="141">
        <f t="shared" si="6"/>
        <v>178982</v>
      </c>
      <c r="U147" s="188" t="s">
        <v>397</v>
      </c>
      <c r="W147" s="193">
        <f>T147*0.012</f>
        <v>2147.7840000000001</v>
      </c>
      <c r="X147" s="138" t="s">
        <v>342</v>
      </c>
      <c r="Y147" s="495">
        <f>W145+W146+W147</f>
        <v>3338.7712220000003</v>
      </c>
      <c r="Z147" s="153" t="s">
        <v>677</v>
      </c>
    </row>
    <row r="148" spans="1:26" s="157" customFormat="1" x14ac:dyDescent="0.25">
      <c r="A148" s="461"/>
      <c r="B148" s="135" t="s">
        <v>345</v>
      </c>
      <c r="C148" s="599"/>
      <c r="F148" s="141">
        <v>50200</v>
      </c>
      <c r="G148" s="141">
        <v>46800</v>
      </c>
      <c r="H148" s="141">
        <v>48900</v>
      </c>
      <c r="I148" s="141">
        <v>12400</v>
      </c>
      <c r="J148" s="141">
        <v>95100</v>
      </c>
      <c r="K148" s="141">
        <v>44700</v>
      </c>
      <c r="L148" s="141">
        <v>33800</v>
      </c>
      <c r="M148" s="141">
        <v>44800</v>
      </c>
      <c r="N148" s="141">
        <v>11300</v>
      </c>
      <c r="O148" s="141">
        <v>1000</v>
      </c>
      <c r="P148" s="141">
        <v>1000</v>
      </c>
      <c r="Q148" s="141">
        <v>32800</v>
      </c>
      <c r="T148" s="141">
        <f t="shared" si="6"/>
        <v>422800</v>
      </c>
      <c r="U148" s="188" t="s">
        <v>346</v>
      </c>
      <c r="W148" s="141">
        <f>T148</f>
        <v>422800</v>
      </c>
      <c r="X148" s="188" t="s">
        <v>346</v>
      </c>
    </row>
    <row r="149" spans="1:26" s="157" customFormat="1" x14ac:dyDescent="0.25">
      <c r="A149" s="461"/>
      <c r="B149" s="135" t="s">
        <v>324</v>
      </c>
      <c r="C149" s="599"/>
      <c r="F149" s="142">
        <v>1695.31</v>
      </c>
      <c r="G149" s="142">
        <v>1533.65</v>
      </c>
      <c r="H149" s="142">
        <v>1704.13</v>
      </c>
      <c r="I149" s="142">
        <v>1187.3399999999999</v>
      </c>
      <c r="J149" s="142">
        <v>1143.68</v>
      </c>
      <c r="K149" s="142">
        <v>1077.47</v>
      </c>
      <c r="L149" s="142">
        <v>1376.16</v>
      </c>
      <c r="M149" s="142">
        <v>1468.52</v>
      </c>
      <c r="N149" s="142">
        <v>1252.02</v>
      </c>
      <c r="O149" s="142">
        <v>1066.3599999999999</v>
      </c>
      <c r="P149" s="142">
        <v>1021.38</v>
      </c>
      <c r="Q149" s="142">
        <v>1557.65</v>
      </c>
      <c r="T149" s="171">
        <f t="shared" si="6"/>
        <v>16083.67</v>
      </c>
      <c r="U149" s="188"/>
      <c r="W149" s="190">
        <f>T149</f>
        <v>16083.67</v>
      </c>
      <c r="X149" s="188"/>
    </row>
    <row r="150" spans="1:26" s="157" customFormat="1" x14ac:dyDescent="0.25">
      <c r="A150" s="461"/>
      <c r="B150" s="204" t="s">
        <v>326</v>
      </c>
      <c r="C150" s="599"/>
      <c r="F150" s="196">
        <v>148.22999999999999</v>
      </c>
      <c r="G150" s="196">
        <v>277.70999999999998</v>
      </c>
      <c r="H150" s="196">
        <v>530.95000000000005</v>
      </c>
      <c r="I150" s="196">
        <v>281.23</v>
      </c>
      <c r="J150" s="196">
        <v>515.4</v>
      </c>
      <c r="K150" s="196">
        <v>388.04</v>
      </c>
      <c r="L150" s="196">
        <v>127.75</v>
      </c>
      <c r="M150" s="196">
        <v>118.99</v>
      </c>
      <c r="N150" s="196">
        <v>57.19</v>
      </c>
      <c r="O150" s="196">
        <v>30.24</v>
      </c>
      <c r="P150" s="196">
        <v>27.97</v>
      </c>
      <c r="Q150" s="196">
        <v>59.53</v>
      </c>
      <c r="T150" s="171">
        <f t="shared" si="6"/>
        <v>2563.2299999999996</v>
      </c>
      <c r="U150" s="188"/>
      <c r="W150" s="190">
        <f>T150</f>
        <v>2563.2299999999996</v>
      </c>
      <c r="X150" s="188"/>
    </row>
    <row r="151" spans="1:26" s="157" customFormat="1" ht="16.5" x14ac:dyDescent="0.35">
      <c r="A151" s="461"/>
      <c r="B151" s="195" t="s">
        <v>398</v>
      </c>
      <c r="C151" s="599"/>
      <c r="E151" s="599" t="s">
        <v>351</v>
      </c>
      <c r="F151" s="198"/>
      <c r="G151" s="198"/>
      <c r="H151" s="198"/>
      <c r="I151" s="198"/>
      <c r="J151" s="198"/>
      <c r="K151" s="198"/>
      <c r="L151" s="198"/>
      <c r="M151" s="198"/>
      <c r="N151" s="198"/>
      <c r="O151" s="198"/>
      <c r="P151" s="198"/>
      <c r="Q151" s="198"/>
      <c r="T151" s="171">
        <f>SUM(G151:Q151)</f>
        <v>0</v>
      </c>
      <c r="U151" s="188"/>
      <c r="W151" s="197">
        <f>T151</f>
        <v>0</v>
      </c>
      <c r="X151" s="188"/>
    </row>
    <row r="152" spans="1:26" s="125" customFormat="1" x14ac:dyDescent="0.25">
      <c r="A152" s="461"/>
      <c r="C152" s="599"/>
      <c r="D152" s="157"/>
      <c r="E152" s="446" t="s">
        <v>351</v>
      </c>
      <c r="F152" s="600" t="s">
        <v>744</v>
      </c>
      <c r="G152" s="446"/>
      <c r="H152" s="446"/>
      <c r="I152" s="446"/>
      <c r="J152" s="446"/>
      <c r="K152" s="446"/>
      <c r="L152" s="446"/>
      <c r="M152" s="446"/>
      <c r="N152" s="446"/>
      <c r="O152" s="446"/>
      <c r="P152" s="446"/>
      <c r="Q152" s="194"/>
      <c r="R152" s="157"/>
      <c r="S152" s="157"/>
      <c r="T152" s="184"/>
      <c r="U152" s="199"/>
      <c r="V152" s="157"/>
      <c r="W152" s="190">
        <f>SUM(W149:W151)</f>
        <v>18646.900000000001</v>
      </c>
      <c r="X152" s="188"/>
      <c r="Y152" s="157"/>
      <c r="Z152" s="157"/>
    </row>
    <row r="153" spans="1:26" s="125" customFormat="1" x14ac:dyDescent="0.25">
      <c r="A153" s="461"/>
      <c r="C153" s="152"/>
      <c r="S153" s="126"/>
      <c r="U153" s="447"/>
      <c r="V153" s="126"/>
      <c r="Y153" s="157"/>
      <c r="Z153" s="157"/>
    </row>
    <row r="154" spans="1:26" s="125" customFormat="1" x14ac:dyDescent="0.25">
      <c r="A154" s="461">
        <v>16</v>
      </c>
      <c r="B154" s="148" t="s">
        <v>561</v>
      </c>
      <c r="C154" s="152"/>
      <c r="S154" s="126"/>
      <c r="T154" s="148" t="s">
        <v>561</v>
      </c>
      <c r="V154" s="126"/>
      <c r="Y154" s="157"/>
      <c r="Z154" s="157"/>
    </row>
    <row r="155" spans="1:26" s="157" customFormat="1" x14ac:dyDescent="0.25">
      <c r="A155" s="461"/>
      <c r="B155" s="130" t="s">
        <v>337</v>
      </c>
      <c r="C155" s="186" t="s">
        <v>392</v>
      </c>
      <c r="D155" s="131">
        <v>41456</v>
      </c>
      <c r="E155" s="131">
        <v>41487</v>
      </c>
      <c r="F155" s="131">
        <v>41518</v>
      </c>
      <c r="G155" s="131">
        <v>41548</v>
      </c>
      <c r="H155" s="131">
        <v>41579</v>
      </c>
      <c r="I155" s="131">
        <v>41609</v>
      </c>
      <c r="J155" s="131">
        <v>41640</v>
      </c>
      <c r="K155" s="131">
        <v>41671</v>
      </c>
      <c r="L155" s="131">
        <v>41699</v>
      </c>
      <c r="M155" s="131">
        <v>41730</v>
      </c>
      <c r="N155" s="131">
        <v>41760</v>
      </c>
      <c r="O155" s="131">
        <v>41791</v>
      </c>
      <c r="P155" s="131">
        <v>41821</v>
      </c>
      <c r="Q155" s="151">
        <v>41852</v>
      </c>
      <c r="R155" s="131">
        <v>41896</v>
      </c>
      <c r="T155" s="133" t="s">
        <v>338</v>
      </c>
      <c r="U155" s="134" t="s">
        <v>339</v>
      </c>
      <c r="V155" s="132"/>
      <c r="W155" s="133" t="s">
        <v>338</v>
      </c>
      <c r="X155" s="134" t="s">
        <v>339</v>
      </c>
    </row>
    <row r="156" spans="1:26" s="157" customFormat="1" x14ac:dyDescent="0.25">
      <c r="A156" s="461"/>
      <c r="B156" s="135" t="s">
        <v>319</v>
      </c>
      <c r="C156" s="599"/>
      <c r="F156" s="136">
        <v>25488</v>
      </c>
      <c r="G156" s="136">
        <v>25792</v>
      </c>
      <c r="H156" s="136">
        <v>29122</v>
      </c>
      <c r="I156" s="136">
        <v>20458</v>
      </c>
      <c r="J156" s="136">
        <v>25362</v>
      </c>
      <c r="K156" s="136">
        <v>24858</v>
      </c>
      <c r="L156" s="136">
        <v>22332</v>
      </c>
      <c r="M156" s="136">
        <v>24797</v>
      </c>
      <c r="N156" s="136">
        <v>22117</v>
      </c>
      <c r="O156" s="136">
        <v>16522</v>
      </c>
      <c r="P156" s="136">
        <v>16664</v>
      </c>
      <c r="Q156" s="136">
        <v>24495</v>
      </c>
      <c r="T156" s="141">
        <f t="shared" ref="T156:T161" si="7">SUM(F156:Q156)</f>
        <v>278007</v>
      </c>
      <c r="U156" s="188" t="s">
        <v>341</v>
      </c>
      <c r="W156" s="140">
        <f>T156*3413/1000000</f>
        <v>948.83789100000001</v>
      </c>
      <c r="X156" s="138" t="s">
        <v>342</v>
      </c>
    </row>
    <row r="157" spans="1:26" s="157" customFormat="1" x14ac:dyDescent="0.25">
      <c r="A157" s="461"/>
      <c r="B157" s="135" t="s">
        <v>320</v>
      </c>
      <c r="C157" s="599"/>
      <c r="F157" s="137">
        <v>18660</v>
      </c>
      <c r="G157" s="137">
        <v>42650</v>
      </c>
      <c r="H157" s="137">
        <v>178400</v>
      </c>
      <c r="I157" s="136">
        <v>222330</v>
      </c>
      <c r="J157" s="136">
        <v>307240</v>
      </c>
      <c r="K157" s="136">
        <v>214670</v>
      </c>
      <c r="L157" s="136">
        <v>187860</v>
      </c>
      <c r="M157" s="136">
        <v>5500</v>
      </c>
      <c r="N157" s="136">
        <v>1200</v>
      </c>
      <c r="O157" s="136">
        <v>800</v>
      </c>
      <c r="P157" s="136">
        <v>7670</v>
      </c>
      <c r="Q157" s="136">
        <v>17550</v>
      </c>
      <c r="T157" s="141">
        <f t="shared" si="7"/>
        <v>1204530</v>
      </c>
      <c r="U157" s="188" t="s">
        <v>344</v>
      </c>
      <c r="W157" s="160">
        <f>T157/1000</f>
        <v>1204.53</v>
      </c>
      <c r="X157" s="138" t="s">
        <v>342</v>
      </c>
    </row>
    <row r="158" spans="1:26" s="157" customFormat="1" x14ac:dyDescent="0.25">
      <c r="A158" s="461"/>
      <c r="B158" s="192" t="s">
        <v>323</v>
      </c>
      <c r="C158" s="599"/>
      <c r="F158" s="141">
        <v>15106</v>
      </c>
      <c r="G158" s="141">
        <v>12124</v>
      </c>
      <c r="H158" s="141">
        <v>9249</v>
      </c>
      <c r="I158" s="141">
        <v>6692</v>
      </c>
      <c r="J158" s="141">
        <v>4295</v>
      </c>
      <c r="K158" s="141">
        <v>6190</v>
      </c>
      <c r="L158" s="141">
        <v>6354</v>
      </c>
      <c r="M158" s="141">
        <v>11830</v>
      </c>
      <c r="N158" s="141">
        <v>13283</v>
      </c>
      <c r="O158" s="141">
        <v>15463</v>
      </c>
      <c r="P158" s="141">
        <v>15205</v>
      </c>
      <c r="Q158" s="141">
        <v>20417</v>
      </c>
      <c r="T158" s="141">
        <f t="shared" si="7"/>
        <v>136208</v>
      </c>
      <c r="U158" s="188" t="s">
        <v>397</v>
      </c>
      <c r="W158" s="160">
        <f>T158*0.012</f>
        <v>1634.4960000000001</v>
      </c>
      <c r="X158" s="138" t="s">
        <v>342</v>
      </c>
      <c r="Y158" s="495">
        <f>W156+W157+W158</f>
        <v>3787.863891</v>
      </c>
      <c r="Z158" s="153" t="s">
        <v>677</v>
      </c>
    </row>
    <row r="159" spans="1:26" s="157" customFormat="1" x14ac:dyDescent="0.25">
      <c r="A159" s="461"/>
      <c r="B159" s="135" t="s">
        <v>345</v>
      </c>
      <c r="C159" s="599"/>
      <c r="F159" s="141">
        <v>57400</v>
      </c>
      <c r="G159" s="141">
        <v>53500</v>
      </c>
      <c r="H159" s="141">
        <v>58100</v>
      </c>
      <c r="I159" s="141">
        <v>18100</v>
      </c>
      <c r="J159" s="141">
        <v>48000</v>
      </c>
      <c r="K159" s="141">
        <v>52700</v>
      </c>
      <c r="L159" s="141">
        <v>42600</v>
      </c>
      <c r="M159" s="141">
        <v>56500</v>
      </c>
      <c r="N159" s="141">
        <v>15100</v>
      </c>
      <c r="O159" s="141">
        <v>1100</v>
      </c>
      <c r="P159" s="141">
        <v>2000</v>
      </c>
      <c r="Q159" s="141">
        <v>38200</v>
      </c>
      <c r="T159" s="141">
        <f t="shared" si="7"/>
        <v>443300</v>
      </c>
      <c r="U159" s="188" t="s">
        <v>346</v>
      </c>
      <c r="W159" s="141">
        <f>T159</f>
        <v>443300</v>
      </c>
      <c r="X159" s="188" t="s">
        <v>346</v>
      </c>
    </row>
    <row r="160" spans="1:26" s="157" customFormat="1" x14ac:dyDescent="0.25">
      <c r="A160" s="461"/>
      <c r="B160" s="135" t="s">
        <v>324</v>
      </c>
      <c r="C160" s="599"/>
      <c r="F160" s="142">
        <v>1812.96</v>
      </c>
      <c r="G160" s="142">
        <v>1643.3</v>
      </c>
      <c r="H160" s="142">
        <v>1756.17</v>
      </c>
      <c r="I160" s="142">
        <v>1277.3800000000001</v>
      </c>
      <c r="J160" s="142">
        <v>1552.46</v>
      </c>
      <c r="K160" s="142">
        <v>1489.65</v>
      </c>
      <c r="L160" s="142">
        <v>1393.76</v>
      </c>
      <c r="M160" s="142">
        <v>1470.95</v>
      </c>
      <c r="N160" s="142">
        <v>1350.71</v>
      </c>
      <c r="O160" s="142">
        <v>1120.69</v>
      </c>
      <c r="P160" s="142">
        <v>1130.32</v>
      </c>
      <c r="Q160" s="142">
        <v>1661.49</v>
      </c>
      <c r="T160" s="171">
        <f t="shared" si="7"/>
        <v>17659.84</v>
      </c>
      <c r="U160" s="188"/>
      <c r="W160" s="190">
        <f>T160</f>
        <v>17659.84</v>
      </c>
      <c r="X160" s="188"/>
    </row>
    <row r="161" spans="1:26" s="157" customFormat="1" x14ac:dyDescent="0.25">
      <c r="A161" s="461"/>
      <c r="B161" s="204" t="s">
        <v>326</v>
      </c>
      <c r="C161" s="599"/>
      <c r="F161" s="196">
        <v>145.80000000000001</v>
      </c>
      <c r="G161" s="196">
        <v>333.26</v>
      </c>
      <c r="H161" s="196">
        <v>1393.98</v>
      </c>
      <c r="I161" s="196">
        <v>1737.26</v>
      </c>
      <c r="J161" s="196">
        <v>2400.7399999999998</v>
      </c>
      <c r="K161" s="196">
        <v>1677.41</v>
      </c>
      <c r="L161" s="196">
        <v>1467.92</v>
      </c>
      <c r="M161" s="196">
        <v>42.98</v>
      </c>
      <c r="N161" s="196">
        <v>9.3800000000000008</v>
      </c>
      <c r="O161" s="196">
        <v>6.25</v>
      </c>
      <c r="P161" s="196">
        <v>59.92</v>
      </c>
      <c r="Q161" s="196">
        <v>137.11000000000001</v>
      </c>
      <c r="T161" s="171">
        <f t="shared" si="7"/>
        <v>9412.0099999999984</v>
      </c>
      <c r="U161" s="188"/>
      <c r="W161" s="190">
        <f>T161</f>
        <v>9412.0099999999984</v>
      </c>
      <c r="X161" s="188"/>
    </row>
    <row r="162" spans="1:26" s="157" customFormat="1" ht="16.5" x14ac:dyDescent="0.35">
      <c r="A162" s="461"/>
      <c r="B162" s="195" t="s">
        <v>398</v>
      </c>
      <c r="C162" s="599"/>
      <c r="E162" s="599" t="s">
        <v>351</v>
      </c>
      <c r="F162" s="198"/>
      <c r="G162" s="198"/>
      <c r="H162" s="198"/>
      <c r="I162" s="198"/>
      <c r="J162" s="198"/>
      <c r="K162" s="198"/>
      <c r="L162" s="198"/>
      <c r="M162" s="198"/>
      <c r="N162" s="198"/>
      <c r="O162" s="198"/>
      <c r="P162" s="198"/>
      <c r="Q162" s="198"/>
      <c r="T162" s="171">
        <f>SUM(G162:Q162)</f>
        <v>0</v>
      </c>
      <c r="U162" s="188"/>
      <c r="W162" s="197">
        <f>T162</f>
        <v>0</v>
      </c>
      <c r="X162" s="188"/>
    </row>
    <row r="163" spans="1:26" s="125" customFormat="1" x14ac:dyDescent="0.25">
      <c r="A163" s="461"/>
      <c r="C163" s="599"/>
      <c r="D163" s="157"/>
      <c r="E163" s="446" t="s">
        <v>351</v>
      </c>
      <c r="F163" s="600" t="s">
        <v>744</v>
      </c>
      <c r="G163" s="446"/>
      <c r="H163" s="446"/>
      <c r="I163" s="446"/>
      <c r="J163" s="446"/>
      <c r="K163" s="446"/>
      <c r="L163" s="446"/>
      <c r="M163" s="446"/>
      <c r="N163" s="446"/>
      <c r="O163" s="446"/>
      <c r="P163" s="446"/>
      <c r="Q163" s="194"/>
      <c r="R163" s="157"/>
      <c r="S163" s="157"/>
      <c r="T163" s="184"/>
      <c r="U163" s="199"/>
      <c r="V163" s="157"/>
      <c r="W163" s="190">
        <f>SUM(W160:W162)</f>
        <v>27071.85</v>
      </c>
      <c r="X163" s="188"/>
      <c r="Y163" s="157"/>
      <c r="Z163" s="157"/>
    </row>
    <row r="164" spans="1:26" s="125" customFormat="1" x14ac:dyDescent="0.25">
      <c r="A164" s="461"/>
      <c r="C164" s="152"/>
      <c r="S164" s="126"/>
      <c r="U164" s="447"/>
      <c r="V164" s="126"/>
      <c r="Y164" s="157"/>
      <c r="Z164" s="157"/>
    </row>
    <row r="165" spans="1:26" s="125" customFormat="1" x14ac:dyDescent="0.25">
      <c r="A165" s="461">
        <v>17</v>
      </c>
      <c r="B165" s="148" t="s">
        <v>562</v>
      </c>
      <c r="C165" s="152"/>
      <c r="S165" s="126"/>
      <c r="T165" s="148" t="s">
        <v>562</v>
      </c>
      <c r="V165" s="126"/>
      <c r="Y165" s="157"/>
      <c r="Z165" s="157"/>
    </row>
    <row r="166" spans="1:26" s="157" customFormat="1" x14ac:dyDescent="0.25">
      <c r="A166" s="461"/>
      <c r="B166" s="130" t="s">
        <v>337</v>
      </c>
      <c r="C166" s="186" t="s">
        <v>392</v>
      </c>
      <c r="D166" s="131">
        <v>41456</v>
      </c>
      <c r="E166" s="131">
        <v>41487</v>
      </c>
      <c r="F166" s="131">
        <v>41518</v>
      </c>
      <c r="G166" s="131">
        <v>41548</v>
      </c>
      <c r="H166" s="131">
        <v>41579</v>
      </c>
      <c r="I166" s="131">
        <v>41609</v>
      </c>
      <c r="J166" s="131">
        <v>41640</v>
      </c>
      <c r="K166" s="131">
        <v>41671</v>
      </c>
      <c r="L166" s="131">
        <v>41699</v>
      </c>
      <c r="M166" s="131">
        <v>41730</v>
      </c>
      <c r="N166" s="131">
        <v>41760</v>
      </c>
      <c r="O166" s="131">
        <v>41791</v>
      </c>
      <c r="P166" s="131">
        <v>41821</v>
      </c>
      <c r="Q166" s="151">
        <v>41852</v>
      </c>
      <c r="R166" s="131">
        <v>41896</v>
      </c>
      <c r="T166" s="133" t="s">
        <v>338</v>
      </c>
      <c r="U166" s="134" t="s">
        <v>339</v>
      </c>
      <c r="V166" s="132"/>
      <c r="W166" s="133" t="s">
        <v>338</v>
      </c>
      <c r="X166" s="134" t="s">
        <v>339</v>
      </c>
    </row>
    <row r="167" spans="1:26" s="157" customFormat="1" x14ac:dyDescent="0.25">
      <c r="A167" s="461"/>
      <c r="B167" s="135" t="s">
        <v>319</v>
      </c>
      <c r="C167" s="599"/>
      <c r="F167" s="136">
        <v>25748</v>
      </c>
      <c r="G167" s="136">
        <v>25583</v>
      </c>
      <c r="H167" s="136">
        <v>28483</v>
      </c>
      <c r="I167" s="136">
        <v>20273</v>
      </c>
      <c r="J167" s="136">
        <v>24384</v>
      </c>
      <c r="K167" s="136">
        <v>24093</v>
      </c>
      <c r="L167" s="136">
        <v>21685</v>
      </c>
      <c r="M167" s="136">
        <v>25360</v>
      </c>
      <c r="N167" s="136">
        <v>22439</v>
      </c>
      <c r="O167" s="136">
        <v>17547</v>
      </c>
      <c r="P167" s="136">
        <v>17041</v>
      </c>
      <c r="Q167" s="136">
        <v>24553</v>
      </c>
      <c r="T167" s="141">
        <f t="shared" ref="T167:T172" si="8">SUM(F167:Q167)</f>
        <v>277189</v>
      </c>
      <c r="U167" s="188" t="s">
        <v>341</v>
      </c>
      <c r="W167" s="140">
        <f>T167*3413/1000000</f>
        <v>946.04605700000002</v>
      </c>
      <c r="X167" s="138" t="s">
        <v>342</v>
      </c>
    </row>
    <row r="168" spans="1:26" s="157" customFormat="1" x14ac:dyDescent="0.25">
      <c r="A168" s="461"/>
      <c r="B168" s="135" t="s">
        <v>320</v>
      </c>
      <c r="C168" s="599"/>
      <c r="F168" s="100">
        <v>19220</v>
      </c>
      <c r="G168" s="100">
        <v>74170</v>
      </c>
      <c r="H168" s="100">
        <v>101070</v>
      </c>
      <c r="I168" s="96">
        <v>164580</v>
      </c>
      <c r="J168" s="96">
        <v>79260</v>
      </c>
      <c r="K168" s="96">
        <v>27740</v>
      </c>
      <c r="L168" s="96">
        <v>21140</v>
      </c>
      <c r="M168" s="96">
        <v>17150</v>
      </c>
      <c r="N168" s="96">
        <v>6640</v>
      </c>
      <c r="O168" s="96">
        <v>3240</v>
      </c>
      <c r="P168" s="575">
        <v>3420</v>
      </c>
      <c r="Q168" s="575">
        <v>8350</v>
      </c>
      <c r="T168" s="141">
        <f t="shared" si="8"/>
        <v>525980</v>
      </c>
      <c r="U168" s="188" t="s">
        <v>344</v>
      </c>
      <c r="W168" s="160">
        <f>T168/1000</f>
        <v>525.98</v>
      </c>
      <c r="X168" s="138" t="s">
        <v>342</v>
      </c>
    </row>
    <row r="169" spans="1:26" s="157" customFormat="1" x14ac:dyDescent="0.25">
      <c r="A169" s="461"/>
      <c r="B169" s="192" t="s">
        <v>323</v>
      </c>
      <c r="C169" s="599"/>
      <c r="F169" s="141">
        <v>15498</v>
      </c>
      <c r="G169" s="141">
        <v>4827</v>
      </c>
      <c r="H169" s="141">
        <v>1746</v>
      </c>
      <c r="I169" s="141">
        <v>2355</v>
      </c>
      <c r="J169" s="141">
        <v>1761</v>
      </c>
      <c r="K169" s="141">
        <v>1185</v>
      </c>
      <c r="L169" s="141">
        <v>1361</v>
      </c>
      <c r="M169" s="141">
        <v>4590</v>
      </c>
      <c r="N169" s="141">
        <v>10241</v>
      </c>
      <c r="O169" s="141">
        <v>14216</v>
      </c>
      <c r="P169" s="141">
        <v>13854</v>
      </c>
      <c r="Q169" s="141">
        <v>18369</v>
      </c>
      <c r="T169" s="141">
        <f t="shared" si="8"/>
        <v>90003</v>
      </c>
      <c r="U169" s="188" t="s">
        <v>397</v>
      </c>
      <c r="W169" s="193">
        <f>T169*0.012</f>
        <v>1080.0360000000001</v>
      </c>
      <c r="X169" s="138" t="s">
        <v>342</v>
      </c>
      <c r="Y169" s="495">
        <f>W167+W168+W169</f>
        <v>2552.0620570000001</v>
      </c>
      <c r="Z169" s="153" t="s">
        <v>677</v>
      </c>
    </row>
    <row r="170" spans="1:26" s="157" customFormat="1" x14ac:dyDescent="0.25">
      <c r="A170" s="461"/>
      <c r="B170" s="135" t="s">
        <v>345</v>
      </c>
      <c r="C170" s="599"/>
      <c r="F170" s="141">
        <v>56300</v>
      </c>
      <c r="G170" s="141">
        <v>54600</v>
      </c>
      <c r="H170" s="141">
        <v>60100</v>
      </c>
      <c r="I170" s="141">
        <v>15500</v>
      </c>
      <c r="J170" s="141">
        <v>39800</v>
      </c>
      <c r="K170" s="141">
        <v>45400</v>
      </c>
      <c r="L170" s="141">
        <v>36400</v>
      </c>
      <c r="M170" s="141">
        <v>46400</v>
      </c>
      <c r="N170" s="141">
        <v>11400</v>
      </c>
      <c r="O170" s="141">
        <v>300</v>
      </c>
      <c r="P170" s="141">
        <v>2500</v>
      </c>
      <c r="Q170" s="141">
        <v>39200</v>
      </c>
      <c r="T170" s="141">
        <f t="shared" si="8"/>
        <v>407900</v>
      </c>
      <c r="U170" s="188" t="s">
        <v>346</v>
      </c>
      <c r="W170" s="141">
        <f>T170</f>
        <v>407900</v>
      </c>
      <c r="X170" s="188" t="s">
        <v>346</v>
      </c>
    </row>
    <row r="171" spans="1:26" s="157" customFormat="1" x14ac:dyDescent="0.25">
      <c r="A171" s="461"/>
      <c r="B171" s="135" t="s">
        <v>324</v>
      </c>
      <c r="C171" s="599"/>
      <c r="F171" s="142">
        <v>1831.46</v>
      </c>
      <c r="G171" s="142">
        <v>1629.99</v>
      </c>
      <c r="H171" s="142">
        <v>1717.64</v>
      </c>
      <c r="I171" s="142">
        <v>1265.83</v>
      </c>
      <c r="J171" s="142">
        <v>1492.59</v>
      </c>
      <c r="K171" s="142">
        <v>1443.8</v>
      </c>
      <c r="L171" s="142">
        <v>1353.38</v>
      </c>
      <c r="M171" s="142">
        <v>1504.35</v>
      </c>
      <c r="N171" s="142">
        <v>1370.38</v>
      </c>
      <c r="O171" s="142">
        <v>1190.22</v>
      </c>
      <c r="P171" s="142">
        <v>1155.8900000000001</v>
      </c>
      <c r="Q171" s="142">
        <v>1665.43</v>
      </c>
      <c r="T171" s="171">
        <f t="shared" si="8"/>
        <v>17620.959999999995</v>
      </c>
      <c r="U171" s="188"/>
      <c r="W171" s="190">
        <f>T171</f>
        <v>17620.959999999995</v>
      </c>
      <c r="X171" s="188"/>
    </row>
    <row r="172" spans="1:26" s="157" customFormat="1" x14ac:dyDescent="0.25">
      <c r="A172" s="461"/>
      <c r="B172" s="204" t="s">
        <v>326</v>
      </c>
      <c r="C172" s="599"/>
      <c r="F172" s="196">
        <v>150.18</v>
      </c>
      <c r="G172" s="196">
        <v>579.55999999999995</v>
      </c>
      <c r="H172" s="196">
        <v>789.75</v>
      </c>
      <c r="I172" s="196">
        <v>1286.02</v>
      </c>
      <c r="J172" s="196">
        <v>619.33000000000004</v>
      </c>
      <c r="K172" s="196">
        <v>216.75</v>
      </c>
      <c r="L172" s="196">
        <v>165.18</v>
      </c>
      <c r="M172" s="196">
        <v>134</v>
      </c>
      <c r="N172" s="196">
        <v>51.88</v>
      </c>
      <c r="O172" s="196">
        <v>25.32</v>
      </c>
      <c r="P172" s="196">
        <v>26.72</v>
      </c>
      <c r="Q172" s="196">
        <v>65.239999999999995</v>
      </c>
      <c r="T172" s="171">
        <f t="shared" si="8"/>
        <v>4109.93</v>
      </c>
      <c r="U172" s="188"/>
      <c r="W172" s="190">
        <f>T172</f>
        <v>4109.93</v>
      </c>
      <c r="X172" s="188"/>
    </row>
    <row r="173" spans="1:26" s="157" customFormat="1" ht="16.5" x14ac:dyDescent="0.35">
      <c r="A173" s="461"/>
      <c r="B173" s="195" t="s">
        <v>398</v>
      </c>
      <c r="C173" s="599"/>
      <c r="E173" s="599" t="s">
        <v>351</v>
      </c>
      <c r="F173" s="198"/>
      <c r="G173" s="198"/>
      <c r="H173" s="198"/>
      <c r="I173" s="198"/>
      <c r="J173" s="198"/>
      <c r="K173" s="198"/>
      <c r="L173" s="198"/>
      <c r="M173" s="198"/>
      <c r="N173" s="198"/>
      <c r="O173" s="198"/>
      <c r="P173" s="198"/>
      <c r="Q173" s="198"/>
      <c r="T173" s="171">
        <f>SUM(G173:Q173)</f>
        <v>0</v>
      </c>
      <c r="U173" s="188"/>
      <c r="W173" s="197">
        <f>T173</f>
        <v>0</v>
      </c>
      <c r="X173" s="188"/>
    </row>
    <row r="174" spans="1:26" s="125" customFormat="1" x14ac:dyDescent="0.25">
      <c r="A174" s="461"/>
      <c r="B174" s="205"/>
      <c r="C174" s="599"/>
      <c r="D174" s="157"/>
      <c r="E174" s="446" t="s">
        <v>351</v>
      </c>
      <c r="F174" s="600" t="s">
        <v>744</v>
      </c>
      <c r="G174" s="446"/>
      <c r="H174" s="446"/>
      <c r="I174" s="446"/>
      <c r="J174" s="446"/>
      <c r="K174" s="446"/>
      <c r="L174" s="446"/>
      <c r="M174" s="446"/>
      <c r="N174" s="446"/>
      <c r="O174" s="446"/>
      <c r="P174" s="446"/>
      <c r="Q174" s="194"/>
      <c r="R174" s="157"/>
      <c r="S174" s="157"/>
      <c r="T174" s="184"/>
      <c r="U174" s="199"/>
      <c r="V174" s="157"/>
      <c r="W174" s="190">
        <f>SUM(W171:W173)</f>
        <v>21730.889999999996</v>
      </c>
      <c r="X174" s="188"/>
      <c r="Y174" s="157"/>
      <c r="Z174" s="157"/>
    </row>
    <row r="175" spans="1:26" s="125" customFormat="1" x14ac:dyDescent="0.25">
      <c r="A175" s="461"/>
      <c r="B175" s="205"/>
      <c r="C175" s="152"/>
      <c r="E175" s="201"/>
      <c r="F175" s="202"/>
      <c r="G175" s="202"/>
      <c r="H175" s="203"/>
      <c r="I175" s="203"/>
      <c r="J175" s="203"/>
      <c r="K175" s="203"/>
      <c r="L175" s="203"/>
      <c r="M175" s="203"/>
      <c r="N175" s="203"/>
      <c r="O175" s="203"/>
      <c r="P175" s="203"/>
      <c r="S175" s="126"/>
      <c r="U175" s="447"/>
      <c r="V175" s="126"/>
      <c r="Y175" s="157"/>
      <c r="Z175" s="157"/>
    </row>
    <row r="176" spans="1:26" s="125" customFormat="1" x14ac:dyDescent="0.25">
      <c r="A176" s="461">
        <v>18</v>
      </c>
      <c r="B176" s="148" t="s">
        <v>563</v>
      </c>
      <c r="C176" s="152"/>
      <c r="E176" s="157"/>
      <c r="F176" s="157"/>
      <c r="G176" s="157"/>
      <c r="H176" s="157"/>
      <c r="I176" s="157"/>
      <c r="J176" s="157"/>
      <c r="K176" s="157"/>
      <c r="L176" s="157"/>
      <c r="M176" s="157"/>
      <c r="N176" s="157"/>
      <c r="O176" s="157"/>
      <c r="P176" s="157"/>
      <c r="S176" s="126"/>
      <c r="T176" s="148" t="s">
        <v>563</v>
      </c>
      <c r="V176" s="126"/>
      <c r="Y176" s="157"/>
      <c r="Z176" s="157"/>
    </row>
    <row r="177" spans="1:26" s="157" customFormat="1" x14ac:dyDescent="0.25">
      <c r="A177" s="461"/>
      <c r="B177" s="130" t="s">
        <v>337</v>
      </c>
      <c r="C177" s="186" t="s">
        <v>392</v>
      </c>
      <c r="D177" s="131">
        <v>41456</v>
      </c>
      <c r="E177" s="131">
        <v>41487</v>
      </c>
      <c r="F177" s="131">
        <v>41518</v>
      </c>
      <c r="G177" s="131">
        <v>41548</v>
      </c>
      <c r="H177" s="131">
        <v>41579</v>
      </c>
      <c r="I177" s="131">
        <v>41609</v>
      </c>
      <c r="J177" s="131">
        <v>41640</v>
      </c>
      <c r="K177" s="131">
        <v>41671</v>
      </c>
      <c r="L177" s="131">
        <v>41699</v>
      </c>
      <c r="M177" s="131">
        <v>41730</v>
      </c>
      <c r="N177" s="131">
        <v>41760</v>
      </c>
      <c r="O177" s="131">
        <v>41791</v>
      </c>
      <c r="P177" s="131">
        <v>41821</v>
      </c>
      <c r="Q177" s="151">
        <v>41852</v>
      </c>
      <c r="R177" s="131">
        <v>41896</v>
      </c>
      <c r="T177" s="133" t="s">
        <v>338</v>
      </c>
      <c r="U177" s="134" t="s">
        <v>339</v>
      </c>
      <c r="V177" s="132"/>
      <c r="W177" s="133" t="s">
        <v>338</v>
      </c>
      <c r="X177" s="134" t="s">
        <v>339</v>
      </c>
    </row>
    <row r="178" spans="1:26" s="157" customFormat="1" x14ac:dyDescent="0.25">
      <c r="A178" s="461"/>
      <c r="B178" s="135" t="s">
        <v>319</v>
      </c>
      <c r="C178" s="599"/>
      <c r="F178" s="136">
        <v>28712</v>
      </c>
      <c r="G178" s="136">
        <v>29511</v>
      </c>
      <c r="H178" s="136">
        <v>33257</v>
      </c>
      <c r="I178" s="136">
        <v>24327</v>
      </c>
      <c r="J178" s="136">
        <v>30170</v>
      </c>
      <c r="K178" s="136">
        <v>27805</v>
      </c>
      <c r="L178" s="136">
        <v>25465</v>
      </c>
      <c r="M178" s="136">
        <v>29541</v>
      </c>
      <c r="N178" s="136">
        <v>25832</v>
      </c>
      <c r="O178" s="136">
        <v>21021</v>
      </c>
      <c r="P178" s="136">
        <v>20853</v>
      </c>
      <c r="Q178" s="136">
        <v>31432</v>
      </c>
      <c r="T178" s="141">
        <f t="shared" ref="T178:T183" si="9">SUM(F178:Q178)</f>
        <v>327926</v>
      </c>
      <c r="U178" s="188" t="s">
        <v>341</v>
      </c>
      <c r="W178" s="140">
        <f>T178*3413/1000000</f>
        <v>1119.211438</v>
      </c>
      <c r="X178" s="138" t="s">
        <v>342</v>
      </c>
    </row>
    <row r="179" spans="1:26" s="157" customFormat="1" x14ac:dyDescent="0.25">
      <c r="A179" s="461"/>
      <c r="B179" s="135" t="s">
        <v>320</v>
      </c>
      <c r="C179" s="599"/>
      <c r="F179" s="137">
        <v>16160</v>
      </c>
      <c r="G179" s="137">
        <v>19220</v>
      </c>
      <c r="H179" s="137">
        <v>74170</v>
      </c>
      <c r="I179" s="136">
        <v>101070</v>
      </c>
      <c r="J179" s="136">
        <v>164580</v>
      </c>
      <c r="K179" s="136">
        <v>93920</v>
      </c>
      <c r="L179" s="136">
        <v>79260</v>
      </c>
      <c r="M179" s="136">
        <v>21760</v>
      </c>
      <c r="N179" s="136">
        <v>18500</v>
      </c>
      <c r="O179" s="136">
        <v>7260</v>
      </c>
      <c r="P179" s="136">
        <v>7050</v>
      </c>
      <c r="Q179" s="136">
        <v>16160</v>
      </c>
      <c r="T179" s="141">
        <f t="shared" si="9"/>
        <v>619110</v>
      </c>
      <c r="U179" s="188" t="s">
        <v>344</v>
      </c>
      <c r="W179" s="160">
        <f>T179/1000</f>
        <v>619.11</v>
      </c>
      <c r="X179" s="138" t="s">
        <v>342</v>
      </c>
    </row>
    <row r="180" spans="1:26" s="157" customFormat="1" x14ac:dyDescent="0.25">
      <c r="A180" s="461"/>
      <c r="B180" s="192" t="s">
        <v>323</v>
      </c>
      <c r="C180" s="599"/>
      <c r="F180" s="141">
        <v>20812</v>
      </c>
      <c r="G180" s="141">
        <v>13519</v>
      </c>
      <c r="H180" s="141">
        <v>8387</v>
      </c>
      <c r="I180" s="141">
        <v>7243</v>
      </c>
      <c r="J180" s="141">
        <v>4389</v>
      </c>
      <c r="K180" s="141">
        <v>5121</v>
      </c>
      <c r="L180" s="141">
        <v>5517</v>
      </c>
      <c r="M180" s="141">
        <v>10705</v>
      </c>
      <c r="N180" s="141">
        <v>14355</v>
      </c>
      <c r="O180" s="141">
        <v>17665</v>
      </c>
      <c r="P180" s="141">
        <v>17243</v>
      </c>
      <c r="Q180" s="141">
        <v>24184</v>
      </c>
      <c r="T180" s="141">
        <f t="shared" si="9"/>
        <v>149140</v>
      </c>
      <c r="U180" s="188" t="s">
        <v>397</v>
      </c>
      <c r="W180" s="193">
        <f>T180*0.012</f>
        <v>1789.68</v>
      </c>
      <c r="X180" s="138" t="s">
        <v>342</v>
      </c>
      <c r="Y180" s="495">
        <f>W178+W179+W180</f>
        <v>3528.0014380000002</v>
      </c>
      <c r="Z180" s="153" t="s">
        <v>677</v>
      </c>
    </row>
    <row r="181" spans="1:26" s="157" customFormat="1" x14ac:dyDescent="0.25">
      <c r="A181" s="461"/>
      <c r="B181" s="135" t="s">
        <v>345</v>
      </c>
      <c r="C181" s="599"/>
      <c r="F181" s="141">
        <v>45900</v>
      </c>
      <c r="G181" s="141">
        <v>43000</v>
      </c>
      <c r="H181" s="141">
        <v>45600</v>
      </c>
      <c r="I181" s="141">
        <v>11900</v>
      </c>
      <c r="J181" s="141">
        <v>42900</v>
      </c>
      <c r="K181" s="141">
        <v>44900</v>
      </c>
      <c r="L181" s="141">
        <v>38400</v>
      </c>
      <c r="M181" s="141">
        <v>48000</v>
      </c>
      <c r="N181" s="141">
        <v>14900</v>
      </c>
      <c r="O181" s="141">
        <v>2000</v>
      </c>
      <c r="P181" s="141">
        <v>2500</v>
      </c>
      <c r="Q181" s="141">
        <v>46000</v>
      </c>
      <c r="T181" s="141">
        <f t="shared" si="9"/>
        <v>386000</v>
      </c>
      <c r="U181" s="188" t="s">
        <v>346</v>
      </c>
      <c r="W181" s="141">
        <f>T181</f>
        <v>386000</v>
      </c>
      <c r="X181" s="188" t="s">
        <v>346</v>
      </c>
    </row>
    <row r="182" spans="1:26" s="157" customFormat="1" x14ac:dyDescent="0.25">
      <c r="A182" s="461"/>
      <c r="B182" s="135" t="s">
        <v>324</v>
      </c>
      <c r="C182" s="599"/>
      <c r="F182" s="142">
        <v>2042.29</v>
      </c>
      <c r="G182" s="142">
        <v>1880.26</v>
      </c>
      <c r="H182" s="142">
        <v>2005.53</v>
      </c>
      <c r="I182" s="142">
        <v>1518.96</v>
      </c>
      <c r="J182" s="142">
        <v>1846.76</v>
      </c>
      <c r="K182" s="142">
        <v>16666.25</v>
      </c>
      <c r="L182" s="142">
        <v>1589.3</v>
      </c>
      <c r="M182" s="142">
        <v>1752.37</v>
      </c>
      <c r="N182" s="142">
        <v>1577.59</v>
      </c>
      <c r="O182" s="142">
        <v>1425.86</v>
      </c>
      <c r="P182" s="142">
        <v>1414.46</v>
      </c>
      <c r="Q182" s="142">
        <v>2132.3000000000002</v>
      </c>
      <c r="T182" s="171">
        <f t="shared" si="9"/>
        <v>35851.93</v>
      </c>
      <c r="U182" s="188"/>
      <c r="W182" s="190">
        <f>T182</f>
        <v>35851.93</v>
      </c>
      <c r="X182" s="188"/>
    </row>
    <row r="183" spans="1:26" s="157" customFormat="1" x14ac:dyDescent="0.25">
      <c r="A183" s="461"/>
      <c r="B183" s="204" t="s">
        <v>326</v>
      </c>
      <c r="C183" s="599"/>
      <c r="F183" s="196">
        <v>126.27</v>
      </c>
      <c r="G183" s="196">
        <v>150.18</v>
      </c>
      <c r="H183" s="196">
        <v>579.55999999999995</v>
      </c>
      <c r="I183" s="196">
        <v>789.75</v>
      </c>
      <c r="J183" s="196">
        <v>1286.02</v>
      </c>
      <c r="K183" s="196">
        <v>733.88</v>
      </c>
      <c r="L183" s="196">
        <v>619.33000000000004</v>
      </c>
      <c r="M183" s="196">
        <v>170.02</v>
      </c>
      <c r="N183" s="196">
        <v>144.55000000000001</v>
      </c>
      <c r="O183" s="196">
        <v>56.73</v>
      </c>
      <c r="P183" s="196">
        <v>55.08</v>
      </c>
      <c r="Q183" s="196">
        <v>126.25</v>
      </c>
      <c r="T183" s="171">
        <f t="shared" si="9"/>
        <v>4837.62</v>
      </c>
      <c r="U183" s="188"/>
      <c r="W183" s="190">
        <f>T183</f>
        <v>4837.62</v>
      </c>
      <c r="X183" s="188"/>
    </row>
    <row r="184" spans="1:26" s="157" customFormat="1" ht="16.5" x14ac:dyDescent="0.35">
      <c r="A184" s="461"/>
      <c r="B184" s="195" t="s">
        <v>398</v>
      </c>
      <c r="C184" s="599"/>
      <c r="E184" s="599" t="s">
        <v>351</v>
      </c>
      <c r="F184" s="198"/>
      <c r="G184" s="198"/>
      <c r="H184" s="198"/>
      <c r="I184" s="198"/>
      <c r="J184" s="198"/>
      <c r="K184" s="198"/>
      <c r="L184" s="198"/>
      <c r="M184" s="198"/>
      <c r="N184" s="198"/>
      <c r="O184" s="198"/>
      <c r="P184" s="198"/>
      <c r="Q184" s="198"/>
      <c r="T184" s="171">
        <f>SUM(G184:Q184)</f>
        <v>0</v>
      </c>
      <c r="U184" s="188"/>
      <c r="W184" s="197">
        <f>T184</f>
        <v>0</v>
      </c>
      <c r="X184" s="188"/>
    </row>
    <row r="185" spans="1:26" s="125" customFormat="1" x14ac:dyDescent="0.25">
      <c r="A185" s="461"/>
      <c r="B185" s="205"/>
      <c r="C185" s="599"/>
      <c r="D185" s="157"/>
      <c r="E185" s="446" t="s">
        <v>351</v>
      </c>
      <c r="F185" s="600" t="s">
        <v>744</v>
      </c>
      <c r="G185" s="446"/>
      <c r="H185" s="446"/>
      <c r="I185" s="446"/>
      <c r="J185" s="446"/>
      <c r="K185" s="446"/>
      <c r="L185" s="446"/>
      <c r="M185" s="446"/>
      <c r="N185" s="446"/>
      <c r="O185" s="446"/>
      <c r="P185" s="446"/>
      <c r="Q185" s="194"/>
      <c r="R185" s="157"/>
      <c r="S185" s="157"/>
      <c r="T185" s="184"/>
      <c r="U185" s="199"/>
      <c r="V185" s="157"/>
      <c r="W185" s="190">
        <f>SUM(W182:W184)</f>
        <v>40689.550000000003</v>
      </c>
      <c r="X185" s="188"/>
      <c r="Y185" s="157"/>
      <c r="Z185" s="157"/>
    </row>
    <row r="186" spans="1:26" s="125" customFormat="1" x14ac:dyDescent="0.25">
      <c r="A186" s="461"/>
      <c r="B186" s="205"/>
      <c r="C186" s="152"/>
      <c r="E186" s="201"/>
      <c r="F186" s="206"/>
      <c r="G186" s="202"/>
      <c r="H186" s="203"/>
      <c r="I186" s="203"/>
      <c r="J186" s="203"/>
      <c r="K186" s="203"/>
      <c r="L186" s="203"/>
      <c r="M186" s="203"/>
      <c r="N186" s="203"/>
      <c r="O186" s="203"/>
      <c r="P186" s="203"/>
      <c r="S186" s="126"/>
      <c r="U186" s="447"/>
      <c r="V186" s="126"/>
      <c r="Y186" s="157"/>
      <c r="Z186" s="157"/>
    </row>
    <row r="187" spans="1:26" s="125" customFormat="1" x14ac:dyDescent="0.25">
      <c r="A187" s="461">
        <v>19</v>
      </c>
      <c r="B187" s="148" t="s">
        <v>564</v>
      </c>
      <c r="C187" s="152"/>
      <c r="E187" s="157"/>
      <c r="F187" s="157"/>
      <c r="G187" s="157"/>
      <c r="H187" s="157"/>
      <c r="I187" s="157"/>
      <c r="J187" s="157"/>
      <c r="K187" s="157"/>
      <c r="L187" s="157"/>
      <c r="M187" s="157"/>
      <c r="N187" s="157"/>
      <c r="O187" s="157"/>
      <c r="P187" s="157"/>
      <c r="S187" s="126"/>
      <c r="T187" s="148" t="s">
        <v>564</v>
      </c>
      <c r="V187" s="126"/>
      <c r="Y187" s="157"/>
      <c r="Z187" s="157"/>
    </row>
    <row r="188" spans="1:26" s="157" customFormat="1" x14ac:dyDescent="0.25">
      <c r="A188" s="461"/>
      <c r="B188" s="130" t="s">
        <v>337</v>
      </c>
      <c r="C188" s="186" t="s">
        <v>392</v>
      </c>
      <c r="D188" s="131">
        <v>41456</v>
      </c>
      <c r="E188" s="131">
        <v>41487</v>
      </c>
      <c r="F188" s="131">
        <v>41518</v>
      </c>
      <c r="G188" s="131">
        <v>41548</v>
      </c>
      <c r="H188" s="131">
        <v>41579</v>
      </c>
      <c r="I188" s="131">
        <v>41609</v>
      </c>
      <c r="J188" s="131">
        <v>41640</v>
      </c>
      <c r="K188" s="131">
        <v>41671</v>
      </c>
      <c r="L188" s="131">
        <v>41699</v>
      </c>
      <c r="M188" s="131">
        <v>41730</v>
      </c>
      <c r="N188" s="131">
        <v>41760</v>
      </c>
      <c r="O188" s="131">
        <v>41791</v>
      </c>
      <c r="P188" s="131">
        <v>41821</v>
      </c>
      <c r="Q188" s="151">
        <v>41852</v>
      </c>
      <c r="R188" s="131">
        <v>41896</v>
      </c>
      <c r="T188" s="133" t="s">
        <v>338</v>
      </c>
      <c r="U188" s="134" t="s">
        <v>339</v>
      </c>
      <c r="V188" s="132"/>
      <c r="W188" s="133" t="s">
        <v>338</v>
      </c>
      <c r="X188" s="134" t="s">
        <v>339</v>
      </c>
    </row>
    <row r="189" spans="1:26" s="157" customFormat="1" x14ac:dyDescent="0.25">
      <c r="A189" s="461"/>
      <c r="B189" s="135" t="s">
        <v>319</v>
      </c>
      <c r="C189" s="599"/>
      <c r="F189" s="136">
        <v>25616</v>
      </c>
      <c r="G189" s="136">
        <v>25462</v>
      </c>
      <c r="H189" s="136">
        <v>28596</v>
      </c>
      <c r="I189" s="136">
        <v>20973</v>
      </c>
      <c r="J189" s="136">
        <v>26326</v>
      </c>
      <c r="K189" s="136">
        <v>25140</v>
      </c>
      <c r="L189" s="136">
        <v>22531</v>
      </c>
      <c r="M189" s="136">
        <v>26409</v>
      </c>
      <c r="N189" s="136">
        <v>21608</v>
      </c>
      <c r="O189" s="136">
        <v>17290</v>
      </c>
      <c r="P189" s="136">
        <v>16370</v>
      </c>
      <c r="Q189" s="136">
        <v>25698</v>
      </c>
      <c r="T189" s="141">
        <f t="shared" ref="T189:T194" si="10">SUM(F189:Q189)</f>
        <v>282019</v>
      </c>
      <c r="U189" s="188" t="s">
        <v>341</v>
      </c>
      <c r="W189" s="140">
        <f>T189*3413/1000000</f>
        <v>962.53084699999999</v>
      </c>
      <c r="X189" s="138" t="s">
        <v>342</v>
      </c>
    </row>
    <row r="190" spans="1:26" s="157" customFormat="1" x14ac:dyDescent="0.25">
      <c r="A190" s="461"/>
      <c r="B190" s="135" t="s">
        <v>320</v>
      </c>
      <c r="C190" s="599"/>
      <c r="F190" s="137">
        <v>14010</v>
      </c>
      <c r="G190" s="137">
        <v>19540</v>
      </c>
      <c r="H190" s="137">
        <v>26860</v>
      </c>
      <c r="I190" s="136">
        <v>30120</v>
      </c>
      <c r="J190" s="136">
        <v>152230</v>
      </c>
      <c r="K190" s="136">
        <v>106610</v>
      </c>
      <c r="L190" s="136">
        <v>54940</v>
      </c>
      <c r="M190" s="136">
        <v>9057</v>
      </c>
      <c r="N190" s="136">
        <v>7490</v>
      </c>
      <c r="O190" s="136">
        <v>4430</v>
      </c>
      <c r="P190" s="136">
        <v>4310</v>
      </c>
      <c r="Q190" s="136">
        <v>7090</v>
      </c>
      <c r="T190" s="141">
        <f t="shared" si="10"/>
        <v>436687</v>
      </c>
      <c r="U190" s="188" t="s">
        <v>344</v>
      </c>
      <c r="W190" s="160">
        <f>T190/1000</f>
        <v>436.68700000000001</v>
      </c>
      <c r="X190" s="138" t="s">
        <v>342</v>
      </c>
    </row>
    <row r="191" spans="1:26" s="157" customFormat="1" x14ac:dyDescent="0.25">
      <c r="A191" s="461"/>
      <c r="B191" s="192" t="s">
        <v>323</v>
      </c>
      <c r="C191" s="599"/>
      <c r="F191" s="141">
        <v>73070</v>
      </c>
      <c r="G191" s="141">
        <v>63360</v>
      </c>
      <c r="H191" s="141">
        <v>43080</v>
      </c>
      <c r="I191" s="141">
        <v>37670</v>
      </c>
      <c r="J191" s="141">
        <v>36410</v>
      </c>
      <c r="K191" s="141">
        <v>41780</v>
      </c>
      <c r="L191" s="141">
        <v>37230</v>
      </c>
      <c r="M191" s="141">
        <v>50260</v>
      </c>
      <c r="N191" s="141">
        <v>59920</v>
      </c>
      <c r="O191" s="141">
        <v>76220</v>
      </c>
      <c r="P191" s="141">
        <v>81520</v>
      </c>
      <c r="Q191" s="141">
        <v>90670</v>
      </c>
      <c r="T191" s="141">
        <f t="shared" si="10"/>
        <v>691190</v>
      </c>
      <c r="U191" s="188" t="s">
        <v>397</v>
      </c>
      <c r="W191" s="193">
        <f>T191*0.012</f>
        <v>8294.2800000000007</v>
      </c>
      <c r="X191" s="138" t="s">
        <v>342</v>
      </c>
      <c r="Y191" s="495">
        <f>W189+W190+W191</f>
        <v>9693.4978470000005</v>
      </c>
      <c r="Z191" s="153" t="s">
        <v>677</v>
      </c>
    </row>
    <row r="192" spans="1:26" s="157" customFormat="1" x14ac:dyDescent="0.25">
      <c r="A192" s="461"/>
      <c r="B192" s="135" t="s">
        <v>345</v>
      </c>
      <c r="C192" s="599"/>
      <c r="F192" s="141">
        <v>47100</v>
      </c>
      <c r="G192" s="141">
        <v>44600</v>
      </c>
      <c r="H192" s="141">
        <v>46200</v>
      </c>
      <c r="I192" s="141">
        <v>12500</v>
      </c>
      <c r="J192" s="141">
        <v>41300</v>
      </c>
      <c r="K192" s="141">
        <v>46600</v>
      </c>
      <c r="L192" s="141">
        <v>36500</v>
      </c>
      <c r="M192" s="141">
        <v>51000</v>
      </c>
      <c r="N192" s="141">
        <v>15100</v>
      </c>
      <c r="O192" s="141">
        <v>5000</v>
      </c>
      <c r="P192" s="141">
        <v>1830</v>
      </c>
      <c r="Q192" s="141">
        <v>43600</v>
      </c>
      <c r="T192" s="141">
        <f t="shared" si="10"/>
        <v>391330</v>
      </c>
      <c r="U192" s="188" t="s">
        <v>346</v>
      </c>
      <c r="W192" s="141">
        <f>T192</f>
        <v>391330</v>
      </c>
      <c r="X192" s="188" t="s">
        <v>346</v>
      </c>
    </row>
    <row r="193" spans="1:26" s="157" customFormat="1" x14ac:dyDescent="0.25">
      <c r="A193" s="461"/>
      <c r="B193" s="135" t="s">
        <v>324</v>
      </c>
      <c r="C193" s="599"/>
      <c r="F193" s="142">
        <v>1822.07</v>
      </c>
      <c r="G193" s="142">
        <v>1622.28</v>
      </c>
      <c r="H193" s="142">
        <v>1724.45</v>
      </c>
      <c r="I193" s="142">
        <v>1309.54</v>
      </c>
      <c r="J193" s="142">
        <v>1611.46</v>
      </c>
      <c r="K193" s="142">
        <v>1506.55</v>
      </c>
      <c r="L193" s="142">
        <v>1406.18</v>
      </c>
      <c r="M193" s="142">
        <v>1566.58</v>
      </c>
      <c r="N193" s="142">
        <v>1319.63</v>
      </c>
      <c r="O193" s="142">
        <v>1172.78</v>
      </c>
      <c r="P193" s="142">
        <v>1110.3699999999999</v>
      </c>
      <c r="Q193" s="142">
        <v>1743.09</v>
      </c>
      <c r="T193" s="171">
        <f t="shared" si="10"/>
        <v>17914.980000000003</v>
      </c>
      <c r="U193" s="188"/>
      <c r="W193" s="190">
        <f>T193</f>
        <v>17914.980000000003</v>
      </c>
      <c r="X193" s="188"/>
    </row>
    <row r="194" spans="1:26" s="157" customFormat="1" x14ac:dyDescent="0.25">
      <c r="A194" s="461"/>
      <c r="B194" s="204" t="s">
        <v>326</v>
      </c>
      <c r="C194" s="599"/>
      <c r="F194" s="196">
        <v>109.46</v>
      </c>
      <c r="G194" s="196">
        <v>152.68</v>
      </c>
      <c r="H194" s="196">
        <v>209.88</v>
      </c>
      <c r="I194" s="196">
        <v>235.35</v>
      </c>
      <c r="J194" s="196">
        <v>1189.51</v>
      </c>
      <c r="K194" s="196">
        <v>833.04</v>
      </c>
      <c r="L194" s="196">
        <v>110.12</v>
      </c>
      <c r="M194" s="196">
        <v>70.760000000000005</v>
      </c>
      <c r="N194" s="196">
        <v>58.52</v>
      </c>
      <c r="O194" s="196">
        <v>34.61</v>
      </c>
      <c r="P194" s="196">
        <v>33.67</v>
      </c>
      <c r="Q194" s="196">
        <v>55.39</v>
      </c>
      <c r="T194" s="171">
        <f t="shared" si="10"/>
        <v>3092.9900000000002</v>
      </c>
      <c r="U194" s="188"/>
      <c r="W194" s="190">
        <f>T194</f>
        <v>3092.9900000000002</v>
      </c>
      <c r="X194" s="188"/>
    </row>
    <row r="195" spans="1:26" s="157" customFormat="1" ht="16.5" x14ac:dyDescent="0.35">
      <c r="A195" s="461"/>
      <c r="B195" s="195" t="s">
        <v>398</v>
      </c>
      <c r="C195" s="599"/>
      <c r="F195" s="198"/>
      <c r="G195" s="198"/>
      <c r="H195" s="198"/>
      <c r="I195" s="198"/>
      <c r="J195" s="198"/>
      <c r="K195" s="198"/>
      <c r="L195" s="198"/>
      <c r="M195" s="198"/>
      <c r="N195" s="198"/>
      <c r="O195" s="198"/>
      <c r="P195" s="198"/>
      <c r="Q195" s="198"/>
      <c r="T195" s="171">
        <f>SUM(G195:Q195)</f>
        <v>0</v>
      </c>
      <c r="U195" s="188"/>
      <c r="W195" s="197">
        <f>T195</f>
        <v>0</v>
      </c>
      <c r="X195" s="188"/>
    </row>
    <row r="196" spans="1:26" s="125" customFormat="1" x14ac:dyDescent="0.25">
      <c r="A196" s="461"/>
      <c r="B196" s="205"/>
      <c r="C196" s="599"/>
      <c r="D196" s="157"/>
      <c r="E196" s="446"/>
      <c r="F196" s="446"/>
      <c r="G196" s="446"/>
      <c r="H196" s="446"/>
      <c r="I196" s="446"/>
      <c r="J196" s="446"/>
      <c r="K196" s="446"/>
      <c r="L196" s="446"/>
      <c r="M196" s="446"/>
      <c r="N196" s="446"/>
      <c r="O196" s="446"/>
      <c r="P196" s="446"/>
      <c r="Q196" s="194"/>
      <c r="R196" s="157"/>
      <c r="S196" s="157"/>
      <c r="T196" s="184"/>
      <c r="U196" s="199"/>
      <c r="V196" s="157"/>
      <c r="W196" s="190">
        <f>SUM(W193:W195)</f>
        <v>21007.970000000005</v>
      </c>
      <c r="X196" s="188"/>
      <c r="Y196" s="157"/>
      <c r="Z196" s="157"/>
    </row>
    <row r="197" spans="1:26" s="125" customFormat="1" x14ac:dyDescent="0.25">
      <c r="A197" s="461"/>
      <c r="B197" s="205"/>
      <c r="C197" s="152"/>
      <c r="E197" s="201"/>
      <c r="F197" s="206"/>
      <c r="G197" s="202"/>
      <c r="H197" s="203"/>
      <c r="I197" s="203"/>
      <c r="J197" s="203"/>
      <c r="K197" s="203"/>
      <c r="L197" s="203"/>
      <c r="M197" s="203"/>
      <c r="N197" s="203"/>
      <c r="O197" s="203"/>
      <c r="P197" s="203"/>
      <c r="S197" s="126"/>
      <c r="U197" s="447"/>
      <c r="V197" s="126"/>
      <c r="Y197" s="157"/>
      <c r="Z197" s="157"/>
    </row>
    <row r="198" spans="1:26" s="125" customFormat="1" x14ac:dyDescent="0.25">
      <c r="A198" s="461">
        <v>20</v>
      </c>
      <c r="B198" s="148" t="s">
        <v>565</v>
      </c>
      <c r="C198" s="152"/>
      <c r="E198" s="157"/>
      <c r="F198" s="157"/>
      <c r="G198" s="157"/>
      <c r="H198" s="157"/>
      <c r="I198" s="157"/>
      <c r="J198" s="157"/>
      <c r="K198" s="157"/>
      <c r="L198" s="157"/>
      <c r="M198" s="157"/>
      <c r="N198" s="157"/>
      <c r="O198" s="157"/>
      <c r="P198" s="157"/>
      <c r="S198" s="126"/>
      <c r="T198" s="148" t="s">
        <v>565</v>
      </c>
      <c r="V198" s="126"/>
      <c r="Y198" s="157"/>
      <c r="Z198" s="157"/>
    </row>
    <row r="199" spans="1:26" s="157" customFormat="1" x14ac:dyDescent="0.25">
      <c r="A199" s="461"/>
      <c r="B199" s="130" t="s">
        <v>337</v>
      </c>
      <c r="C199" s="186" t="s">
        <v>392</v>
      </c>
      <c r="D199" s="131">
        <v>41456</v>
      </c>
      <c r="E199" s="131">
        <v>41487</v>
      </c>
      <c r="F199" s="131">
        <v>41518</v>
      </c>
      <c r="G199" s="131">
        <v>41548</v>
      </c>
      <c r="H199" s="131">
        <v>41579</v>
      </c>
      <c r="I199" s="131">
        <v>41609</v>
      </c>
      <c r="J199" s="131">
        <v>41640</v>
      </c>
      <c r="K199" s="131">
        <v>41671</v>
      </c>
      <c r="L199" s="131">
        <v>41699</v>
      </c>
      <c r="M199" s="131">
        <v>41730</v>
      </c>
      <c r="N199" s="131">
        <v>41760</v>
      </c>
      <c r="O199" s="131">
        <v>41791</v>
      </c>
      <c r="P199" s="131">
        <v>41821</v>
      </c>
      <c r="Q199" s="151">
        <v>41852</v>
      </c>
      <c r="R199" s="131">
        <v>41896</v>
      </c>
      <c r="T199" s="133" t="s">
        <v>338</v>
      </c>
      <c r="U199" s="134" t="s">
        <v>339</v>
      </c>
      <c r="V199" s="132"/>
      <c r="W199" s="133" t="s">
        <v>338</v>
      </c>
      <c r="X199" s="134" t="s">
        <v>339</v>
      </c>
    </row>
    <row r="200" spans="1:26" s="157" customFormat="1" x14ac:dyDescent="0.25">
      <c r="A200" s="461"/>
      <c r="B200" s="135" t="s">
        <v>319</v>
      </c>
      <c r="C200" s="599"/>
      <c r="F200" s="136">
        <v>47115</v>
      </c>
      <c r="G200" s="136">
        <v>47333</v>
      </c>
      <c r="H200" s="136">
        <v>52848</v>
      </c>
      <c r="I200" s="136">
        <v>39962</v>
      </c>
      <c r="J200" s="136">
        <v>49214</v>
      </c>
      <c r="K200" s="136">
        <v>46143</v>
      </c>
      <c r="L200" s="136">
        <v>41387</v>
      </c>
      <c r="M200" s="136">
        <v>48781</v>
      </c>
      <c r="N200" s="136">
        <v>42948</v>
      </c>
      <c r="O200" s="136">
        <v>33373</v>
      </c>
      <c r="P200" s="136">
        <v>32432</v>
      </c>
      <c r="Q200" s="136">
        <v>44245</v>
      </c>
      <c r="T200" s="141">
        <f t="shared" ref="T200:T205" si="11">SUM(F200:Q200)</f>
        <v>525781</v>
      </c>
      <c r="U200" s="188" t="s">
        <v>341</v>
      </c>
      <c r="W200" s="140">
        <f>T200*3413/1000000</f>
        <v>1794.4905530000001</v>
      </c>
      <c r="X200" s="138" t="s">
        <v>342</v>
      </c>
    </row>
    <row r="201" spans="1:26" s="157" customFormat="1" x14ac:dyDescent="0.25">
      <c r="A201" s="461"/>
      <c r="B201" s="135" t="s">
        <v>320</v>
      </c>
      <c r="C201" s="599"/>
      <c r="F201" s="137">
        <v>53240</v>
      </c>
      <c r="G201" s="137">
        <v>164380</v>
      </c>
      <c r="H201" s="137">
        <v>704150</v>
      </c>
      <c r="I201" s="136">
        <v>751020</v>
      </c>
      <c r="J201" s="136">
        <v>1089140</v>
      </c>
      <c r="K201" s="136">
        <v>817570</v>
      </c>
      <c r="L201" s="136">
        <v>691630</v>
      </c>
      <c r="M201" s="136">
        <v>207770</v>
      </c>
      <c r="N201" s="136">
        <v>139600</v>
      </c>
      <c r="O201" s="136">
        <v>14660</v>
      </c>
      <c r="P201" s="136">
        <v>5440</v>
      </c>
      <c r="Q201" s="136">
        <v>12360</v>
      </c>
      <c r="T201" s="141">
        <f t="shared" si="11"/>
        <v>4650960</v>
      </c>
      <c r="U201" s="188" t="s">
        <v>344</v>
      </c>
      <c r="W201" s="160">
        <f>T201/1000</f>
        <v>4650.96</v>
      </c>
      <c r="X201" s="138" t="s">
        <v>342</v>
      </c>
    </row>
    <row r="202" spans="1:26" s="157" customFormat="1" x14ac:dyDescent="0.25">
      <c r="A202" s="461"/>
      <c r="B202" s="192" t="s">
        <v>323</v>
      </c>
      <c r="C202" s="599"/>
      <c r="F202" s="141">
        <v>39687</v>
      </c>
      <c r="G202" s="141">
        <v>36569</v>
      </c>
      <c r="H202" s="141">
        <v>33365</v>
      </c>
      <c r="I202" s="141">
        <v>30866</v>
      </c>
      <c r="J202" s="141">
        <v>21826</v>
      </c>
      <c r="K202" s="141">
        <v>19329</v>
      </c>
      <c r="L202" s="141">
        <v>25175</v>
      </c>
      <c r="M202" s="141">
        <v>31822</v>
      </c>
      <c r="N202" s="141">
        <v>38534</v>
      </c>
      <c r="O202" s="141">
        <v>42917</v>
      </c>
      <c r="P202" s="141">
        <v>41963</v>
      </c>
      <c r="Q202" s="141">
        <v>55574</v>
      </c>
      <c r="T202" s="141">
        <f t="shared" si="11"/>
        <v>417627</v>
      </c>
      <c r="U202" s="188" t="s">
        <v>397</v>
      </c>
      <c r="W202" s="193">
        <f>T202*0.012</f>
        <v>5011.5240000000003</v>
      </c>
      <c r="X202" s="138" t="s">
        <v>342</v>
      </c>
      <c r="Y202" s="495">
        <f>W200+W201+W202</f>
        <v>11456.974553</v>
      </c>
      <c r="Z202" s="153" t="s">
        <v>677</v>
      </c>
    </row>
    <row r="203" spans="1:26" s="157" customFormat="1" x14ac:dyDescent="0.25">
      <c r="A203" s="461"/>
      <c r="B203" s="135" t="s">
        <v>345</v>
      </c>
      <c r="C203" s="599"/>
      <c r="F203" s="141">
        <v>83400</v>
      </c>
      <c r="G203" s="141">
        <v>80700</v>
      </c>
      <c r="H203" s="141">
        <v>84800</v>
      </c>
      <c r="I203" s="141">
        <v>24500</v>
      </c>
      <c r="J203" s="141">
        <v>72900</v>
      </c>
      <c r="K203" s="141">
        <v>86300</v>
      </c>
      <c r="L203" s="141">
        <v>66100</v>
      </c>
      <c r="M203" s="141">
        <v>90000</v>
      </c>
      <c r="N203" s="141">
        <v>24300</v>
      </c>
      <c r="O203" s="141">
        <v>800</v>
      </c>
      <c r="P203" s="141">
        <v>3600</v>
      </c>
      <c r="Q203" s="141">
        <v>66600</v>
      </c>
      <c r="T203" s="141">
        <f t="shared" si="11"/>
        <v>684000</v>
      </c>
      <c r="U203" s="188" t="s">
        <v>346</v>
      </c>
      <c r="W203" s="141">
        <f>T203</f>
        <v>684000</v>
      </c>
      <c r="X203" s="188" t="s">
        <v>346</v>
      </c>
    </row>
    <row r="204" spans="1:26" s="157" customFormat="1" x14ac:dyDescent="0.25">
      <c r="A204" s="461"/>
      <c r="B204" s="135" t="s">
        <v>324</v>
      </c>
      <c r="C204" s="599"/>
      <c r="F204" s="142">
        <v>3351.29</v>
      </c>
      <c r="G204" s="142">
        <v>3015.76</v>
      </c>
      <c r="H204" s="142">
        <v>3186.94</v>
      </c>
      <c r="I204" s="142">
        <v>2495.19</v>
      </c>
      <c r="J204" s="142">
        <v>3012.48</v>
      </c>
      <c r="K204" s="142">
        <v>2765.18</v>
      </c>
      <c r="L204" s="142">
        <v>2583.0100000000002</v>
      </c>
      <c r="M204" s="142">
        <v>2893.68</v>
      </c>
      <c r="N204" s="142">
        <v>2622.89</v>
      </c>
      <c r="O204" s="142">
        <v>2263.6999999999998</v>
      </c>
      <c r="P204" s="142">
        <v>2199.86</v>
      </c>
      <c r="Q204" s="142">
        <v>3001.13</v>
      </c>
      <c r="T204" s="171">
        <f t="shared" si="11"/>
        <v>33391.11</v>
      </c>
      <c r="U204" s="188"/>
      <c r="W204" s="190">
        <f>T204</f>
        <v>33391.11</v>
      </c>
      <c r="X204" s="188"/>
    </row>
    <row r="205" spans="1:26" s="157" customFormat="1" x14ac:dyDescent="0.25">
      <c r="A205" s="461"/>
      <c r="B205" s="204" t="s">
        <v>326</v>
      </c>
      <c r="C205" s="599"/>
      <c r="F205" s="196">
        <v>416.02</v>
      </c>
      <c r="G205" s="196">
        <v>1284.49</v>
      </c>
      <c r="H205" s="196">
        <v>5502.16</v>
      </c>
      <c r="I205" s="196">
        <v>5868.4</v>
      </c>
      <c r="J205" s="196">
        <v>8510.0400000000009</v>
      </c>
      <c r="K205" s="196">
        <v>6388.41</v>
      </c>
      <c r="L205" s="196">
        <v>5404.33</v>
      </c>
      <c r="M205" s="196">
        <v>1623.49</v>
      </c>
      <c r="N205" s="196">
        <v>1090.82</v>
      </c>
      <c r="O205" s="196">
        <v>114.55</v>
      </c>
      <c r="P205" s="196">
        <v>42.5</v>
      </c>
      <c r="Q205" s="196">
        <v>96.56</v>
      </c>
      <c r="T205" s="171">
        <f t="shared" si="11"/>
        <v>36341.769999999997</v>
      </c>
      <c r="U205" s="188"/>
      <c r="W205" s="190">
        <f>T205</f>
        <v>36341.769999999997</v>
      </c>
      <c r="X205" s="188"/>
    </row>
    <row r="206" spans="1:26" s="157" customFormat="1" ht="16.5" x14ac:dyDescent="0.35">
      <c r="A206" s="461"/>
      <c r="B206" s="195" t="s">
        <v>398</v>
      </c>
      <c r="C206" s="599"/>
      <c r="F206" s="198"/>
      <c r="G206" s="198"/>
      <c r="H206" s="198"/>
      <c r="I206" s="198"/>
      <c r="J206" s="198"/>
      <c r="K206" s="198"/>
      <c r="L206" s="198"/>
      <c r="M206" s="198"/>
      <c r="N206" s="198"/>
      <c r="O206" s="198"/>
      <c r="P206" s="198"/>
      <c r="Q206" s="198"/>
      <c r="T206" s="171">
        <f>SUM(G206:Q206)</f>
        <v>0</v>
      </c>
      <c r="U206" s="188"/>
      <c r="W206" s="197">
        <f>T206</f>
        <v>0</v>
      </c>
      <c r="X206" s="188"/>
    </row>
    <row r="207" spans="1:26" s="125" customFormat="1" x14ac:dyDescent="0.25">
      <c r="A207" s="461"/>
      <c r="C207" s="599"/>
      <c r="D207" s="157"/>
      <c r="E207" s="446"/>
      <c r="F207" s="446"/>
      <c r="G207" s="446"/>
      <c r="H207" s="446"/>
      <c r="I207" s="446"/>
      <c r="J207" s="446"/>
      <c r="K207" s="446"/>
      <c r="L207" s="446"/>
      <c r="M207" s="446"/>
      <c r="N207" s="446"/>
      <c r="O207" s="446"/>
      <c r="P207" s="446"/>
      <c r="Q207" s="194"/>
      <c r="R207" s="157"/>
      <c r="S207" s="157"/>
      <c r="T207" s="184"/>
      <c r="U207" s="199"/>
      <c r="V207" s="157"/>
      <c r="W207" s="190">
        <f>SUM(W204:W206)</f>
        <v>69732.88</v>
      </c>
      <c r="X207" s="188"/>
      <c r="Y207" s="157"/>
      <c r="Z207" s="157"/>
    </row>
    <row r="209" spans="1:26" s="128" customFormat="1" x14ac:dyDescent="0.25">
      <c r="A209" s="459">
        <v>21</v>
      </c>
      <c r="B209" s="127" t="s">
        <v>384</v>
      </c>
      <c r="C209" s="173"/>
      <c r="S209" s="129"/>
      <c r="T209" s="127" t="s">
        <v>384</v>
      </c>
      <c r="V209" s="129"/>
      <c r="Y209" s="166"/>
      <c r="Z209" s="166"/>
    </row>
    <row r="210" spans="1:26" s="125" customFormat="1" x14ac:dyDescent="0.25">
      <c r="A210" s="461"/>
      <c r="B210" s="130" t="s">
        <v>337</v>
      </c>
      <c r="C210" s="186" t="s">
        <v>392</v>
      </c>
      <c r="D210" s="131">
        <v>41456</v>
      </c>
      <c r="E210" s="131">
        <v>41487</v>
      </c>
      <c r="F210" s="131">
        <v>41518</v>
      </c>
      <c r="G210" s="131">
        <v>41548</v>
      </c>
      <c r="H210" s="131">
        <v>41579</v>
      </c>
      <c r="I210" s="131">
        <v>41609</v>
      </c>
      <c r="J210" s="131">
        <v>41640</v>
      </c>
      <c r="K210" s="131">
        <v>41671</v>
      </c>
      <c r="L210" s="131">
        <v>41699</v>
      </c>
      <c r="M210" s="131">
        <v>41730</v>
      </c>
      <c r="N210" s="131">
        <v>41760</v>
      </c>
      <c r="O210" s="131">
        <v>41791</v>
      </c>
      <c r="P210" s="131">
        <v>41821</v>
      </c>
      <c r="Q210" s="151">
        <v>41852</v>
      </c>
      <c r="R210" s="131">
        <v>41896</v>
      </c>
      <c r="T210" s="133" t="s">
        <v>338</v>
      </c>
      <c r="U210" s="134" t="s">
        <v>339</v>
      </c>
      <c r="V210" s="132"/>
      <c r="W210" s="133" t="s">
        <v>338</v>
      </c>
      <c r="X210" s="134" t="s">
        <v>339</v>
      </c>
      <c r="Y210" s="157"/>
      <c r="Z210" s="157"/>
    </row>
    <row r="211" spans="1:26" s="125" customFormat="1" x14ac:dyDescent="0.25">
      <c r="A211" s="461"/>
      <c r="B211" s="135" t="s">
        <v>340</v>
      </c>
      <c r="C211" s="152"/>
      <c r="D211" s="496">
        <v>74080</v>
      </c>
      <c r="E211" s="496">
        <v>88168</v>
      </c>
      <c r="F211" s="496">
        <v>94347</v>
      </c>
      <c r="G211" s="496">
        <v>79716</v>
      </c>
      <c r="H211" s="496">
        <v>75594</v>
      </c>
      <c r="I211" s="496">
        <v>66617</v>
      </c>
      <c r="J211" s="496">
        <v>85340</v>
      </c>
      <c r="K211" s="496">
        <v>76631</v>
      </c>
      <c r="L211" s="496">
        <v>72908</v>
      </c>
      <c r="M211" s="496">
        <v>70976</v>
      </c>
      <c r="N211" s="496">
        <v>59228</v>
      </c>
      <c r="O211" s="496">
        <v>60285</v>
      </c>
      <c r="P211" s="136"/>
      <c r="Q211" s="136"/>
      <c r="T211" s="137">
        <f>SUM(D211:Q211)</f>
        <v>903890</v>
      </c>
      <c r="U211" s="188" t="s">
        <v>341</v>
      </c>
      <c r="V211" s="157"/>
      <c r="W211" s="140">
        <f>T211*3413/1000000</f>
        <v>3084.9765699999998</v>
      </c>
      <c r="X211" s="138" t="s">
        <v>342</v>
      </c>
      <c r="Y211" s="157"/>
      <c r="Z211" s="157"/>
    </row>
    <row r="212" spans="1:26" s="125" customFormat="1" x14ac:dyDescent="0.25">
      <c r="A212" s="461"/>
      <c r="B212" s="135" t="s">
        <v>345</v>
      </c>
      <c r="C212" s="152"/>
      <c r="D212" s="496">
        <v>20180</v>
      </c>
      <c r="E212" s="496">
        <v>111900</v>
      </c>
      <c r="F212" s="496">
        <v>206350</v>
      </c>
      <c r="G212" s="496">
        <v>166780</v>
      </c>
      <c r="H212" s="496">
        <v>170630</v>
      </c>
      <c r="I212" s="496">
        <v>81220</v>
      </c>
      <c r="J212" s="496">
        <v>141630</v>
      </c>
      <c r="K212" s="496">
        <v>141240</v>
      </c>
      <c r="L212" s="496">
        <v>52920</v>
      </c>
      <c r="M212" s="496">
        <v>73766</v>
      </c>
      <c r="N212" s="496">
        <v>60030</v>
      </c>
      <c r="O212" s="496">
        <v>9290</v>
      </c>
      <c r="P212" s="141"/>
      <c r="Q212" s="141"/>
      <c r="T212" s="137">
        <f>SUM(D212:Q212)</f>
        <v>1235936</v>
      </c>
      <c r="U212" s="188" t="s">
        <v>346</v>
      </c>
      <c r="V212" s="157"/>
      <c r="W212" s="141">
        <f>T212</f>
        <v>1235936</v>
      </c>
      <c r="X212" s="188" t="s">
        <v>346</v>
      </c>
      <c r="Y212" s="157"/>
      <c r="Z212" s="157"/>
    </row>
    <row r="213" spans="1:26" s="125" customFormat="1" x14ac:dyDescent="0.25">
      <c r="A213" s="461"/>
      <c r="B213" s="135" t="s">
        <v>347</v>
      </c>
      <c r="C213" s="152"/>
      <c r="D213" s="498">
        <v>5158.04</v>
      </c>
      <c r="E213" s="498">
        <v>6351.6</v>
      </c>
      <c r="F213" s="498">
        <v>6775.34</v>
      </c>
      <c r="G213" s="498">
        <v>4737.5200000000004</v>
      </c>
      <c r="H213" s="498">
        <v>4513.57</v>
      </c>
      <c r="I213" s="498">
        <v>4111.2700000000004</v>
      </c>
      <c r="J213" s="498">
        <v>5047.43</v>
      </c>
      <c r="K213" s="498">
        <v>4655.49</v>
      </c>
      <c r="L213" s="498">
        <v>4283.78</v>
      </c>
      <c r="M213" s="498">
        <v>4205.75</v>
      </c>
      <c r="N213" s="498">
        <v>3551.78</v>
      </c>
      <c r="O213" s="498">
        <v>4406.3500000000004</v>
      </c>
      <c r="P213" s="142"/>
      <c r="Q213" s="142"/>
      <c r="T213" s="189">
        <f>SUM(D213:Q213)</f>
        <v>57797.919999999998</v>
      </c>
      <c r="U213" s="188"/>
      <c r="V213" s="157"/>
      <c r="W213" s="190">
        <f>T213</f>
        <v>57797.919999999998</v>
      </c>
      <c r="X213" s="188"/>
      <c r="Y213" s="157"/>
      <c r="Z213" s="157"/>
    </row>
    <row r="214" spans="1:26" s="125" customFormat="1" x14ac:dyDescent="0.25">
      <c r="A214" s="461"/>
      <c r="C214" s="152"/>
      <c r="D214" s="157"/>
      <c r="U214" s="126"/>
      <c r="X214" s="126"/>
      <c r="Y214" s="157"/>
      <c r="Z214" s="157"/>
    </row>
    <row r="215" spans="1:26" s="125" customFormat="1" x14ac:dyDescent="0.25">
      <c r="A215" s="461">
        <v>22</v>
      </c>
      <c r="B215" s="148" t="s">
        <v>406</v>
      </c>
      <c r="C215" s="152"/>
      <c r="S215" s="126"/>
      <c r="T215" s="148" t="s">
        <v>406</v>
      </c>
      <c r="V215" s="126"/>
      <c r="Y215" s="157"/>
      <c r="Z215" s="157"/>
    </row>
    <row r="216" spans="1:26" s="125" customFormat="1" x14ac:dyDescent="0.25">
      <c r="A216" s="461"/>
      <c r="B216" s="130" t="s">
        <v>337</v>
      </c>
      <c r="C216" s="186" t="s">
        <v>392</v>
      </c>
      <c r="D216" s="131">
        <v>41456</v>
      </c>
      <c r="E216" s="131">
        <v>41487</v>
      </c>
      <c r="F216" s="131">
        <v>41518</v>
      </c>
      <c r="G216" s="131">
        <v>41548</v>
      </c>
      <c r="H216" s="131">
        <v>41579</v>
      </c>
      <c r="I216" s="131">
        <v>41609</v>
      </c>
      <c r="J216" s="131">
        <v>41640</v>
      </c>
      <c r="K216" s="131">
        <v>41671</v>
      </c>
      <c r="L216" s="131">
        <v>41699</v>
      </c>
      <c r="M216" s="131">
        <v>41730</v>
      </c>
      <c r="N216" s="131">
        <v>41760</v>
      </c>
      <c r="O216" s="131">
        <v>41791</v>
      </c>
      <c r="P216" s="131">
        <v>41821</v>
      </c>
      <c r="Q216" s="151">
        <v>41852</v>
      </c>
      <c r="R216" s="131">
        <v>41896</v>
      </c>
      <c r="T216" s="133" t="s">
        <v>338</v>
      </c>
      <c r="U216" s="134" t="s">
        <v>339</v>
      </c>
      <c r="V216" s="132"/>
      <c r="W216" s="133" t="s">
        <v>338</v>
      </c>
      <c r="X216" s="134" t="s">
        <v>339</v>
      </c>
      <c r="Y216" s="157"/>
      <c r="Z216" s="157"/>
    </row>
    <row r="217" spans="1:26" s="157" customFormat="1" x14ac:dyDescent="0.25">
      <c r="A217" s="461"/>
      <c r="B217" s="135" t="s">
        <v>319</v>
      </c>
      <c r="C217" s="599"/>
      <c r="D217" s="208">
        <v>132276</v>
      </c>
      <c r="E217" s="208">
        <v>137730</v>
      </c>
      <c r="F217" s="208">
        <v>134465</v>
      </c>
      <c r="G217" s="208">
        <v>124059</v>
      </c>
      <c r="H217" s="208">
        <v>117931</v>
      </c>
      <c r="I217" s="208">
        <v>93622</v>
      </c>
      <c r="J217" s="208">
        <v>110748</v>
      </c>
      <c r="K217" s="208">
        <v>109838</v>
      </c>
      <c r="L217" s="208">
        <v>79601</v>
      </c>
      <c r="M217" s="208">
        <v>106369</v>
      </c>
      <c r="N217" s="208">
        <v>52332</v>
      </c>
      <c r="O217" s="208">
        <v>111294</v>
      </c>
      <c r="T217" s="137">
        <f>SUM(D217:O217)</f>
        <v>1310265</v>
      </c>
      <c r="U217" s="138" t="s">
        <v>341</v>
      </c>
      <c r="V217" s="139"/>
      <c r="W217" s="140">
        <f>T217*3413/1000000</f>
        <v>4471.9344449999999</v>
      </c>
      <c r="X217" s="138" t="s">
        <v>342</v>
      </c>
    </row>
    <row r="218" spans="1:26" s="157" customFormat="1" x14ac:dyDescent="0.25">
      <c r="A218" s="461"/>
      <c r="B218" s="135" t="s">
        <v>372</v>
      </c>
      <c r="C218" s="599"/>
      <c r="D218" s="209">
        <v>1577</v>
      </c>
      <c r="E218" s="209">
        <v>1398</v>
      </c>
      <c r="F218" s="209">
        <v>1304</v>
      </c>
      <c r="G218" s="209">
        <v>1202</v>
      </c>
      <c r="H218" s="209">
        <v>2179</v>
      </c>
      <c r="I218" s="209">
        <v>2368</v>
      </c>
      <c r="J218" s="209">
        <v>4126</v>
      </c>
      <c r="K218" s="209">
        <v>4009</v>
      </c>
      <c r="L218" s="209">
        <v>2298</v>
      </c>
      <c r="M218" s="209">
        <v>2457</v>
      </c>
      <c r="N218" s="209">
        <v>1910</v>
      </c>
      <c r="O218" s="209">
        <v>1177</v>
      </c>
      <c r="T218" s="137">
        <f>SUM(D218:O218)</f>
        <v>26005</v>
      </c>
      <c r="U218" s="138" t="s">
        <v>354</v>
      </c>
      <c r="V218" s="139"/>
      <c r="W218" s="140">
        <f>T218*99976.124488/1000000</f>
        <v>2599.8791173104401</v>
      </c>
      <c r="X218" s="138" t="s">
        <v>342</v>
      </c>
      <c r="Y218" s="495">
        <f>W217+W218</f>
        <v>7071.8135623104399</v>
      </c>
      <c r="Z218" s="153" t="s">
        <v>649</v>
      </c>
    </row>
    <row r="219" spans="1:26" s="157" customFormat="1" x14ac:dyDescent="0.25">
      <c r="A219" s="461"/>
      <c r="B219" s="135" t="s">
        <v>345</v>
      </c>
      <c r="C219" s="599"/>
      <c r="D219" s="494">
        <v>147700</v>
      </c>
      <c r="E219" s="494">
        <v>141500</v>
      </c>
      <c r="F219" s="494">
        <v>131000</v>
      </c>
      <c r="G219" s="494">
        <v>67100</v>
      </c>
      <c r="H219" s="494">
        <v>31250</v>
      </c>
      <c r="I219" s="494">
        <v>18300</v>
      </c>
      <c r="J219" s="494">
        <v>9750</v>
      </c>
      <c r="K219" s="494">
        <v>10120</v>
      </c>
      <c r="L219" s="494">
        <v>26800</v>
      </c>
      <c r="M219" s="494">
        <v>50000</v>
      </c>
      <c r="N219" s="494">
        <v>94225</v>
      </c>
      <c r="O219" s="494">
        <v>120500</v>
      </c>
      <c r="T219" s="137">
        <f>SUM(D219:O219)</f>
        <v>848245</v>
      </c>
      <c r="U219" s="138" t="s">
        <v>346</v>
      </c>
      <c r="V219" s="139"/>
      <c r="W219" s="137">
        <f>T219</f>
        <v>848245</v>
      </c>
      <c r="X219" s="138" t="s">
        <v>346</v>
      </c>
    </row>
    <row r="220" spans="1:26" s="157" customFormat="1" x14ac:dyDescent="0.25">
      <c r="A220" s="461"/>
      <c r="B220" s="135" t="s">
        <v>324</v>
      </c>
      <c r="C220" s="599"/>
      <c r="D220" s="211">
        <v>10682.609759999999</v>
      </c>
      <c r="E220" s="211">
        <v>11123.0748</v>
      </c>
      <c r="F220" s="211">
        <v>10859.393399999999</v>
      </c>
      <c r="G220" s="211">
        <v>10019.00484</v>
      </c>
      <c r="H220" s="211">
        <v>9524.1075600000004</v>
      </c>
      <c r="I220" s="211">
        <v>7560.9127200000003</v>
      </c>
      <c r="J220" s="211">
        <v>8944.0084800000004</v>
      </c>
      <c r="K220" s="211">
        <v>8870.5168799999992</v>
      </c>
      <c r="L220" s="211">
        <v>6428.5767599999999</v>
      </c>
      <c r="M220" s="211">
        <v>8590.3604400000004</v>
      </c>
      <c r="N220" s="211">
        <v>4226.3323199999995</v>
      </c>
      <c r="O220" s="211">
        <v>8988.103439999999</v>
      </c>
      <c r="T220" s="143">
        <f>SUM(D220:Q220)</f>
        <v>105817.00140000001</v>
      </c>
      <c r="U220" s="138"/>
      <c r="V220" s="139"/>
      <c r="W220" s="143">
        <f>T220</f>
        <v>105817.00140000001</v>
      </c>
      <c r="X220" s="138"/>
    </row>
    <row r="221" spans="1:26" s="157" customFormat="1" ht="16.5" x14ac:dyDescent="0.35">
      <c r="A221" s="461"/>
      <c r="B221" s="144" t="s">
        <v>374</v>
      </c>
      <c r="C221" s="599"/>
      <c r="D221" s="212">
        <v>907.4058</v>
      </c>
      <c r="E221" s="212">
        <v>804.40920000000006</v>
      </c>
      <c r="F221" s="212">
        <v>750.3216000000001</v>
      </c>
      <c r="G221" s="212">
        <v>691.63080000000002</v>
      </c>
      <c r="H221" s="212">
        <v>1253.7966000000001</v>
      </c>
      <c r="I221" s="212">
        <v>1362.5472</v>
      </c>
      <c r="J221" s="212">
        <v>2374.1004000000003</v>
      </c>
      <c r="K221" s="212">
        <v>2306.7786000000001</v>
      </c>
      <c r="L221" s="212">
        <v>1322.2692</v>
      </c>
      <c r="M221" s="212">
        <v>1413.7578000000001</v>
      </c>
      <c r="N221" s="212">
        <v>1099.0140000000001</v>
      </c>
      <c r="O221" s="212">
        <v>677.24580000000003</v>
      </c>
      <c r="T221" s="143">
        <f>SUM(D221:Q221)</f>
        <v>14963.277000000002</v>
      </c>
      <c r="U221" s="138"/>
      <c r="V221" s="139"/>
      <c r="W221" s="146">
        <f>T221</f>
        <v>14963.277000000002</v>
      </c>
      <c r="X221" s="138"/>
    </row>
    <row r="222" spans="1:26" s="125" customFormat="1" x14ac:dyDescent="0.25">
      <c r="A222" s="461"/>
      <c r="C222" s="152"/>
      <c r="T222" s="139"/>
      <c r="U222" s="147"/>
      <c r="V222" s="139"/>
      <c r="W222" s="143">
        <f>SUM(W220:W221)</f>
        <v>120780.27840000001</v>
      </c>
      <c r="X222" s="138"/>
      <c r="Y222" s="157"/>
      <c r="Z222" s="157"/>
    </row>
    <row r="224" spans="1:26" s="128" customFormat="1" x14ac:dyDescent="0.25">
      <c r="A224" s="459">
        <v>23</v>
      </c>
      <c r="B224" s="127" t="s">
        <v>566</v>
      </c>
      <c r="C224" s="173"/>
      <c r="S224" s="129"/>
      <c r="T224" s="127" t="s">
        <v>566</v>
      </c>
      <c r="V224" s="129"/>
      <c r="Y224" s="166"/>
      <c r="Z224" s="166"/>
    </row>
    <row r="225" spans="1:26" s="125" customFormat="1" x14ac:dyDescent="0.25">
      <c r="A225" s="461"/>
      <c r="B225" s="130" t="s">
        <v>337</v>
      </c>
      <c r="C225" s="186" t="s">
        <v>392</v>
      </c>
      <c r="D225" s="131">
        <v>41456</v>
      </c>
      <c r="E225" s="131">
        <v>41487</v>
      </c>
      <c r="F225" s="131">
        <v>41518</v>
      </c>
      <c r="G225" s="131">
        <v>41548</v>
      </c>
      <c r="H225" s="131">
        <v>41579</v>
      </c>
      <c r="I225" s="131">
        <v>41609</v>
      </c>
      <c r="J225" s="131">
        <v>41640</v>
      </c>
      <c r="K225" s="131">
        <v>41671</v>
      </c>
      <c r="L225" s="131">
        <v>41699</v>
      </c>
      <c r="M225" s="131">
        <v>41730</v>
      </c>
      <c r="N225" s="131">
        <v>41760</v>
      </c>
      <c r="O225" s="131">
        <v>41791</v>
      </c>
      <c r="P225" s="131">
        <v>41821</v>
      </c>
      <c r="Q225" s="131">
        <v>41852</v>
      </c>
      <c r="R225" s="131">
        <v>41896</v>
      </c>
      <c r="T225" s="133" t="s">
        <v>338</v>
      </c>
      <c r="U225" s="134" t="s">
        <v>339</v>
      </c>
      <c r="V225" s="132"/>
      <c r="W225" s="133" t="s">
        <v>338</v>
      </c>
      <c r="X225" s="134" t="s">
        <v>339</v>
      </c>
      <c r="Y225" s="157"/>
      <c r="Z225" s="157"/>
    </row>
    <row r="226" spans="1:26" s="125" customFormat="1" x14ac:dyDescent="0.25">
      <c r="A226" s="461"/>
      <c r="B226" s="135" t="s">
        <v>340</v>
      </c>
      <c r="C226" s="556"/>
      <c r="D226" s="449"/>
      <c r="E226" s="448"/>
      <c r="F226" s="136"/>
      <c r="G226" s="136"/>
      <c r="H226" s="136"/>
      <c r="I226" s="136"/>
      <c r="J226" s="136"/>
      <c r="K226" s="136"/>
      <c r="L226" s="136"/>
      <c r="M226" s="136"/>
      <c r="N226" s="136"/>
      <c r="O226" s="174"/>
      <c r="P226" s="174"/>
      <c r="Q226" s="174"/>
      <c r="T226" s="187">
        <f>SUM(F226:Q226)</f>
        <v>0</v>
      </c>
      <c r="U226" s="188" t="s">
        <v>341</v>
      </c>
      <c r="V226" s="157"/>
      <c r="W226" s="140">
        <f>T226*3413/1000000</f>
        <v>0</v>
      </c>
      <c r="X226" s="138" t="s">
        <v>342</v>
      </c>
      <c r="Y226" s="157"/>
      <c r="Z226" s="157"/>
    </row>
    <row r="227" spans="1:26" s="125" customFormat="1" x14ac:dyDescent="0.25">
      <c r="A227" s="461"/>
      <c r="B227" s="135" t="s">
        <v>345</v>
      </c>
      <c r="C227" s="552"/>
      <c r="D227" s="450"/>
      <c r="E227" s="440"/>
      <c r="F227" s="141"/>
      <c r="G227" s="141"/>
      <c r="H227" s="154"/>
      <c r="I227" s="154"/>
      <c r="J227" s="154"/>
      <c r="K227" s="141"/>
      <c r="L227" s="154"/>
      <c r="M227" s="141"/>
      <c r="N227" s="141"/>
      <c r="O227" s="178"/>
      <c r="P227" s="178"/>
      <c r="Q227" s="178"/>
      <c r="T227" s="187">
        <f>SUM(F227:Q227)</f>
        <v>0</v>
      </c>
      <c r="U227" s="188" t="s">
        <v>346</v>
      </c>
      <c r="V227" s="157"/>
      <c r="W227" s="141">
        <f>T227</f>
        <v>0</v>
      </c>
      <c r="X227" s="188" t="s">
        <v>346</v>
      </c>
      <c r="Y227" s="157"/>
      <c r="Z227" s="157"/>
    </row>
    <row r="228" spans="1:26" s="125" customFormat="1" x14ac:dyDescent="0.25">
      <c r="A228" s="461"/>
      <c r="B228" s="135" t="s">
        <v>347</v>
      </c>
      <c r="C228" s="552"/>
      <c r="D228" s="450"/>
      <c r="E228" s="440"/>
      <c r="F228" s="142"/>
      <c r="G228" s="142"/>
      <c r="H228" s="142"/>
      <c r="I228" s="142"/>
      <c r="J228" s="142"/>
      <c r="K228" s="142"/>
      <c r="L228" s="142"/>
      <c r="M228" s="142"/>
      <c r="N228" s="142"/>
      <c r="O228" s="176"/>
      <c r="P228" s="176"/>
      <c r="Q228" s="176"/>
      <c r="T228" s="189">
        <f>SUM(F228:Q228)</f>
        <v>0</v>
      </c>
      <c r="U228" s="188"/>
      <c r="V228" s="157"/>
      <c r="W228" s="190">
        <f>T228</f>
        <v>0</v>
      </c>
      <c r="X228" s="188"/>
      <c r="Y228" s="157"/>
      <c r="Z228" s="157"/>
    </row>
    <row r="230" spans="1:26" s="125" customFormat="1" x14ac:dyDescent="0.25">
      <c r="A230" s="461">
        <v>24</v>
      </c>
      <c r="B230" s="207" t="s">
        <v>405</v>
      </c>
      <c r="C230" s="152"/>
      <c r="S230" s="126"/>
      <c r="T230" s="207" t="s">
        <v>405</v>
      </c>
      <c r="V230" s="126"/>
      <c r="Y230" s="157"/>
      <c r="Z230" s="157"/>
    </row>
    <row r="231" spans="1:26" s="125" customFormat="1" x14ac:dyDescent="0.25">
      <c r="A231" s="461"/>
      <c r="B231" s="130" t="s">
        <v>337</v>
      </c>
      <c r="C231" s="186" t="s">
        <v>392</v>
      </c>
      <c r="D231" s="131">
        <v>41456</v>
      </c>
      <c r="E231" s="131">
        <v>41487</v>
      </c>
      <c r="F231" s="131">
        <v>41518</v>
      </c>
      <c r="G231" s="131">
        <v>41548</v>
      </c>
      <c r="H231" s="131">
        <v>41579</v>
      </c>
      <c r="I231" s="131">
        <v>41609</v>
      </c>
      <c r="J231" s="131">
        <v>41640</v>
      </c>
      <c r="K231" s="131">
        <v>41671</v>
      </c>
      <c r="L231" s="131">
        <v>41699</v>
      </c>
      <c r="M231" s="131">
        <v>41730</v>
      </c>
      <c r="N231" s="131">
        <v>41760</v>
      </c>
      <c r="O231" s="131">
        <v>41791</v>
      </c>
      <c r="P231" s="131">
        <v>41821</v>
      </c>
      <c r="Q231" s="131">
        <v>41852</v>
      </c>
      <c r="R231" s="131">
        <v>41896</v>
      </c>
      <c r="T231" s="133" t="s">
        <v>338</v>
      </c>
      <c r="U231" s="134" t="s">
        <v>339</v>
      </c>
      <c r="V231" s="132"/>
      <c r="W231" s="133" t="s">
        <v>338</v>
      </c>
      <c r="X231" s="134" t="s">
        <v>339</v>
      </c>
      <c r="Y231" s="157"/>
      <c r="Z231" s="157"/>
    </row>
    <row r="232" spans="1:26" s="125" customFormat="1" x14ac:dyDescent="0.25">
      <c r="A232" s="461"/>
      <c r="B232" s="135" t="s">
        <v>340</v>
      </c>
      <c r="C232" s="152"/>
      <c r="F232" s="136"/>
      <c r="G232" s="136"/>
      <c r="H232" s="136"/>
      <c r="I232" s="136"/>
      <c r="J232" s="136"/>
      <c r="K232" s="136"/>
      <c r="L232" s="136"/>
      <c r="M232" s="136"/>
      <c r="N232" s="136"/>
      <c r="O232" s="136"/>
      <c r="P232" s="136"/>
      <c r="Q232" s="136"/>
      <c r="T232" s="137">
        <f>SUM(F232:Q232)</f>
        <v>0</v>
      </c>
      <c r="U232" s="138" t="s">
        <v>341</v>
      </c>
      <c r="V232" s="139"/>
      <c r="W232" s="140">
        <f>T232*3413/1000000</f>
        <v>0</v>
      </c>
      <c r="X232" s="138" t="s">
        <v>342</v>
      </c>
      <c r="Y232" s="157"/>
      <c r="Z232" s="157"/>
    </row>
    <row r="233" spans="1:26" s="125" customFormat="1" x14ac:dyDescent="0.25">
      <c r="A233" s="461"/>
      <c r="B233" s="135" t="s">
        <v>345</v>
      </c>
      <c r="C233" s="152"/>
      <c r="F233" s="141"/>
      <c r="G233" s="141"/>
      <c r="H233" s="141"/>
      <c r="I233" s="141"/>
      <c r="J233" s="141"/>
      <c r="K233" s="141"/>
      <c r="L233" s="141"/>
      <c r="M233" s="141"/>
      <c r="N233" s="141"/>
      <c r="O233" s="141"/>
      <c r="P233" s="141"/>
      <c r="Q233" s="141"/>
      <c r="T233" s="137">
        <f>SUM(F233:Q233)</f>
        <v>0</v>
      </c>
      <c r="U233" s="138" t="s">
        <v>346</v>
      </c>
      <c r="V233" s="139"/>
      <c r="W233" s="137">
        <f>T233</f>
        <v>0</v>
      </c>
      <c r="X233" s="138" t="s">
        <v>346</v>
      </c>
      <c r="Y233" s="157"/>
      <c r="Z233" s="157"/>
    </row>
    <row r="234" spans="1:26" s="125" customFormat="1" x14ac:dyDescent="0.25">
      <c r="A234" s="461"/>
      <c r="B234" s="135" t="s">
        <v>347</v>
      </c>
      <c r="C234" s="152"/>
      <c r="F234" s="142"/>
      <c r="G234" s="142"/>
      <c r="H234" s="142"/>
      <c r="I234" s="142"/>
      <c r="J234" s="142"/>
      <c r="K234" s="142"/>
      <c r="L234" s="142"/>
      <c r="M234" s="142"/>
      <c r="N234" s="142"/>
      <c r="O234" s="142"/>
      <c r="P234" s="142"/>
      <c r="Q234" s="142"/>
      <c r="T234" s="143">
        <f>SUM(F234:Q234)</f>
        <v>0</v>
      </c>
      <c r="U234" s="138"/>
      <c r="V234" s="139"/>
      <c r="W234" s="143">
        <f>T234</f>
        <v>0</v>
      </c>
      <c r="X234" s="138"/>
      <c r="Y234" s="157"/>
      <c r="Z234" s="157"/>
    </row>
    <row r="235" spans="1:26" s="125" customFormat="1" x14ac:dyDescent="0.25">
      <c r="A235" s="461"/>
      <c r="C235" s="152"/>
      <c r="S235" s="126"/>
      <c r="V235" s="126"/>
      <c r="Y235" s="157"/>
      <c r="Z235" s="157"/>
    </row>
    <row r="236" spans="1:26" s="125" customFormat="1" x14ac:dyDescent="0.25">
      <c r="A236" s="461">
        <v>25</v>
      </c>
      <c r="B236" s="148" t="s">
        <v>633</v>
      </c>
      <c r="C236" s="152"/>
      <c r="S236" s="126"/>
      <c r="T236" s="148" t="s">
        <v>633</v>
      </c>
      <c r="V236" s="126"/>
      <c r="Y236" s="157"/>
      <c r="Z236" s="157"/>
    </row>
    <row r="237" spans="1:26" s="125" customFormat="1" x14ac:dyDescent="0.25">
      <c r="A237" s="461"/>
      <c r="B237" s="130" t="s">
        <v>337</v>
      </c>
      <c r="C237" s="186" t="s">
        <v>392</v>
      </c>
      <c r="D237" s="131">
        <v>41456</v>
      </c>
      <c r="E237" s="131">
        <v>41487</v>
      </c>
      <c r="F237" s="131">
        <v>41518</v>
      </c>
      <c r="G237" s="131">
        <v>41548</v>
      </c>
      <c r="H237" s="131">
        <v>41579</v>
      </c>
      <c r="I237" s="131">
        <v>41609</v>
      </c>
      <c r="J237" s="131">
        <v>41640</v>
      </c>
      <c r="K237" s="131">
        <v>41671</v>
      </c>
      <c r="L237" s="131">
        <v>41699</v>
      </c>
      <c r="M237" s="131">
        <v>41730</v>
      </c>
      <c r="N237" s="131">
        <v>41760</v>
      </c>
      <c r="O237" s="131">
        <v>41791</v>
      </c>
      <c r="P237" s="131">
        <v>41821</v>
      </c>
      <c r="Q237" s="131">
        <v>41852</v>
      </c>
      <c r="R237" s="131">
        <v>41896</v>
      </c>
      <c r="T237" s="133" t="s">
        <v>338</v>
      </c>
      <c r="U237" s="134" t="s">
        <v>339</v>
      </c>
      <c r="V237" s="132"/>
      <c r="W237" s="133" t="s">
        <v>338</v>
      </c>
      <c r="X237" s="134" t="s">
        <v>339</v>
      </c>
      <c r="Y237" s="157"/>
      <c r="Z237" s="157"/>
    </row>
    <row r="238" spans="1:26" s="125" customFormat="1" x14ac:dyDescent="0.25">
      <c r="A238" s="461"/>
      <c r="B238" s="238" t="s">
        <v>409</v>
      </c>
      <c r="C238" s="152"/>
      <c r="D238" s="239">
        <v>48053</v>
      </c>
      <c r="E238" s="239">
        <v>56310</v>
      </c>
      <c r="F238" s="239">
        <v>63175</v>
      </c>
      <c r="G238" s="239">
        <v>64734</v>
      </c>
      <c r="H238" s="239">
        <v>55026</v>
      </c>
      <c r="I238" s="239">
        <v>46456</v>
      </c>
      <c r="J238" s="239">
        <v>48327</v>
      </c>
      <c r="K238" s="239">
        <v>49101</v>
      </c>
      <c r="L238" s="239">
        <v>51656</v>
      </c>
      <c r="M238" s="239">
        <v>57063</v>
      </c>
      <c r="N238" s="239">
        <v>47757</v>
      </c>
      <c r="O238" s="239">
        <v>43244</v>
      </c>
      <c r="T238" s="137">
        <f>SUM(D238:O238)</f>
        <v>630902</v>
      </c>
      <c r="U238" s="138" t="s">
        <v>341</v>
      </c>
      <c r="V238" s="139"/>
      <c r="W238" s="140">
        <f>T238*3413/1000000</f>
        <v>2153.2685259999998</v>
      </c>
      <c r="X238" s="138" t="s">
        <v>342</v>
      </c>
      <c r="Y238" s="157"/>
      <c r="Z238" s="157"/>
    </row>
    <row r="239" spans="1:26" s="125" customFormat="1" x14ac:dyDescent="0.25">
      <c r="A239" s="461"/>
      <c r="B239" s="135" t="s">
        <v>345</v>
      </c>
      <c r="C239" s="152"/>
      <c r="D239" s="240">
        <v>48861</v>
      </c>
      <c r="E239" s="240">
        <v>112674</v>
      </c>
      <c r="F239" s="240">
        <v>264394</v>
      </c>
      <c r="G239" s="240">
        <v>244725</v>
      </c>
      <c r="H239" s="240">
        <v>139753</v>
      </c>
      <c r="I239" s="240">
        <v>139753</v>
      </c>
      <c r="J239" s="240">
        <v>150199</v>
      </c>
      <c r="K239" s="240">
        <v>166150</v>
      </c>
      <c r="L239" s="240">
        <v>151077</v>
      </c>
      <c r="M239" s="240">
        <v>211623</v>
      </c>
      <c r="N239" s="240">
        <v>73612</v>
      </c>
      <c r="O239" s="240">
        <v>41488</v>
      </c>
      <c r="T239" s="137">
        <f>SUM(D239:O239)</f>
        <v>1744309</v>
      </c>
      <c r="U239" s="138" t="s">
        <v>346</v>
      </c>
      <c r="V239" s="139"/>
      <c r="W239" s="137">
        <f>T239</f>
        <v>1744309</v>
      </c>
      <c r="X239" s="138" t="s">
        <v>346</v>
      </c>
      <c r="Y239" s="157"/>
      <c r="Z239" s="157"/>
    </row>
    <row r="240" spans="1:26" s="125" customFormat="1" x14ac:dyDescent="0.25">
      <c r="A240" s="461"/>
      <c r="B240" s="238" t="s">
        <v>347</v>
      </c>
      <c r="C240" s="152"/>
      <c r="D240" s="142">
        <v>4867.72</v>
      </c>
      <c r="E240" s="142">
        <v>5951.96</v>
      </c>
      <c r="F240" s="142">
        <v>6608.09</v>
      </c>
      <c r="G240" s="142">
        <v>6868.25</v>
      </c>
      <c r="H240" s="142">
        <v>5915.33</v>
      </c>
      <c r="I240" s="142">
        <v>4915.04</v>
      </c>
      <c r="J240" s="142">
        <v>5166.1400000000003</v>
      </c>
      <c r="K240" s="142">
        <v>5263.58</v>
      </c>
      <c r="L240" s="142">
        <v>5501.36</v>
      </c>
      <c r="M240" s="142">
        <v>5991.59</v>
      </c>
      <c r="N240" s="142">
        <v>4995.37</v>
      </c>
      <c r="O240" s="142">
        <v>4631.3900000000003</v>
      </c>
      <c r="T240" s="143">
        <f>SUM(D240:Q240)</f>
        <v>66675.820000000007</v>
      </c>
      <c r="U240" s="138"/>
      <c r="V240" s="139"/>
      <c r="W240" s="143">
        <f>T240</f>
        <v>66675.820000000007</v>
      </c>
      <c r="X240" s="138"/>
      <c r="Y240" s="157"/>
      <c r="Z240" s="157"/>
    </row>
    <row r="241" spans="1:26" s="125" customFormat="1" x14ac:dyDescent="0.25">
      <c r="A241" s="461"/>
      <c r="C241" s="152"/>
      <c r="S241" s="126"/>
      <c r="V241" s="126"/>
      <c r="Y241" s="157"/>
      <c r="Z241" s="157"/>
    </row>
    <row r="242" spans="1:26" s="125" customFormat="1" x14ac:dyDescent="0.25">
      <c r="A242" s="461">
        <v>26</v>
      </c>
      <c r="B242" s="148" t="s">
        <v>567</v>
      </c>
      <c r="C242" s="152"/>
      <c r="E242" s="157"/>
      <c r="F242" s="157"/>
      <c r="G242" s="157"/>
      <c r="H242" s="157"/>
      <c r="I242" s="157"/>
      <c r="J242" s="157"/>
      <c r="K242" s="157"/>
      <c r="L242" s="157"/>
      <c r="M242" s="157"/>
      <c r="N242" s="157"/>
      <c r="O242" s="157"/>
      <c r="P242" s="157"/>
      <c r="S242" s="126"/>
      <c r="T242" s="148" t="s">
        <v>567</v>
      </c>
      <c r="V242" s="126"/>
      <c r="Y242" s="157"/>
      <c r="Z242" s="157"/>
    </row>
    <row r="243" spans="1:26" s="157" customFormat="1" x14ac:dyDescent="0.25">
      <c r="A243" s="461"/>
      <c r="B243" s="130" t="s">
        <v>337</v>
      </c>
      <c r="C243" s="186" t="s">
        <v>392</v>
      </c>
      <c r="D243" s="131">
        <v>41456</v>
      </c>
      <c r="E243" s="131">
        <v>41487</v>
      </c>
      <c r="F243" s="131">
        <v>41518</v>
      </c>
      <c r="G243" s="131">
        <v>41548</v>
      </c>
      <c r="H243" s="131">
        <v>41579</v>
      </c>
      <c r="I243" s="131">
        <v>41609</v>
      </c>
      <c r="J243" s="131">
        <v>41640</v>
      </c>
      <c r="K243" s="131">
        <v>41671</v>
      </c>
      <c r="L243" s="131">
        <v>41699</v>
      </c>
      <c r="M243" s="131">
        <v>41730</v>
      </c>
      <c r="N243" s="131">
        <v>41760</v>
      </c>
      <c r="O243" s="131">
        <v>41791</v>
      </c>
      <c r="P243" s="131">
        <v>41821</v>
      </c>
      <c r="Q243" s="131">
        <v>41852</v>
      </c>
      <c r="R243" s="131">
        <v>41896</v>
      </c>
      <c r="T243" s="133" t="s">
        <v>338</v>
      </c>
      <c r="U243" s="134" t="s">
        <v>339</v>
      </c>
      <c r="V243" s="132"/>
      <c r="W243" s="133" t="s">
        <v>338</v>
      </c>
      <c r="X243" s="134" t="s">
        <v>339</v>
      </c>
    </row>
    <row r="244" spans="1:26" s="157" customFormat="1" x14ac:dyDescent="0.25">
      <c r="A244" s="461"/>
      <c r="B244" s="135" t="s">
        <v>319</v>
      </c>
      <c r="C244" s="599"/>
      <c r="D244" s="160">
        <v>109141</v>
      </c>
      <c r="E244" s="160">
        <v>89326</v>
      </c>
      <c r="F244" s="558">
        <v>85857</v>
      </c>
      <c r="G244" s="558">
        <v>137600</v>
      </c>
      <c r="H244" s="558">
        <v>65888</v>
      </c>
      <c r="I244" s="558">
        <v>108352</v>
      </c>
      <c r="J244" s="558">
        <v>120241</v>
      </c>
      <c r="K244" s="558">
        <v>103751</v>
      </c>
      <c r="L244" s="558">
        <v>101400</v>
      </c>
      <c r="M244" s="558">
        <v>96239</v>
      </c>
      <c r="N244" s="558">
        <v>74474</v>
      </c>
      <c r="O244" s="558">
        <v>93475</v>
      </c>
      <c r="P244" s="174"/>
      <c r="Q244" s="174"/>
      <c r="T244" s="141">
        <f>SUM(D244:Q244)</f>
        <v>1185744</v>
      </c>
      <c r="U244" s="188" t="s">
        <v>341</v>
      </c>
      <c r="W244" s="140">
        <f>T244*3413/1000000</f>
        <v>4046.9442720000002</v>
      </c>
      <c r="X244" s="138" t="s">
        <v>342</v>
      </c>
    </row>
    <row r="245" spans="1:26" s="157" customFormat="1" x14ac:dyDescent="0.25">
      <c r="A245" s="461"/>
      <c r="B245" s="135" t="s">
        <v>820</v>
      </c>
      <c r="C245" s="599"/>
      <c r="D245" s="153"/>
      <c r="E245" s="153"/>
      <c r="F245" s="137">
        <v>98480</v>
      </c>
      <c r="G245" s="137">
        <v>192448.70000000051</v>
      </c>
      <c r="H245" s="137">
        <v>256470.98749999996</v>
      </c>
      <c r="I245" s="136">
        <v>246075.90000000046</v>
      </c>
      <c r="J245" s="136">
        <v>413569.8874999999</v>
      </c>
      <c r="K245" s="136">
        <v>367402.91250000044</v>
      </c>
      <c r="L245" s="136">
        <v>327137.84999999986</v>
      </c>
      <c r="M245" s="136">
        <v>239755.88750000007</v>
      </c>
      <c r="N245" s="136">
        <v>206739.50000000041</v>
      </c>
      <c r="O245" s="136">
        <v>180217.28750000024</v>
      </c>
      <c r="P245" s="174"/>
      <c r="Q245" s="174"/>
      <c r="T245" s="141">
        <f>SUM(D245:Q245)</f>
        <v>2528298.9125000015</v>
      </c>
      <c r="U245" s="138" t="s">
        <v>342</v>
      </c>
      <c r="W245" s="160">
        <f>T245/1000</f>
        <v>2528.2989125000013</v>
      </c>
      <c r="X245" s="138" t="s">
        <v>342</v>
      </c>
    </row>
    <row r="246" spans="1:26" s="157" customFormat="1" x14ac:dyDescent="0.25">
      <c r="A246" s="461"/>
      <c r="B246" s="192" t="s">
        <v>323</v>
      </c>
      <c r="C246" s="599"/>
      <c r="D246" s="153"/>
      <c r="E246" s="153"/>
      <c r="F246" s="141">
        <v>80296</v>
      </c>
      <c r="G246" s="141">
        <v>95195</v>
      </c>
      <c r="H246" s="141">
        <v>43466</v>
      </c>
      <c r="I246" s="141">
        <v>36570</v>
      </c>
      <c r="J246" s="141">
        <v>19051</v>
      </c>
      <c r="K246" s="141">
        <v>23850</v>
      </c>
      <c r="L246" s="141">
        <v>23687</v>
      </c>
      <c r="M246" s="141">
        <v>76208</v>
      </c>
      <c r="N246" s="141">
        <v>114941.35208333324</v>
      </c>
      <c r="O246" s="141">
        <v>160071.71979166675</v>
      </c>
      <c r="P246" s="178"/>
      <c r="Q246" s="178"/>
      <c r="T246" s="141">
        <f>SUM(D246:Q246)</f>
        <v>673336.07187500002</v>
      </c>
      <c r="U246" s="188" t="s">
        <v>397</v>
      </c>
      <c r="W246" s="193">
        <f>T246*0.012</f>
        <v>8080.0328625000002</v>
      </c>
      <c r="X246" s="138" t="s">
        <v>342</v>
      </c>
      <c r="Y246" s="495">
        <f>W244+W245+W246</f>
        <v>14655.276047000001</v>
      </c>
      <c r="Z246" s="138" t="s">
        <v>342</v>
      </c>
    </row>
    <row r="247" spans="1:26" s="157" customFormat="1" x14ac:dyDescent="0.25">
      <c r="A247" s="461"/>
      <c r="B247" s="135" t="s">
        <v>322</v>
      </c>
      <c r="C247" s="599"/>
      <c r="D247" s="160">
        <v>27827</v>
      </c>
      <c r="E247" s="160">
        <v>106428</v>
      </c>
      <c r="F247" s="160">
        <v>31150</v>
      </c>
      <c r="G247" s="160">
        <v>316096</v>
      </c>
      <c r="H247" s="160">
        <v>388811</v>
      </c>
      <c r="I247" s="160">
        <v>416254</v>
      </c>
      <c r="J247" s="160">
        <v>-962866</v>
      </c>
      <c r="K247" s="160">
        <v>68544</v>
      </c>
      <c r="L247" s="160">
        <v>69405</v>
      </c>
      <c r="M247" s="160">
        <v>71453</v>
      </c>
      <c r="N247" s="160">
        <v>45725</v>
      </c>
      <c r="O247" s="160">
        <v>48096</v>
      </c>
      <c r="P247" s="178"/>
      <c r="Q247" s="178"/>
      <c r="T247" s="141">
        <f>SUM(D247:Q247)</f>
        <v>626923</v>
      </c>
      <c r="U247" s="188" t="s">
        <v>346</v>
      </c>
      <c r="W247" s="141">
        <f>T247</f>
        <v>626923</v>
      </c>
      <c r="X247" s="188" t="s">
        <v>346</v>
      </c>
    </row>
    <row r="248" spans="1:26" s="157" customFormat="1" x14ac:dyDescent="0.25">
      <c r="A248" s="461"/>
      <c r="B248" s="135" t="s">
        <v>324</v>
      </c>
      <c r="C248" s="599"/>
      <c r="D248" s="171">
        <v>8731.2800000000007</v>
      </c>
      <c r="E248" s="171">
        <v>7565.91</v>
      </c>
      <c r="F248" s="142">
        <v>6859.97</v>
      </c>
      <c r="G248" s="142">
        <v>10182.4</v>
      </c>
      <c r="H248" s="142">
        <v>4645.1000000000004</v>
      </c>
      <c r="I248" s="142">
        <v>8039.72</v>
      </c>
      <c r="J248" s="142">
        <v>8501.0400000000009</v>
      </c>
      <c r="K248" s="142">
        <v>7843.58</v>
      </c>
      <c r="L248" s="142">
        <v>7361.64</v>
      </c>
      <c r="M248" s="142">
        <v>6794.47</v>
      </c>
      <c r="N248" s="142">
        <v>5183.3900000000003</v>
      </c>
      <c r="O248" s="142">
        <v>7599.52</v>
      </c>
      <c r="P248" s="176"/>
      <c r="Q248" s="176"/>
      <c r="T248" s="171">
        <f>SUM(D248:Q248)</f>
        <v>89308.02</v>
      </c>
      <c r="U248" s="188"/>
      <c r="W248" s="190">
        <f>T248</f>
        <v>89308.02</v>
      </c>
      <c r="X248" s="188"/>
    </row>
    <row r="249" spans="1:26" s="157" customFormat="1" x14ac:dyDescent="0.25">
      <c r="A249" s="461"/>
      <c r="B249" s="204" t="s">
        <v>819</v>
      </c>
      <c r="C249" s="599"/>
      <c r="D249" s="171">
        <v>1828.29</v>
      </c>
      <c r="E249" s="171">
        <v>1455</v>
      </c>
      <c r="F249" s="198">
        <v>1208</v>
      </c>
      <c r="G249" s="198">
        <v>2422</v>
      </c>
      <c r="H249" s="198">
        <v>1567</v>
      </c>
      <c r="I249" s="171">
        <v>3248</v>
      </c>
      <c r="J249" s="171">
        <v>2711</v>
      </c>
      <c r="K249" s="171">
        <v>3327</v>
      </c>
      <c r="L249" s="171">
        <v>2821</v>
      </c>
      <c r="M249" s="171">
        <v>1789</v>
      </c>
      <c r="N249" s="171">
        <v>1578</v>
      </c>
      <c r="O249" s="171">
        <v>1927</v>
      </c>
      <c r="P249" s="184"/>
      <c r="Q249" s="184"/>
      <c r="T249" s="171">
        <f>SUM(D249:O249)</f>
        <v>25881.29</v>
      </c>
      <c r="U249" s="188"/>
      <c r="W249" s="190">
        <f>T249</f>
        <v>25881.29</v>
      </c>
      <c r="X249" s="188"/>
    </row>
    <row r="250" spans="1:26" s="157" customFormat="1" ht="16.5" x14ac:dyDescent="0.35">
      <c r="A250" s="461"/>
      <c r="B250" s="195" t="s">
        <v>398</v>
      </c>
      <c r="C250" s="599"/>
      <c r="D250" s="171">
        <v>16088</v>
      </c>
      <c r="E250" s="171">
        <v>14362</v>
      </c>
      <c r="F250" s="198">
        <v>8271</v>
      </c>
      <c r="G250" s="198">
        <v>7801</v>
      </c>
      <c r="H250" s="198">
        <v>1814</v>
      </c>
      <c r="I250" s="198">
        <v>3336</v>
      </c>
      <c r="J250" s="198">
        <v>2530</v>
      </c>
      <c r="K250" s="198">
        <v>2243</v>
      </c>
      <c r="L250" s="198">
        <v>2486</v>
      </c>
      <c r="M250" s="198">
        <v>5389</v>
      </c>
      <c r="N250" s="198">
        <v>5703</v>
      </c>
      <c r="O250" s="198">
        <v>12696</v>
      </c>
      <c r="P250" s="446"/>
      <c r="Q250" s="446"/>
      <c r="T250" s="171">
        <f>SUM(D250:O250)</f>
        <v>82719</v>
      </c>
      <c r="U250" s="188"/>
      <c r="W250" s="197">
        <f>T250</f>
        <v>82719</v>
      </c>
      <c r="X250" s="188"/>
    </row>
    <row r="251" spans="1:26" s="125" customFormat="1" x14ac:dyDescent="0.25">
      <c r="A251" s="461"/>
      <c r="B251" s="205"/>
      <c r="C251" s="152"/>
      <c r="E251" s="201"/>
      <c r="F251" s="206"/>
      <c r="G251" s="202"/>
      <c r="H251" s="203"/>
      <c r="I251" s="203"/>
      <c r="J251" s="203"/>
      <c r="K251" s="203"/>
      <c r="L251" s="203"/>
      <c r="M251" s="203"/>
      <c r="N251" s="203"/>
      <c r="O251" s="203"/>
      <c r="P251" s="203"/>
      <c r="U251" s="126"/>
      <c r="W251" s="190">
        <f>SUM(W248:W250)</f>
        <v>197908.31</v>
      </c>
      <c r="X251" s="450"/>
      <c r="Y251" s="157"/>
      <c r="Z251" s="157"/>
    </row>
    <row r="252" spans="1:26" s="125" customFormat="1" x14ac:dyDescent="0.25">
      <c r="A252" s="461"/>
      <c r="B252" s="205"/>
      <c r="C252" s="152"/>
      <c r="E252" s="201"/>
      <c r="F252" s="206"/>
      <c r="G252" s="202"/>
      <c r="H252" s="203"/>
      <c r="I252" s="203"/>
      <c r="J252" s="203"/>
      <c r="K252" s="203"/>
      <c r="L252" s="203"/>
      <c r="M252" s="203"/>
      <c r="N252" s="203"/>
      <c r="O252" s="203"/>
      <c r="P252" s="203"/>
      <c r="U252" s="126"/>
      <c r="W252" s="447"/>
      <c r="X252" s="126"/>
      <c r="Y252" s="157"/>
      <c r="Z252" s="157"/>
    </row>
    <row r="253" spans="1:26" s="125" customFormat="1" x14ac:dyDescent="0.25">
      <c r="A253" s="461">
        <v>27</v>
      </c>
      <c r="B253" s="207" t="s">
        <v>568</v>
      </c>
      <c r="C253" s="152"/>
      <c r="S253" s="126"/>
      <c r="T253" s="207" t="s">
        <v>568</v>
      </c>
      <c r="V253" s="126"/>
      <c r="Y253" s="157"/>
      <c r="Z253" s="157"/>
    </row>
    <row r="254" spans="1:26" s="125" customFormat="1" x14ac:dyDescent="0.25">
      <c r="A254" s="461"/>
      <c r="B254" s="130" t="s">
        <v>337</v>
      </c>
      <c r="C254" s="186" t="s">
        <v>392</v>
      </c>
      <c r="D254" s="131">
        <v>41456</v>
      </c>
      <c r="E254" s="131">
        <v>41487</v>
      </c>
      <c r="F254" s="131">
        <v>41518</v>
      </c>
      <c r="G254" s="131">
        <v>41548</v>
      </c>
      <c r="H254" s="131">
        <v>41579</v>
      </c>
      <c r="I254" s="131">
        <v>41609</v>
      </c>
      <c r="J254" s="131">
        <v>41640</v>
      </c>
      <c r="K254" s="131">
        <v>41671</v>
      </c>
      <c r="L254" s="131">
        <v>41699</v>
      </c>
      <c r="M254" s="131">
        <v>41730</v>
      </c>
      <c r="N254" s="131">
        <v>41760</v>
      </c>
      <c r="O254" s="131">
        <v>41791</v>
      </c>
      <c r="P254" s="131">
        <v>41821</v>
      </c>
      <c r="Q254" s="131">
        <v>41852</v>
      </c>
      <c r="R254" s="131">
        <v>41896</v>
      </c>
      <c r="T254" s="133" t="s">
        <v>338</v>
      </c>
      <c r="U254" s="134" t="s">
        <v>339</v>
      </c>
      <c r="V254" s="132"/>
      <c r="W254" s="133" t="s">
        <v>338</v>
      </c>
      <c r="X254" s="134" t="s">
        <v>339</v>
      </c>
      <c r="Y254" s="157"/>
      <c r="Z254" s="157"/>
    </row>
    <row r="255" spans="1:26" s="125" customFormat="1" x14ac:dyDescent="0.25">
      <c r="A255" s="461"/>
      <c r="B255" s="135" t="s">
        <v>340</v>
      </c>
      <c r="C255" s="152"/>
      <c r="F255" s="136"/>
      <c r="G255" s="136"/>
      <c r="H255" s="136"/>
      <c r="I255" s="136"/>
      <c r="J255" s="136"/>
      <c r="K255" s="136"/>
      <c r="L255" s="136"/>
      <c r="M255" s="136"/>
      <c r="N255" s="136"/>
      <c r="O255" s="136"/>
      <c r="P255" s="136"/>
      <c r="Q255" s="136"/>
      <c r="T255" s="137">
        <f>SUM(F255:Q255)</f>
        <v>0</v>
      </c>
      <c r="U255" s="138" t="s">
        <v>341</v>
      </c>
      <c r="V255" s="139"/>
      <c r="W255" s="140">
        <f>T255*3413/1000000</f>
        <v>0</v>
      </c>
      <c r="X255" s="138" t="s">
        <v>342</v>
      </c>
      <c r="Y255" s="157"/>
      <c r="Z255" s="157"/>
    </row>
    <row r="256" spans="1:26" s="125" customFormat="1" x14ac:dyDescent="0.25">
      <c r="A256" s="461"/>
      <c r="B256" s="135" t="s">
        <v>345</v>
      </c>
      <c r="C256" s="152"/>
      <c r="F256" s="141"/>
      <c r="G256" s="141"/>
      <c r="H256" s="141"/>
      <c r="I256" s="141"/>
      <c r="J256" s="141"/>
      <c r="K256" s="141"/>
      <c r="L256" s="141"/>
      <c r="M256" s="141"/>
      <c r="N256" s="141"/>
      <c r="O256" s="141"/>
      <c r="P256" s="141"/>
      <c r="Q256" s="141"/>
      <c r="T256" s="137">
        <f>SUM(F256:Q256)</f>
        <v>0</v>
      </c>
      <c r="U256" s="138" t="s">
        <v>346</v>
      </c>
      <c r="V256" s="139"/>
      <c r="W256" s="137">
        <f>T256</f>
        <v>0</v>
      </c>
      <c r="X256" s="138" t="s">
        <v>346</v>
      </c>
      <c r="Y256" s="157"/>
      <c r="Z256" s="157"/>
    </row>
    <row r="257" spans="1:26" s="125" customFormat="1" x14ac:dyDescent="0.25">
      <c r="A257" s="461"/>
      <c r="B257" s="135" t="s">
        <v>347</v>
      </c>
      <c r="C257" s="152"/>
      <c r="F257" s="142"/>
      <c r="G257" s="142"/>
      <c r="H257" s="142"/>
      <c r="I257" s="142"/>
      <c r="J257" s="142"/>
      <c r="K257" s="142"/>
      <c r="L257" s="142"/>
      <c r="M257" s="142"/>
      <c r="N257" s="142"/>
      <c r="O257" s="142"/>
      <c r="P257" s="142"/>
      <c r="Q257" s="142"/>
      <c r="T257" s="143">
        <f>SUM(F257:Q257)</f>
        <v>0</v>
      </c>
      <c r="U257" s="138"/>
      <c r="V257" s="139"/>
      <c r="W257" s="143">
        <f>T257</f>
        <v>0</v>
      </c>
      <c r="X257" s="138"/>
      <c r="Y257" s="157"/>
      <c r="Z257" s="157"/>
    </row>
    <row r="258" spans="1:26" s="125" customFormat="1" x14ac:dyDescent="0.25">
      <c r="A258" s="461"/>
      <c r="C258" s="152"/>
      <c r="S258" s="126"/>
      <c r="V258" s="126"/>
      <c r="Y258" s="157"/>
      <c r="Z258" s="157"/>
    </row>
    <row r="259" spans="1:26" s="125" customFormat="1" x14ac:dyDescent="0.25">
      <c r="A259" s="461">
        <v>28</v>
      </c>
      <c r="B259" s="148" t="s">
        <v>569</v>
      </c>
      <c r="C259" s="152"/>
      <c r="E259" s="157"/>
      <c r="F259" s="157"/>
      <c r="G259" s="157"/>
      <c r="H259" s="157"/>
      <c r="I259" s="157"/>
      <c r="J259" s="157"/>
      <c r="K259" s="157"/>
      <c r="L259" s="157"/>
      <c r="M259" s="157"/>
      <c r="N259" s="157"/>
      <c r="O259" s="157"/>
      <c r="P259" s="157"/>
      <c r="S259" s="126"/>
      <c r="T259" s="148" t="s">
        <v>569</v>
      </c>
      <c r="V259" s="126"/>
      <c r="Y259" s="157"/>
      <c r="Z259" s="157"/>
    </row>
    <row r="260" spans="1:26" s="157" customFormat="1" x14ac:dyDescent="0.25">
      <c r="A260" s="461"/>
      <c r="B260" s="130" t="s">
        <v>337</v>
      </c>
      <c r="C260" s="186" t="s">
        <v>392</v>
      </c>
      <c r="D260" s="131">
        <v>41456</v>
      </c>
      <c r="E260" s="131">
        <v>41487</v>
      </c>
      <c r="F260" s="131">
        <v>41518</v>
      </c>
      <c r="G260" s="131">
        <v>41548</v>
      </c>
      <c r="H260" s="131">
        <v>41579</v>
      </c>
      <c r="I260" s="131">
        <v>41609</v>
      </c>
      <c r="J260" s="131">
        <v>41640</v>
      </c>
      <c r="K260" s="131">
        <v>41671</v>
      </c>
      <c r="L260" s="131">
        <v>41699</v>
      </c>
      <c r="M260" s="131">
        <v>41730</v>
      </c>
      <c r="N260" s="131">
        <v>41760</v>
      </c>
      <c r="O260" s="131">
        <v>41791</v>
      </c>
      <c r="P260" s="131">
        <v>41821</v>
      </c>
      <c r="Q260" s="131">
        <v>41852</v>
      </c>
      <c r="R260" s="560">
        <v>41896</v>
      </c>
      <c r="T260" s="133" t="s">
        <v>338</v>
      </c>
      <c r="U260" s="134" t="s">
        <v>339</v>
      </c>
      <c r="V260" s="132"/>
      <c r="W260" s="133" t="s">
        <v>338</v>
      </c>
      <c r="X260" s="134" t="s">
        <v>339</v>
      </c>
    </row>
    <row r="261" spans="1:26" s="157" customFormat="1" x14ac:dyDescent="0.25">
      <c r="A261" s="461"/>
      <c r="B261" s="135" t="s">
        <v>319</v>
      </c>
      <c r="C261" s="599"/>
      <c r="E261" s="554"/>
      <c r="F261" s="558">
        <v>188476.34</v>
      </c>
      <c r="G261" s="558">
        <v>187630.31</v>
      </c>
      <c r="H261" s="558">
        <v>177812.54</v>
      </c>
      <c r="I261" s="558">
        <v>176182.44</v>
      </c>
      <c r="J261" s="558">
        <v>184912.54</v>
      </c>
      <c r="K261" s="558">
        <v>167556.57999999999</v>
      </c>
      <c r="L261" s="558">
        <v>187339.86</v>
      </c>
      <c r="M261" s="558">
        <v>186005.46</v>
      </c>
      <c r="N261" s="558">
        <v>201417.79</v>
      </c>
      <c r="O261" s="558">
        <v>186189</v>
      </c>
      <c r="P261" s="558">
        <v>190007</v>
      </c>
      <c r="Q261" s="160">
        <v>191943</v>
      </c>
      <c r="R261" s="554"/>
      <c r="T261" s="141">
        <f>SUM(F261:Q261)</f>
        <v>2225472.8600000003</v>
      </c>
      <c r="U261" s="188" t="s">
        <v>341</v>
      </c>
      <c r="W261" s="140">
        <f>T261*3413/1000000</f>
        <v>7595.5388711800015</v>
      </c>
      <c r="X261" s="138" t="s">
        <v>342</v>
      </c>
    </row>
    <row r="262" spans="1:26" s="157" customFormat="1" x14ac:dyDescent="0.25">
      <c r="A262" s="461"/>
      <c r="B262" s="192" t="s">
        <v>323</v>
      </c>
      <c r="C262" s="599"/>
      <c r="E262" s="554"/>
      <c r="F262" s="141"/>
      <c r="G262" s="141"/>
      <c r="H262" s="141"/>
      <c r="I262" s="141"/>
      <c r="J262" s="141"/>
      <c r="K262" s="141"/>
      <c r="L262" s="141"/>
      <c r="M262" s="141"/>
      <c r="N262" s="141"/>
      <c r="O262" s="141"/>
      <c r="P262" s="141"/>
      <c r="Q262" s="141"/>
      <c r="R262" s="554"/>
      <c r="T262" s="141">
        <f>SUM(F262:Q262)</f>
        <v>0</v>
      </c>
      <c r="U262" s="188" t="s">
        <v>397</v>
      </c>
      <c r="W262" s="193">
        <f>T262*0.012</f>
        <v>0</v>
      </c>
      <c r="X262" s="138" t="s">
        <v>342</v>
      </c>
    </row>
    <row r="263" spans="1:26" s="157" customFormat="1" x14ac:dyDescent="0.25">
      <c r="A263" s="461"/>
      <c r="B263" s="135" t="s">
        <v>322</v>
      </c>
      <c r="C263" s="599"/>
      <c r="E263" s="554"/>
      <c r="F263" s="141"/>
      <c r="G263" s="141"/>
      <c r="H263" s="141"/>
      <c r="I263" s="141"/>
      <c r="J263" s="141"/>
      <c r="K263" s="141"/>
      <c r="L263" s="141"/>
      <c r="M263" s="141"/>
      <c r="N263" s="141"/>
      <c r="O263" s="141"/>
      <c r="P263" s="141"/>
      <c r="Q263" s="141"/>
      <c r="R263" s="554"/>
      <c r="T263" s="141">
        <f>SUM(F263:Q263)</f>
        <v>0</v>
      </c>
      <c r="U263" s="188" t="s">
        <v>346</v>
      </c>
      <c r="W263" s="141">
        <f>T263</f>
        <v>0</v>
      </c>
      <c r="X263" s="188" t="s">
        <v>346</v>
      </c>
    </row>
    <row r="264" spans="1:26" s="157" customFormat="1" x14ac:dyDescent="0.25">
      <c r="A264" s="461"/>
      <c r="B264" s="135" t="s">
        <v>324</v>
      </c>
      <c r="C264" s="599"/>
      <c r="E264" s="554"/>
      <c r="F264" s="142">
        <v>17716.775959999999</v>
      </c>
      <c r="G264" s="142">
        <v>17637.24914</v>
      </c>
      <c r="H264" s="142">
        <v>16714.37876</v>
      </c>
      <c r="I264" s="142">
        <v>16561.149359999999</v>
      </c>
      <c r="J264" s="142">
        <v>17381.778760000001</v>
      </c>
      <c r="K264" s="142">
        <v>15750.318519999999</v>
      </c>
      <c r="L264" s="142">
        <v>17609.946840000001</v>
      </c>
      <c r="M264" s="142">
        <v>17484.51324</v>
      </c>
      <c r="N264" s="142">
        <v>18933.272260000002</v>
      </c>
      <c r="O264" s="142">
        <v>17501.766</v>
      </c>
      <c r="P264" s="142">
        <v>17860.657999999999</v>
      </c>
      <c r="Q264" s="142">
        <v>18042.642</v>
      </c>
      <c r="R264" s="554"/>
      <c r="T264" s="171">
        <f>SUM(F264:Q264)</f>
        <v>209194.44884</v>
      </c>
      <c r="U264" s="188"/>
      <c r="W264" s="190">
        <f>T264</f>
        <v>209194.44884</v>
      </c>
      <c r="X264" s="188"/>
    </row>
    <row r="265" spans="1:26" s="157" customFormat="1" x14ac:dyDescent="0.25">
      <c r="A265" s="461"/>
      <c r="B265" s="195" t="s">
        <v>398</v>
      </c>
      <c r="C265" s="599"/>
      <c r="E265" s="554"/>
      <c r="F265" s="198"/>
      <c r="G265" s="198"/>
      <c r="H265" s="198"/>
      <c r="I265" s="198"/>
      <c r="J265" s="198"/>
      <c r="K265" s="198"/>
      <c r="L265" s="198"/>
      <c r="M265" s="198"/>
      <c r="N265" s="198"/>
      <c r="O265" s="198"/>
      <c r="P265" s="198"/>
      <c r="Q265" s="198"/>
      <c r="R265" s="554"/>
      <c r="T265" s="171">
        <f>SUM(F265:Q265)</f>
        <v>0</v>
      </c>
      <c r="U265" s="188"/>
      <c r="W265" s="190">
        <v>0</v>
      </c>
      <c r="X265" s="188"/>
    </row>
    <row r="266" spans="1:26" s="125" customFormat="1" ht="16.5" x14ac:dyDescent="0.35">
      <c r="A266" s="461"/>
      <c r="B266" s="144" t="s">
        <v>374</v>
      </c>
      <c r="C266" s="611"/>
      <c r="E266" s="179"/>
      <c r="F266" s="145"/>
      <c r="G266" s="145"/>
      <c r="H266" s="145"/>
      <c r="I266" s="145"/>
      <c r="J266" s="145"/>
      <c r="K266" s="145"/>
      <c r="L266" s="145"/>
      <c r="M266" s="145"/>
      <c r="N266" s="145"/>
      <c r="O266" s="145"/>
      <c r="P266" s="145"/>
      <c r="Q266" s="440"/>
      <c r="R266" s="444"/>
      <c r="T266" s="143">
        <f>SUM(E266:Q266)</f>
        <v>0</v>
      </c>
      <c r="U266" s="138"/>
      <c r="V266" s="139"/>
      <c r="W266" s="146">
        <f>T266</f>
        <v>0</v>
      </c>
      <c r="X266" s="138"/>
      <c r="Y266" s="157"/>
      <c r="Z266" s="157"/>
    </row>
    <row r="267" spans="1:26" s="125" customFormat="1" x14ac:dyDescent="0.25">
      <c r="A267" s="461"/>
      <c r="B267" s="205"/>
      <c r="C267" s="152"/>
      <c r="E267" s="201"/>
      <c r="F267" s="206"/>
      <c r="G267" s="202"/>
      <c r="H267" s="203"/>
      <c r="I267" s="203"/>
      <c r="J267" s="203"/>
      <c r="K267" s="203"/>
      <c r="L267" s="203"/>
      <c r="M267" s="203"/>
      <c r="N267" s="203"/>
      <c r="O267" s="203"/>
      <c r="P267" s="203"/>
      <c r="U267" s="126"/>
      <c r="W267" s="190">
        <f>SUM(W264:W265)</f>
        <v>209194.44884</v>
      </c>
      <c r="X267" s="450"/>
      <c r="Y267" s="157"/>
      <c r="Z267" s="157"/>
    </row>
    <row r="269" spans="1:26" s="125" customFormat="1" x14ac:dyDescent="0.25">
      <c r="A269" s="461">
        <v>29</v>
      </c>
      <c r="B269" s="148" t="s">
        <v>571</v>
      </c>
      <c r="C269" s="152"/>
      <c r="E269" s="157"/>
      <c r="F269" s="157"/>
      <c r="G269" s="157"/>
      <c r="H269" s="157"/>
      <c r="I269" s="157"/>
      <c r="J269" s="157"/>
      <c r="K269" s="157"/>
      <c r="L269" s="157"/>
      <c r="M269" s="157"/>
      <c r="N269" s="157"/>
      <c r="O269" s="157"/>
      <c r="P269" s="157"/>
      <c r="S269" s="126"/>
      <c r="T269" s="148" t="s">
        <v>571</v>
      </c>
      <c r="V269" s="126"/>
      <c r="Y269" s="157"/>
      <c r="Z269" s="157"/>
    </row>
    <row r="270" spans="1:26" s="157" customFormat="1" x14ac:dyDescent="0.25">
      <c r="A270" s="461"/>
      <c r="B270" s="130" t="s">
        <v>337</v>
      </c>
      <c r="C270" s="186" t="s">
        <v>392</v>
      </c>
      <c r="D270" s="131">
        <v>41456</v>
      </c>
      <c r="E270" s="131">
        <v>41487</v>
      </c>
      <c r="F270" s="131">
        <v>41518</v>
      </c>
      <c r="G270" s="131">
        <v>41548</v>
      </c>
      <c r="H270" s="131">
        <v>41579</v>
      </c>
      <c r="I270" s="131">
        <v>41609</v>
      </c>
      <c r="J270" s="131">
        <v>41640</v>
      </c>
      <c r="K270" s="131">
        <v>41671</v>
      </c>
      <c r="L270" s="131">
        <v>41699</v>
      </c>
      <c r="M270" s="131">
        <v>41730</v>
      </c>
      <c r="N270" s="131">
        <v>41760</v>
      </c>
      <c r="O270" s="131">
        <v>41791</v>
      </c>
      <c r="P270" s="131">
        <v>41821</v>
      </c>
      <c r="Q270" s="131">
        <v>41852</v>
      </c>
      <c r="R270" s="131">
        <v>41896</v>
      </c>
      <c r="T270" s="133" t="s">
        <v>338</v>
      </c>
      <c r="U270" s="134" t="s">
        <v>339</v>
      </c>
      <c r="V270" s="132"/>
      <c r="W270" s="133" t="s">
        <v>338</v>
      </c>
      <c r="X270" s="134" t="s">
        <v>339</v>
      </c>
    </row>
    <row r="271" spans="1:26" s="157" customFormat="1" x14ac:dyDescent="0.25">
      <c r="A271" s="461"/>
      <c r="B271" s="135" t="s">
        <v>319</v>
      </c>
      <c r="C271" s="599"/>
      <c r="F271" s="136"/>
      <c r="G271" s="136"/>
      <c r="H271" s="136"/>
      <c r="I271" s="136"/>
      <c r="J271" s="136"/>
      <c r="K271" s="136"/>
      <c r="L271" s="136"/>
      <c r="M271" s="136"/>
      <c r="N271" s="136"/>
      <c r="O271" s="136"/>
      <c r="P271" s="136"/>
      <c r="Q271" s="136"/>
      <c r="T271" s="141">
        <f>SUM(F271:Q271)</f>
        <v>0</v>
      </c>
      <c r="U271" s="188" t="s">
        <v>341</v>
      </c>
      <c r="W271" s="140">
        <f>T271*3413/1000000</f>
        <v>0</v>
      </c>
      <c r="X271" s="138" t="s">
        <v>342</v>
      </c>
    </row>
    <row r="272" spans="1:26" s="157" customFormat="1" x14ac:dyDescent="0.25">
      <c r="A272" s="461"/>
      <c r="B272" s="135" t="s">
        <v>572</v>
      </c>
      <c r="C272" s="599"/>
      <c r="F272" s="137"/>
      <c r="G272" s="137"/>
      <c r="H272" s="137"/>
      <c r="I272" s="136"/>
      <c r="J272" s="136"/>
      <c r="K272" s="136"/>
      <c r="L272" s="136"/>
      <c r="M272" s="136"/>
      <c r="N272" s="136"/>
      <c r="O272" s="136"/>
      <c r="P272" s="136"/>
      <c r="Q272" s="136"/>
      <c r="T272" s="141">
        <f>SUM(F272:Q272)</f>
        <v>0</v>
      </c>
      <c r="U272" s="188" t="s">
        <v>344</v>
      </c>
      <c r="W272" s="160">
        <f>T272/1000</f>
        <v>0</v>
      </c>
      <c r="X272" s="138" t="s">
        <v>342</v>
      </c>
    </row>
    <row r="273" spans="1:26" s="157" customFormat="1" x14ac:dyDescent="0.25">
      <c r="A273" s="461"/>
      <c r="B273" s="192" t="s">
        <v>323</v>
      </c>
      <c r="C273" s="599"/>
      <c r="F273" s="141"/>
      <c r="G273" s="141"/>
      <c r="H273" s="141"/>
      <c r="I273" s="141"/>
      <c r="J273" s="141"/>
      <c r="K273" s="141"/>
      <c r="L273" s="141"/>
      <c r="M273" s="141"/>
      <c r="N273" s="141"/>
      <c r="O273" s="141"/>
      <c r="P273" s="141"/>
      <c r="Q273" s="141"/>
      <c r="T273" s="141">
        <f>SUM(F273:Q273)</f>
        <v>0</v>
      </c>
      <c r="U273" s="188" t="s">
        <v>397</v>
      </c>
      <c r="W273" s="193">
        <f>T273*0.012</f>
        <v>0</v>
      </c>
      <c r="X273" s="138" t="s">
        <v>342</v>
      </c>
    </row>
    <row r="274" spans="1:26" s="157" customFormat="1" x14ac:dyDescent="0.25">
      <c r="A274" s="461"/>
      <c r="B274" s="135" t="s">
        <v>345</v>
      </c>
      <c r="C274" s="599"/>
      <c r="F274" s="141"/>
      <c r="G274" s="141"/>
      <c r="H274" s="141"/>
      <c r="I274" s="141"/>
      <c r="J274" s="141"/>
      <c r="K274" s="141"/>
      <c r="L274" s="141"/>
      <c r="M274" s="141"/>
      <c r="N274" s="141"/>
      <c r="O274" s="141"/>
      <c r="P274" s="141"/>
      <c r="Q274" s="141"/>
      <c r="T274" s="141">
        <f>SUM(F274:Q274)</f>
        <v>0</v>
      </c>
      <c r="U274" s="188" t="s">
        <v>346</v>
      </c>
      <c r="W274" s="141">
        <f>T274</f>
        <v>0</v>
      </c>
      <c r="X274" s="188" t="s">
        <v>346</v>
      </c>
    </row>
    <row r="275" spans="1:26" s="157" customFormat="1" x14ac:dyDescent="0.25">
      <c r="A275" s="461"/>
      <c r="B275" s="135" t="s">
        <v>324</v>
      </c>
      <c r="C275" s="599"/>
      <c r="F275" s="142"/>
      <c r="G275" s="142"/>
      <c r="H275" s="142"/>
      <c r="I275" s="142"/>
      <c r="J275" s="142"/>
      <c r="K275" s="142"/>
      <c r="L275" s="142"/>
      <c r="M275" s="142"/>
      <c r="N275" s="142"/>
      <c r="O275" s="142"/>
      <c r="P275" s="142"/>
      <c r="Q275" s="142"/>
      <c r="T275" s="171">
        <f>SUM(F275:Q275)</f>
        <v>0</v>
      </c>
      <c r="U275" s="188"/>
      <c r="W275" s="190">
        <f>T275</f>
        <v>0</v>
      </c>
      <c r="X275" s="188"/>
    </row>
    <row r="276" spans="1:26" s="157" customFormat="1" x14ac:dyDescent="0.25">
      <c r="A276" s="461"/>
      <c r="B276" s="204" t="s">
        <v>573</v>
      </c>
      <c r="C276" s="599"/>
      <c r="F276" s="198"/>
      <c r="G276" s="198"/>
      <c r="H276" s="198"/>
      <c r="I276" s="171"/>
      <c r="J276" s="171"/>
      <c r="K276" s="171"/>
      <c r="L276" s="171"/>
      <c r="M276" s="171"/>
      <c r="N276" s="171"/>
      <c r="O276" s="171"/>
      <c r="P276" s="171"/>
      <c r="Q276" s="171"/>
      <c r="T276" s="171">
        <f>SUM(G276:Q276)</f>
        <v>0</v>
      </c>
      <c r="U276" s="188"/>
      <c r="W276" s="190">
        <f>T276</f>
        <v>0</v>
      </c>
      <c r="X276" s="188"/>
    </row>
    <row r="277" spans="1:26" s="157" customFormat="1" ht="16.5" x14ac:dyDescent="0.35">
      <c r="A277" s="461"/>
      <c r="B277" s="195" t="s">
        <v>398</v>
      </c>
      <c r="C277" s="599"/>
      <c r="F277" s="198"/>
      <c r="G277" s="198"/>
      <c r="H277" s="198"/>
      <c r="I277" s="198"/>
      <c r="J277" s="198"/>
      <c r="K277" s="198"/>
      <c r="L277" s="198"/>
      <c r="M277" s="198"/>
      <c r="N277" s="198"/>
      <c r="O277" s="198"/>
      <c r="P277" s="198"/>
      <c r="Q277" s="198"/>
      <c r="T277" s="171">
        <f>SUM(G277:Q277)</f>
        <v>0</v>
      </c>
      <c r="U277" s="188"/>
      <c r="W277" s="197">
        <v>0</v>
      </c>
      <c r="X277" s="188"/>
    </row>
    <row r="278" spans="1:26" s="125" customFormat="1" x14ac:dyDescent="0.25">
      <c r="A278" s="461"/>
      <c r="B278" s="205"/>
      <c r="C278" s="152"/>
      <c r="E278" s="201"/>
      <c r="F278" s="206"/>
      <c r="G278" s="202"/>
      <c r="H278" s="203"/>
      <c r="I278" s="203"/>
      <c r="J278" s="203"/>
      <c r="K278" s="203"/>
      <c r="L278" s="203"/>
      <c r="M278" s="203"/>
      <c r="N278" s="203"/>
      <c r="O278" s="203"/>
      <c r="P278" s="203"/>
      <c r="U278" s="126"/>
      <c r="W278" s="190">
        <f>SUM(W275:W277)</f>
        <v>0</v>
      </c>
      <c r="X278" s="450"/>
      <c r="Y278" s="157"/>
      <c r="Z278" s="157"/>
    </row>
    <row r="280" spans="1:26" s="125" customFormat="1" x14ac:dyDescent="0.25">
      <c r="A280" s="461">
        <v>30</v>
      </c>
      <c r="B280" s="148" t="s">
        <v>574</v>
      </c>
      <c r="C280" s="152"/>
      <c r="R280" s="139"/>
      <c r="S280" s="147"/>
      <c r="T280" s="148" t="s">
        <v>574</v>
      </c>
      <c r="U280" s="149"/>
      <c r="V280" s="150"/>
      <c r="Y280" s="157"/>
      <c r="Z280" s="157"/>
    </row>
    <row r="281" spans="1:26" s="125" customFormat="1" x14ac:dyDescent="0.25">
      <c r="A281" s="461"/>
      <c r="B281" s="130" t="s">
        <v>337</v>
      </c>
      <c r="C281" s="186" t="s">
        <v>392</v>
      </c>
      <c r="D281" s="131">
        <v>41456</v>
      </c>
      <c r="E281" s="131">
        <v>41487</v>
      </c>
      <c r="F281" s="131">
        <v>41518</v>
      </c>
      <c r="G281" s="131">
        <v>41548</v>
      </c>
      <c r="H281" s="131">
        <v>41579</v>
      </c>
      <c r="I281" s="131">
        <v>41609</v>
      </c>
      <c r="J281" s="131">
        <v>41640</v>
      </c>
      <c r="K281" s="131">
        <v>41671</v>
      </c>
      <c r="L281" s="131">
        <v>41699</v>
      </c>
      <c r="M281" s="131">
        <v>41730</v>
      </c>
      <c r="N281" s="131">
        <v>41760</v>
      </c>
      <c r="O281" s="131">
        <v>41791</v>
      </c>
      <c r="P281" s="131">
        <v>41821</v>
      </c>
      <c r="Q281" s="151">
        <v>41852</v>
      </c>
      <c r="R281" s="131">
        <v>41896</v>
      </c>
      <c r="T281" s="133" t="s">
        <v>338</v>
      </c>
      <c r="U281" s="134" t="s">
        <v>339</v>
      </c>
      <c r="V281" s="132"/>
      <c r="W281" s="133" t="s">
        <v>338</v>
      </c>
      <c r="X281" s="134" t="s">
        <v>339</v>
      </c>
      <c r="Y281" s="157"/>
      <c r="Z281" s="157"/>
    </row>
    <row r="282" spans="1:26" s="125" customFormat="1" x14ac:dyDescent="0.25">
      <c r="A282" s="461"/>
      <c r="B282" s="153" t="s">
        <v>360</v>
      </c>
      <c r="C282" s="152"/>
      <c r="E282" s="596"/>
      <c r="F282" s="140">
        <v>365680.8244891112</v>
      </c>
      <c r="G282" s="140">
        <v>375253.55401185888</v>
      </c>
      <c r="H282" s="140">
        <v>367059.53885077999</v>
      </c>
      <c r="I282" s="140">
        <v>350414.18216038647</v>
      </c>
      <c r="J282" s="140">
        <v>349761.61526302574</v>
      </c>
      <c r="K282" s="140">
        <v>329313.94029343984</v>
      </c>
      <c r="L282" s="140">
        <v>325871.92237640568</v>
      </c>
      <c r="M282" s="140">
        <v>341362.9913330077</v>
      </c>
      <c r="N282" s="140">
        <v>347227.02026367199</v>
      </c>
      <c r="O282" s="140">
        <v>347058.95996092999</v>
      </c>
      <c r="P282" s="140">
        <v>352408.08105469</v>
      </c>
      <c r="Q282" s="160">
        <v>352410.88867188001</v>
      </c>
      <c r="T282" s="159">
        <f t="shared" ref="T282:T288" si="12">SUM(E282:Q282)</f>
        <v>4203823.5187291875</v>
      </c>
      <c r="U282" s="138" t="s">
        <v>361</v>
      </c>
      <c r="V282" s="139"/>
      <c r="W282" s="140">
        <f>T282*3413/1000000</f>
        <v>14347.649669422719</v>
      </c>
      <c r="X282" s="138" t="s">
        <v>342</v>
      </c>
      <c r="Y282" s="157"/>
      <c r="Z282" s="157"/>
    </row>
    <row r="283" spans="1:26" s="125" customFormat="1" x14ac:dyDescent="0.25">
      <c r="A283" s="461"/>
      <c r="B283" s="153" t="s">
        <v>362</v>
      </c>
      <c r="C283" s="152"/>
      <c r="E283" s="596"/>
      <c r="F283" s="140">
        <v>385.39843053314303</v>
      </c>
      <c r="G283" s="140">
        <v>768.36</v>
      </c>
      <c r="H283" s="140">
        <v>928.36</v>
      </c>
      <c r="I283" s="140">
        <v>802.45</v>
      </c>
      <c r="J283" s="140">
        <v>905.56</v>
      </c>
      <c r="K283" s="140">
        <v>790.99</v>
      </c>
      <c r="L283" s="140">
        <v>663.48</v>
      </c>
      <c r="M283" s="140">
        <v>268.39999999999998</v>
      </c>
      <c r="N283" s="140">
        <v>7223.2079999999996</v>
      </c>
      <c r="O283" s="140">
        <v>6896.7520000000004</v>
      </c>
      <c r="P283" s="140">
        <v>6485.24</v>
      </c>
      <c r="Q283" s="160">
        <v>6501.92</v>
      </c>
      <c r="T283" s="159">
        <f t="shared" si="12"/>
        <v>32620.118430533141</v>
      </c>
      <c r="U283" s="138" t="s">
        <v>363</v>
      </c>
      <c r="V283" s="139"/>
      <c r="W283" s="160">
        <f>T283*10*100000/1000000</f>
        <v>32620.118430533141</v>
      </c>
      <c r="X283" s="138" t="s">
        <v>342</v>
      </c>
      <c r="Y283" s="157"/>
      <c r="Z283" s="157"/>
    </row>
    <row r="284" spans="1:26" s="125" customFormat="1" x14ac:dyDescent="0.25">
      <c r="A284" s="461"/>
      <c r="B284" s="153" t="s">
        <v>364</v>
      </c>
      <c r="C284" s="152"/>
      <c r="E284" s="596"/>
      <c r="F284" s="140" t="s">
        <v>13</v>
      </c>
      <c r="G284" s="140" t="s">
        <v>13</v>
      </c>
      <c r="H284" s="140">
        <v>5385</v>
      </c>
      <c r="I284" s="140">
        <v>1274</v>
      </c>
      <c r="J284" s="140">
        <v>1539</v>
      </c>
      <c r="K284" s="140">
        <v>1287</v>
      </c>
      <c r="L284" s="140">
        <v>1275</v>
      </c>
      <c r="M284" s="140">
        <v>1023</v>
      </c>
      <c r="N284" s="140">
        <v>1024</v>
      </c>
      <c r="O284" s="140">
        <v>985</v>
      </c>
      <c r="P284" s="140">
        <v>343.296875</v>
      </c>
      <c r="Q284" s="160">
        <v>345.3046875</v>
      </c>
      <c r="T284" s="161">
        <f t="shared" si="12"/>
        <v>14480.6015625</v>
      </c>
      <c r="U284" s="162" t="s">
        <v>365</v>
      </c>
      <c r="V284" s="163"/>
      <c r="W284" s="164">
        <f>T284</f>
        <v>14480.6015625</v>
      </c>
      <c r="X284" s="138" t="s">
        <v>342</v>
      </c>
      <c r="Y284" s="495">
        <f>W282+W283+W284</f>
        <v>61448.369662455858</v>
      </c>
      <c r="Z284" s="138" t="s">
        <v>342</v>
      </c>
    </row>
    <row r="285" spans="1:26" s="166" customFormat="1" x14ac:dyDescent="0.25">
      <c r="A285" s="459"/>
      <c r="B285" s="165" t="s">
        <v>366</v>
      </c>
      <c r="C285" s="610"/>
      <c r="E285" s="767"/>
      <c r="F285" s="768">
        <v>145.96268345970987</v>
      </c>
      <c r="G285" s="768">
        <v>164.33358123590159</v>
      </c>
      <c r="H285" s="768">
        <v>157.07902519935681</v>
      </c>
      <c r="I285" s="768">
        <v>112.49442656831353</v>
      </c>
      <c r="J285" s="768">
        <v>112.18461294887831</v>
      </c>
      <c r="K285" s="769">
        <v>126.30492148728011</v>
      </c>
      <c r="L285" s="769">
        <v>164.66104038337704</v>
      </c>
      <c r="M285" s="769">
        <v>175.06073167458806</v>
      </c>
      <c r="N285" s="769">
        <v>120.18142156862746</v>
      </c>
      <c r="O285" s="769">
        <v>575</v>
      </c>
      <c r="P285" s="769">
        <v>341</v>
      </c>
      <c r="Q285" s="770">
        <v>301</v>
      </c>
      <c r="T285" s="170">
        <f t="shared" si="12"/>
        <v>2495.2624445260326</v>
      </c>
      <c r="U285" s="162" t="s">
        <v>379</v>
      </c>
      <c r="V285" s="163"/>
      <c r="W285" s="164">
        <f>T285*748</f>
        <v>1866456.3085054725</v>
      </c>
      <c r="X285" s="162" t="s">
        <v>346</v>
      </c>
    </row>
    <row r="286" spans="1:26" s="125" customFormat="1" x14ac:dyDescent="0.25">
      <c r="A286" s="461"/>
      <c r="B286" s="153" t="s">
        <v>368</v>
      </c>
      <c r="C286" s="152"/>
      <c r="E286" s="184"/>
      <c r="F286" s="171">
        <v>31814.23173055267</v>
      </c>
      <c r="G286" s="171">
        <v>32647.059199031719</v>
      </c>
      <c r="H286" s="171">
        <v>31934.179880017859</v>
      </c>
      <c r="I286" s="171">
        <v>30486.033847953622</v>
      </c>
      <c r="J286" s="171">
        <v>30429.260527883238</v>
      </c>
      <c r="K286" s="171">
        <v>28650.312805529265</v>
      </c>
      <c r="L286" s="171">
        <v>28350.857246747291</v>
      </c>
      <c r="M286" s="171">
        <v>29698.580245971669</v>
      </c>
      <c r="N286" s="171">
        <v>30208.75076293946</v>
      </c>
      <c r="O286" s="171">
        <v>30194.129516600908</v>
      </c>
      <c r="P286" s="171">
        <v>30659.503051758027</v>
      </c>
      <c r="Q286" s="171">
        <v>30659.747314453558</v>
      </c>
      <c r="T286" s="143">
        <f t="shared" si="12"/>
        <v>365732.64612943935</v>
      </c>
      <c r="U286" s="138"/>
      <c r="V286" s="139"/>
      <c r="W286" s="143">
        <f>T286</f>
        <v>365732.64612943935</v>
      </c>
      <c r="X286" s="138"/>
      <c r="Y286" s="157"/>
      <c r="Z286" s="157"/>
    </row>
    <row r="287" spans="1:26" s="125" customFormat="1" x14ac:dyDescent="0.25">
      <c r="A287" s="461"/>
      <c r="B287" s="153" t="s">
        <v>369</v>
      </c>
      <c r="C287" s="152"/>
      <c r="E287" s="184"/>
      <c r="F287" s="171">
        <v>5283.8124826093908</v>
      </c>
      <c r="G287" s="171">
        <v>10534.215600000001</v>
      </c>
      <c r="H287" s="171">
        <v>12727.815600000002</v>
      </c>
      <c r="I287" s="171">
        <v>11001.589500000002</v>
      </c>
      <c r="J287" s="171">
        <v>12415.2276</v>
      </c>
      <c r="K287" s="171">
        <v>10844.472900000001</v>
      </c>
      <c r="L287" s="171">
        <v>9096.3108000000011</v>
      </c>
      <c r="M287" s="171">
        <v>3679.7640000000001</v>
      </c>
      <c r="N287" s="171">
        <v>99030.181679999994</v>
      </c>
      <c r="O287" s="171">
        <v>94554.469920000018</v>
      </c>
      <c r="P287" s="171">
        <v>93387.456000000006</v>
      </c>
      <c r="Q287" s="171">
        <v>93627.648000000001</v>
      </c>
      <c r="T287" s="143">
        <f t="shared" si="12"/>
        <v>456182.9640826094</v>
      </c>
      <c r="U287" s="138"/>
      <c r="V287" s="139"/>
      <c r="W287" s="143">
        <f>T287</f>
        <v>456182.9640826094</v>
      </c>
      <c r="X287" s="138"/>
      <c r="Y287" s="157"/>
      <c r="Z287" s="157"/>
    </row>
    <row r="288" spans="1:26" s="125" customFormat="1" ht="16.5" x14ac:dyDescent="0.35">
      <c r="A288" s="461"/>
      <c r="B288" s="153" t="s">
        <v>326</v>
      </c>
      <c r="C288" s="152"/>
      <c r="E288" s="184"/>
      <c r="F288" s="171" t="s">
        <v>13</v>
      </c>
      <c r="G288" s="171" t="s">
        <v>13</v>
      </c>
      <c r="H288" s="171">
        <v>77651.7</v>
      </c>
      <c r="I288" s="171">
        <v>18371.079999999998</v>
      </c>
      <c r="J288" s="171">
        <v>22192.38</v>
      </c>
      <c r="K288" s="171">
        <v>18558.54</v>
      </c>
      <c r="L288" s="171">
        <v>18385.5</v>
      </c>
      <c r="M288" s="171">
        <v>14751.66</v>
      </c>
      <c r="N288" s="171">
        <v>14766.08</v>
      </c>
      <c r="O288" s="171">
        <v>14203.7</v>
      </c>
      <c r="P288" s="171">
        <v>4761.5276562499994</v>
      </c>
      <c r="Q288" s="171">
        <v>4789.376015625</v>
      </c>
      <c r="T288" s="143">
        <f t="shared" si="12"/>
        <v>208431.543671875</v>
      </c>
      <c r="U288" s="138"/>
      <c r="V288" s="139"/>
      <c r="W288" s="146">
        <f>T288</f>
        <v>208431.543671875</v>
      </c>
      <c r="X288" s="138"/>
      <c r="Y288" s="157"/>
      <c r="Z288" s="157"/>
    </row>
    <row r="289" spans="1:26" s="125" customFormat="1" x14ac:dyDescent="0.25">
      <c r="A289" s="461"/>
      <c r="C289" s="152"/>
      <c r="T289" s="139"/>
      <c r="U289" s="147"/>
      <c r="V289" s="139"/>
      <c r="W289" s="143">
        <f>SUM(W286:W288)</f>
        <v>1030347.1538839238</v>
      </c>
      <c r="X289" s="150"/>
      <c r="Y289" s="157"/>
      <c r="Z289" s="157"/>
    </row>
    <row r="291" spans="1:26" s="125" customFormat="1" ht="16.5" x14ac:dyDescent="0.35">
      <c r="A291" s="461">
        <v>31</v>
      </c>
      <c r="B291" s="127" t="s">
        <v>611</v>
      </c>
      <c r="C291" s="611"/>
      <c r="D291" s="179"/>
      <c r="E291" s="179"/>
      <c r="F291" s="179"/>
      <c r="G291" s="179"/>
      <c r="H291" s="179"/>
      <c r="I291" s="179"/>
      <c r="J291" s="179"/>
      <c r="K291" s="179"/>
      <c r="L291" s="179"/>
      <c r="M291" s="179"/>
      <c r="N291" s="179"/>
      <c r="O291" s="179"/>
      <c r="R291" s="149"/>
      <c r="S291" s="150"/>
      <c r="T291" s="127" t="s">
        <v>611</v>
      </c>
      <c r="U291" s="181"/>
      <c r="V291" s="150"/>
      <c r="Y291" s="157"/>
      <c r="Z291" s="157"/>
    </row>
    <row r="292" spans="1:26" s="125" customFormat="1" x14ac:dyDescent="0.25">
      <c r="A292" s="461"/>
      <c r="B292" s="130" t="s">
        <v>337</v>
      </c>
      <c r="C292" s="186" t="s">
        <v>392</v>
      </c>
      <c r="D292" s="131">
        <v>41456</v>
      </c>
      <c r="E292" s="131">
        <v>41487</v>
      </c>
      <c r="F292" s="131">
        <v>41518</v>
      </c>
      <c r="G292" s="131">
        <v>41548</v>
      </c>
      <c r="H292" s="131">
        <v>41579</v>
      </c>
      <c r="I292" s="131">
        <v>41609</v>
      </c>
      <c r="J292" s="131">
        <v>41640</v>
      </c>
      <c r="K292" s="131">
        <v>41671</v>
      </c>
      <c r="L292" s="131">
        <v>41699</v>
      </c>
      <c r="M292" s="131">
        <v>41730</v>
      </c>
      <c r="N292" s="131">
        <v>41760</v>
      </c>
      <c r="O292" s="131">
        <v>41791</v>
      </c>
      <c r="P292" s="131">
        <v>41821</v>
      </c>
      <c r="Q292" s="151">
        <v>41852</v>
      </c>
      <c r="R292" s="131">
        <v>41896</v>
      </c>
      <c r="T292" s="133" t="s">
        <v>338</v>
      </c>
      <c r="U292" s="134" t="s">
        <v>339</v>
      </c>
      <c r="V292" s="132"/>
      <c r="W292" s="133" t="s">
        <v>338</v>
      </c>
      <c r="X292" s="134" t="s">
        <v>339</v>
      </c>
      <c r="Y292" s="157"/>
      <c r="Z292" s="157"/>
    </row>
    <row r="293" spans="1:26" s="125" customFormat="1" x14ac:dyDescent="0.25">
      <c r="A293" s="461"/>
      <c r="B293" s="135" t="s">
        <v>340</v>
      </c>
      <c r="C293" s="612"/>
      <c r="D293" s="160">
        <v>161849</v>
      </c>
      <c r="E293" s="160">
        <v>167621</v>
      </c>
      <c r="F293" s="160">
        <v>182746</v>
      </c>
      <c r="G293" s="160">
        <v>175264</v>
      </c>
      <c r="H293" s="160">
        <v>165377</v>
      </c>
      <c r="I293" s="160">
        <v>138223</v>
      </c>
      <c r="J293" s="160">
        <v>119830</v>
      </c>
      <c r="K293" s="160">
        <v>116370</v>
      </c>
      <c r="L293" s="160">
        <v>194940</v>
      </c>
      <c r="M293" s="160">
        <v>100670</v>
      </c>
      <c r="N293" s="160">
        <v>146090</v>
      </c>
      <c r="O293" s="160">
        <v>143280</v>
      </c>
      <c r="P293" s="456"/>
      <c r="T293" s="137">
        <f>SUM(D293:Q293)</f>
        <v>1812260</v>
      </c>
      <c r="U293" s="138" t="s">
        <v>341</v>
      </c>
      <c r="V293" s="139"/>
      <c r="W293" s="140">
        <f>T293*3413/1000000</f>
        <v>6185.2433799999999</v>
      </c>
      <c r="X293" s="138" t="s">
        <v>342</v>
      </c>
      <c r="Y293" s="157"/>
      <c r="Z293" s="157"/>
    </row>
    <row r="294" spans="1:26" s="125" customFormat="1" x14ac:dyDescent="0.25">
      <c r="A294" s="461"/>
      <c r="B294" s="135" t="s">
        <v>372</v>
      </c>
      <c r="C294" s="612"/>
      <c r="D294" s="160">
        <v>1562</v>
      </c>
      <c r="E294" s="160">
        <v>1694</v>
      </c>
      <c r="F294" s="160">
        <v>2077</v>
      </c>
      <c r="G294" s="160">
        <v>2277</v>
      </c>
      <c r="H294" s="160">
        <v>3889</v>
      </c>
      <c r="I294" s="160">
        <v>3340</v>
      </c>
      <c r="J294" s="160">
        <v>4159</v>
      </c>
      <c r="K294" s="160">
        <v>3475</v>
      </c>
      <c r="L294" s="160">
        <v>3298</v>
      </c>
      <c r="M294" s="160">
        <v>2174</v>
      </c>
      <c r="N294" s="160">
        <v>1014</v>
      </c>
      <c r="O294" s="160">
        <v>1031</v>
      </c>
      <c r="P294" s="456"/>
      <c r="T294" s="137">
        <f>SUM(D294:Q294)</f>
        <v>29990</v>
      </c>
      <c r="U294" s="138" t="s">
        <v>354</v>
      </c>
      <c r="V294" s="139"/>
      <c r="W294" s="140">
        <f>T294*99976.124488/1000000</f>
        <v>2998.28397339512</v>
      </c>
      <c r="X294" s="138" t="s">
        <v>342</v>
      </c>
      <c r="Y294" s="495">
        <f>W293+W294</f>
        <v>9183.5273533951204</v>
      </c>
      <c r="Z294" s="153" t="s">
        <v>677</v>
      </c>
    </row>
    <row r="295" spans="1:26" s="125" customFormat="1" x14ac:dyDescent="0.25">
      <c r="A295" s="461"/>
      <c r="B295" s="135" t="s">
        <v>373</v>
      </c>
      <c r="C295" s="201"/>
      <c r="D295" s="160">
        <v>5490</v>
      </c>
      <c r="E295" s="160">
        <v>15661</v>
      </c>
      <c r="F295" s="160">
        <v>14440</v>
      </c>
      <c r="G295" s="160">
        <v>14072</v>
      </c>
      <c r="H295" s="160">
        <v>9708</v>
      </c>
      <c r="I295" s="160">
        <v>2193</v>
      </c>
      <c r="J295" s="160">
        <v>5277</v>
      </c>
      <c r="K295" s="160">
        <v>5689</v>
      </c>
      <c r="L295" s="160">
        <v>12523</v>
      </c>
      <c r="M295" s="160">
        <v>7430</v>
      </c>
      <c r="N295" s="160">
        <v>5461</v>
      </c>
      <c r="O295" s="160">
        <v>5332</v>
      </c>
      <c r="P295" s="456"/>
      <c r="T295" s="137">
        <f>SUM(D295:Q295)</f>
        <v>103276</v>
      </c>
      <c r="U295" s="138" t="s">
        <v>367</v>
      </c>
      <c r="V295" s="139"/>
      <c r="W295" s="137">
        <f>T295*7.48</f>
        <v>772504.4800000001</v>
      </c>
      <c r="X295" s="138" t="s">
        <v>346</v>
      </c>
      <c r="Y295" s="157"/>
      <c r="Z295" s="157"/>
    </row>
    <row r="296" spans="1:26" s="125" customFormat="1" x14ac:dyDescent="0.25">
      <c r="A296" s="461"/>
      <c r="B296" s="135" t="s">
        <v>347</v>
      </c>
      <c r="C296" s="613"/>
      <c r="D296" s="171">
        <v>10816.392602279917</v>
      </c>
      <c r="E296" s="142">
        <v>11123.957804127933</v>
      </c>
      <c r="F296" s="142">
        <v>12342.060358983701</v>
      </c>
      <c r="G296" s="142">
        <v>10621.015500500736</v>
      </c>
      <c r="H296" s="142">
        <v>9495.8339708815201</v>
      </c>
      <c r="I296" s="142">
        <v>8068.3052854392045</v>
      </c>
      <c r="J296" s="142">
        <v>6866.8614618474394</v>
      </c>
      <c r="K296" s="142">
        <v>6784.8210089884014</v>
      </c>
      <c r="L296" s="142">
        <v>11549.652032310985</v>
      </c>
      <c r="M296" s="142">
        <v>5723.0080429161626</v>
      </c>
      <c r="N296" s="142">
        <v>8433.7633411610259</v>
      </c>
      <c r="O296" s="142">
        <v>9293.4420812567732</v>
      </c>
      <c r="P296" s="176"/>
      <c r="T296" s="143">
        <f>SUM(D296:Q296)</f>
        <v>111119.11349069381</v>
      </c>
      <c r="U296" s="138"/>
      <c r="V296" s="139"/>
      <c r="W296" s="143">
        <f>T296</f>
        <v>111119.11349069381</v>
      </c>
      <c r="X296" s="138"/>
      <c r="Y296" s="157"/>
      <c r="Z296" s="157"/>
    </row>
    <row r="297" spans="1:26" s="125" customFormat="1" ht="16.5" x14ac:dyDescent="0.35">
      <c r="A297" s="461"/>
      <c r="B297" s="144" t="s">
        <v>374</v>
      </c>
      <c r="C297" s="611"/>
      <c r="D297" s="171">
        <v>1421.5810309278352</v>
      </c>
      <c r="E297" s="145">
        <v>1536.5429326923077</v>
      </c>
      <c r="F297" s="145">
        <v>1890.94</v>
      </c>
      <c r="G297" s="145">
        <v>2070.6799999999998</v>
      </c>
      <c r="H297" s="145">
        <v>3632.33</v>
      </c>
      <c r="I297" s="145">
        <v>3098.56</v>
      </c>
      <c r="J297" s="145">
        <v>3905.05</v>
      </c>
      <c r="K297" s="145">
        <v>3217.44</v>
      </c>
      <c r="L297" s="145">
        <v>2833.32</v>
      </c>
      <c r="M297" s="145">
        <v>1794.83</v>
      </c>
      <c r="N297" s="145">
        <v>905.17</v>
      </c>
      <c r="O297" s="145">
        <v>940.95</v>
      </c>
      <c r="P297" s="179"/>
      <c r="T297" s="143">
        <f>SUM(D297:Q297)</f>
        <v>27247.393963620143</v>
      </c>
      <c r="U297" s="138"/>
      <c r="V297" s="139"/>
      <c r="W297" s="146">
        <f>T297</f>
        <v>27247.393963620143</v>
      </c>
      <c r="X297" s="138"/>
      <c r="Y297" s="157"/>
      <c r="Z297" s="157"/>
    </row>
    <row r="298" spans="1:26" s="125" customFormat="1" x14ac:dyDescent="0.25">
      <c r="A298" s="461"/>
      <c r="B298" s="180"/>
      <c r="C298" s="611"/>
      <c r="D298" s="179"/>
      <c r="E298" s="179"/>
      <c r="F298" s="179"/>
      <c r="G298" s="179"/>
      <c r="H298" s="179"/>
      <c r="I298" s="179"/>
      <c r="J298" s="179"/>
      <c r="K298" s="179"/>
      <c r="L298" s="179"/>
      <c r="M298" s="179"/>
      <c r="N298" s="179"/>
      <c r="O298" s="179"/>
      <c r="T298" s="149"/>
      <c r="U298" s="150"/>
      <c r="V298" s="139"/>
      <c r="W298" s="143">
        <f>SUM(W296:W297)</f>
        <v>138366.50745431395</v>
      </c>
      <c r="X298" s="138"/>
      <c r="Y298" s="157"/>
      <c r="Z298" s="157"/>
    </row>
    <row r="300" spans="1:26" s="125" customFormat="1" ht="16.5" x14ac:dyDescent="0.35">
      <c r="A300" s="461">
        <v>32</v>
      </c>
      <c r="B300" s="127" t="s">
        <v>612</v>
      </c>
      <c r="C300" s="611"/>
      <c r="D300" s="179"/>
      <c r="E300" s="179"/>
      <c r="F300" s="179"/>
      <c r="G300" s="179"/>
      <c r="H300" s="179"/>
      <c r="I300" s="179"/>
      <c r="J300" s="179"/>
      <c r="K300" s="179"/>
      <c r="L300" s="179"/>
      <c r="M300" s="179"/>
      <c r="N300" s="179"/>
      <c r="O300" s="179"/>
      <c r="R300" s="149"/>
      <c r="S300" s="150"/>
      <c r="T300" s="127" t="s">
        <v>612</v>
      </c>
      <c r="U300" s="181"/>
      <c r="V300" s="150"/>
      <c r="Y300" s="157"/>
      <c r="Z300" s="157"/>
    </row>
    <row r="301" spans="1:26" s="125" customFormat="1" x14ac:dyDescent="0.25">
      <c r="A301" s="461"/>
      <c r="B301" s="130" t="s">
        <v>337</v>
      </c>
      <c r="C301" s="186" t="s">
        <v>392</v>
      </c>
      <c r="D301" s="131">
        <v>41456</v>
      </c>
      <c r="E301" s="131">
        <v>41487</v>
      </c>
      <c r="F301" s="131">
        <v>41518</v>
      </c>
      <c r="G301" s="131">
        <v>41548</v>
      </c>
      <c r="H301" s="131">
        <v>41579</v>
      </c>
      <c r="I301" s="131">
        <v>41609</v>
      </c>
      <c r="J301" s="131">
        <v>41640</v>
      </c>
      <c r="K301" s="131">
        <v>41671</v>
      </c>
      <c r="L301" s="131">
        <v>41699</v>
      </c>
      <c r="M301" s="131">
        <v>41730</v>
      </c>
      <c r="N301" s="131">
        <v>41760</v>
      </c>
      <c r="O301" s="131">
        <v>41791</v>
      </c>
      <c r="P301" s="131">
        <v>41821</v>
      </c>
      <c r="Q301" s="151">
        <v>41852</v>
      </c>
      <c r="R301" s="131">
        <v>41896</v>
      </c>
      <c r="T301" s="133" t="s">
        <v>338</v>
      </c>
      <c r="U301" s="134" t="s">
        <v>339</v>
      </c>
      <c r="V301" s="132"/>
      <c r="W301" s="133" t="s">
        <v>338</v>
      </c>
      <c r="X301" s="134" t="s">
        <v>339</v>
      </c>
      <c r="Y301" s="157"/>
      <c r="Z301" s="157"/>
    </row>
    <row r="302" spans="1:26" s="125" customFormat="1" x14ac:dyDescent="0.25">
      <c r="A302" s="461"/>
      <c r="B302" s="135" t="s">
        <v>340</v>
      </c>
      <c r="C302" s="612"/>
      <c r="E302" s="160">
        <v>161600</v>
      </c>
      <c r="F302" s="160">
        <v>141600</v>
      </c>
      <c r="G302" s="160">
        <v>143400</v>
      </c>
      <c r="H302" s="160">
        <v>149400</v>
      </c>
      <c r="I302" s="160">
        <v>154400</v>
      </c>
      <c r="J302" s="160">
        <v>156800</v>
      </c>
      <c r="K302" s="160">
        <v>156600</v>
      </c>
      <c r="L302" s="160">
        <v>130000</v>
      </c>
      <c r="M302" s="160">
        <v>173200</v>
      </c>
      <c r="N302" s="160">
        <v>135800</v>
      </c>
      <c r="O302" s="160">
        <v>186000</v>
      </c>
      <c r="P302" s="160">
        <v>170800</v>
      </c>
      <c r="T302" s="137">
        <f>SUM(E302:Q302)</f>
        <v>1859600</v>
      </c>
      <c r="U302" s="138" t="s">
        <v>341</v>
      </c>
      <c r="V302" s="139"/>
      <c r="W302" s="140">
        <f>T302*3413/1000000</f>
        <v>6346.8148000000001</v>
      </c>
      <c r="X302" s="138" t="s">
        <v>342</v>
      </c>
      <c r="Y302" s="157"/>
      <c r="Z302" s="157"/>
    </row>
    <row r="303" spans="1:26" s="125" customFormat="1" x14ac:dyDescent="0.25">
      <c r="A303" s="461"/>
      <c r="B303" s="135" t="s">
        <v>372</v>
      </c>
      <c r="C303" s="612"/>
      <c r="E303" s="160">
        <v>723</v>
      </c>
      <c r="F303" s="160">
        <v>739</v>
      </c>
      <c r="G303" s="160">
        <v>865</v>
      </c>
      <c r="H303" s="160">
        <v>963</v>
      </c>
      <c r="I303" s="160">
        <v>922</v>
      </c>
      <c r="J303" s="160">
        <v>1343</v>
      </c>
      <c r="K303" s="160">
        <v>902</v>
      </c>
      <c r="L303" s="160">
        <v>1093</v>
      </c>
      <c r="M303" s="160">
        <v>1216</v>
      </c>
      <c r="N303" s="160">
        <v>1071</v>
      </c>
      <c r="O303" s="160">
        <v>1119</v>
      </c>
      <c r="P303" s="160">
        <v>1251</v>
      </c>
      <c r="T303" s="137">
        <f>SUM(E303:Q303)</f>
        <v>12207</v>
      </c>
      <c r="U303" s="138" t="s">
        <v>354</v>
      </c>
      <c r="V303" s="139"/>
      <c r="W303" s="140">
        <f>T303*99976.124488/1000000</f>
        <v>1220.4085516250159</v>
      </c>
      <c r="X303" s="138" t="s">
        <v>342</v>
      </c>
      <c r="Y303" s="785">
        <f>W302+W303</f>
        <v>7567.2233516250162</v>
      </c>
      <c r="Z303" s="157"/>
    </row>
    <row r="304" spans="1:26" s="125" customFormat="1" x14ac:dyDescent="0.25">
      <c r="A304" s="461"/>
      <c r="B304" s="135" t="s">
        <v>322</v>
      </c>
      <c r="C304" s="201"/>
      <c r="E304" s="160">
        <v>159550</v>
      </c>
      <c r="F304" s="160">
        <v>81300</v>
      </c>
      <c r="G304" s="160">
        <v>71600</v>
      </c>
      <c r="H304" s="160">
        <v>112300</v>
      </c>
      <c r="I304" s="160">
        <v>137480</v>
      </c>
      <c r="J304" s="160">
        <v>124050</v>
      </c>
      <c r="K304" s="160">
        <v>143200</v>
      </c>
      <c r="L304" s="160">
        <v>136010</v>
      </c>
      <c r="M304" s="160">
        <v>116500</v>
      </c>
      <c r="N304" s="160">
        <v>141800</v>
      </c>
      <c r="O304" s="160">
        <v>161100</v>
      </c>
      <c r="P304" s="160">
        <v>182600</v>
      </c>
      <c r="T304" s="137">
        <f>SUM(E304:Q304)</f>
        <v>1567490</v>
      </c>
      <c r="U304" s="138" t="s">
        <v>346</v>
      </c>
      <c r="V304" s="139"/>
      <c r="W304" s="137">
        <f>T304</f>
        <v>1567490</v>
      </c>
      <c r="X304" s="138" t="s">
        <v>346</v>
      </c>
      <c r="Y304" s="157"/>
      <c r="Z304" s="157"/>
    </row>
    <row r="305" spans="1:26" s="125" customFormat="1" x14ac:dyDescent="0.25">
      <c r="A305" s="461"/>
      <c r="B305" s="135" t="s">
        <v>347</v>
      </c>
      <c r="C305" s="613"/>
      <c r="E305" s="142">
        <v>13344.33</v>
      </c>
      <c r="F305" s="142">
        <v>12036.47</v>
      </c>
      <c r="G305" s="142">
        <v>12116.49</v>
      </c>
      <c r="H305" s="142">
        <v>12380.97</v>
      </c>
      <c r="I305" s="142">
        <v>12747.97</v>
      </c>
      <c r="J305" s="142">
        <v>12650.83</v>
      </c>
      <c r="K305" s="142">
        <v>12896.19</v>
      </c>
      <c r="L305" s="142">
        <v>12896.19</v>
      </c>
      <c r="M305" s="142">
        <v>13921.29</v>
      </c>
      <c r="N305" s="142">
        <v>11155.12</v>
      </c>
      <c r="O305" s="142">
        <v>15036.73</v>
      </c>
      <c r="P305" s="142">
        <v>14221.17</v>
      </c>
      <c r="T305" s="143">
        <f>SUM(E305:Q305)</f>
        <v>155403.75000000003</v>
      </c>
      <c r="U305" s="138"/>
      <c r="V305" s="139"/>
      <c r="W305" s="143">
        <f>T305</f>
        <v>155403.75000000003</v>
      </c>
      <c r="X305" s="138"/>
      <c r="Y305" s="157"/>
      <c r="Z305" s="157"/>
    </row>
    <row r="306" spans="1:26" s="125" customFormat="1" ht="16.5" x14ac:dyDescent="0.35">
      <c r="A306" s="461"/>
      <c r="B306" s="144" t="s">
        <v>374</v>
      </c>
      <c r="C306" s="611"/>
      <c r="E306" s="145">
        <v>674.14</v>
      </c>
      <c r="F306" s="145">
        <v>688.52</v>
      </c>
      <c r="G306" s="145">
        <v>801.75</v>
      </c>
      <c r="H306" s="145">
        <v>917.8</v>
      </c>
      <c r="I306" s="145">
        <v>872.94</v>
      </c>
      <c r="J306" s="145">
        <v>1277.49</v>
      </c>
      <c r="K306" s="145">
        <v>903.14</v>
      </c>
      <c r="L306" s="145">
        <v>1878.26</v>
      </c>
      <c r="M306" s="145">
        <v>1015.77</v>
      </c>
      <c r="N306" s="145">
        <v>951.11</v>
      </c>
      <c r="O306" s="145">
        <v>1019.18</v>
      </c>
      <c r="P306" s="145">
        <v>1166.6600000000001</v>
      </c>
      <c r="T306" s="143">
        <f>SUM(E306:Q306)</f>
        <v>12166.760000000002</v>
      </c>
      <c r="U306" s="138"/>
      <c r="V306" s="139"/>
      <c r="W306" s="146">
        <f>T306</f>
        <v>12166.760000000002</v>
      </c>
      <c r="X306" s="138"/>
      <c r="Y306" s="157"/>
      <c r="Z306" s="157"/>
    </row>
    <row r="307" spans="1:26" s="125" customFormat="1" x14ac:dyDescent="0.25">
      <c r="A307" s="461"/>
      <c r="B307" s="180"/>
      <c r="C307" s="611"/>
      <c r="D307" s="179"/>
      <c r="E307" s="179"/>
      <c r="F307" s="179"/>
      <c r="G307" s="179"/>
      <c r="H307" s="179"/>
      <c r="I307" s="179"/>
      <c r="J307" s="179"/>
      <c r="K307" s="179"/>
      <c r="L307" s="179"/>
      <c r="M307" s="179"/>
      <c r="N307" s="179"/>
      <c r="O307" s="179"/>
      <c r="T307" s="149"/>
      <c r="U307" s="150"/>
      <c r="V307" s="139"/>
      <c r="W307" s="143">
        <f>SUM(W305:W306)</f>
        <v>167570.51000000004</v>
      </c>
      <c r="X307" s="138"/>
      <c r="Y307" s="157"/>
      <c r="Z307" s="157"/>
    </row>
    <row r="309" spans="1:26" s="125" customFormat="1" ht="16.5" x14ac:dyDescent="0.35">
      <c r="A309" s="461">
        <v>33</v>
      </c>
      <c r="B309" s="127" t="s">
        <v>613</v>
      </c>
      <c r="C309" s="611"/>
      <c r="D309" s="179"/>
      <c r="E309" s="179"/>
      <c r="F309" s="179"/>
      <c r="G309" s="179"/>
      <c r="H309" s="179"/>
      <c r="I309" s="179"/>
      <c r="J309" s="179"/>
      <c r="K309" s="179"/>
      <c r="L309" s="179"/>
      <c r="M309" s="179"/>
      <c r="N309" s="179"/>
      <c r="O309" s="179"/>
      <c r="R309" s="149"/>
      <c r="S309" s="150"/>
      <c r="T309" s="127" t="s">
        <v>613</v>
      </c>
      <c r="U309" s="181"/>
      <c r="V309" s="150"/>
      <c r="Y309" s="157"/>
      <c r="Z309" s="157"/>
    </row>
    <row r="310" spans="1:26" s="125" customFormat="1" x14ac:dyDescent="0.25">
      <c r="A310" s="461"/>
      <c r="B310" s="130" t="s">
        <v>337</v>
      </c>
      <c r="C310" s="186" t="s">
        <v>392</v>
      </c>
      <c r="D310" s="451">
        <v>41456</v>
      </c>
      <c r="E310" s="451">
        <v>41487</v>
      </c>
      <c r="F310" s="451">
        <v>41518</v>
      </c>
      <c r="G310" s="451">
        <v>41548</v>
      </c>
      <c r="H310" s="451">
        <v>41579</v>
      </c>
      <c r="I310" s="451">
        <v>41609</v>
      </c>
      <c r="J310" s="451">
        <v>41640</v>
      </c>
      <c r="K310" s="451">
        <v>41671</v>
      </c>
      <c r="L310" s="451">
        <v>41699</v>
      </c>
      <c r="M310" s="451">
        <v>41730</v>
      </c>
      <c r="N310" s="451">
        <v>41760</v>
      </c>
      <c r="O310" s="451">
        <v>41791</v>
      </c>
      <c r="P310" s="131">
        <v>41821</v>
      </c>
      <c r="Q310" s="151">
        <v>41852</v>
      </c>
      <c r="R310" s="131">
        <v>41896</v>
      </c>
      <c r="T310" s="133" t="s">
        <v>338</v>
      </c>
      <c r="U310" s="134" t="s">
        <v>339</v>
      </c>
      <c r="V310" s="132"/>
      <c r="W310" s="133" t="s">
        <v>338</v>
      </c>
      <c r="X310" s="134" t="s">
        <v>339</v>
      </c>
      <c r="Y310" s="157"/>
      <c r="Z310" s="157"/>
    </row>
    <row r="311" spans="1:26" s="125" customFormat="1" x14ac:dyDescent="0.25">
      <c r="A311" s="461"/>
      <c r="B311" s="135" t="s">
        <v>340</v>
      </c>
      <c r="C311" s="612"/>
      <c r="D311" s="454">
        <v>64600</v>
      </c>
      <c r="E311" s="454">
        <v>53900</v>
      </c>
      <c r="F311" s="454">
        <v>64100</v>
      </c>
      <c r="G311" s="454">
        <v>54700</v>
      </c>
      <c r="H311" s="454">
        <v>49500</v>
      </c>
      <c r="I311" s="454">
        <v>41600</v>
      </c>
      <c r="J311" s="454">
        <v>31300</v>
      </c>
      <c r="K311" s="454">
        <v>36600</v>
      </c>
      <c r="L311" s="454">
        <v>44300</v>
      </c>
      <c r="M311" s="454">
        <v>60400</v>
      </c>
      <c r="N311" s="454">
        <v>61700</v>
      </c>
      <c r="O311" s="454">
        <v>76000</v>
      </c>
      <c r="P311" s="456"/>
      <c r="T311" s="137">
        <f>SUM(D311:Q311)</f>
        <v>638700</v>
      </c>
      <c r="U311" s="138" t="s">
        <v>341</v>
      </c>
      <c r="V311" s="139"/>
      <c r="W311" s="140">
        <f>T311*3413/1000000</f>
        <v>2179.8831</v>
      </c>
      <c r="X311" s="138" t="s">
        <v>342</v>
      </c>
      <c r="Y311" s="157"/>
      <c r="Z311" s="157"/>
    </row>
    <row r="312" spans="1:26" s="125" customFormat="1" x14ac:dyDescent="0.25">
      <c r="A312" s="461"/>
      <c r="B312" s="135" t="s">
        <v>372</v>
      </c>
      <c r="C312" s="612"/>
      <c r="D312" s="454">
        <v>239</v>
      </c>
      <c r="E312" s="454">
        <v>273</v>
      </c>
      <c r="F312" s="454">
        <v>152</v>
      </c>
      <c r="G312" s="454">
        <v>702</v>
      </c>
      <c r="H312" s="454">
        <v>843</v>
      </c>
      <c r="I312" s="454">
        <v>1057</v>
      </c>
      <c r="J312" s="454">
        <v>1141</v>
      </c>
      <c r="K312" s="454">
        <v>1560</v>
      </c>
      <c r="L312" s="454">
        <v>1110</v>
      </c>
      <c r="M312" s="454">
        <v>732</v>
      </c>
      <c r="N312" s="454">
        <v>311</v>
      </c>
      <c r="O312" s="454">
        <v>259</v>
      </c>
      <c r="P312" s="456"/>
      <c r="T312" s="137">
        <f>SUM(D312:Q312)</f>
        <v>8379</v>
      </c>
      <c r="U312" s="138" t="s">
        <v>354</v>
      </c>
      <c r="V312" s="139"/>
      <c r="W312" s="140">
        <f>T312*99976.124488/1000000</f>
        <v>837.69994708495199</v>
      </c>
      <c r="X312" s="138" t="s">
        <v>342</v>
      </c>
      <c r="Y312" s="495">
        <f>W312+W311</f>
        <v>3017.5830470849519</v>
      </c>
      <c r="Z312" s="138" t="s">
        <v>342</v>
      </c>
    </row>
    <row r="313" spans="1:26" s="125" customFormat="1" x14ac:dyDescent="0.25">
      <c r="A313" s="461"/>
      <c r="B313" s="135" t="s">
        <v>373</v>
      </c>
      <c r="C313" s="201"/>
      <c r="D313" s="441">
        <v>87</v>
      </c>
      <c r="E313" s="441">
        <v>119</v>
      </c>
      <c r="F313" s="441">
        <v>118</v>
      </c>
      <c r="G313" s="441">
        <v>146</v>
      </c>
      <c r="H313" s="441">
        <v>109</v>
      </c>
      <c r="I313" s="441">
        <v>82</v>
      </c>
      <c r="J313" s="441">
        <v>110</v>
      </c>
      <c r="K313" s="441">
        <v>187</v>
      </c>
      <c r="L313" s="441">
        <v>157</v>
      </c>
      <c r="M313" s="441">
        <v>199</v>
      </c>
      <c r="N313" s="441">
        <v>110</v>
      </c>
      <c r="O313" s="441">
        <v>137</v>
      </c>
      <c r="P313" s="456"/>
      <c r="T313" s="137">
        <f>SUM(D313:Q313)</f>
        <v>1561</v>
      </c>
      <c r="U313" s="138" t="s">
        <v>367</v>
      </c>
      <c r="V313" s="139"/>
      <c r="W313" s="137">
        <f>T313*7.48</f>
        <v>11676.28</v>
      </c>
      <c r="X313" s="138" t="s">
        <v>346</v>
      </c>
      <c r="Y313" s="157"/>
      <c r="Z313" s="157"/>
    </row>
    <row r="314" spans="1:26" s="125" customFormat="1" x14ac:dyDescent="0.25">
      <c r="A314" s="461"/>
      <c r="B314" s="135" t="s">
        <v>347</v>
      </c>
      <c r="C314" s="613"/>
      <c r="D314" s="455">
        <v>6072.72</v>
      </c>
      <c r="E314" s="455">
        <v>5451.7999999999993</v>
      </c>
      <c r="F314" s="455">
        <v>6198.78</v>
      </c>
      <c r="G314" s="455">
        <v>5171.75</v>
      </c>
      <c r="H314" s="455">
        <v>4786.28</v>
      </c>
      <c r="I314" s="455">
        <v>4357.8100000000004</v>
      </c>
      <c r="J314" s="455">
        <v>3356.24</v>
      </c>
      <c r="K314" s="455">
        <v>3689.73</v>
      </c>
      <c r="L314" s="455">
        <v>4238.76</v>
      </c>
      <c r="M314" s="455">
        <v>5700.5700000000006</v>
      </c>
      <c r="N314" s="455">
        <v>5808.78</v>
      </c>
      <c r="O314" s="455">
        <v>6324.9400000000005</v>
      </c>
      <c r="P314" s="176"/>
      <c r="T314" s="143">
        <f>SUM(D314:Q314)</f>
        <v>61158.16</v>
      </c>
      <c r="U314" s="138"/>
      <c r="V314" s="139"/>
      <c r="W314" s="143">
        <f>T314</f>
        <v>61158.16</v>
      </c>
      <c r="X314" s="138"/>
      <c r="Y314" s="157"/>
      <c r="Z314" s="157"/>
    </row>
    <row r="315" spans="1:26" s="125" customFormat="1" ht="16.5" x14ac:dyDescent="0.35">
      <c r="A315" s="461"/>
      <c r="B315" s="144" t="s">
        <v>374</v>
      </c>
      <c r="C315" s="611"/>
      <c r="D315" s="455">
        <v>239.19</v>
      </c>
      <c r="E315" s="455">
        <v>269.73999999999995</v>
      </c>
      <c r="F315" s="455">
        <v>160.41999999999999</v>
      </c>
      <c r="G315" s="455">
        <v>693.36</v>
      </c>
      <c r="H315" s="455">
        <v>796.87</v>
      </c>
      <c r="I315" s="455">
        <v>1002.42</v>
      </c>
      <c r="J315" s="455">
        <v>1090.6599999999999</v>
      </c>
      <c r="K315" s="455">
        <v>1429.94</v>
      </c>
      <c r="L315" s="455">
        <v>934.98</v>
      </c>
      <c r="M315" s="455">
        <v>627.67999999999995</v>
      </c>
      <c r="N315" s="455">
        <v>300.88</v>
      </c>
      <c r="O315" s="455">
        <v>260.2</v>
      </c>
      <c r="P315" s="179"/>
      <c r="T315" s="143">
        <f>SUM(D315:Q315)</f>
        <v>7806.34</v>
      </c>
      <c r="U315" s="138"/>
      <c r="V315" s="139"/>
      <c r="W315" s="146">
        <f>T315</f>
        <v>7806.34</v>
      </c>
      <c r="X315" s="138"/>
      <c r="Y315" s="157"/>
      <c r="Z315" s="157"/>
    </row>
    <row r="316" spans="1:26" s="125" customFormat="1" x14ac:dyDescent="0.25">
      <c r="A316" s="461"/>
      <c r="B316" s="180"/>
      <c r="C316" s="611"/>
      <c r="D316" s="179"/>
      <c r="E316" s="179"/>
      <c r="F316" s="179"/>
      <c r="G316" s="179"/>
      <c r="H316" s="179"/>
      <c r="I316" s="179"/>
      <c r="J316" s="179"/>
      <c r="K316" s="179"/>
      <c r="L316" s="179"/>
      <c r="M316" s="179"/>
      <c r="N316" s="179"/>
      <c r="O316" s="179"/>
      <c r="T316" s="149"/>
      <c r="U316" s="150"/>
      <c r="V316" s="139"/>
      <c r="W316" s="143">
        <f>SUM(W314:W315)</f>
        <v>68964.5</v>
      </c>
      <c r="X316" s="138"/>
      <c r="Y316" s="157"/>
      <c r="Z316" s="157"/>
    </row>
    <row r="318" spans="1:26" s="128" customFormat="1" x14ac:dyDescent="0.25">
      <c r="A318" s="459">
        <v>34</v>
      </c>
      <c r="B318" s="127" t="s">
        <v>615</v>
      </c>
      <c r="C318" s="602"/>
      <c r="T318" s="127" t="s">
        <v>615</v>
      </c>
      <c r="U318" s="129"/>
      <c r="X318" s="129"/>
      <c r="Y318" s="166"/>
      <c r="Z318" s="166"/>
    </row>
    <row r="319" spans="1:26" s="125" customFormat="1" x14ac:dyDescent="0.25">
      <c r="A319" s="461"/>
      <c r="B319" s="130" t="s">
        <v>337</v>
      </c>
      <c r="C319" s="186" t="s">
        <v>392</v>
      </c>
      <c r="D319" s="131">
        <v>41456</v>
      </c>
      <c r="E319" s="131">
        <v>41487</v>
      </c>
      <c r="F319" s="131">
        <v>41518</v>
      </c>
      <c r="G319" s="131">
        <v>41548</v>
      </c>
      <c r="H319" s="131">
        <v>41579</v>
      </c>
      <c r="I319" s="131">
        <v>41609</v>
      </c>
      <c r="J319" s="131">
        <v>41640</v>
      </c>
      <c r="K319" s="131">
        <v>41671</v>
      </c>
      <c r="L319" s="131">
        <v>41699</v>
      </c>
      <c r="M319" s="131">
        <v>41730</v>
      </c>
      <c r="N319" s="131">
        <v>41760</v>
      </c>
      <c r="O319" s="131">
        <v>41791</v>
      </c>
      <c r="P319" s="131">
        <v>41821</v>
      </c>
      <c r="Q319" s="151">
        <v>41852</v>
      </c>
      <c r="R319" s="131">
        <v>41896</v>
      </c>
      <c r="S319" s="132"/>
      <c r="T319" s="133" t="s">
        <v>338</v>
      </c>
      <c r="U319" s="134" t="s">
        <v>339</v>
      </c>
      <c r="V319" s="132"/>
      <c r="W319" s="133" t="s">
        <v>338</v>
      </c>
      <c r="X319" s="134" t="s">
        <v>339</v>
      </c>
      <c r="Y319" s="157"/>
      <c r="Z319" s="157"/>
    </row>
    <row r="320" spans="1:26" s="125" customFormat="1" x14ac:dyDescent="0.25">
      <c r="A320" s="461"/>
      <c r="B320" s="135" t="s">
        <v>340</v>
      </c>
      <c r="C320" s="603"/>
      <c r="D320" s="136"/>
      <c r="E320" s="136">
        <v>181802.96</v>
      </c>
      <c r="F320" s="136">
        <v>239736.72</v>
      </c>
      <c r="G320" s="136">
        <v>193410.72</v>
      </c>
      <c r="H320" s="136">
        <v>167832.32000000001</v>
      </c>
      <c r="I320" s="136">
        <v>158616.24</v>
      </c>
      <c r="J320" s="136">
        <v>151638.48000000001</v>
      </c>
      <c r="K320" s="136">
        <v>173009.88</v>
      </c>
      <c r="L320" s="136">
        <v>145604.07999999999</v>
      </c>
      <c r="M320" s="136">
        <v>167482.6</v>
      </c>
      <c r="N320" s="136">
        <v>163268.20000000001</v>
      </c>
      <c r="O320" s="136">
        <v>150024.64000000001</v>
      </c>
      <c r="P320" s="136">
        <v>154229.68</v>
      </c>
      <c r="Q320" s="434"/>
      <c r="R320" s="136"/>
      <c r="T320" s="140">
        <f>SUM(C320:S320)</f>
        <v>2046656.5199999998</v>
      </c>
      <c r="U320" s="138" t="s">
        <v>341</v>
      </c>
      <c r="V320" s="139"/>
      <c r="W320" s="140">
        <f>T320*3413/1000000</f>
        <v>6985.2387027599989</v>
      </c>
      <c r="X320" s="138" t="s">
        <v>342</v>
      </c>
      <c r="Y320" s="157"/>
      <c r="Z320" s="157"/>
    </row>
    <row r="321" spans="1:26" s="125" customFormat="1" x14ac:dyDescent="0.25">
      <c r="A321" s="461"/>
      <c r="B321" s="135" t="s">
        <v>343</v>
      </c>
      <c r="C321" s="603"/>
      <c r="D321" s="136"/>
      <c r="E321" s="136">
        <v>731593.4</v>
      </c>
      <c r="F321" s="136">
        <v>461312.60000000003</v>
      </c>
      <c r="G321" s="136">
        <v>842542</v>
      </c>
      <c r="H321" s="136">
        <v>674867.8</v>
      </c>
      <c r="I321" s="136">
        <v>809174</v>
      </c>
      <c r="J321" s="136">
        <v>1115325.4000000001</v>
      </c>
      <c r="K321" s="136">
        <v>682375.60000000009</v>
      </c>
      <c r="L321" s="136">
        <v>902604.4</v>
      </c>
      <c r="M321" s="136">
        <v>724919.8</v>
      </c>
      <c r="N321" s="136">
        <v>504691.00000000006</v>
      </c>
      <c r="O321" s="136">
        <v>397913.4</v>
      </c>
      <c r="P321" s="136">
        <v>470488.80000000005</v>
      </c>
      <c r="Q321" s="434"/>
      <c r="R321" s="136"/>
      <c r="T321" s="140">
        <f>SUM(C321:S321)</f>
        <v>8317808.2000000011</v>
      </c>
      <c r="U321" s="138" t="s">
        <v>344</v>
      </c>
      <c r="V321" s="139"/>
      <c r="W321" s="140">
        <f>T321/1000</f>
        <v>8317.8082000000013</v>
      </c>
      <c r="X321" s="138" t="s">
        <v>342</v>
      </c>
      <c r="Y321" s="495">
        <f>W320+W321</f>
        <v>15303.046902760001</v>
      </c>
      <c r="Z321" s="138" t="s">
        <v>342</v>
      </c>
    </row>
    <row r="322" spans="1:26" s="125" customFormat="1" x14ac:dyDescent="0.25">
      <c r="A322" s="461"/>
      <c r="B322" s="135" t="s">
        <v>345</v>
      </c>
      <c r="C322" s="603"/>
      <c r="D322" s="141"/>
      <c r="E322" s="141">
        <v>333000</v>
      </c>
      <c r="F322" s="141">
        <v>427000</v>
      </c>
      <c r="G322" s="141">
        <v>475900</v>
      </c>
      <c r="H322" s="141">
        <v>456359</v>
      </c>
      <c r="I322" s="141">
        <v>390001</v>
      </c>
      <c r="J322" s="141">
        <v>507000</v>
      </c>
      <c r="K322" s="141">
        <v>540918</v>
      </c>
      <c r="L322" s="141">
        <v>183918</v>
      </c>
      <c r="M322" s="141">
        <v>228589</v>
      </c>
      <c r="N322" s="141">
        <v>211785</v>
      </c>
      <c r="O322" s="141">
        <v>332555.45900000003</v>
      </c>
      <c r="P322" s="141">
        <v>156555</v>
      </c>
      <c r="Q322" s="435"/>
      <c r="R322" s="141"/>
      <c r="T322" s="140">
        <f>SUM(C322:S322)</f>
        <v>4243580.4589999998</v>
      </c>
      <c r="U322" s="138" t="s">
        <v>346</v>
      </c>
      <c r="V322" s="139"/>
      <c r="W322" s="137">
        <f>T322</f>
        <v>4243580.4589999998</v>
      </c>
      <c r="X322" s="138" t="s">
        <v>346</v>
      </c>
      <c r="Y322" s="157"/>
      <c r="Z322" s="157"/>
    </row>
    <row r="323" spans="1:26" s="125" customFormat="1" x14ac:dyDescent="0.25">
      <c r="A323" s="461"/>
      <c r="B323" s="135" t="s">
        <v>347</v>
      </c>
      <c r="C323" s="603"/>
      <c r="D323" s="142"/>
      <c r="E323" s="142">
        <v>16105.9043</v>
      </c>
      <c r="F323" s="142">
        <v>21296.445209999998</v>
      </c>
      <c r="G323" s="142">
        <v>17214.780039999998</v>
      </c>
      <c r="H323" s="142">
        <v>14999.84137</v>
      </c>
      <c r="I323" s="142">
        <v>14213.246580000001</v>
      </c>
      <c r="J323" s="142">
        <v>14023.096230000001</v>
      </c>
      <c r="K323" s="142">
        <v>15671.561230000001</v>
      </c>
      <c r="L323" s="142">
        <v>12939.797839999999</v>
      </c>
      <c r="M323" s="142">
        <v>14853.098330000001</v>
      </c>
      <c r="N323" s="142">
        <v>14424.69392</v>
      </c>
      <c r="O323" s="142">
        <v>13218.781370000001</v>
      </c>
      <c r="P323" s="142">
        <v>13631.797020000002</v>
      </c>
      <c r="Q323" s="436"/>
      <c r="R323" s="142"/>
      <c r="T323" s="143">
        <f>SUM(C323:S323)</f>
        <v>182593.04344000001</v>
      </c>
      <c r="U323" s="138"/>
      <c r="V323" s="139"/>
      <c r="W323" s="143">
        <f>T323</f>
        <v>182593.04344000001</v>
      </c>
      <c r="X323" s="138"/>
      <c r="Y323" s="157"/>
      <c r="Z323" s="157"/>
    </row>
    <row r="324" spans="1:26" s="125" customFormat="1" ht="16.5" x14ac:dyDescent="0.35">
      <c r="A324" s="461"/>
      <c r="B324" s="144" t="s">
        <v>348</v>
      </c>
      <c r="C324" s="604"/>
      <c r="D324" s="145"/>
      <c r="E324" s="145">
        <v>15365.04</v>
      </c>
      <c r="F324" s="145">
        <v>9688.5600000000013</v>
      </c>
      <c r="G324" s="145">
        <v>17695.2</v>
      </c>
      <c r="H324" s="145">
        <v>14173.679999999998</v>
      </c>
      <c r="I324" s="145">
        <v>16994.400000000001</v>
      </c>
      <c r="J324" s="145">
        <v>23424.239999999998</v>
      </c>
      <c r="K324" s="145">
        <v>14331.36</v>
      </c>
      <c r="L324" s="145">
        <v>18956.64</v>
      </c>
      <c r="M324" s="145">
        <v>15224.88</v>
      </c>
      <c r="N324" s="145">
        <v>10599.6</v>
      </c>
      <c r="O324" s="145">
        <v>8357.0399999999991</v>
      </c>
      <c r="P324" s="145">
        <v>9881.2800000000007</v>
      </c>
      <c r="Q324" s="437"/>
      <c r="R324" s="145"/>
      <c r="T324" s="143">
        <f>SUM(C324:S324)</f>
        <v>174691.92</v>
      </c>
      <c r="U324" s="138"/>
      <c r="V324" s="139"/>
      <c r="W324" s="146">
        <f>T324</f>
        <v>174691.92</v>
      </c>
      <c r="X324" s="138"/>
      <c r="Y324" s="157"/>
      <c r="Z324" s="157"/>
    </row>
    <row r="325" spans="1:26" x14ac:dyDescent="0.25">
      <c r="W325" s="143">
        <f>SUM(W323:W324)</f>
        <v>357284.96344000002</v>
      </c>
      <c r="X325" s="138"/>
    </row>
    <row r="327" spans="1:26" s="128" customFormat="1" x14ac:dyDescent="0.25">
      <c r="A327" s="459">
        <v>35</v>
      </c>
      <c r="B327" s="127" t="s">
        <v>912</v>
      </c>
      <c r="C327" s="602"/>
      <c r="T327" s="127" t="s">
        <v>912</v>
      </c>
      <c r="U327" s="129"/>
      <c r="X327" s="129"/>
      <c r="Y327" s="166"/>
      <c r="Z327" s="166"/>
    </row>
    <row r="328" spans="1:26" s="125" customFormat="1" x14ac:dyDescent="0.25">
      <c r="A328" s="461"/>
      <c r="B328" s="130" t="s">
        <v>337</v>
      </c>
      <c r="C328" s="186" t="s">
        <v>392</v>
      </c>
      <c r="D328" s="131">
        <v>41456</v>
      </c>
      <c r="E328" s="131">
        <v>41487</v>
      </c>
      <c r="F328" s="131">
        <v>41518</v>
      </c>
      <c r="G328" s="131">
        <v>41548</v>
      </c>
      <c r="H328" s="131">
        <v>41579</v>
      </c>
      <c r="I328" s="131">
        <v>41609</v>
      </c>
      <c r="J328" s="131">
        <v>41640</v>
      </c>
      <c r="K328" s="131">
        <v>41671</v>
      </c>
      <c r="L328" s="131">
        <v>41699</v>
      </c>
      <c r="M328" s="131">
        <v>41730</v>
      </c>
      <c r="N328" s="131">
        <v>41760</v>
      </c>
      <c r="O328" s="131">
        <v>41791</v>
      </c>
      <c r="P328" s="131">
        <v>41821</v>
      </c>
      <c r="Q328" s="151">
        <v>41852</v>
      </c>
      <c r="R328" s="131">
        <v>41896</v>
      </c>
      <c r="S328" s="132"/>
      <c r="T328" s="133" t="s">
        <v>338</v>
      </c>
      <c r="U328" s="134" t="s">
        <v>339</v>
      </c>
      <c r="V328" s="132"/>
      <c r="W328" s="133" t="s">
        <v>338</v>
      </c>
      <c r="X328" s="134" t="s">
        <v>339</v>
      </c>
      <c r="Y328" s="157"/>
      <c r="Z328" s="157"/>
    </row>
    <row r="329" spans="1:26" s="125" customFormat="1" x14ac:dyDescent="0.25">
      <c r="A329" s="461"/>
      <c r="B329" s="135" t="s">
        <v>340</v>
      </c>
      <c r="C329" s="603"/>
      <c r="D329" s="136"/>
      <c r="E329" s="136">
        <v>107513.92</v>
      </c>
      <c r="F329" s="136">
        <v>140709.44</v>
      </c>
      <c r="G329" s="136">
        <v>116877.44</v>
      </c>
      <c r="H329" s="136">
        <v>96720.639999999999</v>
      </c>
      <c r="I329" s="136">
        <v>88444.479999999996</v>
      </c>
      <c r="J329" s="136">
        <v>70200.960000000006</v>
      </c>
      <c r="K329" s="136">
        <v>106069.75999999999</v>
      </c>
      <c r="L329" s="136">
        <v>76516.160000000003</v>
      </c>
      <c r="M329" s="136">
        <v>90139.199999999997</v>
      </c>
      <c r="N329" s="136">
        <v>97414.399999999994</v>
      </c>
      <c r="O329" s="136">
        <v>90465.279999999999</v>
      </c>
      <c r="P329" s="136">
        <v>92359.360000000001</v>
      </c>
      <c r="Q329" s="434"/>
      <c r="R329" s="136"/>
      <c r="T329" s="140">
        <f>SUM(C329:S329)</f>
        <v>1173431.04</v>
      </c>
      <c r="U329" s="138" t="s">
        <v>341</v>
      </c>
      <c r="V329" s="139"/>
      <c r="W329" s="140">
        <f>T329*3413/1000000</f>
        <v>4004.9201395199998</v>
      </c>
      <c r="X329" s="138" t="s">
        <v>342</v>
      </c>
      <c r="Y329" s="157"/>
      <c r="Z329" s="157"/>
    </row>
    <row r="330" spans="1:26" s="125" customFormat="1" x14ac:dyDescent="0.25">
      <c r="A330" s="461"/>
      <c r="B330" s="135" t="s">
        <v>343</v>
      </c>
      <c r="C330" s="603"/>
      <c r="D330" s="136"/>
      <c r="E330" s="136">
        <v>437120.80000000005</v>
      </c>
      <c r="F330" s="136">
        <v>359540.2</v>
      </c>
      <c r="G330" s="136">
        <v>462981.00000000006</v>
      </c>
      <c r="H330" s="136">
        <v>530551.20000000007</v>
      </c>
      <c r="I330" s="136">
        <v>387068.80000000005</v>
      </c>
      <c r="J330" s="136">
        <v>846713</v>
      </c>
      <c r="K330" s="136">
        <v>451302.2</v>
      </c>
      <c r="L330" s="136">
        <v>542230</v>
      </c>
      <c r="M330" s="136">
        <v>358706</v>
      </c>
      <c r="N330" s="136">
        <v>216892</v>
      </c>
      <c r="O330" s="136">
        <v>246923.2</v>
      </c>
      <c r="P330" s="136">
        <v>286964.80000000005</v>
      </c>
      <c r="Q330" s="434"/>
      <c r="R330" s="136"/>
      <c r="T330" s="140">
        <f>SUM(C330:S330)</f>
        <v>5126993.2</v>
      </c>
      <c r="U330" s="138" t="s">
        <v>344</v>
      </c>
      <c r="V330" s="139"/>
      <c r="W330" s="140">
        <f>T330/1000</f>
        <v>5126.9931999999999</v>
      </c>
      <c r="X330" s="138" t="s">
        <v>342</v>
      </c>
      <c r="Y330" s="495">
        <f>W329+W330</f>
        <v>9131.9133395200006</v>
      </c>
      <c r="Z330" s="138" t="s">
        <v>342</v>
      </c>
    </row>
    <row r="331" spans="1:26" s="125" customFormat="1" x14ac:dyDescent="0.25">
      <c r="A331" s="461"/>
      <c r="B331" s="135" t="s">
        <v>345</v>
      </c>
      <c r="C331" s="603"/>
      <c r="D331" s="141"/>
      <c r="E331" s="141">
        <v>139528</v>
      </c>
      <c r="F331" s="141">
        <v>218280</v>
      </c>
      <c r="G331" s="141">
        <v>274768</v>
      </c>
      <c r="H331" s="141">
        <v>222064</v>
      </c>
      <c r="I331" s="141">
        <v>95872</v>
      </c>
      <c r="J331" s="141">
        <v>182328</v>
      </c>
      <c r="K331" s="141">
        <v>224152</v>
      </c>
      <c r="L331" s="141">
        <v>172792</v>
      </c>
      <c r="M331" s="141">
        <v>245264</v>
      </c>
      <c r="N331" s="141">
        <v>117648</v>
      </c>
      <c r="O331" s="141">
        <v>78184.368000000002</v>
      </c>
      <c r="P331" s="141">
        <v>95304</v>
      </c>
      <c r="Q331" s="435"/>
      <c r="R331" s="141"/>
      <c r="T331" s="140">
        <f>SUM(C331:S331)</f>
        <v>2066184.368</v>
      </c>
      <c r="U331" s="138" t="s">
        <v>346</v>
      </c>
      <c r="V331" s="139"/>
      <c r="W331" s="137">
        <f>T331</f>
        <v>2066184.368</v>
      </c>
      <c r="X331" s="138" t="s">
        <v>346</v>
      </c>
      <c r="Y331" s="157"/>
      <c r="Z331" s="157"/>
    </row>
    <row r="332" spans="1:26" s="125" customFormat="1" x14ac:dyDescent="0.25">
      <c r="A332" s="461"/>
      <c r="B332" s="135" t="s">
        <v>347</v>
      </c>
      <c r="C332" s="603"/>
      <c r="D332" s="142"/>
      <c r="E332" s="142">
        <v>9500.1636000000017</v>
      </c>
      <c r="F332" s="142">
        <v>12473.995919999999</v>
      </c>
      <c r="G332" s="142">
        <v>10394.32208</v>
      </c>
      <c r="H332" s="142">
        <v>8649.9062400000003</v>
      </c>
      <c r="I332" s="142">
        <v>7939.75216</v>
      </c>
      <c r="J332" s="142">
        <v>6503.6489599999995</v>
      </c>
      <c r="K332" s="142">
        <v>9620.5389599999999</v>
      </c>
      <c r="L332" s="142">
        <v>6814.5476799999997</v>
      </c>
      <c r="M332" s="142">
        <v>8000.3181599999998</v>
      </c>
      <c r="N332" s="142">
        <v>8603.7338400000008</v>
      </c>
      <c r="O332" s="142">
        <v>7962.9562399999995</v>
      </c>
      <c r="P332" s="142">
        <v>8147.8950400000003</v>
      </c>
      <c r="Q332" s="436"/>
      <c r="R332" s="142"/>
      <c r="T332" s="143">
        <f>SUM(C332:S332)</f>
        <v>104611.77888</v>
      </c>
      <c r="U332" s="138"/>
      <c r="V332" s="139"/>
      <c r="W332" s="143">
        <f>T332</f>
        <v>104611.77888</v>
      </c>
      <c r="X332" s="138"/>
      <c r="Y332" s="157"/>
      <c r="Z332" s="157"/>
    </row>
    <row r="333" spans="1:26" s="125" customFormat="1" ht="16.5" x14ac:dyDescent="0.35">
      <c r="A333" s="461"/>
      <c r="B333" s="144" t="s">
        <v>348</v>
      </c>
      <c r="C333" s="604"/>
      <c r="D333" s="145"/>
      <c r="E333" s="145">
        <v>10688.82</v>
      </c>
      <c r="F333" s="145">
        <v>8791.75</v>
      </c>
      <c r="G333" s="145">
        <v>11321.17</v>
      </c>
      <c r="H333" s="145">
        <v>12973.439999999999</v>
      </c>
      <c r="I333" s="145">
        <v>9464.91</v>
      </c>
      <c r="J333" s="145">
        <v>19687.449999999997</v>
      </c>
      <c r="K333" s="145">
        <v>11035.59</v>
      </c>
      <c r="L333" s="145">
        <v>13259.029999999999</v>
      </c>
      <c r="M333" s="145">
        <v>8771.36</v>
      </c>
      <c r="N333" s="145">
        <v>5303.6100000000006</v>
      </c>
      <c r="O333" s="145">
        <v>6037.95</v>
      </c>
      <c r="P333" s="145">
        <v>7017.09</v>
      </c>
      <c r="Q333" s="437"/>
      <c r="R333" s="145"/>
      <c r="T333" s="143">
        <f>SUM(C333:S333)</f>
        <v>124352.16999999998</v>
      </c>
      <c r="U333" s="138"/>
      <c r="V333" s="139"/>
      <c r="W333" s="146">
        <f>T333</f>
        <v>124352.16999999998</v>
      </c>
      <c r="X333" s="138"/>
      <c r="Y333" s="157"/>
      <c r="Z333" s="157"/>
    </row>
    <row r="334" spans="1:26" x14ac:dyDescent="0.25">
      <c r="W334" s="143">
        <f>SUM(W332:W333)</f>
        <v>228963.94887999998</v>
      </c>
      <c r="X334" s="138"/>
    </row>
    <row r="336" spans="1:26" s="125" customFormat="1" ht="16.5" x14ac:dyDescent="0.35">
      <c r="A336" s="461">
        <v>36</v>
      </c>
      <c r="B336" s="127" t="s">
        <v>617</v>
      </c>
      <c r="C336" s="611"/>
      <c r="D336" s="179"/>
      <c r="E336" s="179"/>
      <c r="F336" s="179"/>
      <c r="G336" s="179"/>
      <c r="H336" s="179"/>
      <c r="I336" s="179"/>
      <c r="J336" s="179"/>
      <c r="K336" s="179"/>
      <c r="L336" s="179"/>
      <c r="M336" s="179"/>
      <c r="N336" s="179"/>
      <c r="O336" s="179"/>
      <c r="R336" s="149"/>
      <c r="S336" s="150"/>
      <c r="T336" s="127" t="s">
        <v>617</v>
      </c>
      <c r="U336" s="181"/>
      <c r="V336" s="150"/>
      <c r="Y336" s="157"/>
      <c r="Z336" s="157"/>
    </row>
    <row r="337" spans="1:26" s="125" customFormat="1" x14ac:dyDescent="0.25">
      <c r="A337" s="461"/>
      <c r="B337" s="130" t="s">
        <v>337</v>
      </c>
      <c r="C337" s="186" t="s">
        <v>392</v>
      </c>
      <c r="D337" s="131">
        <v>41456</v>
      </c>
      <c r="E337" s="131">
        <v>41487</v>
      </c>
      <c r="F337" s="131">
        <v>41518</v>
      </c>
      <c r="G337" s="131">
        <v>41548</v>
      </c>
      <c r="H337" s="131">
        <v>41579</v>
      </c>
      <c r="I337" s="131">
        <v>41609</v>
      </c>
      <c r="J337" s="131">
        <v>41640</v>
      </c>
      <c r="K337" s="131">
        <v>41671</v>
      </c>
      <c r="L337" s="131">
        <v>41699</v>
      </c>
      <c r="M337" s="131">
        <v>41730</v>
      </c>
      <c r="N337" s="131">
        <v>41760</v>
      </c>
      <c r="O337" s="131">
        <v>41791</v>
      </c>
      <c r="P337" s="131">
        <v>41821</v>
      </c>
      <c r="Q337" s="151">
        <v>41852</v>
      </c>
      <c r="R337" s="131">
        <v>41896</v>
      </c>
      <c r="T337" s="133" t="s">
        <v>338</v>
      </c>
      <c r="U337" s="134" t="s">
        <v>339</v>
      </c>
      <c r="V337" s="132"/>
      <c r="W337" s="133" t="s">
        <v>338</v>
      </c>
      <c r="X337" s="134" t="s">
        <v>339</v>
      </c>
      <c r="Y337" s="157"/>
      <c r="Z337" s="157"/>
    </row>
    <row r="338" spans="1:26" s="125" customFormat="1" x14ac:dyDescent="0.25">
      <c r="A338" s="461"/>
      <c r="B338" s="135" t="s">
        <v>340</v>
      </c>
      <c r="C338" s="612"/>
      <c r="D338" s="552" t="s">
        <v>351</v>
      </c>
      <c r="E338" s="552" t="s">
        <v>351</v>
      </c>
      <c r="F338" s="160">
        <v>271000</v>
      </c>
      <c r="G338" s="160">
        <v>257600</v>
      </c>
      <c r="H338" s="160">
        <v>248800</v>
      </c>
      <c r="I338" s="160">
        <v>232400</v>
      </c>
      <c r="J338" s="160">
        <v>217000</v>
      </c>
      <c r="K338" s="160">
        <v>188400</v>
      </c>
      <c r="L338" s="160">
        <v>237000</v>
      </c>
      <c r="M338" s="160">
        <v>238000</v>
      </c>
      <c r="N338" s="160">
        <v>322800</v>
      </c>
      <c r="O338" s="160">
        <v>334000</v>
      </c>
      <c r="P338" s="456"/>
      <c r="T338" s="137">
        <f>SUM(E338:Q338)</f>
        <v>2547000</v>
      </c>
      <c r="U338" s="138" t="s">
        <v>341</v>
      </c>
      <c r="V338" s="139"/>
      <c r="W338" s="140">
        <f>T338*3413/1000000</f>
        <v>8692.9110000000001</v>
      </c>
      <c r="X338" s="138" t="s">
        <v>342</v>
      </c>
      <c r="Y338" s="157"/>
      <c r="Z338" s="157"/>
    </row>
    <row r="339" spans="1:26" s="125" customFormat="1" x14ac:dyDescent="0.25">
      <c r="A339" s="461"/>
      <c r="B339" s="135" t="s">
        <v>821</v>
      </c>
      <c r="C339" s="612"/>
      <c r="D339" s="552" t="s">
        <v>351</v>
      </c>
      <c r="E339" s="160">
        <v>705</v>
      </c>
      <c r="F339" s="160">
        <v>423.4</v>
      </c>
      <c r="G339" s="160">
        <v>510.3</v>
      </c>
      <c r="H339" s="160">
        <v>755.6</v>
      </c>
      <c r="I339" s="160">
        <v>1098.5999999999999</v>
      </c>
      <c r="J339" s="160">
        <v>1300.4000000000001</v>
      </c>
      <c r="K339" s="160">
        <v>1061.5999999999999</v>
      </c>
      <c r="L339" s="160">
        <v>383.5</v>
      </c>
      <c r="M339" s="160">
        <v>713</v>
      </c>
      <c r="N339" s="160">
        <v>697.4</v>
      </c>
      <c r="O339" s="160">
        <v>642.9</v>
      </c>
      <c r="P339" s="456"/>
      <c r="T339" s="137">
        <f>SUM(E339:Q339)</f>
        <v>8291.6999999999989</v>
      </c>
      <c r="U339" s="138" t="s">
        <v>822</v>
      </c>
      <c r="V339" s="139"/>
      <c r="W339" s="140">
        <f>T339*1000*1027/1000000</f>
        <v>8515.5758999999998</v>
      </c>
      <c r="X339" s="138" t="s">
        <v>342</v>
      </c>
      <c r="Y339" s="495">
        <f>W338+W339</f>
        <v>17208.4869</v>
      </c>
      <c r="Z339" s="138" t="s">
        <v>342</v>
      </c>
    </row>
    <row r="340" spans="1:26" s="125" customFormat="1" x14ac:dyDescent="0.25">
      <c r="A340" s="461"/>
      <c r="B340" s="135" t="s">
        <v>373</v>
      </c>
      <c r="C340" s="201"/>
      <c r="D340" s="552" t="s">
        <v>351</v>
      </c>
      <c r="E340" s="552" t="s">
        <v>351</v>
      </c>
      <c r="F340" s="552" t="s">
        <v>351</v>
      </c>
      <c r="G340" s="552" t="s">
        <v>351</v>
      </c>
      <c r="H340" s="552" t="s">
        <v>351</v>
      </c>
      <c r="I340" s="552" t="s">
        <v>351</v>
      </c>
      <c r="J340" s="552" t="s">
        <v>351</v>
      </c>
      <c r="K340" s="552" t="s">
        <v>351</v>
      </c>
      <c r="L340" s="552" t="s">
        <v>351</v>
      </c>
      <c r="M340" s="552" t="s">
        <v>351</v>
      </c>
      <c r="N340" s="552" t="s">
        <v>351</v>
      </c>
      <c r="O340" s="552" t="s">
        <v>351</v>
      </c>
      <c r="P340" s="456"/>
      <c r="T340" s="137">
        <f>SUM(E340:Q340)</f>
        <v>0</v>
      </c>
      <c r="U340" s="138" t="s">
        <v>367</v>
      </c>
      <c r="V340" s="139"/>
      <c r="W340" s="137">
        <f>T340*7.48</f>
        <v>0</v>
      </c>
      <c r="X340" s="138" t="s">
        <v>346</v>
      </c>
      <c r="Y340" s="157"/>
      <c r="Z340" s="157"/>
    </row>
    <row r="341" spans="1:26" s="125" customFormat="1" x14ac:dyDescent="0.25">
      <c r="A341" s="461"/>
      <c r="B341" s="135" t="s">
        <v>347</v>
      </c>
      <c r="C341" s="613"/>
      <c r="D341" s="552" t="s">
        <v>351</v>
      </c>
      <c r="E341" s="552" t="s">
        <v>351</v>
      </c>
      <c r="F341" s="142">
        <v>23490.26</v>
      </c>
      <c r="G341" s="142">
        <v>21781.91</v>
      </c>
      <c r="H341" s="142">
        <v>21124.71</v>
      </c>
      <c r="I341" s="142">
        <v>19507.650000000001</v>
      </c>
      <c r="J341" s="142">
        <v>18410.8</v>
      </c>
      <c r="K341" s="142">
        <v>16373.78</v>
      </c>
      <c r="L341" s="142">
        <v>19835.29</v>
      </c>
      <c r="M341" s="142">
        <v>19906.509999999998</v>
      </c>
      <c r="N341" s="142">
        <v>26005.39</v>
      </c>
      <c r="O341" s="142">
        <v>25641.94</v>
      </c>
      <c r="P341" s="176"/>
      <c r="T341" s="143">
        <f>SUM(E341:Q341)</f>
        <v>212078.24</v>
      </c>
      <c r="U341" s="138"/>
      <c r="V341" s="139"/>
      <c r="W341" s="143">
        <f>T341</f>
        <v>212078.24</v>
      </c>
      <c r="X341" s="138"/>
      <c r="Y341" s="157"/>
      <c r="Z341" s="157"/>
    </row>
    <row r="342" spans="1:26" s="125" customFormat="1" ht="16.5" x14ac:dyDescent="0.35">
      <c r="A342" s="461"/>
      <c r="B342" s="144" t="s">
        <v>374</v>
      </c>
      <c r="C342" s="611"/>
      <c r="D342" s="552" t="s">
        <v>351</v>
      </c>
      <c r="E342" s="145">
        <v>6474.16</v>
      </c>
      <c r="F342" s="145">
        <v>3897.67</v>
      </c>
      <c r="G342" s="145">
        <v>4973.8100000000004</v>
      </c>
      <c r="H342" s="145">
        <v>7089.77</v>
      </c>
      <c r="I342" s="145">
        <v>10403.16</v>
      </c>
      <c r="J342" s="145">
        <v>12397.04</v>
      </c>
      <c r="K342" s="145">
        <v>9757.84</v>
      </c>
      <c r="L342" s="145">
        <v>7047.09</v>
      </c>
      <c r="M342" s="145">
        <v>6044.15</v>
      </c>
      <c r="N342" s="145">
        <v>6028.34</v>
      </c>
      <c r="O342" s="145">
        <v>5710.61</v>
      </c>
      <c r="P342" s="179"/>
      <c r="T342" s="143">
        <f>SUM(E342:Q342)</f>
        <v>79823.639999999985</v>
      </c>
      <c r="U342" s="138"/>
      <c r="V342" s="139"/>
      <c r="W342" s="146">
        <f>T342</f>
        <v>79823.639999999985</v>
      </c>
      <c r="X342" s="138"/>
      <c r="Y342" s="157"/>
      <c r="Z342" s="157" t="s">
        <v>824</v>
      </c>
    </row>
    <row r="343" spans="1:26" s="125" customFormat="1" x14ac:dyDescent="0.25">
      <c r="A343" s="461"/>
      <c r="B343" s="180"/>
      <c r="C343" s="611"/>
      <c r="D343" s="611" t="s">
        <v>351</v>
      </c>
      <c r="E343" s="179" t="s">
        <v>823</v>
      </c>
      <c r="F343" s="179"/>
      <c r="G343" s="179"/>
      <c r="H343" s="179"/>
      <c r="I343" s="179"/>
      <c r="J343" s="179"/>
      <c r="K343" s="179"/>
      <c r="L343" s="179"/>
      <c r="M343" s="179"/>
      <c r="N343" s="179"/>
      <c r="O343" s="179"/>
      <c r="T343" s="149"/>
      <c r="U343" s="150"/>
      <c r="V343" s="139"/>
      <c r="W343" s="143">
        <f>SUM(W341:W342)</f>
        <v>291901.88</v>
      </c>
      <c r="X343" s="138"/>
      <c r="Y343" s="157"/>
      <c r="Z343" s="674" t="s">
        <v>825</v>
      </c>
    </row>
    <row r="345" spans="1:26" s="125" customFormat="1" ht="16.5" x14ac:dyDescent="0.35">
      <c r="A345" s="461">
        <v>37</v>
      </c>
      <c r="B345" s="127" t="s">
        <v>618</v>
      </c>
      <c r="C345" s="611"/>
      <c r="D345" s="179"/>
      <c r="E345" s="179"/>
      <c r="F345" s="179"/>
      <c r="G345" s="179"/>
      <c r="H345" s="179"/>
      <c r="I345" s="179"/>
      <c r="J345" s="179"/>
      <c r="K345" s="179"/>
      <c r="L345" s="179"/>
      <c r="M345" s="179"/>
      <c r="N345" s="179"/>
      <c r="O345" s="179"/>
      <c r="R345" s="149"/>
      <c r="S345" s="150"/>
      <c r="T345" s="127" t="s">
        <v>618</v>
      </c>
      <c r="U345" s="181"/>
      <c r="V345" s="150"/>
      <c r="Y345" s="157"/>
      <c r="Z345" s="157"/>
    </row>
    <row r="346" spans="1:26" s="125" customFormat="1" x14ac:dyDescent="0.25">
      <c r="A346" s="461"/>
      <c r="B346" s="130" t="s">
        <v>337</v>
      </c>
      <c r="C346" s="186" t="s">
        <v>392</v>
      </c>
      <c r="D346" s="131">
        <v>41456</v>
      </c>
      <c r="E346" s="131">
        <v>41487</v>
      </c>
      <c r="F346" s="131">
        <v>41518</v>
      </c>
      <c r="G346" s="131">
        <v>41548</v>
      </c>
      <c r="H346" s="131">
        <v>41579</v>
      </c>
      <c r="I346" s="131">
        <v>41609</v>
      </c>
      <c r="J346" s="131">
        <v>41640</v>
      </c>
      <c r="K346" s="131">
        <v>41671</v>
      </c>
      <c r="L346" s="131">
        <v>41699</v>
      </c>
      <c r="M346" s="131">
        <v>41730</v>
      </c>
      <c r="N346" s="131">
        <v>41760</v>
      </c>
      <c r="O346" s="131">
        <v>41791</v>
      </c>
      <c r="P346" s="131">
        <v>41821</v>
      </c>
      <c r="Q346" s="151">
        <v>41852</v>
      </c>
      <c r="R346" s="131">
        <v>41896</v>
      </c>
      <c r="T346" s="133" t="s">
        <v>338</v>
      </c>
      <c r="U346" s="134" t="s">
        <v>339</v>
      </c>
      <c r="V346" s="132"/>
      <c r="W346" s="133" t="s">
        <v>338</v>
      </c>
      <c r="X346" s="134" t="s">
        <v>339</v>
      </c>
      <c r="Y346" s="157"/>
      <c r="Z346" s="157"/>
    </row>
    <row r="347" spans="1:26" s="125" customFormat="1" x14ac:dyDescent="0.25">
      <c r="A347" s="461"/>
      <c r="B347" s="135" t="s">
        <v>340</v>
      </c>
      <c r="C347" s="612"/>
      <c r="E347" s="456"/>
      <c r="F347" s="456"/>
      <c r="G347" s="160">
        <v>69200</v>
      </c>
      <c r="H347" s="160">
        <v>82600</v>
      </c>
      <c r="I347" s="160">
        <v>78200</v>
      </c>
      <c r="J347" s="160">
        <v>73400</v>
      </c>
      <c r="K347" s="160">
        <v>81800</v>
      </c>
      <c r="L347" s="160">
        <v>69800</v>
      </c>
      <c r="M347" s="160">
        <v>74800</v>
      </c>
      <c r="N347" s="160">
        <v>76400</v>
      </c>
      <c r="O347" s="160">
        <v>65400</v>
      </c>
      <c r="P347" s="160">
        <v>62600</v>
      </c>
      <c r="Q347" s="448">
        <v>75400</v>
      </c>
      <c r="R347" s="448">
        <v>72000</v>
      </c>
      <c r="T347" s="137">
        <f>SUM(E347:R347)</f>
        <v>881600</v>
      </c>
      <c r="U347" s="138" t="s">
        <v>341</v>
      </c>
      <c r="V347" s="139"/>
      <c r="W347" s="140">
        <f>T347*3413/1000000</f>
        <v>3008.9007999999999</v>
      </c>
      <c r="X347" s="138" t="s">
        <v>342</v>
      </c>
      <c r="Y347" s="157"/>
      <c r="Z347" s="157"/>
    </row>
    <row r="348" spans="1:26" s="125" customFormat="1" x14ac:dyDescent="0.25">
      <c r="A348" s="461"/>
      <c r="B348" s="135" t="s">
        <v>614</v>
      </c>
      <c r="C348" s="201"/>
      <c r="E348" s="456"/>
      <c r="F348" s="456"/>
      <c r="G348" s="160">
        <v>20</v>
      </c>
      <c r="H348" s="160">
        <v>21</v>
      </c>
      <c r="I348" s="160">
        <v>17</v>
      </c>
      <c r="J348" s="160">
        <v>13</v>
      </c>
      <c r="K348" s="160">
        <v>20</v>
      </c>
      <c r="L348" s="160">
        <v>19</v>
      </c>
      <c r="M348" s="160">
        <v>18</v>
      </c>
      <c r="N348" s="160">
        <v>19</v>
      </c>
      <c r="O348" s="160">
        <v>16</v>
      </c>
      <c r="P348" s="160">
        <v>27</v>
      </c>
      <c r="Q348" s="440">
        <v>23</v>
      </c>
      <c r="R348" s="440">
        <v>22</v>
      </c>
      <c r="T348" s="137">
        <f>SUM(E348:R348)</f>
        <v>235</v>
      </c>
      <c r="U348" s="138" t="s">
        <v>379</v>
      </c>
      <c r="V348" s="139"/>
      <c r="W348" s="137">
        <f>T348*748</f>
        <v>175780</v>
      </c>
      <c r="X348" s="138" t="s">
        <v>346</v>
      </c>
      <c r="Y348" s="157"/>
      <c r="Z348" s="157"/>
    </row>
    <row r="349" spans="1:26" s="125" customFormat="1" x14ac:dyDescent="0.25">
      <c r="A349" s="461"/>
      <c r="B349" s="135" t="s">
        <v>347</v>
      </c>
      <c r="C349" s="613"/>
      <c r="E349" s="176"/>
      <c r="F349" s="176"/>
      <c r="G349" s="142">
        <v>5997.1</v>
      </c>
      <c r="H349" s="142">
        <v>7048.17</v>
      </c>
      <c r="I349" s="142">
        <v>6695.62</v>
      </c>
      <c r="J349" s="142">
        <v>6475.23</v>
      </c>
      <c r="K349" s="142">
        <v>7165.66</v>
      </c>
      <c r="L349" s="142">
        <v>6044.77</v>
      </c>
      <c r="M349" s="142">
        <v>6288.27</v>
      </c>
      <c r="N349" s="142">
        <v>6432.95</v>
      </c>
      <c r="O349" s="142">
        <v>5628.77</v>
      </c>
      <c r="P349" s="142">
        <v>5526.73</v>
      </c>
      <c r="Q349" s="440">
        <v>6463.28</v>
      </c>
      <c r="R349" s="440">
        <v>6206.95</v>
      </c>
      <c r="T349" s="143">
        <f>SUM(E349:R349)</f>
        <v>75973.5</v>
      </c>
      <c r="U349" s="138"/>
      <c r="V349" s="139"/>
      <c r="W349" s="143">
        <f>T349</f>
        <v>75973.5</v>
      </c>
      <c r="X349" s="138"/>
      <c r="Y349" s="157"/>
      <c r="Z349" s="157"/>
    </row>
    <row r="350" spans="1:26" s="125" customFormat="1" x14ac:dyDescent="0.25">
      <c r="A350" s="461"/>
      <c r="B350" s="180"/>
      <c r="C350" s="611"/>
      <c r="D350" s="179"/>
      <c r="E350" s="179"/>
      <c r="F350" s="179"/>
      <c r="G350" s="179"/>
      <c r="H350" s="179"/>
      <c r="I350" s="179"/>
      <c r="J350" s="179"/>
      <c r="K350" s="179"/>
      <c r="L350" s="179"/>
      <c r="M350" s="179"/>
      <c r="N350" s="179"/>
      <c r="O350" s="179"/>
      <c r="T350" s="149"/>
      <c r="U350" s="150"/>
      <c r="V350" s="139"/>
      <c r="W350" s="143">
        <f>SUM(W349:W349)</f>
        <v>75973.5</v>
      </c>
      <c r="X350" s="138"/>
      <c r="Y350" s="157"/>
      <c r="Z350" s="157"/>
    </row>
    <row r="352" spans="1:26" s="128" customFormat="1" x14ac:dyDescent="0.25">
      <c r="A352" s="459">
        <v>38</v>
      </c>
      <c r="B352" s="127" t="s">
        <v>621</v>
      </c>
      <c r="C352" s="173"/>
      <c r="S352" s="129"/>
      <c r="T352" s="127" t="s">
        <v>621</v>
      </c>
      <c r="V352" s="129"/>
      <c r="Y352" s="166"/>
      <c r="Z352" s="166"/>
    </row>
    <row r="353" spans="1:26" s="125" customFormat="1" x14ac:dyDescent="0.25">
      <c r="A353" s="461"/>
      <c r="B353" s="130" t="s">
        <v>337</v>
      </c>
      <c r="C353" s="186" t="s">
        <v>392</v>
      </c>
      <c r="D353" s="131">
        <v>41456</v>
      </c>
      <c r="E353" s="131">
        <v>41487</v>
      </c>
      <c r="F353" s="131">
        <v>41518</v>
      </c>
      <c r="G353" s="131">
        <v>41548</v>
      </c>
      <c r="H353" s="131">
        <v>41579</v>
      </c>
      <c r="I353" s="131">
        <v>41609</v>
      </c>
      <c r="J353" s="131">
        <v>41640</v>
      </c>
      <c r="K353" s="131">
        <v>41671</v>
      </c>
      <c r="L353" s="131">
        <v>41699</v>
      </c>
      <c r="M353" s="131">
        <v>41730</v>
      </c>
      <c r="N353" s="131">
        <v>41760</v>
      </c>
      <c r="O353" s="131">
        <v>41791</v>
      </c>
      <c r="P353" s="131">
        <v>41821</v>
      </c>
      <c r="Q353" s="131">
        <v>41852</v>
      </c>
      <c r="R353" s="131">
        <v>41896</v>
      </c>
      <c r="T353" s="133" t="s">
        <v>338</v>
      </c>
      <c r="U353" s="134" t="s">
        <v>339</v>
      </c>
      <c r="V353" s="132"/>
      <c r="W353" s="133" t="s">
        <v>338</v>
      </c>
      <c r="X353" s="134" t="s">
        <v>339</v>
      </c>
      <c r="Y353" s="157"/>
      <c r="Z353" s="157"/>
    </row>
    <row r="354" spans="1:26" s="125" customFormat="1" x14ac:dyDescent="0.25">
      <c r="A354" s="461"/>
      <c r="B354" s="135" t="s">
        <v>340</v>
      </c>
      <c r="C354" s="614"/>
      <c r="D354" s="457"/>
      <c r="E354" s="448"/>
      <c r="F354" s="136"/>
      <c r="G354" s="136"/>
      <c r="H354" s="136"/>
      <c r="I354" s="136"/>
      <c r="J354" s="136"/>
      <c r="K354" s="136"/>
      <c r="L354" s="136"/>
      <c r="M354" s="136"/>
      <c r="N354" s="136"/>
      <c r="O354" s="136"/>
      <c r="P354" s="136"/>
      <c r="Q354" s="174"/>
      <c r="T354" s="187">
        <f>SUM(F354:Q354)</f>
        <v>0</v>
      </c>
      <c r="U354" s="188" t="s">
        <v>341</v>
      </c>
      <c r="V354" s="157"/>
      <c r="W354" s="140">
        <f>T354*3413/1000000</f>
        <v>0</v>
      </c>
      <c r="X354" s="138" t="s">
        <v>342</v>
      </c>
      <c r="Y354" s="157"/>
      <c r="Z354" s="157"/>
    </row>
    <row r="355" spans="1:26" s="125" customFormat="1" x14ac:dyDescent="0.25">
      <c r="A355" s="461"/>
      <c r="B355" s="135" t="s">
        <v>345</v>
      </c>
      <c r="C355" s="615"/>
      <c r="D355" s="458"/>
      <c r="E355" s="440"/>
      <c r="F355" s="141"/>
      <c r="G355" s="141"/>
      <c r="H355" s="154"/>
      <c r="I355" s="154"/>
      <c r="J355" s="154"/>
      <c r="K355" s="141"/>
      <c r="L355" s="154"/>
      <c r="M355" s="141"/>
      <c r="N355" s="141"/>
      <c r="O355" s="141"/>
      <c r="P355" s="141"/>
      <c r="Q355" s="178"/>
      <c r="T355" s="187">
        <f>SUM(F355:Q355)</f>
        <v>0</v>
      </c>
      <c r="U355" s="188" t="s">
        <v>346</v>
      </c>
      <c r="V355" s="157"/>
      <c r="W355" s="141">
        <f>T355</f>
        <v>0</v>
      </c>
      <c r="X355" s="188" t="s">
        <v>346</v>
      </c>
      <c r="Y355" s="157"/>
      <c r="Z355" s="157"/>
    </row>
    <row r="356" spans="1:26" s="125" customFormat="1" x14ac:dyDescent="0.25">
      <c r="A356" s="461"/>
      <c r="B356" s="135" t="s">
        <v>347</v>
      </c>
      <c r="C356" s="615"/>
      <c r="D356" s="458"/>
      <c r="E356" s="440"/>
      <c r="F356" s="142"/>
      <c r="G356" s="142"/>
      <c r="H356" s="142"/>
      <c r="I356" s="142"/>
      <c r="J356" s="142"/>
      <c r="K356" s="142"/>
      <c r="L356" s="142"/>
      <c r="M356" s="142"/>
      <c r="N356" s="142"/>
      <c r="O356" s="142"/>
      <c r="P356" s="142"/>
      <c r="Q356" s="176"/>
      <c r="T356" s="189">
        <f>SUM(F356:Q356)</f>
        <v>0</v>
      </c>
      <c r="U356" s="188"/>
      <c r="V356" s="157"/>
      <c r="W356" s="190">
        <f>T356</f>
        <v>0</v>
      </c>
      <c r="X356" s="188"/>
      <c r="Y356" s="157"/>
      <c r="Z356" s="157"/>
    </row>
    <row r="358" spans="1:26" s="125" customFormat="1" ht="16.5" x14ac:dyDescent="0.35">
      <c r="A358" s="461">
        <v>39</v>
      </c>
      <c r="B358" s="127" t="s">
        <v>622</v>
      </c>
      <c r="C358" s="611"/>
      <c r="D358" s="179"/>
      <c r="E358" s="179"/>
      <c r="F358" s="179"/>
      <c r="G358" s="179"/>
      <c r="H358" s="179"/>
      <c r="I358" s="179"/>
      <c r="J358" s="179"/>
      <c r="K358" s="179"/>
      <c r="L358" s="179"/>
      <c r="M358" s="179"/>
      <c r="N358" s="179"/>
      <c r="O358" s="179"/>
      <c r="R358" s="149"/>
      <c r="S358" s="150"/>
      <c r="T358" s="127" t="s">
        <v>622</v>
      </c>
      <c r="U358" s="181"/>
      <c r="V358" s="150"/>
      <c r="Y358" s="157"/>
      <c r="Z358" s="157"/>
    </row>
    <row r="359" spans="1:26" s="125" customFormat="1" x14ac:dyDescent="0.25">
      <c r="A359" s="461"/>
      <c r="B359" s="130" t="s">
        <v>337</v>
      </c>
      <c r="C359" s="186" t="s">
        <v>392</v>
      </c>
      <c r="D359" s="131">
        <v>41456</v>
      </c>
      <c r="E359" s="131">
        <v>41487</v>
      </c>
      <c r="F359" s="131">
        <v>41518</v>
      </c>
      <c r="G359" s="131">
        <v>41548</v>
      </c>
      <c r="H359" s="131">
        <v>41579</v>
      </c>
      <c r="I359" s="131">
        <v>41609</v>
      </c>
      <c r="J359" s="131">
        <v>41640</v>
      </c>
      <c r="K359" s="131">
        <v>41671</v>
      </c>
      <c r="L359" s="131">
        <v>41699</v>
      </c>
      <c r="M359" s="131">
        <v>41730</v>
      </c>
      <c r="N359" s="131">
        <v>41760</v>
      </c>
      <c r="O359" s="131">
        <v>41791</v>
      </c>
      <c r="P359" s="131">
        <v>41821</v>
      </c>
      <c r="Q359" s="151">
        <v>41852</v>
      </c>
      <c r="R359" s="131">
        <v>41896</v>
      </c>
      <c r="T359" s="133" t="s">
        <v>338</v>
      </c>
      <c r="U359" s="134" t="s">
        <v>339</v>
      </c>
      <c r="V359" s="132"/>
      <c r="W359" s="133" t="s">
        <v>338</v>
      </c>
      <c r="X359" s="134" t="s">
        <v>339</v>
      </c>
      <c r="Y359" s="157"/>
      <c r="Z359" s="157"/>
    </row>
    <row r="360" spans="1:26" s="125" customFormat="1" x14ac:dyDescent="0.25">
      <c r="A360" s="461"/>
      <c r="B360" s="135" t="s">
        <v>340</v>
      </c>
      <c r="C360" s="612"/>
      <c r="D360" s="160">
        <v>196000</v>
      </c>
      <c r="E360" s="160">
        <v>157000</v>
      </c>
      <c r="F360" s="160">
        <v>143000</v>
      </c>
      <c r="G360" s="160">
        <v>211000</v>
      </c>
      <c r="H360" s="160">
        <v>76000</v>
      </c>
      <c r="I360" s="160">
        <v>129000</v>
      </c>
      <c r="J360" s="160">
        <v>132000</v>
      </c>
      <c r="K360" s="160">
        <v>125000</v>
      </c>
      <c r="L360" s="160">
        <v>134000</v>
      </c>
      <c r="M360" s="160">
        <v>146000</v>
      </c>
      <c r="N360" s="160">
        <v>126000</v>
      </c>
      <c r="O360" s="160">
        <v>169000</v>
      </c>
      <c r="P360" s="456"/>
      <c r="T360" s="137">
        <f t="shared" ref="T360:T366" si="13">SUM(D360:Q360)</f>
        <v>1744000</v>
      </c>
      <c r="U360" s="138" t="s">
        <v>341</v>
      </c>
      <c r="V360" s="139"/>
      <c r="W360" s="140">
        <f>T360*3413/1000000</f>
        <v>5952.2719999999999</v>
      </c>
      <c r="X360" s="138" t="s">
        <v>342</v>
      </c>
      <c r="Y360" s="157"/>
      <c r="Z360" s="157"/>
    </row>
    <row r="361" spans="1:26" s="125" customFormat="1" x14ac:dyDescent="0.25">
      <c r="A361" s="461"/>
      <c r="B361" s="135" t="s">
        <v>821</v>
      </c>
      <c r="C361" s="612"/>
      <c r="D361" s="153">
        <v>22</v>
      </c>
      <c r="E361" s="160">
        <v>20</v>
      </c>
      <c r="F361" s="160">
        <v>26</v>
      </c>
      <c r="G361" s="160">
        <v>35</v>
      </c>
      <c r="H361" s="160">
        <v>11</v>
      </c>
      <c r="I361" s="160">
        <v>14</v>
      </c>
      <c r="J361" s="160">
        <v>26</v>
      </c>
      <c r="K361" s="160">
        <v>32</v>
      </c>
      <c r="L361" s="160">
        <v>25</v>
      </c>
      <c r="M361" s="160">
        <v>34</v>
      </c>
      <c r="N361" s="160">
        <v>14</v>
      </c>
      <c r="O361" s="160">
        <v>21</v>
      </c>
      <c r="P361" s="456"/>
      <c r="T361" s="137">
        <f t="shared" si="13"/>
        <v>280</v>
      </c>
      <c r="U361" s="138" t="s">
        <v>822</v>
      </c>
      <c r="V361" s="139"/>
      <c r="W361" s="140">
        <f>T361*1000*1027/1000000</f>
        <v>287.56</v>
      </c>
      <c r="X361" s="138" t="s">
        <v>342</v>
      </c>
      <c r="Y361" s="765"/>
      <c r="Z361" s="150"/>
    </row>
    <row r="362" spans="1:26" s="157" customFormat="1" x14ac:dyDescent="0.25">
      <c r="A362" s="461"/>
      <c r="B362" s="135" t="s">
        <v>820</v>
      </c>
      <c r="C362" s="599"/>
      <c r="D362" s="557">
        <v>328600</v>
      </c>
      <c r="E362" s="557">
        <v>319000</v>
      </c>
      <c r="F362" s="557">
        <v>251800</v>
      </c>
      <c r="G362" s="557">
        <v>339700</v>
      </c>
      <c r="H362" s="557">
        <v>596800</v>
      </c>
      <c r="I362" s="557">
        <v>877900</v>
      </c>
      <c r="J362" s="557">
        <v>10008000</v>
      </c>
      <c r="K362" s="557">
        <v>593200</v>
      </c>
      <c r="L362" s="557">
        <v>644700</v>
      </c>
      <c r="M362" s="557">
        <v>327800</v>
      </c>
      <c r="N362" s="557">
        <v>293200</v>
      </c>
      <c r="O362" s="557">
        <v>315801</v>
      </c>
      <c r="P362" s="174"/>
      <c r="Q362" s="174"/>
      <c r="T362" s="141">
        <f t="shared" si="13"/>
        <v>14896501</v>
      </c>
      <c r="U362" s="138" t="s">
        <v>342</v>
      </c>
      <c r="W362" s="160">
        <f>T362/1000</f>
        <v>14896.501</v>
      </c>
      <c r="X362" s="138" t="s">
        <v>342</v>
      </c>
    </row>
    <row r="363" spans="1:26" s="157" customFormat="1" x14ac:dyDescent="0.25">
      <c r="A363" s="461"/>
      <c r="B363" s="192" t="s">
        <v>323</v>
      </c>
      <c r="C363" s="599"/>
      <c r="D363" s="557">
        <v>166225</v>
      </c>
      <c r="E363" s="557">
        <v>167925</v>
      </c>
      <c r="F363" s="557">
        <v>129275</v>
      </c>
      <c r="G363" s="557">
        <v>102217</v>
      </c>
      <c r="H363" s="557">
        <v>47075</v>
      </c>
      <c r="I363" s="557">
        <v>42608</v>
      </c>
      <c r="J363" s="557">
        <v>25117</v>
      </c>
      <c r="K363" s="557">
        <v>20575</v>
      </c>
      <c r="L363" s="557">
        <v>44867</v>
      </c>
      <c r="M363" s="557">
        <v>74842</v>
      </c>
      <c r="N363" s="557">
        <v>112958</v>
      </c>
      <c r="O363" s="557">
        <v>149900</v>
      </c>
      <c r="P363" s="178"/>
      <c r="Q363" s="178"/>
      <c r="T363" s="141">
        <f t="shared" si="13"/>
        <v>1083584</v>
      </c>
      <c r="U363" s="188" t="s">
        <v>397</v>
      </c>
      <c r="W363" s="160">
        <f>T363*0.012</f>
        <v>13003.008</v>
      </c>
      <c r="X363" s="138" t="s">
        <v>342</v>
      </c>
      <c r="Y363" s="495">
        <f>W360+W361+W362+W363</f>
        <v>34139.341</v>
      </c>
      <c r="Z363" s="138" t="s">
        <v>342</v>
      </c>
    </row>
    <row r="364" spans="1:26" s="125" customFormat="1" x14ac:dyDescent="0.25">
      <c r="A364" s="461"/>
      <c r="B364" s="135" t="s">
        <v>322</v>
      </c>
      <c r="C364" s="201"/>
      <c r="D364" s="160">
        <v>25000</v>
      </c>
      <c r="E364" s="160">
        <v>76000</v>
      </c>
      <c r="F364" s="160">
        <v>134400</v>
      </c>
      <c r="G364" s="160">
        <v>193700</v>
      </c>
      <c r="H364" s="160">
        <v>48500</v>
      </c>
      <c r="I364" s="160">
        <v>95000</v>
      </c>
      <c r="J364" s="160">
        <v>69300</v>
      </c>
      <c r="K364" s="160">
        <v>127800</v>
      </c>
      <c r="L364" s="160">
        <v>203000</v>
      </c>
      <c r="M364" s="160">
        <v>38400</v>
      </c>
      <c r="N364" s="160">
        <v>73600</v>
      </c>
      <c r="O364" s="160">
        <v>82800</v>
      </c>
      <c r="P364" s="456"/>
      <c r="T364" s="137">
        <f t="shared" si="13"/>
        <v>1167500</v>
      </c>
      <c r="U364" s="138" t="s">
        <v>346</v>
      </c>
      <c r="V364" s="139"/>
      <c r="W364" s="137">
        <f>T364</f>
        <v>1167500</v>
      </c>
      <c r="X364" s="138" t="s">
        <v>346</v>
      </c>
      <c r="Y364" s="157"/>
      <c r="Z364" s="157"/>
    </row>
    <row r="365" spans="1:26" s="125" customFormat="1" x14ac:dyDescent="0.25">
      <c r="A365" s="461"/>
      <c r="B365" s="135" t="s">
        <v>347</v>
      </c>
      <c r="C365" s="613"/>
      <c r="D365" s="171">
        <v>15680</v>
      </c>
      <c r="E365" s="142">
        <v>13297.9</v>
      </c>
      <c r="F365" s="142">
        <v>11425.7</v>
      </c>
      <c r="G365" s="142">
        <v>15614</v>
      </c>
      <c r="H365" s="142">
        <v>5358</v>
      </c>
      <c r="I365" s="142">
        <v>9571.7999999999993</v>
      </c>
      <c r="J365" s="142">
        <v>9332.4</v>
      </c>
      <c r="K365" s="142">
        <v>9450</v>
      </c>
      <c r="L365" s="142">
        <v>9728.4</v>
      </c>
      <c r="M365" s="142">
        <v>10307.6</v>
      </c>
      <c r="N365" s="142">
        <v>8769.6</v>
      </c>
      <c r="O365" s="142">
        <v>13739.7</v>
      </c>
      <c r="P365" s="176"/>
      <c r="T365" s="143">
        <f t="shared" si="13"/>
        <v>132275.1</v>
      </c>
      <c r="U365" s="138"/>
      <c r="V365" s="139"/>
      <c r="W365" s="143">
        <f>T365</f>
        <v>132275.1</v>
      </c>
      <c r="X365" s="138"/>
      <c r="Y365" s="157"/>
      <c r="Z365" s="157"/>
    </row>
    <row r="366" spans="1:26" s="125" customFormat="1" x14ac:dyDescent="0.25">
      <c r="A366" s="461"/>
      <c r="B366" s="144" t="s">
        <v>374</v>
      </c>
      <c r="C366" s="611"/>
      <c r="D366" s="171">
        <v>118.58</v>
      </c>
      <c r="E366" s="145">
        <v>102.8</v>
      </c>
      <c r="F366" s="145">
        <v>135.46</v>
      </c>
      <c r="G366" s="145">
        <v>176.05</v>
      </c>
      <c r="H366" s="145">
        <v>60.06</v>
      </c>
      <c r="I366" s="145">
        <v>79.8</v>
      </c>
      <c r="J366" s="145">
        <v>159.63999999999999</v>
      </c>
      <c r="K366" s="145">
        <v>239.36</v>
      </c>
      <c r="L366" s="145">
        <v>158.25</v>
      </c>
      <c r="M366" s="145">
        <v>198.9</v>
      </c>
      <c r="N366" s="145">
        <v>86.1</v>
      </c>
      <c r="O366" s="145">
        <v>124.74</v>
      </c>
      <c r="P366" s="179"/>
      <c r="T366" s="143">
        <f t="shared" si="13"/>
        <v>1639.74</v>
      </c>
      <c r="U366" s="138"/>
      <c r="V366" s="139"/>
      <c r="W366" s="143">
        <f>T366</f>
        <v>1639.74</v>
      </c>
      <c r="X366" s="138"/>
      <c r="Y366" s="157"/>
      <c r="Z366" s="157" t="s">
        <v>824</v>
      </c>
    </row>
    <row r="367" spans="1:26" s="157" customFormat="1" x14ac:dyDescent="0.25">
      <c r="A367" s="461"/>
      <c r="B367" s="204" t="s">
        <v>819</v>
      </c>
      <c r="C367" s="599"/>
      <c r="D367" s="145">
        <v>1828</v>
      </c>
      <c r="E367" s="145">
        <v>1544</v>
      </c>
      <c r="F367" s="145">
        <v>1208</v>
      </c>
      <c r="G367" s="145">
        <v>2422</v>
      </c>
      <c r="H367" s="145">
        <v>1567</v>
      </c>
      <c r="I367" s="145">
        <v>3248</v>
      </c>
      <c r="J367" s="145">
        <v>2711</v>
      </c>
      <c r="K367" s="145">
        <v>3327</v>
      </c>
      <c r="L367" s="145">
        <v>2821</v>
      </c>
      <c r="M367" s="145">
        <v>1789</v>
      </c>
      <c r="N367" s="145">
        <v>1578</v>
      </c>
      <c r="O367" s="145">
        <v>1924</v>
      </c>
      <c r="P367" s="184"/>
      <c r="Q367" s="184"/>
      <c r="T367" s="171">
        <f>SUM(D367:O367)</f>
        <v>25967</v>
      </c>
      <c r="U367" s="188"/>
      <c r="W367" s="190">
        <f>T367</f>
        <v>25967</v>
      </c>
      <c r="X367" s="188"/>
    </row>
    <row r="368" spans="1:26" s="157" customFormat="1" ht="16.5" x14ac:dyDescent="0.35">
      <c r="A368" s="461"/>
      <c r="B368" s="195" t="s">
        <v>398</v>
      </c>
      <c r="C368" s="599"/>
      <c r="D368" s="145">
        <v>16008</v>
      </c>
      <c r="E368" s="145">
        <v>14362</v>
      </c>
      <c r="F368" s="145">
        <v>8271</v>
      </c>
      <c r="G368" s="145">
        <v>7801</v>
      </c>
      <c r="H368" s="145">
        <v>1814</v>
      </c>
      <c r="I368" s="145">
        <v>3336</v>
      </c>
      <c r="J368" s="145">
        <v>2530</v>
      </c>
      <c r="K368" s="145">
        <v>2243</v>
      </c>
      <c r="L368" s="145">
        <v>2486</v>
      </c>
      <c r="M368" s="145">
        <v>5389</v>
      </c>
      <c r="N368" s="145">
        <v>5703</v>
      </c>
      <c r="O368" s="145">
        <v>12696</v>
      </c>
      <c r="P368" s="446"/>
      <c r="Q368" s="446"/>
      <c r="T368" s="171">
        <f>SUM(D368:O368)</f>
        <v>82639</v>
      </c>
      <c r="U368" s="188"/>
      <c r="W368" s="197">
        <f>T368</f>
        <v>82639</v>
      </c>
      <c r="X368" s="188"/>
    </row>
    <row r="369" spans="1:26" s="125" customFormat="1" x14ac:dyDescent="0.25">
      <c r="A369" s="461"/>
      <c r="B369" s="180"/>
      <c r="C369" s="611"/>
      <c r="D369" s="179"/>
      <c r="E369" s="179"/>
      <c r="F369" s="179"/>
      <c r="G369" s="179"/>
      <c r="H369" s="179"/>
      <c r="I369" s="179"/>
      <c r="J369" s="179"/>
      <c r="K369" s="179"/>
      <c r="L369" s="179"/>
      <c r="M369" s="179"/>
      <c r="N369" s="179"/>
      <c r="O369" s="179"/>
      <c r="T369" s="149"/>
      <c r="U369" s="150"/>
      <c r="V369" s="139"/>
      <c r="W369" s="143">
        <f>SUM(W365:W368)</f>
        <v>242520.84</v>
      </c>
      <c r="X369" s="138"/>
      <c r="Y369" s="157"/>
      <c r="Z369" s="674" t="s">
        <v>825</v>
      </c>
    </row>
    <row r="371" spans="1:26" s="128" customFormat="1" x14ac:dyDescent="0.25">
      <c r="A371" s="459">
        <v>40</v>
      </c>
      <c r="B371" s="127" t="s">
        <v>623</v>
      </c>
      <c r="C371" s="602"/>
      <c r="T371" s="127" t="s">
        <v>623</v>
      </c>
      <c r="U371" s="129"/>
      <c r="X371" s="129"/>
      <c r="Y371" s="166"/>
      <c r="Z371" s="166"/>
    </row>
    <row r="372" spans="1:26" s="125" customFormat="1" x14ac:dyDescent="0.25">
      <c r="A372" s="461"/>
      <c r="B372" s="130" t="s">
        <v>337</v>
      </c>
      <c r="C372" s="186" t="s">
        <v>392</v>
      </c>
      <c r="D372" s="131">
        <v>41456</v>
      </c>
      <c r="E372" s="131">
        <v>41487</v>
      </c>
      <c r="F372" s="131">
        <v>41518</v>
      </c>
      <c r="G372" s="131">
        <v>41548</v>
      </c>
      <c r="H372" s="131">
        <v>41579</v>
      </c>
      <c r="I372" s="131">
        <v>41609</v>
      </c>
      <c r="J372" s="131">
        <v>41640</v>
      </c>
      <c r="K372" s="131">
        <v>41671</v>
      </c>
      <c r="L372" s="131">
        <v>41699</v>
      </c>
      <c r="M372" s="131">
        <v>41730</v>
      </c>
      <c r="N372" s="131">
        <v>41760</v>
      </c>
      <c r="O372" s="131">
        <v>41791</v>
      </c>
      <c r="P372" s="131">
        <v>41821</v>
      </c>
      <c r="Q372" s="131">
        <v>41852</v>
      </c>
      <c r="R372" s="131">
        <v>41896</v>
      </c>
      <c r="S372" s="132"/>
      <c r="T372" s="133" t="s">
        <v>338</v>
      </c>
      <c r="U372" s="134" t="s">
        <v>339</v>
      </c>
      <c r="V372" s="132"/>
      <c r="W372" s="133" t="s">
        <v>338</v>
      </c>
      <c r="X372" s="134" t="s">
        <v>339</v>
      </c>
      <c r="Y372" s="157"/>
      <c r="Z372" s="157"/>
    </row>
    <row r="373" spans="1:26" s="125" customFormat="1" x14ac:dyDescent="0.25">
      <c r="A373" s="461"/>
      <c r="B373" s="135" t="s">
        <v>340</v>
      </c>
      <c r="C373" s="606"/>
      <c r="D373" s="174"/>
      <c r="E373" s="174"/>
      <c r="F373" s="136">
        <v>144457.05926439114</v>
      </c>
      <c r="G373" s="136">
        <v>125807.8897282095</v>
      </c>
      <c r="H373" s="136">
        <v>113819.1378835213</v>
      </c>
      <c r="I373" s="136">
        <v>103014.4602950986</v>
      </c>
      <c r="J373" s="136">
        <v>121367.61126721387</v>
      </c>
      <c r="K373" s="136">
        <v>106566.68306389511</v>
      </c>
      <c r="L373" s="136">
        <v>120479.55557501475</v>
      </c>
      <c r="M373" s="136">
        <v>123587.75049771168</v>
      </c>
      <c r="N373" s="136">
        <v>138388.67870103044</v>
      </c>
      <c r="O373" s="136">
        <v>154373.68116061471</v>
      </c>
      <c r="P373" s="136">
        <v>152005.5326480837</v>
      </c>
      <c r="Q373" s="136">
        <v>164734.33090293786</v>
      </c>
      <c r="R373" s="174"/>
      <c r="T373" s="143">
        <f t="shared" ref="T373:T378" si="14">SUM(C373:S373)</f>
        <v>1568602.3709877227</v>
      </c>
      <c r="U373" s="138" t="s">
        <v>341</v>
      </c>
      <c r="V373" s="139"/>
      <c r="W373" s="140">
        <f>T373*3413/1000000</f>
        <v>5353.6398921810969</v>
      </c>
      <c r="X373" s="138" t="s">
        <v>342</v>
      </c>
      <c r="Y373" s="157"/>
      <c r="Z373" s="157"/>
    </row>
    <row r="374" spans="1:26" s="125" customFormat="1" x14ac:dyDescent="0.25">
      <c r="A374" s="461"/>
      <c r="B374" s="135" t="s">
        <v>921</v>
      </c>
      <c r="C374" s="606"/>
      <c r="D374" s="174"/>
      <c r="E374" s="174"/>
      <c r="F374" s="136">
        <v>4849.2352483654731</v>
      </c>
      <c r="G374" s="136">
        <v>5621.7063488818221</v>
      </c>
      <c r="H374" s="136">
        <v>8284.6067251601908</v>
      </c>
      <c r="I374" s="136">
        <v>9198.3225414667468</v>
      </c>
      <c r="J374" s="136">
        <v>10961.50657769387</v>
      </c>
      <c r="K374" s="136">
        <v>9524.7269967766206</v>
      </c>
      <c r="L374" s="136">
        <v>10187.285542645606</v>
      </c>
      <c r="M374" s="136">
        <v>7054.986060735243</v>
      </c>
      <c r="N374" s="136">
        <v>4238.3414362958547</v>
      </c>
      <c r="O374" s="136">
        <v>4485.9155074537912</v>
      </c>
      <c r="P374" s="136">
        <v>4407.3351139492697</v>
      </c>
      <c r="Q374" s="136">
        <v>4609.7442081406625</v>
      </c>
      <c r="R374" s="174"/>
      <c r="T374" s="143">
        <f t="shared" si="14"/>
        <v>83423.712307565147</v>
      </c>
      <c r="U374" s="138" t="s">
        <v>354</v>
      </c>
      <c r="V374" s="139"/>
      <c r="W374" s="140">
        <f>T374*99976.124488/1000000</f>
        <v>8340.3794469122313</v>
      </c>
      <c r="X374" s="138" t="s">
        <v>342</v>
      </c>
      <c r="Y374" s="157"/>
      <c r="Z374" s="157"/>
    </row>
    <row r="375" spans="1:26" s="125" customFormat="1" x14ac:dyDescent="0.25">
      <c r="A375" s="461"/>
      <c r="B375" s="135" t="s">
        <v>372</v>
      </c>
      <c r="C375" s="612"/>
      <c r="D375" s="444"/>
      <c r="E375" s="456"/>
      <c r="F375" s="160">
        <v>307</v>
      </c>
      <c r="G375" s="160">
        <v>340</v>
      </c>
      <c r="H375" s="160">
        <v>412</v>
      </c>
      <c r="I375" s="160">
        <v>2094</v>
      </c>
      <c r="J375" s="160">
        <v>1802</v>
      </c>
      <c r="K375" s="160">
        <v>1176</v>
      </c>
      <c r="L375" s="160">
        <v>903</v>
      </c>
      <c r="M375" s="160">
        <v>1012</v>
      </c>
      <c r="N375" s="160">
        <v>881</v>
      </c>
      <c r="O375" s="160">
        <v>324</v>
      </c>
      <c r="P375" s="160">
        <v>283</v>
      </c>
      <c r="Q375" s="153">
        <v>678</v>
      </c>
      <c r="R375" s="444"/>
      <c r="T375" s="137">
        <f t="shared" si="14"/>
        <v>10212</v>
      </c>
      <c r="U375" s="138" t="s">
        <v>354</v>
      </c>
      <c r="V375" s="139"/>
      <c r="W375" s="140">
        <f>T375*99976.124488/1000000</f>
        <v>1020.956183271456</v>
      </c>
      <c r="X375" s="138" t="s">
        <v>342</v>
      </c>
      <c r="Y375" s="495">
        <f>W373+W374+W375</f>
        <v>14714.975522364783</v>
      </c>
      <c r="Z375" s="153" t="s">
        <v>677</v>
      </c>
    </row>
    <row r="376" spans="1:26" s="125" customFormat="1" x14ac:dyDescent="0.25">
      <c r="A376" s="461"/>
      <c r="B376" s="135" t="s">
        <v>345</v>
      </c>
      <c r="C376" s="606"/>
      <c r="D376" s="178"/>
      <c r="E376" s="178"/>
      <c r="F376" s="141">
        <v>24850.221000000001</v>
      </c>
      <c r="G376" s="141">
        <v>91479.034500000009</v>
      </c>
      <c r="H376" s="141">
        <v>66987.877500000002</v>
      </c>
      <c r="I376" s="141">
        <v>22404.0975</v>
      </c>
      <c r="J376" s="141">
        <v>93760.587</v>
      </c>
      <c r="K376" s="141">
        <v>93184.588499999998</v>
      </c>
      <c r="L376" s="141">
        <v>62185.396500000003</v>
      </c>
      <c r="M376" s="141">
        <v>95832.685500000007</v>
      </c>
      <c r="N376" s="141">
        <v>22493.863499999999</v>
      </c>
      <c r="O376" s="141">
        <v>21850.540499999999</v>
      </c>
      <c r="P376" s="141">
        <v>9747.0915000000005</v>
      </c>
      <c r="Q376" s="141">
        <v>74617.987500000003</v>
      </c>
      <c r="R376" s="178"/>
      <c r="T376" s="143">
        <f t="shared" si="14"/>
        <v>679393.97100000002</v>
      </c>
      <c r="U376" s="138" t="s">
        <v>346</v>
      </c>
      <c r="V376" s="139"/>
      <c r="W376" s="137">
        <f>T376</f>
        <v>679393.97100000002</v>
      </c>
      <c r="X376" s="138" t="s">
        <v>346</v>
      </c>
      <c r="Y376" s="157"/>
      <c r="Z376" s="157"/>
    </row>
    <row r="377" spans="1:26" s="125" customFormat="1" x14ac:dyDescent="0.25">
      <c r="A377" s="461"/>
      <c r="B377" s="135" t="s">
        <v>347</v>
      </c>
      <c r="C377" s="606"/>
      <c r="D377" s="176"/>
      <c r="E377" s="176"/>
      <c r="F377" s="142">
        <v>10554.284530090632</v>
      </c>
      <c r="G377" s="142">
        <v>7913.7331567154379</v>
      </c>
      <c r="H377" s="142">
        <v>7299.0547198005543</v>
      </c>
      <c r="I377" s="142">
        <v>6490.4561661133675</v>
      </c>
      <c r="J377" s="142">
        <v>7579.7296549628227</v>
      </c>
      <c r="K377" s="142">
        <v>7021.3440816478951</v>
      </c>
      <c r="L377" s="142">
        <v>7629.1441983171808</v>
      </c>
      <c r="M377" s="142">
        <v>7864.7182384225689</v>
      </c>
      <c r="N377" s="142">
        <v>9521.0547558830422</v>
      </c>
      <c r="O377" s="142">
        <v>11935.942955132547</v>
      </c>
      <c r="P377" s="142">
        <v>11603.927711401911</v>
      </c>
      <c r="Q377" s="142">
        <v>12774.344822304694</v>
      </c>
      <c r="R377" s="176"/>
      <c r="T377" s="143">
        <f t="shared" si="14"/>
        <v>108187.73499079264</v>
      </c>
      <c r="U377" s="138"/>
      <c r="V377" s="139"/>
      <c r="W377" s="143">
        <f>T377</f>
        <v>108187.73499079264</v>
      </c>
      <c r="X377" s="138"/>
      <c r="Y377" s="157"/>
      <c r="Z377" s="157"/>
    </row>
    <row r="378" spans="1:26" s="125" customFormat="1" x14ac:dyDescent="0.25">
      <c r="A378" s="461"/>
      <c r="B378" s="144" t="s">
        <v>922</v>
      </c>
      <c r="C378" s="607"/>
      <c r="D378" s="179"/>
      <c r="E378" s="179"/>
      <c r="F378" s="145">
        <v>2460.0487986410476</v>
      </c>
      <c r="G378" s="145">
        <v>2782.3234084556052</v>
      </c>
      <c r="H378" s="145">
        <v>4471.4077168820659</v>
      </c>
      <c r="I378" s="145">
        <v>5180.1537014655287</v>
      </c>
      <c r="J378" s="145">
        <v>6460.6774615173799</v>
      </c>
      <c r="K378" s="145">
        <v>6728.5291073894105</v>
      </c>
      <c r="L378" s="145">
        <v>6080.2350278619997</v>
      </c>
      <c r="M378" s="145">
        <v>4188.1283148558186</v>
      </c>
      <c r="N378" s="145">
        <v>2661.051278789645</v>
      </c>
      <c r="O378" s="145">
        <v>2609.6057034578457</v>
      </c>
      <c r="P378" s="145">
        <v>2469.0234628832927</v>
      </c>
      <c r="Q378" s="145">
        <v>2305.1887588903919</v>
      </c>
      <c r="R378" s="179"/>
      <c r="T378" s="143">
        <f t="shared" si="14"/>
        <v>48396.372741090032</v>
      </c>
      <c r="U378" s="138"/>
      <c r="V378" s="139"/>
      <c r="W378" s="143">
        <f>T378</f>
        <v>48396.372741090032</v>
      </c>
      <c r="X378" s="138"/>
      <c r="Y378" s="157"/>
      <c r="Z378" s="157"/>
    </row>
    <row r="379" spans="1:26" s="125" customFormat="1" ht="16.5" x14ac:dyDescent="0.35">
      <c r="A379" s="461"/>
      <c r="B379" s="144" t="s">
        <v>374</v>
      </c>
      <c r="C379" s="611"/>
      <c r="D379" s="444"/>
      <c r="E379" s="179"/>
      <c r="F379" s="145">
        <v>290.51685955056178</v>
      </c>
      <c r="G379" s="145">
        <v>321.7450561797753</v>
      </c>
      <c r="H379" s="145">
        <v>389.87930337078654</v>
      </c>
      <c r="I379" s="145">
        <v>1958.65</v>
      </c>
      <c r="J379" s="145">
        <v>1710.31</v>
      </c>
      <c r="K379" s="145">
        <v>1089.45</v>
      </c>
      <c r="L379" s="145">
        <v>765.71</v>
      </c>
      <c r="M379" s="145">
        <v>854.38</v>
      </c>
      <c r="N379" s="145">
        <v>807.61</v>
      </c>
      <c r="O379" s="145">
        <v>319.60000000000002</v>
      </c>
      <c r="P379" s="145">
        <v>282.14</v>
      </c>
      <c r="Q379" s="171">
        <v>601.01</v>
      </c>
      <c r="R379" s="444"/>
      <c r="T379" s="143">
        <f>SUM(E379:Q379)</f>
        <v>9391.0012191011228</v>
      </c>
      <c r="U379" s="138"/>
      <c r="V379" s="139"/>
      <c r="W379" s="146">
        <f>T379</f>
        <v>9391.0012191011228</v>
      </c>
      <c r="X379" s="138"/>
      <c r="Y379" s="157"/>
      <c r="Z379" s="157"/>
    </row>
    <row r="380" spans="1:26" x14ac:dyDescent="0.25">
      <c r="W380" s="143">
        <f>SUM(W377:W379)</f>
        <v>165975.10895098379</v>
      </c>
      <c r="X380" s="138"/>
    </row>
    <row r="382" spans="1:26" s="128" customFormat="1" x14ac:dyDescent="0.25">
      <c r="A382" s="459">
        <v>41</v>
      </c>
      <c r="B382" s="127" t="s">
        <v>624</v>
      </c>
      <c r="C382" s="173"/>
      <c r="S382" s="173"/>
      <c r="T382" s="127" t="s">
        <v>624</v>
      </c>
      <c r="W382" s="129"/>
      <c r="Y382" s="166"/>
      <c r="Z382" s="166"/>
    </row>
    <row r="383" spans="1:26" s="125" customFormat="1" x14ac:dyDescent="0.25">
      <c r="A383" s="461"/>
      <c r="B383" s="130" t="s">
        <v>337</v>
      </c>
      <c r="C383" s="616" t="s">
        <v>392</v>
      </c>
      <c r="D383" s="131">
        <v>41456</v>
      </c>
      <c r="E383" s="131">
        <v>41487</v>
      </c>
      <c r="F383" s="131">
        <v>41518</v>
      </c>
      <c r="G383" s="131">
        <v>41548</v>
      </c>
      <c r="H383" s="131">
        <v>41579</v>
      </c>
      <c r="I383" s="131">
        <v>41609</v>
      </c>
      <c r="J383" s="131">
        <v>41640</v>
      </c>
      <c r="K383" s="131">
        <v>41671</v>
      </c>
      <c r="L383" s="131">
        <v>41699</v>
      </c>
      <c r="M383" s="131">
        <v>41730</v>
      </c>
      <c r="N383" s="131">
        <v>41760</v>
      </c>
      <c r="O383" s="131">
        <v>41791</v>
      </c>
      <c r="P383" s="131">
        <v>41821</v>
      </c>
      <c r="Q383" s="131">
        <v>41852</v>
      </c>
      <c r="R383" s="131">
        <v>41896</v>
      </c>
      <c r="S383" s="132"/>
      <c r="T383" s="133" t="s">
        <v>338</v>
      </c>
      <c r="U383" s="134" t="s">
        <v>339</v>
      </c>
      <c r="V383" s="132"/>
      <c r="W383" s="133" t="s">
        <v>338</v>
      </c>
      <c r="X383" s="134" t="s">
        <v>339</v>
      </c>
      <c r="Y383" s="157"/>
      <c r="Z383" s="157"/>
    </row>
    <row r="384" spans="1:26" s="125" customFormat="1" x14ac:dyDescent="0.25">
      <c r="A384" s="461"/>
      <c r="B384" s="135" t="s">
        <v>340</v>
      </c>
      <c r="C384" s="606"/>
      <c r="D384" s="136">
        <v>163324</v>
      </c>
      <c r="E384" s="136">
        <v>175940</v>
      </c>
      <c r="F384" s="136">
        <v>215472</v>
      </c>
      <c r="G384" s="136">
        <v>177599</v>
      </c>
      <c r="H384" s="136">
        <v>155770</v>
      </c>
      <c r="I384" s="136">
        <v>138580</v>
      </c>
      <c r="J384" s="136">
        <v>148199</v>
      </c>
      <c r="K384" s="136">
        <v>131000</v>
      </c>
      <c r="L384" s="136">
        <v>153381</v>
      </c>
      <c r="M384" s="136">
        <v>161007</v>
      </c>
      <c r="N384" s="136">
        <v>160801</v>
      </c>
      <c r="O384" s="136">
        <v>37260</v>
      </c>
      <c r="P384" s="174"/>
      <c r="Q384" s="174"/>
      <c r="R384" s="174"/>
      <c r="T384" s="143">
        <f>SUM(C384:S384)</f>
        <v>1818333</v>
      </c>
      <c r="U384" s="138" t="s">
        <v>341</v>
      </c>
      <c r="V384" s="139"/>
      <c r="W384" s="140">
        <f>T384*3413/1000000</f>
        <v>6205.9705290000002</v>
      </c>
      <c r="X384" s="138" t="s">
        <v>342</v>
      </c>
      <c r="Y384" s="157"/>
      <c r="Z384" s="157"/>
    </row>
    <row r="385" spans="1:26" s="125" customFormat="1" x14ac:dyDescent="0.25">
      <c r="A385" s="461"/>
      <c r="B385" s="135" t="s">
        <v>372</v>
      </c>
      <c r="C385" s="606"/>
      <c r="D385" s="136">
        <v>2134</v>
      </c>
      <c r="E385" s="136">
        <v>2912</v>
      </c>
      <c r="F385" s="136">
        <v>3806</v>
      </c>
      <c r="G385" s="136">
        <v>3609</v>
      </c>
      <c r="H385" s="136">
        <v>4632</v>
      </c>
      <c r="I385" s="136">
        <v>5855</v>
      </c>
      <c r="J385" s="136">
        <v>6585</v>
      </c>
      <c r="K385" s="136">
        <v>5964</v>
      </c>
      <c r="L385" s="136">
        <v>5972</v>
      </c>
      <c r="M385" s="136">
        <v>3972</v>
      </c>
      <c r="N385" s="136">
        <v>1376</v>
      </c>
      <c r="O385" s="136">
        <v>268</v>
      </c>
      <c r="P385" s="174"/>
      <c r="Q385" s="174"/>
      <c r="R385" s="174"/>
      <c r="T385" s="143">
        <f>SUM(C385:S385)</f>
        <v>47085</v>
      </c>
      <c r="U385" s="138" t="s">
        <v>354</v>
      </c>
      <c r="V385" s="139"/>
      <c r="W385" s="140">
        <f>T385*99976.124488/1000000</f>
        <v>4707.3758215174803</v>
      </c>
      <c r="X385" s="138" t="s">
        <v>342</v>
      </c>
      <c r="Y385" s="495">
        <f>W384+W385</f>
        <v>10913.34635051748</v>
      </c>
      <c r="Z385" s="153" t="s">
        <v>677</v>
      </c>
    </row>
    <row r="386" spans="1:26" s="125" customFormat="1" x14ac:dyDescent="0.25">
      <c r="A386" s="461"/>
      <c r="B386" s="135" t="s">
        <v>366</v>
      </c>
      <c r="C386" s="606"/>
      <c r="D386" s="141">
        <v>14673.796791443849</v>
      </c>
      <c r="E386" s="141">
        <v>64347.593582887697</v>
      </c>
      <c r="F386" s="141">
        <v>97355.614973262025</v>
      </c>
      <c r="G386" s="141">
        <v>40498.663101604274</v>
      </c>
      <c r="H386" s="141">
        <v>42875.668449197859</v>
      </c>
      <c r="I386" s="141">
        <v>54553.475935828872</v>
      </c>
      <c r="J386" s="141">
        <v>59014.705882352937</v>
      </c>
      <c r="K386" s="141">
        <v>62072.19251336898</v>
      </c>
      <c r="L386" s="141">
        <v>74533.422459893045</v>
      </c>
      <c r="M386" s="141">
        <v>62820.855614973254</v>
      </c>
      <c r="N386" s="141">
        <v>21835.561497326202</v>
      </c>
      <c r="O386" s="141">
        <v>6530.7486631016036</v>
      </c>
      <c r="P386" s="178"/>
      <c r="Q386" s="178"/>
      <c r="R386" s="178"/>
      <c r="T386" s="143">
        <f>SUM(C386:S386)</f>
        <v>601112.29946524056</v>
      </c>
      <c r="U386" s="138" t="s">
        <v>367</v>
      </c>
      <c r="V386" s="139"/>
      <c r="W386" s="137">
        <f>T386*7.48</f>
        <v>4496320</v>
      </c>
      <c r="X386" s="138" t="s">
        <v>346</v>
      </c>
      <c r="Y386" s="157"/>
      <c r="Z386" s="157"/>
    </row>
    <row r="387" spans="1:26" s="125" customFormat="1" x14ac:dyDescent="0.25">
      <c r="A387" s="461"/>
      <c r="B387" s="135" t="s">
        <v>347</v>
      </c>
      <c r="C387" s="606"/>
      <c r="D387" s="142">
        <v>10914.967070385144</v>
      </c>
      <c r="E387" s="142">
        <v>11676.037823770699</v>
      </c>
      <c r="F387" s="142">
        <v>14552.26614903164</v>
      </c>
      <c r="G387" s="142">
        <v>10762.516728326584</v>
      </c>
      <c r="H387" s="142">
        <v>8944.2066166650402</v>
      </c>
      <c r="I387" s="142">
        <v>8089.1439663164956</v>
      </c>
      <c r="J387" s="142">
        <v>8492.547790906523</v>
      </c>
      <c r="K387" s="142">
        <v>7637.8065839776627</v>
      </c>
      <c r="L387" s="142">
        <v>9087.3970368723258</v>
      </c>
      <c r="M387" s="142">
        <v>9153.1176712605793</v>
      </c>
      <c r="N387" s="142">
        <v>9283.0281266481907</v>
      </c>
      <c r="O387" s="142">
        <v>2416.7619482665227</v>
      </c>
      <c r="P387" s="176"/>
      <c r="Q387" s="176"/>
      <c r="R387" s="176"/>
      <c r="T387" s="143">
        <f>SUM(C387:S387)</f>
        <v>111009.79751242739</v>
      </c>
      <c r="U387" s="138"/>
      <c r="V387" s="139"/>
      <c r="W387" s="143">
        <f>T387</f>
        <v>111009.79751242739</v>
      </c>
      <c r="X387" s="138"/>
      <c r="Y387" s="157"/>
      <c r="Z387" s="157"/>
    </row>
    <row r="388" spans="1:26" s="125" customFormat="1" ht="16.5" x14ac:dyDescent="0.35">
      <c r="A388" s="461"/>
      <c r="B388" s="144" t="s">
        <v>374</v>
      </c>
      <c r="C388" s="607"/>
      <c r="D388" s="145">
        <v>1942.16</v>
      </c>
      <c r="E388" s="145">
        <v>2641.33</v>
      </c>
      <c r="F388" s="145">
        <v>3444.74</v>
      </c>
      <c r="G388" s="145">
        <v>3267.71</v>
      </c>
      <c r="H388" s="145">
        <v>4321.62</v>
      </c>
      <c r="I388" s="145">
        <v>5413.39</v>
      </c>
      <c r="J388" s="145">
        <v>6168.68</v>
      </c>
      <c r="K388" s="145">
        <v>5504.48</v>
      </c>
      <c r="L388" s="145">
        <v>5110.7700000000004</v>
      </c>
      <c r="M388" s="145">
        <v>3259.05</v>
      </c>
      <c r="N388" s="145">
        <v>1219.6099999999999</v>
      </c>
      <c r="O388" s="145">
        <v>262.64999999999998</v>
      </c>
      <c r="P388" s="179"/>
      <c r="Q388" s="179"/>
      <c r="R388" s="179"/>
      <c r="T388" s="143">
        <f>SUM(C388:S388)</f>
        <v>42556.19</v>
      </c>
      <c r="U388" s="138"/>
      <c r="V388" s="139"/>
      <c r="W388" s="146">
        <f>T388</f>
        <v>42556.19</v>
      </c>
      <c r="X388" s="138"/>
      <c r="Y388" s="157"/>
      <c r="Z388" s="157"/>
    </row>
    <row r="389" spans="1:26" x14ac:dyDescent="0.25">
      <c r="W389" s="143">
        <f>SUM(W387:W388)</f>
        <v>153565.98751242738</v>
      </c>
      <c r="X389" s="138"/>
    </row>
    <row r="391" spans="1:26" s="128" customFormat="1" x14ac:dyDescent="0.25">
      <c r="A391" s="459">
        <v>42</v>
      </c>
      <c r="B391" s="127" t="s">
        <v>625</v>
      </c>
      <c r="C391" s="173"/>
      <c r="S391" s="173"/>
      <c r="T391" s="127" t="s">
        <v>625</v>
      </c>
      <c r="W391" s="129"/>
      <c r="Y391" s="166"/>
      <c r="Z391" s="166"/>
    </row>
    <row r="392" spans="1:26" s="125" customFormat="1" x14ac:dyDescent="0.25">
      <c r="A392" s="461"/>
      <c r="B392" s="130" t="s">
        <v>337</v>
      </c>
      <c r="C392" s="186" t="s">
        <v>392</v>
      </c>
      <c r="D392" s="131">
        <v>41456</v>
      </c>
      <c r="E392" s="131">
        <v>41487</v>
      </c>
      <c r="F392" s="131">
        <v>41518</v>
      </c>
      <c r="G392" s="131">
        <v>41548</v>
      </c>
      <c r="H392" s="131">
        <v>41579</v>
      </c>
      <c r="I392" s="131">
        <v>41609</v>
      </c>
      <c r="J392" s="131">
        <v>41640</v>
      </c>
      <c r="K392" s="131">
        <v>41671</v>
      </c>
      <c r="L392" s="131">
        <v>41699</v>
      </c>
      <c r="M392" s="131">
        <v>41730</v>
      </c>
      <c r="N392" s="131">
        <v>41760</v>
      </c>
      <c r="O392" s="131">
        <v>41791</v>
      </c>
      <c r="P392" s="131">
        <v>41821</v>
      </c>
      <c r="Q392" s="151">
        <v>41852</v>
      </c>
      <c r="R392" s="131">
        <v>41896</v>
      </c>
      <c r="S392" s="132"/>
      <c r="T392" s="133" t="s">
        <v>338</v>
      </c>
      <c r="U392" s="134" t="s">
        <v>339</v>
      </c>
      <c r="V392" s="132"/>
      <c r="W392" s="133" t="s">
        <v>338</v>
      </c>
      <c r="X392" s="134" t="s">
        <v>339</v>
      </c>
      <c r="Y392" s="157"/>
      <c r="Z392" s="157"/>
    </row>
    <row r="393" spans="1:26" s="125" customFormat="1" x14ac:dyDescent="0.25">
      <c r="A393" s="461"/>
      <c r="B393" s="135" t="s">
        <v>340</v>
      </c>
      <c r="C393" s="603"/>
      <c r="D393" s="136"/>
      <c r="E393" s="136"/>
      <c r="F393" s="734">
        <v>12120</v>
      </c>
      <c r="G393" s="734">
        <v>13440</v>
      </c>
      <c r="H393" s="734">
        <v>20280</v>
      </c>
      <c r="I393" s="734">
        <v>24960</v>
      </c>
      <c r="J393" s="734">
        <v>26520</v>
      </c>
      <c r="K393" s="736">
        <v>26160</v>
      </c>
      <c r="L393" s="736">
        <v>15240</v>
      </c>
      <c r="M393" s="736">
        <v>15120</v>
      </c>
      <c r="N393" s="736">
        <v>14280</v>
      </c>
      <c r="O393" s="736">
        <v>11280</v>
      </c>
      <c r="P393" s="736">
        <v>14219.29</v>
      </c>
      <c r="Q393" s="736">
        <v>13560</v>
      </c>
      <c r="R393" s="136"/>
      <c r="T393" s="143">
        <f>SUM(C393:S393)</f>
        <v>207179.29</v>
      </c>
      <c r="U393" s="138" t="s">
        <v>341</v>
      </c>
      <c r="V393" s="139"/>
      <c r="W393" s="140">
        <f>T393*3413/1000000</f>
        <v>707.10291676999998</v>
      </c>
      <c r="X393" s="138" t="s">
        <v>342</v>
      </c>
      <c r="Y393" s="157"/>
      <c r="Z393" s="157"/>
    </row>
    <row r="394" spans="1:26" s="125" customFormat="1" x14ac:dyDescent="0.25">
      <c r="A394" s="461"/>
      <c r="B394" s="135" t="s">
        <v>372</v>
      </c>
      <c r="C394" s="603"/>
      <c r="D394" s="136"/>
      <c r="E394" s="136"/>
      <c r="F394" s="136"/>
      <c r="G394" s="136"/>
      <c r="H394" s="136"/>
      <c r="I394" s="136"/>
      <c r="J394" s="136"/>
      <c r="K394" s="136"/>
      <c r="L394" s="136"/>
      <c r="M394" s="136"/>
      <c r="N394" s="136"/>
      <c r="O394" s="136"/>
      <c r="P394" s="136"/>
      <c r="Q394" s="434"/>
      <c r="R394" s="136"/>
      <c r="T394" s="143">
        <f>SUM(C394:S394)</f>
        <v>0</v>
      </c>
      <c r="U394" s="138" t="s">
        <v>354</v>
      </c>
      <c r="V394" s="139"/>
      <c r="W394" s="140">
        <f>T394*99976.124488/1000000</f>
        <v>0</v>
      </c>
      <c r="X394" s="138" t="s">
        <v>342</v>
      </c>
      <c r="Y394" s="495">
        <f>W393+W394</f>
        <v>707.10291676999998</v>
      </c>
      <c r="Z394" s="153" t="s">
        <v>677</v>
      </c>
    </row>
    <row r="395" spans="1:26" s="125" customFormat="1" x14ac:dyDescent="0.25">
      <c r="A395" s="461"/>
      <c r="B395" s="135" t="s">
        <v>864</v>
      </c>
      <c r="C395" s="603"/>
      <c r="D395" s="141"/>
      <c r="E395" s="141"/>
      <c r="F395" s="750">
        <v>2</v>
      </c>
      <c r="G395" s="750">
        <v>0</v>
      </c>
      <c r="H395" s="750">
        <v>1</v>
      </c>
      <c r="I395" s="750">
        <v>1</v>
      </c>
      <c r="J395" s="750">
        <v>0</v>
      </c>
      <c r="K395" s="728">
        <v>1</v>
      </c>
      <c r="L395" s="728">
        <v>1</v>
      </c>
      <c r="M395" s="728">
        <v>1</v>
      </c>
      <c r="N395" s="728">
        <v>1</v>
      </c>
      <c r="O395" s="728">
        <v>1</v>
      </c>
      <c r="P395" s="728">
        <v>1</v>
      </c>
      <c r="Q395" s="728">
        <v>1</v>
      </c>
      <c r="R395" s="141"/>
      <c r="T395" s="143">
        <f>SUM(C395:S395)</f>
        <v>11</v>
      </c>
      <c r="U395" s="138" t="s">
        <v>379</v>
      </c>
      <c r="V395" s="139"/>
      <c r="W395" s="137">
        <f>T395*748</f>
        <v>8228</v>
      </c>
      <c r="X395" s="138" t="s">
        <v>346</v>
      </c>
      <c r="Y395" s="157"/>
      <c r="Z395" s="157"/>
    </row>
    <row r="396" spans="1:26" s="125" customFormat="1" x14ac:dyDescent="0.25">
      <c r="A396" s="461"/>
      <c r="B396" s="135" t="s">
        <v>347</v>
      </c>
      <c r="C396" s="603"/>
      <c r="D396" s="142"/>
      <c r="E396" s="142"/>
      <c r="F396" s="731">
        <v>945.06</v>
      </c>
      <c r="G396" s="731">
        <v>1123.3499999999999</v>
      </c>
      <c r="H396" s="731">
        <v>1527.15</v>
      </c>
      <c r="I396" s="731">
        <v>1714.14</v>
      </c>
      <c r="J396" s="731">
        <v>1839.47</v>
      </c>
      <c r="K396" s="455">
        <v>1873.1</v>
      </c>
      <c r="L396" s="455">
        <v>1184.81</v>
      </c>
      <c r="M396" s="455">
        <v>1193.8699999999999</v>
      </c>
      <c r="N396" s="455">
        <v>1052.54</v>
      </c>
      <c r="O396" s="455">
        <v>1080.6099999999999</v>
      </c>
      <c r="P396" s="455">
        <v>736.23</v>
      </c>
      <c r="Q396" s="455">
        <v>1071.77</v>
      </c>
      <c r="R396" s="142"/>
      <c r="T396" s="143">
        <f>SUM(C396:S396)</f>
        <v>15342.100000000002</v>
      </c>
      <c r="U396" s="138"/>
      <c r="V396" s="139"/>
      <c r="W396" s="143">
        <f>T396</f>
        <v>15342.100000000002</v>
      </c>
      <c r="X396" s="138"/>
      <c r="Y396" s="157"/>
      <c r="Z396" s="157"/>
    </row>
    <row r="397" spans="1:26" s="125" customFormat="1" ht="16.5" x14ac:dyDescent="0.35">
      <c r="A397" s="461"/>
      <c r="B397" s="144" t="s">
        <v>374</v>
      </c>
      <c r="C397" s="604"/>
      <c r="D397" s="145"/>
      <c r="E397" s="145"/>
      <c r="F397" s="145"/>
      <c r="G397" s="145"/>
      <c r="H397" s="145"/>
      <c r="I397" s="145"/>
      <c r="J397" s="145"/>
      <c r="K397" s="145"/>
      <c r="L397" s="145"/>
      <c r="M397" s="145"/>
      <c r="N397" s="145"/>
      <c r="O397" s="145"/>
      <c r="P397" s="145"/>
      <c r="Q397" s="437"/>
      <c r="R397" s="145"/>
      <c r="T397" s="143">
        <f>SUM(C397:S397)</f>
        <v>0</v>
      </c>
      <c r="U397" s="138"/>
      <c r="V397" s="139"/>
      <c r="W397" s="146">
        <f>T397</f>
        <v>0</v>
      </c>
      <c r="X397" s="138"/>
      <c r="Y397" s="157"/>
      <c r="Z397" s="157"/>
    </row>
    <row r="398" spans="1:26" x14ac:dyDescent="0.25">
      <c r="W398" s="143">
        <f>SUM(W396:W397)</f>
        <v>15342.100000000002</v>
      </c>
      <c r="X398" s="138"/>
    </row>
    <row r="400" spans="1:26" s="128" customFormat="1" x14ac:dyDescent="0.25">
      <c r="A400" s="459">
        <v>43</v>
      </c>
      <c r="B400" s="127" t="s">
        <v>626</v>
      </c>
      <c r="C400" s="173"/>
      <c r="S400" s="173"/>
      <c r="T400" s="127" t="s">
        <v>626</v>
      </c>
      <c r="W400" s="129"/>
      <c r="Y400" s="166"/>
      <c r="Z400" s="166"/>
    </row>
    <row r="401" spans="1:26" s="125" customFormat="1" x14ac:dyDescent="0.25">
      <c r="A401" s="461"/>
      <c r="B401" s="130" t="s">
        <v>337</v>
      </c>
      <c r="C401" s="616" t="s">
        <v>392</v>
      </c>
      <c r="D401" s="131">
        <v>41456</v>
      </c>
      <c r="E401" s="131">
        <v>41487</v>
      </c>
      <c r="F401" s="131">
        <v>41518</v>
      </c>
      <c r="G401" s="131">
        <v>41548</v>
      </c>
      <c r="H401" s="131">
        <v>41579</v>
      </c>
      <c r="I401" s="131">
        <v>41609</v>
      </c>
      <c r="J401" s="131">
        <v>41640</v>
      </c>
      <c r="K401" s="131">
        <v>41671</v>
      </c>
      <c r="L401" s="131">
        <v>41699</v>
      </c>
      <c r="M401" s="131">
        <v>41730</v>
      </c>
      <c r="N401" s="131">
        <v>41760</v>
      </c>
      <c r="O401" s="131">
        <v>41791</v>
      </c>
      <c r="P401" s="560">
        <v>41821</v>
      </c>
      <c r="Q401" s="131">
        <v>41852</v>
      </c>
      <c r="R401" s="131">
        <v>41896</v>
      </c>
      <c r="S401" s="132"/>
      <c r="T401" s="133" t="s">
        <v>338</v>
      </c>
      <c r="U401" s="134" t="s">
        <v>339</v>
      </c>
      <c r="V401" s="132"/>
      <c r="W401" s="133" t="s">
        <v>338</v>
      </c>
      <c r="X401" s="134" t="s">
        <v>339</v>
      </c>
      <c r="Y401" s="157"/>
      <c r="Z401" s="157"/>
    </row>
    <row r="402" spans="1:26" s="125" customFormat="1" x14ac:dyDescent="0.25">
      <c r="A402" s="461"/>
      <c r="B402" s="135" t="s">
        <v>340</v>
      </c>
      <c r="C402" s="606"/>
      <c r="D402" s="136">
        <v>62719</v>
      </c>
      <c r="E402" s="136">
        <v>135317</v>
      </c>
      <c r="F402" s="136">
        <v>83282</v>
      </c>
      <c r="G402" s="136">
        <v>75172</v>
      </c>
      <c r="H402" s="136">
        <v>106109</v>
      </c>
      <c r="I402" s="136">
        <v>86868</v>
      </c>
      <c r="J402" s="136">
        <v>82705</v>
      </c>
      <c r="K402" s="136">
        <v>91894</v>
      </c>
      <c r="L402" s="136">
        <v>91196</v>
      </c>
      <c r="M402" s="136">
        <v>96122</v>
      </c>
      <c r="N402" s="136">
        <v>77072</v>
      </c>
      <c r="O402" s="136">
        <v>63855</v>
      </c>
      <c r="P402" s="174"/>
      <c r="Q402" s="174"/>
      <c r="R402" s="174"/>
      <c r="T402" s="140">
        <f t="shared" ref="T402:T411" si="15">SUM(C402:S402)</f>
        <v>1052311</v>
      </c>
      <c r="U402" s="138" t="s">
        <v>341</v>
      </c>
      <c r="V402" s="139"/>
      <c r="W402" s="140">
        <f>T402*3413/1000000</f>
        <v>3591.5374430000002</v>
      </c>
      <c r="X402" s="138" t="s">
        <v>342</v>
      </c>
      <c r="Y402" s="157"/>
      <c r="Z402" s="157"/>
    </row>
    <row r="403" spans="1:26" s="125" customFormat="1" x14ac:dyDescent="0.25">
      <c r="A403" s="461"/>
      <c r="B403" s="135" t="s">
        <v>745</v>
      </c>
      <c r="C403" s="606"/>
      <c r="D403" s="772">
        <v>68260</v>
      </c>
      <c r="E403" s="770">
        <v>100193</v>
      </c>
      <c r="F403" s="770">
        <v>42411</v>
      </c>
      <c r="G403" s="770">
        <v>47279</v>
      </c>
      <c r="H403" s="770">
        <v>32134</v>
      </c>
      <c r="I403" s="770">
        <v>34367</v>
      </c>
      <c r="J403" s="770">
        <v>30431</v>
      </c>
      <c r="K403" s="770">
        <v>29943</v>
      </c>
      <c r="L403" s="770">
        <v>32510</v>
      </c>
      <c r="M403" s="770">
        <v>41846</v>
      </c>
      <c r="N403" s="770">
        <v>60551</v>
      </c>
      <c r="O403" s="770">
        <v>81591</v>
      </c>
      <c r="P403" s="174"/>
      <c r="Q403" s="174"/>
      <c r="R403" s="174"/>
      <c r="T403" s="140">
        <f>SUM(C403:S403)</f>
        <v>601516</v>
      </c>
      <c r="U403" s="138" t="s">
        <v>341</v>
      </c>
      <c r="V403" s="139"/>
      <c r="W403" s="140">
        <f>T403*3413/1000000</f>
        <v>2052.9741079999999</v>
      </c>
      <c r="X403" s="138" t="s">
        <v>342</v>
      </c>
      <c r="Y403" s="157"/>
      <c r="Z403" s="157"/>
    </row>
    <row r="404" spans="1:26" s="125" customFormat="1" x14ac:dyDescent="0.25">
      <c r="A404" s="461"/>
      <c r="B404" s="135" t="s">
        <v>372</v>
      </c>
      <c r="C404" s="606"/>
      <c r="D404" s="136">
        <v>100</v>
      </c>
      <c r="E404" s="136">
        <v>281</v>
      </c>
      <c r="F404" s="136">
        <v>690</v>
      </c>
      <c r="G404" s="136">
        <v>675</v>
      </c>
      <c r="H404" s="136">
        <v>783</v>
      </c>
      <c r="I404" s="136">
        <v>617</v>
      </c>
      <c r="J404" s="136">
        <v>821</v>
      </c>
      <c r="K404" s="136">
        <v>1211</v>
      </c>
      <c r="L404" s="136">
        <v>907</v>
      </c>
      <c r="M404" s="136">
        <v>1007</v>
      </c>
      <c r="N404" s="136">
        <v>613</v>
      </c>
      <c r="O404" s="136">
        <v>125</v>
      </c>
      <c r="P404" s="174"/>
      <c r="Q404" s="174"/>
      <c r="R404" s="174"/>
      <c r="T404" s="140">
        <f t="shared" si="15"/>
        <v>7830</v>
      </c>
      <c r="U404" s="138" t="s">
        <v>354</v>
      </c>
      <c r="V404" s="139"/>
      <c r="W404" s="140">
        <f>T404*99976.124488/1000000</f>
        <v>782.81305474103999</v>
      </c>
      <c r="X404" s="138" t="s">
        <v>342</v>
      </c>
      <c r="Y404" s="765"/>
      <c r="Z404" s="554"/>
    </row>
    <row r="405" spans="1:26" s="125" customFormat="1" x14ac:dyDescent="0.25">
      <c r="A405" s="461"/>
      <c r="B405" s="135" t="s">
        <v>746</v>
      </c>
      <c r="C405" s="606"/>
      <c r="D405" s="772">
        <v>4395</v>
      </c>
      <c r="E405" s="770">
        <v>2624</v>
      </c>
      <c r="F405" s="770">
        <v>3702</v>
      </c>
      <c r="G405" s="770">
        <v>3797</v>
      </c>
      <c r="H405" s="770">
        <v>5182</v>
      </c>
      <c r="I405" s="770">
        <v>6851</v>
      </c>
      <c r="J405" s="770">
        <v>8615</v>
      </c>
      <c r="K405" s="770">
        <v>7688</v>
      </c>
      <c r="L405" s="770">
        <v>6823</v>
      </c>
      <c r="M405" s="770">
        <v>5657</v>
      </c>
      <c r="N405" s="770">
        <v>5944</v>
      </c>
      <c r="O405" s="770">
        <v>7918</v>
      </c>
      <c r="P405" s="174"/>
      <c r="Q405" s="174"/>
      <c r="R405" s="174"/>
      <c r="T405" s="140">
        <f>SUM(C405:S405)</f>
        <v>69196</v>
      </c>
      <c r="U405" s="138" t="s">
        <v>354</v>
      </c>
      <c r="V405" s="139"/>
      <c r="W405" s="140">
        <f>T405*99976.124488/1000000</f>
        <v>6917.947910071648</v>
      </c>
      <c r="X405" s="138" t="s">
        <v>342</v>
      </c>
      <c r="Y405" s="495">
        <f>W402+W403+W404+W405</f>
        <v>13345.272515812689</v>
      </c>
      <c r="Z405" s="153" t="s">
        <v>677</v>
      </c>
    </row>
    <row r="406" spans="1:26" s="125" customFormat="1" x14ac:dyDescent="0.25">
      <c r="A406" s="461"/>
      <c r="B406" s="135" t="s">
        <v>366</v>
      </c>
      <c r="C406" s="606"/>
      <c r="D406" s="141">
        <v>1999</v>
      </c>
      <c r="E406" s="141">
        <v>25635</v>
      </c>
      <c r="F406" s="141">
        <v>50734</v>
      </c>
      <c r="G406" s="141">
        <v>35367</v>
      </c>
      <c r="H406" s="141">
        <v>39687</v>
      </c>
      <c r="I406" s="141">
        <v>16640</v>
      </c>
      <c r="J406" s="141">
        <v>38589</v>
      </c>
      <c r="K406" s="141">
        <v>35870</v>
      </c>
      <c r="L406" s="141">
        <v>30818</v>
      </c>
      <c r="M406" s="141">
        <v>26888</v>
      </c>
      <c r="N406" s="141">
        <v>22548</v>
      </c>
      <c r="O406" s="141">
        <v>2485</v>
      </c>
      <c r="P406" s="178"/>
      <c r="Q406" s="178"/>
      <c r="R406" s="178"/>
      <c r="T406" s="140">
        <f t="shared" si="15"/>
        <v>327260</v>
      </c>
      <c r="U406" s="138" t="s">
        <v>367</v>
      </c>
      <c r="V406" s="139"/>
      <c r="W406" s="137">
        <f>T406*7.48</f>
        <v>2447904.8000000003</v>
      </c>
      <c r="X406" s="138" t="s">
        <v>346</v>
      </c>
      <c r="Y406" s="157"/>
      <c r="Z406" s="157"/>
    </row>
    <row r="407" spans="1:26" s="125" customFormat="1" x14ac:dyDescent="0.25">
      <c r="A407" s="461"/>
      <c r="B407" s="135" t="s">
        <v>747</v>
      </c>
      <c r="C407" s="606"/>
      <c r="D407" s="773">
        <v>11841</v>
      </c>
      <c r="E407" s="773">
        <v>11101</v>
      </c>
      <c r="F407" s="773">
        <v>19915</v>
      </c>
      <c r="G407" s="773">
        <v>3684</v>
      </c>
      <c r="H407" s="773">
        <v>6915</v>
      </c>
      <c r="I407" s="773">
        <v>1799</v>
      </c>
      <c r="J407" s="773">
        <v>1980</v>
      </c>
      <c r="K407" s="773">
        <v>2209</v>
      </c>
      <c r="L407" s="773">
        <v>2775</v>
      </c>
      <c r="M407" s="773">
        <v>11714</v>
      </c>
      <c r="N407" s="773">
        <v>17125</v>
      </c>
      <c r="O407" s="773">
        <v>24294</v>
      </c>
      <c r="P407" s="178"/>
      <c r="Q407" s="178"/>
      <c r="R407" s="178"/>
      <c r="T407" s="140">
        <f>SUM(C407:S407)</f>
        <v>115352</v>
      </c>
      <c r="U407" s="138" t="s">
        <v>367</v>
      </c>
      <c r="V407" s="139"/>
      <c r="W407" s="137">
        <f>T407*7.48</f>
        <v>862832.96000000008</v>
      </c>
      <c r="X407" s="138" t="s">
        <v>346</v>
      </c>
      <c r="Y407" s="141">
        <f>W406+W407</f>
        <v>3310737.7600000002</v>
      </c>
      <c r="Z407" s="153" t="s">
        <v>346</v>
      </c>
    </row>
    <row r="408" spans="1:26" s="125" customFormat="1" x14ac:dyDescent="0.25">
      <c r="A408" s="461"/>
      <c r="B408" s="135" t="s">
        <v>347</v>
      </c>
      <c r="C408" s="606"/>
      <c r="D408" s="142">
        <v>4191.5200441299867</v>
      </c>
      <c r="E408" s="142">
        <v>8980.1432886164584</v>
      </c>
      <c r="F408" s="142">
        <v>5624.5908026270372</v>
      </c>
      <c r="G408" s="142">
        <v>4555.4305345287185</v>
      </c>
      <c r="H408" s="142">
        <v>6092.7060402369571</v>
      </c>
      <c r="I408" s="142">
        <v>5070.628936830577</v>
      </c>
      <c r="J408" s="142">
        <v>4739.4123107910573</v>
      </c>
      <c r="K408" s="142">
        <v>5357.7755589926974</v>
      </c>
      <c r="L408" s="142">
        <v>5403.1089911697582</v>
      </c>
      <c r="M408" s="142">
        <v>5464.4579229282544</v>
      </c>
      <c r="N408" s="142">
        <v>4449.3600399066509</v>
      </c>
      <c r="O408" s="142">
        <v>4141.7695707611056</v>
      </c>
      <c r="P408" s="176"/>
      <c r="Q408" s="176"/>
      <c r="R408" s="176"/>
      <c r="T408" s="143">
        <f t="shared" si="15"/>
        <v>64070.90404151925</v>
      </c>
      <c r="U408" s="138"/>
      <c r="V408" s="139"/>
      <c r="W408" s="143">
        <f>T408</f>
        <v>64070.90404151925</v>
      </c>
      <c r="X408" s="138"/>
      <c r="Y408" s="157"/>
      <c r="Z408" s="157"/>
    </row>
    <row r="409" spans="1:26" s="125" customFormat="1" x14ac:dyDescent="0.25">
      <c r="A409" s="461"/>
      <c r="B409" s="135" t="s">
        <v>748</v>
      </c>
      <c r="C409" s="606"/>
      <c r="D409" s="142">
        <v>4561.8258934662999</v>
      </c>
      <c r="E409" s="142">
        <v>6649.1830037345553</v>
      </c>
      <c r="F409" s="142">
        <v>2864.2986543336528</v>
      </c>
      <c r="G409" s="142">
        <v>2865.1120130099412</v>
      </c>
      <c r="H409" s="142">
        <v>1845.1122515241345</v>
      </c>
      <c r="I409" s="142">
        <v>2006.0586714561914</v>
      </c>
      <c r="J409" s="142">
        <v>1743.849296048397</v>
      </c>
      <c r="K409" s="142">
        <v>1745.7926911759021</v>
      </c>
      <c r="L409" s="142">
        <v>1926.1269496790301</v>
      </c>
      <c r="M409" s="142">
        <v>2378.9112403284967</v>
      </c>
      <c r="N409" s="142">
        <v>3495.6041075408398</v>
      </c>
      <c r="O409" s="142">
        <v>5292.1638250406286</v>
      </c>
      <c r="P409" s="176"/>
      <c r="Q409" s="176"/>
      <c r="R409" s="176"/>
      <c r="T409" s="143">
        <f t="shared" si="15"/>
        <v>37374.038597338062</v>
      </c>
      <c r="U409" s="138"/>
      <c r="V409" s="139"/>
      <c r="W409" s="143">
        <f>T409</f>
        <v>37374.038597338062</v>
      </c>
      <c r="X409" s="138"/>
      <c r="Y409" s="157"/>
      <c r="Z409" s="157"/>
    </row>
    <row r="410" spans="1:26" s="125" customFormat="1" x14ac:dyDescent="0.25">
      <c r="A410" s="461"/>
      <c r="B410" s="144" t="s">
        <v>374</v>
      </c>
      <c r="C410" s="607"/>
      <c r="D410" s="145">
        <v>113.07</v>
      </c>
      <c r="E410" s="145">
        <v>276.93</v>
      </c>
      <c r="F410" s="145">
        <v>644.48</v>
      </c>
      <c r="G410" s="145">
        <v>631.01</v>
      </c>
      <c r="H410" s="145">
        <v>750.81</v>
      </c>
      <c r="I410" s="145">
        <v>592.29999999999995</v>
      </c>
      <c r="J410" s="145">
        <v>790.46</v>
      </c>
      <c r="K410" s="145">
        <v>1137.1400000000001</v>
      </c>
      <c r="L410" s="145">
        <v>796.9</v>
      </c>
      <c r="M410" s="145">
        <v>844.47</v>
      </c>
      <c r="N410" s="145">
        <v>556.86</v>
      </c>
      <c r="O410" s="145">
        <v>134</v>
      </c>
      <c r="P410" s="179"/>
      <c r="Q410" s="179"/>
      <c r="R410" s="179"/>
      <c r="T410" s="143">
        <f t="shared" si="15"/>
        <v>7268.43</v>
      </c>
      <c r="U410" s="138"/>
      <c r="V410" s="139"/>
      <c r="W410" s="143">
        <f>T410</f>
        <v>7268.43</v>
      </c>
      <c r="X410" s="138"/>
      <c r="Y410" s="157"/>
      <c r="Z410" s="157"/>
    </row>
    <row r="411" spans="1:26" s="125" customFormat="1" ht="16.5" x14ac:dyDescent="0.35">
      <c r="A411" s="461"/>
      <c r="B411" s="204" t="s">
        <v>746</v>
      </c>
      <c r="C411" s="607"/>
      <c r="D411" s="774">
        <v>3974.06</v>
      </c>
      <c r="E411" s="775">
        <v>2382.5100000000002</v>
      </c>
      <c r="F411" s="775">
        <v>3351.28</v>
      </c>
      <c r="G411" s="775">
        <v>3436.65</v>
      </c>
      <c r="H411" s="775">
        <v>4831.87</v>
      </c>
      <c r="I411" s="775">
        <v>6330.11</v>
      </c>
      <c r="J411" s="775">
        <v>8062.81</v>
      </c>
      <c r="K411" s="775">
        <v>7088.6</v>
      </c>
      <c r="L411" s="775">
        <v>5835.57</v>
      </c>
      <c r="M411" s="775">
        <v>4631.26</v>
      </c>
      <c r="N411" s="775">
        <v>5187.41</v>
      </c>
      <c r="O411" s="775">
        <v>7063.42</v>
      </c>
      <c r="P411" s="179"/>
      <c r="Q411" s="179"/>
      <c r="R411" s="179"/>
      <c r="T411" s="143">
        <f t="shared" si="15"/>
        <v>62175.55</v>
      </c>
      <c r="U411" s="138"/>
      <c r="V411" s="139"/>
      <c r="W411" s="146">
        <f>T411</f>
        <v>62175.55</v>
      </c>
      <c r="X411" s="138"/>
      <c r="Y411" s="157"/>
      <c r="Z411" s="157"/>
    </row>
    <row r="412" spans="1:26" x14ac:dyDescent="0.25">
      <c r="W412" s="143">
        <f>SUM(W408:W410)</f>
        <v>108713.37263885731</v>
      </c>
      <c r="X412" s="138"/>
    </row>
    <row r="414" spans="1:26" s="125" customFormat="1" x14ac:dyDescent="0.25">
      <c r="A414" s="461">
        <v>44</v>
      </c>
      <c r="B414" s="148" t="s">
        <v>627</v>
      </c>
      <c r="C414" s="152"/>
      <c r="E414" s="157"/>
      <c r="F414" s="157"/>
      <c r="G414" s="157"/>
      <c r="H414" s="157"/>
      <c r="I414" s="157"/>
      <c r="J414" s="157"/>
      <c r="K414" s="157"/>
      <c r="L414" s="157"/>
      <c r="M414" s="157"/>
      <c r="N414" s="157"/>
      <c r="O414" s="157"/>
      <c r="P414" s="157"/>
      <c r="S414" s="126"/>
      <c r="T414" s="148" t="s">
        <v>627</v>
      </c>
      <c r="V414" s="126"/>
      <c r="Y414" s="157"/>
      <c r="Z414" s="157"/>
    </row>
    <row r="415" spans="1:26" s="157" customFormat="1" x14ac:dyDescent="0.25">
      <c r="A415" s="461"/>
      <c r="B415" s="130" t="s">
        <v>337</v>
      </c>
      <c r="C415" s="186" t="s">
        <v>392</v>
      </c>
      <c r="D415" s="131">
        <v>41456</v>
      </c>
      <c r="E415" s="131">
        <v>41487</v>
      </c>
      <c r="F415" s="131">
        <v>41518</v>
      </c>
      <c r="G415" s="131">
        <v>41548</v>
      </c>
      <c r="H415" s="131">
        <v>41579</v>
      </c>
      <c r="I415" s="131">
        <v>41609</v>
      </c>
      <c r="J415" s="131">
        <v>41640</v>
      </c>
      <c r="K415" s="131">
        <v>41671</v>
      </c>
      <c r="L415" s="131">
        <v>41699</v>
      </c>
      <c r="M415" s="131">
        <v>41730</v>
      </c>
      <c r="N415" s="131">
        <v>41760</v>
      </c>
      <c r="O415" s="131">
        <v>41791</v>
      </c>
      <c r="P415" s="131">
        <v>41821</v>
      </c>
      <c r="Q415" s="131">
        <v>41852</v>
      </c>
      <c r="R415" s="131">
        <v>41896</v>
      </c>
      <c r="T415" s="133" t="s">
        <v>338</v>
      </c>
      <c r="U415" s="134" t="s">
        <v>339</v>
      </c>
      <c r="V415" s="132"/>
      <c r="W415" s="133" t="s">
        <v>338</v>
      </c>
      <c r="X415" s="134" t="s">
        <v>339</v>
      </c>
    </row>
    <row r="416" spans="1:26" s="157" customFormat="1" x14ac:dyDescent="0.25">
      <c r="A416" s="461"/>
      <c r="B416" s="135" t="s">
        <v>319</v>
      </c>
      <c r="C416" s="599"/>
      <c r="F416" s="136">
        <v>42479.170146593417</v>
      </c>
      <c r="G416" s="136">
        <v>41397.003173827979</v>
      </c>
      <c r="H416" s="136">
        <v>37326.00402832</v>
      </c>
      <c r="I416" s="136">
        <v>34498.992919921991</v>
      </c>
      <c r="J416" s="136">
        <v>36833.0078125</v>
      </c>
      <c r="K416" s="136">
        <v>38876.007080078009</v>
      </c>
      <c r="L416" s="136">
        <v>38966.979980469034</v>
      </c>
      <c r="M416" s="136">
        <v>38203.002929686991</v>
      </c>
      <c r="N416" s="136">
        <v>36464.019775390967</v>
      </c>
      <c r="O416" s="136">
        <v>37791</v>
      </c>
      <c r="P416" s="136">
        <v>37184</v>
      </c>
      <c r="Q416" s="136">
        <v>38392</v>
      </c>
      <c r="T416" s="141">
        <f>SUM(F416:Q416)</f>
        <v>458411.18784678838</v>
      </c>
      <c r="U416" s="188" t="s">
        <v>341</v>
      </c>
      <c r="W416" s="140">
        <f>T416*3413/1000000</f>
        <v>1564.5573841210887</v>
      </c>
      <c r="X416" s="138" t="s">
        <v>342</v>
      </c>
    </row>
    <row r="417" spans="1:26" s="157" customFormat="1" x14ac:dyDescent="0.25">
      <c r="A417" s="461"/>
      <c r="B417" s="135" t="s">
        <v>343</v>
      </c>
      <c r="C417" s="599"/>
      <c r="F417" s="137">
        <v>69.835375976562418</v>
      </c>
      <c r="G417" s="137">
        <v>102.94909667968801</v>
      </c>
      <c r="H417" s="137">
        <v>203.12055664062484</v>
      </c>
      <c r="I417" s="136">
        <v>277.71826171874636</v>
      </c>
      <c r="J417" s="136">
        <v>376.11279296875205</v>
      </c>
      <c r="K417" s="136">
        <v>265.03681640624802</v>
      </c>
      <c r="L417" s="136">
        <v>261.35527343750402</v>
      </c>
      <c r="M417" s="136">
        <v>91.104687500000011</v>
      </c>
      <c r="N417" s="136">
        <v>47.614453125000004</v>
      </c>
      <c r="O417" s="136">
        <v>43.78</v>
      </c>
      <c r="P417" s="136">
        <v>50.9</v>
      </c>
      <c r="Q417" s="136">
        <v>25.23</v>
      </c>
      <c r="T417" s="141">
        <f>SUM(F417:Q417)</f>
        <v>1814.7573144531254</v>
      </c>
      <c r="U417" s="188" t="s">
        <v>344</v>
      </c>
      <c r="W417" s="160">
        <f>T417/1000</f>
        <v>1.8147573144531255</v>
      </c>
      <c r="X417" s="138" t="s">
        <v>342</v>
      </c>
    </row>
    <row r="418" spans="1:26" s="157" customFormat="1" x14ac:dyDescent="0.25">
      <c r="A418" s="461"/>
      <c r="B418" s="153" t="s">
        <v>362</v>
      </c>
      <c r="C418" s="599"/>
      <c r="F418" s="141">
        <v>235.0538929950358</v>
      </c>
      <c r="G418" s="141">
        <v>103.28271518543956</v>
      </c>
      <c r="H418" s="141">
        <v>74.892553209642671</v>
      </c>
      <c r="I418" s="141">
        <v>8.2823545744172655</v>
      </c>
      <c r="J418" s="141">
        <v>14</v>
      </c>
      <c r="K418" s="141">
        <v>18</v>
      </c>
      <c r="L418" s="141">
        <v>26</v>
      </c>
      <c r="M418" s="141">
        <v>84</v>
      </c>
      <c r="N418" s="141">
        <v>161</v>
      </c>
      <c r="O418" s="141">
        <v>305</v>
      </c>
      <c r="P418" s="141">
        <v>332</v>
      </c>
      <c r="Q418" s="141">
        <v>286</v>
      </c>
      <c r="T418" s="141">
        <f>SUM(F418:Q418)</f>
        <v>1647.5115159645352</v>
      </c>
      <c r="U418" s="188" t="s">
        <v>870</v>
      </c>
      <c r="W418" s="193">
        <f>T418*0.012</f>
        <v>19.770138191574421</v>
      </c>
      <c r="X418" s="138" t="s">
        <v>342</v>
      </c>
      <c r="Y418" s="495">
        <f>W416+W417+W418</f>
        <v>1586.1422796271163</v>
      </c>
      <c r="Z418" s="153" t="s">
        <v>677</v>
      </c>
    </row>
    <row r="419" spans="1:26" s="157" customFormat="1" x14ac:dyDescent="0.25">
      <c r="A419" s="461"/>
      <c r="B419" s="135" t="s">
        <v>864</v>
      </c>
      <c r="C419" s="599"/>
      <c r="F419" s="760">
        <v>187</v>
      </c>
      <c r="G419" s="760">
        <v>159</v>
      </c>
      <c r="H419" s="760">
        <v>125</v>
      </c>
      <c r="I419" s="760">
        <v>178</v>
      </c>
      <c r="J419" s="760">
        <v>116</v>
      </c>
      <c r="K419" s="750">
        <v>125</v>
      </c>
      <c r="L419" s="750">
        <v>79</v>
      </c>
      <c r="M419" s="750">
        <v>88</v>
      </c>
      <c r="N419" s="750">
        <v>53</v>
      </c>
      <c r="O419" s="750">
        <v>68</v>
      </c>
      <c r="P419" s="750">
        <v>54</v>
      </c>
      <c r="Q419" s="728">
        <v>62</v>
      </c>
      <c r="T419" s="141">
        <f>SUM(F419:Q419)</f>
        <v>1294</v>
      </c>
      <c r="U419" s="188" t="s">
        <v>379</v>
      </c>
      <c r="W419" s="141">
        <f>T419*748</f>
        <v>967912</v>
      </c>
      <c r="X419" s="188" t="s">
        <v>346</v>
      </c>
    </row>
    <row r="420" spans="1:26" s="157" customFormat="1" x14ac:dyDescent="0.25">
      <c r="A420" s="461"/>
      <c r="B420" s="135" t="s">
        <v>324</v>
      </c>
      <c r="C420" s="599"/>
      <c r="F420" s="731">
        <f t="shared" ref="F420:Q420" si="16">F416*0.087</f>
        <v>3695.6878027536268</v>
      </c>
      <c r="G420" s="731">
        <f t="shared" si="16"/>
        <v>3601.5392761230341</v>
      </c>
      <c r="H420" s="731">
        <f t="shared" si="16"/>
        <v>3247.3623504638399</v>
      </c>
      <c r="I420" s="731">
        <f t="shared" si="16"/>
        <v>3001.4123840332131</v>
      </c>
      <c r="J420" s="731">
        <f t="shared" si="16"/>
        <v>3204.4716796875</v>
      </c>
      <c r="K420" s="731">
        <f t="shared" si="16"/>
        <v>3382.2126159667864</v>
      </c>
      <c r="L420" s="731">
        <f t="shared" si="16"/>
        <v>3390.1272583008058</v>
      </c>
      <c r="M420" s="731">
        <f t="shared" si="16"/>
        <v>3323.6612548827679</v>
      </c>
      <c r="N420" s="731">
        <f t="shared" si="16"/>
        <v>3172.3697204590139</v>
      </c>
      <c r="O420" s="731">
        <f t="shared" si="16"/>
        <v>3287.8169999999996</v>
      </c>
      <c r="P420" s="731">
        <f t="shared" si="16"/>
        <v>3235.0079999999998</v>
      </c>
      <c r="Q420" s="731">
        <f t="shared" si="16"/>
        <v>3340.1039999999998</v>
      </c>
      <c r="T420" s="171">
        <f>SUM(F420:Q420)</f>
        <v>39881.773342670589</v>
      </c>
      <c r="U420" s="188"/>
      <c r="W420" s="190">
        <f>T420</f>
        <v>39881.773342670589</v>
      </c>
      <c r="X420" s="188"/>
    </row>
    <row r="421" spans="1:26" s="157" customFormat="1" x14ac:dyDescent="0.25">
      <c r="A421" s="461"/>
      <c r="B421" s="144" t="s">
        <v>348</v>
      </c>
      <c r="C421" s="599"/>
      <c r="F421" s="736" t="s">
        <v>13</v>
      </c>
      <c r="G421" s="736" t="s">
        <v>13</v>
      </c>
      <c r="H421" s="736" t="s">
        <v>13</v>
      </c>
      <c r="I421" s="736" t="s">
        <v>13</v>
      </c>
      <c r="J421" s="731">
        <f t="shared" ref="J421:O421" si="17">J417*14.42</f>
        <v>5423.5464746094049</v>
      </c>
      <c r="K421" s="731">
        <f t="shared" si="17"/>
        <v>3821.8308925780966</v>
      </c>
      <c r="L421" s="731">
        <f t="shared" si="17"/>
        <v>3768.7430429688079</v>
      </c>
      <c r="M421" s="731">
        <f t="shared" si="17"/>
        <v>1313.72959375</v>
      </c>
      <c r="N421" s="731" t="s">
        <v>13</v>
      </c>
      <c r="O421" s="731">
        <f t="shared" si="17"/>
        <v>631.30759999999998</v>
      </c>
      <c r="P421" s="731">
        <f>P417*13.87</f>
        <v>705.98299999999995</v>
      </c>
      <c r="Q421" s="731">
        <f>Q417*13.87</f>
        <v>349.94009999999997</v>
      </c>
      <c r="T421" s="171">
        <f>SUM(G421:Q421)</f>
        <v>16015.080703906311</v>
      </c>
      <c r="U421" s="188"/>
      <c r="W421" s="190">
        <f>T421</f>
        <v>16015.080703906311</v>
      </c>
      <c r="X421" s="188"/>
    </row>
    <row r="422" spans="1:26" s="157" customFormat="1" ht="16.5" x14ac:dyDescent="0.35">
      <c r="A422" s="461"/>
      <c r="B422" s="195" t="s">
        <v>398</v>
      </c>
      <c r="C422" s="599"/>
      <c r="F422" s="731">
        <f t="shared" ref="F422:O422" si="18">F418*13.71</f>
        <v>3222.588872961941</v>
      </c>
      <c r="G422" s="731">
        <f t="shared" si="18"/>
        <v>1416.0060251923765</v>
      </c>
      <c r="H422" s="731">
        <f t="shared" si="18"/>
        <v>1026.7769045042012</v>
      </c>
      <c r="I422" s="731">
        <f t="shared" si="18"/>
        <v>113.55108121526072</v>
      </c>
      <c r="J422" s="731">
        <f t="shared" si="18"/>
        <v>191.94</v>
      </c>
      <c r="K422" s="731">
        <f t="shared" si="18"/>
        <v>246.78000000000003</v>
      </c>
      <c r="L422" s="731">
        <f t="shared" si="18"/>
        <v>356.46000000000004</v>
      </c>
      <c r="M422" s="731">
        <f t="shared" si="18"/>
        <v>1151.6400000000001</v>
      </c>
      <c r="N422" s="731">
        <f t="shared" si="18"/>
        <v>2207.31</v>
      </c>
      <c r="O422" s="731">
        <f t="shared" si="18"/>
        <v>4181.55</v>
      </c>
      <c r="P422" s="731">
        <f>P418*14.4</f>
        <v>4780.8</v>
      </c>
      <c r="Q422" s="731">
        <f>Q418*14.4</f>
        <v>4118.4000000000005</v>
      </c>
      <c r="T422" s="171">
        <f>SUM(G422:Q422)</f>
        <v>19791.214010911841</v>
      </c>
      <c r="U422" s="188"/>
      <c r="W422" s="197">
        <f>T422</f>
        <v>19791.214010911841</v>
      </c>
      <c r="X422" s="188"/>
    </row>
    <row r="423" spans="1:26" s="125" customFormat="1" x14ac:dyDescent="0.25">
      <c r="A423" s="461"/>
      <c r="B423" s="205"/>
      <c r="C423" s="152"/>
      <c r="E423" s="201"/>
      <c r="F423" s="206"/>
      <c r="G423" s="202"/>
      <c r="H423" s="203"/>
      <c r="I423" s="203"/>
      <c r="J423" s="203"/>
      <c r="K423" s="203"/>
      <c r="L423" s="203"/>
      <c r="M423" s="203"/>
      <c r="N423" s="203"/>
      <c r="O423" s="203"/>
      <c r="P423" s="203"/>
      <c r="U423" s="126"/>
      <c r="W423" s="190">
        <f>SUM(W420:W422)</f>
        <v>75688.068057488737</v>
      </c>
      <c r="X423" s="450"/>
      <c r="Y423" s="157"/>
      <c r="Z423" s="157"/>
    </row>
    <row r="425" spans="1:26" s="125" customFormat="1" x14ac:dyDescent="0.25">
      <c r="A425" s="461">
        <v>45</v>
      </c>
      <c r="B425" s="148" t="s">
        <v>628</v>
      </c>
      <c r="C425" s="152"/>
      <c r="E425" s="157"/>
      <c r="F425" s="157"/>
      <c r="G425" s="157"/>
      <c r="H425" s="157"/>
      <c r="I425" s="157"/>
      <c r="J425" s="157"/>
      <c r="K425" s="157"/>
      <c r="L425" s="157"/>
      <c r="M425" s="157"/>
      <c r="N425" s="157"/>
      <c r="O425" s="157"/>
      <c r="P425" s="157"/>
      <c r="S425" s="126"/>
      <c r="T425" s="148" t="s">
        <v>628</v>
      </c>
      <c r="V425" s="126"/>
      <c r="Y425" s="157"/>
      <c r="Z425" s="157"/>
    </row>
    <row r="426" spans="1:26" s="157" customFormat="1" x14ac:dyDescent="0.25">
      <c r="A426" s="461"/>
      <c r="B426" s="130" t="s">
        <v>337</v>
      </c>
      <c r="C426" s="186" t="s">
        <v>392</v>
      </c>
      <c r="D426" s="131">
        <v>41456</v>
      </c>
      <c r="E426" s="131">
        <v>41487</v>
      </c>
      <c r="F426" s="131">
        <v>41518</v>
      </c>
      <c r="G426" s="131">
        <v>41548</v>
      </c>
      <c r="H426" s="131">
        <v>41579</v>
      </c>
      <c r="I426" s="131">
        <v>41609</v>
      </c>
      <c r="J426" s="131">
        <v>41640</v>
      </c>
      <c r="K426" s="131">
        <v>41671</v>
      </c>
      <c r="L426" s="131">
        <v>41699</v>
      </c>
      <c r="M426" s="131">
        <v>41730</v>
      </c>
      <c r="N426" s="131">
        <v>41760</v>
      </c>
      <c r="O426" s="131">
        <v>41791</v>
      </c>
      <c r="P426" s="131">
        <v>41821</v>
      </c>
      <c r="Q426" s="131">
        <v>41852</v>
      </c>
      <c r="R426" s="131">
        <v>41896</v>
      </c>
      <c r="T426" s="133" t="s">
        <v>338</v>
      </c>
      <c r="U426" s="134" t="s">
        <v>339</v>
      </c>
      <c r="V426" s="132"/>
      <c r="W426" s="133" t="s">
        <v>338</v>
      </c>
      <c r="X426" s="134" t="s">
        <v>339</v>
      </c>
    </row>
    <row r="427" spans="1:26" s="157" customFormat="1" x14ac:dyDescent="0.25">
      <c r="A427" s="461"/>
      <c r="B427" s="135" t="s">
        <v>319</v>
      </c>
      <c r="C427" s="599"/>
      <c r="F427" s="753">
        <v>151838.64591055855</v>
      </c>
      <c r="G427" s="754">
        <v>151949.99694824204</v>
      </c>
      <c r="H427" s="754">
        <v>135144.98901367199</v>
      </c>
      <c r="I427" s="754">
        <v>130012.95471191403</v>
      </c>
      <c r="J427" s="754">
        <v>137597.10693359404</v>
      </c>
      <c r="K427" s="754">
        <v>144941.00952148388</v>
      </c>
      <c r="L427" s="754">
        <v>144964.93530273507</v>
      </c>
      <c r="M427" s="754">
        <v>139818.05419921601</v>
      </c>
      <c r="N427" s="754">
        <v>135489.99023437494</v>
      </c>
      <c r="O427" s="754">
        <v>131695.922851565</v>
      </c>
      <c r="P427" s="754">
        <v>131431.03027343308</v>
      </c>
      <c r="Q427" s="723">
        <v>136429.07714844</v>
      </c>
      <c r="T427" s="141">
        <f>SUM(F427:Q427)</f>
        <v>1671313.7130492288</v>
      </c>
      <c r="U427" s="188" t="s">
        <v>341</v>
      </c>
      <c r="W427" s="140">
        <f>T427*3413/1000000</f>
        <v>5704.1937026370179</v>
      </c>
      <c r="X427" s="138" t="s">
        <v>342</v>
      </c>
    </row>
    <row r="428" spans="1:26" s="157" customFormat="1" x14ac:dyDescent="0.25">
      <c r="A428" s="461"/>
      <c r="B428" s="135" t="s">
        <v>343</v>
      </c>
      <c r="C428" s="599"/>
      <c r="F428" s="838">
        <v>146.65428955078107</v>
      </c>
      <c r="G428" s="838">
        <v>216.19310302734482</v>
      </c>
      <c r="H428" s="838">
        <v>426.55316894531211</v>
      </c>
      <c r="I428" s="838">
        <v>583.20834960936736</v>
      </c>
      <c r="J428" s="837">
        <v>1383.7268652343794</v>
      </c>
      <c r="K428" s="837">
        <v>1169.2073144531205</v>
      </c>
      <c r="L428" s="837">
        <v>639.1349951171984</v>
      </c>
      <c r="M428" s="837">
        <v>321.81671875000029</v>
      </c>
      <c r="N428" s="837">
        <v>211.46018554686998</v>
      </c>
      <c r="O428" s="839">
        <v>157</v>
      </c>
      <c r="P428" s="839">
        <v>169</v>
      </c>
      <c r="Q428" s="840">
        <v>175</v>
      </c>
      <c r="T428" s="141">
        <f>SUM(F428:Q428)</f>
        <v>5598.9549902343742</v>
      </c>
      <c r="U428" s="188" t="s">
        <v>344</v>
      </c>
      <c r="W428" s="160">
        <f>T428/1000</f>
        <v>5.5989549902343745</v>
      </c>
      <c r="X428" s="138" t="s">
        <v>342</v>
      </c>
    </row>
    <row r="429" spans="1:26" s="157" customFormat="1" x14ac:dyDescent="0.25">
      <c r="A429" s="461"/>
      <c r="B429" s="192" t="s">
        <v>911</v>
      </c>
      <c r="C429" s="599"/>
      <c r="F429" s="753">
        <v>650.12580845264256</v>
      </c>
      <c r="G429" s="753">
        <v>416.59705146821773</v>
      </c>
      <c r="H429" s="753">
        <v>263.34482266099394</v>
      </c>
      <c r="I429" s="753">
        <v>122</v>
      </c>
      <c r="J429" s="755">
        <v>96</v>
      </c>
      <c r="K429" s="753">
        <v>102</v>
      </c>
      <c r="L429" s="753">
        <v>157</v>
      </c>
      <c r="M429" s="753">
        <v>341</v>
      </c>
      <c r="N429" s="756">
        <v>668</v>
      </c>
      <c r="O429" s="756">
        <v>978</v>
      </c>
      <c r="P429" s="756">
        <v>1035</v>
      </c>
      <c r="Q429" s="732">
        <v>976</v>
      </c>
      <c r="T429" s="141">
        <f>SUM(F429:Q429)</f>
        <v>5805.0676825818537</v>
      </c>
      <c r="U429" s="188" t="s">
        <v>870</v>
      </c>
      <c r="W429" s="193">
        <f>T429*0.012</f>
        <v>69.660812190982242</v>
      </c>
      <c r="X429" s="138" t="s">
        <v>342</v>
      </c>
      <c r="Y429" s="495">
        <f>W427+W428+W429</f>
        <v>5779.4534698182342</v>
      </c>
      <c r="Z429" s="153" t="s">
        <v>677</v>
      </c>
    </row>
    <row r="430" spans="1:26" s="157" customFormat="1" x14ac:dyDescent="0.25">
      <c r="A430" s="461"/>
      <c r="B430" s="135" t="s">
        <v>864</v>
      </c>
      <c r="C430" s="599"/>
      <c r="F430" s="760">
        <v>190</v>
      </c>
      <c r="G430" s="760">
        <v>215</v>
      </c>
      <c r="H430" s="760">
        <v>255</v>
      </c>
      <c r="I430" s="760">
        <v>170</v>
      </c>
      <c r="J430" s="760">
        <v>185</v>
      </c>
      <c r="K430" s="750">
        <v>255</v>
      </c>
      <c r="L430" s="750">
        <v>195</v>
      </c>
      <c r="M430" s="750">
        <v>215</v>
      </c>
      <c r="N430" s="750">
        <v>90</v>
      </c>
      <c r="O430" s="750">
        <v>110</v>
      </c>
      <c r="P430" s="750">
        <v>105</v>
      </c>
      <c r="Q430" s="728">
        <v>190</v>
      </c>
      <c r="T430" s="141">
        <f>SUM(F430:Q430)</f>
        <v>2175</v>
      </c>
      <c r="U430" s="188" t="s">
        <v>379</v>
      </c>
      <c r="W430" s="141">
        <f>T430*748</f>
        <v>1626900</v>
      </c>
      <c r="X430" s="188" t="s">
        <v>346</v>
      </c>
    </row>
    <row r="431" spans="1:26" s="157" customFormat="1" x14ac:dyDescent="0.25">
      <c r="A431" s="461"/>
      <c r="B431" s="135" t="s">
        <v>324</v>
      </c>
      <c r="C431" s="599"/>
      <c r="F431" s="731">
        <f t="shared" ref="F431:Q431" si="19">F427*0.087</f>
        <v>13209.962194218593</v>
      </c>
      <c r="G431" s="731">
        <f t="shared" si="19"/>
        <v>13219.649734497058</v>
      </c>
      <c r="H431" s="731">
        <f t="shared" si="19"/>
        <v>11757.614044189462</v>
      </c>
      <c r="I431" s="731">
        <f t="shared" si="19"/>
        <v>11311.12705993652</v>
      </c>
      <c r="J431" s="731">
        <f t="shared" si="19"/>
        <v>11970.94830322268</v>
      </c>
      <c r="K431" s="731">
        <f t="shared" si="19"/>
        <v>12609.867828369097</v>
      </c>
      <c r="L431" s="731">
        <f t="shared" si="19"/>
        <v>12611.949371337951</v>
      </c>
      <c r="M431" s="731">
        <f t="shared" si="19"/>
        <v>12164.170715331793</v>
      </c>
      <c r="N431" s="731">
        <f t="shared" si="19"/>
        <v>11787.62915039062</v>
      </c>
      <c r="O431" s="731">
        <f t="shared" si="19"/>
        <v>11457.545288086154</v>
      </c>
      <c r="P431" s="731">
        <f t="shared" si="19"/>
        <v>11434.499633788677</v>
      </c>
      <c r="Q431" s="731">
        <f t="shared" si="19"/>
        <v>11869.329711914279</v>
      </c>
      <c r="T431" s="171">
        <f>SUM(F431:Q431)</f>
        <v>145404.29303528287</v>
      </c>
      <c r="U431" s="188"/>
      <c r="W431" s="190">
        <f>T431</f>
        <v>145404.29303528287</v>
      </c>
      <c r="X431" s="188"/>
    </row>
    <row r="432" spans="1:26" s="157" customFormat="1" x14ac:dyDescent="0.25">
      <c r="A432" s="461"/>
      <c r="B432" s="144" t="s">
        <v>348</v>
      </c>
      <c r="C432" s="599"/>
      <c r="F432" s="731">
        <f t="shared" ref="F432:O432" si="20">F428*14.42</f>
        <v>2114.7548553222632</v>
      </c>
      <c r="G432" s="731">
        <f t="shared" si="20"/>
        <v>3117.5045456543121</v>
      </c>
      <c r="H432" s="731">
        <f t="shared" si="20"/>
        <v>6150.8966961914002</v>
      </c>
      <c r="I432" s="731">
        <f t="shared" si="20"/>
        <v>8409.8644013670764</v>
      </c>
      <c r="J432" s="731">
        <f t="shared" si="20"/>
        <v>19953.341396679749</v>
      </c>
      <c r="K432" s="731">
        <f t="shared" si="20"/>
        <v>16859.969474413996</v>
      </c>
      <c r="L432" s="731">
        <f t="shared" si="20"/>
        <v>9216.3266295900012</v>
      </c>
      <c r="M432" s="731">
        <f t="shared" si="20"/>
        <v>4640.5970843750038</v>
      </c>
      <c r="N432" s="731">
        <f t="shared" si="20"/>
        <v>3049.2558755858649</v>
      </c>
      <c r="O432" s="731">
        <f t="shared" si="20"/>
        <v>2263.94</v>
      </c>
      <c r="P432" s="731">
        <f>P428*13.87</f>
        <v>2344.0299999999997</v>
      </c>
      <c r="Q432" s="731">
        <f>Q428*13.87</f>
        <v>2427.25</v>
      </c>
      <c r="T432" s="171">
        <f>SUM(G432:Q432)</f>
        <v>78432.976103857407</v>
      </c>
      <c r="U432" s="188"/>
      <c r="W432" s="190">
        <f>T432</f>
        <v>78432.976103857407</v>
      </c>
      <c r="X432" s="188"/>
    </row>
    <row r="433" spans="1:26" s="157" customFormat="1" ht="16.5" x14ac:dyDescent="0.35">
      <c r="A433" s="461"/>
      <c r="B433" s="195" t="s">
        <v>398</v>
      </c>
      <c r="C433" s="599"/>
      <c r="F433" s="731">
        <f t="shared" ref="F433:O433" si="21">F429*13.71</f>
        <v>8913.2248338857298</v>
      </c>
      <c r="G433" s="731">
        <f t="shared" si="21"/>
        <v>5711.5455756292658</v>
      </c>
      <c r="H433" s="731">
        <f t="shared" si="21"/>
        <v>3610.4575186822271</v>
      </c>
      <c r="I433" s="731">
        <f t="shared" si="21"/>
        <v>1672.6200000000001</v>
      </c>
      <c r="J433" s="731">
        <f t="shared" si="21"/>
        <v>1316.16</v>
      </c>
      <c r="K433" s="731">
        <f t="shared" si="21"/>
        <v>1398.42</v>
      </c>
      <c r="L433" s="731">
        <f t="shared" si="21"/>
        <v>2152.4700000000003</v>
      </c>
      <c r="M433" s="731">
        <f t="shared" si="21"/>
        <v>4675.1100000000006</v>
      </c>
      <c r="N433" s="731">
        <f t="shared" si="21"/>
        <v>9158.2800000000007</v>
      </c>
      <c r="O433" s="731">
        <f t="shared" si="21"/>
        <v>13408.380000000001</v>
      </c>
      <c r="P433" s="731">
        <f>P429*14.4</f>
        <v>14904</v>
      </c>
      <c r="Q433" s="731">
        <f>Q429*14.4</f>
        <v>14054.4</v>
      </c>
      <c r="T433" s="171">
        <f>SUM(G433:Q433)</f>
        <v>72061.843094311494</v>
      </c>
      <c r="U433" s="188"/>
      <c r="W433" s="197">
        <f>T433</f>
        <v>72061.843094311494</v>
      </c>
      <c r="X433" s="188"/>
    </row>
    <row r="434" spans="1:26" s="125" customFormat="1" x14ac:dyDescent="0.25">
      <c r="A434" s="461"/>
      <c r="B434" s="205"/>
      <c r="C434" s="152"/>
      <c r="E434" s="201"/>
      <c r="F434" s="206"/>
      <c r="G434" s="202"/>
      <c r="H434" s="203"/>
      <c r="I434" s="203"/>
      <c r="J434" s="203"/>
      <c r="K434" s="203"/>
      <c r="L434" s="203"/>
      <c r="M434" s="203"/>
      <c r="N434" s="203"/>
      <c r="O434" s="203"/>
      <c r="P434" s="203"/>
      <c r="U434" s="126"/>
      <c r="W434" s="190">
        <f>SUM(W431:W433)</f>
        <v>295899.11223345174</v>
      </c>
      <c r="X434" s="450"/>
      <c r="Y434" s="157"/>
      <c r="Z434" s="157"/>
    </row>
    <row r="436" spans="1:26" s="128" customFormat="1" x14ac:dyDescent="0.25">
      <c r="A436" s="459">
        <v>46</v>
      </c>
      <c r="B436" s="127" t="s">
        <v>629</v>
      </c>
      <c r="C436" s="173"/>
      <c r="S436" s="173"/>
      <c r="T436" s="127" t="s">
        <v>629</v>
      </c>
      <c r="W436" s="129"/>
      <c r="Y436" s="166"/>
      <c r="Z436" s="166"/>
    </row>
    <row r="437" spans="1:26" s="125" customFormat="1" x14ac:dyDescent="0.25">
      <c r="A437" s="461"/>
      <c r="B437" s="130" t="s">
        <v>337</v>
      </c>
      <c r="C437" s="605" t="s">
        <v>392</v>
      </c>
      <c r="D437" s="131">
        <v>41456</v>
      </c>
      <c r="E437" s="131">
        <v>41487</v>
      </c>
      <c r="F437" s="131">
        <v>41518</v>
      </c>
      <c r="G437" s="131">
        <v>41548</v>
      </c>
      <c r="H437" s="131">
        <v>41579</v>
      </c>
      <c r="I437" s="131">
        <v>41609</v>
      </c>
      <c r="J437" s="131">
        <v>41640</v>
      </c>
      <c r="K437" s="131">
        <v>41671</v>
      </c>
      <c r="L437" s="131">
        <v>41699</v>
      </c>
      <c r="M437" s="131">
        <v>41730</v>
      </c>
      <c r="N437" s="131">
        <v>41760</v>
      </c>
      <c r="O437" s="131">
        <v>41791</v>
      </c>
      <c r="P437" s="131">
        <v>41821</v>
      </c>
      <c r="Q437" s="131">
        <v>41852</v>
      </c>
      <c r="R437" s="131">
        <v>41896</v>
      </c>
      <c r="S437" s="132"/>
      <c r="T437" s="133" t="s">
        <v>338</v>
      </c>
      <c r="U437" s="134" t="s">
        <v>339</v>
      </c>
      <c r="V437" s="132"/>
      <c r="W437" s="133" t="s">
        <v>338</v>
      </c>
      <c r="X437" s="134" t="s">
        <v>339</v>
      </c>
      <c r="Y437" s="157"/>
      <c r="Z437" s="157"/>
    </row>
    <row r="438" spans="1:26" s="125" customFormat="1" x14ac:dyDescent="0.25">
      <c r="A438" s="461"/>
      <c r="B438" s="135" t="s">
        <v>340</v>
      </c>
      <c r="C438" s="606"/>
      <c r="D438" s="174"/>
      <c r="E438" s="174"/>
      <c r="F438" s="617">
        <v>18000</v>
      </c>
      <c r="G438" s="136">
        <v>86700</v>
      </c>
      <c r="H438" s="136">
        <v>102600</v>
      </c>
      <c r="I438" s="136">
        <v>109500</v>
      </c>
      <c r="J438" s="136">
        <v>1113400</v>
      </c>
      <c r="K438" s="136">
        <v>84000</v>
      </c>
      <c r="L438" s="136">
        <v>70500</v>
      </c>
      <c r="M438" s="136">
        <v>64333</v>
      </c>
      <c r="N438" s="136">
        <v>47264</v>
      </c>
      <c r="O438" s="136">
        <v>43754</v>
      </c>
      <c r="P438" s="136">
        <v>44155</v>
      </c>
      <c r="Q438" s="136">
        <v>51376</v>
      </c>
      <c r="R438" s="174"/>
      <c r="T438" s="140">
        <f>SUM(C438:S438)</f>
        <v>1835582</v>
      </c>
      <c r="U438" s="138" t="s">
        <v>341</v>
      </c>
      <c r="V438" s="139"/>
      <c r="W438" s="140">
        <f>T438*3413/1000000</f>
        <v>6264.8413659999997</v>
      </c>
      <c r="X438" s="138" t="s">
        <v>342</v>
      </c>
      <c r="Y438" s="157"/>
      <c r="Z438" s="157"/>
    </row>
    <row r="439" spans="1:26" s="125" customFormat="1" x14ac:dyDescent="0.25">
      <c r="A439" s="461"/>
      <c r="B439" s="135" t="s">
        <v>372</v>
      </c>
      <c r="C439" s="606"/>
      <c r="D439" s="174"/>
      <c r="E439" s="174"/>
      <c r="F439" s="136">
        <v>564</v>
      </c>
      <c r="G439" s="136">
        <v>531</v>
      </c>
      <c r="H439" s="136">
        <v>642</v>
      </c>
      <c r="I439" s="136">
        <v>616</v>
      </c>
      <c r="J439" s="136">
        <v>421</v>
      </c>
      <c r="K439" s="136">
        <v>865</v>
      </c>
      <c r="L439" s="136">
        <v>660</v>
      </c>
      <c r="M439" s="136">
        <v>711</v>
      </c>
      <c r="N439" s="136">
        <v>665</v>
      </c>
      <c r="O439" s="136">
        <v>98</v>
      </c>
      <c r="P439" s="136">
        <v>109</v>
      </c>
      <c r="Q439" s="136">
        <v>122</v>
      </c>
      <c r="R439" s="174"/>
      <c r="T439" s="140">
        <f>SUM(C439:S439)</f>
        <v>6004</v>
      </c>
      <c r="U439" s="138" t="s">
        <v>354</v>
      </c>
      <c r="V439" s="139"/>
      <c r="W439" s="140">
        <f>T439*99976.124488/1000000</f>
        <v>600.25665142595199</v>
      </c>
      <c r="X439" s="138" t="s">
        <v>342</v>
      </c>
      <c r="Y439" s="495">
        <f>W438+W439</f>
        <v>6865.0980174259512</v>
      </c>
      <c r="Z439" s="153" t="s">
        <v>677</v>
      </c>
    </row>
    <row r="440" spans="1:26" s="125" customFormat="1" x14ac:dyDescent="0.25">
      <c r="A440" s="461"/>
      <c r="B440" s="135" t="s">
        <v>345</v>
      </c>
      <c r="C440" s="606"/>
      <c r="D440" s="178"/>
      <c r="E440" s="178"/>
      <c r="F440" s="141">
        <v>175032</v>
      </c>
      <c r="G440" s="141">
        <v>228888</v>
      </c>
      <c r="H440" s="141">
        <v>210188</v>
      </c>
      <c r="I440" s="141">
        <v>229636</v>
      </c>
      <c r="J440" s="141">
        <v>73304</v>
      </c>
      <c r="K440" s="141">
        <v>187748</v>
      </c>
      <c r="L440" s="141">
        <v>222156</v>
      </c>
      <c r="M440" s="141">
        <v>201960</v>
      </c>
      <c r="N440" s="141">
        <v>246840</v>
      </c>
      <c r="O440" s="141">
        <v>12716</v>
      </c>
      <c r="P440" s="141">
        <v>1496</v>
      </c>
      <c r="Q440" s="141">
        <v>33660</v>
      </c>
      <c r="R440" s="178"/>
      <c r="T440" s="140">
        <f>SUM(C440:S440)</f>
        <v>1823624</v>
      </c>
      <c r="U440" s="138" t="s">
        <v>346</v>
      </c>
      <c r="V440" s="139"/>
      <c r="W440" s="137">
        <f>T440</f>
        <v>1823624</v>
      </c>
      <c r="X440" s="138" t="s">
        <v>346</v>
      </c>
      <c r="Y440" s="157"/>
      <c r="Z440" s="157"/>
    </row>
    <row r="441" spans="1:26" s="125" customFormat="1" x14ac:dyDescent="0.25">
      <c r="A441" s="461"/>
      <c r="B441" s="135" t="s">
        <v>347</v>
      </c>
      <c r="C441" s="606"/>
      <c r="D441" s="176"/>
      <c r="E441" s="176"/>
      <c r="F441" s="142">
        <v>1741.78</v>
      </c>
      <c r="G441" s="142">
        <v>6531.34</v>
      </c>
      <c r="H441" s="142">
        <v>7798.48</v>
      </c>
      <c r="I441" s="142">
        <v>8591.68</v>
      </c>
      <c r="J441" s="142">
        <v>8739.82</v>
      </c>
      <c r="K441" s="142">
        <v>6881.85</v>
      </c>
      <c r="L441" s="142">
        <v>6905.76</v>
      </c>
      <c r="M441" s="142">
        <v>5660.98</v>
      </c>
      <c r="N441" s="142">
        <v>4615.49</v>
      </c>
      <c r="O441" s="142">
        <v>4401.47</v>
      </c>
      <c r="P441" s="142">
        <v>4446.5600000000004</v>
      </c>
      <c r="Q441" s="142">
        <v>4890.97</v>
      </c>
      <c r="R441" s="176"/>
      <c r="T441" s="143">
        <f>SUM(C441:S441)</f>
        <v>71206.180000000008</v>
      </c>
      <c r="U441" s="138"/>
      <c r="V441" s="139"/>
      <c r="W441" s="143">
        <f>T441</f>
        <v>71206.180000000008</v>
      </c>
      <c r="X441" s="138"/>
      <c r="Y441" s="157"/>
      <c r="Z441" s="157"/>
    </row>
    <row r="442" spans="1:26" s="125" customFormat="1" ht="16.5" x14ac:dyDescent="0.35">
      <c r="A442" s="461"/>
      <c r="B442" s="144" t="s">
        <v>374</v>
      </c>
      <c r="C442" s="607"/>
      <c r="D442" s="179"/>
      <c r="E442" s="179"/>
      <c r="F442" s="145">
        <v>531.25</v>
      </c>
      <c r="G442" s="145">
        <v>501.6</v>
      </c>
      <c r="H442" s="145">
        <v>626.82000000000005</v>
      </c>
      <c r="I442" s="145">
        <v>590.24</v>
      </c>
      <c r="J442" s="145">
        <v>415.76</v>
      </c>
      <c r="K442" s="145">
        <v>1245.33</v>
      </c>
      <c r="L442" s="145">
        <v>188.72</v>
      </c>
      <c r="M442" s="145">
        <v>607.86</v>
      </c>
      <c r="N442" s="145">
        <v>584.78</v>
      </c>
      <c r="O442" s="145">
        <v>110.3</v>
      </c>
      <c r="P442" s="145">
        <v>123.14</v>
      </c>
      <c r="Q442" s="145">
        <v>135.02000000000001</v>
      </c>
      <c r="R442" s="179"/>
      <c r="T442" s="143">
        <f>SUM(C442:S442)</f>
        <v>5660.8200000000006</v>
      </c>
      <c r="U442" s="138"/>
      <c r="V442" s="139"/>
      <c r="W442" s="146">
        <f>T442</f>
        <v>5660.8200000000006</v>
      </c>
      <c r="X442" s="138"/>
      <c r="Y442" s="157"/>
      <c r="Z442" s="157"/>
    </row>
    <row r="443" spans="1:26" x14ac:dyDescent="0.25">
      <c r="W443" s="143">
        <f>SUM(W441:W442)</f>
        <v>76867.000000000015</v>
      </c>
      <c r="X443" s="138"/>
    </row>
    <row r="445" spans="1:26" s="128" customFormat="1" x14ac:dyDescent="0.25">
      <c r="A445" s="459">
        <v>47</v>
      </c>
      <c r="B445" s="127" t="s">
        <v>630</v>
      </c>
      <c r="C445" s="173"/>
      <c r="S445" s="173"/>
      <c r="T445" s="127" t="s">
        <v>630</v>
      </c>
      <c r="W445" s="129"/>
      <c r="Y445" s="166"/>
      <c r="Z445" s="166"/>
    </row>
    <row r="446" spans="1:26" s="125" customFormat="1" x14ac:dyDescent="0.25">
      <c r="A446" s="461"/>
      <c r="B446" s="130" t="s">
        <v>337</v>
      </c>
      <c r="C446" s="605" t="s">
        <v>392</v>
      </c>
      <c r="D446" s="131">
        <v>41456</v>
      </c>
      <c r="E446" s="131">
        <v>41487</v>
      </c>
      <c r="F446" s="131">
        <v>41518</v>
      </c>
      <c r="G446" s="131">
        <v>41548</v>
      </c>
      <c r="H446" s="131">
        <v>41579</v>
      </c>
      <c r="I446" s="131">
        <v>41609</v>
      </c>
      <c r="J446" s="131">
        <v>41640</v>
      </c>
      <c r="K446" s="131">
        <v>41671</v>
      </c>
      <c r="L446" s="131">
        <v>41699</v>
      </c>
      <c r="M446" s="131">
        <v>41730</v>
      </c>
      <c r="N446" s="131">
        <v>41760</v>
      </c>
      <c r="O446" s="131">
        <v>41791</v>
      </c>
      <c r="P446" s="131">
        <v>41821</v>
      </c>
      <c r="Q446" s="131">
        <v>41852</v>
      </c>
      <c r="R446" s="131">
        <v>41896</v>
      </c>
      <c r="S446" s="132"/>
      <c r="T446" s="133" t="s">
        <v>338</v>
      </c>
      <c r="U446" s="134" t="s">
        <v>339</v>
      </c>
      <c r="V446" s="132"/>
      <c r="W446" s="133" t="s">
        <v>338</v>
      </c>
      <c r="X446" s="134" t="s">
        <v>339</v>
      </c>
      <c r="Y446" s="157"/>
      <c r="Z446" s="157"/>
    </row>
    <row r="447" spans="1:26" s="125" customFormat="1" x14ac:dyDescent="0.25">
      <c r="A447" s="461"/>
      <c r="B447" s="135" t="s">
        <v>340</v>
      </c>
      <c r="C447" s="606"/>
      <c r="D447" s="174"/>
      <c r="E447" s="174"/>
      <c r="F447" s="675">
        <v>92700</v>
      </c>
      <c r="G447" s="136">
        <v>61800</v>
      </c>
      <c r="H447" s="136">
        <v>42300</v>
      </c>
      <c r="I447" s="136">
        <v>61500</v>
      </c>
      <c r="J447" s="136">
        <v>78900</v>
      </c>
      <c r="K447" s="136">
        <v>63600</v>
      </c>
      <c r="L447" s="136">
        <v>50100</v>
      </c>
      <c r="M447" s="136">
        <v>39000</v>
      </c>
      <c r="N447" s="136">
        <v>27035</v>
      </c>
      <c r="O447" s="136">
        <v>26613</v>
      </c>
      <c r="P447" s="136">
        <v>27287</v>
      </c>
      <c r="Q447" s="136">
        <v>32916</v>
      </c>
      <c r="R447" s="174"/>
      <c r="T447" s="140">
        <f>SUM(C447:S447)</f>
        <v>603751</v>
      </c>
      <c r="U447" s="138" t="s">
        <v>341</v>
      </c>
      <c r="V447" s="139"/>
      <c r="W447" s="140">
        <f>T447*3413/1000000</f>
        <v>2060.602163</v>
      </c>
      <c r="X447" s="138" t="s">
        <v>342</v>
      </c>
      <c r="Y447" s="157"/>
      <c r="Z447" s="157"/>
    </row>
    <row r="448" spans="1:26" s="125" customFormat="1" x14ac:dyDescent="0.25">
      <c r="A448" s="461"/>
      <c r="B448" s="135" t="s">
        <v>372</v>
      </c>
      <c r="C448" s="606"/>
      <c r="D448" s="174"/>
      <c r="E448" s="174"/>
      <c r="F448" s="136">
        <v>312</v>
      </c>
      <c r="G448" s="136">
        <v>299</v>
      </c>
      <c r="H448" s="136">
        <v>375</v>
      </c>
      <c r="I448" s="136">
        <v>331</v>
      </c>
      <c r="J448" s="136">
        <v>259</v>
      </c>
      <c r="K448" s="136">
        <v>482</v>
      </c>
      <c r="L448" s="136">
        <v>329</v>
      </c>
      <c r="M448" s="136">
        <v>364</v>
      </c>
      <c r="N448" s="136">
        <v>318</v>
      </c>
      <c r="O448" s="136">
        <v>378</v>
      </c>
      <c r="P448" s="136">
        <v>346</v>
      </c>
      <c r="Q448" s="136">
        <v>195</v>
      </c>
      <c r="R448" s="174"/>
      <c r="T448" s="140">
        <f>SUM(C448:S448)</f>
        <v>3988</v>
      </c>
      <c r="U448" s="138" t="s">
        <v>354</v>
      </c>
      <c r="V448" s="139"/>
      <c r="W448" s="140">
        <f>T448*99976.124488/1000000</f>
        <v>398.70478445814399</v>
      </c>
      <c r="X448" s="138" t="s">
        <v>342</v>
      </c>
      <c r="Y448" s="495">
        <f>W447+W448</f>
        <v>2459.3069474581439</v>
      </c>
      <c r="Z448" s="153" t="s">
        <v>677</v>
      </c>
    </row>
    <row r="449" spans="1:26" s="125" customFormat="1" x14ac:dyDescent="0.25">
      <c r="A449" s="461"/>
      <c r="B449" s="135" t="s">
        <v>345</v>
      </c>
      <c r="C449" s="606"/>
      <c r="D449" s="178"/>
      <c r="E449" s="178"/>
      <c r="F449" s="141">
        <v>139128</v>
      </c>
      <c r="G449" s="141">
        <v>178772</v>
      </c>
      <c r="H449" s="141">
        <v>166056</v>
      </c>
      <c r="I449" s="141">
        <v>158576</v>
      </c>
      <c r="J449" s="141">
        <v>37400</v>
      </c>
      <c r="K449" s="141">
        <v>155584</v>
      </c>
      <c r="L449" s="141">
        <v>168300</v>
      </c>
      <c r="M449" s="141">
        <v>142120</v>
      </c>
      <c r="N449" s="141">
        <v>143616</v>
      </c>
      <c r="O449" s="141">
        <v>748</v>
      </c>
      <c r="P449" s="141">
        <v>1496</v>
      </c>
      <c r="Q449" s="141">
        <v>14212</v>
      </c>
      <c r="R449" s="178"/>
      <c r="T449" s="140">
        <f>SUM(C449:S449)</f>
        <v>1306008</v>
      </c>
      <c r="U449" s="138" t="s">
        <v>346</v>
      </c>
      <c r="V449" s="139"/>
      <c r="W449" s="137">
        <f>T449</f>
        <v>1306008</v>
      </c>
      <c r="X449" s="138" t="s">
        <v>346</v>
      </c>
      <c r="Y449" s="157"/>
      <c r="Z449" s="157"/>
    </row>
    <row r="450" spans="1:26" s="125" customFormat="1" x14ac:dyDescent="0.25">
      <c r="A450" s="461"/>
      <c r="B450" s="135" t="s">
        <v>347</v>
      </c>
      <c r="C450" s="606"/>
      <c r="D450" s="176"/>
      <c r="E450" s="176"/>
      <c r="F450" s="142">
        <v>6668.52</v>
      </c>
      <c r="G450" s="142">
        <v>4453.1899999999996</v>
      </c>
      <c r="H450" s="142">
        <v>3480.48</v>
      </c>
      <c r="I450" s="142">
        <v>4810.01</v>
      </c>
      <c r="J450" s="142">
        <v>6102.75</v>
      </c>
      <c r="K450" s="142">
        <v>5018.6099999999997</v>
      </c>
      <c r="L450" s="142">
        <v>4548.76</v>
      </c>
      <c r="M450" s="142">
        <v>3405.03</v>
      </c>
      <c r="N450" s="142">
        <v>2672.6</v>
      </c>
      <c r="O450" s="142">
        <v>2646.87</v>
      </c>
      <c r="P450" s="142">
        <v>2700.47</v>
      </c>
      <c r="Q450" s="142">
        <v>3046.58</v>
      </c>
      <c r="R450" s="176"/>
      <c r="T450" s="143">
        <f>SUM(C450:S450)</f>
        <v>49553.87</v>
      </c>
      <c r="U450" s="138"/>
      <c r="V450" s="139"/>
      <c r="W450" s="143">
        <f>T450</f>
        <v>49553.87</v>
      </c>
      <c r="X450" s="138"/>
      <c r="Y450" s="157"/>
      <c r="Z450" s="157"/>
    </row>
    <row r="451" spans="1:26" s="125" customFormat="1" ht="16.5" x14ac:dyDescent="0.35">
      <c r="A451" s="461"/>
      <c r="B451" s="144" t="s">
        <v>374</v>
      </c>
      <c r="C451" s="607"/>
      <c r="D451" s="179"/>
      <c r="E451" s="179"/>
      <c r="F451" s="145">
        <v>304.79000000000002</v>
      </c>
      <c r="G451" s="145">
        <v>293.11</v>
      </c>
      <c r="H451" s="145">
        <v>376.29</v>
      </c>
      <c r="I451" s="145">
        <v>328.45</v>
      </c>
      <c r="J451" s="145">
        <v>265.16000000000003</v>
      </c>
      <c r="K451" s="145">
        <v>472.82</v>
      </c>
      <c r="L451" s="145">
        <v>312.14999999999998</v>
      </c>
      <c r="M451" s="145">
        <v>325.25</v>
      </c>
      <c r="N451" s="145">
        <v>292.37</v>
      </c>
      <c r="O451" s="145">
        <v>360.44</v>
      </c>
      <c r="P451" s="145">
        <v>339.7</v>
      </c>
      <c r="Q451" s="145">
        <v>201.73</v>
      </c>
      <c r="R451" s="179"/>
      <c r="T451" s="143">
        <f>SUM(C451:S451)</f>
        <v>3872.2599999999998</v>
      </c>
      <c r="U451" s="138"/>
      <c r="V451" s="139"/>
      <c r="W451" s="146">
        <f>T451</f>
        <v>3872.2599999999998</v>
      </c>
      <c r="X451" s="138"/>
      <c r="Y451" s="157"/>
      <c r="Z451" s="157"/>
    </row>
    <row r="452" spans="1:26" x14ac:dyDescent="0.25">
      <c r="W452" s="143">
        <f>SUM(W450:W451)</f>
        <v>53426.130000000005</v>
      </c>
      <c r="X452" s="138"/>
    </row>
    <row r="454" spans="1:26" s="128" customFormat="1" x14ac:dyDescent="0.25">
      <c r="A454" s="459">
        <v>48</v>
      </c>
      <c r="B454" s="127" t="s">
        <v>631</v>
      </c>
      <c r="C454" s="173"/>
      <c r="S454" s="173"/>
      <c r="T454" s="127" t="s">
        <v>631</v>
      </c>
      <c r="W454" s="129"/>
      <c r="Y454" s="166"/>
      <c r="Z454" s="166"/>
    </row>
    <row r="455" spans="1:26" s="125" customFormat="1" x14ac:dyDescent="0.25">
      <c r="A455" s="461"/>
      <c r="B455" s="130" t="s">
        <v>337</v>
      </c>
      <c r="C455" s="186" t="s">
        <v>392</v>
      </c>
      <c r="D455" s="131">
        <v>41456</v>
      </c>
      <c r="E455" s="131">
        <v>41487</v>
      </c>
      <c r="F455" s="131">
        <v>41518</v>
      </c>
      <c r="G455" s="131">
        <v>41548</v>
      </c>
      <c r="H455" s="131">
        <v>41579</v>
      </c>
      <c r="I455" s="131">
        <v>41609</v>
      </c>
      <c r="J455" s="131">
        <v>41640</v>
      </c>
      <c r="K455" s="131">
        <v>41671</v>
      </c>
      <c r="L455" s="131">
        <v>41699</v>
      </c>
      <c r="M455" s="131">
        <v>41730</v>
      </c>
      <c r="N455" s="131">
        <v>41760</v>
      </c>
      <c r="O455" s="131">
        <v>41791</v>
      </c>
      <c r="P455" s="131">
        <v>41821</v>
      </c>
      <c r="Q455" s="131">
        <v>41852</v>
      </c>
      <c r="R455" s="131">
        <v>41896</v>
      </c>
      <c r="S455" s="132"/>
      <c r="T455" s="133" t="s">
        <v>338</v>
      </c>
      <c r="U455" s="134" t="s">
        <v>339</v>
      </c>
      <c r="V455" s="132"/>
      <c r="W455" s="133" t="s">
        <v>338</v>
      </c>
      <c r="X455" s="134" t="s">
        <v>339</v>
      </c>
      <c r="Y455" s="157"/>
      <c r="Z455" s="157"/>
    </row>
    <row r="456" spans="1:26" s="125" customFormat="1" x14ac:dyDescent="0.25">
      <c r="A456" s="461"/>
      <c r="B456" s="135" t="s">
        <v>340</v>
      </c>
      <c r="C456" s="606"/>
      <c r="D456" s="174"/>
      <c r="E456" s="174"/>
      <c r="F456" s="136"/>
      <c r="G456" s="136">
        <v>4380</v>
      </c>
      <c r="H456" s="136">
        <v>46500</v>
      </c>
      <c r="I456" s="136">
        <v>54900</v>
      </c>
      <c r="J456" s="136">
        <v>68700</v>
      </c>
      <c r="K456" s="136">
        <v>57300</v>
      </c>
      <c r="L456" s="136">
        <v>48000</v>
      </c>
      <c r="M456" s="136">
        <v>46395</v>
      </c>
      <c r="N456" s="136">
        <v>34365</v>
      </c>
      <c r="O456" s="136">
        <v>29364</v>
      </c>
      <c r="P456" s="136">
        <v>31741</v>
      </c>
      <c r="Q456" s="136">
        <v>39247</v>
      </c>
      <c r="R456" s="174"/>
      <c r="T456" s="140">
        <f>SUM(C456:S456)</f>
        <v>460892</v>
      </c>
      <c r="U456" s="138" t="s">
        <v>341</v>
      </c>
      <c r="V456" s="139"/>
      <c r="W456" s="140">
        <f>T456*3413/1000000</f>
        <v>1573.024396</v>
      </c>
      <c r="X456" s="138" t="s">
        <v>342</v>
      </c>
      <c r="Y456" s="157"/>
      <c r="Z456" s="157"/>
    </row>
    <row r="457" spans="1:26" s="125" customFormat="1" x14ac:dyDescent="0.25">
      <c r="A457" s="461"/>
      <c r="B457" s="135" t="s">
        <v>372</v>
      </c>
      <c r="C457" s="606"/>
      <c r="D457" s="174"/>
      <c r="E457" s="174"/>
      <c r="F457" s="136">
        <v>475</v>
      </c>
      <c r="G457" s="136">
        <v>461</v>
      </c>
      <c r="H457" s="136">
        <v>554</v>
      </c>
      <c r="I457" s="136">
        <v>531</v>
      </c>
      <c r="J457" s="136">
        <v>373</v>
      </c>
      <c r="K457" s="136">
        <v>812</v>
      </c>
      <c r="L457" s="136">
        <v>494</v>
      </c>
      <c r="M457" s="136">
        <v>617</v>
      </c>
      <c r="N457" s="136">
        <v>546</v>
      </c>
      <c r="O457" s="136">
        <v>88</v>
      </c>
      <c r="P457" s="136">
        <v>126</v>
      </c>
      <c r="Q457" s="136">
        <v>119</v>
      </c>
      <c r="R457" s="174"/>
      <c r="T457" s="140">
        <f>SUM(C457:S457)</f>
        <v>5196</v>
      </c>
      <c r="U457" s="138" t="s">
        <v>354</v>
      </c>
      <c r="V457" s="139"/>
      <c r="W457" s="140">
        <f>T457*99976.124488/1000000</f>
        <v>519.47594283964804</v>
      </c>
      <c r="X457" s="138" t="s">
        <v>342</v>
      </c>
      <c r="Y457" s="495">
        <f>W456+W457</f>
        <v>2092.5003388396481</v>
      </c>
      <c r="Z457" s="153" t="s">
        <v>677</v>
      </c>
    </row>
    <row r="458" spans="1:26" s="125" customFormat="1" x14ac:dyDescent="0.25">
      <c r="A458" s="461"/>
      <c r="B458" s="135" t="s">
        <v>345</v>
      </c>
      <c r="C458" s="606"/>
      <c r="D458" s="178"/>
      <c r="E458" s="178"/>
      <c r="F458" s="141">
        <v>139128</v>
      </c>
      <c r="G458" s="141">
        <v>178772</v>
      </c>
      <c r="H458" s="141">
        <v>166056</v>
      </c>
      <c r="I458" s="141">
        <v>158576</v>
      </c>
      <c r="J458" s="141">
        <v>37400</v>
      </c>
      <c r="K458" s="141">
        <v>155584</v>
      </c>
      <c r="L458" s="141">
        <v>168300</v>
      </c>
      <c r="M458" s="141">
        <v>142120</v>
      </c>
      <c r="N458" s="141">
        <v>143616</v>
      </c>
      <c r="O458" s="141">
        <v>748</v>
      </c>
      <c r="P458" s="141">
        <v>1496</v>
      </c>
      <c r="Q458" s="141">
        <v>14212</v>
      </c>
      <c r="R458" s="178"/>
      <c r="T458" s="140">
        <f>SUM(C458:S458)</f>
        <v>1306008</v>
      </c>
      <c r="U458" s="138" t="s">
        <v>346</v>
      </c>
      <c r="V458" s="139"/>
      <c r="W458" s="137">
        <f>T458</f>
        <v>1306008</v>
      </c>
      <c r="X458" s="138" t="s">
        <v>346</v>
      </c>
      <c r="Y458" s="157"/>
      <c r="Z458" s="157"/>
    </row>
    <row r="459" spans="1:26" s="125" customFormat="1" x14ac:dyDescent="0.25">
      <c r="A459" s="461"/>
      <c r="B459" s="135" t="s">
        <v>347</v>
      </c>
      <c r="C459" s="606"/>
      <c r="D459" s="176"/>
      <c r="E459" s="176"/>
      <c r="F459" s="142"/>
      <c r="G459" s="142">
        <v>4056.36</v>
      </c>
      <c r="H459" s="142">
        <v>4231.6099999999997</v>
      </c>
      <c r="I459" s="142">
        <v>4800.03</v>
      </c>
      <c r="J459" s="142">
        <v>5553.53</v>
      </c>
      <c r="K459" s="142">
        <v>4831.13</v>
      </c>
      <c r="L459" s="142">
        <v>4896.78</v>
      </c>
      <c r="M459" s="142">
        <v>4151.6000000000004</v>
      </c>
      <c r="N459" s="142">
        <v>3414.67</v>
      </c>
      <c r="O459" s="142">
        <v>3080.44</v>
      </c>
      <c r="P459" s="142">
        <v>3260.39</v>
      </c>
      <c r="Q459" s="142">
        <v>3731.22</v>
      </c>
      <c r="R459" s="176"/>
      <c r="T459" s="143">
        <f>SUM(C459:S459)</f>
        <v>46007.76</v>
      </c>
      <c r="U459" s="138"/>
      <c r="V459" s="139"/>
      <c r="W459" s="143">
        <f>T459</f>
        <v>46007.76</v>
      </c>
      <c r="X459" s="138"/>
      <c r="Y459" s="157"/>
      <c r="Z459" s="157"/>
    </row>
    <row r="460" spans="1:26" s="125" customFormat="1" ht="16.5" x14ac:dyDescent="0.35">
      <c r="A460" s="461"/>
      <c r="B460" s="144" t="s">
        <v>374</v>
      </c>
      <c r="C460" s="607"/>
      <c r="D460" s="179"/>
      <c r="E460" s="179"/>
      <c r="F460" s="145">
        <v>451.27</v>
      </c>
      <c r="G460" s="145">
        <v>438.69</v>
      </c>
      <c r="H460" s="145">
        <v>544.25</v>
      </c>
      <c r="I460" s="145">
        <v>512.16999999999996</v>
      </c>
      <c r="J460" s="145">
        <v>371.14</v>
      </c>
      <c r="K460" s="145">
        <v>779.07</v>
      </c>
      <c r="L460" s="145">
        <v>456.45</v>
      </c>
      <c r="M460" s="145">
        <v>533.64</v>
      </c>
      <c r="N460" s="145">
        <v>484.5</v>
      </c>
      <c r="O460" s="145">
        <v>101.29</v>
      </c>
      <c r="P460" s="145">
        <v>138.66999999999999</v>
      </c>
      <c r="Q460" s="145">
        <v>132.27000000000001</v>
      </c>
      <c r="R460" s="179"/>
      <c r="T460" s="143">
        <f>SUM(C460:S460)</f>
        <v>4943.4100000000008</v>
      </c>
      <c r="U460" s="138"/>
      <c r="V460" s="139"/>
      <c r="W460" s="146">
        <f>T460</f>
        <v>4943.4100000000008</v>
      </c>
      <c r="X460" s="138"/>
      <c r="Y460" s="157"/>
      <c r="Z460" s="157"/>
    </row>
    <row r="461" spans="1:26" x14ac:dyDescent="0.25">
      <c r="W461" s="143">
        <f>SUM(W459:W460)</f>
        <v>50951.170000000006</v>
      </c>
      <c r="X461" s="138"/>
    </row>
    <row r="463" spans="1:26" s="128" customFormat="1" x14ac:dyDescent="0.25">
      <c r="A463" s="459">
        <v>49</v>
      </c>
      <c r="B463" s="127" t="s">
        <v>632</v>
      </c>
      <c r="C463" s="602"/>
      <c r="T463" s="127" t="s">
        <v>632</v>
      </c>
      <c r="U463" s="129"/>
      <c r="X463" s="129"/>
      <c r="Y463" s="166"/>
      <c r="Z463" s="166"/>
    </row>
    <row r="464" spans="1:26" s="125" customFormat="1" x14ac:dyDescent="0.25">
      <c r="A464" s="461"/>
      <c r="B464" s="130" t="s">
        <v>337</v>
      </c>
      <c r="C464" s="186" t="s">
        <v>392</v>
      </c>
      <c r="D464" s="131">
        <v>41456</v>
      </c>
      <c r="E464" s="131">
        <v>41487</v>
      </c>
      <c r="F464" s="131">
        <v>41518</v>
      </c>
      <c r="G464" s="131">
        <v>41548</v>
      </c>
      <c r="H464" s="131">
        <v>41579</v>
      </c>
      <c r="I464" s="131">
        <v>41609</v>
      </c>
      <c r="J464" s="131">
        <v>41640</v>
      </c>
      <c r="K464" s="131">
        <v>41671</v>
      </c>
      <c r="L464" s="131">
        <v>41699</v>
      </c>
      <c r="M464" s="131">
        <v>41730</v>
      </c>
      <c r="N464" s="131">
        <v>41760</v>
      </c>
      <c r="O464" s="131">
        <v>41791</v>
      </c>
      <c r="P464" s="131">
        <v>41821</v>
      </c>
      <c r="Q464" s="131">
        <v>41852</v>
      </c>
      <c r="R464" s="131">
        <v>41896</v>
      </c>
      <c r="S464" s="132"/>
      <c r="T464" s="133" t="s">
        <v>338</v>
      </c>
      <c r="U464" s="134" t="s">
        <v>339</v>
      </c>
      <c r="V464" s="132"/>
      <c r="W464" s="133" t="s">
        <v>338</v>
      </c>
      <c r="X464" s="134" t="s">
        <v>339</v>
      </c>
      <c r="Y464" s="157"/>
      <c r="Z464" s="157"/>
    </row>
    <row r="465" spans="1:26" s="125" customFormat="1" x14ac:dyDescent="0.25">
      <c r="A465" s="461"/>
      <c r="B465" s="135" t="s">
        <v>340</v>
      </c>
      <c r="C465" s="606"/>
      <c r="D465" s="174"/>
      <c r="E465" s="174"/>
      <c r="F465" s="136">
        <v>83895.223255562392</v>
      </c>
      <c r="G465" s="136">
        <v>73064.487466422157</v>
      </c>
      <c r="H465" s="136">
        <v>66101.871601974868</v>
      </c>
      <c r="I465" s="136">
        <v>59826.921501917444</v>
      </c>
      <c r="J465" s="136">
        <v>70485.740849960202</v>
      </c>
      <c r="K465" s="136">
        <v>61889.918795087011</v>
      </c>
      <c r="L465" s="136">
        <v>69969.991526667814</v>
      </c>
      <c r="M465" s="136">
        <v>71775.11415819118</v>
      </c>
      <c r="N465" s="136">
        <v>80370.936213064386</v>
      </c>
      <c r="O465" s="136">
        <v>89654.424032327428</v>
      </c>
      <c r="P465" s="136">
        <v>88279.092503547712</v>
      </c>
      <c r="Q465" s="136">
        <v>95671.499470738665</v>
      </c>
      <c r="R465" s="174"/>
      <c r="T465" s="140">
        <f>SUM(C465:S465)</f>
        <v>910985.2213754612</v>
      </c>
      <c r="U465" s="138" t="s">
        <v>341</v>
      </c>
      <c r="V465" s="139"/>
      <c r="W465" s="140">
        <f>T465*3413/1000000</f>
        <v>3109.1925605544493</v>
      </c>
      <c r="X465" s="138" t="s">
        <v>342</v>
      </c>
      <c r="Y465" s="157"/>
      <c r="Z465" s="157"/>
    </row>
    <row r="466" spans="1:26" s="125" customFormat="1" x14ac:dyDescent="0.25">
      <c r="A466" s="461"/>
      <c r="B466" s="135" t="s">
        <v>372</v>
      </c>
      <c r="C466" s="612"/>
      <c r="D466" s="444"/>
      <c r="E466" s="456"/>
      <c r="F466" s="160">
        <v>2816.2533271272778</v>
      </c>
      <c r="G466" s="160">
        <v>3264.8754696954538</v>
      </c>
      <c r="H466" s="160">
        <v>4811.3877877006998</v>
      </c>
      <c r="I466" s="160">
        <v>5342.0395453339306</v>
      </c>
      <c r="J466" s="160">
        <v>6366.0304746327474</v>
      </c>
      <c r="K466" s="160">
        <v>5531.6029684665673</v>
      </c>
      <c r="L466" s="160">
        <v>5916.392035948722</v>
      </c>
      <c r="M466" s="160">
        <v>4097.2703836299333</v>
      </c>
      <c r="N466" s="160">
        <v>2461.4691925892735</v>
      </c>
      <c r="O466" s="160">
        <v>2605.2508954555142</v>
      </c>
      <c r="P466" s="160">
        <v>2559.6143603485252</v>
      </c>
      <c r="Q466" s="160">
        <v>2677.1659444152024</v>
      </c>
      <c r="R466" s="444"/>
      <c r="T466" s="140">
        <f>SUM(E466:Q466)</f>
        <v>48449.352385343853</v>
      </c>
      <c r="U466" s="138" t="s">
        <v>354</v>
      </c>
      <c r="V466" s="139"/>
      <c r="W466" s="140">
        <f>T466*99976.124488/1000000</f>
        <v>4843.778485440117</v>
      </c>
      <c r="X466" s="138" t="s">
        <v>342</v>
      </c>
      <c r="Y466" s="495">
        <f>W465+W466</f>
        <v>7952.9710459945663</v>
      </c>
      <c r="Z466" s="153" t="s">
        <v>677</v>
      </c>
    </row>
    <row r="467" spans="1:26" s="125" customFormat="1" x14ac:dyDescent="0.25">
      <c r="A467" s="461"/>
      <c r="B467" s="135" t="s">
        <v>345</v>
      </c>
      <c r="C467" s="606"/>
      <c r="D467" s="178"/>
      <c r="E467" s="178"/>
      <c r="F467" s="141">
        <v>16838.605500000001</v>
      </c>
      <c r="G467" s="141">
        <v>7278.5264999999999</v>
      </c>
      <c r="H467" s="141">
        <v>3523.3155000000002</v>
      </c>
      <c r="I467" s="141">
        <v>2842.59</v>
      </c>
      <c r="J467" s="141">
        <v>156132.99600000001</v>
      </c>
      <c r="K467" s="141">
        <v>178754.02799999999</v>
      </c>
      <c r="L467" s="141">
        <v>118296.62700000001</v>
      </c>
      <c r="M467" s="141">
        <v>210561.114</v>
      </c>
      <c r="N467" s="141">
        <v>17145.306</v>
      </c>
      <c r="O467" s="141">
        <v>161758.33199999999</v>
      </c>
      <c r="P467" s="141">
        <v>193146.51</v>
      </c>
      <c r="Q467" s="141">
        <v>309356.07750000001</v>
      </c>
      <c r="R467" s="178"/>
      <c r="T467" s="140">
        <f>SUM(C467:S467)</f>
        <v>1375634.0279999999</v>
      </c>
      <c r="U467" s="138" t="s">
        <v>346</v>
      </c>
      <c r="V467" s="139"/>
      <c r="W467" s="137">
        <f>T467</f>
        <v>1375634.0279999999</v>
      </c>
      <c r="X467" s="138" t="s">
        <v>346</v>
      </c>
      <c r="Y467" s="157"/>
      <c r="Z467" s="157"/>
    </row>
    <row r="468" spans="1:26" s="125" customFormat="1" x14ac:dyDescent="0.25">
      <c r="A468" s="461"/>
      <c r="B468" s="135" t="s">
        <v>347</v>
      </c>
      <c r="C468" s="606"/>
      <c r="D468" s="176"/>
      <c r="E468" s="176"/>
      <c r="F468" s="142">
        <v>6129.5312355354554</v>
      </c>
      <c r="G468" s="142">
        <v>4595.9983772924998</v>
      </c>
      <c r="H468" s="142">
        <v>4239.0162750819645</v>
      </c>
      <c r="I468" s="142">
        <v>3769.4126673998198</v>
      </c>
      <c r="J468" s="142">
        <v>4402.0217139825427</v>
      </c>
      <c r="K468" s="142">
        <v>4077.7323883207087</v>
      </c>
      <c r="L468" s="142">
        <v>4430.7198210040769</v>
      </c>
      <c r="M468" s="142">
        <v>4567.5323574664471</v>
      </c>
      <c r="N468" s="142">
        <v>5529.4702691635093</v>
      </c>
      <c r="O468" s="142">
        <v>6931.9464489011698</v>
      </c>
      <c r="P468" s="142">
        <v>6739.1244910205851</v>
      </c>
      <c r="Q468" s="142">
        <v>7418.8586993821418</v>
      </c>
      <c r="R468" s="176"/>
      <c r="T468" s="143">
        <f>SUM(C468:S468)</f>
        <v>62831.364744550934</v>
      </c>
      <c r="U468" s="138"/>
      <c r="V468" s="139"/>
      <c r="W468" s="143">
        <f>T468</f>
        <v>62831.364744550934</v>
      </c>
      <c r="X468" s="138"/>
      <c r="Y468" s="157"/>
      <c r="Z468" s="157"/>
    </row>
    <row r="469" spans="1:26" s="125" customFormat="1" ht="16.5" x14ac:dyDescent="0.35">
      <c r="A469" s="461"/>
      <c r="B469" s="144" t="s">
        <v>374</v>
      </c>
      <c r="C469" s="611"/>
      <c r="D469" s="444"/>
      <c r="E469" s="179"/>
      <c r="F469" s="145">
        <v>1428.7037562064179</v>
      </c>
      <c r="G469" s="145">
        <v>1615.8687205056483</v>
      </c>
      <c r="H469" s="145">
        <v>2596.8253167045846</v>
      </c>
      <c r="I469" s="145">
        <v>3008.4383102882771</v>
      </c>
      <c r="J469" s="145">
        <v>3752.1183165175325</v>
      </c>
      <c r="K469" s="145">
        <v>3907.6764716138205</v>
      </c>
      <c r="L469" s="145">
        <v>3531.1716693274407</v>
      </c>
      <c r="M469" s="145">
        <v>2432.3073014707484</v>
      </c>
      <c r="N469" s="145">
        <v>1545.4384317761642</v>
      </c>
      <c r="O469" s="145">
        <v>1515.5607778217613</v>
      </c>
      <c r="P469" s="145">
        <v>1433.9159034291356</v>
      </c>
      <c r="Q469" s="171">
        <v>1338.7668734095168</v>
      </c>
      <c r="R469" s="444"/>
      <c r="T469" s="143">
        <f>SUM(E469:Q469)</f>
        <v>28106.791849071047</v>
      </c>
      <c r="U469" s="138"/>
      <c r="V469" s="139"/>
      <c r="W469" s="146">
        <f>T469</f>
        <v>28106.791849071047</v>
      </c>
      <c r="X469" s="138"/>
      <c r="Y469" s="157"/>
      <c r="Z469" s="157"/>
    </row>
    <row r="470" spans="1:26" x14ac:dyDescent="0.25">
      <c r="W470" s="143">
        <f>SUM(W468:W468)</f>
        <v>62831.364744550934</v>
      </c>
      <c r="X470" s="138"/>
    </row>
    <row r="472" spans="1:26" s="460" customFormat="1" x14ac:dyDescent="0.25">
      <c r="A472" s="462">
        <v>50</v>
      </c>
      <c r="B472" s="460" t="s">
        <v>634</v>
      </c>
      <c r="C472" s="462"/>
      <c r="T472" s="460" t="s">
        <v>634</v>
      </c>
      <c r="Y472" s="666"/>
      <c r="Z472" s="666"/>
    </row>
    <row r="473" spans="1:26" s="125" customFormat="1" x14ac:dyDescent="0.25">
      <c r="A473" s="461"/>
      <c r="B473" s="130" t="s">
        <v>337</v>
      </c>
      <c r="C473" s="186" t="s">
        <v>392</v>
      </c>
      <c r="D473" s="131">
        <v>41456</v>
      </c>
      <c r="E473" s="131">
        <v>41487</v>
      </c>
      <c r="F473" s="131">
        <v>41518</v>
      </c>
      <c r="G473" s="131">
        <v>41548</v>
      </c>
      <c r="H473" s="131">
        <v>41579</v>
      </c>
      <c r="I473" s="131">
        <v>41609</v>
      </c>
      <c r="J473" s="131">
        <v>41640</v>
      </c>
      <c r="K473" s="131">
        <v>41671</v>
      </c>
      <c r="L473" s="131">
        <v>41699</v>
      </c>
      <c r="M473" s="131">
        <v>41730</v>
      </c>
      <c r="N473" s="131">
        <v>41760</v>
      </c>
      <c r="O473" s="131">
        <v>41791</v>
      </c>
      <c r="P473" s="131">
        <v>41821</v>
      </c>
      <c r="Q473" s="151">
        <v>41852</v>
      </c>
      <c r="R473" s="131">
        <v>41896</v>
      </c>
      <c r="S473" s="132"/>
      <c r="T473" s="133" t="s">
        <v>338</v>
      </c>
      <c r="U473" s="134" t="s">
        <v>339</v>
      </c>
      <c r="V473" s="132"/>
      <c r="W473" s="133" t="s">
        <v>338</v>
      </c>
      <c r="X473" s="134" t="s">
        <v>339</v>
      </c>
      <c r="Y473" s="157"/>
      <c r="Z473" s="157"/>
    </row>
    <row r="474" spans="1:26" s="125" customFormat="1" x14ac:dyDescent="0.25">
      <c r="A474" s="461"/>
      <c r="B474" s="135" t="s">
        <v>340</v>
      </c>
      <c r="C474" s="603"/>
      <c r="D474" s="136"/>
      <c r="E474" s="136"/>
      <c r="F474" s="136"/>
      <c r="G474" s="136"/>
      <c r="H474" s="136"/>
      <c r="I474" s="136"/>
      <c r="J474" s="136"/>
      <c r="K474" s="136"/>
      <c r="L474" s="136"/>
      <c r="M474" s="136"/>
      <c r="N474" s="136"/>
      <c r="O474" s="136"/>
      <c r="P474" s="136"/>
      <c r="Q474" s="434"/>
      <c r="R474" s="136"/>
      <c r="T474" s="140">
        <f>SUM(C474:S474)</f>
        <v>0</v>
      </c>
      <c r="U474" s="138" t="s">
        <v>341</v>
      </c>
      <c r="V474" s="139"/>
      <c r="W474" s="140">
        <f>T474*3413/1000000</f>
        <v>0</v>
      </c>
      <c r="X474" s="138" t="s">
        <v>342</v>
      </c>
      <c r="Y474" s="157"/>
      <c r="Z474" s="157"/>
    </row>
    <row r="475" spans="1:26" s="125" customFormat="1" x14ac:dyDescent="0.25">
      <c r="A475" s="461"/>
      <c r="B475" s="135" t="s">
        <v>372</v>
      </c>
      <c r="C475" s="603"/>
      <c r="D475" s="136"/>
      <c r="E475" s="136"/>
      <c r="F475" s="136"/>
      <c r="G475" s="136"/>
      <c r="H475" s="136"/>
      <c r="I475" s="136"/>
      <c r="J475" s="136"/>
      <c r="K475" s="136"/>
      <c r="L475" s="136"/>
      <c r="M475" s="136"/>
      <c r="N475" s="136"/>
      <c r="O475" s="136"/>
      <c r="P475" s="136"/>
      <c r="Q475" s="434"/>
      <c r="R475" s="136"/>
      <c r="T475" s="140">
        <f>SUM(C475:S475)</f>
        <v>0</v>
      </c>
      <c r="U475" s="138" t="s">
        <v>354</v>
      </c>
      <c r="V475" s="139"/>
      <c r="W475" s="140">
        <f>T475*99976.124488/1000000</f>
        <v>0</v>
      </c>
      <c r="X475" s="138" t="s">
        <v>342</v>
      </c>
      <c r="Y475" s="157"/>
      <c r="Z475" s="157"/>
    </row>
    <row r="476" spans="1:26" s="125" customFormat="1" x14ac:dyDescent="0.25">
      <c r="A476" s="461"/>
      <c r="B476" s="135" t="s">
        <v>366</v>
      </c>
      <c r="C476" s="603"/>
      <c r="D476" s="141"/>
      <c r="E476" s="141"/>
      <c r="F476" s="141"/>
      <c r="G476" s="141"/>
      <c r="H476" s="141"/>
      <c r="I476" s="141"/>
      <c r="J476" s="141"/>
      <c r="K476" s="141"/>
      <c r="L476" s="141"/>
      <c r="M476" s="141"/>
      <c r="N476" s="141"/>
      <c r="O476" s="141"/>
      <c r="P476" s="141"/>
      <c r="Q476" s="435"/>
      <c r="R476" s="141"/>
      <c r="T476" s="140">
        <f>SUM(C476:S476)</f>
        <v>0</v>
      </c>
      <c r="U476" s="138" t="s">
        <v>367</v>
      </c>
      <c r="V476" s="139"/>
      <c r="W476" s="137">
        <f>T476*7.48</f>
        <v>0</v>
      </c>
      <c r="X476" s="138" t="s">
        <v>346</v>
      </c>
      <c r="Y476" s="157"/>
      <c r="Z476" s="157"/>
    </row>
    <row r="477" spans="1:26" s="125" customFormat="1" x14ac:dyDescent="0.25">
      <c r="A477" s="461"/>
      <c r="B477" s="135" t="s">
        <v>347</v>
      </c>
      <c r="C477" s="603"/>
      <c r="D477" s="142"/>
      <c r="E477" s="142"/>
      <c r="F477" s="142"/>
      <c r="G477" s="142"/>
      <c r="H477" s="142"/>
      <c r="I477" s="142"/>
      <c r="J477" s="142"/>
      <c r="K477" s="142"/>
      <c r="L477" s="142"/>
      <c r="M477" s="142"/>
      <c r="N477" s="142"/>
      <c r="O477" s="142"/>
      <c r="P477" s="142"/>
      <c r="Q477" s="436"/>
      <c r="R477" s="142"/>
      <c r="T477" s="143">
        <f>SUM(C477:S477)</f>
        <v>0</v>
      </c>
      <c r="U477" s="138"/>
      <c r="V477" s="139"/>
      <c r="W477" s="143">
        <f>T477</f>
        <v>0</v>
      </c>
      <c r="X477" s="138"/>
      <c r="Y477" s="157"/>
      <c r="Z477" s="157"/>
    </row>
    <row r="478" spans="1:26" s="125" customFormat="1" ht="16.5" x14ac:dyDescent="0.35">
      <c r="A478" s="461"/>
      <c r="B478" s="144" t="s">
        <v>374</v>
      </c>
      <c r="C478" s="604"/>
      <c r="D478" s="145"/>
      <c r="E478" s="145"/>
      <c r="F478" s="145"/>
      <c r="G478" s="145"/>
      <c r="H478" s="145"/>
      <c r="I478" s="145"/>
      <c r="J478" s="145"/>
      <c r="K478" s="145"/>
      <c r="L478" s="145"/>
      <c r="M478" s="145"/>
      <c r="N478" s="145"/>
      <c r="O478" s="145"/>
      <c r="P478" s="145"/>
      <c r="Q478" s="437"/>
      <c r="R478" s="145"/>
      <c r="T478" s="143">
        <f>SUM(C478:S478)</f>
        <v>0</v>
      </c>
      <c r="U478" s="138"/>
      <c r="V478" s="139"/>
      <c r="W478" s="146">
        <f>T478</f>
        <v>0</v>
      </c>
      <c r="X478" s="138"/>
      <c r="Y478" s="157"/>
      <c r="Z478" s="157"/>
    </row>
    <row r="479" spans="1:26" x14ac:dyDescent="0.25">
      <c r="W479" s="143">
        <f>SUM(W477:W478)</f>
        <v>0</v>
      </c>
      <c r="X479" s="138"/>
    </row>
    <row r="481" spans="1:26" s="128" customFormat="1" x14ac:dyDescent="0.25">
      <c r="A481" s="459">
        <v>51</v>
      </c>
      <c r="B481" s="127" t="s">
        <v>635</v>
      </c>
      <c r="C481" s="602"/>
      <c r="T481" s="127" t="s">
        <v>635</v>
      </c>
      <c r="U481" s="129"/>
      <c r="X481" s="129"/>
      <c r="Y481" s="166"/>
      <c r="Z481" s="166"/>
    </row>
    <row r="482" spans="1:26" s="125" customFormat="1" x14ac:dyDescent="0.25">
      <c r="A482" s="461"/>
      <c r="B482" s="130" t="s">
        <v>337</v>
      </c>
      <c r="C482" s="186" t="s">
        <v>392</v>
      </c>
      <c r="D482" s="151">
        <v>41456</v>
      </c>
      <c r="E482" s="131">
        <v>41487</v>
      </c>
      <c r="F482" s="131">
        <v>41518</v>
      </c>
      <c r="G482" s="131">
        <v>41548</v>
      </c>
      <c r="H482" s="151">
        <v>41579</v>
      </c>
      <c r="I482" s="131">
        <v>41609</v>
      </c>
      <c r="J482" s="560">
        <v>41640</v>
      </c>
      <c r="K482" s="131">
        <v>41671</v>
      </c>
      <c r="L482" s="131">
        <v>41699</v>
      </c>
      <c r="M482" s="131">
        <v>41730</v>
      </c>
      <c r="N482" s="131">
        <v>41760</v>
      </c>
      <c r="O482" s="131">
        <v>41791</v>
      </c>
      <c r="P482" s="131">
        <v>41821</v>
      </c>
      <c r="Q482" s="131">
        <v>41852</v>
      </c>
      <c r="R482" s="131">
        <v>41896</v>
      </c>
      <c r="S482" s="132"/>
      <c r="T482" s="133" t="s">
        <v>338</v>
      </c>
      <c r="U482" s="134" t="s">
        <v>339</v>
      </c>
      <c r="V482" s="132"/>
      <c r="W482" s="133" t="s">
        <v>338</v>
      </c>
      <c r="X482" s="134" t="s">
        <v>339</v>
      </c>
      <c r="Y482" s="157"/>
      <c r="Z482" s="157"/>
    </row>
    <row r="483" spans="1:26" s="125" customFormat="1" x14ac:dyDescent="0.25">
      <c r="A483" s="461"/>
      <c r="B483" s="135" t="s">
        <v>340</v>
      </c>
      <c r="C483" s="606"/>
      <c r="D483" s="174"/>
      <c r="E483" s="174"/>
      <c r="F483" s="174"/>
      <c r="G483" s="174"/>
      <c r="H483" s="174"/>
      <c r="I483" s="136">
        <v>49565</v>
      </c>
      <c r="J483" s="136">
        <v>35870</v>
      </c>
      <c r="K483" s="136">
        <v>26238</v>
      </c>
      <c r="L483" s="136">
        <v>36303</v>
      </c>
      <c r="M483" s="136">
        <v>32906</v>
      </c>
      <c r="N483" s="136">
        <v>35271</v>
      </c>
      <c r="O483" s="136">
        <v>33773</v>
      </c>
      <c r="P483" s="136">
        <v>44401</v>
      </c>
      <c r="Q483" s="136">
        <v>25329</v>
      </c>
      <c r="R483" s="174"/>
      <c r="T483" s="140">
        <f>SUM(C483:S483)</f>
        <v>319656</v>
      </c>
      <c r="U483" s="138" t="s">
        <v>341</v>
      </c>
      <c r="V483" s="139"/>
      <c r="W483" s="140">
        <f>T483*3413/1000000</f>
        <v>1090.9859280000001</v>
      </c>
      <c r="X483" s="138" t="s">
        <v>342</v>
      </c>
      <c r="Y483" s="157"/>
      <c r="Z483" s="157"/>
    </row>
    <row r="484" spans="1:26" s="125" customFormat="1" x14ac:dyDescent="0.25">
      <c r="A484" s="461"/>
      <c r="B484" s="135" t="s">
        <v>343</v>
      </c>
      <c r="C484" s="606"/>
      <c r="D484" s="174"/>
      <c r="E484" s="174"/>
      <c r="F484" s="174"/>
      <c r="G484" s="174"/>
      <c r="H484" s="174"/>
      <c r="I484" s="136"/>
      <c r="J484" s="136"/>
      <c r="K484" s="136"/>
      <c r="L484" s="136"/>
      <c r="M484" s="136"/>
      <c r="N484" s="136"/>
      <c r="O484" s="136"/>
      <c r="P484" s="136"/>
      <c r="Q484" s="136"/>
      <c r="R484" s="174"/>
      <c r="T484" s="140">
        <f>SUM(C484:S484)</f>
        <v>0</v>
      </c>
      <c r="U484" s="138" t="s">
        <v>344</v>
      </c>
      <c r="V484" s="139"/>
      <c r="W484" s="140">
        <f>T484/1000</f>
        <v>0</v>
      </c>
      <c r="X484" s="138" t="s">
        <v>342</v>
      </c>
      <c r="Y484" s="157"/>
      <c r="Z484" s="157"/>
    </row>
    <row r="485" spans="1:26" s="125" customFormat="1" x14ac:dyDescent="0.25">
      <c r="A485" s="461"/>
      <c r="B485" s="135" t="s">
        <v>372</v>
      </c>
      <c r="C485" s="612"/>
      <c r="D485" s="444"/>
      <c r="E485" s="456"/>
      <c r="F485" s="456"/>
      <c r="G485" s="456"/>
      <c r="H485" s="456"/>
      <c r="I485" s="160"/>
      <c r="J485" s="160"/>
      <c r="K485" s="160"/>
      <c r="L485" s="160"/>
      <c r="M485" s="160"/>
      <c r="N485" s="160"/>
      <c r="O485" s="160"/>
      <c r="P485" s="160"/>
      <c r="Q485" s="440"/>
      <c r="R485" s="444"/>
      <c r="T485" s="140">
        <f>SUM(E485:P485)</f>
        <v>0</v>
      </c>
      <c r="U485" s="138" t="s">
        <v>354</v>
      </c>
      <c r="V485" s="139"/>
      <c r="W485" s="140">
        <f>T485*99976.124488/1000000</f>
        <v>0</v>
      </c>
      <c r="X485" s="138" t="s">
        <v>342</v>
      </c>
      <c r="Y485" s="495">
        <f>W483+W484+W485</f>
        <v>1090.9859280000001</v>
      </c>
      <c r="Z485" s="153" t="s">
        <v>342</v>
      </c>
    </row>
    <row r="486" spans="1:26" s="125" customFormat="1" x14ac:dyDescent="0.25">
      <c r="A486" s="461"/>
      <c r="B486" s="135" t="s">
        <v>345</v>
      </c>
      <c r="C486" s="606"/>
      <c r="D486" s="178"/>
      <c r="E486" s="178"/>
      <c r="F486" s="178"/>
      <c r="G486" s="178"/>
      <c r="H486" s="178"/>
      <c r="I486" s="141"/>
      <c r="J486" s="141"/>
      <c r="K486" s="141"/>
      <c r="L486" s="141"/>
      <c r="M486" s="141"/>
      <c r="N486" s="141"/>
      <c r="O486" s="141"/>
      <c r="P486" s="141"/>
      <c r="Q486" s="141"/>
      <c r="R486" s="178"/>
      <c r="T486" s="140">
        <f>SUM(C486:S486)</f>
        <v>0</v>
      </c>
      <c r="U486" s="138" t="s">
        <v>346</v>
      </c>
      <c r="V486" s="139"/>
      <c r="W486" s="137">
        <f>T486</f>
        <v>0</v>
      </c>
      <c r="X486" s="138" t="s">
        <v>346</v>
      </c>
      <c r="Y486" s="157"/>
      <c r="Z486" s="157"/>
    </row>
    <row r="487" spans="1:26" s="125" customFormat="1" x14ac:dyDescent="0.25">
      <c r="A487" s="461"/>
      <c r="B487" s="135" t="s">
        <v>347</v>
      </c>
      <c r="C487" s="606"/>
      <c r="D487" s="176"/>
      <c r="E487" s="176"/>
      <c r="F487" s="176"/>
      <c r="G487" s="176"/>
      <c r="H487" s="176"/>
      <c r="I487" s="142">
        <v>4659.1099999999997</v>
      </c>
      <c r="J487" s="142">
        <v>3371.78</v>
      </c>
      <c r="K487" s="142">
        <v>2466.3719999999998</v>
      </c>
      <c r="L487" s="142">
        <v>3412.482</v>
      </c>
      <c r="M487" s="142">
        <v>3093.1640000000002</v>
      </c>
      <c r="N487" s="142">
        <v>3315.4740000000002</v>
      </c>
      <c r="O487" s="142">
        <v>3174.6619999999998</v>
      </c>
      <c r="P487" s="142">
        <v>4173.6940000000004</v>
      </c>
      <c r="Q487" s="142">
        <v>2380.9259999999999</v>
      </c>
      <c r="R487" s="176"/>
      <c r="T487" s="143">
        <f>SUM(C487:S487)</f>
        <v>30047.663999999997</v>
      </c>
      <c r="U487" s="138"/>
      <c r="V487" s="139"/>
      <c r="W487" s="143">
        <f>T487</f>
        <v>30047.663999999997</v>
      </c>
      <c r="X487" s="138"/>
      <c r="Y487" s="157"/>
      <c r="Z487" s="157"/>
    </row>
    <row r="488" spans="1:26" s="125" customFormat="1" x14ac:dyDescent="0.25">
      <c r="A488" s="461"/>
      <c r="B488" s="144" t="s">
        <v>348</v>
      </c>
      <c r="C488" s="607"/>
      <c r="D488" s="179"/>
      <c r="E488" s="179"/>
      <c r="F488" s="179"/>
      <c r="G488" s="179"/>
      <c r="H488" s="179"/>
      <c r="I488" s="145"/>
      <c r="J488" s="145"/>
      <c r="K488" s="145"/>
      <c r="L488" s="145"/>
      <c r="M488" s="145"/>
      <c r="N488" s="145"/>
      <c r="O488" s="145"/>
      <c r="P488" s="145"/>
      <c r="Q488" s="145"/>
      <c r="R488" s="179"/>
      <c r="T488" s="143">
        <f>SUM(C488:S488)</f>
        <v>0</v>
      </c>
      <c r="U488" s="138"/>
      <c r="V488" s="139"/>
      <c r="W488" s="143">
        <f>T488</f>
        <v>0</v>
      </c>
      <c r="X488" s="138"/>
      <c r="Y488" s="157"/>
      <c r="Z488" s="157"/>
    </row>
    <row r="489" spans="1:26" s="125" customFormat="1" ht="16.5" x14ac:dyDescent="0.35">
      <c r="A489" s="461"/>
      <c r="B489" s="144" t="s">
        <v>374</v>
      </c>
      <c r="C489" s="611"/>
      <c r="D489" s="444"/>
      <c r="E489" s="179"/>
      <c r="F489" s="179"/>
      <c r="G489" s="179"/>
      <c r="H489" s="179"/>
      <c r="I489" s="145"/>
      <c r="J489" s="145"/>
      <c r="K489" s="145"/>
      <c r="L489" s="145"/>
      <c r="M489" s="145"/>
      <c r="N489" s="145"/>
      <c r="O489" s="145"/>
      <c r="P489" s="145"/>
      <c r="Q489" s="440"/>
      <c r="R489" s="444"/>
      <c r="T489" s="143">
        <f>SUM(E489:Q489)</f>
        <v>0</v>
      </c>
      <c r="U489" s="138"/>
      <c r="V489" s="139"/>
      <c r="W489" s="146">
        <f>T489</f>
        <v>0</v>
      </c>
      <c r="X489" s="138"/>
      <c r="Y489" s="157"/>
      <c r="Z489" s="157"/>
    </row>
    <row r="490" spans="1:26" x14ac:dyDescent="0.25">
      <c r="W490" s="143">
        <f>SUM(W487:W488)</f>
        <v>30047.663999999997</v>
      </c>
      <c r="X490" s="138"/>
    </row>
  </sheetData>
  <pageMargins left="0.7" right="0.7" top="0.75" bottom="0.75" header="0.3" footer="0.3"/>
  <pageSetup orientation="portrait" r:id="rId1"/>
  <ignoredErrors>
    <ignoredError sqref="T226" formulaRange="1"/>
    <ignoredError sqref="T105 W107 W79 W285 T407 T405 T40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CE855"/>
  <sheetViews>
    <sheetView topLeftCell="A451" zoomScale="89" zoomScaleNormal="89" workbookViewId="0">
      <selection activeCell="H93" sqref="H93"/>
    </sheetView>
  </sheetViews>
  <sheetFormatPr defaultRowHeight="12.75" x14ac:dyDescent="0.2"/>
  <cols>
    <col min="1" max="1" width="8.85546875" customWidth="1"/>
    <col min="2" max="2" width="14.42578125" customWidth="1"/>
    <col min="3" max="3" width="10.85546875" customWidth="1"/>
    <col min="4" max="4" width="15.5703125" customWidth="1"/>
    <col min="5" max="5" width="16.5703125" customWidth="1"/>
    <col min="6" max="6" width="13.28515625" customWidth="1"/>
    <col min="7" max="8" width="15.5703125" customWidth="1"/>
    <col min="9" max="13" width="12.28515625" bestFit="1" customWidth="1"/>
    <col min="14" max="14" width="13.5703125" bestFit="1" customWidth="1"/>
    <col min="15" max="15" width="15.7109375" customWidth="1"/>
    <col min="16" max="16" width="13" customWidth="1"/>
    <col min="21" max="21" width="10.42578125" bestFit="1" customWidth="1"/>
  </cols>
  <sheetData>
    <row r="1" spans="1:16307" s="788" customFormat="1" ht="20.25" x14ac:dyDescent="0.3">
      <c r="A1" s="786">
        <v>1</v>
      </c>
      <c r="B1" s="787" t="s">
        <v>336</v>
      </c>
      <c r="C1" s="787"/>
      <c r="U1" s="789"/>
      <c r="X1" s="789"/>
    </row>
    <row r="2" spans="1:16307" ht="37.15" customHeight="1" x14ac:dyDescent="0.2">
      <c r="A2" s="823" t="s">
        <v>887</v>
      </c>
    </row>
    <row r="3" spans="1:16307" ht="16.149999999999999" customHeight="1" x14ac:dyDescent="0.2">
      <c r="A3" s="2256" t="s">
        <v>888</v>
      </c>
      <c r="B3" s="2257"/>
      <c r="C3" s="2257"/>
      <c r="D3" s="2257"/>
      <c r="E3" s="2257"/>
      <c r="F3" s="2257"/>
      <c r="G3" s="2257"/>
      <c r="H3" s="2257"/>
      <c r="I3" s="2257"/>
      <c r="J3" s="2257"/>
      <c r="K3" s="2257"/>
      <c r="L3" s="2257"/>
      <c r="M3" s="2257"/>
      <c r="N3" s="2257"/>
      <c r="O3" s="2257"/>
      <c r="P3" s="2257"/>
      <c r="Q3" s="2257"/>
      <c r="R3" s="2257"/>
      <c r="S3" s="2257"/>
      <c r="T3" s="2257"/>
      <c r="U3" s="2257"/>
      <c r="V3" s="2257"/>
      <c r="W3" s="2257"/>
      <c r="X3" s="2257"/>
      <c r="Y3" s="2257"/>
      <c r="Z3" s="2257"/>
      <c r="AA3" s="2257"/>
      <c r="AB3" s="2257"/>
      <c r="AC3" s="2257"/>
      <c r="AD3" s="2257"/>
      <c r="AE3" s="2257"/>
      <c r="AF3" s="2257"/>
      <c r="AG3" s="2257"/>
      <c r="AH3" s="2257"/>
      <c r="AI3" s="2257"/>
      <c r="AJ3" s="2257"/>
      <c r="AK3" s="2257"/>
      <c r="AL3" s="2257"/>
      <c r="AM3" s="2257"/>
      <c r="AN3" s="2257"/>
      <c r="AO3" s="2257"/>
      <c r="AP3" s="2257"/>
      <c r="AQ3" s="2257"/>
      <c r="AR3" s="2257"/>
      <c r="AS3" s="2257"/>
      <c r="AT3" s="2257"/>
      <c r="AU3" s="2257"/>
      <c r="AV3" s="2257"/>
      <c r="AW3" s="2257"/>
      <c r="AX3" s="2257"/>
      <c r="AY3" s="2258"/>
    </row>
    <row r="4" spans="1:16307" s="94" customFormat="1" x14ac:dyDescent="0.2">
      <c r="A4" s="824" t="s">
        <v>654</v>
      </c>
      <c r="B4" s="825" t="s">
        <v>655</v>
      </c>
      <c r="C4" s="826">
        <v>40360</v>
      </c>
      <c r="D4" s="826">
        <v>40391</v>
      </c>
      <c r="E4" s="826">
        <v>40422</v>
      </c>
      <c r="F4" s="826">
        <v>40452</v>
      </c>
      <c r="G4" s="826">
        <v>40483</v>
      </c>
      <c r="H4" s="826">
        <v>40513</v>
      </c>
      <c r="I4" s="826">
        <v>40544</v>
      </c>
      <c r="J4" s="826">
        <v>40575</v>
      </c>
      <c r="K4" s="826">
        <v>40603</v>
      </c>
      <c r="L4" s="826">
        <v>40634</v>
      </c>
      <c r="M4" s="826">
        <v>40664</v>
      </c>
      <c r="N4" s="826">
        <v>40695</v>
      </c>
      <c r="O4" s="826">
        <v>40725</v>
      </c>
      <c r="P4" s="826">
        <v>40756</v>
      </c>
      <c r="Q4" s="826">
        <v>40787</v>
      </c>
      <c r="R4" s="826">
        <v>40817</v>
      </c>
      <c r="S4" s="826">
        <v>40848</v>
      </c>
      <c r="T4" s="826">
        <v>40878</v>
      </c>
      <c r="U4" s="826">
        <v>40909</v>
      </c>
      <c r="V4" s="826">
        <v>40940</v>
      </c>
      <c r="W4" s="826">
        <v>40969</v>
      </c>
      <c r="X4" s="826">
        <v>41000</v>
      </c>
      <c r="Y4" s="826">
        <v>41030</v>
      </c>
      <c r="Z4" s="826">
        <v>41061</v>
      </c>
      <c r="AA4" s="826">
        <v>41091</v>
      </c>
      <c r="AB4" s="826">
        <v>41122</v>
      </c>
      <c r="AC4" s="826">
        <v>41153</v>
      </c>
      <c r="AD4" s="826">
        <v>41183</v>
      </c>
      <c r="AE4" s="826">
        <v>41214</v>
      </c>
      <c r="AF4" s="826">
        <v>41244</v>
      </c>
      <c r="AG4" s="826">
        <v>41275</v>
      </c>
      <c r="AH4" s="826">
        <v>41306</v>
      </c>
      <c r="AI4" s="826">
        <v>41334</v>
      </c>
      <c r="AJ4" s="826">
        <v>41365</v>
      </c>
      <c r="AK4" s="826">
        <v>41395</v>
      </c>
      <c r="AL4" s="826">
        <v>41426</v>
      </c>
      <c r="AM4" s="826">
        <v>41456</v>
      </c>
      <c r="AN4" s="826">
        <v>41487</v>
      </c>
      <c r="AO4" s="826">
        <v>41518</v>
      </c>
      <c r="AP4" s="826">
        <v>41548</v>
      </c>
      <c r="AQ4" s="826">
        <v>41579</v>
      </c>
      <c r="AR4" s="826">
        <v>41609</v>
      </c>
      <c r="AS4" s="826">
        <v>41640</v>
      </c>
      <c r="AT4" s="826">
        <v>41671</v>
      </c>
      <c r="AU4" s="826">
        <v>41699</v>
      </c>
      <c r="AV4" s="826">
        <v>41730</v>
      </c>
      <c r="AW4" s="826">
        <v>41760</v>
      </c>
      <c r="AX4" s="826">
        <v>41791</v>
      </c>
      <c r="AY4" s="826">
        <v>41821</v>
      </c>
    </row>
    <row r="5" spans="1:16307" s="500" customFormat="1" x14ac:dyDescent="0.2">
      <c r="A5" s="827" t="s">
        <v>889</v>
      </c>
      <c r="B5" s="828" t="s">
        <v>890</v>
      </c>
      <c r="C5" s="829">
        <v>227800</v>
      </c>
      <c r="D5" s="829">
        <v>214280</v>
      </c>
      <c r="E5" s="829">
        <v>225000</v>
      </c>
      <c r="F5" s="829">
        <v>221480</v>
      </c>
      <c r="G5" s="829">
        <v>190120</v>
      </c>
      <c r="H5" s="829">
        <v>186400</v>
      </c>
      <c r="I5" s="829">
        <v>149800</v>
      </c>
      <c r="J5" s="829">
        <v>169880</v>
      </c>
      <c r="K5" s="829">
        <v>176080</v>
      </c>
      <c r="L5" s="829">
        <v>194280</v>
      </c>
      <c r="M5" s="829">
        <v>202520</v>
      </c>
      <c r="N5" s="829">
        <v>204080</v>
      </c>
      <c r="O5" s="829">
        <v>185200</v>
      </c>
      <c r="P5" s="829">
        <v>182360</v>
      </c>
      <c r="Q5" s="829">
        <v>221240</v>
      </c>
      <c r="R5" s="829">
        <v>184480</v>
      </c>
      <c r="S5" s="829">
        <v>192240</v>
      </c>
      <c r="T5" s="829">
        <v>159400</v>
      </c>
      <c r="U5" s="829">
        <v>93960</v>
      </c>
      <c r="V5" s="829">
        <v>150160</v>
      </c>
      <c r="W5" s="829">
        <v>161304.79999999999</v>
      </c>
      <c r="X5" s="829">
        <v>184936.24</v>
      </c>
      <c r="Y5" s="829">
        <v>200038.48</v>
      </c>
      <c r="Z5" s="829">
        <v>212508.96</v>
      </c>
      <c r="AA5" s="829">
        <v>164809.91999999998</v>
      </c>
      <c r="AB5" s="829">
        <v>171163.76</v>
      </c>
      <c r="AC5" s="829">
        <v>191234.64</v>
      </c>
      <c r="AD5" s="829">
        <v>181865.2</v>
      </c>
      <c r="AE5" s="829">
        <v>160043.51999999999</v>
      </c>
      <c r="AF5" s="829">
        <v>158691.04</v>
      </c>
      <c r="AG5" s="829">
        <v>162637.92000000001</v>
      </c>
      <c r="AH5" s="829">
        <v>156600.48000000001</v>
      </c>
      <c r="AI5" s="829">
        <v>163100.79999999999</v>
      </c>
      <c r="AJ5" s="829">
        <v>182870.39999999999</v>
      </c>
      <c r="AK5" s="829">
        <v>170412.48</v>
      </c>
      <c r="AL5" s="829">
        <v>195797.84</v>
      </c>
      <c r="AM5" s="829">
        <v>172848.4</v>
      </c>
      <c r="AN5" s="829">
        <v>181802.96</v>
      </c>
      <c r="AO5" s="829">
        <v>239736.72</v>
      </c>
      <c r="AP5" s="829">
        <v>193410.72</v>
      </c>
      <c r="AQ5" s="829">
        <v>167832.32000000001</v>
      </c>
      <c r="AR5" s="829">
        <v>158616.24</v>
      </c>
      <c r="AS5" s="829">
        <v>151638.48000000001</v>
      </c>
      <c r="AT5" s="829">
        <v>173009.88</v>
      </c>
      <c r="AU5" s="829">
        <v>145604.07999999999</v>
      </c>
      <c r="AV5" s="829">
        <v>167482.6</v>
      </c>
      <c r="AW5" s="829">
        <v>163268.20000000001</v>
      </c>
      <c r="AX5" s="829">
        <v>150024.64000000001</v>
      </c>
      <c r="AY5" s="829">
        <v>154229.68</v>
      </c>
    </row>
    <row r="6" spans="1:16307" s="500" customFormat="1" ht="12.75" customHeight="1" x14ac:dyDescent="0.2">
      <c r="A6" s="830">
        <v>315</v>
      </c>
      <c r="B6" s="831" t="s">
        <v>891</v>
      </c>
      <c r="C6" s="832">
        <v>30920</v>
      </c>
      <c r="D6" s="832">
        <v>42883</v>
      </c>
      <c r="E6" s="832">
        <v>87000</v>
      </c>
      <c r="F6" s="832">
        <v>89330</v>
      </c>
      <c r="G6" s="832">
        <v>74095</v>
      </c>
      <c r="H6" s="832">
        <v>65520</v>
      </c>
      <c r="I6" s="832">
        <v>51680</v>
      </c>
      <c r="J6" s="832">
        <v>65760</v>
      </c>
      <c r="K6" s="832">
        <v>67200</v>
      </c>
      <c r="L6" s="832">
        <v>67922</v>
      </c>
      <c r="M6" s="832">
        <v>67325</v>
      </c>
      <c r="N6" s="832">
        <v>54118</v>
      </c>
      <c r="O6" s="832">
        <v>61002</v>
      </c>
      <c r="P6" s="832">
        <v>47297</v>
      </c>
      <c r="Q6" s="832">
        <v>97209</v>
      </c>
      <c r="R6" s="832">
        <v>82790</v>
      </c>
      <c r="S6" s="832">
        <v>74640</v>
      </c>
      <c r="T6" s="832">
        <v>78640</v>
      </c>
      <c r="U6" s="832">
        <v>59040</v>
      </c>
      <c r="V6" s="832">
        <v>75280</v>
      </c>
      <c r="W6" s="832">
        <v>68445.600000000006</v>
      </c>
      <c r="X6" s="832">
        <v>81539.28</v>
      </c>
      <c r="Y6" s="832">
        <v>78760.56</v>
      </c>
      <c r="Z6" s="832">
        <v>70425.119999999995</v>
      </c>
      <c r="AA6" s="832">
        <v>83354.240000000005</v>
      </c>
      <c r="AB6" s="832">
        <v>95440.72</v>
      </c>
      <c r="AC6" s="832">
        <v>106644.08</v>
      </c>
      <c r="AD6" s="832">
        <v>90944.4</v>
      </c>
      <c r="AE6" s="832">
        <v>79893.440000000002</v>
      </c>
      <c r="AF6" s="832">
        <v>75534.880000000005</v>
      </c>
      <c r="AG6" s="832">
        <v>61110.239999999998</v>
      </c>
      <c r="AH6" s="832">
        <v>77534.559999999998</v>
      </c>
      <c r="AI6" s="832">
        <v>66657.600000000006</v>
      </c>
      <c r="AJ6" s="832">
        <v>76348.800000000003</v>
      </c>
      <c r="AK6" s="832">
        <v>74618.559999999998</v>
      </c>
      <c r="AL6" s="832">
        <v>100114.48</v>
      </c>
      <c r="AM6" s="832">
        <v>92674.8</v>
      </c>
      <c r="AN6" s="832">
        <v>96643.12</v>
      </c>
      <c r="AO6" s="832">
        <v>114833.84</v>
      </c>
      <c r="AP6" s="832">
        <v>95351.84</v>
      </c>
      <c r="AQ6" s="832">
        <v>74287.039999999994</v>
      </c>
      <c r="AR6" s="832">
        <v>71859.28</v>
      </c>
      <c r="AS6" s="832">
        <v>63800.56</v>
      </c>
      <c r="AT6" s="832">
        <v>84077.36</v>
      </c>
      <c r="AU6" s="832">
        <v>66297.759999999995</v>
      </c>
      <c r="AV6" s="832">
        <v>75581.2</v>
      </c>
      <c r="AW6" s="832">
        <v>80548.399999999994</v>
      </c>
      <c r="AX6" s="832">
        <v>73478.080000000002</v>
      </c>
      <c r="AY6" s="832">
        <v>82502.959999999992</v>
      </c>
    </row>
    <row r="7" spans="1:16307" s="500" customFormat="1" ht="12.75" customHeight="1" x14ac:dyDescent="0.2">
      <c r="A7" s="830" t="s">
        <v>892</v>
      </c>
      <c r="B7" s="831" t="s">
        <v>893</v>
      </c>
      <c r="C7" s="832">
        <v>0</v>
      </c>
      <c r="D7" s="832">
        <v>0</v>
      </c>
      <c r="E7" s="832">
        <v>0</v>
      </c>
      <c r="F7" s="832">
        <v>0</v>
      </c>
      <c r="G7" s="832">
        <v>0</v>
      </c>
      <c r="H7" s="832">
        <v>0</v>
      </c>
      <c r="I7" s="832">
        <v>0</v>
      </c>
      <c r="J7" s="832">
        <v>0</v>
      </c>
      <c r="K7" s="832">
        <v>0</v>
      </c>
      <c r="L7" s="832">
        <v>0</v>
      </c>
      <c r="M7" s="832">
        <v>0</v>
      </c>
      <c r="N7" s="832">
        <v>0</v>
      </c>
      <c r="O7" s="832">
        <v>0</v>
      </c>
      <c r="P7" s="832">
        <v>0</v>
      </c>
      <c r="Q7" s="832">
        <v>0</v>
      </c>
      <c r="R7" s="832">
        <v>0</v>
      </c>
      <c r="S7" s="832">
        <v>0</v>
      </c>
      <c r="T7" s="832">
        <v>0</v>
      </c>
      <c r="U7" s="832">
        <v>0</v>
      </c>
      <c r="V7" s="832">
        <v>0</v>
      </c>
      <c r="W7" s="832">
        <v>2649.6</v>
      </c>
      <c r="X7" s="832">
        <v>3444.48</v>
      </c>
      <c r="Y7" s="832">
        <v>4680.96</v>
      </c>
      <c r="Z7" s="832">
        <v>12305.92</v>
      </c>
      <c r="AA7" s="832">
        <v>75868.84</v>
      </c>
      <c r="AB7" s="832">
        <v>94233.51999999999</v>
      </c>
      <c r="AC7" s="832">
        <v>103495.28</v>
      </c>
      <c r="AD7" s="832">
        <v>93234.4</v>
      </c>
      <c r="AE7" s="832">
        <v>90349.04</v>
      </c>
      <c r="AF7" s="832">
        <v>82741.08</v>
      </c>
      <c r="AG7" s="832">
        <v>67491.839999999997</v>
      </c>
      <c r="AH7" s="832">
        <v>96344.960000000006</v>
      </c>
      <c r="AI7" s="832">
        <v>85841.600000000006</v>
      </c>
      <c r="AJ7" s="832">
        <v>96620.800000000003</v>
      </c>
      <c r="AK7" s="832">
        <v>94928.959999999992</v>
      </c>
      <c r="AL7" s="832">
        <v>110927.67999999999</v>
      </c>
      <c r="AM7" s="832">
        <v>86316.800000000003</v>
      </c>
      <c r="AN7" s="832">
        <v>107513.92</v>
      </c>
      <c r="AO7" s="832">
        <v>140709.44</v>
      </c>
      <c r="AP7" s="832">
        <v>116877.44</v>
      </c>
      <c r="AQ7" s="832">
        <v>96720.639999999999</v>
      </c>
      <c r="AR7" s="832">
        <v>88444.479999999996</v>
      </c>
      <c r="AS7" s="832">
        <v>70200.960000000006</v>
      </c>
      <c r="AT7" s="832">
        <v>106069.75999999999</v>
      </c>
      <c r="AU7" s="832">
        <v>76516.160000000003</v>
      </c>
      <c r="AV7" s="832">
        <v>90139.199999999997</v>
      </c>
      <c r="AW7" s="832">
        <v>97414.399999999994</v>
      </c>
      <c r="AX7" s="832">
        <v>90465.279999999999</v>
      </c>
      <c r="AY7" s="832">
        <v>92359.360000000001</v>
      </c>
    </row>
    <row r="8" spans="1:16307" s="501" customFormat="1" x14ac:dyDescent="0.2">
      <c r="A8" s="833" t="s">
        <v>889</v>
      </c>
      <c r="B8" s="834" t="s">
        <v>894</v>
      </c>
      <c r="C8" s="835">
        <v>15780.47</v>
      </c>
      <c r="D8" s="835">
        <v>14844.63</v>
      </c>
      <c r="E8" s="835">
        <v>15586.66</v>
      </c>
      <c r="F8" s="835">
        <v>15343</v>
      </c>
      <c r="G8" s="835">
        <v>13172.29</v>
      </c>
      <c r="H8" s="835">
        <v>12914.8</v>
      </c>
      <c r="I8" s="835">
        <v>11564.69</v>
      </c>
      <c r="J8" s="835">
        <v>14007.85</v>
      </c>
      <c r="K8" s="835">
        <v>14518.63</v>
      </c>
      <c r="L8" s="835">
        <v>16018.03</v>
      </c>
      <c r="M8" s="835">
        <v>16696.88</v>
      </c>
      <c r="N8" s="835">
        <v>16825.400000000001</v>
      </c>
      <c r="O8" s="835">
        <v>15269.98</v>
      </c>
      <c r="P8" s="835">
        <v>15036</v>
      </c>
      <c r="Q8" s="835">
        <v>18239.12</v>
      </c>
      <c r="R8" s="835">
        <v>15210.66</v>
      </c>
      <c r="S8" s="835">
        <v>15849.97</v>
      </c>
      <c r="T8" s="835">
        <v>13144.46</v>
      </c>
      <c r="U8" s="835">
        <v>7847.46</v>
      </c>
      <c r="V8" s="835">
        <v>13989.73</v>
      </c>
      <c r="W8" s="835">
        <v>14719.5</v>
      </c>
      <c r="X8" s="835">
        <v>17232.48158</v>
      </c>
      <c r="Y8" s="835">
        <v>18638.24842</v>
      </c>
      <c r="Z8" s="835">
        <v>19799.03254</v>
      </c>
      <c r="AA8" s="835">
        <v>15359.055370000002</v>
      </c>
      <c r="AB8" s="835">
        <v>15950.503779999999</v>
      </c>
      <c r="AC8" s="835">
        <v>17818.75333</v>
      </c>
      <c r="AD8" s="835">
        <v>16946.622820000001</v>
      </c>
      <c r="AE8" s="835">
        <v>14915.3845</v>
      </c>
      <c r="AF8" s="835">
        <v>14789.492410000001</v>
      </c>
      <c r="AG8" s="835">
        <v>12597.11184</v>
      </c>
      <c r="AH8" s="835">
        <v>14489.810740000001</v>
      </c>
      <c r="AI8" s="835">
        <v>15087.03465</v>
      </c>
      <c r="AJ8" s="835">
        <v>16885.891930000002</v>
      </c>
      <c r="AK8" s="835">
        <v>15705.20253</v>
      </c>
      <c r="AL8" s="835">
        <v>17941.66691</v>
      </c>
      <c r="AM8" s="835">
        <v>15826.80602</v>
      </c>
      <c r="AN8" s="835">
        <v>16105.9043</v>
      </c>
      <c r="AO8" s="835">
        <v>21296.445209999998</v>
      </c>
      <c r="AP8" s="835">
        <v>17214.780039999998</v>
      </c>
      <c r="AQ8" s="835">
        <v>14999.84137</v>
      </c>
      <c r="AR8" s="835">
        <v>14213.246580000001</v>
      </c>
      <c r="AS8" s="835">
        <v>14023.096230000001</v>
      </c>
      <c r="AT8" s="835">
        <v>15671.561230000001</v>
      </c>
      <c r="AU8" s="835">
        <v>12939.797839999999</v>
      </c>
      <c r="AV8" s="835">
        <v>14853.098330000001</v>
      </c>
      <c r="AW8" s="835">
        <v>14424.69392</v>
      </c>
      <c r="AX8" s="835">
        <v>13218.781370000001</v>
      </c>
      <c r="AY8" s="835">
        <v>13631.797020000002</v>
      </c>
      <c r="AZ8" s="500"/>
      <c r="BA8" s="500"/>
      <c r="BB8" s="500"/>
      <c r="BC8" s="500"/>
      <c r="BD8" s="500"/>
      <c r="BE8" s="500"/>
      <c r="BF8" s="500"/>
      <c r="BG8" s="500"/>
      <c r="BH8" s="500"/>
      <c r="BI8" s="500"/>
      <c r="BJ8" s="500"/>
      <c r="BK8" s="500"/>
      <c r="BL8" s="500"/>
      <c r="BM8" s="500"/>
      <c r="BN8" s="500"/>
      <c r="BO8" s="500"/>
      <c r="BP8" s="500"/>
      <c r="BQ8" s="500"/>
      <c r="BR8" s="500"/>
      <c r="BS8" s="500"/>
      <c r="BT8" s="500"/>
      <c r="BU8" s="500"/>
      <c r="BV8" s="500"/>
      <c r="BW8" s="500"/>
      <c r="BX8" s="500"/>
      <c r="BY8" s="500"/>
      <c r="BZ8" s="500"/>
      <c r="CA8" s="500"/>
      <c r="CB8" s="500"/>
      <c r="CC8" s="500"/>
      <c r="CD8" s="500"/>
      <c r="CE8" s="500"/>
      <c r="CF8" s="500"/>
      <c r="CG8" s="500"/>
      <c r="CH8" s="500"/>
      <c r="CI8" s="500"/>
      <c r="CJ8" s="500"/>
      <c r="CK8" s="500"/>
      <c r="CL8" s="500"/>
      <c r="CM8" s="500"/>
      <c r="CN8" s="500"/>
      <c r="CO8" s="500"/>
      <c r="CP8" s="500"/>
      <c r="CQ8" s="500"/>
      <c r="CR8" s="500"/>
      <c r="CS8" s="500"/>
      <c r="CT8" s="500"/>
      <c r="CU8" s="500"/>
      <c r="CV8" s="500"/>
      <c r="CW8" s="500"/>
      <c r="CX8" s="500"/>
      <c r="CY8" s="500"/>
      <c r="CZ8" s="500"/>
      <c r="DA8" s="500"/>
      <c r="DB8" s="500"/>
      <c r="DC8" s="500"/>
      <c r="DD8" s="500"/>
      <c r="DE8" s="500"/>
      <c r="DF8" s="500"/>
      <c r="DG8" s="500"/>
      <c r="DH8" s="500"/>
      <c r="DI8" s="500"/>
      <c r="DJ8" s="500"/>
      <c r="DK8" s="500"/>
      <c r="DL8" s="500"/>
      <c r="DM8" s="500"/>
      <c r="DN8" s="500"/>
      <c r="DO8" s="500"/>
      <c r="DP8" s="500"/>
      <c r="DQ8" s="500"/>
      <c r="DR8" s="500"/>
      <c r="DS8" s="500"/>
      <c r="DT8" s="500"/>
      <c r="DU8" s="500"/>
      <c r="DV8" s="500"/>
      <c r="DW8" s="500"/>
      <c r="DX8" s="500"/>
      <c r="DY8" s="500"/>
      <c r="DZ8" s="500"/>
      <c r="EA8" s="500"/>
      <c r="EB8" s="500"/>
      <c r="EC8" s="500"/>
      <c r="ED8" s="500"/>
      <c r="EE8" s="500"/>
      <c r="EF8" s="500"/>
      <c r="EG8" s="500"/>
      <c r="EH8" s="500"/>
      <c r="EI8" s="500"/>
      <c r="EJ8" s="500"/>
      <c r="EK8" s="500"/>
      <c r="EL8" s="500"/>
      <c r="EM8" s="500"/>
      <c r="EN8" s="500"/>
      <c r="EO8" s="500"/>
      <c r="EP8" s="500"/>
      <c r="EQ8" s="500"/>
      <c r="ER8" s="500"/>
      <c r="ES8" s="500"/>
      <c r="ET8" s="500"/>
      <c r="EU8" s="500"/>
      <c r="EV8" s="500"/>
      <c r="EW8" s="500"/>
      <c r="EX8" s="500"/>
      <c r="EY8" s="500"/>
      <c r="EZ8" s="500"/>
      <c r="FA8" s="500"/>
      <c r="FB8" s="500"/>
      <c r="FC8" s="500"/>
      <c r="FD8" s="500"/>
      <c r="FE8" s="500"/>
      <c r="FF8" s="500"/>
      <c r="FG8" s="500"/>
      <c r="FH8" s="500"/>
      <c r="FI8" s="500"/>
      <c r="FJ8" s="500"/>
      <c r="FK8" s="500"/>
      <c r="FL8" s="500"/>
      <c r="FM8" s="500"/>
      <c r="FN8" s="500"/>
      <c r="FO8" s="500"/>
      <c r="FP8" s="500"/>
      <c r="FQ8" s="500"/>
      <c r="FR8" s="500"/>
      <c r="FS8" s="500"/>
      <c r="FT8" s="500"/>
      <c r="FU8" s="500"/>
      <c r="FV8" s="500"/>
      <c r="FW8" s="500"/>
      <c r="FX8" s="500"/>
      <c r="FY8" s="500"/>
      <c r="FZ8" s="500"/>
      <c r="GA8" s="500"/>
      <c r="GB8" s="500"/>
      <c r="GC8" s="500"/>
      <c r="GD8" s="500"/>
      <c r="GE8" s="500"/>
      <c r="GF8" s="500"/>
      <c r="GG8" s="500"/>
      <c r="GH8" s="500"/>
      <c r="GI8" s="500"/>
      <c r="GJ8" s="500"/>
      <c r="GK8" s="500"/>
      <c r="GL8" s="500"/>
      <c r="GM8" s="500"/>
      <c r="GN8" s="500"/>
      <c r="GO8" s="500"/>
      <c r="GP8" s="500"/>
      <c r="GQ8" s="500"/>
      <c r="GR8" s="500"/>
      <c r="GS8" s="500"/>
      <c r="GT8" s="500"/>
      <c r="GU8" s="500"/>
      <c r="GV8" s="500"/>
      <c r="GW8" s="500"/>
      <c r="GX8" s="500"/>
      <c r="GY8" s="500"/>
      <c r="GZ8" s="500"/>
      <c r="HA8" s="500"/>
      <c r="HB8" s="500"/>
      <c r="HC8" s="500"/>
      <c r="HD8" s="500"/>
      <c r="HE8" s="500"/>
      <c r="HF8" s="500"/>
      <c r="HG8" s="500"/>
      <c r="HH8" s="500"/>
      <c r="HI8" s="500"/>
      <c r="HJ8" s="500"/>
      <c r="HK8" s="500"/>
      <c r="HL8" s="500"/>
      <c r="HM8" s="500"/>
      <c r="HN8" s="500"/>
      <c r="HO8" s="500"/>
      <c r="HP8" s="500"/>
      <c r="HQ8" s="500"/>
      <c r="HR8" s="500"/>
      <c r="HS8" s="500"/>
      <c r="HT8" s="500"/>
      <c r="HU8" s="500"/>
      <c r="HV8" s="500"/>
      <c r="HW8" s="500"/>
      <c r="HX8" s="500"/>
      <c r="HY8" s="500"/>
      <c r="HZ8" s="500"/>
      <c r="IA8" s="500"/>
      <c r="IB8" s="500"/>
      <c r="IC8" s="500"/>
      <c r="ID8" s="500"/>
      <c r="IE8" s="500"/>
      <c r="IF8" s="500"/>
      <c r="IG8" s="500"/>
      <c r="IH8" s="500"/>
      <c r="II8" s="500"/>
      <c r="IJ8" s="500"/>
      <c r="IK8" s="500"/>
      <c r="IL8" s="500"/>
      <c r="IM8" s="500"/>
      <c r="IN8" s="500"/>
      <c r="IO8" s="500"/>
      <c r="IP8" s="500"/>
      <c r="IQ8" s="500"/>
      <c r="IR8" s="500"/>
      <c r="IS8" s="500"/>
      <c r="IT8" s="500"/>
      <c r="IU8" s="500"/>
      <c r="IV8" s="500"/>
      <c r="IW8" s="500"/>
      <c r="IX8" s="500"/>
      <c r="IY8" s="500"/>
      <c r="IZ8" s="500"/>
      <c r="JA8" s="500"/>
      <c r="JB8" s="500"/>
      <c r="JC8" s="500"/>
      <c r="JD8" s="500"/>
      <c r="JE8" s="500"/>
      <c r="JF8" s="500"/>
      <c r="JG8" s="500"/>
      <c r="JH8" s="500"/>
      <c r="JI8" s="500"/>
      <c r="JJ8" s="500"/>
      <c r="JK8" s="500"/>
      <c r="JL8" s="500"/>
      <c r="JM8" s="500"/>
      <c r="JN8" s="500"/>
      <c r="JO8" s="500"/>
      <c r="JP8" s="500"/>
      <c r="JQ8" s="500"/>
      <c r="JR8" s="500"/>
      <c r="JS8" s="500"/>
      <c r="JT8" s="500"/>
      <c r="JU8" s="500"/>
      <c r="JV8" s="500"/>
      <c r="JW8" s="500"/>
      <c r="JX8" s="500"/>
      <c r="JY8" s="500"/>
      <c r="JZ8" s="500"/>
      <c r="KA8" s="500"/>
      <c r="KB8" s="500"/>
      <c r="KC8" s="500"/>
      <c r="KD8" s="500"/>
      <c r="KE8" s="500"/>
      <c r="KF8" s="500"/>
      <c r="KG8" s="500"/>
      <c r="KH8" s="500"/>
      <c r="KI8" s="500"/>
      <c r="KJ8" s="500"/>
      <c r="KK8" s="500"/>
      <c r="KL8" s="500"/>
      <c r="KM8" s="500"/>
      <c r="KN8" s="500"/>
      <c r="KO8" s="500"/>
      <c r="KP8" s="500"/>
      <c r="KQ8" s="500"/>
      <c r="KR8" s="500"/>
      <c r="KS8" s="500"/>
      <c r="KT8" s="500"/>
      <c r="KU8" s="500"/>
      <c r="KV8" s="500"/>
      <c r="KW8" s="500"/>
      <c r="KX8" s="500"/>
      <c r="KY8" s="500"/>
      <c r="KZ8" s="500"/>
      <c r="LA8" s="500"/>
      <c r="LB8" s="500"/>
      <c r="LC8" s="500"/>
      <c r="LD8" s="500"/>
      <c r="LE8" s="500"/>
      <c r="LF8" s="500"/>
      <c r="LG8" s="500"/>
      <c r="LH8" s="500"/>
      <c r="LI8" s="500"/>
      <c r="LJ8" s="500"/>
      <c r="LK8" s="500"/>
      <c r="LL8" s="500"/>
      <c r="LM8" s="500"/>
      <c r="LN8" s="500"/>
      <c r="LO8" s="500"/>
      <c r="LP8" s="500"/>
      <c r="LQ8" s="500"/>
      <c r="LR8" s="500"/>
      <c r="LS8" s="500"/>
      <c r="LT8" s="500"/>
      <c r="LU8" s="500"/>
      <c r="LV8" s="500"/>
      <c r="LW8" s="500"/>
      <c r="LX8" s="500"/>
      <c r="LY8" s="500"/>
      <c r="LZ8" s="500"/>
      <c r="MA8" s="500"/>
      <c r="MB8" s="500"/>
      <c r="MC8" s="500"/>
      <c r="MD8" s="500"/>
      <c r="ME8" s="500"/>
      <c r="MF8" s="500"/>
      <c r="MG8" s="500"/>
      <c r="MH8" s="500"/>
      <c r="MI8" s="500"/>
      <c r="MJ8" s="500"/>
      <c r="MK8" s="500"/>
      <c r="ML8" s="500"/>
      <c r="MM8" s="500"/>
      <c r="MN8" s="500"/>
      <c r="MO8" s="500"/>
      <c r="MP8" s="500"/>
      <c r="MQ8" s="500"/>
      <c r="MR8" s="500"/>
      <c r="MS8" s="500"/>
      <c r="MT8" s="500"/>
      <c r="MU8" s="500"/>
      <c r="MV8" s="500"/>
      <c r="MW8" s="500"/>
      <c r="MX8" s="500"/>
      <c r="MY8" s="500"/>
      <c r="MZ8" s="500"/>
      <c r="NA8" s="500"/>
      <c r="NB8" s="500"/>
      <c r="NC8" s="500"/>
      <c r="ND8" s="500"/>
      <c r="NE8" s="500"/>
      <c r="NF8" s="500"/>
      <c r="NG8" s="500"/>
      <c r="NH8" s="500"/>
      <c r="NI8" s="500"/>
      <c r="NJ8" s="500"/>
      <c r="NK8" s="500"/>
      <c r="NL8" s="500"/>
      <c r="NM8" s="500"/>
      <c r="NN8" s="500"/>
      <c r="NO8" s="500"/>
      <c r="NP8" s="500"/>
      <c r="NQ8" s="500"/>
      <c r="NR8" s="500"/>
      <c r="NS8" s="500"/>
      <c r="NT8" s="500"/>
      <c r="NU8" s="500"/>
      <c r="NV8" s="500"/>
      <c r="NW8" s="500"/>
      <c r="NX8" s="500"/>
      <c r="NY8" s="500"/>
      <c r="NZ8" s="500"/>
      <c r="OA8" s="500"/>
      <c r="OB8" s="500"/>
      <c r="OC8" s="500"/>
      <c r="OD8" s="500"/>
      <c r="OE8" s="500"/>
      <c r="OF8" s="500"/>
      <c r="OG8" s="500"/>
      <c r="OH8" s="500"/>
      <c r="OI8" s="500"/>
      <c r="OJ8" s="500"/>
      <c r="OK8" s="500"/>
      <c r="OL8" s="500"/>
      <c r="OM8" s="500"/>
      <c r="ON8" s="500"/>
      <c r="OO8" s="500"/>
      <c r="OP8" s="500"/>
      <c r="OQ8" s="500"/>
      <c r="OR8" s="500"/>
      <c r="OS8" s="500"/>
      <c r="OT8" s="500"/>
      <c r="OU8" s="500"/>
      <c r="OV8" s="500"/>
      <c r="OW8" s="500"/>
      <c r="OX8" s="500"/>
      <c r="OY8" s="500"/>
      <c r="OZ8" s="500"/>
      <c r="PA8" s="500"/>
      <c r="PB8" s="500"/>
      <c r="PC8" s="500"/>
      <c r="PD8" s="500"/>
      <c r="PE8" s="500"/>
      <c r="PF8" s="500"/>
      <c r="PG8" s="500"/>
      <c r="PH8" s="500"/>
      <c r="PI8" s="500"/>
      <c r="PJ8" s="500"/>
      <c r="PK8" s="500"/>
      <c r="PL8" s="500"/>
      <c r="PM8" s="500"/>
      <c r="PN8" s="500"/>
      <c r="PO8" s="500"/>
      <c r="PP8" s="500"/>
      <c r="PQ8" s="500"/>
      <c r="PR8" s="500"/>
      <c r="PS8" s="500"/>
      <c r="PT8" s="500"/>
      <c r="PU8" s="500"/>
      <c r="PV8" s="500"/>
      <c r="PW8" s="500"/>
      <c r="PX8" s="500"/>
      <c r="PY8" s="500"/>
      <c r="PZ8" s="500"/>
      <c r="QA8" s="500"/>
      <c r="QB8" s="500"/>
      <c r="QC8" s="500"/>
      <c r="QD8" s="500"/>
      <c r="QE8" s="500"/>
      <c r="QF8" s="500"/>
      <c r="QG8" s="500"/>
      <c r="QH8" s="500"/>
      <c r="QI8" s="500"/>
      <c r="QJ8" s="500"/>
      <c r="QK8" s="500"/>
      <c r="QL8" s="500"/>
      <c r="QM8" s="500"/>
      <c r="QN8" s="500"/>
      <c r="QO8" s="500"/>
      <c r="QP8" s="500"/>
      <c r="QQ8" s="500"/>
      <c r="QR8" s="500"/>
      <c r="QS8" s="500"/>
      <c r="QT8" s="500"/>
      <c r="QU8" s="500"/>
      <c r="QV8" s="500"/>
      <c r="QW8" s="500"/>
      <c r="QX8" s="500"/>
      <c r="QY8" s="500"/>
      <c r="QZ8" s="500"/>
      <c r="RA8" s="500"/>
      <c r="RB8" s="500"/>
      <c r="RC8" s="500"/>
      <c r="RD8" s="500"/>
      <c r="RE8" s="500"/>
      <c r="RF8" s="500"/>
      <c r="RG8" s="500"/>
      <c r="RH8" s="500"/>
      <c r="RI8" s="500"/>
      <c r="RJ8" s="500"/>
      <c r="RK8" s="500"/>
      <c r="RL8" s="500"/>
      <c r="RM8" s="500"/>
      <c r="RN8" s="500"/>
      <c r="RO8" s="500"/>
      <c r="RP8" s="500"/>
      <c r="RQ8" s="500"/>
      <c r="RR8" s="500"/>
      <c r="RS8" s="500"/>
      <c r="RT8" s="500"/>
      <c r="RU8" s="500"/>
      <c r="RV8" s="500"/>
      <c r="RW8" s="500"/>
      <c r="RX8" s="500"/>
      <c r="RY8" s="500"/>
      <c r="RZ8" s="500"/>
      <c r="SA8" s="500"/>
      <c r="SB8" s="500"/>
      <c r="SC8" s="500"/>
      <c r="SD8" s="500"/>
      <c r="SE8" s="500"/>
      <c r="SF8" s="500"/>
      <c r="SG8" s="500"/>
      <c r="SH8" s="500"/>
      <c r="SI8" s="500"/>
      <c r="SJ8" s="500"/>
      <c r="SK8" s="500"/>
      <c r="SL8" s="500"/>
      <c r="SM8" s="500"/>
      <c r="SN8" s="500"/>
      <c r="SO8" s="500"/>
      <c r="SP8" s="500"/>
      <c r="SQ8" s="500"/>
      <c r="SR8" s="500"/>
      <c r="SS8" s="500"/>
      <c r="ST8" s="500"/>
      <c r="SU8" s="500"/>
      <c r="SV8" s="500"/>
      <c r="SW8" s="500"/>
      <c r="SX8" s="500"/>
      <c r="SY8" s="500"/>
      <c r="SZ8" s="500"/>
      <c r="TA8" s="500"/>
      <c r="TB8" s="500"/>
      <c r="TC8" s="500"/>
      <c r="TD8" s="500"/>
      <c r="TE8" s="500"/>
      <c r="TF8" s="500"/>
      <c r="TG8" s="500"/>
      <c r="TH8" s="500"/>
      <c r="TI8" s="500"/>
      <c r="TJ8" s="500"/>
      <c r="TK8" s="500"/>
      <c r="TL8" s="500"/>
      <c r="TM8" s="500"/>
      <c r="TN8" s="500"/>
      <c r="TO8" s="500"/>
      <c r="TP8" s="500"/>
      <c r="TQ8" s="500"/>
      <c r="TR8" s="500"/>
      <c r="TS8" s="500"/>
      <c r="TT8" s="500"/>
      <c r="TU8" s="500"/>
      <c r="TV8" s="500"/>
      <c r="TW8" s="500"/>
      <c r="TX8" s="500"/>
      <c r="TY8" s="500"/>
      <c r="TZ8" s="500"/>
      <c r="UA8" s="500"/>
      <c r="UB8" s="500"/>
      <c r="UC8" s="500"/>
      <c r="UD8" s="500"/>
      <c r="UE8" s="500"/>
      <c r="UF8" s="500"/>
      <c r="UG8" s="500"/>
      <c r="UH8" s="500"/>
      <c r="UI8" s="500"/>
      <c r="UJ8" s="500"/>
      <c r="UK8" s="500"/>
      <c r="UL8" s="500"/>
      <c r="UM8" s="500"/>
      <c r="UN8" s="500"/>
      <c r="UO8" s="500"/>
      <c r="UP8" s="500"/>
      <c r="UQ8" s="500"/>
      <c r="UR8" s="500"/>
      <c r="US8" s="500"/>
      <c r="UT8" s="500"/>
      <c r="UU8" s="500"/>
      <c r="UV8" s="500"/>
      <c r="UW8" s="500"/>
      <c r="UX8" s="500"/>
      <c r="UY8" s="500"/>
      <c r="UZ8" s="500"/>
      <c r="VA8" s="500"/>
      <c r="VB8" s="500"/>
      <c r="VC8" s="500"/>
      <c r="VD8" s="500"/>
      <c r="VE8" s="500"/>
      <c r="VF8" s="500"/>
      <c r="VG8" s="500"/>
      <c r="VH8" s="500"/>
      <c r="VI8" s="500"/>
      <c r="VJ8" s="500"/>
      <c r="VK8" s="500"/>
      <c r="VL8" s="500"/>
      <c r="VM8" s="500"/>
      <c r="VN8" s="500"/>
      <c r="VO8" s="500"/>
      <c r="VP8" s="500"/>
      <c r="VQ8" s="500"/>
      <c r="VR8" s="500"/>
      <c r="VS8" s="500"/>
      <c r="VT8" s="500"/>
      <c r="VU8" s="500"/>
      <c r="VV8" s="500"/>
      <c r="VW8" s="500"/>
      <c r="VX8" s="500"/>
      <c r="VY8" s="500"/>
      <c r="VZ8" s="500"/>
      <c r="WA8" s="500"/>
      <c r="WB8" s="500"/>
      <c r="WC8" s="500"/>
      <c r="WD8" s="500"/>
      <c r="WE8" s="500"/>
      <c r="WF8" s="500"/>
      <c r="WG8" s="500"/>
      <c r="WH8" s="500"/>
      <c r="WI8" s="500"/>
      <c r="WJ8" s="500"/>
      <c r="WK8" s="500"/>
      <c r="WL8" s="500"/>
      <c r="WM8" s="500"/>
      <c r="WN8" s="500"/>
      <c r="WO8" s="500"/>
      <c r="WP8" s="500"/>
      <c r="WQ8" s="500"/>
      <c r="WR8" s="500"/>
      <c r="WS8" s="500"/>
      <c r="WT8" s="500"/>
      <c r="WU8" s="500"/>
      <c r="WV8" s="500"/>
      <c r="WW8" s="500"/>
      <c r="WX8" s="500"/>
      <c r="WY8" s="500"/>
      <c r="WZ8" s="500"/>
      <c r="XA8" s="500"/>
      <c r="XB8" s="500"/>
      <c r="XC8" s="500"/>
      <c r="XD8" s="500"/>
      <c r="XE8" s="500"/>
      <c r="XF8" s="500"/>
      <c r="XG8" s="500"/>
      <c r="XH8" s="500"/>
      <c r="XI8" s="500"/>
      <c r="XJ8" s="500"/>
      <c r="XK8" s="500"/>
      <c r="XL8" s="500"/>
      <c r="XM8" s="500"/>
      <c r="XN8" s="500"/>
      <c r="XO8" s="500"/>
      <c r="XP8" s="500"/>
      <c r="XQ8" s="500"/>
      <c r="XR8" s="500"/>
      <c r="XS8" s="500"/>
      <c r="XT8" s="500"/>
      <c r="XU8" s="500"/>
      <c r="XV8" s="500"/>
      <c r="XW8" s="500"/>
      <c r="XX8" s="500"/>
      <c r="XY8" s="500"/>
      <c r="XZ8" s="500"/>
      <c r="YA8" s="500"/>
      <c r="YB8" s="500"/>
      <c r="YC8" s="500"/>
      <c r="YD8" s="500"/>
      <c r="YE8" s="500"/>
      <c r="YF8" s="500"/>
      <c r="YG8" s="500"/>
      <c r="YH8" s="500"/>
      <c r="YI8" s="500"/>
      <c r="YJ8" s="500"/>
      <c r="YK8" s="500"/>
      <c r="YL8" s="500"/>
      <c r="YM8" s="500"/>
      <c r="YN8" s="500"/>
      <c r="YO8" s="500"/>
      <c r="YP8" s="500"/>
      <c r="YQ8" s="500"/>
      <c r="YR8" s="500"/>
      <c r="YS8" s="500"/>
      <c r="YT8" s="500"/>
      <c r="YU8" s="500"/>
      <c r="YV8" s="500"/>
      <c r="YW8" s="500"/>
      <c r="YX8" s="500"/>
      <c r="YY8" s="500"/>
      <c r="YZ8" s="500"/>
      <c r="ZA8" s="500"/>
      <c r="ZB8" s="500"/>
      <c r="ZC8" s="500"/>
      <c r="ZD8" s="500"/>
      <c r="ZE8" s="500"/>
      <c r="ZF8" s="500"/>
      <c r="ZG8" s="500"/>
      <c r="ZH8" s="500"/>
      <c r="ZI8" s="500"/>
      <c r="ZJ8" s="500"/>
      <c r="ZK8" s="500"/>
      <c r="ZL8" s="500"/>
      <c r="ZM8" s="500"/>
      <c r="ZN8" s="500"/>
      <c r="ZO8" s="500"/>
      <c r="ZP8" s="500"/>
      <c r="ZQ8" s="500"/>
      <c r="ZR8" s="500"/>
      <c r="ZS8" s="500"/>
      <c r="ZT8" s="500"/>
      <c r="ZU8" s="500"/>
      <c r="ZV8" s="500"/>
      <c r="ZW8" s="500"/>
      <c r="ZX8" s="500"/>
      <c r="ZY8" s="500"/>
      <c r="ZZ8" s="500"/>
      <c r="AAA8" s="500"/>
      <c r="AAB8" s="500"/>
      <c r="AAC8" s="500"/>
      <c r="AAD8" s="500"/>
      <c r="AAE8" s="500"/>
      <c r="AAF8" s="500"/>
      <c r="AAG8" s="500"/>
      <c r="AAH8" s="500"/>
      <c r="AAI8" s="500"/>
      <c r="AAJ8" s="500"/>
      <c r="AAK8" s="500"/>
      <c r="AAL8" s="500"/>
      <c r="AAM8" s="500"/>
      <c r="AAN8" s="500"/>
      <c r="AAO8" s="500"/>
      <c r="AAP8" s="500"/>
      <c r="AAQ8" s="500"/>
      <c r="AAR8" s="500"/>
      <c r="AAS8" s="500"/>
      <c r="AAT8" s="500"/>
      <c r="AAU8" s="500"/>
      <c r="AAV8" s="500"/>
      <c r="AAW8" s="500"/>
      <c r="AAX8" s="500"/>
      <c r="AAY8" s="500"/>
      <c r="AAZ8" s="500"/>
      <c r="ABA8" s="500"/>
      <c r="ABB8" s="500"/>
      <c r="ABC8" s="500"/>
      <c r="ABD8" s="500"/>
      <c r="ABE8" s="500"/>
      <c r="ABF8" s="500"/>
      <c r="ABG8" s="500"/>
      <c r="ABH8" s="500"/>
      <c r="ABI8" s="500"/>
      <c r="ABJ8" s="500"/>
      <c r="ABK8" s="500"/>
      <c r="ABL8" s="500"/>
      <c r="ABM8" s="500"/>
      <c r="ABN8" s="500"/>
      <c r="ABO8" s="500"/>
      <c r="ABP8" s="500"/>
      <c r="ABQ8" s="500"/>
      <c r="ABR8" s="500"/>
      <c r="ABS8" s="500"/>
      <c r="ABT8" s="500"/>
      <c r="ABU8" s="500"/>
      <c r="ABV8" s="500"/>
      <c r="ABW8" s="500"/>
      <c r="ABX8" s="500"/>
      <c r="ABY8" s="500"/>
      <c r="ABZ8" s="500"/>
      <c r="ACA8" s="500"/>
      <c r="ACB8" s="500"/>
      <c r="ACC8" s="500"/>
      <c r="ACD8" s="500"/>
      <c r="ACE8" s="500"/>
      <c r="ACF8" s="500"/>
      <c r="ACG8" s="500"/>
      <c r="ACH8" s="500"/>
      <c r="ACI8" s="500"/>
      <c r="ACJ8" s="500"/>
      <c r="ACK8" s="500"/>
      <c r="ACL8" s="500"/>
      <c r="ACM8" s="500"/>
      <c r="ACN8" s="500"/>
      <c r="ACO8" s="500"/>
      <c r="ACP8" s="500"/>
      <c r="ACQ8" s="500"/>
      <c r="ACR8" s="500"/>
      <c r="ACS8" s="500"/>
      <c r="ACT8" s="500"/>
      <c r="ACU8" s="500"/>
      <c r="ACV8" s="500"/>
      <c r="ACW8" s="500"/>
      <c r="ACX8" s="500"/>
      <c r="ACY8" s="500"/>
      <c r="ACZ8" s="500"/>
      <c r="ADA8" s="500"/>
      <c r="ADB8" s="500"/>
      <c r="ADC8" s="500"/>
      <c r="ADD8" s="500"/>
      <c r="ADE8" s="500"/>
      <c r="ADF8" s="500"/>
      <c r="ADG8" s="500"/>
      <c r="ADH8" s="500"/>
      <c r="ADI8" s="500"/>
      <c r="ADJ8" s="500"/>
      <c r="ADK8" s="500"/>
      <c r="ADL8" s="500"/>
      <c r="ADM8" s="500"/>
      <c r="ADN8" s="500"/>
      <c r="ADO8" s="500"/>
      <c r="ADP8" s="500"/>
      <c r="ADQ8" s="500"/>
      <c r="ADR8" s="500"/>
      <c r="ADS8" s="500"/>
      <c r="ADT8" s="500"/>
      <c r="ADU8" s="500"/>
      <c r="ADV8" s="500"/>
      <c r="ADW8" s="500"/>
      <c r="ADX8" s="500"/>
      <c r="ADY8" s="500"/>
      <c r="ADZ8" s="500"/>
      <c r="AEA8" s="500"/>
      <c r="AEB8" s="500"/>
      <c r="AEC8" s="500"/>
      <c r="AED8" s="500"/>
      <c r="AEE8" s="500"/>
      <c r="AEF8" s="500"/>
      <c r="AEG8" s="500"/>
      <c r="AEH8" s="500"/>
      <c r="AEI8" s="500"/>
      <c r="AEJ8" s="500"/>
      <c r="AEK8" s="500"/>
      <c r="AEL8" s="500"/>
      <c r="AEM8" s="500"/>
      <c r="AEN8" s="500"/>
      <c r="AEO8" s="500"/>
      <c r="AEP8" s="500"/>
      <c r="AEQ8" s="500"/>
      <c r="AER8" s="500"/>
      <c r="AES8" s="500"/>
      <c r="AET8" s="500"/>
      <c r="AEU8" s="500"/>
      <c r="AEV8" s="500"/>
      <c r="AEW8" s="500"/>
      <c r="AEX8" s="500"/>
      <c r="AEY8" s="500"/>
      <c r="AEZ8" s="500"/>
      <c r="AFA8" s="500"/>
      <c r="AFB8" s="500"/>
      <c r="AFC8" s="500"/>
      <c r="AFD8" s="500"/>
      <c r="AFE8" s="500"/>
      <c r="AFF8" s="500"/>
      <c r="AFG8" s="500"/>
      <c r="AFH8" s="500"/>
      <c r="AFI8" s="500"/>
      <c r="AFJ8" s="500"/>
      <c r="AFK8" s="500"/>
      <c r="AFL8" s="500"/>
      <c r="AFM8" s="500"/>
      <c r="AFN8" s="500"/>
      <c r="AFO8" s="500"/>
      <c r="AFP8" s="500"/>
      <c r="AFQ8" s="500"/>
      <c r="AFR8" s="500"/>
      <c r="AFS8" s="500"/>
      <c r="AFT8" s="500"/>
      <c r="AFU8" s="500"/>
      <c r="AFV8" s="500"/>
      <c r="AFW8" s="500"/>
      <c r="AFX8" s="500"/>
      <c r="AFY8" s="500"/>
      <c r="AFZ8" s="500"/>
      <c r="AGA8" s="500"/>
      <c r="AGB8" s="500"/>
      <c r="AGC8" s="500"/>
      <c r="AGD8" s="500"/>
      <c r="AGE8" s="500"/>
      <c r="AGF8" s="500"/>
      <c r="AGG8" s="500"/>
      <c r="AGH8" s="500"/>
      <c r="AGI8" s="500"/>
      <c r="AGJ8" s="500"/>
      <c r="AGK8" s="500"/>
      <c r="AGL8" s="500"/>
      <c r="AGM8" s="500"/>
      <c r="AGN8" s="500"/>
      <c r="AGO8" s="500"/>
      <c r="AGP8" s="500"/>
      <c r="AGQ8" s="500"/>
      <c r="AGR8" s="500"/>
      <c r="AGS8" s="500"/>
      <c r="AGT8" s="500"/>
      <c r="AGU8" s="500"/>
      <c r="AGV8" s="500"/>
      <c r="AGW8" s="500"/>
      <c r="AGX8" s="500"/>
      <c r="AGY8" s="500"/>
      <c r="AGZ8" s="500"/>
      <c r="AHA8" s="500"/>
      <c r="AHB8" s="500"/>
      <c r="AHC8" s="500"/>
      <c r="AHD8" s="500"/>
      <c r="AHE8" s="500"/>
      <c r="AHF8" s="500"/>
      <c r="AHG8" s="500"/>
      <c r="AHH8" s="500"/>
      <c r="AHI8" s="500"/>
      <c r="AHJ8" s="500"/>
      <c r="AHK8" s="500"/>
      <c r="AHL8" s="500"/>
      <c r="AHM8" s="500"/>
      <c r="AHN8" s="500"/>
      <c r="AHO8" s="500"/>
      <c r="AHP8" s="500"/>
      <c r="AHQ8" s="500"/>
      <c r="AHR8" s="500"/>
      <c r="AHS8" s="500"/>
      <c r="AHT8" s="500"/>
      <c r="AHU8" s="500"/>
      <c r="AHV8" s="500"/>
      <c r="AHW8" s="500"/>
      <c r="AHX8" s="500"/>
      <c r="AHY8" s="500"/>
      <c r="AHZ8" s="500"/>
      <c r="AIA8" s="500"/>
      <c r="AIB8" s="500"/>
      <c r="AIC8" s="500"/>
      <c r="AID8" s="500"/>
      <c r="AIE8" s="500"/>
      <c r="AIF8" s="500"/>
      <c r="AIG8" s="500"/>
      <c r="AIH8" s="500"/>
      <c r="AII8" s="500"/>
      <c r="AIJ8" s="500"/>
      <c r="AIK8" s="500"/>
      <c r="AIL8" s="500"/>
      <c r="AIM8" s="500"/>
      <c r="AIN8" s="500"/>
      <c r="AIO8" s="500"/>
      <c r="AIP8" s="500"/>
      <c r="AIQ8" s="500"/>
      <c r="AIR8" s="500"/>
      <c r="AIS8" s="500"/>
      <c r="AIT8" s="500"/>
      <c r="AIU8" s="500"/>
      <c r="AIV8" s="500"/>
      <c r="AIW8" s="500"/>
      <c r="AIX8" s="500"/>
      <c r="AIY8" s="500"/>
      <c r="AIZ8" s="500"/>
      <c r="AJA8" s="500"/>
      <c r="AJB8" s="500"/>
      <c r="AJC8" s="500"/>
      <c r="AJD8" s="500"/>
      <c r="AJE8" s="500"/>
      <c r="AJF8" s="500"/>
      <c r="AJG8" s="500"/>
      <c r="AJH8" s="500"/>
      <c r="AJI8" s="500"/>
      <c r="AJJ8" s="500"/>
      <c r="AJK8" s="500"/>
      <c r="AJL8" s="500"/>
      <c r="AJM8" s="500"/>
      <c r="AJN8" s="500"/>
      <c r="AJO8" s="500"/>
      <c r="AJP8" s="500"/>
      <c r="AJQ8" s="500"/>
      <c r="AJR8" s="500"/>
      <c r="AJS8" s="500"/>
      <c r="AJT8" s="500"/>
      <c r="AJU8" s="500"/>
      <c r="AJV8" s="500"/>
      <c r="AJW8" s="500"/>
      <c r="AJX8" s="500"/>
      <c r="AJY8" s="500"/>
      <c r="AJZ8" s="500"/>
      <c r="AKA8" s="500"/>
      <c r="AKB8" s="500"/>
      <c r="AKC8" s="500"/>
      <c r="AKD8" s="500"/>
      <c r="AKE8" s="500"/>
      <c r="AKF8" s="500"/>
      <c r="AKG8" s="500"/>
      <c r="AKH8" s="500"/>
      <c r="AKI8" s="500"/>
      <c r="AKJ8" s="500"/>
      <c r="AKK8" s="500"/>
      <c r="AKL8" s="500"/>
      <c r="AKM8" s="500"/>
      <c r="AKN8" s="500"/>
      <c r="AKO8" s="500"/>
      <c r="AKP8" s="500"/>
      <c r="AKQ8" s="500"/>
      <c r="AKR8" s="500"/>
      <c r="AKS8" s="500"/>
      <c r="AKT8" s="500"/>
      <c r="AKU8" s="500"/>
      <c r="AKV8" s="500"/>
      <c r="AKW8" s="500"/>
      <c r="AKX8" s="500"/>
      <c r="AKY8" s="500"/>
      <c r="AKZ8" s="500"/>
      <c r="ALA8" s="500"/>
      <c r="ALB8" s="500"/>
      <c r="ALC8" s="500"/>
      <c r="ALD8" s="500"/>
      <c r="ALE8" s="500"/>
      <c r="ALF8" s="500"/>
      <c r="ALG8" s="500"/>
      <c r="ALH8" s="500"/>
      <c r="ALI8" s="500"/>
      <c r="ALJ8" s="500"/>
      <c r="ALK8" s="500"/>
      <c r="ALL8" s="500"/>
      <c r="ALM8" s="500"/>
      <c r="ALN8" s="500"/>
      <c r="ALO8" s="500"/>
      <c r="ALP8" s="500"/>
      <c r="ALQ8" s="500"/>
      <c r="ALR8" s="500"/>
      <c r="ALS8" s="500"/>
      <c r="ALT8" s="500"/>
      <c r="ALU8" s="500"/>
      <c r="ALV8" s="500"/>
      <c r="ALW8" s="500"/>
      <c r="ALX8" s="500"/>
      <c r="ALY8" s="500"/>
      <c r="ALZ8" s="500"/>
      <c r="AMA8" s="500"/>
      <c r="AMB8" s="500"/>
      <c r="AMC8" s="500"/>
      <c r="AMD8" s="500"/>
      <c r="AME8" s="500"/>
      <c r="AMF8" s="500"/>
      <c r="AMG8" s="500"/>
      <c r="AMH8" s="500"/>
      <c r="AMI8" s="500"/>
      <c r="AMJ8" s="500"/>
      <c r="AMK8" s="500"/>
      <c r="AML8" s="500"/>
      <c r="AMM8" s="500"/>
      <c r="AMN8" s="500"/>
      <c r="AMO8" s="500"/>
      <c r="AMP8" s="500"/>
      <c r="AMQ8" s="500"/>
      <c r="AMR8" s="500"/>
      <c r="AMS8" s="500"/>
      <c r="AMT8" s="500"/>
      <c r="AMU8" s="500"/>
      <c r="AMV8" s="500"/>
      <c r="AMW8" s="500"/>
      <c r="AMX8" s="500"/>
      <c r="AMY8" s="500"/>
      <c r="AMZ8" s="500"/>
      <c r="ANA8" s="500"/>
      <c r="ANB8" s="500"/>
      <c r="ANC8" s="500"/>
      <c r="AND8" s="500"/>
      <c r="ANE8" s="500"/>
      <c r="ANF8" s="500"/>
      <c r="ANG8" s="500"/>
      <c r="ANH8" s="500"/>
      <c r="ANI8" s="500"/>
      <c r="ANJ8" s="500"/>
      <c r="ANK8" s="500"/>
      <c r="ANL8" s="500"/>
      <c r="ANM8" s="500"/>
      <c r="ANN8" s="500"/>
      <c r="ANO8" s="500"/>
      <c r="ANP8" s="500"/>
      <c r="ANQ8" s="500"/>
      <c r="ANR8" s="500"/>
      <c r="ANS8" s="500"/>
      <c r="ANT8" s="500"/>
      <c r="ANU8" s="500"/>
      <c r="ANV8" s="500"/>
      <c r="ANW8" s="500"/>
      <c r="ANX8" s="500"/>
      <c r="ANY8" s="500"/>
      <c r="ANZ8" s="500"/>
      <c r="AOA8" s="500"/>
      <c r="AOB8" s="500"/>
      <c r="AOC8" s="500"/>
      <c r="AOD8" s="500"/>
      <c r="AOE8" s="500"/>
      <c r="AOF8" s="500"/>
      <c r="AOG8" s="500"/>
      <c r="AOH8" s="500"/>
      <c r="AOI8" s="500"/>
      <c r="AOJ8" s="500"/>
      <c r="AOK8" s="500"/>
      <c r="AOL8" s="500"/>
      <c r="AOM8" s="500"/>
      <c r="AON8" s="500"/>
      <c r="AOO8" s="500"/>
      <c r="AOP8" s="500"/>
      <c r="AOQ8" s="500"/>
      <c r="AOR8" s="500"/>
      <c r="AOS8" s="500"/>
      <c r="AOT8" s="500"/>
      <c r="AOU8" s="500"/>
      <c r="AOV8" s="500"/>
      <c r="AOW8" s="500"/>
      <c r="AOX8" s="500"/>
      <c r="AOY8" s="500"/>
      <c r="AOZ8" s="500"/>
      <c r="APA8" s="500"/>
      <c r="APB8" s="500"/>
      <c r="APC8" s="500"/>
      <c r="APD8" s="500"/>
      <c r="APE8" s="500"/>
      <c r="APF8" s="500"/>
      <c r="APG8" s="500"/>
      <c r="APH8" s="500"/>
      <c r="API8" s="500"/>
      <c r="APJ8" s="500"/>
      <c r="APK8" s="500"/>
      <c r="APL8" s="500"/>
      <c r="APM8" s="500"/>
      <c r="APN8" s="500"/>
      <c r="APO8" s="500"/>
      <c r="APP8" s="500"/>
      <c r="APQ8" s="500"/>
      <c r="APR8" s="500"/>
      <c r="APS8" s="500"/>
      <c r="APT8" s="500"/>
      <c r="APU8" s="500"/>
      <c r="APV8" s="500"/>
      <c r="APW8" s="500"/>
      <c r="APX8" s="500"/>
      <c r="APY8" s="500"/>
      <c r="APZ8" s="500"/>
      <c r="AQA8" s="500"/>
      <c r="AQB8" s="500"/>
      <c r="AQC8" s="500"/>
      <c r="AQD8" s="500"/>
      <c r="AQE8" s="500"/>
      <c r="AQF8" s="500"/>
      <c r="AQG8" s="500"/>
      <c r="AQH8" s="500"/>
      <c r="AQI8" s="500"/>
      <c r="AQJ8" s="500"/>
      <c r="AQK8" s="500"/>
      <c r="AQL8" s="500"/>
      <c r="AQM8" s="500"/>
      <c r="AQN8" s="500"/>
      <c r="AQO8" s="500"/>
      <c r="AQP8" s="500"/>
      <c r="AQQ8" s="500"/>
      <c r="AQR8" s="500"/>
      <c r="AQS8" s="500"/>
      <c r="AQT8" s="500"/>
      <c r="AQU8" s="500"/>
      <c r="AQV8" s="500"/>
      <c r="AQW8" s="500"/>
      <c r="AQX8" s="500"/>
      <c r="AQY8" s="500"/>
      <c r="AQZ8" s="500"/>
      <c r="ARA8" s="500"/>
      <c r="ARB8" s="500"/>
      <c r="ARC8" s="500"/>
      <c r="ARD8" s="500"/>
      <c r="ARE8" s="500"/>
      <c r="ARF8" s="500"/>
      <c r="ARG8" s="500"/>
      <c r="ARH8" s="500"/>
      <c r="ARI8" s="500"/>
      <c r="ARJ8" s="500"/>
      <c r="ARK8" s="500"/>
      <c r="ARL8" s="500"/>
      <c r="ARM8" s="500"/>
      <c r="ARN8" s="500"/>
      <c r="ARO8" s="500"/>
      <c r="ARP8" s="500"/>
      <c r="ARQ8" s="500"/>
      <c r="ARR8" s="500"/>
      <c r="ARS8" s="500"/>
      <c r="ART8" s="500"/>
      <c r="ARU8" s="500"/>
      <c r="ARV8" s="500"/>
      <c r="ARW8" s="500"/>
      <c r="ARX8" s="500"/>
      <c r="ARY8" s="500"/>
      <c r="ARZ8" s="500"/>
      <c r="ASA8" s="500"/>
      <c r="ASB8" s="500"/>
      <c r="ASC8" s="500"/>
      <c r="ASD8" s="500"/>
      <c r="ASE8" s="500"/>
      <c r="ASF8" s="500"/>
      <c r="ASG8" s="500"/>
      <c r="ASH8" s="500"/>
      <c r="ASI8" s="500"/>
      <c r="ASJ8" s="500"/>
      <c r="ASK8" s="500"/>
      <c r="ASL8" s="500"/>
      <c r="ASM8" s="500"/>
      <c r="ASN8" s="500"/>
      <c r="ASO8" s="500"/>
      <c r="ASP8" s="500"/>
      <c r="ASQ8" s="500"/>
      <c r="ASR8" s="500"/>
      <c r="ASS8" s="500"/>
      <c r="AST8" s="500"/>
      <c r="ASU8" s="500"/>
      <c r="ASV8" s="500"/>
      <c r="ASW8" s="500"/>
      <c r="ASX8" s="500"/>
      <c r="ASY8" s="500"/>
      <c r="ASZ8" s="500"/>
      <c r="ATA8" s="500"/>
      <c r="ATB8" s="500"/>
      <c r="ATC8" s="500"/>
      <c r="ATD8" s="500"/>
      <c r="ATE8" s="500"/>
      <c r="ATF8" s="500"/>
      <c r="ATG8" s="500"/>
      <c r="ATH8" s="500"/>
      <c r="ATI8" s="500"/>
      <c r="ATJ8" s="500"/>
      <c r="ATK8" s="500"/>
      <c r="ATL8" s="500"/>
      <c r="ATM8" s="500"/>
      <c r="ATN8" s="500"/>
      <c r="ATO8" s="500"/>
      <c r="ATP8" s="500"/>
      <c r="ATQ8" s="500"/>
      <c r="ATR8" s="500"/>
      <c r="ATS8" s="500"/>
      <c r="ATT8" s="500"/>
      <c r="ATU8" s="500"/>
      <c r="ATV8" s="500"/>
      <c r="ATW8" s="500"/>
      <c r="ATX8" s="500"/>
      <c r="ATY8" s="500"/>
      <c r="ATZ8" s="500"/>
      <c r="AUA8" s="500"/>
      <c r="AUB8" s="500"/>
      <c r="AUC8" s="500"/>
      <c r="AUD8" s="500"/>
      <c r="AUE8" s="500"/>
      <c r="AUF8" s="500"/>
      <c r="AUG8" s="500"/>
      <c r="AUH8" s="500"/>
      <c r="AUI8" s="500"/>
      <c r="AUJ8" s="500"/>
      <c r="AUK8" s="500"/>
      <c r="AUL8" s="500"/>
      <c r="AUM8" s="500"/>
      <c r="AUN8" s="500"/>
      <c r="AUO8" s="500"/>
      <c r="AUP8" s="500"/>
      <c r="AUQ8" s="500"/>
      <c r="AUR8" s="500"/>
      <c r="AUS8" s="500"/>
      <c r="AUT8" s="500"/>
      <c r="AUU8" s="500"/>
      <c r="AUV8" s="500"/>
      <c r="AUW8" s="500"/>
      <c r="AUX8" s="500"/>
      <c r="AUY8" s="500"/>
      <c r="AUZ8" s="500"/>
      <c r="AVA8" s="500"/>
      <c r="AVB8" s="500"/>
      <c r="AVC8" s="500"/>
      <c r="AVD8" s="500"/>
      <c r="AVE8" s="500"/>
      <c r="AVF8" s="500"/>
      <c r="AVG8" s="500"/>
      <c r="AVH8" s="500"/>
      <c r="AVI8" s="500"/>
      <c r="AVJ8" s="500"/>
      <c r="AVK8" s="500"/>
      <c r="AVL8" s="500"/>
      <c r="AVM8" s="500"/>
      <c r="AVN8" s="500"/>
      <c r="AVO8" s="500"/>
      <c r="AVP8" s="500"/>
      <c r="AVQ8" s="500"/>
      <c r="AVR8" s="500"/>
      <c r="AVS8" s="500"/>
      <c r="AVT8" s="500"/>
      <c r="AVU8" s="500"/>
      <c r="AVV8" s="500"/>
      <c r="AVW8" s="500"/>
      <c r="AVX8" s="500"/>
      <c r="AVY8" s="500"/>
      <c r="AVZ8" s="500"/>
      <c r="AWA8" s="500"/>
      <c r="AWB8" s="500"/>
      <c r="AWC8" s="500"/>
      <c r="AWD8" s="500"/>
      <c r="AWE8" s="500"/>
      <c r="AWF8" s="500"/>
      <c r="AWG8" s="500"/>
      <c r="AWH8" s="500"/>
      <c r="AWI8" s="500"/>
      <c r="AWJ8" s="500"/>
      <c r="AWK8" s="500"/>
      <c r="AWL8" s="500"/>
      <c r="AWM8" s="500"/>
      <c r="AWN8" s="500"/>
      <c r="AWO8" s="500"/>
      <c r="AWP8" s="500"/>
      <c r="AWQ8" s="500"/>
      <c r="AWR8" s="500"/>
      <c r="AWS8" s="500"/>
      <c r="AWT8" s="500"/>
      <c r="AWU8" s="500"/>
      <c r="AWV8" s="500"/>
      <c r="AWW8" s="500"/>
      <c r="AWX8" s="500"/>
      <c r="AWY8" s="500"/>
      <c r="AWZ8" s="500"/>
      <c r="AXA8" s="500"/>
      <c r="AXB8" s="500"/>
      <c r="AXC8" s="500"/>
      <c r="AXD8" s="500"/>
      <c r="AXE8" s="500"/>
      <c r="AXF8" s="500"/>
      <c r="AXG8" s="500"/>
      <c r="AXH8" s="500"/>
      <c r="AXI8" s="500"/>
      <c r="AXJ8" s="500"/>
      <c r="AXK8" s="500"/>
      <c r="AXL8" s="500"/>
      <c r="AXM8" s="500"/>
      <c r="AXN8" s="500"/>
      <c r="AXO8" s="500"/>
      <c r="AXP8" s="500"/>
      <c r="AXQ8" s="500"/>
      <c r="AXR8" s="500"/>
      <c r="AXS8" s="500"/>
      <c r="AXT8" s="500"/>
      <c r="AXU8" s="500"/>
      <c r="AXV8" s="500"/>
      <c r="AXW8" s="500"/>
      <c r="AXX8" s="500"/>
      <c r="AXY8" s="500"/>
      <c r="AXZ8" s="500"/>
      <c r="AYA8" s="500"/>
      <c r="AYB8" s="500"/>
      <c r="AYC8" s="500"/>
      <c r="AYD8" s="500"/>
      <c r="AYE8" s="500"/>
      <c r="AYF8" s="500"/>
      <c r="AYG8" s="500"/>
      <c r="AYH8" s="500"/>
      <c r="AYI8" s="500"/>
      <c r="AYJ8" s="500"/>
      <c r="AYK8" s="500"/>
      <c r="AYL8" s="500"/>
      <c r="AYM8" s="500"/>
      <c r="AYN8" s="500"/>
      <c r="AYO8" s="500"/>
      <c r="AYP8" s="500"/>
      <c r="AYQ8" s="500"/>
      <c r="AYR8" s="500"/>
      <c r="AYS8" s="500"/>
      <c r="AYT8" s="500"/>
      <c r="AYU8" s="500"/>
      <c r="AYV8" s="500"/>
      <c r="AYW8" s="500"/>
      <c r="AYX8" s="500"/>
      <c r="AYY8" s="500"/>
      <c r="AYZ8" s="500"/>
      <c r="AZA8" s="500"/>
      <c r="AZB8" s="500"/>
      <c r="AZC8" s="500"/>
      <c r="AZD8" s="500"/>
      <c r="AZE8" s="500"/>
      <c r="AZF8" s="500"/>
      <c r="AZG8" s="500"/>
      <c r="AZH8" s="500"/>
      <c r="AZI8" s="500"/>
      <c r="AZJ8" s="500"/>
      <c r="AZK8" s="500"/>
      <c r="AZL8" s="500"/>
      <c r="AZM8" s="500"/>
      <c r="AZN8" s="500"/>
      <c r="AZO8" s="500"/>
      <c r="AZP8" s="500"/>
      <c r="AZQ8" s="500"/>
      <c r="AZR8" s="500"/>
      <c r="AZS8" s="500"/>
      <c r="AZT8" s="500"/>
      <c r="AZU8" s="500"/>
      <c r="AZV8" s="500"/>
      <c r="AZW8" s="500"/>
      <c r="AZX8" s="500"/>
      <c r="AZY8" s="500"/>
      <c r="AZZ8" s="500"/>
      <c r="BAA8" s="500"/>
      <c r="BAB8" s="500"/>
      <c r="BAC8" s="500"/>
      <c r="BAD8" s="500"/>
      <c r="BAE8" s="500"/>
      <c r="BAF8" s="500"/>
      <c r="BAG8" s="500"/>
      <c r="BAH8" s="500"/>
      <c r="BAI8" s="500"/>
      <c r="BAJ8" s="500"/>
      <c r="BAK8" s="500"/>
      <c r="BAL8" s="500"/>
      <c r="BAM8" s="500"/>
      <c r="BAN8" s="500"/>
      <c r="BAO8" s="500"/>
      <c r="BAP8" s="500"/>
      <c r="BAQ8" s="500"/>
      <c r="BAR8" s="500"/>
      <c r="BAS8" s="500"/>
      <c r="BAT8" s="500"/>
      <c r="BAU8" s="500"/>
      <c r="BAV8" s="500"/>
      <c r="BAW8" s="500"/>
      <c r="BAX8" s="500"/>
      <c r="BAY8" s="500"/>
      <c r="BAZ8" s="500"/>
      <c r="BBA8" s="500"/>
      <c r="BBB8" s="500"/>
      <c r="BBC8" s="500"/>
      <c r="BBD8" s="500"/>
      <c r="BBE8" s="500"/>
      <c r="BBF8" s="500"/>
      <c r="BBG8" s="500"/>
      <c r="BBH8" s="500"/>
      <c r="BBI8" s="500"/>
      <c r="BBJ8" s="500"/>
      <c r="BBK8" s="500"/>
      <c r="BBL8" s="500"/>
      <c r="BBM8" s="500"/>
      <c r="BBN8" s="500"/>
      <c r="BBO8" s="500"/>
      <c r="BBP8" s="500"/>
      <c r="BBQ8" s="500"/>
      <c r="BBR8" s="500"/>
      <c r="BBS8" s="500"/>
      <c r="BBT8" s="500"/>
      <c r="BBU8" s="500"/>
      <c r="BBV8" s="500"/>
      <c r="BBW8" s="500"/>
      <c r="BBX8" s="500"/>
      <c r="BBY8" s="500"/>
      <c r="BBZ8" s="500"/>
      <c r="BCA8" s="500"/>
      <c r="BCB8" s="500"/>
      <c r="BCC8" s="500"/>
      <c r="BCD8" s="500"/>
      <c r="BCE8" s="500"/>
      <c r="BCF8" s="500"/>
      <c r="BCG8" s="500"/>
      <c r="BCH8" s="500"/>
      <c r="BCI8" s="500"/>
      <c r="BCJ8" s="500"/>
      <c r="BCK8" s="500"/>
      <c r="BCL8" s="500"/>
      <c r="BCM8" s="500"/>
      <c r="BCN8" s="500"/>
      <c r="BCO8" s="500"/>
      <c r="BCP8" s="500"/>
      <c r="BCQ8" s="500"/>
      <c r="BCR8" s="500"/>
      <c r="BCS8" s="500"/>
      <c r="BCT8" s="500"/>
      <c r="BCU8" s="500"/>
      <c r="BCV8" s="500"/>
      <c r="BCW8" s="500"/>
      <c r="BCX8" s="500"/>
      <c r="BCY8" s="500"/>
      <c r="BCZ8" s="500"/>
      <c r="BDA8" s="500"/>
      <c r="BDB8" s="500"/>
      <c r="BDC8" s="500"/>
      <c r="BDD8" s="500"/>
      <c r="BDE8" s="500"/>
      <c r="BDF8" s="500"/>
      <c r="BDG8" s="500"/>
      <c r="BDH8" s="500"/>
      <c r="BDI8" s="500"/>
      <c r="BDJ8" s="500"/>
      <c r="BDK8" s="500"/>
      <c r="BDL8" s="500"/>
      <c r="BDM8" s="500"/>
      <c r="BDN8" s="500"/>
      <c r="BDO8" s="500"/>
      <c r="BDP8" s="500"/>
      <c r="BDQ8" s="500"/>
      <c r="BDR8" s="500"/>
      <c r="BDS8" s="500"/>
      <c r="BDT8" s="500"/>
      <c r="BDU8" s="500"/>
      <c r="BDV8" s="500"/>
      <c r="BDW8" s="500"/>
      <c r="BDX8" s="500"/>
      <c r="BDY8" s="500"/>
      <c r="BDZ8" s="500"/>
      <c r="BEA8" s="500"/>
      <c r="BEB8" s="500"/>
      <c r="BEC8" s="500"/>
      <c r="BED8" s="500"/>
      <c r="BEE8" s="500"/>
      <c r="BEF8" s="500"/>
      <c r="BEG8" s="500"/>
      <c r="BEH8" s="500"/>
      <c r="BEI8" s="500"/>
      <c r="BEJ8" s="500"/>
      <c r="BEK8" s="500"/>
      <c r="BEL8" s="500"/>
      <c r="BEM8" s="500"/>
      <c r="BEN8" s="500"/>
      <c r="BEO8" s="500"/>
      <c r="BEP8" s="500"/>
      <c r="BEQ8" s="500"/>
      <c r="BER8" s="500"/>
      <c r="BES8" s="500"/>
      <c r="BET8" s="500"/>
      <c r="BEU8" s="500"/>
      <c r="BEV8" s="500"/>
      <c r="BEW8" s="500"/>
      <c r="BEX8" s="500"/>
      <c r="BEY8" s="500"/>
      <c r="BEZ8" s="500"/>
      <c r="BFA8" s="500"/>
      <c r="BFB8" s="500"/>
      <c r="BFC8" s="500"/>
      <c r="BFD8" s="500"/>
      <c r="BFE8" s="500"/>
      <c r="BFF8" s="500"/>
      <c r="BFG8" s="500"/>
      <c r="BFH8" s="500"/>
      <c r="BFI8" s="500"/>
      <c r="BFJ8" s="500"/>
      <c r="BFK8" s="500"/>
      <c r="BFL8" s="500"/>
      <c r="BFM8" s="500"/>
      <c r="BFN8" s="500"/>
      <c r="BFO8" s="500"/>
      <c r="BFP8" s="500"/>
      <c r="BFQ8" s="500"/>
      <c r="BFR8" s="500"/>
      <c r="BFS8" s="500"/>
      <c r="BFT8" s="500"/>
      <c r="BFU8" s="500"/>
      <c r="BFV8" s="500"/>
      <c r="BFW8" s="500"/>
      <c r="BFX8" s="500"/>
      <c r="BFY8" s="500"/>
      <c r="BFZ8" s="500"/>
      <c r="BGA8" s="500"/>
      <c r="BGB8" s="500"/>
      <c r="BGC8" s="500"/>
      <c r="BGD8" s="500"/>
      <c r="BGE8" s="500"/>
      <c r="BGF8" s="500"/>
      <c r="BGG8" s="500"/>
      <c r="BGH8" s="500"/>
      <c r="BGI8" s="500"/>
      <c r="BGJ8" s="500"/>
      <c r="BGK8" s="500"/>
      <c r="BGL8" s="500"/>
      <c r="BGM8" s="500"/>
      <c r="BGN8" s="500"/>
      <c r="BGO8" s="500"/>
      <c r="BGP8" s="500"/>
      <c r="BGQ8" s="500"/>
      <c r="BGR8" s="500"/>
      <c r="BGS8" s="500"/>
      <c r="BGT8" s="500"/>
      <c r="BGU8" s="500"/>
      <c r="BGV8" s="500"/>
      <c r="BGW8" s="500"/>
      <c r="BGX8" s="500"/>
      <c r="BGY8" s="500"/>
      <c r="BGZ8" s="500"/>
      <c r="BHA8" s="500"/>
      <c r="BHB8" s="500"/>
      <c r="BHC8" s="500"/>
      <c r="BHD8" s="500"/>
      <c r="BHE8" s="500"/>
      <c r="BHF8" s="500"/>
      <c r="BHG8" s="500"/>
      <c r="BHH8" s="500"/>
      <c r="BHI8" s="500"/>
      <c r="BHJ8" s="500"/>
      <c r="BHK8" s="500"/>
      <c r="BHL8" s="500"/>
      <c r="BHM8" s="500"/>
      <c r="BHN8" s="500"/>
      <c r="BHO8" s="500"/>
      <c r="BHP8" s="500"/>
      <c r="BHQ8" s="500"/>
      <c r="BHR8" s="500"/>
      <c r="BHS8" s="500"/>
      <c r="BHT8" s="500"/>
      <c r="BHU8" s="500"/>
      <c r="BHV8" s="500"/>
      <c r="BHW8" s="500"/>
      <c r="BHX8" s="500"/>
      <c r="BHY8" s="500"/>
      <c r="BHZ8" s="500"/>
      <c r="BIA8" s="500"/>
      <c r="BIB8" s="500"/>
      <c r="BIC8" s="500"/>
      <c r="BID8" s="500"/>
      <c r="BIE8" s="500"/>
      <c r="BIF8" s="500"/>
      <c r="BIG8" s="500"/>
      <c r="BIH8" s="500"/>
      <c r="BII8" s="500"/>
      <c r="BIJ8" s="500"/>
      <c r="BIK8" s="500"/>
      <c r="BIL8" s="500"/>
      <c r="BIM8" s="500"/>
      <c r="BIN8" s="500"/>
      <c r="BIO8" s="500"/>
      <c r="BIP8" s="500"/>
      <c r="BIQ8" s="500"/>
      <c r="BIR8" s="500"/>
      <c r="BIS8" s="500"/>
      <c r="BIT8" s="500"/>
      <c r="BIU8" s="500"/>
      <c r="BIV8" s="500"/>
      <c r="BIW8" s="500"/>
      <c r="BIX8" s="500"/>
      <c r="BIY8" s="500"/>
      <c r="BIZ8" s="500"/>
      <c r="BJA8" s="500"/>
      <c r="BJB8" s="500"/>
      <c r="BJC8" s="500"/>
      <c r="BJD8" s="500"/>
      <c r="BJE8" s="500"/>
      <c r="BJF8" s="500"/>
      <c r="BJG8" s="500"/>
      <c r="BJH8" s="500"/>
      <c r="BJI8" s="500"/>
      <c r="BJJ8" s="500"/>
      <c r="BJK8" s="500"/>
      <c r="BJL8" s="500"/>
      <c r="BJM8" s="500"/>
      <c r="BJN8" s="500"/>
      <c r="BJO8" s="500"/>
      <c r="BJP8" s="500"/>
      <c r="BJQ8" s="500"/>
      <c r="BJR8" s="500"/>
      <c r="BJS8" s="500"/>
      <c r="BJT8" s="500"/>
      <c r="BJU8" s="500"/>
      <c r="BJV8" s="500"/>
      <c r="BJW8" s="500"/>
      <c r="BJX8" s="500"/>
      <c r="BJY8" s="500"/>
      <c r="BJZ8" s="500"/>
      <c r="BKA8" s="500"/>
      <c r="BKB8" s="500"/>
      <c r="BKC8" s="500"/>
      <c r="BKD8" s="500"/>
      <c r="BKE8" s="500"/>
      <c r="BKF8" s="500"/>
      <c r="BKG8" s="500"/>
      <c r="BKH8" s="500"/>
      <c r="BKI8" s="500"/>
      <c r="BKJ8" s="500"/>
      <c r="BKK8" s="500"/>
      <c r="BKL8" s="500"/>
      <c r="BKM8" s="500"/>
      <c r="BKN8" s="500"/>
      <c r="BKO8" s="500"/>
      <c r="BKP8" s="500"/>
      <c r="BKQ8" s="500"/>
      <c r="BKR8" s="500"/>
      <c r="BKS8" s="500"/>
      <c r="BKT8" s="500"/>
      <c r="BKU8" s="500"/>
      <c r="BKV8" s="500"/>
      <c r="BKW8" s="500"/>
      <c r="BKX8" s="500"/>
      <c r="BKY8" s="500"/>
      <c r="BKZ8" s="500"/>
      <c r="BLA8" s="500"/>
      <c r="BLB8" s="500"/>
      <c r="BLC8" s="500"/>
      <c r="BLD8" s="500"/>
      <c r="BLE8" s="500"/>
      <c r="BLF8" s="500"/>
      <c r="BLG8" s="500"/>
      <c r="BLH8" s="500"/>
      <c r="BLI8" s="500"/>
      <c r="BLJ8" s="500"/>
      <c r="BLK8" s="500"/>
      <c r="BLL8" s="500"/>
      <c r="BLM8" s="500"/>
      <c r="BLN8" s="500"/>
      <c r="BLO8" s="500"/>
      <c r="BLP8" s="500"/>
      <c r="BLQ8" s="500"/>
      <c r="BLR8" s="500"/>
      <c r="BLS8" s="500"/>
      <c r="BLT8" s="500"/>
      <c r="BLU8" s="500"/>
      <c r="BLV8" s="500"/>
      <c r="BLW8" s="500"/>
      <c r="BLX8" s="500"/>
      <c r="BLY8" s="500"/>
      <c r="BLZ8" s="500"/>
      <c r="BMA8" s="500"/>
      <c r="BMB8" s="500"/>
      <c r="BMC8" s="500"/>
      <c r="BMD8" s="500"/>
      <c r="BME8" s="500"/>
      <c r="BMF8" s="500"/>
      <c r="BMG8" s="500"/>
      <c r="BMH8" s="500"/>
      <c r="BMI8" s="500"/>
      <c r="BMJ8" s="500"/>
      <c r="BMK8" s="500"/>
      <c r="BML8" s="500"/>
      <c r="BMM8" s="500"/>
      <c r="BMN8" s="500"/>
      <c r="BMO8" s="500"/>
      <c r="BMP8" s="500"/>
      <c r="BMQ8" s="500"/>
      <c r="BMR8" s="500"/>
      <c r="BMS8" s="500"/>
      <c r="BMT8" s="500"/>
      <c r="BMU8" s="500"/>
      <c r="BMV8" s="500"/>
      <c r="BMW8" s="500"/>
      <c r="BMX8" s="500"/>
      <c r="BMY8" s="500"/>
      <c r="BMZ8" s="500"/>
      <c r="BNA8" s="500"/>
      <c r="BNB8" s="500"/>
      <c r="BNC8" s="500"/>
      <c r="BND8" s="500"/>
      <c r="BNE8" s="500"/>
      <c r="BNF8" s="500"/>
      <c r="BNG8" s="500"/>
      <c r="BNH8" s="500"/>
      <c r="BNI8" s="500"/>
      <c r="BNJ8" s="500"/>
      <c r="BNK8" s="500"/>
      <c r="BNL8" s="500"/>
      <c r="BNM8" s="500"/>
      <c r="BNN8" s="500"/>
      <c r="BNO8" s="500"/>
      <c r="BNP8" s="500"/>
      <c r="BNQ8" s="500"/>
      <c r="BNR8" s="500"/>
      <c r="BNS8" s="500"/>
      <c r="BNT8" s="500"/>
      <c r="BNU8" s="500"/>
      <c r="BNV8" s="500"/>
      <c r="BNW8" s="500"/>
      <c r="BNX8" s="500"/>
      <c r="BNY8" s="500"/>
      <c r="BNZ8" s="500"/>
      <c r="BOA8" s="500"/>
      <c r="BOB8" s="500"/>
      <c r="BOC8" s="500"/>
      <c r="BOD8" s="500"/>
      <c r="BOE8" s="500"/>
      <c r="BOF8" s="500"/>
      <c r="BOG8" s="500"/>
      <c r="BOH8" s="500"/>
      <c r="BOI8" s="500"/>
      <c r="BOJ8" s="500"/>
      <c r="BOK8" s="500"/>
      <c r="BOL8" s="500"/>
      <c r="BOM8" s="500"/>
      <c r="BON8" s="500"/>
      <c r="BOO8" s="500"/>
      <c r="BOP8" s="500"/>
      <c r="BOQ8" s="500"/>
      <c r="BOR8" s="500"/>
      <c r="BOS8" s="500"/>
      <c r="BOT8" s="500"/>
      <c r="BOU8" s="500"/>
      <c r="BOV8" s="500"/>
      <c r="BOW8" s="500"/>
      <c r="BOX8" s="500"/>
      <c r="BOY8" s="500"/>
      <c r="BOZ8" s="500"/>
      <c r="BPA8" s="500"/>
      <c r="BPB8" s="500"/>
      <c r="BPC8" s="500"/>
      <c r="BPD8" s="500"/>
      <c r="BPE8" s="500"/>
      <c r="BPF8" s="500"/>
      <c r="BPG8" s="500"/>
      <c r="BPH8" s="500"/>
      <c r="BPI8" s="500"/>
      <c r="BPJ8" s="500"/>
      <c r="BPK8" s="500"/>
      <c r="BPL8" s="500"/>
      <c r="BPM8" s="500"/>
      <c r="BPN8" s="500"/>
      <c r="BPO8" s="500"/>
      <c r="BPP8" s="500"/>
      <c r="BPQ8" s="500"/>
      <c r="BPR8" s="500"/>
      <c r="BPS8" s="500"/>
      <c r="BPT8" s="500"/>
      <c r="BPU8" s="500"/>
      <c r="BPV8" s="500"/>
      <c r="BPW8" s="500"/>
      <c r="BPX8" s="500"/>
      <c r="BPY8" s="500"/>
      <c r="BPZ8" s="500"/>
      <c r="BQA8" s="500"/>
      <c r="BQB8" s="500"/>
      <c r="BQC8" s="500"/>
      <c r="BQD8" s="500"/>
      <c r="BQE8" s="500"/>
      <c r="BQF8" s="500"/>
      <c r="BQG8" s="500"/>
      <c r="BQH8" s="500"/>
      <c r="BQI8" s="500"/>
      <c r="BQJ8" s="500"/>
      <c r="BQK8" s="500"/>
      <c r="BQL8" s="500"/>
      <c r="BQM8" s="500"/>
      <c r="BQN8" s="500"/>
      <c r="BQO8" s="500"/>
      <c r="BQP8" s="500"/>
      <c r="BQQ8" s="500"/>
      <c r="BQR8" s="500"/>
      <c r="BQS8" s="500"/>
      <c r="BQT8" s="500"/>
      <c r="BQU8" s="500"/>
      <c r="BQV8" s="500"/>
      <c r="BQW8" s="500"/>
      <c r="BQX8" s="500"/>
      <c r="BQY8" s="500"/>
      <c r="BQZ8" s="500"/>
      <c r="BRA8" s="500"/>
      <c r="BRB8" s="500"/>
      <c r="BRC8" s="500"/>
      <c r="BRD8" s="500"/>
      <c r="BRE8" s="500"/>
      <c r="BRF8" s="500"/>
      <c r="BRG8" s="500"/>
      <c r="BRH8" s="500"/>
      <c r="BRI8" s="500"/>
      <c r="BRJ8" s="500"/>
      <c r="BRK8" s="500"/>
      <c r="BRL8" s="500"/>
      <c r="BRM8" s="500"/>
      <c r="BRN8" s="500"/>
      <c r="BRO8" s="500"/>
      <c r="BRP8" s="500"/>
      <c r="BRQ8" s="500"/>
      <c r="BRR8" s="500"/>
      <c r="BRS8" s="500"/>
      <c r="BRT8" s="500"/>
      <c r="BRU8" s="500"/>
      <c r="BRV8" s="500"/>
      <c r="BRW8" s="500"/>
      <c r="BRX8" s="500"/>
      <c r="BRY8" s="500"/>
      <c r="BRZ8" s="500"/>
      <c r="BSA8" s="500"/>
      <c r="BSB8" s="500"/>
      <c r="BSC8" s="500"/>
      <c r="BSD8" s="500"/>
      <c r="BSE8" s="500"/>
      <c r="BSF8" s="500"/>
      <c r="BSG8" s="500"/>
      <c r="BSH8" s="500"/>
      <c r="BSI8" s="500"/>
      <c r="BSJ8" s="500"/>
      <c r="BSK8" s="500"/>
      <c r="BSL8" s="500"/>
      <c r="BSM8" s="500"/>
      <c r="BSN8" s="500"/>
      <c r="BSO8" s="500"/>
      <c r="BSP8" s="500"/>
      <c r="BSQ8" s="500"/>
      <c r="BSR8" s="500"/>
      <c r="BSS8" s="500"/>
      <c r="BST8" s="500"/>
      <c r="BSU8" s="500"/>
      <c r="BSV8" s="500"/>
      <c r="BSW8" s="500"/>
      <c r="BSX8" s="500"/>
      <c r="BSY8" s="500"/>
      <c r="BSZ8" s="500"/>
      <c r="BTA8" s="500"/>
      <c r="BTB8" s="500"/>
      <c r="BTC8" s="500"/>
      <c r="BTD8" s="500"/>
      <c r="BTE8" s="500"/>
      <c r="BTF8" s="500"/>
      <c r="BTG8" s="500"/>
      <c r="BTH8" s="500"/>
      <c r="BTI8" s="500"/>
      <c r="BTJ8" s="500"/>
      <c r="BTK8" s="500"/>
      <c r="BTL8" s="500"/>
      <c r="BTM8" s="500"/>
      <c r="BTN8" s="500"/>
      <c r="BTO8" s="500"/>
      <c r="BTP8" s="500"/>
      <c r="BTQ8" s="500"/>
      <c r="BTR8" s="500"/>
      <c r="BTS8" s="500"/>
      <c r="BTT8" s="500"/>
      <c r="BTU8" s="500"/>
      <c r="BTV8" s="500"/>
      <c r="BTW8" s="500"/>
      <c r="BTX8" s="500"/>
      <c r="BTY8" s="500"/>
      <c r="BTZ8" s="500"/>
      <c r="BUA8" s="500"/>
      <c r="BUB8" s="500"/>
      <c r="BUC8" s="500"/>
      <c r="BUD8" s="500"/>
      <c r="BUE8" s="500"/>
      <c r="BUF8" s="500"/>
      <c r="BUG8" s="500"/>
      <c r="BUH8" s="500"/>
      <c r="BUI8" s="500"/>
      <c r="BUJ8" s="500"/>
      <c r="BUK8" s="500"/>
      <c r="BUL8" s="500"/>
      <c r="BUM8" s="500"/>
      <c r="BUN8" s="500"/>
      <c r="BUO8" s="500"/>
      <c r="BUP8" s="500"/>
      <c r="BUQ8" s="500"/>
      <c r="BUR8" s="500"/>
      <c r="BUS8" s="500"/>
      <c r="BUT8" s="500"/>
      <c r="BUU8" s="500"/>
      <c r="BUV8" s="500"/>
      <c r="BUW8" s="500"/>
      <c r="BUX8" s="500"/>
      <c r="BUY8" s="500"/>
      <c r="BUZ8" s="500"/>
      <c r="BVA8" s="500"/>
      <c r="BVB8" s="500"/>
      <c r="BVC8" s="500"/>
      <c r="BVD8" s="500"/>
      <c r="BVE8" s="500"/>
      <c r="BVF8" s="500"/>
      <c r="BVG8" s="500"/>
      <c r="BVH8" s="500"/>
      <c r="BVI8" s="500"/>
      <c r="BVJ8" s="500"/>
      <c r="BVK8" s="500"/>
      <c r="BVL8" s="500"/>
      <c r="BVM8" s="500"/>
      <c r="BVN8" s="500"/>
      <c r="BVO8" s="500"/>
      <c r="BVP8" s="500"/>
      <c r="BVQ8" s="500"/>
      <c r="BVR8" s="500"/>
      <c r="BVS8" s="500"/>
      <c r="BVT8" s="500"/>
      <c r="BVU8" s="500"/>
      <c r="BVV8" s="500"/>
      <c r="BVW8" s="500"/>
      <c r="BVX8" s="500"/>
      <c r="BVY8" s="500"/>
      <c r="BVZ8" s="500"/>
      <c r="BWA8" s="500"/>
      <c r="BWB8" s="500"/>
      <c r="BWC8" s="500"/>
      <c r="BWD8" s="500"/>
      <c r="BWE8" s="500"/>
      <c r="BWF8" s="500"/>
      <c r="BWG8" s="500"/>
      <c r="BWH8" s="500"/>
      <c r="BWI8" s="500"/>
      <c r="BWJ8" s="500"/>
      <c r="BWK8" s="500"/>
      <c r="BWL8" s="500"/>
      <c r="BWM8" s="500"/>
      <c r="BWN8" s="500"/>
      <c r="BWO8" s="500"/>
      <c r="BWP8" s="500"/>
      <c r="BWQ8" s="500"/>
      <c r="BWR8" s="500"/>
      <c r="BWS8" s="500"/>
      <c r="BWT8" s="500"/>
      <c r="BWU8" s="500"/>
      <c r="BWV8" s="500"/>
      <c r="BWW8" s="500"/>
      <c r="BWX8" s="500"/>
      <c r="BWY8" s="500"/>
      <c r="BWZ8" s="500"/>
      <c r="BXA8" s="500"/>
      <c r="BXB8" s="500"/>
      <c r="BXC8" s="500"/>
      <c r="BXD8" s="500"/>
      <c r="BXE8" s="500"/>
      <c r="BXF8" s="500"/>
      <c r="BXG8" s="500"/>
      <c r="BXH8" s="500"/>
      <c r="BXI8" s="500"/>
      <c r="BXJ8" s="500"/>
      <c r="BXK8" s="500"/>
      <c r="BXL8" s="500"/>
      <c r="BXM8" s="500"/>
      <c r="BXN8" s="500"/>
      <c r="BXO8" s="500"/>
      <c r="BXP8" s="500"/>
      <c r="BXQ8" s="500"/>
      <c r="BXR8" s="500"/>
      <c r="BXS8" s="500"/>
      <c r="BXT8" s="500"/>
      <c r="BXU8" s="500"/>
      <c r="BXV8" s="500"/>
      <c r="BXW8" s="500"/>
      <c r="BXX8" s="500"/>
      <c r="BXY8" s="500"/>
      <c r="BXZ8" s="500"/>
      <c r="BYA8" s="500"/>
      <c r="BYB8" s="500"/>
      <c r="BYC8" s="500"/>
      <c r="BYD8" s="500"/>
      <c r="BYE8" s="500"/>
      <c r="BYF8" s="500"/>
      <c r="BYG8" s="500"/>
      <c r="BYH8" s="500"/>
      <c r="BYI8" s="500"/>
      <c r="BYJ8" s="500"/>
      <c r="BYK8" s="500"/>
      <c r="BYL8" s="500"/>
      <c r="BYM8" s="500"/>
      <c r="BYN8" s="500"/>
      <c r="BYO8" s="500"/>
      <c r="BYP8" s="500"/>
      <c r="BYQ8" s="500"/>
      <c r="BYR8" s="500"/>
      <c r="BYS8" s="500"/>
      <c r="BYT8" s="500"/>
      <c r="BYU8" s="500"/>
      <c r="BYV8" s="500"/>
      <c r="BYW8" s="500"/>
      <c r="BYX8" s="500"/>
      <c r="BYY8" s="500"/>
      <c r="BYZ8" s="500"/>
      <c r="BZA8" s="500"/>
      <c r="BZB8" s="500"/>
      <c r="BZC8" s="500"/>
      <c r="BZD8" s="500"/>
      <c r="BZE8" s="500"/>
      <c r="BZF8" s="500"/>
      <c r="BZG8" s="500"/>
      <c r="BZH8" s="500"/>
      <c r="BZI8" s="500"/>
      <c r="BZJ8" s="500"/>
      <c r="BZK8" s="500"/>
      <c r="BZL8" s="500"/>
      <c r="BZM8" s="500"/>
      <c r="BZN8" s="500"/>
      <c r="BZO8" s="500"/>
      <c r="BZP8" s="500"/>
      <c r="BZQ8" s="500"/>
      <c r="BZR8" s="500"/>
      <c r="BZS8" s="500"/>
      <c r="BZT8" s="500"/>
      <c r="BZU8" s="500"/>
      <c r="BZV8" s="500"/>
      <c r="BZW8" s="500"/>
      <c r="BZX8" s="500"/>
      <c r="BZY8" s="500"/>
      <c r="BZZ8" s="500"/>
      <c r="CAA8" s="500"/>
      <c r="CAB8" s="500"/>
      <c r="CAC8" s="500"/>
      <c r="CAD8" s="500"/>
      <c r="CAE8" s="500"/>
      <c r="CAF8" s="500"/>
      <c r="CAG8" s="500"/>
      <c r="CAH8" s="500"/>
      <c r="CAI8" s="500"/>
      <c r="CAJ8" s="500"/>
      <c r="CAK8" s="500"/>
      <c r="CAL8" s="500"/>
      <c r="CAM8" s="500"/>
      <c r="CAN8" s="500"/>
      <c r="CAO8" s="500"/>
      <c r="CAP8" s="500"/>
      <c r="CAQ8" s="500"/>
      <c r="CAR8" s="500"/>
      <c r="CAS8" s="500"/>
      <c r="CAT8" s="500"/>
      <c r="CAU8" s="500"/>
      <c r="CAV8" s="500"/>
      <c r="CAW8" s="500"/>
      <c r="CAX8" s="500"/>
      <c r="CAY8" s="500"/>
      <c r="CAZ8" s="500"/>
      <c r="CBA8" s="500"/>
      <c r="CBB8" s="500"/>
      <c r="CBC8" s="500"/>
      <c r="CBD8" s="500"/>
      <c r="CBE8" s="500"/>
      <c r="CBF8" s="500"/>
      <c r="CBG8" s="500"/>
      <c r="CBH8" s="500"/>
      <c r="CBI8" s="500"/>
      <c r="CBJ8" s="500"/>
      <c r="CBK8" s="500"/>
      <c r="CBL8" s="500"/>
      <c r="CBM8" s="500"/>
      <c r="CBN8" s="500"/>
      <c r="CBO8" s="500"/>
      <c r="CBP8" s="500"/>
      <c r="CBQ8" s="500"/>
      <c r="CBR8" s="500"/>
      <c r="CBS8" s="500"/>
      <c r="CBT8" s="500"/>
      <c r="CBU8" s="500"/>
      <c r="CBV8" s="500"/>
      <c r="CBW8" s="500"/>
      <c r="CBX8" s="500"/>
      <c r="CBY8" s="500"/>
      <c r="CBZ8" s="500"/>
      <c r="CCA8" s="500"/>
      <c r="CCB8" s="500"/>
      <c r="CCC8" s="500"/>
      <c r="CCD8" s="500"/>
      <c r="CCE8" s="500"/>
      <c r="CCF8" s="500"/>
      <c r="CCG8" s="500"/>
      <c r="CCH8" s="500"/>
      <c r="CCI8" s="500"/>
      <c r="CCJ8" s="500"/>
      <c r="CCK8" s="500"/>
      <c r="CCL8" s="500"/>
      <c r="CCM8" s="500"/>
      <c r="CCN8" s="500"/>
      <c r="CCO8" s="500"/>
      <c r="CCP8" s="500"/>
      <c r="CCQ8" s="500"/>
      <c r="CCR8" s="500"/>
      <c r="CCS8" s="500"/>
      <c r="CCT8" s="500"/>
      <c r="CCU8" s="500"/>
      <c r="CCV8" s="500"/>
      <c r="CCW8" s="500"/>
      <c r="CCX8" s="500"/>
      <c r="CCY8" s="500"/>
      <c r="CCZ8" s="500"/>
      <c r="CDA8" s="500"/>
      <c r="CDB8" s="500"/>
      <c r="CDC8" s="500"/>
      <c r="CDD8" s="500"/>
      <c r="CDE8" s="500"/>
      <c r="CDF8" s="500"/>
      <c r="CDG8" s="500"/>
      <c r="CDH8" s="500"/>
      <c r="CDI8" s="500"/>
      <c r="CDJ8" s="500"/>
      <c r="CDK8" s="500"/>
      <c r="CDL8" s="500"/>
      <c r="CDM8" s="500"/>
      <c r="CDN8" s="500"/>
      <c r="CDO8" s="500"/>
      <c r="CDP8" s="500"/>
      <c r="CDQ8" s="500"/>
      <c r="CDR8" s="500"/>
      <c r="CDS8" s="500"/>
      <c r="CDT8" s="500"/>
      <c r="CDU8" s="500"/>
      <c r="CDV8" s="500"/>
      <c r="CDW8" s="500"/>
      <c r="CDX8" s="500"/>
      <c r="CDY8" s="500"/>
      <c r="CDZ8" s="500"/>
      <c r="CEA8" s="500"/>
      <c r="CEB8" s="500"/>
      <c r="CEC8" s="500"/>
      <c r="CED8" s="500"/>
      <c r="CEE8" s="500"/>
      <c r="CEF8" s="500"/>
      <c r="CEG8" s="500"/>
      <c r="CEH8" s="500"/>
      <c r="CEI8" s="500"/>
      <c r="CEJ8" s="500"/>
      <c r="CEK8" s="500"/>
      <c r="CEL8" s="500"/>
      <c r="CEM8" s="500"/>
      <c r="CEN8" s="500"/>
      <c r="CEO8" s="500"/>
      <c r="CEP8" s="500"/>
      <c r="CEQ8" s="500"/>
      <c r="CER8" s="500"/>
      <c r="CES8" s="500"/>
      <c r="CET8" s="500"/>
      <c r="CEU8" s="500"/>
      <c r="CEV8" s="500"/>
      <c r="CEW8" s="500"/>
      <c r="CEX8" s="500"/>
      <c r="CEY8" s="500"/>
      <c r="CEZ8" s="500"/>
      <c r="CFA8" s="500"/>
      <c r="CFB8" s="500"/>
      <c r="CFC8" s="500"/>
      <c r="CFD8" s="500"/>
      <c r="CFE8" s="500"/>
      <c r="CFF8" s="500"/>
      <c r="CFG8" s="500"/>
      <c r="CFH8" s="500"/>
      <c r="CFI8" s="500"/>
      <c r="CFJ8" s="500"/>
      <c r="CFK8" s="500"/>
      <c r="CFL8" s="500"/>
      <c r="CFM8" s="500"/>
      <c r="CFN8" s="500"/>
      <c r="CFO8" s="500"/>
      <c r="CFP8" s="500"/>
      <c r="CFQ8" s="500"/>
      <c r="CFR8" s="500"/>
      <c r="CFS8" s="500"/>
      <c r="CFT8" s="500"/>
      <c r="CFU8" s="500"/>
      <c r="CFV8" s="500"/>
      <c r="CFW8" s="500"/>
      <c r="CFX8" s="500"/>
      <c r="CFY8" s="500"/>
      <c r="CFZ8" s="500"/>
      <c r="CGA8" s="500"/>
      <c r="CGB8" s="500"/>
      <c r="CGC8" s="500"/>
      <c r="CGD8" s="500"/>
      <c r="CGE8" s="500"/>
      <c r="CGF8" s="500"/>
      <c r="CGG8" s="500"/>
      <c r="CGH8" s="500"/>
      <c r="CGI8" s="500"/>
      <c r="CGJ8" s="500"/>
      <c r="CGK8" s="500"/>
      <c r="CGL8" s="500"/>
      <c r="CGM8" s="500"/>
      <c r="CGN8" s="500"/>
      <c r="CGO8" s="500"/>
      <c r="CGP8" s="500"/>
      <c r="CGQ8" s="500"/>
      <c r="CGR8" s="500"/>
      <c r="CGS8" s="500"/>
      <c r="CGT8" s="500"/>
      <c r="CGU8" s="500"/>
      <c r="CGV8" s="500"/>
      <c r="CGW8" s="500"/>
      <c r="CGX8" s="500"/>
      <c r="CGY8" s="500"/>
      <c r="CGZ8" s="500"/>
      <c r="CHA8" s="500"/>
      <c r="CHB8" s="500"/>
      <c r="CHC8" s="500"/>
      <c r="CHD8" s="500"/>
      <c r="CHE8" s="500"/>
      <c r="CHF8" s="500"/>
      <c r="CHG8" s="500"/>
      <c r="CHH8" s="500"/>
      <c r="CHI8" s="500"/>
      <c r="CHJ8" s="500"/>
      <c r="CHK8" s="500"/>
      <c r="CHL8" s="500"/>
      <c r="CHM8" s="500"/>
      <c r="CHN8" s="500"/>
      <c r="CHO8" s="500"/>
      <c r="CHP8" s="500"/>
      <c r="CHQ8" s="500"/>
      <c r="CHR8" s="500"/>
      <c r="CHS8" s="500"/>
      <c r="CHT8" s="500"/>
      <c r="CHU8" s="500"/>
      <c r="CHV8" s="500"/>
      <c r="CHW8" s="500"/>
      <c r="CHX8" s="500"/>
      <c r="CHY8" s="500"/>
      <c r="CHZ8" s="500"/>
      <c r="CIA8" s="500"/>
      <c r="CIB8" s="500"/>
      <c r="CIC8" s="500"/>
      <c r="CID8" s="500"/>
      <c r="CIE8" s="500"/>
      <c r="CIF8" s="500"/>
      <c r="CIG8" s="500"/>
      <c r="CIH8" s="500"/>
      <c r="CII8" s="500"/>
      <c r="CIJ8" s="500"/>
      <c r="CIK8" s="500"/>
      <c r="CIL8" s="500"/>
      <c r="CIM8" s="500"/>
      <c r="CIN8" s="500"/>
      <c r="CIO8" s="500"/>
      <c r="CIP8" s="500"/>
      <c r="CIQ8" s="500"/>
      <c r="CIR8" s="500"/>
      <c r="CIS8" s="500"/>
      <c r="CIT8" s="500"/>
      <c r="CIU8" s="500"/>
      <c r="CIV8" s="500"/>
      <c r="CIW8" s="500"/>
      <c r="CIX8" s="500"/>
      <c r="CIY8" s="500"/>
      <c r="CIZ8" s="500"/>
      <c r="CJA8" s="500"/>
      <c r="CJB8" s="500"/>
      <c r="CJC8" s="500"/>
      <c r="CJD8" s="500"/>
      <c r="CJE8" s="500"/>
      <c r="CJF8" s="500"/>
      <c r="CJG8" s="500"/>
      <c r="CJH8" s="500"/>
      <c r="CJI8" s="500"/>
      <c r="CJJ8" s="500"/>
      <c r="CJK8" s="500"/>
      <c r="CJL8" s="500"/>
      <c r="CJM8" s="500"/>
      <c r="CJN8" s="500"/>
      <c r="CJO8" s="500"/>
      <c r="CJP8" s="500"/>
      <c r="CJQ8" s="500"/>
      <c r="CJR8" s="500"/>
      <c r="CJS8" s="500"/>
      <c r="CJT8" s="500"/>
      <c r="CJU8" s="500"/>
      <c r="CJV8" s="500"/>
      <c r="CJW8" s="500"/>
      <c r="CJX8" s="500"/>
      <c r="CJY8" s="500"/>
      <c r="CJZ8" s="500"/>
      <c r="CKA8" s="500"/>
      <c r="CKB8" s="500"/>
      <c r="CKC8" s="500"/>
      <c r="CKD8" s="500"/>
      <c r="CKE8" s="500"/>
      <c r="CKF8" s="500"/>
      <c r="CKG8" s="500"/>
      <c r="CKH8" s="500"/>
      <c r="CKI8" s="500"/>
      <c r="CKJ8" s="500"/>
      <c r="CKK8" s="500"/>
      <c r="CKL8" s="500"/>
      <c r="CKM8" s="500"/>
      <c r="CKN8" s="500"/>
      <c r="CKO8" s="500"/>
      <c r="CKP8" s="500"/>
      <c r="CKQ8" s="500"/>
      <c r="CKR8" s="500"/>
      <c r="CKS8" s="500"/>
      <c r="CKT8" s="500"/>
      <c r="CKU8" s="500"/>
      <c r="CKV8" s="500"/>
      <c r="CKW8" s="500"/>
      <c r="CKX8" s="500"/>
      <c r="CKY8" s="500"/>
      <c r="CKZ8" s="500"/>
      <c r="CLA8" s="500"/>
      <c r="CLB8" s="500"/>
      <c r="CLC8" s="500"/>
      <c r="CLD8" s="500"/>
      <c r="CLE8" s="500"/>
      <c r="CLF8" s="500"/>
      <c r="CLG8" s="500"/>
      <c r="CLH8" s="500"/>
      <c r="CLI8" s="500"/>
      <c r="CLJ8" s="500"/>
      <c r="CLK8" s="500"/>
      <c r="CLL8" s="500"/>
      <c r="CLM8" s="500"/>
      <c r="CLN8" s="500"/>
      <c r="CLO8" s="500"/>
      <c r="CLP8" s="500"/>
      <c r="CLQ8" s="500"/>
      <c r="CLR8" s="500"/>
      <c r="CLS8" s="500"/>
      <c r="CLT8" s="500"/>
      <c r="CLU8" s="500"/>
      <c r="CLV8" s="500"/>
      <c r="CLW8" s="500"/>
      <c r="CLX8" s="500"/>
      <c r="CLY8" s="500"/>
      <c r="CLZ8" s="500"/>
      <c r="CMA8" s="500"/>
      <c r="CMB8" s="500"/>
      <c r="CMC8" s="500"/>
      <c r="CMD8" s="500"/>
      <c r="CME8" s="500"/>
      <c r="CMF8" s="500"/>
      <c r="CMG8" s="500"/>
      <c r="CMH8" s="500"/>
      <c r="CMI8" s="500"/>
      <c r="CMJ8" s="500"/>
      <c r="CMK8" s="500"/>
      <c r="CML8" s="500"/>
      <c r="CMM8" s="500"/>
      <c r="CMN8" s="500"/>
      <c r="CMO8" s="500"/>
      <c r="CMP8" s="500"/>
      <c r="CMQ8" s="500"/>
      <c r="CMR8" s="500"/>
      <c r="CMS8" s="500"/>
      <c r="CMT8" s="500"/>
      <c r="CMU8" s="500"/>
      <c r="CMV8" s="500"/>
      <c r="CMW8" s="500"/>
      <c r="CMX8" s="500"/>
      <c r="CMY8" s="500"/>
      <c r="CMZ8" s="500"/>
      <c r="CNA8" s="500"/>
      <c r="CNB8" s="500"/>
      <c r="CNC8" s="500"/>
      <c r="CND8" s="500"/>
      <c r="CNE8" s="500"/>
      <c r="CNF8" s="500"/>
      <c r="CNG8" s="500"/>
      <c r="CNH8" s="500"/>
      <c r="CNI8" s="500"/>
      <c r="CNJ8" s="500"/>
      <c r="CNK8" s="500"/>
      <c r="CNL8" s="500"/>
      <c r="CNM8" s="500"/>
      <c r="CNN8" s="500"/>
      <c r="CNO8" s="500"/>
      <c r="CNP8" s="500"/>
      <c r="CNQ8" s="500"/>
      <c r="CNR8" s="500"/>
      <c r="CNS8" s="500"/>
      <c r="CNT8" s="500"/>
      <c r="CNU8" s="500"/>
      <c r="CNV8" s="500"/>
      <c r="CNW8" s="500"/>
      <c r="CNX8" s="500"/>
      <c r="CNY8" s="500"/>
      <c r="CNZ8" s="500"/>
      <c r="COA8" s="500"/>
      <c r="COB8" s="500"/>
      <c r="COC8" s="500"/>
      <c r="COD8" s="500"/>
      <c r="COE8" s="500"/>
      <c r="COF8" s="500"/>
      <c r="COG8" s="500"/>
      <c r="COH8" s="500"/>
      <c r="COI8" s="500"/>
      <c r="COJ8" s="500"/>
      <c r="COK8" s="500"/>
      <c r="COL8" s="500"/>
      <c r="COM8" s="500"/>
      <c r="CON8" s="500"/>
      <c r="COO8" s="500"/>
      <c r="COP8" s="500"/>
      <c r="COQ8" s="500"/>
      <c r="COR8" s="500"/>
      <c r="COS8" s="500"/>
      <c r="COT8" s="500"/>
      <c r="COU8" s="500"/>
      <c r="COV8" s="500"/>
      <c r="COW8" s="500"/>
      <c r="COX8" s="500"/>
      <c r="COY8" s="500"/>
      <c r="COZ8" s="500"/>
      <c r="CPA8" s="500"/>
      <c r="CPB8" s="500"/>
      <c r="CPC8" s="500"/>
      <c r="CPD8" s="500"/>
      <c r="CPE8" s="500"/>
      <c r="CPF8" s="500"/>
      <c r="CPG8" s="500"/>
      <c r="CPH8" s="500"/>
      <c r="CPI8" s="500"/>
      <c r="CPJ8" s="500"/>
      <c r="CPK8" s="500"/>
      <c r="CPL8" s="500"/>
      <c r="CPM8" s="500"/>
      <c r="CPN8" s="500"/>
      <c r="CPO8" s="500"/>
      <c r="CPP8" s="500"/>
      <c r="CPQ8" s="500"/>
      <c r="CPR8" s="500"/>
      <c r="CPS8" s="500"/>
      <c r="CPT8" s="500"/>
      <c r="CPU8" s="500"/>
      <c r="CPV8" s="500"/>
      <c r="CPW8" s="500"/>
      <c r="CPX8" s="500"/>
      <c r="CPY8" s="500"/>
      <c r="CPZ8" s="500"/>
      <c r="CQA8" s="500"/>
      <c r="CQB8" s="500"/>
      <c r="CQC8" s="500"/>
      <c r="CQD8" s="500"/>
      <c r="CQE8" s="500"/>
      <c r="CQF8" s="500"/>
      <c r="CQG8" s="500"/>
      <c r="CQH8" s="500"/>
      <c r="CQI8" s="500"/>
      <c r="CQJ8" s="500"/>
      <c r="CQK8" s="500"/>
      <c r="CQL8" s="500"/>
      <c r="CQM8" s="500"/>
      <c r="CQN8" s="500"/>
      <c r="CQO8" s="500"/>
      <c r="CQP8" s="500"/>
      <c r="CQQ8" s="500"/>
      <c r="CQR8" s="500"/>
      <c r="CQS8" s="500"/>
      <c r="CQT8" s="500"/>
      <c r="CQU8" s="500"/>
      <c r="CQV8" s="500"/>
      <c r="CQW8" s="500"/>
      <c r="CQX8" s="500"/>
      <c r="CQY8" s="500"/>
      <c r="CQZ8" s="500"/>
      <c r="CRA8" s="500"/>
      <c r="CRB8" s="500"/>
      <c r="CRC8" s="500"/>
      <c r="CRD8" s="500"/>
      <c r="CRE8" s="500"/>
      <c r="CRF8" s="500"/>
      <c r="CRG8" s="500"/>
      <c r="CRH8" s="500"/>
      <c r="CRI8" s="500"/>
      <c r="CRJ8" s="500"/>
      <c r="CRK8" s="500"/>
      <c r="CRL8" s="500"/>
      <c r="CRM8" s="500"/>
      <c r="CRN8" s="500"/>
      <c r="CRO8" s="500"/>
      <c r="CRP8" s="500"/>
      <c r="CRQ8" s="500"/>
      <c r="CRR8" s="500"/>
      <c r="CRS8" s="500"/>
      <c r="CRT8" s="500"/>
      <c r="CRU8" s="500"/>
      <c r="CRV8" s="500"/>
      <c r="CRW8" s="500"/>
      <c r="CRX8" s="500"/>
      <c r="CRY8" s="500"/>
      <c r="CRZ8" s="500"/>
      <c r="CSA8" s="500"/>
      <c r="CSB8" s="500"/>
      <c r="CSC8" s="500"/>
      <c r="CSD8" s="500"/>
      <c r="CSE8" s="500"/>
      <c r="CSF8" s="500"/>
      <c r="CSG8" s="500"/>
      <c r="CSH8" s="500"/>
      <c r="CSI8" s="500"/>
      <c r="CSJ8" s="500"/>
      <c r="CSK8" s="500"/>
      <c r="CSL8" s="500"/>
      <c r="CSM8" s="500"/>
      <c r="CSN8" s="500"/>
      <c r="CSO8" s="500"/>
      <c r="CSP8" s="500"/>
      <c r="CSQ8" s="500"/>
      <c r="CSR8" s="500"/>
      <c r="CSS8" s="500"/>
      <c r="CST8" s="500"/>
      <c r="CSU8" s="500"/>
      <c r="CSV8" s="500"/>
      <c r="CSW8" s="500"/>
      <c r="CSX8" s="500"/>
      <c r="CSY8" s="500"/>
      <c r="CSZ8" s="500"/>
      <c r="CTA8" s="500"/>
      <c r="CTB8" s="500"/>
      <c r="CTC8" s="500"/>
      <c r="CTD8" s="500"/>
      <c r="CTE8" s="500"/>
      <c r="CTF8" s="500"/>
      <c r="CTG8" s="500"/>
      <c r="CTH8" s="500"/>
      <c r="CTI8" s="500"/>
      <c r="CTJ8" s="500"/>
      <c r="CTK8" s="500"/>
      <c r="CTL8" s="500"/>
      <c r="CTM8" s="500"/>
      <c r="CTN8" s="500"/>
      <c r="CTO8" s="500"/>
      <c r="CTP8" s="500"/>
      <c r="CTQ8" s="500"/>
      <c r="CTR8" s="500"/>
      <c r="CTS8" s="500"/>
      <c r="CTT8" s="500"/>
      <c r="CTU8" s="500"/>
      <c r="CTV8" s="500"/>
      <c r="CTW8" s="500"/>
      <c r="CTX8" s="500"/>
      <c r="CTY8" s="500"/>
      <c r="CTZ8" s="500"/>
      <c r="CUA8" s="500"/>
      <c r="CUB8" s="500"/>
      <c r="CUC8" s="500"/>
      <c r="CUD8" s="500"/>
      <c r="CUE8" s="500"/>
      <c r="CUF8" s="500"/>
      <c r="CUG8" s="500"/>
      <c r="CUH8" s="500"/>
      <c r="CUI8" s="500"/>
      <c r="CUJ8" s="500"/>
      <c r="CUK8" s="500"/>
      <c r="CUL8" s="500"/>
      <c r="CUM8" s="500"/>
      <c r="CUN8" s="500"/>
      <c r="CUO8" s="500"/>
      <c r="CUP8" s="500"/>
      <c r="CUQ8" s="500"/>
      <c r="CUR8" s="500"/>
      <c r="CUS8" s="500"/>
      <c r="CUT8" s="500"/>
      <c r="CUU8" s="500"/>
      <c r="CUV8" s="500"/>
      <c r="CUW8" s="500"/>
      <c r="CUX8" s="500"/>
      <c r="CUY8" s="500"/>
      <c r="CUZ8" s="500"/>
      <c r="CVA8" s="500"/>
      <c r="CVB8" s="500"/>
      <c r="CVC8" s="500"/>
      <c r="CVD8" s="500"/>
      <c r="CVE8" s="500"/>
      <c r="CVF8" s="500"/>
      <c r="CVG8" s="500"/>
      <c r="CVH8" s="500"/>
      <c r="CVI8" s="500"/>
      <c r="CVJ8" s="500"/>
      <c r="CVK8" s="500"/>
      <c r="CVL8" s="500"/>
      <c r="CVM8" s="500"/>
      <c r="CVN8" s="500"/>
      <c r="CVO8" s="500"/>
      <c r="CVP8" s="500"/>
      <c r="CVQ8" s="500"/>
      <c r="CVR8" s="500"/>
      <c r="CVS8" s="500"/>
      <c r="CVT8" s="500"/>
      <c r="CVU8" s="500"/>
      <c r="CVV8" s="500"/>
      <c r="CVW8" s="500"/>
      <c r="CVX8" s="500"/>
      <c r="CVY8" s="500"/>
      <c r="CVZ8" s="500"/>
      <c r="CWA8" s="500"/>
      <c r="CWB8" s="500"/>
      <c r="CWC8" s="500"/>
      <c r="CWD8" s="500"/>
      <c r="CWE8" s="500"/>
      <c r="CWF8" s="500"/>
      <c r="CWG8" s="500"/>
      <c r="CWH8" s="500"/>
      <c r="CWI8" s="500"/>
      <c r="CWJ8" s="500"/>
      <c r="CWK8" s="500"/>
      <c r="CWL8" s="500"/>
      <c r="CWM8" s="500"/>
      <c r="CWN8" s="500"/>
      <c r="CWO8" s="500"/>
      <c r="CWP8" s="500"/>
      <c r="CWQ8" s="500"/>
      <c r="CWR8" s="500"/>
      <c r="CWS8" s="500"/>
      <c r="CWT8" s="500"/>
      <c r="CWU8" s="500"/>
      <c r="CWV8" s="500"/>
      <c r="CWW8" s="500"/>
      <c r="CWX8" s="500"/>
      <c r="CWY8" s="500"/>
      <c r="CWZ8" s="500"/>
      <c r="CXA8" s="500"/>
      <c r="CXB8" s="500"/>
      <c r="CXC8" s="500"/>
      <c r="CXD8" s="500"/>
      <c r="CXE8" s="500"/>
      <c r="CXF8" s="500"/>
      <c r="CXG8" s="500"/>
      <c r="CXH8" s="500"/>
      <c r="CXI8" s="500"/>
      <c r="CXJ8" s="500"/>
      <c r="CXK8" s="500"/>
      <c r="CXL8" s="500"/>
      <c r="CXM8" s="500"/>
      <c r="CXN8" s="500"/>
      <c r="CXO8" s="500"/>
      <c r="CXP8" s="500"/>
      <c r="CXQ8" s="500"/>
      <c r="CXR8" s="500"/>
      <c r="CXS8" s="500"/>
      <c r="CXT8" s="500"/>
      <c r="CXU8" s="500"/>
      <c r="CXV8" s="500"/>
      <c r="CXW8" s="500"/>
      <c r="CXX8" s="500"/>
      <c r="CXY8" s="500"/>
      <c r="CXZ8" s="500"/>
      <c r="CYA8" s="500"/>
      <c r="CYB8" s="500"/>
      <c r="CYC8" s="500"/>
      <c r="CYD8" s="500"/>
      <c r="CYE8" s="500"/>
      <c r="CYF8" s="500"/>
      <c r="CYG8" s="500"/>
      <c r="CYH8" s="500"/>
      <c r="CYI8" s="500"/>
      <c r="CYJ8" s="500"/>
      <c r="CYK8" s="500"/>
      <c r="CYL8" s="500"/>
      <c r="CYM8" s="500"/>
      <c r="CYN8" s="500"/>
      <c r="CYO8" s="500"/>
      <c r="CYP8" s="500"/>
      <c r="CYQ8" s="500"/>
      <c r="CYR8" s="500"/>
      <c r="CYS8" s="500"/>
      <c r="CYT8" s="500"/>
      <c r="CYU8" s="500"/>
      <c r="CYV8" s="500"/>
      <c r="CYW8" s="500"/>
      <c r="CYX8" s="500"/>
      <c r="CYY8" s="500"/>
      <c r="CYZ8" s="500"/>
      <c r="CZA8" s="500"/>
      <c r="CZB8" s="500"/>
      <c r="CZC8" s="500"/>
      <c r="CZD8" s="500"/>
      <c r="CZE8" s="500"/>
      <c r="CZF8" s="500"/>
      <c r="CZG8" s="500"/>
      <c r="CZH8" s="500"/>
      <c r="CZI8" s="500"/>
      <c r="CZJ8" s="500"/>
      <c r="CZK8" s="500"/>
      <c r="CZL8" s="500"/>
      <c r="CZM8" s="500"/>
      <c r="CZN8" s="500"/>
      <c r="CZO8" s="500"/>
      <c r="CZP8" s="500"/>
      <c r="CZQ8" s="500"/>
      <c r="CZR8" s="500"/>
      <c r="CZS8" s="500"/>
      <c r="CZT8" s="500"/>
      <c r="CZU8" s="500"/>
      <c r="CZV8" s="500"/>
      <c r="CZW8" s="500"/>
      <c r="CZX8" s="500"/>
      <c r="CZY8" s="500"/>
      <c r="CZZ8" s="500"/>
      <c r="DAA8" s="500"/>
      <c r="DAB8" s="500"/>
      <c r="DAC8" s="500"/>
      <c r="DAD8" s="500"/>
      <c r="DAE8" s="500"/>
      <c r="DAF8" s="500"/>
      <c r="DAG8" s="500"/>
      <c r="DAH8" s="500"/>
      <c r="DAI8" s="500"/>
      <c r="DAJ8" s="500"/>
      <c r="DAK8" s="500"/>
      <c r="DAL8" s="500"/>
      <c r="DAM8" s="500"/>
      <c r="DAN8" s="500"/>
      <c r="DAO8" s="500"/>
      <c r="DAP8" s="500"/>
      <c r="DAQ8" s="500"/>
      <c r="DAR8" s="500"/>
      <c r="DAS8" s="500"/>
      <c r="DAT8" s="500"/>
      <c r="DAU8" s="500"/>
      <c r="DAV8" s="500"/>
      <c r="DAW8" s="500"/>
      <c r="DAX8" s="500"/>
      <c r="DAY8" s="500"/>
      <c r="DAZ8" s="500"/>
      <c r="DBA8" s="500"/>
      <c r="DBB8" s="500"/>
      <c r="DBC8" s="500"/>
      <c r="DBD8" s="500"/>
      <c r="DBE8" s="500"/>
      <c r="DBF8" s="500"/>
      <c r="DBG8" s="500"/>
      <c r="DBH8" s="500"/>
      <c r="DBI8" s="500"/>
      <c r="DBJ8" s="500"/>
      <c r="DBK8" s="500"/>
      <c r="DBL8" s="500"/>
      <c r="DBM8" s="500"/>
      <c r="DBN8" s="500"/>
      <c r="DBO8" s="500"/>
      <c r="DBP8" s="500"/>
      <c r="DBQ8" s="500"/>
      <c r="DBR8" s="500"/>
      <c r="DBS8" s="500"/>
      <c r="DBT8" s="500"/>
      <c r="DBU8" s="500"/>
      <c r="DBV8" s="500"/>
      <c r="DBW8" s="500"/>
      <c r="DBX8" s="500"/>
      <c r="DBY8" s="500"/>
      <c r="DBZ8" s="500"/>
      <c r="DCA8" s="500"/>
      <c r="DCB8" s="500"/>
      <c r="DCC8" s="500"/>
      <c r="DCD8" s="500"/>
      <c r="DCE8" s="500"/>
      <c r="DCF8" s="500"/>
      <c r="DCG8" s="500"/>
      <c r="DCH8" s="500"/>
      <c r="DCI8" s="500"/>
      <c r="DCJ8" s="500"/>
      <c r="DCK8" s="500"/>
      <c r="DCL8" s="500"/>
      <c r="DCM8" s="500"/>
      <c r="DCN8" s="500"/>
      <c r="DCO8" s="500"/>
      <c r="DCP8" s="500"/>
      <c r="DCQ8" s="500"/>
      <c r="DCR8" s="500"/>
      <c r="DCS8" s="500"/>
      <c r="DCT8" s="500"/>
      <c r="DCU8" s="500"/>
      <c r="DCV8" s="500"/>
      <c r="DCW8" s="500"/>
      <c r="DCX8" s="500"/>
      <c r="DCY8" s="500"/>
      <c r="DCZ8" s="500"/>
      <c r="DDA8" s="500"/>
      <c r="DDB8" s="500"/>
      <c r="DDC8" s="500"/>
      <c r="DDD8" s="500"/>
      <c r="DDE8" s="500"/>
      <c r="DDF8" s="500"/>
      <c r="DDG8" s="500"/>
      <c r="DDH8" s="500"/>
      <c r="DDI8" s="500"/>
      <c r="DDJ8" s="500"/>
      <c r="DDK8" s="500"/>
      <c r="DDL8" s="500"/>
      <c r="DDM8" s="500"/>
      <c r="DDN8" s="500"/>
      <c r="DDO8" s="500"/>
      <c r="DDP8" s="500"/>
      <c r="DDQ8" s="500"/>
      <c r="DDR8" s="500"/>
      <c r="DDS8" s="500"/>
      <c r="DDT8" s="500"/>
      <c r="DDU8" s="500"/>
      <c r="DDV8" s="500"/>
      <c r="DDW8" s="500"/>
      <c r="DDX8" s="500"/>
      <c r="DDY8" s="500"/>
      <c r="DDZ8" s="500"/>
      <c r="DEA8" s="500"/>
      <c r="DEB8" s="500"/>
      <c r="DEC8" s="500"/>
      <c r="DED8" s="500"/>
      <c r="DEE8" s="500"/>
      <c r="DEF8" s="500"/>
      <c r="DEG8" s="500"/>
      <c r="DEH8" s="500"/>
      <c r="DEI8" s="500"/>
      <c r="DEJ8" s="500"/>
      <c r="DEK8" s="500"/>
      <c r="DEL8" s="500"/>
      <c r="DEM8" s="500"/>
      <c r="DEN8" s="500"/>
      <c r="DEO8" s="500"/>
      <c r="DEP8" s="500"/>
      <c r="DEQ8" s="500"/>
      <c r="DER8" s="500"/>
      <c r="DES8" s="500"/>
      <c r="DET8" s="500"/>
      <c r="DEU8" s="500"/>
      <c r="DEV8" s="500"/>
      <c r="DEW8" s="500"/>
      <c r="DEX8" s="500"/>
      <c r="DEY8" s="500"/>
      <c r="DEZ8" s="500"/>
      <c r="DFA8" s="500"/>
      <c r="DFB8" s="500"/>
      <c r="DFC8" s="500"/>
      <c r="DFD8" s="500"/>
      <c r="DFE8" s="500"/>
      <c r="DFF8" s="500"/>
      <c r="DFG8" s="500"/>
      <c r="DFH8" s="500"/>
      <c r="DFI8" s="500"/>
      <c r="DFJ8" s="500"/>
      <c r="DFK8" s="500"/>
      <c r="DFL8" s="500"/>
      <c r="DFM8" s="500"/>
      <c r="DFN8" s="500"/>
      <c r="DFO8" s="500"/>
      <c r="DFP8" s="500"/>
      <c r="DFQ8" s="500"/>
      <c r="DFR8" s="500"/>
      <c r="DFS8" s="500"/>
      <c r="DFT8" s="500"/>
      <c r="DFU8" s="500"/>
      <c r="DFV8" s="500"/>
      <c r="DFW8" s="500"/>
      <c r="DFX8" s="500"/>
      <c r="DFY8" s="500"/>
      <c r="DFZ8" s="500"/>
      <c r="DGA8" s="500"/>
      <c r="DGB8" s="500"/>
      <c r="DGC8" s="500"/>
      <c r="DGD8" s="500"/>
      <c r="DGE8" s="500"/>
      <c r="DGF8" s="500"/>
      <c r="DGG8" s="500"/>
      <c r="DGH8" s="500"/>
      <c r="DGI8" s="500"/>
      <c r="DGJ8" s="500"/>
      <c r="DGK8" s="500"/>
      <c r="DGL8" s="500"/>
      <c r="DGM8" s="500"/>
      <c r="DGN8" s="500"/>
      <c r="DGO8" s="500"/>
      <c r="DGP8" s="500"/>
      <c r="DGQ8" s="500"/>
      <c r="DGR8" s="500"/>
      <c r="DGS8" s="500"/>
      <c r="DGT8" s="500"/>
      <c r="DGU8" s="500"/>
      <c r="DGV8" s="500"/>
      <c r="DGW8" s="500"/>
      <c r="DGX8" s="500"/>
      <c r="DGY8" s="500"/>
      <c r="DGZ8" s="500"/>
      <c r="DHA8" s="500"/>
      <c r="DHB8" s="500"/>
      <c r="DHC8" s="500"/>
      <c r="DHD8" s="500"/>
      <c r="DHE8" s="500"/>
      <c r="DHF8" s="500"/>
      <c r="DHG8" s="500"/>
      <c r="DHH8" s="500"/>
      <c r="DHI8" s="500"/>
      <c r="DHJ8" s="500"/>
      <c r="DHK8" s="500"/>
      <c r="DHL8" s="500"/>
      <c r="DHM8" s="500"/>
      <c r="DHN8" s="500"/>
      <c r="DHO8" s="500"/>
      <c r="DHP8" s="500"/>
      <c r="DHQ8" s="500"/>
      <c r="DHR8" s="500"/>
      <c r="DHS8" s="500"/>
      <c r="DHT8" s="500"/>
      <c r="DHU8" s="500"/>
      <c r="DHV8" s="500"/>
      <c r="DHW8" s="500"/>
      <c r="DHX8" s="500"/>
      <c r="DHY8" s="500"/>
      <c r="DHZ8" s="500"/>
      <c r="DIA8" s="500"/>
      <c r="DIB8" s="500"/>
      <c r="DIC8" s="500"/>
      <c r="DID8" s="500"/>
      <c r="DIE8" s="500"/>
      <c r="DIF8" s="500"/>
      <c r="DIG8" s="500"/>
      <c r="DIH8" s="500"/>
      <c r="DII8" s="500"/>
      <c r="DIJ8" s="500"/>
      <c r="DIK8" s="500"/>
      <c r="DIL8" s="500"/>
      <c r="DIM8" s="500"/>
      <c r="DIN8" s="500"/>
      <c r="DIO8" s="500"/>
      <c r="DIP8" s="500"/>
      <c r="DIQ8" s="500"/>
      <c r="DIR8" s="500"/>
      <c r="DIS8" s="500"/>
      <c r="DIT8" s="500"/>
      <c r="DIU8" s="500"/>
      <c r="DIV8" s="500"/>
      <c r="DIW8" s="500"/>
      <c r="DIX8" s="500"/>
      <c r="DIY8" s="500"/>
      <c r="DIZ8" s="500"/>
      <c r="DJA8" s="500"/>
      <c r="DJB8" s="500"/>
      <c r="DJC8" s="500"/>
      <c r="DJD8" s="500"/>
      <c r="DJE8" s="500"/>
      <c r="DJF8" s="500"/>
      <c r="DJG8" s="500"/>
      <c r="DJH8" s="500"/>
      <c r="DJI8" s="500"/>
      <c r="DJJ8" s="500"/>
      <c r="DJK8" s="500"/>
      <c r="DJL8" s="500"/>
      <c r="DJM8" s="500"/>
      <c r="DJN8" s="500"/>
      <c r="DJO8" s="500"/>
      <c r="DJP8" s="500"/>
      <c r="DJQ8" s="500"/>
      <c r="DJR8" s="500"/>
      <c r="DJS8" s="500"/>
      <c r="DJT8" s="500"/>
      <c r="DJU8" s="500"/>
      <c r="DJV8" s="500"/>
      <c r="DJW8" s="500"/>
      <c r="DJX8" s="500"/>
      <c r="DJY8" s="500"/>
      <c r="DJZ8" s="500"/>
      <c r="DKA8" s="500"/>
      <c r="DKB8" s="500"/>
      <c r="DKC8" s="500"/>
      <c r="DKD8" s="500"/>
      <c r="DKE8" s="500"/>
      <c r="DKF8" s="500"/>
      <c r="DKG8" s="500"/>
      <c r="DKH8" s="500"/>
      <c r="DKI8" s="500"/>
      <c r="DKJ8" s="500"/>
      <c r="DKK8" s="500"/>
      <c r="DKL8" s="500"/>
      <c r="DKM8" s="500"/>
      <c r="DKN8" s="500"/>
      <c r="DKO8" s="500"/>
      <c r="DKP8" s="500"/>
      <c r="DKQ8" s="500"/>
      <c r="DKR8" s="500"/>
      <c r="DKS8" s="500"/>
      <c r="DKT8" s="500"/>
      <c r="DKU8" s="500"/>
      <c r="DKV8" s="500"/>
      <c r="DKW8" s="500"/>
      <c r="DKX8" s="500"/>
      <c r="DKY8" s="500"/>
      <c r="DKZ8" s="500"/>
      <c r="DLA8" s="500"/>
      <c r="DLB8" s="500"/>
      <c r="DLC8" s="500"/>
      <c r="DLD8" s="500"/>
      <c r="DLE8" s="500"/>
      <c r="DLF8" s="500"/>
      <c r="DLG8" s="500"/>
      <c r="DLH8" s="500"/>
      <c r="DLI8" s="500"/>
      <c r="DLJ8" s="500"/>
      <c r="DLK8" s="500"/>
      <c r="DLL8" s="500"/>
      <c r="DLM8" s="500"/>
      <c r="DLN8" s="500"/>
      <c r="DLO8" s="500"/>
      <c r="DLP8" s="500"/>
      <c r="DLQ8" s="500"/>
      <c r="DLR8" s="500"/>
      <c r="DLS8" s="500"/>
      <c r="DLT8" s="500"/>
      <c r="DLU8" s="500"/>
      <c r="DLV8" s="500"/>
      <c r="DLW8" s="500"/>
      <c r="DLX8" s="500"/>
      <c r="DLY8" s="500"/>
      <c r="DLZ8" s="500"/>
      <c r="DMA8" s="500"/>
      <c r="DMB8" s="500"/>
      <c r="DMC8" s="500"/>
      <c r="DMD8" s="500"/>
      <c r="DME8" s="500"/>
      <c r="DMF8" s="500"/>
      <c r="DMG8" s="500"/>
      <c r="DMH8" s="500"/>
      <c r="DMI8" s="500"/>
      <c r="DMJ8" s="500"/>
      <c r="DMK8" s="500"/>
      <c r="DML8" s="500"/>
      <c r="DMM8" s="500"/>
      <c r="DMN8" s="500"/>
      <c r="DMO8" s="500"/>
      <c r="DMP8" s="500"/>
      <c r="DMQ8" s="500"/>
      <c r="DMR8" s="500"/>
      <c r="DMS8" s="500"/>
      <c r="DMT8" s="500"/>
      <c r="DMU8" s="500"/>
      <c r="DMV8" s="500"/>
      <c r="DMW8" s="500"/>
      <c r="DMX8" s="500"/>
      <c r="DMY8" s="500"/>
      <c r="DMZ8" s="500"/>
      <c r="DNA8" s="500"/>
      <c r="DNB8" s="500"/>
      <c r="DNC8" s="500"/>
      <c r="DND8" s="500"/>
      <c r="DNE8" s="500"/>
      <c r="DNF8" s="500"/>
      <c r="DNG8" s="500"/>
      <c r="DNH8" s="500"/>
      <c r="DNI8" s="500"/>
      <c r="DNJ8" s="500"/>
      <c r="DNK8" s="500"/>
      <c r="DNL8" s="500"/>
      <c r="DNM8" s="500"/>
      <c r="DNN8" s="500"/>
      <c r="DNO8" s="500"/>
      <c r="DNP8" s="500"/>
      <c r="DNQ8" s="500"/>
      <c r="DNR8" s="500"/>
      <c r="DNS8" s="500"/>
      <c r="DNT8" s="500"/>
      <c r="DNU8" s="500"/>
      <c r="DNV8" s="500"/>
      <c r="DNW8" s="500"/>
      <c r="DNX8" s="500"/>
      <c r="DNY8" s="500"/>
      <c r="DNZ8" s="500"/>
      <c r="DOA8" s="500"/>
      <c r="DOB8" s="500"/>
      <c r="DOC8" s="500"/>
      <c r="DOD8" s="500"/>
      <c r="DOE8" s="500"/>
      <c r="DOF8" s="500"/>
      <c r="DOG8" s="500"/>
      <c r="DOH8" s="500"/>
      <c r="DOI8" s="500"/>
      <c r="DOJ8" s="500"/>
      <c r="DOK8" s="500"/>
      <c r="DOL8" s="500"/>
      <c r="DOM8" s="500"/>
      <c r="DON8" s="500"/>
      <c r="DOO8" s="500"/>
      <c r="DOP8" s="500"/>
      <c r="DOQ8" s="500"/>
      <c r="DOR8" s="500"/>
      <c r="DOS8" s="500"/>
      <c r="DOT8" s="500"/>
      <c r="DOU8" s="500"/>
      <c r="DOV8" s="500"/>
      <c r="DOW8" s="500"/>
      <c r="DOX8" s="500"/>
      <c r="DOY8" s="500"/>
      <c r="DOZ8" s="500"/>
      <c r="DPA8" s="500"/>
      <c r="DPB8" s="500"/>
      <c r="DPC8" s="500"/>
      <c r="DPD8" s="500"/>
      <c r="DPE8" s="500"/>
      <c r="DPF8" s="500"/>
      <c r="DPG8" s="500"/>
      <c r="DPH8" s="500"/>
      <c r="DPI8" s="500"/>
      <c r="DPJ8" s="500"/>
      <c r="DPK8" s="500"/>
      <c r="DPL8" s="500"/>
      <c r="DPM8" s="500"/>
      <c r="DPN8" s="500"/>
      <c r="DPO8" s="500"/>
      <c r="DPP8" s="500"/>
      <c r="DPQ8" s="500"/>
      <c r="DPR8" s="500"/>
      <c r="DPS8" s="500"/>
      <c r="DPT8" s="500"/>
      <c r="DPU8" s="500"/>
      <c r="DPV8" s="500"/>
      <c r="DPW8" s="500"/>
      <c r="DPX8" s="500"/>
      <c r="DPY8" s="500"/>
      <c r="DPZ8" s="500"/>
      <c r="DQA8" s="500"/>
      <c r="DQB8" s="500"/>
      <c r="DQC8" s="500"/>
      <c r="DQD8" s="500"/>
      <c r="DQE8" s="500"/>
      <c r="DQF8" s="500"/>
      <c r="DQG8" s="500"/>
      <c r="DQH8" s="500"/>
      <c r="DQI8" s="500"/>
      <c r="DQJ8" s="500"/>
      <c r="DQK8" s="500"/>
      <c r="DQL8" s="500"/>
      <c r="DQM8" s="500"/>
      <c r="DQN8" s="500"/>
      <c r="DQO8" s="500"/>
      <c r="DQP8" s="500"/>
      <c r="DQQ8" s="500"/>
      <c r="DQR8" s="500"/>
      <c r="DQS8" s="500"/>
      <c r="DQT8" s="500"/>
      <c r="DQU8" s="500"/>
      <c r="DQV8" s="500"/>
      <c r="DQW8" s="500"/>
      <c r="DQX8" s="500"/>
      <c r="DQY8" s="500"/>
      <c r="DQZ8" s="500"/>
      <c r="DRA8" s="500"/>
      <c r="DRB8" s="500"/>
      <c r="DRC8" s="500"/>
      <c r="DRD8" s="500"/>
      <c r="DRE8" s="500"/>
      <c r="DRF8" s="500"/>
      <c r="DRG8" s="500"/>
      <c r="DRH8" s="500"/>
      <c r="DRI8" s="500"/>
      <c r="DRJ8" s="500"/>
      <c r="DRK8" s="500"/>
      <c r="DRL8" s="500"/>
      <c r="DRM8" s="500"/>
      <c r="DRN8" s="500"/>
      <c r="DRO8" s="500"/>
      <c r="DRP8" s="500"/>
      <c r="DRQ8" s="500"/>
      <c r="DRR8" s="500"/>
      <c r="DRS8" s="500"/>
      <c r="DRT8" s="500"/>
      <c r="DRU8" s="500"/>
      <c r="DRV8" s="500"/>
      <c r="DRW8" s="500"/>
      <c r="DRX8" s="500"/>
      <c r="DRY8" s="500"/>
      <c r="DRZ8" s="500"/>
      <c r="DSA8" s="500"/>
      <c r="DSB8" s="500"/>
      <c r="DSC8" s="500"/>
      <c r="DSD8" s="500"/>
      <c r="DSE8" s="500"/>
      <c r="DSF8" s="500"/>
      <c r="DSG8" s="500"/>
      <c r="DSH8" s="500"/>
      <c r="DSI8" s="500"/>
      <c r="DSJ8" s="500"/>
      <c r="DSK8" s="500"/>
      <c r="DSL8" s="500"/>
      <c r="DSM8" s="500"/>
      <c r="DSN8" s="500"/>
      <c r="DSO8" s="500"/>
      <c r="DSP8" s="500"/>
      <c r="DSQ8" s="500"/>
      <c r="DSR8" s="500"/>
      <c r="DSS8" s="500"/>
      <c r="DST8" s="500"/>
      <c r="DSU8" s="500"/>
      <c r="DSV8" s="500"/>
      <c r="DSW8" s="500"/>
      <c r="DSX8" s="500"/>
      <c r="DSY8" s="500"/>
      <c r="DSZ8" s="500"/>
      <c r="DTA8" s="500"/>
      <c r="DTB8" s="500"/>
      <c r="DTC8" s="500"/>
      <c r="DTD8" s="500"/>
      <c r="DTE8" s="500"/>
      <c r="DTF8" s="500"/>
      <c r="DTG8" s="500"/>
      <c r="DTH8" s="500"/>
      <c r="DTI8" s="500"/>
      <c r="DTJ8" s="500"/>
      <c r="DTK8" s="500"/>
      <c r="DTL8" s="500"/>
      <c r="DTM8" s="500"/>
      <c r="DTN8" s="500"/>
      <c r="DTO8" s="500"/>
      <c r="DTP8" s="500"/>
      <c r="DTQ8" s="500"/>
      <c r="DTR8" s="500"/>
      <c r="DTS8" s="500"/>
      <c r="DTT8" s="500"/>
      <c r="DTU8" s="500"/>
      <c r="DTV8" s="500"/>
      <c r="DTW8" s="500"/>
      <c r="DTX8" s="500"/>
      <c r="DTY8" s="500"/>
      <c r="DTZ8" s="500"/>
      <c r="DUA8" s="500"/>
      <c r="DUB8" s="500"/>
      <c r="DUC8" s="500"/>
      <c r="DUD8" s="500"/>
      <c r="DUE8" s="500"/>
      <c r="DUF8" s="500"/>
      <c r="DUG8" s="500"/>
      <c r="DUH8" s="500"/>
      <c r="DUI8" s="500"/>
      <c r="DUJ8" s="500"/>
      <c r="DUK8" s="500"/>
      <c r="DUL8" s="500"/>
      <c r="DUM8" s="500"/>
      <c r="DUN8" s="500"/>
      <c r="DUO8" s="500"/>
      <c r="DUP8" s="500"/>
      <c r="DUQ8" s="500"/>
      <c r="DUR8" s="500"/>
      <c r="DUS8" s="500"/>
      <c r="DUT8" s="500"/>
      <c r="DUU8" s="500"/>
      <c r="DUV8" s="500"/>
      <c r="DUW8" s="500"/>
      <c r="DUX8" s="500"/>
      <c r="DUY8" s="500"/>
      <c r="DUZ8" s="500"/>
      <c r="DVA8" s="500"/>
      <c r="DVB8" s="500"/>
      <c r="DVC8" s="500"/>
      <c r="DVD8" s="500"/>
      <c r="DVE8" s="500"/>
      <c r="DVF8" s="500"/>
      <c r="DVG8" s="500"/>
      <c r="DVH8" s="500"/>
      <c r="DVI8" s="500"/>
      <c r="DVJ8" s="500"/>
      <c r="DVK8" s="500"/>
      <c r="DVL8" s="500"/>
      <c r="DVM8" s="500"/>
      <c r="DVN8" s="500"/>
      <c r="DVO8" s="500"/>
      <c r="DVP8" s="500"/>
      <c r="DVQ8" s="500"/>
      <c r="DVR8" s="500"/>
      <c r="DVS8" s="500"/>
      <c r="DVT8" s="500"/>
      <c r="DVU8" s="500"/>
      <c r="DVV8" s="500"/>
      <c r="DVW8" s="500"/>
      <c r="DVX8" s="500"/>
      <c r="DVY8" s="500"/>
      <c r="DVZ8" s="500"/>
      <c r="DWA8" s="500"/>
      <c r="DWB8" s="500"/>
      <c r="DWC8" s="500"/>
      <c r="DWD8" s="500"/>
      <c r="DWE8" s="500"/>
      <c r="DWF8" s="500"/>
      <c r="DWG8" s="500"/>
      <c r="DWH8" s="500"/>
      <c r="DWI8" s="500"/>
      <c r="DWJ8" s="500"/>
      <c r="DWK8" s="500"/>
      <c r="DWL8" s="500"/>
      <c r="DWM8" s="500"/>
      <c r="DWN8" s="500"/>
      <c r="DWO8" s="500"/>
      <c r="DWP8" s="500"/>
      <c r="DWQ8" s="500"/>
      <c r="DWR8" s="500"/>
      <c r="DWS8" s="500"/>
      <c r="DWT8" s="500"/>
      <c r="DWU8" s="500"/>
      <c r="DWV8" s="500"/>
      <c r="DWW8" s="500"/>
      <c r="DWX8" s="500"/>
      <c r="DWY8" s="500"/>
      <c r="DWZ8" s="500"/>
      <c r="DXA8" s="500"/>
      <c r="DXB8" s="500"/>
      <c r="DXC8" s="500"/>
      <c r="DXD8" s="500"/>
      <c r="DXE8" s="500"/>
      <c r="DXF8" s="500"/>
      <c r="DXG8" s="500"/>
      <c r="DXH8" s="500"/>
      <c r="DXI8" s="500"/>
      <c r="DXJ8" s="500"/>
      <c r="DXK8" s="500"/>
      <c r="DXL8" s="500"/>
      <c r="DXM8" s="500"/>
      <c r="DXN8" s="500"/>
      <c r="DXO8" s="500"/>
      <c r="DXP8" s="500"/>
      <c r="DXQ8" s="500"/>
      <c r="DXR8" s="500"/>
      <c r="DXS8" s="500"/>
      <c r="DXT8" s="500"/>
      <c r="DXU8" s="500"/>
      <c r="DXV8" s="500"/>
      <c r="DXW8" s="500"/>
      <c r="DXX8" s="500"/>
      <c r="DXY8" s="500"/>
      <c r="DXZ8" s="500"/>
      <c r="DYA8" s="500"/>
      <c r="DYB8" s="500"/>
      <c r="DYC8" s="500"/>
      <c r="DYD8" s="500"/>
      <c r="DYE8" s="500"/>
      <c r="DYF8" s="500"/>
      <c r="DYG8" s="500"/>
      <c r="DYH8" s="500"/>
      <c r="DYI8" s="500"/>
      <c r="DYJ8" s="500"/>
      <c r="DYK8" s="500"/>
      <c r="DYL8" s="500"/>
      <c r="DYM8" s="500"/>
      <c r="DYN8" s="500"/>
      <c r="DYO8" s="500"/>
      <c r="DYP8" s="500"/>
      <c r="DYQ8" s="500"/>
      <c r="DYR8" s="500"/>
      <c r="DYS8" s="500"/>
      <c r="DYT8" s="500"/>
      <c r="DYU8" s="500"/>
      <c r="DYV8" s="500"/>
      <c r="DYW8" s="500"/>
      <c r="DYX8" s="500"/>
      <c r="DYY8" s="500"/>
      <c r="DYZ8" s="500"/>
      <c r="DZA8" s="500"/>
      <c r="DZB8" s="500"/>
      <c r="DZC8" s="500"/>
      <c r="DZD8" s="500"/>
      <c r="DZE8" s="500"/>
      <c r="DZF8" s="500"/>
      <c r="DZG8" s="500"/>
      <c r="DZH8" s="500"/>
      <c r="DZI8" s="500"/>
      <c r="DZJ8" s="500"/>
      <c r="DZK8" s="500"/>
      <c r="DZL8" s="500"/>
      <c r="DZM8" s="500"/>
      <c r="DZN8" s="500"/>
      <c r="DZO8" s="500"/>
      <c r="DZP8" s="500"/>
      <c r="DZQ8" s="500"/>
      <c r="DZR8" s="500"/>
      <c r="DZS8" s="500"/>
      <c r="DZT8" s="500"/>
      <c r="DZU8" s="500"/>
      <c r="DZV8" s="500"/>
      <c r="DZW8" s="500"/>
      <c r="DZX8" s="500"/>
      <c r="DZY8" s="500"/>
      <c r="DZZ8" s="500"/>
      <c r="EAA8" s="500"/>
      <c r="EAB8" s="500"/>
      <c r="EAC8" s="500"/>
      <c r="EAD8" s="500"/>
      <c r="EAE8" s="500"/>
      <c r="EAF8" s="500"/>
      <c r="EAG8" s="500"/>
      <c r="EAH8" s="500"/>
      <c r="EAI8" s="500"/>
      <c r="EAJ8" s="500"/>
      <c r="EAK8" s="500"/>
      <c r="EAL8" s="500"/>
      <c r="EAM8" s="500"/>
      <c r="EAN8" s="500"/>
      <c r="EAO8" s="500"/>
      <c r="EAP8" s="500"/>
      <c r="EAQ8" s="500"/>
      <c r="EAR8" s="500"/>
      <c r="EAS8" s="500"/>
      <c r="EAT8" s="500"/>
      <c r="EAU8" s="500"/>
      <c r="EAV8" s="500"/>
      <c r="EAW8" s="500"/>
      <c r="EAX8" s="500"/>
      <c r="EAY8" s="500"/>
      <c r="EAZ8" s="500"/>
      <c r="EBA8" s="500"/>
      <c r="EBB8" s="500"/>
      <c r="EBC8" s="500"/>
      <c r="EBD8" s="500"/>
      <c r="EBE8" s="500"/>
      <c r="EBF8" s="500"/>
      <c r="EBG8" s="500"/>
      <c r="EBH8" s="500"/>
      <c r="EBI8" s="500"/>
      <c r="EBJ8" s="500"/>
      <c r="EBK8" s="500"/>
      <c r="EBL8" s="500"/>
      <c r="EBM8" s="500"/>
      <c r="EBN8" s="500"/>
      <c r="EBO8" s="500"/>
      <c r="EBP8" s="500"/>
      <c r="EBQ8" s="500"/>
      <c r="EBR8" s="500"/>
      <c r="EBS8" s="500"/>
      <c r="EBT8" s="500"/>
      <c r="EBU8" s="500"/>
      <c r="EBV8" s="500"/>
      <c r="EBW8" s="500"/>
      <c r="EBX8" s="500"/>
      <c r="EBY8" s="500"/>
      <c r="EBZ8" s="500"/>
      <c r="ECA8" s="500"/>
      <c r="ECB8" s="500"/>
      <c r="ECC8" s="500"/>
      <c r="ECD8" s="500"/>
      <c r="ECE8" s="500"/>
      <c r="ECF8" s="500"/>
      <c r="ECG8" s="500"/>
      <c r="ECH8" s="500"/>
      <c r="ECI8" s="500"/>
      <c r="ECJ8" s="500"/>
      <c r="ECK8" s="500"/>
      <c r="ECL8" s="500"/>
      <c r="ECM8" s="500"/>
      <c r="ECN8" s="500"/>
      <c r="ECO8" s="500"/>
      <c r="ECP8" s="500"/>
      <c r="ECQ8" s="500"/>
      <c r="ECR8" s="500"/>
      <c r="ECS8" s="500"/>
      <c r="ECT8" s="500"/>
      <c r="ECU8" s="500"/>
      <c r="ECV8" s="500"/>
      <c r="ECW8" s="500"/>
      <c r="ECX8" s="500"/>
      <c r="ECY8" s="500"/>
      <c r="ECZ8" s="500"/>
      <c r="EDA8" s="500"/>
      <c r="EDB8" s="500"/>
      <c r="EDC8" s="500"/>
      <c r="EDD8" s="500"/>
      <c r="EDE8" s="500"/>
      <c r="EDF8" s="500"/>
      <c r="EDG8" s="500"/>
      <c r="EDH8" s="500"/>
      <c r="EDI8" s="500"/>
      <c r="EDJ8" s="500"/>
      <c r="EDK8" s="500"/>
      <c r="EDL8" s="500"/>
      <c r="EDM8" s="500"/>
      <c r="EDN8" s="500"/>
      <c r="EDO8" s="500"/>
      <c r="EDP8" s="500"/>
      <c r="EDQ8" s="500"/>
      <c r="EDR8" s="500"/>
      <c r="EDS8" s="500"/>
      <c r="EDT8" s="500"/>
      <c r="EDU8" s="500"/>
      <c r="EDV8" s="500"/>
      <c r="EDW8" s="500"/>
      <c r="EDX8" s="500"/>
      <c r="EDY8" s="500"/>
      <c r="EDZ8" s="500"/>
      <c r="EEA8" s="500"/>
      <c r="EEB8" s="500"/>
      <c r="EEC8" s="500"/>
      <c r="EED8" s="500"/>
      <c r="EEE8" s="500"/>
      <c r="EEF8" s="500"/>
      <c r="EEG8" s="500"/>
      <c r="EEH8" s="500"/>
      <c r="EEI8" s="500"/>
      <c r="EEJ8" s="500"/>
      <c r="EEK8" s="500"/>
      <c r="EEL8" s="500"/>
      <c r="EEM8" s="500"/>
      <c r="EEN8" s="500"/>
      <c r="EEO8" s="500"/>
      <c r="EEP8" s="500"/>
      <c r="EEQ8" s="500"/>
      <c r="EER8" s="500"/>
      <c r="EES8" s="500"/>
      <c r="EET8" s="500"/>
      <c r="EEU8" s="500"/>
      <c r="EEV8" s="500"/>
      <c r="EEW8" s="500"/>
      <c r="EEX8" s="500"/>
      <c r="EEY8" s="500"/>
      <c r="EEZ8" s="500"/>
      <c r="EFA8" s="500"/>
      <c r="EFB8" s="500"/>
      <c r="EFC8" s="500"/>
      <c r="EFD8" s="500"/>
      <c r="EFE8" s="500"/>
      <c r="EFF8" s="500"/>
      <c r="EFG8" s="500"/>
      <c r="EFH8" s="500"/>
      <c r="EFI8" s="500"/>
      <c r="EFJ8" s="500"/>
      <c r="EFK8" s="500"/>
      <c r="EFL8" s="500"/>
      <c r="EFM8" s="500"/>
      <c r="EFN8" s="500"/>
      <c r="EFO8" s="500"/>
      <c r="EFP8" s="500"/>
      <c r="EFQ8" s="500"/>
      <c r="EFR8" s="500"/>
      <c r="EFS8" s="500"/>
      <c r="EFT8" s="500"/>
      <c r="EFU8" s="500"/>
      <c r="EFV8" s="500"/>
      <c r="EFW8" s="500"/>
      <c r="EFX8" s="500"/>
      <c r="EFY8" s="500"/>
      <c r="EFZ8" s="500"/>
      <c r="EGA8" s="500"/>
      <c r="EGB8" s="500"/>
      <c r="EGC8" s="500"/>
      <c r="EGD8" s="500"/>
      <c r="EGE8" s="500"/>
      <c r="EGF8" s="500"/>
      <c r="EGG8" s="500"/>
      <c r="EGH8" s="500"/>
      <c r="EGI8" s="500"/>
      <c r="EGJ8" s="500"/>
      <c r="EGK8" s="500"/>
      <c r="EGL8" s="500"/>
      <c r="EGM8" s="500"/>
      <c r="EGN8" s="500"/>
      <c r="EGO8" s="500"/>
      <c r="EGP8" s="500"/>
      <c r="EGQ8" s="500"/>
      <c r="EGR8" s="500"/>
      <c r="EGS8" s="500"/>
      <c r="EGT8" s="500"/>
      <c r="EGU8" s="500"/>
      <c r="EGV8" s="500"/>
      <c r="EGW8" s="500"/>
      <c r="EGX8" s="500"/>
      <c r="EGY8" s="500"/>
      <c r="EGZ8" s="500"/>
      <c r="EHA8" s="500"/>
      <c r="EHB8" s="500"/>
      <c r="EHC8" s="500"/>
      <c r="EHD8" s="500"/>
      <c r="EHE8" s="500"/>
      <c r="EHF8" s="500"/>
      <c r="EHG8" s="500"/>
      <c r="EHH8" s="500"/>
      <c r="EHI8" s="500"/>
      <c r="EHJ8" s="500"/>
      <c r="EHK8" s="500"/>
      <c r="EHL8" s="500"/>
      <c r="EHM8" s="500"/>
      <c r="EHN8" s="500"/>
      <c r="EHO8" s="500"/>
      <c r="EHP8" s="500"/>
      <c r="EHQ8" s="500"/>
      <c r="EHR8" s="500"/>
      <c r="EHS8" s="500"/>
      <c r="EHT8" s="500"/>
      <c r="EHU8" s="500"/>
      <c r="EHV8" s="500"/>
      <c r="EHW8" s="500"/>
      <c r="EHX8" s="500"/>
      <c r="EHY8" s="500"/>
      <c r="EHZ8" s="500"/>
      <c r="EIA8" s="500"/>
      <c r="EIB8" s="500"/>
      <c r="EIC8" s="500"/>
      <c r="EID8" s="500"/>
      <c r="EIE8" s="500"/>
      <c r="EIF8" s="500"/>
      <c r="EIG8" s="500"/>
      <c r="EIH8" s="500"/>
      <c r="EII8" s="500"/>
      <c r="EIJ8" s="500"/>
      <c r="EIK8" s="500"/>
      <c r="EIL8" s="500"/>
      <c r="EIM8" s="500"/>
      <c r="EIN8" s="500"/>
      <c r="EIO8" s="500"/>
      <c r="EIP8" s="500"/>
      <c r="EIQ8" s="500"/>
      <c r="EIR8" s="500"/>
      <c r="EIS8" s="500"/>
      <c r="EIT8" s="500"/>
      <c r="EIU8" s="500"/>
      <c r="EIV8" s="500"/>
      <c r="EIW8" s="500"/>
      <c r="EIX8" s="500"/>
      <c r="EIY8" s="500"/>
      <c r="EIZ8" s="500"/>
      <c r="EJA8" s="500"/>
      <c r="EJB8" s="500"/>
      <c r="EJC8" s="500"/>
      <c r="EJD8" s="500"/>
      <c r="EJE8" s="500"/>
      <c r="EJF8" s="500"/>
      <c r="EJG8" s="500"/>
      <c r="EJH8" s="500"/>
      <c r="EJI8" s="500"/>
      <c r="EJJ8" s="500"/>
      <c r="EJK8" s="500"/>
      <c r="EJL8" s="500"/>
      <c r="EJM8" s="500"/>
      <c r="EJN8" s="500"/>
      <c r="EJO8" s="500"/>
      <c r="EJP8" s="500"/>
      <c r="EJQ8" s="500"/>
      <c r="EJR8" s="500"/>
      <c r="EJS8" s="500"/>
      <c r="EJT8" s="500"/>
      <c r="EJU8" s="500"/>
      <c r="EJV8" s="500"/>
      <c r="EJW8" s="500"/>
      <c r="EJX8" s="500"/>
      <c r="EJY8" s="500"/>
      <c r="EJZ8" s="500"/>
      <c r="EKA8" s="500"/>
      <c r="EKB8" s="500"/>
      <c r="EKC8" s="500"/>
      <c r="EKD8" s="500"/>
      <c r="EKE8" s="500"/>
      <c r="EKF8" s="500"/>
      <c r="EKG8" s="500"/>
      <c r="EKH8" s="500"/>
      <c r="EKI8" s="500"/>
      <c r="EKJ8" s="500"/>
      <c r="EKK8" s="500"/>
      <c r="EKL8" s="500"/>
      <c r="EKM8" s="500"/>
      <c r="EKN8" s="500"/>
      <c r="EKO8" s="500"/>
      <c r="EKP8" s="500"/>
      <c r="EKQ8" s="500"/>
      <c r="EKR8" s="500"/>
      <c r="EKS8" s="500"/>
      <c r="EKT8" s="500"/>
      <c r="EKU8" s="500"/>
      <c r="EKV8" s="500"/>
      <c r="EKW8" s="500"/>
      <c r="EKX8" s="500"/>
      <c r="EKY8" s="500"/>
      <c r="EKZ8" s="500"/>
      <c r="ELA8" s="500"/>
      <c r="ELB8" s="500"/>
      <c r="ELC8" s="500"/>
      <c r="ELD8" s="500"/>
      <c r="ELE8" s="500"/>
      <c r="ELF8" s="500"/>
      <c r="ELG8" s="500"/>
      <c r="ELH8" s="500"/>
      <c r="ELI8" s="500"/>
      <c r="ELJ8" s="500"/>
      <c r="ELK8" s="500"/>
      <c r="ELL8" s="500"/>
      <c r="ELM8" s="500"/>
      <c r="ELN8" s="500"/>
      <c r="ELO8" s="500"/>
      <c r="ELP8" s="500"/>
      <c r="ELQ8" s="500"/>
      <c r="ELR8" s="500"/>
      <c r="ELS8" s="500"/>
      <c r="ELT8" s="500"/>
      <c r="ELU8" s="500"/>
      <c r="ELV8" s="500"/>
      <c r="ELW8" s="500"/>
      <c r="ELX8" s="500"/>
      <c r="ELY8" s="500"/>
      <c r="ELZ8" s="500"/>
      <c r="EMA8" s="500"/>
      <c r="EMB8" s="500"/>
      <c r="EMC8" s="500"/>
      <c r="EMD8" s="500"/>
      <c r="EME8" s="500"/>
      <c r="EMF8" s="500"/>
      <c r="EMG8" s="500"/>
      <c r="EMH8" s="500"/>
      <c r="EMI8" s="500"/>
      <c r="EMJ8" s="500"/>
      <c r="EMK8" s="500"/>
      <c r="EML8" s="500"/>
      <c r="EMM8" s="500"/>
      <c r="EMN8" s="500"/>
      <c r="EMO8" s="500"/>
      <c r="EMP8" s="500"/>
      <c r="EMQ8" s="500"/>
      <c r="EMR8" s="500"/>
      <c r="EMS8" s="500"/>
      <c r="EMT8" s="500"/>
      <c r="EMU8" s="500"/>
      <c r="EMV8" s="500"/>
      <c r="EMW8" s="500"/>
      <c r="EMX8" s="500"/>
      <c r="EMY8" s="500"/>
      <c r="EMZ8" s="500"/>
      <c r="ENA8" s="500"/>
      <c r="ENB8" s="500"/>
      <c r="ENC8" s="500"/>
      <c r="END8" s="500"/>
      <c r="ENE8" s="500"/>
      <c r="ENF8" s="500"/>
      <c r="ENG8" s="500"/>
      <c r="ENH8" s="500"/>
      <c r="ENI8" s="500"/>
      <c r="ENJ8" s="500"/>
      <c r="ENK8" s="500"/>
      <c r="ENL8" s="500"/>
      <c r="ENM8" s="500"/>
      <c r="ENN8" s="500"/>
      <c r="ENO8" s="500"/>
      <c r="ENP8" s="500"/>
      <c r="ENQ8" s="500"/>
      <c r="ENR8" s="500"/>
      <c r="ENS8" s="500"/>
      <c r="ENT8" s="500"/>
      <c r="ENU8" s="500"/>
      <c r="ENV8" s="500"/>
      <c r="ENW8" s="500"/>
      <c r="ENX8" s="500"/>
      <c r="ENY8" s="500"/>
      <c r="ENZ8" s="500"/>
      <c r="EOA8" s="500"/>
      <c r="EOB8" s="500"/>
      <c r="EOC8" s="500"/>
      <c r="EOD8" s="500"/>
      <c r="EOE8" s="500"/>
      <c r="EOF8" s="500"/>
      <c r="EOG8" s="500"/>
      <c r="EOH8" s="500"/>
      <c r="EOI8" s="500"/>
      <c r="EOJ8" s="500"/>
      <c r="EOK8" s="500"/>
      <c r="EOL8" s="500"/>
      <c r="EOM8" s="500"/>
      <c r="EON8" s="500"/>
      <c r="EOO8" s="500"/>
      <c r="EOP8" s="500"/>
      <c r="EOQ8" s="500"/>
      <c r="EOR8" s="500"/>
      <c r="EOS8" s="500"/>
      <c r="EOT8" s="500"/>
      <c r="EOU8" s="500"/>
      <c r="EOV8" s="500"/>
      <c r="EOW8" s="500"/>
      <c r="EOX8" s="500"/>
      <c r="EOY8" s="500"/>
      <c r="EOZ8" s="500"/>
      <c r="EPA8" s="500"/>
      <c r="EPB8" s="500"/>
      <c r="EPC8" s="500"/>
      <c r="EPD8" s="500"/>
      <c r="EPE8" s="500"/>
      <c r="EPF8" s="500"/>
      <c r="EPG8" s="500"/>
      <c r="EPH8" s="500"/>
      <c r="EPI8" s="500"/>
      <c r="EPJ8" s="500"/>
      <c r="EPK8" s="500"/>
      <c r="EPL8" s="500"/>
      <c r="EPM8" s="500"/>
      <c r="EPN8" s="500"/>
      <c r="EPO8" s="500"/>
      <c r="EPP8" s="500"/>
      <c r="EPQ8" s="500"/>
      <c r="EPR8" s="500"/>
      <c r="EPS8" s="500"/>
      <c r="EPT8" s="500"/>
      <c r="EPU8" s="500"/>
      <c r="EPV8" s="500"/>
      <c r="EPW8" s="500"/>
      <c r="EPX8" s="500"/>
      <c r="EPY8" s="500"/>
      <c r="EPZ8" s="500"/>
      <c r="EQA8" s="500"/>
      <c r="EQB8" s="500"/>
      <c r="EQC8" s="500"/>
      <c r="EQD8" s="500"/>
      <c r="EQE8" s="500"/>
      <c r="EQF8" s="500"/>
      <c r="EQG8" s="500"/>
      <c r="EQH8" s="500"/>
      <c r="EQI8" s="500"/>
      <c r="EQJ8" s="500"/>
      <c r="EQK8" s="500"/>
      <c r="EQL8" s="500"/>
      <c r="EQM8" s="500"/>
      <c r="EQN8" s="500"/>
      <c r="EQO8" s="500"/>
      <c r="EQP8" s="500"/>
      <c r="EQQ8" s="500"/>
      <c r="EQR8" s="500"/>
      <c r="EQS8" s="500"/>
      <c r="EQT8" s="500"/>
      <c r="EQU8" s="500"/>
      <c r="EQV8" s="500"/>
      <c r="EQW8" s="500"/>
      <c r="EQX8" s="500"/>
      <c r="EQY8" s="500"/>
      <c r="EQZ8" s="500"/>
      <c r="ERA8" s="500"/>
      <c r="ERB8" s="500"/>
      <c r="ERC8" s="500"/>
      <c r="ERD8" s="500"/>
      <c r="ERE8" s="500"/>
      <c r="ERF8" s="500"/>
      <c r="ERG8" s="500"/>
      <c r="ERH8" s="500"/>
      <c r="ERI8" s="500"/>
      <c r="ERJ8" s="500"/>
      <c r="ERK8" s="500"/>
      <c r="ERL8" s="500"/>
      <c r="ERM8" s="500"/>
      <c r="ERN8" s="500"/>
      <c r="ERO8" s="500"/>
      <c r="ERP8" s="500"/>
      <c r="ERQ8" s="500"/>
      <c r="ERR8" s="500"/>
      <c r="ERS8" s="500"/>
      <c r="ERT8" s="500"/>
      <c r="ERU8" s="500"/>
      <c r="ERV8" s="500"/>
      <c r="ERW8" s="500"/>
      <c r="ERX8" s="500"/>
      <c r="ERY8" s="500"/>
      <c r="ERZ8" s="500"/>
      <c r="ESA8" s="500"/>
      <c r="ESB8" s="500"/>
      <c r="ESC8" s="500"/>
      <c r="ESD8" s="500"/>
      <c r="ESE8" s="500"/>
      <c r="ESF8" s="500"/>
      <c r="ESG8" s="500"/>
      <c r="ESH8" s="500"/>
      <c r="ESI8" s="500"/>
      <c r="ESJ8" s="500"/>
      <c r="ESK8" s="500"/>
      <c r="ESL8" s="500"/>
      <c r="ESM8" s="500"/>
      <c r="ESN8" s="500"/>
      <c r="ESO8" s="500"/>
      <c r="ESP8" s="500"/>
      <c r="ESQ8" s="500"/>
      <c r="ESR8" s="500"/>
      <c r="ESS8" s="500"/>
      <c r="EST8" s="500"/>
      <c r="ESU8" s="500"/>
      <c r="ESV8" s="500"/>
      <c r="ESW8" s="500"/>
      <c r="ESX8" s="500"/>
      <c r="ESY8" s="500"/>
      <c r="ESZ8" s="500"/>
      <c r="ETA8" s="500"/>
      <c r="ETB8" s="500"/>
      <c r="ETC8" s="500"/>
      <c r="ETD8" s="500"/>
      <c r="ETE8" s="500"/>
      <c r="ETF8" s="500"/>
      <c r="ETG8" s="500"/>
      <c r="ETH8" s="500"/>
      <c r="ETI8" s="500"/>
      <c r="ETJ8" s="500"/>
      <c r="ETK8" s="500"/>
      <c r="ETL8" s="500"/>
      <c r="ETM8" s="500"/>
      <c r="ETN8" s="500"/>
      <c r="ETO8" s="500"/>
      <c r="ETP8" s="500"/>
      <c r="ETQ8" s="500"/>
      <c r="ETR8" s="500"/>
      <c r="ETS8" s="500"/>
      <c r="ETT8" s="500"/>
      <c r="ETU8" s="500"/>
      <c r="ETV8" s="500"/>
      <c r="ETW8" s="500"/>
      <c r="ETX8" s="500"/>
      <c r="ETY8" s="500"/>
      <c r="ETZ8" s="500"/>
      <c r="EUA8" s="500"/>
      <c r="EUB8" s="500"/>
      <c r="EUC8" s="500"/>
      <c r="EUD8" s="500"/>
      <c r="EUE8" s="500"/>
      <c r="EUF8" s="500"/>
      <c r="EUG8" s="500"/>
      <c r="EUH8" s="500"/>
      <c r="EUI8" s="500"/>
      <c r="EUJ8" s="500"/>
      <c r="EUK8" s="500"/>
      <c r="EUL8" s="500"/>
      <c r="EUM8" s="500"/>
      <c r="EUN8" s="500"/>
      <c r="EUO8" s="500"/>
      <c r="EUP8" s="500"/>
      <c r="EUQ8" s="500"/>
      <c r="EUR8" s="500"/>
      <c r="EUS8" s="500"/>
      <c r="EUT8" s="500"/>
      <c r="EUU8" s="500"/>
      <c r="EUV8" s="500"/>
      <c r="EUW8" s="500"/>
      <c r="EUX8" s="500"/>
      <c r="EUY8" s="500"/>
      <c r="EUZ8" s="500"/>
      <c r="EVA8" s="500"/>
      <c r="EVB8" s="500"/>
      <c r="EVC8" s="500"/>
      <c r="EVD8" s="500"/>
      <c r="EVE8" s="500"/>
      <c r="EVF8" s="500"/>
      <c r="EVG8" s="500"/>
      <c r="EVH8" s="500"/>
      <c r="EVI8" s="500"/>
      <c r="EVJ8" s="500"/>
      <c r="EVK8" s="500"/>
      <c r="EVL8" s="500"/>
      <c r="EVM8" s="500"/>
      <c r="EVN8" s="500"/>
      <c r="EVO8" s="500"/>
      <c r="EVP8" s="500"/>
      <c r="EVQ8" s="500"/>
      <c r="EVR8" s="500"/>
      <c r="EVS8" s="500"/>
      <c r="EVT8" s="500"/>
      <c r="EVU8" s="500"/>
      <c r="EVV8" s="500"/>
      <c r="EVW8" s="500"/>
      <c r="EVX8" s="500"/>
      <c r="EVY8" s="500"/>
      <c r="EVZ8" s="500"/>
      <c r="EWA8" s="500"/>
      <c r="EWB8" s="500"/>
      <c r="EWC8" s="500"/>
      <c r="EWD8" s="500"/>
      <c r="EWE8" s="500"/>
      <c r="EWF8" s="500"/>
      <c r="EWG8" s="500"/>
      <c r="EWH8" s="500"/>
      <c r="EWI8" s="500"/>
      <c r="EWJ8" s="500"/>
      <c r="EWK8" s="500"/>
      <c r="EWL8" s="500"/>
      <c r="EWM8" s="500"/>
      <c r="EWN8" s="500"/>
      <c r="EWO8" s="500"/>
      <c r="EWP8" s="500"/>
      <c r="EWQ8" s="500"/>
      <c r="EWR8" s="500"/>
      <c r="EWS8" s="500"/>
      <c r="EWT8" s="500"/>
      <c r="EWU8" s="500"/>
      <c r="EWV8" s="500"/>
      <c r="EWW8" s="500"/>
      <c r="EWX8" s="500"/>
      <c r="EWY8" s="500"/>
      <c r="EWZ8" s="500"/>
      <c r="EXA8" s="500"/>
      <c r="EXB8" s="500"/>
      <c r="EXC8" s="500"/>
      <c r="EXD8" s="500"/>
      <c r="EXE8" s="500"/>
      <c r="EXF8" s="500"/>
      <c r="EXG8" s="500"/>
      <c r="EXH8" s="500"/>
      <c r="EXI8" s="500"/>
      <c r="EXJ8" s="500"/>
      <c r="EXK8" s="500"/>
      <c r="EXL8" s="500"/>
      <c r="EXM8" s="500"/>
      <c r="EXN8" s="500"/>
      <c r="EXO8" s="500"/>
      <c r="EXP8" s="500"/>
      <c r="EXQ8" s="500"/>
      <c r="EXR8" s="500"/>
      <c r="EXS8" s="500"/>
      <c r="EXT8" s="500"/>
      <c r="EXU8" s="500"/>
      <c r="EXV8" s="500"/>
      <c r="EXW8" s="500"/>
      <c r="EXX8" s="500"/>
      <c r="EXY8" s="500"/>
      <c r="EXZ8" s="500"/>
      <c r="EYA8" s="500"/>
      <c r="EYB8" s="500"/>
      <c r="EYC8" s="500"/>
      <c r="EYD8" s="500"/>
      <c r="EYE8" s="500"/>
      <c r="EYF8" s="500"/>
      <c r="EYG8" s="500"/>
      <c r="EYH8" s="500"/>
      <c r="EYI8" s="500"/>
      <c r="EYJ8" s="500"/>
      <c r="EYK8" s="500"/>
      <c r="EYL8" s="500"/>
      <c r="EYM8" s="500"/>
      <c r="EYN8" s="500"/>
      <c r="EYO8" s="500"/>
      <c r="EYP8" s="500"/>
      <c r="EYQ8" s="500"/>
      <c r="EYR8" s="500"/>
      <c r="EYS8" s="500"/>
      <c r="EYT8" s="500"/>
      <c r="EYU8" s="500"/>
      <c r="EYV8" s="500"/>
      <c r="EYW8" s="500"/>
      <c r="EYX8" s="500"/>
      <c r="EYY8" s="500"/>
      <c r="EYZ8" s="500"/>
      <c r="EZA8" s="500"/>
      <c r="EZB8" s="500"/>
      <c r="EZC8" s="500"/>
      <c r="EZD8" s="500"/>
      <c r="EZE8" s="500"/>
      <c r="EZF8" s="500"/>
      <c r="EZG8" s="500"/>
      <c r="EZH8" s="500"/>
      <c r="EZI8" s="500"/>
      <c r="EZJ8" s="500"/>
      <c r="EZK8" s="500"/>
      <c r="EZL8" s="500"/>
      <c r="EZM8" s="500"/>
      <c r="EZN8" s="500"/>
      <c r="EZO8" s="500"/>
      <c r="EZP8" s="500"/>
      <c r="EZQ8" s="500"/>
      <c r="EZR8" s="500"/>
      <c r="EZS8" s="500"/>
      <c r="EZT8" s="500"/>
      <c r="EZU8" s="500"/>
      <c r="EZV8" s="500"/>
      <c r="EZW8" s="500"/>
      <c r="EZX8" s="500"/>
      <c r="EZY8" s="500"/>
      <c r="EZZ8" s="500"/>
      <c r="FAA8" s="500"/>
      <c r="FAB8" s="500"/>
      <c r="FAC8" s="500"/>
      <c r="FAD8" s="500"/>
      <c r="FAE8" s="500"/>
      <c r="FAF8" s="500"/>
      <c r="FAG8" s="500"/>
      <c r="FAH8" s="500"/>
      <c r="FAI8" s="500"/>
      <c r="FAJ8" s="500"/>
      <c r="FAK8" s="500"/>
      <c r="FAL8" s="500"/>
      <c r="FAM8" s="500"/>
      <c r="FAN8" s="500"/>
      <c r="FAO8" s="500"/>
      <c r="FAP8" s="500"/>
      <c r="FAQ8" s="500"/>
      <c r="FAR8" s="500"/>
      <c r="FAS8" s="500"/>
      <c r="FAT8" s="500"/>
      <c r="FAU8" s="500"/>
      <c r="FAV8" s="500"/>
      <c r="FAW8" s="500"/>
      <c r="FAX8" s="500"/>
      <c r="FAY8" s="500"/>
      <c r="FAZ8" s="500"/>
      <c r="FBA8" s="500"/>
      <c r="FBB8" s="500"/>
      <c r="FBC8" s="500"/>
      <c r="FBD8" s="500"/>
      <c r="FBE8" s="500"/>
      <c r="FBF8" s="500"/>
      <c r="FBG8" s="500"/>
      <c r="FBH8" s="500"/>
      <c r="FBI8" s="500"/>
      <c r="FBJ8" s="500"/>
      <c r="FBK8" s="500"/>
      <c r="FBL8" s="500"/>
      <c r="FBM8" s="500"/>
      <c r="FBN8" s="500"/>
      <c r="FBO8" s="500"/>
      <c r="FBP8" s="500"/>
      <c r="FBQ8" s="500"/>
      <c r="FBR8" s="500"/>
      <c r="FBS8" s="500"/>
      <c r="FBT8" s="500"/>
      <c r="FBU8" s="500"/>
      <c r="FBV8" s="500"/>
      <c r="FBW8" s="500"/>
      <c r="FBX8" s="500"/>
      <c r="FBY8" s="500"/>
      <c r="FBZ8" s="500"/>
      <c r="FCA8" s="500"/>
      <c r="FCB8" s="500"/>
      <c r="FCC8" s="500"/>
      <c r="FCD8" s="500"/>
      <c r="FCE8" s="500"/>
      <c r="FCF8" s="500"/>
      <c r="FCG8" s="500"/>
      <c r="FCH8" s="500"/>
      <c r="FCI8" s="500"/>
      <c r="FCJ8" s="500"/>
      <c r="FCK8" s="500"/>
      <c r="FCL8" s="500"/>
      <c r="FCM8" s="500"/>
      <c r="FCN8" s="500"/>
      <c r="FCO8" s="500"/>
      <c r="FCP8" s="500"/>
      <c r="FCQ8" s="500"/>
      <c r="FCR8" s="500"/>
      <c r="FCS8" s="500"/>
      <c r="FCT8" s="500"/>
      <c r="FCU8" s="500"/>
      <c r="FCV8" s="500"/>
      <c r="FCW8" s="500"/>
      <c r="FCX8" s="500"/>
      <c r="FCY8" s="500"/>
      <c r="FCZ8" s="500"/>
      <c r="FDA8" s="500"/>
      <c r="FDB8" s="500"/>
      <c r="FDC8" s="500"/>
      <c r="FDD8" s="500"/>
      <c r="FDE8" s="500"/>
      <c r="FDF8" s="500"/>
      <c r="FDG8" s="500"/>
      <c r="FDH8" s="500"/>
      <c r="FDI8" s="500"/>
      <c r="FDJ8" s="500"/>
      <c r="FDK8" s="500"/>
      <c r="FDL8" s="500"/>
      <c r="FDM8" s="500"/>
      <c r="FDN8" s="500"/>
      <c r="FDO8" s="500"/>
      <c r="FDP8" s="500"/>
      <c r="FDQ8" s="500"/>
      <c r="FDR8" s="500"/>
      <c r="FDS8" s="500"/>
      <c r="FDT8" s="500"/>
      <c r="FDU8" s="500"/>
      <c r="FDV8" s="500"/>
      <c r="FDW8" s="500"/>
      <c r="FDX8" s="500"/>
      <c r="FDY8" s="500"/>
      <c r="FDZ8" s="500"/>
      <c r="FEA8" s="500"/>
      <c r="FEB8" s="500"/>
      <c r="FEC8" s="500"/>
      <c r="FED8" s="500"/>
      <c r="FEE8" s="500"/>
      <c r="FEF8" s="500"/>
      <c r="FEG8" s="500"/>
      <c r="FEH8" s="500"/>
      <c r="FEI8" s="500"/>
      <c r="FEJ8" s="500"/>
      <c r="FEK8" s="500"/>
      <c r="FEL8" s="500"/>
      <c r="FEM8" s="500"/>
      <c r="FEN8" s="500"/>
      <c r="FEO8" s="500"/>
      <c r="FEP8" s="500"/>
      <c r="FEQ8" s="500"/>
      <c r="FER8" s="500"/>
      <c r="FES8" s="500"/>
      <c r="FET8" s="500"/>
      <c r="FEU8" s="500"/>
      <c r="FEV8" s="500"/>
      <c r="FEW8" s="500"/>
      <c r="FEX8" s="500"/>
      <c r="FEY8" s="500"/>
      <c r="FEZ8" s="500"/>
      <c r="FFA8" s="500"/>
      <c r="FFB8" s="500"/>
      <c r="FFC8" s="500"/>
      <c r="FFD8" s="500"/>
      <c r="FFE8" s="500"/>
      <c r="FFF8" s="500"/>
      <c r="FFG8" s="500"/>
      <c r="FFH8" s="500"/>
      <c r="FFI8" s="500"/>
      <c r="FFJ8" s="500"/>
      <c r="FFK8" s="500"/>
      <c r="FFL8" s="500"/>
      <c r="FFM8" s="500"/>
      <c r="FFN8" s="500"/>
      <c r="FFO8" s="500"/>
      <c r="FFP8" s="500"/>
      <c r="FFQ8" s="500"/>
      <c r="FFR8" s="500"/>
      <c r="FFS8" s="500"/>
      <c r="FFT8" s="500"/>
      <c r="FFU8" s="500"/>
      <c r="FFV8" s="500"/>
      <c r="FFW8" s="500"/>
      <c r="FFX8" s="500"/>
      <c r="FFY8" s="500"/>
      <c r="FFZ8" s="500"/>
      <c r="FGA8" s="500"/>
      <c r="FGB8" s="500"/>
      <c r="FGC8" s="500"/>
      <c r="FGD8" s="500"/>
      <c r="FGE8" s="500"/>
      <c r="FGF8" s="500"/>
      <c r="FGG8" s="500"/>
      <c r="FGH8" s="500"/>
      <c r="FGI8" s="500"/>
      <c r="FGJ8" s="500"/>
      <c r="FGK8" s="500"/>
      <c r="FGL8" s="500"/>
      <c r="FGM8" s="500"/>
      <c r="FGN8" s="500"/>
      <c r="FGO8" s="500"/>
      <c r="FGP8" s="500"/>
      <c r="FGQ8" s="500"/>
      <c r="FGR8" s="500"/>
      <c r="FGS8" s="500"/>
      <c r="FGT8" s="500"/>
      <c r="FGU8" s="500"/>
      <c r="FGV8" s="500"/>
      <c r="FGW8" s="500"/>
      <c r="FGX8" s="500"/>
      <c r="FGY8" s="500"/>
      <c r="FGZ8" s="500"/>
      <c r="FHA8" s="500"/>
      <c r="FHB8" s="500"/>
      <c r="FHC8" s="500"/>
      <c r="FHD8" s="500"/>
      <c r="FHE8" s="500"/>
      <c r="FHF8" s="500"/>
      <c r="FHG8" s="500"/>
      <c r="FHH8" s="500"/>
      <c r="FHI8" s="500"/>
      <c r="FHJ8" s="500"/>
      <c r="FHK8" s="500"/>
      <c r="FHL8" s="500"/>
      <c r="FHM8" s="500"/>
      <c r="FHN8" s="500"/>
      <c r="FHO8" s="500"/>
      <c r="FHP8" s="500"/>
      <c r="FHQ8" s="500"/>
      <c r="FHR8" s="500"/>
      <c r="FHS8" s="500"/>
      <c r="FHT8" s="500"/>
      <c r="FHU8" s="500"/>
      <c r="FHV8" s="500"/>
      <c r="FHW8" s="500"/>
      <c r="FHX8" s="500"/>
      <c r="FHY8" s="500"/>
      <c r="FHZ8" s="500"/>
      <c r="FIA8" s="500"/>
      <c r="FIB8" s="500"/>
      <c r="FIC8" s="500"/>
      <c r="FID8" s="500"/>
      <c r="FIE8" s="500"/>
      <c r="FIF8" s="500"/>
      <c r="FIG8" s="500"/>
      <c r="FIH8" s="500"/>
      <c r="FII8" s="500"/>
      <c r="FIJ8" s="500"/>
      <c r="FIK8" s="500"/>
      <c r="FIL8" s="500"/>
      <c r="FIM8" s="500"/>
      <c r="FIN8" s="500"/>
      <c r="FIO8" s="500"/>
      <c r="FIP8" s="500"/>
      <c r="FIQ8" s="500"/>
      <c r="FIR8" s="500"/>
      <c r="FIS8" s="500"/>
      <c r="FIT8" s="500"/>
      <c r="FIU8" s="500"/>
      <c r="FIV8" s="500"/>
      <c r="FIW8" s="500"/>
      <c r="FIX8" s="500"/>
      <c r="FIY8" s="500"/>
      <c r="FIZ8" s="500"/>
      <c r="FJA8" s="500"/>
      <c r="FJB8" s="500"/>
      <c r="FJC8" s="500"/>
      <c r="FJD8" s="500"/>
      <c r="FJE8" s="500"/>
      <c r="FJF8" s="500"/>
      <c r="FJG8" s="500"/>
      <c r="FJH8" s="500"/>
      <c r="FJI8" s="500"/>
      <c r="FJJ8" s="500"/>
      <c r="FJK8" s="500"/>
      <c r="FJL8" s="500"/>
      <c r="FJM8" s="500"/>
      <c r="FJN8" s="500"/>
      <c r="FJO8" s="500"/>
      <c r="FJP8" s="500"/>
      <c r="FJQ8" s="500"/>
      <c r="FJR8" s="500"/>
      <c r="FJS8" s="500"/>
      <c r="FJT8" s="500"/>
      <c r="FJU8" s="500"/>
      <c r="FJV8" s="500"/>
      <c r="FJW8" s="500"/>
      <c r="FJX8" s="500"/>
      <c r="FJY8" s="500"/>
      <c r="FJZ8" s="500"/>
      <c r="FKA8" s="500"/>
      <c r="FKB8" s="500"/>
      <c r="FKC8" s="500"/>
      <c r="FKD8" s="500"/>
      <c r="FKE8" s="500"/>
      <c r="FKF8" s="500"/>
      <c r="FKG8" s="500"/>
      <c r="FKH8" s="500"/>
      <c r="FKI8" s="500"/>
      <c r="FKJ8" s="500"/>
      <c r="FKK8" s="500"/>
      <c r="FKL8" s="500"/>
      <c r="FKM8" s="500"/>
      <c r="FKN8" s="500"/>
      <c r="FKO8" s="500"/>
      <c r="FKP8" s="500"/>
      <c r="FKQ8" s="500"/>
      <c r="FKR8" s="500"/>
      <c r="FKS8" s="500"/>
      <c r="FKT8" s="500"/>
      <c r="FKU8" s="500"/>
      <c r="FKV8" s="500"/>
      <c r="FKW8" s="500"/>
      <c r="FKX8" s="500"/>
      <c r="FKY8" s="500"/>
      <c r="FKZ8" s="500"/>
      <c r="FLA8" s="500"/>
      <c r="FLB8" s="500"/>
      <c r="FLC8" s="500"/>
      <c r="FLD8" s="500"/>
      <c r="FLE8" s="500"/>
      <c r="FLF8" s="500"/>
      <c r="FLG8" s="500"/>
      <c r="FLH8" s="500"/>
      <c r="FLI8" s="500"/>
      <c r="FLJ8" s="500"/>
      <c r="FLK8" s="500"/>
      <c r="FLL8" s="500"/>
      <c r="FLM8" s="500"/>
      <c r="FLN8" s="500"/>
      <c r="FLO8" s="500"/>
      <c r="FLP8" s="500"/>
      <c r="FLQ8" s="500"/>
      <c r="FLR8" s="500"/>
      <c r="FLS8" s="500"/>
      <c r="FLT8" s="500"/>
      <c r="FLU8" s="500"/>
      <c r="FLV8" s="500"/>
      <c r="FLW8" s="500"/>
      <c r="FLX8" s="500"/>
      <c r="FLY8" s="500"/>
      <c r="FLZ8" s="500"/>
      <c r="FMA8" s="500"/>
      <c r="FMB8" s="500"/>
      <c r="FMC8" s="500"/>
      <c r="FMD8" s="500"/>
      <c r="FME8" s="500"/>
      <c r="FMF8" s="500"/>
      <c r="FMG8" s="500"/>
      <c r="FMH8" s="500"/>
      <c r="FMI8" s="500"/>
      <c r="FMJ8" s="500"/>
      <c r="FMK8" s="500"/>
      <c r="FML8" s="500"/>
      <c r="FMM8" s="500"/>
      <c r="FMN8" s="500"/>
      <c r="FMO8" s="500"/>
      <c r="FMP8" s="500"/>
      <c r="FMQ8" s="500"/>
      <c r="FMR8" s="500"/>
      <c r="FMS8" s="500"/>
      <c r="FMT8" s="500"/>
      <c r="FMU8" s="500"/>
      <c r="FMV8" s="500"/>
      <c r="FMW8" s="500"/>
      <c r="FMX8" s="500"/>
      <c r="FMY8" s="500"/>
      <c r="FMZ8" s="500"/>
      <c r="FNA8" s="500"/>
      <c r="FNB8" s="500"/>
      <c r="FNC8" s="500"/>
      <c r="FND8" s="500"/>
      <c r="FNE8" s="500"/>
      <c r="FNF8" s="500"/>
      <c r="FNG8" s="500"/>
      <c r="FNH8" s="500"/>
      <c r="FNI8" s="500"/>
      <c r="FNJ8" s="500"/>
      <c r="FNK8" s="500"/>
      <c r="FNL8" s="500"/>
      <c r="FNM8" s="500"/>
      <c r="FNN8" s="500"/>
      <c r="FNO8" s="500"/>
      <c r="FNP8" s="500"/>
      <c r="FNQ8" s="500"/>
      <c r="FNR8" s="500"/>
      <c r="FNS8" s="500"/>
      <c r="FNT8" s="500"/>
      <c r="FNU8" s="500"/>
      <c r="FNV8" s="500"/>
      <c r="FNW8" s="500"/>
      <c r="FNX8" s="500"/>
      <c r="FNY8" s="500"/>
      <c r="FNZ8" s="500"/>
      <c r="FOA8" s="500"/>
      <c r="FOB8" s="500"/>
      <c r="FOC8" s="500"/>
      <c r="FOD8" s="500"/>
      <c r="FOE8" s="500"/>
      <c r="FOF8" s="500"/>
      <c r="FOG8" s="500"/>
      <c r="FOH8" s="500"/>
      <c r="FOI8" s="500"/>
      <c r="FOJ8" s="500"/>
      <c r="FOK8" s="500"/>
      <c r="FOL8" s="500"/>
      <c r="FOM8" s="500"/>
      <c r="FON8" s="500"/>
      <c r="FOO8" s="500"/>
      <c r="FOP8" s="500"/>
      <c r="FOQ8" s="500"/>
      <c r="FOR8" s="500"/>
      <c r="FOS8" s="500"/>
      <c r="FOT8" s="500"/>
      <c r="FOU8" s="500"/>
      <c r="FOV8" s="500"/>
      <c r="FOW8" s="500"/>
      <c r="FOX8" s="500"/>
      <c r="FOY8" s="500"/>
      <c r="FOZ8" s="500"/>
      <c r="FPA8" s="500"/>
      <c r="FPB8" s="500"/>
      <c r="FPC8" s="500"/>
      <c r="FPD8" s="500"/>
      <c r="FPE8" s="500"/>
      <c r="FPF8" s="500"/>
      <c r="FPG8" s="500"/>
      <c r="FPH8" s="500"/>
      <c r="FPI8" s="500"/>
      <c r="FPJ8" s="500"/>
      <c r="FPK8" s="500"/>
      <c r="FPL8" s="500"/>
      <c r="FPM8" s="500"/>
      <c r="FPN8" s="500"/>
      <c r="FPO8" s="500"/>
      <c r="FPP8" s="500"/>
      <c r="FPQ8" s="500"/>
      <c r="FPR8" s="500"/>
      <c r="FPS8" s="500"/>
      <c r="FPT8" s="500"/>
      <c r="FPU8" s="500"/>
      <c r="FPV8" s="500"/>
      <c r="FPW8" s="500"/>
      <c r="FPX8" s="500"/>
      <c r="FPY8" s="500"/>
      <c r="FPZ8" s="500"/>
      <c r="FQA8" s="500"/>
      <c r="FQB8" s="500"/>
      <c r="FQC8" s="500"/>
      <c r="FQD8" s="500"/>
      <c r="FQE8" s="500"/>
      <c r="FQF8" s="500"/>
      <c r="FQG8" s="500"/>
      <c r="FQH8" s="500"/>
      <c r="FQI8" s="500"/>
      <c r="FQJ8" s="500"/>
      <c r="FQK8" s="500"/>
      <c r="FQL8" s="500"/>
      <c r="FQM8" s="500"/>
      <c r="FQN8" s="500"/>
      <c r="FQO8" s="500"/>
      <c r="FQP8" s="500"/>
      <c r="FQQ8" s="500"/>
      <c r="FQR8" s="500"/>
      <c r="FQS8" s="500"/>
      <c r="FQT8" s="500"/>
      <c r="FQU8" s="500"/>
      <c r="FQV8" s="500"/>
      <c r="FQW8" s="500"/>
      <c r="FQX8" s="500"/>
      <c r="FQY8" s="500"/>
      <c r="FQZ8" s="500"/>
      <c r="FRA8" s="500"/>
      <c r="FRB8" s="500"/>
      <c r="FRC8" s="500"/>
      <c r="FRD8" s="500"/>
      <c r="FRE8" s="500"/>
      <c r="FRF8" s="500"/>
      <c r="FRG8" s="500"/>
      <c r="FRH8" s="500"/>
      <c r="FRI8" s="500"/>
      <c r="FRJ8" s="500"/>
      <c r="FRK8" s="500"/>
      <c r="FRL8" s="500"/>
      <c r="FRM8" s="500"/>
      <c r="FRN8" s="500"/>
      <c r="FRO8" s="500"/>
      <c r="FRP8" s="500"/>
      <c r="FRQ8" s="500"/>
      <c r="FRR8" s="500"/>
      <c r="FRS8" s="500"/>
      <c r="FRT8" s="500"/>
      <c r="FRU8" s="500"/>
      <c r="FRV8" s="500"/>
      <c r="FRW8" s="500"/>
      <c r="FRX8" s="500"/>
      <c r="FRY8" s="500"/>
      <c r="FRZ8" s="500"/>
      <c r="FSA8" s="500"/>
      <c r="FSB8" s="500"/>
      <c r="FSC8" s="500"/>
      <c r="FSD8" s="500"/>
      <c r="FSE8" s="500"/>
      <c r="FSF8" s="500"/>
      <c r="FSG8" s="500"/>
      <c r="FSH8" s="500"/>
      <c r="FSI8" s="500"/>
      <c r="FSJ8" s="500"/>
      <c r="FSK8" s="500"/>
      <c r="FSL8" s="500"/>
      <c r="FSM8" s="500"/>
      <c r="FSN8" s="500"/>
      <c r="FSO8" s="500"/>
      <c r="FSP8" s="500"/>
      <c r="FSQ8" s="500"/>
      <c r="FSR8" s="500"/>
      <c r="FSS8" s="500"/>
      <c r="FST8" s="500"/>
      <c r="FSU8" s="500"/>
      <c r="FSV8" s="500"/>
      <c r="FSW8" s="500"/>
      <c r="FSX8" s="500"/>
      <c r="FSY8" s="500"/>
      <c r="FSZ8" s="500"/>
      <c r="FTA8" s="500"/>
      <c r="FTB8" s="500"/>
      <c r="FTC8" s="500"/>
      <c r="FTD8" s="500"/>
      <c r="FTE8" s="500"/>
      <c r="FTF8" s="500"/>
      <c r="FTG8" s="500"/>
      <c r="FTH8" s="500"/>
      <c r="FTI8" s="500"/>
      <c r="FTJ8" s="500"/>
      <c r="FTK8" s="500"/>
      <c r="FTL8" s="500"/>
      <c r="FTM8" s="500"/>
      <c r="FTN8" s="500"/>
      <c r="FTO8" s="500"/>
      <c r="FTP8" s="500"/>
      <c r="FTQ8" s="500"/>
      <c r="FTR8" s="500"/>
      <c r="FTS8" s="500"/>
      <c r="FTT8" s="500"/>
      <c r="FTU8" s="500"/>
      <c r="FTV8" s="500"/>
      <c r="FTW8" s="500"/>
      <c r="FTX8" s="500"/>
      <c r="FTY8" s="500"/>
      <c r="FTZ8" s="500"/>
      <c r="FUA8" s="500"/>
      <c r="FUB8" s="500"/>
      <c r="FUC8" s="500"/>
      <c r="FUD8" s="500"/>
      <c r="FUE8" s="500"/>
      <c r="FUF8" s="500"/>
      <c r="FUG8" s="500"/>
      <c r="FUH8" s="500"/>
      <c r="FUI8" s="500"/>
      <c r="FUJ8" s="500"/>
      <c r="FUK8" s="500"/>
      <c r="FUL8" s="500"/>
      <c r="FUM8" s="500"/>
      <c r="FUN8" s="500"/>
      <c r="FUO8" s="500"/>
      <c r="FUP8" s="500"/>
      <c r="FUQ8" s="500"/>
      <c r="FUR8" s="500"/>
      <c r="FUS8" s="500"/>
      <c r="FUT8" s="500"/>
      <c r="FUU8" s="500"/>
      <c r="FUV8" s="500"/>
      <c r="FUW8" s="500"/>
      <c r="FUX8" s="500"/>
      <c r="FUY8" s="500"/>
      <c r="FUZ8" s="500"/>
      <c r="FVA8" s="500"/>
      <c r="FVB8" s="500"/>
      <c r="FVC8" s="500"/>
      <c r="FVD8" s="500"/>
      <c r="FVE8" s="500"/>
      <c r="FVF8" s="500"/>
      <c r="FVG8" s="500"/>
      <c r="FVH8" s="500"/>
      <c r="FVI8" s="500"/>
      <c r="FVJ8" s="500"/>
      <c r="FVK8" s="500"/>
      <c r="FVL8" s="500"/>
      <c r="FVM8" s="500"/>
      <c r="FVN8" s="500"/>
      <c r="FVO8" s="500"/>
      <c r="FVP8" s="500"/>
      <c r="FVQ8" s="500"/>
      <c r="FVR8" s="500"/>
      <c r="FVS8" s="500"/>
      <c r="FVT8" s="500"/>
      <c r="FVU8" s="500"/>
      <c r="FVV8" s="500"/>
      <c r="FVW8" s="500"/>
      <c r="FVX8" s="500"/>
      <c r="FVY8" s="500"/>
      <c r="FVZ8" s="500"/>
      <c r="FWA8" s="500"/>
      <c r="FWB8" s="500"/>
      <c r="FWC8" s="500"/>
      <c r="FWD8" s="500"/>
      <c r="FWE8" s="500"/>
      <c r="FWF8" s="500"/>
      <c r="FWG8" s="500"/>
      <c r="FWH8" s="500"/>
      <c r="FWI8" s="500"/>
      <c r="FWJ8" s="500"/>
      <c r="FWK8" s="500"/>
      <c r="FWL8" s="500"/>
      <c r="FWM8" s="500"/>
      <c r="FWN8" s="500"/>
      <c r="FWO8" s="500"/>
      <c r="FWP8" s="500"/>
      <c r="FWQ8" s="500"/>
      <c r="FWR8" s="500"/>
      <c r="FWS8" s="500"/>
      <c r="FWT8" s="500"/>
      <c r="FWU8" s="500"/>
      <c r="FWV8" s="500"/>
      <c r="FWW8" s="500"/>
      <c r="FWX8" s="500"/>
      <c r="FWY8" s="500"/>
      <c r="FWZ8" s="500"/>
      <c r="FXA8" s="500"/>
      <c r="FXB8" s="500"/>
      <c r="FXC8" s="500"/>
      <c r="FXD8" s="500"/>
      <c r="FXE8" s="500"/>
      <c r="FXF8" s="500"/>
      <c r="FXG8" s="500"/>
      <c r="FXH8" s="500"/>
      <c r="FXI8" s="500"/>
      <c r="FXJ8" s="500"/>
      <c r="FXK8" s="500"/>
      <c r="FXL8" s="500"/>
      <c r="FXM8" s="500"/>
      <c r="FXN8" s="500"/>
      <c r="FXO8" s="500"/>
      <c r="FXP8" s="500"/>
      <c r="FXQ8" s="500"/>
      <c r="FXR8" s="500"/>
      <c r="FXS8" s="500"/>
      <c r="FXT8" s="500"/>
      <c r="FXU8" s="500"/>
      <c r="FXV8" s="500"/>
      <c r="FXW8" s="500"/>
      <c r="FXX8" s="500"/>
      <c r="FXY8" s="500"/>
      <c r="FXZ8" s="500"/>
      <c r="FYA8" s="500"/>
      <c r="FYB8" s="500"/>
      <c r="FYC8" s="500"/>
      <c r="FYD8" s="500"/>
      <c r="FYE8" s="500"/>
      <c r="FYF8" s="500"/>
      <c r="FYG8" s="500"/>
      <c r="FYH8" s="500"/>
      <c r="FYI8" s="500"/>
      <c r="FYJ8" s="500"/>
      <c r="FYK8" s="500"/>
      <c r="FYL8" s="500"/>
      <c r="FYM8" s="500"/>
      <c r="FYN8" s="500"/>
      <c r="FYO8" s="500"/>
      <c r="FYP8" s="500"/>
      <c r="FYQ8" s="500"/>
      <c r="FYR8" s="500"/>
      <c r="FYS8" s="500"/>
      <c r="FYT8" s="500"/>
      <c r="FYU8" s="500"/>
      <c r="FYV8" s="500"/>
      <c r="FYW8" s="500"/>
      <c r="FYX8" s="500"/>
      <c r="FYY8" s="500"/>
      <c r="FYZ8" s="500"/>
      <c r="FZA8" s="500"/>
      <c r="FZB8" s="500"/>
      <c r="FZC8" s="500"/>
      <c r="FZD8" s="500"/>
      <c r="FZE8" s="500"/>
      <c r="FZF8" s="500"/>
      <c r="FZG8" s="500"/>
      <c r="FZH8" s="500"/>
      <c r="FZI8" s="500"/>
      <c r="FZJ8" s="500"/>
      <c r="FZK8" s="500"/>
      <c r="FZL8" s="500"/>
      <c r="FZM8" s="500"/>
      <c r="FZN8" s="500"/>
      <c r="FZO8" s="500"/>
      <c r="FZP8" s="500"/>
      <c r="FZQ8" s="500"/>
      <c r="FZR8" s="500"/>
      <c r="FZS8" s="500"/>
      <c r="FZT8" s="500"/>
      <c r="FZU8" s="500"/>
      <c r="FZV8" s="500"/>
      <c r="FZW8" s="500"/>
      <c r="FZX8" s="500"/>
      <c r="FZY8" s="500"/>
      <c r="FZZ8" s="500"/>
      <c r="GAA8" s="500"/>
      <c r="GAB8" s="500"/>
      <c r="GAC8" s="500"/>
      <c r="GAD8" s="500"/>
      <c r="GAE8" s="500"/>
      <c r="GAF8" s="500"/>
      <c r="GAG8" s="500"/>
      <c r="GAH8" s="500"/>
      <c r="GAI8" s="500"/>
      <c r="GAJ8" s="500"/>
      <c r="GAK8" s="500"/>
      <c r="GAL8" s="500"/>
      <c r="GAM8" s="500"/>
      <c r="GAN8" s="500"/>
      <c r="GAO8" s="500"/>
      <c r="GAP8" s="500"/>
      <c r="GAQ8" s="500"/>
      <c r="GAR8" s="500"/>
      <c r="GAS8" s="500"/>
      <c r="GAT8" s="500"/>
      <c r="GAU8" s="500"/>
      <c r="GAV8" s="500"/>
      <c r="GAW8" s="500"/>
      <c r="GAX8" s="500"/>
      <c r="GAY8" s="500"/>
      <c r="GAZ8" s="500"/>
      <c r="GBA8" s="500"/>
      <c r="GBB8" s="500"/>
      <c r="GBC8" s="500"/>
      <c r="GBD8" s="500"/>
      <c r="GBE8" s="500"/>
      <c r="GBF8" s="500"/>
      <c r="GBG8" s="500"/>
      <c r="GBH8" s="500"/>
      <c r="GBI8" s="500"/>
      <c r="GBJ8" s="500"/>
      <c r="GBK8" s="500"/>
      <c r="GBL8" s="500"/>
      <c r="GBM8" s="500"/>
      <c r="GBN8" s="500"/>
      <c r="GBO8" s="500"/>
      <c r="GBP8" s="500"/>
      <c r="GBQ8" s="500"/>
      <c r="GBR8" s="500"/>
      <c r="GBS8" s="500"/>
      <c r="GBT8" s="500"/>
      <c r="GBU8" s="500"/>
      <c r="GBV8" s="500"/>
      <c r="GBW8" s="500"/>
      <c r="GBX8" s="500"/>
      <c r="GBY8" s="500"/>
      <c r="GBZ8" s="500"/>
      <c r="GCA8" s="500"/>
      <c r="GCB8" s="500"/>
      <c r="GCC8" s="500"/>
      <c r="GCD8" s="500"/>
      <c r="GCE8" s="500"/>
      <c r="GCF8" s="500"/>
      <c r="GCG8" s="500"/>
      <c r="GCH8" s="500"/>
      <c r="GCI8" s="500"/>
      <c r="GCJ8" s="500"/>
      <c r="GCK8" s="500"/>
      <c r="GCL8" s="500"/>
      <c r="GCM8" s="500"/>
      <c r="GCN8" s="500"/>
      <c r="GCO8" s="500"/>
      <c r="GCP8" s="500"/>
      <c r="GCQ8" s="500"/>
      <c r="GCR8" s="500"/>
      <c r="GCS8" s="500"/>
      <c r="GCT8" s="500"/>
      <c r="GCU8" s="500"/>
      <c r="GCV8" s="500"/>
      <c r="GCW8" s="500"/>
      <c r="GCX8" s="500"/>
      <c r="GCY8" s="500"/>
      <c r="GCZ8" s="500"/>
      <c r="GDA8" s="500"/>
      <c r="GDB8" s="500"/>
      <c r="GDC8" s="500"/>
      <c r="GDD8" s="500"/>
      <c r="GDE8" s="500"/>
      <c r="GDF8" s="500"/>
      <c r="GDG8" s="500"/>
      <c r="GDH8" s="500"/>
      <c r="GDI8" s="500"/>
      <c r="GDJ8" s="500"/>
      <c r="GDK8" s="500"/>
      <c r="GDL8" s="500"/>
      <c r="GDM8" s="500"/>
      <c r="GDN8" s="500"/>
      <c r="GDO8" s="500"/>
      <c r="GDP8" s="500"/>
      <c r="GDQ8" s="500"/>
      <c r="GDR8" s="500"/>
      <c r="GDS8" s="500"/>
      <c r="GDT8" s="500"/>
      <c r="GDU8" s="500"/>
      <c r="GDV8" s="500"/>
      <c r="GDW8" s="500"/>
      <c r="GDX8" s="500"/>
      <c r="GDY8" s="500"/>
      <c r="GDZ8" s="500"/>
      <c r="GEA8" s="500"/>
      <c r="GEB8" s="500"/>
      <c r="GEC8" s="500"/>
      <c r="GED8" s="500"/>
      <c r="GEE8" s="500"/>
      <c r="GEF8" s="500"/>
      <c r="GEG8" s="500"/>
      <c r="GEH8" s="500"/>
      <c r="GEI8" s="500"/>
      <c r="GEJ8" s="500"/>
      <c r="GEK8" s="500"/>
      <c r="GEL8" s="500"/>
      <c r="GEM8" s="500"/>
      <c r="GEN8" s="500"/>
      <c r="GEO8" s="500"/>
      <c r="GEP8" s="500"/>
      <c r="GEQ8" s="500"/>
      <c r="GER8" s="500"/>
      <c r="GES8" s="500"/>
      <c r="GET8" s="500"/>
      <c r="GEU8" s="500"/>
      <c r="GEV8" s="500"/>
      <c r="GEW8" s="500"/>
      <c r="GEX8" s="500"/>
      <c r="GEY8" s="500"/>
      <c r="GEZ8" s="500"/>
      <c r="GFA8" s="500"/>
      <c r="GFB8" s="500"/>
      <c r="GFC8" s="500"/>
      <c r="GFD8" s="500"/>
      <c r="GFE8" s="500"/>
      <c r="GFF8" s="500"/>
      <c r="GFG8" s="500"/>
      <c r="GFH8" s="500"/>
      <c r="GFI8" s="500"/>
      <c r="GFJ8" s="500"/>
      <c r="GFK8" s="500"/>
      <c r="GFL8" s="500"/>
      <c r="GFM8" s="500"/>
      <c r="GFN8" s="500"/>
      <c r="GFO8" s="500"/>
      <c r="GFP8" s="500"/>
      <c r="GFQ8" s="500"/>
      <c r="GFR8" s="500"/>
      <c r="GFS8" s="500"/>
      <c r="GFT8" s="500"/>
      <c r="GFU8" s="500"/>
      <c r="GFV8" s="500"/>
      <c r="GFW8" s="500"/>
      <c r="GFX8" s="500"/>
      <c r="GFY8" s="500"/>
      <c r="GFZ8" s="500"/>
      <c r="GGA8" s="500"/>
      <c r="GGB8" s="500"/>
      <c r="GGC8" s="500"/>
      <c r="GGD8" s="500"/>
      <c r="GGE8" s="500"/>
      <c r="GGF8" s="500"/>
      <c r="GGG8" s="500"/>
      <c r="GGH8" s="500"/>
      <c r="GGI8" s="500"/>
      <c r="GGJ8" s="500"/>
      <c r="GGK8" s="500"/>
      <c r="GGL8" s="500"/>
      <c r="GGM8" s="500"/>
      <c r="GGN8" s="500"/>
      <c r="GGO8" s="500"/>
      <c r="GGP8" s="500"/>
      <c r="GGQ8" s="500"/>
      <c r="GGR8" s="500"/>
      <c r="GGS8" s="500"/>
      <c r="GGT8" s="500"/>
      <c r="GGU8" s="500"/>
      <c r="GGV8" s="500"/>
      <c r="GGW8" s="500"/>
      <c r="GGX8" s="500"/>
      <c r="GGY8" s="500"/>
      <c r="GGZ8" s="500"/>
      <c r="GHA8" s="500"/>
      <c r="GHB8" s="500"/>
      <c r="GHC8" s="500"/>
      <c r="GHD8" s="500"/>
      <c r="GHE8" s="500"/>
      <c r="GHF8" s="500"/>
      <c r="GHG8" s="500"/>
      <c r="GHH8" s="500"/>
      <c r="GHI8" s="500"/>
      <c r="GHJ8" s="500"/>
      <c r="GHK8" s="500"/>
      <c r="GHL8" s="500"/>
      <c r="GHM8" s="500"/>
      <c r="GHN8" s="500"/>
      <c r="GHO8" s="500"/>
      <c r="GHP8" s="500"/>
      <c r="GHQ8" s="500"/>
      <c r="GHR8" s="500"/>
      <c r="GHS8" s="500"/>
      <c r="GHT8" s="500"/>
      <c r="GHU8" s="500"/>
      <c r="GHV8" s="500"/>
      <c r="GHW8" s="500"/>
      <c r="GHX8" s="500"/>
      <c r="GHY8" s="500"/>
      <c r="GHZ8" s="500"/>
      <c r="GIA8" s="500"/>
      <c r="GIB8" s="500"/>
      <c r="GIC8" s="500"/>
      <c r="GID8" s="500"/>
      <c r="GIE8" s="500"/>
      <c r="GIF8" s="500"/>
      <c r="GIG8" s="500"/>
      <c r="GIH8" s="500"/>
      <c r="GII8" s="500"/>
      <c r="GIJ8" s="500"/>
      <c r="GIK8" s="500"/>
      <c r="GIL8" s="500"/>
      <c r="GIM8" s="500"/>
      <c r="GIN8" s="500"/>
      <c r="GIO8" s="500"/>
      <c r="GIP8" s="500"/>
      <c r="GIQ8" s="500"/>
      <c r="GIR8" s="500"/>
      <c r="GIS8" s="500"/>
      <c r="GIT8" s="500"/>
      <c r="GIU8" s="500"/>
      <c r="GIV8" s="500"/>
      <c r="GIW8" s="500"/>
      <c r="GIX8" s="500"/>
      <c r="GIY8" s="500"/>
      <c r="GIZ8" s="500"/>
      <c r="GJA8" s="500"/>
      <c r="GJB8" s="500"/>
      <c r="GJC8" s="500"/>
      <c r="GJD8" s="500"/>
      <c r="GJE8" s="500"/>
      <c r="GJF8" s="500"/>
      <c r="GJG8" s="500"/>
      <c r="GJH8" s="500"/>
      <c r="GJI8" s="500"/>
      <c r="GJJ8" s="500"/>
      <c r="GJK8" s="500"/>
      <c r="GJL8" s="500"/>
      <c r="GJM8" s="500"/>
      <c r="GJN8" s="500"/>
      <c r="GJO8" s="500"/>
      <c r="GJP8" s="500"/>
      <c r="GJQ8" s="500"/>
      <c r="GJR8" s="500"/>
      <c r="GJS8" s="500"/>
      <c r="GJT8" s="500"/>
      <c r="GJU8" s="500"/>
      <c r="GJV8" s="500"/>
      <c r="GJW8" s="500"/>
      <c r="GJX8" s="500"/>
      <c r="GJY8" s="500"/>
      <c r="GJZ8" s="500"/>
      <c r="GKA8" s="500"/>
      <c r="GKB8" s="500"/>
      <c r="GKC8" s="500"/>
      <c r="GKD8" s="500"/>
      <c r="GKE8" s="500"/>
      <c r="GKF8" s="500"/>
      <c r="GKG8" s="500"/>
      <c r="GKH8" s="500"/>
      <c r="GKI8" s="500"/>
      <c r="GKJ8" s="500"/>
      <c r="GKK8" s="500"/>
      <c r="GKL8" s="500"/>
      <c r="GKM8" s="500"/>
      <c r="GKN8" s="500"/>
      <c r="GKO8" s="500"/>
      <c r="GKP8" s="500"/>
      <c r="GKQ8" s="500"/>
      <c r="GKR8" s="500"/>
      <c r="GKS8" s="500"/>
      <c r="GKT8" s="500"/>
      <c r="GKU8" s="500"/>
      <c r="GKV8" s="500"/>
      <c r="GKW8" s="500"/>
      <c r="GKX8" s="500"/>
      <c r="GKY8" s="500"/>
      <c r="GKZ8" s="500"/>
      <c r="GLA8" s="500"/>
      <c r="GLB8" s="500"/>
      <c r="GLC8" s="500"/>
      <c r="GLD8" s="500"/>
      <c r="GLE8" s="500"/>
      <c r="GLF8" s="500"/>
      <c r="GLG8" s="500"/>
      <c r="GLH8" s="500"/>
      <c r="GLI8" s="500"/>
      <c r="GLJ8" s="500"/>
      <c r="GLK8" s="500"/>
      <c r="GLL8" s="500"/>
      <c r="GLM8" s="500"/>
      <c r="GLN8" s="500"/>
      <c r="GLO8" s="500"/>
      <c r="GLP8" s="500"/>
      <c r="GLQ8" s="500"/>
      <c r="GLR8" s="500"/>
      <c r="GLS8" s="500"/>
      <c r="GLT8" s="500"/>
      <c r="GLU8" s="500"/>
      <c r="GLV8" s="500"/>
      <c r="GLW8" s="500"/>
      <c r="GLX8" s="500"/>
      <c r="GLY8" s="500"/>
      <c r="GLZ8" s="500"/>
      <c r="GMA8" s="500"/>
      <c r="GMB8" s="500"/>
      <c r="GMC8" s="500"/>
      <c r="GMD8" s="500"/>
      <c r="GME8" s="500"/>
      <c r="GMF8" s="500"/>
      <c r="GMG8" s="500"/>
      <c r="GMH8" s="500"/>
      <c r="GMI8" s="500"/>
      <c r="GMJ8" s="500"/>
      <c r="GMK8" s="500"/>
      <c r="GML8" s="500"/>
      <c r="GMM8" s="500"/>
      <c r="GMN8" s="500"/>
      <c r="GMO8" s="500"/>
      <c r="GMP8" s="500"/>
      <c r="GMQ8" s="500"/>
      <c r="GMR8" s="500"/>
      <c r="GMS8" s="500"/>
      <c r="GMT8" s="500"/>
      <c r="GMU8" s="500"/>
      <c r="GMV8" s="500"/>
      <c r="GMW8" s="500"/>
      <c r="GMX8" s="500"/>
      <c r="GMY8" s="500"/>
      <c r="GMZ8" s="500"/>
      <c r="GNA8" s="500"/>
      <c r="GNB8" s="500"/>
      <c r="GNC8" s="500"/>
      <c r="GND8" s="500"/>
      <c r="GNE8" s="500"/>
      <c r="GNF8" s="500"/>
      <c r="GNG8" s="500"/>
      <c r="GNH8" s="500"/>
      <c r="GNI8" s="500"/>
      <c r="GNJ8" s="500"/>
      <c r="GNK8" s="500"/>
      <c r="GNL8" s="500"/>
      <c r="GNM8" s="500"/>
      <c r="GNN8" s="500"/>
      <c r="GNO8" s="500"/>
      <c r="GNP8" s="500"/>
      <c r="GNQ8" s="500"/>
      <c r="GNR8" s="500"/>
      <c r="GNS8" s="500"/>
      <c r="GNT8" s="500"/>
      <c r="GNU8" s="500"/>
      <c r="GNV8" s="500"/>
      <c r="GNW8" s="500"/>
      <c r="GNX8" s="500"/>
      <c r="GNY8" s="500"/>
      <c r="GNZ8" s="500"/>
      <c r="GOA8" s="500"/>
      <c r="GOB8" s="500"/>
      <c r="GOC8" s="500"/>
      <c r="GOD8" s="500"/>
      <c r="GOE8" s="500"/>
      <c r="GOF8" s="500"/>
      <c r="GOG8" s="500"/>
      <c r="GOH8" s="500"/>
      <c r="GOI8" s="500"/>
      <c r="GOJ8" s="500"/>
      <c r="GOK8" s="500"/>
      <c r="GOL8" s="500"/>
      <c r="GOM8" s="500"/>
      <c r="GON8" s="500"/>
      <c r="GOO8" s="500"/>
      <c r="GOP8" s="500"/>
      <c r="GOQ8" s="500"/>
      <c r="GOR8" s="500"/>
      <c r="GOS8" s="500"/>
      <c r="GOT8" s="500"/>
      <c r="GOU8" s="500"/>
      <c r="GOV8" s="500"/>
      <c r="GOW8" s="500"/>
      <c r="GOX8" s="500"/>
      <c r="GOY8" s="500"/>
      <c r="GOZ8" s="500"/>
      <c r="GPA8" s="500"/>
      <c r="GPB8" s="500"/>
      <c r="GPC8" s="500"/>
      <c r="GPD8" s="500"/>
      <c r="GPE8" s="500"/>
      <c r="GPF8" s="500"/>
      <c r="GPG8" s="500"/>
      <c r="GPH8" s="500"/>
      <c r="GPI8" s="500"/>
      <c r="GPJ8" s="500"/>
      <c r="GPK8" s="500"/>
      <c r="GPL8" s="500"/>
      <c r="GPM8" s="500"/>
      <c r="GPN8" s="500"/>
      <c r="GPO8" s="500"/>
      <c r="GPP8" s="500"/>
      <c r="GPQ8" s="500"/>
      <c r="GPR8" s="500"/>
      <c r="GPS8" s="500"/>
      <c r="GPT8" s="500"/>
      <c r="GPU8" s="500"/>
      <c r="GPV8" s="500"/>
      <c r="GPW8" s="500"/>
      <c r="GPX8" s="500"/>
      <c r="GPY8" s="500"/>
      <c r="GPZ8" s="500"/>
      <c r="GQA8" s="500"/>
      <c r="GQB8" s="500"/>
      <c r="GQC8" s="500"/>
      <c r="GQD8" s="500"/>
      <c r="GQE8" s="500"/>
      <c r="GQF8" s="500"/>
      <c r="GQG8" s="500"/>
      <c r="GQH8" s="500"/>
      <c r="GQI8" s="500"/>
      <c r="GQJ8" s="500"/>
      <c r="GQK8" s="500"/>
      <c r="GQL8" s="500"/>
      <c r="GQM8" s="500"/>
      <c r="GQN8" s="500"/>
      <c r="GQO8" s="500"/>
      <c r="GQP8" s="500"/>
      <c r="GQQ8" s="500"/>
      <c r="GQR8" s="500"/>
      <c r="GQS8" s="500"/>
      <c r="GQT8" s="500"/>
      <c r="GQU8" s="500"/>
      <c r="GQV8" s="500"/>
      <c r="GQW8" s="500"/>
      <c r="GQX8" s="500"/>
      <c r="GQY8" s="500"/>
      <c r="GQZ8" s="500"/>
      <c r="GRA8" s="500"/>
      <c r="GRB8" s="500"/>
      <c r="GRC8" s="500"/>
      <c r="GRD8" s="500"/>
      <c r="GRE8" s="500"/>
      <c r="GRF8" s="500"/>
      <c r="GRG8" s="500"/>
      <c r="GRH8" s="500"/>
      <c r="GRI8" s="500"/>
      <c r="GRJ8" s="500"/>
      <c r="GRK8" s="500"/>
      <c r="GRL8" s="500"/>
      <c r="GRM8" s="500"/>
      <c r="GRN8" s="500"/>
      <c r="GRO8" s="500"/>
      <c r="GRP8" s="500"/>
      <c r="GRQ8" s="500"/>
      <c r="GRR8" s="500"/>
      <c r="GRS8" s="500"/>
      <c r="GRT8" s="500"/>
      <c r="GRU8" s="500"/>
      <c r="GRV8" s="500"/>
      <c r="GRW8" s="500"/>
      <c r="GRX8" s="500"/>
      <c r="GRY8" s="500"/>
      <c r="GRZ8" s="500"/>
      <c r="GSA8" s="500"/>
      <c r="GSB8" s="500"/>
      <c r="GSC8" s="500"/>
      <c r="GSD8" s="500"/>
      <c r="GSE8" s="500"/>
      <c r="GSF8" s="500"/>
      <c r="GSG8" s="500"/>
      <c r="GSH8" s="500"/>
      <c r="GSI8" s="500"/>
      <c r="GSJ8" s="500"/>
      <c r="GSK8" s="500"/>
      <c r="GSL8" s="500"/>
      <c r="GSM8" s="500"/>
      <c r="GSN8" s="500"/>
      <c r="GSO8" s="500"/>
      <c r="GSP8" s="500"/>
      <c r="GSQ8" s="500"/>
      <c r="GSR8" s="500"/>
      <c r="GSS8" s="500"/>
      <c r="GST8" s="500"/>
      <c r="GSU8" s="500"/>
      <c r="GSV8" s="500"/>
      <c r="GSW8" s="500"/>
      <c r="GSX8" s="500"/>
      <c r="GSY8" s="500"/>
      <c r="GSZ8" s="500"/>
      <c r="GTA8" s="500"/>
      <c r="GTB8" s="500"/>
      <c r="GTC8" s="500"/>
      <c r="GTD8" s="500"/>
      <c r="GTE8" s="500"/>
      <c r="GTF8" s="500"/>
      <c r="GTG8" s="500"/>
      <c r="GTH8" s="500"/>
      <c r="GTI8" s="500"/>
      <c r="GTJ8" s="500"/>
      <c r="GTK8" s="500"/>
      <c r="GTL8" s="500"/>
      <c r="GTM8" s="500"/>
      <c r="GTN8" s="500"/>
      <c r="GTO8" s="500"/>
      <c r="GTP8" s="500"/>
      <c r="GTQ8" s="500"/>
      <c r="GTR8" s="500"/>
      <c r="GTS8" s="500"/>
      <c r="GTT8" s="500"/>
      <c r="GTU8" s="500"/>
      <c r="GTV8" s="500"/>
      <c r="GTW8" s="500"/>
      <c r="GTX8" s="500"/>
      <c r="GTY8" s="500"/>
      <c r="GTZ8" s="500"/>
      <c r="GUA8" s="500"/>
      <c r="GUB8" s="500"/>
      <c r="GUC8" s="500"/>
      <c r="GUD8" s="500"/>
      <c r="GUE8" s="500"/>
      <c r="GUF8" s="500"/>
      <c r="GUG8" s="500"/>
      <c r="GUH8" s="500"/>
      <c r="GUI8" s="500"/>
      <c r="GUJ8" s="500"/>
      <c r="GUK8" s="500"/>
      <c r="GUL8" s="500"/>
      <c r="GUM8" s="500"/>
      <c r="GUN8" s="500"/>
      <c r="GUO8" s="500"/>
      <c r="GUP8" s="500"/>
      <c r="GUQ8" s="500"/>
      <c r="GUR8" s="500"/>
      <c r="GUS8" s="500"/>
      <c r="GUT8" s="500"/>
      <c r="GUU8" s="500"/>
      <c r="GUV8" s="500"/>
      <c r="GUW8" s="500"/>
      <c r="GUX8" s="500"/>
      <c r="GUY8" s="500"/>
      <c r="GUZ8" s="500"/>
      <c r="GVA8" s="500"/>
      <c r="GVB8" s="500"/>
      <c r="GVC8" s="500"/>
      <c r="GVD8" s="500"/>
      <c r="GVE8" s="500"/>
      <c r="GVF8" s="500"/>
      <c r="GVG8" s="500"/>
      <c r="GVH8" s="500"/>
      <c r="GVI8" s="500"/>
      <c r="GVJ8" s="500"/>
      <c r="GVK8" s="500"/>
      <c r="GVL8" s="500"/>
      <c r="GVM8" s="500"/>
      <c r="GVN8" s="500"/>
      <c r="GVO8" s="500"/>
      <c r="GVP8" s="500"/>
      <c r="GVQ8" s="500"/>
      <c r="GVR8" s="500"/>
      <c r="GVS8" s="500"/>
      <c r="GVT8" s="500"/>
      <c r="GVU8" s="500"/>
      <c r="GVV8" s="500"/>
      <c r="GVW8" s="500"/>
      <c r="GVX8" s="500"/>
      <c r="GVY8" s="500"/>
      <c r="GVZ8" s="500"/>
      <c r="GWA8" s="500"/>
      <c r="GWB8" s="500"/>
      <c r="GWC8" s="500"/>
      <c r="GWD8" s="500"/>
      <c r="GWE8" s="500"/>
      <c r="GWF8" s="500"/>
      <c r="GWG8" s="500"/>
      <c r="GWH8" s="500"/>
      <c r="GWI8" s="500"/>
      <c r="GWJ8" s="500"/>
      <c r="GWK8" s="500"/>
      <c r="GWL8" s="500"/>
      <c r="GWM8" s="500"/>
      <c r="GWN8" s="500"/>
      <c r="GWO8" s="500"/>
      <c r="GWP8" s="500"/>
      <c r="GWQ8" s="500"/>
      <c r="GWR8" s="500"/>
      <c r="GWS8" s="500"/>
      <c r="GWT8" s="500"/>
      <c r="GWU8" s="500"/>
      <c r="GWV8" s="500"/>
      <c r="GWW8" s="500"/>
      <c r="GWX8" s="500"/>
      <c r="GWY8" s="500"/>
      <c r="GWZ8" s="500"/>
      <c r="GXA8" s="500"/>
      <c r="GXB8" s="500"/>
      <c r="GXC8" s="500"/>
      <c r="GXD8" s="500"/>
      <c r="GXE8" s="500"/>
      <c r="GXF8" s="500"/>
      <c r="GXG8" s="500"/>
      <c r="GXH8" s="500"/>
      <c r="GXI8" s="500"/>
      <c r="GXJ8" s="500"/>
      <c r="GXK8" s="500"/>
      <c r="GXL8" s="500"/>
      <c r="GXM8" s="500"/>
      <c r="GXN8" s="500"/>
      <c r="GXO8" s="500"/>
      <c r="GXP8" s="500"/>
      <c r="GXQ8" s="500"/>
      <c r="GXR8" s="500"/>
      <c r="GXS8" s="500"/>
      <c r="GXT8" s="500"/>
      <c r="GXU8" s="500"/>
      <c r="GXV8" s="500"/>
      <c r="GXW8" s="500"/>
      <c r="GXX8" s="500"/>
      <c r="GXY8" s="500"/>
      <c r="GXZ8" s="500"/>
      <c r="GYA8" s="500"/>
      <c r="GYB8" s="500"/>
      <c r="GYC8" s="500"/>
      <c r="GYD8" s="500"/>
      <c r="GYE8" s="500"/>
      <c r="GYF8" s="500"/>
      <c r="GYG8" s="500"/>
      <c r="GYH8" s="500"/>
      <c r="GYI8" s="500"/>
      <c r="GYJ8" s="500"/>
      <c r="GYK8" s="500"/>
      <c r="GYL8" s="500"/>
      <c r="GYM8" s="500"/>
      <c r="GYN8" s="500"/>
      <c r="GYO8" s="500"/>
      <c r="GYP8" s="500"/>
      <c r="GYQ8" s="500"/>
      <c r="GYR8" s="500"/>
      <c r="GYS8" s="500"/>
      <c r="GYT8" s="500"/>
      <c r="GYU8" s="500"/>
      <c r="GYV8" s="500"/>
      <c r="GYW8" s="500"/>
      <c r="GYX8" s="500"/>
      <c r="GYY8" s="500"/>
      <c r="GYZ8" s="500"/>
      <c r="GZA8" s="500"/>
      <c r="GZB8" s="500"/>
      <c r="GZC8" s="500"/>
      <c r="GZD8" s="500"/>
      <c r="GZE8" s="500"/>
      <c r="GZF8" s="500"/>
      <c r="GZG8" s="500"/>
      <c r="GZH8" s="500"/>
      <c r="GZI8" s="500"/>
      <c r="GZJ8" s="500"/>
      <c r="GZK8" s="500"/>
      <c r="GZL8" s="500"/>
      <c r="GZM8" s="500"/>
      <c r="GZN8" s="500"/>
      <c r="GZO8" s="500"/>
      <c r="GZP8" s="500"/>
      <c r="GZQ8" s="500"/>
      <c r="GZR8" s="500"/>
      <c r="GZS8" s="500"/>
      <c r="GZT8" s="500"/>
      <c r="GZU8" s="500"/>
      <c r="GZV8" s="500"/>
      <c r="GZW8" s="500"/>
      <c r="GZX8" s="500"/>
      <c r="GZY8" s="500"/>
      <c r="GZZ8" s="500"/>
      <c r="HAA8" s="500"/>
      <c r="HAB8" s="500"/>
      <c r="HAC8" s="500"/>
      <c r="HAD8" s="500"/>
      <c r="HAE8" s="500"/>
      <c r="HAF8" s="500"/>
      <c r="HAG8" s="500"/>
      <c r="HAH8" s="500"/>
      <c r="HAI8" s="500"/>
      <c r="HAJ8" s="500"/>
      <c r="HAK8" s="500"/>
      <c r="HAL8" s="500"/>
      <c r="HAM8" s="500"/>
      <c r="HAN8" s="500"/>
      <c r="HAO8" s="500"/>
      <c r="HAP8" s="500"/>
      <c r="HAQ8" s="500"/>
      <c r="HAR8" s="500"/>
      <c r="HAS8" s="500"/>
      <c r="HAT8" s="500"/>
      <c r="HAU8" s="500"/>
      <c r="HAV8" s="500"/>
      <c r="HAW8" s="500"/>
      <c r="HAX8" s="500"/>
      <c r="HAY8" s="500"/>
      <c r="HAZ8" s="500"/>
      <c r="HBA8" s="500"/>
      <c r="HBB8" s="500"/>
      <c r="HBC8" s="500"/>
      <c r="HBD8" s="500"/>
      <c r="HBE8" s="500"/>
      <c r="HBF8" s="500"/>
      <c r="HBG8" s="500"/>
      <c r="HBH8" s="500"/>
      <c r="HBI8" s="500"/>
      <c r="HBJ8" s="500"/>
      <c r="HBK8" s="500"/>
      <c r="HBL8" s="500"/>
      <c r="HBM8" s="500"/>
      <c r="HBN8" s="500"/>
      <c r="HBO8" s="500"/>
      <c r="HBP8" s="500"/>
      <c r="HBQ8" s="500"/>
      <c r="HBR8" s="500"/>
      <c r="HBS8" s="500"/>
      <c r="HBT8" s="500"/>
      <c r="HBU8" s="500"/>
      <c r="HBV8" s="500"/>
      <c r="HBW8" s="500"/>
      <c r="HBX8" s="500"/>
      <c r="HBY8" s="500"/>
      <c r="HBZ8" s="500"/>
      <c r="HCA8" s="500"/>
      <c r="HCB8" s="500"/>
      <c r="HCC8" s="500"/>
      <c r="HCD8" s="500"/>
      <c r="HCE8" s="500"/>
      <c r="HCF8" s="500"/>
      <c r="HCG8" s="500"/>
      <c r="HCH8" s="500"/>
      <c r="HCI8" s="500"/>
      <c r="HCJ8" s="500"/>
      <c r="HCK8" s="500"/>
      <c r="HCL8" s="500"/>
      <c r="HCM8" s="500"/>
      <c r="HCN8" s="500"/>
      <c r="HCO8" s="500"/>
      <c r="HCP8" s="500"/>
      <c r="HCQ8" s="500"/>
      <c r="HCR8" s="500"/>
      <c r="HCS8" s="500"/>
      <c r="HCT8" s="500"/>
      <c r="HCU8" s="500"/>
      <c r="HCV8" s="500"/>
      <c r="HCW8" s="500"/>
      <c r="HCX8" s="500"/>
      <c r="HCY8" s="500"/>
      <c r="HCZ8" s="500"/>
      <c r="HDA8" s="500"/>
      <c r="HDB8" s="500"/>
      <c r="HDC8" s="500"/>
      <c r="HDD8" s="500"/>
      <c r="HDE8" s="500"/>
      <c r="HDF8" s="500"/>
      <c r="HDG8" s="500"/>
      <c r="HDH8" s="500"/>
      <c r="HDI8" s="500"/>
      <c r="HDJ8" s="500"/>
      <c r="HDK8" s="500"/>
      <c r="HDL8" s="500"/>
      <c r="HDM8" s="500"/>
      <c r="HDN8" s="500"/>
      <c r="HDO8" s="500"/>
      <c r="HDP8" s="500"/>
      <c r="HDQ8" s="500"/>
      <c r="HDR8" s="500"/>
      <c r="HDS8" s="500"/>
      <c r="HDT8" s="500"/>
      <c r="HDU8" s="500"/>
      <c r="HDV8" s="500"/>
      <c r="HDW8" s="500"/>
      <c r="HDX8" s="500"/>
      <c r="HDY8" s="500"/>
      <c r="HDZ8" s="500"/>
      <c r="HEA8" s="500"/>
      <c r="HEB8" s="500"/>
      <c r="HEC8" s="500"/>
      <c r="HED8" s="500"/>
      <c r="HEE8" s="500"/>
      <c r="HEF8" s="500"/>
      <c r="HEG8" s="500"/>
      <c r="HEH8" s="500"/>
      <c r="HEI8" s="500"/>
      <c r="HEJ8" s="500"/>
      <c r="HEK8" s="500"/>
      <c r="HEL8" s="500"/>
      <c r="HEM8" s="500"/>
      <c r="HEN8" s="500"/>
      <c r="HEO8" s="500"/>
      <c r="HEP8" s="500"/>
      <c r="HEQ8" s="500"/>
      <c r="HER8" s="500"/>
      <c r="HES8" s="500"/>
      <c r="HET8" s="500"/>
      <c r="HEU8" s="500"/>
      <c r="HEV8" s="500"/>
      <c r="HEW8" s="500"/>
      <c r="HEX8" s="500"/>
      <c r="HEY8" s="500"/>
      <c r="HEZ8" s="500"/>
      <c r="HFA8" s="500"/>
      <c r="HFB8" s="500"/>
      <c r="HFC8" s="500"/>
      <c r="HFD8" s="500"/>
      <c r="HFE8" s="500"/>
      <c r="HFF8" s="500"/>
      <c r="HFG8" s="500"/>
      <c r="HFH8" s="500"/>
      <c r="HFI8" s="500"/>
      <c r="HFJ8" s="500"/>
      <c r="HFK8" s="500"/>
      <c r="HFL8" s="500"/>
      <c r="HFM8" s="500"/>
      <c r="HFN8" s="500"/>
      <c r="HFO8" s="500"/>
      <c r="HFP8" s="500"/>
      <c r="HFQ8" s="500"/>
      <c r="HFR8" s="500"/>
      <c r="HFS8" s="500"/>
      <c r="HFT8" s="500"/>
      <c r="HFU8" s="500"/>
      <c r="HFV8" s="500"/>
      <c r="HFW8" s="500"/>
      <c r="HFX8" s="500"/>
      <c r="HFY8" s="500"/>
      <c r="HFZ8" s="500"/>
      <c r="HGA8" s="500"/>
      <c r="HGB8" s="500"/>
      <c r="HGC8" s="500"/>
      <c r="HGD8" s="500"/>
      <c r="HGE8" s="500"/>
      <c r="HGF8" s="500"/>
      <c r="HGG8" s="500"/>
      <c r="HGH8" s="500"/>
      <c r="HGI8" s="500"/>
      <c r="HGJ8" s="500"/>
      <c r="HGK8" s="500"/>
      <c r="HGL8" s="500"/>
      <c r="HGM8" s="500"/>
      <c r="HGN8" s="500"/>
      <c r="HGO8" s="500"/>
      <c r="HGP8" s="500"/>
      <c r="HGQ8" s="500"/>
      <c r="HGR8" s="500"/>
      <c r="HGS8" s="500"/>
      <c r="HGT8" s="500"/>
      <c r="HGU8" s="500"/>
      <c r="HGV8" s="500"/>
      <c r="HGW8" s="500"/>
      <c r="HGX8" s="500"/>
      <c r="HGY8" s="500"/>
      <c r="HGZ8" s="500"/>
      <c r="HHA8" s="500"/>
      <c r="HHB8" s="500"/>
      <c r="HHC8" s="500"/>
      <c r="HHD8" s="500"/>
      <c r="HHE8" s="500"/>
      <c r="HHF8" s="500"/>
      <c r="HHG8" s="500"/>
      <c r="HHH8" s="500"/>
      <c r="HHI8" s="500"/>
      <c r="HHJ8" s="500"/>
      <c r="HHK8" s="500"/>
      <c r="HHL8" s="500"/>
      <c r="HHM8" s="500"/>
      <c r="HHN8" s="500"/>
      <c r="HHO8" s="500"/>
      <c r="HHP8" s="500"/>
      <c r="HHQ8" s="500"/>
      <c r="HHR8" s="500"/>
      <c r="HHS8" s="500"/>
      <c r="HHT8" s="500"/>
      <c r="HHU8" s="500"/>
      <c r="HHV8" s="500"/>
      <c r="HHW8" s="500"/>
      <c r="HHX8" s="500"/>
      <c r="HHY8" s="500"/>
      <c r="HHZ8" s="500"/>
      <c r="HIA8" s="500"/>
      <c r="HIB8" s="500"/>
      <c r="HIC8" s="500"/>
      <c r="HID8" s="500"/>
      <c r="HIE8" s="500"/>
      <c r="HIF8" s="500"/>
      <c r="HIG8" s="500"/>
      <c r="HIH8" s="500"/>
      <c r="HII8" s="500"/>
      <c r="HIJ8" s="500"/>
      <c r="HIK8" s="500"/>
      <c r="HIL8" s="500"/>
      <c r="HIM8" s="500"/>
      <c r="HIN8" s="500"/>
      <c r="HIO8" s="500"/>
      <c r="HIP8" s="500"/>
      <c r="HIQ8" s="500"/>
      <c r="HIR8" s="500"/>
      <c r="HIS8" s="500"/>
      <c r="HIT8" s="500"/>
      <c r="HIU8" s="500"/>
      <c r="HIV8" s="500"/>
      <c r="HIW8" s="500"/>
      <c r="HIX8" s="500"/>
      <c r="HIY8" s="500"/>
      <c r="HIZ8" s="500"/>
      <c r="HJA8" s="500"/>
      <c r="HJB8" s="500"/>
      <c r="HJC8" s="500"/>
      <c r="HJD8" s="500"/>
      <c r="HJE8" s="500"/>
      <c r="HJF8" s="500"/>
      <c r="HJG8" s="500"/>
      <c r="HJH8" s="500"/>
      <c r="HJI8" s="500"/>
      <c r="HJJ8" s="500"/>
      <c r="HJK8" s="500"/>
      <c r="HJL8" s="500"/>
      <c r="HJM8" s="500"/>
      <c r="HJN8" s="500"/>
      <c r="HJO8" s="500"/>
      <c r="HJP8" s="500"/>
      <c r="HJQ8" s="500"/>
      <c r="HJR8" s="500"/>
      <c r="HJS8" s="500"/>
      <c r="HJT8" s="500"/>
      <c r="HJU8" s="500"/>
      <c r="HJV8" s="500"/>
      <c r="HJW8" s="500"/>
      <c r="HJX8" s="500"/>
      <c r="HJY8" s="500"/>
      <c r="HJZ8" s="500"/>
      <c r="HKA8" s="500"/>
      <c r="HKB8" s="500"/>
      <c r="HKC8" s="500"/>
      <c r="HKD8" s="500"/>
      <c r="HKE8" s="500"/>
      <c r="HKF8" s="500"/>
      <c r="HKG8" s="500"/>
      <c r="HKH8" s="500"/>
      <c r="HKI8" s="500"/>
      <c r="HKJ8" s="500"/>
      <c r="HKK8" s="500"/>
      <c r="HKL8" s="500"/>
      <c r="HKM8" s="500"/>
      <c r="HKN8" s="500"/>
      <c r="HKO8" s="500"/>
      <c r="HKP8" s="500"/>
      <c r="HKQ8" s="500"/>
      <c r="HKR8" s="500"/>
      <c r="HKS8" s="500"/>
      <c r="HKT8" s="500"/>
      <c r="HKU8" s="500"/>
      <c r="HKV8" s="500"/>
      <c r="HKW8" s="500"/>
      <c r="HKX8" s="500"/>
      <c r="HKY8" s="500"/>
      <c r="HKZ8" s="500"/>
      <c r="HLA8" s="500"/>
      <c r="HLB8" s="500"/>
      <c r="HLC8" s="500"/>
      <c r="HLD8" s="500"/>
      <c r="HLE8" s="500"/>
      <c r="HLF8" s="500"/>
      <c r="HLG8" s="500"/>
      <c r="HLH8" s="500"/>
      <c r="HLI8" s="500"/>
      <c r="HLJ8" s="500"/>
      <c r="HLK8" s="500"/>
      <c r="HLL8" s="500"/>
      <c r="HLM8" s="500"/>
      <c r="HLN8" s="500"/>
      <c r="HLO8" s="500"/>
      <c r="HLP8" s="500"/>
      <c r="HLQ8" s="500"/>
      <c r="HLR8" s="500"/>
      <c r="HLS8" s="500"/>
      <c r="HLT8" s="500"/>
      <c r="HLU8" s="500"/>
      <c r="HLV8" s="500"/>
      <c r="HLW8" s="500"/>
      <c r="HLX8" s="500"/>
      <c r="HLY8" s="500"/>
      <c r="HLZ8" s="500"/>
      <c r="HMA8" s="500"/>
      <c r="HMB8" s="500"/>
      <c r="HMC8" s="500"/>
      <c r="HMD8" s="500"/>
      <c r="HME8" s="500"/>
      <c r="HMF8" s="500"/>
      <c r="HMG8" s="500"/>
      <c r="HMH8" s="500"/>
      <c r="HMI8" s="500"/>
      <c r="HMJ8" s="500"/>
      <c r="HMK8" s="500"/>
      <c r="HML8" s="500"/>
      <c r="HMM8" s="500"/>
      <c r="HMN8" s="500"/>
      <c r="HMO8" s="500"/>
      <c r="HMP8" s="500"/>
      <c r="HMQ8" s="500"/>
      <c r="HMR8" s="500"/>
      <c r="HMS8" s="500"/>
      <c r="HMT8" s="500"/>
      <c r="HMU8" s="500"/>
      <c r="HMV8" s="500"/>
      <c r="HMW8" s="500"/>
      <c r="HMX8" s="500"/>
      <c r="HMY8" s="500"/>
      <c r="HMZ8" s="500"/>
      <c r="HNA8" s="500"/>
      <c r="HNB8" s="500"/>
      <c r="HNC8" s="500"/>
      <c r="HND8" s="500"/>
      <c r="HNE8" s="500"/>
      <c r="HNF8" s="500"/>
      <c r="HNG8" s="500"/>
      <c r="HNH8" s="500"/>
      <c r="HNI8" s="500"/>
      <c r="HNJ8" s="500"/>
      <c r="HNK8" s="500"/>
      <c r="HNL8" s="500"/>
      <c r="HNM8" s="500"/>
      <c r="HNN8" s="500"/>
      <c r="HNO8" s="500"/>
      <c r="HNP8" s="500"/>
      <c r="HNQ8" s="500"/>
      <c r="HNR8" s="500"/>
      <c r="HNS8" s="500"/>
      <c r="HNT8" s="500"/>
      <c r="HNU8" s="500"/>
      <c r="HNV8" s="500"/>
      <c r="HNW8" s="500"/>
      <c r="HNX8" s="500"/>
      <c r="HNY8" s="500"/>
      <c r="HNZ8" s="500"/>
      <c r="HOA8" s="500"/>
      <c r="HOB8" s="500"/>
      <c r="HOC8" s="500"/>
      <c r="HOD8" s="500"/>
      <c r="HOE8" s="500"/>
      <c r="HOF8" s="500"/>
      <c r="HOG8" s="500"/>
      <c r="HOH8" s="500"/>
      <c r="HOI8" s="500"/>
      <c r="HOJ8" s="500"/>
      <c r="HOK8" s="500"/>
      <c r="HOL8" s="500"/>
      <c r="HOM8" s="500"/>
      <c r="HON8" s="500"/>
      <c r="HOO8" s="500"/>
      <c r="HOP8" s="500"/>
      <c r="HOQ8" s="500"/>
      <c r="HOR8" s="500"/>
      <c r="HOS8" s="500"/>
      <c r="HOT8" s="500"/>
      <c r="HOU8" s="500"/>
      <c r="HOV8" s="500"/>
      <c r="HOW8" s="500"/>
      <c r="HOX8" s="500"/>
      <c r="HOY8" s="500"/>
      <c r="HOZ8" s="500"/>
      <c r="HPA8" s="500"/>
      <c r="HPB8" s="500"/>
      <c r="HPC8" s="500"/>
      <c r="HPD8" s="500"/>
      <c r="HPE8" s="500"/>
      <c r="HPF8" s="500"/>
      <c r="HPG8" s="500"/>
      <c r="HPH8" s="500"/>
      <c r="HPI8" s="500"/>
      <c r="HPJ8" s="500"/>
      <c r="HPK8" s="500"/>
      <c r="HPL8" s="500"/>
      <c r="HPM8" s="500"/>
      <c r="HPN8" s="500"/>
      <c r="HPO8" s="500"/>
      <c r="HPP8" s="500"/>
      <c r="HPQ8" s="500"/>
      <c r="HPR8" s="500"/>
      <c r="HPS8" s="500"/>
      <c r="HPT8" s="500"/>
      <c r="HPU8" s="500"/>
      <c r="HPV8" s="500"/>
      <c r="HPW8" s="500"/>
      <c r="HPX8" s="500"/>
      <c r="HPY8" s="500"/>
      <c r="HPZ8" s="500"/>
      <c r="HQA8" s="500"/>
      <c r="HQB8" s="500"/>
      <c r="HQC8" s="500"/>
      <c r="HQD8" s="500"/>
      <c r="HQE8" s="500"/>
      <c r="HQF8" s="500"/>
      <c r="HQG8" s="500"/>
      <c r="HQH8" s="500"/>
      <c r="HQI8" s="500"/>
      <c r="HQJ8" s="500"/>
      <c r="HQK8" s="500"/>
      <c r="HQL8" s="500"/>
      <c r="HQM8" s="500"/>
      <c r="HQN8" s="500"/>
      <c r="HQO8" s="500"/>
      <c r="HQP8" s="500"/>
      <c r="HQQ8" s="500"/>
      <c r="HQR8" s="500"/>
      <c r="HQS8" s="500"/>
      <c r="HQT8" s="500"/>
      <c r="HQU8" s="500"/>
      <c r="HQV8" s="500"/>
      <c r="HQW8" s="500"/>
      <c r="HQX8" s="500"/>
      <c r="HQY8" s="500"/>
      <c r="HQZ8" s="500"/>
      <c r="HRA8" s="500"/>
      <c r="HRB8" s="500"/>
      <c r="HRC8" s="500"/>
      <c r="HRD8" s="500"/>
      <c r="HRE8" s="500"/>
      <c r="HRF8" s="500"/>
      <c r="HRG8" s="500"/>
      <c r="HRH8" s="500"/>
      <c r="HRI8" s="500"/>
      <c r="HRJ8" s="500"/>
      <c r="HRK8" s="500"/>
      <c r="HRL8" s="500"/>
      <c r="HRM8" s="500"/>
      <c r="HRN8" s="500"/>
      <c r="HRO8" s="500"/>
      <c r="HRP8" s="500"/>
      <c r="HRQ8" s="500"/>
      <c r="HRR8" s="500"/>
      <c r="HRS8" s="500"/>
      <c r="HRT8" s="500"/>
      <c r="HRU8" s="500"/>
      <c r="HRV8" s="500"/>
      <c r="HRW8" s="500"/>
      <c r="HRX8" s="500"/>
      <c r="HRY8" s="500"/>
      <c r="HRZ8" s="500"/>
      <c r="HSA8" s="500"/>
      <c r="HSB8" s="500"/>
      <c r="HSC8" s="500"/>
      <c r="HSD8" s="500"/>
      <c r="HSE8" s="500"/>
      <c r="HSF8" s="500"/>
      <c r="HSG8" s="500"/>
      <c r="HSH8" s="500"/>
      <c r="HSI8" s="500"/>
      <c r="HSJ8" s="500"/>
      <c r="HSK8" s="500"/>
      <c r="HSL8" s="500"/>
      <c r="HSM8" s="500"/>
      <c r="HSN8" s="500"/>
      <c r="HSO8" s="500"/>
      <c r="HSP8" s="500"/>
      <c r="HSQ8" s="500"/>
      <c r="HSR8" s="500"/>
      <c r="HSS8" s="500"/>
      <c r="HST8" s="500"/>
      <c r="HSU8" s="500"/>
      <c r="HSV8" s="500"/>
      <c r="HSW8" s="500"/>
      <c r="HSX8" s="500"/>
      <c r="HSY8" s="500"/>
      <c r="HSZ8" s="500"/>
      <c r="HTA8" s="500"/>
      <c r="HTB8" s="500"/>
      <c r="HTC8" s="500"/>
      <c r="HTD8" s="500"/>
      <c r="HTE8" s="500"/>
      <c r="HTF8" s="500"/>
      <c r="HTG8" s="500"/>
      <c r="HTH8" s="500"/>
      <c r="HTI8" s="500"/>
      <c r="HTJ8" s="500"/>
      <c r="HTK8" s="500"/>
      <c r="HTL8" s="500"/>
      <c r="HTM8" s="500"/>
      <c r="HTN8" s="500"/>
      <c r="HTO8" s="500"/>
      <c r="HTP8" s="500"/>
      <c r="HTQ8" s="500"/>
      <c r="HTR8" s="500"/>
      <c r="HTS8" s="500"/>
      <c r="HTT8" s="500"/>
      <c r="HTU8" s="500"/>
      <c r="HTV8" s="500"/>
      <c r="HTW8" s="500"/>
      <c r="HTX8" s="500"/>
      <c r="HTY8" s="500"/>
      <c r="HTZ8" s="500"/>
      <c r="HUA8" s="500"/>
      <c r="HUB8" s="500"/>
      <c r="HUC8" s="500"/>
      <c r="HUD8" s="500"/>
      <c r="HUE8" s="500"/>
      <c r="HUF8" s="500"/>
      <c r="HUG8" s="500"/>
      <c r="HUH8" s="500"/>
      <c r="HUI8" s="500"/>
      <c r="HUJ8" s="500"/>
      <c r="HUK8" s="500"/>
      <c r="HUL8" s="500"/>
      <c r="HUM8" s="500"/>
      <c r="HUN8" s="500"/>
      <c r="HUO8" s="500"/>
      <c r="HUP8" s="500"/>
      <c r="HUQ8" s="500"/>
      <c r="HUR8" s="500"/>
      <c r="HUS8" s="500"/>
      <c r="HUT8" s="500"/>
      <c r="HUU8" s="500"/>
      <c r="HUV8" s="500"/>
      <c r="HUW8" s="500"/>
      <c r="HUX8" s="500"/>
      <c r="HUY8" s="500"/>
      <c r="HUZ8" s="500"/>
      <c r="HVA8" s="500"/>
      <c r="HVB8" s="500"/>
      <c r="HVC8" s="500"/>
      <c r="HVD8" s="500"/>
      <c r="HVE8" s="500"/>
      <c r="HVF8" s="500"/>
      <c r="HVG8" s="500"/>
      <c r="HVH8" s="500"/>
      <c r="HVI8" s="500"/>
      <c r="HVJ8" s="500"/>
      <c r="HVK8" s="500"/>
      <c r="HVL8" s="500"/>
      <c r="HVM8" s="500"/>
      <c r="HVN8" s="500"/>
      <c r="HVO8" s="500"/>
      <c r="HVP8" s="500"/>
      <c r="HVQ8" s="500"/>
      <c r="HVR8" s="500"/>
      <c r="HVS8" s="500"/>
      <c r="HVT8" s="500"/>
      <c r="HVU8" s="500"/>
      <c r="HVV8" s="500"/>
      <c r="HVW8" s="500"/>
      <c r="HVX8" s="500"/>
      <c r="HVY8" s="500"/>
      <c r="HVZ8" s="500"/>
      <c r="HWA8" s="500"/>
      <c r="HWB8" s="500"/>
      <c r="HWC8" s="500"/>
      <c r="HWD8" s="500"/>
      <c r="HWE8" s="500"/>
      <c r="HWF8" s="500"/>
      <c r="HWG8" s="500"/>
      <c r="HWH8" s="500"/>
      <c r="HWI8" s="500"/>
      <c r="HWJ8" s="500"/>
      <c r="HWK8" s="500"/>
      <c r="HWL8" s="500"/>
      <c r="HWM8" s="500"/>
      <c r="HWN8" s="500"/>
      <c r="HWO8" s="500"/>
      <c r="HWP8" s="500"/>
      <c r="HWQ8" s="500"/>
      <c r="HWR8" s="500"/>
      <c r="HWS8" s="500"/>
      <c r="HWT8" s="500"/>
      <c r="HWU8" s="500"/>
      <c r="HWV8" s="500"/>
      <c r="HWW8" s="500"/>
      <c r="HWX8" s="500"/>
      <c r="HWY8" s="500"/>
      <c r="HWZ8" s="500"/>
      <c r="HXA8" s="500"/>
      <c r="HXB8" s="500"/>
      <c r="HXC8" s="500"/>
      <c r="HXD8" s="500"/>
      <c r="HXE8" s="500"/>
      <c r="HXF8" s="500"/>
      <c r="HXG8" s="500"/>
      <c r="HXH8" s="500"/>
      <c r="HXI8" s="500"/>
      <c r="HXJ8" s="500"/>
      <c r="HXK8" s="500"/>
      <c r="HXL8" s="500"/>
      <c r="HXM8" s="500"/>
      <c r="HXN8" s="500"/>
      <c r="HXO8" s="500"/>
      <c r="HXP8" s="500"/>
      <c r="HXQ8" s="500"/>
      <c r="HXR8" s="500"/>
      <c r="HXS8" s="500"/>
      <c r="HXT8" s="500"/>
      <c r="HXU8" s="500"/>
      <c r="HXV8" s="500"/>
      <c r="HXW8" s="500"/>
      <c r="HXX8" s="500"/>
      <c r="HXY8" s="500"/>
      <c r="HXZ8" s="500"/>
      <c r="HYA8" s="500"/>
      <c r="HYB8" s="500"/>
      <c r="HYC8" s="500"/>
      <c r="HYD8" s="500"/>
      <c r="HYE8" s="500"/>
      <c r="HYF8" s="500"/>
      <c r="HYG8" s="500"/>
      <c r="HYH8" s="500"/>
      <c r="HYI8" s="500"/>
      <c r="HYJ8" s="500"/>
      <c r="HYK8" s="500"/>
      <c r="HYL8" s="500"/>
      <c r="HYM8" s="500"/>
      <c r="HYN8" s="500"/>
      <c r="HYO8" s="500"/>
      <c r="HYP8" s="500"/>
      <c r="HYQ8" s="500"/>
      <c r="HYR8" s="500"/>
      <c r="HYS8" s="500"/>
      <c r="HYT8" s="500"/>
      <c r="HYU8" s="500"/>
      <c r="HYV8" s="500"/>
      <c r="HYW8" s="500"/>
      <c r="HYX8" s="500"/>
      <c r="HYY8" s="500"/>
      <c r="HYZ8" s="500"/>
      <c r="HZA8" s="500"/>
      <c r="HZB8" s="500"/>
      <c r="HZC8" s="500"/>
      <c r="HZD8" s="500"/>
      <c r="HZE8" s="500"/>
      <c r="HZF8" s="500"/>
      <c r="HZG8" s="500"/>
      <c r="HZH8" s="500"/>
      <c r="HZI8" s="500"/>
      <c r="HZJ8" s="500"/>
      <c r="HZK8" s="500"/>
      <c r="HZL8" s="500"/>
      <c r="HZM8" s="500"/>
      <c r="HZN8" s="500"/>
      <c r="HZO8" s="500"/>
      <c r="HZP8" s="500"/>
      <c r="HZQ8" s="500"/>
      <c r="HZR8" s="500"/>
      <c r="HZS8" s="500"/>
      <c r="HZT8" s="500"/>
      <c r="HZU8" s="500"/>
      <c r="HZV8" s="500"/>
      <c r="HZW8" s="500"/>
      <c r="HZX8" s="500"/>
      <c r="HZY8" s="500"/>
      <c r="HZZ8" s="500"/>
      <c r="IAA8" s="500"/>
      <c r="IAB8" s="500"/>
      <c r="IAC8" s="500"/>
      <c r="IAD8" s="500"/>
      <c r="IAE8" s="500"/>
      <c r="IAF8" s="500"/>
      <c r="IAG8" s="500"/>
      <c r="IAH8" s="500"/>
      <c r="IAI8" s="500"/>
      <c r="IAJ8" s="500"/>
      <c r="IAK8" s="500"/>
      <c r="IAL8" s="500"/>
      <c r="IAM8" s="500"/>
      <c r="IAN8" s="500"/>
      <c r="IAO8" s="500"/>
      <c r="IAP8" s="500"/>
      <c r="IAQ8" s="500"/>
      <c r="IAR8" s="500"/>
      <c r="IAS8" s="500"/>
      <c r="IAT8" s="500"/>
      <c r="IAU8" s="500"/>
      <c r="IAV8" s="500"/>
      <c r="IAW8" s="500"/>
      <c r="IAX8" s="500"/>
      <c r="IAY8" s="500"/>
      <c r="IAZ8" s="500"/>
      <c r="IBA8" s="500"/>
      <c r="IBB8" s="500"/>
      <c r="IBC8" s="500"/>
      <c r="IBD8" s="500"/>
      <c r="IBE8" s="500"/>
      <c r="IBF8" s="500"/>
      <c r="IBG8" s="500"/>
      <c r="IBH8" s="500"/>
      <c r="IBI8" s="500"/>
      <c r="IBJ8" s="500"/>
      <c r="IBK8" s="500"/>
      <c r="IBL8" s="500"/>
      <c r="IBM8" s="500"/>
      <c r="IBN8" s="500"/>
      <c r="IBO8" s="500"/>
      <c r="IBP8" s="500"/>
      <c r="IBQ8" s="500"/>
      <c r="IBR8" s="500"/>
      <c r="IBS8" s="500"/>
      <c r="IBT8" s="500"/>
      <c r="IBU8" s="500"/>
      <c r="IBV8" s="500"/>
      <c r="IBW8" s="500"/>
      <c r="IBX8" s="500"/>
      <c r="IBY8" s="500"/>
      <c r="IBZ8" s="500"/>
      <c r="ICA8" s="500"/>
      <c r="ICB8" s="500"/>
      <c r="ICC8" s="500"/>
      <c r="ICD8" s="500"/>
      <c r="ICE8" s="500"/>
      <c r="ICF8" s="500"/>
      <c r="ICG8" s="500"/>
      <c r="ICH8" s="500"/>
      <c r="ICI8" s="500"/>
      <c r="ICJ8" s="500"/>
      <c r="ICK8" s="500"/>
      <c r="ICL8" s="500"/>
      <c r="ICM8" s="500"/>
      <c r="ICN8" s="500"/>
      <c r="ICO8" s="500"/>
      <c r="ICP8" s="500"/>
      <c r="ICQ8" s="500"/>
      <c r="ICR8" s="500"/>
      <c r="ICS8" s="500"/>
      <c r="ICT8" s="500"/>
      <c r="ICU8" s="500"/>
      <c r="ICV8" s="500"/>
      <c r="ICW8" s="500"/>
      <c r="ICX8" s="500"/>
      <c r="ICY8" s="500"/>
      <c r="ICZ8" s="500"/>
      <c r="IDA8" s="500"/>
      <c r="IDB8" s="500"/>
      <c r="IDC8" s="500"/>
      <c r="IDD8" s="500"/>
      <c r="IDE8" s="500"/>
      <c r="IDF8" s="500"/>
      <c r="IDG8" s="500"/>
      <c r="IDH8" s="500"/>
      <c r="IDI8" s="500"/>
      <c r="IDJ8" s="500"/>
      <c r="IDK8" s="500"/>
      <c r="IDL8" s="500"/>
      <c r="IDM8" s="500"/>
      <c r="IDN8" s="500"/>
      <c r="IDO8" s="500"/>
      <c r="IDP8" s="500"/>
      <c r="IDQ8" s="500"/>
      <c r="IDR8" s="500"/>
      <c r="IDS8" s="500"/>
      <c r="IDT8" s="500"/>
      <c r="IDU8" s="500"/>
      <c r="IDV8" s="500"/>
      <c r="IDW8" s="500"/>
      <c r="IDX8" s="500"/>
      <c r="IDY8" s="500"/>
      <c r="IDZ8" s="500"/>
      <c r="IEA8" s="500"/>
      <c r="IEB8" s="500"/>
      <c r="IEC8" s="500"/>
      <c r="IED8" s="500"/>
      <c r="IEE8" s="500"/>
      <c r="IEF8" s="500"/>
      <c r="IEG8" s="500"/>
      <c r="IEH8" s="500"/>
      <c r="IEI8" s="500"/>
      <c r="IEJ8" s="500"/>
      <c r="IEK8" s="500"/>
      <c r="IEL8" s="500"/>
      <c r="IEM8" s="500"/>
      <c r="IEN8" s="500"/>
      <c r="IEO8" s="500"/>
      <c r="IEP8" s="500"/>
      <c r="IEQ8" s="500"/>
      <c r="IER8" s="500"/>
      <c r="IES8" s="500"/>
      <c r="IET8" s="500"/>
      <c r="IEU8" s="500"/>
      <c r="IEV8" s="500"/>
      <c r="IEW8" s="500"/>
      <c r="IEX8" s="500"/>
      <c r="IEY8" s="500"/>
      <c r="IEZ8" s="500"/>
      <c r="IFA8" s="500"/>
      <c r="IFB8" s="500"/>
      <c r="IFC8" s="500"/>
      <c r="IFD8" s="500"/>
      <c r="IFE8" s="500"/>
      <c r="IFF8" s="500"/>
      <c r="IFG8" s="500"/>
      <c r="IFH8" s="500"/>
      <c r="IFI8" s="500"/>
      <c r="IFJ8" s="500"/>
      <c r="IFK8" s="500"/>
      <c r="IFL8" s="500"/>
      <c r="IFM8" s="500"/>
      <c r="IFN8" s="500"/>
      <c r="IFO8" s="500"/>
      <c r="IFP8" s="500"/>
      <c r="IFQ8" s="500"/>
      <c r="IFR8" s="500"/>
      <c r="IFS8" s="500"/>
      <c r="IFT8" s="500"/>
      <c r="IFU8" s="500"/>
      <c r="IFV8" s="500"/>
      <c r="IFW8" s="500"/>
      <c r="IFX8" s="500"/>
      <c r="IFY8" s="500"/>
      <c r="IFZ8" s="500"/>
      <c r="IGA8" s="500"/>
      <c r="IGB8" s="500"/>
      <c r="IGC8" s="500"/>
      <c r="IGD8" s="500"/>
      <c r="IGE8" s="500"/>
      <c r="IGF8" s="500"/>
      <c r="IGG8" s="500"/>
      <c r="IGH8" s="500"/>
      <c r="IGI8" s="500"/>
      <c r="IGJ8" s="500"/>
      <c r="IGK8" s="500"/>
      <c r="IGL8" s="500"/>
      <c r="IGM8" s="500"/>
      <c r="IGN8" s="500"/>
      <c r="IGO8" s="500"/>
      <c r="IGP8" s="500"/>
      <c r="IGQ8" s="500"/>
      <c r="IGR8" s="500"/>
      <c r="IGS8" s="500"/>
      <c r="IGT8" s="500"/>
      <c r="IGU8" s="500"/>
      <c r="IGV8" s="500"/>
      <c r="IGW8" s="500"/>
      <c r="IGX8" s="500"/>
      <c r="IGY8" s="500"/>
      <c r="IGZ8" s="500"/>
      <c r="IHA8" s="500"/>
      <c r="IHB8" s="500"/>
      <c r="IHC8" s="500"/>
      <c r="IHD8" s="500"/>
      <c r="IHE8" s="500"/>
      <c r="IHF8" s="500"/>
      <c r="IHG8" s="500"/>
      <c r="IHH8" s="500"/>
      <c r="IHI8" s="500"/>
      <c r="IHJ8" s="500"/>
      <c r="IHK8" s="500"/>
      <c r="IHL8" s="500"/>
      <c r="IHM8" s="500"/>
      <c r="IHN8" s="500"/>
      <c r="IHO8" s="500"/>
      <c r="IHP8" s="500"/>
      <c r="IHQ8" s="500"/>
      <c r="IHR8" s="500"/>
      <c r="IHS8" s="500"/>
      <c r="IHT8" s="500"/>
      <c r="IHU8" s="500"/>
      <c r="IHV8" s="500"/>
      <c r="IHW8" s="500"/>
      <c r="IHX8" s="500"/>
      <c r="IHY8" s="500"/>
      <c r="IHZ8" s="500"/>
      <c r="IIA8" s="500"/>
      <c r="IIB8" s="500"/>
      <c r="IIC8" s="500"/>
      <c r="IID8" s="500"/>
      <c r="IIE8" s="500"/>
      <c r="IIF8" s="500"/>
      <c r="IIG8" s="500"/>
      <c r="IIH8" s="500"/>
      <c r="III8" s="500"/>
      <c r="IIJ8" s="500"/>
      <c r="IIK8" s="500"/>
      <c r="IIL8" s="500"/>
      <c r="IIM8" s="500"/>
      <c r="IIN8" s="500"/>
      <c r="IIO8" s="500"/>
      <c r="IIP8" s="500"/>
      <c r="IIQ8" s="500"/>
      <c r="IIR8" s="500"/>
      <c r="IIS8" s="500"/>
      <c r="IIT8" s="500"/>
      <c r="IIU8" s="500"/>
      <c r="IIV8" s="500"/>
      <c r="IIW8" s="500"/>
      <c r="IIX8" s="500"/>
      <c r="IIY8" s="500"/>
      <c r="IIZ8" s="500"/>
      <c r="IJA8" s="500"/>
      <c r="IJB8" s="500"/>
      <c r="IJC8" s="500"/>
      <c r="IJD8" s="500"/>
      <c r="IJE8" s="500"/>
      <c r="IJF8" s="500"/>
      <c r="IJG8" s="500"/>
      <c r="IJH8" s="500"/>
      <c r="IJI8" s="500"/>
      <c r="IJJ8" s="500"/>
      <c r="IJK8" s="500"/>
      <c r="IJL8" s="500"/>
      <c r="IJM8" s="500"/>
      <c r="IJN8" s="500"/>
      <c r="IJO8" s="500"/>
      <c r="IJP8" s="500"/>
      <c r="IJQ8" s="500"/>
      <c r="IJR8" s="500"/>
      <c r="IJS8" s="500"/>
      <c r="IJT8" s="500"/>
      <c r="IJU8" s="500"/>
      <c r="IJV8" s="500"/>
      <c r="IJW8" s="500"/>
      <c r="IJX8" s="500"/>
      <c r="IJY8" s="500"/>
      <c r="IJZ8" s="500"/>
      <c r="IKA8" s="500"/>
      <c r="IKB8" s="500"/>
      <c r="IKC8" s="500"/>
      <c r="IKD8" s="500"/>
      <c r="IKE8" s="500"/>
      <c r="IKF8" s="500"/>
      <c r="IKG8" s="500"/>
      <c r="IKH8" s="500"/>
      <c r="IKI8" s="500"/>
      <c r="IKJ8" s="500"/>
      <c r="IKK8" s="500"/>
      <c r="IKL8" s="500"/>
      <c r="IKM8" s="500"/>
      <c r="IKN8" s="500"/>
      <c r="IKO8" s="500"/>
      <c r="IKP8" s="500"/>
      <c r="IKQ8" s="500"/>
      <c r="IKR8" s="500"/>
      <c r="IKS8" s="500"/>
      <c r="IKT8" s="500"/>
      <c r="IKU8" s="500"/>
      <c r="IKV8" s="500"/>
      <c r="IKW8" s="500"/>
      <c r="IKX8" s="500"/>
      <c r="IKY8" s="500"/>
      <c r="IKZ8" s="500"/>
      <c r="ILA8" s="500"/>
      <c r="ILB8" s="500"/>
      <c r="ILC8" s="500"/>
      <c r="ILD8" s="500"/>
      <c r="ILE8" s="500"/>
      <c r="ILF8" s="500"/>
      <c r="ILG8" s="500"/>
      <c r="ILH8" s="500"/>
      <c r="ILI8" s="500"/>
      <c r="ILJ8" s="500"/>
      <c r="ILK8" s="500"/>
      <c r="ILL8" s="500"/>
      <c r="ILM8" s="500"/>
      <c r="ILN8" s="500"/>
      <c r="ILO8" s="500"/>
      <c r="ILP8" s="500"/>
      <c r="ILQ8" s="500"/>
      <c r="ILR8" s="500"/>
      <c r="ILS8" s="500"/>
      <c r="ILT8" s="500"/>
      <c r="ILU8" s="500"/>
      <c r="ILV8" s="500"/>
      <c r="ILW8" s="500"/>
      <c r="ILX8" s="500"/>
      <c r="ILY8" s="500"/>
      <c r="ILZ8" s="500"/>
      <c r="IMA8" s="500"/>
      <c r="IMB8" s="500"/>
      <c r="IMC8" s="500"/>
      <c r="IMD8" s="500"/>
      <c r="IME8" s="500"/>
      <c r="IMF8" s="500"/>
      <c r="IMG8" s="500"/>
      <c r="IMH8" s="500"/>
      <c r="IMI8" s="500"/>
      <c r="IMJ8" s="500"/>
      <c r="IMK8" s="500"/>
      <c r="IML8" s="500"/>
      <c r="IMM8" s="500"/>
      <c r="IMN8" s="500"/>
      <c r="IMO8" s="500"/>
      <c r="IMP8" s="500"/>
      <c r="IMQ8" s="500"/>
      <c r="IMR8" s="500"/>
      <c r="IMS8" s="500"/>
      <c r="IMT8" s="500"/>
      <c r="IMU8" s="500"/>
      <c r="IMV8" s="500"/>
      <c r="IMW8" s="500"/>
      <c r="IMX8" s="500"/>
      <c r="IMY8" s="500"/>
      <c r="IMZ8" s="500"/>
      <c r="INA8" s="500"/>
      <c r="INB8" s="500"/>
      <c r="INC8" s="500"/>
      <c r="IND8" s="500"/>
      <c r="INE8" s="500"/>
      <c r="INF8" s="500"/>
      <c r="ING8" s="500"/>
      <c r="INH8" s="500"/>
      <c r="INI8" s="500"/>
      <c r="INJ8" s="500"/>
      <c r="INK8" s="500"/>
      <c r="INL8" s="500"/>
      <c r="INM8" s="500"/>
      <c r="INN8" s="500"/>
      <c r="INO8" s="500"/>
      <c r="INP8" s="500"/>
      <c r="INQ8" s="500"/>
      <c r="INR8" s="500"/>
      <c r="INS8" s="500"/>
      <c r="INT8" s="500"/>
      <c r="INU8" s="500"/>
      <c r="INV8" s="500"/>
      <c r="INW8" s="500"/>
      <c r="INX8" s="500"/>
      <c r="INY8" s="500"/>
      <c r="INZ8" s="500"/>
      <c r="IOA8" s="500"/>
      <c r="IOB8" s="500"/>
      <c r="IOC8" s="500"/>
      <c r="IOD8" s="500"/>
      <c r="IOE8" s="500"/>
      <c r="IOF8" s="500"/>
      <c r="IOG8" s="500"/>
      <c r="IOH8" s="500"/>
      <c r="IOI8" s="500"/>
      <c r="IOJ8" s="500"/>
      <c r="IOK8" s="500"/>
      <c r="IOL8" s="500"/>
      <c r="IOM8" s="500"/>
      <c r="ION8" s="500"/>
      <c r="IOO8" s="500"/>
      <c r="IOP8" s="500"/>
      <c r="IOQ8" s="500"/>
      <c r="IOR8" s="500"/>
      <c r="IOS8" s="500"/>
      <c r="IOT8" s="500"/>
      <c r="IOU8" s="500"/>
      <c r="IOV8" s="500"/>
      <c r="IOW8" s="500"/>
      <c r="IOX8" s="500"/>
      <c r="IOY8" s="500"/>
      <c r="IOZ8" s="500"/>
      <c r="IPA8" s="500"/>
      <c r="IPB8" s="500"/>
      <c r="IPC8" s="500"/>
      <c r="IPD8" s="500"/>
      <c r="IPE8" s="500"/>
      <c r="IPF8" s="500"/>
      <c r="IPG8" s="500"/>
      <c r="IPH8" s="500"/>
      <c r="IPI8" s="500"/>
      <c r="IPJ8" s="500"/>
      <c r="IPK8" s="500"/>
      <c r="IPL8" s="500"/>
      <c r="IPM8" s="500"/>
      <c r="IPN8" s="500"/>
      <c r="IPO8" s="500"/>
      <c r="IPP8" s="500"/>
      <c r="IPQ8" s="500"/>
      <c r="IPR8" s="500"/>
      <c r="IPS8" s="500"/>
      <c r="IPT8" s="500"/>
      <c r="IPU8" s="500"/>
      <c r="IPV8" s="500"/>
      <c r="IPW8" s="500"/>
      <c r="IPX8" s="500"/>
      <c r="IPY8" s="500"/>
      <c r="IPZ8" s="500"/>
      <c r="IQA8" s="500"/>
      <c r="IQB8" s="500"/>
      <c r="IQC8" s="500"/>
      <c r="IQD8" s="500"/>
      <c r="IQE8" s="500"/>
      <c r="IQF8" s="500"/>
      <c r="IQG8" s="500"/>
      <c r="IQH8" s="500"/>
      <c r="IQI8" s="500"/>
      <c r="IQJ8" s="500"/>
      <c r="IQK8" s="500"/>
      <c r="IQL8" s="500"/>
      <c r="IQM8" s="500"/>
      <c r="IQN8" s="500"/>
      <c r="IQO8" s="500"/>
      <c r="IQP8" s="500"/>
      <c r="IQQ8" s="500"/>
      <c r="IQR8" s="500"/>
      <c r="IQS8" s="500"/>
      <c r="IQT8" s="500"/>
      <c r="IQU8" s="500"/>
      <c r="IQV8" s="500"/>
      <c r="IQW8" s="500"/>
      <c r="IQX8" s="500"/>
      <c r="IQY8" s="500"/>
      <c r="IQZ8" s="500"/>
      <c r="IRA8" s="500"/>
      <c r="IRB8" s="500"/>
      <c r="IRC8" s="500"/>
      <c r="IRD8" s="500"/>
      <c r="IRE8" s="500"/>
      <c r="IRF8" s="500"/>
      <c r="IRG8" s="500"/>
      <c r="IRH8" s="500"/>
      <c r="IRI8" s="500"/>
      <c r="IRJ8" s="500"/>
      <c r="IRK8" s="500"/>
      <c r="IRL8" s="500"/>
      <c r="IRM8" s="500"/>
      <c r="IRN8" s="500"/>
      <c r="IRO8" s="500"/>
      <c r="IRP8" s="500"/>
      <c r="IRQ8" s="500"/>
      <c r="IRR8" s="500"/>
      <c r="IRS8" s="500"/>
      <c r="IRT8" s="500"/>
      <c r="IRU8" s="500"/>
      <c r="IRV8" s="500"/>
      <c r="IRW8" s="500"/>
      <c r="IRX8" s="500"/>
      <c r="IRY8" s="500"/>
      <c r="IRZ8" s="500"/>
      <c r="ISA8" s="500"/>
      <c r="ISB8" s="500"/>
      <c r="ISC8" s="500"/>
      <c r="ISD8" s="500"/>
      <c r="ISE8" s="500"/>
      <c r="ISF8" s="500"/>
      <c r="ISG8" s="500"/>
      <c r="ISH8" s="500"/>
      <c r="ISI8" s="500"/>
      <c r="ISJ8" s="500"/>
      <c r="ISK8" s="500"/>
      <c r="ISL8" s="500"/>
      <c r="ISM8" s="500"/>
      <c r="ISN8" s="500"/>
      <c r="ISO8" s="500"/>
      <c r="ISP8" s="500"/>
      <c r="ISQ8" s="500"/>
      <c r="ISR8" s="500"/>
      <c r="ISS8" s="500"/>
      <c r="IST8" s="500"/>
      <c r="ISU8" s="500"/>
      <c r="ISV8" s="500"/>
      <c r="ISW8" s="500"/>
      <c r="ISX8" s="500"/>
      <c r="ISY8" s="500"/>
      <c r="ISZ8" s="500"/>
      <c r="ITA8" s="500"/>
      <c r="ITB8" s="500"/>
      <c r="ITC8" s="500"/>
      <c r="ITD8" s="500"/>
      <c r="ITE8" s="500"/>
      <c r="ITF8" s="500"/>
      <c r="ITG8" s="500"/>
      <c r="ITH8" s="500"/>
      <c r="ITI8" s="500"/>
      <c r="ITJ8" s="500"/>
      <c r="ITK8" s="500"/>
      <c r="ITL8" s="500"/>
      <c r="ITM8" s="500"/>
      <c r="ITN8" s="500"/>
      <c r="ITO8" s="500"/>
      <c r="ITP8" s="500"/>
      <c r="ITQ8" s="500"/>
      <c r="ITR8" s="500"/>
      <c r="ITS8" s="500"/>
      <c r="ITT8" s="500"/>
      <c r="ITU8" s="500"/>
      <c r="ITV8" s="500"/>
      <c r="ITW8" s="500"/>
      <c r="ITX8" s="500"/>
      <c r="ITY8" s="500"/>
      <c r="ITZ8" s="500"/>
      <c r="IUA8" s="500"/>
      <c r="IUB8" s="500"/>
      <c r="IUC8" s="500"/>
      <c r="IUD8" s="500"/>
      <c r="IUE8" s="500"/>
      <c r="IUF8" s="500"/>
      <c r="IUG8" s="500"/>
      <c r="IUH8" s="500"/>
      <c r="IUI8" s="500"/>
      <c r="IUJ8" s="500"/>
      <c r="IUK8" s="500"/>
      <c r="IUL8" s="500"/>
      <c r="IUM8" s="500"/>
      <c r="IUN8" s="500"/>
      <c r="IUO8" s="500"/>
      <c r="IUP8" s="500"/>
      <c r="IUQ8" s="500"/>
      <c r="IUR8" s="500"/>
      <c r="IUS8" s="500"/>
      <c r="IUT8" s="500"/>
      <c r="IUU8" s="500"/>
      <c r="IUV8" s="500"/>
      <c r="IUW8" s="500"/>
      <c r="IUX8" s="500"/>
      <c r="IUY8" s="500"/>
      <c r="IUZ8" s="500"/>
      <c r="IVA8" s="500"/>
      <c r="IVB8" s="500"/>
      <c r="IVC8" s="500"/>
      <c r="IVD8" s="500"/>
      <c r="IVE8" s="500"/>
      <c r="IVF8" s="500"/>
      <c r="IVG8" s="500"/>
      <c r="IVH8" s="500"/>
      <c r="IVI8" s="500"/>
      <c r="IVJ8" s="500"/>
      <c r="IVK8" s="500"/>
      <c r="IVL8" s="500"/>
      <c r="IVM8" s="500"/>
      <c r="IVN8" s="500"/>
      <c r="IVO8" s="500"/>
      <c r="IVP8" s="500"/>
      <c r="IVQ8" s="500"/>
      <c r="IVR8" s="500"/>
      <c r="IVS8" s="500"/>
      <c r="IVT8" s="500"/>
      <c r="IVU8" s="500"/>
      <c r="IVV8" s="500"/>
      <c r="IVW8" s="500"/>
      <c r="IVX8" s="500"/>
      <c r="IVY8" s="500"/>
      <c r="IVZ8" s="500"/>
      <c r="IWA8" s="500"/>
      <c r="IWB8" s="500"/>
      <c r="IWC8" s="500"/>
      <c r="IWD8" s="500"/>
      <c r="IWE8" s="500"/>
      <c r="IWF8" s="500"/>
      <c r="IWG8" s="500"/>
      <c r="IWH8" s="500"/>
      <c r="IWI8" s="500"/>
      <c r="IWJ8" s="500"/>
      <c r="IWK8" s="500"/>
      <c r="IWL8" s="500"/>
      <c r="IWM8" s="500"/>
      <c r="IWN8" s="500"/>
      <c r="IWO8" s="500"/>
      <c r="IWP8" s="500"/>
      <c r="IWQ8" s="500"/>
      <c r="IWR8" s="500"/>
      <c r="IWS8" s="500"/>
      <c r="IWT8" s="500"/>
      <c r="IWU8" s="500"/>
      <c r="IWV8" s="500"/>
      <c r="IWW8" s="500"/>
      <c r="IWX8" s="500"/>
      <c r="IWY8" s="500"/>
      <c r="IWZ8" s="500"/>
      <c r="IXA8" s="500"/>
      <c r="IXB8" s="500"/>
      <c r="IXC8" s="500"/>
      <c r="IXD8" s="500"/>
      <c r="IXE8" s="500"/>
      <c r="IXF8" s="500"/>
      <c r="IXG8" s="500"/>
      <c r="IXH8" s="500"/>
      <c r="IXI8" s="500"/>
      <c r="IXJ8" s="500"/>
      <c r="IXK8" s="500"/>
      <c r="IXL8" s="500"/>
      <c r="IXM8" s="500"/>
      <c r="IXN8" s="500"/>
      <c r="IXO8" s="500"/>
      <c r="IXP8" s="500"/>
      <c r="IXQ8" s="500"/>
      <c r="IXR8" s="500"/>
      <c r="IXS8" s="500"/>
      <c r="IXT8" s="500"/>
      <c r="IXU8" s="500"/>
      <c r="IXV8" s="500"/>
      <c r="IXW8" s="500"/>
      <c r="IXX8" s="500"/>
      <c r="IXY8" s="500"/>
      <c r="IXZ8" s="500"/>
      <c r="IYA8" s="500"/>
      <c r="IYB8" s="500"/>
      <c r="IYC8" s="500"/>
      <c r="IYD8" s="500"/>
      <c r="IYE8" s="500"/>
      <c r="IYF8" s="500"/>
      <c r="IYG8" s="500"/>
      <c r="IYH8" s="500"/>
      <c r="IYI8" s="500"/>
      <c r="IYJ8" s="500"/>
      <c r="IYK8" s="500"/>
      <c r="IYL8" s="500"/>
      <c r="IYM8" s="500"/>
      <c r="IYN8" s="500"/>
      <c r="IYO8" s="500"/>
      <c r="IYP8" s="500"/>
      <c r="IYQ8" s="500"/>
      <c r="IYR8" s="500"/>
      <c r="IYS8" s="500"/>
      <c r="IYT8" s="500"/>
      <c r="IYU8" s="500"/>
      <c r="IYV8" s="500"/>
      <c r="IYW8" s="500"/>
      <c r="IYX8" s="500"/>
      <c r="IYY8" s="500"/>
      <c r="IYZ8" s="500"/>
      <c r="IZA8" s="500"/>
      <c r="IZB8" s="500"/>
      <c r="IZC8" s="500"/>
      <c r="IZD8" s="500"/>
      <c r="IZE8" s="500"/>
      <c r="IZF8" s="500"/>
      <c r="IZG8" s="500"/>
      <c r="IZH8" s="500"/>
      <c r="IZI8" s="500"/>
      <c r="IZJ8" s="500"/>
      <c r="IZK8" s="500"/>
      <c r="IZL8" s="500"/>
      <c r="IZM8" s="500"/>
      <c r="IZN8" s="500"/>
      <c r="IZO8" s="500"/>
      <c r="IZP8" s="500"/>
      <c r="IZQ8" s="500"/>
      <c r="IZR8" s="500"/>
      <c r="IZS8" s="500"/>
      <c r="IZT8" s="500"/>
      <c r="IZU8" s="500"/>
      <c r="IZV8" s="500"/>
      <c r="IZW8" s="500"/>
      <c r="IZX8" s="500"/>
      <c r="IZY8" s="500"/>
      <c r="IZZ8" s="500"/>
      <c r="JAA8" s="500"/>
      <c r="JAB8" s="500"/>
      <c r="JAC8" s="500"/>
      <c r="JAD8" s="500"/>
      <c r="JAE8" s="500"/>
      <c r="JAF8" s="500"/>
      <c r="JAG8" s="500"/>
      <c r="JAH8" s="500"/>
      <c r="JAI8" s="500"/>
      <c r="JAJ8" s="500"/>
      <c r="JAK8" s="500"/>
      <c r="JAL8" s="500"/>
      <c r="JAM8" s="500"/>
      <c r="JAN8" s="500"/>
      <c r="JAO8" s="500"/>
      <c r="JAP8" s="500"/>
      <c r="JAQ8" s="500"/>
      <c r="JAR8" s="500"/>
      <c r="JAS8" s="500"/>
      <c r="JAT8" s="500"/>
      <c r="JAU8" s="500"/>
      <c r="JAV8" s="500"/>
      <c r="JAW8" s="500"/>
      <c r="JAX8" s="500"/>
      <c r="JAY8" s="500"/>
      <c r="JAZ8" s="500"/>
      <c r="JBA8" s="500"/>
      <c r="JBB8" s="500"/>
      <c r="JBC8" s="500"/>
      <c r="JBD8" s="500"/>
      <c r="JBE8" s="500"/>
      <c r="JBF8" s="500"/>
      <c r="JBG8" s="500"/>
      <c r="JBH8" s="500"/>
      <c r="JBI8" s="500"/>
      <c r="JBJ8" s="500"/>
      <c r="JBK8" s="500"/>
      <c r="JBL8" s="500"/>
      <c r="JBM8" s="500"/>
      <c r="JBN8" s="500"/>
      <c r="JBO8" s="500"/>
      <c r="JBP8" s="500"/>
      <c r="JBQ8" s="500"/>
      <c r="JBR8" s="500"/>
      <c r="JBS8" s="500"/>
      <c r="JBT8" s="500"/>
      <c r="JBU8" s="500"/>
      <c r="JBV8" s="500"/>
      <c r="JBW8" s="500"/>
      <c r="JBX8" s="500"/>
      <c r="JBY8" s="500"/>
      <c r="JBZ8" s="500"/>
      <c r="JCA8" s="500"/>
      <c r="JCB8" s="500"/>
      <c r="JCC8" s="500"/>
      <c r="JCD8" s="500"/>
      <c r="JCE8" s="500"/>
      <c r="JCF8" s="500"/>
      <c r="JCG8" s="500"/>
      <c r="JCH8" s="500"/>
      <c r="JCI8" s="500"/>
      <c r="JCJ8" s="500"/>
      <c r="JCK8" s="500"/>
      <c r="JCL8" s="500"/>
      <c r="JCM8" s="500"/>
      <c r="JCN8" s="500"/>
      <c r="JCO8" s="500"/>
      <c r="JCP8" s="500"/>
      <c r="JCQ8" s="500"/>
      <c r="JCR8" s="500"/>
      <c r="JCS8" s="500"/>
      <c r="JCT8" s="500"/>
      <c r="JCU8" s="500"/>
      <c r="JCV8" s="500"/>
      <c r="JCW8" s="500"/>
      <c r="JCX8" s="500"/>
      <c r="JCY8" s="500"/>
      <c r="JCZ8" s="500"/>
      <c r="JDA8" s="500"/>
      <c r="JDB8" s="500"/>
      <c r="JDC8" s="500"/>
      <c r="JDD8" s="500"/>
      <c r="JDE8" s="500"/>
      <c r="JDF8" s="500"/>
      <c r="JDG8" s="500"/>
      <c r="JDH8" s="500"/>
      <c r="JDI8" s="500"/>
      <c r="JDJ8" s="500"/>
      <c r="JDK8" s="500"/>
      <c r="JDL8" s="500"/>
      <c r="JDM8" s="500"/>
      <c r="JDN8" s="500"/>
      <c r="JDO8" s="500"/>
      <c r="JDP8" s="500"/>
      <c r="JDQ8" s="500"/>
      <c r="JDR8" s="500"/>
      <c r="JDS8" s="500"/>
      <c r="JDT8" s="500"/>
      <c r="JDU8" s="500"/>
      <c r="JDV8" s="500"/>
      <c r="JDW8" s="500"/>
      <c r="JDX8" s="500"/>
      <c r="JDY8" s="500"/>
      <c r="JDZ8" s="500"/>
      <c r="JEA8" s="500"/>
      <c r="JEB8" s="500"/>
      <c r="JEC8" s="500"/>
      <c r="JED8" s="500"/>
      <c r="JEE8" s="500"/>
      <c r="JEF8" s="500"/>
      <c r="JEG8" s="500"/>
      <c r="JEH8" s="500"/>
      <c r="JEI8" s="500"/>
      <c r="JEJ8" s="500"/>
      <c r="JEK8" s="500"/>
      <c r="JEL8" s="500"/>
      <c r="JEM8" s="500"/>
      <c r="JEN8" s="500"/>
      <c r="JEO8" s="500"/>
      <c r="JEP8" s="500"/>
      <c r="JEQ8" s="500"/>
      <c r="JER8" s="500"/>
      <c r="JES8" s="500"/>
      <c r="JET8" s="500"/>
      <c r="JEU8" s="500"/>
      <c r="JEV8" s="500"/>
      <c r="JEW8" s="500"/>
      <c r="JEX8" s="500"/>
      <c r="JEY8" s="500"/>
      <c r="JEZ8" s="500"/>
      <c r="JFA8" s="500"/>
      <c r="JFB8" s="500"/>
      <c r="JFC8" s="500"/>
      <c r="JFD8" s="500"/>
      <c r="JFE8" s="500"/>
      <c r="JFF8" s="500"/>
      <c r="JFG8" s="500"/>
      <c r="JFH8" s="500"/>
      <c r="JFI8" s="500"/>
      <c r="JFJ8" s="500"/>
      <c r="JFK8" s="500"/>
      <c r="JFL8" s="500"/>
      <c r="JFM8" s="500"/>
      <c r="JFN8" s="500"/>
      <c r="JFO8" s="500"/>
      <c r="JFP8" s="500"/>
      <c r="JFQ8" s="500"/>
      <c r="JFR8" s="500"/>
      <c r="JFS8" s="500"/>
      <c r="JFT8" s="500"/>
      <c r="JFU8" s="500"/>
      <c r="JFV8" s="500"/>
      <c r="JFW8" s="500"/>
      <c r="JFX8" s="500"/>
      <c r="JFY8" s="500"/>
      <c r="JFZ8" s="500"/>
      <c r="JGA8" s="500"/>
      <c r="JGB8" s="500"/>
      <c r="JGC8" s="500"/>
      <c r="JGD8" s="500"/>
      <c r="JGE8" s="500"/>
      <c r="JGF8" s="500"/>
      <c r="JGG8" s="500"/>
      <c r="JGH8" s="500"/>
      <c r="JGI8" s="500"/>
      <c r="JGJ8" s="500"/>
      <c r="JGK8" s="500"/>
      <c r="JGL8" s="500"/>
      <c r="JGM8" s="500"/>
      <c r="JGN8" s="500"/>
      <c r="JGO8" s="500"/>
      <c r="JGP8" s="500"/>
      <c r="JGQ8" s="500"/>
      <c r="JGR8" s="500"/>
      <c r="JGS8" s="500"/>
      <c r="JGT8" s="500"/>
      <c r="JGU8" s="500"/>
      <c r="JGV8" s="500"/>
      <c r="JGW8" s="500"/>
      <c r="JGX8" s="500"/>
      <c r="JGY8" s="500"/>
      <c r="JGZ8" s="500"/>
      <c r="JHA8" s="500"/>
      <c r="JHB8" s="500"/>
      <c r="JHC8" s="500"/>
      <c r="JHD8" s="500"/>
      <c r="JHE8" s="500"/>
      <c r="JHF8" s="500"/>
      <c r="JHG8" s="500"/>
      <c r="JHH8" s="500"/>
      <c r="JHI8" s="500"/>
      <c r="JHJ8" s="500"/>
      <c r="JHK8" s="500"/>
      <c r="JHL8" s="500"/>
      <c r="JHM8" s="500"/>
      <c r="JHN8" s="500"/>
      <c r="JHO8" s="500"/>
      <c r="JHP8" s="500"/>
      <c r="JHQ8" s="500"/>
      <c r="JHR8" s="500"/>
      <c r="JHS8" s="500"/>
      <c r="JHT8" s="500"/>
      <c r="JHU8" s="500"/>
      <c r="JHV8" s="500"/>
      <c r="JHW8" s="500"/>
      <c r="JHX8" s="500"/>
      <c r="JHY8" s="500"/>
      <c r="JHZ8" s="500"/>
      <c r="JIA8" s="500"/>
      <c r="JIB8" s="500"/>
      <c r="JIC8" s="500"/>
      <c r="JID8" s="500"/>
      <c r="JIE8" s="500"/>
      <c r="JIF8" s="500"/>
      <c r="JIG8" s="500"/>
      <c r="JIH8" s="500"/>
      <c r="JII8" s="500"/>
      <c r="JIJ8" s="500"/>
      <c r="JIK8" s="500"/>
      <c r="JIL8" s="500"/>
      <c r="JIM8" s="500"/>
      <c r="JIN8" s="500"/>
      <c r="JIO8" s="500"/>
      <c r="JIP8" s="500"/>
      <c r="JIQ8" s="500"/>
      <c r="JIR8" s="500"/>
      <c r="JIS8" s="500"/>
      <c r="JIT8" s="500"/>
      <c r="JIU8" s="500"/>
      <c r="JIV8" s="500"/>
      <c r="JIW8" s="500"/>
      <c r="JIX8" s="500"/>
      <c r="JIY8" s="500"/>
      <c r="JIZ8" s="500"/>
      <c r="JJA8" s="500"/>
      <c r="JJB8" s="500"/>
      <c r="JJC8" s="500"/>
      <c r="JJD8" s="500"/>
      <c r="JJE8" s="500"/>
      <c r="JJF8" s="500"/>
      <c r="JJG8" s="500"/>
      <c r="JJH8" s="500"/>
      <c r="JJI8" s="500"/>
      <c r="JJJ8" s="500"/>
      <c r="JJK8" s="500"/>
      <c r="JJL8" s="500"/>
      <c r="JJM8" s="500"/>
      <c r="JJN8" s="500"/>
      <c r="JJO8" s="500"/>
      <c r="JJP8" s="500"/>
      <c r="JJQ8" s="500"/>
      <c r="JJR8" s="500"/>
      <c r="JJS8" s="500"/>
      <c r="JJT8" s="500"/>
      <c r="JJU8" s="500"/>
      <c r="JJV8" s="500"/>
      <c r="JJW8" s="500"/>
      <c r="JJX8" s="500"/>
      <c r="JJY8" s="500"/>
      <c r="JJZ8" s="500"/>
      <c r="JKA8" s="500"/>
      <c r="JKB8" s="500"/>
      <c r="JKC8" s="500"/>
      <c r="JKD8" s="500"/>
      <c r="JKE8" s="500"/>
      <c r="JKF8" s="500"/>
      <c r="JKG8" s="500"/>
      <c r="JKH8" s="500"/>
      <c r="JKI8" s="500"/>
      <c r="JKJ8" s="500"/>
      <c r="JKK8" s="500"/>
      <c r="JKL8" s="500"/>
      <c r="JKM8" s="500"/>
      <c r="JKN8" s="500"/>
      <c r="JKO8" s="500"/>
      <c r="JKP8" s="500"/>
      <c r="JKQ8" s="500"/>
      <c r="JKR8" s="500"/>
      <c r="JKS8" s="500"/>
      <c r="JKT8" s="500"/>
      <c r="JKU8" s="500"/>
      <c r="JKV8" s="500"/>
      <c r="JKW8" s="500"/>
      <c r="JKX8" s="500"/>
      <c r="JKY8" s="500"/>
      <c r="JKZ8" s="500"/>
      <c r="JLA8" s="500"/>
      <c r="JLB8" s="500"/>
      <c r="JLC8" s="500"/>
      <c r="JLD8" s="500"/>
      <c r="JLE8" s="500"/>
      <c r="JLF8" s="500"/>
      <c r="JLG8" s="500"/>
      <c r="JLH8" s="500"/>
      <c r="JLI8" s="500"/>
      <c r="JLJ8" s="500"/>
      <c r="JLK8" s="500"/>
      <c r="JLL8" s="500"/>
      <c r="JLM8" s="500"/>
      <c r="JLN8" s="500"/>
      <c r="JLO8" s="500"/>
      <c r="JLP8" s="500"/>
      <c r="JLQ8" s="500"/>
      <c r="JLR8" s="500"/>
      <c r="JLS8" s="500"/>
      <c r="JLT8" s="500"/>
      <c r="JLU8" s="500"/>
      <c r="JLV8" s="500"/>
      <c r="JLW8" s="500"/>
      <c r="JLX8" s="500"/>
      <c r="JLY8" s="500"/>
      <c r="JLZ8" s="500"/>
      <c r="JMA8" s="500"/>
      <c r="JMB8" s="500"/>
      <c r="JMC8" s="500"/>
      <c r="JMD8" s="500"/>
      <c r="JME8" s="500"/>
      <c r="JMF8" s="500"/>
      <c r="JMG8" s="500"/>
      <c r="JMH8" s="500"/>
      <c r="JMI8" s="500"/>
      <c r="JMJ8" s="500"/>
      <c r="JMK8" s="500"/>
      <c r="JML8" s="500"/>
      <c r="JMM8" s="500"/>
      <c r="JMN8" s="500"/>
      <c r="JMO8" s="500"/>
      <c r="JMP8" s="500"/>
      <c r="JMQ8" s="500"/>
      <c r="JMR8" s="500"/>
      <c r="JMS8" s="500"/>
      <c r="JMT8" s="500"/>
      <c r="JMU8" s="500"/>
      <c r="JMV8" s="500"/>
      <c r="JMW8" s="500"/>
      <c r="JMX8" s="500"/>
      <c r="JMY8" s="500"/>
      <c r="JMZ8" s="500"/>
      <c r="JNA8" s="500"/>
      <c r="JNB8" s="500"/>
      <c r="JNC8" s="500"/>
      <c r="JND8" s="500"/>
      <c r="JNE8" s="500"/>
      <c r="JNF8" s="500"/>
      <c r="JNG8" s="500"/>
      <c r="JNH8" s="500"/>
      <c r="JNI8" s="500"/>
      <c r="JNJ8" s="500"/>
      <c r="JNK8" s="500"/>
      <c r="JNL8" s="500"/>
      <c r="JNM8" s="500"/>
      <c r="JNN8" s="500"/>
      <c r="JNO8" s="500"/>
      <c r="JNP8" s="500"/>
      <c r="JNQ8" s="500"/>
      <c r="JNR8" s="500"/>
      <c r="JNS8" s="500"/>
      <c r="JNT8" s="500"/>
      <c r="JNU8" s="500"/>
      <c r="JNV8" s="500"/>
      <c r="JNW8" s="500"/>
      <c r="JNX8" s="500"/>
      <c r="JNY8" s="500"/>
      <c r="JNZ8" s="500"/>
      <c r="JOA8" s="500"/>
      <c r="JOB8" s="500"/>
      <c r="JOC8" s="500"/>
      <c r="JOD8" s="500"/>
      <c r="JOE8" s="500"/>
      <c r="JOF8" s="500"/>
      <c r="JOG8" s="500"/>
      <c r="JOH8" s="500"/>
      <c r="JOI8" s="500"/>
      <c r="JOJ8" s="500"/>
      <c r="JOK8" s="500"/>
      <c r="JOL8" s="500"/>
      <c r="JOM8" s="500"/>
      <c r="JON8" s="500"/>
      <c r="JOO8" s="500"/>
      <c r="JOP8" s="500"/>
      <c r="JOQ8" s="500"/>
      <c r="JOR8" s="500"/>
      <c r="JOS8" s="500"/>
      <c r="JOT8" s="500"/>
      <c r="JOU8" s="500"/>
      <c r="JOV8" s="500"/>
      <c r="JOW8" s="500"/>
      <c r="JOX8" s="500"/>
      <c r="JOY8" s="500"/>
      <c r="JOZ8" s="500"/>
      <c r="JPA8" s="500"/>
      <c r="JPB8" s="500"/>
      <c r="JPC8" s="500"/>
      <c r="JPD8" s="500"/>
      <c r="JPE8" s="500"/>
      <c r="JPF8" s="500"/>
      <c r="JPG8" s="500"/>
      <c r="JPH8" s="500"/>
      <c r="JPI8" s="500"/>
      <c r="JPJ8" s="500"/>
      <c r="JPK8" s="500"/>
      <c r="JPL8" s="500"/>
      <c r="JPM8" s="500"/>
      <c r="JPN8" s="500"/>
      <c r="JPO8" s="500"/>
      <c r="JPP8" s="500"/>
      <c r="JPQ8" s="500"/>
      <c r="JPR8" s="500"/>
      <c r="JPS8" s="500"/>
      <c r="JPT8" s="500"/>
      <c r="JPU8" s="500"/>
      <c r="JPV8" s="500"/>
      <c r="JPW8" s="500"/>
      <c r="JPX8" s="500"/>
      <c r="JPY8" s="500"/>
      <c r="JPZ8" s="500"/>
      <c r="JQA8" s="500"/>
      <c r="JQB8" s="500"/>
      <c r="JQC8" s="500"/>
      <c r="JQD8" s="500"/>
      <c r="JQE8" s="500"/>
      <c r="JQF8" s="500"/>
      <c r="JQG8" s="500"/>
      <c r="JQH8" s="500"/>
      <c r="JQI8" s="500"/>
      <c r="JQJ8" s="500"/>
      <c r="JQK8" s="500"/>
      <c r="JQL8" s="500"/>
      <c r="JQM8" s="500"/>
      <c r="JQN8" s="500"/>
      <c r="JQO8" s="500"/>
      <c r="JQP8" s="500"/>
      <c r="JQQ8" s="500"/>
      <c r="JQR8" s="500"/>
      <c r="JQS8" s="500"/>
      <c r="JQT8" s="500"/>
      <c r="JQU8" s="500"/>
      <c r="JQV8" s="500"/>
      <c r="JQW8" s="500"/>
      <c r="JQX8" s="500"/>
      <c r="JQY8" s="500"/>
      <c r="JQZ8" s="500"/>
      <c r="JRA8" s="500"/>
      <c r="JRB8" s="500"/>
      <c r="JRC8" s="500"/>
      <c r="JRD8" s="500"/>
      <c r="JRE8" s="500"/>
      <c r="JRF8" s="500"/>
      <c r="JRG8" s="500"/>
      <c r="JRH8" s="500"/>
      <c r="JRI8" s="500"/>
      <c r="JRJ8" s="500"/>
      <c r="JRK8" s="500"/>
      <c r="JRL8" s="500"/>
      <c r="JRM8" s="500"/>
      <c r="JRN8" s="500"/>
      <c r="JRO8" s="500"/>
      <c r="JRP8" s="500"/>
      <c r="JRQ8" s="500"/>
      <c r="JRR8" s="500"/>
      <c r="JRS8" s="500"/>
      <c r="JRT8" s="500"/>
      <c r="JRU8" s="500"/>
      <c r="JRV8" s="500"/>
      <c r="JRW8" s="500"/>
      <c r="JRX8" s="500"/>
      <c r="JRY8" s="500"/>
      <c r="JRZ8" s="500"/>
      <c r="JSA8" s="500"/>
      <c r="JSB8" s="500"/>
      <c r="JSC8" s="500"/>
      <c r="JSD8" s="500"/>
      <c r="JSE8" s="500"/>
      <c r="JSF8" s="500"/>
      <c r="JSG8" s="500"/>
      <c r="JSH8" s="500"/>
      <c r="JSI8" s="500"/>
      <c r="JSJ8" s="500"/>
      <c r="JSK8" s="500"/>
      <c r="JSL8" s="500"/>
      <c r="JSM8" s="500"/>
      <c r="JSN8" s="500"/>
      <c r="JSO8" s="500"/>
      <c r="JSP8" s="500"/>
      <c r="JSQ8" s="500"/>
      <c r="JSR8" s="500"/>
      <c r="JSS8" s="500"/>
      <c r="JST8" s="500"/>
      <c r="JSU8" s="500"/>
      <c r="JSV8" s="500"/>
      <c r="JSW8" s="500"/>
      <c r="JSX8" s="500"/>
      <c r="JSY8" s="500"/>
      <c r="JSZ8" s="500"/>
      <c r="JTA8" s="500"/>
      <c r="JTB8" s="500"/>
      <c r="JTC8" s="500"/>
      <c r="JTD8" s="500"/>
      <c r="JTE8" s="500"/>
      <c r="JTF8" s="500"/>
      <c r="JTG8" s="500"/>
      <c r="JTH8" s="500"/>
      <c r="JTI8" s="500"/>
      <c r="JTJ8" s="500"/>
      <c r="JTK8" s="500"/>
      <c r="JTL8" s="500"/>
      <c r="JTM8" s="500"/>
      <c r="JTN8" s="500"/>
      <c r="JTO8" s="500"/>
      <c r="JTP8" s="500"/>
      <c r="JTQ8" s="500"/>
      <c r="JTR8" s="500"/>
      <c r="JTS8" s="500"/>
      <c r="JTT8" s="500"/>
      <c r="JTU8" s="500"/>
      <c r="JTV8" s="500"/>
      <c r="JTW8" s="500"/>
      <c r="JTX8" s="500"/>
      <c r="JTY8" s="500"/>
      <c r="JTZ8" s="500"/>
      <c r="JUA8" s="500"/>
      <c r="JUB8" s="500"/>
      <c r="JUC8" s="500"/>
      <c r="JUD8" s="500"/>
      <c r="JUE8" s="500"/>
      <c r="JUF8" s="500"/>
      <c r="JUG8" s="500"/>
      <c r="JUH8" s="500"/>
      <c r="JUI8" s="500"/>
      <c r="JUJ8" s="500"/>
      <c r="JUK8" s="500"/>
      <c r="JUL8" s="500"/>
      <c r="JUM8" s="500"/>
      <c r="JUN8" s="500"/>
      <c r="JUO8" s="500"/>
      <c r="JUP8" s="500"/>
      <c r="JUQ8" s="500"/>
      <c r="JUR8" s="500"/>
      <c r="JUS8" s="500"/>
      <c r="JUT8" s="500"/>
      <c r="JUU8" s="500"/>
      <c r="JUV8" s="500"/>
      <c r="JUW8" s="500"/>
      <c r="JUX8" s="500"/>
      <c r="JUY8" s="500"/>
      <c r="JUZ8" s="500"/>
      <c r="JVA8" s="500"/>
      <c r="JVB8" s="500"/>
      <c r="JVC8" s="500"/>
      <c r="JVD8" s="500"/>
      <c r="JVE8" s="500"/>
      <c r="JVF8" s="500"/>
      <c r="JVG8" s="500"/>
      <c r="JVH8" s="500"/>
      <c r="JVI8" s="500"/>
      <c r="JVJ8" s="500"/>
      <c r="JVK8" s="500"/>
      <c r="JVL8" s="500"/>
      <c r="JVM8" s="500"/>
      <c r="JVN8" s="500"/>
      <c r="JVO8" s="500"/>
      <c r="JVP8" s="500"/>
      <c r="JVQ8" s="500"/>
      <c r="JVR8" s="500"/>
      <c r="JVS8" s="500"/>
      <c r="JVT8" s="500"/>
      <c r="JVU8" s="500"/>
      <c r="JVV8" s="500"/>
      <c r="JVW8" s="500"/>
      <c r="JVX8" s="500"/>
      <c r="JVY8" s="500"/>
      <c r="JVZ8" s="500"/>
      <c r="JWA8" s="500"/>
      <c r="JWB8" s="500"/>
      <c r="JWC8" s="500"/>
      <c r="JWD8" s="500"/>
      <c r="JWE8" s="500"/>
      <c r="JWF8" s="500"/>
      <c r="JWG8" s="500"/>
      <c r="JWH8" s="500"/>
      <c r="JWI8" s="500"/>
      <c r="JWJ8" s="500"/>
      <c r="JWK8" s="500"/>
      <c r="JWL8" s="500"/>
      <c r="JWM8" s="500"/>
      <c r="JWN8" s="500"/>
      <c r="JWO8" s="500"/>
      <c r="JWP8" s="500"/>
      <c r="JWQ8" s="500"/>
      <c r="JWR8" s="500"/>
      <c r="JWS8" s="500"/>
      <c r="JWT8" s="500"/>
      <c r="JWU8" s="500"/>
      <c r="JWV8" s="500"/>
      <c r="JWW8" s="500"/>
      <c r="JWX8" s="500"/>
      <c r="JWY8" s="500"/>
      <c r="JWZ8" s="500"/>
      <c r="JXA8" s="500"/>
      <c r="JXB8" s="500"/>
      <c r="JXC8" s="500"/>
      <c r="JXD8" s="500"/>
      <c r="JXE8" s="500"/>
      <c r="JXF8" s="500"/>
      <c r="JXG8" s="500"/>
      <c r="JXH8" s="500"/>
      <c r="JXI8" s="500"/>
      <c r="JXJ8" s="500"/>
      <c r="JXK8" s="500"/>
      <c r="JXL8" s="500"/>
      <c r="JXM8" s="500"/>
      <c r="JXN8" s="500"/>
      <c r="JXO8" s="500"/>
      <c r="JXP8" s="500"/>
      <c r="JXQ8" s="500"/>
      <c r="JXR8" s="500"/>
      <c r="JXS8" s="500"/>
      <c r="JXT8" s="500"/>
      <c r="JXU8" s="500"/>
      <c r="JXV8" s="500"/>
      <c r="JXW8" s="500"/>
      <c r="JXX8" s="500"/>
      <c r="JXY8" s="500"/>
      <c r="JXZ8" s="500"/>
      <c r="JYA8" s="500"/>
      <c r="JYB8" s="500"/>
      <c r="JYC8" s="500"/>
      <c r="JYD8" s="500"/>
      <c r="JYE8" s="500"/>
      <c r="JYF8" s="500"/>
      <c r="JYG8" s="500"/>
      <c r="JYH8" s="500"/>
      <c r="JYI8" s="500"/>
      <c r="JYJ8" s="500"/>
      <c r="JYK8" s="500"/>
      <c r="JYL8" s="500"/>
      <c r="JYM8" s="500"/>
      <c r="JYN8" s="500"/>
      <c r="JYO8" s="500"/>
      <c r="JYP8" s="500"/>
      <c r="JYQ8" s="500"/>
      <c r="JYR8" s="500"/>
      <c r="JYS8" s="500"/>
      <c r="JYT8" s="500"/>
      <c r="JYU8" s="500"/>
      <c r="JYV8" s="500"/>
      <c r="JYW8" s="500"/>
      <c r="JYX8" s="500"/>
      <c r="JYY8" s="500"/>
      <c r="JYZ8" s="500"/>
      <c r="JZA8" s="500"/>
      <c r="JZB8" s="500"/>
      <c r="JZC8" s="500"/>
      <c r="JZD8" s="500"/>
      <c r="JZE8" s="500"/>
      <c r="JZF8" s="500"/>
      <c r="JZG8" s="500"/>
      <c r="JZH8" s="500"/>
      <c r="JZI8" s="500"/>
      <c r="JZJ8" s="500"/>
      <c r="JZK8" s="500"/>
      <c r="JZL8" s="500"/>
      <c r="JZM8" s="500"/>
      <c r="JZN8" s="500"/>
      <c r="JZO8" s="500"/>
      <c r="JZP8" s="500"/>
      <c r="JZQ8" s="500"/>
      <c r="JZR8" s="500"/>
      <c r="JZS8" s="500"/>
      <c r="JZT8" s="500"/>
      <c r="JZU8" s="500"/>
      <c r="JZV8" s="500"/>
      <c r="JZW8" s="500"/>
      <c r="JZX8" s="500"/>
      <c r="JZY8" s="500"/>
      <c r="JZZ8" s="500"/>
      <c r="KAA8" s="500"/>
      <c r="KAB8" s="500"/>
      <c r="KAC8" s="500"/>
      <c r="KAD8" s="500"/>
      <c r="KAE8" s="500"/>
      <c r="KAF8" s="500"/>
      <c r="KAG8" s="500"/>
      <c r="KAH8" s="500"/>
      <c r="KAI8" s="500"/>
      <c r="KAJ8" s="500"/>
      <c r="KAK8" s="500"/>
      <c r="KAL8" s="500"/>
      <c r="KAM8" s="500"/>
      <c r="KAN8" s="500"/>
      <c r="KAO8" s="500"/>
      <c r="KAP8" s="500"/>
      <c r="KAQ8" s="500"/>
      <c r="KAR8" s="500"/>
      <c r="KAS8" s="500"/>
      <c r="KAT8" s="500"/>
      <c r="KAU8" s="500"/>
      <c r="KAV8" s="500"/>
      <c r="KAW8" s="500"/>
      <c r="KAX8" s="500"/>
      <c r="KAY8" s="500"/>
      <c r="KAZ8" s="500"/>
      <c r="KBA8" s="500"/>
      <c r="KBB8" s="500"/>
      <c r="KBC8" s="500"/>
      <c r="KBD8" s="500"/>
      <c r="KBE8" s="500"/>
      <c r="KBF8" s="500"/>
      <c r="KBG8" s="500"/>
      <c r="KBH8" s="500"/>
      <c r="KBI8" s="500"/>
      <c r="KBJ8" s="500"/>
      <c r="KBK8" s="500"/>
      <c r="KBL8" s="500"/>
      <c r="KBM8" s="500"/>
      <c r="KBN8" s="500"/>
      <c r="KBO8" s="500"/>
      <c r="KBP8" s="500"/>
      <c r="KBQ8" s="500"/>
      <c r="KBR8" s="500"/>
      <c r="KBS8" s="500"/>
      <c r="KBT8" s="500"/>
      <c r="KBU8" s="500"/>
      <c r="KBV8" s="500"/>
      <c r="KBW8" s="500"/>
      <c r="KBX8" s="500"/>
      <c r="KBY8" s="500"/>
      <c r="KBZ8" s="500"/>
      <c r="KCA8" s="500"/>
      <c r="KCB8" s="500"/>
      <c r="KCC8" s="500"/>
      <c r="KCD8" s="500"/>
      <c r="KCE8" s="500"/>
      <c r="KCF8" s="500"/>
      <c r="KCG8" s="500"/>
      <c r="KCH8" s="500"/>
      <c r="KCI8" s="500"/>
      <c r="KCJ8" s="500"/>
      <c r="KCK8" s="500"/>
      <c r="KCL8" s="500"/>
      <c r="KCM8" s="500"/>
      <c r="KCN8" s="500"/>
      <c r="KCO8" s="500"/>
      <c r="KCP8" s="500"/>
      <c r="KCQ8" s="500"/>
      <c r="KCR8" s="500"/>
      <c r="KCS8" s="500"/>
      <c r="KCT8" s="500"/>
      <c r="KCU8" s="500"/>
      <c r="KCV8" s="500"/>
      <c r="KCW8" s="500"/>
      <c r="KCX8" s="500"/>
      <c r="KCY8" s="500"/>
      <c r="KCZ8" s="500"/>
      <c r="KDA8" s="500"/>
      <c r="KDB8" s="500"/>
      <c r="KDC8" s="500"/>
      <c r="KDD8" s="500"/>
      <c r="KDE8" s="500"/>
      <c r="KDF8" s="500"/>
      <c r="KDG8" s="500"/>
      <c r="KDH8" s="500"/>
      <c r="KDI8" s="500"/>
      <c r="KDJ8" s="500"/>
      <c r="KDK8" s="500"/>
      <c r="KDL8" s="500"/>
      <c r="KDM8" s="500"/>
      <c r="KDN8" s="500"/>
      <c r="KDO8" s="500"/>
      <c r="KDP8" s="500"/>
      <c r="KDQ8" s="500"/>
      <c r="KDR8" s="500"/>
      <c r="KDS8" s="500"/>
      <c r="KDT8" s="500"/>
      <c r="KDU8" s="500"/>
      <c r="KDV8" s="500"/>
      <c r="KDW8" s="500"/>
      <c r="KDX8" s="500"/>
      <c r="KDY8" s="500"/>
      <c r="KDZ8" s="500"/>
      <c r="KEA8" s="500"/>
      <c r="KEB8" s="500"/>
      <c r="KEC8" s="500"/>
      <c r="KED8" s="500"/>
      <c r="KEE8" s="500"/>
      <c r="KEF8" s="500"/>
      <c r="KEG8" s="500"/>
      <c r="KEH8" s="500"/>
      <c r="KEI8" s="500"/>
      <c r="KEJ8" s="500"/>
      <c r="KEK8" s="500"/>
      <c r="KEL8" s="500"/>
      <c r="KEM8" s="500"/>
      <c r="KEN8" s="500"/>
      <c r="KEO8" s="500"/>
      <c r="KEP8" s="500"/>
      <c r="KEQ8" s="500"/>
      <c r="KER8" s="500"/>
      <c r="KES8" s="500"/>
      <c r="KET8" s="500"/>
      <c r="KEU8" s="500"/>
      <c r="KEV8" s="500"/>
      <c r="KEW8" s="500"/>
      <c r="KEX8" s="500"/>
      <c r="KEY8" s="500"/>
      <c r="KEZ8" s="500"/>
      <c r="KFA8" s="500"/>
      <c r="KFB8" s="500"/>
      <c r="KFC8" s="500"/>
      <c r="KFD8" s="500"/>
      <c r="KFE8" s="500"/>
      <c r="KFF8" s="500"/>
      <c r="KFG8" s="500"/>
      <c r="KFH8" s="500"/>
      <c r="KFI8" s="500"/>
      <c r="KFJ8" s="500"/>
      <c r="KFK8" s="500"/>
      <c r="KFL8" s="500"/>
      <c r="KFM8" s="500"/>
      <c r="KFN8" s="500"/>
      <c r="KFO8" s="500"/>
      <c r="KFP8" s="500"/>
      <c r="KFQ8" s="500"/>
      <c r="KFR8" s="500"/>
      <c r="KFS8" s="500"/>
      <c r="KFT8" s="500"/>
      <c r="KFU8" s="500"/>
      <c r="KFV8" s="500"/>
      <c r="KFW8" s="500"/>
      <c r="KFX8" s="500"/>
      <c r="KFY8" s="500"/>
      <c r="KFZ8" s="500"/>
      <c r="KGA8" s="500"/>
      <c r="KGB8" s="500"/>
      <c r="KGC8" s="500"/>
      <c r="KGD8" s="500"/>
      <c r="KGE8" s="500"/>
      <c r="KGF8" s="500"/>
      <c r="KGG8" s="500"/>
      <c r="KGH8" s="500"/>
      <c r="KGI8" s="500"/>
      <c r="KGJ8" s="500"/>
      <c r="KGK8" s="500"/>
      <c r="KGL8" s="500"/>
      <c r="KGM8" s="500"/>
      <c r="KGN8" s="500"/>
      <c r="KGO8" s="500"/>
      <c r="KGP8" s="500"/>
      <c r="KGQ8" s="500"/>
      <c r="KGR8" s="500"/>
      <c r="KGS8" s="500"/>
      <c r="KGT8" s="500"/>
      <c r="KGU8" s="500"/>
      <c r="KGV8" s="500"/>
      <c r="KGW8" s="500"/>
      <c r="KGX8" s="500"/>
      <c r="KGY8" s="500"/>
      <c r="KGZ8" s="500"/>
      <c r="KHA8" s="500"/>
      <c r="KHB8" s="500"/>
      <c r="KHC8" s="500"/>
      <c r="KHD8" s="500"/>
      <c r="KHE8" s="500"/>
      <c r="KHF8" s="500"/>
      <c r="KHG8" s="500"/>
      <c r="KHH8" s="500"/>
      <c r="KHI8" s="500"/>
      <c r="KHJ8" s="500"/>
      <c r="KHK8" s="500"/>
      <c r="KHL8" s="500"/>
      <c r="KHM8" s="500"/>
      <c r="KHN8" s="500"/>
      <c r="KHO8" s="500"/>
      <c r="KHP8" s="500"/>
      <c r="KHQ8" s="500"/>
      <c r="KHR8" s="500"/>
      <c r="KHS8" s="500"/>
      <c r="KHT8" s="500"/>
      <c r="KHU8" s="500"/>
      <c r="KHV8" s="500"/>
      <c r="KHW8" s="500"/>
      <c r="KHX8" s="500"/>
      <c r="KHY8" s="500"/>
      <c r="KHZ8" s="500"/>
      <c r="KIA8" s="500"/>
      <c r="KIB8" s="500"/>
      <c r="KIC8" s="500"/>
      <c r="KID8" s="500"/>
      <c r="KIE8" s="500"/>
      <c r="KIF8" s="500"/>
      <c r="KIG8" s="500"/>
      <c r="KIH8" s="500"/>
      <c r="KII8" s="500"/>
      <c r="KIJ8" s="500"/>
      <c r="KIK8" s="500"/>
      <c r="KIL8" s="500"/>
      <c r="KIM8" s="500"/>
      <c r="KIN8" s="500"/>
      <c r="KIO8" s="500"/>
      <c r="KIP8" s="500"/>
      <c r="KIQ8" s="500"/>
      <c r="KIR8" s="500"/>
      <c r="KIS8" s="500"/>
      <c r="KIT8" s="500"/>
      <c r="KIU8" s="500"/>
      <c r="KIV8" s="500"/>
      <c r="KIW8" s="500"/>
      <c r="KIX8" s="500"/>
      <c r="KIY8" s="500"/>
      <c r="KIZ8" s="500"/>
      <c r="KJA8" s="500"/>
      <c r="KJB8" s="500"/>
      <c r="KJC8" s="500"/>
      <c r="KJD8" s="500"/>
      <c r="KJE8" s="500"/>
      <c r="KJF8" s="500"/>
      <c r="KJG8" s="500"/>
      <c r="KJH8" s="500"/>
      <c r="KJI8" s="500"/>
      <c r="KJJ8" s="500"/>
      <c r="KJK8" s="500"/>
      <c r="KJL8" s="500"/>
      <c r="KJM8" s="500"/>
      <c r="KJN8" s="500"/>
      <c r="KJO8" s="500"/>
      <c r="KJP8" s="500"/>
      <c r="KJQ8" s="500"/>
      <c r="KJR8" s="500"/>
      <c r="KJS8" s="500"/>
      <c r="KJT8" s="500"/>
      <c r="KJU8" s="500"/>
      <c r="KJV8" s="500"/>
      <c r="KJW8" s="500"/>
      <c r="KJX8" s="500"/>
      <c r="KJY8" s="500"/>
      <c r="KJZ8" s="500"/>
      <c r="KKA8" s="500"/>
      <c r="KKB8" s="500"/>
      <c r="KKC8" s="500"/>
      <c r="KKD8" s="500"/>
      <c r="KKE8" s="500"/>
      <c r="KKF8" s="500"/>
      <c r="KKG8" s="500"/>
      <c r="KKH8" s="500"/>
      <c r="KKI8" s="500"/>
      <c r="KKJ8" s="500"/>
      <c r="KKK8" s="500"/>
      <c r="KKL8" s="500"/>
      <c r="KKM8" s="500"/>
      <c r="KKN8" s="500"/>
      <c r="KKO8" s="500"/>
      <c r="KKP8" s="500"/>
      <c r="KKQ8" s="500"/>
      <c r="KKR8" s="500"/>
      <c r="KKS8" s="500"/>
      <c r="KKT8" s="500"/>
      <c r="KKU8" s="500"/>
      <c r="KKV8" s="500"/>
      <c r="KKW8" s="500"/>
      <c r="KKX8" s="500"/>
      <c r="KKY8" s="500"/>
      <c r="KKZ8" s="500"/>
      <c r="KLA8" s="500"/>
      <c r="KLB8" s="500"/>
      <c r="KLC8" s="500"/>
      <c r="KLD8" s="500"/>
      <c r="KLE8" s="500"/>
      <c r="KLF8" s="500"/>
      <c r="KLG8" s="500"/>
      <c r="KLH8" s="500"/>
      <c r="KLI8" s="500"/>
      <c r="KLJ8" s="500"/>
      <c r="KLK8" s="500"/>
      <c r="KLL8" s="500"/>
      <c r="KLM8" s="500"/>
      <c r="KLN8" s="500"/>
      <c r="KLO8" s="500"/>
      <c r="KLP8" s="500"/>
      <c r="KLQ8" s="500"/>
      <c r="KLR8" s="500"/>
      <c r="KLS8" s="500"/>
      <c r="KLT8" s="500"/>
      <c r="KLU8" s="500"/>
      <c r="KLV8" s="500"/>
      <c r="KLW8" s="500"/>
      <c r="KLX8" s="500"/>
      <c r="KLY8" s="500"/>
      <c r="KLZ8" s="500"/>
      <c r="KMA8" s="500"/>
      <c r="KMB8" s="500"/>
      <c r="KMC8" s="500"/>
      <c r="KMD8" s="500"/>
      <c r="KME8" s="500"/>
      <c r="KMF8" s="500"/>
      <c r="KMG8" s="500"/>
      <c r="KMH8" s="500"/>
      <c r="KMI8" s="500"/>
      <c r="KMJ8" s="500"/>
      <c r="KMK8" s="500"/>
      <c r="KML8" s="500"/>
      <c r="KMM8" s="500"/>
      <c r="KMN8" s="500"/>
      <c r="KMO8" s="500"/>
      <c r="KMP8" s="500"/>
      <c r="KMQ8" s="500"/>
      <c r="KMR8" s="500"/>
      <c r="KMS8" s="500"/>
      <c r="KMT8" s="500"/>
      <c r="KMU8" s="500"/>
      <c r="KMV8" s="500"/>
      <c r="KMW8" s="500"/>
      <c r="KMX8" s="500"/>
      <c r="KMY8" s="500"/>
      <c r="KMZ8" s="500"/>
      <c r="KNA8" s="500"/>
      <c r="KNB8" s="500"/>
      <c r="KNC8" s="500"/>
      <c r="KND8" s="500"/>
      <c r="KNE8" s="500"/>
      <c r="KNF8" s="500"/>
      <c r="KNG8" s="500"/>
      <c r="KNH8" s="500"/>
      <c r="KNI8" s="500"/>
      <c r="KNJ8" s="500"/>
      <c r="KNK8" s="500"/>
      <c r="KNL8" s="500"/>
      <c r="KNM8" s="500"/>
      <c r="KNN8" s="500"/>
      <c r="KNO8" s="500"/>
      <c r="KNP8" s="500"/>
      <c r="KNQ8" s="500"/>
      <c r="KNR8" s="500"/>
      <c r="KNS8" s="500"/>
      <c r="KNT8" s="500"/>
      <c r="KNU8" s="500"/>
      <c r="KNV8" s="500"/>
      <c r="KNW8" s="500"/>
      <c r="KNX8" s="500"/>
      <c r="KNY8" s="500"/>
      <c r="KNZ8" s="500"/>
      <c r="KOA8" s="500"/>
      <c r="KOB8" s="500"/>
      <c r="KOC8" s="500"/>
      <c r="KOD8" s="500"/>
      <c r="KOE8" s="500"/>
      <c r="KOF8" s="500"/>
      <c r="KOG8" s="500"/>
      <c r="KOH8" s="500"/>
      <c r="KOI8" s="500"/>
      <c r="KOJ8" s="500"/>
      <c r="KOK8" s="500"/>
      <c r="KOL8" s="500"/>
      <c r="KOM8" s="500"/>
      <c r="KON8" s="500"/>
      <c r="KOO8" s="500"/>
      <c r="KOP8" s="500"/>
      <c r="KOQ8" s="500"/>
      <c r="KOR8" s="500"/>
      <c r="KOS8" s="500"/>
      <c r="KOT8" s="500"/>
      <c r="KOU8" s="500"/>
      <c r="KOV8" s="500"/>
      <c r="KOW8" s="500"/>
      <c r="KOX8" s="500"/>
      <c r="KOY8" s="500"/>
      <c r="KOZ8" s="500"/>
      <c r="KPA8" s="500"/>
      <c r="KPB8" s="500"/>
      <c r="KPC8" s="500"/>
      <c r="KPD8" s="500"/>
      <c r="KPE8" s="500"/>
      <c r="KPF8" s="500"/>
      <c r="KPG8" s="500"/>
      <c r="KPH8" s="500"/>
      <c r="KPI8" s="500"/>
      <c r="KPJ8" s="500"/>
      <c r="KPK8" s="500"/>
      <c r="KPL8" s="500"/>
      <c r="KPM8" s="500"/>
      <c r="KPN8" s="500"/>
      <c r="KPO8" s="500"/>
      <c r="KPP8" s="500"/>
      <c r="KPQ8" s="500"/>
      <c r="KPR8" s="500"/>
      <c r="KPS8" s="500"/>
      <c r="KPT8" s="500"/>
      <c r="KPU8" s="500"/>
      <c r="KPV8" s="500"/>
      <c r="KPW8" s="500"/>
      <c r="KPX8" s="500"/>
      <c r="KPY8" s="500"/>
      <c r="KPZ8" s="500"/>
      <c r="KQA8" s="500"/>
      <c r="KQB8" s="500"/>
      <c r="KQC8" s="500"/>
      <c r="KQD8" s="500"/>
      <c r="KQE8" s="500"/>
      <c r="KQF8" s="500"/>
      <c r="KQG8" s="500"/>
      <c r="KQH8" s="500"/>
      <c r="KQI8" s="500"/>
      <c r="KQJ8" s="500"/>
      <c r="KQK8" s="500"/>
      <c r="KQL8" s="500"/>
      <c r="KQM8" s="500"/>
      <c r="KQN8" s="500"/>
      <c r="KQO8" s="500"/>
      <c r="KQP8" s="500"/>
      <c r="KQQ8" s="500"/>
      <c r="KQR8" s="500"/>
      <c r="KQS8" s="500"/>
      <c r="KQT8" s="500"/>
      <c r="KQU8" s="500"/>
      <c r="KQV8" s="500"/>
      <c r="KQW8" s="500"/>
      <c r="KQX8" s="500"/>
      <c r="KQY8" s="500"/>
      <c r="KQZ8" s="500"/>
      <c r="KRA8" s="500"/>
      <c r="KRB8" s="500"/>
      <c r="KRC8" s="500"/>
      <c r="KRD8" s="500"/>
      <c r="KRE8" s="500"/>
      <c r="KRF8" s="500"/>
      <c r="KRG8" s="500"/>
      <c r="KRH8" s="500"/>
      <c r="KRI8" s="500"/>
      <c r="KRJ8" s="500"/>
      <c r="KRK8" s="500"/>
      <c r="KRL8" s="500"/>
      <c r="KRM8" s="500"/>
      <c r="KRN8" s="500"/>
      <c r="KRO8" s="500"/>
      <c r="KRP8" s="500"/>
      <c r="KRQ8" s="500"/>
      <c r="KRR8" s="500"/>
      <c r="KRS8" s="500"/>
      <c r="KRT8" s="500"/>
      <c r="KRU8" s="500"/>
      <c r="KRV8" s="500"/>
      <c r="KRW8" s="500"/>
      <c r="KRX8" s="500"/>
      <c r="KRY8" s="500"/>
      <c r="KRZ8" s="500"/>
      <c r="KSA8" s="500"/>
      <c r="KSB8" s="500"/>
      <c r="KSC8" s="500"/>
      <c r="KSD8" s="500"/>
      <c r="KSE8" s="500"/>
      <c r="KSF8" s="500"/>
      <c r="KSG8" s="500"/>
      <c r="KSH8" s="500"/>
      <c r="KSI8" s="500"/>
      <c r="KSJ8" s="500"/>
      <c r="KSK8" s="500"/>
      <c r="KSL8" s="500"/>
      <c r="KSM8" s="500"/>
      <c r="KSN8" s="500"/>
      <c r="KSO8" s="500"/>
      <c r="KSP8" s="500"/>
      <c r="KSQ8" s="500"/>
      <c r="KSR8" s="500"/>
      <c r="KSS8" s="500"/>
      <c r="KST8" s="500"/>
      <c r="KSU8" s="500"/>
      <c r="KSV8" s="500"/>
      <c r="KSW8" s="500"/>
      <c r="KSX8" s="500"/>
      <c r="KSY8" s="500"/>
      <c r="KSZ8" s="500"/>
      <c r="KTA8" s="500"/>
      <c r="KTB8" s="500"/>
      <c r="KTC8" s="500"/>
      <c r="KTD8" s="500"/>
      <c r="KTE8" s="500"/>
      <c r="KTF8" s="500"/>
      <c r="KTG8" s="500"/>
      <c r="KTH8" s="500"/>
      <c r="KTI8" s="500"/>
      <c r="KTJ8" s="500"/>
      <c r="KTK8" s="500"/>
      <c r="KTL8" s="500"/>
      <c r="KTM8" s="500"/>
      <c r="KTN8" s="500"/>
      <c r="KTO8" s="500"/>
      <c r="KTP8" s="500"/>
      <c r="KTQ8" s="500"/>
      <c r="KTR8" s="500"/>
      <c r="KTS8" s="500"/>
      <c r="KTT8" s="500"/>
      <c r="KTU8" s="500"/>
      <c r="KTV8" s="500"/>
      <c r="KTW8" s="500"/>
      <c r="KTX8" s="500"/>
      <c r="KTY8" s="500"/>
      <c r="KTZ8" s="500"/>
      <c r="KUA8" s="500"/>
      <c r="KUB8" s="500"/>
      <c r="KUC8" s="500"/>
      <c r="KUD8" s="500"/>
      <c r="KUE8" s="500"/>
      <c r="KUF8" s="500"/>
      <c r="KUG8" s="500"/>
      <c r="KUH8" s="500"/>
      <c r="KUI8" s="500"/>
      <c r="KUJ8" s="500"/>
      <c r="KUK8" s="500"/>
      <c r="KUL8" s="500"/>
      <c r="KUM8" s="500"/>
      <c r="KUN8" s="500"/>
      <c r="KUO8" s="500"/>
      <c r="KUP8" s="500"/>
      <c r="KUQ8" s="500"/>
      <c r="KUR8" s="500"/>
      <c r="KUS8" s="500"/>
      <c r="KUT8" s="500"/>
      <c r="KUU8" s="500"/>
      <c r="KUV8" s="500"/>
      <c r="KUW8" s="500"/>
      <c r="KUX8" s="500"/>
      <c r="KUY8" s="500"/>
      <c r="KUZ8" s="500"/>
      <c r="KVA8" s="500"/>
      <c r="KVB8" s="500"/>
      <c r="KVC8" s="500"/>
      <c r="KVD8" s="500"/>
      <c r="KVE8" s="500"/>
      <c r="KVF8" s="500"/>
      <c r="KVG8" s="500"/>
      <c r="KVH8" s="500"/>
      <c r="KVI8" s="500"/>
      <c r="KVJ8" s="500"/>
      <c r="KVK8" s="500"/>
      <c r="KVL8" s="500"/>
      <c r="KVM8" s="500"/>
      <c r="KVN8" s="500"/>
      <c r="KVO8" s="500"/>
      <c r="KVP8" s="500"/>
      <c r="KVQ8" s="500"/>
      <c r="KVR8" s="500"/>
      <c r="KVS8" s="500"/>
      <c r="KVT8" s="500"/>
      <c r="KVU8" s="500"/>
      <c r="KVV8" s="500"/>
      <c r="KVW8" s="500"/>
      <c r="KVX8" s="500"/>
      <c r="KVY8" s="500"/>
      <c r="KVZ8" s="500"/>
      <c r="KWA8" s="500"/>
      <c r="KWB8" s="500"/>
      <c r="KWC8" s="500"/>
      <c r="KWD8" s="500"/>
      <c r="KWE8" s="500"/>
      <c r="KWF8" s="500"/>
      <c r="KWG8" s="500"/>
      <c r="KWH8" s="500"/>
      <c r="KWI8" s="500"/>
      <c r="KWJ8" s="500"/>
      <c r="KWK8" s="500"/>
      <c r="KWL8" s="500"/>
      <c r="KWM8" s="500"/>
      <c r="KWN8" s="500"/>
      <c r="KWO8" s="500"/>
      <c r="KWP8" s="500"/>
      <c r="KWQ8" s="500"/>
      <c r="KWR8" s="500"/>
      <c r="KWS8" s="500"/>
      <c r="KWT8" s="500"/>
      <c r="KWU8" s="500"/>
      <c r="KWV8" s="500"/>
      <c r="KWW8" s="500"/>
      <c r="KWX8" s="500"/>
      <c r="KWY8" s="500"/>
      <c r="KWZ8" s="500"/>
      <c r="KXA8" s="500"/>
      <c r="KXB8" s="500"/>
      <c r="KXC8" s="500"/>
      <c r="KXD8" s="500"/>
      <c r="KXE8" s="500"/>
      <c r="KXF8" s="500"/>
      <c r="KXG8" s="500"/>
      <c r="KXH8" s="500"/>
      <c r="KXI8" s="500"/>
      <c r="KXJ8" s="500"/>
      <c r="KXK8" s="500"/>
      <c r="KXL8" s="500"/>
      <c r="KXM8" s="500"/>
      <c r="KXN8" s="500"/>
      <c r="KXO8" s="500"/>
      <c r="KXP8" s="500"/>
      <c r="KXQ8" s="500"/>
      <c r="KXR8" s="500"/>
      <c r="KXS8" s="500"/>
      <c r="KXT8" s="500"/>
      <c r="KXU8" s="500"/>
      <c r="KXV8" s="500"/>
      <c r="KXW8" s="500"/>
      <c r="KXX8" s="500"/>
      <c r="KXY8" s="500"/>
      <c r="KXZ8" s="500"/>
      <c r="KYA8" s="500"/>
      <c r="KYB8" s="500"/>
      <c r="KYC8" s="500"/>
      <c r="KYD8" s="500"/>
      <c r="KYE8" s="500"/>
      <c r="KYF8" s="500"/>
      <c r="KYG8" s="500"/>
      <c r="KYH8" s="500"/>
      <c r="KYI8" s="500"/>
      <c r="KYJ8" s="500"/>
      <c r="KYK8" s="500"/>
      <c r="KYL8" s="500"/>
      <c r="KYM8" s="500"/>
      <c r="KYN8" s="500"/>
      <c r="KYO8" s="500"/>
      <c r="KYP8" s="500"/>
      <c r="KYQ8" s="500"/>
      <c r="KYR8" s="500"/>
      <c r="KYS8" s="500"/>
      <c r="KYT8" s="500"/>
      <c r="KYU8" s="500"/>
      <c r="KYV8" s="500"/>
      <c r="KYW8" s="500"/>
      <c r="KYX8" s="500"/>
      <c r="KYY8" s="500"/>
      <c r="KYZ8" s="500"/>
      <c r="KZA8" s="500"/>
      <c r="KZB8" s="500"/>
      <c r="KZC8" s="500"/>
      <c r="KZD8" s="500"/>
      <c r="KZE8" s="500"/>
      <c r="KZF8" s="500"/>
      <c r="KZG8" s="500"/>
      <c r="KZH8" s="500"/>
      <c r="KZI8" s="500"/>
      <c r="KZJ8" s="500"/>
      <c r="KZK8" s="500"/>
      <c r="KZL8" s="500"/>
      <c r="KZM8" s="500"/>
      <c r="KZN8" s="500"/>
      <c r="KZO8" s="500"/>
      <c r="KZP8" s="500"/>
      <c r="KZQ8" s="500"/>
      <c r="KZR8" s="500"/>
      <c r="KZS8" s="500"/>
      <c r="KZT8" s="500"/>
      <c r="KZU8" s="500"/>
      <c r="KZV8" s="500"/>
      <c r="KZW8" s="500"/>
      <c r="KZX8" s="500"/>
      <c r="KZY8" s="500"/>
      <c r="KZZ8" s="500"/>
      <c r="LAA8" s="500"/>
      <c r="LAB8" s="500"/>
      <c r="LAC8" s="500"/>
      <c r="LAD8" s="500"/>
      <c r="LAE8" s="500"/>
      <c r="LAF8" s="500"/>
      <c r="LAG8" s="500"/>
      <c r="LAH8" s="500"/>
      <c r="LAI8" s="500"/>
      <c r="LAJ8" s="500"/>
      <c r="LAK8" s="500"/>
      <c r="LAL8" s="500"/>
      <c r="LAM8" s="500"/>
      <c r="LAN8" s="500"/>
      <c r="LAO8" s="500"/>
      <c r="LAP8" s="500"/>
      <c r="LAQ8" s="500"/>
      <c r="LAR8" s="500"/>
      <c r="LAS8" s="500"/>
      <c r="LAT8" s="500"/>
      <c r="LAU8" s="500"/>
      <c r="LAV8" s="500"/>
      <c r="LAW8" s="500"/>
      <c r="LAX8" s="500"/>
      <c r="LAY8" s="500"/>
      <c r="LAZ8" s="500"/>
      <c r="LBA8" s="500"/>
      <c r="LBB8" s="500"/>
      <c r="LBC8" s="500"/>
      <c r="LBD8" s="500"/>
      <c r="LBE8" s="500"/>
      <c r="LBF8" s="500"/>
      <c r="LBG8" s="500"/>
      <c r="LBH8" s="500"/>
      <c r="LBI8" s="500"/>
      <c r="LBJ8" s="500"/>
      <c r="LBK8" s="500"/>
      <c r="LBL8" s="500"/>
      <c r="LBM8" s="500"/>
      <c r="LBN8" s="500"/>
      <c r="LBO8" s="500"/>
      <c r="LBP8" s="500"/>
      <c r="LBQ8" s="500"/>
      <c r="LBR8" s="500"/>
      <c r="LBS8" s="500"/>
      <c r="LBT8" s="500"/>
      <c r="LBU8" s="500"/>
      <c r="LBV8" s="500"/>
      <c r="LBW8" s="500"/>
      <c r="LBX8" s="500"/>
      <c r="LBY8" s="500"/>
      <c r="LBZ8" s="500"/>
      <c r="LCA8" s="500"/>
      <c r="LCB8" s="500"/>
      <c r="LCC8" s="500"/>
      <c r="LCD8" s="500"/>
      <c r="LCE8" s="500"/>
      <c r="LCF8" s="500"/>
      <c r="LCG8" s="500"/>
      <c r="LCH8" s="500"/>
      <c r="LCI8" s="500"/>
      <c r="LCJ8" s="500"/>
      <c r="LCK8" s="500"/>
      <c r="LCL8" s="500"/>
      <c r="LCM8" s="500"/>
      <c r="LCN8" s="500"/>
      <c r="LCO8" s="500"/>
      <c r="LCP8" s="500"/>
      <c r="LCQ8" s="500"/>
      <c r="LCR8" s="500"/>
      <c r="LCS8" s="500"/>
      <c r="LCT8" s="500"/>
      <c r="LCU8" s="500"/>
      <c r="LCV8" s="500"/>
      <c r="LCW8" s="500"/>
      <c r="LCX8" s="500"/>
      <c r="LCY8" s="500"/>
      <c r="LCZ8" s="500"/>
      <c r="LDA8" s="500"/>
      <c r="LDB8" s="500"/>
      <c r="LDC8" s="500"/>
      <c r="LDD8" s="500"/>
      <c r="LDE8" s="500"/>
      <c r="LDF8" s="500"/>
      <c r="LDG8" s="500"/>
      <c r="LDH8" s="500"/>
      <c r="LDI8" s="500"/>
      <c r="LDJ8" s="500"/>
      <c r="LDK8" s="500"/>
      <c r="LDL8" s="500"/>
      <c r="LDM8" s="500"/>
      <c r="LDN8" s="500"/>
      <c r="LDO8" s="500"/>
      <c r="LDP8" s="500"/>
      <c r="LDQ8" s="500"/>
      <c r="LDR8" s="500"/>
      <c r="LDS8" s="500"/>
      <c r="LDT8" s="500"/>
      <c r="LDU8" s="500"/>
      <c r="LDV8" s="500"/>
      <c r="LDW8" s="500"/>
      <c r="LDX8" s="500"/>
      <c r="LDY8" s="500"/>
      <c r="LDZ8" s="500"/>
      <c r="LEA8" s="500"/>
      <c r="LEB8" s="500"/>
      <c r="LEC8" s="500"/>
      <c r="LED8" s="500"/>
      <c r="LEE8" s="500"/>
      <c r="LEF8" s="500"/>
      <c r="LEG8" s="500"/>
      <c r="LEH8" s="500"/>
      <c r="LEI8" s="500"/>
      <c r="LEJ8" s="500"/>
      <c r="LEK8" s="500"/>
      <c r="LEL8" s="500"/>
      <c r="LEM8" s="500"/>
      <c r="LEN8" s="500"/>
      <c r="LEO8" s="500"/>
      <c r="LEP8" s="500"/>
      <c r="LEQ8" s="500"/>
      <c r="LER8" s="500"/>
      <c r="LES8" s="500"/>
      <c r="LET8" s="500"/>
      <c r="LEU8" s="500"/>
      <c r="LEV8" s="500"/>
      <c r="LEW8" s="500"/>
      <c r="LEX8" s="500"/>
      <c r="LEY8" s="500"/>
      <c r="LEZ8" s="500"/>
      <c r="LFA8" s="500"/>
      <c r="LFB8" s="500"/>
      <c r="LFC8" s="500"/>
      <c r="LFD8" s="500"/>
      <c r="LFE8" s="500"/>
      <c r="LFF8" s="500"/>
      <c r="LFG8" s="500"/>
      <c r="LFH8" s="500"/>
      <c r="LFI8" s="500"/>
      <c r="LFJ8" s="500"/>
      <c r="LFK8" s="500"/>
      <c r="LFL8" s="500"/>
      <c r="LFM8" s="500"/>
      <c r="LFN8" s="500"/>
      <c r="LFO8" s="500"/>
      <c r="LFP8" s="500"/>
      <c r="LFQ8" s="500"/>
      <c r="LFR8" s="500"/>
      <c r="LFS8" s="500"/>
      <c r="LFT8" s="500"/>
      <c r="LFU8" s="500"/>
      <c r="LFV8" s="500"/>
      <c r="LFW8" s="500"/>
      <c r="LFX8" s="500"/>
      <c r="LFY8" s="500"/>
      <c r="LFZ8" s="500"/>
      <c r="LGA8" s="500"/>
      <c r="LGB8" s="500"/>
      <c r="LGC8" s="500"/>
      <c r="LGD8" s="500"/>
      <c r="LGE8" s="500"/>
      <c r="LGF8" s="500"/>
      <c r="LGG8" s="500"/>
      <c r="LGH8" s="500"/>
      <c r="LGI8" s="500"/>
      <c r="LGJ8" s="500"/>
      <c r="LGK8" s="500"/>
      <c r="LGL8" s="500"/>
      <c r="LGM8" s="500"/>
      <c r="LGN8" s="500"/>
      <c r="LGO8" s="500"/>
      <c r="LGP8" s="500"/>
      <c r="LGQ8" s="500"/>
      <c r="LGR8" s="500"/>
      <c r="LGS8" s="500"/>
      <c r="LGT8" s="500"/>
      <c r="LGU8" s="500"/>
      <c r="LGV8" s="500"/>
      <c r="LGW8" s="500"/>
      <c r="LGX8" s="500"/>
      <c r="LGY8" s="500"/>
      <c r="LGZ8" s="500"/>
      <c r="LHA8" s="500"/>
      <c r="LHB8" s="500"/>
      <c r="LHC8" s="500"/>
      <c r="LHD8" s="500"/>
      <c r="LHE8" s="500"/>
      <c r="LHF8" s="500"/>
      <c r="LHG8" s="500"/>
      <c r="LHH8" s="500"/>
      <c r="LHI8" s="500"/>
      <c r="LHJ8" s="500"/>
      <c r="LHK8" s="500"/>
      <c r="LHL8" s="500"/>
      <c r="LHM8" s="500"/>
      <c r="LHN8" s="500"/>
      <c r="LHO8" s="500"/>
      <c r="LHP8" s="500"/>
      <c r="LHQ8" s="500"/>
      <c r="LHR8" s="500"/>
      <c r="LHS8" s="500"/>
      <c r="LHT8" s="500"/>
      <c r="LHU8" s="500"/>
      <c r="LHV8" s="500"/>
      <c r="LHW8" s="500"/>
      <c r="LHX8" s="500"/>
      <c r="LHY8" s="500"/>
      <c r="LHZ8" s="500"/>
      <c r="LIA8" s="500"/>
      <c r="LIB8" s="500"/>
      <c r="LIC8" s="500"/>
      <c r="LID8" s="500"/>
      <c r="LIE8" s="500"/>
      <c r="LIF8" s="500"/>
      <c r="LIG8" s="500"/>
      <c r="LIH8" s="500"/>
      <c r="LII8" s="500"/>
      <c r="LIJ8" s="500"/>
      <c r="LIK8" s="500"/>
      <c r="LIL8" s="500"/>
      <c r="LIM8" s="500"/>
      <c r="LIN8" s="500"/>
      <c r="LIO8" s="500"/>
      <c r="LIP8" s="500"/>
      <c r="LIQ8" s="500"/>
      <c r="LIR8" s="500"/>
      <c r="LIS8" s="500"/>
      <c r="LIT8" s="500"/>
      <c r="LIU8" s="500"/>
      <c r="LIV8" s="500"/>
      <c r="LIW8" s="500"/>
      <c r="LIX8" s="500"/>
      <c r="LIY8" s="500"/>
      <c r="LIZ8" s="500"/>
      <c r="LJA8" s="500"/>
      <c r="LJB8" s="500"/>
      <c r="LJC8" s="500"/>
      <c r="LJD8" s="500"/>
      <c r="LJE8" s="500"/>
      <c r="LJF8" s="500"/>
      <c r="LJG8" s="500"/>
      <c r="LJH8" s="500"/>
      <c r="LJI8" s="500"/>
      <c r="LJJ8" s="500"/>
      <c r="LJK8" s="500"/>
      <c r="LJL8" s="500"/>
      <c r="LJM8" s="500"/>
      <c r="LJN8" s="500"/>
      <c r="LJO8" s="500"/>
      <c r="LJP8" s="500"/>
      <c r="LJQ8" s="500"/>
      <c r="LJR8" s="500"/>
      <c r="LJS8" s="500"/>
      <c r="LJT8" s="500"/>
      <c r="LJU8" s="500"/>
      <c r="LJV8" s="500"/>
      <c r="LJW8" s="500"/>
      <c r="LJX8" s="500"/>
      <c r="LJY8" s="500"/>
      <c r="LJZ8" s="500"/>
      <c r="LKA8" s="500"/>
      <c r="LKB8" s="500"/>
      <c r="LKC8" s="500"/>
      <c r="LKD8" s="500"/>
      <c r="LKE8" s="500"/>
      <c r="LKF8" s="500"/>
      <c r="LKG8" s="500"/>
      <c r="LKH8" s="500"/>
      <c r="LKI8" s="500"/>
      <c r="LKJ8" s="500"/>
      <c r="LKK8" s="500"/>
      <c r="LKL8" s="500"/>
      <c r="LKM8" s="500"/>
      <c r="LKN8" s="500"/>
      <c r="LKO8" s="500"/>
      <c r="LKP8" s="500"/>
      <c r="LKQ8" s="500"/>
      <c r="LKR8" s="500"/>
      <c r="LKS8" s="500"/>
      <c r="LKT8" s="500"/>
      <c r="LKU8" s="500"/>
      <c r="LKV8" s="500"/>
      <c r="LKW8" s="500"/>
      <c r="LKX8" s="500"/>
      <c r="LKY8" s="500"/>
      <c r="LKZ8" s="500"/>
      <c r="LLA8" s="500"/>
      <c r="LLB8" s="500"/>
      <c r="LLC8" s="500"/>
      <c r="LLD8" s="500"/>
      <c r="LLE8" s="500"/>
      <c r="LLF8" s="500"/>
      <c r="LLG8" s="500"/>
      <c r="LLH8" s="500"/>
      <c r="LLI8" s="500"/>
      <c r="LLJ8" s="500"/>
      <c r="LLK8" s="500"/>
      <c r="LLL8" s="500"/>
      <c r="LLM8" s="500"/>
      <c r="LLN8" s="500"/>
      <c r="LLO8" s="500"/>
      <c r="LLP8" s="500"/>
      <c r="LLQ8" s="500"/>
      <c r="LLR8" s="500"/>
      <c r="LLS8" s="500"/>
      <c r="LLT8" s="500"/>
      <c r="LLU8" s="500"/>
      <c r="LLV8" s="500"/>
      <c r="LLW8" s="500"/>
      <c r="LLX8" s="500"/>
      <c r="LLY8" s="500"/>
      <c r="LLZ8" s="500"/>
      <c r="LMA8" s="500"/>
      <c r="LMB8" s="500"/>
      <c r="LMC8" s="500"/>
      <c r="LMD8" s="500"/>
      <c r="LME8" s="500"/>
      <c r="LMF8" s="500"/>
      <c r="LMG8" s="500"/>
      <c r="LMH8" s="500"/>
      <c r="LMI8" s="500"/>
      <c r="LMJ8" s="500"/>
      <c r="LMK8" s="500"/>
      <c r="LML8" s="500"/>
      <c r="LMM8" s="500"/>
      <c r="LMN8" s="500"/>
      <c r="LMO8" s="500"/>
      <c r="LMP8" s="500"/>
      <c r="LMQ8" s="500"/>
      <c r="LMR8" s="500"/>
      <c r="LMS8" s="500"/>
      <c r="LMT8" s="500"/>
      <c r="LMU8" s="500"/>
      <c r="LMV8" s="500"/>
      <c r="LMW8" s="500"/>
      <c r="LMX8" s="500"/>
      <c r="LMY8" s="500"/>
      <c r="LMZ8" s="500"/>
      <c r="LNA8" s="500"/>
      <c r="LNB8" s="500"/>
      <c r="LNC8" s="500"/>
      <c r="LND8" s="500"/>
      <c r="LNE8" s="500"/>
      <c r="LNF8" s="500"/>
      <c r="LNG8" s="500"/>
      <c r="LNH8" s="500"/>
      <c r="LNI8" s="500"/>
      <c r="LNJ8" s="500"/>
      <c r="LNK8" s="500"/>
      <c r="LNL8" s="500"/>
      <c r="LNM8" s="500"/>
      <c r="LNN8" s="500"/>
      <c r="LNO8" s="500"/>
      <c r="LNP8" s="500"/>
      <c r="LNQ8" s="500"/>
      <c r="LNR8" s="500"/>
      <c r="LNS8" s="500"/>
      <c r="LNT8" s="500"/>
      <c r="LNU8" s="500"/>
      <c r="LNV8" s="500"/>
      <c r="LNW8" s="500"/>
      <c r="LNX8" s="500"/>
      <c r="LNY8" s="500"/>
      <c r="LNZ8" s="500"/>
      <c r="LOA8" s="500"/>
      <c r="LOB8" s="500"/>
      <c r="LOC8" s="500"/>
      <c r="LOD8" s="500"/>
      <c r="LOE8" s="500"/>
      <c r="LOF8" s="500"/>
      <c r="LOG8" s="500"/>
      <c r="LOH8" s="500"/>
      <c r="LOI8" s="500"/>
      <c r="LOJ8" s="500"/>
      <c r="LOK8" s="500"/>
      <c r="LOL8" s="500"/>
      <c r="LOM8" s="500"/>
      <c r="LON8" s="500"/>
      <c r="LOO8" s="500"/>
      <c r="LOP8" s="500"/>
      <c r="LOQ8" s="500"/>
      <c r="LOR8" s="500"/>
      <c r="LOS8" s="500"/>
      <c r="LOT8" s="500"/>
      <c r="LOU8" s="500"/>
      <c r="LOV8" s="500"/>
      <c r="LOW8" s="500"/>
      <c r="LOX8" s="500"/>
      <c r="LOY8" s="500"/>
      <c r="LOZ8" s="500"/>
      <c r="LPA8" s="500"/>
      <c r="LPB8" s="500"/>
      <c r="LPC8" s="500"/>
      <c r="LPD8" s="500"/>
      <c r="LPE8" s="500"/>
      <c r="LPF8" s="500"/>
      <c r="LPG8" s="500"/>
      <c r="LPH8" s="500"/>
      <c r="LPI8" s="500"/>
      <c r="LPJ8" s="500"/>
      <c r="LPK8" s="500"/>
      <c r="LPL8" s="500"/>
      <c r="LPM8" s="500"/>
      <c r="LPN8" s="500"/>
      <c r="LPO8" s="500"/>
      <c r="LPP8" s="500"/>
      <c r="LPQ8" s="500"/>
      <c r="LPR8" s="500"/>
      <c r="LPS8" s="500"/>
      <c r="LPT8" s="500"/>
      <c r="LPU8" s="500"/>
      <c r="LPV8" s="500"/>
      <c r="LPW8" s="500"/>
      <c r="LPX8" s="500"/>
      <c r="LPY8" s="500"/>
      <c r="LPZ8" s="500"/>
      <c r="LQA8" s="500"/>
      <c r="LQB8" s="500"/>
      <c r="LQC8" s="500"/>
      <c r="LQD8" s="500"/>
      <c r="LQE8" s="500"/>
      <c r="LQF8" s="500"/>
      <c r="LQG8" s="500"/>
      <c r="LQH8" s="500"/>
      <c r="LQI8" s="500"/>
      <c r="LQJ8" s="500"/>
      <c r="LQK8" s="500"/>
      <c r="LQL8" s="500"/>
      <c r="LQM8" s="500"/>
      <c r="LQN8" s="500"/>
      <c r="LQO8" s="500"/>
      <c r="LQP8" s="500"/>
      <c r="LQQ8" s="500"/>
      <c r="LQR8" s="500"/>
      <c r="LQS8" s="500"/>
      <c r="LQT8" s="500"/>
      <c r="LQU8" s="500"/>
      <c r="LQV8" s="500"/>
      <c r="LQW8" s="500"/>
      <c r="LQX8" s="500"/>
      <c r="LQY8" s="500"/>
      <c r="LQZ8" s="500"/>
      <c r="LRA8" s="500"/>
      <c r="LRB8" s="500"/>
      <c r="LRC8" s="500"/>
      <c r="LRD8" s="500"/>
      <c r="LRE8" s="500"/>
      <c r="LRF8" s="500"/>
      <c r="LRG8" s="500"/>
      <c r="LRH8" s="500"/>
      <c r="LRI8" s="500"/>
      <c r="LRJ8" s="500"/>
      <c r="LRK8" s="500"/>
      <c r="LRL8" s="500"/>
      <c r="LRM8" s="500"/>
      <c r="LRN8" s="500"/>
      <c r="LRO8" s="500"/>
      <c r="LRP8" s="500"/>
      <c r="LRQ8" s="500"/>
      <c r="LRR8" s="500"/>
      <c r="LRS8" s="500"/>
      <c r="LRT8" s="500"/>
      <c r="LRU8" s="500"/>
      <c r="LRV8" s="500"/>
      <c r="LRW8" s="500"/>
      <c r="LRX8" s="500"/>
      <c r="LRY8" s="500"/>
      <c r="LRZ8" s="500"/>
      <c r="LSA8" s="500"/>
      <c r="LSB8" s="500"/>
      <c r="LSC8" s="500"/>
      <c r="LSD8" s="500"/>
      <c r="LSE8" s="500"/>
      <c r="LSF8" s="500"/>
      <c r="LSG8" s="500"/>
      <c r="LSH8" s="500"/>
      <c r="LSI8" s="500"/>
      <c r="LSJ8" s="500"/>
      <c r="LSK8" s="500"/>
      <c r="LSL8" s="500"/>
      <c r="LSM8" s="500"/>
      <c r="LSN8" s="500"/>
      <c r="LSO8" s="500"/>
      <c r="LSP8" s="500"/>
      <c r="LSQ8" s="500"/>
      <c r="LSR8" s="500"/>
      <c r="LSS8" s="500"/>
      <c r="LST8" s="500"/>
      <c r="LSU8" s="500"/>
      <c r="LSV8" s="500"/>
      <c r="LSW8" s="500"/>
      <c r="LSX8" s="500"/>
      <c r="LSY8" s="500"/>
      <c r="LSZ8" s="500"/>
      <c r="LTA8" s="500"/>
      <c r="LTB8" s="500"/>
      <c r="LTC8" s="500"/>
      <c r="LTD8" s="500"/>
      <c r="LTE8" s="500"/>
      <c r="LTF8" s="500"/>
      <c r="LTG8" s="500"/>
      <c r="LTH8" s="500"/>
      <c r="LTI8" s="500"/>
      <c r="LTJ8" s="500"/>
      <c r="LTK8" s="500"/>
      <c r="LTL8" s="500"/>
      <c r="LTM8" s="500"/>
      <c r="LTN8" s="500"/>
      <c r="LTO8" s="500"/>
      <c r="LTP8" s="500"/>
      <c r="LTQ8" s="500"/>
      <c r="LTR8" s="500"/>
      <c r="LTS8" s="500"/>
      <c r="LTT8" s="500"/>
      <c r="LTU8" s="500"/>
      <c r="LTV8" s="500"/>
      <c r="LTW8" s="500"/>
      <c r="LTX8" s="500"/>
      <c r="LTY8" s="500"/>
      <c r="LTZ8" s="500"/>
      <c r="LUA8" s="500"/>
      <c r="LUB8" s="500"/>
      <c r="LUC8" s="500"/>
      <c r="LUD8" s="500"/>
      <c r="LUE8" s="500"/>
      <c r="LUF8" s="500"/>
      <c r="LUG8" s="500"/>
      <c r="LUH8" s="500"/>
      <c r="LUI8" s="500"/>
      <c r="LUJ8" s="500"/>
      <c r="LUK8" s="500"/>
      <c r="LUL8" s="500"/>
      <c r="LUM8" s="500"/>
      <c r="LUN8" s="500"/>
      <c r="LUO8" s="500"/>
      <c r="LUP8" s="500"/>
      <c r="LUQ8" s="500"/>
      <c r="LUR8" s="500"/>
      <c r="LUS8" s="500"/>
      <c r="LUT8" s="500"/>
      <c r="LUU8" s="500"/>
      <c r="LUV8" s="500"/>
      <c r="LUW8" s="500"/>
      <c r="LUX8" s="500"/>
      <c r="LUY8" s="500"/>
      <c r="LUZ8" s="500"/>
      <c r="LVA8" s="500"/>
      <c r="LVB8" s="500"/>
      <c r="LVC8" s="500"/>
      <c r="LVD8" s="500"/>
      <c r="LVE8" s="500"/>
      <c r="LVF8" s="500"/>
      <c r="LVG8" s="500"/>
      <c r="LVH8" s="500"/>
      <c r="LVI8" s="500"/>
      <c r="LVJ8" s="500"/>
      <c r="LVK8" s="500"/>
      <c r="LVL8" s="500"/>
      <c r="LVM8" s="500"/>
      <c r="LVN8" s="500"/>
      <c r="LVO8" s="500"/>
      <c r="LVP8" s="500"/>
      <c r="LVQ8" s="500"/>
      <c r="LVR8" s="500"/>
      <c r="LVS8" s="500"/>
      <c r="LVT8" s="500"/>
      <c r="LVU8" s="500"/>
      <c r="LVV8" s="500"/>
      <c r="LVW8" s="500"/>
      <c r="LVX8" s="500"/>
      <c r="LVY8" s="500"/>
      <c r="LVZ8" s="500"/>
      <c r="LWA8" s="500"/>
      <c r="LWB8" s="500"/>
      <c r="LWC8" s="500"/>
      <c r="LWD8" s="500"/>
      <c r="LWE8" s="500"/>
      <c r="LWF8" s="500"/>
      <c r="LWG8" s="500"/>
      <c r="LWH8" s="500"/>
      <c r="LWI8" s="500"/>
      <c r="LWJ8" s="500"/>
      <c r="LWK8" s="500"/>
      <c r="LWL8" s="500"/>
      <c r="LWM8" s="500"/>
      <c r="LWN8" s="500"/>
      <c r="LWO8" s="500"/>
      <c r="LWP8" s="500"/>
      <c r="LWQ8" s="500"/>
      <c r="LWR8" s="500"/>
      <c r="LWS8" s="500"/>
      <c r="LWT8" s="500"/>
      <c r="LWU8" s="500"/>
      <c r="LWV8" s="500"/>
      <c r="LWW8" s="500"/>
      <c r="LWX8" s="500"/>
      <c r="LWY8" s="500"/>
      <c r="LWZ8" s="500"/>
      <c r="LXA8" s="500"/>
      <c r="LXB8" s="500"/>
      <c r="LXC8" s="500"/>
      <c r="LXD8" s="500"/>
      <c r="LXE8" s="500"/>
      <c r="LXF8" s="500"/>
      <c r="LXG8" s="500"/>
      <c r="LXH8" s="500"/>
      <c r="LXI8" s="500"/>
      <c r="LXJ8" s="500"/>
      <c r="LXK8" s="500"/>
      <c r="LXL8" s="500"/>
      <c r="LXM8" s="500"/>
      <c r="LXN8" s="500"/>
      <c r="LXO8" s="500"/>
      <c r="LXP8" s="500"/>
      <c r="LXQ8" s="500"/>
      <c r="LXR8" s="500"/>
      <c r="LXS8" s="500"/>
      <c r="LXT8" s="500"/>
      <c r="LXU8" s="500"/>
      <c r="LXV8" s="500"/>
      <c r="LXW8" s="500"/>
      <c r="LXX8" s="500"/>
      <c r="LXY8" s="500"/>
      <c r="LXZ8" s="500"/>
      <c r="LYA8" s="500"/>
      <c r="LYB8" s="500"/>
      <c r="LYC8" s="500"/>
      <c r="LYD8" s="500"/>
      <c r="LYE8" s="500"/>
      <c r="LYF8" s="500"/>
      <c r="LYG8" s="500"/>
      <c r="LYH8" s="500"/>
      <c r="LYI8" s="500"/>
      <c r="LYJ8" s="500"/>
      <c r="LYK8" s="500"/>
      <c r="LYL8" s="500"/>
      <c r="LYM8" s="500"/>
      <c r="LYN8" s="500"/>
      <c r="LYO8" s="500"/>
      <c r="LYP8" s="500"/>
      <c r="LYQ8" s="500"/>
      <c r="LYR8" s="500"/>
      <c r="LYS8" s="500"/>
      <c r="LYT8" s="500"/>
      <c r="LYU8" s="500"/>
      <c r="LYV8" s="500"/>
      <c r="LYW8" s="500"/>
      <c r="LYX8" s="500"/>
      <c r="LYY8" s="500"/>
      <c r="LYZ8" s="500"/>
      <c r="LZA8" s="500"/>
      <c r="LZB8" s="500"/>
      <c r="LZC8" s="500"/>
      <c r="LZD8" s="500"/>
      <c r="LZE8" s="500"/>
      <c r="LZF8" s="500"/>
      <c r="LZG8" s="500"/>
      <c r="LZH8" s="500"/>
      <c r="LZI8" s="500"/>
      <c r="LZJ8" s="500"/>
      <c r="LZK8" s="500"/>
      <c r="LZL8" s="500"/>
      <c r="LZM8" s="500"/>
      <c r="LZN8" s="500"/>
      <c r="LZO8" s="500"/>
      <c r="LZP8" s="500"/>
      <c r="LZQ8" s="500"/>
      <c r="LZR8" s="500"/>
      <c r="LZS8" s="500"/>
      <c r="LZT8" s="500"/>
      <c r="LZU8" s="500"/>
      <c r="LZV8" s="500"/>
      <c r="LZW8" s="500"/>
      <c r="LZX8" s="500"/>
      <c r="LZY8" s="500"/>
      <c r="LZZ8" s="500"/>
      <c r="MAA8" s="500"/>
      <c r="MAB8" s="500"/>
      <c r="MAC8" s="500"/>
      <c r="MAD8" s="500"/>
      <c r="MAE8" s="500"/>
      <c r="MAF8" s="500"/>
      <c r="MAG8" s="500"/>
      <c r="MAH8" s="500"/>
      <c r="MAI8" s="500"/>
      <c r="MAJ8" s="500"/>
      <c r="MAK8" s="500"/>
      <c r="MAL8" s="500"/>
      <c r="MAM8" s="500"/>
      <c r="MAN8" s="500"/>
      <c r="MAO8" s="500"/>
      <c r="MAP8" s="500"/>
      <c r="MAQ8" s="500"/>
      <c r="MAR8" s="500"/>
      <c r="MAS8" s="500"/>
      <c r="MAT8" s="500"/>
      <c r="MAU8" s="500"/>
      <c r="MAV8" s="500"/>
      <c r="MAW8" s="500"/>
      <c r="MAX8" s="500"/>
      <c r="MAY8" s="500"/>
      <c r="MAZ8" s="500"/>
      <c r="MBA8" s="500"/>
      <c r="MBB8" s="500"/>
      <c r="MBC8" s="500"/>
      <c r="MBD8" s="500"/>
      <c r="MBE8" s="500"/>
      <c r="MBF8" s="500"/>
      <c r="MBG8" s="500"/>
      <c r="MBH8" s="500"/>
      <c r="MBI8" s="500"/>
      <c r="MBJ8" s="500"/>
      <c r="MBK8" s="500"/>
      <c r="MBL8" s="500"/>
      <c r="MBM8" s="500"/>
      <c r="MBN8" s="500"/>
      <c r="MBO8" s="500"/>
      <c r="MBP8" s="500"/>
      <c r="MBQ8" s="500"/>
      <c r="MBR8" s="500"/>
      <c r="MBS8" s="500"/>
      <c r="MBT8" s="500"/>
      <c r="MBU8" s="500"/>
      <c r="MBV8" s="500"/>
      <c r="MBW8" s="500"/>
      <c r="MBX8" s="500"/>
      <c r="MBY8" s="500"/>
      <c r="MBZ8" s="500"/>
      <c r="MCA8" s="500"/>
      <c r="MCB8" s="500"/>
      <c r="MCC8" s="500"/>
      <c r="MCD8" s="500"/>
      <c r="MCE8" s="500"/>
      <c r="MCF8" s="500"/>
      <c r="MCG8" s="500"/>
      <c r="MCH8" s="500"/>
      <c r="MCI8" s="500"/>
      <c r="MCJ8" s="500"/>
      <c r="MCK8" s="500"/>
      <c r="MCL8" s="500"/>
      <c r="MCM8" s="500"/>
      <c r="MCN8" s="500"/>
      <c r="MCO8" s="500"/>
      <c r="MCP8" s="500"/>
      <c r="MCQ8" s="500"/>
      <c r="MCR8" s="500"/>
      <c r="MCS8" s="500"/>
      <c r="MCT8" s="500"/>
      <c r="MCU8" s="500"/>
      <c r="MCV8" s="500"/>
      <c r="MCW8" s="500"/>
      <c r="MCX8" s="500"/>
      <c r="MCY8" s="500"/>
      <c r="MCZ8" s="500"/>
      <c r="MDA8" s="500"/>
      <c r="MDB8" s="500"/>
      <c r="MDC8" s="500"/>
      <c r="MDD8" s="500"/>
      <c r="MDE8" s="500"/>
      <c r="MDF8" s="500"/>
      <c r="MDG8" s="500"/>
      <c r="MDH8" s="500"/>
      <c r="MDI8" s="500"/>
      <c r="MDJ8" s="500"/>
      <c r="MDK8" s="500"/>
      <c r="MDL8" s="500"/>
      <c r="MDM8" s="500"/>
      <c r="MDN8" s="500"/>
      <c r="MDO8" s="500"/>
      <c r="MDP8" s="500"/>
      <c r="MDQ8" s="500"/>
      <c r="MDR8" s="500"/>
      <c r="MDS8" s="500"/>
      <c r="MDT8" s="500"/>
      <c r="MDU8" s="500"/>
      <c r="MDV8" s="500"/>
      <c r="MDW8" s="500"/>
      <c r="MDX8" s="500"/>
      <c r="MDY8" s="500"/>
      <c r="MDZ8" s="500"/>
      <c r="MEA8" s="500"/>
      <c r="MEB8" s="500"/>
      <c r="MEC8" s="500"/>
      <c r="MED8" s="500"/>
      <c r="MEE8" s="500"/>
      <c r="MEF8" s="500"/>
      <c r="MEG8" s="500"/>
      <c r="MEH8" s="500"/>
      <c r="MEI8" s="500"/>
      <c r="MEJ8" s="500"/>
      <c r="MEK8" s="500"/>
      <c r="MEL8" s="500"/>
      <c r="MEM8" s="500"/>
      <c r="MEN8" s="500"/>
      <c r="MEO8" s="500"/>
      <c r="MEP8" s="500"/>
      <c r="MEQ8" s="500"/>
      <c r="MER8" s="500"/>
      <c r="MES8" s="500"/>
      <c r="MET8" s="500"/>
      <c r="MEU8" s="500"/>
      <c r="MEV8" s="500"/>
      <c r="MEW8" s="500"/>
      <c r="MEX8" s="500"/>
      <c r="MEY8" s="500"/>
      <c r="MEZ8" s="500"/>
      <c r="MFA8" s="500"/>
      <c r="MFB8" s="500"/>
      <c r="MFC8" s="500"/>
      <c r="MFD8" s="500"/>
      <c r="MFE8" s="500"/>
      <c r="MFF8" s="500"/>
      <c r="MFG8" s="500"/>
      <c r="MFH8" s="500"/>
      <c r="MFI8" s="500"/>
      <c r="MFJ8" s="500"/>
      <c r="MFK8" s="500"/>
      <c r="MFL8" s="500"/>
      <c r="MFM8" s="500"/>
      <c r="MFN8" s="500"/>
      <c r="MFO8" s="500"/>
      <c r="MFP8" s="500"/>
      <c r="MFQ8" s="500"/>
      <c r="MFR8" s="500"/>
      <c r="MFS8" s="500"/>
      <c r="MFT8" s="500"/>
      <c r="MFU8" s="500"/>
      <c r="MFV8" s="500"/>
      <c r="MFW8" s="500"/>
      <c r="MFX8" s="500"/>
      <c r="MFY8" s="500"/>
      <c r="MFZ8" s="500"/>
      <c r="MGA8" s="500"/>
      <c r="MGB8" s="500"/>
      <c r="MGC8" s="500"/>
      <c r="MGD8" s="500"/>
      <c r="MGE8" s="500"/>
      <c r="MGF8" s="500"/>
      <c r="MGG8" s="500"/>
      <c r="MGH8" s="500"/>
      <c r="MGI8" s="500"/>
      <c r="MGJ8" s="500"/>
      <c r="MGK8" s="500"/>
      <c r="MGL8" s="500"/>
      <c r="MGM8" s="500"/>
      <c r="MGN8" s="500"/>
      <c r="MGO8" s="500"/>
      <c r="MGP8" s="500"/>
      <c r="MGQ8" s="500"/>
      <c r="MGR8" s="500"/>
      <c r="MGS8" s="500"/>
      <c r="MGT8" s="500"/>
      <c r="MGU8" s="500"/>
      <c r="MGV8" s="500"/>
      <c r="MGW8" s="500"/>
      <c r="MGX8" s="500"/>
      <c r="MGY8" s="500"/>
      <c r="MGZ8" s="500"/>
      <c r="MHA8" s="500"/>
      <c r="MHB8" s="500"/>
      <c r="MHC8" s="500"/>
      <c r="MHD8" s="500"/>
      <c r="MHE8" s="500"/>
      <c r="MHF8" s="500"/>
      <c r="MHG8" s="500"/>
      <c r="MHH8" s="500"/>
      <c r="MHI8" s="500"/>
      <c r="MHJ8" s="500"/>
      <c r="MHK8" s="500"/>
      <c r="MHL8" s="500"/>
      <c r="MHM8" s="500"/>
      <c r="MHN8" s="500"/>
      <c r="MHO8" s="500"/>
      <c r="MHP8" s="500"/>
      <c r="MHQ8" s="500"/>
      <c r="MHR8" s="500"/>
      <c r="MHS8" s="500"/>
      <c r="MHT8" s="500"/>
      <c r="MHU8" s="500"/>
      <c r="MHV8" s="500"/>
      <c r="MHW8" s="500"/>
      <c r="MHX8" s="500"/>
      <c r="MHY8" s="500"/>
      <c r="MHZ8" s="500"/>
      <c r="MIA8" s="500"/>
      <c r="MIB8" s="500"/>
      <c r="MIC8" s="500"/>
      <c r="MID8" s="500"/>
      <c r="MIE8" s="500"/>
      <c r="MIF8" s="500"/>
      <c r="MIG8" s="500"/>
      <c r="MIH8" s="500"/>
      <c r="MII8" s="500"/>
      <c r="MIJ8" s="500"/>
      <c r="MIK8" s="500"/>
      <c r="MIL8" s="500"/>
      <c r="MIM8" s="500"/>
      <c r="MIN8" s="500"/>
      <c r="MIO8" s="500"/>
      <c r="MIP8" s="500"/>
      <c r="MIQ8" s="500"/>
      <c r="MIR8" s="500"/>
      <c r="MIS8" s="500"/>
      <c r="MIT8" s="500"/>
      <c r="MIU8" s="500"/>
      <c r="MIV8" s="500"/>
      <c r="MIW8" s="500"/>
      <c r="MIX8" s="500"/>
      <c r="MIY8" s="500"/>
      <c r="MIZ8" s="500"/>
      <c r="MJA8" s="500"/>
      <c r="MJB8" s="500"/>
      <c r="MJC8" s="500"/>
      <c r="MJD8" s="500"/>
      <c r="MJE8" s="500"/>
      <c r="MJF8" s="500"/>
      <c r="MJG8" s="500"/>
      <c r="MJH8" s="500"/>
      <c r="MJI8" s="500"/>
      <c r="MJJ8" s="500"/>
      <c r="MJK8" s="500"/>
      <c r="MJL8" s="500"/>
      <c r="MJM8" s="500"/>
      <c r="MJN8" s="500"/>
      <c r="MJO8" s="500"/>
      <c r="MJP8" s="500"/>
      <c r="MJQ8" s="500"/>
      <c r="MJR8" s="500"/>
      <c r="MJS8" s="500"/>
      <c r="MJT8" s="500"/>
      <c r="MJU8" s="500"/>
      <c r="MJV8" s="500"/>
      <c r="MJW8" s="500"/>
      <c r="MJX8" s="500"/>
      <c r="MJY8" s="500"/>
      <c r="MJZ8" s="500"/>
      <c r="MKA8" s="500"/>
      <c r="MKB8" s="500"/>
      <c r="MKC8" s="500"/>
      <c r="MKD8" s="500"/>
      <c r="MKE8" s="500"/>
      <c r="MKF8" s="500"/>
      <c r="MKG8" s="500"/>
      <c r="MKH8" s="500"/>
      <c r="MKI8" s="500"/>
      <c r="MKJ8" s="500"/>
      <c r="MKK8" s="500"/>
      <c r="MKL8" s="500"/>
      <c r="MKM8" s="500"/>
      <c r="MKN8" s="500"/>
      <c r="MKO8" s="500"/>
      <c r="MKP8" s="500"/>
      <c r="MKQ8" s="500"/>
      <c r="MKR8" s="500"/>
      <c r="MKS8" s="500"/>
      <c r="MKT8" s="500"/>
      <c r="MKU8" s="500"/>
      <c r="MKV8" s="500"/>
      <c r="MKW8" s="500"/>
      <c r="MKX8" s="500"/>
      <c r="MKY8" s="500"/>
      <c r="MKZ8" s="500"/>
      <c r="MLA8" s="500"/>
      <c r="MLB8" s="500"/>
      <c r="MLC8" s="500"/>
      <c r="MLD8" s="500"/>
      <c r="MLE8" s="500"/>
      <c r="MLF8" s="500"/>
      <c r="MLG8" s="500"/>
      <c r="MLH8" s="500"/>
      <c r="MLI8" s="500"/>
      <c r="MLJ8" s="500"/>
      <c r="MLK8" s="500"/>
      <c r="MLL8" s="500"/>
      <c r="MLM8" s="500"/>
      <c r="MLN8" s="500"/>
      <c r="MLO8" s="500"/>
      <c r="MLP8" s="500"/>
      <c r="MLQ8" s="500"/>
      <c r="MLR8" s="500"/>
      <c r="MLS8" s="500"/>
      <c r="MLT8" s="500"/>
      <c r="MLU8" s="500"/>
      <c r="MLV8" s="500"/>
      <c r="MLW8" s="500"/>
      <c r="MLX8" s="500"/>
      <c r="MLY8" s="500"/>
      <c r="MLZ8" s="500"/>
      <c r="MMA8" s="500"/>
      <c r="MMB8" s="500"/>
      <c r="MMC8" s="500"/>
      <c r="MMD8" s="500"/>
      <c r="MME8" s="500"/>
      <c r="MMF8" s="500"/>
      <c r="MMG8" s="500"/>
      <c r="MMH8" s="500"/>
      <c r="MMI8" s="500"/>
      <c r="MMJ8" s="500"/>
      <c r="MMK8" s="500"/>
      <c r="MML8" s="500"/>
      <c r="MMM8" s="500"/>
      <c r="MMN8" s="500"/>
      <c r="MMO8" s="500"/>
      <c r="MMP8" s="500"/>
      <c r="MMQ8" s="500"/>
      <c r="MMR8" s="500"/>
      <c r="MMS8" s="500"/>
      <c r="MMT8" s="500"/>
      <c r="MMU8" s="500"/>
      <c r="MMV8" s="500"/>
      <c r="MMW8" s="500"/>
      <c r="MMX8" s="500"/>
      <c r="MMY8" s="500"/>
      <c r="MMZ8" s="500"/>
      <c r="MNA8" s="500"/>
      <c r="MNB8" s="500"/>
      <c r="MNC8" s="500"/>
      <c r="MND8" s="500"/>
      <c r="MNE8" s="500"/>
      <c r="MNF8" s="500"/>
      <c r="MNG8" s="500"/>
      <c r="MNH8" s="500"/>
      <c r="MNI8" s="500"/>
      <c r="MNJ8" s="500"/>
      <c r="MNK8" s="500"/>
      <c r="MNL8" s="500"/>
      <c r="MNM8" s="500"/>
      <c r="MNN8" s="500"/>
      <c r="MNO8" s="500"/>
      <c r="MNP8" s="500"/>
      <c r="MNQ8" s="500"/>
      <c r="MNR8" s="500"/>
      <c r="MNS8" s="500"/>
      <c r="MNT8" s="500"/>
      <c r="MNU8" s="500"/>
      <c r="MNV8" s="500"/>
      <c r="MNW8" s="500"/>
      <c r="MNX8" s="500"/>
      <c r="MNY8" s="500"/>
      <c r="MNZ8" s="500"/>
      <c r="MOA8" s="500"/>
      <c r="MOB8" s="500"/>
      <c r="MOC8" s="500"/>
      <c r="MOD8" s="500"/>
      <c r="MOE8" s="500"/>
      <c r="MOF8" s="500"/>
      <c r="MOG8" s="500"/>
      <c r="MOH8" s="500"/>
      <c r="MOI8" s="500"/>
      <c r="MOJ8" s="500"/>
      <c r="MOK8" s="500"/>
      <c r="MOL8" s="500"/>
      <c r="MOM8" s="500"/>
      <c r="MON8" s="500"/>
      <c r="MOO8" s="500"/>
      <c r="MOP8" s="500"/>
      <c r="MOQ8" s="500"/>
      <c r="MOR8" s="500"/>
      <c r="MOS8" s="500"/>
      <c r="MOT8" s="500"/>
      <c r="MOU8" s="500"/>
      <c r="MOV8" s="500"/>
      <c r="MOW8" s="500"/>
      <c r="MOX8" s="500"/>
      <c r="MOY8" s="500"/>
      <c r="MOZ8" s="500"/>
      <c r="MPA8" s="500"/>
      <c r="MPB8" s="500"/>
      <c r="MPC8" s="500"/>
      <c r="MPD8" s="500"/>
      <c r="MPE8" s="500"/>
      <c r="MPF8" s="500"/>
      <c r="MPG8" s="500"/>
      <c r="MPH8" s="500"/>
      <c r="MPI8" s="500"/>
      <c r="MPJ8" s="500"/>
      <c r="MPK8" s="500"/>
      <c r="MPL8" s="500"/>
      <c r="MPM8" s="500"/>
      <c r="MPN8" s="500"/>
      <c r="MPO8" s="500"/>
      <c r="MPP8" s="500"/>
      <c r="MPQ8" s="500"/>
      <c r="MPR8" s="500"/>
      <c r="MPS8" s="500"/>
      <c r="MPT8" s="500"/>
      <c r="MPU8" s="500"/>
      <c r="MPV8" s="500"/>
      <c r="MPW8" s="500"/>
      <c r="MPX8" s="500"/>
      <c r="MPY8" s="500"/>
      <c r="MPZ8" s="500"/>
      <c r="MQA8" s="500"/>
      <c r="MQB8" s="500"/>
      <c r="MQC8" s="500"/>
      <c r="MQD8" s="500"/>
      <c r="MQE8" s="500"/>
      <c r="MQF8" s="500"/>
      <c r="MQG8" s="500"/>
      <c r="MQH8" s="500"/>
      <c r="MQI8" s="500"/>
      <c r="MQJ8" s="500"/>
      <c r="MQK8" s="500"/>
      <c r="MQL8" s="500"/>
      <c r="MQM8" s="500"/>
      <c r="MQN8" s="500"/>
      <c r="MQO8" s="500"/>
      <c r="MQP8" s="500"/>
      <c r="MQQ8" s="500"/>
      <c r="MQR8" s="500"/>
      <c r="MQS8" s="500"/>
      <c r="MQT8" s="500"/>
      <c r="MQU8" s="500"/>
      <c r="MQV8" s="500"/>
      <c r="MQW8" s="500"/>
      <c r="MQX8" s="500"/>
      <c r="MQY8" s="500"/>
      <c r="MQZ8" s="500"/>
      <c r="MRA8" s="500"/>
      <c r="MRB8" s="500"/>
      <c r="MRC8" s="500"/>
      <c r="MRD8" s="500"/>
      <c r="MRE8" s="500"/>
      <c r="MRF8" s="500"/>
      <c r="MRG8" s="500"/>
      <c r="MRH8" s="500"/>
      <c r="MRI8" s="500"/>
      <c r="MRJ8" s="500"/>
      <c r="MRK8" s="500"/>
      <c r="MRL8" s="500"/>
      <c r="MRM8" s="500"/>
      <c r="MRN8" s="500"/>
      <c r="MRO8" s="500"/>
      <c r="MRP8" s="500"/>
      <c r="MRQ8" s="500"/>
      <c r="MRR8" s="500"/>
      <c r="MRS8" s="500"/>
      <c r="MRT8" s="500"/>
      <c r="MRU8" s="500"/>
      <c r="MRV8" s="500"/>
      <c r="MRW8" s="500"/>
      <c r="MRX8" s="500"/>
      <c r="MRY8" s="500"/>
      <c r="MRZ8" s="500"/>
      <c r="MSA8" s="500"/>
      <c r="MSB8" s="500"/>
      <c r="MSC8" s="500"/>
      <c r="MSD8" s="500"/>
      <c r="MSE8" s="500"/>
      <c r="MSF8" s="500"/>
      <c r="MSG8" s="500"/>
      <c r="MSH8" s="500"/>
      <c r="MSI8" s="500"/>
      <c r="MSJ8" s="500"/>
      <c r="MSK8" s="500"/>
      <c r="MSL8" s="500"/>
      <c r="MSM8" s="500"/>
      <c r="MSN8" s="500"/>
      <c r="MSO8" s="500"/>
      <c r="MSP8" s="500"/>
      <c r="MSQ8" s="500"/>
      <c r="MSR8" s="500"/>
      <c r="MSS8" s="500"/>
      <c r="MST8" s="500"/>
      <c r="MSU8" s="500"/>
      <c r="MSV8" s="500"/>
      <c r="MSW8" s="500"/>
      <c r="MSX8" s="500"/>
      <c r="MSY8" s="500"/>
      <c r="MSZ8" s="500"/>
      <c r="MTA8" s="500"/>
      <c r="MTB8" s="500"/>
      <c r="MTC8" s="500"/>
      <c r="MTD8" s="500"/>
      <c r="MTE8" s="500"/>
      <c r="MTF8" s="500"/>
      <c r="MTG8" s="500"/>
      <c r="MTH8" s="500"/>
      <c r="MTI8" s="500"/>
      <c r="MTJ8" s="500"/>
      <c r="MTK8" s="500"/>
      <c r="MTL8" s="500"/>
      <c r="MTM8" s="500"/>
      <c r="MTN8" s="500"/>
      <c r="MTO8" s="500"/>
      <c r="MTP8" s="500"/>
      <c r="MTQ8" s="500"/>
      <c r="MTR8" s="500"/>
      <c r="MTS8" s="500"/>
      <c r="MTT8" s="500"/>
      <c r="MTU8" s="500"/>
      <c r="MTV8" s="500"/>
      <c r="MTW8" s="500"/>
      <c r="MTX8" s="500"/>
      <c r="MTY8" s="500"/>
      <c r="MTZ8" s="500"/>
      <c r="MUA8" s="500"/>
      <c r="MUB8" s="500"/>
      <c r="MUC8" s="500"/>
      <c r="MUD8" s="500"/>
      <c r="MUE8" s="500"/>
      <c r="MUF8" s="500"/>
      <c r="MUG8" s="500"/>
      <c r="MUH8" s="500"/>
      <c r="MUI8" s="500"/>
      <c r="MUJ8" s="500"/>
      <c r="MUK8" s="500"/>
      <c r="MUL8" s="500"/>
      <c r="MUM8" s="500"/>
      <c r="MUN8" s="500"/>
      <c r="MUO8" s="500"/>
      <c r="MUP8" s="500"/>
      <c r="MUQ8" s="500"/>
      <c r="MUR8" s="500"/>
      <c r="MUS8" s="500"/>
      <c r="MUT8" s="500"/>
      <c r="MUU8" s="500"/>
      <c r="MUV8" s="500"/>
      <c r="MUW8" s="500"/>
      <c r="MUX8" s="500"/>
      <c r="MUY8" s="500"/>
      <c r="MUZ8" s="500"/>
      <c r="MVA8" s="500"/>
      <c r="MVB8" s="500"/>
      <c r="MVC8" s="500"/>
      <c r="MVD8" s="500"/>
      <c r="MVE8" s="500"/>
      <c r="MVF8" s="500"/>
      <c r="MVG8" s="500"/>
      <c r="MVH8" s="500"/>
      <c r="MVI8" s="500"/>
      <c r="MVJ8" s="500"/>
      <c r="MVK8" s="500"/>
      <c r="MVL8" s="500"/>
      <c r="MVM8" s="500"/>
      <c r="MVN8" s="500"/>
      <c r="MVO8" s="500"/>
      <c r="MVP8" s="500"/>
      <c r="MVQ8" s="500"/>
      <c r="MVR8" s="500"/>
      <c r="MVS8" s="500"/>
      <c r="MVT8" s="500"/>
      <c r="MVU8" s="500"/>
      <c r="MVV8" s="500"/>
      <c r="MVW8" s="500"/>
      <c r="MVX8" s="500"/>
      <c r="MVY8" s="500"/>
      <c r="MVZ8" s="500"/>
      <c r="MWA8" s="500"/>
      <c r="MWB8" s="500"/>
      <c r="MWC8" s="500"/>
      <c r="MWD8" s="500"/>
      <c r="MWE8" s="500"/>
      <c r="MWF8" s="500"/>
      <c r="MWG8" s="500"/>
      <c r="MWH8" s="500"/>
      <c r="MWI8" s="500"/>
      <c r="MWJ8" s="500"/>
      <c r="MWK8" s="500"/>
      <c r="MWL8" s="500"/>
      <c r="MWM8" s="500"/>
      <c r="MWN8" s="500"/>
      <c r="MWO8" s="500"/>
      <c r="MWP8" s="500"/>
      <c r="MWQ8" s="500"/>
      <c r="MWR8" s="500"/>
      <c r="MWS8" s="500"/>
      <c r="MWT8" s="500"/>
      <c r="MWU8" s="500"/>
      <c r="MWV8" s="500"/>
      <c r="MWW8" s="500"/>
      <c r="MWX8" s="500"/>
      <c r="MWY8" s="500"/>
      <c r="MWZ8" s="500"/>
      <c r="MXA8" s="500"/>
      <c r="MXB8" s="500"/>
      <c r="MXC8" s="500"/>
      <c r="MXD8" s="500"/>
      <c r="MXE8" s="500"/>
      <c r="MXF8" s="500"/>
      <c r="MXG8" s="500"/>
      <c r="MXH8" s="500"/>
      <c r="MXI8" s="500"/>
      <c r="MXJ8" s="500"/>
      <c r="MXK8" s="500"/>
      <c r="MXL8" s="500"/>
      <c r="MXM8" s="500"/>
      <c r="MXN8" s="500"/>
      <c r="MXO8" s="500"/>
      <c r="MXP8" s="500"/>
      <c r="MXQ8" s="500"/>
      <c r="MXR8" s="500"/>
      <c r="MXS8" s="500"/>
      <c r="MXT8" s="500"/>
      <c r="MXU8" s="500"/>
      <c r="MXV8" s="500"/>
      <c r="MXW8" s="500"/>
      <c r="MXX8" s="500"/>
      <c r="MXY8" s="500"/>
      <c r="MXZ8" s="500"/>
      <c r="MYA8" s="500"/>
      <c r="MYB8" s="500"/>
      <c r="MYC8" s="500"/>
      <c r="MYD8" s="500"/>
      <c r="MYE8" s="500"/>
      <c r="MYF8" s="500"/>
      <c r="MYG8" s="500"/>
      <c r="MYH8" s="500"/>
      <c r="MYI8" s="500"/>
      <c r="MYJ8" s="500"/>
      <c r="MYK8" s="500"/>
      <c r="MYL8" s="500"/>
      <c r="MYM8" s="500"/>
      <c r="MYN8" s="500"/>
      <c r="MYO8" s="500"/>
      <c r="MYP8" s="500"/>
      <c r="MYQ8" s="500"/>
      <c r="MYR8" s="500"/>
      <c r="MYS8" s="500"/>
      <c r="MYT8" s="500"/>
      <c r="MYU8" s="500"/>
      <c r="MYV8" s="500"/>
      <c r="MYW8" s="500"/>
      <c r="MYX8" s="500"/>
      <c r="MYY8" s="500"/>
      <c r="MYZ8" s="500"/>
      <c r="MZA8" s="500"/>
      <c r="MZB8" s="500"/>
      <c r="MZC8" s="500"/>
      <c r="MZD8" s="500"/>
      <c r="MZE8" s="500"/>
      <c r="MZF8" s="500"/>
      <c r="MZG8" s="500"/>
      <c r="MZH8" s="500"/>
      <c r="MZI8" s="500"/>
      <c r="MZJ8" s="500"/>
      <c r="MZK8" s="500"/>
      <c r="MZL8" s="500"/>
      <c r="MZM8" s="500"/>
      <c r="MZN8" s="500"/>
      <c r="MZO8" s="500"/>
      <c r="MZP8" s="500"/>
      <c r="MZQ8" s="500"/>
      <c r="MZR8" s="500"/>
      <c r="MZS8" s="500"/>
      <c r="MZT8" s="500"/>
      <c r="MZU8" s="500"/>
      <c r="MZV8" s="500"/>
      <c r="MZW8" s="500"/>
      <c r="MZX8" s="500"/>
      <c r="MZY8" s="500"/>
      <c r="MZZ8" s="500"/>
      <c r="NAA8" s="500"/>
      <c r="NAB8" s="500"/>
      <c r="NAC8" s="500"/>
      <c r="NAD8" s="500"/>
      <c r="NAE8" s="500"/>
      <c r="NAF8" s="500"/>
      <c r="NAG8" s="500"/>
      <c r="NAH8" s="500"/>
      <c r="NAI8" s="500"/>
      <c r="NAJ8" s="500"/>
      <c r="NAK8" s="500"/>
      <c r="NAL8" s="500"/>
      <c r="NAM8" s="500"/>
      <c r="NAN8" s="500"/>
      <c r="NAO8" s="500"/>
      <c r="NAP8" s="500"/>
      <c r="NAQ8" s="500"/>
      <c r="NAR8" s="500"/>
      <c r="NAS8" s="500"/>
      <c r="NAT8" s="500"/>
      <c r="NAU8" s="500"/>
      <c r="NAV8" s="500"/>
      <c r="NAW8" s="500"/>
      <c r="NAX8" s="500"/>
      <c r="NAY8" s="500"/>
      <c r="NAZ8" s="500"/>
      <c r="NBA8" s="500"/>
      <c r="NBB8" s="500"/>
      <c r="NBC8" s="500"/>
      <c r="NBD8" s="500"/>
      <c r="NBE8" s="500"/>
      <c r="NBF8" s="500"/>
      <c r="NBG8" s="500"/>
      <c r="NBH8" s="500"/>
      <c r="NBI8" s="500"/>
      <c r="NBJ8" s="500"/>
      <c r="NBK8" s="500"/>
      <c r="NBL8" s="500"/>
      <c r="NBM8" s="500"/>
      <c r="NBN8" s="500"/>
      <c r="NBO8" s="500"/>
      <c r="NBP8" s="500"/>
      <c r="NBQ8" s="500"/>
      <c r="NBR8" s="500"/>
      <c r="NBS8" s="500"/>
      <c r="NBT8" s="500"/>
      <c r="NBU8" s="500"/>
      <c r="NBV8" s="500"/>
      <c r="NBW8" s="500"/>
      <c r="NBX8" s="500"/>
      <c r="NBY8" s="500"/>
      <c r="NBZ8" s="500"/>
      <c r="NCA8" s="500"/>
      <c r="NCB8" s="500"/>
      <c r="NCC8" s="500"/>
      <c r="NCD8" s="500"/>
      <c r="NCE8" s="500"/>
      <c r="NCF8" s="500"/>
      <c r="NCG8" s="500"/>
      <c r="NCH8" s="500"/>
      <c r="NCI8" s="500"/>
      <c r="NCJ8" s="500"/>
      <c r="NCK8" s="500"/>
      <c r="NCL8" s="500"/>
      <c r="NCM8" s="500"/>
      <c r="NCN8" s="500"/>
      <c r="NCO8" s="500"/>
      <c r="NCP8" s="500"/>
      <c r="NCQ8" s="500"/>
      <c r="NCR8" s="500"/>
      <c r="NCS8" s="500"/>
      <c r="NCT8" s="500"/>
      <c r="NCU8" s="500"/>
      <c r="NCV8" s="500"/>
      <c r="NCW8" s="500"/>
      <c r="NCX8" s="500"/>
      <c r="NCY8" s="500"/>
      <c r="NCZ8" s="500"/>
      <c r="NDA8" s="500"/>
      <c r="NDB8" s="500"/>
      <c r="NDC8" s="500"/>
      <c r="NDD8" s="500"/>
      <c r="NDE8" s="500"/>
      <c r="NDF8" s="500"/>
      <c r="NDG8" s="500"/>
      <c r="NDH8" s="500"/>
      <c r="NDI8" s="500"/>
      <c r="NDJ8" s="500"/>
      <c r="NDK8" s="500"/>
      <c r="NDL8" s="500"/>
      <c r="NDM8" s="500"/>
      <c r="NDN8" s="500"/>
      <c r="NDO8" s="500"/>
      <c r="NDP8" s="500"/>
      <c r="NDQ8" s="500"/>
      <c r="NDR8" s="500"/>
      <c r="NDS8" s="500"/>
      <c r="NDT8" s="500"/>
      <c r="NDU8" s="500"/>
      <c r="NDV8" s="500"/>
      <c r="NDW8" s="500"/>
      <c r="NDX8" s="500"/>
      <c r="NDY8" s="500"/>
      <c r="NDZ8" s="500"/>
      <c r="NEA8" s="500"/>
      <c r="NEB8" s="500"/>
      <c r="NEC8" s="500"/>
      <c r="NED8" s="500"/>
      <c r="NEE8" s="500"/>
      <c r="NEF8" s="500"/>
      <c r="NEG8" s="500"/>
      <c r="NEH8" s="500"/>
      <c r="NEI8" s="500"/>
      <c r="NEJ8" s="500"/>
      <c r="NEK8" s="500"/>
      <c r="NEL8" s="500"/>
      <c r="NEM8" s="500"/>
      <c r="NEN8" s="500"/>
      <c r="NEO8" s="500"/>
      <c r="NEP8" s="500"/>
      <c r="NEQ8" s="500"/>
      <c r="NER8" s="500"/>
      <c r="NES8" s="500"/>
      <c r="NET8" s="500"/>
      <c r="NEU8" s="500"/>
      <c r="NEV8" s="500"/>
      <c r="NEW8" s="500"/>
      <c r="NEX8" s="500"/>
      <c r="NEY8" s="500"/>
      <c r="NEZ8" s="500"/>
      <c r="NFA8" s="500"/>
      <c r="NFB8" s="500"/>
      <c r="NFC8" s="500"/>
      <c r="NFD8" s="500"/>
      <c r="NFE8" s="500"/>
      <c r="NFF8" s="500"/>
      <c r="NFG8" s="500"/>
      <c r="NFH8" s="500"/>
      <c r="NFI8" s="500"/>
      <c r="NFJ8" s="500"/>
      <c r="NFK8" s="500"/>
      <c r="NFL8" s="500"/>
      <c r="NFM8" s="500"/>
      <c r="NFN8" s="500"/>
      <c r="NFO8" s="500"/>
      <c r="NFP8" s="500"/>
      <c r="NFQ8" s="500"/>
      <c r="NFR8" s="500"/>
      <c r="NFS8" s="500"/>
      <c r="NFT8" s="500"/>
      <c r="NFU8" s="500"/>
      <c r="NFV8" s="500"/>
      <c r="NFW8" s="500"/>
      <c r="NFX8" s="500"/>
      <c r="NFY8" s="500"/>
      <c r="NFZ8" s="500"/>
      <c r="NGA8" s="500"/>
      <c r="NGB8" s="500"/>
      <c r="NGC8" s="500"/>
      <c r="NGD8" s="500"/>
      <c r="NGE8" s="500"/>
      <c r="NGF8" s="500"/>
      <c r="NGG8" s="500"/>
      <c r="NGH8" s="500"/>
      <c r="NGI8" s="500"/>
      <c r="NGJ8" s="500"/>
      <c r="NGK8" s="500"/>
      <c r="NGL8" s="500"/>
      <c r="NGM8" s="500"/>
      <c r="NGN8" s="500"/>
      <c r="NGO8" s="500"/>
      <c r="NGP8" s="500"/>
      <c r="NGQ8" s="500"/>
      <c r="NGR8" s="500"/>
      <c r="NGS8" s="500"/>
      <c r="NGT8" s="500"/>
      <c r="NGU8" s="500"/>
      <c r="NGV8" s="500"/>
      <c r="NGW8" s="500"/>
      <c r="NGX8" s="500"/>
      <c r="NGY8" s="500"/>
      <c r="NGZ8" s="500"/>
      <c r="NHA8" s="500"/>
      <c r="NHB8" s="500"/>
      <c r="NHC8" s="500"/>
      <c r="NHD8" s="500"/>
      <c r="NHE8" s="500"/>
      <c r="NHF8" s="500"/>
      <c r="NHG8" s="500"/>
      <c r="NHH8" s="500"/>
      <c r="NHI8" s="500"/>
      <c r="NHJ8" s="500"/>
      <c r="NHK8" s="500"/>
      <c r="NHL8" s="500"/>
      <c r="NHM8" s="500"/>
      <c r="NHN8" s="500"/>
      <c r="NHO8" s="500"/>
      <c r="NHP8" s="500"/>
      <c r="NHQ8" s="500"/>
      <c r="NHR8" s="500"/>
      <c r="NHS8" s="500"/>
      <c r="NHT8" s="500"/>
      <c r="NHU8" s="500"/>
      <c r="NHV8" s="500"/>
      <c r="NHW8" s="500"/>
      <c r="NHX8" s="500"/>
      <c r="NHY8" s="500"/>
      <c r="NHZ8" s="500"/>
      <c r="NIA8" s="500"/>
      <c r="NIB8" s="500"/>
      <c r="NIC8" s="500"/>
      <c r="NID8" s="500"/>
      <c r="NIE8" s="500"/>
      <c r="NIF8" s="500"/>
      <c r="NIG8" s="500"/>
      <c r="NIH8" s="500"/>
      <c r="NII8" s="500"/>
      <c r="NIJ8" s="500"/>
      <c r="NIK8" s="500"/>
      <c r="NIL8" s="500"/>
      <c r="NIM8" s="500"/>
      <c r="NIN8" s="500"/>
      <c r="NIO8" s="500"/>
      <c r="NIP8" s="500"/>
      <c r="NIQ8" s="500"/>
      <c r="NIR8" s="500"/>
      <c r="NIS8" s="500"/>
      <c r="NIT8" s="500"/>
      <c r="NIU8" s="500"/>
      <c r="NIV8" s="500"/>
      <c r="NIW8" s="500"/>
      <c r="NIX8" s="500"/>
      <c r="NIY8" s="500"/>
      <c r="NIZ8" s="500"/>
      <c r="NJA8" s="500"/>
      <c r="NJB8" s="500"/>
      <c r="NJC8" s="500"/>
      <c r="NJD8" s="500"/>
      <c r="NJE8" s="500"/>
      <c r="NJF8" s="500"/>
      <c r="NJG8" s="500"/>
      <c r="NJH8" s="500"/>
      <c r="NJI8" s="500"/>
      <c r="NJJ8" s="500"/>
      <c r="NJK8" s="500"/>
      <c r="NJL8" s="500"/>
      <c r="NJM8" s="500"/>
      <c r="NJN8" s="500"/>
      <c r="NJO8" s="500"/>
      <c r="NJP8" s="500"/>
      <c r="NJQ8" s="500"/>
      <c r="NJR8" s="500"/>
      <c r="NJS8" s="500"/>
      <c r="NJT8" s="500"/>
      <c r="NJU8" s="500"/>
      <c r="NJV8" s="500"/>
      <c r="NJW8" s="500"/>
      <c r="NJX8" s="500"/>
      <c r="NJY8" s="500"/>
      <c r="NJZ8" s="500"/>
      <c r="NKA8" s="500"/>
      <c r="NKB8" s="500"/>
      <c r="NKC8" s="500"/>
      <c r="NKD8" s="500"/>
      <c r="NKE8" s="500"/>
      <c r="NKF8" s="500"/>
      <c r="NKG8" s="500"/>
      <c r="NKH8" s="500"/>
      <c r="NKI8" s="500"/>
      <c r="NKJ8" s="500"/>
      <c r="NKK8" s="500"/>
      <c r="NKL8" s="500"/>
      <c r="NKM8" s="500"/>
      <c r="NKN8" s="500"/>
      <c r="NKO8" s="500"/>
      <c r="NKP8" s="500"/>
      <c r="NKQ8" s="500"/>
      <c r="NKR8" s="500"/>
      <c r="NKS8" s="500"/>
      <c r="NKT8" s="500"/>
      <c r="NKU8" s="500"/>
      <c r="NKV8" s="500"/>
      <c r="NKW8" s="500"/>
      <c r="NKX8" s="500"/>
      <c r="NKY8" s="500"/>
      <c r="NKZ8" s="500"/>
      <c r="NLA8" s="500"/>
      <c r="NLB8" s="500"/>
      <c r="NLC8" s="500"/>
      <c r="NLD8" s="500"/>
      <c r="NLE8" s="500"/>
      <c r="NLF8" s="500"/>
      <c r="NLG8" s="500"/>
      <c r="NLH8" s="500"/>
      <c r="NLI8" s="500"/>
      <c r="NLJ8" s="500"/>
      <c r="NLK8" s="500"/>
      <c r="NLL8" s="500"/>
      <c r="NLM8" s="500"/>
      <c r="NLN8" s="500"/>
      <c r="NLO8" s="500"/>
      <c r="NLP8" s="500"/>
      <c r="NLQ8" s="500"/>
      <c r="NLR8" s="500"/>
      <c r="NLS8" s="500"/>
      <c r="NLT8" s="500"/>
      <c r="NLU8" s="500"/>
      <c r="NLV8" s="500"/>
      <c r="NLW8" s="500"/>
      <c r="NLX8" s="500"/>
      <c r="NLY8" s="500"/>
      <c r="NLZ8" s="500"/>
      <c r="NMA8" s="500"/>
      <c r="NMB8" s="500"/>
      <c r="NMC8" s="500"/>
      <c r="NMD8" s="500"/>
      <c r="NME8" s="500"/>
      <c r="NMF8" s="500"/>
      <c r="NMG8" s="500"/>
      <c r="NMH8" s="500"/>
      <c r="NMI8" s="500"/>
      <c r="NMJ8" s="500"/>
      <c r="NMK8" s="500"/>
      <c r="NML8" s="500"/>
      <c r="NMM8" s="500"/>
      <c r="NMN8" s="500"/>
      <c r="NMO8" s="500"/>
      <c r="NMP8" s="500"/>
      <c r="NMQ8" s="500"/>
      <c r="NMR8" s="500"/>
      <c r="NMS8" s="500"/>
      <c r="NMT8" s="500"/>
      <c r="NMU8" s="500"/>
      <c r="NMV8" s="500"/>
      <c r="NMW8" s="500"/>
      <c r="NMX8" s="500"/>
      <c r="NMY8" s="500"/>
      <c r="NMZ8" s="500"/>
      <c r="NNA8" s="500"/>
      <c r="NNB8" s="500"/>
      <c r="NNC8" s="500"/>
      <c r="NND8" s="500"/>
      <c r="NNE8" s="500"/>
      <c r="NNF8" s="500"/>
      <c r="NNG8" s="500"/>
      <c r="NNH8" s="500"/>
      <c r="NNI8" s="500"/>
      <c r="NNJ8" s="500"/>
      <c r="NNK8" s="500"/>
      <c r="NNL8" s="500"/>
      <c r="NNM8" s="500"/>
      <c r="NNN8" s="500"/>
      <c r="NNO8" s="500"/>
      <c r="NNP8" s="500"/>
      <c r="NNQ8" s="500"/>
      <c r="NNR8" s="500"/>
      <c r="NNS8" s="500"/>
      <c r="NNT8" s="500"/>
      <c r="NNU8" s="500"/>
      <c r="NNV8" s="500"/>
      <c r="NNW8" s="500"/>
      <c r="NNX8" s="500"/>
      <c r="NNY8" s="500"/>
      <c r="NNZ8" s="500"/>
      <c r="NOA8" s="500"/>
      <c r="NOB8" s="500"/>
      <c r="NOC8" s="500"/>
      <c r="NOD8" s="500"/>
      <c r="NOE8" s="500"/>
      <c r="NOF8" s="500"/>
      <c r="NOG8" s="500"/>
      <c r="NOH8" s="500"/>
      <c r="NOI8" s="500"/>
      <c r="NOJ8" s="500"/>
      <c r="NOK8" s="500"/>
      <c r="NOL8" s="500"/>
      <c r="NOM8" s="500"/>
      <c r="NON8" s="500"/>
      <c r="NOO8" s="500"/>
      <c r="NOP8" s="500"/>
      <c r="NOQ8" s="500"/>
      <c r="NOR8" s="500"/>
      <c r="NOS8" s="500"/>
      <c r="NOT8" s="500"/>
      <c r="NOU8" s="500"/>
      <c r="NOV8" s="500"/>
      <c r="NOW8" s="500"/>
      <c r="NOX8" s="500"/>
      <c r="NOY8" s="500"/>
      <c r="NOZ8" s="500"/>
      <c r="NPA8" s="500"/>
      <c r="NPB8" s="500"/>
      <c r="NPC8" s="500"/>
      <c r="NPD8" s="500"/>
      <c r="NPE8" s="500"/>
      <c r="NPF8" s="500"/>
      <c r="NPG8" s="500"/>
      <c r="NPH8" s="500"/>
      <c r="NPI8" s="500"/>
      <c r="NPJ8" s="500"/>
      <c r="NPK8" s="500"/>
      <c r="NPL8" s="500"/>
      <c r="NPM8" s="500"/>
      <c r="NPN8" s="500"/>
      <c r="NPO8" s="500"/>
      <c r="NPP8" s="500"/>
      <c r="NPQ8" s="500"/>
      <c r="NPR8" s="500"/>
      <c r="NPS8" s="500"/>
      <c r="NPT8" s="500"/>
      <c r="NPU8" s="500"/>
      <c r="NPV8" s="500"/>
      <c r="NPW8" s="500"/>
      <c r="NPX8" s="500"/>
      <c r="NPY8" s="500"/>
      <c r="NPZ8" s="500"/>
      <c r="NQA8" s="500"/>
      <c r="NQB8" s="500"/>
      <c r="NQC8" s="500"/>
      <c r="NQD8" s="500"/>
      <c r="NQE8" s="500"/>
      <c r="NQF8" s="500"/>
      <c r="NQG8" s="500"/>
      <c r="NQH8" s="500"/>
      <c r="NQI8" s="500"/>
      <c r="NQJ8" s="500"/>
      <c r="NQK8" s="500"/>
      <c r="NQL8" s="500"/>
      <c r="NQM8" s="500"/>
      <c r="NQN8" s="500"/>
      <c r="NQO8" s="500"/>
      <c r="NQP8" s="500"/>
      <c r="NQQ8" s="500"/>
      <c r="NQR8" s="500"/>
      <c r="NQS8" s="500"/>
      <c r="NQT8" s="500"/>
      <c r="NQU8" s="500"/>
      <c r="NQV8" s="500"/>
      <c r="NQW8" s="500"/>
      <c r="NQX8" s="500"/>
      <c r="NQY8" s="500"/>
      <c r="NQZ8" s="500"/>
      <c r="NRA8" s="500"/>
      <c r="NRB8" s="500"/>
      <c r="NRC8" s="500"/>
      <c r="NRD8" s="500"/>
      <c r="NRE8" s="500"/>
      <c r="NRF8" s="500"/>
      <c r="NRG8" s="500"/>
      <c r="NRH8" s="500"/>
      <c r="NRI8" s="500"/>
      <c r="NRJ8" s="500"/>
      <c r="NRK8" s="500"/>
      <c r="NRL8" s="500"/>
      <c r="NRM8" s="500"/>
      <c r="NRN8" s="500"/>
      <c r="NRO8" s="500"/>
      <c r="NRP8" s="500"/>
      <c r="NRQ8" s="500"/>
      <c r="NRR8" s="500"/>
      <c r="NRS8" s="500"/>
      <c r="NRT8" s="500"/>
      <c r="NRU8" s="500"/>
      <c r="NRV8" s="500"/>
      <c r="NRW8" s="500"/>
      <c r="NRX8" s="500"/>
      <c r="NRY8" s="500"/>
      <c r="NRZ8" s="500"/>
      <c r="NSA8" s="500"/>
      <c r="NSB8" s="500"/>
      <c r="NSC8" s="500"/>
      <c r="NSD8" s="500"/>
      <c r="NSE8" s="500"/>
      <c r="NSF8" s="500"/>
      <c r="NSG8" s="500"/>
      <c r="NSH8" s="500"/>
      <c r="NSI8" s="500"/>
      <c r="NSJ8" s="500"/>
      <c r="NSK8" s="500"/>
      <c r="NSL8" s="500"/>
      <c r="NSM8" s="500"/>
      <c r="NSN8" s="500"/>
      <c r="NSO8" s="500"/>
      <c r="NSP8" s="500"/>
      <c r="NSQ8" s="500"/>
      <c r="NSR8" s="500"/>
      <c r="NSS8" s="500"/>
      <c r="NST8" s="500"/>
      <c r="NSU8" s="500"/>
      <c r="NSV8" s="500"/>
      <c r="NSW8" s="500"/>
      <c r="NSX8" s="500"/>
      <c r="NSY8" s="500"/>
      <c r="NSZ8" s="500"/>
      <c r="NTA8" s="500"/>
      <c r="NTB8" s="500"/>
      <c r="NTC8" s="500"/>
      <c r="NTD8" s="500"/>
      <c r="NTE8" s="500"/>
      <c r="NTF8" s="500"/>
      <c r="NTG8" s="500"/>
      <c r="NTH8" s="500"/>
      <c r="NTI8" s="500"/>
      <c r="NTJ8" s="500"/>
      <c r="NTK8" s="500"/>
      <c r="NTL8" s="500"/>
      <c r="NTM8" s="500"/>
      <c r="NTN8" s="500"/>
      <c r="NTO8" s="500"/>
      <c r="NTP8" s="500"/>
      <c r="NTQ8" s="500"/>
      <c r="NTR8" s="500"/>
      <c r="NTS8" s="500"/>
      <c r="NTT8" s="500"/>
      <c r="NTU8" s="500"/>
      <c r="NTV8" s="500"/>
      <c r="NTW8" s="500"/>
      <c r="NTX8" s="500"/>
      <c r="NTY8" s="500"/>
      <c r="NTZ8" s="500"/>
      <c r="NUA8" s="500"/>
      <c r="NUB8" s="500"/>
      <c r="NUC8" s="500"/>
      <c r="NUD8" s="500"/>
      <c r="NUE8" s="500"/>
      <c r="NUF8" s="500"/>
      <c r="NUG8" s="500"/>
      <c r="NUH8" s="500"/>
      <c r="NUI8" s="500"/>
      <c r="NUJ8" s="500"/>
      <c r="NUK8" s="500"/>
      <c r="NUL8" s="500"/>
      <c r="NUM8" s="500"/>
      <c r="NUN8" s="500"/>
      <c r="NUO8" s="500"/>
      <c r="NUP8" s="500"/>
      <c r="NUQ8" s="500"/>
      <c r="NUR8" s="500"/>
      <c r="NUS8" s="500"/>
      <c r="NUT8" s="500"/>
      <c r="NUU8" s="500"/>
      <c r="NUV8" s="500"/>
      <c r="NUW8" s="500"/>
      <c r="NUX8" s="500"/>
      <c r="NUY8" s="500"/>
      <c r="NUZ8" s="500"/>
      <c r="NVA8" s="500"/>
      <c r="NVB8" s="500"/>
      <c r="NVC8" s="500"/>
      <c r="NVD8" s="500"/>
      <c r="NVE8" s="500"/>
      <c r="NVF8" s="500"/>
      <c r="NVG8" s="500"/>
      <c r="NVH8" s="500"/>
      <c r="NVI8" s="500"/>
      <c r="NVJ8" s="500"/>
      <c r="NVK8" s="500"/>
      <c r="NVL8" s="500"/>
      <c r="NVM8" s="500"/>
      <c r="NVN8" s="500"/>
      <c r="NVO8" s="500"/>
      <c r="NVP8" s="500"/>
      <c r="NVQ8" s="500"/>
      <c r="NVR8" s="500"/>
      <c r="NVS8" s="500"/>
      <c r="NVT8" s="500"/>
      <c r="NVU8" s="500"/>
      <c r="NVV8" s="500"/>
      <c r="NVW8" s="500"/>
      <c r="NVX8" s="500"/>
      <c r="NVY8" s="500"/>
      <c r="NVZ8" s="500"/>
      <c r="NWA8" s="500"/>
      <c r="NWB8" s="500"/>
      <c r="NWC8" s="500"/>
      <c r="NWD8" s="500"/>
      <c r="NWE8" s="500"/>
      <c r="NWF8" s="500"/>
      <c r="NWG8" s="500"/>
      <c r="NWH8" s="500"/>
      <c r="NWI8" s="500"/>
      <c r="NWJ8" s="500"/>
      <c r="NWK8" s="500"/>
      <c r="NWL8" s="500"/>
      <c r="NWM8" s="500"/>
      <c r="NWN8" s="500"/>
      <c r="NWO8" s="500"/>
      <c r="NWP8" s="500"/>
      <c r="NWQ8" s="500"/>
      <c r="NWR8" s="500"/>
      <c r="NWS8" s="500"/>
      <c r="NWT8" s="500"/>
      <c r="NWU8" s="500"/>
      <c r="NWV8" s="500"/>
      <c r="NWW8" s="500"/>
      <c r="NWX8" s="500"/>
      <c r="NWY8" s="500"/>
      <c r="NWZ8" s="500"/>
      <c r="NXA8" s="500"/>
      <c r="NXB8" s="500"/>
      <c r="NXC8" s="500"/>
      <c r="NXD8" s="500"/>
      <c r="NXE8" s="500"/>
      <c r="NXF8" s="500"/>
      <c r="NXG8" s="500"/>
      <c r="NXH8" s="500"/>
      <c r="NXI8" s="500"/>
      <c r="NXJ8" s="500"/>
      <c r="NXK8" s="500"/>
      <c r="NXL8" s="500"/>
      <c r="NXM8" s="500"/>
      <c r="NXN8" s="500"/>
      <c r="NXO8" s="500"/>
      <c r="NXP8" s="500"/>
      <c r="NXQ8" s="500"/>
      <c r="NXR8" s="500"/>
      <c r="NXS8" s="500"/>
      <c r="NXT8" s="500"/>
      <c r="NXU8" s="500"/>
      <c r="NXV8" s="500"/>
      <c r="NXW8" s="500"/>
      <c r="NXX8" s="500"/>
      <c r="NXY8" s="500"/>
      <c r="NXZ8" s="500"/>
      <c r="NYA8" s="500"/>
      <c r="NYB8" s="500"/>
      <c r="NYC8" s="500"/>
      <c r="NYD8" s="500"/>
      <c r="NYE8" s="500"/>
      <c r="NYF8" s="500"/>
      <c r="NYG8" s="500"/>
      <c r="NYH8" s="500"/>
      <c r="NYI8" s="500"/>
      <c r="NYJ8" s="500"/>
      <c r="NYK8" s="500"/>
      <c r="NYL8" s="500"/>
      <c r="NYM8" s="500"/>
      <c r="NYN8" s="500"/>
      <c r="NYO8" s="500"/>
      <c r="NYP8" s="500"/>
      <c r="NYQ8" s="500"/>
      <c r="NYR8" s="500"/>
      <c r="NYS8" s="500"/>
      <c r="NYT8" s="500"/>
      <c r="NYU8" s="500"/>
      <c r="NYV8" s="500"/>
      <c r="NYW8" s="500"/>
      <c r="NYX8" s="500"/>
      <c r="NYY8" s="500"/>
      <c r="NYZ8" s="500"/>
      <c r="NZA8" s="500"/>
      <c r="NZB8" s="500"/>
      <c r="NZC8" s="500"/>
      <c r="NZD8" s="500"/>
      <c r="NZE8" s="500"/>
      <c r="NZF8" s="500"/>
      <c r="NZG8" s="500"/>
      <c r="NZH8" s="500"/>
      <c r="NZI8" s="500"/>
      <c r="NZJ8" s="500"/>
      <c r="NZK8" s="500"/>
      <c r="NZL8" s="500"/>
      <c r="NZM8" s="500"/>
      <c r="NZN8" s="500"/>
      <c r="NZO8" s="500"/>
      <c r="NZP8" s="500"/>
      <c r="NZQ8" s="500"/>
      <c r="NZR8" s="500"/>
      <c r="NZS8" s="500"/>
      <c r="NZT8" s="500"/>
      <c r="NZU8" s="500"/>
      <c r="NZV8" s="500"/>
      <c r="NZW8" s="500"/>
      <c r="NZX8" s="500"/>
      <c r="NZY8" s="500"/>
      <c r="NZZ8" s="500"/>
      <c r="OAA8" s="500"/>
      <c r="OAB8" s="500"/>
      <c r="OAC8" s="500"/>
      <c r="OAD8" s="500"/>
      <c r="OAE8" s="500"/>
      <c r="OAF8" s="500"/>
      <c r="OAG8" s="500"/>
      <c r="OAH8" s="500"/>
      <c r="OAI8" s="500"/>
      <c r="OAJ8" s="500"/>
      <c r="OAK8" s="500"/>
      <c r="OAL8" s="500"/>
      <c r="OAM8" s="500"/>
      <c r="OAN8" s="500"/>
      <c r="OAO8" s="500"/>
      <c r="OAP8" s="500"/>
      <c r="OAQ8" s="500"/>
      <c r="OAR8" s="500"/>
      <c r="OAS8" s="500"/>
      <c r="OAT8" s="500"/>
      <c r="OAU8" s="500"/>
      <c r="OAV8" s="500"/>
      <c r="OAW8" s="500"/>
      <c r="OAX8" s="500"/>
      <c r="OAY8" s="500"/>
      <c r="OAZ8" s="500"/>
      <c r="OBA8" s="500"/>
      <c r="OBB8" s="500"/>
      <c r="OBC8" s="500"/>
      <c r="OBD8" s="500"/>
      <c r="OBE8" s="500"/>
      <c r="OBF8" s="500"/>
      <c r="OBG8" s="500"/>
      <c r="OBH8" s="500"/>
      <c r="OBI8" s="500"/>
      <c r="OBJ8" s="500"/>
      <c r="OBK8" s="500"/>
      <c r="OBL8" s="500"/>
      <c r="OBM8" s="500"/>
      <c r="OBN8" s="500"/>
      <c r="OBO8" s="500"/>
      <c r="OBP8" s="500"/>
      <c r="OBQ8" s="500"/>
      <c r="OBR8" s="500"/>
      <c r="OBS8" s="500"/>
      <c r="OBT8" s="500"/>
      <c r="OBU8" s="500"/>
      <c r="OBV8" s="500"/>
      <c r="OBW8" s="500"/>
      <c r="OBX8" s="500"/>
      <c r="OBY8" s="500"/>
      <c r="OBZ8" s="500"/>
      <c r="OCA8" s="500"/>
      <c r="OCB8" s="500"/>
      <c r="OCC8" s="500"/>
      <c r="OCD8" s="500"/>
      <c r="OCE8" s="500"/>
      <c r="OCF8" s="500"/>
      <c r="OCG8" s="500"/>
      <c r="OCH8" s="500"/>
      <c r="OCI8" s="500"/>
      <c r="OCJ8" s="500"/>
      <c r="OCK8" s="500"/>
      <c r="OCL8" s="500"/>
      <c r="OCM8" s="500"/>
      <c r="OCN8" s="500"/>
      <c r="OCO8" s="500"/>
      <c r="OCP8" s="500"/>
      <c r="OCQ8" s="500"/>
      <c r="OCR8" s="500"/>
      <c r="OCS8" s="500"/>
      <c r="OCT8" s="500"/>
      <c r="OCU8" s="500"/>
      <c r="OCV8" s="500"/>
      <c r="OCW8" s="500"/>
      <c r="OCX8" s="500"/>
      <c r="OCY8" s="500"/>
      <c r="OCZ8" s="500"/>
      <c r="ODA8" s="500"/>
      <c r="ODB8" s="500"/>
      <c r="ODC8" s="500"/>
      <c r="ODD8" s="500"/>
      <c r="ODE8" s="500"/>
      <c r="ODF8" s="500"/>
      <c r="ODG8" s="500"/>
      <c r="ODH8" s="500"/>
      <c r="ODI8" s="500"/>
      <c r="ODJ8" s="500"/>
      <c r="ODK8" s="500"/>
      <c r="ODL8" s="500"/>
      <c r="ODM8" s="500"/>
      <c r="ODN8" s="500"/>
      <c r="ODO8" s="500"/>
      <c r="ODP8" s="500"/>
      <c r="ODQ8" s="500"/>
      <c r="ODR8" s="500"/>
      <c r="ODS8" s="500"/>
      <c r="ODT8" s="500"/>
      <c r="ODU8" s="500"/>
      <c r="ODV8" s="500"/>
      <c r="ODW8" s="500"/>
      <c r="ODX8" s="500"/>
      <c r="ODY8" s="500"/>
      <c r="ODZ8" s="500"/>
      <c r="OEA8" s="500"/>
      <c r="OEB8" s="500"/>
      <c r="OEC8" s="500"/>
      <c r="OED8" s="500"/>
      <c r="OEE8" s="500"/>
      <c r="OEF8" s="500"/>
      <c r="OEG8" s="500"/>
      <c r="OEH8" s="500"/>
      <c r="OEI8" s="500"/>
      <c r="OEJ8" s="500"/>
      <c r="OEK8" s="500"/>
      <c r="OEL8" s="500"/>
      <c r="OEM8" s="500"/>
      <c r="OEN8" s="500"/>
      <c r="OEO8" s="500"/>
      <c r="OEP8" s="500"/>
      <c r="OEQ8" s="500"/>
      <c r="OER8" s="500"/>
      <c r="OES8" s="500"/>
      <c r="OET8" s="500"/>
      <c r="OEU8" s="500"/>
      <c r="OEV8" s="500"/>
      <c r="OEW8" s="500"/>
      <c r="OEX8" s="500"/>
      <c r="OEY8" s="500"/>
      <c r="OEZ8" s="500"/>
      <c r="OFA8" s="500"/>
      <c r="OFB8" s="500"/>
      <c r="OFC8" s="500"/>
      <c r="OFD8" s="500"/>
      <c r="OFE8" s="500"/>
      <c r="OFF8" s="500"/>
      <c r="OFG8" s="500"/>
      <c r="OFH8" s="500"/>
      <c r="OFI8" s="500"/>
      <c r="OFJ8" s="500"/>
      <c r="OFK8" s="500"/>
      <c r="OFL8" s="500"/>
      <c r="OFM8" s="500"/>
      <c r="OFN8" s="500"/>
      <c r="OFO8" s="500"/>
      <c r="OFP8" s="500"/>
      <c r="OFQ8" s="500"/>
      <c r="OFR8" s="500"/>
      <c r="OFS8" s="500"/>
      <c r="OFT8" s="500"/>
      <c r="OFU8" s="500"/>
      <c r="OFV8" s="500"/>
      <c r="OFW8" s="500"/>
      <c r="OFX8" s="500"/>
      <c r="OFY8" s="500"/>
      <c r="OFZ8" s="500"/>
      <c r="OGA8" s="500"/>
      <c r="OGB8" s="500"/>
      <c r="OGC8" s="500"/>
      <c r="OGD8" s="500"/>
      <c r="OGE8" s="500"/>
      <c r="OGF8" s="500"/>
      <c r="OGG8" s="500"/>
      <c r="OGH8" s="500"/>
      <c r="OGI8" s="500"/>
      <c r="OGJ8" s="500"/>
      <c r="OGK8" s="500"/>
      <c r="OGL8" s="500"/>
      <c r="OGM8" s="500"/>
      <c r="OGN8" s="500"/>
      <c r="OGO8" s="500"/>
      <c r="OGP8" s="500"/>
      <c r="OGQ8" s="500"/>
      <c r="OGR8" s="500"/>
      <c r="OGS8" s="500"/>
      <c r="OGT8" s="500"/>
      <c r="OGU8" s="500"/>
      <c r="OGV8" s="500"/>
      <c r="OGW8" s="500"/>
      <c r="OGX8" s="500"/>
      <c r="OGY8" s="500"/>
      <c r="OGZ8" s="500"/>
      <c r="OHA8" s="500"/>
      <c r="OHB8" s="500"/>
      <c r="OHC8" s="500"/>
      <c r="OHD8" s="500"/>
      <c r="OHE8" s="500"/>
      <c r="OHF8" s="500"/>
      <c r="OHG8" s="500"/>
      <c r="OHH8" s="500"/>
      <c r="OHI8" s="500"/>
      <c r="OHJ8" s="500"/>
      <c r="OHK8" s="500"/>
      <c r="OHL8" s="500"/>
      <c r="OHM8" s="500"/>
      <c r="OHN8" s="500"/>
      <c r="OHO8" s="500"/>
      <c r="OHP8" s="500"/>
      <c r="OHQ8" s="500"/>
      <c r="OHR8" s="500"/>
      <c r="OHS8" s="500"/>
      <c r="OHT8" s="500"/>
      <c r="OHU8" s="500"/>
      <c r="OHV8" s="500"/>
      <c r="OHW8" s="500"/>
      <c r="OHX8" s="500"/>
      <c r="OHY8" s="500"/>
      <c r="OHZ8" s="500"/>
      <c r="OIA8" s="500"/>
      <c r="OIB8" s="500"/>
      <c r="OIC8" s="500"/>
      <c r="OID8" s="500"/>
      <c r="OIE8" s="500"/>
      <c r="OIF8" s="500"/>
      <c r="OIG8" s="500"/>
      <c r="OIH8" s="500"/>
      <c r="OII8" s="500"/>
      <c r="OIJ8" s="500"/>
      <c r="OIK8" s="500"/>
      <c r="OIL8" s="500"/>
      <c r="OIM8" s="500"/>
      <c r="OIN8" s="500"/>
      <c r="OIO8" s="500"/>
      <c r="OIP8" s="500"/>
      <c r="OIQ8" s="500"/>
      <c r="OIR8" s="500"/>
      <c r="OIS8" s="500"/>
      <c r="OIT8" s="500"/>
      <c r="OIU8" s="500"/>
      <c r="OIV8" s="500"/>
      <c r="OIW8" s="500"/>
      <c r="OIX8" s="500"/>
      <c r="OIY8" s="500"/>
      <c r="OIZ8" s="500"/>
      <c r="OJA8" s="500"/>
      <c r="OJB8" s="500"/>
      <c r="OJC8" s="500"/>
      <c r="OJD8" s="500"/>
      <c r="OJE8" s="500"/>
      <c r="OJF8" s="500"/>
      <c r="OJG8" s="500"/>
      <c r="OJH8" s="500"/>
      <c r="OJI8" s="500"/>
      <c r="OJJ8" s="500"/>
      <c r="OJK8" s="500"/>
      <c r="OJL8" s="500"/>
      <c r="OJM8" s="500"/>
      <c r="OJN8" s="500"/>
      <c r="OJO8" s="500"/>
      <c r="OJP8" s="500"/>
      <c r="OJQ8" s="500"/>
      <c r="OJR8" s="500"/>
      <c r="OJS8" s="500"/>
      <c r="OJT8" s="500"/>
      <c r="OJU8" s="500"/>
      <c r="OJV8" s="500"/>
      <c r="OJW8" s="500"/>
      <c r="OJX8" s="500"/>
      <c r="OJY8" s="500"/>
      <c r="OJZ8" s="500"/>
      <c r="OKA8" s="500"/>
      <c r="OKB8" s="500"/>
      <c r="OKC8" s="500"/>
      <c r="OKD8" s="500"/>
      <c r="OKE8" s="500"/>
      <c r="OKF8" s="500"/>
      <c r="OKG8" s="500"/>
      <c r="OKH8" s="500"/>
      <c r="OKI8" s="500"/>
      <c r="OKJ8" s="500"/>
      <c r="OKK8" s="500"/>
      <c r="OKL8" s="500"/>
      <c r="OKM8" s="500"/>
      <c r="OKN8" s="500"/>
      <c r="OKO8" s="500"/>
      <c r="OKP8" s="500"/>
      <c r="OKQ8" s="500"/>
      <c r="OKR8" s="500"/>
      <c r="OKS8" s="500"/>
      <c r="OKT8" s="500"/>
      <c r="OKU8" s="500"/>
      <c r="OKV8" s="500"/>
      <c r="OKW8" s="500"/>
      <c r="OKX8" s="500"/>
      <c r="OKY8" s="500"/>
      <c r="OKZ8" s="500"/>
      <c r="OLA8" s="500"/>
      <c r="OLB8" s="500"/>
      <c r="OLC8" s="500"/>
      <c r="OLD8" s="500"/>
      <c r="OLE8" s="500"/>
      <c r="OLF8" s="500"/>
      <c r="OLG8" s="500"/>
      <c r="OLH8" s="500"/>
      <c r="OLI8" s="500"/>
      <c r="OLJ8" s="500"/>
      <c r="OLK8" s="500"/>
      <c r="OLL8" s="500"/>
      <c r="OLM8" s="500"/>
      <c r="OLN8" s="500"/>
      <c r="OLO8" s="500"/>
      <c r="OLP8" s="500"/>
      <c r="OLQ8" s="500"/>
      <c r="OLR8" s="500"/>
      <c r="OLS8" s="500"/>
      <c r="OLT8" s="500"/>
      <c r="OLU8" s="500"/>
      <c r="OLV8" s="500"/>
      <c r="OLW8" s="500"/>
      <c r="OLX8" s="500"/>
      <c r="OLY8" s="500"/>
      <c r="OLZ8" s="500"/>
      <c r="OMA8" s="500"/>
      <c r="OMB8" s="500"/>
      <c r="OMC8" s="500"/>
      <c r="OMD8" s="500"/>
      <c r="OME8" s="500"/>
      <c r="OMF8" s="500"/>
      <c r="OMG8" s="500"/>
      <c r="OMH8" s="500"/>
      <c r="OMI8" s="500"/>
      <c r="OMJ8" s="500"/>
      <c r="OMK8" s="500"/>
      <c r="OML8" s="500"/>
      <c r="OMM8" s="500"/>
      <c r="OMN8" s="500"/>
      <c r="OMO8" s="500"/>
      <c r="OMP8" s="500"/>
      <c r="OMQ8" s="500"/>
      <c r="OMR8" s="500"/>
      <c r="OMS8" s="500"/>
      <c r="OMT8" s="500"/>
      <c r="OMU8" s="500"/>
      <c r="OMV8" s="500"/>
      <c r="OMW8" s="500"/>
      <c r="OMX8" s="500"/>
      <c r="OMY8" s="500"/>
      <c r="OMZ8" s="500"/>
      <c r="ONA8" s="500"/>
      <c r="ONB8" s="500"/>
      <c r="ONC8" s="500"/>
      <c r="OND8" s="500"/>
      <c r="ONE8" s="500"/>
      <c r="ONF8" s="500"/>
      <c r="ONG8" s="500"/>
      <c r="ONH8" s="500"/>
      <c r="ONI8" s="500"/>
      <c r="ONJ8" s="500"/>
      <c r="ONK8" s="500"/>
      <c r="ONL8" s="500"/>
      <c r="ONM8" s="500"/>
      <c r="ONN8" s="500"/>
      <c r="ONO8" s="500"/>
      <c r="ONP8" s="500"/>
      <c r="ONQ8" s="500"/>
      <c r="ONR8" s="500"/>
      <c r="ONS8" s="500"/>
      <c r="ONT8" s="500"/>
      <c r="ONU8" s="500"/>
      <c r="ONV8" s="500"/>
      <c r="ONW8" s="500"/>
      <c r="ONX8" s="500"/>
      <c r="ONY8" s="500"/>
      <c r="ONZ8" s="500"/>
      <c r="OOA8" s="500"/>
      <c r="OOB8" s="500"/>
      <c r="OOC8" s="500"/>
      <c r="OOD8" s="500"/>
      <c r="OOE8" s="500"/>
      <c r="OOF8" s="500"/>
      <c r="OOG8" s="500"/>
      <c r="OOH8" s="500"/>
      <c r="OOI8" s="500"/>
      <c r="OOJ8" s="500"/>
      <c r="OOK8" s="500"/>
      <c r="OOL8" s="500"/>
      <c r="OOM8" s="500"/>
      <c r="OON8" s="500"/>
      <c r="OOO8" s="500"/>
      <c r="OOP8" s="500"/>
      <c r="OOQ8" s="500"/>
      <c r="OOR8" s="500"/>
      <c r="OOS8" s="500"/>
      <c r="OOT8" s="500"/>
      <c r="OOU8" s="500"/>
      <c r="OOV8" s="500"/>
      <c r="OOW8" s="500"/>
      <c r="OOX8" s="500"/>
      <c r="OOY8" s="500"/>
      <c r="OOZ8" s="500"/>
      <c r="OPA8" s="500"/>
      <c r="OPB8" s="500"/>
      <c r="OPC8" s="500"/>
      <c r="OPD8" s="500"/>
      <c r="OPE8" s="500"/>
      <c r="OPF8" s="500"/>
      <c r="OPG8" s="500"/>
      <c r="OPH8" s="500"/>
      <c r="OPI8" s="500"/>
      <c r="OPJ8" s="500"/>
      <c r="OPK8" s="500"/>
      <c r="OPL8" s="500"/>
      <c r="OPM8" s="500"/>
      <c r="OPN8" s="500"/>
      <c r="OPO8" s="500"/>
      <c r="OPP8" s="500"/>
      <c r="OPQ8" s="500"/>
      <c r="OPR8" s="500"/>
      <c r="OPS8" s="500"/>
      <c r="OPT8" s="500"/>
      <c r="OPU8" s="500"/>
      <c r="OPV8" s="500"/>
      <c r="OPW8" s="500"/>
      <c r="OPX8" s="500"/>
      <c r="OPY8" s="500"/>
      <c r="OPZ8" s="500"/>
      <c r="OQA8" s="500"/>
      <c r="OQB8" s="500"/>
      <c r="OQC8" s="500"/>
      <c r="OQD8" s="500"/>
      <c r="OQE8" s="500"/>
      <c r="OQF8" s="500"/>
      <c r="OQG8" s="500"/>
      <c r="OQH8" s="500"/>
      <c r="OQI8" s="500"/>
      <c r="OQJ8" s="500"/>
      <c r="OQK8" s="500"/>
      <c r="OQL8" s="500"/>
      <c r="OQM8" s="500"/>
      <c r="OQN8" s="500"/>
      <c r="OQO8" s="500"/>
      <c r="OQP8" s="500"/>
      <c r="OQQ8" s="500"/>
      <c r="OQR8" s="500"/>
      <c r="OQS8" s="500"/>
      <c r="OQT8" s="500"/>
      <c r="OQU8" s="500"/>
      <c r="OQV8" s="500"/>
      <c r="OQW8" s="500"/>
      <c r="OQX8" s="500"/>
      <c r="OQY8" s="500"/>
      <c r="OQZ8" s="500"/>
      <c r="ORA8" s="500"/>
      <c r="ORB8" s="500"/>
      <c r="ORC8" s="500"/>
      <c r="ORD8" s="500"/>
      <c r="ORE8" s="500"/>
      <c r="ORF8" s="500"/>
      <c r="ORG8" s="500"/>
      <c r="ORH8" s="500"/>
      <c r="ORI8" s="500"/>
      <c r="ORJ8" s="500"/>
      <c r="ORK8" s="500"/>
      <c r="ORL8" s="500"/>
      <c r="ORM8" s="500"/>
      <c r="ORN8" s="500"/>
      <c r="ORO8" s="500"/>
      <c r="ORP8" s="500"/>
      <c r="ORQ8" s="500"/>
      <c r="ORR8" s="500"/>
      <c r="ORS8" s="500"/>
      <c r="ORT8" s="500"/>
      <c r="ORU8" s="500"/>
      <c r="ORV8" s="500"/>
      <c r="ORW8" s="500"/>
      <c r="ORX8" s="500"/>
      <c r="ORY8" s="500"/>
      <c r="ORZ8" s="500"/>
      <c r="OSA8" s="500"/>
      <c r="OSB8" s="500"/>
      <c r="OSC8" s="500"/>
      <c r="OSD8" s="500"/>
      <c r="OSE8" s="500"/>
      <c r="OSF8" s="500"/>
      <c r="OSG8" s="500"/>
      <c r="OSH8" s="500"/>
      <c r="OSI8" s="500"/>
      <c r="OSJ8" s="500"/>
      <c r="OSK8" s="500"/>
      <c r="OSL8" s="500"/>
      <c r="OSM8" s="500"/>
      <c r="OSN8" s="500"/>
      <c r="OSO8" s="500"/>
      <c r="OSP8" s="500"/>
      <c r="OSQ8" s="500"/>
      <c r="OSR8" s="500"/>
      <c r="OSS8" s="500"/>
      <c r="OST8" s="500"/>
      <c r="OSU8" s="500"/>
      <c r="OSV8" s="500"/>
      <c r="OSW8" s="500"/>
      <c r="OSX8" s="500"/>
      <c r="OSY8" s="500"/>
      <c r="OSZ8" s="500"/>
      <c r="OTA8" s="500"/>
      <c r="OTB8" s="500"/>
      <c r="OTC8" s="500"/>
      <c r="OTD8" s="500"/>
      <c r="OTE8" s="500"/>
      <c r="OTF8" s="500"/>
      <c r="OTG8" s="500"/>
      <c r="OTH8" s="500"/>
      <c r="OTI8" s="500"/>
      <c r="OTJ8" s="500"/>
      <c r="OTK8" s="500"/>
      <c r="OTL8" s="500"/>
      <c r="OTM8" s="500"/>
      <c r="OTN8" s="500"/>
      <c r="OTO8" s="500"/>
      <c r="OTP8" s="500"/>
      <c r="OTQ8" s="500"/>
      <c r="OTR8" s="500"/>
      <c r="OTS8" s="500"/>
      <c r="OTT8" s="500"/>
      <c r="OTU8" s="500"/>
      <c r="OTV8" s="500"/>
      <c r="OTW8" s="500"/>
      <c r="OTX8" s="500"/>
      <c r="OTY8" s="500"/>
      <c r="OTZ8" s="500"/>
      <c r="OUA8" s="500"/>
      <c r="OUB8" s="500"/>
      <c r="OUC8" s="500"/>
      <c r="OUD8" s="500"/>
      <c r="OUE8" s="500"/>
      <c r="OUF8" s="500"/>
      <c r="OUG8" s="500"/>
      <c r="OUH8" s="500"/>
      <c r="OUI8" s="500"/>
      <c r="OUJ8" s="500"/>
      <c r="OUK8" s="500"/>
      <c r="OUL8" s="500"/>
      <c r="OUM8" s="500"/>
      <c r="OUN8" s="500"/>
      <c r="OUO8" s="500"/>
      <c r="OUP8" s="500"/>
      <c r="OUQ8" s="500"/>
      <c r="OUR8" s="500"/>
      <c r="OUS8" s="500"/>
      <c r="OUT8" s="500"/>
      <c r="OUU8" s="500"/>
      <c r="OUV8" s="500"/>
      <c r="OUW8" s="500"/>
      <c r="OUX8" s="500"/>
      <c r="OUY8" s="500"/>
      <c r="OUZ8" s="500"/>
      <c r="OVA8" s="500"/>
      <c r="OVB8" s="500"/>
      <c r="OVC8" s="500"/>
      <c r="OVD8" s="500"/>
      <c r="OVE8" s="500"/>
      <c r="OVF8" s="500"/>
      <c r="OVG8" s="500"/>
      <c r="OVH8" s="500"/>
      <c r="OVI8" s="500"/>
      <c r="OVJ8" s="500"/>
      <c r="OVK8" s="500"/>
      <c r="OVL8" s="500"/>
      <c r="OVM8" s="500"/>
      <c r="OVN8" s="500"/>
      <c r="OVO8" s="500"/>
      <c r="OVP8" s="500"/>
      <c r="OVQ8" s="500"/>
      <c r="OVR8" s="500"/>
      <c r="OVS8" s="500"/>
      <c r="OVT8" s="500"/>
      <c r="OVU8" s="500"/>
      <c r="OVV8" s="500"/>
      <c r="OVW8" s="500"/>
      <c r="OVX8" s="500"/>
      <c r="OVY8" s="500"/>
      <c r="OVZ8" s="500"/>
      <c r="OWA8" s="500"/>
      <c r="OWB8" s="500"/>
      <c r="OWC8" s="500"/>
      <c r="OWD8" s="500"/>
      <c r="OWE8" s="500"/>
      <c r="OWF8" s="500"/>
      <c r="OWG8" s="500"/>
      <c r="OWH8" s="500"/>
      <c r="OWI8" s="500"/>
      <c r="OWJ8" s="500"/>
      <c r="OWK8" s="500"/>
      <c r="OWL8" s="500"/>
      <c r="OWM8" s="500"/>
      <c r="OWN8" s="500"/>
      <c r="OWO8" s="500"/>
      <c r="OWP8" s="500"/>
      <c r="OWQ8" s="500"/>
      <c r="OWR8" s="500"/>
      <c r="OWS8" s="500"/>
      <c r="OWT8" s="500"/>
      <c r="OWU8" s="500"/>
      <c r="OWV8" s="500"/>
      <c r="OWW8" s="500"/>
      <c r="OWX8" s="500"/>
      <c r="OWY8" s="500"/>
      <c r="OWZ8" s="500"/>
      <c r="OXA8" s="500"/>
      <c r="OXB8" s="500"/>
      <c r="OXC8" s="500"/>
      <c r="OXD8" s="500"/>
      <c r="OXE8" s="500"/>
      <c r="OXF8" s="500"/>
      <c r="OXG8" s="500"/>
      <c r="OXH8" s="500"/>
      <c r="OXI8" s="500"/>
      <c r="OXJ8" s="500"/>
      <c r="OXK8" s="500"/>
      <c r="OXL8" s="500"/>
      <c r="OXM8" s="500"/>
      <c r="OXN8" s="500"/>
      <c r="OXO8" s="500"/>
      <c r="OXP8" s="500"/>
      <c r="OXQ8" s="500"/>
      <c r="OXR8" s="500"/>
      <c r="OXS8" s="500"/>
      <c r="OXT8" s="500"/>
      <c r="OXU8" s="500"/>
      <c r="OXV8" s="500"/>
      <c r="OXW8" s="500"/>
      <c r="OXX8" s="500"/>
      <c r="OXY8" s="500"/>
      <c r="OXZ8" s="500"/>
      <c r="OYA8" s="500"/>
      <c r="OYB8" s="500"/>
      <c r="OYC8" s="500"/>
      <c r="OYD8" s="500"/>
      <c r="OYE8" s="500"/>
      <c r="OYF8" s="500"/>
      <c r="OYG8" s="500"/>
      <c r="OYH8" s="500"/>
      <c r="OYI8" s="500"/>
      <c r="OYJ8" s="500"/>
      <c r="OYK8" s="500"/>
      <c r="OYL8" s="500"/>
      <c r="OYM8" s="500"/>
      <c r="OYN8" s="500"/>
      <c r="OYO8" s="500"/>
      <c r="OYP8" s="500"/>
      <c r="OYQ8" s="500"/>
      <c r="OYR8" s="500"/>
      <c r="OYS8" s="500"/>
      <c r="OYT8" s="500"/>
      <c r="OYU8" s="500"/>
      <c r="OYV8" s="500"/>
      <c r="OYW8" s="500"/>
      <c r="OYX8" s="500"/>
      <c r="OYY8" s="500"/>
      <c r="OYZ8" s="500"/>
      <c r="OZA8" s="500"/>
      <c r="OZB8" s="500"/>
      <c r="OZC8" s="500"/>
      <c r="OZD8" s="500"/>
      <c r="OZE8" s="500"/>
      <c r="OZF8" s="500"/>
      <c r="OZG8" s="500"/>
      <c r="OZH8" s="500"/>
      <c r="OZI8" s="500"/>
      <c r="OZJ8" s="500"/>
      <c r="OZK8" s="500"/>
      <c r="OZL8" s="500"/>
      <c r="OZM8" s="500"/>
      <c r="OZN8" s="500"/>
      <c r="OZO8" s="500"/>
      <c r="OZP8" s="500"/>
      <c r="OZQ8" s="500"/>
      <c r="OZR8" s="500"/>
      <c r="OZS8" s="500"/>
      <c r="OZT8" s="500"/>
      <c r="OZU8" s="500"/>
      <c r="OZV8" s="500"/>
      <c r="OZW8" s="500"/>
      <c r="OZX8" s="500"/>
      <c r="OZY8" s="500"/>
      <c r="OZZ8" s="500"/>
      <c r="PAA8" s="500"/>
      <c r="PAB8" s="500"/>
      <c r="PAC8" s="500"/>
      <c r="PAD8" s="500"/>
      <c r="PAE8" s="500"/>
      <c r="PAF8" s="500"/>
      <c r="PAG8" s="500"/>
      <c r="PAH8" s="500"/>
      <c r="PAI8" s="500"/>
      <c r="PAJ8" s="500"/>
      <c r="PAK8" s="500"/>
      <c r="PAL8" s="500"/>
      <c r="PAM8" s="500"/>
      <c r="PAN8" s="500"/>
      <c r="PAO8" s="500"/>
      <c r="PAP8" s="500"/>
      <c r="PAQ8" s="500"/>
      <c r="PAR8" s="500"/>
      <c r="PAS8" s="500"/>
      <c r="PAT8" s="500"/>
      <c r="PAU8" s="500"/>
      <c r="PAV8" s="500"/>
      <c r="PAW8" s="500"/>
      <c r="PAX8" s="500"/>
      <c r="PAY8" s="500"/>
      <c r="PAZ8" s="500"/>
      <c r="PBA8" s="500"/>
      <c r="PBB8" s="500"/>
      <c r="PBC8" s="500"/>
      <c r="PBD8" s="500"/>
      <c r="PBE8" s="500"/>
      <c r="PBF8" s="500"/>
      <c r="PBG8" s="500"/>
      <c r="PBH8" s="500"/>
      <c r="PBI8" s="500"/>
      <c r="PBJ8" s="500"/>
      <c r="PBK8" s="500"/>
      <c r="PBL8" s="500"/>
      <c r="PBM8" s="500"/>
      <c r="PBN8" s="500"/>
      <c r="PBO8" s="500"/>
      <c r="PBP8" s="500"/>
      <c r="PBQ8" s="500"/>
      <c r="PBR8" s="500"/>
      <c r="PBS8" s="500"/>
      <c r="PBT8" s="500"/>
      <c r="PBU8" s="500"/>
      <c r="PBV8" s="500"/>
      <c r="PBW8" s="500"/>
      <c r="PBX8" s="500"/>
      <c r="PBY8" s="500"/>
      <c r="PBZ8" s="500"/>
      <c r="PCA8" s="500"/>
      <c r="PCB8" s="500"/>
      <c r="PCC8" s="500"/>
      <c r="PCD8" s="500"/>
      <c r="PCE8" s="500"/>
      <c r="PCF8" s="500"/>
      <c r="PCG8" s="500"/>
      <c r="PCH8" s="500"/>
      <c r="PCI8" s="500"/>
      <c r="PCJ8" s="500"/>
      <c r="PCK8" s="500"/>
      <c r="PCL8" s="500"/>
      <c r="PCM8" s="500"/>
      <c r="PCN8" s="500"/>
      <c r="PCO8" s="500"/>
      <c r="PCP8" s="500"/>
      <c r="PCQ8" s="500"/>
      <c r="PCR8" s="500"/>
      <c r="PCS8" s="500"/>
      <c r="PCT8" s="500"/>
      <c r="PCU8" s="500"/>
      <c r="PCV8" s="500"/>
      <c r="PCW8" s="500"/>
      <c r="PCX8" s="500"/>
      <c r="PCY8" s="500"/>
      <c r="PCZ8" s="500"/>
      <c r="PDA8" s="500"/>
      <c r="PDB8" s="500"/>
      <c r="PDC8" s="500"/>
      <c r="PDD8" s="500"/>
      <c r="PDE8" s="500"/>
      <c r="PDF8" s="500"/>
      <c r="PDG8" s="500"/>
      <c r="PDH8" s="500"/>
      <c r="PDI8" s="500"/>
      <c r="PDJ8" s="500"/>
      <c r="PDK8" s="500"/>
      <c r="PDL8" s="500"/>
      <c r="PDM8" s="500"/>
      <c r="PDN8" s="500"/>
      <c r="PDO8" s="500"/>
      <c r="PDP8" s="500"/>
      <c r="PDQ8" s="500"/>
      <c r="PDR8" s="500"/>
      <c r="PDS8" s="500"/>
      <c r="PDT8" s="500"/>
      <c r="PDU8" s="500"/>
      <c r="PDV8" s="500"/>
      <c r="PDW8" s="500"/>
      <c r="PDX8" s="500"/>
      <c r="PDY8" s="500"/>
      <c r="PDZ8" s="500"/>
      <c r="PEA8" s="500"/>
      <c r="PEB8" s="500"/>
      <c r="PEC8" s="500"/>
      <c r="PED8" s="500"/>
      <c r="PEE8" s="500"/>
      <c r="PEF8" s="500"/>
      <c r="PEG8" s="500"/>
      <c r="PEH8" s="500"/>
      <c r="PEI8" s="500"/>
      <c r="PEJ8" s="500"/>
      <c r="PEK8" s="500"/>
      <c r="PEL8" s="500"/>
      <c r="PEM8" s="500"/>
      <c r="PEN8" s="500"/>
      <c r="PEO8" s="500"/>
      <c r="PEP8" s="500"/>
      <c r="PEQ8" s="500"/>
      <c r="PER8" s="500"/>
      <c r="PES8" s="500"/>
      <c r="PET8" s="500"/>
      <c r="PEU8" s="500"/>
      <c r="PEV8" s="500"/>
      <c r="PEW8" s="500"/>
      <c r="PEX8" s="500"/>
      <c r="PEY8" s="500"/>
      <c r="PEZ8" s="500"/>
      <c r="PFA8" s="500"/>
      <c r="PFB8" s="500"/>
      <c r="PFC8" s="500"/>
      <c r="PFD8" s="500"/>
      <c r="PFE8" s="500"/>
      <c r="PFF8" s="500"/>
      <c r="PFG8" s="500"/>
      <c r="PFH8" s="500"/>
      <c r="PFI8" s="500"/>
      <c r="PFJ8" s="500"/>
      <c r="PFK8" s="500"/>
      <c r="PFL8" s="500"/>
      <c r="PFM8" s="500"/>
      <c r="PFN8" s="500"/>
      <c r="PFO8" s="500"/>
      <c r="PFP8" s="500"/>
      <c r="PFQ8" s="500"/>
      <c r="PFR8" s="500"/>
      <c r="PFS8" s="500"/>
      <c r="PFT8" s="500"/>
      <c r="PFU8" s="500"/>
      <c r="PFV8" s="500"/>
      <c r="PFW8" s="500"/>
      <c r="PFX8" s="500"/>
      <c r="PFY8" s="500"/>
      <c r="PFZ8" s="500"/>
      <c r="PGA8" s="500"/>
      <c r="PGB8" s="500"/>
      <c r="PGC8" s="500"/>
      <c r="PGD8" s="500"/>
      <c r="PGE8" s="500"/>
      <c r="PGF8" s="500"/>
      <c r="PGG8" s="500"/>
      <c r="PGH8" s="500"/>
      <c r="PGI8" s="500"/>
      <c r="PGJ8" s="500"/>
      <c r="PGK8" s="500"/>
      <c r="PGL8" s="500"/>
      <c r="PGM8" s="500"/>
      <c r="PGN8" s="500"/>
      <c r="PGO8" s="500"/>
      <c r="PGP8" s="500"/>
      <c r="PGQ8" s="500"/>
      <c r="PGR8" s="500"/>
      <c r="PGS8" s="500"/>
      <c r="PGT8" s="500"/>
      <c r="PGU8" s="500"/>
      <c r="PGV8" s="500"/>
      <c r="PGW8" s="500"/>
      <c r="PGX8" s="500"/>
      <c r="PGY8" s="500"/>
      <c r="PGZ8" s="500"/>
      <c r="PHA8" s="500"/>
      <c r="PHB8" s="500"/>
      <c r="PHC8" s="500"/>
      <c r="PHD8" s="500"/>
      <c r="PHE8" s="500"/>
      <c r="PHF8" s="500"/>
      <c r="PHG8" s="500"/>
      <c r="PHH8" s="500"/>
      <c r="PHI8" s="500"/>
      <c r="PHJ8" s="500"/>
      <c r="PHK8" s="500"/>
      <c r="PHL8" s="500"/>
      <c r="PHM8" s="500"/>
      <c r="PHN8" s="500"/>
      <c r="PHO8" s="500"/>
      <c r="PHP8" s="500"/>
      <c r="PHQ8" s="500"/>
      <c r="PHR8" s="500"/>
      <c r="PHS8" s="500"/>
      <c r="PHT8" s="500"/>
      <c r="PHU8" s="500"/>
      <c r="PHV8" s="500"/>
      <c r="PHW8" s="500"/>
      <c r="PHX8" s="500"/>
      <c r="PHY8" s="500"/>
      <c r="PHZ8" s="500"/>
      <c r="PIA8" s="500"/>
      <c r="PIB8" s="500"/>
      <c r="PIC8" s="500"/>
      <c r="PID8" s="500"/>
      <c r="PIE8" s="500"/>
      <c r="PIF8" s="500"/>
      <c r="PIG8" s="500"/>
      <c r="PIH8" s="500"/>
      <c r="PII8" s="500"/>
      <c r="PIJ8" s="500"/>
      <c r="PIK8" s="500"/>
      <c r="PIL8" s="500"/>
      <c r="PIM8" s="500"/>
      <c r="PIN8" s="500"/>
      <c r="PIO8" s="500"/>
      <c r="PIP8" s="500"/>
      <c r="PIQ8" s="500"/>
      <c r="PIR8" s="500"/>
      <c r="PIS8" s="500"/>
      <c r="PIT8" s="500"/>
      <c r="PIU8" s="500"/>
      <c r="PIV8" s="500"/>
      <c r="PIW8" s="500"/>
      <c r="PIX8" s="500"/>
      <c r="PIY8" s="500"/>
      <c r="PIZ8" s="500"/>
      <c r="PJA8" s="500"/>
      <c r="PJB8" s="500"/>
      <c r="PJC8" s="500"/>
      <c r="PJD8" s="500"/>
      <c r="PJE8" s="500"/>
      <c r="PJF8" s="500"/>
      <c r="PJG8" s="500"/>
      <c r="PJH8" s="500"/>
      <c r="PJI8" s="500"/>
      <c r="PJJ8" s="500"/>
      <c r="PJK8" s="500"/>
      <c r="PJL8" s="500"/>
      <c r="PJM8" s="500"/>
      <c r="PJN8" s="500"/>
      <c r="PJO8" s="500"/>
      <c r="PJP8" s="500"/>
      <c r="PJQ8" s="500"/>
      <c r="PJR8" s="500"/>
      <c r="PJS8" s="500"/>
      <c r="PJT8" s="500"/>
      <c r="PJU8" s="500"/>
      <c r="PJV8" s="500"/>
      <c r="PJW8" s="500"/>
      <c r="PJX8" s="500"/>
      <c r="PJY8" s="500"/>
      <c r="PJZ8" s="500"/>
      <c r="PKA8" s="500"/>
      <c r="PKB8" s="500"/>
      <c r="PKC8" s="500"/>
      <c r="PKD8" s="500"/>
      <c r="PKE8" s="500"/>
      <c r="PKF8" s="500"/>
      <c r="PKG8" s="500"/>
      <c r="PKH8" s="500"/>
      <c r="PKI8" s="500"/>
      <c r="PKJ8" s="500"/>
      <c r="PKK8" s="500"/>
      <c r="PKL8" s="500"/>
      <c r="PKM8" s="500"/>
      <c r="PKN8" s="500"/>
      <c r="PKO8" s="500"/>
      <c r="PKP8" s="500"/>
      <c r="PKQ8" s="500"/>
      <c r="PKR8" s="500"/>
      <c r="PKS8" s="500"/>
      <c r="PKT8" s="500"/>
      <c r="PKU8" s="500"/>
      <c r="PKV8" s="500"/>
      <c r="PKW8" s="500"/>
      <c r="PKX8" s="500"/>
      <c r="PKY8" s="500"/>
      <c r="PKZ8" s="500"/>
      <c r="PLA8" s="500"/>
      <c r="PLB8" s="500"/>
      <c r="PLC8" s="500"/>
      <c r="PLD8" s="500"/>
      <c r="PLE8" s="500"/>
      <c r="PLF8" s="500"/>
      <c r="PLG8" s="500"/>
      <c r="PLH8" s="500"/>
      <c r="PLI8" s="500"/>
      <c r="PLJ8" s="500"/>
      <c r="PLK8" s="500"/>
      <c r="PLL8" s="500"/>
      <c r="PLM8" s="500"/>
      <c r="PLN8" s="500"/>
      <c r="PLO8" s="500"/>
      <c r="PLP8" s="500"/>
      <c r="PLQ8" s="500"/>
      <c r="PLR8" s="500"/>
      <c r="PLS8" s="500"/>
      <c r="PLT8" s="500"/>
      <c r="PLU8" s="500"/>
      <c r="PLV8" s="500"/>
      <c r="PLW8" s="500"/>
      <c r="PLX8" s="500"/>
      <c r="PLY8" s="500"/>
      <c r="PLZ8" s="500"/>
      <c r="PMA8" s="500"/>
      <c r="PMB8" s="500"/>
      <c r="PMC8" s="500"/>
      <c r="PMD8" s="500"/>
      <c r="PME8" s="500"/>
      <c r="PMF8" s="500"/>
      <c r="PMG8" s="500"/>
      <c r="PMH8" s="500"/>
      <c r="PMI8" s="500"/>
      <c r="PMJ8" s="500"/>
      <c r="PMK8" s="500"/>
      <c r="PML8" s="500"/>
      <c r="PMM8" s="500"/>
      <c r="PMN8" s="500"/>
      <c r="PMO8" s="500"/>
      <c r="PMP8" s="500"/>
      <c r="PMQ8" s="500"/>
      <c r="PMR8" s="500"/>
      <c r="PMS8" s="500"/>
      <c r="PMT8" s="500"/>
      <c r="PMU8" s="500"/>
      <c r="PMV8" s="500"/>
      <c r="PMW8" s="500"/>
      <c r="PMX8" s="500"/>
      <c r="PMY8" s="500"/>
      <c r="PMZ8" s="500"/>
      <c r="PNA8" s="500"/>
      <c r="PNB8" s="500"/>
      <c r="PNC8" s="500"/>
      <c r="PND8" s="500"/>
      <c r="PNE8" s="500"/>
      <c r="PNF8" s="500"/>
      <c r="PNG8" s="500"/>
      <c r="PNH8" s="500"/>
      <c r="PNI8" s="500"/>
      <c r="PNJ8" s="500"/>
      <c r="PNK8" s="500"/>
      <c r="PNL8" s="500"/>
      <c r="PNM8" s="500"/>
      <c r="PNN8" s="500"/>
      <c r="PNO8" s="500"/>
      <c r="PNP8" s="500"/>
      <c r="PNQ8" s="500"/>
      <c r="PNR8" s="500"/>
      <c r="PNS8" s="500"/>
      <c r="PNT8" s="500"/>
      <c r="PNU8" s="500"/>
      <c r="PNV8" s="500"/>
      <c r="PNW8" s="500"/>
      <c r="PNX8" s="500"/>
      <c r="PNY8" s="500"/>
      <c r="PNZ8" s="500"/>
      <c r="POA8" s="500"/>
      <c r="POB8" s="500"/>
      <c r="POC8" s="500"/>
      <c r="POD8" s="500"/>
      <c r="POE8" s="500"/>
      <c r="POF8" s="500"/>
      <c r="POG8" s="500"/>
      <c r="POH8" s="500"/>
      <c r="POI8" s="500"/>
      <c r="POJ8" s="500"/>
      <c r="POK8" s="500"/>
      <c r="POL8" s="500"/>
      <c r="POM8" s="500"/>
      <c r="PON8" s="500"/>
      <c r="POO8" s="500"/>
      <c r="POP8" s="500"/>
      <c r="POQ8" s="500"/>
      <c r="POR8" s="500"/>
      <c r="POS8" s="500"/>
      <c r="POT8" s="500"/>
      <c r="POU8" s="500"/>
      <c r="POV8" s="500"/>
      <c r="POW8" s="500"/>
      <c r="POX8" s="500"/>
      <c r="POY8" s="500"/>
      <c r="POZ8" s="500"/>
      <c r="PPA8" s="500"/>
      <c r="PPB8" s="500"/>
      <c r="PPC8" s="500"/>
      <c r="PPD8" s="500"/>
      <c r="PPE8" s="500"/>
      <c r="PPF8" s="500"/>
      <c r="PPG8" s="500"/>
      <c r="PPH8" s="500"/>
      <c r="PPI8" s="500"/>
      <c r="PPJ8" s="500"/>
      <c r="PPK8" s="500"/>
      <c r="PPL8" s="500"/>
      <c r="PPM8" s="500"/>
      <c r="PPN8" s="500"/>
      <c r="PPO8" s="500"/>
      <c r="PPP8" s="500"/>
      <c r="PPQ8" s="500"/>
      <c r="PPR8" s="500"/>
      <c r="PPS8" s="500"/>
      <c r="PPT8" s="500"/>
      <c r="PPU8" s="500"/>
      <c r="PPV8" s="500"/>
      <c r="PPW8" s="500"/>
      <c r="PPX8" s="500"/>
      <c r="PPY8" s="500"/>
      <c r="PPZ8" s="500"/>
      <c r="PQA8" s="500"/>
      <c r="PQB8" s="500"/>
      <c r="PQC8" s="500"/>
      <c r="PQD8" s="500"/>
      <c r="PQE8" s="500"/>
      <c r="PQF8" s="500"/>
      <c r="PQG8" s="500"/>
      <c r="PQH8" s="500"/>
      <c r="PQI8" s="500"/>
      <c r="PQJ8" s="500"/>
      <c r="PQK8" s="500"/>
      <c r="PQL8" s="500"/>
      <c r="PQM8" s="500"/>
      <c r="PQN8" s="500"/>
      <c r="PQO8" s="500"/>
      <c r="PQP8" s="500"/>
      <c r="PQQ8" s="500"/>
      <c r="PQR8" s="500"/>
      <c r="PQS8" s="500"/>
      <c r="PQT8" s="500"/>
      <c r="PQU8" s="500"/>
      <c r="PQV8" s="500"/>
      <c r="PQW8" s="500"/>
      <c r="PQX8" s="500"/>
      <c r="PQY8" s="500"/>
      <c r="PQZ8" s="500"/>
      <c r="PRA8" s="500"/>
      <c r="PRB8" s="500"/>
      <c r="PRC8" s="500"/>
      <c r="PRD8" s="500"/>
      <c r="PRE8" s="500"/>
      <c r="PRF8" s="500"/>
      <c r="PRG8" s="500"/>
      <c r="PRH8" s="500"/>
      <c r="PRI8" s="500"/>
      <c r="PRJ8" s="500"/>
      <c r="PRK8" s="500"/>
      <c r="PRL8" s="500"/>
      <c r="PRM8" s="500"/>
      <c r="PRN8" s="500"/>
      <c r="PRO8" s="500"/>
      <c r="PRP8" s="500"/>
      <c r="PRQ8" s="500"/>
      <c r="PRR8" s="500"/>
      <c r="PRS8" s="500"/>
      <c r="PRT8" s="500"/>
      <c r="PRU8" s="500"/>
      <c r="PRV8" s="500"/>
      <c r="PRW8" s="500"/>
      <c r="PRX8" s="500"/>
      <c r="PRY8" s="500"/>
      <c r="PRZ8" s="500"/>
      <c r="PSA8" s="500"/>
      <c r="PSB8" s="500"/>
      <c r="PSC8" s="500"/>
      <c r="PSD8" s="500"/>
      <c r="PSE8" s="500"/>
      <c r="PSF8" s="500"/>
      <c r="PSG8" s="500"/>
      <c r="PSH8" s="500"/>
      <c r="PSI8" s="500"/>
      <c r="PSJ8" s="500"/>
      <c r="PSK8" s="500"/>
      <c r="PSL8" s="500"/>
      <c r="PSM8" s="500"/>
      <c r="PSN8" s="500"/>
      <c r="PSO8" s="500"/>
      <c r="PSP8" s="500"/>
      <c r="PSQ8" s="500"/>
      <c r="PSR8" s="500"/>
      <c r="PSS8" s="500"/>
      <c r="PST8" s="500"/>
      <c r="PSU8" s="500"/>
      <c r="PSV8" s="500"/>
      <c r="PSW8" s="500"/>
      <c r="PSX8" s="500"/>
      <c r="PSY8" s="500"/>
      <c r="PSZ8" s="500"/>
      <c r="PTA8" s="500"/>
      <c r="PTB8" s="500"/>
      <c r="PTC8" s="500"/>
      <c r="PTD8" s="500"/>
      <c r="PTE8" s="500"/>
      <c r="PTF8" s="500"/>
      <c r="PTG8" s="500"/>
      <c r="PTH8" s="500"/>
      <c r="PTI8" s="500"/>
      <c r="PTJ8" s="500"/>
      <c r="PTK8" s="500"/>
      <c r="PTL8" s="500"/>
      <c r="PTM8" s="500"/>
      <c r="PTN8" s="500"/>
      <c r="PTO8" s="500"/>
      <c r="PTP8" s="500"/>
      <c r="PTQ8" s="500"/>
      <c r="PTR8" s="500"/>
      <c r="PTS8" s="500"/>
      <c r="PTT8" s="500"/>
      <c r="PTU8" s="500"/>
      <c r="PTV8" s="500"/>
      <c r="PTW8" s="500"/>
      <c r="PTX8" s="500"/>
      <c r="PTY8" s="500"/>
      <c r="PTZ8" s="500"/>
      <c r="PUA8" s="500"/>
      <c r="PUB8" s="500"/>
      <c r="PUC8" s="500"/>
      <c r="PUD8" s="500"/>
      <c r="PUE8" s="500"/>
      <c r="PUF8" s="500"/>
      <c r="PUG8" s="500"/>
      <c r="PUH8" s="500"/>
      <c r="PUI8" s="500"/>
      <c r="PUJ8" s="500"/>
      <c r="PUK8" s="500"/>
      <c r="PUL8" s="500"/>
      <c r="PUM8" s="500"/>
      <c r="PUN8" s="500"/>
      <c r="PUO8" s="500"/>
      <c r="PUP8" s="500"/>
      <c r="PUQ8" s="500"/>
      <c r="PUR8" s="500"/>
      <c r="PUS8" s="500"/>
      <c r="PUT8" s="500"/>
      <c r="PUU8" s="500"/>
      <c r="PUV8" s="500"/>
      <c r="PUW8" s="500"/>
      <c r="PUX8" s="500"/>
      <c r="PUY8" s="500"/>
      <c r="PUZ8" s="500"/>
      <c r="PVA8" s="500"/>
      <c r="PVB8" s="500"/>
      <c r="PVC8" s="500"/>
      <c r="PVD8" s="500"/>
      <c r="PVE8" s="500"/>
      <c r="PVF8" s="500"/>
      <c r="PVG8" s="500"/>
      <c r="PVH8" s="500"/>
      <c r="PVI8" s="500"/>
      <c r="PVJ8" s="500"/>
      <c r="PVK8" s="500"/>
      <c r="PVL8" s="500"/>
      <c r="PVM8" s="500"/>
      <c r="PVN8" s="500"/>
      <c r="PVO8" s="500"/>
      <c r="PVP8" s="500"/>
      <c r="PVQ8" s="500"/>
      <c r="PVR8" s="500"/>
      <c r="PVS8" s="500"/>
      <c r="PVT8" s="500"/>
      <c r="PVU8" s="500"/>
      <c r="PVV8" s="500"/>
      <c r="PVW8" s="500"/>
      <c r="PVX8" s="500"/>
      <c r="PVY8" s="500"/>
      <c r="PVZ8" s="500"/>
      <c r="PWA8" s="500"/>
      <c r="PWB8" s="500"/>
      <c r="PWC8" s="500"/>
      <c r="PWD8" s="500"/>
      <c r="PWE8" s="500"/>
      <c r="PWF8" s="500"/>
      <c r="PWG8" s="500"/>
      <c r="PWH8" s="500"/>
      <c r="PWI8" s="500"/>
      <c r="PWJ8" s="500"/>
      <c r="PWK8" s="500"/>
      <c r="PWL8" s="500"/>
      <c r="PWM8" s="500"/>
      <c r="PWN8" s="500"/>
      <c r="PWO8" s="500"/>
      <c r="PWP8" s="500"/>
      <c r="PWQ8" s="500"/>
      <c r="PWR8" s="500"/>
      <c r="PWS8" s="500"/>
      <c r="PWT8" s="500"/>
      <c r="PWU8" s="500"/>
      <c r="PWV8" s="500"/>
      <c r="PWW8" s="500"/>
      <c r="PWX8" s="500"/>
      <c r="PWY8" s="500"/>
      <c r="PWZ8" s="500"/>
      <c r="PXA8" s="500"/>
      <c r="PXB8" s="500"/>
      <c r="PXC8" s="500"/>
      <c r="PXD8" s="500"/>
      <c r="PXE8" s="500"/>
      <c r="PXF8" s="500"/>
      <c r="PXG8" s="500"/>
      <c r="PXH8" s="500"/>
      <c r="PXI8" s="500"/>
      <c r="PXJ8" s="500"/>
      <c r="PXK8" s="500"/>
      <c r="PXL8" s="500"/>
      <c r="PXM8" s="500"/>
      <c r="PXN8" s="500"/>
      <c r="PXO8" s="500"/>
      <c r="PXP8" s="500"/>
      <c r="PXQ8" s="500"/>
      <c r="PXR8" s="500"/>
      <c r="PXS8" s="500"/>
      <c r="PXT8" s="500"/>
      <c r="PXU8" s="500"/>
      <c r="PXV8" s="500"/>
      <c r="PXW8" s="500"/>
      <c r="PXX8" s="500"/>
      <c r="PXY8" s="500"/>
      <c r="PXZ8" s="500"/>
      <c r="PYA8" s="500"/>
      <c r="PYB8" s="500"/>
      <c r="PYC8" s="500"/>
      <c r="PYD8" s="500"/>
      <c r="PYE8" s="500"/>
      <c r="PYF8" s="500"/>
      <c r="PYG8" s="500"/>
      <c r="PYH8" s="500"/>
      <c r="PYI8" s="500"/>
      <c r="PYJ8" s="500"/>
      <c r="PYK8" s="500"/>
      <c r="PYL8" s="500"/>
      <c r="PYM8" s="500"/>
      <c r="PYN8" s="500"/>
      <c r="PYO8" s="500"/>
      <c r="PYP8" s="500"/>
      <c r="PYQ8" s="500"/>
      <c r="PYR8" s="500"/>
      <c r="PYS8" s="500"/>
      <c r="PYT8" s="500"/>
      <c r="PYU8" s="500"/>
      <c r="PYV8" s="500"/>
      <c r="PYW8" s="500"/>
      <c r="PYX8" s="500"/>
      <c r="PYY8" s="500"/>
      <c r="PYZ8" s="500"/>
      <c r="PZA8" s="500"/>
      <c r="PZB8" s="500"/>
      <c r="PZC8" s="500"/>
      <c r="PZD8" s="500"/>
      <c r="PZE8" s="500"/>
      <c r="PZF8" s="500"/>
      <c r="PZG8" s="500"/>
      <c r="PZH8" s="500"/>
      <c r="PZI8" s="500"/>
      <c r="PZJ8" s="500"/>
      <c r="PZK8" s="500"/>
      <c r="PZL8" s="500"/>
      <c r="PZM8" s="500"/>
      <c r="PZN8" s="500"/>
      <c r="PZO8" s="500"/>
      <c r="PZP8" s="500"/>
      <c r="PZQ8" s="500"/>
      <c r="PZR8" s="500"/>
      <c r="PZS8" s="500"/>
      <c r="PZT8" s="500"/>
      <c r="PZU8" s="500"/>
      <c r="PZV8" s="500"/>
      <c r="PZW8" s="500"/>
      <c r="PZX8" s="500"/>
      <c r="PZY8" s="500"/>
      <c r="PZZ8" s="500"/>
      <c r="QAA8" s="500"/>
      <c r="QAB8" s="500"/>
      <c r="QAC8" s="500"/>
      <c r="QAD8" s="500"/>
      <c r="QAE8" s="500"/>
      <c r="QAF8" s="500"/>
      <c r="QAG8" s="500"/>
      <c r="QAH8" s="500"/>
      <c r="QAI8" s="500"/>
      <c r="QAJ8" s="500"/>
      <c r="QAK8" s="500"/>
      <c r="QAL8" s="500"/>
      <c r="QAM8" s="500"/>
      <c r="QAN8" s="500"/>
      <c r="QAO8" s="500"/>
      <c r="QAP8" s="500"/>
      <c r="QAQ8" s="500"/>
      <c r="QAR8" s="500"/>
      <c r="QAS8" s="500"/>
      <c r="QAT8" s="500"/>
      <c r="QAU8" s="500"/>
      <c r="QAV8" s="500"/>
      <c r="QAW8" s="500"/>
      <c r="QAX8" s="500"/>
      <c r="QAY8" s="500"/>
      <c r="QAZ8" s="500"/>
      <c r="QBA8" s="500"/>
      <c r="QBB8" s="500"/>
      <c r="QBC8" s="500"/>
      <c r="QBD8" s="500"/>
      <c r="QBE8" s="500"/>
      <c r="QBF8" s="500"/>
      <c r="QBG8" s="500"/>
      <c r="QBH8" s="500"/>
      <c r="QBI8" s="500"/>
      <c r="QBJ8" s="500"/>
      <c r="QBK8" s="500"/>
      <c r="QBL8" s="500"/>
      <c r="QBM8" s="500"/>
      <c r="QBN8" s="500"/>
      <c r="QBO8" s="500"/>
      <c r="QBP8" s="500"/>
      <c r="QBQ8" s="500"/>
      <c r="QBR8" s="500"/>
      <c r="QBS8" s="500"/>
      <c r="QBT8" s="500"/>
      <c r="QBU8" s="500"/>
      <c r="QBV8" s="500"/>
      <c r="QBW8" s="500"/>
      <c r="QBX8" s="500"/>
      <c r="QBY8" s="500"/>
      <c r="QBZ8" s="500"/>
      <c r="QCA8" s="500"/>
      <c r="QCB8" s="500"/>
      <c r="QCC8" s="500"/>
      <c r="QCD8" s="500"/>
      <c r="QCE8" s="500"/>
      <c r="QCF8" s="500"/>
      <c r="QCG8" s="500"/>
      <c r="QCH8" s="500"/>
      <c r="QCI8" s="500"/>
      <c r="QCJ8" s="500"/>
      <c r="QCK8" s="500"/>
      <c r="QCL8" s="500"/>
      <c r="QCM8" s="500"/>
      <c r="QCN8" s="500"/>
      <c r="QCO8" s="500"/>
      <c r="QCP8" s="500"/>
      <c r="QCQ8" s="500"/>
      <c r="QCR8" s="500"/>
      <c r="QCS8" s="500"/>
      <c r="QCT8" s="500"/>
      <c r="QCU8" s="500"/>
      <c r="QCV8" s="500"/>
      <c r="QCW8" s="500"/>
      <c r="QCX8" s="500"/>
      <c r="QCY8" s="500"/>
      <c r="QCZ8" s="500"/>
      <c r="QDA8" s="500"/>
      <c r="QDB8" s="500"/>
      <c r="QDC8" s="500"/>
      <c r="QDD8" s="500"/>
      <c r="QDE8" s="500"/>
      <c r="QDF8" s="500"/>
      <c r="QDG8" s="500"/>
      <c r="QDH8" s="500"/>
      <c r="QDI8" s="500"/>
      <c r="QDJ8" s="500"/>
      <c r="QDK8" s="500"/>
      <c r="QDL8" s="500"/>
      <c r="QDM8" s="500"/>
      <c r="QDN8" s="500"/>
      <c r="QDO8" s="500"/>
      <c r="QDP8" s="500"/>
      <c r="QDQ8" s="500"/>
      <c r="QDR8" s="500"/>
      <c r="QDS8" s="500"/>
      <c r="QDT8" s="500"/>
      <c r="QDU8" s="500"/>
      <c r="QDV8" s="500"/>
      <c r="QDW8" s="500"/>
      <c r="QDX8" s="500"/>
      <c r="QDY8" s="500"/>
      <c r="QDZ8" s="500"/>
      <c r="QEA8" s="500"/>
      <c r="QEB8" s="500"/>
      <c r="QEC8" s="500"/>
      <c r="QED8" s="500"/>
      <c r="QEE8" s="500"/>
      <c r="QEF8" s="500"/>
      <c r="QEG8" s="500"/>
      <c r="QEH8" s="500"/>
      <c r="QEI8" s="500"/>
      <c r="QEJ8" s="500"/>
      <c r="QEK8" s="500"/>
      <c r="QEL8" s="500"/>
      <c r="QEM8" s="500"/>
      <c r="QEN8" s="500"/>
      <c r="QEO8" s="500"/>
      <c r="QEP8" s="500"/>
      <c r="QEQ8" s="500"/>
      <c r="QER8" s="500"/>
      <c r="QES8" s="500"/>
      <c r="QET8" s="500"/>
      <c r="QEU8" s="500"/>
      <c r="QEV8" s="500"/>
      <c r="QEW8" s="500"/>
      <c r="QEX8" s="500"/>
      <c r="QEY8" s="500"/>
      <c r="QEZ8" s="500"/>
      <c r="QFA8" s="500"/>
      <c r="QFB8" s="500"/>
      <c r="QFC8" s="500"/>
      <c r="QFD8" s="500"/>
      <c r="QFE8" s="500"/>
      <c r="QFF8" s="500"/>
      <c r="QFG8" s="500"/>
      <c r="QFH8" s="500"/>
      <c r="QFI8" s="500"/>
      <c r="QFJ8" s="500"/>
      <c r="QFK8" s="500"/>
      <c r="QFL8" s="500"/>
      <c r="QFM8" s="500"/>
      <c r="QFN8" s="500"/>
      <c r="QFO8" s="500"/>
      <c r="QFP8" s="500"/>
      <c r="QFQ8" s="500"/>
      <c r="QFR8" s="500"/>
      <c r="QFS8" s="500"/>
      <c r="QFT8" s="500"/>
      <c r="QFU8" s="500"/>
      <c r="QFV8" s="500"/>
      <c r="QFW8" s="500"/>
      <c r="QFX8" s="500"/>
      <c r="QFY8" s="500"/>
      <c r="QFZ8" s="500"/>
      <c r="QGA8" s="500"/>
      <c r="QGB8" s="500"/>
      <c r="QGC8" s="500"/>
      <c r="QGD8" s="500"/>
      <c r="QGE8" s="500"/>
      <c r="QGF8" s="500"/>
      <c r="QGG8" s="500"/>
      <c r="QGH8" s="500"/>
      <c r="QGI8" s="500"/>
      <c r="QGJ8" s="500"/>
      <c r="QGK8" s="500"/>
      <c r="QGL8" s="500"/>
      <c r="QGM8" s="500"/>
      <c r="QGN8" s="500"/>
      <c r="QGO8" s="500"/>
      <c r="QGP8" s="500"/>
      <c r="QGQ8" s="500"/>
      <c r="QGR8" s="500"/>
      <c r="QGS8" s="500"/>
      <c r="QGT8" s="500"/>
      <c r="QGU8" s="500"/>
      <c r="QGV8" s="500"/>
      <c r="QGW8" s="500"/>
      <c r="QGX8" s="500"/>
      <c r="QGY8" s="500"/>
      <c r="QGZ8" s="500"/>
      <c r="QHA8" s="500"/>
      <c r="QHB8" s="500"/>
      <c r="QHC8" s="500"/>
      <c r="QHD8" s="500"/>
      <c r="QHE8" s="500"/>
      <c r="QHF8" s="500"/>
      <c r="QHG8" s="500"/>
      <c r="QHH8" s="500"/>
      <c r="QHI8" s="500"/>
      <c r="QHJ8" s="500"/>
      <c r="QHK8" s="500"/>
      <c r="QHL8" s="500"/>
      <c r="QHM8" s="500"/>
      <c r="QHN8" s="500"/>
      <c r="QHO8" s="500"/>
      <c r="QHP8" s="500"/>
      <c r="QHQ8" s="500"/>
      <c r="QHR8" s="500"/>
      <c r="QHS8" s="500"/>
      <c r="QHT8" s="500"/>
      <c r="QHU8" s="500"/>
      <c r="QHV8" s="500"/>
      <c r="QHW8" s="500"/>
      <c r="QHX8" s="500"/>
      <c r="QHY8" s="500"/>
      <c r="QHZ8" s="500"/>
      <c r="QIA8" s="500"/>
      <c r="QIB8" s="500"/>
      <c r="QIC8" s="500"/>
      <c r="QID8" s="500"/>
      <c r="QIE8" s="500"/>
      <c r="QIF8" s="500"/>
      <c r="QIG8" s="500"/>
      <c r="QIH8" s="500"/>
      <c r="QII8" s="500"/>
      <c r="QIJ8" s="500"/>
      <c r="QIK8" s="500"/>
      <c r="QIL8" s="500"/>
      <c r="QIM8" s="500"/>
      <c r="QIN8" s="500"/>
      <c r="QIO8" s="500"/>
      <c r="QIP8" s="500"/>
      <c r="QIQ8" s="500"/>
      <c r="QIR8" s="500"/>
      <c r="QIS8" s="500"/>
      <c r="QIT8" s="500"/>
      <c r="QIU8" s="500"/>
      <c r="QIV8" s="500"/>
      <c r="QIW8" s="500"/>
      <c r="QIX8" s="500"/>
      <c r="QIY8" s="500"/>
      <c r="QIZ8" s="500"/>
      <c r="QJA8" s="500"/>
      <c r="QJB8" s="500"/>
      <c r="QJC8" s="500"/>
      <c r="QJD8" s="500"/>
      <c r="QJE8" s="500"/>
      <c r="QJF8" s="500"/>
      <c r="QJG8" s="500"/>
      <c r="QJH8" s="500"/>
      <c r="QJI8" s="500"/>
      <c r="QJJ8" s="500"/>
      <c r="QJK8" s="500"/>
      <c r="QJL8" s="500"/>
      <c r="QJM8" s="500"/>
      <c r="QJN8" s="500"/>
      <c r="QJO8" s="500"/>
      <c r="QJP8" s="500"/>
      <c r="QJQ8" s="500"/>
      <c r="QJR8" s="500"/>
      <c r="QJS8" s="500"/>
      <c r="QJT8" s="500"/>
      <c r="QJU8" s="500"/>
      <c r="QJV8" s="500"/>
      <c r="QJW8" s="500"/>
      <c r="QJX8" s="500"/>
      <c r="QJY8" s="500"/>
      <c r="QJZ8" s="500"/>
      <c r="QKA8" s="500"/>
      <c r="QKB8" s="500"/>
      <c r="QKC8" s="500"/>
      <c r="QKD8" s="500"/>
      <c r="QKE8" s="500"/>
      <c r="QKF8" s="500"/>
      <c r="QKG8" s="500"/>
      <c r="QKH8" s="500"/>
      <c r="QKI8" s="500"/>
      <c r="QKJ8" s="500"/>
      <c r="QKK8" s="500"/>
      <c r="QKL8" s="500"/>
      <c r="QKM8" s="500"/>
      <c r="QKN8" s="500"/>
      <c r="QKO8" s="500"/>
      <c r="QKP8" s="500"/>
      <c r="QKQ8" s="500"/>
      <c r="QKR8" s="500"/>
      <c r="QKS8" s="500"/>
      <c r="QKT8" s="500"/>
      <c r="QKU8" s="500"/>
      <c r="QKV8" s="500"/>
      <c r="QKW8" s="500"/>
      <c r="QKX8" s="500"/>
      <c r="QKY8" s="500"/>
      <c r="QKZ8" s="500"/>
      <c r="QLA8" s="500"/>
      <c r="QLB8" s="500"/>
      <c r="QLC8" s="500"/>
      <c r="QLD8" s="500"/>
      <c r="QLE8" s="500"/>
      <c r="QLF8" s="500"/>
      <c r="QLG8" s="500"/>
      <c r="QLH8" s="500"/>
      <c r="QLI8" s="500"/>
      <c r="QLJ8" s="500"/>
      <c r="QLK8" s="500"/>
      <c r="QLL8" s="500"/>
      <c r="QLM8" s="500"/>
      <c r="QLN8" s="500"/>
      <c r="QLO8" s="500"/>
      <c r="QLP8" s="500"/>
      <c r="QLQ8" s="500"/>
      <c r="QLR8" s="500"/>
      <c r="QLS8" s="500"/>
      <c r="QLT8" s="500"/>
      <c r="QLU8" s="500"/>
      <c r="QLV8" s="500"/>
      <c r="QLW8" s="500"/>
      <c r="QLX8" s="500"/>
      <c r="QLY8" s="500"/>
      <c r="QLZ8" s="500"/>
      <c r="QMA8" s="500"/>
      <c r="QMB8" s="500"/>
      <c r="QMC8" s="500"/>
      <c r="QMD8" s="500"/>
      <c r="QME8" s="500"/>
      <c r="QMF8" s="500"/>
      <c r="QMG8" s="500"/>
      <c r="QMH8" s="500"/>
      <c r="QMI8" s="500"/>
      <c r="QMJ8" s="500"/>
      <c r="QMK8" s="500"/>
      <c r="QML8" s="500"/>
      <c r="QMM8" s="500"/>
      <c r="QMN8" s="500"/>
      <c r="QMO8" s="500"/>
      <c r="QMP8" s="500"/>
      <c r="QMQ8" s="500"/>
      <c r="QMR8" s="500"/>
      <c r="QMS8" s="500"/>
      <c r="QMT8" s="500"/>
      <c r="QMU8" s="500"/>
      <c r="QMV8" s="500"/>
      <c r="QMW8" s="500"/>
      <c r="QMX8" s="500"/>
      <c r="QMY8" s="500"/>
      <c r="QMZ8" s="500"/>
      <c r="QNA8" s="500"/>
      <c r="QNB8" s="500"/>
      <c r="QNC8" s="500"/>
      <c r="QND8" s="500"/>
      <c r="QNE8" s="500"/>
      <c r="QNF8" s="500"/>
      <c r="QNG8" s="500"/>
      <c r="QNH8" s="500"/>
      <c r="QNI8" s="500"/>
      <c r="QNJ8" s="500"/>
      <c r="QNK8" s="500"/>
      <c r="QNL8" s="500"/>
      <c r="QNM8" s="500"/>
      <c r="QNN8" s="500"/>
      <c r="QNO8" s="500"/>
      <c r="QNP8" s="500"/>
      <c r="QNQ8" s="500"/>
      <c r="QNR8" s="500"/>
      <c r="QNS8" s="500"/>
      <c r="QNT8" s="500"/>
      <c r="QNU8" s="500"/>
      <c r="QNV8" s="500"/>
      <c r="QNW8" s="500"/>
      <c r="QNX8" s="500"/>
      <c r="QNY8" s="500"/>
      <c r="QNZ8" s="500"/>
      <c r="QOA8" s="500"/>
      <c r="QOB8" s="500"/>
      <c r="QOC8" s="500"/>
      <c r="QOD8" s="500"/>
      <c r="QOE8" s="500"/>
      <c r="QOF8" s="500"/>
      <c r="QOG8" s="500"/>
      <c r="QOH8" s="500"/>
      <c r="QOI8" s="500"/>
      <c r="QOJ8" s="500"/>
      <c r="QOK8" s="500"/>
      <c r="QOL8" s="500"/>
      <c r="QOM8" s="500"/>
      <c r="QON8" s="500"/>
      <c r="QOO8" s="500"/>
      <c r="QOP8" s="500"/>
      <c r="QOQ8" s="500"/>
      <c r="QOR8" s="500"/>
      <c r="QOS8" s="500"/>
      <c r="QOT8" s="500"/>
      <c r="QOU8" s="500"/>
      <c r="QOV8" s="500"/>
      <c r="QOW8" s="500"/>
      <c r="QOX8" s="500"/>
      <c r="QOY8" s="500"/>
      <c r="QOZ8" s="500"/>
      <c r="QPA8" s="500"/>
      <c r="QPB8" s="500"/>
      <c r="QPC8" s="500"/>
      <c r="QPD8" s="500"/>
      <c r="QPE8" s="500"/>
      <c r="QPF8" s="500"/>
      <c r="QPG8" s="500"/>
      <c r="QPH8" s="500"/>
      <c r="QPI8" s="500"/>
      <c r="QPJ8" s="500"/>
      <c r="QPK8" s="500"/>
      <c r="QPL8" s="500"/>
      <c r="QPM8" s="500"/>
      <c r="QPN8" s="500"/>
      <c r="QPO8" s="500"/>
      <c r="QPP8" s="500"/>
      <c r="QPQ8" s="500"/>
      <c r="QPR8" s="500"/>
      <c r="QPS8" s="500"/>
      <c r="QPT8" s="500"/>
      <c r="QPU8" s="500"/>
      <c r="QPV8" s="500"/>
      <c r="QPW8" s="500"/>
      <c r="QPX8" s="500"/>
      <c r="QPY8" s="500"/>
      <c r="QPZ8" s="500"/>
      <c r="QQA8" s="500"/>
      <c r="QQB8" s="500"/>
      <c r="QQC8" s="500"/>
      <c r="QQD8" s="500"/>
      <c r="QQE8" s="500"/>
      <c r="QQF8" s="500"/>
      <c r="QQG8" s="500"/>
      <c r="QQH8" s="500"/>
      <c r="QQI8" s="500"/>
      <c r="QQJ8" s="500"/>
      <c r="QQK8" s="500"/>
      <c r="QQL8" s="500"/>
      <c r="QQM8" s="500"/>
      <c r="QQN8" s="500"/>
      <c r="QQO8" s="500"/>
      <c r="QQP8" s="500"/>
      <c r="QQQ8" s="500"/>
      <c r="QQR8" s="500"/>
      <c r="QQS8" s="500"/>
      <c r="QQT8" s="500"/>
      <c r="QQU8" s="500"/>
      <c r="QQV8" s="500"/>
      <c r="QQW8" s="500"/>
      <c r="QQX8" s="500"/>
      <c r="QQY8" s="500"/>
      <c r="QQZ8" s="500"/>
      <c r="QRA8" s="500"/>
      <c r="QRB8" s="500"/>
      <c r="QRC8" s="500"/>
      <c r="QRD8" s="500"/>
      <c r="QRE8" s="500"/>
      <c r="QRF8" s="500"/>
      <c r="QRG8" s="500"/>
      <c r="QRH8" s="500"/>
      <c r="QRI8" s="500"/>
      <c r="QRJ8" s="500"/>
      <c r="QRK8" s="500"/>
      <c r="QRL8" s="500"/>
      <c r="QRM8" s="500"/>
      <c r="QRN8" s="500"/>
      <c r="QRO8" s="500"/>
      <c r="QRP8" s="500"/>
      <c r="QRQ8" s="500"/>
      <c r="QRR8" s="500"/>
      <c r="QRS8" s="500"/>
      <c r="QRT8" s="500"/>
      <c r="QRU8" s="500"/>
      <c r="QRV8" s="500"/>
      <c r="QRW8" s="500"/>
      <c r="QRX8" s="500"/>
      <c r="QRY8" s="500"/>
      <c r="QRZ8" s="500"/>
      <c r="QSA8" s="500"/>
      <c r="QSB8" s="500"/>
      <c r="QSC8" s="500"/>
      <c r="QSD8" s="500"/>
      <c r="QSE8" s="500"/>
      <c r="QSF8" s="500"/>
      <c r="QSG8" s="500"/>
      <c r="QSH8" s="500"/>
      <c r="QSI8" s="500"/>
      <c r="QSJ8" s="500"/>
      <c r="QSK8" s="500"/>
      <c r="QSL8" s="500"/>
      <c r="QSM8" s="500"/>
      <c r="QSN8" s="500"/>
      <c r="QSO8" s="500"/>
      <c r="QSP8" s="500"/>
      <c r="QSQ8" s="500"/>
      <c r="QSR8" s="500"/>
      <c r="QSS8" s="500"/>
      <c r="QST8" s="500"/>
      <c r="QSU8" s="500"/>
      <c r="QSV8" s="500"/>
      <c r="QSW8" s="500"/>
      <c r="QSX8" s="500"/>
      <c r="QSY8" s="500"/>
      <c r="QSZ8" s="500"/>
      <c r="QTA8" s="500"/>
      <c r="QTB8" s="500"/>
      <c r="QTC8" s="500"/>
      <c r="QTD8" s="500"/>
      <c r="QTE8" s="500"/>
      <c r="QTF8" s="500"/>
      <c r="QTG8" s="500"/>
      <c r="QTH8" s="500"/>
      <c r="QTI8" s="500"/>
      <c r="QTJ8" s="500"/>
      <c r="QTK8" s="500"/>
      <c r="QTL8" s="500"/>
      <c r="QTM8" s="500"/>
      <c r="QTN8" s="500"/>
      <c r="QTO8" s="500"/>
      <c r="QTP8" s="500"/>
      <c r="QTQ8" s="500"/>
      <c r="QTR8" s="500"/>
      <c r="QTS8" s="500"/>
      <c r="QTT8" s="500"/>
      <c r="QTU8" s="500"/>
      <c r="QTV8" s="500"/>
      <c r="QTW8" s="500"/>
      <c r="QTX8" s="500"/>
      <c r="QTY8" s="500"/>
      <c r="QTZ8" s="500"/>
      <c r="QUA8" s="500"/>
      <c r="QUB8" s="500"/>
      <c r="QUC8" s="500"/>
      <c r="QUD8" s="500"/>
      <c r="QUE8" s="500"/>
      <c r="QUF8" s="500"/>
      <c r="QUG8" s="500"/>
      <c r="QUH8" s="500"/>
      <c r="QUI8" s="500"/>
      <c r="QUJ8" s="500"/>
      <c r="QUK8" s="500"/>
      <c r="QUL8" s="500"/>
      <c r="QUM8" s="500"/>
      <c r="QUN8" s="500"/>
      <c r="QUO8" s="500"/>
      <c r="QUP8" s="500"/>
      <c r="QUQ8" s="500"/>
      <c r="QUR8" s="500"/>
      <c r="QUS8" s="500"/>
      <c r="QUT8" s="500"/>
      <c r="QUU8" s="500"/>
      <c r="QUV8" s="500"/>
      <c r="QUW8" s="500"/>
      <c r="QUX8" s="500"/>
      <c r="QUY8" s="500"/>
      <c r="QUZ8" s="500"/>
      <c r="QVA8" s="500"/>
      <c r="QVB8" s="500"/>
      <c r="QVC8" s="500"/>
      <c r="QVD8" s="500"/>
      <c r="QVE8" s="500"/>
      <c r="QVF8" s="500"/>
      <c r="QVG8" s="500"/>
      <c r="QVH8" s="500"/>
      <c r="QVI8" s="500"/>
      <c r="QVJ8" s="500"/>
      <c r="QVK8" s="500"/>
      <c r="QVL8" s="500"/>
      <c r="QVM8" s="500"/>
      <c r="QVN8" s="500"/>
      <c r="QVO8" s="500"/>
      <c r="QVP8" s="500"/>
      <c r="QVQ8" s="500"/>
      <c r="QVR8" s="500"/>
      <c r="QVS8" s="500"/>
      <c r="QVT8" s="500"/>
      <c r="QVU8" s="500"/>
      <c r="QVV8" s="500"/>
      <c r="QVW8" s="500"/>
      <c r="QVX8" s="500"/>
      <c r="QVY8" s="500"/>
      <c r="QVZ8" s="500"/>
      <c r="QWA8" s="500"/>
      <c r="QWB8" s="500"/>
      <c r="QWC8" s="500"/>
      <c r="QWD8" s="500"/>
      <c r="QWE8" s="500"/>
      <c r="QWF8" s="500"/>
      <c r="QWG8" s="500"/>
      <c r="QWH8" s="500"/>
      <c r="QWI8" s="500"/>
      <c r="QWJ8" s="500"/>
      <c r="QWK8" s="500"/>
      <c r="QWL8" s="500"/>
      <c r="QWM8" s="500"/>
      <c r="QWN8" s="500"/>
      <c r="QWO8" s="500"/>
      <c r="QWP8" s="500"/>
      <c r="QWQ8" s="500"/>
      <c r="QWR8" s="500"/>
      <c r="QWS8" s="500"/>
      <c r="QWT8" s="500"/>
      <c r="QWU8" s="500"/>
      <c r="QWV8" s="500"/>
      <c r="QWW8" s="500"/>
      <c r="QWX8" s="500"/>
      <c r="QWY8" s="500"/>
      <c r="QWZ8" s="500"/>
      <c r="QXA8" s="500"/>
      <c r="QXB8" s="500"/>
      <c r="QXC8" s="500"/>
      <c r="QXD8" s="500"/>
      <c r="QXE8" s="500"/>
      <c r="QXF8" s="500"/>
      <c r="QXG8" s="500"/>
      <c r="QXH8" s="500"/>
      <c r="QXI8" s="500"/>
      <c r="QXJ8" s="500"/>
      <c r="QXK8" s="500"/>
      <c r="QXL8" s="500"/>
      <c r="QXM8" s="500"/>
      <c r="QXN8" s="500"/>
      <c r="QXO8" s="500"/>
      <c r="QXP8" s="500"/>
      <c r="QXQ8" s="500"/>
      <c r="QXR8" s="500"/>
      <c r="QXS8" s="500"/>
      <c r="QXT8" s="500"/>
      <c r="QXU8" s="500"/>
      <c r="QXV8" s="500"/>
      <c r="QXW8" s="500"/>
      <c r="QXX8" s="500"/>
      <c r="QXY8" s="500"/>
      <c r="QXZ8" s="500"/>
      <c r="QYA8" s="500"/>
      <c r="QYB8" s="500"/>
      <c r="QYC8" s="500"/>
      <c r="QYD8" s="500"/>
      <c r="QYE8" s="500"/>
      <c r="QYF8" s="500"/>
      <c r="QYG8" s="500"/>
      <c r="QYH8" s="500"/>
      <c r="QYI8" s="500"/>
      <c r="QYJ8" s="500"/>
      <c r="QYK8" s="500"/>
      <c r="QYL8" s="500"/>
      <c r="QYM8" s="500"/>
      <c r="QYN8" s="500"/>
      <c r="QYO8" s="500"/>
      <c r="QYP8" s="500"/>
      <c r="QYQ8" s="500"/>
      <c r="QYR8" s="500"/>
      <c r="QYS8" s="500"/>
      <c r="QYT8" s="500"/>
      <c r="QYU8" s="500"/>
      <c r="QYV8" s="500"/>
      <c r="QYW8" s="500"/>
      <c r="QYX8" s="500"/>
      <c r="QYY8" s="500"/>
      <c r="QYZ8" s="500"/>
      <c r="QZA8" s="500"/>
      <c r="QZB8" s="500"/>
      <c r="QZC8" s="500"/>
      <c r="QZD8" s="500"/>
      <c r="QZE8" s="500"/>
      <c r="QZF8" s="500"/>
      <c r="QZG8" s="500"/>
      <c r="QZH8" s="500"/>
      <c r="QZI8" s="500"/>
      <c r="QZJ8" s="500"/>
      <c r="QZK8" s="500"/>
      <c r="QZL8" s="500"/>
      <c r="QZM8" s="500"/>
      <c r="QZN8" s="500"/>
      <c r="QZO8" s="500"/>
      <c r="QZP8" s="500"/>
      <c r="QZQ8" s="500"/>
      <c r="QZR8" s="500"/>
      <c r="QZS8" s="500"/>
      <c r="QZT8" s="500"/>
      <c r="QZU8" s="500"/>
      <c r="QZV8" s="500"/>
      <c r="QZW8" s="500"/>
      <c r="QZX8" s="500"/>
      <c r="QZY8" s="500"/>
      <c r="QZZ8" s="500"/>
      <c r="RAA8" s="500"/>
      <c r="RAB8" s="500"/>
      <c r="RAC8" s="500"/>
      <c r="RAD8" s="500"/>
      <c r="RAE8" s="500"/>
      <c r="RAF8" s="500"/>
      <c r="RAG8" s="500"/>
      <c r="RAH8" s="500"/>
      <c r="RAI8" s="500"/>
      <c r="RAJ8" s="500"/>
      <c r="RAK8" s="500"/>
      <c r="RAL8" s="500"/>
      <c r="RAM8" s="500"/>
      <c r="RAN8" s="500"/>
      <c r="RAO8" s="500"/>
      <c r="RAP8" s="500"/>
      <c r="RAQ8" s="500"/>
      <c r="RAR8" s="500"/>
      <c r="RAS8" s="500"/>
      <c r="RAT8" s="500"/>
      <c r="RAU8" s="500"/>
      <c r="RAV8" s="500"/>
      <c r="RAW8" s="500"/>
      <c r="RAX8" s="500"/>
      <c r="RAY8" s="500"/>
      <c r="RAZ8" s="500"/>
      <c r="RBA8" s="500"/>
      <c r="RBB8" s="500"/>
      <c r="RBC8" s="500"/>
      <c r="RBD8" s="500"/>
      <c r="RBE8" s="500"/>
      <c r="RBF8" s="500"/>
      <c r="RBG8" s="500"/>
      <c r="RBH8" s="500"/>
      <c r="RBI8" s="500"/>
      <c r="RBJ8" s="500"/>
      <c r="RBK8" s="500"/>
      <c r="RBL8" s="500"/>
      <c r="RBM8" s="500"/>
      <c r="RBN8" s="500"/>
      <c r="RBO8" s="500"/>
      <c r="RBP8" s="500"/>
      <c r="RBQ8" s="500"/>
      <c r="RBR8" s="500"/>
      <c r="RBS8" s="500"/>
      <c r="RBT8" s="500"/>
      <c r="RBU8" s="500"/>
      <c r="RBV8" s="500"/>
      <c r="RBW8" s="500"/>
      <c r="RBX8" s="500"/>
      <c r="RBY8" s="500"/>
      <c r="RBZ8" s="500"/>
      <c r="RCA8" s="500"/>
      <c r="RCB8" s="500"/>
      <c r="RCC8" s="500"/>
      <c r="RCD8" s="500"/>
      <c r="RCE8" s="500"/>
      <c r="RCF8" s="500"/>
      <c r="RCG8" s="500"/>
      <c r="RCH8" s="500"/>
      <c r="RCI8" s="500"/>
      <c r="RCJ8" s="500"/>
      <c r="RCK8" s="500"/>
      <c r="RCL8" s="500"/>
      <c r="RCM8" s="500"/>
      <c r="RCN8" s="500"/>
      <c r="RCO8" s="500"/>
      <c r="RCP8" s="500"/>
      <c r="RCQ8" s="500"/>
      <c r="RCR8" s="500"/>
      <c r="RCS8" s="500"/>
      <c r="RCT8" s="500"/>
      <c r="RCU8" s="500"/>
      <c r="RCV8" s="500"/>
      <c r="RCW8" s="500"/>
      <c r="RCX8" s="500"/>
      <c r="RCY8" s="500"/>
      <c r="RCZ8" s="500"/>
      <c r="RDA8" s="500"/>
      <c r="RDB8" s="500"/>
      <c r="RDC8" s="500"/>
      <c r="RDD8" s="500"/>
      <c r="RDE8" s="500"/>
      <c r="RDF8" s="500"/>
      <c r="RDG8" s="500"/>
      <c r="RDH8" s="500"/>
      <c r="RDI8" s="500"/>
      <c r="RDJ8" s="500"/>
      <c r="RDK8" s="500"/>
      <c r="RDL8" s="500"/>
      <c r="RDM8" s="500"/>
      <c r="RDN8" s="500"/>
      <c r="RDO8" s="500"/>
      <c r="RDP8" s="500"/>
      <c r="RDQ8" s="500"/>
      <c r="RDR8" s="500"/>
      <c r="RDS8" s="500"/>
      <c r="RDT8" s="500"/>
      <c r="RDU8" s="500"/>
      <c r="RDV8" s="500"/>
      <c r="RDW8" s="500"/>
      <c r="RDX8" s="500"/>
      <c r="RDY8" s="500"/>
      <c r="RDZ8" s="500"/>
      <c r="REA8" s="500"/>
      <c r="REB8" s="500"/>
      <c r="REC8" s="500"/>
      <c r="RED8" s="500"/>
      <c r="REE8" s="500"/>
      <c r="REF8" s="500"/>
      <c r="REG8" s="500"/>
      <c r="REH8" s="500"/>
      <c r="REI8" s="500"/>
      <c r="REJ8" s="500"/>
      <c r="REK8" s="500"/>
      <c r="REL8" s="500"/>
      <c r="REM8" s="500"/>
      <c r="REN8" s="500"/>
      <c r="REO8" s="500"/>
      <c r="REP8" s="500"/>
      <c r="REQ8" s="500"/>
      <c r="RER8" s="500"/>
      <c r="RES8" s="500"/>
      <c r="RET8" s="500"/>
      <c r="REU8" s="500"/>
      <c r="REV8" s="500"/>
      <c r="REW8" s="500"/>
      <c r="REX8" s="500"/>
      <c r="REY8" s="500"/>
      <c r="REZ8" s="500"/>
      <c r="RFA8" s="500"/>
      <c r="RFB8" s="500"/>
      <c r="RFC8" s="500"/>
      <c r="RFD8" s="500"/>
      <c r="RFE8" s="500"/>
      <c r="RFF8" s="500"/>
      <c r="RFG8" s="500"/>
      <c r="RFH8" s="500"/>
      <c r="RFI8" s="500"/>
      <c r="RFJ8" s="500"/>
      <c r="RFK8" s="500"/>
      <c r="RFL8" s="500"/>
      <c r="RFM8" s="500"/>
      <c r="RFN8" s="500"/>
      <c r="RFO8" s="500"/>
      <c r="RFP8" s="500"/>
      <c r="RFQ8" s="500"/>
      <c r="RFR8" s="500"/>
      <c r="RFS8" s="500"/>
      <c r="RFT8" s="500"/>
      <c r="RFU8" s="500"/>
      <c r="RFV8" s="500"/>
      <c r="RFW8" s="500"/>
      <c r="RFX8" s="500"/>
      <c r="RFY8" s="500"/>
      <c r="RFZ8" s="500"/>
      <c r="RGA8" s="500"/>
      <c r="RGB8" s="500"/>
      <c r="RGC8" s="500"/>
      <c r="RGD8" s="500"/>
      <c r="RGE8" s="500"/>
      <c r="RGF8" s="500"/>
      <c r="RGG8" s="500"/>
      <c r="RGH8" s="500"/>
      <c r="RGI8" s="500"/>
      <c r="RGJ8" s="500"/>
      <c r="RGK8" s="500"/>
      <c r="RGL8" s="500"/>
      <c r="RGM8" s="500"/>
      <c r="RGN8" s="500"/>
      <c r="RGO8" s="500"/>
      <c r="RGP8" s="500"/>
      <c r="RGQ8" s="500"/>
      <c r="RGR8" s="500"/>
      <c r="RGS8" s="500"/>
      <c r="RGT8" s="500"/>
      <c r="RGU8" s="500"/>
      <c r="RGV8" s="500"/>
      <c r="RGW8" s="500"/>
      <c r="RGX8" s="500"/>
      <c r="RGY8" s="500"/>
      <c r="RGZ8" s="500"/>
      <c r="RHA8" s="500"/>
      <c r="RHB8" s="500"/>
      <c r="RHC8" s="500"/>
      <c r="RHD8" s="500"/>
      <c r="RHE8" s="500"/>
      <c r="RHF8" s="500"/>
      <c r="RHG8" s="500"/>
      <c r="RHH8" s="500"/>
      <c r="RHI8" s="500"/>
      <c r="RHJ8" s="500"/>
      <c r="RHK8" s="500"/>
      <c r="RHL8" s="500"/>
      <c r="RHM8" s="500"/>
      <c r="RHN8" s="500"/>
      <c r="RHO8" s="500"/>
      <c r="RHP8" s="500"/>
      <c r="RHQ8" s="500"/>
      <c r="RHR8" s="500"/>
      <c r="RHS8" s="500"/>
      <c r="RHT8" s="500"/>
      <c r="RHU8" s="500"/>
      <c r="RHV8" s="500"/>
      <c r="RHW8" s="500"/>
      <c r="RHX8" s="500"/>
      <c r="RHY8" s="500"/>
      <c r="RHZ8" s="500"/>
      <c r="RIA8" s="500"/>
      <c r="RIB8" s="500"/>
      <c r="RIC8" s="500"/>
      <c r="RID8" s="500"/>
      <c r="RIE8" s="500"/>
      <c r="RIF8" s="500"/>
      <c r="RIG8" s="500"/>
      <c r="RIH8" s="500"/>
      <c r="RII8" s="500"/>
      <c r="RIJ8" s="500"/>
      <c r="RIK8" s="500"/>
      <c r="RIL8" s="500"/>
      <c r="RIM8" s="500"/>
      <c r="RIN8" s="500"/>
      <c r="RIO8" s="500"/>
      <c r="RIP8" s="500"/>
      <c r="RIQ8" s="500"/>
      <c r="RIR8" s="500"/>
      <c r="RIS8" s="500"/>
      <c r="RIT8" s="500"/>
      <c r="RIU8" s="500"/>
      <c r="RIV8" s="500"/>
      <c r="RIW8" s="500"/>
      <c r="RIX8" s="500"/>
      <c r="RIY8" s="500"/>
      <c r="RIZ8" s="500"/>
      <c r="RJA8" s="500"/>
      <c r="RJB8" s="500"/>
      <c r="RJC8" s="500"/>
      <c r="RJD8" s="500"/>
      <c r="RJE8" s="500"/>
      <c r="RJF8" s="500"/>
      <c r="RJG8" s="500"/>
      <c r="RJH8" s="500"/>
      <c r="RJI8" s="500"/>
      <c r="RJJ8" s="500"/>
      <c r="RJK8" s="500"/>
      <c r="RJL8" s="500"/>
      <c r="RJM8" s="500"/>
      <c r="RJN8" s="500"/>
      <c r="RJO8" s="500"/>
      <c r="RJP8" s="500"/>
      <c r="RJQ8" s="500"/>
      <c r="RJR8" s="500"/>
      <c r="RJS8" s="500"/>
      <c r="RJT8" s="500"/>
      <c r="RJU8" s="500"/>
      <c r="RJV8" s="500"/>
      <c r="RJW8" s="500"/>
      <c r="RJX8" s="500"/>
      <c r="RJY8" s="500"/>
      <c r="RJZ8" s="500"/>
      <c r="RKA8" s="500"/>
      <c r="RKB8" s="500"/>
      <c r="RKC8" s="500"/>
      <c r="RKD8" s="500"/>
      <c r="RKE8" s="500"/>
      <c r="RKF8" s="500"/>
      <c r="RKG8" s="500"/>
      <c r="RKH8" s="500"/>
      <c r="RKI8" s="500"/>
      <c r="RKJ8" s="500"/>
      <c r="RKK8" s="500"/>
      <c r="RKL8" s="500"/>
      <c r="RKM8" s="500"/>
      <c r="RKN8" s="500"/>
      <c r="RKO8" s="500"/>
      <c r="RKP8" s="500"/>
      <c r="RKQ8" s="500"/>
      <c r="RKR8" s="500"/>
      <c r="RKS8" s="500"/>
      <c r="RKT8" s="500"/>
      <c r="RKU8" s="500"/>
      <c r="RKV8" s="500"/>
      <c r="RKW8" s="500"/>
      <c r="RKX8" s="500"/>
      <c r="RKY8" s="500"/>
      <c r="RKZ8" s="500"/>
      <c r="RLA8" s="500"/>
      <c r="RLB8" s="500"/>
      <c r="RLC8" s="500"/>
      <c r="RLD8" s="500"/>
      <c r="RLE8" s="500"/>
      <c r="RLF8" s="500"/>
      <c r="RLG8" s="500"/>
      <c r="RLH8" s="500"/>
      <c r="RLI8" s="500"/>
      <c r="RLJ8" s="500"/>
      <c r="RLK8" s="500"/>
      <c r="RLL8" s="500"/>
      <c r="RLM8" s="500"/>
      <c r="RLN8" s="500"/>
      <c r="RLO8" s="500"/>
      <c r="RLP8" s="500"/>
      <c r="RLQ8" s="500"/>
      <c r="RLR8" s="500"/>
      <c r="RLS8" s="500"/>
      <c r="RLT8" s="500"/>
      <c r="RLU8" s="500"/>
      <c r="RLV8" s="500"/>
      <c r="RLW8" s="500"/>
      <c r="RLX8" s="500"/>
      <c r="RLY8" s="500"/>
      <c r="RLZ8" s="500"/>
      <c r="RMA8" s="500"/>
      <c r="RMB8" s="500"/>
      <c r="RMC8" s="500"/>
      <c r="RMD8" s="500"/>
      <c r="RME8" s="500"/>
      <c r="RMF8" s="500"/>
      <c r="RMG8" s="500"/>
      <c r="RMH8" s="500"/>
      <c r="RMI8" s="500"/>
      <c r="RMJ8" s="500"/>
      <c r="RMK8" s="500"/>
      <c r="RML8" s="500"/>
      <c r="RMM8" s="500"/>
      <c r="RMN8" s="500"/>
      <c r="RMO8" s="500"/>
      <c r="RMP8" s="500"/>
      <c r="RMQ8" s="500"/>
      <c r="RMR8" s="500"/>
      <c r="RMS8" s="500"/>
      <c r="RMT8" s="500"/>
      <c r="RMU8" s="500"/>
      <c r="RMV8" s="500"/>
      <c r="RMW8" s="500"/>
      <c r="RMX8" s="500"/>
      <c r="RMY8" s="500"/>
      <c r="RMZ8" s="500"/>
      <c r="RNA8" s="500"/>
      <c r="RNB8" s="500"/>
      <c r="RNC8" s="500"/>
      <c r="RND8" s="500"/>
      <c r="RNE8" s="500"/>
      <c r="RNF8" s="500"/>
      <c r="RNG8" s="500"/>
      <c r="RNH8" s="500"/>
      <c r="RNI8" s="500"/>
      <c r="RNJ8" s="500"/>
      <c r="RNK8" s="500"/>
      <c r="RNL8" s="500"/>
      <c r="RNM8" s="500"/>
      <c r="RNN8" s="500"/>
      <c r="RNO8" s="500"/>
      <c r="RNP8" s="500"/>
      <c r="RNQ8" s="500"/>
      <c r="RNR8" s="500"/>
      <c r="RNS8" s="500"/>
      <c r="RNT8" s="500"/>
      <c r="RNU8" s="500"/>
      <c r="RNV8" s="500"/>
      <c r="RNW8" s="500"/>
      <c r="RNX8" s="500"/>
      <c r="RNY8" s="500"/>
      <c r="RNZ8" s="500"/>
      <c r="ROA8" s="500"/>
      <c r="ROB8" s="500"/>
      <c r="ROC8" s="500"/>
      <c r="ROD8" s="500"/>
      <c r="ROE8" s="500"/>
      <c r="ROF8" s="500"/>
      <c r="ROG8" s="500"/>
      <c r="ROH8" s="500"/>
      <c r="ROI8" s="500"/>
      <c r="ROJ8" s="500"/>
      <c r="ROK8" s="500"/>
      <c r="ROL8" s="500"/>
      <c r="ROM8" s="500"/>
      <c r="RON8" s="500"/>
      <c r="ROO8" s="500"/>
      <c r="ROP8" s="500"/>
      <c r="ROQ8" s="500"/>
      <c r="ROR8" s="500"/>
      <c r="ROS8" s="500"/>
      <c r="ROT8" s="500"/>
      <c r="ROU8" s="500"/>
      <c r="ROV8" s="500"/>
      <c r="ROW8" s="500"/>
      <c r="ROX8" s="500"/>
      <c r="ROY8" s="500"/>
      <c r="ROZ8" s="500"/>
      <c r="RPA8" s="500"/>
      <c r="RPB8" s="500"/>
      <c r="RPC8" s="500"/>
      <c r="RPD8" s="500"/>
      <c r="RPE8" s="500"/>
      <c r="RPF8" s="500"/>
      <c r="RPG8" s="500"/>
      <c r="RPH8" s="500"/>
      <c r="RPI8" s="500"/>
      <c r="RPJ8" s="500"/>
      <c r="RPK8" s="500"/>
      <c r="RPL8" s="500"/>
      <c r="RPM8" s="500"/>
      <c r="RPN8" s="500"/>
      <c r="RPO8" s="500"/>
      <c r="RPP8" s="500"/>
      <c r="RPQ8" s="500"/>
      <c r="RPR8" s="500"/>
      <c r="RPS8" s="500"/>
      <c r="RPT8" s="500"/>
      <c r="RPU8" s="500"/>
      <c r="RPV8" s="500"/>
      <c r="RPW8" s="500"/>
      <c r="RPX8" s="500"/>
      <c r="RPY8" s="500"/>
      <c r="RPZ8" s="500"/>
      <c r="RQA8" s="500"/>
      <c r="RQB8" s="500"/>
      <c r="RQC8" s="500"/>
      <c r="RQD8" s="500"/>
      <c r="RQE8" s="500"/>
      <c r="RQF8" s="500"/>
      <c r="RQG8" s="500"/>
      <c r="RQH8" s="500"/>
      <c r="RQI8" s="500"/>
      <c r="RQJ8" s="500"/>
      <c r="RQK8" s="500"/>
      <c r="RQL8" s="500"/>
      <c r="RQM8" s="500"/>
      <c r="RQN8" s="500"/>
      <c r="RQO8" s="500"/>
      <c r="RQP8" s="500"/>
      <c r="RQQ8" s="500"/>
      <c r="RQR8" s="500"/>
      <c r="RQS8" s="500"/>
      <c r="RQT8" s="500"/>
      <c r="RQU8" s="500"/>
      <c r="RQV8" s="500"/>
      <c r="RQW8" s="500"/>
      <c r="RQX8" s="500"/>
      <c r="RQY8" s="500"/>
      <c r="RQZ8" s="500"/>
      <c r="RRA8" s="500"/>
      <c r="RRB8" s="500"/>
      <c r="RRC8" s="500"/>
      <c r="RRD8" s="500"/>
      <c r="RRE8" s="500"/>
      <c r="RRF8" s="500"/>
      <c r="RRG8" s="500"/>
      <c r="RRH8" s="500"/>
      <c r="RRI8" s="500"/>
      <c r="RRJ8" s="500"/>
      <c r="RRK8" s="500"/>
      <c r="RRL8" s="500"/>
      <c r="RRM8" s="500"/>
      <c r="RRN8" s="500"/>
      <c r="RRO8" s="500"/>
      <c r="RRP8" s="500"/>
      <c r="RRQ8" s="500"/>
      <c r="RRR8" s="500"/>
      <c r="RRS8" s="500"/>
      <c r="RRT8" s="500"/>
      <c r="RRU8" s="500"/>
      <c r="RRV8" s="500"/>
      <c r="RRW8" s="500"/>
      <c r="RRX8" s="500"/>
      <c r="RRY8" s="500"/>
      <c r="RRZ8" s="500"/>
      <c r="RSA8" s="500"/>
      <c r="RSB8" s="500"/>
      <c r="RSC8" s="500"/>
      <c r="RSD8" s="500"/>
      <c r="RSE8" s="500"/>
      <c r="RSF8" s="500"/>
      <c r="RSG8" s="500"/>
      <c r="RSH8" s="500"/>
      <c r="RSI8" s="500"/>
      <c r="RSJ8" s="500"/>
      <c r="RSK8" s="500"/>
      <c r="RSL8" s="500"/>
      <c r="RSM8" s="500"/>
      <c r="RSN8" s="500"/>
      <c r="RSO8" s="500"/>
      <c r="RSP8" s="500"/>
      <c r="RSQ8" s="500"/>
      <c r="RSR8" s="500"/>
      <c r="RSS8" s="500"/>
      <c r="RST8" s="500"/>
      <c r="RSU8" s="500"/>
      <c r="RSV8" s="500"/>
      <c r="RSW8" s="500"/>
      <c r="RSX8" s="500"/>
      <c r="RSY8" s="500"/>
      <c r="RSZ8" s="500"/>
      <c r="RTA8" s="500"/>
      <c r="RTB8" s="500"/>
      <c r="RTC8" s="500"/>
      <c r="RTD8" s="500"/>
      <c r="RTE8" s="500"/>
      <c r="RTF8" s="500"/>
      <c r="RTG8" s="500"/>
      <c r="RTH8" s="500"/>
      <c r="RTI8" s="500"/>
      <c r="RTJ8" s="500"/>
      <c r="RTK8" s="500"/>
      <c r="RTL8" s="500"/>
      <c r="RTM8" s="500"/>
      <c r="RTN8" s="500"/>
      <c r="RTO8" s="500"/>
      <c r="RTP8" s="500"/>
      <c r="RTQ8" s="500"/>
      <c r="RTR8" s="500"/>
      <c r="RTS8" s="500"/>
      <c r="RTT8" s="500"/>
      <c r="RTU8" s="500"/>
      <c r="RTV8" s="500"/>
      <c r="RTW8" s="500"/>
      <c r="RTX8" s="500"/>
      <c r="RTY8" s="500"/>
      <c r="RTZ8" s="500"/>
      <c r="RUA8" s="500"/>
      <c r="RUB8" s="500"/>
      <c r="RUC8" s="500"/>
      <c r="RUD8" s="500"/>
      <c r="RUE8" s="500"/>
      <c r="RUF8" s="500"/>
      <c r="RUG8" s="500"/>
      <c r="RUH8" s="500"/>
      <c r="RUI8" s="500"/>
      <c r="RUJ8" s="500"/>
      <c r="RUK8" s="500"/>
      <c r="RUL8" s="500"/>
      <c r="RUM8" s="500"/>
      <c r="RUN8" s="500"/>
      <c r="RUO8" s="500"/>
      <c r="RUP8" s="500"/>
      <c r="RUQ8" s="500"/>
      <c r="RUR8" s="500"/>
      <c r="RUS8" s="500"/>
      <c r="RUT8" s="500"/>
      <c r="RUU8" s="500"/>
      <c r="RUV8" s="500"/>
      <c r="RUW8" s="500"/>
      <c r="RUX8" s="500"/>
      <c r="RUY8" s="500"/>
      <c r="RUZ8" s="500"/>
      <c r="RVA8" s="500"/>
      <c r="RVB8" s="500"/>
      <c r="RVC8" s="500"/>
      <c r="RVD8" s="500"/>
      <c r="RVE8" s="500"/>
      <c r="RVF8" s="500"/>
      <c r="RVG8" s="500"/>
      <c r="RVH8" s="500"/>
      <c r="RVI8" s="500"/>
      <c r="RVJ8" s="500"/>
      <c r="RVK8" s="500"/>
      <c r="RVL8" s="500"/>
      <c r="RVM8" s="500"/>
      <c r="RVN8" s="500"/>
      <c r="RVO8" s="500"/>
      <c r="RVP8" s="500"/>
      <c r="RVQ8" s="500"/>
      <c r="RVR8" s="500"/>
      <c r="RVS8" s="500"/>
      <c r="RVT8" s="500"/>
      <c r="RVU8" s="500"/>
      <c r="RVV8" s="500"/>
      <c r="RVW8" s="500"/>
      <c r="RVX8" s="500"/>
      <c r="RVY8" s="500"/>
      <c r="RVZ8" s="500"/>
      <c r="RWA8" s="500"/>
      <c r="RWB8" s="500"/>
      <c r="RWC8" s="500"/>
      <c r="RWD8" s="500"/>
      <c r="RWE8" s="500"/>
      <c r="RWF8" s="500"/>
      <c r="RWG8" s="500"/>
      <c r="RWH8" s="500"/>
      <c r="RWI8" s="500"/>
      <c r="RWJ8" s="500"/>
      <c r="RWK8" s="500"/>
      <c r="RWL8" s="500"/>
      <c r="RWM8" s="500"/>
      <c r="RWN8" s="500"/>
      <c r="RWO8" s="500"/>
      <c r="RWP8" s="500"/>
      <c r="RWQ8" s="500"/>
      <c r="RWR8" s="500"/>
      <c r="RWS8" s="500"/>
      <c r="RWT8" s="500"/>
      <c r="RWU8" s="500"/>
      <c r="RWV8" s="500"/>
      <c r="RWW8" s="500"/>
      <c r="RWX8" s="500"/>
      <c r="RWY8" s="500"/>
      <c r="RWZ8" s="500"/>
      <c r="RXA8" s="500"/>
      <c r="RXB8" s="500"/>
      <c r="RXC8" s="500"/>
      <c r="RXD8" s="500"/>
      <c r="RXE8" s="500"/>
      <c r="RXF8" s="500"/>
      <c r="RXG8" s="500"/>
      <c r="RXH8" s="500"/>
      <c r="RXI8" s="500"/>
      <c r="RXJ8" s="500"/>
      <c r="RXK8" s="500"/>
      <c r="RXL8" s="500"/>
      <c r="RXM8" s="500"/>
      <c r="RXN8" s="500"/>
      <c r="RXO8" s="500"/>
      <c r="RXP8" s="500"/>
      <c r="RXQ8" s="500"/>
      <c r="RXR8" s="500"/>
      <c r="RXS8" s="500"/>
      <c r="RXT8" s="500"/>
      <c r="RXU8" s="500"/>
      <c r="RXV8" s="500"/>
      <c r="RXW8" s="500"/>
      <c r="RXX8" s="500"/>
      <c r="RXY8" s="500"/>
      <c r="RXZ8" s="500"/>
      <c r="RYA8" s="500"/>
      <c r="RYB8" s="500"/>
      <c r="RYC8" s="500"/>
      <c r="RYD8" s="500"/>
      <c r="RYE8" s="500"/>
      <c r="RYF8" s="500"/>
      <c r="RYG8" s="500"/>
      <c r="RYH8" s="500"/>
      <c r="RYI8" s="500"/>
      <c r="RYJ8" s="500"/>
      <c r="RYK8" s="500"/>
      <c r="RYL8" s="500"/>
      <c r="RYM8" s="500"/>
      <c r="RYN8" s="500"/>
      <c r="RYO8" s="500"/>
      <c r="RYP8" s="500"/>
      <c r="RYQ8" s="500"/>
      <c r="RYR8" s="500"/>
      <c r="RYS8" s="500"/>
      <c r="RYT8" s="500"/>
      <c r="RYU8" s="500"/>
      <c r="RYV8" s="500"/>
      <c r="RYW8" s="500"/>
      <c r="RYX8" s="500"/>
      <c r="RYY8" s="500"/>
      <c r="RYZ8" s="500"/>
      <c r="RZA8" s="500"/>
      <c r="RZB8" s="500"/>
      <c r="RZC8" s="500"/>
      <c r="RZD8" s="500"/>
      <c r="RZE8" s="500"/>
      <c r="RZF8" s="500"/>
      <c r="RZG8" s="500"/>
      <c r="RZH8" s="500"/>
      <c r="RZI8" s="500"/>
      <c r="RZJ8" s="500"/>
      <c r="RZK8" s="500"/>
      <c r="RZL8" s="500"/>
      <c r="RZM8" s="500"/>
      <c r="RZN8" s="500"/>
      <c r="RZO8" s="500"/>
      <c r="RZP8" s="500"/>
      <c r="RZQ8" s="500"/>
      <c r="RZR8" s="500"/>
      <c r="RZS8" s="500"/>
      <c r="RZT8" s="500"/>
      <c r="RZU8" s="500"/>
      <c r="RZV8" s="500"/>
      <c r="RZW8" s="500"/>
      <c r="RZX8" s="500"/>
      <c r="RZY8" s="500"/>
      <c r="RZZ8" s="500"/>
      <c r="SAA8" s="500"/>
      <c r="SAB8" s="500"/>
      <c r="SAC8" s="500"/>
      <c r="SAD8" s="500"/>
      <c r="SAE8" s="500"/>
      <c r="SAF8" s="500"/>
      <c r="SAG8" s="500"/>
      <c r="SAH8" s="500"/>
      <c r="SAI8" s="500"/>
      <c r="SAJ8" s="500"/>
      <c r="SAK8" s="500"/>
      <c r="SAL8" s="500"/>
      <c r="SAM8" s="500"/>
      <c r="SAN8" s="500"/>
      <c r="SAO8" s="500"/>
      <c r="SAP8" s="500"/>
      <c r="SAQ8" s="500"/>
      <c r="SAR8" s="500"/>
      <c r="SAS8" s="500"/>
      <c r="SAT8" s="500"/>
      <c r="SAU8" s="500"/>
      <c r="SAV8" s="500"/>
      <c r="SAW8" s="500"/>
      <c r="SAX8" s="500"/>
      <c r="SAY8" s="500"/>
      <c r="SAZ8" s="500"/>
      <c r="SBA8" s="500"/>
      <c r="SBB8" s="500"/>
      <c r="SBC8" s="500"/>
      <c r="SBD8" s="500"/>
      <c r="SBE8" s="500"/>
      <c r="SBF8" s="500"/>
      <c r="SBG8" s="500"/>
      <c r="SBH8" s="500"/>
      <c r="SBI8" s="500"/>
      <c r="SBJ8" s="500"/>
      <c r="SBK8" s="500"/>
      <c r="SBL8" s="500"/>
      <c r="SBM8" s="500"/>
      <c r="SBN8" s="500"/>
      <c r="SBO8" s="500"/>
      <c r="SBP8" s="500"/>
      <c r="SBQ8" s="500"/>
      <c r="SBR8" s="500"/>
      <c r="SBS8" s="500"/>
      <c r="SBT8" s="500"/>
      <c r="SBU8" s="500"/>
      <c r="SBV8" s="500"/>
      <c r="SBW8" s="500"/>
      <c r="SBX8" s="500"/>
      <c r="SBY8" s="500"/>
      <c r="SBZ8" s="500"/>
      <c r="SCA8" s="500"/>
      <c r="SCB8" s="500"/>
      <c r="SCC8" s="500"/>
      <c r="SCD8" s="500"/>
      <c r="SCE8" s="500"/>
      <c r="SCF8" s="500"/>
      <c r="SCG8" s="500"/>
      <c r="SCH8" s="500"/>
      <c r="SCI8" s="500"/>
      <c r="SCJ8" s="500"/>
      <c r="SCK8" s="500"/>
      <c r="SCL8" s="500"/>
      <c r="SCM8" s="500"/>
      <c r="SCN8" s="500"/>
      <c r="SCO8" s="500"/>
      <c r="SCP8" s="500"/>
      <c r="SCQ8" s="500"/>
      <c r="SCR8" s="500"/>
      <c r="SCS8" s="500"/>
      <c r="SCT8" s="500"/>
      <c r="SCU8" s="500"/>
      <c r="SCV8" s="500"/>
      <c r="SCW8" s="500"/>
      <c r="SCX8" s="500"/>
      <c r="SCY8" s="500"/>
      <c r="SCZ8" s="500"/>
      <c r="SDA8" s="500"/>
      <c r="SDB8" s="500"/>
      <c r="SDC8" s="500"/>
      <c r="SDD8" s="500"/>
      <c r="SDE8" s="500"/>
      <c r="SDF8" s="500"/>
      <c r="SDG8" s="500"/>
      <c r="SDH8" s="500"/>
      <c r="SDI8" s="500"/>
      <c r="SDJ8" s="500"/>
      <c r="SDK8" s="500"/>
      <c r="SDL8" s="500"/>
      <c r="SDM8" s="500"/>
      <c r="SDN8" s="500"/>
      <c r="SDO8" s="500"/>
      <c r="SDP8" s="500"/>
      <c r="SDQ8" s="500"/>
      <c r="SDR8" s="500"/>
      <c r="SDS8" s="500"/>
      <c r="SDT8" s="500"/>
      <c r="SDU8" s="500"/>
      <c r="SDV8" s="500"/>
      <c r="SDW8" s="500"/>
      <c r="SDX8" s="500"/>
      <c r="SDY8" s="500"/>
      <c r="SDZ8" s="500"/>
      <c r="SEA8" s="500"/>
      <c r="SEB8" s="500"/>
      <c r="SEC8" s="500"/>
      <c r="SED8" s="500"/>
      <c r="SEE8" s="500"/>
      <c r="SEF8" s="500"/>
      <c r="SEG8" s="500"/>
      <c r="SEH8" s="500"/>
      <c r="SEI8" s="500"/>
      <c r="SEJ8" s="500"/>
      <c r="SEK8" s="500"/>
      <c r="SEL8" s="500"/>
      <c r="SEM8" s="500"/>
      <c r="SEN8" s="500"/>
      <c r="SEO8" s="500"/>
      <c r="SEP8" s="500"/>
      <c r="SEQ8" s="500"/>
      <c r="SER8" s="500"/>
      <c r="SES8" s="500"/>
      <c r="SET8" s="500"/>
      <c r="SEU8" s="500"/>
      <c r="SEV8" s="500"/>
      <c r="SEW8" s="500"/>
      <c r="SEX8" s="500"/>
      <c r="SEY8" s="500"/>
      <c r="SEZ8" s="500"/>
      <c r="SFA8" s="500"/>
      <c r="SFB8" s="500"/>
      <c r="SFC8" s="500"/>
      <c r="SFD8" s="500"/>
      <c r="SFE8" s="500"/>
      <c r="SFF8" s="500"/>
      <c r="SFG8" s="500"/>
      <c r="SFH8" s="500"/>
      <c r="SFI8" s="500"/>
      <c r="SFJ8" s="500"/>
      <c r="SFK8" s="500"/>
      <c r="SFL8" s="500"/>
      <c r="SFM8" s="500"/>
      <c r="SFN8" s="500"/>
      <c r="SFO8" s="500"/>
      <c r="SFP8" s="500"/>
      <c r="SFQ8" s="500"/>
      <c r="SFR8" s="500"/>
      <c r="SFS8" s="500"/>
      <c r="SFT8" s="500"/>
      <c r="SFU8" s="500"/>
      <c r="SFV8" s="500"/>
      <c r="SFW8" s="500"/>
      <c r="SFX8" s="500"/>
      <c r="SFY8" s="500"/>
      <c r="SFZ8" s="500"/>
      <c r="SGA8" s="500"/>
      <c r="SGB8" s="500"/>
      <c r="SGC8" s="500"/>
      <c r="SGD8" s="500"/>
      <c r="SGE8" s="500"/>
      <c r="SGF8" s="500"/>
      <c r="SGG8" s="500"/>
      <c r="SGH8" s="500"/>
      <c r="SGI8" s="500"/>
      <c r="SGJ8" s="500"/>
      <c r="SGK8" s="500"/>
      <c r="SGL8" s="500"/>
      <c r="SGM8" s="500"/>
      <c r="SGN8" s="500"/>
      <c r="SGO8" s="500"/>
      <c r="SGP8" s="500"/>
      <c r="SGQ8" s="500"/>
      <c r="SGR8" s="500"/>
      <c r="SGS8" s="500"/>
      <c r="SGT8" s="500"/>
      <c r="SGU8" s="500"/>
      <c r="SGV8" s="500"/>
      <c r="SGW8" s="500"/>
      <c r="SGX8" s="500"/>
      <c r="SGY8" s="500"/>
      <c r="SGZ8" s="500"/>
      <c r="SHA8" s="500"/>
      <c r="SHB8" s="500"/>
      <c r="SHC8" s="500"/>
      <c r="SHD8" s="500"/>
      <c r="SHE8" s="500"/>
      <c r="SHF8" s="500"/>
      <c r="SHG8" s="500"/>
      <c r="SHH8" s="500"/>
      <c r="SHI8" s="500"/>
      <c r="SHJ8" s="500"/>
      <c r="SHK8" s="500"/>
      <c r="SHL8" s="500"/>
      <c r="SHM8" s="500"/>
      <c r="SHN8" s="500"/>
      <c r="SHO8" s="500"/>
      <c r="SHP8" s="500"/>
      <c r="SHQ8" s="500"/>
      <c r="SHR8" s="500"/>
      <c r="SHS8" s="500"/>
      <c r="SHT8" s="500"/>
      <c r="SHU8" s="500"/>
      <c r="SHV8" s="500"/>
      <c r="SHW8" s="500"/>
      <c r="SHX8" s="500"/>
      <c r="SHY8" s="500"/>
      <c r="SHZ8" s="500"/>
      <c r="SIA8" s="500"/>
      <c r="SIB8" s="500"/>
      <c r="SIC8" s="500"/>
      <c r="SID8" s="500"/>
      <c r="SIE8" s="500"/>
      <c r="SIF8" s="500"/>
      <c r="SIG8" s="500"/>
      <c r="SIH8" s="500"/>
      <c r="SII8" s="500"/>
      <c r="SIJ8" s="500"/>
      <c r="SIK8" s="500"/>
      <c r="SIL8" s="500"/>
      <c r="SIM8" s="500"/>
      <c r="SIN8" s="500"/>
      <c r="SIO8" s="500"/>
      <c r="SIP8" s="500"/>
      <c r="SIQ8" s="500"/>
      <c r="SIR8" s="500"/>
      <c r="SIS8" s="500"/>
      <c r="SIT8" s="500"/>
      <c r="SIU8" s="500"/>
      <c r="SIV8" s="500"/>
      <c r="SIW8" s="500"/>
      <c r="SIX8" s="500"/>
      <c r="SIY8" s="500"/>
      <c r="SIZ8" s="500"/>
      <c r="SJA8" s="500"/>
      <c r="SJB8" s="500"/>
      <c r="SJC8" s="500"/>
      <c r="SJD8" s="500"/>
      <c r="SJE8" s="500"/>
      <c r="SJF8" s="500"/>
      <c r="SJG8" s="500"/>
      <c r="SJH8" s="500"/>
      <c r="SJI8" s="500"/>
      <c r="SJJ8" s="500"/>
      <c r="SJK8" s="500"/>
      <c r="SJL8" s="500"/>
      <c r="SJM8" s="500"/>
      <c r="SJN8" s="500"/>
      <c r="SJO8" s="500"/>
      <c r="SJP8" s="500"/>
      <c r="SJQ8" s="500"/>
      <c r="SJR8" s="500"/>
      <c r="SJS8" s="500"/>
      <c r="SJT8" s="500"/>
      <c r="SJU8" s="500"/>
      <c r="SJV8" s="500"/>
      <c r="SJW8" s="500"/>
      <c r="SJX8" s="500"/>
      <c r="SJY8" s="500"/>
      <c r="SJZ8" s="500"/>
      <c r="SKA8" s="500"/>
      <c r="SKB8" s="500"/>
      <c r="SKC8" s="500"/>
      <c r="SKD8" s="500"/>
      <c r="SKE8" s="500"/>
      <c r="SKF8" s="500"/>
      <c r="SKG8" s="500"/>
      <c r="SKH8" s="500"/>
      <c r="SKI8" s="500"/>
      <c r="SKJ8" s="500"/>
      <c r="SKK8" s="500"/>
      <c r="SKL8" s="500"/>
      <c r="SKM8" s="500"/>
      <c r="SKN8" s="500"/>
      <c r="SKO8" s="500"/>
      <c r="SKP8" s="500"/>
      <c r="SKQ8" s="500"/>
      <c r="SKR8" s="500"/>
      <c r="SKS8" s="500"/>
      <c r="SKT8" s="500"/>
      <c r="SKU8" s="500"/>
      <c r="SKV8" s="500"/>
      <c r="SKW8" s="500"/>
      <c r="SKX8" s="500"/>
      <c r="SKY8" s="500"/>
      <c r="SKZ8" s="500"/>
      <c r="SLA8" s="500"/>
      <c r="SLB8" s="500"/>
      <c r="SLC8" s="500"/>
      <c r="SLD8" s="500"/>
      <c r="SLE8" s="500"/>
      <c r="SLF8" s="500"/>
      <c r="SLG8" s="500"/>
      <c r="SLH8" s="500"/>
      <c r="SLI8" s="500"/>
      <c r="SLJ8" s="500"/>
      <c r="SLK8" s="500"/>
      <c r="SLL8" s="500"/>
      <c r="SLM8" s="500"/>
      <c r="SLN8" s="500"/>
      <c r="SLO8" s="500"/>
      <c r="SLP8" s="500"/>
      <c r="SLQ8" s="500"/>
      <c r="SLR8" s="500"/>
      <c r="SLS8" s="500"/>
      <c r="SLT8" s="500"/>
      <c r="SLU8" s="500"/>
      <c r="SLV8" s="500"/>
      <c r="SLW8" s="500"/>
      <c r="SLX8" s="500"/>
      <c r="SLY8" s="500"/>
      <c r="SLZ8" s="500"/>
      <c r="SMA8" s="500"/>
      <c r="SMB8" s="500"/>
      <c r="SMC8" s="500"/>
      <c r="SMD8" s="500"/>
      <c r="SME8" s="500"/>
      <c r="SMF8" s="500"/>
      <c r="SMG8" s="500"/>
      <c r="SMH8" s="500"/>
      <c r="SMI8" s="500"/>
      <c r="SMJ8" s="500"/>
      <c r="SMK8" s="500"/>
      <c r="SML8" s="500"/>
      <c r="SMM8" s="500"/>
      <c r="SMN8" s="500"/>
      <c r="SMO8" s="500"/>
      <c r="SMP8" s="500"/>
      <c r="SMQ8" s="500"/>
      <c r="SMR8" s="500"/>
      <c r="SMS8" s="500"/>
      <c r="SMT8" s="500"/>
      <c r="SMU8" s="500"/>
      <c r="SMV8" s="500"/>
      <c r="SMW8" s="500"/>
      <c r="SMX8" s="500"/>
      <c r="SMY8" s="500"/>
      <c r="SMZ8" s="500"/>
      <c r="SNA8" s="500"/>
      <c r="SNB8" s="500"/>
      <c r="SNC8" s="500"/>
      <c r="SND8" s="500"/>
      <c r="SNE8" s="500"/>
      <c r="SNF8" s="500"/>
      <c r="SNG8" s="500"/>
      <c r="SNH8" s="500"/>
      <c r="SNI8" s="500"/>
      <c r="SNJ8" s="500"/>
      <c r="SNK8" s="500"/>
      <c r="SNL8" s="500"/>
      <c r="SNM8" s="500"/>
      <c r="SNN8" s="500"/>
      <c r="SNO8" s="500"/>
      <c r="SNP8" s="500"/>
      <c r="SNQ8" s="500"/>
      <c r="SNR8" s="500"/>
      <c r="SNS8" s="500"/>
      <c r="SNT8" s="500"/>
      <c r="SNU8" s="500"/>
      <c r="SNV8" s="500"/>
      <c r="SNW8" s="500"/>
      <c r="SNX8" s="500"/>
      <c r="SNY8" s="500"/>
      <c r="SNZ8" s="500"/>
      <c r="SOA8" s="500"/>
      <c r="SOB8" s="500"/>
      <c r="SOC8" s="500"/>
      <c r="SOD8" s="500"/>
      <c r="SOE8" s="500"/>
      <c r="SOF8" s="500"/>
      <c r="SOG8" s="500"/>
      <c r="SOH8" s="500"/>
      <c r="SOI8" s="500"/>
      <c r="SOJ8" s="500"/>
      <c r="SOK8" s="500"/>
      <c r="SOL8" s="500"/>
      <c r="SOM8" s="500"/>
      <c r="SON8" s="500"/>
      <c r="SOO8" s="500"/>
      <c r="SOP8" s="500"/>
      <c r="SOQ8" s="500"/>
      <c r="SOR8" s="500"/>
      <c r="SOS8" s="500"/>
      <c r="SOT8" s="500"/>
      <c r="SOU8" s="500"/>
      <c r="SOV8" s="500"/>
      <c r="SOW8" s="500"/>
      <c r="SOX8" s="500"/>
      <c r="SOY8" s="500"/>
      <c r="SOZ8" s="500"/>
      <c r="SPA8" s="500"/>
      <c r="SPB8" s="500"/>
      <c r="SPC8" s="500"/>
      <c r="SPD8" s="500"/>
      <c r="SPE8" s="500"/>
      <c r="SPF8" s="500"/>
      <c r="SPG8" s="500"/>
      <c r="SPH8" s="500"/>
      <c r="SPI8" s="500"/>
      <c r="SPJ8" s="500"/>
      <c r="SPK8" s="500"/>
      <c r="SPL8" s="500"/>
      <c r="SPM8" s="500"/>
      <c r="SPN8" s="500"/>
      <c r="SPO8" s="500"/>
      <c r="SPP8" s="500"/>
      <c r="SPQ8" s="500"/>
      <c r="SPR8" s="500"/>
      <c r="SPS8" s="500"/>
      <c r="SPT8" s="500"/>
      <c r="SPU8" s="500"/>
      <c r="SPV8" s="500"/>
      <c r="SPW8" s="500"/>
      <c r="SPX8" s="500"/>
      <c r="SPY8" s="500"/>
      <c r="SPZ8" s="500"/>
      <c r="SQA8" s="500"/>
      <c r="SQB8" s="500"/>
      <c r="SQC8" s="500"/>
      <c r="SQD8" s="500"/>
      <c r="SQE8" s="500"/>
      <c r="SQF8" s="500"/>
      <c r="SQG8" s="500"/>
      <c r="SQH8" s="500"/>
      <c r="SQI8" s="500"/>
      <c r="SQJ8" s="500"/>
      <c r="SQK8" s="500"/>
      <c r="SQL8" s="500"/>
      <c r="SQM8" s="500"/>
      <c r="SQN8" s="500"/>
      <c r="SQO8" s="500"/>
      <c r="SQP8" s="500"/>
      <c r="SQQ8" s="500"/>
      <c r="SQR8" s="500"/>
      <c r="SQS8" s="500"/>
      <c r="SQT8" s="500"/>
      <c r="SQU8" s="500"/>
      <c r="SQV8" s="500"/>
      <c r="SQW8" s="500"/>
      <c r="SQX8" s="500"/>
      <c r="SQY8" s="500"/>
      <c r="SQZ8" s="500"/>
      <c r="SRA8" s="500"/>
      <c r="SRB8" s="500"/>
      <c r="SRC8" s="500"/>
      <c r="SRD8" s="500"/>
      <c r="SRE8" s="500"/>
      <c r="SRF8" s="500"/>
      <c r="SRG8" s="500"/>
      <c r="SRH8" s="500"/>
      <c r="SRI8" s="500"/>
      <c r="SRJ8" s="500"/>
      <c r="SRK8" s="500"/>
      <c r="SRL8" s="500"/>
      <c r="SRM8" s="500"/>
      <c r="SRN8" s="500"/>
      <c r="SRO8" s="500"/>
      <c r="SRP8" s="500"/>
      <c r="SRQ8" s="500"/>
      <c r="SRR8" s="500"/>
      <c r="SRS8" s="500"/>
      <c r="SRT8" s="500"/>
      <c r="SRU8" s="500"/>
      <c r="SRV8" s="500"/>
      <c r="SRW8" s="500"/>
      <c r="SRX8" s="500"/>
      <c r="SRY8" s="500"/>
      <c r="SRZ8" s="500"/>
      <c r="SSA8" s="500"/>
      <c r="SSB8" s="500"/>
      <c r="SSC8" s="500"/>
      <c r="SSD8" s="500"/>
      <c r="SSE8" s="500"/>
      <c r="SSF8" s="500"/>
      <c r="SSG8" s="500"/>
      <c r="SSH8" s="500"/>
      <c r="SSI8" s="500"/>
      <c r="SSJ8" s="500"/>
      <c r="SSK8" s="500"/>
      <c r="SSL8" s="500"/>
      <c r="SSM8" s="500"/>
      <c r="SSN8" s="500"/>
      <c r="SSO8" s="500"/>
      <c r="SSP8" s="500"/>
      <c r="SSQ8" s="500"/>
      <c r="SSR8" s="500"/>
      <c r="SSS8" s="500"/>
      <c r="SST8" s="500"/>
      <c r="SSU8" s="500"/>
      <c r="SSV8" s="500"/>
      <c r="SSW8" s="500"/>
      <c r="SSX8" s="500"/>
      <c r="SSY8" s="500"/>
      <c r="SSZ8" s="500"/>
      <c r="STA8" s="500"/>
      <c r="STB8" s="500"/>
      <c r="STC8" s="500"/>
      <c r="STD8" s="500"/>
      <c r="STE8" s="500"/>
      <c r="STF8" s="500"/>
      <c r="STG8" s="500"/>
      <c r="STH8" s="500"/>
      <c r="STI8" s="500"/>
      <c r="STJ8" s="500"/>
      <c r="STK8" s="500"/>
      <c r="STL8" s="500"/>
      <c r="STM8" s="500"/>
      <c r="STN8" s="500"/>
      <c r="STO8" s="500"/>
      <c r="STP8" s="500"/>
      <c r="STQ8" s="500"/>
      <c r="STR8" s="500"/>
      <c r="STS8" s="500"/>
      <c r="STT8" s="500"/>
      <c r="STU8" s="500"/>
      <c r="STV8" s="500"/>
      <c r="STW8" s="500"/>
      <c r="STX8" s="500"/>
      <c r="STY8" s="500"/>
      <c r="STZ8" s="500"/>
      <c r="SUA8" s="500"/>
      <c r="SUB8" s="500"/>
      <c r="SUC8" s="500"/>
      <c r="SUD8" s="500"/>
      <c r="SUE8" s="500"/>
      <c r="SUF8" s="500"/>
      <c r="SUG8" s="500"/>
      <c r="SUH8" s="500"/>
      <c r="SUI8" s="500"/>
      <c r="SUJ8" s="500"/>
      <c r="SUK8" s="500"/>
      <c r="SUL8" s="500"/>
      <c r="SUM8" s="500"/>
      <c r="SUN8" s="500"/>
      <c r="SUO8" s="500"/>
      <c r="SUP8" s="500"/>
      <c r="SUQ8" s="500"/>
      <c r="SUR8" s="500"/>
      <c r="SUS8" s="500"/>
      <c r="SUT8" s="500"/>
      <c r="SUU8" s="500"/>
      <c r="SUV8" s="500"/>
      <c r="SUW8" s="500"/>
      <c r="SUX8" s="500"/>
      <c r="SUY8" s="500"/>
      <c r="SUZ8" s="500"/>
      <c r="SVA8" s="500"/>
      <c r="SVB8" s="500"/>
      <c r="SVC8" s="500"/>
      <c r="SVD8" s="500"/>
      <c r="SVE8" s="500"/>
      <c r="SVF8" s="500"/>
      <c r="SVG8" s="500"/>
      <c r="SVH8" s="500"/>
      <c r="SVI8" s="500"/>
      <c r="SVJ8" s="500"/>
      <c r="SVK8" s="500"/>
      <c r="SVL8" s="500"/>
      <c r="SVM8" s="500"/>
      <c r="SVN8" s="500"/>
      <c r="SVO8" s="500"/>
      <c r="SVP8" s="500"/>
      <c r="SVQ8" s="500"/>
      <c r="SVR8" s="500"/>
      <c r="SVS8" s="500"/>
      <c r="SVT8" s="500"/>
      <c r="SVU8" s="500"/>
      <c r="SVV8" s="500"/>
      <c r="SVW8" s="500"/>
      <c r="SVX8" s="500"/>
      <c r="SVY8" s="500"/>
      <c r="SVZ8" s="500"/>
      <c r="SWA8" s="500"/>
      <c r="SWB8" s="500"/>
      <c r="SWC8" s="500"/>
      <c r="SWD8" s="500"/>
      <c r="SWE8" s="500"/>
      <c r="SWF8" s="500"/>
      <c r="SWG8" s="500"/>
      <c r="SWH8" s="500"/>
      <c r="SWI8" s="500"/>
      <c r="SWJ8" s="500"/>
      <c r="SWK8" s="500"/>
      <c r="SWL8" s="500"/>
      <c r="SWM8" s="500"/>
      <c r="SWN8" s="500"/>
      <c r="SWO8" s="500"/>
      <c r="SWP8" s="500"/>
      <c r="SWQ8" s="500"/>
      <c r="SWR8" s="500"/>
      <c r="SWS8" s="500"/>
      <c r="SWT8" s="500"/>
      <c r="SWU8" s="500"/>
      <c r="SWV8" s="500"/>
      <c r="SWW8" s="500"/>
      <c r="SWX8" s="500"/>
      <c r="SWY8" s="500"/>
      <c r="SWZ8" s="500"/>
      <c r="SXA8" s="500"/>
      <c r="SXB8" s="500"/>
      <c r="SXC8" s="500"/>
      <c r="SXD8" s="500"/>
      <c r="SXE8" s="500"/>
      <c r="SXF8" s="500"/>
      <c r="SXG8" s="500"/>
      <c r="SXH8" s="500"/>
      <c r="SXI8" s="500"/>
      <c r="SXJ8" s="500"/>
      <c r="SXK8" s="500"/>
      <c r="SXL8" s="500"/>
      <c r="SXM8" s="500"/>
      <c r="SXN8" s="500"/>
      <c r="SXO8" s="500"/>
      <c r="SXP8" s="500"/>
      <c r="SXQ8" s="500"/>
      <c r="SXR8" s="500"/>
      <c r="SXS8" s="500"/>
      <c r="SXT8" s="500"/>
      <c r="SXU8" s="500"/>
      <c r="SXV8" s="500"/>
      <c r="SXW8" s="500"/>
      <c r="SXX8" s="500"/>
      <c r="SXY8" s="500"/>
      <c r="SXZ8" s="500"/>
      <c r="SYA8" s="500"/>
      <c r="SYB8" s="500"/>
      <c r="SYC8" s="500"/>
      <c r="SYD8" s="500"/>
      <c r="SYE8" s="500"/>
      <c r="SYF8" s="500"/>
      <c r="SYG8" s="500"/>
      <c r="SYH8" s="500"/>
      <c r="SYI8" s="500"/>
      <c r="SYJ8" s="500"/>
      <c r="SYK8" s="500"/>
      <c r="SYL8" s="500"/>
      <c r="SYM8" s="500"/>
      <c r="SYN8" s="500"/>
      <c r="SYO8" s="500"/>
      <c r="SYP8" s="500"/>
      <c r="SYQ8" s="500"/>
      <c r="SYR8" s="500"/>
      <c r="SYS8" s="500"/>
      <c r="SYT8" s="500"/>
      <c r="SYU8" s="500"/>
      <c r="SYV8" s="500"/>
      <c r="SYW8" s="500"/>
      <c r="SYX8" s="500"/>
      <c r="SYY8" s="500"/>
      <c r="SYZ8" s="500"/>
      <c r="SZA8" s="500"/>
      <c r="SZB8" s="500"/>
      <c r="SZC8" s="500"/>
      <c r="SZD8" s="500"/>
      <c r="SZE8" s="500"/>
      <c r="SZF8" s="500"/>
      <c r="SZG8" s="500"/>
      <c r="SZH8" s="500"/>
      <c r="SZI8" s="500"/>
      <c r="SZJ8" s="500"/>
      <c r="SZK8" s="500"/>
      <c r="SZL8" s="500"/>
      <c r="SZM8" s="500"/>
      <c r="SZN8" s="500"/>
      <c r="SZO8" s="500"/>
      <c r="SZP8" s="500"/>
      <c r="SZQ8" s="500"/>
      <c r="SZR8" s="500"/>
      <c r="SZS8" s="500"/>
      <c r="SZT8" s="500"/>
      <c r="SZU8" s="500"/>
      <c r="SZV8" s="500"/>
      <c r="SZW8" s="500"/>
      <c r="SZX8" s="500"/>
      <c r="SZY8" s="500"/>
      <c r="SZZ8" s="500"/>
      <c r="TAA8" s="500"/>
      <c r="TAB8" s="500"/>
      <c r="TAC8" s="500"/>
      <c r="TAD8" s="500"/>
      <c r="TAE8" s="500"/>
      <c r="TAF8" s="500"/>
      <c r="TAG8" s="500"/>
      <c r="TAH8" s="500"/>
      <c r="TAI8" s="500"/>
      <c r="TAJ8" s="500"/>
      <c r="TAK8" s="500"/>
      <c r="TAL8" s="500"/>
      <c r="TAM8" s="500"/>
      <c r="TAN8" s="500"/>
      <c r="TAO8" s="500"/>
      <c r="TAP8" s="500"/>
      <c r="TAQ8" s="500"/>
      <c r="TAR8" s="500"/>
      <c r="TAS8" s="500"/>
      <c r="TAT8" s="500"/>
      <c r="TAU8" s="500"/>
      <c r="TAV8" s="500"/>
      <c r="TAW8" s="500"/>
      <c r="TAX8" s="500"/>
      <c r="TAY8" s="500"/>
      <c r="TAZ8" s="500"/>
      <c r="TBA8" s="500"/>
      <c r="TBB8" s="500"/>
      <c r="TBC8" s="500"/>
      <c r="TBD8" s="500"/>
      <c r="TBE8" s="500"/>
      <c r="TBF8" s="500"/>
      <c r="TBG8" s="500"/>
      <c r="TBH8" s="500"/>
      <c r="TBI8" s="500"/>
      <c r="TBJ8" s="500"/>
      <c r="TBK8" s="500"/>
      <c r="TBL8" s="500"/>
      <c r="TBM8" s="500"/>
      <c r="TBN8" s="500"/>
      <c r="TBO8" s="500"/>
      <c r="TBP8" s="500"/>
      <c r="TBQ8" s="500"/>
      <c r="TBR8" s="500"/>
      <c r="TBS8" s="500"/>
      <c r="TBT8" s="500"/>
      <c r="TBU8" s="500"/>
      <c r="TBV8" s="500"/>
      <c r="TBW8" s="500"/>
      <c r="TBX8" s="500"/>
      <c r="TBY8" s="500"/>
      <c r="TBZ8" s="500"/>
      <c r="TCA8" s="500"/>
      <c r="TCB8" s="500"/>
      <c r="TCC8" s="500"/>
      <c r="TCD8" s="500"/>
      <c r="TCE8" s="500"/>
      <c r="TCF8" s="500"/>
      <c r="TCG8" s="500"/>
      <c r="TCH8" s="500"/>
      <c r="TCI8" s="500"/>
      <c r="TCJ8" s="500"/>
      <c r="TCK8" s="500"/>
      <c r="TCL8" s="500"/>
      <c r="TCM8" s="500"/>
      <c r="TCN8" s="500"/>
      <c r="TCO8" s="500"/>
      <c r="TCP8" s="500"/>
      <c r="TCQ8" s="500"/>
      <c r="TCR8" s="500"/>
      <c r="TCS8" s="500"/>
      <c r="TCT8" s="500"/>
      <c r="TCU8" s="500"/>
      <c r="TCV8" s="500"/>
      <c r="TCW8" s="500"/>
      <c r="TCX8" s="500"/>
      <c r="TCY8" s="500"/>
      <c r="TCZ8" s="500"/>
      <c r="TDA8" s="500"/>
      <c r="TDB8" s="500"/>
      <c r="TDC8" s="500"/>
      <c r="TDD8" s="500"/>
      <c r="TDE8" s="500"/>
      <c r="TDF8" s="500"/>
      <c r="TDG8" s="500"/>
      <c r="TDH8" s="500"/>
      <c r="TDI8" s="500"/>
      <c r="TDJ8" s="500"/>
      <c r="TDK8" s="500"/>
      <c r="TDL8" s="500"/>
      <c r="TDM8" s="500"/>
      <c r="TDN8" s="500"/>
      <c r="TDO8" s="500"/>
      <c r="TDP8" s="500"/>
      <c r="TDQ8" s="500"/>
      <c r="TDR8" s="500"/>
      <c r="TDS8" s="500"/>
      <c r="TDT8" s="500"/>
      <c r="TDU8" s="500"/>
      <c r="TDV8" s="500"/>
      <c r="TDW8" s="500"/>
      <c r="TDX8" s="500"/>
      <c r="TDY8" s="500"/>
      <c r="TDZ8" s="500"/>
      <c r="TEA8" s="500"/>
      <c r="TEB8" s="500"/>
      <c r="TEC8" s="500"/>
      <c r="TED8" s="500"/>
      <c r="TEE8" s="500"/>
      <c r="TEF8" s="500"/>
      <c r="TEG8" s="500"/>
      <c r="TEH8" s="500"/>
      <c r="TEI8" s="500"/>
      <c r="TEJ8" s="500"/>
      <c r="TEK8" s="500"/>
      <c r="TEL8" s="500"/>
      <c r="TEM8" s="500"/>
      <c r="TEN8" s="500"/>
      <c r="TEO8" s="500"/>
      <c r="TEP8" s="500"/>
      <c r="TEQ8" s="500"/>
      <c r="TER8" s="500"/>
      <c r="TES8" s="500"/>
      <c r="TET8" s="500"/>
      <c r="TEU8" s="500"/>
      <c r="TEV8" s="500"/>
      <c r="TEW8" s="500"/>
      <c r="TEX8" s="500"/>
      <c r="TEY8" s="500"/>
      <c r="TEZ8" s="500"/>
      <c r="TFA8" s="500"/>
      <c r="TFB8" s="500"/>
      <c r="TFC8" s="500"/>
      <c r="TFD8" s="500"/>
      <c r="TFE8" s="500"/>
      <c r="TFF8" s="500"/>
      <c r="TFG8" s="500"/>
      <c r="TFH8" s="500"/>
      <c r="TFI8" s="500"/>
      <c r="TFJ8" s="500"/>
      <c r="TFK8" s="500"/>
      <c r="TFL8" s="500"/>
      <c r="TFM8" s="500"/>
      <c r="TFN8" s="500"/>
      <c r="TFO8" s="500"/>
      <c r="TFP8" s="500"/>
      <c r="TFQ8" s="500"/>
      <c r="TFR8" s="500"/>
      <c r="TFS8" s="500"/>
      <c r="TFT8" s="500"/>
      <c r="TFU8" s="500"/>
      <c r="TFV8" s="500"/>
      <c r="TFW8" s="500"/>
      <c r="TFX8" s="500"/>
      <c r="TFY8" s="500"/>
      <c r="TFZ8" s="500"/>
      <c r="TGA8" s="500"/>
      <c r="TGB8" s="500"/>
      <c r="TGC8" s="500"/>
      <c r="TGD8" s="500"/>
      <c r="TGE8" s="500"/>
      <c r="TGF8" s="500"/>
      <c r="TGG8" s="500"/>
      <c r="TGH8" s="500"/>
      <c r="TGI8" s="500"/>
      <c r="TGJ8" s="500"/>
      <c r="TGK8" s="500"/>
      <c r="TGL8" s="500"/>
      <c r="TGM8" s="500"/>
      <c r="TGN8" s="500"/>
      <c r="TGO8" s="500"/>
      <c r="TGP8" s="500"/>
      <c r="TGQ8" s="500"/>
      <c r="TGR8" s="500"/>
      <c r="TGS8" s="500"/>
      <c r="TGT8" s="500"/>
      <c r="TGU8" s="500"/>
      <c r="TGV8" s="500"/>
      <c r="TGW8" s="500"/>
      <c r="TGX8" s="500"/>
      <c r="TGY8" s="500"/>
      <c r="TGZ8" s="500"/>
      <c r="THA8" s="500"/>
      <c r="THB8" s="500"/>
      <c r="THC8" s="500"/>
      <c r="THD8" s="500"/>
      <c r="THE8" s="500"/>
      <c r="THF8" s="500"/>
      <c r="THG8" s="500"/>
      <c r="THH8" s="500"/>
      <c r="THI8" s="500"/>
      <c r="THJ8" s="500"/>
      <c r="THK8" s="500"/>
      <c r="THL8" s="500"/>
      <c r="THM8" s="500"/>
      <c r="THN8" s="500"/>
      <c r="THO8" s="500"/>
      <c r="THP8" s="500"/>
      <c r="THQ8" s="500"/>
      <c r="THR8" s="500"/>
      <c r="THS8" s="500"/>
      <c r="THT8" s="500"/>
      <c r="THU8" s="500"/>
      <c r="THV8" s="500"/>
      <c r="THW8" s="500"/>
      <c r="THX8" s="500"/>
      <c r="THY8" s="500"/>
      <c r="THZ8" s="500"/>
      <c r="TIA8" s="500"/>
      <c r="TIB8" s="500"/>
      <c r="TIC8" s="500"/>
      <c r="TID8" s="500"/>
      <c r="TIE8" s="500"/>
      <c r="TIF8" s="500"/>
      <c r="TIG8" s="500"/>
      <c r="TIH8" s="500"/>
      <c r="TII8" s="500"/>
      <c r="TIJ8" s="500"/>
      <c r="TIK8" s="500"/>
      <c r="TIL8" s="500"/>
      <c r="TIM8" s="500"/>
      <c r="TIN8" s="500"/>
      <c r="TIO8" s="500"/>
      <c r="TIP8" s="500"/>
      <c r="TIQ8" s="500"/>
      <c r="TIR8" s="500"/>
      <c r="TIS8" s="500"/>
      <c r="TIT8" s="500"/>
      <c r="TIU8" s="500"/>
      <c r="TIV8" s="500"/>
      <c r="TIW8" s="500"/>
      <c r="TIX8" s="500"/>
      <c r="TIY8" s="500"/>
      <c r="TIZ8" s="500"/>
      <c r="TJA8" s="500"/>
      <c r="TJB8" s="500"/>
      <c r="TJC8" s="500"/>
      <c r="TJD8" s="500"/>
      <c r="TJE8" s="500"/>
      <c r="TJF8" s="500"/>
      <c r="TJG8" s="500"/>
      <c r="TJH8" s="500"/>
      <c r="TJI8" s="500"/>
      <c r="TJJ8" s="500"/>
      <c r="TJK8" s="500"/>
      <c r="TJL8" s="500"/>
      <c r="TJM8" s="500"/>
      <c r="TJN8" s="500"/>
      <c r="TJO8" s="500"/>
      <c r="TJP8" s="500"/>
      <c r="TJQ8" s="500"/>
      <c r="TJR8" s="500"/>
      <c r="TJS8" s="500"/>
      <c r="TJT8" s="500"/>
      <c r="TJU8" s="500"/>
      <c r="TJV8" s="500"/>
      <c r="TJW8" s="500"/>
      <c r="TJX8" s="500"/>
      <c r="TJY8" s="500"/>
      <c r="TJZ8" s="500"/>
      <c r="TKA8" s="500"/>
      <c r="TKB8" s="500"/>
      <c r="TKC8" s="500"/>
      <c r="TKD8" s="500"/>
      <c r="TKE8" s="500"/>
      <c r="TKF8" s="500"/>
      <c r="TKG8" s="500"/>
      <c r="TKH8" s="500"/>
      <c r="TKI8" s="500"/>
      <c r="TKJ8" s="500"/>
      <c r="TKK8" s="500"/>
      <c r="TKL8" s="500"/>
      <c r="TKM8" s="500"/>
      <c r="TKN8" s="500"/>
      <c r="TKO8" s="500"/>
      <c r="TKP8" s="500"/>
      <c r="TKQ8" s="500"/>
      <c r="TKR8" s="500"/>
      <c r="TKS8" s="500"/>
      <c r="TKT8" s="500"/>
      <c r="TKU8" s="500"/>
      <c r="TKV8" s="500"/>
      <c r="TKW8" s="500"/>
      <c r="TKX8" s="500"/>
      <c r="TKY8" s="500"/>
      <c r="TKZ8" s="500"/>
      <c r="TLA8" s="500"/>
      <c r="TLB8" s="500"/>
      <c r="TLC8" s="500"/>
      <c r="TLD8" s="500"/>
      <c r="TLE8" s="500"/>
      <c r="TLF8" s="500"/>
      <c r="TLG8" s="500"/>
      <c r="TLH8" s="500"/>
      <c r="TLI8" s="500"/>
      <c r="TLJ8" s="500"/>
      <c r="TLK8" s="500"/>
      <c r="TLL8" s="500"/>
      <c r="TLM8" s="500"/>
      <c r="TLN8" s="500"/>
      <c r="TLO8" s="500"/>
      <c r="TLP8" s="500"/>
      <c r="TLQ8" s="500"/>
      <c r="TLR8" s="500"/>
      <c r="TLS8" s="500"/>
      <c r="TLT8" s="500"/>
      <c r="TLU8" s="500"/>
      <c r="TLV8" s="500"/>
      <c r="TLW8" s="500"/>
      <c r="TLX8" s="500"/>
      <c r="TLY8" s="500"/>
      <c r="TLZ8" s="500"/>
      <c r="TMA8" s="500"/>
      <c r="TMB8" s="500"/>
      <c r="TMC8" s="500"/>
      <c r="TMD8" s="500"/>
      <c r="TME8" s="500"/>
      <c r="TMF8" s="500"/>
      <c r="TMG8" s="500"/>
      <c r="TMH8" s="500"/>
      <c r="TMI8" s="500"/>
      <c r="TMJ8" s="500"/>
      <c r="TMK8" s="500"/>
      <c r="TML8" s="500"/>
      <c r="TMM8" s="500"/>
      <c r="TMN8" s="500"/>
      <c r="TMO8" s="500"/>
      <c r="TMP8" s="500"/>
      <c r="TMQ8" s="500"/>
      <c r="TMR8" s="500"/>
      <c r="TMS8" s="500"/>
      <c r="TMT8" s="500"/>
      <c r="TMU8" s="500"/>
      <c r="TMV8" s="500"/>
      <c r="TMW8" s="500"/>
      <c r="TMX8" s="500"/>
      <c r="TMY8" s="500"/>
      <c r="TMZ8" s="500"/>
      <c r="TNA8" s="500"/>
      <c r="TNB8" s="500"/>
      <c r="TNC8" s="500"/>
      <c r="TND8" s="500"/>
      <c r="TNE8" s="500"/>
      <c r="TNF8" s="500"/>
      <c r="TNG8" s="500"/>
      <c r="TNH8" s="500"/>
      <c r="TNI8" s="500"/>
      <c r="TNJ8" s="500"/>
      <c r="TNK8" s="500"/>
      <c r="TNL8" s="500"/>
      <c r="TNM8" s="500"/>
      <c r="TNN8" s="500"/>
      <c r="TNO8" s="500"/>
      <c r="TNP8" s="500"/>
      <c r="TNQ8" s="500"/>
      <c r="TNR8" s="500"/>
      <c r="TNS8" s="500"/>
      <c r="TNT8" s="500"/>
      <c r="TNU8" s="500"/>
      <c r="TNV8" s="500"/>
      <c r="TNW8" s="500"/>
      <c r="TNX8" s="500"/>
      <c r="TNY8" s="500"/>
      <c r="TNZ8" s="500"/>
      <c r="TOA8" s="500"/>
      <c r="TOB8" s="500"/>
      <c r="TOC8" s="500"/>
      <c r="TOD8" s="500"/>
      <c r="TOE8" s="500"/>
      <c r="TOF8" s="500"/>
      <c r="TOG8" s="500"/>
      <c r="TOH8" s="500"/>
      <c r="TOI8" s="500"/>
      <c r="TOJ8" s="500"/>
      <c r="TOK8" s="500"/>
      <c r="TOL8" s="500"/>
      <c r="TOM8" s="500"/>
      <c r="TON8" s="500"/>
      <c r="TOO8" s="500"/>
      <c r="TOP8" s="500"/>
      <c r="TOQ8" s="500"/>
      <c r="TOR8" s="500"/>
      <c r="TOS8" s="500"/>
      <c r="TOT8" s="500"/>
      <c r="TOU8" s="500"/>
      <c r="TOV8" s="500"/>
      <c r="TOW8" s="500"/>
      <c r="TOX8" s="500"/>
      <c r="TOY8" s="500"/>
      <c r="TOZ8" s="500"/>
      <c r="TPA8" s="500"/>
      <c r="TPB8" s="500"/>
      <c r="TPC8" s="500"/>
      <c r="TPD8" s="500"/>
      <c r="TPE8" s="500"/>
      <c r="TPF8" s="500"/>
      <c r="TPG8" s="500"/>
      <c r="TPH8" s="500"/>
      <c r="TPI8" s="500"/>
      <c r="TPJ8" s="500"/>
      <c r="TPK8" s="500"/>
      <c r="TPL8" s="500"/>
      <c r="TPM8" s="500"/>
      <c r="TPN8" s="500"/>
      <c r="TPO8" s="500"/>
      <c r="TPP8" s="500"/>
      <c r="TPQ8" s="500"/>
      <c r="TPR8" s="500"/>
      <c r="TPS8" s="500"/>
      <c r="TPT8" s="500"/>
      <c r="TPU8" s="500"/>
      <c r="TPV8" s="500"/>
      <c r="TPW8" s="500"/>
      <c r="TPX8" s="500"/>
      <c r="TPY8" s="500"/>
      <c r="TPZ8" s="500"/>
      <c r="TQA8" s="500"/>
      <c r="TQB8" s="500"/>
      <c r="TQC8" s="500"/>
      <c r="TQD8" s="500"/>
      <c r="TQE8" s="500"/>
      <c r="TQF8" s="500"/>
      <c r="TQG8" s="500"/>
      <c r="TQH8" s="500"/>
      <c r="TQI8" s="500"/>
      <c r="TQJ8" s="500"/>
      <c r="TQK8" s="500"/>
      <c r="TQL8" s="500"/>
      <c r="TQM8" s="500"/>
      <c r="TQN8" s="500"/>
      <c r="TQO8" s="500"/>
      <c r="TQP8" s="500"/>
      <c r="TQQ8" s="500"/>
      <c r="TQR8" s="500"/>
      <c r="TQS8" s="500"/>
      <c r="TQT8" s="500"/>
      <c r="TQU8" s="500"/>
      <c r="TQV8" s="500"/>
      <c r="TQW8" s="500"/>
      <c r="TQX8" s="500"/>
      <c r="TQY8" s="500"/>
      <c r="TQZ8" s="500"/>
      <c r="TRA8" s="500"/>
      <c r="TRB8" s="500"/>
      <c r="TRC8" s="500"/>
      <c r="TRD8" s="500"/>
      <c r="TRE8" s="500"/>
      <c r="TRF8" s="500"/>
      <c r="TRG8" s="500"/>
      <c r="TRH8" s="500"/>
      <c r="TRI8" s="500"/>
      <c r="TRJ8" s="500"/>
      <c r="TRK8" s="500"/>
      <c r="TRL8" s="500"/>
      <c r="TRM8" s="500"/>
      <c r="TRN8" s="500"/>
      <c r="TRO8" s="500"/>
      <c r="TRP8" s="500"/>
      <c r="TRQ8" s="500"/>
      <c r="TRR8" s="500"/>
      <c r="TRS8" s="500"/>
      <c r="TRT8" s="500"/>
      <c r="TRU8" s="500"/>
      <c r="TRV8" s="500"/>
      <c r="TRW8" s="500"/>
      <c r="TRX8" s="500"/>
      <c r="TRY8" s="500"/>
      <c r="TRZ8" s="500"/>
      <c r="TSA8" s="500"/>
      <c r="TSB8" s="500"/>
      <c r="TSC8" s="500"/>
      <c r="TSD8" s="500"/>
      <c r="TSE8" s="500"/>
      <c r="TSF8" s="500"/>
      <c r="TSG8" s="500"/>
      <c r="TSH8" s="500"/>
      <c r="TSI8" s="500"/>
      <c r="TSJ8" s="500"/>
      <c r="TSK8" s="500"/>
      <c r="TSL8" s="500"/>
      <c r="TSM8" s="500"/>
      <c r="TSN8" s="500"/>
      <c r="TSO8" s="500"/>
      <c r="TSP8" s="500"/>
      <c r="TSQ8" s="500"/>
      <c r="TSR8" s="500"/>
      <c r="TSS8" s="500"/>
      <c r="TST8" s="500"/>
      <c r="TSU8" s="500"/>
      <c r="TSV8" s="500"/>
      <c r="TSW8" s="500"/>
      <c r="TSX8" s="500"/>
      <c r="TSY8" s="500"/>
      <c r="TSZ8" s="500"/>
      <c r="TTA8" s="500"/>
      <c r="TTB8" s="500"/>
      <c r="TTC8" s="500"/>
      <c r="TTD8" s="500"/>
      <c r="TTE8" s="500"/>
      <c r="TTF8" s="500"/>
      <c r="TTG8" s="500"/>
      <c r="TTH8" s="500"/>
      <c r="TTI8" s="500"/>
      <c r="TTJ8" s="500"/>
      <c r="TTK8" s="500"/>
      <c r="TTL8" s="500"/>
      <c r="TTM8" s="500"/>
      <c r="TTN8" s="500"/>
      <c r="TTO8" s="500"/>
      <c r="TTP8" s="500"/>
      <c r="TTQ8" s="500"/>
      <c r="TTR8" s="500"/>
      <c r="TTS8" s="500"/>
      <c r="TTT8" s="500"/>
      <c r="TTU8" s="500"/>
      <c r="TTV8" s="500"/>
      <c r="TTW8" s="500"/>
      <c r="TTX8" s="500"/>
      <c r="TTY8" s="500"/>
      <c r="TTZ8" s="500"/>
      <c r="TUA8" s="500"/>
      <c r="TUB8" s="500"/>
      <c r="TUC8" s="500"/>
      <c r="TUD8" s="500"/>
      <c r="TUE8" s="500"/>
      <c r="TUF8" s="500"/>
      <c r="TUG8" s="500"/>
      <c r="TUH8" s="500"/>
      <c r="TUI8" s="500"/>
      <c r="TUJ8" s="500"/>
      <c r="TUK8" s="500"/>
      <c r="TUL8" s="500"/>
      <c r="TUM8" s="500"/>
      <c r="TUN8" s="500"/>
      <c r="TUO8" s="500"/>
      <c r="TUP8" s="500"/>
      <c r="TUQ8" s="500"/>
      <c r="TUR8" s="500"/>
      <c r="TUS8" s="500"/>
      <c r="TUT8" s="500"/>
      <c r="TUU8" s="500"/>
      <c r="TUV8" s="500"/>
      <c r="TUW8" s="500"/>
      <c r="TUX8" s="500"/>
      <c r="TUY8" s="500"/>
      <c r="TUZ8" s="500"/>
      <c r="TVA8" s="500"/>
      <c r="TVB8" s="500"/>
      <c r="TVC8" s="500"/>
      <c r="TVD8" s="500"/>
      <c r="TVE8" s="500"/>
      <c r="TVF8" s="500"/>
      <c r="TVG8" s="500"/>
      <c r="TVH8" s="500"/>
      <c r="TVI8" s="500"/>
      <c r="TVJ8" s="500"/>
      <c r="TVK8" s="500"/>
      <c r="TVL8" s="500"/>
      <c r="TVM8" s="500"/>
      <c r="TVN8" s="500"/>
      <c r="TVO8" s="500"/>
      <c r="TVP8" s="500"/>
      <c r="TVQ8" s="500"/>
      <c r="TVR8" s="500"/>
      <c r="TVS8" s="500"/>
      <c r="TVT8" s="500"/>
      <c r="TVU8" s="500"/>
      <c r="TVV8" s="500"/>
      <c r="TVW8" s="500"/>
      <c r="TVX8" s="500"/>
      <c r="TVY8" s="500"/>
      <c r="TVZ8" s="500"/>
      <c r="TWA8" s="500"/>
      <c r="TWB8" s="500"/>
      <c r="TWC8" s="500"/>
      <c r="TWD8" s="500"/>
      <c r="TWE8" s="500"/>
      <c r="TWF8" s="500"/>
      <c r="TWG8" s="500"/>
      <c r="TWH8" s="500"/>
      <c r="TWI8" s="500"/>
      <c r="TWJ8" s="500"/>
      <c r="TWK8" s="500"/>
      <c r="TWL8" s="500"/>
      <c r="TWM8" s="500"/>
      <c r="TWN8" s="500"/>
      <c r="TWO8" s="500"/>
      <c r="TWP8" s="500"/>
      <c r="TWQ8" s="500"/>
      <c r="TWR8" s="500"/>
      <c r="TWS8" s="500"/>
      <c r="TWT8" s="500"/>
      <c r="TWU8" s="500"/>
      <c r="TWV8" s="500"/>
      <c r="TWW8" s="500"/>
      <c r="TWX8" s="500"/>
      <c r="TWY8" s="500"/>
      <c r="TWZ8" s="500"/>
      <c r="TXA8" s="500"/>
      <c r="TXB8" s="500"/>
      <c r="TXC8" s="500"/>
      <c r="TXD8" s="500"/>
      <c r="TXE8" s="500"/>
      <c r="TXF8" s="500"/>
      <c r="TXG8" s="500"/>
      <c r="TXH8" s="500"/>
      <c r="TXI8" s="500"/>
      <c r="TXJ8" s="500"/>
      <c r="TXK8" s="500"/>
      <c r="TXL8" s="500"/>
      <c r="TXM8" s="500"/>
      <c r="TXN8" s="500"/>
      <c r="TXO8" s="500"/>
      <c r="TXP8" s="500"/>
      <c r="TXQ8" s="500"/>
      <c r="TXR8" s="500"/>
      <c r="TXS8" s="500"/>
      <c r="TXT8" s="500"/>
      <c r="TXU8" s="500"/>
      <c r="TXV8" s="500"/>
      <c r="TXW8" s="500"/>
      <c r="TXX8" s="500"/>
      <c r="TXY8" s="500"/>
      <c r="TXZ8" s="500"/>
      <c r="TYA8" s="500"/>
      <c r="TYB8" s="500"/>
      <c r="TYC8" s="500"/>
      <c r="TYD8" s="500"/>
      <c r="TYE8" s="500"/>
      <c r="TYF8" s="500"/>
      <c r="TYG8" s="500"/>
      <c r="TYH8" s="500"/>
      <c r="TYI8" s="500"/>
      <c r="TYJ8" s="500"/>
      <c r="TYK8" s="500"/>
      <c r="TYL8" s="500"/>
      <c r="TYM8" s="500"/>
      <c r="TYN8" s="500"/>
      <c r="TYO8" s="500"/>
      <c r="TYP8" s="500"/>
      <c r="TYQ8" s="500"/>
      <c r="TYR8" s="500"/>
      <c r="TYS8" s="500"/>
      <c r="TYT8" s="500"/>
      <c r="TYU8" s="500"/>
      <c r="TYV8" s="500"/>
      <c r="TYW8" s="500"/>
      <c r="TYX8" s="500"/>
      <c r="TYY8" s="500"/>
      <c r="TYZ8" s="500"/>
      <c r="TZA8" s="500"/>
      <c r="TZB8" s="500"/>
      <c r="TZC8" s="500"/>
      <c r="TZD8" s="500"/>
      <c r="TZE8" s="500"/>
      <c r="TZF8" s="500"/>
      <c r="TZG8" s="500"/>
      <c r="TZH8" s="500"/>
      <c r="TZI8" s="500"/>
      <c r="TZJ8" s="500"/>
      <c r="TZK8" s="500"/>
      <c r="TZL8" s="500"/>
      <c r="TZM8" s="500"/>
      <c r="TZN8" s="500"/>
      <c r="TZO8" s="500"/>
      <c r="TZP8" s="500"/>
      <c r="TZQ8" s="500"/>
      <c r="TZR8" s="500"/>
      <c r="TZS8" s="500"/>
      <c r="TZT8" s="500"/>
      <c r="TZU8" s="500"/>
      <c r="TZV8" s="500"/>
      <c r="TZW8" s="500"/>
      <c r="TZX8" s="500"/>
      <c r="TZY8" s="500"/>
      <c r="TZZ8" s="500"/>
      <c r="UAA8" s="500"/>
      <c r="UAB8" s="500"/>
      <c r="UAC8" s="500"/>
      <c r="UAD8" s="500"/>
      <c r="UAE8" s="500"/>
      <c r="UAF8" s="500"/>
      <c r="UAG8" s="500"/>
      <c r="UAH8" s="500"/>
      <c r="UAI8" s="500"/>
      <c r="UAJ8" s="500"/>
      <c r="UAK8" s="500"/>
      <c r="UAL8" s="500"/>
      <c r="UAM8" s="500"/>
      <c r="UAN8" s="500"/>
      <c r="UAO8" s="500"/>
      <c r="UAP8" s="500"/>
      <c r="UAQ8" s="500"/>
      <c r="UAR8" s="500"/>
      <c r="UAS8" s="500"/>
      <c r="UAT8" s="500"/>
      <c r="UAU8" s="500"/>
      <c r="UAV8" s="500"/>
      <c r="UAW8" s="500"/>
      <c r="UAX8" s="500"/>
      <c r="UAY8" s="500"/>
      <c r="UAZ8" s="500"/>
      <c r="UBA8" s="500"/>
      <c r="UBB8" s="500"/>
      <c r="UBC8" s="500"/>
      <c r="UBD8" s="500"/>
      <c r="UBE8" s="500"/>
      <c r="UBF8" s="500"/>
      <c r="UBG8" s="500"/>
      <c r="UBH8" s="500"/>
      <c r="UBI8" s="500"/>
      <c r="UBJ8" s="500"/>
      <c r="UBK8" s="500"/>
      <c r="UBL8" s="500"/>
      <c r="UBM8" s="500"/>
      <c r="UBN8" s="500"/>
      <c r="UBO8" s="500"/>
      <c r="UBP8" s="500"/>
      <c r="UBQ8" s="500"/>
      <c r="UBR8" s="500"/>
      <c r="UBS8" s="500"/>
      <c r="UBT8" s="500"/>
      <c r="UBU8" s="500"/>
      <c r="UBV8" s="500"/>
      <c r="UBW8" s="500"/>
      <c r="UBX8" s="500"/>
      <c r="UBY8" s="500"/>
      <c r="UBZ8" s="500"/>
      <c r="UCA8" s="500"/>
      <c r="UCB8" s="500"/>
      <c r="UCC8" s="500"/>
      <c r="UCD8" s="500"/>
      <c r="UCE8" s="500"/>
      <c r="UCF8" s="500"/>
      <c r="UCG8" s="500"/>
      <c r="UCH8" s="500"/>
      <c r="UCI8" s="500"/>
      <c r="UCJ8" s="500"/>
      <c r="UCK8" s="500"/>
      <c r="UCL8" s="500"/>
      <c r="UCM8" s="500"/>
      <c r="UCN8" s="500"/>
      <c r="UCO8" s="500"/>
      <c r="UCP8" s="500"/>
      <c r="UCQ8" s="500"/>
      <c r="UCR8" s="500"/>
      <c r="UCS8" s="500"/>
      <c r="UCT8" s="500"/>
      <c r="UCU8" s="500"/>
      <c r="UCV8" s="500"/>
      <c r="UCW8" s="500"/>
      <c r="UCX8" s="500"/>
      <c r="UCY8" s="500"/>
      <c r="UCZ8" s="500"/>
      <c r="UDA8" s="500"/>
      <c r="UDB8" s="500"/>
      <c r="UDC8" s="500"/>
      <c r="UDD8" s="500"/>
      <c r="UDE8" s="500"/>
      <c r="UDF8" s="500"/>
      <c r="UDG8" s="500"/>
      <c r="UDH8" s="500"/>
      <c r="UDI8" s="500"/>
      <c r="UDJ8" s="500"/>
      <c r="UDK8" s="500"/>
      <c r="UDL8" s="500"/>
      <c r="UDM8" s="500"/>
      <c r="UDN8" s="500"/>
      <c r="UDO8" s="500"/>
      <c r="UDP8" s="500"/>
      <c r="UDQ8" s="500"/>
      <c r="UDR8" s="500"/>
      <c r="UDS8" s="500"/>
      <c r="UDT8" s="500"/>
      <c r="UDU8" s="500"/>
      <c r="UDV8" s="500"/>
      <c r="UDW8" s="500"/>
      <c r="UDX8" s="500"/>
      <c r="UDY8" s="500"/>
      <c r="UDZ8" s="500"/>
      <c r="UEA8" s="500"/>
      <c r="UEB8" s="500"/>
      <c r="UEC8" s="500"/>
      <c r="UED8" s="500"/>
      <c r="UEE8" s="500"/>
      <c r="UEF8" s="500"/>
      <c r="UEG8" s="500"/>
      <c r="UEH8" s="500"/>
      <c r="UEI8" s="500"/>
      <c r="UEJ8" s="500"/>
      <c r="UEK8" s="500"/>
      <c r="UEL8" s="500"/>
      <c r="UEM8" s="500"/>
      <c r="UEN8" s="500"/>
      <c r="UEO8" s="500"/>
      <c r="UEP8" s="500"/>
      <c r="UEQ8" s="500"/>
      <c r="UER8" s="500"/>
      <c r="UES8" s="500"/>
      <c r="UET8" s="500"/>
      <c r="UEU8" s="500"/>
      <c r="UEV8" s="500"/>
      <c r="UEW8" s="500"/>
      <c r="UEX8" s="500"/>
      <c r="UEY8" s="500"/>
      <c r="UEZ8" s="500"/>
      <c r="UFA8" s="500"/>
      <c r="UFB8" s="500"/>
      <c r="UFC8" s="500"/>
      <c r="UFD8" s="500"/>
      <c r="UFE8" s="500"/>
      <c r="UFF8" s="500"/>
      <c r="UFG8" s="500"/>
      <c r="UFH8" s="500"/>
      <c r="UFI8" s="500"/>
      <c r="UFJ8" s="500"/>
      <c r="UFK8" s="500"/>
      <c r="UFL8" s="500"/>
      <c r="UFM8" s="500"/>
      <c r="UFN8" s="500"/>
      <c r="UFO8" s="500"/>
      <c r="UFP8" s="500"/>
      <c r="UFQ8" s="500"/>
      <c r="UFR8" s="500"/>
      <c r="UFS8" s="500"/>
      <c r="UFT8" s="500"/>
      <c r="UFU8" s="500"/>
      <c r="UFV8" s="500"/>
      <c r="UFW8" s="500"/>
      <c r="UFX8" s="500"/>
      <c r="UFY8" s="500"/>
      <c r="UFZ8" s="500"/>
      <c r="UGA8" s="500"/>
      <c r="UGB8" s="500"/>
      <c r="UGC8" s="500"/>
      <c r="UGD8" s="500"/>
      <c r="UGE8" s="500"/>
      <c r="UGF8" s="500"/>
      <c r="UGG8" s="500"/>
      <c r="UGH8" s="500"/>
      <c r="UGI8" s="500"/>
      <c r="UGJ8" s="500"/>
      <c r="UGK8" s="500"/>
      <c r="UGL8" s="500"/>
      <c r="UGM8" s="500"/>
      <c r="UGN8" s="500"/>
      <c r="UGO8" s="500"/>
      <c r="UGP8" s="500"/>
      <c r="UGQ8" s="500"/>
      <c r="UGR8" s="500"/>
      <c r="UGS8" s="500"/>
      <c r="UGT8" s="500"/>
      <c r="UGU8" s="500"/>
      <c r="UGV8" s="500"/>
      <c r="UGW8" s="500"/>
      <c r="UGX8" s="500"/>
      <c r="UGY8" s="500"/>
      <c r="UGZ8" s="500"/>
      <c r="UHA8" s="500"/>
      <c r="UHB8" s="500"/>
      <c r="UHC8" s="500"/>
      <c r="UHD8" s="500"/>
      <c r="UHE8" s="500"/>
      <c r="UHF8" s="500"/>
      <c r="UHG8" s="500"/>
      <c r="UHH8" s="500"/>
      <c r="UHI8" s="500"/>
      <c r="UHJ8" s="500"/>
      <c r="UHK8" s="500"/>
      <c r="UHL8" s="500"/>
      <c r="UHM8" s="500"/>
      <c r="UHN8" s="500"/>
      <c r="UHO8" s="500"/>
      <c r="UHP8" s="500"/>
      <c r="UHQ8" s="500"/>
      <c r="UHR8" s="500"/>
      <c r="UHS8" s="500"/>
      <c r="UHT8" s="500"/>
      <c r="UHU8" s="500"/>
      <c r="UHV8" s="500"/>
      <c r="UHW8" s="500"/>
      <c r="UHX8" s="500"/>
      <c r="UHY8" s="500"/>
      <c r="UHZ8" s="500"/>
      <c r="UIA8" s="500"/>
      <c r="UIB8" s="500"/>
      <c r="UIC8" s="500"/>
      <c r="UID8" s="500"/>
      <c r="UIE8" s="500"/>
      <c r="UIF8" s="500"/>
      <c r="UIG8" s="500"/>
      <c r="UIH8" s="500"/>
      <c r="UII8" s="500"/>
      <c r="UIJ8" s="500"/>
      <c r="UIK8" s="500"/>
      <c r="UIL8" s="500"/>
      <c r="UIM8" s="500"/>
      <c r="UIN8" s="500"/>
      <c r="UIO8" s="500"/>
      <c r="UIP8" s="500"/>
      <c r="UIQ8" s="500"/>
      <c r="UIR8" s="500"/>
      <c r="UIS8" s="500"/>
      <c r="UIT8" s="500"/>
      <c r="UIU8" s="500"/>
      <c r="UIV8" s="500"/>
      <c r="UIW8" s="500"/>
      <c r="UIX8" s="500"/>
      <c r="UIY8" s="500"/>
      <c r="UIZ8" s="500"/>
      <c r="UJA8" s="500"/>
      <c r="UJB8" s="500"/>
      <c r="UJC8" s="500"/>
      <c r="UJD8" s="500"/>
      <c r="UJE8" s="500"/>
      <c r="UJF8" s="500"/>
      <c r="UJG8" s="500"/>
      <c r="UJH8" s="500"/>
      <c r="UJI8" s="500"/>
      <c r="UJJ8" s="500"/>
      <c r="UJK8" s="500"/>
      <c r="UJL8" s="500"/>
      <c r="UJM8" s="500"/>
      <c r="UJN8" s="500"/>
      <c r="UJO8" s="500"/>
      <c r="UJP8" s="500"/>
      <c r="UJQ8" s="500"/>
      <c r="UJR8" s="500"/>
      <c r="UJS8" s="500"/>
      <c r="UJT8" s="500"/>
      <c r="UJU8" s="500"/>
      <c r="UJV8" s="500"/>
      <c r="UJW8" s="500"/>
      <c r="UJX8" s="500"/>
      <c r="UJY8" s="500"/>
      <c r="UJZ8" s="500"/>
      <c r="UKA8" s="500"/>
      <c r="UKB8" s="500"/>
      <c r="UKC8" s="500"/>
      <c r="UKD8" s="500"/>
      <c r="UKE8" s="500"/>
      <c r="UKF8" s="500"/>
      <c r="UKG8" s="500"/>
      <c r="UKH8" s="500"/>
      <c r="UKI8" s="500"/>
      <c r="UKJ8" s="500"/>
      <c r="UKK8" s="500"/>
      <c r="UKL8" s="500"/>
      <c r="UKM8" s="500"/>
      <c r="UKN8" s="500"/>
      <c r="UKO8" s="500"/>
      <c r="UKP8" s="500"/>
      <c r="UKQ8" s="500"/>
      <c r="UKR8" s="500"/>
      <c r="UKS8" s="500"/>
      <c r="UKT8" s="500"/>
      <c r="UKU8" s="500"/>
      <c r="UKV8" s="500"/>
      <c r="UKW8" s="500"/>
      <c r="UKX8" s="500"/>
      <c r="UKY8" s="500"/>
      <c r="UKZ8" s="500"/>
      <c r="ULA8" s="500"/>
      <c r="ULB8" s="500"/>
      <c r="ULC8" s="500"/>
      <c r="ULD8" s="500"/>
      <c r="ULE8" s="500"/>
      <c r="ULF8" s="500"/>
      <c r="ULG8" s="500"/>
      <c r="ULH8" s="500"/>
      <c r="ULI8" s="500"/>
      <c r="ULJ8" s="500"/>
      <c r="ULK8" s="500"/>
      <c r="ULL8" s="500"/>
      <c r="ULM8" s="500"/>
      <c r="ULN8" s="500"/>
      <c r="ULO8" s="500"/>
      <c r="ULP8" s="500"/>
      <c r="ULQ8" s="500"/>
      <c r="ULR8" s="500"/>
      <c r="ULS8" s="500"/>
      <c r="ULT8" s="500"/>
      <c r="ULU8" s="500"/>
      <c r="ULV8" s="500"/>
      <c r="ULW8" s="500"/>
      <c r="ULX8" s="500"/>
      <c r="ULY8" s="500"/>
      <c r="ULZ8" s="500"/>
      <c r="UMA8" s="500"/>
      <c r="UMB8" s="500"/>
      <c r="UMC8" s="500"/>
      <c r="UMD8" s="500"/>
      <c r="UME8" s="500"/>
      <c r="UMF8" s="500"/>
      <c r="UMG8" s="500"/>
      <c r="UMH8" s="500"/>
      <c r="UMI8" s="500"/>
      <c r="UMJ8" s="500"/>
      <c r="UMK8" s="500"/>
      <c r="UML8" s="500"/>
      <c r="UMM8" s="500"/>
      <c r="UMN8" s="500"/>
      <c r="UMO8" s="500"/>
      <c r="UMP8" s="500"/>
      <c r="UMQ8" s="500"/>
      <c r="UMR8" s="500"/>
      <c r="UMS8" s="500"/>
      <c r="UMT8" s="500"/>
      <c r="UMU8" s="500"/>
      <c r="UMV8" s="500"/>
      <c r="UMW8" s="500"/>
      <c r="UMX8" s="500"/>
      <c r="UMY8" s="500"/>
      <c r="UMZ8" s="500"/>
      <c r="UNA8" s="500"/>
      <c r="UNB8" s="500"/>
      <c r="UNC8" s="500"/>
      <c r="UND8" s="500"/>
      <c r="UNE8" s="500"/>
      <c r="UNF8" s="500"/>
      <c r="UNG8" s="500"/>
      <c r="UNH8" s="500"/>
      <c r="UNI8" s="500"/>
      <c r="UNJ8" s="500"/>
      <c r="UNK8" s="500"/>
      <c r="UNL8" s="500"/>
      <c r="UNM8" s="500"/>
      <c r="UNN8" s="500"/>
      <c r="UNO8" s="500"/>
      <c r="UNP8" s="500"/>
      <c r="UNQ8" s="500"/>
      <c r="UNR8" s="500"/>
      <c r="UNS8" s="500"/>
      <c r="UNT8" s="500"/>
      <c r="UNU8" s="500"/>
      <c r="UNV8" s="500"/>
      <c r="UNW8" s="500"/>
      <c r="UNX8" s="500"/>
      <c r="UNY8" s="500"/>
      <c r="UNZ8" s="500"/>
      <c r="UOA8" s="500"/>
      <c r="UOB8" s="500"/>
      <c r="UOC8" s="500"/>
      <c r="UOD8" s="500"/>
      <c r="UOE8" s="500"/>
      <c r="UOF8" s="500"/>
      <c r="UOG8" s="500"/>
      <c r="UOH8" s="500"/>
      <c r="UOI8" s="500"/>
      <c r="UOJ8" s="500"/>
      <c r="UOK8" s="500"/>
      <c r="UOL8" s="500"/>
      <c r="UOM8" s="500"/>
      <c r="UON8" s="500"/>
      <c r="UOO8" s="500"/>
      <c r="UOP8" s="500"/>
      <c r="UOQ8" s="500"/>
      <c r="UOR8" s="500"/>
      <c r="UOS8" s="500"/>
      <c r="UOT8" s="500"/>
      <c r="UOU8" s="500"/>
      <c r="UOV8" s="500"/>
      <c r="UOW8" s="500"/>
      <c r="UOX8" s="500"/>
      <c r="UOY8" s="500"/>
      <c r="UOZ8" s="500"/>
      <c r="UPA8" s="500"/>
      <c r="UPB8" s="500"/>
      <c r="UPC8" s="500"/>
      <c r="UPD8" s="500"/>
      <c r="UPE8" s="500"/>
      <c r="UPF8" s="500"/>
      <c r="UPG8" s="500"/>
      <c r="UPH8" s="500"/>
      <c r="UPI8" s="500"/>
      <c r="UPJ8" s="500"/>
      <c r="UPK8" s="500"/>
      <c r="UPL8" s="500"/>
      <c r="UPM8" s="500"/>
      <c r="UPN8" s="500"/>
      <c r="UPO8" s="500"/>
      <c r="UPP8" s="500"/>
      <c r="UPQ8" s="500"/>
      <c r="UPR8" s="500"/>
      <c r="UPS8" s="500"/>
      <c r="UPT8" s="500"/>
      <c r="UPU8" s="500"/>
      <c r="UPV8" s="500"/>
      <c r="UPW8" s="500"/>
      <c r="UPX8" s="500"/>
      <c r="UPY8" s="500"/>
      <c r="UPZ8" s="500"/>
      <c r="UQA8" s="500"/>
      <c r="UQB8" s="500"/>
      <c r="UQC8" s="500"/>
      <c r="UQD8" s="500"/>
      <c r="UQE8" s="500"/>
      <c r="UQF8" s="500"/>
      <c r="UQG8" s="500"/>
      <c r="UQH8" s="500"/>
      <c r="UQI8" s="500"/>
      <c r="UQJ8" s="500"/>
      <c r="UQK8" s="500"/>
      <c r="UQL8" s="500"/>
      <c r="UQM8" s="500"/>
      <c r="UQN8" s="500"/>
      <c r="UQO8" s="500"/>
      <c r="UQP8" s="500"/>
      <c r="UQQ8" s="500"/>
      <c r="UQR8" s="500"/>
      <c r="UQS8" s="500"/>
      <c r="UQT8" s="500"/>
      <c r="UQU8" s="500"/>
      <c r="UQV8" s="500"/>
      <c r="UQW8" s="500"/>
      <c r="UQX8" s="500"/>
      <c r="UQY8" s="500"/>
      <c r="UQZ8" s="500"/>
      <c r="URA8" s="500"/>
      <c r="URB8" s="500"/>
      <c r="URC8" s="500"/>
      <c r="URD8" s="500"/>
      <c r="URE8" s="500"/>
      <c r="URF8" s="500"/>
      <c r="URG8" s="500"/>
      <c r="URH8" s="500"/>
      <c r="URI8" s="500"/>
      <c r="URJ8" s="500"/>
      <c r="URK8" s="500"/>
      <c r="URL8" s="500"/>
      <c r="URM8" s="500"/>
      <c r="URN8" s="500"/>
      <c r="URO8" s="500"/>
      <c r="URP8" s="500"/>
      <c r="URQ8" s="500"/>
      <c r="URR8" s="500"/>
      <c r="URS8" s="500"/>
      <c r="URT8" s="500"/>
      <c r="URU8" s="500"/>
      <c r="URV8" s="500"/>
      <c r="URW8" s="500"/>
      <c r="URX8" s="500"/>
      <c r="URY8" s="500"/>
      <c r="URZ8" s="500"/>
      <c r="USA8" s="500"/>
      <c r="USB8" s="500"/>
      <c r="USC8" s="500"/>
      <c r="USD8" s="500"/>
      <c r="USE8" s="500"/>
      <c r="USF8" s="500"/>
      <c r="USG8" s="500"/>
      <c r="USH8" s="500"/>
      <c r="USI8" s="500"/>
      <c r="USJ8" s="500"/>
      <c r="USK8" s="500"/>
      <c r="USL8" s="500"/>
      <c r="USM8" s="500"/>
      <c r="USN8" s="500"/>
      <c r="USO8" s="500"/>
      <c r="USP8" s="500"/>
      <c r="USQ8" s="500"/>
      <c r="USR8" s="500"/>
      <c r="USS8" s="500"/>
      <c r="UST8" s="500"/>
      <c r="USU8" s="500"/>
      <c r="USV8" s="500"/>
      <c r="USW8" s="500"/>
      <c r="USX8" s="500"/>
      <c r="USY8" s="500"/>
      <c r="USZ8" s="500"/>
      <c r="UTA8" s="500"/>
      <c r="UTB8" s="500"/>
      <c r="UTC8" s="500"/>
      <c r="UTD8" s="500"/>
      <c r="UTE8" s="500"/>
      <c r="UTF8" s="500"/>
      <c r="UTG8" s="500"/>
      <c r="UTH8" s="500"/>
      <c r="UTI8" s="500"/>
      <c r="UTJ8" s="500"/>
      <c r="UTK8" s="500"/>
      <c r="UTL8" s="500"/>
      <c r="UTM8" s="500"/>
      <c r="UTN8" s="500"/>
      <c r="UTO8" s="500"/>
      <c r="UTP8" s="500"/>
      <c r="UTQ8" s="500"/>
      <c r="UTR8" s="500"/>
      <c r="UTS8" s="500"/>
      <c r="UTT8" s="500"/>
      <c r="UTU8" s="500"/>
      <c r="UTV8" s="500"/>
      <c r="UTW8" s="500"/>
      <c r="UTX8" s="500"/>
      <c r="UTY8" s="500"/>
      <c r="UTZ8" s="500"/>
      <c r="UUA8" s="500"/>
      <c r="UUB8" s="500"/>
      <c r="UUC8" s="500"/>
      <c r="UUD8" s="500"/>
      <c r="UUE8" s="500"/>
      <c r="UUF8" s="500"/>
      <c r="UUG8" s="500"/>
      <c r="UUH8" s="500"/>
      <c r="UUI8" s="500"/>
      <c r="UUJ8" s="500"/>
      <c r="UUK8" s="500"/>
      <c r="UUL8" s="500"/>
      <c r="UUM8" s="500"/>
      <c r="UUN8" s="500"/>
      <c r="UUO8" s="500"/>
      <c r="UUP8" s="500"/>
      <c r="UUQ8" s="500"/>
      <c r="UUR8" s="500"/>
      <c r="UUS8" s="500"/>
      <c r="UUT8" s="500"/>
      <c r="UUU8" s="500"/>
      <c r="UUV8" s="500"/>
      <c r="UUW8" s="500"/>
      <c r="UUX8" s="500"/>
      <c r="UUY8" s="500"/>
      <c r="UUZ8" s="500"/>
      <c r="UVA8" s="500"/>
      <c r="UVB8" s="500"/>
      <c r="UVC8" s="500"/>
      <c r="UVD8" s="500"/>
      <c r="UVE8" s="500"/>
      <c r="UVF8" s="500"/>
      <c r="UVG8" s="500"/>
      <c r="UVH8" s="500"/>
      <c r="UVI8" s="500"/>
      <c r="UVJ8" s="500"/>
      <c r="UVK8" s="500"/>
      <c r="UVL8" s="500"/>
      <c r="UVM8" s="500"/>
      <c r="UVN8" s="500"/>
      <c r="UVO8" s="500"/>
      <c r="UVP8" s="500"/>
      <c r="UVQ8" s="500"/>
      <c r="UVR8" s="500"/>
      <c r="UVS8" s="500"/>
      <c r="UVT8" s="500"/>
      <c r="UVU8" s="500"/>
      <c r="UVV8" s="500"/>
      <c r="UVW8" s="500"/>
      <c r="UVX8" s="500"/>
      <c r="UVY8" s="500"/>
      <c r="UVZ8" s="500"/>
      <c r="UWA8" s="500"/>
      <c r="UWB8" s="500"/>
      <c r="UWC8" s="500"/>
      <c r="UWD8" s="500"/>
      <c r="UWE8" s="500"/>
      <c r="UWF8" s="500"/>
      <c r="UWG8" s="500"/>
      <c r="UWH8" s="500"/>
      <c r="UWI8" s="500"/>
      <c r="UWJ8" s="500"/>
      <c r="UWK8" s="500"/>
      <c r="UWL8" s="500"/>
      <c r="UWM8" s="500"/>
      <c r="UWN8" s="500"/>
      <c r="UWO8" s="500"/>
      <c r="UWP8" s="500"/>
      <c r="UWQ8" s="500"/>
      <c r="UWR8" s="500"/>
      <c r="UWS8" s="500"/>
      <c r="UWT8" s="500"/>
      <c r="UWU8" s="500"/>
      <c r="UWV8" s="500"/>
      <c r="UWW8" s="500"/>
      <c r="UWX8" s="500"/>
      <c r="UWY8" s="500"/>
      <c r="UWZ8" s="500"/>
      <c r="UXA8" s="500"/>
      <c r="UXB8" s="500"/>
      <c r="UXC8" s="500"/>
      <c r="UXD8" s="500"/>
      <c r="UXE8" s="500"/>
      <c r="UXF8" s="500"/>
      <c r="UXG8" s="500"/>
      <c r="UXH8" s="500"/>
      <c r="UXI8" s="500"/>
      <c r="UXJ8" s="500"/>
      <c r="UXK8" s="500"/>
      <c r="UXL8" s="500"/>
      <c r="UXM8" s="500"/>
      <c r="UXN8" s="500"/>
      <c r="UXO8" s="500"/>
      <c r="UXP8" s="500"/>
      <c r="UXQ8" s="500"/>
      <c r="UXR8" s="500"/>
      <c r="UXS8" s="500"/>
      <c r="UXT8" s="500"/>
      <c r="UXU8" s="500"/>
      <c r="UXV8" s="500"/>
      <c r="UXW8" s="500"/>
      <c r="UXX8" s="500"/>
      <c r="UXY8" s="500"/>
      <c r="UXZ8" s="500"/>
      <c r="UYA8" s="500"/>
      <c r="UYB8" s="500"/>
      <c r="UYC8" s="500"/>
      <c r="UYD8" s="500"/>
      <c r="UYE8" s="500"/>
      <c r="UYF8" s="500"/>
      <c r="UYG8" s="500"/>
      <c r="UYH8" s="500"/>
      <c r="UYI8" s="500"/>
      <c r="UYJ8" s="500"/>
      <c r="UYK8" s="500"/>
      <c r="UYL8" s="500"/>
      <c r="UYM8" s="500"/>
      <c r="UYN8" s="500"/>
      <c r="UYO8" s="500"/>
      <c r="UYP8" s="500"/>
      <c r="UYQ8" s="500"/>
      <c r="UYR8" s="500"/>
      <c r="UYS8" s="500"/>
      <c r="UYT8" s="500"/>
      <c r="UYU8" s="500"/>
      <c r="UYV8" s="500"/>
      <c r="UYW8" s="500"/>
      <c r="UYX8" s="500"/>
      <c r="UYY8" s="500"/>
      <c r="UYZ8" s="500"/>
      <c r="UZA8" s="500"/>
      <c r="UZB8" s="500"/>
      <c r="UZC8" s="500"/>
      <c r="UZD8" s="500"/>
      <c r="UZE8" s="500"/>
      <c r="UZF8" s="500"/>
      <c r="UZG8" s="500"/>
      <c r="UZH8" s="500"/>
      <c r="UZI8" s="500"/>
      <c r="UZJ8" s="500"/>
      <c r="UZK8" s="500"/>
      <c r="UZL8" s="500"/>
      <c r="UZM8" s="500"/>
      <c r="UZN8" s="500"/>
      <c r="UZO8" s="500"/>
      <c r="UZP8" s="500"/>
      <c r="UZQ8" s="500"/>
      <c r="UZR8" s="500"/>
      <c r="UZS8" s="500"/>
      <c r="UZT8" s="500"/>
      <c r="UZU8" s="500"/>
      <c r="UZV8" s="500"/>
      <c r="UZW8" s="500"/>
      <c r="UZX8" s="500"/>
      <c r="UZY8" s="500"/>
      <c r="UZZ8" s="500"/>
      <c r="VAA8" s="500"/>
      <c r="VAB8" s="500"/>
      <c r="VAC8" s="500"/>
      <c r="VAD8" s="500"/>
      <c r="VAE8" s="500"/>
      <c r="VAF8" s="500"/>
      <c r="VAG8" s="500"/>
      <c r="VAH8" s="500"/>
      <c r="VAI8" s="500"/>
      <c r="VAJ8" s="500"/>
      <c r="VAK8" s="500"/>
      <c r="VAL8" s="500"/>
      <c r="VAM8" s="500"/>
      <c r="VAN8" s="500"/>
      <c r="VAO8" s="500"/>
      <c r="VAP8" s="500"/>
      <c r="VAQ8" s="500"/>
      <c r="VAR8" s="500"/>
      <c r="VAS8" s="500"/>
      <c r="VAT8" s="500"/>
      <c r="VAU8" s="500"/>
      <c r="VAV8" s="500"/>
      <c r="VAW8" s="500"/>
      <c r="VAX8" s="500"/>
      <c r="VAY8" s="500"/>
      <c r="VAZ8" s="500"/>
      <c r="VBA8" s="500"/>
      <c r="VBB8" s="500"/>
      <c r="VBC8" s="500"/>
      <c r="VBD8" s="500"/>
      <c r="VBE8" s="500"/>
      <c r="VBF8" s="500"/>
      <c r="VBG8" s="500"/>
      <c r="VBH8" s="500"/>
      <c r="VBI8" s="500"/>
      <c r="VBJ8" s="500"/>
      <c r="VBK8" s="500"/>
      <c r="VBL8" s="500"/>
      <c r="VBM8" s="500"/>
      <c r="VBN8" s="500"/>
      <c r="VBO8" s="500"/>
      <c r="VBP8" s="500"/>
      <c r="VBQ8" s="500"/>
      <c r="VBR8" s="500"/>
      <c r="VBS8" s="500"/>
      <c r="VBT8" s="500"/>
      <c r="VBU8" s="500"/>
      <c r="VBV8" s="500"/>
      <c r="VBW8" s="500"/>
      <c r="VBX8" s="500"/>
      <c r="VBY8" s="500"/>
      <c r="VBZ8" s="500"/>
      <c r="VCA8" s="500"/>
      <c r="VCB8" s="500"/>
      <c r="VCC8" s="500"/>
      <c r="VCD8" s="500"/>
      <c r="VCE8" s="500"/>
      <c r="VCF8" s="500"/>
      <c r="VCG8" s="500"/>
      <c r="VCH8" s="500"/>
      <c r="VCI8" s="500"/>
      <c r="VCJ8" s="500"/>
      <c r="VCK8" s="500"/>
      <c r="VCL8" s="500"/>
      <c r="VCM8" s="500"/>
      <c r="VCN8" s="500"/>
      <c r="VCO8" s="500"/>
      <c r="VCP8" s="500"/>
      <c r="VCQ8" s="500"/>
      <c r="VCR8" s="500"/>
      <c r="VCS8" s="500"/>
      <c r="VCT8" s="500"/>
      <c r="VCU8" s="500"/>
      <c r="VCV8" s="500"/>
      <c r="VCW8" s="500"/>
      <c r="VCX8" s="500"/>
      <c r="VCY8" s="500"/>
      <c r="VCZ8" s="500"/>
      <c r="VDA8" s="500"/>
      <c r="VDB8" s="500"/>
      <c r="VDC8" s="500"/>
      <c r="VDD8" s="500"/>
      <c r="VDE8" s="500"/>
      <c r="VDF8" s="500"/>
      <c r="VDG8" s="500"/>
      <c r="VDH8" s="500"/>
      <c r="VDI8" s="500"/>
      <c r="VDJ8" s="500"/>
      <c r="VDK8" s="500"/>
      <c r="VDL8" s="500"/>
      <c r="VDM8" s="500"/>
      <c r="VDN8" s="500"/>
      <c r="VDO8" s="500"/>
      <c r="VDP8" s="500"/>
      <c r="VDQ8" s="500"/>
      <c r="VDR8" s="500"/>
      <c r="VDS8" s="500"/>
      <c r="VDT8" s="500"/>
      <c r="VDU8" s="500"/>
      <c r="VDV8" s="500"/>
      <c r="VDW8" s="500"/>
      <c r="VDX8" s="500"/>
      <c r="VDY8" s="500"/>
      <c r="VDZ8" s="500"/>
      <c r="VEA8" s="500"/>
      <c r="VEB8" s="500"/>
      <c r="VEC8" s="500"/>
      <c r="VED8" s="500"/>
      <c r="VEE8" s="500"/>
      <c r="VEF8" s="500"/>
      <c r="VEG8" s="500"/>
      <c r="VEH8" s="500"/>
      <c r="VEI8" s="500"/>
      <c r="VEJ8" s="500"/>
      <c r="VEK8" s="500"/>
      <c r="VEL8" s="500"/>
      <c r="VEM8" s="500"/>
      <c r="VEN8" s="500"/>
      <c r="VEO8" s="500"/>
      <c r="VEP8" s="500"/>
      <c r="VEQ8" s="500"/>
      <c r="VER8" s="500"/>
      <c r="VES8" s="500"/>
      <c r="VET8" s="500"/>
      <c r="VEU8" s="500"/>
      <c r="VEV8" s="500"/>
      <c r="VEW8" s="500"/>
      <c r="VEX8" s="500"/>
      <c r="VEY8" s="500"/>
      <c r="VEZ8" s="500"/>
      <c r="VFA8" s="500"/>
      <c r="VFB8" s="500"/>
      <c r="VFC8" s="500"/>
      <c r="VFD8" s="500"/>
      <c r="VFE8" s="500"/>
      <c r="VFF8" s="500"/>
      <c r="VFG8" s="500"/>
      <c r="VFH8" s="500"/>
      <c r="VFI8" s="500"/>
      <c r="VFJ8" s="500"/>
      <c r="VFK8" s="500"/>
      <c r="VFL8" s="500"/>
      <c r="VFM8" s="500"/>
      <c r="VFN8" s="500"/>
      <c r="VFO8" s="500"/>
      <c r="VFP8" s="500"/>
      <c r="VFQ8" s="500"/>
      <c r="VFR8" s="500"/>
      <c r="VFS8" s="500"/>
      <c r="VFT8" s="500"/>
      <c r="VFU8" s="500"/>
      <c r="VFV8" s="500"/>
      <c r="VFW8" s="500"/>
      <c r="VFX8" s="500"/>
      <c r="VFY8" s="500"/>
      <c r="VFZ8" s="500"/>
      <c r="VGA8" s="500"/>
      <c r="VGB8" s="500"/>
      <c r="VGC8" s="500"/>
      <c r="VGD8" s="500"/>
      <c r="VGE8" s="500"/>
      <c r="VGF8" s="500"/>
      <c r="VGG8" s="500"/>
      <c r="VGH8" s="500"/>
      <c r="VGI8" s="500"/>
      <c r="VGJ8" s="500"/>
      <c r="VGK8" s="500"/>
      <c r="VGL8" s="500"/>
      <c r="VGM8" s="500"/>
      <c r="VGN8" s="500"/>
      <c r="VGO8" s="500"/>
      <c r="VGP8" s="500"/>
      <c r="VGQ8" s="500"/>
      <c r="VGR8" s="500"/>
      <c r="VGS8" s="500"/>
      <c r="VGT8" s="500"/>
      <c r="VGU8" s="500"/>
      <c r="VGV8" s="500"/>
      <c r="VGW8" s="500"/>
      <c r="VGX8" s="500"/>
      <c r="VGY8" s="500"/>
      <c r="VGZ8" s="500"/>
      <c r="VHA8" s="500"/>
      <c r="VHB8" s="500"/>
      <c r="VHC8" s="500"/>
      <c r="VHD8" s="500"/>
      <c r="VHE8" s="500"/>
      <c r="VHF8" s="500"/>
      <c r="VHG8" s="500"/>
      <c r="VHH8" s="500"/>
      <c r="VHI8" s="500"/>
      <c r="VHJ8" s="500"/>
      <c r="VHK8" s="500"/>
      <c r="VHL8" s="500"/>
      <c r="VHM8" s="500"/>
      <c r="VHN8" s="500"/>
      <c r="VHO8" s="500"/>
      <c r="VHP8" s="500"/>
      <c r="VHQ8" s="500"/>
      <c r="VHR8" s="500"/>
      <c r="VHS8" s="500"/>
      <c r="VHT8" s="500"/>
      <c r="VHU8" s="500"/>
      <c r="VHV8" s="500"/>
      <c r="VHW8" s="500"/>
      <c r="VHX8" s="500"/>
      <c r="VHY8" s="500"/>
      <c r="VHZ8" s="500"/>
      <c r="VIA8" s="500"/>
      <c r="VIB8" s="500"/>
      <c r="VIC8" s="500"/>
      <c r="VID8" s="500"/>
      <c r="VIE8" s="500"/>
      <c r="VIF8" s="500"/>
      <c r="VIG8" s="500"/>
      <c r="VIH8" s="500"/>
      <c r="VII8" s="500"/>
      <c r="VIJ8" s="500"/>
      <c r="VIK8" s="500"/>
      <c r="VIL8" s="500"/>
      <c r="VIM8" s="500"/>
      <c r="VIN8" s="500"/>
      <c r="VIO8" s="500"/>
      <c r="VIP8" s="500"/>
      <c r="VIQ8" s="500"/>
      <c r="VIR8" s="500"/>
      <c r="VIS8" s="500"/>
      <c r="VIT8" s="500"/>
      <c r="VIU8" s="500"/>
      <c r="VIV8" s="500"/>
      <c r="VIW8" s="500"/>
      <c r="VIX8" s="500"/>
      <c r="VIY8" s="500"/>
      <c r="VIZ8" s="500"/>
      <c r="VJA8" s="500"/>
      <c r="VJB8" s="500"/>
      <c r="VJC8" s="500"/>
      <c r="VJD8" s="500"/>
      <c r="VJE8" s="500"/>
      <c r="VJF8" s="500"/>
      <c r="VJG8" s="500"/>
      <c r="VJH8" s="500"/>
      <c r="VJI8" s="500"/>
      <c r="VJJ8" s="500"/>
      <c r="VJK8" s="500"/>
      <c r="VJL8" s="500"/>
      <c r="VJM8" s="500"/>
      <c r="VJN8" s="500"/>
      <c r="VJO8" s="500"/>
      <c r="VJP8" s="500"/>
      <c r="VJQ8" s="500"/>
      <c r="VJR8" s="500"/>
      <c r="VJS8" s="500"/>
      <c r="VJT8" s="500"/>
      <c r="VJU8" s="500"/>
      <c r="VJV8" s="500"/>
      <c r="VJW8" s="500"/>
      <c r="VJX8" s="500"/>
      <c r="VJY8" s="500"/>
      <c r="VJZ8" s="500"/>
      <c r="VKA8" s="500"/>
      <c r="VKB8" s="500"/>
      <c r="VKC8" s="500"/>
      <c r="VKD8" s="500"/>
      <c r="VKE8" s="500"/>
      <c r="VKF8" s="500"/>
      <c r="VKG8" s="500"/>
      <c r="VKH8" s="500"/>
      <c r="VKI8" s="500"/>
      <c r="VKJ8" s="500"/>
      <c r="VKK8" s="500"/>
      <c r="VKL8" s="500"/>
      <c r="VKM8" s="500"/>
      <c r="VKN8" s="500"/>
      <c r="VKO8" s="500"/>
      <c r="VKP8" s="500"/>
      <c r="VKQ8" s="500"/>
      <c r="VKR8" s="500"/>
      <c r="VKS8" s="500"/>
      <c r="VKT8" s="500"/>
      <c r="VKU8" s="500"/>
      <c r="VKV8" s="500"/>
      <c r="VKW8" s="500"/>
      <c r="VKX8" s="500"/>
      <c r="VKY8" s="500"/>
      <c r="VKZ8" s="500"/>
      <c r="VLA8" s="500"/>
      <c r="VLB8" s="500"/>
      <c r="VLC8" s="500"/>
      <c r="VLD8" s="500"/>
      <c r="VLE8" s="500"/>
      <c r="VLF8" s="500"/>
      <c r="VLG8" s="500"/>
      <c r="VLH8" s="500"/>
      <c r="VLI8" s="500"/>
      <c r="VLJ8" s="500"/>
      <c r="VLK8" s="500"/>
      <c r="VLL8" s="500"/>
      <c r="VLM8" s="500"/>
      <c r="VLN8" s="500"/>
      <c r="VLO8" s="500"/>
      <c r="VLP8" s="500"/>
      <c r="VLQ8" s="500"/>
      <c r="VLR8" s="500"/>
      <c r="VLS8" s="500"/>
      <c r="VLT8" s="500"/>
      <c r="VLU8" s="500"/>
      <c r="VLV8" s="500"/>
      <c r="VLW8" s="500"/>
      <c r="VLX8" s="500"/>
      <c r="VLY8" s="500"/>
      <c r="VLZ8" s="500"/>
      <c r="VMA8" s="500"/>
      <c r="VMB8" s="500"/>
      <c r="VMC8" s="500"/>
      <c r="VMD8" s="500"/>
      <c r="VME8" s="500"/>
      <c r="VMF8" s="500"/>
      <c r="VMG8" s="500"/>
      <c r="VMH8" s="500"/>
      <c r="VMI8" s="500"/>
      <c r="VMJ8" s="500"/>
      <c r="VMK8" s="500"/>
      <c r="VML8" s="500"/>
      <c r="VMM8" s="500"/>
      <c r="VMN8" s="500"/>
      <c r="VMO8" s="500"/>
      <c r="VMP8" s="500"/>
      <c r="VMQ8" s="500"/>
      <c r="VMR8" s="500"/>
      <c r="VMS8" s="500"/>
      <c r="VMT8" s="500"/>
      <c r="VMU8" s="500"/>
      <c r="VMV8" s="500"/>
      <c r="VMW8" s="500"/>
      <c r="VMX8" s="500"/>
      <c r="VMY8" s="500"/>
      <c r="VMZ8" s="500"/>
      <c r="VNA8" s="500"/>
      <c r="VNB8" s="500"/>
      <c r="VNC8" s="500"/>
      <c r="VND8" s="500"/>
      <c r="VNE8" s="500"/>
      <c r="VNF8" s="500"/>
      <c r="VNG8" s="500"/>
      <c r="VNH8" s="500"/>
      <c r="VNI8" s="500"/>
      <c r="VNJ8" s="500"/>
      <c r="VNK8" s="500"/>
      <c r="VNL8" s="500"/>
      <c r="VNM8" s="500"/>
      <c r="VNN8" s="500"/>
      <c r="VNO8" s="500"/>
      <c r="VNP8" s="500"/>
      <c r="VNQ8" s="500"/>
      <c r="VNR8" s="500"/>
      <c r="VNS8" s="500"/>
      <c r="VNT8" s="500"/>
      <c r="VNU8" s="500"/>
      <c r="VNV8" s="500"/>
      <c r="VNW8" s="500"/>
      <c r="VNX8" s="500"/>
      <c r="VNY8" s="500"/>
      <c r="VNZ8" s="500"/>
      <c r="VOA8" s="500"/>
      <c r="VOB8" s="500"/>
      <c r="VOC8" s="500"/>
      <c r="VOD8" s="500"/>
      <c r="VOE8" s="500"/>
      <c r="VOF8" s="500"/>
      <c r="VOG8" s="500"/>
      <c r="VOH8" s="500"/>
      <c r="VOI8" s="500"/>
      <c r="VOJ8" s="500"/>
      <c r="VOK8" s="500"/>
      <c r="VOL8" s="500"/>
      <c r="VOM8" s="500"/>
      <c r="VON8" s="500"/>
      <c r="VOO8" s="500"/>
      <c r="VOP8" s="500"/>
      <c r="VOQ8" s="500"/>
      <c r="VOR8" s="500"/>
      <c r="VOS8" s="500"/>
      <c r="VOT8" s="500"/>
      <c r="VOU8" s="500"/>
      <c r="VOV8" s="500"/>
      <c r="VOW8" s="500"/>
      <c r="VOX8" s="500"/>
      <c r="VOY8" s="500"/>
      <c r="VOZ8" s="500"/>
      <c r="VPA8" s="500"/>
      <c r="VPB8" s="500"/>
      <c r="VPC8" s="500"/>
      <c r="VPD8" s="500"/>
      <c r="VPE8" s="500"/>
      <c r="VPF8" s="500"/>
      <c r="VPG8" s="500"/>
      <c r="VPH8" s="500"/>
      <c r="VPI8" s="500"/>
      <c r="VPJ8" s="500"/>
      <c r="VPK8" s="500"/>
      <c r="VPL8" s="500"/>
      <c r="VPM8" s="500"/>
      <c r="VPN8" s="500"/>
      <c r="VPO8" s="500"/>
      <c r="VPP8" s="500"/>
      <c r="VPQ8" s="500"/>
      <c r="VPR8" s="500"/>
      <c r="VPS8" s="500"/>
      <c r="VPT8" s="500"/>
      <c r="VPU8" s="500"/>
      <c r="VPV8" s="500"/>
      <c r="VPW8" s="500"/>
      <c r="VPX8" s="500"/>
      <c r="VPY8" s="500"/>
      <c r="VPZ8" s="500"/>
      <c r="VQA8" s="500"/>
      <c r="VQB8" s="500"/>
      <c r="VQC8" s="500"/>
      <c r="VQD8" s="500"/>
      <c r="VQE8" s="500"/>
      <c r="VQF8" s="500"/>
      <c r="VQG8" s="500"/>
      <c r="VQH8" s="500"/>
      <c r="VQI8" s="500"/>
      <c r="VQJ8" s="500"/>
      <c r="VQK8" s="500"/>
      <c r="VQL8" s="500"/>
      <c r="VQM8" s="500"/>
      <c r="VQN8" s="500"/>
      <c r="VQO8" s="500"/>
      <c r="VQP8" s="500"/>
      <c r="VQQ8" s="500"/>
      <c r="VQR8" s="500"/>
      <c r="VQS8" s="500"/>
      <c r="VQT8" s="500"/>
      <c r="VQU8" s="500"/>
      <c r="VQV8" s="500"/>
      <c r="VQW8" s="500"/>
      <c r="VQX8" s="500"/>
      <c r="VQY8" s="500"/>
      <c r="VQZ8" s="500"/>
      <c r="VRA8" s="500"/>
      <c r="VRB8" s="500"/>
      <c r="VRC8" s="500"/>
      <c r="VRD8" s="500"/>
      <c r="VRE8" s="500"/>
      <c r="VRF8" s="500"/>
      <c r="VRG8" s="500"/>
      <c r="VRH8" s="500"/>
      <c r="VRI8" s="500"/>
      <c r="VRJ8" s="500"/>
      <c r="VRK8" s="500"/>
      <c r="VRL8" s="500"/>
      <c r="VRM8" s="500"/>
      <c r="VRN8" s="500"/>
      <c r="VRO8" s="500"/>
      <c r="VRP8" s="500"/>
      <c r="VRQ8" s="500"/>
      <c r="VRR8" s="500"/>
      <c r="VRS8" s="500"/>
      <c r="VRT8" s="500"/>
      <c r="VRU8" s="500"/>
      <c r="VRV8" s="500"/>
      <c r="VRW8" s="500"/>
      <c r="VRX8" s="500"/>
      <c r="VRY8" s="500"/>
      <c r="VRZ8" s="500"/>
      <c r="VSA8" s="500"/>
      <c r="VSB8" s="500"/>
      <c r="VSC8" s="500"/>
      <c r="VSD8" s="500"/>
      <c r="VSE8" s="500"/>
      <c r="VSF8" s="500"/>
      <c r="VSG8" s="500"/>
      <c r="VSH8" s="500"/>
      <c r="VSI8" s="500"/>
      <c r="VSJ8" s="500"/>
      <c r="VSK8" s="500"/>
      <c r="VSL8" s="500"/>
      <c r="VSM8" s="500"/>
      <c r="VSN8" s="500"/>
      <c r="VSO8" s="500"/>
      <c r="VSP8" s="500"/>
      <c r="VSQ8" s="500"/>
      <c r="VSR8" s="500"/>
      <c r="VSS8" s="500"/>
      <c r="VST8" s="500"/>
      <c r="VSU8" s="500"/>
      <c r="VSV8" s="500"/>
      <c r="VSW8" s="500"/>
      <c r="VSX8" s="500"/>
      <c r="VSY8" s="500"/>
      <c r="VSZ8" s="500"/>
      <c r="VTA8" s="500"/>
      <c r="VTB8" s="500"/>
      <c r="VTC8" s="500"/>
      <c r="VTD8" s="500"/>
      <c r="VTE8" s="500"/>
      <c r="VTF8" s="500"/>
      <c r="VTG8" s="500"/>
      <c r="VTH8" s="500"/>
      <c r="VTI8" s="500"/>
      <c r="VTJ8" s="500"/>
      <c r="VTK8" s="500"/>
      <c r="VTL8" s="500"/>
      <c r="VTM8" s="500"/>
      <c r="VTN8" s="500"/>
      <c r="VTO8" s="500"/>
      <c r="VTP8" s="500"/>
      <c r="VTQ8" s="500"/>
      <c r="VTR8" s="500"/>
      <c r="VTS8" s="500"/>
      <c r="VTT8" s="500"/>
      <c r="VTU8" s="500"/>
      <c r="VTV8" s="500"/>
      <c r="VTW8" s="500"/>
      <c r="VTX8" s="500"/>
      <c r="VTY8" s="500"/>
      <c r="VTZ8" s="500"/>
      <c r="VUA8" s="500"/>
      <c r="VUB8" s="500"/>
      <c r="VUC8" s="500"/>
      <c r="VUD8" s="500"/>
      <c r="VUE8" s="500"/>
      <c r="VUF8" s="500"/>
      <c r="VUG8" s="500"/>
      <c r="VUH8" s="500"/>
      <c r="VUI8" s="500"/>
      <c r="VUJ8" s="500"/>
      <c r="VUK8" s="500"/>
      <c r="VUL8" s="500"/>
      <c r="VUM8" s="500"/>
      <c r="VUN8" s="500"/>
      <c r="VUO8" s="500"/>
      <c r="VUP8" s="500"/>
      <c r="VUQ8" s="500"/>
      <c r="VUR8" s="500"/>
      <c r="VUS8" s="500"/>
      <c r="VUT8" s="500"/>
      <c r="VUU8" s="500"/>
      <c r="VUV8" s="500"/>
      <c r="VUW8" s="500"/>
      <c r="VUX8" s="500"/>
      <c r="VUY8" s="500"/>
      <c r="VUZ8" s="500"/>
      <c r="VVA8" s="500"/>
      <c r="VVB8" s="500"/>
      <c r="VVC8" s="500"/>
      <c r="VVD8" s="500"/>
      <c r="VVE8" s="500"/>
      <c r="VVF8" s="500"/>
      <c r="VVG8" s="500"/>
      <c r="VVH8" s="500"/>
      <c r="VVI8" s="500"/>
      <c r="VVJ8" s="500"/>
      <c r="VVK8" s="500"/>
      <c r="VVL8" s="500"/>
      <c r="VVM8" s="500"/>
      <c r="VVN8" s="500"/>
      <c r="VVO8" s="500"/>
      <c r="VVP8" s="500"/>
      <c r="VVQ8" s="500"/>
      <c r="VVR8" s="500"/>
      <c r="VVS8" s="500"/>
      <c r="VVT8" s="500"/>
      <c r="VVU8" s="500"/>
      <c r="VVV8" s="500"/>
      <c r="VVW8" s="500"/>
      <c r="VVX8" s="500"/>
      <c r="VVY8" s="500"/>
      <c r="VVZ8" s="500"/>
      <c r="VWA8" s="500"/>
      <c r="VWB8" s="500"/>
      <c r="VWC8" s="500"/>
      <c r="VWD8" s="500"/>
      <c r="VWE8" s="500"/>
      <c r="VWF8" s="500"/>
      <c r="VWG8" s="500"/>
      <c r="VWH8" s="500"/>
      <c r="VWI8" s="500"/>
      <c r="VWJ8" s="500"/>
      <c r="VWK8" s="500"/>
      <c r="VWL8" s="500"/>
      <c r="VWM8" s="500"/>
      <c r="VWN8" s="500"/>
      <c r="VWO8" s="500"/>
      <c r="VWP8" s="500"/>
      <c r="VWQ8" s="500"/>
      <c r="VWR8" s="500"/>
      <c r="VWS8" s="500"/>
      <c r="VWT8" s="500"/>
      <c r="VWU8" s="500"/>
      <c r="VWV8" s="500"/>
      <c r="VWW8" s="500"/>
      <c r="VWX8" s="500"/>
      <c r="VWY8" s="500"/>
      <c r="VWZ8" s="500"/>
      <c r="VXA8" s="500"/>
      <c r="VXB8" s="500"/>
      <c r="VXC8" s="500"/>
      <c r="VXD8" s="500"/>
      <c r="VXE8" s="500"/>
      <c r="VXF8" s="500"/>
      <c r="VXG8" s="500"/>
      <c r="VXH8" s="500"/>
      <c r="VXI8" s="500"/>
      <c r="VXJ8" s="500"/>
      <c r="VXK8" s="500"/>
      <c r="VXL8" s="500"/>
      <c r="VXM8" s="500"/>
      <c r="VXN8" s="500"/>
      <c r="VXO8" s="500"/>
      <c r="VXP8" s="500"/>
      <c r="VXQ8" s="500"/>
      <c r="VXR8" s="500"/>
      <c r="VXS8" s="500"/>
      <c r="VXT8" s="500"/>
      <c r="VXU8" s="500"/>
      <c r="VXV8" s="500"/>
      <c r="VXW8" s="500"/>
      <c r="VXX8" s="500"/>
      <c r="VXY8" s="500"/>
      <c r="VXZ8" s="500"/>
      <c r="VYA8" s="500"/>
      <c r="VYB8" s="500"/>
      <c r="VYC8" s="500"/>
      <c r="VYD8" s="500"/>
      <c r="VYE8" s="500"/>
      <c r="VYF8" s="500"/>
      <c r="VYG8" s="500"/>
      <c r="VYH8" s="500"/>
      <c r="VYI8" s="500"/>
      <c r="VYJ8" s="500"/>
      <c r="VYK8" s="500"/>
      <c r="VYL8" s="500"/>
      <c r="VYM8" s="500"/>
      <c r="VYN8" s="500"/>
      <c r="VYO8" s="500"/>
      <c r="VYP8" s="500"/>
      <c r="VYQ8" s="500"/>
      <c r="VYR8" s="500"/>
      <c r="VYS8" s="500"/>
      <c r="VYT8" s="500"/>
      <c r="VYU8" s="500"/>
      <c r="VYV8" s="500"/>
      <c r="VYW8" s="500"/>
      <c r="VYX8" s="500"/>
      <c r="VYY8" s="500"/>
      <c r="VYZ8" s="500"/>
      <c r="VZA8" s="500"/>
      <c r="VZB8" s="500"/>
      <c r="VZC8" s="500"/>
      <c r="VZD8" s="500"/>
      <c r="VZE8" s="500"/>
      <c r="VZF8" s="500"/>
      <c r="VZG8" s="500"/>
      <c r="VZH8" s="500"/>
      <c r="VZI8" s="500"/>
      <c r="VZJ8" s="500"/>
      <c r="VZK8" s="500"/>
      <c r="VZL8" s="500"/>
      <c r="VZM8" s="500"/>
      <c r="VZN8" s="500"/>
      <c r="VZO8" s="500"/>
      <c r="VZP8" s="500"/>
      <c r="VZQ8" s="500"/>
      <c r="VZR8" s="500"/>
      <c r="VZS8" s="500"/>
      <c r="VZT8" s="500"/>
      <c r="VZU8" s="500"/>
      <c r="VZV8" s="500"/>
      <c r="VZW8" s="500"/>
      <c r="VZX8" s="500"/>
      <c r="VZY8" s="500"/>
      <c r="VZZ8" s="500"/>
      <c r="WAA8" s="500"/>
      <c r="WAB8" s="500"/>
      <c r="WAC8" s="500"/>
      <c r="WAD8" s="500"/>
      <c r="WAE8" s="500"/>
      <c r="WAF8" s="500"/>
      <c r="WAG8" s="500"/>
      <c r="WAH8" s="500"/>
      <c r="WAI8" s="500"/>
      <c r="WAJ8" s="500"/>
      <c r="WAK8" s="500"/>
      <c r="WAL8" s="500"/>
      <c r="WAM8" s="500"/>
      <c r="WAN8" s="500"/>
      <c r="WAO8" s="500"/>
      <c r="WAP8" s="500"/>
      <c r="WAQ8" s="500"/>
      <c r="WAR8" s="500"/>
      <c r="WAS8" s="500"/>
      <c r="WAT8" s="500"/>
      <c r="WAU8" s="500"/>
      <c r="WAV8" s="500"/>
      <c r="WAW8" s="500"/>
      <c r="WAX8" s="500"/>
      <c r="WAY8" s="500"/>
      <c r="WAZ8" s="500"/>
      <c r="WBA8" s="500"/>
      <c r="WBB8" s="500"/>
      <c r="WBC8" s="500"/>
      <c r="WBD8" s="500"/>
      <c r="WBE8" s="500"/>
      <c r="WBF8" s="500"/>
      <c r="WBG8" s="500"/>
      <c r="WBH8" s="500"/>
      <c r="WBI8" s="500"/>
      <c r="WBJ8" s="500"/>
      <c r="WBK8" s="500"/>
      <c r="WBL8" s="500"/>
      <c r="WBM8" s="500"/>
      <c r="WBN8" s="500"/>
      <c r="WBO8" s="500"/>
      <c r="WBP8" s="500"/>
      <c r="WBQ8" s="500"/>
      <c r="WBR8" s="500"/>
      <c r="WBS8" s="500"/>
      <c r="WBT8" s="500"/>
      <c r="WBU8" s="500"/>
      <c r="WBV8" s="500"/>
      <c r="WBW8" s="500"/>
      <c r="WBX8" s="500"/>
      <c r="WBY8" s="500"/>
      <c r="WBZ8" s="500"/>
      <c r="WCA8" s="500"/>
      <c r="WCB8" s="500"/>
      <c r="WCC8" s="500"/>
      <c r="WCD8" s="500"/>
      <c r="WCE8" s="500"/>
      <c r="WCF8" s="500"/>
      <c r="WCG8" s="500"/>
      <c r="WCH8" s="500"/>
      <c r="WCI8" s="500"/>
      <c r="WCJ8" s="500"/>
      <c r="WCK8" s="500"/>
      <c r="WCL8" s="500"/>
      <c r="WCM8" s="500"/>
      <c r="WCN8" s="500"/>
      <c r="WCO8" s="500"/>
      <c r="WCP8" s="500"/>
      <c r="WCQ8" s="500"/>
      <c r="WCR8" s="500"/>
      <c r="WCS8" s="500"/>
      <c r="WCT8" s="500"/>
      <c r="WCU8" s="500"/>
      <c r="WCV8" s="500"/>
      <c r="WCW8" s="500"/>
      <c r="WCX8" s="500"/>
      <c r="WCY8" s="500"/>
      <c r="WCZ8" s="500"/>
      <c r="WDA8" s="500"/>
      <c r="WDB8" s="500"/>
      <c r="WDC8" s="500"/>
      <c r="WDD8" s="500"/>
      <c r="WDE8" s="500"/>
      <c r="WDF8" s="500"/>
      <c r="WDG8" s="500"/>
      <c r="WDH8" s="500"/>
      <c r="WDI8" s="500"/>
      <c r="WDJ8" s="500"/>
      <c r="WDK8" s="500"/>
      <c r="WDL8" s="500"/>
      <c r="WDM8" s="500"/>
      <c r="WDN8" s="500"/>
      <c r="WDO8" s="500"/>
      <c r="WDP8" s="500"/>
      <c r="WDQ8" s="500"/>
      <c r="WDR8" s="500"/>
      <c r="WDS8" s="500"/>
      <c r="WDT8" s="500"/>
      <c r="WDU8" s="500"/>
      <c r="WDV8" s="500"/>
      <c r="WDW8" s="500"/>
      <c r="WDX8" s="500"/>
      <c r="WDY8" s="500"/>
      <c r="WDZ8" s="500"/>
      <c r="WEA8" s="500"/>
      <c r="WEB8" s="500"/>
      <c r="WEC8" s="500"/>
      <c r="WED8" s="500"/>
      <c r="WEE8" s="500"/>
      <c r="WEF8" s="500"/>
      <c r="WEG8" s="500"/>
      <c r="WEH8" s="500"/>
      <c r="WEI8" s="500"/>
      <c r="WEJ8" s="500"/>
      <c r="WEK8" s="500"/>
      <c r="WEL8" s="500"/>
      <c r="WEM8" s="500"/>
      <c r="WEN8" s="500"/>
      <c r="WEO8" s="500"/>
      <c r="WEP8" s="500"/>
      <c r="WEQ8" s="500"/>
      <c r="WER8" s="500"/>
      <c r="WES8" s="500"/>
      <c r="WET8" s="500"/>
      <c r="WEU8" s="500"/>
      <c r="WEV8" s="500"/>
      <c r="WEW8" s="500"/>
      <c r="WEX8" s="500"/>
      <c r="WEY8" s="500"/>
      <c r="WEZ8" s="500"/>
      <c r="WFA8" s="500"/>
      <c r="WFB8" s="500"/>
      <c r="WFC8" s="500"/>
      <c r="WFD8" s="500"/>
      <c r="WFE8" s="500"/>
      <c r="WFF8" s="500"/>
      <c r="WFG8" s="500"/>
      <c r="WFH8" s="500"/>
      <c r="WFI8" s="500"/>
      <c r="WFJ8" s="500"/>
      <c r="WFK8" s="500"/>
      <c r="WFL8" s="500"/>
      <c r="WFM8" s="500"/>
      <c r="WFN8" s="500"/>
      <c r="WFO8" s="500"/>
      <c r="WFP8" s="500"/>
      <c r="WFQ8" s="500"/>
      <c r="WFR8" s="500"/>
      <c r="WFS8" s="500"/>
      <c r="WFT8" s="500"/>
      <c r="WFU8" s="500"/>
      <c r="WFV8" s="500"/>
      <c r="WFW8" s="500"/>
      <c r="WFX8" s="500"/>
      <c r="WFY8" s="500"/>
      <c r="WFZ8" s="500"/>
      <c r="WGA8" s="500"/>
      <c r="WGB8" s="500"/>
      <c r="WGC8" s="500"/>
      <c r="WGD8" s="500"/>
      <c r="WGE8" s="500"/>
      <c r="WGF8" s="500"/>
      <c r="WGG8" s="500"/>
      <c r="WGH8" s="500"/>
      <c r="WGI8" s="500"/>
      <c r="WGJ8" s="500"/>
      <c r="WGK8" s="500"/>
      <c r="WGL8" s="500"/>
      <c r="WGM8" s="500"/>
      <c r="WGN8" s="500"/>
      <c r="WGO8" s="500"/>
      <c r="WGP8" s="500"/>
      <c r="WGQ8" s="500"/>
      <c r="WGR8" s="500"/>
      <c r="WGS8" s="500"/>
      <c r="WGT8" s="500"/>
      <c r="WGU8" s="500"/>
      <c r="WGV8" s="500"/>
      <c r="WGW8" s="500"/>
      <c r="WGX8" s="500"/>
      <c r="WGY8" s="500"/>
      <c r="WGZ8" s="500"/>
      <c r="WHA8" s="500"/>
      <c r="WHB8" s="500"/>
      <c r="WHC8" s="500"/>
      <c r="WHD8" s="500"/>
      <c r="WHE8" s="500"/>
      <c r="WHF8" s="500"/>
      <c r="WHG8" s="500"/>
      <c r="WHH8" s="500"/>
      <c r="WHI8" s="500"/>
      <c r="WHJ8" s="500"/>
      <c r="WHK8" s="500"/>
      <c r="WHL8" s="500"/>
      <c r="WHM8" s="500"/>
      <c r="WHN8" s="500"/>
      <c r="WHO8" s="500"/>
      <c r="WHP8" s="500"/>
      <c r="WHQ8" s="500"/>
      <c r="WHR8" s="500"/>
      <c r="WHS8" s="500"/>
      <c r="WHT8" s="500"/>
      <c r="WHU8" s="500"/>
      <c r="WHV8" s="500"/>
      <c r="WHW8" s="500"/>
      <c r="WHX8" s="500"/>
      <c r="WHY8" s="500"/>
      <c r="WHZ8" s="500"/>
      <c r="WIA8" s="500"/>
      <c r="WIB8" s="500"/>
      <c r="WIC8" s="500"/>
      <c r="WID8" s="500"/>
      <c r="WIE8" s="500"/>
      <c r="WIF8" s="500"/>
      <c r="WIG8" s="500"/>
      <c r="WIH8" s="500"/>
      <c r="WII8" s="500"/>
      <c r="WIJ8" s="500"/>
      <c r="WIK8" s="500"/>
      <c r="WIL8" s="500"/>
      <c r="WIM8" s="500"/>
      <c r="WIN8" s="500"/>
      <c r="WIO8" s="500"/>
      <c r="WIP8" s="500"/>
      <c r="WIQ8" s="500"/>
      <c r="WIR8" s="500"/>
      <c r="WIS8" s="500"/>
      <c r="WIT8" s="500"/>
      <c r="WIU8" s="500"/>
      <c r="WIV8" s="500"/>
      <c r="WIW8" s="500"/>
      <c r="WIX8" s="500"/>
      <c r="WIY8" s="500"/>
      <c r="WIZ8" s="500"/>
      <c r="WJA8" s="500"/>
      <c r="WJB8" s="500"/>
      <c r="WJC8" s="500"/>
      <c r="WJD8" s="500"/>
      <c r="WJE8" s="500"/>
      <c r="WJF8" s="500"/>
      <c r="WJG8" s="500"/>
      <c r="WJH8" s="500"/>
      <c r="WJI8" s="500"/>
      <c r="WJJ8" s="500"/>
      <c r="WJK8" s="500"/>
      <c r="WJL8" s="500"/>
      <c r="WJM8" s="500"/>
      <c r="WJN8" s="500"/>
      <c r="WJO8" s="500"/>
      <c r="WJP8" s="500"/>
      <c r="WJQ8" s="500"/>
      <c r="WJR8" s="500"/>
      <c r="WJS8" s="500"/>
      <c r="WJT8" s="500"/>
      <c r="WJU8" s="500"/>
      <c r="WJV8" s="500"/>
      <c r="WJW8" s="500"/>
      <c r="WJX8" s="500"/>
      <c r="WJY8" s="500"/>
      <c r="WJZ8" s="500"/>
      <c r="WKA8" s="500"/>
      <c r="WKB8" s="500"/>
      <c r="WKC8" s="500"/>
      <c r="WKD8" s="500"/>
      <c r="WKE8" s="500"/>
      <c r="WKF8" s="500"/>
      <c r="WKG8" s="500"/>
      <c r="WKH8" s="500"/>
      <c r="WKI8" s="500"/>
      <c r="WKJ8" s="500"/>
      <c r="WKK8" s="500"/>
      <c r="WKL8" s="500"/>
      <c r="WKM8" s="500"/>
      <c r="WKN8" s="500"/>
      <c r="WKO8" s="500"/>
      <c r="WKP8" s="500"/>
      <c r="WKQ8" s="500"/>
      <c r="WKR8" s="500"/>
      <c r="WKS8" s="500"/>
      <c r="WKT8" s="500"/>
      <c r="WKU8" s="500"/>
      <c r="WKV8" s="500"/>
      <c r="WKW8" s="500"/>
      <c r="WKX8" s="500"/>
      <c r="WKY8" s="500"/>
      <c r="WKZ8" s="500"/>
      <c r="WLA8" s="500"/>
      <c r="WLB8" s="500"/>
      <c r="WLC8" s="500"/>
      <c r="WLD8" s="500"/>
      <c r="WLE8" s="500"/>
      <c r="WLF8" s="500"/>
      <c r="WLG8" s="500"/>
      <c r="WLH8" s="500"/>
      <c r="WLI8" s="500"/>
      <c r="WLJ8" s="500"/>
      <c r="WLK8" s="500"/>
      <c r="WLL8" s="500"/>
      <c r="WLM8" s="500"/>
      <c r="WLN8" s="500"/>
      <c r="WLO8" s="500"/>
      <c r="WLP8" s="500"/>
      <c r="WLQ8" s="500"/>
      <c r="WLR8" s="500"/>
      <c r="WLS8" s="500"/>
      <c r="WLT8" s="500"/>
      <c r="WLU8" s="500"/>
      <c r="WLV8" s="500"/>
      <c r="WLW8" s="500"/>
      <c r="WLX8" s="500"/>
      <c r="WLY8" s="500"/>
      <c r="WLZ8" s="500"/>
      <c r="WMA8" s="500"/>
      <c r="WMB8" s="500"/>
      <c r="WMC8" s="500"/>
      <c r="WMD8" s="500"/>
      <c r="WME8" s="500"/>
      <c r="WMF8" s="500"/>
      <c r="WMG8" s="500"/>
      <c r="WMH8" s="500"/>
      <c r="WMI8" s="500"/>
      <c r="WMJ8" s="500"/>
      <c r="WMK8" s="500"/>
      <c r="WML8" s="500"/>
      <c r="WMM8" s="500"/>
      <c r="WMN8" s="500"/>
      <c r="WMO8" s="500"/>
      <c r="WMP8" s="500"/>
      <c r="WMQ8" s="500"/>
      <c r="WMR8" s="500"/>
      <c r="WMS8" s="500"/>
      <c r="WMT8" s="500"/>
      <c r="WMU8" s="500"/>
      <c r="WMV8" s="500"/>
      <c r="WMW8" s="500"/>
      <c r="WMX8" s="500"/>
      <c r="WMY8" s="500"/>
      <c r="WMZ8" s="500"/>
      <c r="WNA8" s="500"/>
      <c r="WNB8" s="500"/>
      <c r="WNC8" s="500"/>
      <c r="WND8" s="500"/>
      <c r="WNE8" s="500"/>
      <c r="WNF8" s="500"/>
      <c r="WNG8" s="500"/>
      <c r="WNH8" s="500"/>
      <c r="WNI8" s="500"/>
      <c r="WNJ8" s="500"/>
      <c r="WNK8" s="500"/>
      <c r="WNL8" s="500"/>
      <c r="WNM8" s="500"/>
      <c r="WNN8" s="500"/>
      <c r="WNO8" s="500"/>
      <c r="WNP8" s="500"/>
      <c r="WNQ8" s="500"/>
      <c r="WNR8" s="500"/>
      <c r="WNS8" s="500"/>
      <c r="WNT8" s="500"/>
      <c r="WNU8" s="500"/>
      <c r="WNV8" s="500"/>
      <c r="WNW8" s="500"/>
      <c r="WNX8" s="500"/>
      <c r="WNY8" s="500"/>
      <c r="WNZ8" s="500"/>
      <c r="WOA8" s="500"/>
      <c r="WOB8" s="500"/>
      <c r="WOC8" s="500"/>
      <c r="WOD8" s="500"/>
      <c r="WOE8" s="500"/>
      <c r="WOF8" s="500"/>
      <c r="WOG8" s="500"/>
      <c r="WOH8" s="500"/>
      <c r="WOI8" s="500"/>
      <c r="WOJ8" s="500"/>
      <c r="WOK8" s="500"/>
      <c r="WOL8" s="500"/>
      <c r="WOM8" s="500"/>
      <c r="WON8" s="500"/>
      <c r="WOO8" s="500"/>
      <c r="WOP8" s="500"/>
      <c r="WOQ8" s="500"/>
      <c r="WOR8" s="500"/>
      <c r="WOS8" s="500"/>
      <c r="WOT8" s="500"/>
      <c r="WOU8" s="500"/>
      <c r="WOV8" s="500"/>
      <c r="WOW8" s="500"/>
      <c r="WOX8" s="500"/>
      <c r="WOY8" s="500"/>
      <c r="WOZ8" s="500"/>
      <c r="WPA8" s="500"/>
      <c r="WPB8" s="500"/>
      <c r="WPC8" s="500"/>
      <c r="WPD8" s="500"/>
      <c r="WPE8" s="500"/>
      <c r="WPF8" s="500"/>
      <c r="WPG8" s="500"/>
      <c r="WPH8" s="500"/>
      <c r="WPI8" s="500"/>
      <c r="WPJ8" s="500"/>
      <c r="WPK8" s="500"/>
      <c r="WPL8" s="500"/>
      <c r="WPM8" s="500"/>
      <c r="WPN8" s="500"/>
      <c r="WPO8" s="500"/>
      <c r="WPP8" s="500"/>
      <c r="WPQ8" s="500"/>
      <c r="WPR8" s="500"/>
      <c r="WPS8" s="500"/>
      <c r="WPT8" s="500"/>
      <c r="WPU8" s="500"/>
      <c r="WPV8" s="500"/>
      <c r="WPW8" s="500"/>
      <c r="WPX8" s="500"/>
      <c r="WPY8" s="500"/>
      <c r="WPZ8" s="500"/>
      <c r="WQA8" s="500"/>
      <c r="WQB8" s="500"/>
      <c r="WQC8" s="500"/>
      <c r="WQD8" s="500"/>
      <c r="WQE8" s="500"/>
      <c r="WQF8" s="500"/>
      <c r="WQG8" s="500"/>
      <c r="WQH8" s="500"/>
      <c r="WQI8" s="500"/>
      <c r="WQJ8" s="500"/>
      <c r="WQK8" s="500"/>
      <c r="WQL8" s="500"/>
      <c r="WQM8" s="500"/>
      <c r="WQN8" s="500"/>
      <c r="WQO8" s="500"/>
      <c r="WQP8" s="500"/>
      <c r="WQQ8" s="500"/>
      <c r="WQR8" s="500"/>
      <c r="WQS8" s="500"/>
      <c r="WQT8" s="500"/>
      <c r="WQU8" s="500"/>
      <c r="WQV8" s="500"/>
      <c r="WQW8" s="500"/>
      <c r="WQX8" s="500"/>
      <c r="WQY8" s="500"/>
      <c r="WQZ8" s="500"/>
      <c r="WRA8" s="500"/>
      <c r="WRB8" s="500"/>
      <c r="WRC8" s="500"/>
      <c r="WRD8" s="500"/>
      <c r="WRE8" s="500"/>
      <c r="WRF8" s="500"/>
      <c r="WRG8" s="500"/>
      <c r="WRH8" s="500"/>
      <c r="WRI8" s="500"/>
      <c r="WRJ8" s="500"/>
      <c r="WRK8" s="500"/>
      <c r="WRL8" s="500"/>
      <c r="WRM8" s="500"/>
      <c r="WRN8" s="500"/>
      <c r="WRO8" s="500"/>
      <c r="WRP8" s="500"/>
      <c r="WRQ8" s="500"/>
      <c r="WRR8" s="500"/>
      <c r="WRS8" s="500"/>
      <c r="WRT8" s="500"/>
      <c r="WRU8" s="500"/>
      <c r="WRV8" s="500"/>
      <c r="WRW8" s="500"/>
      <c r="WRX8" s="500"/>
      <c r="WRY8" s="500"/>
      <c r="WRZ8" s="500"/>
      <c r="WSA8" s="500"/>
      <c r="WSB8" s="500"/>
      <c r="WSC8" s="500"/>
      <c r="WSD8" s="500"/>
      <c r="WSE8" s="500"/>
      <c r="WSF8" s="500"/>
      <c r="WSG8" s="500"/>
      <c r="WSH8" s="500"/>
      <c r="WSI8" s="500"/>
      <c r="WSJ8" s="500"/>
      <c r="WSK8" s="500"/>
      <c r="WSL8" s="500"/>
      <c r="WSM8" s="500"/>
      <c r="WSN8" s="500"/>
      <c r="WSO8" s="500"/>
      <c r="WSP8" s="500"/>
      <c r="WSQ8" s="500"/>
      <c r="WSR8" s="500"/>
      <c r="WSS8" s="500"/>
      <c r="WST8" s="500"/>
      <c r="WSU8" s="500"/>
      <c r="WSV8" s="500"/>
      <c r="WSW8" s="500"/>
      <c r="WSX8" s="500"/>
      <c r="WSY8" s="500"/>
      <c r="WSZ8" s="500"/>
      <c r="WTA8" s="500"/>
      <c r="WTB8" s="500"/>
      <c r="WTC8" s="500"/>
      <c r="WTD8" s="500"/>
      <c r="WTE8" s="500"/>
      <c r="WTF8" s="500"/>
      <c r="WTG8" s="500"/>
      <c r="WTH8" s="500"/>
      <c r="WTI8" s="500"/>
      <c r="WTJ8" s="500"/>
      <c r="WTK8" s="500"/>
      <c r="WTL8" s="500"/>
      <c r="WTM8" s="500"/>
      <c r="WTN8" s="500"/>
      <c r="WTO8" s="500"/>
      <c r="WTP8" s="500"/>
      <c r="WTQ8" s="500"/>
      <c r="WTR8" s="500"/>
      <c r="WTS8" s="500"/>
      <c r="WTT8" s="500"/>
      <c r="WTU8" s="500"/>
      <c r="WTV8" s="500"/>
      <c r="WTW8" s="500"/>
      <c r="WTX8" s="500"/>
      <c r="WTY8" s="500"/>
      <c r="WTZ8" s="500"/>
      <c r="WUA8" s="500"/>
      <c r="WUB8" s="500"/>
      <c r="WUC8" s="500"/>
      <c r="WUD8" s="500"/>
      <c r="WUE8" s="500"/>
      <c r="WUF8" s="500"/>
      <c r="WUG8" s="500"/>
      <c r="WUH8" s="500"/>
      <c r="WUI8" s="500"/>
      <c r="WUJ8" s="500"/>
      <c r="WUK8" s="500"/>
      <c r="WUL8" s="500"/>
      <c r="WUM8" s="500"/>
      <c r="WUN8" s="500"/>
      <c r="WUO8" s="500"/>
      <c r="WUP8" s="500"/>
      <c r="WUQ8" s="500"/>
      <c r="WUR8" s="500"/>
      <c r="WUS8" s="500"/>
      <c r="WUT8" s="500"/>
      <c r="WUU8" s="500"/>
      <c r="WUV8" s="500"/>
      <c r="WUW8" s="500"/>
      <c r="WUX8" s="500"/>
      <c r="WUY8" s="500"/>
      <c r="WUZ8" s="500"/>
      <c r="WVA8" s="500"/>
      <c r="WVB8" s="500"/>
      <c r="WVC8" s="500"/>
      <c r="WVD8" s="500"/>
      <c r="WVE8" s="500"/>
      <c r="WVF8" s="500"/>
      <c r="WVG8" s="500"/>
      <c r="WVH8" s="500"/>
      <c r="WVI8" s="500"/>
      <c r="WVJ8" s="500"/>
      <c r="WVK8" s="500"/>
      <c r="WVL8" s="500"/>
      <c r="WVM8" s="500"/>
      <c r="WVN8" s="500"/>
      <c r="WVO8" s="500"/>
      <c r="WVP8" s="500"/>
      <c r="WVQ8" s="500"/>
      <c r="WVR8" s="500"/>
      <c r="WVS8" s="500"/>
      <c r="WVT8" s="500"/>
      <c r="WVU8" s="500"/>
      <c r="WVV8" s="500"/>
      <c r="WVW8" s="500"/>
      <c r="WVX8" s="500"/>
      <c r="WVY8" s="500"/>
      <c r="WVZ8" s="500"/>
      <c r="WWA8" s="500"/>
      <c r="WWB8" s="500"/>
      <c r="WWC8" s="500"/>
      <c r="WWD8" s="500"/>
      <c r="WWE8" s="500"/>
      <c r="WWF8" s="500"/>
      <c r="WWG8" s="500"/>
      <c r="WWH8" s="500"/>
      <c r="WWI8" s="500"/>
      <c r="WWJ8" s="500"/>
      <c r="WWK8" s="500"/>
      <c r="WWL8" s="500"/>
      <c r="WWM8" s="500"/>
      <c r="WWN8" s="500"/>
      <c r="WWO8" s="500"/>
      <c r="WWP8" s="500"/>
      <c r="WWQ8" s="500"/>
      <c r="WWR8" s="500"/>
      <c r="WWS8" s="500"/>
      <c r="WWT8" s="500"/>
      <c r="WWU8" s="500"/>
      <c r="WWV8" s="500"/>
      <c r="WWW8" s="500"/>
      <c r="WWX8" s="500"/>
      <c r="WWY8" s="500"/>
      <c r="WWZ8" s="500"/>
      <c r="WXA8" s="500"/>
      <c r="WXB8" s="500"/>
      <c r="WXC8" s="500"/>
      <c r="WXD8" s="500"/>
      <c r="WXE8" s="500"/>
      <c r="WXF8" s="500"/>
      <c r="WXG8" s="500"/>
      <c r="WXH8" s="500"/>
      <c r="WXI8" s="500"/>
      <c r="WXJ8" s="500"/>
      <c r="WXK8" s="500"/>
      <c r="WXL8" s="500"/>
      <c r="WXM8" s="500"/>
      <c r="WXN8" s="500"/>
      <c r="WXO8" s="500"/>
      <c r="WXP8" s="500"/>
      <c r="WXQ8" s="500"/>
      <c r="WXR8" s="500"/>
      <c r="WXS8" s="500"/>
      <c r="WXT8" s="500"/>
      <c r="WXU8" s="500"/>
      <c r="WXV8" s="500"/>
      <c r="WXW8" s="500"/>
      <c r="WXX8" s="500"/>
      <c r="WXY8" s="500"/>
      <c r="WXZ8" s="500"/>
      <c r="WYA8" s="500"/>
      <c r="WYB8" s="500"/>
      <c r="WYC8" s="500"/>
      <c r="WYD8" s="500"/>
      <c r="WYE8" s="500"/>
      <c r="WYF8" s="500"/>
      <c r="WYG8" s="500"/>
      <c r="WYH8" s="500"/>
      <c r="WYI8" s="500"/>
      <c r="WYJ8" s="500"/>
      <c r="WYK8" s="500"/>
      <c r="WYL8" s="500"/>
      <c r="WYM8" s="500"/>
      <c r="WYN8" s="500"/>
      <c r="WYO8" s="500"/>
      <c r="WYP8" s="500"/>
      <c r="WYQ8" s="500"/>
      <c r="WYR8" s="500"/>
      <c r="WYS8" s="500"/>
      <c r="WYT8" s="500"/>
      <c r="WYU8" s="500"/>
      <c r="WYV8" s="500"/>
      <c r="WYW8" s="500"/>
      <c r="WYX8" s="500"/>
      <c r="WYY8" s="500"/>
      <c r="WYZ8" s="500"/>
      <c r="WZA8" s="500"/>
      <c r="WZB8" s="500"/>
      <c r="WZC8" s="500"/>
      <c r="WZD8" s="500"/>
      <c r="WZE8" s="500"/>
      <c r="WZF8" s="500"/>
      <c r="WZG8" s="500"/>
      <c r="WZH8" s="500"/>
      <c r="WZI8" s="500"/>
      <c r="WZJ8" s="500"/>
      <c r="WZK8" s="500"/>
      <c r="WZL8" s="500"/>
      <c r="WZM8" s="500"/>
      <c r="WZN8" s="500"/>
      <c r="WZO8" s="500"/>
      <c r="WZP8" s="500"/>
      <c r="WZQ8" s="500"/>
      <c r="WZR8" s="500"/>
      <c r="WZS8" s="500"/>
      <c r="WZT8" s="500"/>
      <c r="WZU8" s="500"/>
      <c r="WZV8" s="500"/>
      <c r="WZW8" s="500"/>
      <c r="WZX8" s="500"/>
      <c r="WZY8" s="500"/>
      <c r="WZZ8" s="500"/>
      <c r="XAA8" s="500"/>
      <c r="XAB8" s="500"/>
      <c r="XAC8" s="500"/>
      <c r="XAD8" s="500"/>
      <c r="XAE8" s="500"/>
      <c r="XAF8" s="500"/>
      <c r="XAG8" s="500"/>
      <c r="XAH8" s="500"/>
      <c r="XAI8" s="500"/>
      <c r="XAJ8" s="500"/>
      <c r="XAK8" s="500"/>
      <c r="XAL8" s="500"/>
      <c r="XAM8" s="500"/>
      <c r="XAN8" s="500"/>
      <c r="XAO8" s="500"/>
      <c r="XAP8" s="500"/>
      <c r="XAQ8" s="500"/>
      <c r="XAR8" s="500"/>
      <c r="XAS8" s="500"/>
      <c r="XAT8" s="500"/>
      <c r="XAU8" s="500"/>
      <c r="XAV8" s="500"/>
      <c r="XAW8" s="500"/>
      <c r="XAX8" s="500"/>
      <c r="XAY8" s="500"/>
      <c r="XAZ8" s="500"/>
      <c r="XBA8" s="500"/>
      <c r="XBB8" s="500"/>
      <c r="XBC8" s="500"/>
      <c r="XBD8" s="500"/>
      <c r="XBE8" s="500"/>
      <c r="XBF8" s="500"/>
      <c r="XBG8" s="500"/>
      <c r="XBH8" s="500"/>
      <c r="XBI8" s="500"/>
      <c r="XBJ8" s="500"/>
      <c r="XBK8" s="500"/>
      <c r="XBL8" s="500"/>
      <c r="XBM8" s="500"/>
      <c r="XBN8" s="500"/>
      <c r="XBO8" s="500"/>
      <c r="XBP8" s="500"/>
      <c r="XBQ8" s="500"/>
      <c r="XBR8" s="500"/>
      <c r="XBS8" s="500"/>
      <c r="XBT8" s="500"/>
      <c r="XBU8" s="500"/>
      <c r="XBV8" s="500"/>
      <c r="XBW8" s="500"/>
      <c r="XBX8" s="500"/>
      <c r="XBY8" s="500"/>
      <c r="XBZ8" s="500"/>
      <c r="XCA8" s="500"/>
      <c r="XCB8" s="500"/>
      <c r="XCC8" s="500"/>
      <c r="XCD8" s="500"/>
      <c r="XCE8" s="500"/>
    </row>
    <row r="9" spans="1:16307" s="500" customFormat="1" x14ac:dyDescent="0.2">
      <c r="A9" s="833">
        <v>315</v>
      </c>
      <c r="B9" s="834" t="s">
        <v>895</v>
      </c>
      <c r="C9" s="835">
        <v>2171.15</v>
      </c>
      <c r="D9" s="835">
        <v>3005.4</v>
      </c>
      <c r="E9" s="835">
        <v>6059.1399999999994</v>
      </c>
      <c r="F9" s="835">
        <v>6220.42</v>
      </c>
      <c r="G9" s="835">
        <v>5153.51</v>
      </c>
      <c r="H9" s="835">
        <v>4559.95</v>
      </c>
      <c r="I9" s="835">
        <v>4010.19</v>
      </c>
      <c r="J9" s="835">
        <v>5442.32</v>
      </c>
      <c r="K9" s="835">
        <v>5560.96</v>
      </c>
      <c r="L9" s="835">
        <v>5620.45</v>
      </c>
      <c r="M9" s="835">
        <v>5571.26</v>
      </c>
      <c r="N9" s="835">
        <v>4483.21</v>
      </c>
      <c r="O9" s="835">
        <v>5050.33</v>
      </c>
      <c r="P9" s="835">
        <v>3921.26</v>
      </c>
      <c r="Q9" s="835">
        <v>8033.24</v>
      </c>
      <c r="R9" s="835">
        <v>6845.34</v>
      </c>
      <c r="S9" s="835">
        <v>6173.9</v>
      </c>
      <c r="T9" s="835">
        <v>6503.44</v>
      </c>
      <c r="U9" s="835">
        <v>4947.92</v>
      </c>
      <c r="V9" s="835">
        <v>7032.02</v>
      </c>
      <c r="W9" s="835">
        <v>6267.55</v>
      </c>
      <c r="X9" s="835">
        <v>7604.4362599999995</v>
      </c>
      <c r="Y9" s="835">
        <v>7345.7837400000008</v>
      </c>
      <c r="Z9" s="835">
        <v>6569.8953799999999</v>
      </c>
      <c r="AA9" s="835">
        <v>7773.3803900000003</v>
      </c>
      <c r="AB9" s="835">
        <v>8898.4196599999996</v>
      </c>
      <c r="AC9" s="835">
        <v>9941.2685099999999</v>
      </c>
      <c r="AD9" s="835">
        <v>8479.8905400000003</v>
      </c>
      <c r="AE9" s="835">
        <v>7451.2314999999999</v>
      </c>
      <c r="AF9" s="835">
        <v>7045.5272699999996</v>
      </c>
      <c r="AG9" s="835">
        <v>4741.0024800000001</v>
      </c>
      <c r="AH9" s="835">
        <v>7186.1607800000002</v>
      </c>
      <c r="AI9" s="835">
        <v>6173.8085499999997</v>
      </c>
      <c r="AJ9" s="835">
        <v>7059.0927099999999</v>
      </c>
      <c r="AK9" s="835">
        <v>6888.47091</v>
      </c>
      <c r="AL9" s="835">
        <v>9205.3587699999989</v>
      </c>
      <c r="AM9" s="835">
        <v>8520.2409399999997</v>
      </c>
      <c r="AN9" s="835">
        <v>8598.2021000000004</v>
      </c>
      <c r="AO9" s="835">
        <v>10227.898870000001</v>
      </c>
      <c r="AP9" s="835">
        <v>8508.3278799999989</v>
      </c>
      <c r="AQ9" s="835">
        <v>6649.7123899999997</v>
      </c>
      <c r="AR9" s="835">
        <v>6446.96126</v>
      </c>
      <c r="AS9" s="835">
        <v>5908.2048100000002</v>
      </c>
      <c r="AT9" s="835">
        <v>7624.8998100000008</v>
      </c>
      <c r="AU9" s="835">
        <v>5899.6244800000004</v>
      </c>
      <c r="AV9" s="835">
        <v>6712.9535100000003</v>
      </c>
      <c r="AW9" s="835">
        <v>7134.1322399999999</v>
      </c>
      <c r="AX9" s="835">
        <v>6494.8623899999993</v>
      </c>
      <c r="AY9" s="835">
        <v>7323.4779399999998</v>
      </c>
    </row>
    <row r="10" spans="1:16307" s="500" customFormat="1" x14ac:dyDescent="0.2">
      <c r="A10" s="833" t="s">
        <v>892</v>
      </c>
      <c r="B10" s="834" t="s">
        <v>896</v>
      </c>
      <c r="C10" s="835">
        <v>0</v>
      </c>
      <c r="D10" s="835">
        <v>0</v>
      </c>
      <c r="E10" s="835">
        <v>0</v>
      </c>
      <c r="F10" s="835">
        <v>0</v>
      </c>
      <c r="G10" s="835">
        <v>0</v>
      </c>
      <c r="H10" s="835">
        <v>0</v>
      </c>
      <c r="I10" s="835">
        <v>0</v>
      </c>
      <c r="J10" s="835">
        <v>0</v>
      </c>
      <c r="K10" s="835">
        <v>0</v>
      </c>
      <c r="L10" s="835">
        <v>0</v>
      </c>
      <c r="M10" s="835">
        <v>0</v>
      </c>
      <c r="N10" s="835">
        <v>0</v>
      </c>
      <c r="O10" s="835">
        <v>0</v>
      </c>
      <c r="P10" s="835">
        <v>0</v>
      </c>
      <c r="Q10" s="835">
        <v>0</v>
      </c>
      <c r="R10" s="835">
        <v>0</v>
      </c>
      <c r="S10" s="835">
        <v>0</v>
      </c>
      <c r="T10" s="835">
        <v>0</v>
      </c>
      <c r="U10" s="835">
        <v>0</v>
      </c>
      <c r="V10" s="835">
        <v>0</v>
      </c>
      <c r="W10" s="835">
        <v>2.0699999999999998</v>
      </c>
      <c r="X10" s="835">
        <v>392.96216000000004</v>
      </c>
      <c r="Y10" s="835">
        <v>890.98784000000001</v>
      </c>
      <c r="Z10" s="835">
        <v>1979.8020799999999</v>
      </c>
      <c r="AA10" s="835">
        <v>7087.7942400000002</v>
      </c>
      <c r="AB10" s="835">
        <v>8797.3265599999995</v>
      </c>
      <c r="AC10" s="835">
        <v>9659.2981600000003</v>
      </c>
      <c r="AD10" s="835">
        <v>8704.2166399999987</v>
      </c>
      <c r="AE10" s="835">
        <v>8435.6840000000011</v>
      </c>
      <c r="AF10" s="835">
        <v>7727.5203200000005</v>
      </c>
      <c r="AG10" s="835">
        <v>5244.5256799999997</v>
      </c>
      <c r="AH10" s="835">
        <v>8933.1384799999996</v>
      </c>
      <c r="AI10" s="835">
        <v>7953.5968000000003</v>
      </c>
      <c r="AJ10" s="835">
        <v>8926.5753600000007</v>
      </c>
      <c r="AK10" s="835">
        <v>8747.6765599999999</v>
      </c>
      <c r="AL10" s="835">
        <v>10137.864320000001</v>
      </c>
      <c r="AM10" s="835">
        <v>7867.4930399999994</v>
      </c>
      <c r="AN10" s="835">
        <v>9500.1636000000017</v>
      </c>
      <c r="AO10" s="835">
        <v>12473.995919999999</v>
      </c>
      <c r="AP10" s="835">
        <v>10394.32208</v>
      </c>
      <c r="AQ10" s="835">
        <v>8649.9062400000003</v>
      </c>
      <c r="AR10" s="835">
        <v>7939.75216</v>
      </c>
      <c r="AS10" s="835">
        <v>6503.6489599999995</v>
      </c>
      <c r="AT10" s="835">
        <v>9620.5389599999999</v>
      </c>
      <c r="AU10" s="835">
        <v>6814.5476799999997</v>
      </c>
      <c r="AV10" s="835">
        <v>8000.3181599999998</v>
      </c>
      <c r="AW10" s="835">
        <v>8603.7338400000008</v>
      </c>
      <c r="AX10" s="835">
        <v>7962.9562399999995</v>
      </c>
      <c r="AY10" s="835">
        <v>8147.8950400000003</v>
      </c>
      <c r="AZ10" s="501"/>
      <c r="BA10" s="501"/>
      <c r="BB10" s="501"/>
      <c r="BC10" s="501"/>
      <c r="BD10" s="501"/>
      <c r="BE10" s="501"/>
      <c r="BF10" s="501"/>
      <c r="BG10" s="501"/>
      <c r="BH10" s="501"/>
      <c r="BI10" s="501"/>
      <c r="BJ10" s="501"/>
      <c r="BK10" s="501"/>
      <c r="BL10" s="501"/>
      <c r="BM10" s="501"/>
      <c r="BN10" s="501"/>
      <c r="BO10" s="501"/>
      <c r="BP10" s="501"/>
      <c r="BQ10" s="501"/>
      <c r="BR10" s="501"/>
      <c r="BS10" s="501"/>
      <c r="BT10" s="501"/>
      <c r="BU10" s="501"/>
      <c r="BV10" s="501"/>
      <c r="BW10" s="501"/>
      <c r="BX10" s="501"/>
      <c r="BY10" s="501"/>
      <c r="BZ10" s="501"/>
      <c r="CA10" s="501"/>
      <c r="CB10" s="501"/>
      <c r="CC10" s="501"/>
      <c r="CD10" s="501"/>
      <c r="CE10" s="501"/>
      <c r="CF10" s="501"/>
      <c r="CG10" s="501"/>
      <c r="CH10" s="501"/>
      <c r="CI10" s="501"/>
      <c r="CJ10" s="501"/>
      <c r="CK10" s="501"/>
      <c r="CL10" s="501"/>
      <c r="CM10" s="501"/>
      <c r="CN10" s="501"/>
      <c r="CO10" s="501"/>
      <c r="CP10" s="501"/>
      <c r="CQ10" s="501"/>
      <c r="CR10" s="501"/>
      <c r="CS10" s="501"/>
      <c r="CT10" s="501"/>
      <c r="CU10" s="501"/>
      <c r="CV10" s="501"/>
      <c r="CW10" s="501"/>
      <c r="CX10" s="501"/>
      <c r="CY10" s="501"/>
      <c r="CZ10" s="501"/>
      <c r="DA10" s="501"/>
      <c r="DB10" s="501"/>
      <c r="DC10" s="501"/>
      <c r="DD10" s="501"/>
      <c r="DE10" s="501"/>
      <c r="DF10" s="501"/>
      <c r="DG10" s="501"/>
      <c r="DH10" s="501"/>
      <c r="DI10" s="501"/>
      <c r="DJ10" s="501"/>
      <c r="DK10" s="501"/>
      <c r="DL10" s="501"/>
      <c r="DM10" s="501"/>
      <c r="DN10" s="501"/>
      <c r="DO10" s="501"/>
      <c r="DP10" s="501"/>
      <c r="DQ10" s="501"/>
      <c r="DR10" s="501"/>
      <c r="DS10" s="501"/>
      <c r="DT10" s="501"/>
      <c r="DU10" s="501"/>
      <c r="DV10" s="501"/>
      <c r="DW10" s="501"/>
      <c r="DX10" s="501"/>
      <c r="DY10" s="501"/>
      <c r="DZ10" s="501"/>
      <c r="EA10" s="501"/>
      <c r="EB10" s="501"/>
      <c r="EC10" s="501"/>
      <c r="ED10" s="501"/>
      <c r="EE10" s="501"/>
      <c r="EF10" s="501"/>
      <c r="EG10" s="501"/>
      <c r="EH10" s="501"/>
      <c r="EI10" s="501"/>
      <c r="EJ10" s="501"/>
      <c r="EK10" s="501"/>
      <c r="EL10" s="501"/>
      <c r="EM10" s="501"/>
      <c r="EN10" s="501"/>
      <c r="EO10" s="501"/>
      <c r="EP10" s="501"/>
      <c r="EQ10" s="501"/>
      <c r="ER10" s="501"/>
      <c r="ES10" s="501"/>
      <c r="ET10" s="501"/>
      <c r="EU10" s="501"/>
      <c r="EV10" s="501"/>
      <c r="EW10" s="501"/>
      <c r="EX10" s="501"/>
      <c r="EY10" s="501"/>
      <c r="EZ10" s="501"/>
      <c r="FA10" s="501"/>
      <c r="FB10" s="501"/>
      <c r="FC10" s="501"/>
      <c r="FD10" s="501"/>
      <c r="FE10" s="501"/>
      <c r="FF10" s="501"/>
      <c r="FG10" s="501"/>
      <c r="FH10" s="501"/>
      <c r="FI10" s="501"/>
      <c r="FJ10" s="501"/>
      <c r="FK10" s="501"/>
      <c r="FL10" s="501"/>
      <c r="FM10" s="501"/>
      <c r="FN10" s="501"/>
      <c r="FO10" s="501"/>
      <c r="FP10" s="501"/>
      <c r="FQ10" s="501"/>
      <c r="FR10" s="501"/>
      <c r="FS10" s="501"/>
      <c r="FT10" s="501"/>
      <c r="FU10" s="501"/>
      <c r="FV10" s="501"/>
      <c r="FW10" s="501"/>
      <c r="FX10" s="501"/>
      <c r="FY10" s="501"/>
      <c r="FZ10" s="501"/>
      <c r="GA10" s="501"/>
      <c r="GB10" s="501"/>
      <c r="GC10" s="501"/>
      <c r="GD10" s="501"/>
      <c r="GE10" s="501"/>
      <c r="GF10" s="501"/>
      <c r="GG10" s="501"/>
      <c r="GH10" s="501"/>
      <c r="GI10" s="501"/>
      <c r="GJ10" s="501"/>
      <c r="GK10" s="501"/>
      <c r="GL10" s="501"/>
      <c r="GM10" s="501"/>
      <c r="GN10" s="501"/>
      <c r="GO10" s="501"/>
      <c r="GP10" s="501"/>
      <c r="GQ10" s="501"/>
      <c r="GR10" s="501"/>
      <c r="GS10" s="501"/>
      <c r="GT10" s="501"/>
      <c r="GU10" s="501"/>
      <c r="GV10" s="501"/>
      <c r="GW10" s="501"/>
      <c r="GX10" s="501"/>
      <c r="GY10" s="501"/>
      <c r="GZ10" s="501"/>
      <c r="HA10" s="501"/>
      <c r="HB10" s="501"/>
      <c r="HC10" s="501"/>
      <c r="HD10" s="501"/>
      <c r="HE10" s="501"/>
      <c r="HF10" s="501"/>
      <c r="HG10" s="501"/>
      <c r="HH10" s="501"/>
      <c r="HI10" s="501"/>
      <c r="HJ10" s="501"/>
      <c r="HK10" s="501"/>
      <c r="HL10" s="501"/>
      <c r="HM10" s="501"/>
      <c r="HN10" s="501"/>
      <c r="HO10" s="501"/>
      <c r="HP10" s="501"/>
      <c r="HQ10" s="501"/>
      <c r="HR10" s="501"/>
      <c r="HS10" s="501"/>
      <c r="HT10" s="501"/>
      <c r="HU10" s="501"/>
      <c r="HV10" s="501"/>
      <c r="HW10" s="501"/>
      <c r="HX10" s="501"/>
      <c r="HY10" s="501"/>
      <c r="HZ10" s="501"/>
      <c r="IA10" s="501"/>
      <c r="IB10" s="501"/>
      <c r="IC10" s="501"/>
      <c r="ID10" s="501"/>
      <c r="IE10" s="501"/>
      <c r="IF10" s="501"/>
      <c r="IG10" s="501"/>
      <c r="IH10" s="501"/>
      <c r="II10" s="501"/>
      <c r="IJ10" s="501"/>
      <c r="IK10" s="501"/>
      <c r="IL10" s="501"/>
      <c r="IM10" s="501"/>
      <c r="IN10" s="501"/>
      <c r="IO10" s="501"/>
      <c r="IP10" s="501"/>
      <c r="IQ10" s="501"/>
      <c r="IR10" s="501"/>
      <c r="IS10" s="501"/>
      <c r="IT10" s="501"/>
      <c r="IU10" s="501"/>
      <c r="IV10" s="501"/>
      <c r="IW10" s="501"/>
      <c r="IX10" s="501"/>
      <c r="IY10" s="501"/>
      <c r="IZ10" s="501"/>
      <c r="JA10" s="501"/>
      <c r="JB10" s="501"/>
      <c r="JC10" s="501"/>
      <c r="JD10" s="501"/>
      <c r="JE10" s="501"/>
      <c r="JF10" s="501"/>
      <c r="JG10" s="501"/>
      <c r="JH10" s="501"/>
      <c r="JI10" s="501"/>
      <c r="JJ10" s="501"/>
      <c r="JK10" s="501"/>
      <c r="JL10" s="501"/>
      <c r="JM10" s="501"/>
      <c r="JN10" s="501"/>
      <c r="JO10" s="501"/>
      <c r="JP10" s="501"/>
      <c r="JQ10" s="501"/>
      <c r="JR10" s="501"/>
      <c r="JS10" s="501"/>
      <c r="JT10" s="501"/>
      <c r="JU10" s="501"/>
      <c r="JV10" s="501"/>
      <c r="JW10" s="501"/>
      <c r="JX10" s="501"/>
      <c r="JY10" s="501"/>
      <c r="JZ10" s="501"/>
      <c r="KA10" s="501"/>
      <c r="KB10" s="501"/>
      <c r="KC10" s="501"/>
      <c r="KD10" s="501"/>
      <c r="KE10" s="501"/>
      <c r="KF10" s="501"/>
      <c r="KG10" s="501"/>
      <c r="KH10" s="501"/>
      <c r="KI10" s="501"/>
      <c r="KJ10" s="501"/>
      <c r="KK10" s="501"/>
      <c r="KL10" s="501"/>
      <c r="KM10" s="501"/>
      <c r="KN10" s="501"/>
      <c r="KO10" s="501"/>
      <c r="KP10" s="501"/>
      <c r="KQ10" s="501"/>
      <c r="KR10" s="501"/>
      <c r="KS10" s="501"/>
      <c r="KT10" s="501"/>
      <c r="KU10" s="501"/>
      <c r="KV10" s="501"/>
      <c r="KW10" s="501"/>
      <c r="KX10" s="501"/>
      <c r="KY10" s="501"/>
      <c r="KZ10" s="501"/>
      <c r="LA10" s="501"/>
      <c r="LB10" s="501"/>
      <c r="LC10" s="501"/>
      <c r="LD10" s="501"/>
      <c r="LE10" s="501"/>
      <c r="LF10" s="501"/>
      <c r="LG10" s="501"/>
      <c r="LH10" s="501"/>
      <c r="LI10" s="501"/>
      <c r="LJ10" s="501"/>
      <c r="LK10" s="501"/>
      <c r="LL10" s="501"/>
      <c r="LM10" s="501"/>
      <c r="LN10" s="501"/>
      <c r="LO10" s="501"/>
      <c r="LP10" s="501"/>
      <c r="LQ10" s="501"/>
      <c r="LR10" s="501"/>
      <c r="LS10" s="501"/>
      <c r="LT10" s="501"/>
      <c r="LU10" s="501"/>
      <c r="LV10" s="501"/>
      <c r="LW10" s="501"/>
      <c r="LX10" s="501"/>
      <c r="LY10" s="501"/>
      <c r="LZ10" s="501"/>
      <c r="MA10" s="501"/>
      <c r="MB10" s="501"/>
      <c r="MC10" s="501"/>
      <c r="MD10" s="501"/>
      <c r="ME10" s="501"/>
      <c r="MF10" s="501"/>
      <c r="MG10" s="501"/>
      <c r="MH10" s="501"/>
      <c r="MI10" s="501"/>
      <c r="MJ10" s="501"/>
      <c r="MK10" s="501"/>
      <c r="ML10" s="501"/>
      <c r="MM10" s="501"/>
      <c r="MN10" s="501"/>
      <c r="MO10" s="501"/>
      <c r="MP10" s="501"/>
      <c r="MQ10" s="501"/>
      <c r="MR10" s="501"/>
      <c r="MS10" s="501"/>
      <c r="MT10" s="501"/>
      <c r="MU10" s="501"/>
      <c r="MV10" s="501"/>
      <c r="MW10" s="501"/>
      <c r="MX10" s="501"/>
      <c r="MY10" s="501"/>
      <c r="MZ10" s="501"/>
      <c r="NA10" s="501"/>
      <c r="NB10" s="501"/>
      <c r="NC10" s="501"/>
      <c r="ND10" s="501"/>
      <c r="NE10" s="501"/>
      <c r="NF10" s="501"/>
      <c r="NG10" s="501"/>
      <c r="NH10" s="501"/>
      <c r="NI10" s="501"/>
      <c r="NJ10" s="501"/>
      <c r="NK10" s="501"/>
      <c r="NL10" s="501"/>
      <c r="NM10" s="501"/>
      <c r="NN10" s="501"/>
      <c r="NO10" s="501"/>
      <c r="NP10" s="501"/>
      <c r="NQ10" s="501"/>
      <c r="NR10" s="501"/>
      <c r="NS10" s="501"/>
      <c r="NT10" s="501"/>
      <c r="NU10" s="501"/>
      <c r="NV10" s="501"/>
      <c r="NW10" s="501"/>
      <c r="NX10" s="501"/>
      <c r="NY10" s="501"/>
      <c r="NZ10" s="501"/>
      <c r="OA10" s="501"/>
      <c r="OB10" s="501"/>
      <c r="OC10" s="501"/>
      <c r="OD10" s="501"/>
      <c r="OE10" s="501"/>
      <c r="OF10" s="501"/>
      <c r="OG10" s="501"/>
      <c r="OH10" s="501"/>
      <c r="OI10" s="501"/>
      <c r="OJ10" s="501"/>
      <c r="OK10" s="501"/>
      <c r="OL10" s="501"/>
      <c r="OM10" s="501"/>
      <c r="ON10" s="501"/>
      <c r="OO10" s="501"/>
      <c r="OP10" s="501"/>
      <c r="OQ10" s="501"/>
      <c r="OR10" s="501"/>
      <c r="OS10" s="501"/>
      <c r="OT10" s="501"/>
      <c r="OU10" s="501"/>
      <c r="OV10" s="501"/>
      <c r="OW10" s="501"/>
      <c r="OX10" s="501"/>
      <c r="OY10" s="501"/>
      <c r="OZ10" s="501"/>
      <c r="PA10" s="501"/>
      <c r="PB10" s="501"/>
      <c r="PC10" s="501"/>
      <c r="PD10" s="501"/>
      <c r="PE10" s="501"/>
      <c r="PF10" s="501"/>
      <c r="PG10" s="501"/>
      <c r="PH10" s="501"/>
      <c r="PI10" s="501"/>
      <c r="PJ10" s="501"/>
      <c r="PK10" s="501"/>
      <c r="PL10" s="501"/>
      <c r="PM10" s="501"/>
      <c r="PN10" s="501"/>
      <c r="PO10" s="501"/>
      <c r="PP10" s="501"/>
      <c r="PQ10" s="501"/>
      <c r="PR10" s="501"/>
      <c r="PS10" s="501"/>
      <c r="PT10" s="501"/>
      <c r="PU10" s="501"/>
      <c r="PV10" s="501"/>
      <c r="PW10" s="501"/>
      <c r="PX10" s="501"/>
      <c r="PY10" s="501"/>
      <c r="PZ10" s="501"/>
      <c r="QA10" s="501"/>
      <c r="QB10" s="501"/>
      <c r="QC10" s="501"/>
      <c r="QD10" s="501"/>
      <c r="QE10" s="501"/>
      <c r="QF10" s="501"/>
      <c r="QG10" s="501"/>
      <c r="QH10" s="501"/>
      <c r="QI10" s="501"/>
      <c r="QJ10" s="501"/>
      <c r="QK10" s="501"/>
      <c r="QL10" s="501"/>
      <c r="QM10" s="501"/>
      <c r="QN10" s="501"/>
      <c r="QO10" s="501"/>
      <c r="QP10" s="501"/>
      <c r="QQ10" s="501"/>
      <c r="QR10" s="501"/>
      <c r="QS10" s="501"/>
      <c r="QT10" s="501"/>
      <c r="QU10" s="501"/>
      <c r="QV10" s="501"/>
      <c r="QW10" s="501"/>
      <c r="QX10" s="501"/>
      <c r="QY10" s="501"/>
      <c r="QZ10" s="501"/>
      <c r="RA10" s="501"/>
      <c r="RB10" s="501"/>
      <c r="RC10" s="501"/>
      <c r="RD10" s="501"/>
      <c r="RE10" s="501"/>
      <c r="RF10" s="501"/>
      <c r="RG10" s="501"/>
      <c r="RH10" s="501"/>
      <c r="RI10" s="501"/>
      <c r="RJ10" s="501"/>
      <c r="RK10" s="501"/>
      <c r="RL10" s="501"/>
      <c r="RM10" s="501"/>
      <c r="RN10" s="501"/>
      <c r="RO10" s="501"/>
      <c r="RP10" s="501"/>
      <c r="RQ10" s="501"/>
      <c r="RR10" s="501"/>
      <c r="RS10" s="501"/>
      <c r="RT10" s="501"/>
      <c r="RU10" s="501"/>
      <c r="RV10" s="501"/>
      <c r="RW10" s="501"/>
      <c r="RX10" s="501"/>
      <c r="RY10" s="501"/>
      <c r="RZ10" s="501"/>
      <c r="SA10" s="501"/>
      <c r="SB10" s="501"/>
      <c r="SC10" s="501"/>
      <c r="SD10" s="501"/>
      <c r="SE10" s="501"/>
      <c r="SF10" s="501"/>
      <c r="SG10" s="501"/>
      <c r="SH10" s="501"/>
      <c r="SI10" s="501"/>
      <c r="SJ10" s="501"/>
      <c r="SK10" s="501"/>
      <c r="SL10" s="501"/>
      <c r="SM10" s="501"/>
      <c r="SN10" s="501"/>
      <c r="SO10" s="501"/>
      <c r="SP10" s="501"/>
      <c r="SQ10" s="501"/>
      <c r="SR10" s="501"/>
      <c r="SS10" s="501"/>
      <c r="ST10" s="501"/>
      <c r="SU10" s="501"/>
      <c r="SV10" s="501"/>
      <c r="SW10" s="501"/>
      <c r="SX10" s="501"/>
      <c r="SY10" s="501"/>
      <c r="SZ10" s="501"/>
      <c r="TA10" s="501"/>
      <c r="TB10" s="501"/>
      <c r="TC10" s="501"/>
      <c r="TD10" s="501"/>
      <c r="TE10" s="501"/>
      <c r="TF10" s="501"/>
      <c r="TG10" s="501"/>
      <c r="TH10" s="501"/>
      <c r="TI10" s="501"/>
      <c r="TJ10" s="501"/>
      <c r="TK10" s="501"/>
      <c r="TL10" s="501"/>
      <c r="TM10" s="501"/>
      <c r="TN10" s="501"/>
      <c r="TO10" s="501"/>
      <c r="TP10" s="501"/>
      <c r="TQ10" s="501"/>
      <c r="TR10" s="501"/>
      <c r="TS10" s="501"/>
      <c r="TT10" s="501"/>
      <c r="TU10" s="501"/>
      <c r="TV10" s="501"/>
      <c r="TW10" s="501"/>
      <c r="TX10" s="501"/>
      <c r="TY10" s="501"/>
      <c r="TZ10" s="501"/>
      <c r="UA10" s="501"/>
      <c r="UB10" s="501"/>
      <c r="UC10" s="501"/>
      <c r="UD10" s="501"/>
      <c r="UE10" s="501"/>
      <c r="UF10" s="501"/>
      <c r="UG10" s="501"/>
      <c r="UH10" s="501"/>
      <c r="UI10" s="501"/>
      <c r="UJ10" s="501"/>
      <c r="UK10" s="501"/>
      <c r="UL10" s="501"/>
      <c r="UM10" s="501"/>
      <c r="UN10" s="501"/>
      <c r="UO10" s="501"/>
      <c r="UP10" s="501"/>
      <c r="UQ10" s="501"/>
      <c r="UR10" s="501"/>
      <c r="US10" s="501"/>
      <c r="UT10" s="501"/>
      <c r="UU10" s="501"/>
      <c r="UV10" s="501"/>
      <c r="UW10" s="501"/>
      <c r="UX10" s="501"/>
      <c r="UY10" s="501"/>
      <c r="UZ10" s="501"/>
      <c r="VA10" s="501"/>
      <c r="VB10" s="501"/>
      <c r="VC10" s="501"/>
      <c r="VD10" s="501"/>
      <c r="VE10" s="501"/>
      <c r="VF10" s="501"/>
      <c r="VG10" s="501"/>
      <c r="VH10" s="501"/>
      <c r="VI10" s="501"/>
      <c r="VJ10" s="501"/>
      <c r="VK10" s="501"/>
      <c r="VL10" s="501"/>
      <c r="VM10" s="501"/>
      <c r="VN10" s="501"/>
      <c r="VO10" s="501"/>
      <c r="VP10" s="501"/>
      <c r="VQ10" s="501"/>
      <c r="VR10" s="501"/>
      <c r="VS10" s="501"/>
      <c r="VT10" s="501"/>
      <c r="VU10" s="501"/>
      <c r="VV10" s="501"/>
      <c r="VW10" s="501"/>
      <c r="VX10" s="501"/>
      <c r="VY10" s="501"/>
      <c r="VZ10" s="501"/>
      <c r="WA10" s="501"/>
      <c r="WB10" s="501"/>
      <c r="WC10" s="501"/>
      <c r="WD10" s="501"/>
      <c r="WE10" s="501"/>
      <c r="WF10" s="501"/>
      <c r="WG10" s="501"/>
      <c r="WH10" s="501"/>
      <c r="WI10" s="501"/>
      <c r="WJ10" s="501"/>
      <c r="WK10" s="501"/>
      <c r="WL10" s="501"/>
      <c r="WM10" s="501"/>
      <c r="WN10" s="501"/>
      <c r="WO10" s="501"/>
      <c r="WP10" s="501"/>
      <c r="WQ10" s="501"/>
      <c r="WR10" s="501"/>
      <c r="WS10" s="501"/>
      <c r="WT10" s="501"/>
      <c r="WU10" s="501"/>
      <c r="WV10" s="501"/>
      <c r="WW10" s="501"/>
      <c r="WX10" s="501"/>
      <c r="WY10" s="501"/>
      <c r="WZ10" s="501"/>
      <c r="XA10" s="501"/>
      <c r="XB10" s="501"/>
      <c r="XC10" s="501"/>
      <c r="XD10" s="501"/>
      <c r="XE10" s="501"/>
      <c r="XF10" s="501"/>
      <c r="XG10" s="501"/>
      <c r="XH10" s="501"/>
      <c r="XI10" s="501"/>
      <c r="XJ10" s="501"/>
      <c r="XK10" s="501"/>
      <c r="XL10" s="501"/>
      <c r="XM10" s="501"/>
      <c r="XN10" s="501"/>
      <c r="XO10" s="501"/>
      <c r="XP10" s="501"/>
      <c r="XQ10" s="501"/>
      <c r="XR10" s="501"/>
      <c r="XS10" s="501"/>
      <c r="XT10" s="501"/>
      <c r="XU10" s="501"/>
      <c r="XV10" s="501"/>
      <c r="XW10" s="501"/>
      <c r="XX10" s="501"/>
      <c r="XY10" s="501"/>
      <c r="XZ10" s="501"/>
      <c r="YA10" s="501"/>
      <c r="YB10" s="501"/>
      <c r="YC10" s="501"/>
      <c r="YD10" s="501"/>
      <c r="YE10" s="501"/>
      <c r="YF10" s="501"/>
      <c r="YG10" s="501"/>
      <c r="YH10" s="501"/>
      <c r="YI10" s="501"/>
      <c r="YJ10" s="501"/>
      <c r="YK10" s="501"/>
      <c r="YL10" s="501"/>
      <c r="YM10" s="501"/>
      <c r="YN10" s="501"/>
      <c r="YO10" s="501"/>
      <c r="YP10" s="501"/>
      <c r="YQ10" s="501"/>
      <c r="YR10" s="501"/>
      <c r="YS10" s="501"/>
      <c r="YT10" s="501"/>
      <c r="YU10" s="501"/>
      <c r="YV10" s="501"/>
      <c r="YW10" s="501"/>
      <c r="YX10" s="501"/>
      <c r="YY10" s="501"/>
      <c r="YZ10" s="501"/>
      <c r="ZA10" s="501"/>
      <c r="ZB10" s="501"/>
      <c r="ZC10" s="501"/>
      <c r="ZD10" s="501"/>
      <c r="ZE10" s="501"/>
      <c r="ZF10" s="501"/>
      <c r="ZG10" s="501"/>
      <c r="ZH10" s="501"/>
      <c r="ZI10" s="501"/>
      <c r="ZJ10" s="501"/>
      <c r="ZK10" s="501"/>
      <c r="ZL10" s="501"/>
      <c r="ZM10" s="501"/>
      <c r="ZN10" s="501"/>
      <c r="ZO10" s="501"/>
      <c r="ZP10" s="501"/>
      <c r="ZQ10" s="501"/>
      <c r="ZR10" s="501"/>
      <c r="ZS10" s="501"/>
      <c r="ZT10" s="501"/>
      <c r="ZU10" s="501"/>
      <c r="ZV10" s="501"/>
      <c r="ZW10" s="501"/>
      <c r="ZX10" s="501"/>
      <c r="ZY10" s="501"/>
      <c r="ZZ10" s="501"/>
      <c r="AAA10" s="501"/>
      <c r="AAB10" s="501"/>
      <c r="AAC10" s="501"/>
      <c r="AAD10" s="501"/>
      <c r="AAE10" s="501"/>
      <c r="AAF10" s="501"/>
      <c r="AAG10" s="501"/>
      <c r="AAH10" s="501"/>
      <c r="AAI10" s="501"/>
      <c r="AAJ10" s="501"/>
      <c r="AAK10" s="501"/>
      <c r="AAL10" s="501"/>
      <c r="AAM10" s="501"/>
      <c r="AAN10" s="501"/>
      <c r="AAO10" s="501"/>
      <c r="AAP10" s="501"/>
      <c r="AAQ10" s="501"/>
      <c r="AAR10" s="501"/>
      <c r="AAS10" s="501"/>
      <c r="AAT10" s="501"/>
      <c r="AAU10" s="501"/>
      <c r="AAV10" s="501"/>
      <c r="AAW10" s="501"/>
      <c r="AAX10" s="501"/>
      <c r="AAY10" s="501"/>
      <c r="AAZ10" s="501"/>
      <c r="ABA10" s="501"/>
      <c r="ABB10" s="501"/>
      <c r="ABC10" s="501"/>
      <c r="ABD10" s="501"/>
      <c r="ABE10" s="501"/>
      <c r="ABF10" s="501"/>
      <c r="ABG10" s="501"/>
      <c r="ABH10" s="501"/>
      <c r="ABI10" s="501"/>
      <c r="ABJ10" s="501"/>
      <c r="ABK10" s="501"/>
      <c r="ABL10" s="501"/>
      <c r="ABM10" s="501"/>
      <c r="ABN10" s="501"/>
      <c r="ABO10" s="501"/>
      <c r="ABP10" s="501"/>
      <c r="ABQ10" s="501"/>
      <c r="ABR10" s="501"/>
      <c r="ABS10" s="501"/>
      <c r="ABT10" s="501"/>
      <c r="ABU10" s="501"/>
      <c r="ABV10" s="501"/>
      <c r="ABW10" s="501"/>
      <c r="ABX10" s="501"/>
      <c r="ABY10" s="501"/>
      <c r="ABZ10" s="501"/>
      <c r="ACA10" s="501"/>
      <c r="ACB10" s="501"/>
      <c r="ACC10" s="501"/>
      <c r="ACD10" s="501"/>
      <c r="ACE10" s="501"/>
      <c r="ACF10" s="501"/>
      <c r="ACG10" s="501"/>
      <c r="ACH10" s="501"/>
      <c r="ACI10" s="501"/>
      <c r="ACJ10" s="501"/>
      <c r="ACK10" s="501"/>
      <c r="ACL10" s="501"/>
      <c r="ACM10" s="501"/>
      <c r="ACN10" s="501"/>
      <c r="ACO10" s="501"/>
      <c r="ACP10" s="501"/>
      <c r="ACQ10" s="501"/>
      <c r="ACR10" s="501"/>
      <c r="ACS10" s="501"/>
      <c r="ACT10" s="501"/>
      <c r="ACU10" s="501"/>
      <c r="ACV10" s="501"/>
      <c r="ACW10" s="501"/>
      <c r="ACX10" s="501"/>
      <c r="ACY10" s="501"/>
      <c r="ACZ10" s="501"/>
      <c r="ADA10" s="501"/>
      <c r="ADB10" s="501"/>
      <c r="ADC10" s="501"/>
      <c r="ADD10" s="501"/>
      <c r="ADE10" s="501"/>
      <c r="ADF10" s="501"/>
      <c r="ADG10" s="501"/>
      <c r="ADH10" s="501"/>
      <c r="ADI10" s="501"/>
      <c r="ADJ10" s="501"/>
      <c r="ADK10" s="501"/>
      <c r="ADL10" s="501"/>
      <c r="ADM10" s="501"/>
      <c r="ADN10" s="501"/>
      <c r="ADO10" s="501"/>
      <c r="ADP10" s="501"/>
      <c r="ADQ10" s="501"/>
      <c r="ADR10" s="501"/>
      <c r="ADS10" s="501"/>
      <c r="ADT10" s="501"/>
      <c r="ADU10" s="501"/>
      <c r="ADV10" s="501"/>
      <c r="ADW10" s="501"/>
      <c r="ADX10" s="501"/>
      <c r="ADY10" s="501"/>
      <c r="ADZ10" s="501"/>
      <c r="AEA10" s="501"/>
      <c r="AEB10" s="501"/>
      <c r="AEC10" s="501"/>
      <c r="AED10" s="501"/>
      <c r="AEE10" s="501"/>
      <c r="AEF10" s="501"/>
      <c r="AEG10" s="501"/>
      <c r="AEH10" s="501"/>
      <c r="AEI10" s="501"/>
      <c r="AEJ10" s="501"/>
      <c r="AEK10" s="501"/>
      <c r="AEL10" s="501"/>
      <c r="AEM10" s="501"/>
      <c r="AEN10" s="501"/>
      <c r="AEO10" s="501"/>
      <c r="AEP10" s="501"/>
      <c r="AEQ10" s="501"/>
      <c r="AER10" s="501"/>
      <c r="AES10" s="501"/>
      <c r="AET10" s="501"/>
      <c r="AEU10" s="501"/>
      <c r="AEV10" s="501"/>
      <c r="AEW10" s="501"/>
      <c r="AEX10" s="501"/>
      <c r="AEY10" s="501"/>
      <c r="AEZ10" s="501"/>
      <c r="AFA10" s="501"/>
      <c r="AFB10" s="501"/>
      <c r="AFC10" s="501"/>
      <c r="AFD10" s="501"/>
      <c r="AFE10" s="501"/>
      <c r="AFF10" s="501"/>
      <c r="AFG10" s="501"/>
      <c r="AFH10" s="501"/>
      <c r="AFI10" s="501"/>
      <c r="AFJ10" s="501"/>
      <c r="AFK10" s="501"/>
      <c r="AFL10" s="501"/>
      <c r="AFM10" s="501"/>
      <c r="AFN10" s="501"/>
      <c r="AFO10" s="501"/>
      <c r="AFP10" s="501"/>
      <c r="AFQ10" s="501"/>
      <c r="AFR10" s="501"/>
      <c r="AFS10" s="501"/>
      <c r="AFT10" s="501"/>
      <c r="AFU10" s="501"/>
      <c r="AFV10" s="501"/>
      <c r="AFW10" s="501"/>
      <c r="AFX10" s="501"/>
      <c r="AFY10" s="501"/>
      <c r="AFZ10" s="501"/>
      <c r="AGA10" s="501"/>
      <c r="AGB10" s="501"/>
      <c r="AGC10" s="501"/>
      <c r="AGD10" s="501"/>
      <c r="AGE10" s="501"/>
      <c r="AGF10" s="501"/>
      <c r="AGG10" s="501"/>
      <c r="AGH10" s="501"/>
      <c r="AGI10" s="501"/>
      <c r="AGJ10" s="501"/>
      <c r="AGK10" s="501"/>
      <c r="AGL10" s="501"/>
      <c r="AGM10" s="501"/>
      <c r="AGN10" s="501"/>
      <c r="AGO10" s="501"/>
      <c r="AGP10" s="501"/>
      <c r="AGQ10" s="501"/>
      <c r="AGR10" s="501"/>
      <c r="AGS10" s="501"/>
      <c r="AGT10" s="501"/>
      <c r="AGU10" s="501"/>
      <c r="AGV10" s="501"/>
      <c r="AGW10" s="501"/>
      <c r="AGX10" s="501"/>
      <c r="AGY10" s="501"/>
      <c r="AGZ10" s="501"/>
      <c r="AHA10" s="501"/>
      <c r="AHB10" s="501"/>
      <c r="AHC10" s="501"/>
      <c r="AHD10" s="501"/>
      <c r="AHE10" s="501"/>
      <c r="AHF10" s="501"/>
      <c r="AHG10" s="501"/>
      <c r="AHH10" s="501"/>
      <c r="AHI10" s="501"/>
      <c r="AHJ10" s="501"/>
      <c r="AHK10" s="501"/>
      <c r="AHL10" s="501"/>
      <c r="AHM10" s="501"/>
      <c r="AHN10" s="501"/>
      <c r="AHO10" s="501"/>
      <c r="AHP10" s="501"/>
      <c r="AHQ10" s="501"/>
      <c r="AHR10" s="501"/>
      <c r="AHS10" s="501"/>
      <c r="AHT10" s="501"/>
      <c r="AHU10" s="501"/>
      <c r="AHV10" s="501"/>
      <c r="AHW10" s="501"/>
      <c r="AHX10" s="501"/>
      <c r="AHY10" s="501"/>
      <c r="AHZ10" s="501"/>
      <c r="AIA10" s="501"/>
      <c r="AIB10" s="501"/>
      <c r="AIC10" s="501"/>
      <c r="AID10" s="501"/>
      <c r="AIE10" s="501"/>
      <c r="AIF10" s="501"/>
      <c r="AIG10" s="501"/>
      <c r="AIH10" s="501"/>
      <c r="AII10" s="501"/>
      <c r="AIJ10" s="501"/>
      <c r="AIK10" s="501"/>
      <c r="AIL10" s="501"/>
      <c r="AIM10" s="501"/>
      <c r="AIN10" s="501"/>
      <c r="AIO10" s="501"/>
      <c r="AIP10" s="501"/>
      <c r="AIQ10" s="501"/>
      <c r="AIR10" s="501"/>
      <c r="AIS10" s="501"/>
      <c r="AIT10" s="501"/>
      <c r="AIU10" s="501"/>
      <c r="AIV10" s="501"/>
      <c r="AIW10" s="501"/>
      <c r="AIX10" s="501"/>
      <c r="AIY10" s="501"/>
      <c r="AIZ10" s="501"/>
      <c r="AJA10" s="501"/>
      <c r="AJB10" s="501"/>
      <c r="AJC10" s="501"/>
      <c r="AJD10" s="501"/>
      <c r="AJE10" s="501"/>
      <c r="AJF10" s="501"/>
      <c r="AJG10" s="501"/>
      <c r="AJH10" s="501"/>
      <c r="AJI10" s="501"/>
      <c r="AJJ10" s="501"/>
      <c r="AJK10" s="501"/>
      <c r="AJL10" s="501"/>
      <c r="AJM10" s="501"/>
      <c r="AJN10" s="501"/>
      <c r="AJO10" s="501"/>
      <c r="AJP10" s="501"/>
      <c r="AJQ10" s="501"/>
      <c r="AJR10" s="501"/>
      <c r="AJS10" s="501"/>
      <c r="AJT10" s="501"/>
      <c r="AJU10" s="501"/>
      <c r="AJV10" s="501"/>
      <c r="AJW10" s="501"/>
      <c r="AJX10" s="501"/>
      <c r="AJY10" s="501"/>
      <c r="AJZ10" s="501"/>
      <c r="AKA10" s="501"/>
      <c r="AKB10" s="501"/>
      <c r="AKC10" s="501"/>
      <c r="AKD10" s="501"/>
      <c r="AKE10" s="501"/>
      <c r="AKF10" s="501"/>
      <c r="AKG10" s="501"/>
      <c r="AKH10" s="501"/>
      <c r="AKI10" s="501"/>
      <c r="AKJ10" s="501"/>
      <c r="AKK10" s="501"/>
      <c r="AKL10" s="501"/>
      <c r="AKM10" s="501"/>
      <c r="AKN10" s="501"/>
      <c r="AKO10" s="501"/>
      <c r="AKP10" s="501"/>
      <c r="AKQ10" s="501"/>
      <c r="AKR10" s="501"/>
      <c r="AKS10" s="501"/>
      <c r="AKT10" s="501"/>
      <c r="AKU10" s="501"/>
      <c r="AKV10" s="501"/>
      <c r="AKW10" s="501"/>
      <c r="AKX10" s="501"/>
      <c r="AKY10" s="501"/>
      <c r="AKZ10" s="501"/>
      <c r="ALA10" s="501"/>
      <c r="ALB10" s="501"/>
      <c r="ALC10" s="501"/>
      <c r="ALD10" s="501"/>
      <c r="ALE10" s="501"/>
      <c r="ALF10" s="501"/>
      <c r="ALG10" s="501"/>
      <c r="ALH10" s="501"/>
      <c r="ALI10" s="501"/>
      <c r="ALJ10" s="501"/>
      <c r="ALK10" s="501"/>
      <c r="ALL10" s="501"/>
      <c r="ALM10" s="501"/>
      <c r="ALN10" s="501"/>
      <c r="ALO10" s="501"/>
      <c r="ALP10" s="501"/>
      <c r="ALQ10" s="501"/>
      <c r="ALR10" s="501"/>
      <c r="ALS10" s="501"/>
      <c r="ALT10" s="501"/>
      <c r="ALU10" s="501"/>
      <c r="ALV10" s="501"/>
      <c r="ALW10" s="501"/>
      <c r="ALX10" s="501"/>
      <c r="ALY10" s="501"/>
      <c r="ALZ10" s="501"/>
      <c r="AMA10" s="501"/>
      <c r="AMB10" s="501"/>
      <c r="AMC10" s="501"/>
      <c r="AMD10" s="501"/>
      <c r="AME10" s="501"/>
      <c r="AMF10" s="501"/>
      <c r="AMG10" s="501"/>
      <c r="AMH10" s="501"/>
      <c r="AMI10" s="501"/>
      <c r="AMJ10" s="501"/>
      <c r="AMK10" s="501"/>
      <c r="AML10" s="501"/>
      <c r="AMM10" s="501"/>
      <c r="AMN10" s="501"/>
      <c r="AMO10" s="501"/>
      <c r="AMP10" s="501"/>
      <c r="AMQ10" s="501"/>
      <c r="AMR10" s="501"/>
      <c r="AMS10" s="501"/>
      <c r="AMT10" s="501"/>
      <c r="AMU10" s="501"/>
      <c r="AMV10" s="501"/>
      <c r="AMW10" s="501"/>
      <c r="AMX10" s="501"/>
      <c r="AMY10" s="501"/>
      <c r="AMZ10" s="501"/>
      <c r="ANA10" s="501"/>
      <c r="ANB10" s="501"/>
      <c r="ANC10" s="501"/>
      <c r="AND10" s="501"/>
      <c r="ANE10" s="501"/>
      <c r="ANF10" s="501"/>
      <c r="ANG10" s="501"/>
      <c r="ANH10" s="501"/>
      <c r="ANI10" s="501"/>
      <c r="ANJ10" s="501"/>
      <c r="ANK10" s="501"/>
      <c r="ANL10" s="501"/>
      <c r="ANM10" s="501"/>
      <c r="ANN10" s="501"/>
      <c r="ANO10" s="501"/>
      <c r="ANP10" s="501"/>
      <c r="ANQ10" s="501"/>
      <c r="ANR10" s="501"/>
      <c r="ANS10" s="501"/>
      <c r="ANT10" s="501"/>
      <c r="ANU10" s="501"/>
      <c r="ANV10" s="501"/>
      <c r="ANW10" s="501"/>
      <c r="ANX10" s="501"/>
      <c r="ANY10" s="501"/>
      <c r="ANZ10" s="501"/>
      <c r="AOA10" s="501"/>
      <c r="AOB10" s="501"/>
      <c r="AOC10" s="501"/>
      <c r="AOD10" s="501"/>
      <c r="AOE10" s="501"/>
      <c r="AOF10" s="501"/>
      <c r="AOG10" s="501"/>
      <c r="AOH10" s="501"/>
      <c r="AOI10" s="501"/>
      <c r="AOJ10" s="501"/>
      <c r="AOK10" s="501"/>
      <c r="AOL10" s="501"/>
      <c r="AOM10" s="501"/>
      <c r="AON10" s="501"/>
      <c r="AOO10" s="501"/>
      <c r="AOP10" s="501"/>
      <c r="AOQ10" s="501"/>
      <c r="AOR10" s="501"/>
      <c r="AOS10" s="501"/>
      <c r="AOT10" s="501"/>
      <c r="AOU10" s="501"/>
      <c r="AOV10" s="501"/>
      <c r="AOW10" s="501"/>
      <c r="AOX10" s="501"/>
      <c r="AOY10" s="501"/>
      <c r="AOZ10" s="501"/>
      <c r="APA10" s="501"/>
      <c r="APB10" s="501"/>
      <c r="APC10" s="501"/>
      <c r="APD10" s="501"/>
      <c r="APE10" s="501"/>
      <c r="APF10" s="501"/>
      <c r="APG10" s="501"/>
      <c r="APH10" s="501"/>
      <c r="API10" s="501"/>
      <c r="APJ10" s="501"/>
      <c r="APK10" s="501"/>
      <c r="APL10" s="501"/>
      <c r="APM10" s="501"/>
      <c r="APN10" s="501"/>
      <c r="APO10" s="501"/>
      <c r="APP10" s="501"/>
      <c r="APQ10" s="501"/>
      <c r="APR10" s="501"/>
      <c r="APS10" s="501"/>
      <c r="APT10" s="501"/>
      <c r="APU10" s="501"/>
      <c r="APV10" s="501"/>
      <c r="APW10" s="501"/>
      <c r="APX10" s="501"/>
      <c r="APY10" s="501"/>
      <c r="APZ10" s="501"/>
      <c r="AQA10" s="501"/>
      <c r="AQB10" s="501"/>
      <c r="AQC10" s="501"/>
      <c r="AQD10" s="501"/>
      <c r="AQE10" s="501"/>
      <c r="AQF10" s="501"/>
      <c r="AQG10" s="501"/>
      <c r="AQH10" s="501"/>
      <c r="AQI10" s="501"/>
      <c r="AQJ10" s="501"/>
      <c r="AQK10" s="501"/>
      <c r="AQL10" s="501"/>
      <c r="AQM10" s="501"/>
      <c r="AQN10" s="501"/>
      <c r="AQO10" s="501"/>
      <c r="AQP10" s="501"/>
      <c r="AQQ10" s="501"/>
      <c r="AQR10" s="501"/>
      <c r="AQS10" s="501"/>
      <c r="AQT10" s="501"/>
      <c r="AQU10" s="501"/>
      <c r="AQV10" s="501"/>
      <c r="AQW10" s="501"/>
      <c r="AQX10" s="501"/>
      <c r="AQY10" s="501"/>
      <c r="AQZ10" s="501"/>
      <c r="ARA10" s="501"/>
      <c r="ARB10" s="501"/>
      <c r="ARC10" s="501"/>
      <c r="ARD10" s="501"/>
      <c r="ARE10" s="501"/>
      <c r="ARF10" s="501"/>
      <c r="ARG10" s="501"/>
      <c r="ARH10" s="501"/>
      <c r="ARI10" s="501"/>
      <c r="ARJ10" s="501"/>
      <c r="ARK10" s="501"/>
      <c r="ARL10" s="501"/>
      <c r="ARM10" s="501"/>
      <c r="ARN10" s="501"/>
      <c r="ARO10" s="501"/>
      <c r="ARP10" s="501"/>
      <c r="ARQ10" s="501"/>
      <c r="ARR10" s="501"/>
      <c r="ARS10" s="501"/>
      <c r="ART10" s="501"/>
      <c r="ARU10" s="501"/>
      <c r="ARV10" s="501"/>
      <c r="ARW10" s="501"/>
      <c r="ARX10" s="501"/>
      <c r="ARY10" s="501"/>
      <c r="ARZ10" s="501"/>
      <c r="ASA10" s="501"/>
      <c r="ASB10" s="501"/>
      <c r="ASC10" s="501"/>
      <c r="ASD10" s="501"/>
      <c r="ASE10" s="501"/>
      <c r="ASF10" s="501"/>
      <c r="ASG10" s="501"/>
      <c r="ASH10" s="501"/>
      <c r="ASI10" s="501"/>
      <c r="ASJ10" s="501"/>
      <c r="ASK10" s="501"/>
      <c r="ASL10" s="501"/>
      <c r="ASM10" s="501"/>
      <c r="ASN10" s="501"/>
      <c r="ASO10" s="501"/>
      <c r="ASP10" s="501"/>
      <c r="ASQ10" s="501"/>
      <c r="ASR10" s="501"/>
      <c r="ASS10" s="501"/>
      <c r="AST10" s="501"/>
      <c r="ASU10" s="501"/>
      <c r="ASV10" s="501"/>
      <c r="ASW10" s="501"/>
      <c r="ASX10" s="501"/>
      <c r="ASY10" s="501"/>
      <c r="ASZ10" s="501"/>
      <c r="ATA10" s="501"/>
      <c r="ATB10" s="501"/>
      <c r="ATC10" s="501"/>
      <c r="ATD10" s="501"/>
      <c r="ATE10" s="501"/>
      <c r="ATF10" s="501"/>
      <c r="ATG10" s="501"/>
      <c r="ATH10" s="501"/>
      <c r="ATI10" s="501"/>
      <c r="ATJ10" s="501"/>
      <c r="ATK10" s="501"/>
      <c r="ATL10" s="501"/>
      <c r="ATM10" s="501"/>
      <c r="ATN10" s="501"/>
      <c r="ATO10" s="501"/>
      <c r="ATP10" s="501"/>
      <c r="ATQ10" s="501"/>
      <c r="ATR10" s="501"/>
      <c r="ATS10" s="501"/>
      <c r="ATT10" s="501"/>
      <c r="ATU10" s="501"/>
      <c r="ATV10" s="501"/>
      <c r="ATW10" s="501"/>
      <c r="ATX10" s="501"/>
      <c r="ATY10" s="501"/>
      <c r="ATZ10" s="501"/>
      <c r="AUA10" s="501"/>
      <c r="AUB10" s="501"/>
      <c r="AUC10" s="501"/>
      <c r="AUD10" s="501"/>
      <c r="AUE10" s="501"/>
      <c r="AUF10" s="501"/>
      <c r="AUG10" s="501"/>
      <c r="AUH10" s="501"/>
      <c r="AUI10" s="501"/>
      <c r="AUJ10" s="501"/>
      <c r="AUK10" s="501"/>
      <c r="AUL10" s="501"/>
      <c r="AUM10" s="501"/>
      <c r="AUN10" s="501"/>
      <c r="AUO10" s="501"/>
      <c r="AUP10" s="501"/>
      <c r="AUQ10" s="501"/>
      <c r="AUR10" s="501"/>
      <c r="AUS10" s="501"/>
      <c r="AUT10" s="501"/>
      <c r="AUU10" s="501"/>
      <c r="AUV10" s="501"/>
      <c r="AUW10" s="501"/>
      <c r="AUX10" s="501"/>
      <c r="AUY10" s="501"/>
      <c r="AUZ10" s="501"/>
      <c r="AVA10" s="501"/>
      <c r="AVB10" s="501"/>
      <c r="AVC10" s="501"/>
      <c r="AVD10" s="501"/>
      <c r="AVE10" s="501"/>
      <c r="AVF10" s="501"/>
      <c r="AVG10" s="501"/>
      <c r="AVH10" s="501"/>
      <c r="AVI10" s="501"/>
      <c r="AVJ10" s="501"/>
      <c r="AVK10" s="501"/>
      <c r="AVL10" s="501"/>
      <c r="AVM10" s="501"/>
      <c r="AVN10" s="501"/>
      <c r="AVO10" s="501"/>
      <c r="AVP10" s="501"/>
      <c r="AVQ10" s="501"/>
      <c r="AVR10" s="501"/>
      <c r="AVS10" s="501"/>
      <c r="AVT10" s="501"/>
      <c r="AVU10" s="501"/>
      <c r="AVV10" s="501"/>
      <c r="AVW10" s="501"/>
      <c r="AVX10" s="501"/>
      <c r="AVY10" s="501"/>
      <c r="AVZ10" s="501"/>
      <c r="AWA10" s="501"/>
      <c r="AWB10" s="501"/>
      <c r="AWC10" s="501"/>
      <c r="AWD10" s="501"/>
      <c r="AWE10" s="501"/>
      <c r="AWF10" s="501"/>
      <c r="AWG10" s="501"/>
      <c r="AWH10" s="501"/>
      <c r="AWI10" s="501"/>
      <c r="AWJ10" s="501"/>
      <c r="AWK10" s="501"/>
      <c r="AWL10" s="501"/>
      <c r="AWM10" s="501"/>
      <c r="AWN10" s="501"/>
      <c r="AWO10" s="501"/>
      <c r="AWP10" s="501"/>
      <c r="AWQ10" s="501"/>
      <c r="AWR10" s="501"/>
      <c r="AWS10" s="501"/>
      <c r="AWT10" s="501"/>
      <c r="AWU10" s="501"/>
      <c r="AWV10" s="501"/>
      <c r="AWW10" s="501"/>
      <c r="AWX10" s="501"/>
      <c r="AWY10" s="501"/>
      <c r="AWZ10" s="501"/>
      <c r="AXA10" s="501"/>
      <c r="AXB10" s="501"/>
      <c r="AXC10" s="501"/>
      <c r="AXD10" s="501"/>
      <c r="AXE10" s="501"/>
      <c r="AXF10" s="501"/>
      <c r="AXG10" s="501"/>
      <c r="AXH10" s="501"/>
      <c r="AXI10" s="501"/>
      <c r="AXJ10" s="501"/>
      <c r="AXK10" s="501"/>
      <c r="AXL10" s="501"/>
      <c r="AXM10" s="501"/>
      <c r="AXN10" s="501"/>
      <c r="AXO10" s="501"/>
      <c r="AXP10" s="501"/>
      <c r="AXQ10" s="501"/>
      <c r="AXR10" s="501"/>
      <c r="AXS10" s="501"/>
      <c r="AXT10" s="501"/>
      <c r="AXU10" s="501"/>
      <c r="AXV10" s="501"/>
      <c r="AXW10" s="501"/>
      <c r="AXX10" s="501"/>
      <c r="AXY10" s="501"/>
      <c r="AXZ10" s="501"/>
      <c r="AYA10" s="501"/>
      <c r="AYB10" s="501"/>
      <c r="AYC10" s="501"/>
      <c r="AYD10" s="501"/>
      <c r="AYE10" s="501"/>
      <c r="AYF10" s="501"/>
      <c r="AYG10" s="501"/>
      <c r="AYH10" s="501"/>
      <c r="AYI10" s="501"/>
      <c r="AYJ10" s="501"/>
      <c r="AYK10" s="501"/>
      <c r="AYL10" s="501"/>
      <c r="AYM10" s="501"/>
      <c r="AYN10" s="501"/>
      <c r="AYO10" s="501"/>
      <c r="AYP10" s="501"/>
      <c r="AYQ10" s="501"/>
      <c r="AYR10" s="501"/>
      <c r="AYS10" s="501"/>
      <c r="AYT10" s="501"/>
      <c r="AYU10" s="501"/>
      <c r="AYV10" s="501"/>
      <c r="AYW10" s="501"/>
      <c r="AYX10" s="501"/>
      <c r="AYY10" s="501"/>
      <c r="AYZ10" s="501"/>
      <c r="AZA10" s="501"/>
      <c r="AZB10" s="501"/>
      <c r="AZC10" s="501"/>
      <c r="AZD10" s="501"/>
      <c r="AZE10" s="501"/>
      <c r="AZF10" s="501"/>
      <c r="AZG10" s="501"/>
      <c r="AZH10" s="501"/>
      <c r="AZI10" s="501"/>
      <c r="AZJ10" s="501"/>
      <c r="AZK10" s="501"/>
      <c r="AZL10" s="501"/>
      <c r="AZM10" s="501"/>
      <c r="AZN10" s="501"/>
      <c r="AZO10" s="501"/>
      <c r="AZP10" s="501"/>
      <c r="AZQ10" s="501"/>
      <c r="AZR10" s="501"/>
      <c r="AZS10" s="501"/>
      <c r="AZT10" s="501"/>
      <c r="AZU10" s="501"/>
      <c r="AZV10" s="501"/>
      <c r="AZW10" s="501"/>
      <c r="AZX10" s="501"/>
      <c r="AZY10" s="501"/>
      <c r="AZZ10" s="501"/>
      <c r="BAA10" s="501"/>
      <c r="BAB10" s="501"/>
      <c r="BAC10" s="501"/>
      <c r="BAD10" s="501"/>
      <c r="BAE10" s="501"/>
      <c r="BAF10" s="501"/>
      <c r="BAG10" s="501"/>
      <c r="BAH10" s="501"/>
      <c r="BAI10" s="501"/>
      <c r="BAJ10" s="501"/>
      <c r="BAK10" s="501"/>
      <c r="BAL10" s="501"/>
      <c r="BAM10" s="501"/>
      <c r="BAN10" s="501"/>
      <c r="BAO10" s="501"/>
      <c r="BAP10" s="501"/>
      <c r="BAQ10" s="501"/>
      <c r="BAR10" s="501"/>
      <c r="BAS10" s="501"/>
      <c r="BAT10" s="501"/>
      <c r="BAU10" s="501"/>
      <c r="BAV10" s="501"/>
      <c r="BAW10" s="501"/>
      <c r="BAX10" s="501"/>
      <c r="BAY10" s="501"/>
      <c r="BAZ10" s="501"/>
      <c r="BBA10" s="501"/>
      <c r="BBB10" s="501"/>
      <c r="BBC10" s="501"/>
      <c r="BBD10" s="501"/>
      <c r="BBE10" s="501"/>
      <c r="BBF10" s="501"/>
      <c r="BBG10" s="501"/>
      <c r="BBH10" s="501"/>
      <c r="BBI10" s="501"/>
      <c r="BBJ10" s="501"/>
      <c r="BBK10" s="501"/>
      <c r="BBL10" s="501"/>
      <c r="BBM10" s="501"/>
      <c r="BBN10" s="501"/>
      <c r="BBO10" s="501"/>
      <c r="BBP10" s="501"/>
      <c r="BBQ10" s="501"/>
      <c r="BBR10" s="501"/>
      <c r="BBS10" s="501"/>
      <c r="BBT10" s="501"/>
      <c r="BBU10" s="501"/>
      <c r="BBV10" s="501"/>
      <c r="BBW10" s="501"/>
      <c r="BBX10" s="501"/>
      <c r="BBY10" s="501"/>
      <c r="BBZ10" s="501"/>
      <c r="BCA10" s="501"/>
      <c r="BCB10" s="501"/>
      <c r="BCC10" s="501"/>
      <c r="BCD10" s="501"/>
      <c r="BCE10" s="501"/>
      <c r="BCF10" s="501"/>
      <c r="BCG10" s="501"/>
      <c r="BCH10" s="501"/>
      <c r="BCI10" s="501"/>
      <c r="BCJ10" s="501"/>
      <c r="BCK10" s="501"/>
      <c r="BCL10" s="501"/>
      <c r="BCM10" s="501"/>
      <c r="BCN10" s="501"/>
      <c r="BCO10" s="501"/>
      <c r="BCP10" s="501"/>
      <c r="BCQ10" s="501"/>
      <c r="BCR10" s="501"/>
      <c r="BCS10" s="501"/>
      <c r="BCT10" s="501"/>
      <c r="BCU10" s="501"/>
      <c r="BCV10" s="501"/>
      <c r="BCW10" s="501"/>
      <c r="BCX10" s="501"/>
      <c r="BCY10" s="501"/>
      <c r="BCZ10" s="501"/>
      <c r="BDA10" s="501"/>
      <c r="BDB10" s="501"/>
      <c r="BDC10" s="501"/>
      <c r="BDD10" s="501"/>
      <c r="BDE10" s="501"/>
      <c r="BDF10" s="501"/>
      <c r="BDG10" s="501"/>
      <c r="BDH10" s="501"/>
      <c r="BDI10" s="501"/>
      <c r="BDJ10" s="501"/>
      <c r="BDK10" s="501"/>
      <c r="BDL10" s="501"/>
      <c r="BDM10" s="501"/>
      <c r="BDN10" s="501"/>
      <c r="BDO10" s="501"/>
      <c r="BDP10" s="501"/>
      <c r="BDQ10" s="501"/>
      <c r="BDR10" s="501"/>
      <c r="BDS10" s="501"/>
      <c r="BDT10" s="501"/>
      <c r="BDU10" s="501"/>
      <c r="BDV10" s="501"/>
      <c r="BDW10" s="501"/>
      <c r="BDX10" s="501"/>
      <c r="BDY10" s="501"/>
      <c r="BDZ10" s="501"/>
      <c r="BEA10" s="501"/>
      <c r="BEB10" s="501"/>
      <c r="BEC10" s="501"/>
      <c r="BED10" s="501"/>
      <c r="BEE10" s="501"/>
      <c r="BEF10" s="501"/>
      <c r="BEG10" s="501"/>
      <c r="BEH10" s="501"/>
      <c r="BEI10" s="501"/>
      <c r="BEJ10" s="501"/>
      <c r="BEK10" s="501"/>
      <c r="BEL10" s="501"/>
      <c r="BEM10" s="501"/>
      <c r="BEN10" s="501"/>
      <c r="BEO10" s="501"/>
      <c r="BEP10" s="501"/>
      <c r="BEQ10" s="501"/>
      <c r="BER10" s="501"/>
      <c r="BES10" s="501"/>
      <c r="BET10" s="501"/>
      <c r="BEU10" s="501"/>
      <c r="BEV10" s="501"/>
      <c r="BEW10" s="501"/>
      <c r="BEX10" s="501"/>
      <c r="BEY10" s="501"/>
      <c r="BEZ10" s="501"/>
      <c r="BFA10" s="501"/>
      <c r="BFB10" s="501"/>
      <c r="BFC10" s="501"/>
      <c r="BFD10" s="501"/>
      <c r="BFE10" s="501"/>
      <c r="BFF10" s="501"/>
      <c r="BFG10" s="501"/>
      <c r="BFH10" s="501"/>
      <c r="BFI10" s="501"/>
      <c r="BFJ10" s="501"/>
      <c r="BFK10" s="501"/>
      <c r="BFL10" s="501"/>
      <c r="BFM10" s="501"/>
      <c r="BFN10" s="501"/>
      <c r="BFO10" s="501"/>
      <c r="BFP10" s="501"/>
      <c r="BFQ10" s="501"/>
      <c r="BFR10" s="501"/>
      <c r="BFS10" s="501"/>
      <c r="BFT10" s="501"/>
      <c r="BFU10" s="501"/>
      <c r="BFV10" s="501"/>
      <c r="BFW10" s="501"/>
      <c r="BFX10" s="501"/>
      <c r="BFY10" s="501"/>
      <c r="BFZ10" s="501"/>
      <c r="BGA10" s="501"/>
      <c r="BGB10" s="501"/>
      <c r="BGC10" s="501"/>
      <c r="BGD10" s="501"/>
      <c r="BGE10" s="501"/>
      <c r="BGF10" s="501"/>
      <c r="BGG10" s="501"/>
      <c r="BGH10" s="501"/>
      <c r="BGI10" s="501"/>
      <c r="BGJ10" s="501"/>
      <c r="BGK10" s="501"/>
      <c r="BGL10" s="501"/>
      <c r="BGM10" s="501"/>
      <c r="BGN10" s="501"/>
      <c r="BGO10" s="501"/>
      <c r="BGP10" s="501"/>
      <c r="BGQ10" s="501"/>
      <c r="BGR10" s="501"/>
      <c r="BGS10" s="501"/>
      <c r="BGT10" s="501"/>
      <c r="BGU10" s="501"/>
      <c r="BGV10" s="501"/>
      <c r="BGW10" s="501"/>
      <c r="BGX10" s="501"/>
      <c r="BGY10" s="501"/>
      <c r="BGZ10" s="501"/>
      <c r="BHA10" s="501"/>
      <c r="BHB10" s="501"/>
      <c r="BHC10" s="501"/>
      <c r="BHD10" s="501"/>
      <c r="BHE10" s="501"/>
      <c r="BHF10" s="501"/>
      <c r="BHG10" s="501"/>
      <c r="BHH10" s="501"/>
      <c r="BHI10" s="501"/>
      <c r="BHJ10" s="501"/>
      <c r="BHK10" s="501"/>
      <c r="BHL10" s="501"/>
      <c r="BHM10" s="501"/>
      <c r="BHN10" s="501"/>
      <c r="BHO10" s="501"/>
      <c r="BHP10" s="501"/>
      <c r="BHQ10" s="501"/>
      <c r="BHR10" s="501"/>
      <c r="BHS10" s="501"/>
      <c r="BHT10" s="501"/>
      <c r="BHU10" s="501"/>
      <c r="BHV10" s="501"/>
      <c r="BHW10" s="501"/>
      <c r="BHX10" s="501"/>
      <c r="BHY10" s="501"/>
      <c r="BHZ10" s="501"/>
      <c r="BIA10" s="501"/>
      <c r="BIB10" s="501"/>
      <c r="BIC10" s="501"/>
      <c r="BID10" s="501"/>
      <c r="BIE10" s="501"/>
      <c r="BIF10" s="501"/>
      <c r="BIG10" s="501"/>
      <c r="BIH10" s="501"/>
      <c r="BII10" s="501"/>
      <c r="BIJ10" s="501"/>
      <c r="BIK10" s="501"/>
      <c r="BIL10" s="501"/>
      <c r="BIM10" s="501"/>
      <c r="BIN10" s="501"/>
      <c r="BIO10" s="501"/>
      <c r="BIP10" s="501"/>
      <c r="BIQ10" s="501"/>
      <c r="BIR10" s="501"/>
      <c r="BIS10" s="501"/>
      <c r="BIT10" s="501"/>
      <c r="BIU10" s="501"/>
      <c r="BIV10" s="501"/>
      <c r="BIW10" s="501"/>
      <c r="BIX10" s="501"/>
      <c r="BIY10" s="501"/>
      <c r="BIZ10" s="501"/>
      <c r="BJA10" s="501"/>
      <c r="BJB10" s="501"/>
      <c r="BJC10" s="501"/>
      <c r="BJD10" s="501"/>
      <c r="BJE10" s="501"/>
      <c r="BJF10" s="501"/>
      <c r="BJG10" s="501"/>
      <c r="BJH10" s="501"/>
      <c r="BJI10" s="501"/>
      <c r="BJJ10" s="501"/>
      <c r="BJK10" s="501"/>
      <c r="BJL10" s="501"/>
      <c r="BJM10" s="501"/>
      <c r="BJN10" s="501"/>
      <c r="BJO10" s="501"/>
      <c r="BJP10" s="501"/>
      <c r="BJQ10" s="501"/>
      <c r="BJR10" s="501"/>
      <c r="BJS10" s="501"/>
      <c r="BJT10" s="501"/>
      <c r="BJU10" s="501"/>
      <c r="BJV10" s="501"/>
      <c r="BJW10" s="501"/>
      <c r="BJX10" s="501"/>
      <c r="BJY10" s="501"/>
      <c r="BJZ10" s="501"/>
      <c r="BKA10" s="501"/>
      <c r="BKB10" s="501"/>
      <c r="BKC10" s="501"/>
      <c r="BKD10" s="501"/>
      <c r="BKE10" s="501"/>
      <c r="BKF10" s="501"/>
      <c r="BKG10" s="501"/>
      <c r="BKH10" s="501"/>
      <c r="BKI10" s="501"/>
      <c r="BKJ10" s="501"/>
      <c r="BKK10" s="501"/>
      <c r="BKL10" s="501"/>
      <c r="BKM10" s="501"/>
      <c r="BKN10" s="501"/>
      <c r="BKO10" s="501"/>
      <c r="BKP10" s="501"/>
      <c r="BKQ10" s="501"/>
      <c r="BKR10" s="501"/>
      <c r="BKS10" s="501"/>
      <c r="BKT10" s="501"/>
      <c r="BKU10" s="501"/>
      <c r="BKV10" s="501"/>
      <c r="BKW10" s="501"/>
      <c r="BKX10" s="501"/>
      <c r="BKY10" s="501"/>
      <c r="BKZ10" s="501"/>
      <c r="BLA10" s="501"/>
      <c r="BLB10" s="501"/>
      <c r="BLC10" s="501"/>
      <c r="BLD10" s="501"/>
      <c r="BLE10" s="501"/>
      <c r="BLF10" s="501"/>
      <c r="BLG10" s="501"/>
      <c r="BLH10" s="501"/>
      <c r="BLI10" s="501"/>
      <c r="BLJ10" s="501"/>
      <c r="BLK10" s="501"/>
      <c r="BLL10" s="501"/>
      <c r="BLM10" s="501"/>
      <c r="BLN10" s="501"/>
      <c r="BLO10" s="501"/>
      <c r="BLP10" s="501"/>
      <c r="BLQ10" s="501"/>
      <c r="BLR10" s="501"/>
      <c r="BLS10" s="501"/>
      <c r="BLT10" s="501"/>
      <c r="BLU10" s="501"/>
      <c r="BLV10" s="501"/>
      <c r="BLW10" s="501"/>
      <c r="BLX10" s="501"/>
      <c r="BLY10" s="501"/>
      <c r="BLZ10" s="501"/>
      <c r="BMA10" s="501"/>
      <c r="BMB10" s="501"/>
      <c r="BMC10" s="501"/>
      <c r="BMD10" s="501"/>
      <c r="BME10" s="501"/>
      <c r="BMF10" s="501"/>
      <c r="BMG10" s="501"/>
      <c r="BMH10" s="501"/>
      <c r="BMI10" s="501"/>
      <c r="BMJ10" s="501"/>
      <c r="BMK10" s="501"/>
      <c r="BML10" s="501"/>
      <c r="BMM10" s="501"/>
      <c r="BMN10" s="501"/>
      <c r="BMO10" s="501"/>
      <c r="BMP10" s="501"/>
      <c r="BMQ10" s="501"/>
      <c r="BMR10" s="501"/>
      <c r="BMS10" s="501"/>
      <c r="BMT10" s="501"/>
      <c r="BMU10" s="501"/>
      <c r="BMV10" s="501"/>
      <c r="BMW10" s="501"/>
      <c r="BMX10" s="501"/>
      <c r="BMY10" s="501"/>
      <c r="BMZ10" s="501"/>
      <c r="BNA10" s="501"/>
      <c r="BNB10" s="501"/>
      <c r="BNC10" s="501"/>
      <c r="BND10" s="501"/>
      <c r="BNE10" s="501"/>
      <c r="BNF10" s="501"/>
      <c r="BNG10" s="501"/>
      <c r="BNH10" s="501"/>
      <c r="BNI10" s="501"/>
      <c r="BNJ10" s="501"/>
      <c r="BNK10" s="501"/>
      <c r="BNL10" s="501"/>
      <c r="BNM10" s="501"/>
      <c r="BNN10" s="501"/>
      <c r="BNO10" s="501"/>
      <c r="BNP10" s="501"/>
      <c r="BNQ10" s="501"/>
      <c r="BNR10" s="501"/>
      <c r="BNS10" s="501"/>
      <c r="BNT10" s="501"/>
      <c r="BNU10" s="501"/>
      <c r="BNV10" s="501"/>
      <c r="BNW10" s="501"/>
      <c r="BNX10" s="501"/>
      <c r="BNY10" s="501"/>
      <c r="BNZ10" s="501"/>
      <c r="BOA10" s="501"/>
      <c r="BOB10" s="501"/>
      <c r="BOC10" s="501"/>
      <c r="BOD10" s="501"/>
      <c r="BOE10" s="501"/>
      <c r="BOF10" s="501"/>
      <c r="BOG10" s="501"/>
      <c r="BOH10" s="501"/>
      <c r="BOI10" s="501"/>
      <c r="BOJ10" s="501"/>
      <c r="BOK10" s="501"/>
      <c r="BOL10" s="501"/>
      <c r="BOM10" s="501"/>
      <c r="BON10" s="501"/>
      <c r="BOO10" s="501"/>
      <c r="BOP10" s="501"/>
      <c r="BOQ10" s="501"/>
      <c r="BOR10" s="501"/>
      <c r="BOS10" s="501"/>
      <c r="BOT10" s="501"/>
      <c r="BOU10" s="501"/>
      <c r="BOV10" s="501"/>
      <c r="BOW10" s="501"/>
      <c r="BOX10" s="501"/>
      <c r="BOY10" s="501"/>
      <c r="BOZ10" s="501"/>
      <c r="BPA10" s="501"/>
      <c r="BPB10" s="501"/>
      <c r="BPC10" s="501"/>
      <c r="BPD10" s="501"/>
      <c r="BPE10" s="501"/>
      <c r="BPF10" s="501"/>
      <c r="BPG10" s="501"/>
      <c r="BPH10" s="501"/>
      <c r="BPI10" s="501"/>
      <c r="BPJ10" s="501"/>
      <c r="BPK10" s="501"/>
      <c r="BPL10" s="501"/>
      <c r="BPM10" s="501"/>
      <c r="BPN10" s="501"/>
      <c r="BPO10" s="501"/>
      <c r="BPP10" s="501"/>
      <c r="BPQ10" s="501"/>
      <c r="BPR10" s="501"/>
      <c r="BPS10" s="501"/>
      <c r="BPT10" s="501"/>
      <c r="BPU10" s="501"/>
      <c r="BPV10" s="501"/>
      <c r="BPW10" s="501"/>
      <c r="BPX10" s="501"/>
      <c r="BPY10" s="501"/>
      <c r="BPZ10" s="501"/>
      <c r="BQA10" s="501"/>
      <c r="BQB10" s="501"/>
      <c r="BQC10" s="501"/>
      <c r="BQD10" s="501"/>
      <c r="BQE10" s="501"/>
      <c r="BQF10" s="501"/>
      <c r="BQG10" s="501"/>
      <c r="BQH10" s="501"/>
      <c r="BQI10" s="501"/>
      <c r="BQJ10" s="501"/>
      <c r="BQK10" s="501"/>
      <c r="BQL10" s="501"/>
      <c r="BQM10" s="501"/>
      <c r="BQN10" s="501"/>
      <c r="BQO10" s="501"/>
      <c r="BQP10" s="501"/>
      <c r="BQQ10" s="501"/>
      <c r="BQR10" s="501"/>
      <c r="BQS10" s="501"/>
      <c r="BQT10" s="501"/>
      <c r="BQU10" s="501"/>
      <c r="BQV10" s="501"/>
      <c r="BQW10" s="501"/>
      <c r="BQX10" s="501"/>
      <c r="BQY10" s="501"/>
      <c r="BQZ10" s="501"/>
      <c r="BRA10" s="501"/>
      <c r="BRB10" s="501"/>
      <c r="BRC10" s="501"/>
      <c r="BRD10" s="501"/>
      <c r="BRE10" s="501"/>
      <c r="BRF10" s="501"/>
      <c r="BRG10" s="501"/>
      <c r="BRH10" s="501"/>
      <c r="BRI10" s="501"/>
      <c r="BRJ10" s="501"/>
      <c r="BRK10" s="501"/>
      <c r="BRL10" s="501"/>
      <c r="BRM10" s="501"/>
      <c r="BRN10" s="501"/>
      <c r="BRO10" s="501"/>
      <c r="BRP10" s="501"/>
      <c r="BRQ10" s="501"/>
      <c r="BRR10" s="501"/>
      <c r="BRS10" s="501"/>
      <c r="BRT10" s="501"/>
      <c r="BRU10" s="501"/>
      <c r="BRV10" s="501"/>
      <c r="BRW10" s="501"/>
      <c r="BRX10" s="501"/>
      <c r="BRY10" s="501"/>
      <c r="BRZ10" s="501"/>
      <c r="BSA10" s="501"/>
      <c r="BSB10" s="501"/>
      <c r="BSC10" s="501"/>
      <c r="BSD10" s="501"/>
      <c r="BSE10" s="501"/>
      <c r="BSF10" s="501"/>
      <c r="BSG10" s="501"/>
      <c r="BSH10" s="501"/>
      <c r="BSI10" s="501"/>
      <c r="BSJ10" s="501"/>
      <c r="BSK10" s="501"/>
      <c r="BSL10" s="501"/>
      <c r="BSM10" s="501"/>
      <c r="BSN10" s="501"/>
      <c r="BSO10" s="501"/>
      <c r="BSP10" s="501"/>
      <c r="BSQ10" s="501"/>
      <c r="BSR10" s="501"/>
      <c r="BSS10" s="501"/>
      <c r="BST10" s="501"/>
      <c r="BSU10" s="501"/>
      <c r="BSV10" s="501"/>
      <c r="BSW10" s="501"/>
      <c r="BSX10" s="501"/>
      <c r="BSY10" s="501"/>
      <c r="BSZ10" s="501"/>
      <c r="BTA10" s="501"/>
      <c r="BTB10" s="501"/>
      <c r="BTC10" s="501"/>
      <c r="BTD10" s="501"/>
      <c r="BTE10" s="501"/>
      <c r="BTF10" s="501"/>
      <c r="BTG10" s="501"/>
      <c r="BTH10" s="501"/>
      <c r="BTI10" s="501"/>
      <c r="BTJ10" s="501"/>
      <c r="BTK10" s="501"/>
      <c r="BTL10" s="501"/>
      <c r="BTM10" s="501"/>
      <c r="BTN10" s="501"/>
      <c r="BTO10" s="501"/>
      <c r="BTP10" s="501"/>
      <c r="BTQ10" s="501"/>
      <c r="BTR10" s="501"/>
      <c r="BTS10" s="501"/>
      <c r="BTT10" s="501"/>
      <c r="BTU10" s="501"/>
      <c r="BTV10" s="501"/>
      <c r="BTW10" s="501"/>
      <c r="BTX10" s="501"/>
      <c r="BTY10" s="501"/>
      <c r="BTZ10" s="501"/>
      <c r="BUA10" s="501"/>
      <c r="BUB10" s="501"/>
      <c r="BUC10" s="501"/>
      <c r="BUD10" s="501"/>
      <c r="BUE10" s="501"/>
      <c r="BUF10" s="501"/>
      <c r="BUG10" s="501"/>
      <c r="BUH10" s="501"/>
      <c r="BUI10" s="501"/>
      <c r="BUJ10" s="501"/>
      <c r="BUK10" s="501"/>
      <c r="BUL10" s="501"/>
      <c r="BUM10" s="501"/>
      <c r="BUN10" s="501"/>
      <c r="BUO10" s="501"/>
      <c r="BUP10" s="501"/>
      <c r="BUQ10" s="501"/>
      <c r="BUR10" s="501"/>
      <c r="BUS10" s="501"/>
      <c r="BUT10" s="501"/>
      <c r="BUU10" s="501"/>
      <c r="BUV10" s="501"/>
      <c r="BUW10" s="501"/>
      <c r="BUX10" s="501"/>
      <c r="BUY10" s="501"/>
      <c r="BUZ10" s="501"/>
      <c r="BVA10" s="501"/>
      <c r="BVB10" s="501"/>
      <c r="BVC10" s="501"/>
      <c r="BVD10" s="501"/>
      <c r="BVE10" s="501"/>
      <c r="BVF10" s="501"/>
      <c r="BVG10" s="501"/>
      <c r="BVH10" s="501"/>
      <c r="BVI10" s="501"/>
      <c r="BVJ10" s="501"/>
      <c r="BVK10" s="501"/>
      <c r="BVL10" s="501"/>
      <c r="BVM10" s="501"/>
      <c r="BVN10" s="501"/>
      <c r="BVO10" s="501"/>
      <c r="BVP10" s="501"/>
      <c r="BVQ10" s="501"/>
      <c r="BVR10" s="501"/>
      <c r="BVS10" s="501"/>
      <c r="BVT10" s="501"/>
      <c r="BVU10" s="501"/>
      <c r="BVV10" s="501"/>
      <c r="BVW10" s="501"/>
      <c r="BVX10" s="501"/>
      <c r="BVY10" s="501"/>
      <c r="BVZ10" s="501"/>
      <c r="BWA10" s="501"/>
      <c r="BWB10" s="501"/>
      <c r="BWC10" s="501"/>
      <c r="BWD10" s="501"/>
      <c r="BWE10" s="501"/>
      <c r="BWF10" s="501"/>
      <c r="BWG10" s="501"/>
      <c r="BWH10" s="501"/>
      <c r="BWI10" s="501"/>
      <c r="BWJ10" s="501"/>
      <c r="BWK10" s="501"/>
      <c r="BWL10" s="501"/>
      <c r="BWM10" s="501"/>
      <c r="BWN10" s="501"/>
      <c r="BWO10" s="501"/>
      <c r="BWP10" s="501"/>
      <c r="BWQ10" s="501"/>
      <c r="BWR10" s="501"/>
      <c r="BWS10" s="501"/>
      <c r="BWT10" s="501"/>
      <c r="BWU10" s="501"/>
      <c r="BWV10" s="501"/>
      <c r="BWW10" s="501"/>
      <c r="BWX10" s="501"/>
      <c r="BWY10" s="501"/>
      <c r="BWZ10" s="501"/>
      <c r="BXA10" s="501"/>
      <c r="BXB10" s="501"/>
      <c r="BXC10" s="501"/>
      <c r="BXD10" s="501"/>
      <c r="BXE10" s="501"/>
      <c r="BXF10" s="501"/>
      <c r="BXG10" s="501"/>
      <c r="BXH10" s="501"/>
      <c r="BXI10" s="501"/>
      <c r="BXJ10" s="501"/>
      <c r="BXK10" s="501"/>
      <c r="BXL10" s="501"/>
      <c r="BXM10" s="501"/>
      <c r="BXN10" s="501"/>
      <c r="BXO10" s="501"/>
      <c r="BXP10" s="501"/>
      <c r="BXQ10" s="501"/>
      <c r="BXR10" s="501"/>
      <c r="BXS10" s="501"/>
      <c r="BXT10" s="501"/>
      <c r="BXU10" s="501"/>
      <c r="BXV10" s="501"/>
      <c r="BXW10" s="501"/>
      <c r="BXX10" s="501"/>
      <c r="BXY10" s="501"/>
      <c r="BXZ10" s="501"/>
      <c r="BYA10" s="501"/>
      <c r="BYB10" s="501"/>
      <c r="BYC10" s="501"/>
      <c r="BYD10" s="501"/>
      <c r="BYE10" s="501"/>
      <c r="BYF10" s="501"/>
      <c r="BYG10" s="501"/>
      <c r="BYH10" s="501"/>
      <c r="BYI10" s="501"/>
      <c r="BYJ10" s="501"/>
      <c r="BYK10" s="501"/>
      <c r="BYL10" s="501"/>
      <c r="BYM10" s="501"/>
      <c r="BYN10" s="501"/>
      <c r="BYO10" s="501"/>
      <c r="BYP10" s="501"/>
      <c r="BYQ10" s="501"/>
      <c r="BYR10" s="501"/>
      <c r="BYS10" s="501"/>
      <c r="BYT10" s="501"/>
      <c r="BYU10" s="501"/>
      <c r="BYV10" s="501"/>
      <c r="BYW10" s="501"/>
      <c r="BYX10" s="501"/>
      <c r="BYY10" s="501"/>
      <c r="BYZ10" s="501"/>
      <c r="BZA10" s="501"/>
      <c r="BZB10" s="501"/>
      <c r="BZC10" s="501"/>
      <c r="BZD10" s="501"/>
      <c r="BZE10" s="501"/>
      <c r="BZF10" s="501"/>
      <c r="BZG10" s="501"/>
      <c r="BZH10" s="501"/>
      <c r="BZI10" s="501"/>
      <c r="BZJ10" s="501"/>
      <c r="BZK10" s="501"/>
      <c r="BZL10" s="501"/>
      <c r="BZM10" s="501"/>
      <c r="BZN10" s="501"/>
      <c r="BZO10" s="501"/>
      <c r="BZP10" s="501"/>
      <c r="BZQ10" s="501"/>
      <c r="BZR10" s="501"/>
      <c r="BZS10" s="501"/>
      <c r="BZT10" s="501"/>
      <c r="BZU10" s="501"/>
      <c r="BZV10" s="501"/>
      <c r="BZW10" s="501"/>
      <c r="BZX10" s="501"/>
      <c r="BZY10" s="501"/>
      <c r="BZZ10" s="501"/>
      <c r="CAA10" s="501"/>
      <c r="CAB10" s="501"/>
      <c r="CAC10" s="501"/>
      <c r="CAD10" s="501"/>
      <c r="CAE10" s="501"/>
      <c r="CAF10" s="501"/>
      <c r="CAG10" s="501"/>
      <c r="CAH10" s="501"/>
      <c r="CAI10" s="501"/>
      <c r="CAJ10" s="501"/>
      <c r="CAK10" s="501"/>
      <c r="CAL10" s="501"/>
      <c r="CAM10" s="501"/>
      <c r="CAN10" s="501"/>
      <c r="CAO10" s="501"/>
      <c r="CAP10" s="501"/>
      <c r="CAQ10" s="501"/>
      <c r="CAR10" s="501"/>
      <c r="CAS10" s="501"/>
      <c r="CAT10" s="501"/>
      <c r="CAU10" s="501"/>
      <c r="CAV10" s="501"/>
      <c r="CAW10" s="501"/>
      <c r="CAX10" s="501"/>
      <c r="CAY10" s="501"/>
      <c r="CAZ10" s="501"/>
      <c r="CBA10" s="501"/>
      <c r="CBB10" s="501"/>
      <c r="CBC10" s="501"/>
      <c r="CBD10" s="501"/>
      <c r="CBE10" s="501"/>
      <c r="CBF10" s="501"/>
      <c r="CBG10" s="501"/>
      <c r="CBH10" s="501"/>
      <c r="CBI10" s="501"/>
      <c r="CBJ10" s="501"/>
      <c r="CBK10" s="501"/>
      <c r="CBL10" s="501"/>
      <c r="CBM10" s="501"/>
      <c r="CBN10" s="501"/>
      <c r="CBO10" s="501"/>
      <c r="CBP10" s="501"/>
      <c r="CBQ10" s="501"/>
      <c r="CBR10" s="501"/>
      <c r="CBS10" s="501"/>
      <c r="CBT10" s="501"/>
      <c r="CBU10" s="501"/>
      <c r="CBV10" s="501"/>
      <c r="CBW10" s="501"/>
      <c r="CBX10" s="501"/>
      <c r="CBY10" s="501"/>
      <c r="CBZ10" s="501"/>
      <c r="CCA10" s="501"/>
      <c r="CCB10" s="501"/>
      <c r="CCC10" s="501"/>
      <c r="CCD10" s="501"/>
      <c r="CCE10" s="501"/>
      <c r="CCF10" s="501"/>
      <c r="CCG10" s="501"/>
      <c r="CCH10" s="501"/>
      <c r="CCI10" s="501"/>
      <c r="CCJ10" s="501"/>
      <c r="CCK10" s="501"/>
      <c r="CCL10" s="501"/>
      <c r="CCM10" s="501"/>
      <c r="CCN10" s="501"/>
      <c r="CCO10" s="501"/>
      <c r="CCP10" s="501"/>
      <c r="CCQ10" s="501"/>
      <c r="CCR10" s="501"/>
      <c r="CCS10" s="501"/>
      <c r="CCT10" s="501"/>
      <c r="CCU10" s="501"/>
      <c r="CCV10" s="501"/>
      <c r="CCW10" s="501"/>
      <c r="CCX10" s="501"/>
      <c r="CCY10" s="501"/>
      <c r="CCZ10" s="501"/>
      <c r="CDA10" s="501"/>
      <c r="CDB10" s="501"/>
      <c r="CDC10" s="501"/>
      <c r="CDD10" s="501"/>
      <c r="CDE10" s="501"/>
      <c r="CDF10" s="501"/>
      <c r="CDG10" s="501"/>
      <c r="CDH10" s="501"/>
      <c r="CDI10" s="501"/>
      <c r="CDJ10" s="501"/>
      <c r="CDK10" s="501"/>
      <c r="CDL10" s="501"/>
      <c r="CDM10" s="501"/>
      <c r="CDN10" s="501"/>
      <c r="CDO10" s="501"/>
      <c r="CDP10" s="501"/>
      <c r="CDQ10" s="501"/>
      <c r="CDR10" s="501"/>
      <c r="CDS10" s="501"/>
      <c r="CDT10" s="501"/>
      <c r="CDU10" s="501"/>
      <c r="CDV10" s="501"/>
      <c r="CDW10" s="501"/>
      <c r="CDX10" s="501"/>
      <c r="CDY10" s="501"/>
      <c r="CDZ10" s="501"/>
      <c r="CEA10" s="501"/>
      <c r="CEB10" s="501"/>
      <c r="CEC10" s="501"/>
      <c r="CED10" s="501"/>
      <c r="CEE10" s="501"/>
      <c r="CEF10" s="501"/>
      <c r="CEG10" s="501"/>
      <c r="CEH10" s="501"/>
      <c r="CEI10" s="501"/>
      <c r="CEJ10" s="501"/>
      <c r="CEK10" s="501"/>
      <c r="CEL10" s="501"/>
      <c r="CEM10" s="501"/>
      <c r="CEN10" s="501"/>
      <c r="CEO10" s="501"/>
      <c r="CEP10" s="501"/>
      <c r="CEQ10" s="501"/>
      <c r="CER10" s="501"/>
      <c r="CES10" s="501"/>
      <c r="CET10" s="501"/>
      <c r="CEU10" s="501"/>
      <c r="CEV10" s="501"/>
      <c r="CEW10" s="501"/>
      <c r="CEX10" s="501"/>
      <c r="CEY10" s="501"/>
      <c r="CEZ10" s="501"/>
      <c r="CFA10" s="501"/>
      <c r="CFB10" s="501"/>
      <c r="CFC10" s="501"/>
      <c r="CFD10" s="501"/>
      <c r="CFE10" s="501"/>
      <c r="CFF10" s="501"/>
      <c r="CFG10" s="501"/>
      <c r="CFH10" s="501"/>
      <c r="CFI10" s="501"/>
      <c r="CFJ10" s="501"/>
      <c r="CFK10" s="501"/>
      <c r="CFL10" s="501"/>
      <c r="CFM10" s="501"/>
      <c r="CFN10" s="501"/>
      <c r="CFO10" s="501"/>
      <c r="CFP10" s="501"/>
      <c r="CFQ10" s="501"/>
      <c r="CFR10" s="501"/>
      <c r="CFS10" s="501"/>
      <c r="CFT10" s="501"/>
      <c r="CFU10" s="501"/>
      <c r="CFV10" s="501"/>
      <c r="CFW10" s="501"/>
      <c r="CFX10" s="501"/>
      <c r="CFY10" s="501"/>
      <c r="CFZ10" s="501"/>
      <c r="CGA10" s="501"/>
      <c r="CGB10" s="501"/>
      <c r="CGC10" s="501"/>
      <c r="CGD10" s="501"/>
      <c r="CGE10" s="501"/>
      <c r="CGF10" s="501"/>
      <c r="CGG10" s="501"/>
      <c r="CGH10" s="501"/>
      <c r="CGI10" s="501"/>
      <c r="CGJ10" s="501"/>
      <c r="CGK10" s="501"/>
      <c r="CGL10" s="501"/>
      <c r="CGM10" s="501"/>
      <c r="CGN10" s="501"/>
      <c r="CGO10" s="501"/>
      <c r="CGP10" s="501"/>
      <c r="CGQ10" s="501"/>
      <c r="CGR10" s="501"/>
      <c r="CGS10" s="501"/>
      <c r="CGT10" s="501"/>
      <c r="CGU10" s="501"/>
      <c r="CGV10" s="501"/>
      <c r="CGW10" s="501"/>
      <c r="CGX10" s="501"/>
      <c r="CGY10" s="501"/>
      <c r="CGZ10" s="501"/>
      <c r="CHA10" s="501"/>
      <c r="CHB10" s="501"/>
      <c r="CHC10" s="501"/>
      <c r="CHD10" s="501"/>
      <c r="CHE10" s="501"/>
      <c r="CHF10" s="501"/>
      <c r="CHG10" s="501"/>
      <c r="CHH10" s="501"/>
      <c r="CHI10" s="501"/>
      <c r="CHJ10" s="501"/>
      <c r="CHK10" s="501"/>
      <c r="CHL10" s="501"/>
      <c r="CHM10" s="501"/>
      <c r="CHN10" s="501"/>
      <c r="CHO10" s="501"/>
      <c r="CHP10" s="501"/>
      <c r="CHQ10" s="501"/>
      <c r="CHR10" s="501"/>
      <c r="CHS10" s="501"/>
      <c r="CHT10" s="501"/>
      <c r="CHU10" s="501"/>
      <c r="CHV10" s="501"/>
      <c r="CHW10" s="501"/>
      <c r="CHX10" s="501"/>
      <c r="CHY10" s="501"/>
      <c r="CHZ10" s="501"/>
      <c r="CIA10" s="501"/>
      <c r="CIB10" s="501"/>
      <c r="CIC10" s="501"/>
      <c r="CID10" s="501"/>
      <c r="CIE10" s="501"/>
      <c r="CIF10" s="501"/>
      <c r="CIG10" s="501"/>
      <c r="CIH10" s="501"/>
      <c r="CII10" s="501"/>
      <c r="CIJ10" s="501"/>
      <c r="CIK10" s="501"/>
      <c r="CIL10" s="501"/>
      <c r="CIM10" s="501"/>
      <c r="CIN10" s="501"/>
      <c r="CIO10" s="501"/>
      <c r="CIP10" s="501"/>
      <c r="CIQ10" s="501"/>
      <c r="CIR10" s="501"/>
      <c r="CIS10" s="501"/>
      <c r="CIT10" s="501"/>
      <c r="CIU10" s="501"/>
      <c r="CIV10" s="501"/>
      <c r="CIW10" s="501"/>
      <c r="CIX10" s="501"/>
      <c r="CIY10" s="501"/>
      <c r="CIZ10" s="501"/>
      <c r="CJA10" s="501"/>
      <c r="CJB10" s="501"/>
      <c r="CJC10" s="501"/>
      <c r="CJD10" s="501"/>
      <c r="CJE10" s="501"/>
      <c r="CJF10" s="501"/>
      <c r="CJG10" s="501"/>
      <c r="CJH10" s="501"/>
      <c r="CJI10" s="501"/>
      <c r="CJJ10" s="501"/>
      <c r="CJK10" s="501"/>
      <c r="CJL10" s="501"/>
      <c r="CJM10" s="501"/>
      <c r="CJN10" s="501"/>
      <c r="CJO10" s="501"/>
      <c r="CJP10" s="501"/>
      <c r="CJQ10" s="501"/>
      <c r="CJR10" s="501"/>
      <c r="CJS10" s="501"/>
      <c r="CJT10" s="501"/>
      <c r="CJU10" s="501"/>
      <c r="CJV10" s="501"/>
      <c r="CJW10" s="501"/>
      <c r="CJX10" s="501"/>
      <c r="CJY10" s="501"/>
      <c r="CJZ10" s="501"/>
      <c r="CKA10" s="501"/>
      <c r="CKB10" s="501"/>
      <c r="CKC10" s="501"/>
      <c r="CKD10" s="501"/>
      <c r="CKE10" s="501"/>
      <c r="CKF10" s="501"/>
      <c r="CKG10" s="501"/>
      <c r="CKH10" s="501"/>
      <c r="CKI10" s="501"/>
      <c r="CKJ10" s="501"/>
      <c r="CKK10" s="501"/>
      <c r="CKL10" s="501"/>
      <c r="CKM10" s="501"/>
      <c r="CKN10" s="501"/>
      <c r="CKO10" s="501"/>
      <c r="CKP10" s="501"/>
      <c r="CKQ10" s="501"/>
      <c r="CKR10" s="501"/>
      <c r="CKS10" s="501"/>
      <c r="CKT10" s="501"/>
      <c r="CKU10" s="501"/>
      <c r="CKV10" s="501"/>
      <c r="CKW10" s="501"/>
      <c r="CKX10" s="501"/>
      <c r="CKY10" s="501"/>
      <c r="CKZ10" s="501"/>
      <c r="CLA10" s="501"/>
      <c r="CLB10" s="501"/>
      <c r="CLC10" s="501"/>
      <c r="CLD10" s="501"/>
      <c r="CLE10" s="501"/>
      <c r="CLF10" s="501"/>
      <c r="CLG10" s="501"/>
      <c r="CLH10" s="501"/>
      <c r="CLI10" s="501"/>
      <c r="CLJ10" s="501"/>
      <c r="CLK10" s="501"/>
      <c r="CLL10" s="501"/>
      <c r="CLM10" s="501"/>
      <c r="CLN10" s="501"/>
      <c r="CLO10" s="501"/>
      <c r="CLP10" s="501"/>
      <c r="CLQ10" s="501"/>
      <c r="CLR10" s="501"/>
      <c r="CLS10" s="501"/>
      <c r="CLT10" s="501"/>
      <c r="CLU10" s="501"/>
      <c r="CLV10" s="501"/>
      <c r="CLW10" s="501"/>
      <c r="CLX10" s="501"/>
      <c r="CLY10" s="501"/>
      <c r="CLZ10" s="501"/>
      <c r="CMA10" s="501"/>
      <c r="CMB10" s="501"/>
      <c r="CMC10" s="501"/>
      <c r="CMD10" s="501"/>
      <c r="CME10" s="501"/>
      <c r="CMF10" s="501"/>
      <c r="CMG10" s="501"/>
      <c r="CMH10" s="501"/>
      <c r="CMI10" s="501"/>
      <c r="CMJ10" s="501"/>
      <c r="CMK10" s="501"/>
      <c r="CML10" s="501"/>
      <c r="CMM10" s="501"/>
      <c r="CMN10" s="501"/>
      <c r="CMO10" s="501"/>
      <c r="CMP10" s="501"/>
      <c r="CMQ10" s="501"/>
      <c r="CMR10" s="501"/>
      <c r="CMS10" s="501"/>
      <c r="CMT10" s="501"/>
      <c r="CMU10" s="501"/>
      <c r="CMV10" s="501"/>
      <c r="CMW10" s="501"/>
      <c r="CMX10" s="501"/>
      <c r="CMY10" s="501"/>
      <c r="CMZ10" s="501"/>
      <c r="CNA10" s="501"/>
      <c r="CNB10" s="501"/>
      <c r="CNC10" s="501"/>
      <c r="CND10" s="501"/>
      <c r="CNE10" s="501"/>
      <c r="CNF10" s="501"/>
      <c r="CNG10" s="501"/>
      <c r="CNH10" s="501"/>
      <c r="CNI10" s="501"/>
      <c r="CNJ10" s="501"/>
      <c r="CNK10" s="501"/>
      <c r="CNL10" s="501"/>
      <c r="CNM10" s="501"/>
      <c r="CNN10" s="501"/>
      <c r="CNO10" s="501"/>
      <c r="CNP10" s="501"/>
      <c r="CNQ10" s="501"/>
      <c r="CNR10" s="501"/>
      <c r="CNS10" s="501"/>
      <c r="CNT10" s="501"/>
      <c r="CNU10" s="501"/>
      <c r="CNV10" s="501"/>
      <c r="CNW10" s="501"/>
      <c r="CNX10" s="501"/>
      <c r="CNY10" s="501"/>
      <c r="CNZ10" s="501"/>
      <c r="COA10" s="501"/>
      <c r="COB10" s="501"/>
      <c r="COC10" s="501"/>
      <c r="COD10" s="501"/>
      <c r="COE10" s="501"/>
      <c r="COF10" s="501"/>
      <c r="COG10" s="501"/>
      <c r="COH10" s="501"/>
      <c r="COI10" s="501"/>
      <c r="COJ10" s="501"/>
      <c r="COK10" s="501"/>
      <c r="COL10" s="501"/>
      <c r="COM10" s="501"/>
      <c r="CON10" s="501"/>
      <c r="COO10" s="501"/>
      <c r="COP10" s="501"/>
      <c r="COQ10" s="501"/>
      <c r="COR10" s="501"/>
      <c r="COS10" s="501"/>
      <c r="COT10" s="501"/>
      <c r="COU10" s="501"/>
      <c r="COV10" s="501"/>
      <c r="COW10" s="501"/>
      <c r="COX10" s="501"/>
      <c r="COY10" s="501"/>
      <c r="COZ10" s="501"/>
      <c r="CPA10" s="501"/>
      <c r="CPB10" s="501"/>
      <c r="CPC10" s="501"/>
      <c r="CPD10" s="501"/>
      <c r="CPE10" s="501"/>
      <c r="CPF10" s="501"/>
      <c r="CPG10" s="501"/>
      <c r="CPH10" s="501"/>
      <c r="CPI10" s="501"/>
      <c r="CPJ10" s="501"/>
      <c r="CPK10" s="501"/>
      <c r="CPL10" s="501"/>
      <c r="CPM10" s="501"/>
      <c r="CPN10" s="501"/>
      <c r="CPO10" s="501"/>
      <c r="CPP10" s="501"/>
      <c r="CPQ10" s="501"/>
      <c r="CPR10" s="501"/>
      <c r="CPS10" s="501"/>
      <c r="CPT10" s="501"/>
      <c r="CPU10" s="501"/>
      <c r="CPV10" s="501"/>
      <c r="CPW10" s="501"/>
      <c r="CPX10" s="501"/>
      <c r="CPY10" s="501"/>
      <c r="CPZ10" s="501"/>
      <c r="CQA10" s="501"/>
      <c r="CQB10" s="501"/>
      <c r="CQC10" s="501"/>
      <c r="CQD10" s="501"/>
      <c r="CQE10" s="501"/>
      <c r="CQF10" s="501"/>
      <c r="CQG10" s="501"/>
      <c r="CQH10" s="501"/>
      <c r="CQI10" s="501"/>
      <c r="CQJ10" s="501"/>
      <c r="CQK10" s="501"/>
      <c r="CQL10" s="501"/>
      <c r="CQM10" s="501"/>
      <c r="CQN10" s="501"/>
      <c r="CQO10" s="501"/>
      <c r="CQP10" s="501"/>
      <c r="CQQ10" s="501"/>
      <c r="CQR10" s="501"/>
      <c r="CQS10" s="501"/>
      <c r="CQT10" s="501"/>
      <c r="CQU10" s="501"/>
      <c r="CQV10" s="501"/>
      <c r="CQW10" s="501"/>
      <c r="CQX10" s="501"/>
      <c r="CQY10" s="501"/>
      <c r="CQZ10" s="501"/>
      <c r="CRA10" s="501"/>
      <c r="CRB10" s="501"/>
      <c r="CRC10" s="501"/>
      <c r="CRD10" s="501"/>
      <c r="CRE10" s="501"/>
      <c r="CRF10" s="501"/>
      <c r="CRG10" s="501"/>
      <c r="CRH10" s="501"/>
      <c r="CRI10" s="501"/>
      <c r="CRJ10" s="501"/>
      <c r="CRK10" s="501"/>
      <c r="CRL10" s="501"/>
      <c r="CRM10" s="501"/>
      <c r="CRN10" s="501"/>
      <c r="CRO10" s="501"/>
      <c r="CRP10" s="501"/>
      <c r="CRQ10" s="501"/>
      <c r="CRR10" s="501"/>
      <c r="CRS10" s="501"/>
      <c r="CRT10" s="501"/>
      <c r="CRU10" s="501"/>
      <c r="CRV10" s="501"/>
      <c r="CRW10" s="501"/>
      <c r="CRX10" s="501"/>
      <c r="CRY10" s="501"/>
      <c r="CRZ10" s="501"/>
      <c r="CSA10" s="501"/>
      <c r="CSB10" s="501"/>
      <c r="CSC10" s="501"/>
      <c r="CSD10" s="501"/>
      <c r="CSE10" s="501"/>
      <c r="CSF10" s="501"/>
      <c r="CSG10" s="501"/>
      <c r="CSH10" s="501"/>
      <c r="CSI10" s="501"/>
      <c r="CSJ10" s="501"/>
      <c r="CSK10" s="501"/>
      <c r="CSL10" s="501"/>
      <c r="CSM10" s="501"/>
      <c r="CSN10" s="501"/>
      <c r="CSO10" s="501"/>
      <c r="CSP10" s="501"/>
      <c r="CSQ10" s="501"/>
      <c r="CSR10" s="501"/>
      <c r="CSS10" s="501"/>
      <c r="CST10" s="501"/>
      <c r="CSU10" s="501"/>
      <c r="CSV10" s="501"/>
      <c r="CSW10" s="501"/>
      <c r="CSX10" s="501"/>
      <c r="CSY10" s="501"/>
      <c r="CSZ10" s="501"/>
      <c r="CTA10" s="501"/>
      <c r="CTB10" s="501"/>
      <c r="CTC10" s="501"/>
      <c r="CTD10" s="501"/>
      <c r="CTE10" s="501"/>
      <c r="CTF10" s="501"/>
      <c r="CTG10" s="501"/>
      <c r="CTH10" s="501"/>
      <c r="CTI10" s="501"/>
      <c r="CTJ10" s="501"/>
      <c r="CTK10" s="501"/>
      <c r="CTL10" s="501"/>
      <c r="CTM10" s="501"/>
      <c r="CTN10" s="501"/>
      <c r="CTO10" s="501"/>
      <c r="CTP10" s="501"/>
      <c r="CTQ10" s="501"/>
      <c r="CTR10" s="501"/>
      <c r="CTS10" s="501"/>
      <c r="CTT10" s="501"/>
      <c r="CTU10" s="501"/>
      <c r="CTV10" s="501"/>
      <c r="CTW10" s="501"/>
      <c r="CTX10" s="501"/>
      <c r="CTY10" s="501"/>
      <c r="CTZ10" s="501"/>
      <c r="CUA10" s="501"/>
      <c r="CUB10" s="501"/>
      <c r="CUC10" s="501"/>
      <c r="CUD10" s="501"/>
      <c r="CUE10" s="501"/>
      <c r="CUF10" s="501"/>
      <c r="CUG10" s="501"/>
      <c r="CUH10" s="501"/>
      <c r="CUI10" s="501"/>
      <c r="CUJ10" s="501"/>
      <c r="CUK10" s="501"/>
      <c r="CUL10" s="501"/>
      <c r="CUM10" s="501"/>
      <c r="CUN10" s="501"/>
      <c r="CUO10" s="501"/>
      <c r="CUP10" s="501"/>
      <c r="CUQ10" s="501"/>
      <c r="CUR10" s="501"/>
      <c r="CUS10" s="501"/>
      <c r="CUT10" s="501"/>
      <c r="CUU10" s="501"/>
      <c r="CUV10" s="501"/>
      <c r="CUW10" s="501"/>
      <c r="CUX10" s="501"/>
      <c r="CUY10" s="501"/>
      <c r="CUZ10" s="501"/>
      <c r="CVA10" s="501"/>
      <c r="CVB10" s="501"/>
      <c r="CVC10" s="501"/>
      <c r="CVD10" s="501"/>
      <c r="CVE10" s="501"/>
      <c r="CVF10" s="501"/>
      <c r="CVG10" s="501"/>
      <c r="CVH10" s="501"/>
      <c r="CVI10" s="501"/>
      <c r="CVJ10" s="501"/>
      <c r="CVK10" s="501"/>
      <c r="CVL10" s="501"/>
      <c r="CVM10" s="501"/>
      <c r="CVN10" s="501"/>
      <c r="CVO10" s="501"/>
      <c r="CVP10" s="501"/>
      <c r="CVQ10" s="501"/>
      <c r="CVR10" s="501"/>
      <c r="CVS10" s="501"/>
      <c r="CVT10" s="501"/>
      <c r="CVU10" s="501"/>
      <c r="CVV10" s="501"/>
      <c r="CVW10" s="501"/>
      <c r="CVX10" s="501"/>
      <c r="CVY10" s="501"/>
      <c r="CVZ10" s="501"/>
      <c r="CWA10" s="501"/>
      <c r="CWB10" s="501"/>
      <c r="CWC10" s="501"/>
      <c r="CWD10" s="501"/>
      <c r="CWE10" s="501"/>
      <c r="CWF10" s="501"/>
      <c r="CWG10" s="501"/>
      <c r="CWH10" s="501"/>
      <c r="CWI10" s="501"/>
      <c r="CWJ10" s="501"/>
      <c r="CWK10" s="501"/>
      <c r="CWL10" s="501"/>
      <c r="CWM10" s="501"/>
      <c r="CWN10" s="501"/>
      <c r="CWO10" s="501"/>
      <c r="CWP10" s="501"/>
      <c r="CWQ10" s="501"/>
      <c r="CWR10" s="501"/>
      <c r="CWS10" s="501"/>
      <c r="CWT10" s="501"/>
      <c r="CWU10" s="501"/>
      <c r="CWV10" s="501"/>
      <c r="CWW10" s="501"/>
      <c r="CWX10" s="501"/>
      <c r="CWY10" s="501"/>
      <c r="CWZ10" s="501"/>
      <c r="CXA10" s="501"/>
      <c r="CXB10" s="501"/>
      <c r="CXC10" s="501"/>
      <c r="CXD10" s="501"/>
      <c r="CXE10" s="501"/>
      <c r="CXF10" s="501"/>
      <c r="CXG10" s="501"/>
      <c r="CXH10" s="501"/>
      <c r="CXI10" s="501"/>
      <c r="CXJ10" s="501"/>
      <c r="CXK10" s="501"/>
      <c r="CXL10" s="501"/>
      <c r="CXM10" s="501"/>
      <c r="CXN10" s="501"/>
      <c r="CXO10" s="501"/>
      <c r="CXP10" s="501"/>
      <c r="CXQ10" s="501"/>
      <c r="CXR10" s="501"/>
      <c r="CXS10" s="501"/>
      <c r="CXT10" s="501"/>
      <c r="CXU10" s="501"/>
      <c r="CXV10" s="501"/>
      <c r="CXW10" s="501"/>
      <c r="CXX10" s="501"/>
      <c r="CXY10" s="501"/>
      <c r="CXZ10" s="501"/>
      <c r="CYA10" s="501"/>
      <c r="CYB10" s="501"/>
      <c r="CYC10" s="501"/>
      <c r="CYD10" s="501"/>
      <c r="CYE10" s="501"/>
      <c r="CYF10" s="501"/>
      <c r="CYG10" s="501"/>
      <c r="CYH10" s="501"/>
      <c r="CYI10" s="501"/>
      <c r="CYJ10" s="501"/>
      <c r="CYK10" s="501"/>
      <c r="CYL10" s="501"/>
      <c r="CYM10" s="501"/>
      <c r="CYN10" s="501"/>
      <c r="CYO10" s="501"/>
      <c r="CYP10" s="501"/>
      <c r="CYQ10" s="501"/>
      <c r="CYR10" s="501"/>
      <c r="CYS10" s="501"/>
      <c r="CYT10" s="501"/>
      <c r="CYU10" s="501"/>
      <c r="CYV10" s="501"/>
      <c r="CYW10" s="501"/>
      <c r="CYX10" s="501"/>
      <c r="CYY10" s="501"/>
      <c r="CYZ10" s="501"/>
      <c r="CZA10" s="501"/>
      <c r="CZB10" s="501"/>
      <c r="CZC10" s="501"/>
      <c r="CZD10" s="501"/>
      <c r="CZE10" s="501"/>
      <c r="CZF10" s="501"/>
      <c r="CZG10" s="501"/>
      <c r="CZH10" s="501"/>
      <c r="CZI10" s="501"/>
      <c r="CZJ10" s="501"/>
      <c r="CZK10" s="501"/>
      <c r="CZL10" s="501"/>
      <c r="CZM10" s="501"/>
      <c r="CZN10" s="501"/>
      <c r="CZO10" s="501"/>
      <c r="CZP10" s="501"/>
      <c r="CZQ10" s="501"/>
      <c r="CZR10" s="501"/>
      <c r="CZS10" s="501"/>
      <c r="CZT10" s="501"/>
      <c r="CZU10" s="501"/>
      <c r="CZV10" s="501"/>
      <c r="CZW10" s="501"/>
      <c r="CZX10" s="501"/>
      <c r="CZY10" s="501"/>
      <c r="CZZ10" s="501"/>
      <c r="DAA10" s="501"/>
      <c r="DAB10" s="501"/>
      <c r="DAC10" s="501"/>
      <c r="DAD10" s="501"/>
      <c r="DAE10" s="501"/>
      <c r="DAF10" s="501"/>
      <c r="DAG10" s="501"/>
      <c r="DAH10" s="501"/>
      <c r="DAI10" s="501"/>
      <c r="DAJ10" s="501"/>
      <c r="DAK10" s="501"/>
      <c r="DAL10" s="501"/>
      <c r="DAM10" s="501"/>
      <c r="DAN10" s="501"/>
      <c r="DAO10" s="501"/>
      <c r="DAP10" s="501"/>
      <c r="DAQ10" s="501"/>
      <c r="DAR10" s="501"/>
      <c r="DAS10" s="501"/>
      <c r="DAT10" s="501"/>
      <c r="DAU10" s="501"/>
      <c r="DAV10" s="501"/>
      <c r="DAW10" s="501"/>
      <c r="DAX10" s="501"/>
      <c r="DAY10" s="501"/>
      <c r="DAZ10" s="501"/>
      <c r="DBA10" s="501"/>
      <c r="DBB10" s="501"/>
      <c r="DBC10" s="501"/>
      <c r="DBD10" s="501"/>
      <c r="DBE10" s="501"/>
      <c r="DBF10" s="501"/>
      <c r="DBG10" s="501"/>
      <c r="DBH10" s="501"/>
      <c r="DBI10" s="501"/>
      <c r="DBJ10" s="501"/>
      <c r="DBK10" s="501"/>
      <c r="DBL10" s="501"/>
      <c r="DBM10" s="501"/>
      <c r="DBN10" s="501"/>
      <c r="DBO10" s="501"/>
      <c r="DBP10" s="501"/>
      <c r="DBQ10" s="501"/>
      <c r="DBR10" s="501"/>
      <c r="DBS10" s="501"/>
      <c r="DBT10" s="501"/>
      <c r="DBU10" s="501"/>
      <c r="DBV10" s="501"/>
      <c r="DBW10" s="501"/>
      <c r="DBX10" s="501"/>
      <c r="DBY10" s="501"/>
      <c r="DBZ10" s="501"/>
      <c r="DCA10" s="501"/>
      <c r="DCB10" s="501"/>
      <c r="DCC10" s="501"/>
      <c r="DCD10" s="501"/>
      <c r="DCE10" s="501"/>
      <c r="DCF10" s="501"/>
      <c r="DCG10" s="501"/>
      <c r="DCH10" s="501"/>
      <c r="DCI10" s="501"/>
      <c r="DCJ10" s="501"/>
      <c r="DCK10" s="501"/>
      <c r="DCL10" s="501"/>
      <c r="DCM10" s="501"/>
      <c r="DCN10" s="501"/>
      <c r="DCO10" s="501"/>
      <c r="DCP10" s="501"/>
      <c r="DCQ10" s="501"/>
      <c r="DCR10" s="501"/>
      <c r="DCS10" s="501"/>
      <c r="DCT10" s="501"/>
      <c r="DCU10" s="501"/>
      <c r="DCV10" s="501"/>
      <c r="DCW10" s="501"/>
      <c r="DCX10" s="501"/>
      <c r="DCY10" s="501"/>
      <c r="DCZ10" s="501"/>
      <c r="DDA10" s="501"/>
      <c r="DDB10" s="501"/>
      <c r="DDC10" s="501"/>
      <c r="DDD10" s="501"/>
      <c r="DDE10" s="501"/>
      <c r="DDF10" s="501"/>
      <c r="DDG10" s="501"/>
      <c r="DDH10" s="501"/>
      <c r="DDI10" s="501"/>
      <c r="DDJ10" s="501"/>
      <c r="DDK10" s="501"/>
      <c r="DDL10" s="501"/>
      <c r="DDM10" s="501"/>
      <c r="DDN10" s="501"/>
      <c r="DDO10" s="501"/>
      <c r="DDP10" s="501"/>
      <c r="DDQ10" s="501"/>
      <c r="DDR10" s="501"/>
      <c r="DDS10" s="501"/>
      <c r="DDT10" s="501"/>
      <c r="DDU10" s="501"/>
      <c r="DDV10" s="501"/>
      <c r="DDW10" s="501"/>
      <c r="DDX10" s="501"/>
      <c r="DDY10" s="501"/>
      <c r="DDZ10" s="501"/>
      <c r="DEA10" s="501"/>
      <c r="DEB10" s="501"/>
      <c r="DEC10" s="501"/>
      <c r="DED10" s="501"/>
      <c r="DEE10" s="501"/>
      <c r="DEF10" s="501"/>
      <c r="DEG10" s="501"/>
      <c r="DEH10" s="501"/>
      <c r="DEI10" s="501"/>
      <c r="DEJ10" s="501"/>
      <c r="DEK10" s="501"/>
      <c r="DEL10" s="501"/>
      <c r="DEM10" s="501"/>
      <c r="DEN10" s="501"/>
      <c r="DEO10" s="501"/>
      <c r="DEP10" s="501"/>
      <c r="DEQ10" s="501"/>
      <c r="DER10" s="501"/>
      <c r="DES10" s="501"/>
      <c r="DET10" s="501"/>
      <c r="DEU10" s="501"/>
      <c r="DEV10" s="501"/>
      <c r="DEW10" s="501"/>
      <c r="DEX10" s="501"/>
      <c r="DEY10" s="501"/>
      <c r="DEZ10" s="501"/>
      <c r="DFA10" s="501"/>
      <c r="DFB10" s="501"/>
      <c r="DFC10" s="501"/>
      <c r="DFD10" s="501"/>
      <c r="DFE10" s="501"/>
      <c r="DFF10" s="501"/>
      <c r="DFG10" s="501"/>
      <c r="DFH10" s="501"/>
      <c r="DFI10" s="501"/>
      <c r="DFJ10" s="501"/>
      <c r="DFK10" s="501"/>
      <c r="DFL10" s="501"/>
      <c r="DFM10" s="501"/>
      <c r="DFN10" s="501"/>
      <c r="DFO10" s="501"/>
      <c r="DFP10" s="501"/>
      <c r="DFQ10" s="501"/>
      <c r="DFR10" s="501"/>
      <c r="DFS10" s="501"/>
      <c r="DFT10" s="501"/>
      <c r="DFU10" s="501"/>
      <c r="DFV10" s="501"/>
      <c r="DFW10" s="501"/>
      <c r="DFX10" s="501"/>
      <c r="DFY10" s="501"/>
      <c r="DFZ10" s="501"/>
      <c r="DGA10" s="501"/>
      <c r="DGB10" s="501"/>
      <c r="DGC10" s="501"/>
      <c r="DGD10" s="501"/>
      <c r="DGE10" s="501"/>
      <c r="DGF10" s="501"/>
      <c r="DGG10" s="501"/>
      <c r="DGH10" s="501"/>
      <c r="DGI10" s="501"/>
      <c r="DGJ10" s="501"/>
      <c r="DGK10" s="501"/>
      <c r="DGL10" s="501"/>
      <c r="DGM10" s="501"/>
      <c r="DGN10" s="501"/>
      <c r="DGO10" s="501"/>
      <c r="DGP10" s="501"/>
      <c r="DGQ10" s="501"/>
      <c r="DGR10" s="501"/>
      <c r="DGS10" s="501"/>
      <c r="DGT10" s="501"/>
      <c r="DGU10" s="501"/>
      <c r="DGV10" s="501"/>
      <c r="DGW10" s="501"/>
      <c r="DGX10" s="501"/>
      <c r="DGY10" s="501"/>
      <c r="DGZ10" s="501"/>
      <c r="DHA10" s="501"/>
      <c r="DHB10" s="501"/>
      <c r="DHC10" s="501"/>
      <c r="DHD10" s="501"/>
      <c r="DHE10" s="501"/>
      <c r="DHF10" s="501"/>
      <c r="DHG10" s="501"/>
      <c r="DHH10" s="501"/>
      <c r="DHI10" s="501"/>
      <c r="DHJ10" s="501"/>
      <c r="DHK10" s="501"/>
      <c r="DHL10" s="501"/>
      <c r="DHM10" s="501"/>
      <c r="DHN10" s="501"/>
      <c r="DHO10" s="501"/>
      <c r="DHP10" s="501"/>
      <c r="DHQ10" s="501"/>
      <c r="DHR10" s="501"/>
      <c r="DHS10" s="501"/>
      <c r="DHT10" s="501"/>
      <c r="DHU10" s="501"/>
      <c r="DHV10" s="501"/>
      <c r="DHW10" s="501"/>
      <c r="DHX10" s="501"/>
      <c r="DHY10" s="501"/>
      <c r="DHZ10" s="501"/>
      <c r="DIA10" s="501"/>
      <c r="DIB10" s="501"/>
      <c r="DIC10" s="501"/>
      <c r="DID10" s="501"/>
      <c r="DIE10" s="501"/>
      <c r="DIF10" s="501"/>
      <c r="DIG10" s="501"/>
      <c r="DIH10" s="501"/>
      <c r="DII10" s="501"/>
      <c r="DIJ10" s="501"/>
      <c r="DIK10" s="501"/>
      <c r="DIL10" s="501"/>
      <c r="DIM10" s="501"/>
      <c r="DIN10" s="501"/>
      <c r="DIO10" s="501"/>
      <c r="DIP10" s="501"/>
      <c r="DIQ10" s="501"/>
      <c r="DIR10" s="501"/>
      <c r="DIS10" s="501"/>
      <c r="DIT10" s="501"/>
      <c r="DIU10" s="501"/>
      <c r="DIV10" s="501"/>
      <c r="DIW10" s="501"/>
      <c r="DIX10" s="501"/>
      <c r="DIY10" s="501"/>
      <c r="DIZ10" s="501"/>
      <c r="DJA10" s="501"/>
      <c r="DJB10" s="501"/>
      <c r="DJC10" s="501"/>
      <c r="DJD10" s="501"/>
      <c r="DJE10" s="501"/>
      <c r="DJF10" s="501"/>
      <c r="DJG10" s="501"/>
      <c r="DJH10" s="501"/>
      <c r="DJI10" s="501"/>
      <c r="DJJ10" s="501"/>
      <c r="DJK10" s="501"/>
      <c r="DJL10" s="501"/>
      <c r="DJM10" s="501"/>
      <c r="DJN10" s="501"/>
      <c r="DJO10" s="501"/>
      <c r="DJP10" s="501"/>
      <c r="DJQ10" s="501"/>
      <c r="DJR10" s="501"/>
      <c r="DJS10" s="501"/>
      <c r="DJT10" s="501"/>
      <c r="DJU10" s="501"/>
      <c r="DJV10" s="501"/>
      <c r="DJW10" s="501"/>
      <c r="DJX10" s="501"/>
      <c r="DJY10" s="501"/>
      <c r="DJZ10" s="501"/>
      <c r="DKA10" s="501"/>
      <c r="DKB10" s="501"/>
      <c r="DKC10" s="501"/>
      <c r="DKD10" s="501"/>
      <c r="DKE10" s="501"/>
      <c r="DKF10" s="501"/>
      <c r="DKG10" s="501"/>
      <c r="DKH10" s="501"/>
      <c r="DKI10" s="501"/>
      <c r="DKJ10" s="501"/>
      <c r="DKK10" s="501"/>
      <c r="DKL10" s="501"/>
      <c r="DKM10" s="501"/>
      <c r="DKN10" s="501"/>
      <c r="DKO10" s="501"/>
      <c r="DKP10" s="501"/>
      <c r="DKQ10" s="501"/>
      <c r="DKR10" s="501"/>
      <c r="DKS10" s="501"/>
      <c r="DKT10" s="501"/>
      <c r="DKU10" s="501"/>
      <c r="DKV10" s="501"/>
      <c r="DKW10" s="501"/>
      <c r="DKX10" s="501"/>
      <c r="DKY10" s="501"/>
      <c r="DKZ10" s="501"/>
      <c r="DLA10" s="501"/>
      <c r="DLB10" s="501"/>
      <c r="DLC10" s="501"/>
      <c r="DLD10" s="501"/>
      <c r="DLE10" s="501"/>
      <c r="DLF10" s="501"/>
      <c r="DLG10" s="501"/>
      <c r="DLH10" s="501"/>
      <c r="DLI10" s="501"/>
      <c r="DLJ10" s="501"/>
      <c r="DLK10" s="501"/>
      <c r="DLL10" s="501"/>
      <c r="DLM10" s="501"/>
      <c r="DLN10" s="501"/>
      <c r="DLO10" s="501"/>
      <c r="DLP10" s="501"/>
      <c r="DLQ10" s="501"/>
      <c r="DLR10" s="501"/>
      <c r="DLS10" s="501"/>
      <c r="DLT10" s="501"/>
      <c r="DLU10" s="501"/>
      <c r="DLV10" s="501"/>
      <c r="DLW10" s="501"/>
      <c r="DLX10" s="501"/>
      <c r="DLY10" s="501"/>
      <c r="DLZ10" s="501"/>
      <c r="DMA10" s="501"/>
      <c r="DMB10" s="501"/>
      <c r="DMC10" s="501"/>
      <c r="DMD10" s="501"/>
      <c r="DME10" s="501"/>
      <c r="DMF10" s="501"/>
      <c r="DMG10" s="501"/>
      <c r="DMH10" s="501"/>
      <c r="DMI10" s="501"/>
      <c r="DMJ10" s="501"/>
      <c r="DMK10" s="501"/>
      <c r="DML10" s="501"/>
      <c r="DMM10" s="501"/>
      <c r="DMN10" s="501"/>
      <c r="DMO10" s="501"/>
      <c r="DMP10" s="501"/>
      <c r="DMQ10" s="501"/>
      <c r="DMR10" s="501"/>
      <c r="DMS10" s="501"/>
      <c r="DMT10" s="501"/>
      <c r="DMU10" s="501"/>
      <c r="DMV10" s="501"/>
      <c r="DMW10" s="501"/>
      <c r="DMX10" s="501"/>
      <c r="DMY10" s="501"/>
      <c r="DMZ10" s="501"/>
      <c r="DNA10" s="501"/>
      <c r="DNB10" s="501"/>
      <c r="DNC10" s="501"/>
      <c r="DND10" s="501"/>
      <c r="DNE10" s="501"/>
      <c r="DNF10" s="501"/>
      <c r="DNG10" s="501"/>
      <c r="DNH10" s="501"/>
      <c r="DNI10" s="501"/>
      <c r="DNJ10" s="501"/>
      <c r="DNK10" s="501"/>
      <c r="DNL10" s="501"/>
      <c r="DNM10" s="501"/>
      <c r="DNN10" s="501"/>
      <c r="DNO10" s="501"/>
      <c r="DNP10" s="501"/>
      <c r="DNQ10" s="501"/>
      <c r="DNR10" s="501"/>
      <c r="DNS10" s="501"/>
      <c r="DNT10" s="501"/>
      <c r="DNU10" s="501"/>
      <c r="DNV10" s="501"/>
      <c r="DNW10" s="501"/>
      <c r="DNX10" s="501"/>
      <c r="DNY10" s="501"/>
      <c r="DNZ10" s="501"/>
      <c r="DOA10" s="501"/>
      <c r="DOB10" s="501"/>
      <c r="DOC10" s="501"/>
      <c r="DOD10" s="501"/>
      <c r="DOE10" s="501"/>
      <c r="DOF10" s="501"/>
      <c r="DOG10" s="501"/>
      <c r="DOH10" s="501"/>
      <c r="DOI10" s="501"/>
      <c r="DOJ10" s="501"/>
      <c r="DOK10" s="501"/>
      <c r="DOL10" s="501"/>
      <c r="DOM10" s="501"/>
      <c r="DON10" s="501"/>
      <c r="DOO10" s="501"/>
      <c r="DOP10" s="501"/>
      <c r="DOQ10" s="501"/>
      <c r="DOR10" s="501"/>
      <c r="DOS10" s="501"/>
      <c r="DOT10" s="501"/>
      <c r="DOU10" s="501"/>
      <c r="DOV10" s="501"/>
      <c r="DOW10" s="501"/>
      <c r="DOX10" s="501"/>
      <c r="DOY10" s="501"/>
      <c r="DOZ10" s="501"/>
      <c r="DPA10" s="501"/>
      <c r="DPB10" s="501"/>
      <c r="DPC10" s="501"/>
      <c r="DPD10" s="501"/>
      <c r="DPE10" s="501"/>
      <c r="DPF10" s="501"/>
      <c r="DPG10" s="501"/>
      <c r="DPH10" s="501"/>
      <c r="DPI10" s="501"/>
      <c r="DPJ10" s="501"/>
      <c r="DPK10" s="501"/>
      <c r="DPL10" s="501"/>
      <c r="DPM10" s="501"/>
      <c r="DPN10" s="501"/>
      <c r="DPO10" s="501"/>
      <c r="DPP10" s="501"/>
      <c r="DPQ10" s="501"/>
      <c r="DPR10" s="501"/>
      <c r="DPS10" s="501"/>
      <c r="DPT10" s="501"/>
      <c r="DPU10" s="501"/>
      <c r="DPV10" s="501"/>
      <c r="DPW10" s="501"/>
      <c r="DPX10" s="501"/>
      <c r="DPY10" s="501"/>
      <c r="DPZ10" s="501"/>
      <c r="DQA10" s="501"/>
      <c r="DQB10" s="501"/>
      <c r="DQC10" s="501"/>
      <c r="DQD10" s="501"/>
      <c r="DQE10" s="501"/>
      <c r="DQF10" s="501"/>
      <c r="DQG10" s="501"/>
      <c r="DQH10" s="501"/>
      <c r="DQI10" s="501"/>
      <c r="DQJ10" s="501"/>
      <c r="DQK10" s="501"/>
      <c r="DQL10" s="501"/>
      <c r="DQM10" s="501"/>
      <c r="DQN10" s="501"/>
      <c r="DQO10" s="501"/>
      <c r="DQP10" s="501"/>
      <c r="DQQ10" s="501"/>
      <c r="DQR10" s="501"/>
      <c r="DQS10" s="501"/>
      <c r="DQT10" s="501"/>
      <c r="DQU10" s="501"/>
      <c r="DQV10" s="501"/>
      <c r="DQW10" s="501"/>
      <c r="DQX10" s="501"/>
      <c r="DQY10" s="501"/>
      <c r="DQZ10" s="501"/>
      <c r="DRA10" s="501"/>
      <c r="DRB10" s="501"/>
      <c r="DRC10" s="501"/>
      <c r="DRD10" s="501"/>
      <c r="DRE10" s="501"/>
      <c r="DRF10" s="501"/>
      <c r="DRG10" s="501"/>
      <c r="DRH10" s="501"/>
      <c r="DRI10" s="501"/>
      <c r="DRJ10" s="501"/>
      <c r="DRK10" s="501"/>
      <c r="DRL10" s="501"/>
      <c r="DRM10" s="501"/>
      <c r="DRN10" s="501"/>
      <c r="DRO10" s="501"/>
      <c r="DRP10" s="501"/>
      <c r="DRQ10" s="501"/>
      <c r="DRR10" s="501"/>
      <c r="DRS10" s="501"/>
      <c r="DRT10" s="501"/>
      <c r="DRU10" s="501"/>
      <c r="DRV10" s="501"/>
      <c r="DRW10" s="501"/>
      <c r="DRX10" s="501"/>
      <c r="DRY10" s="501"/>
      <c r="DRZ10" s="501"/>
      <c r="DSA10" s="501"/>
      <c r="DSB10" s="501"/>
      <c r="DSC10" s="501"/>
      <c r="DSD10" s="501"/>
      <c r="DSE10" s="501"/>
      <c r="DSF10" s="501"/>
      <c r="DSG10" s="501"/>
      <c r="DSH10" s="501"/>
      <c r="DSI10" s="501"/>
      <c r="DSJ10" s="501"/>
      <c r="DSK10" s="501"/>
      <c r="DSL10" s="501"/>
      <c r="DSM10" s="501"/>
      <c r="DSN10" s="501"/>
      <c r="DSO10" s="501"/>
      <c r="DSP10" s="501"/>
      <c r="DSQ10" s="501"/>
      <c r="DSR10" s="501"/>
      <c r="DSS10" s="501"/>
      <c r="DST10" s="501"/>
      <c r="DSU10" s="501"/>
      <c r="DSV10" s="501"/>
      <c r="DSW10" s="501"/>
      <c r="DSX10" s="501"/>
      <c r="DSY10" s="501"/>
      <c r="DSZ10" s="501"/>
      <c r="DTA10" s="501"/>
      <c r="DTB10" s="501"/>
      <c r="DTC10" s="501"/>
      <c r="DTD10" s="501"/>
      <c r="DTE10" s="501"/>
      <c r="DTF10" s="501"/>
      <c r="DTG10" s="501"/>
      <c r="DTH10" s="501"/>
      <c r="DTI10" s="501"/>
      <c r="DTJ10" s="501"/>
      <c r="DTK10" s="501"/>
      <c r="DTL10" s="501"/>
      <c r="DTM10" s="501"/>
      <c r="DTN10" s="501"/>
      <c r="DTO10" s="501"/>
      <c r="DTP10" s="501"/>
      <c r="DTQ10" s="501"/>
      <c r="DTR10" s="501"/>
      <c r="DTS10" s="501"/>
      <c r="DTT10" s="501"/>
      <c r="DTU10" s="501"/>
      <c r="DTV10" s="501"/>
      <c r="DTW10" s="501"/>
      <c r="DTX10" s="501"/>
      <c r="DTY10" s="501"/>
      <c r="DTZ10" s="501"/>
      <c r="DUA10" s="501"/>
      <c r="DUB10" s="501"/>
      <c r="DUC10" s="501"/>
      <c r="DUD10" s="501"/>
      <c r="DUE10" s="501"/>
      <c r="DUF10" s="501"/>
      <c r="DUG10" s="501"/>
      <c r="DUH10" s="501"/>
      <c r="DUI10" s="501"/>
      <c r="DUJ10" s="501"/>
      <c r="DUK10" s="501"/>
      <c r="DUL10" s="501"/>
      <c r="DUM10" s="501"/>
      <c r="DUN10" s="501"/>
      <c r="DUO10" s="501"/>
      <c r="DUP10" s="501"/>
      <c r="DUQ10" s="501"/>
      <c r="DUR10" s="501"/>
      <c r="DUS10" s="501"/>
      <c r="DUT10" s="501"/>
      <c r="DUU10" s="501"/>
      <c r="DUV10" s="501"/>
      <c r="DUW10" s="501"/>
      <c r="DUX10" s="501"/>
      <c r="DUY10" s="501"/>
      <c r="DUZ10" s="501"/>
      <c r="DVA10" s="501"/>
      <c r="DVB10" s="501"/>
      <c r="DVC10" s="501"/>
      <c r="DVD10" s="501"/>
      <c r="DVE10" s="501"/>
      <c r="DVF10" s="501"/>
      <c r="DVG10" s="501"/>
      <c r="DVH10" s="501"/>
      <c r="DVI10" s="501"/>
      <c r="DVJ10" s="501"/>
      <c r="DVK10" s="501"/>
      <c r="DVL10" s="501"/>
      <c r="DVM10" s="501"/>
      <c r="DVN10" s="501"/>
      <c r="DVO10" s="501"/>
      <c r="DVP10" s="501"/>
      <c r="DVQ10" s="501"/>
      <c r="DVR10" s="501"/>
      <c r="DVS10" s="501"/>
      <c r="DVT10" s="501"/>
      <c r="DVU10" s="501"/>
      <c r="DVV10" s="501"/>
      <c r="DVW10" s="501"/>
      <c r="DVX10" s="501"/>
      <c r="DVY10" s="501"/>
      <c r="DVZ10" s="501"/>
      <c r="DWA10" s="501"/>
      <c r="DWB10" s="501"/>
      <c r="DWC10" s="501"/>
      <c r="DWD10" s="501"/>
      <c r="DWE10" s="501"/>
      <c r="DWF10" s="501"/>
      <c r="DWG10" s="501"/>
      <c r="DWH10" s="501"/>
      <c r="DWI10" s="501"/>
      <c r="DWJ10" s="501"/>
      <c r="DWK10" s="501"/>
      <c r="DWL10" s="501"/>
      <c r="DWM10" s="501"/>
      <c r="DWN10" s="501"/>
      <c r="DWO10" s="501"/>
      <c r="DWP10" s="501"/>
      <c r="DWQ10" s="501"/>
      <c r="DWR10" s="501"/>
      <c r="DWS10" s="501"/>
      <c r="DWT10" s="501"/>
      <c r="DWU10" s="501"/>
      <c r="DWV10" s="501"/>
      <c r="DWW10" s="501"/>
      <c r="DWX10" s="501"/>
      <c r="DWY10" s="501"/>
      <c r="DWZ10" s="501"/>
      <c r="DXA10" s="501"/>
      <c r="DXB10" s="501"/>
      <c r="DXC10" s="501"/>
      <c r="DXD10" s="501"/>
      <c r="DXE10" s="501"/>
      <c r="DXF10" s="501"/>
      <c r="DXG10" s="501"/>
      <c r="DXH10" s="501"/>
      <c r="DXI10" s="501"/>
      <c r="DXJ10" s="501"/>
      <c r="DXK10" s="501"/>
      <c r="DXL10" s="501"/>
      <c r="DXM10" s="501"/>
      <c r="DXN10" s="501"/>
      <c r="DXO10" s="501"/>
      <c r="DXP10" s="501"/>
      <c r="DXQ10" s="501"/>
      <c r="DXR10" s="501"/>
      <c r="DXS10" s="501"/>
      <c r="DXT10" s="501"/>
      <c r="DXU10" s="501"/>
      <c r="DXV10" s="501"/>
      <c r="DXW10" s="501"/>
      <c r="DXX10" s="501"/>
      <c r="DXY10" s="501"/>
      <c r="DXZ10" s="501"/>
      <c r="DYA10" s="501"/>
      <c r="DYB10" s="501"/>
      <c r="DYC10" s="501"/>
      <c r="DYD10" s="501"/>
      <c r="DYE10" s="501"/>
      <c r="DYF10" s="501"/>
      <c r="DYG10" s="501"/>
      <c r="DYH10" s="501"/>
      <c r="DYI10" s="501"/>
      <c r="DYJ10" s="501"/>
      <c r="DYK10" s="501"/>
      <c r="DYL10" s="501"/>
      <c r="DYM10" s="501"/>
      <c r="DYN10" s="501"/>
      <c r="DYO10" s="501"/>
      <c r="DYP10" s="501"/>
      <c r="DYQ10" s="501"/>
      <c r="DYR10" s="501"/>
      <c r="DYS10" s="501"/>
      <c r="DYT10" s="501"/>
      <c r="DYU10" s="501"/>
      <c r="DYV10" s="501"/>
      <c r="DYW10" s="501"/>
      <c r="DYX10" s="501"/>
      <c r="DYY10" s="501"/>
      <c r="DYZ10" s="501"/>
      <c r="DZA10" s="501"/>
      <c r="DZB10" s="501"/>
      <c r="DZC10" s="501"/>
      <c r="DZD10" s="501"/>
      <c r="DZE10" s="501"/>
      <c r="DZF10" s="501"/>
      <c r="DZG10" s="501"/>
      <c r="DZH10" s="501"/>
      <c r="DZI10" s="501"/>
      <c r="DZJ10" s="501"/>
      <c r="DZK10" s="501"/>
      <c r="DZL10" s="501"/>
      <c r="DZM10" s="501"/>
      <c r="DZN10" s="501"/>
      <c r="DZO10" s="501"/>
      <c r="DZP10" s="501"/>
      <c r="DZQ10" s="501"/>
      <c r="DZR10" s="501"/>
      <c r="DZS10" s="501"/>
      <c r="DZT10" s="501"/>
      <c r="DZU10" s="501"/>
      <c r="DZV10" s="501"/>
      <c r="DZW10" s="501"/>
      <c r="DZX10" s="501"/>
      <c r="DZY10" s="501"/>
      <c r="DZZ10" s="501"/>
      <c r="EAA10" s="501"/>
      <c r="EAB10" s="501"/>
      <c r="EAC10" s="501"/>
      <c r="EAD10" s="501"/>
      <c r="EAE10" s="501"/>
      <c r="EAF10" s="501"/>
      <c r="EAG10" s="501"/>
      <c r="EAH10" s="501"/>
      <c r="EAI10" s="501"/>
      <c r="EAJ10" s="501"/>
      <c r="EAK10" s="501"/>
      <c r="EAL10" s="501"/>
      <c r="EAM10" s="501"/>
      <c r="EAN10" s="501"/>
      <c r="EAO10" s="501"/>
      <c r="EAP10" s="501"/>
      <c r="EAQ10" s="501"/>
      <c r="EAR10" s="501"/>
      <c r="EAS10" s="501"/>
      <c r="EAT10" s="501"/>
      <c r="EAU10" s="501"/>
      <c r="EAV10" s="501"/>
      <c r="EAW10" s="501"/>
      <c r="EAX10" s="501"/>
      <c r="EAY10" s="501"/>
      <c r="EAZ10" s="501"/>
      <c r="EBA10" s="501"/>
      <c r="EBB10" s="501"/>
      <c r="EBC10" s="501"/>
      <c r="EBD10" s="501"/>
      <c r="EBE10" s="501"/>
      <c r="EBF10" s="501"/>
      <c r="EBG10" s="501"/>
      <c r="EBH10" s="501"/>
      <c r="EBI10" s="501"/>
      <c r="EBJ10" s="501"/>
      <c r="EBK10" s="501"/>
      <c r="EBL10" s="501"/>
      <c r="EBM10" s="501"/>
      <c r="EBN10" s="501"/>
      <c r="EBO10" s="501"/>
      <c r="EBP10" s="501"/>
      <c r="EBQ10" s="501"/>
      <c r="EBR10" s="501"/>
      <c r="EBS10" s="501"/>
      <c r="EBT10" s="501"/>
      <c r="EBU10" s="501"/>
      <c r="EBV10" s="501"/>
      <c r="EBW10" s="501"/>
      <c r="EBX10" s="501"/>
      <c r="EBY10" s="501"/>
      <c r="EBZ10" s="501"/>
      <c r="ECA10" s="501"/>
      <c r="ECB10" s="501"/>
      <c r="ECC10" s="501"/>
      <c r="ECD10" s="501"/>
      <c r="ECE10" s="501"/>
      <c r="ECF10" s="501"/>
      <c r="ECG10" s="501"/>
      <c r="ECH10" s="501"/>
      <c r="ECI10" s="501"/>
      <c r="ECJ10" s="501"/>
      <c r="ECK10" s="501"/>
      <c r="ECL10" s="501"/>
      <c r="ECM10" s="501"/>
      <c r="ECN10" s="501"/>
      <c r="ECO10" s="501"/>
      <c r="ECP10" s="501"/>
      <c r="ECQ10" s="501"/>
      <c r="ECR10" s="501"/>
      <c r="ECS10" s="501"/>
      <c r="ECT10" s="501"/>
      <c r="ECU10" s="501"/>
      <c r="ECV10" s="501"/>
      <c r="ECW10" s="501"/>
      <c r="ECX10" s="501"/>
      <c r="ECY10" s="501"/>
      <c r="ECZ10" s="501"/>
      <c r="EDA10" s="501"/>
      <c r="EDB10" s="501"/>
      <c r="EDC10" s="501"/>
      <c r="EDD10" s="501"/>
      <c r="EDE10" s="501"/>
      <c r="EDF10" s="501"/>
      <c r="EDG10" s="501"/>
      <c r="EDH10" s="501"/>
      <c r="EDI10" s="501"/>
      <c r="EDJ10" s="501"/>
      <c r="EDK10" s="501"/>
      <c r="EDL10" s="501"/>
      <c r="EDM10" s="501"/>
      <c r="EDN10" s="501"/>
      <c r="EDO10" s="501"/>
      <c r="EDP10" s="501"/>
      <c r="EDQ10" s="501"/>
      <c r="EDR10" s="501"/>
      <c r="EDS10" s="501"/>
      <c r="EDT10" s="501"/>
      <c r="EDU10" s="501"/>
      <c r="EDV10" s="501"/>
      <c r="EDW10" s="501"/>
      <c r="EDX10" s="501"/>
      <c r="EDY10" s="501"/>
      <c r="EDZ10" s="501"/>
      <c r="EEA10" s="501"/>
      <c r="EEB10" s="501"/>
      <c r="EEC10" s="501"/>
      <c r="EED10" s="501"/>
      <c r="EEE10" s="501"/>
      <c r="EEF10" s="501"/>
      <c r="EEG10" s="501"/>
      <c r="EEH10" s="501"/>
      <c r="EEI10" s="501"/>
      <c r="EEJ10" s="501"/>
      <c r="EEK10" s="501"/>
      <c r="EEL10" s="501"/>
      <c r="EEM10" s="501"/>
      <c r="EEN10" s="501"/>
      <c r="EEO10" s="501"/>
      <c r="EEP10" s="501"/>
      <c r="EEQ10" s="501"/>
      <c r="EER10" s="501"/>
      <c r="EES10" s="501"/>
      <c r="EET10" s="501"/>
      <c r="EEU10" s="501"/>
      <c r="EEV10" s="501"/>
      <c r="EEW10" s="501"/>
      <c r="EEX10" s="501"/>
      <c r="EEY10" s="501"/>
      <c r="EEZ10" s="501"/>
      <c r="EFA10" s="501"/>
      <c r="EFB10" s="501"/>
      <c r="EFC10" s="501"/>
      <c r="EFD10" s="501"/>
      <c r="EFE10" s="501"/>
      <c r="EFF10" s="501"/>
      <c r="EFG10" s="501"/>
      <c r="EFH10" s="501"/>
      <c r="EFI10" s="501"/>
      <c r="EFJ10" s="501"/>
      <c r="EFK10" s="501"/>
      <c r="EFL10" s="501"/>
      <c r="EFM10" s="501"/>
      <c r="EFN10" s="501"/>
      <c r="EFO10" s="501"/>
      <c r="EFP10" s="501"/>
      <c r="EFQ10" s="501"/>
      <c r="EFR10" s="501"/>
      <c r="EFS10" s="501"/>
      <c r="EFT10" s="501"/>
      <c r="EFU10" s="501"/>
      <c r="EFV10" s="501"/>
      <c r="EFW10" s="501"/>
      <c r="EFX10" s="501"/>
      <c r="EFY10" s="501"/>
      <c r="EFZ10" s="501"/>
      <c r="EGA10" s="501"/>
      <c r="EGB10" s="501"/>
      <c r="EGC10" s="501"/>
      <c r="EGD10" s="501"/>
      <c r="EGE10" s="501"/>
      <c r="EGF10" s="501"/>
      <c r="EGG10" s="501"/>
      <c r="EGH10" s="501"/>
      <c r="EGI10" s="501"/>
      <c r="EGJ10" s="501"/>
      <c r="EGK10" s="501"/>
      <c r="EGL10" s="501"/>
      <c r="EGM10" s="501"/>
      <c r="EGN10" s="501"/>
      <c r="EGO10" s="501"/>
      <c r="EGP10" s="501"/>
      <c r="EGQ10" s="501"/>
      <c r="EGR10" s="501"/>
      <c r="EGS10" s="501"/>
      <c r="EGT10" s="501"/>
      <c r="EGU10" s="501"/>
      <c r="EGV10" s="501"/>
      <c r="EGW10" s="501"/>
      <c r="EGX10" s="501"/>
      <c r="EGY10" s="501"/>
      <c r="EGZ10" s="501"/>
      <c r="EHA10" s="501"/>
      <c r="EHB10" s="501"/>
      <c r="EHC10" s="501"/>
      <c r="EHD10" s="501"/>
      <c r="EHE10" s="501"/>
      <c r="EHF10" s="501"/>
      <c r="EHG10" s="501"/>
      <c r="EHH10" s="501"/>
      <c r="EHI10" s="501"/>
      <c r="EHJ10" s="501"/>
      <c r="EHK10" s="501"/>
      <c r="EHL10" s="501"/>
      <c r="EHM10" s="501"/>
      <c r="EHN10" s="501"/>
      <c r="EHO10" s="501"/>
      <c r="EHP10" s="501"/>
      <c r="EHQ10" s="501"/>
      <c r="EHR10" s="501"/>
      <c r="EHS10" s="501"/>
      <c r="EHT10" s="501"/>
      <c r="EHU10" s="501"/>
      <c r="EHV10" s="501"/>
      <c r="EHW10" s="501"/>
      <c r="EHX10" s="501"/>
      <c r="EHY10" s="501"/>
      <c r="EHZ10" s="501"/>
      <c r="EIA10" s="501"/>
      <c r="EIB10" s="501"/>
      <c r="EIC10" s="501"/>
      <c r="EID10" s="501"/>
      <c r="EIE10" s="501"/>
      <c r="EIF10" s="501"/>
      <c r="EIG10" s="501"/>
      <c r="EIH10" s="501"/>
      <c r="EII10" s="501"/>
      <c r="EIJ10" s="501"/>
      <c r="EIK10" s="501"/>
      <c r="EIL10" s="501"/>
      <c r="EIM10" s="501"/>
      <c r="EIN10" s="501"/>
      <c r="EIO10" s="501"/>
      <c r="EIP10" s="501"/>
      <c r="EIQ10" s="501"/>
      <c r="EIR10" s="501"/>
      <c r="EIS10" s="501"/>
      <c r="EIT10" s="501"/>
      <c r="EIU10" s="501"/>
      <c r="EIV10" s="501"/>
      <c r="EIW10" s="501"/>
      <c r="EIX10" s="501"/>
      <c r="EIY10" s="501"/>
      <c r="EIZ10" s="501"/>
      <c r="EJA10" s="501"/>
      <c r="EJB10" s="501"/>
      <c r="EJC10" s="501"/>
      <c r="EJD10" s="501"/>
      <c r="EJE10" s="501"/>
      <c r="EJF10" s="501"/>
      <c r="EJG10" s="501"/>
      <c r="EJH10" s="501"/>
      <c r="EJI10" s="501"/>
      <c r="EJJ10" s="501"/>
      <c r="EJK10" s="501"/>
      <c r="EJL10" s="501"/>
      <c r="EJM10" s="501"/>
      <c r="EJN10" s="501"/>
      <c r="EJO10" s="501"/>
      <c r="EJP10" s="501"/>
      <c r="EJQ10" s="501"/>
      <c r="EJR10" s="501"/>
      <c r="EJS10" s="501"/>
      <c r="EJT10" s="501"/>
      <c r="EJU10" s="501"/>
      <c r="EJV10" s="501"/>
      <c r="EJW10" s="501"/>
      <c r="EJX10" s="501"/>
      <c r="EJY10" s="501"/>
      <c r="EJZ10" s="501"/>
      <c r="EKA10" s="501"/>
      <c r="EKB10" s="501"/>
      <c r="EKC10" s="501"/>
      <c r="EKD10" s="501"/>
      <c r="EKE10" s="501"/>
      <c r="EKF10" s="501"/>
      <c r="EKG10" s="501"/>
      <c r="EKH10" s="501"/>
      <c r="EKI10" s="501"/>
      <c r="EKJ10" s="501"/>
      <c r="EKK10" s="501"/>
      <c r="EKL10" s="501"/>
      <c r="EKM10" s="501"/>
      <c r="EKN10" s="501"/>
      <c r="EKO10" s="501"/>
      <c r="EKP10" s="501"/>
      <c r="EKQ10" s="501"/>
      <c r="EKR10" s="501"/>
      <c r="EKS10" s="501"/>
      <c r="EKT10" s="501"/>
      <c r="EKU10" s="501"/>
      <c r="EKV10" s="501"/>
      <c r="EKW10" s="501"/>
      <c r="EKX10" s="501"/>
      <c r="EKY10" s="501"/>
      <c r="EKZ10" s="501"/>
      <c r="ELA10" s="501"/>
      <c r="ELB10" s="501"/>
      <c r="ELC10" s="501"/>
      <c r="ELD10" s="501"/>
      <c r="ELE10" s="501"/>
      <c r="ELF10" s="501"/>
      <c r="ELG10" s="501"/>
      <c r="ELH10" s="501"/>
      <c r="ELI10" s="501"/>
      <c r="ELJ10" s="501"/>
      <c r="ELK10" s="501"/>
      <c r="ELL10" s="501"/>
      <c r="ELM10" s="501"/>
      <c r="ELN10" s="501"/>
      <c r="ELO10" s="501"/>
      <c r="ELP10" s="501"/>
      <c r="ELQ10" s="501"/>
      <c r="ELR10" s="501"/>
      <c r="ELS10" s="501"/>
      <c r="ELT10" s="501"/>
      <c r="ELU10" s="501"/>
      <c r="ELV10" s="501"/>
      <c r="ELW10" s="501"/>
      <c r="ELX10" s="501"/>
      <c r="ELY10" s="501"/>
      <c r="ELZ10" s="501"/>
      <c r="EMA10" s="501"/>
      <c r="EMB10" s="501"/>
      <c r="EMC10" s="501"/>
      <c r="EMD10" s="501"/>
      <c r="EME10" s="501"/>
      <c r="EMF10" s="501"/>
      <c r="EMG10" s="501"/>
      <c r="EMH10" s="501"/>
      <c r="EMI10" s="501"/>
      <c r="EMJ10" s="501"/>
      <c r="EMK10" s="501"/>
      <c r="EML10" s="501"/>
      <c r="EMM10" s="501"/>
      <c r="EMN10" s="501"/>
      <c r="EMO10" s="501"/>
      <c r="EMP10" s="501"/>
      <c r="EMQ10" s="501"/>
      <c r="EMR10" s="501"/>
      <c r="EMS10" s="501"/>
      <c r="EMT10" s="501"/>
      <c r="EMU10" s="501"/>
      <c r="EMV10" s="501"/>
      <c r="EMW10" s="501"/>
      <c r="EMX10" s="501"/>
      <c r="EMY10" s="501"/>
      <c r="EMZ10" s="501"/>
      <c r="ENA10" s="501"/>
      <c r="ENB10" s="501"/>
      <c r="ENC10" s="501"/>
      <c r="END10" s="501"/>
      <c r="ENE10" s="501"/>
      <c r="ENF10" s="501"/>
      <c r="ENG10" s="501"/>
      <c r="ENH10" s="501"/>
      <c r="ENI10" s="501"/>
      <c r="ENJ10" s="501"/>
      <c r="ENK10" s="501"/>
      <c r="ENL10" s="501"/>
      <c r="ENM10" s="501"/>
      <c r="ENN10" s="501"/>
      <c r="ENO10" s="501"/>
      <c r="ENP10" s="501"/>
      <c r="ENQ10" s="501"/>
      <c r="ENR10" s="501"/>
      <c r="ENS10" s="501"/>
      <c r="ENT10" s="501"/>
      <c r="ENU10" s="501"/>
      <c r="ENV10" s="501"/>
      <c r="ENW10" s="501"/>
      <c r="ENX10" s="501"/>
      <c r="ENY10" s="501"/>
      <c r="ENZ10" s="501"/>
      <c r="EOA10" s="501"/>
      <c r="EOB10" s="501"/>
      <c r="EOC10" s="501"/>
      <c r="EOD10" s="501"/>
      <c r="EOE10" s="501"/>
      <c r="EOF10" s="501"/>
      <c r="EOG10" s="501"/>
      <c r="EOH10" s="501"/>
      <c r="EOI10" s="501"/>
      <c r="EOJ10" s="501"/>
      <c r="EOK10" s="501"/>
      <c r="EOL10" s="501"/>
      <c r="EOM10" s="501"/>
      <c r="EON10" s="501"/>
      <c r="EOO10" s="501"/>
      <c r="EOP10" s="501"/>
      <c r="EOQ10" s="501"/>
      <c r="EOR10" s="501"/>
      <c r="EOS10" s="501"/>
      <c r="EOT10" s="501"/>
      <c r="EOU10" s="501"/>
      <c r="EOV10" s="501"/>
      <c r="EOW10" s="501"/>
      <c r="EOX10" s="501"/>
      <c r="EOY10" s="501"/>
      <c r="EOZ10" s="501"/>
      <c r="EPA10" s="501"/>
      <c r="EPB10" s="501"/>
      <c r="EPC10" s="501"/>
      <c r="EPD10" s="501"/>
      <c r="EPE10" s="501"/>
      <c r="EPF10" s="501"/>
      <c r="EPG10" s="501"/>
      <c r="EPH10" s="501"/>
      <c r="EPI10" s="501"/>
      <c r="EPJ10" s="501"/>
      <c r="EPK10" s="501"/>
      <c r="EPL10" s="501"/>
      <c r="EPM10" s="501"/>
      <c r="EPN10" s="501"/>
      <c r="EPO10" s="501"/>
      <c r="EPP10" s="501"/>
      <c r="EPQ10" s="501"/>
      <c r="EPR10" s="501"/>
      <c r="EPS10" s="501"/>
      <c r="EPT10" s="501"/>
      <c r="EPU10" s="501"/>
      <c r="EPV10" s="501"/>
      <c r="EPW10" s="501"/>
      <c r="EPX10" s="501"/>
      <c r="EPY10" s="501"/>
      <c r="EPZ10" s="501"/>
      <c r="EQA10" s="501"/>
      <c r="EQB10" s="501"/>
      <c r="EQC10" s="501"/>
      <c r="EQD10" s="501"/>
      <c r="EQE10" s="501"/>
      <c r="EQF10" s="501"/>
      <c r="EQG10" s="501"/>
      <c r="EQH10" s="501"/>
      <c r="EQI10" s="501"/>
      <c r="EQJ10" s="501"/>
      <c r="EQK10" s="501"/>
      <c r="EQL10" s="501"/>
      <c r="EQM10" s="501"/>
      <c r="EQN10" s="501"/>
      <c r="EQO10" s="501"/>
      <c r="EQP10" s="501"/>
      <c r="EQQ10" s="501"/>
      <c r="EQR10" s="501"/>
      <c r="EQS10" s="501"/>
      <c r="EQT10" s="501"/>
      <c r="EQU10" s="501"/>
      <c r="EQV10" s="501"/>
      <c r="EQW10" s="501"/>
      <c r="EQX10" s="501"/>
      <c r="EQY10" s="501"/>
      <c r="EQZ10" s="501"/>
      <c r="ERA10" s="501"/>
      <c r="ERB10" s="501"/>
      <c r="ERC10" s="501"/>
      <c r="ERD10" s="501"/>
      <c r="ERE10" s="501"/>
      <c r="ERF10" s="501"/>
      <c r="ERG10" s="501"/>
      <c r="ERH10" s="501"/>
      <c r="ERI10" s="501"/>
      <c r="ERJ10" s="501"/>
      <c r="ERK10" s="501"/>
      <c r="ERL10" s="501"/>
      <c r="ERM10" s="501"/>
      <c r="ERN10" s="501"/>
      <c r="ERO10" s="501"/>
      <c r="ERP10" s="501"/>
      <c r="ERQ10" s="501"/>
      <c r="ERR10" s="501"/>
      <c r="ERS10" s="501"/>
      <c r="ERT10" s="501"/>
      <c r="ERU10" s="501"/>
      <c r="ERV10" s="501"/>
      <c r="ERW10" s="501"/>
      <c r="ERX10" s="501"/>
      <c r="ERY10" s="501"/>
      <c r="ERZ10" s="501"/>
      <c r="ESA10" s="501"/>
      <c r="ESB10" s="501"/>
      <c r="ESC10" s="501"/>
      <c r="ESD10" s="501"/>
      <c r="ESE10" s="501"/>
      <c r="ESF10" s="501"/>
      <c r="ESG10" s="501"/>
      <c r="ESH10" s="501"/>
      <c r="ESI10" s="501"/>
      <c r="ESJ10" s="501"/>
      <c r="ESK10" s="501"/>
      <c r="ESL10" s="501"/>
      <c r="ESM10" s="501"/>
      <c r="ESN10" s="501"/>
      <c r="ESO10" s="501"/>
      <c r="ESP10" s="501"/>
      <c r="ESQ10" s="501"/>
      <c r="ESR10" s="501"/>
      <c r="ESS10" s="501"/>
      <c r="EST10" s="501"/>
      <c r="ESU10" s="501"/>
      <c r="ESV10" s="501"/>
      <c r="ESW10" s="501"/>
      <c r="ESX10" s="501"/>
      <c r="ESY10" s="501"/>
      <c r="ESZ10" s="501"/>
      <c r="ETA10" s="501"/>
      <c r="ETB10" s="501"/>
      <c r="ETC10" s="501"/>
      <c r="ETD10" s="501"/>
      <c r="ETE10" s="501"/>
      <c r="ETF10" s="501"/>
      <c r="ETG10" s="501"/>
      <c r="ETH10" s="501"/>
      <c r="ETI10" s="501"/>
      <c r="ETJ10" s="501"/>
      <c r="ETK10" s="501"/>
      <c r="ETL10" s="501"/>
      <c r="ETM10" s="501"/>
      <c r="ETN10" s="501"/>
      <c r="ETO10" s="501"/>
      <c r="ETP10" s="501"/>
      <c r="ETQ10" s="501"/>
      <c r="ETR10" s="501"/>
      <c r="ETS10" s="501"/>
      <c r="ETT10" s="501"/>
      <c r="ETU10" s="501"/>
      <c r="ETV10" s="501"/>
      <c r="ETW10" s="501"/>
      <c r="ETX10" s="501"/>
      <c r="ETY10" s="501"/>
      <c r="ETZ10" s="501"/>
      <c r="EUA10" s="501"/>
      <c r="EUB10" s="501"/>
      <c r="EUC10" s="501"/>
      <c r="EUD10" s="501"/>
      <c r="EUE10" s="501"/>
      <c r="EUF10" s="501"/>
      <c r="EUG10" s="501"/>
      <c r="EUH10" s="501"/>
      <c r="EUI10" s="501"/>
      <c r="EUJ10" s="501"/>
      <c r="EUK10" s="501"/>
      <c r="EUL10" s="501"/>
      <c r="EUM10" s="501"/>
      <c r="EUN10" s="501"/>
      <c r="EUO10" s="501"/>
      <c r="EUP10" s="501"/>
      <c r="EUQ10" s="501"/>
      <c r="EUR10" s="501"/>
      <c r="EUS10" s="501"/>
      <c r="EUT10" s="501"/>
      <c r="EUU10" s="501"/>
      <c r="EUV10" s="501"/>
      <c r="EUW10" s="501"/>
      <c r="EUX10" s="501"/>
      <c r="EUY10" s="501"/>
      <c r="EUZ10" s="501"/>
      <c r="EVA10" s="501"/>
      <c r="EVB10" s="501"/>
      <c r="EVC10" s="501"/>
      <c r="EVD10" s="501"/>
      <c r="EVE10" s="501"/>
      <c r="EVF10" s="501"/>
      <c r="EVG10" s="501"/>
      <c r="EVH10" s="501"/>
      <c r="EVI10" s="501"/>
      <c r="EVJ10" s="501"/>
      <c r="EVK10" s="501"/>
      <c r="EVL10" s="501"/>
      <c r="EVM10" s="501"/>
      <c r="EVN10" s="501"/>
      <c r="EVO10" s="501"/>
      <c r="EVP10" s="501"/>
      <c r="EVQ10" s="501"/>
      <c r="EVR10" s="501"/>
      <c r="EVS10" s="501"/>
      <c r="EVT10" s="501"/>
      <c r="EVU10" s="501"/>
      <c r="EVV10" s="501"/>
      <c r="EVW10" s="501"/>
      <c r="EVX10" s="501"/>
      <c r="EVY10" s="501"/>
      <c r="EVZ10" s="501"/>
      <c r="EWA10" s="501"/>
      <c r="EWB10" s="501"/>
      <c r="EWC10" s="501"/>
      <c r="EWD10" s="501"/>
      <c r="EWE10" s="501"/>
      <c r="EWF10" s="501"/>
      <c r="EWG10" s="501"/>
      <c r="EWH10" s="501"/>
      <c r="EWI10" s="501"/>
      <c r="EWJ10" s="501"/>
      <c r="EWK10" s="501"/>
      <c r="EWL10" s="501"/>
      <c r="EWM10" s="501"/>
      <c r="EWN10" s="501"/>
      <c r="EWO10" s="501"/>
      <c r="EWP10" s="501"/>
      <c r="EWQ10" s="501"/>
      <c r="EWR10" s="501"/>
      <c r="EWS10" s="501"/>
      <c r="EWT10" s="501"/>
      <c r="EWU10" s="501"/>
      <c r="EWV10" s="501"/>
      <c r="EWW10" s="501"/>
      <c r="EWX10" s="501"/>
      <c r="EWY10" s="501"/>
      <c r="EWZ10" s="501"/>
      <c r="EXA10" s="501"/>
      <c r="EXB10" s="501"/>
      <c r="EXC10" s="501"/>
      <c r="EXD10" s="501"/>
      <c r="EXE10" s="501"/>
      <c r="EXF10" s="501"/>
      <c r="EXG10" s="501"/>
      <c r="EXH10" s="501"/>
      <c r="EXI10" s="501"/>
      <c r="EXJ10" s="501"/>
      <c r="EXK10" s="501"/>
      <c r="EXL10" s="501"/>
      <c r="EXM10" s="501"/>
      <c r="EXN10" s="501"/>
      <c r="EXO10" s="501"/>
      <c r="EXP10" s="501"/>
      <c r="EXQ10" s="501"/>
      <c r="EXR10" s="501"/>
      <c r="EXS10" s="501"/>
      <c r="EXT10" s="501"/>
      <c r="EXU10" s="501"/>
      <c r="EXV10" s="501"/>
      <c r="EXW10" s="501"/>
      <c r="EXX10" s="501"/>
      <c r="EXY10" s="501"/>
      <c r="EXZ10" s="501"/>
      <c r="EYA10" s="501"/>
      <c r="EYB10" s="501"/>
      <c r="EYC10" s="501"/>
      <c r="EYD10" s="501"/>
      <c r="EYE10" s="501"/>
      <c r="EYF10" s="501"/>
      <c r="EYG10" s="501"/>
      <c r="EYH10" s="501"/>
      <c r="EYI10" s="501"/>
      <c r="EYJ10" s="501"/>
      <c r="EYK10" s="501"/>
      <c r="EYL10" s="501"/>
      <c r="EYM10" s="501"/>
      <c r="EYN10" s="501"/>
      <c r="EYO10" s="501"/>
      <c r="EYP10" s="501"/>
      <c r="EYQ10" s="501"/>
      <c r="EYR10" s="501"/>
      <c r="EYS10" s="501"/>
      <c r="EYT10" s="501"/>
      <c r="EYU10" s="501"/>
      <c r="EYV10" s="501"/>
      <c r="EYW10" s="501"/>
      <c r="EYX10" s="501"/>
      <c r="EYY10" s="501"/>
      <c r="EYZ10" s="501"/>
      <c r="EZA10" s="501"/>
      <c r="EZB10" s="501"/>
      <c r="EZC10" s="501"/>
      <c r="EZD10" s="501"/>
      <c r="EZE10" s="501"/>
      <c r="EZF10" s="501"/>
      <c r="EZG10" s="501"/>
      <c r="EZH10" s="501"/>
      <c r="EZI10" s="501"/>
      <c r="EZJ10" s="501"/>
      <c r="EZK10" s="501"/>
      <c r="EZL10" s="501"/>
      <c r="EZM10" s="501"/>
      <c r="EZN10" s="501"/>
      <c r="EZO10" s="501"/>
      <c r="EZP10" s="501"/>
      <c r="EZQ10" s="501"/>
      <c r="EZR10" s="501"/>
      <c r="EZS10" s="501"/>
      <c r="EZT10" s="501"/>
      <c r="EZU10" s="501"/>
      <c r="EZV10" s="501"/>
      <c r="EZW10" s="501"/>
      <c r="EZX10" s="501"/>
      <c r="EZY10" s="501"/>
      <c r="EZZ10" s="501"/>
      <c r="FAA10" s="501"/>
      <c r="FAB10" s="501"/>
      <c r="FAC10" s="501"/>
      <c r="FAD10" s="501"/>
      <c r="FAE10" s="501"/>
      <c r="FAF10" s="501"/>
      <c r="FAG10" s="501"/>
      <c r="FAH10" s="501"/>
      <c r="FAI10" s="501"/>
      <c r="FAJ10" s="501"/>
      <c r="FAK10" s="501"/>
      <c r="FAL10" s="501"/>
      <c r="FAM10" s="501"/>
      <c r="FAN10" s="501"/>
      <c r="FAO10" s="501"/>
      <c r="FAP10" s="501"/>
      <c r="FAQ10" s="501"/>
      <c r="FAR10" s="501"/>
      <c r="FAS10" s="501"/>
      <c r="FAT10" s="501"/>
      <c r="FAU10" s="501"/>
      <c r="FAV10" s="501"/>
      <c r="FAW10" s="501"/>
      <c r="FAX10" s="501"/>
      <c r="FAY10" s="501"/>
      <c r="FAZ10" s="501"/>
      <c r="FBA10" s="501"/>
      <c r="FBB10" s="501"/>
      <c r="FBC10" s="501"/>
      <c r="FBD10" s="501"/>
      <c r="FBE10" s="501"/>
      <c r="FBF10" s="501"/>
      <c r="FBG10" s="501"/>
      <c r="FBH10" s="501"/>
      <c r="FBI10" s="501"/>
      <c r="FBJ10" s="501"/>
      <c r="FBK10" s="501"/>
      <c r="FBL10" s="501"/>
      <c r="FBM10" s="501"/>
      <c r="FBN10" s="501"/>
      <c r="FBO10" s="501"/>
      <c r="FBP10" s="501"/>
      <c r="FBQ10" s="501"/>
      <c r="FBR10" s="501"/>
      <c r="FBS10" s="501"/>
      <c r="FBT10" s="501"/>
      <c r="FBU10" s="501"/>
      <c r="FBV10" s="501"/>
      <c r="FBW10" s="501"/>
      <c r="FBX10" s="501"/>
      <c r="FBY10" s="501"/>
      <c r="FBZ10" s="501"/>
      <c r="FCA10" s="501"/>
      <c r="FCB10" s="501"/>
      <c r="FCC10" s="501"/>
      <c r="FCD10" s="501"/>
      <c r="FCE10" s="501"/>
      <c r="FCF10" s="501"/>
      <c r="FCG10" s="501"/>
      <c r="FCH10" s="501"/>
      <c r="FCI10" s="501"/>
      <c r="FCJ10" s="501"/>
      <c r="FCK10" s="501"/>
      <c r="FCL10" s="501"/>
      <c r="FCM10" s="501"/>
      <c r="FCN10" s="501"/>
      <c r="FCO10" s="501"/>
      <c r="FCP10" s="501"/>
      <c r="FCQ10" s="501"/>
      <c r="FCR10" s="501"/>
      <c r="FCS10" s="501"/>
      <c r="FCT10" s="501"/>
      <c r="FCU10" s="501"/>
      <c r="FCV10" s="501"/>
      <c r="FCW10" s="501"/>
      <c r="FCX10" s="501"/>
      <c r="FCY10" s="501"/>
      <c r="FCZ10" s="501"/>
      <c r="FDA10" s="501"/>
      <c r="FDB10" s="501"/>
      <c r="FDC10" s="501"/>
      <c r="FDD10" s="501"/>
      <c r="FDE10" s="501"/>
      <c r="FDF10" s="501"/>
      <c r="FDG10" s="501"/>
      <c r="FDH10" s="501"/>
      <c r="FDI10" s="501"/>
      <c r="FDJ10" s="501"/>
      <c r="FDK10" s="501"/>
      <c r="FDL10" s="501"/>
      <c r="FDM10" s="501"/>
      <c r="FDN10" s="501"/>
      <c r="FDO10" s="501"/>
      <c r="FDP10" s="501"/>
      <c r="FDQ10" s="501"/>
      <c r="FDR10" s="501"/>
      <c r="FDS10" s="501"/>
      <c r="FDT10" s="501"/>
      <c r="FDU10" s="501"/>
      <c r="FDV10" s="501"/>
      <c r="FDW10" s="501"/>
      <c r="FDX10" s="501"/>
      <c r="FDY10" s="501"/>
      <c r="FDZ10" s="501"/>
      <c r="FEA10" s="501"/>
      <c r="FEB10" s="501"/>
      <c r="FEC10" s="501"/>
      <c r="FED10" s="501"/>
      <c r="FEE10" s="501"/>
      <c r="FEF10" s="501"/>
      <c r="FEG10" s="501"/>
      <c r="FEH10" s="501"/>
      <c r="FEI10" s="501"/>
      <c r="FEJ10" s="501"/>
      <c r="FEK10" s="501"/>
      <c r="FEL10" s="501"/>
      <c r="FEM10" s="501"/>
      <c r="FEN10" s="501"/>
      <c r="FEO10" s="501"/>
      <c r="FEP10" s="501"/>
      <c r="FEQ10" s="501"/>
      <c r="FER10" s="501"/>
      <c r="FES10" s="501"/>
      <c r="FET10" s="501"/>
      <c r="FEU10" s="501"/>
      <c r="FEV10" s="501"/>
      <c r="FEW10" s="501"/>
      <c r="FEX10" s="501"/>
      <c r="FEY10" s="501"/>
      <c r="FEZ10" s="501"/>
      <c r="FFA10" s="501"/>
      <c r="FFB10" s="501"/>
      <c r="FFC10" s="501"/>
      <c r="FFD10" s="501"/>
      <c r="FFE10" s="501"/>
      <c r="FFF10" s="501"/>
      <c r="FFG10" s="501"/>
      <c r="FFH10" s="501"/>
      <c r="FFI10" s="501"/>
      <c r="FFJ10" s="501"/>
      <c r="FFK10" s="501"/>
      <c r="FFL10" s="501"/>
      <c r="FFM10" s="501"/>
      <c r="FFN10" s="501"/>
      <c r="FFO10" s="501"/>
      <c r="FFP10" s="501"/>
      <c r="FFQ10" s="501"/>
      <c r="FFR10" s="501"/>
      <c r="FFS10" s="501"/>
      <c r="FFT10" s="501"/>
      <c r="FFU10" s="501"/>
      <c r="FFV10" s="501"/>
      <c r="FFW10" s="501"/>
      <c r="FFX10" s="501"/>
      <c r="FFY10" s="501"/>
      <c r="FFZ10" s="501"/>
      <c r="FGA10" s="501"/>
      <c r="FGB10" s="501"/>
      <c r="FGC10" s="501"/>
      <c r="FGD10" s="501"/>
      <c r="FGE10" s="501"/>
      <c r="FGF10" s="501"/>
      <c r="FGG10" s="501"/>
      <c r="FGH10" s="501"/>
      <c r="FGI10" s="501"/>
      <c r="FGJ10" s="501"/>
      <c r="FGK10" s="501"/>
      <c r="FGL10" s="501"/>
      <c r="FGM10" s="501"/>
      <c r="FGN10" s="501"/>
      <c r="FGO10" s="501"/>
      <c r="FGP10" s="501"/>
      <c r="FGQ10" s="501"/>
      <c r="FGR10" s="501"/>
      <c r="FGS10" s="501"/>
      <c r="FGT10" s="501"/>
      <c r="FGU10" s="501"/>
      <c r="FGV10" s="501"/>
      <c r="FGW10" s="501"/>
      <c r="FGX10" s="501"/>
      <c r="FGY10" s="501"/>
      <c r="FGZ10" s="501"/>
      <c r="FHA10" s="501"/>
      <c r="FHB10" s="501"/>
      <c r="FHC10" s="501"/>
      <c r="FHD10" s="501"/>
      <c r="FHE10" s="501"/>
      <c r="FHF10" s="501"/>
      <c r="FHG10" s="501"/>
      <c r="FHH10" s="501"/>
      <c r="FHI10" s="501"/>
      <c r="FHJ10" s="501"/>
      <c r="FHK10" s="501"/>
      <c r="FHL10" s="501"/>
      <c r="FHM10" s="501"/>
      <c r="FHN10" s="501"/>
      <c r="FHO10" s="501"/>
      <c r="FHP10" s="501"/>
      <c r="FHQ10" s="501"/>
      <c r="FHR10" s="501"/>
      <c r="FHS10" s="501"/>
      <c r="FHT10" s="501"/>
      <c r="FHU10" s="501"/>
      <c r="FHV10" s="501"/>
      <c r="FHW10" s="501"/>
      <c r="FHX10" s="501"/>
      <c r="FHY10" s="501"/>
      <c r="FHZ10" s="501"/>
      <c r="FIA10" s="501"/>
      <c r="FIB10" s="501"/>
      <c r="FIC10" s="501"/>
      <c r="FID10" s="501"/>
      <c r="FIE10" s="501"/>
      <c r="FIF10" s="501"/>
      <c r="FIG10" s="501"/>
      <c r="FIH10" s="501"/>
      <c r="FII10" s="501"/>
      <c r="FIJ10" s="501"/>
      <c r="FIK10" s="501"/>
      <c r="FIL10" s="501"/>
      <c r="FIM10" s="501"/>
      <c r="FIN10" s="501"/>
      <c r="FIO10" s="501"/>
      <c r="FIP10" s="501"/>
      <c r="FIQ10" s="501"/>
      <c r="FIR10" s="501"/>
      <c r="FIS10" s="501"/>
      <c r="FIT10" s="501"/>
      <c r="FIU10" s="501"/>
      <c r="FIV10" s="501"/>
      <c r="FIW10" s="501"/>
      <c r="FIX10" s="501"/>
      <c r="FIY10" s="501"/>
      <c r="FIZ10" s="501"/>
      <c r="FJA10" s="501"/>
      <c r="FJB10" s="501"/>
      <c r="FJC10" s="501"/>
      <c r="FJD10" s="501"/>
      <c r="FJE10" s="501"/>
      <c r="FJF10" s="501"/>
      <c r="FJG10" s="501"/>
      <c r="FJH10" s="501"/>
      <c r="FJI10" s="501"/>
      <c r="FJJ10" s="501"/>
      <c r="FJK10" s="501"/>
      <c r="FJL10" s="501"/>
      <c r="FJM10" s="501"/>
      <c r="FJN10" s="501"/>
      <c r="FJO10" s="501"/>
      <c r="FJP10" s="501"/>
      <c r="FJQ10" s="501"/>
      <c r="FJR10" s="501"/>
      <c r="FJS10" s="501"/>
      <c r="FJT10" s="501"/>
      <c r="FJU10" s="501"/>
      <c r="FJV10" s="501"/>
      <c r="FJW10" s="501"/>
      <c r="FJX10" s="501"/>
      <c r="FJY10" s="501"/>
      <c r="FJZ10" s="501"/>
      <c r="FKA10" s="501"/>
      <c r="FKB10" s="501"/>
      <c r="FKC10" s="501"/>
      <c r="FKD10" s="501"/>
      <c r="FKE10" s="501"/>
      <c r="FKF10" s="501"/>
      <c r="FKG10" s="501"/>
      <c r="FKH10" s="501"/>
      <c r="FKI10" s="501"/>
      <c r="FKJ10" s="501"/>
      <c r="FKK10" s="501"/>
      <c r="FKL10" s="501"/>
      <c r="FKM10" s="501"/>
      <c r="FKN10" s="501"/>
      <c r="FKO10" s="501"/>
      <c r="FKP10" s="501"/>
      <c r="FKQ10" s="501"/>
      <c r="FKR10" s="501"/>
      <c r="FKS10" s="501"/>
      <c r="FKT10" s="501"/>
      <c r="FKU10" s="501"/>
      <c r="FKV10" s="501"/>
      <c r="FKW10" s="501"/>
      <c r="FKX10" s="501"/>
      <c r="FKY10" s="501"/>
      <c r="FKZ10" s="501"/>
      <c r="FLA10" s="501"/>
      <c r="FLB10" s="501"/>
      <c r="FLC10" s="501"/>
      <c r="FLD10" s="501"/>
      <c r="FLE10" s="501"/>
      <c r="FLF10" s="501"/>
      <c r="FLG10" s="501"/>
      <c r="FLH10" s="501"/>
      <c r="FLI10" s="501"/>
      <c r="FLJ10" s="501"/>
      <c r="FLK10" s="501"/>
      <c r="FLL10" s="501"/>
      <c r="FLM10" s="501"/>
      <c r="FLN10" s="501"/>
      <c r="FLO10" s="501"/>
      <c r="FLP10" s="501"/>
      <c r="FLQ10" s="501"/>
      <c r="FLR10" s="501"/>
      <c r="FLS10" s="501"/>
      <c r="FLT10" s="501"/>
      <c r="FLU10" s="501"/>
      <c r="FLV10" s="501"/>
      <c r="FLW10" s="501"/>
      <c r="FLX10" s="501"/>
      <c r="FLY10" s="501"/>
      <c r="FLZ10" s="501"/>
      <c r="FMA10" s="501"/>
      <c r="FMB10" s="501"/>
      <c r="FMC10" s="501"/>
      <c r="FMD10" s="501"/>
      <c r="FME10" s="501"/>
      <c r="FMF10" s="501"/>
      <c r="FMG10" s="501"/>
      <c r="FMH10" s="501"/>
      <c r="FMI10" s="501"/>
      <c r="FMJ10" s="501"/>
      <c r="FMK10" s="501"/>
      <c r="FML10" s="501"/>
      <c r="FMM10" s="501"/>
      <c r="FMN10" s="501"/>
      <c r="FMO10" s="501"/>
      <c r="FMP10" s="501"/>
      <c r="FMQ10" s="501"/>
      <c r="FMR10" s="501"/>
      <c r="FMS10" s="501"/>
      <c r="FMT10" s="501"/>
      <c r="FMU10" s="501"/>
      <c r="FMV10" s="501"/>
      <c r="FMW10" s="501"/>
      <c r="FMX10" s="501"/>
      <c r="FMY10" s="501"/>
      <c r="FMZ10" s="501"/>
      <c r="FNA10" s="501"/>
      <c r="FNB10" s="501"/>
      <c r="FNC10" s="501"/>
      <c r="FND10" s="501"/>
      <c r="FNE10" s="501"/>
      <c r="FNF10" s="501"/>
      <c r="FNG10" s="501"/>
      <c r="FNH10" s="501"/>
      <c r="FNI10" s="501"/>
      <c r="FNJ10" s="501"/>
      <c r="FNK10" s="501"/>
      <c r="FNL10" s="501"/>
      <c r="FNM10" s="501"/>
      <c r="FNN10" s="501"/>
      <c r="FNO10" s="501"/>
      <c r="FNP10" s="501"/>
      <c r="FNQ10" s="501"/>
      <c r="FNR10" s="501"/>
      <c r="FNS10" s="501"/>
      <c r="FNT10" s="501"/>
      <c r="FNU10" s="501"/>
      <c r="FNV10" s="501"/>
      <c r="FNW10" s="501"/>
      <c r="FNX10" s="501"/>
      <c r="FNY10" s="501"/>
      <c r="FNZ10" s="501"/>
      <c r="FOA10" s="501"/>
      <c r="FOB10" s="501"/>
      <c r="FOC10" s="501"/>
      <c r="FOD10" s="501"/>
      <c r="FOE10" s="501"/>
      <c r="FOF10" s="501"/>
      <c r="FOG10" s="501"/>
      <c r="FOH10" s="501"/>
      <c r="FOI10" s="501"/>
      <c r="FOJ10" s="501"/>
      <c r="FOK10" s="501"/>
      <c r="FOL10" s="501"/>
      <c r="FOM10" s="501"/>
      <c r="FON10" s="501"/>
      <c r="FOO10" s="501"/>
      <c r="FOP10" s="501"/>
      <c r="FOQ10" s="501"/>
      <c r="FOR10" s="501"/>
      <c r="FOS10" s="501"/>
      <c r="FOT10" s="501"/>
      <c r="FOU10" s="501"/>
      <c r="FOV10" s="501"/>
      <c r="FOW10" s="501"/>
      <c r="FOX10" s="501"/>
      <c r="FOY10" s="501"/>
      <c r="FOZ10" s="501"/>
      <c r="FPA10" s="501"/>
      <c r="FPB10" s="501"/>
      <c r="FPC10" s="501"/>
      <c r="FPD10" s="501"/>
      <c r="FPE10" s="501"/>
      <c r="FPF10" s="501"/>
      <c r="FPG10" s="501"/>
      <c r="FPH10" s="501"/>
      <c r="FPI10" s="501"/>
      <c r="FPJ10" s="501"/>
      <c r="FPK10" s="501"/>
      <c r="FPL10" s="501"/>
      <c r="FPM10" s="501"/>
      <c r="FPN10" s="501"/>
      <c r="FPO10" s="501"/>
      <c r="FPP10" s="501"/>
      <c r="FPQ10" s="501"/>
      <c r="FPR10" s="501"/>
      <c r="FPS10" s="501"/>
      <c r="FPT10" s="501"/>
      <c r="FPU10" s="501"/>
      <c r="FPV10" s="501"/>
      <c r="FPW10" s="501"/>
      <c r="FPX10" s="501"/>
      <c r="FPY10" s="501"/>
      <c r="FPZ10" s="501"/>
      <c r="FQA10" s="501"/>
      <c r="FQB10" s="501"/>
      <c r="FQC10" s="501"/>
      <c r="FQD10" s="501"/>
      <c r="FQE10" s="501"/>
      <c r="FQF10" s="501"/>
      <c r="FQG10" s="501"/>
      <c r="FQH10" s="501"/>
      <c r="FQI10" s="501"/>
      <c r="FQJ10" s="501"/>
      <c r="FQK10" s="501"/>
      <c r="FQL10" s="501"/>
      <c r="FQM10" s="501"/>
      <c r="FQN10" s="501"/>
      <c r="FQO10" s="501"/>
      <c r="FQP10" s="501"/>
      <c r="FQQ10" s="501"/>
      <c r="FQR10" s="501"/>
      <c r="FQS10" s="501"/>
      <c r="FQT10" s="501"/>
      <c r="FQU10" s="501"/>
      <c r="FQV10" s="501"/>
      <c r="FQW10" s="501"/>
      <c r="FQX10" s="501"/>
      <c r="FQY10" s="501"/>
      <c r="FQZ10" s="501"/>
      <c r="FRA10" s="501"/>
      <c r="FRB10" s="501"/>
      <c r="FRC10" s="501"/>
      <c r="FRD10" s="501"/>
      <c r="FRE10" s="501"/>
      <c r="FRF10" s="501"/>
      <c r="FRG10" s="501"/>
      <c r="FRH10" s="501"/>
      <c r="FRI10" s="501"/>
      <c r="FRJ10" s="501"/>
      <c r="FRK10" s="501"/>
      <c r="FRL10" s="501"/>
      <c r="FRM10" s="501"/>
      <c r="FRN10" s="501"/>
      <c r="FRO10" s="501"/>
      <c r="FRP10" s="501"/>
      <c r="FRQ10" s="501"/>
      <c r="FRR10" s="501"/>
      <c r="FRS10" s="501"/>
      <c r="FRT10" s="501"/>
      <c r="FRU10" s="501"/>
      <c r="FRV10" s="501"/>
      <c r="FRW10" s="501"/>
      <c r="FRX10" s="501"/>
      <c r="FRY10" s="501"/>
      <c r="FRZ10" s="501"/>
      <c r="FSA10" s="501"/>
      <c r="FSB10" s="501"/>
      <c r="FSC10" s="501"/>
      <c r="FSD10" s="501"/>
      <c r="FSE10" s="501"/>
      <c r="FSF10" s="501"/>
      <c r="FSG10" s="501"/>
      <c r="FSH10" s="501"/>
      <c r="FSI10" s="501"/>
      <c r="FSJ10" s="501"/>
      <c r="FSK10" s="501"/>
      <c r="FSL10" s="501"/>
      <c r="FSM10" s="501"/>
      <c r="FSN10" s="501"/>
      <c r="FSO10" s="501"/>
      <c r="FSP10" s="501"/>
      <c r="FSQ10" s="501"/>
      <c r="FSR10" s="501"/>
      <c r="FSS10" s="501"/>
      <c r="FST10" s="501"/>
      <c r="FSU10" s="501"/>
      <c r="FSV10" s="501"/>
      <c r="FSW10" s="501"/>
      <c r="FSX10" s="501"/>
      <c r="FSY10" s="501"/>
      <c r="FSZ10" s="501"/>
      <c r="FTA10" s="501"/>
      <c r="FTB10" s="501"/>
      <c r="FTC10" s="501"/>
      <c r="FTD10" s="501"/>
      <c r="FTE10" s="501"/>
      <c r="FTF10" s="501"/>
      <c r="FTG10" s="501"/>
      <c r="FTH10" s="501"/>
      <c r="FTI10" s="501"/>
      <c r="FTJ10" s="501"/>
      <c r="FTK10" s="501"/>
      <c r="FTL10" s="501"/>
      <c r="FTM10" s="501"/>
      <c r="FTN10" s="501"/>
      <c r="FTO10" s="501"/>
      <c r="FTP10" s="501"/>
      <c r="FTQ10" s="501"/>
      <c r="FTR10" s="501"/>
      <c r="FTS10" s="501"/>
      <c r="FTT10" s="501"/>
      <c r="FTU10" s="501"/>
      <c r="FTV10" s="501"/>
      <c r="FTW10" s="501"/>
      <c r="FTX10" s="501"/>
      <c r="FTY10" s="501"/>
      <c r="FTZ10" s="501"/>
      <c r="FUA10" s="501"/>
      <c r="FUB10" s="501"/>
      <c r="FUC10" s="501"/>
      <c r="FUD10" s="501"/>
      <c r="FUE10" s="501"/>
      <c r="FUF10" s="501"/>
      <c r="FUG10" s="501"/>
      <c r="FUH10" s="501"/>
      <c r="FUI10" s="501"/>
      <c r="FUJ10" s="501"/>
      <c r="FUK10" s="501"/>
      <c r="FUL10" s="501"/>
      <c r="FUM10" s="501"/>
      <c r="FUN10" s="501"/>
      <c r="FUO10" s="501"/>
      <c r="FUP10" s="501"/>
      <c r="FUQ10" s="501"/>
      <c r="FUR10" s="501"/>
      <c r="FUS10" s="501"/>
      <c r="FUT10" s="501"/>
      <c r="FUU10" s="501"/>
      <c r="FUV10" s="501"/>
      <c r="FUW10" s="501"/>
      <c r="FUX10" s="501"/>
      <c r="FUY10" s="501"/>
      <c r="FUZ10" s="501"/>
      <c r="FVA10" s="501"/>
      <c r="FVB10" s="501"/>
      <c r="FVC10" s="501"/>
      <c r="FVD10" s="501"/>
      <c r="FVE10" s="501"/>
      <c r="FVF10" s="501"/>
      <c r="FVG10" s="501"/>
      <c r="FVH10" s="501"/>
      <c r="FVI10" s="501"/>
      <c r="FVJ10" s="501"/>
      <c r="FVK10" s="501"/>
      <c r="FVL10" s="501"/>
      <c r="FVM10" s="501"/>
      <c r="FVN10" s="501"/>
      <c r="FVO10" s="501"/>
      <c r="FVP10" s="501"/>
      <c r="FVQ10" s="501"/>
      <c r="FVR10" s="501"/>
      <c r="FVS10" s="501"/>
      <c r="FVT10" s="501"/>
      <c r="FVU10" s="501"/>
      <c r="FVV10" s="501"/>
      <c r="FVW10" s="501"/>
      <c r="FVX10" s="501"/>
      <c r="FVY10" s="501"/>
      <c r="FVZ10" s="501"/>
      <c r="FWA10" s="501"/>
      <c r="FWB10" s="501"/>
      <c r="FWC10" s="501"/>
      <c r="FWD10" s="501"/>
      <c r="FWE10" s="501"/>
      <c r="FWF10" s="501"/>
      <c r="FWG10" s="501"/>
      <c r="FWH10" s="501"/>
      <c r="FWI10" s="501"/>
      <c r="FWJ10" s="501"/>
      <c r="FWK10" s="501"/>
      <c r="FWL10" s="501"/>
      <c r="FWM10" s="501"/>
      <c r="FWN10" s="501"/>
      <c r="FWO10" s="501"/>
      <c r="FWP10" s="501"/>
      <c r="FWQ10" s="501"/>
      <c r="FWR10" s="501"/>
      <c r="FWS10" s="501"/>
      <c r="FWT10" s="501"/>
      <c r="FWU10" s="501"/>
      <c r="FWV10" s="501"/>
      <c r="FWW10" s="501"/>
      <c r="FWX10" s="501"/>
      <c r="FWY10" s="501"/>
      <c r="FWZ10" s="501"/>
      <c r="FXA10" s="501"/>
      <c r="FXB10" s="501"/>
      <c r="FXC10" s="501"/>
      <c r="FXD10" s="501"/>
      <c r="FXE10" s="501"/>
      <c r="FXF10" s="501"/>
      <c r="FXG10" s="501"/>
      <c r="FXH10" s="501"/>
      <c r="FXI10" s="501"/>
      <c r="FXJ10" s="501"/>
      <c r="FXK10" s="501"/>
      <c r="FXL10" s="501"/>
      <c r="FXM10" s="501"/>
      <c r="FXN10" s="501"/>
      <c r="FXO10" s="501"/>
      <c r="FXP10" s="501"/>
      <c r="FXQ10" s="501"/>
      <c r="FXR10" s="501"/>
      <c r="FXS10" s="501"/>
      <c r="FXT10" s="501"/>
      <c r="FXU10" s="501"/>
      <c r="FXV10" s="501"/>
      <c r="FXW10" s="501"/>
      <c r="FXX10" s="501"/>
      <c r="FXY10" s="501"/>
      <c r="FXZ10" s="501"/>
      <c r="FYA10" s="501"/>
      <c r="FYB10" s="501"/>
      <c r="FYC10" s="501"/>
      <c r="FYD10" s="501"/>
      <c r="FYE10" s="501"/>
      <c r="FYF10" s="501"/>
      <c r="FYG10" s="501"/>
      <c r="FYH10" s="501"/>
      <c r="FYI10" s="501"/>
      <c r="FYJ10" s="501"/>
      <c r="FYK10" s="501"/>
      <c r="FYL10" s="501"/>
      <c r="FYM10" s="501"/>
      <c r="FYN10" s="501"/>
      <c r="FYO10" s="501"/>
      <c r="FYP10" s="501"/>
      <c r="FYQ10" s="501"/>
      <c r="FYR10" s="501"/>
      <c r="FYS10" s="501"/>
      <c r="FYT10" s="501"/>
      <c r="FYU10" s="501"/>
      <c r="FYV10" s="501"/>
      <c r="FYW10" s="501"/>
      <c r="FYX10" s="501"/>
      <c r="FYY10" s="501"/>
      <c r="FYZ10" s="501"/>
      <c r="FZA10" s="501"/>
      <c r="FZB10" s="501"/>
      <c r="FZC10" s="501"/>
      <c r="FZD10" s="501"/>
      <c r="FZE10" s="501"/>
      <c r="FZF10" s="501"/>
      <c r="FZG10" s="501"/>
      <c r="FZH10" s="501"/>
      <c r="FZI10" s="501"/>
      <c r="FZJ10" s="501"/>
      <c r="FZK10" s="501"/>
      <c r="FZL10" s="501"/>
      <c r="FZM10" s="501"/>
      <c r="FZN10" s="501"/>
      <c r="FZO10" s="501"/>
      <c r="FZP10" s="501"/>
      <c r="FZQ10" s="501"/>
      <c r="FZR10" s="501"/>
      <c r="FZS10" s="501"/>
      <c r="FZT10" s="501"/>
      <c r="FZU10" s="501"/>
      <c r="FZV10" s="501"/>
      <c r="FZW10" s="501"/>
      <c r="FZX10" s="501"/>
      <c r="FZY10" s="501"/>
      <c r="FZZ10" s="501"/>
      <c r="GAA10" s="501"/>
      <c r="GAB10" s="501"/>
      <c r="GAC10" s="501"/>
      <c r="GAD10" s="501"/>
      <c r="GAE10" s="501"/>
      <c r="GAF10" s="501"/>
      <c r="GAG10" s="501"/>
      <c r="GAH10" s="501"/>
      <c r="GAI10" s="501"/>
      <c r="GAJ10" s="501"/>
      <c r="GAK10" s="501"/>
      <c r="GAL10" s="501"/>
      <c r="GAM10" s="501"/>
      <c r="GAN10" s="501"/>
      <c r="GAO10" s="501"/>
      <c r="GAP10" s="501"/>
      <c r="GAQ10" s="501"/>
      <c r="GAR10" s="501"/>
      <c r="GAS10" s="501"/>
      <c r="GAT10" s="501"/>
      <c r="GAU10" s="501"/>
      <c r="GAV10" s="501"/>
      <c r="GAW10" s="501"/>
      <c r="GAX10" s="501"/>
      <c r="GAY10" s="501"/>
      <c r="GAZ10" s="501"/>
      <c r="GBA10" s="501"/>
      <c r="GBB10" s="501"/>
      <c r="GBC10" s="501"/>
      <c r="GBD10" s="501"/>
      <c r="GBE10" s="501"/>
      <c r="GBF10" s="501"/>
      <c r="GBG10" s="501"/>
      <c r="GBH10" s="501"/>
      <c r="GBI10" s="501"/>
      <c r="GBJ10" s="501"/>
      <c r="GBK10" s="501"/>
      <c r="GBL10" s="501"/>
      <c r="GBM10" s="501"/>
      <c r="GBN10" s="501"/>
      <c r="GBO10" s="501"/>
      <c r="GBP10" s="501"/>
      <c r="GBQ10" s="501"/>
      <c r="GBR10" s="501"/>
      <c r="GBS10" s="501"/>
      <c r="GBT10" s="501"/>
      <c r="GBU10" s="501"/>
      <c r="GBV10" s="501"/>
      <c r="GBW10" s="501"/>
      <c r="GBX10" s="501"/>
      <c r="GBY10" s="501"/>
      <c r="GBZ10" s="501"/>
      <c r="GCA10" s="501"/>
      <c r="GCB10" s="501"/>
      <c r="GCC10" s="501"/>
      <c r="GCD10" s="501"/>
      <c r="GCE10" s="501"/>
      <c r="GCF10" s="501"/>
      <c r="GCG10" s="501"/>
      <c r="GCH10" s="501"/>
      <c r="GCI10" s="501"/>
      <c r="GCJ10" s="501"/>
      <c r="GCK10" s="501"/>
      <c r="GCL10" s="501"/>
      <c r="GCM10" s="501"/>
      <c r="GCN10" s="501"/>
      <c r="GCO10" s="501"/>
      <c r="GCP10" s="501"/>
      <c r="GCQ10" s="501"/>
      <c r="GCR10" s="501"/>
      <c r="GCS10" s="501"/>
      <c r="GCT10" s="501"/>
      <c r="GCU10" s="501"/>
      <c r="GCV10" s="501"/>
      <c r="GCW10" s="501"/>
      <c r="GCX10" s="501"/>
      <c r="GCY10" s="501"/>
      <c r="GCZ10" s="501"/>
      <c r="GDA10" s="501"/>
      <c r="GDB10" s="501"/>
      <c r="GDC10" s="501"/>
      <c r="GDD10" s="501"/>
      <c r="GDE10" s="501"/>
      <c r="GDF10" s="501"/>
      <c r="GDG10" s="501"/>
      <c r="GDH10" s="501"/>
      <c r="GDI10" s="501"/>
      <c r="GDJ10" s="501"/>
      <c r="GDK10" s="501"/>
      <c r="GDL10" s="501"/>
      <c r="GDM10" s="501"/>
      <c r="GDN10" s="501"/>
      <c r="GDO10" s="501"/>
      <c r="GDP10" s="501"/>
      <c r="GDQ10" s="501"/>
      <c r="GDR10" s="501"/>
      <c r="GDS10" s="501"/>
      <c r="GDT10" s="501"/>
      <c r="GDU10" s="501"/>
      <c r="GDV10" s="501"/>
      <c r="GDW10" s="501"/>
      <c r="GDX10" s="501"/>
      <c r="GDY10" s="501"/>
      <c r="GDZ10" s="501"/>
      <c r="GEA10" s="501"/>
      <c r="GEB10" s="501"/>
      <c r="GEC10" s="501"/>
      <c r="GED10" s="501"/>
      <c r="GEE10" s="501"/>
      <c r="GEF10" s="501"/>
      <c r="GEG10" s="501"/>
      <c r="GEH10" s="501"/>
      <c r="GEI10" s="501"/>
      <c r="GEJ10" s="501"/>
      <c r="GEK10" s="501"/>
      <c r="GEL10" s="501"/>
      <c r="GEM10" s="501"/>
      <c r="GEN10" s="501"/>
      <c r="GEO10" s="501"/>
      <c r="GEP10" s="501"/>
      <c r="GEQ10" s="501"/>
      <c r="GER10" s="501"/>
      <c r="GES10" s="501"/>
      <c r="GET10" s="501"/>
      <c r="GEU10" s="501"/>
      <c r="GEV10" s="501"/>
      <c r="GEW10" s="501"/>
      <c r="GEX10" s="501"/>
      <c r="GEY10" s="501"/>
      <c r="GEZ10" s="501"/>
      <c r="GFA10" s="501"/>
      <c r="GFB10" s="501"/>
      <c r="GFC10" s="501"/>
      <c r="GFD10" s="501"/>
      <c r="GFE10" s="501"/>
      <c r="GFF10" s="501"/>
      <c r="GFG10" s="501"/>
      <c r="GFH10" s="501"/>
      <c r="GFI10" s="501"/>
      <c r="GFJ10" s="501"/>
      <c r="GFK10" s="501"/>
      <c r="GFL10" s="501"/>
      <c r="GFM10" s="501"/>
      <c r="GFN10" s="501"/>
      <c r="GFO10" s="501"/>
      <c r="GFP10" s="501"/>
      <c r="GFQ10" s="501"/>
      <c r="GFR10" s="501"/>
      <c r="GFS10" s="501"/>
      <c r="GFT10" s="501"/>
      <c r="GFU10" s="501"/>
      <c r="GFV10" s="501"/>
      <c r="GFW10" s="501"/>
      <c r="GFX10" s="501"/>
      <c r="GFY10" s="501"/>
      <c r="GFZ10" s="501"/>
      <c r="GGA10" s="501"/>
      <c r="GGB10" s="501"/>
      <c r="GGC10" s="501"/>
      <c r="GGD10" s="501"/>
      <c r="GGE10" s="501"/>
      <c r="GGF10" s="501"/>
      <c r="GGG10" s="501"/>
      <c r="GGH10" s="501"/>
      <c r="GGI10" s="501"/>
      <c r="GGJ10" s="501"/>
      <c r="GGK10" s="501"/>
      <c r="GGL10" s="501"/>
      <c r="GGM10" s="501"/>
      <c r="GGN10" s="501"/>
      <c r="GGO10" s="501"/>
      <c r="GGP10" s="501"/>
      <c r="GGQ10" s="501"/>
      <c r="GGR10" s="501"/>
      <c r="GGS10" s="501"/>
      <c r="GGT10" s="501"/>
      <c r="GGU10" s="501"/>
      <c r="GGV10" s="501"/>
      <c r="GGW10" s="501"/>
      <c r="GGX10" s="501"/>
      <c r="GGY10" s="501"/>
      <c r="GGZ10" s="501"/>
      <c r="GHA10" s="501"/>
      <c r="GHB10" s="501"/>
      <c r="GHC10" s="501"/>
      <c r="GHD10" s="501"/>
      <c r="GHE10" s="501"/>
      <c r="GHF10" s="501"/>
      <c r="GHG10" s="501"/>
      <c r="GHH10" s="501"/>
      <c r="GHI10" s="501"/>
      <c r="GHJ10" s="501"/>
      <c r="GHK10" s="501"/>
      <c r="GHL10" s="501"/>
      <c r="GHM10" s="501"/>
      <c r="GHN10" s="501"/>
      <c r="GHO10" s="501"/>
      <c r="GHP10" s="501"/>
      <c r="GHQ10" s="501"/>
      <c r="GHR10" s="501"/>
      <c r="GHS10" s="501"/>
      <c r="GHT10" s="501"/>
      <c r="GHU10" s="501"/>
      <c r="GHV10" s="501"/>
      <c r="GHW10" s="501"/>
      <c r="GHX10" s="501"/>
      <c r="GHY10" s="501"/>
      <c r="GHZ10" s="501"/>
      <c r="GIA10" s="501"/>
      <c r="GIB10" s="501"/>
      <c r="GIC10" s="501"/>
      <c r="GID10" s="501"/>
      <c r="GIE10" s="501"/>
      <c r="GIF10" s="501"/>
      <c r="GIG10" s="501"/>
      <c r="GIH10" s="501"/>
      <c r="GII10" s="501"/>
      <c r="GIJ10" s="501"/>
      <c r="GIK10" s="501"/>
      <c r="GIL10" s="501"/>
      <c r="GIM10" s="501"/>
      <c r="GIN10" s="501"/>
      <c r="GIO10" s="501"/>
      <c r="GIP10" s="501"/>
      <c r="GIQ10" s="501"/>
      <c r="GIR10" s="501"/>
      <c r="GIS10" s="501"/>
      <c r="GIT10" s="501"/>
      <c r="GIU10" s="501"/>
      <c r="GIV10" s="501"/>
      <c r="GIW10" s="501"/>
      <c r="GIX10" s="501"/>
      <c r="GIY10" s="501"/>
      <c r="GIZ10" s="501"/>
      <c r="GJA10" s="501"/>
      <c r="GJB10" s="501"/>
      <c r="GJC10" s="501"/>
      <c r="GJD10" s="501"/>
      <c r="GJE10" s="501"/>
      <c r="GJF10" s="501"/>
      <c r="GJG10" s="501"/>
      <c r="GJH10" s="501"/>
      <c r="GJI10" s="501"/>
      <c r="GJJ10" s="501"/>
      <c r="GJK10" s="501"/>
      <c r="GJL10" s="501"/>
      <c r="GJM10" s="501"/>
      <c r="GJN10" s="501"/>
      <c r="GJO10" s="501"/>
      <c r="GJP10" s="501"/>
      <c r="GJQ10" s="501"/>
      <c r="GJR10" s="501"/>
      <c r="GJS10" s="501"/>
      <c r="GJT10" s="501"/>
      <c r="GJU10" s="501"/>
      <c r="GJV10" s="501"/>
      <c r="GJW10" s="501"/>
      <c r="GJX10" s="501"/>
      <c r="GJY10" s="501"/>
      <c r="GJZ10" s="501"/>
      <c r="GKA10" s="501"/>
      <c r="GKB10" s="501"/>
      <c r="GKC10" s="501"/>
      <c r="GKD10" s="501"/>
      <c r="GKE10" s="501"/>
      <c r="GKF10" s="501"/>
      <c r="GKG10" s="501"/>
      <c r="GKH10" s="501"/>
      <c r="GKI10" s="501"/>
      <c r="GKJ10" s="501"/>
      <c r="GKK10" s="501"/>
      <c r="GKL10" s="501"/>
      <c r="GKM10" s="501"/>
      <c r="GKN10" s="501"/>
      <c r="GKO10" s="501"/>
      <c r="GKP10" s="501"/>
      <c r="GKQ10" s="501"/>
      <c r="GKR10" s="501"/>
      <c r="GKS10" s="501"/>
      <c r="GKT10" s="501"/>
      <c r="GKU10" s="501"/>
      <c r="GKV10" s="501"/>
      <c r="GKW10" s="501"/>
      <c r="GKX10" s="501"/>
      <c r="GKY10" s="501"/>
      <c r="GKZ10" s="501"/>
      <c r="GLA10" s="501"/>
      <c r="GLB10" s="501"/>
      <c r="GLC10" s="501"/>
      <c r="GLD10" s="501"/>
      <c r="GLE10" s="501"/>
      <c r="GLF10" s="501"/>
      <c r="GLG10" s="501"/>
      <c r="GLH10" s="501"/>
      <c r="GLI10" s="501"/>
      <c r="GLJ10" s="501"/>
      <c r="GLK10" s="501"/>
      <c r="GLL10" s="501"/>
      <c r="GLM10" s="501"/>
      <c r="GLN10" s="501"/>
      <c r="GLO10" s="501"/>
      <c r="GLP10" s="501"/>
      <c r="GLQ10" s="501"/>
      <c r="GLR10" s="501"/>
      <c r="GLS10" s="501"/>
      <c r="GLT10" s="501"/>
      <c r="GLU10" s="501"/>
      <c r="GLV10" s="501"/>
      <c r="GLW10" s="501"/>
      <c r="GLX10" s="501"/>
      <c r="GLY10" s="501"/>
      <c r="GLZ10" s="501"/>
      <c r="GMA10" s="501"/>
      <c r="GMB10" s="501"/>
      <c r="GMC10" s="501"/>
      <c r="GMD10" s="501"/>
      <c r="GME10" s="501"/>
      <c r="GMF10" s="501"/>
      <c r="GMG10" s="501"/>
      <c r="GMH10" s="501"/>
      <c r="GMI10" s="501"/>
      <c r="GMJ10" s="501"/>
      <c r="GMK10" s="501"/>
      <c r="GML10" s="501"/>
      <c r="GMM10" s="501"/>
      <c r="GMN10" s="501"/>
      <c r="GMO10" s="501"/>
      <c r="GMP10" s="501"/>
      <c r="GMQ10" s="501"/>
      <c r="GMR10" s="501"/>
      <c r="GMS10" s="501"/>
      <c r="GMT10" s="501"/>
      <c r="GMU10" s="501"/>
      <c r="GMV10" s="501"/>
      <c r="GMW10" s="501"/>
      <c r="GMX10" s="501"/>
      <c r="GMY10" s="501"/>
      <c r="GMZ10" s="501"/>
      <c r="GNA10" s="501"/>
      <c r="GNB10" s="501"/>
      <c r="GNC10" s="501"/>
      <c r="GND10" s="501"/>
      <c r="GNE10" s="501"/>
      <c r="GNF10" s="501"/>
      <c r="GNG10" s="501"/>
      <c r="GNH10" s="501"/>
      <c r="GNI10" s="501"/>
      <c r="GNJ10" s="501"/>
      <c r="GNK10" s="501"/>
      <c r="GNL10" s="501"/>
      <c r="GNM10" s="501"/>
      <c r="GNN10" s="501"/>
      <c r="GNO10" s="501"/>
      <c r="GNP10" s="501"/>
      <c r="GNQ10" s="501"/>
      <c r="GNR10" s="501"/>
      <c r="GNS10" s="501"/>
      <c r="GNT10" s="501"/>
      <c r="GNU10" s="501"/>
      <c r="GNV10" s="501"/>
      <c r="GNW10" s="501"/>
      <c r="GNX10" s="501"/>
      <c r="GNY10" s="501"/>
      <c r="GNZ10" s="501"/>
      <c r="GOA10" s="501"/>
      <c r="GOB10" s="501"/>
      <c r="GOC10" s="501"/>
      <c r="GOD10" s="501"/>
      <c r="GOE10" s="501"/>
      <c r="GOF10" s="501"/>
      <c r="GOG10" s="501"/>
      <c r="GOH10" s="501"/>
      <c r="GOI10" s="501"/>
      <c r="GOJ10" s="501"/>
      <c r="GOK10" s="501"/>
      <c r="GOL10" s="501"/>
      <c r="GOM10" s="501"/>
      <c r="GON10" s="501"/>
      <c r="GOO10" s="501"/>
      <c r="GOP10" s="501"/>
      <c r="GOQ10" s="501"/>
      <c r="GOR10" s="501"/>
      <c r="GOS10" s="501"/>
      <c r="GOT10" s="501"/>
      <c r="GOU10" s="501"/>
      <c r="GOV10" s="501"/>
      <c r="GOW10" s="501"/>
      <c r="GOX10" s="501"/>
      <c r="GOY10" s="501"/>
      <c r="GOZ10" s="501"/>
      <c r="GPA10" s="501"/>
      <c r="GPB10" s="501"/>
      <c r="GPC10" s="501"/>
      <c r="GPD10" s="501"/>
      <c r="GPE10" s="501"/>
      <c r="GPF10" s="501"/>
      <c r="GPG10" s="501"/>
      <c r="GPH10" s="501"/>
      <c r="GPI10" s="501"/>
      <c r="GPJ10" s="501"/>
      <c r="GPK10" s="501"/>
      <c r="GPL10" s="501"/>
      <c r="GPM10" s="501"/>
      <c r="GPN10" s="501"/>
      <c r="GPO10" s="501"/>
      <c r="GPP10" s="501"/>
      <c r="GPQ10" s="501"/>
      <c r="GPR10" s="501"/>
      <c r="GPS10" s="501"/>
      <c r="GPT10" s="501"/>
      <c r="GPU10" s="501"/>
      <c r="GPV10" s="501"/>
      <c r="GPW10" s="501"/>
      <c r="GPX10" s="501"/>
      <c r="GPY10" s="501"/>
      <c r="GPZ10" s="501"/>
      <c r="GQA10" s="501"/>
      <c r="GQB10" s="501"/>
      <c r="GQC10" s="501"/>
      <c r="GQD10" s="501"/>
      <c r="GQE10" s="501"/>
      <c r="GQF10" s="501"/>
      <c r="GQG10" s="501"/>
      <c r="GQH10" s="501"/>
      <c r="GQI10" s="501"/>
      <c r="GQJ10" s="501"/>
      <c r="GQK10" s="501"/>
      <c r="GQL10" s="501"/>
      <c r="GQM10" s="501"/>
      <c r="GQN10" s="501"/>
      <c r="GQO10" s="501"/>
      <c r="GQP10" s="501"/>
      <c r="GQQ10" s="501"/>
      <c r="GQR10" s="501"/>
      <c r="GQS10" s="501"/>
      <c r="GQT10" s="501"/>
      <c r="GQU10" s="501"/>
      <c r="GQV10" s="501"/>
      <c r="GQW10" s="501"/>
      <c r="GQX10" s="501"/>
      <c r="GQY10" s="501"/>
      <c r="GQZ10" s="501"/>
      <c r="GRA10" s="501"/>
      <c r="GRB10" s="501"/>
      <c r="GRC10" s="501"/>
      <c r="GRD10" s="501"/>
      <c r="GRE10" s="501"/>
      <c r="GRF10" s="501"/>
      <c r="GRG10" s="501"/>
      <c r="GRH10" s="501"/>
      <c r="GRI10" s="501"/>
      <c r="GRJ10" s="501"/>
      <c r="GRK10" s="501"/>
      <c r="GRL10" s="501"/>
      <c r="GRM10" s="501"/>
      <c r="GRN10" s="501"/>
      <c r="GRO10" s="501"/>
      <c r="GRP10" s="501"/>
      <c r="GRQ10" s="501"/>
      <c r="GRR10" s="501"/>
      <c r="GRS10" s="501"/>
      <c r="GRT10" s="501"/>
      <c r="GRU10" s="501"/>
      <c r="GRV10" s="501"/>
      <c r="GRW10" s="501"/>
      <c r="GRX10" s="501"/>
      <c r="GRY10" s="501"/>
      <c r="GRZ10" s="501"/>
      <c r="GSA10" s="501"/>
      <c r="GSB10" s="501"/>
      <c r="GSC10" s="501"/>
      <c r="GSD10" s="501"/>
      <c r="GSE10" s="501"/>
      <c r="GSF10" s="501"/>
      <c r="GSG10" s="501"/>
      <c r="GSH10" s="501"/>
      <c r="GSI10" s="501"/>
      <c r="GSJ10" s="501"/>
      <c r="GSK10" s="501"/>
      <c r="GSL10" s="501"/>
      <c r="GSM10" s="501"/>
      <c r="GSN10" s="501"/>
      <c r="GSO10" s="501"/>
      <c r="GSP10" s="501"/>
      <c r="GSQ10" s="501"/>
      <c r="GSR10" s="501"/>
      <c r="GSS10" s="501"/>
      <c r="GST10" s="501"/>
      <c r="GSU10" s="501"/>
      <c r="GSV10" s="501"/>
      <c r="GSW10" s="501"/>
      <c r="GSX10" s="501"/>
      <c r="GSY10" s="501"/>
      <c r="GSZ10" s="501"/>
      <c r="GTA10" s="501"/>
      <c r="GTB10" s="501"/>
      <c r="GTC10" s="501"/>
      <c r="GTD10" s="501"/>
      <c r="GTE10" s="501"/>
      <c r="GTF10" s="501"/>
      <c r="GTG10" s="501"/>
      <c r="GTH10" s="501"/>
      <c r="GTI10" s="501"/>
      <c r="GTJ10" s="501"/>
      <c r="GTK10" s="501"/>
      <c r="GTL10" s="501"/>
      <c r="GTM10" s="501"/>
      <c r="GTN10" s="501"/>
      <c r="GTO10" s="501"/>
      <c r="GTP10" s="501"/>
      <c r="GTQ10" s="501"/>
      <c r="GTR10" s="501"/>
      <c r="GTS10" s="501"/>
      <c r="GTT10" s="501"/>
      <c r="GTU10" s="501"/>
      <c r="GTV10" s="501"/>
      <c r="GTW10" s="501"/>
      <c r="GTX10" s="501"/>
      <c r="GTY10" s="501"/>
      <c r="GTZ10" s="501"/>
      <c r="GUA10" s="501"/>
      <c r="GUB10" s="501"/>
      <c r="GUC10" s="501"/>
      <c r="GUD10" s="501"/>
      <c r="GUE10" s="501"/>
      <c r="GUF10" s="501"/>
      <c r="GUG10" s="501"/>
      <c r="GUH10" s="501"/>
      <c r="GUI10" s="501"/>
      <c r="GUJ10" s="501"/>
      <c r="GUK10" s="501"/>
      <c r="GUL10" s="501"/>
      <c r="GUM10" s="501"/>
      <c r="GUN10" s="501"/>
      <c r="GUO10" s="501"/>
      <c r="GUP10" s="501"/>
      <c r="GUQ10" s="501"/>
      <c r="GUR10" s="501"/>
      <c r="GUS10" s="501"/>
      <c r="GUT10" s="501"/>
      <c r="GUU10" s="501"/>
      <c r="GUV10" s="501"/>
      <c r="GUW10" s="501"/>
      <c r="GUX10" s="501"/>
      <c r="GUY10" s="501"/>
      <c r="GUZ10" s="501"/>
      <c r="GVA10" s="501"/>
      <c r="GVB10" s="501"/>
      <c r="GVC10" s="501"/>
      <c r="GVD10" s="501"/>
      <c r="GVE10" s="501"/>
      <c r="GVF10" s="501"/>
      <c r="GVG10" s="501"/>
      <c r="GVH10" s="501"/>
      <c r="GVI10" s="501"/>
      <c r="GVJ10" s="501"/>
      <c r="GVK10" s="501"/>
      <c r="GVL10" s="501"/>
      <c r="GVM10" s="501"/>
      <c r="GVN10" s="501"/>
      <c r="GVO10" s="501"/>
      <c r="GVP10" s="501"/>
      <c r="GVQ10" s="501"/>
      <c r="GVR10" s="501"/>
      <c r="GVS10" s="501"/>
      <c r="GVT10" s="501"/>
      <c r="GVU10" s="501"/>
      <c r="GVV10" s="501"/>
      <c r="GVW10" s="501"/>
      <c r="GVX10" s="501"/>
      <c r="GVY10" s="501"/>
      <c r="GVZ10" s="501"/>
      <c r="GWA10" s="501"/>
      <c r="GWB10" s="501"/>
      <c r="GWC10" s="501"/>
      <c r="GWD10" s="501"/>
      <c r="GWE10" s="501"/>
      <c r="GWF10" s="501"/>
      <c r="GWG10" s="501"/>
      <c r="GWH10" s="501"/>
      <c r="GWI10" s="501"/>
      <c r="GWJ10" s="501"/>
      <c r="GWK10" s="501"/>
      <c r="GWL10" s="501"/>
      <c r="GWM10" s="501"/>
      <c r="GWN10" s="501"/>
      <c r="GWO10" s="501"/>
      <c r="GWP10" s="501"/>
      <c r="GWQ10" s="501"/>
      <c r="GWR10" s="501"/>
      <c r="GWS10" s="501"/>
      <c r="GWT10" s="501"/>
      <c r="GWU10" s="501"/>
      <c r="GWV10" s="501"/>
      <c r="GWW10" s="501"/>
      <c r="GWX10" s="501"/>
      <c r="GWY10" s="501"/>
      <c r="GWZ10" s="501"/>
      <c r="GXA10" s="501"/>
      <c r="GXB10" s="501"/>
      <c r="GXC10" s="501"/>
      <c r="GXD10" s="501"/>
      <c r="GXE10" s="501"/>
      <c r="GXF10" s="501"/>
      <c r="GXG10" s="501"/>
      <c r="GXH10" s="501"/>
      <c r="GXI10" s="501"/>
      <c r="GXJ10" s="501"/>
      <c r="GXK10" s="501"/>
      <c r="GXL10" s="501"/>
      <c r="GXM10" s="501"/>
      <c r="GXN10" s="501"/>
      <c r="GXO10" s="501"/>
      <c r="GXP10" s="501"/>
      <c r="GXQ10" s="501"/>
      <c r="GXR10" s="501"/>
      <c r="GXS10" s="501"/>
      <c r="GXT10" s="501"/>
      <c r="GXU10" s="501"/>
      <c r="GXV10" s="501"/>
      <c r="GXW10" s="501"/>
      <c r="GXX10" s="501"/>
      <c r="GXY10" s="501"/>
      <c r="GXZ10" s="501"/>
      <c r="GYA10" s="501"/>
      <c r="GYB10" s="501"/>
      <c r="GYC10" s="501"/>
      <c r="GYD10" s="501"/>
      <c r="GYE10" s="501"/>
      <c r="GYF10" s="501"/>
      <c r="GYG10" s="501"/>
      <c r="GYH10" s="501"/>
      <c r="GYI10" s="501"/>
      <c r="GYJ10" s="501"/>
      <c r="GYK10" s="501"/>
      <c r="GYL10" s="501"/>
      <c r="GYM10" s="501"/>
      <c r="GYN10" s="501"/>
      <c r="GYO10" s="501"/>
      <c r="GYP10" s="501"/>
      <c r="GYQ10" s="501"/>
      <c r="GYR10" s="501"/>
      <c r="GYS10" s="501"/>
      <c r="GYT10" s="501"/>
      <c r="GYU10" s="501"/>
      <c r="GYV10" s="501"/>
      <c r="GYW10" s="501"/>
      <c r="GYX10" s="501"/>
      <c r="GYY10" s="501"/>
      <c r="GYZ10" s="501"/>
      <c r="GZA10" s="501"/>
      <c r="GZB10" s="501"/>
      <c r="GZC10" s="501"/>
      <c r="GZD10" s="501"/>
      <c r="GZE10" s="501"/>
      <c r="GZF10" s="501"/>
      <c r="GZG10" s="501"/>
      <c r="GZH10" s="501"/>
      <c r="GZI10" s="501"/>
      <c r="GZJ10" s="501"/>
      <c r="GZK10" s="501"/>
      <c r="GZL10" s="501"/>
      <c r="GZM10" s="501"/>
      <c r="GZN10" s="501"/>
      <c r="GZO10" s="501"/>
      <c r="GZP10" s="501"/>
      <c r="GZQ10" s="501"/>
      <c r="GZR10" s="501"/>
      <c r="GZS10" s="501"/>
      <c r="GZT10" s="501"/>
      <c r="GZU10" s="501"/>
      <c r="GZV10" s="501"/>
      <c r="GZW10" s="501"/>
      <c r="GZX10" s="501"/>
      <c r="GZY10" s="501"/>
      <c r="GZZ10" s="501"/>
      <c r="HAA10" s="501"/>
      <c r="HAB10" s="501"/>
      <c r="HAC10" s="501"/>
      <c r="HAD10" s="501"/>
      <c r="HAE10" s="501"/>
      <c r="HAF10" s="501"/>
      <c r="HAG10" s="501"/>
      <c r="HAH10" s="501"/>
      <c r="HAI10" s="501"/>
      <c r="HAJ10" s="501"/>
      <c r="HAK10" s="501"/>
      <c r="HAL10" s="501"/>
      <c r="HAM10" s="501"/>
      <c r="HAN10" s="501"/>
      <c r="HAO10" s="501"/>
      <c r="HAP10" s="501"/>
      <c r="HAQ10" s="501"/>
      <c r="HAR10" s="501"/>
      <c r="HAS10" s="501"/>
      <c r="HAT10" s="501"/>
      <c r="HAU10" s="501"/>
      <c r="HAV10" s="501"/>
      <c r="HAW10" s="501"/>
      <c r="HAX10" s="501"/>
      <c r="HAY10" s="501"/>
      <c r="HAZ10" s="501"/>
      <c r="HBA10" s="501"/>
      <c r="HBB10" s="501"/>
      <c r="HBC10" s="501"/>
      <c r="HBD10" s="501"/>
      <c r="HBE10" s="501"/>
      <c r="HBF10" s="501"/>
      <c r="HBG10" s="501"/>
      <c r="HBH10" s="501"/>
      <c r="HBI10" s="501"/>
      <c r="HBJ10" s="501"/>
      <c r="HBK10" s="501"/>
      <c r="HBL10" s="501"/>
      <c r="HBM10" s="501"/>
      <c r="HBN10" s="501"/>
      <c r="HBO10" s="501"/>
      <c r="HBP10" s="501"/>
      <c r="HBQ10" s="501"/>
      <c r="HBR10" s="501"/>
      <c r="HBS10" s="501"/>
      <c r="HBT10" s="501"/>
      <c r="HBU10" s="501"/>
      <c r="HBV10" s="501"/>
      <c r="HBW10" s="501"/>
      <c r="HBX10" s="501"/>
      <c r="HBY10" s="501"/>
      <c r="HBZ10" s="501"/>
      <c r="HCA10" s="501"/>
      <c r="HCB10" s="501"/>
      <c r="HCC10" s="501"/>
      <c r="HCD10" s="501"/>
      <c r="HCE10" s="501"/>
      <c r="HCF10" s="501"/>
      <c r="HCG10" s="501"/>
      <c r="HCH10" s="501"/>
      <c r="HCI10" s="501"/>
      <c r="HCJ10" s="501"/>
      <c r="HCK10" s="501"/>
      <c r="HCL10" s="501"/>
      <c r="HCM10" s="501"/>
      <c r="HCN10" s="501"/>
      <c r="HCO10" s="501"/>
      <c r="HCP10" s="501"/>
      <c r="HCQ10" s="501"/>
      <c r="HCR10" s="501"/>
      <c r="HCS10" s="501"/>
      <c r="HCT10" s="501"/>
      <c r="HCU10" s="501"/>
      <c r="HCV10" s="501"/>
      <c r="HCW10" s="501"/>
      <c r="HCX10" s="501"/>
      <c r="HCY10" s="501"/>
      <c r="HCZ10" s="501"/>
      <c r="HDA10" s="501"/>
      <c r="HDB10" s="501"/>
      <c r="HDC10" s="501"/>
      <c r="HDD10" s="501"/>
      <c r="HDE10" s="501"/>
      <c r="HDF10" s="501"/>
      <c r="HDG10" s="501"/>
      <c r="HDH10" s="501"/>
      <c r="HDI10" s="501"/>
      <c r="HDJ10" s="501"/>
      <c r="HDK10" s="501"/>
      <c r="HDL10" s="501"/>
      <c r="HDM10" s="501"/>
      <c r="HDN10" s="501"/>
      <c r="HDO10" s="501"/>
      <c r="HDP10" s="501"/>
      <c r="HDQ10" s="501"/>
      <c r="HDR10" s="501"/>
      <c r="HDS10" s="501"/>
      <c r="HDT10" s="501"/>
      <c r="HDU10" s="501"/>
      <c r="HDV10" s="501"/>
      <c r="HDW10" s="501"/>
      <c r="HDX10" s="501"/>
      <c r="HDY10" s="501"/>
      <c r="HDZ10" s="501"/>
      <c r="HEA10" s="501"/>
      <c r="HEB10" s="501"/>
      <c r="HEC10" s="501"/>
      <c r="HED10" s="501"/>
      <c r="HEE10" s="501"/>
      <c r="HEF10" s="501"/>
      <c r="HEG10" s="501"/>
      <c r="HEH10" s="501"/>
      <c r="HEI10" s="501"/>
      <c r="HEJ10" s="501"/>
      <c r="HEK10" s="501"/>
      <c r="HEL10" s="501"/>
      <c r="HEM10" s="501"/>
      <c r="HEN10" s="501"/>
      <c r="HEO10" s="501"/>
      <c r="HEP10" s="501"/>
      <c r="HEQ10" s="501"/>
      <c r="HER10" s="501"/>
      <c r="HES10" s="501"/>
      <c r="HET10" s="501"/>
      <c r="HEU10" s="501"/>
      <c r="HEV10" s="501"/>
      <c r="HEW10" s="501"/>
      <c r="HEX10" s="501"/>
      <c r="HEY10" s="501"/>
      <c r="HEZ10" s="501"/>
      <c r="HFA10" s="501"/>
      <c r="HFB10" s="501"/>
      <c r="HFC10" s="501"/>
      <c r="HFD10" s="501"/>
      <c r="HFE10" s="501"/>
      <c r="HFF10" s="501"/>
      <c r="HFG10" s="501"/>
      <c r="HFH10" s="501"/>
      <c r="HFI10" s="501"/>
      <c r="HFJ10" s="501"/>
      <c r="HFK10" s="501"/>
      <c r="HFL10" s="501"/>
      <c r="HFM10" s="501"/>
      <c r="HFN10" s="501"/>
      <c r="HFO10" s="501"/>
      <c r="HFP10" s="501"/>
      <c r="HFQ10" s="501"/>
      <c r="HFR10" s="501"/>
      <c r="HFS10" s="501"/>
      <c r="HFT10" s="501"/>
      <c r="HFU10" s="501"/>
      <c r="HFV10" s="501"/>
      <c r="HFW10" s="501"/>
      <c r="HFX10" s="501"/>
      <c r="HFY10" s="501"/>
      <c r="HFZ10" s="501"/>
      <c r="HGA10" s="501"/>
      <c r="HGB10" s="501"/>
      <c r="HGC10" s="501"/>
      <c r="HGD10" s="501"/>
      <c r="HGE10" s="501"/>
      <c r="HGF10" s="501"/>
      <c r="HGG10" s="501"/>
      <c r="HGH10" s="501"/>
      <c r="HGI10" s="501"/>
      <c r="HGJ10" s="501"/>
      <c r="HGK10" s="501"/>
      <c r="HGL10" s="501"/>
      <c r="HGM10" s="501"/>
      <c r="HGN10" s="501"/>
      <c r="HGO10" s="501"/>
      <c r="HGP10" s="501"/>
      <c r="HGQ10" s="501"/>
      <c r="HGR10" s="501"/>
      <c r="HGS10" s="501"/>
      <c r="HGT10" s="501"/>
      <c r="HGU10" s="501"/>
      <c r="HGV10" s="501"/>
      <c r="HGW10" s="501"/>
      <c r="HGX10" s="501"/>
      <c r="HGY10" s="501"/>
      <c r="HGZ10" s="501"/>
      <c r="HHA10" s="501"/>
      <c r="HHB10" s="501"/>
      <c r="HHC10" s="501"/>
      <c r="HHD10" s="501"/>
      <c r="HHE10" s="501"/>
      <c r="HHF10" s="501"/>
      <c r="HHG10" s="501"/>
      <c r="HHH10" s="501"/>
      <c r="HHI10" s="501"/>
      <c r="HHJ10" s="501"/>
      <c r="HHK10" s="501"/>
      <c r="HHL10" s="501"/>
      <c r="HHM10" s="501"/>
      <c r="HHN10" s="501"/>
      <c r="HHO10" s="501"/>
      <c r="HHP10" s="501"/>
      <c r="HHQ10" s="501"/>
      <c r="HHR10" s="501"/>
      <c r="HHS10" s="501"/>
      <c r="HHT10" s="501"/>
      <c r="HHU10" s="501"/>
      <c r="HHV10" s="501"/>
      <c r="HHW10" s="501"/>
      <c r="HHX10" s="501"/>
      <c r="HHY10" s="501"/>
      <c r="HHZ10" s="501"/>
      <c r="HIA10" s="501"/>
      <c r="HIB10" s="501"/>
      <c r="HIC10" s="501"/>
      <c r="HID10" s="501"/>
      <c r="HIE10" s="501"/>
      <c r="HIF10" s="501"/>
      <c r="HIG10" s="501"/>
      <c r="HIH10" s="501"/>
      <c r="HII10" s="501"/>
      <c r="HIJ10" s="501"/>
      <c r="HIK10" s="501"/>
      <c r="HIL10" s="501"/>
      <c r="HIM10" s="501"/>
      <c r="HIN10" s="501"/>
      <c r="HIO10" s="501"/>
      <c r="HIP10" s="501"/>
      <c r="HIQ10" s="501"/>
      <c r="HIR10" s="501"/>
      <c r="HIS10" s="501"/>
      <c r="HIT10" s="501"/>
      <c r="HIU10" s="501"/>
      <c r="HIV10" s="501"/>
      <c r="HIW10" s="501"/>
      <c r="HIX10" s="501"/>
      <c r="HIY10" s="501"/>
      <c r="HIZ10" s="501"/>
      <c r="HJA10" s="501"/>
      <c r="HJB10" s="501"/>
      <c r="HJC10" s="501"/>
      <c r="HJD10" s="501"/>
      <c r="HJE10" s="501"/>
      <c r="HJF10" s="501"/>
      <c r="HJG10" s="501"/>
      <c r="HJH10" s="501"/>
      <c r="HJI10" s="501"/>
      <c r="HJJ10" s="501"/>
      <c r="HJK10" s="501"/>
      <c r="HJL10" s="501"/>
      <c r="HJM10" s="501"/>
      <c r="HJN10" s="501"/>
      <c r="HJO10" s="501"/>
      <c r="HJP10" s="501"/>
      <c r="HJQ10" s="501"/>
      <c r="HJR10" s="501"/>
      <c r="HJS10" s="501"/>
      <c r="HJT10" s="501"/>
      <c r="HJU10" s="501"/>
      <c r="HJV10" s="501"/>
      <c r="HJW10" s="501"/>
      <c r="HJX10" s="501"/>
      <c r="HJY10" s="501"/>
      <c r="HJZ10" s="501"/>
      <c r="HKA10" s="501"/>
      <c r="HKB10" s="501"/>
      <c r="HKC10" s="501"/>
      <c r="HKD10" s="501"/>
      <c r="HKE10" s="501"/>
      <c r="HKF10" s="501"/>
      <c r="HKG10" s="501"/>
      <c r="HKH10" s="501"/>
      <c r="HKI10" s="501"/>
      <c r="HKJ10" s="501"/>
      <c r="HKK10" s="501"/>
      <c r="HKL10" s="501"/>
      <c r="HKM10" s="501"/>
      <c r="HKN10" s="501"/>
      <c r="HKO10" s="501"/>
      <c r="HKP10" s="501"/>
      <c r="HKQ10" s="501"/>
      <c r="HKR10" s="501"/>
      <c r="HKS10" s="501"/>
      <c r="HKT10" s="501"/>
      <c r="HKU10" s="501"/>
      <c r="HKV10" s="501"/>
      <c r="HKW10" s="501"/>
      <c r="HKX10" s="501"/>
      <c r="HKY10" s="501"/>
      <c r="HKZ10" s="501"/>
      <c r="HLA10" s="501"/>
      <c r="HLB10" s="501"/>
      <c r="HLC10" s="501"/>
      <c r="HLD10" s="501"/>
      <c r="HLE10" s="501"/>
      <c r="HLF10" s="501"/>
      <c r="HLG10" s="501"/>
      <c r="HLH10" s="501"/>
      <c r="HLI10" s="501"/>
      <c r="HLJ10" s="501"/>
      <c r="HLK10" s="501"/>
      <c r="HLL10" s="501"/>
      <c r="HLM10" s="501"/>
      <c r="HLN10" s="501"/>
      <c r="HLO10" s="501"/>
      <c r="HLP10" s="501"/>
      <c r="HLQ10" s="501"/>
      <c r="HLR10" s="501"/>
      <c r="HLS10" s="501"/>
      <c r="HLT10" s="501"/>
      <c r="HLU10" s="501"/>
      <c r="HLV10" s="501"/>
      <c r="HLW10" s="501"/>
      <c r="HLX10" s="501"/>
      <c r="HLY10" s="501"/>
      <c r="HLZ10" s="501"/>
      <c r="HMA10" s="501"/>
      <c r="HMB10" s="501"/>
      <c r="HMC10" s="501"/>
      <c r="HMD10" s="501"/>
      <c r="HME10" s="501"/>
      <c r="HMF10" s="501"/>
      <c r="HMG10" s="501"/>
      <c r="HMH10" s="501"/>
      <c r="HMI10" s="501"/>
      <c r="HMJ10" s="501"/>
      <c r="HMK10" s="501"/>
      <c r="HML10" s="501"/>
      <c r="HMM10" s="501"/>
      <c r="HMN10" s="501"/>
      <c r="HMO10" s="501"/>
      <c r="HMP10" s="501"/>
      <c r="HMQ10" s="501"/>
      <c r="HMR10" s="501"/>
      <c r="HMS10" s="501"/>
      <c r="HMT10" s="501"/>
      <c r="HMU10" s="501"/>
      <c r="HMV10" s="501"/>
      <c r="HMW10" s="501"/>
      <c r="HMX10" s="501"/>
      <c r="HMY10" s="501"/>
      <c r="HMZ10" s="501"/>
      <c r="HNA10" s="501"/>
      <c r="HNB10" s="501"/>
      <c r="HNC10" s="501"/>
      <c r="HND10" s="501"/>
      <c r="HNE10" s="501"/>
      <c r="HNF10" s="501"/>
      <c r="HNG10" s="501"/>
      <c r="HNH10" s="501"/>
      <c r="HNI10" s="501"/>
      <c r="HNJ10" s="501"/>
      <c r="HNK10" s="501"/>
      <c r="HNL10" s="501"/>
      <c r="HNM10" s="501"/>
      <c r="HNN10" s="501"/>
      <c r="HNO10" s="501"/>
      <c r="HNP10" s="501"/>
      <c r="HNQ10" s="501"/>
      <c r="HNR10" s="501"/>
      <c r="HNS10" s="501"/>
      <c r="HNT10" s="501"/>
      <c r="HNU10" s="501"/>
      <c r="HNV10" s="501"/>
      <c r="HNW10" s="501"/>
      <c r="HNX10" s="501"/>
      <c r="HNY10" s="501"/>
      <c r="HNZ10" s="501"/>
      <c r="HOA10" s="501"/>
      <c r="HOB10" s="501"/>
      <c r="HOC10" s="501"/>
      <c r="HOD10" s="501"/>
      <c r="HOE10" s="501"/>
      <c r="HOF10" s="501"/>
      <c r="HOG10" s="501"/>
      <c r="HOH10" s="501"/>
      <c r="HOI10" s="501"/>
      <c r="HOJ10" s="501"/>
      <c r="HOK10" s="501"/>
      <c r="HOL10" s="501"/>
      <c r="HOM10" s="501"/>
      <c r="HON10" s="501"/>
      <c r="HOO10" s="501"/>
      <c r="HOP10" s="501"/>
      <c r="HOQ10" s="501"/>
      <c r="HOR10" s="501"/>
      <c r="HOS10" s="501"/>
      <c r="HOT10" s="501"/>
      <c r="HOU10" s="501"/>
      <c r="HOV10" s="501"/>
      <c r="HOW10" s="501"/>
      <c r="HOX10" s="501"/>
      <c r="HOY10" s="501"/>
      <c r="HOZ10" s="501"/>
      <c r="HPA10" s="501"/>
      <c r="HPB10" s="501"/>
      <c r="HPC10" s="501"/>
      <c r="HPD10" s="501"/>
      <c r="HPE10" s="501"/>
      <c r="HPF10" s="501"/>
      <c r="HPG10" s="501"/>
      <c r="HPH10" s="501"/>
      <c r="HPI10" s="501"/>
      <c r="HPJ10" s="501"/>
      <c r="HPK10" s="501"/>
      <c r="HPL10" s="501"/>
      <c r="HPM10" s="501"/>
      <c r="HPN10" s="501"/>
      <c r="HPO10" s="501"/>
      <c r="HPP10" s="501"/>
      <c r="HPQ10" s="501"/>
      <c r="HPR10" s="501"/>
      <c r="HPS10" s="501"/>
      <c r="HPT10" s="501"/>
      <c r="HPU10" s="501"/>
      <c r="HPV10" s="501"/>
      <c r="HPW10" s="501"/>
      <c r="HPX10" s="501"/>
      <c r="HPY10" s="501"/>
      <c r="HPZ10" s="501"/>
      <c r="HQA10" s="501"/>
      <c r="HQB10" s="501"/>
      <c r="HQC10" s="501"/>
      <c r="HQD10" s="501"/>
      <c r="HQE10" s="501"/>
      <c r="HQF10" s="501"/>
      <c r="HQG10" s="501"/>
      <c r="HQH10" s="501"/>
      <c r="HQI10" s="501"/>
      <c r="HQJ10" s="501"/>
      <c r="HQK10" s="501"/>
      <c r="HQL10" s="501"/>
      <c r="HQM10" s="501"/>
      <c r="HQN10" s="501"/>
      <c r="HQO10" s="501"/>
      <c r="HQP10" s="501"/>
      <c r="HQQ10" s="501"/>
      <c r="HQR10" s="501"/>
      <c r="HQS10" s="501"/>
      <c r="HQT10" s="501"/>
      <c r="HQU10" s="501"/>
      <c r="HQV10" s="501"/>
      <c r="HQW10" s="501"/>
      <c r="HQX10" s="501"/>
      <c r="HQY10" s="501"/>
      <c r="HQZ10" s="501"/>
      <c r="HRA10" s="501"/>
      <c r="HRB10" s="501"/>
      <c r="HRC10" s="501"/>
      <c r="HRD10" s="501"/>
      <c r="HRE10" s="501"/>
      <c r="HRF10" s="501"/>
      <c r="HRG10" s="501"/>
      <c r="HRH10" s="501"/>
      <c r="HRI10" s="501"/>
      <c r="HRJ10" s="501"/>
      <c r="HRK10" s="501"/>
      <c r="HRL10" s="501"/>
      <c r="HRM10" s="501"/>
      <c r="HRN10" s="501"/>
      <c r="HRO10" s="501"/>
      <c r="HRP10" s="501"/>
      <c r="HRQ10" s="501"/>
      <c r="HRR10" s="501"/>
      <c r="HRS10" s="501"/>
      <c r="HRT10" s="501"/>
      <c r="HRU10" s="501"/>
      <c r="HRV10" s="501"/>
      <c r="HRW10" s="501"/>
      <c r="HRX10" s="501"/>
      <c r="HRY10" s="501"/>
      <c r="HRZ10" s="501"/>
      <c r="HSA10" s="501"/>
      <c r="HSB10" s="501"/>
      <c r="HSC10" s="501"/>
      <c r="HSD10" s="501"/>
      <c r="HSE10" s="501"/>
      <c r="HSF10" s="501"/>
      <c r="HSG10" s="501"/>
      <c r="HSH10" s="501"/>
      <c r="HSI10" s="501"/>
      <c r="HSJ10" s="501"/>
      <c r="HSK10" s="501"/>
      <c r="HSL10" s="501"/>
      <c r="HSM10" s="501"/>
      <c r="HSN10" s="501"/>
      <c r="HSO10" s="501"/>
      <c r="HSP10" s="501"/>
      <c r="HSQ10" s="501"/>
      <c r="HSR10" s="501"/>
      <c r="HSS10" s="501"/>
      <c r="HST10" s="501"/>
      <c r="HSU10" s="501"/>
      <c r="HSV10" s="501"/>
      <c r="HSW10" s="501"/>
      <c r="HSX10" s="501"/>
      <c r="HSY10" s="501"/>
      <c r="HSZ10" s="501"/>
      <c r="HTA10" s="501"/>
      <c r="HTB10" s="501"/>
      <c r="HTC10" s="501"/>
      <c r="HTD10" s="501"/>
      <c r="HTE10" s="501"/>
      <c r="HTF10" s="501"/>
      <c r="HTG10" s="501"/>
      <c r="HTH10" s="501"/>
      <c r="HTI10" s="501"/>
      <c r="HTJ10" s="501"/>
      <c r="HTK10" s="501"/>
      <c r="HTL10" s="501"/>
      <c r="HTM10" s="501"/>
      <c r="HTN10" s="501"/>
      <c r="HTO10" s="501"/>
      <c r="HTP10" s="501"/>
      <c r="HTQ10" s="501"/>
      <c r="HTR10" s="501"/>
      <c r="HTS10" s="501"/>
      <c r="HTT10" s="501"/>
      <c r="HTU10" s="501"/>
      <c r="HTV10" s="501"/>
      <c r="HTW10" s="501"/>
      <c r="HTX10" s="501"/>
      <c r="HTY10" s="501"/>
      <c r="HTZ10" s="501"/>
      <c r="HUA10" s="501"/>
      <c r="HUB10" s="501"/>
      <c r="HUC10" s="501"/>
      <c r="HUD10" s="501"/>
      <c r="HUE10" s="501"/>
      <c r="HUF10" s="501"/>
      <c r="HUG10" s="501"/>
      <c r="HUH10" s="501"/>
      <c r="HUI10" s="501"/>
      <c r="HUJ10" s="501"/>
      <c r="HUK10" s="501"/>
      <c r="HUL10" s="501"/>
      <c r="HUM10" s="501"/>
      <c r="HUN10" s="501"/>
      <c r="HUO10" s="501"/>
      <c r="HUP10" s="501"/>
      <c r="HUQ10" s="501"/>
      <c r="HUR10" s="501"/>
      <c r="HUS10" s="501"/>
      <c r="HUT10" s="501"/>
      <c r="HUU10" s="501"/>
      <c r="HUV10" s="501"/>
      <c r="HUW10" s="501"/>
      <c r="HUX10" s="501"/>
      <c r="HUY10" s="501"/>
      <c r="HUZ10" s="501"/>
      <c r="HVA10" s="501"/>
      <c r="HVB10" s="501"/>
      <c r="HVC10" s="501"/>
      <c r="HVD10" s="501"/>
      <c r="HVE10" s="501"/>
      <c r="HVF10" s="501"/>
      <c r="HVG10" s="501"/>
      <c r="HVH10" s="501"/>
      <c r="HVI10" s="501"/>
      <c r="HVJ10" s="501"/>
      <c r="HVK10" s="501"/>
      <c r="HVL10" s="501"/>
      <c r="HVM10" s="501"/>
      <c r="HVN10" s="501"/>
      <c r="HVO10" s="501"/>
      <c r="HVP10" s="501"/>
      <c r="HVQ10" s="501"/>
      <c r="HVR10" s="501"/>
      <c r="HVS10" s="501"/>
      <c r="HVT10" s="501"/>
      <c r="HVU10" s="501"/>
      <c r="HVV10" s="501"/>
      <c r="HVW10" s="501"/>
      <c r="HVX10" s="501"/>
      <c r="HVY10" s="501"/>
      <c r="HVZ10" s="501"/>
      <c r="HWA10" s="501"/>
      <c r="HWB10" s="501"/>
      <c r="HWC10" s="501"/>
      <c r="HWD10" s="501"/>
      <c r="HWE10" s="501"/>
      <c r="HWF10" s="501"/>
      <c r="HWG10" s="501"/>
      <c r="HWH10" s="501"/>
      <c r="HWI10" s="501"/>
      <c r="HWJ10" s="501"/>
      <c r="HWK10" s="501"/>
      <c r="HWL10" s="501"/>
      <c r="HWM10" s="501"/>
      <c r="HWN10" s="501"/>
      <c r="HWO10" s="501"/>
      <c r="HWP10" s="501"/>
      <c r="HWQ10" s="501"/>
      <c r="HWR10" s="501"/>
      <c r="HWS10" s="501"/>
      <c r="HWT10" s="501"/>
      <c r="HWU10" s="501"/>
      <c r="HWV10" s="501"/>
      <c r="HWW10" s="501"/>
      <c r="HWX10" s="501"/>
      <c r="HWY10" s="501"/>
      <c r="HWZ10" s="501"/>
      <c r="HXA10" s="501"/>
      <c r="HXB10" s="501"/>
      <c r="HXC10" s="501"/>
      <c r="HXD10" s="501"/>
      <c r="HXE10" s="501"/>
      <c r="HXF10" s="501"/>
      <c r="HXG10" s="501"/>
      <c r="HXH10" s="501"/>
      <c r="HXI10" s="501"/>
      <c r="HXJ10" s="501"/>
      <c r="HXK10" s="501"/>
      <c r="HXL10" s="501"/>
      <c r="HXM10" s="501"/>
      <c r="HXN10" s="501"/>
      <c r="HXO10" s="501"/>
      <c r="HXP10" s="501"/>
      <c r="HXQ10" s="501"/>
      <c r="HXR10" s="501"/>
      <c r="HXS10" s="501"/>
      <c r="HXT10" s="501"/>
      <c r="HXU10" s="501"/>
      <c r="HXV10" s="501"/>
      <c r="HXW10" s="501"/>
      <c r="HXX10" s="501"/>
      <c r="HXY10" s="501"/>
      <c r="HXZ10" s="501"/>
      <c r="HYA10" s="501"/>
      <c r="HYB10" s="501"/>
      <c r="HYC10" s="501"/>
      <c r="HYD10" s="501"/>
      <c r="HYE10" s="501"/>
      <c r="HYF10" s="501"/>
      <c r="HYG10" s="501"/>
      <c r="HYH10" s="501"/>
      <c r="HYI10" s="501"/>
      <c r="HYJ10" s="501"/>
      <c r="HYK10" s="501"/>
      <c r="HYL10" s="501"/>
      <c r="HYM10" s="501"/>
      <c r="HYN10" s="501"/>
      <c r="HYO10" s="501"/>
      <c r="HYP10" s="501"/>
      <c r="HYQ10" s="501"/>
      <c r="HYR10" s="501"/>
      <c r="HYS10" s="501"/>
      <c r="HYT10" s="501"/>
      <c r="HYU10" s="501"/>
      <c r="HYV10" s="501"/>
      <c r="HYW10" s="501"/>
      <c r="HYX10" s="501"/>
      <c r="HYY10" s="501"/>
      <c r="HYZ10" s="501"/>
      <c r="HZA10" s="501"/>
      <c r="HZB10" s="501"/>
      <c r="HZC10" s="501"/>
      <c r="HZD10" s="501"/>
      <c r="HZE10" s="501"/>
      <c r="HZF10" s="501"/>
      <c r="HZG10" s="501"/>
      <c r="HZH10" s="501"/>
      <c r="HZI10" s="501"/>
      <c r="HZJ10" s="501"/>
      <c r="HZK10" s="501"/>
      <c r="HZL10" s="501"/>
      <c r="HZM10" s="501"/>
      <c r="HZN10" s="501"/>
      <c r="HZO10" s="501"/>
      <c r="HZP10" s="501"/>
      <c r="HZQ10" s="501"/>
      <c r="HZR10" s="501"/>
      <c r="HZS10" s="501"/>
      <c r="HZT10" s="501"/>
      <c r="HZU10" s="501"/>
      <c r="HZV10" s="501"/>
      <c r="HZW10" s="501"/>
      <c r="HZX10" s="501"/>
      <c r="HZY10" s="501"/>
      <c r="HZZ10" s="501"/>
      <c r="IAA10" s="501"/>
      <c r="IAB10" s="501"/>
      <c r="IAC10" s="501"/>
      <c r="IAD10" s="501"/>
      <c r="IAE10" s="501"/>
      <c r="IAF10" s="501"/>
      <c r="IAG10" s="501"/>
      <c r="IAH10" s="501"/>
      <c r="IAI10" s="501"/>
      <c r="IAJ10" s="501"/>
      <c r="IAK10" s="501"/>
      <c r="IAL10" s="501"/>
      <c r="IAM10" s="501"/>
      <c r="IAN10" s="501"/>
      <c r="IAO10" s="501"/>
      <c r="IAP10" s="501"/>
      <c r="IAQ10" s="501"/>
      <c r="IAR10" s="501"/>
      <c r="IAS10" s="501"/>
      <c r="IAT10" s="501"/>
      <c r="IAU10" s="501"/>
      <c r="IAV10" s="501"/>
      <c r="IAW10" s="501"/>
      <c r="IAX10" s="501"/>
      <c r="IAY10" s="501"/>
      <c r="IAZ10" s="501"/>
      <c r="IBA10" s="501"/>
      <c r="IBB10" s="501"/>
      <c r="IBC10" s="501"/>
      <c r="IBD10" s="501"/>
      <c r="IBE10" s="501"/>
      <c r="IBF10" s="501"/>
      <c r="IBG10" s="501"/>
      <c r="IBH10" s="501"/>
      <c r="IBI10" s="501"/>
      <c r="IBJ10" s="501"/>
      <c r="IBK10" s="501"/>
      <c r="IBL10" s="501"/>
      <c r="IBM10" s="501"/>
      <c r="IBN10" s="501"/>
      <c r="IBO10" s="501"/>
      <c r="IBP10" s="501"/>
      <c r="IBQ10" s="501"/>
      <c r="IBR10" s="501"/>
      <c r="IBS10" s="501"/>
      <c r="IBT10" s="501"/>
      <c r="IBU10" s="501"/>
      <c r="IBV10" s="501"/>
      <c r="IBW10" s="501"/>
      <c r="IBX10" s="501"/>
      <c r="IBY10" s="501"/>
      <c r="IBZ10" s="501"/>
      <c r="ICA10" s="501"/>
      <c r="ICB10" s="501"/>
      <c r="ICC10" s="501"/>
      <c r="ICD10" s="501"/>
      <c r="ICE10" s="501"/>
      <c r="ICF10" s="501"/>
      <c r="ICG10" s="501"/>
      <c r="ICH10" s="501"/>
      <c r="ICI10" s="501"/>
      <c r="ICJ10" s="501"/>
      <c r="ICK10" s="501"/>
      <c r="ICL10" s="501"/>
      <c r="ICM10" s="501"/>
      <c r="ICN10" s="501"/>
      <c r="ICO10" s="501"/>
      <c r="ICP10" s="501"/>
      <c r="ICQ10" s="501"/>
      <c r="ICR10" s="501"/>
      <c r="ICS10" s="501"/>
      <c r="ICT10" s="501"/>
      <c r="ICU10" s="501"/>
      <c r="ICV10" s="501"/>
      <c r="ICW10" s="501"/>
      <c r="ICX10" s="501"/>
      <c r="ICY10" s="501"/>
      <c r="ICZ10" s="501"/>
      <c r="IDA10" s="501"/>
      <c r="IDB10" s="501"/>
      <c r="IDC10" s="501"/>
      <c r="IDD10" s="501"/>
      <c r="IDE10" s="501"/>
      <c r="IDF10" s="501"/>
      <c r="IDG10" s="501"/>
      <c r="IDH10" s="501"/>
      <c r="IDI10" s="501"/>
      <c r="IDJ10" s="501"/>
      <c r="IDK10" s="501"/>
      <c r="IDL10" s="501"/>
      <c r="IDM10" s="501"/>
      <c r="IDN10" s="501"/>
      <c r="IDO10" s="501"/>
      <c r="IDP10" s="501"/>
      <c r="IDQ10" s="501"/>
      <c r="IDR10" s="501"/>
      <c r="IDS10" s="501"/>
      <c r="IDT10" s="501"/>
      <c r="IDU10" s="501"/>
      <c r="IDV10" s="501"/>
      <c r="IDW10" s="501"/>
      <c r="IDX10" s="501"/>
      <c r="IDY10" s="501"/>
      <c r="IDZ10" s="501"/>
      <c r="IEA10" s="501"/>
      <c r="IEB10" s="501"/>
      <c r="IEC10" s="501"/>
      <c r="IED10" s="501"/>
      <c r="IEE10" s="501"/>
      <c r="IEF10" s="501"/>
      <c r="IEG10" s="501"/>
      <c r="IEH10" s="501"/>
      <c r="IEI10" s="501"/>
      <c r="IEJ10" s="501"/>
      <c r="IEK10" s="501"/>
      <c r="IEL10" s="501"/>
      <c r="IEM10" s="501"/>
      <c r="IEN10" s="501"/>
      <c r="IEO10" s="501"/>
      <c r="IEP10" s="501"/>
      <c r="IEQ10" s="501"/>
      <c r="IER10" s="501"/>
      <c r="IES10" s="501"/>
      <c r="IET10" s="501"/>
      <c r="IEU10" s="501"/>
      <c r="IEV10" s="501"/>
      <c r="IEW10" s="501"/>
      <c r="IEX10" s="501"/>
      <c r="IEY10" s="501"/>
      <c r="IEZ10" s="501"/>
      <c r="IFA10" s="501"/>
      <c r="IFB10" s="501"/>
      <c r="IFC10" s="501"/>
      <c r="IFD10" s="501"/>
      <c r="IFE10" s="501"/>
      <c r="IFF10" s="501"/>
      <c r="IFG10" s="501"/>
      <c r="IFH10" s="501"/>
      <c r="IFI10" s="501"/>
      <c r="IFJ10" s="501"/>
      <c r="IFK10" s="501"/>
      <c r="IFL10" s="501"/>
      <c r="IFM10" s="501"/>
      <c r="IFN10" s="501"/>
      <c r="IFO10" s="501"/>
      <c r="IFP10" s="501"/>
      <c r="IFQ10" s="501"/>
      <c r="IFR10" s="501"/>
      <c r="IFS10" s="501"/>
      <c r="IFT10" s="501"/>
      <c r="IFU10" s="501"/>
      <c r="IFV10" s="501"/>
      <c r="IFW10" s="501"/>
      <c r="IFX10" s="501"/>
      <c r="IFY10" s="501"/>
      <c r="IFZ10" s="501"/>
      <c r="IGA10" s="501"/>
      <c r="IGB10" s="501"/>
      <c r="IGC10" s="501"/>
      <c r="IGD10" s="501"/>
      <c r="IGE10" s="501"/>
      <c r="IGF10" s="501"/>
      <c r="IGG10" s="501"/>
      <c r="IGH10" s="501"/>
      <c r="IGI10" s="501"/>
      <c r="IGJ10" s="501"/>
      <c r="IGK10" s="501"/>
      <c r="IGL10" s="501"/>
      <c r="IGM10" s="501"/>
      <c r="IGN10" s="501"/>
      <c r="IGO10" s="501"/>
      <c r="IGP10" s="501"/>
      <c r="IGQ10" s="501"/>
      <c r="IGR10" s="501"/>
      <c r="IGS10" s="501"/>
      <c r="IGT10" s="501"/>
      <c r="IGU10" s="501"/>
      <c r="IGV10" s="501"/>
      <c r="IGW10" s="501"/>
      <c r="IGX10" s="501"/>
      <c r="IGY10" s="501"/>
      <c r="IGZ10" s="501"/>
      <c r="IHA10" s="501"/>
      <c r="IHB10" s="501"/>
      <c r="IHC10" s="501"/>
      <c r="IHD10" s="501"/>
      <c r="IHE10" s="501"/>
      <c r="IHF10" s="501"/>
      <c r="IHG10" s="501"/>
      <c r="IHH10" s="501"/>
      <c r="IHI10" s="501"/>
      <c r="IHJ10" s="501"/>
      <c r="IHK10" s="501"/>
      <c r="IHL10" s="501"/>
      <c r="IHM10" s="501"/>
      <c r="IHN10" s="501"/>
      <c r="IHO10" s="501"/>
      <c r="IHP10" s="501"/>
      <c r="IHQ10" s="501"/>
      <c r="IHR10" s="501"/>
      <c r="IHS10" s="501"/>
      <c r="IHT10" s="501"/>
      <c r="IHU10" s="501"/>
      <c r="IHV10" s="501"/>
      <c r="IHW10" s="501"/>
      <c r="IHX10" s="501"/>
      <c r="IHY10" s="501"/>
      <c r="IHZ10" s="501"/>
      <c r="IIA10" s="501"/>
      <c r="IIB10" s="501"/>
      <c r="IIC10" s="501"/>
      <c r="IID10" s="501"/>
      <c r="IIE10" s="501"/>
      <c r="IIF10" s="501"/>
      <c r="IIG10" s="501"/>
      <c r="IIH10" s="501"/>
      <c r="III10" s="501"/>
      <c r="IIJ10" s="501"/>
      <c r="IIK10" s="501"/>
      <c r="IIL10" s="501"/>
      <c r="IIM10" s="501"/>
      <c r="IIN10" s="501"/>
      <c r="IIO10" s="501"/>
      <c r="IIP10" s="501"/>
      <c r="IIQ10" s="501"/>
      <c r="IIR10" s="501"/>
      <c r="IIS10" s="501"/>
      <c r="IIT10" s="501"/>
      <c r="IIU10" s="501"/>
      <c r="IIV10" s="501"/>
      <c r="IIW10" s="501"/>
      <c r="IIX10" s="501"/>
      <c r="IIY10" s="501"/>
      <c r="IIZ10" s="501"/>
      <c r="IJA10" s="501"/>
      <c r="IJB10" s="501"/>
      <c r="IJC10" s="501"/>
      <c r="IJD10" s="501"/>
      <c r="IJE10" s="501"/>
      <c r="IJF10" s="501"/>
      <c r="IJG10" s="501"/>
      <c r="IJH10" s="501"/>
      <c r="IJI10" s="501"/>
      <c r="IJJ10" s="501"/>
      <c r="IJK10" s="501"/>
      <c r="IJL10" s="501"/>
      <c r="IJM10" s="501"/>
      <c r="IJN10" s="501"/>
      <c r="IJO10" s="501"/>
      <c r="IJP10" s="501"/>
      <c r="IJQ10" s="501"/>
      <c r="IJR10" s="501"/>
      <c r="IJS10" s="501"/>
      <c r="IJT10" s="501"/>
      <c r="IJU10" s="501"/>
      <c r="IJV10" s="501"/>
      <c r="IJW10" s="501"/>
      <c r="IJX10" s="501"/>
      <c r="IJY10" s="501"/>
      <c r="IJZ10" s="501"/>
      <c r="IKA10" s="501"/>
      <c r="IKB10" s="501"/>
      <c r="IKC10" s="501"/>
      <c r="IKD10" s="501"/>
      <c r="IKE10" s="501"/>
      <c r="IKF10" s="501"/>
      <c r="IKG10" s="501"/>
      <c r="IKH10" s="501"/>
      <c r="IKI10" s="501"/>
      <c r="IKJ10" s="501"/>
      <c r="IKK10" s="501"/>
      <c r="IKL10" s="501"/>
      <c r="IKM10" s="501"/>
      <c r="IKN10" s="501"/>
      <c r="IKO10" s="501"/>
      <c r="IKP10" s="501"/>
      <c r="IKQ10" s="501"/>
      <c r="IKR10" s="501"/>
      <c r="IKS10" s="501"/>
      <c r="IKT10" s="501"/>
      <c r="IKU10" s="501"/>
      <c r="IKV10" s="501"/>
      <c r="IKW10" s="501"/>
      <c r="IKX10" s="501"/>
      <c r="IKY10" s="501"/>
      <c r="IKZ10" s="501"/>
      <c r="ILA10" s="501"/>
      <c r="ILB10" s="501"/>
      <c r="ILC10" s="501"/>
      <c r="ILD10" s="501"/>
      <c r="ILE10" s="501"/>
      <c r="ILF10" s="501"/>
      <c r="ILG10" s="501"/>
      <c r="ILH10" s="501"/>
      <c r="ILI10" s="501"/>
      <c r="ILJ10" s="501"/>
      <c r="ILK10" s="501"/>
      <c r="ILL10" s="501"/>
      <c r="ILM10" s="501"/>
      <c r="ILN10" s="501"/>
      <c r="ILO10" s="501"/>
      <c r="ILP10" s="501"/>
      <c r="ILQ10" s="501"/>
      <c r="ILR10" s="501"/>
      <c r="ILS10" s="501"/>
      <c r="ILT10" s="501"/>
      <c r="ILU10" s="501"/>
      <c r="ILV10" s="501"/>
      <c r="ILW10" s="501"/>
      <c r="ILX10" s="501"/>
      <c r="ILY10" s="501"/>
      <c r="ILZ10" s="501"/>
      <c r="IMA10" s="501"/>
      <c r="IMB10" s="501"/>
      <c r="IMC10" s="501"/>
      <c r="IMD10" s="501"/>
      <c r="IME10" s="501"/>
      <c r="IMF10" s="501"/>
      <c r="IMG10" s="501"/>
      <c r="IMH10" s="501"/>
      <c r="IMI10" s="501"/>
      <c r="IMJ10" s="501"/>
      <c r="IMK10" s="501"/>
      <c r="IML10" s="501"/>
      <c r="IMM10" s="501"/>
      <c r="IMN10" s="501"/>
      <c r="IMO10" s="501"/>
      <c r="IMP10" s="501"/>
      <c r="IMQ10" s="501"/>
      <c r="IMR10" s="501"/>
      <c r="IMS10" s="501"/>
      <c r="IMT10" s="501"/>
      <c r="IMU10" s="501"/>
      <c r="IMV10" s="501"/>
      <c r="IMW10" s="501"/>
      <c r="IMX10" s="501"/>
      <c r="IMY10" s="501"/>
      <c r="IMZ10" s="501"/>
      <c r="INA10" s="501"/>
      <c r="INB10" s="501"/>
      <c r="INC10" s="501"/>
      <c r="IND10" s="501"/>
      <c r="INE10" s="501"/>
      <c r="INF10" s="501"/>
      <c r="ING10" s="501"/>
      <c r="INH10" s="501"/>
      <c r="INI10" s="501"/>
      <c r="INJ10" s="501"/>
      <c r="INK10" s="501"/>
      <c r="INL10" s="501"/>
      <c r="INM10" s="501"/>
      <c r="INN10" s="501"/>
      <c r="INO10" s="501"/>
      <c r="INP10" s="501"/>
      <c r="INQ10" s="501"/>
      <c r="INR10" s="501"/>
      <c r="INS10" s="501"/>
      <c r="INT10" s="501"/>
      <c r="INU10" s="501"/>
      <c r="INV10" s="501"/>
      <c r="INW10" s="501"/>
      <c r="INX10" s="501"/>
      <c r="INY10" s="501"/>
      <c r="INZ10" s="501"/>
      <c r="IOA10" s="501"/>
      <c r="IOB10" s="501"/>
      <c r="IOC10" s="501"/>
      <c r="IOD10" s="501"/>
      <c r="IOE10" s="501"/>
      <c r="IOF10" s="501"/>
      <c r="IOG10" s="501"/>
      <c r="IOH10" s="501"/>
      <c r="IOI10" s="501"/>
      <c r="IOJ10" s="501"/>
      <c r="IOK10" s="501"/>
      <c r="IOL10" s="501"/>
      <c r="IOM10" s="501"/>
      <c r="ION10" s="501"/>
      <c r="IOO10" s="501"/>
      <c r="IOP10" s="501"/>
      <c r="IOQ10" s="501"/>
      <c r="IOR10" s="501"/>
      <c r="IOS10" s="501"/>
      <c r="IOT10" s="501"/>
      <c r="IOU10" s="501"/>
      <c r="IOV10" s="501"/>
      <c r="IOW10" s="501"/>
      <c r="IOX10" s="501"/>
      <c r="IOY10" s="501"/>
      <c r="IOZ10" s="501"/>
      <c r="IPA10" s="501"/>
      <c r="IPB10" s="501"/>
      <c r="IPC10" s="501"/>
      <c r="IPD10" s="501"/>
      <c r="IPE10" s="501"/>
      <c r="IPF10" s="501"/>
      <c r="IPG10" s="501"/>
      <c r="IPH10" s="501"/>
      <c r="IPI10" s="501"/>
      <c r="IPJ10" s="501"/>
      <c r="IPK10" s="501"/>
      <c r="IPL10" s="501"/>
      <c r="IPM10" s="501"/>
      <c r="IPN10" s="501"/>
      <c r="IPO10" s="501"/>
      <c r="IPP10" s="501"/>
      <c r="IPQ10" s="501"/>
      <c r="IPR10" s="501"/>
      <c r="IPS10" s="501"/>
      <c r="IPT10" s="501"/>
      <c r="IPU10" s="501"/>
      <c r="IPV10" s="501"/>
      <c r="IPW10" s="501"/>
      <c r="IPX10" s="501"/>
      <c r="IPY10" s="501"/>
      <c r="IPZ10" s="501"/>
      <c r="IQA10" s="501"/>
      <c r="IQB10" s="501"/>
      <c r="IQC10" s="501"/>
      <c r="IQD10" s="501"/>
      <c r="IQE10" s="501"/>
      <c r="IQF10" s="501"/>
      <c r="IQG10" s="501"/>
      <c r="IQH10" s="501"/>
      <c r="IQI10" s="501"/>
      <c r="IQJ10" s="501"/>
      <c r="IQK10" s="501"/>
      <c r="IQL10" s="501"/>
      <c r="IQM10" s="501"/>
      <c r="IQN10" s="501"/>
      <c r="IQO10" s="501"/>
      <c r="IQP10" s="501"/>
      <c r="IQQ10" s="501"/>
      <c r="IQR10" s="501"/>
      <c r="IQS10" s="501"/>
      <c r="IQT10" s="501"/>
      <c r="IQU10" s="501"/>
      <c r="IQV10" s="501"/>
      <c r="IQW10" s="501"/>
      <c r="IQX10" s="501"/>
      <c r="IQY10" s="501"/>
      <c r="IQZ10" s="501"/>
      <c r="IRA10" s="501"/>
      <c r="IRB10" s="501"/>
      <c r="IRC10" s="501"/>
      <c r="IRD10" s="501"/>
      <c r="IRE10" s="501"/>
      <c r="IRF10" s="501"/>
      <c r="IRG10" s="501"/>
      <c r="IRH10" s="501"/>
      <c r="IRI10" s="501"/>
      <c r="IRJ10" s="501"/>
      <c r="IRK10" s="501"/>
      <c r="IRL10" s="501"/>
      <c r="IRM10" s="501"/>
      <c r="IRN10" s="501"/>
      <c r="IRO10" s="501"/>
      <c r="IRP10" s="501"/>
      <c r="IRQ10" s="501"/>
      <c r="IRR10" s="501"/>
      <c r="IRS10" s="501"/>
      <c r="IRT10" s="501"/>
      <c r="IRU10" s="501"/>
      <c r="IRV10" s="501"/>
      <c r="IRW10" s="501"/>
      <c r="IRX10" s="501"/>
      <c r="IRY10" s="501"/>
      <c r="IRZ10" s="501"/>
      <c r="ISA10" s="501"/>
      <c r="ISB10" s="501"/>
      <c r="ISC10" s="501"/>
      <c r="ISD10" s="501"/>
      <c r="ISE10" s="501"/>
      <c r="ISF10" s="501"/>
      <c r="ISG10" s="501"/>
      <c r="ISH10" s="501"/>
      <c r="ISI10" s="501"/>
      <c r="ISJ10" s="501"/>
      <c r="ISK10" s="501"/>
      <c r="ISL10" s="501"/>
      <c r="ISM10" s="501"/>
      <c r="ISN10" s="501"/>
      <c r="ISO10" s="501"/>
      <c r="ISP10" s="501"/>
      <c r="ISQ10" s="501"/>
      <c r="ISR10" s="501"/>
      <c r="ISS10" s="501"/>
      <c r="IST10" s="501"/>
      <c r="ISU10" s="501"/>
      <c r="ISV10" s="501"/>
      <c r="ISW10" s="501"/>
      <c r="ISX10" s="501"/>
      <c r="ISY10" s="501"/>
      <c r="ISZ10" s="501"/>
      <c r="ITA10" s="501"/>
      <c r="ITB10" s="501"/>
      <c r="ITC10" s="501"/>
      <c r="ITD10" s="501"/>
      <c r="ITE10" s="501"/>
      <c r="ITF10" s="501"/>
      <c r="ITG10" s="501"/>
      <c r="ITH10" s="501"/>
      <c r="ITI10" s="501"/>
      <c r="ITJ10" s="501"/>
      <c r="ITK10" s="501"/>
      <c r="ITL10" s="501"/>
      <c r="ITM10" s="501"/>
      <c r="ITN10" s="501"/>
      <c r="ITO10" s="501"/>
      <c r="ITP10" s="501"/>
      <c r="ITQ10" s="501"/>
      <c r="ITR10" s="501"/>
      <c r="ITS10" s="501"/>
      <c r="ITT10" s="501"/>
      <c r="ITU10" s="501"/>
      <c r="ITV10" s="501"/>
      <c r="ITW10" s="501"/>
      <c r="ITX10" s="501"/>
      <c r="ITY10" s="501"/>
      <c r="ITZ10" s="501"/>
      <c r="IUA10" s="501"/>
      <c r="IUB10" s="501"/>
      <c r="IUC10" s="501"/>
      <c r="IUD10" s="501"/>
      <c r="IUE10" s="501"/>
      <c r="IUF10" s="501"/>
      <c r="IUG10" s="501"/>
      <c r="IUH10" s="501"/>
      <c r="IUI10" s="501"/>
      <c r="IUJ10" s="501"/>
      <c r="IUK10" s="501"/>
      <c r="IUL10" s="501"/>
      <c r="IUM10" s="501"/>
      <c r="IUN10" s="501"/>
      <c r="IUO10" s="501"/>
      <c r="IUP10" s="501"/>
      <c r="IUQ10" s="501"/>
      <c r="IUR10" s="501"/>
      <c r="IUS10" s="501"/>
      <c r="IUT10" s="501"/>
      <c r="IUU10" s="501"/>
      <c r="IUV10" s="501"/>
      <c r="IUW10" s="501"/>
      <c r="IUX10" s="501"/>
      <c r="IUY10" s="501"/>
      <c r="IUZ10" s="501"/>
      <c r="IVA10" s="501"/>
      <c r="IVB10" s="501"/>
      <c r="IVC10" s="501"/>
      <c r="IVD10" s="501"/>
      <c r="IVE10" s="501"/>
      <c r="IVF10" s="501"/>
      <c r="IVG10" s="501"/>
      <c r="IVH10" s="501"/>
      <c r="IVI10" s="501"/>
      <c r="IVJ10" s="501"/>
      <c r="IVK10" s="501"/>
      <c r="IVL10" s="501"/>
      <c r="IVM10" s="501"/>
      <c r="IVN10" s="501"/>
      <c r="IVO10" s="501"/>
      <c r="IVP10" s="501"/>
      <c r="IVQ10" s="501"/>
      <c r="IVR10" s="501"/>
      <c r="IVS10" s="501"/>
      <c r="IVT10" s="501"/>
      <c r="IVU10" s="501"/>
      <c r="IVV10" s="501"/>
      <c r="IVW10" s="501"/>
      <c r="IVX10" s="501"/>
      <c r="IVY10" s="501"/>
      <c r="IVZ10" s="501"/>
      <c r="IWA10" s="501"/>
      <c r="IWB10" s="501"/>
      <c r="IWC10" s="501"/>
      <c r="IWD10" s="501"/>
      <c r="IWE10" s="501"/>
      <c r="IWF10" s="501"/>
      <c r="IWG10" s="501"/>
      <c r="IWH10" s="501"/>
      <c r="IWI10" s="501"/>
      <c r="IWJ10" s="501"/>
      <c r="IWK10" s="501"/>
      <c r="IWL10" s="501"/>
      <c r="IWM10" s="501"/>
      <c r="IWN10" s="501"/>
      <c r="IWO10" s="501"/>
      <c r="IWP10" s="501"/>
      <c r="IWQ10" s="501"/>
      <c r="IWR10" s="501"/>
      <c r="IWS10" s="501"/>
      <c r="IWT10" s="501"/>
      <c r="IWU10" s="501"/>
      <c r="IWV10" s="501"/>
      <c r="IWW10" s="501"/>
      <c r="IWX10" s="501"/>
      <c r="IWY10" s="501"/>
      <c r="IWZ10" s="501"/>
      <c r="IXA10" s="501"/>
      <c r="IXB10" s="501"/>
      <c r="IXC10" s="501"/>
      <c r="IXD10" s="501"/>
      <c r="IXE10" s="501"/>
      <c r="IXF10" s="501"/>
      <c r="IXG10" s="501"/>
      <c r="IXH10" s="501"/>
      <c r="IXI10" s="501"/>
      <c r="IXJ10" s="501"/>
      <c r="IXK10" s="501"/>
      <c r="IXL10" s="501"/>
      <c r="IXM10" s="501"/>
      <c r="IXN10" s="501"/>
      <c r="IXO10" s="501"/>
      <c r="IXP10" s="501"/>
      <c r="IXQ10" s="501"/>
      <c r="IXR10" s="501"/>
      <c r="IXS10" s="501"/>
      <c r="IXT10" s="501"/>
      <c r="IXU10" s="501"/>
      <c r="IXV10" s="501"/>
      <c r="IXW10" s="501"/>
      <c r="IXX10" s="501"/>
      <c r="IXY10" s="501"/>
      <c r="IXZ10" s="501"/>
      <c r="IYA10" s="501"/>
      <c r="IYB10" s="501"/>
      <c r="IYC10" s="501"/>
      <c r="IYD10" s="501"/>
      <c r="IYE10" s="501"/>
      <c r="IYF10" s="501"/>
      <c r="IYG10" s="501"/>
      <c r="IYH10" s="501"/>
      <c r="IYI10" s="501"/>
      <c r="IYJ10" s="501"/>
      <c r="IYK10" s="501"/>
      <c r="IYL10" s="501"/>
      <c r="IYM10" s="501"/>
      <c r="IYN10" s="501"/>
      <c r="IYO10" s="501"/>
      <c r="IYP10" s="501"/>
      <c r="IYQ10" s="501"/>
      <c r="IYR10" s="501"/>
      <c r="IYS10" s="501"/>
      <c r="IYT10" s="501"/>
      <c r="IYU10" s="501"/>
      <c r="IYV10" s="501"/>
      <c r="IYW10" s="501"/>
      <c r="IYX10" s="501"/>
      <c r="IYY10" s="501"/>
      <c r="IYZ10" s="501"/>
      <c r="IZA10" s="501"/>
      <c r="IZB10" s="501"/>
      <c r="IZC10" s="501"/>
      <c r="IZD10" s="501"/>
      <c r="IZE10" s="501"/>
      <c r="IZF10" s="501"/>
      <c r="IZG10" s="501"/>
      <c r="IZH10" s="501"/>
      <c r="IZI10" s="501"/>
      <c r="IZJ10" s="501"/>
      <c r="IZK10" s="501"/>
      <c r="IZL10" s="501"/>
      <c r="IZM10" s="501"/>
      <c r="IZN10" s="501"/>
      <c r="IZO10" s="501"/>
      <c r="IZP10" s="501"/>
      <c r="IZQ10" s="501"/>
      <c r="IZR10" s="501"/>
      <c r="IZS10" s="501"/>
      <c r="IZT10" s="501"/>
      <c r="IZU10" s="501"/>
      <c r="IZV10" s="501"/>
      <c r="IZW10" s="501"/>
      <c r="IZX10" s="501"/>
      <c r="IZY10" s="501"/>
      <c r="IZZ10" s="501"/>
      <c r="JAA10" s="501"/>
      <c r="JAB10" s="501"/>
      <c r="JAC10" s="501"/>
      <c r="JAD10" s="501"/>
      <c r="JAE10" s="501"/>
      <c r="JAF10" s="501"/>
      <c r="JAG10" s="501"/>
      <c r="JAH10" s="501"/>
      <c r="JAI10" s="501"/>
      <c r="JAJ10" s="501"/>
      <c r="JAK10" s="501"/>
      <c r="JAL10" s="501"/>
      <c r="JAM10" s="501"/>
      <c r="JAN10" s="501"/>
      <c r="JAO10" s="501"/>
      <c r="JAP10" s="501"/>
      <c r="JAQ10" s="501"/>
      <c r="JAR10" s="501"/>
      <c r="JAS10" s="501"/>
      <c r="JAT10" s="501"/>
      <c r="JAU10" s="501"/>
      <c r="JAV10" s="501"/>
      <c r="JAW10" s="501"/>
      <c r="JAX10" s="501"/>
      <c r="JAY10" s="501"/>
      <c r="JAZ10" s="501"/>
      <c r="JBA10" s="501"/>
      <c r="JBB10" s="501"/>
      <c r="JBC10" s="501"/>
      <c r="JBD10" s="501"/>
      <c r="JBE10" s="501"/>
      <c r="JBF10" s="501"/>
      <c r="JBG10" s="501"/>
      <c r="JBH10" s="501"/>
      <c r="JBI10" s="501"/>
      <c r="JBJ10" s="501"/>
      <c r="JBK10" s="501"/>
      <c r="JBL10" s="501"/>
      <c r="JBM10" s="501"/>
      <c r="JBN10" s="501"/>
      <c r="JBO10" s="501"/>
      <c r="JBP10" s="501"/>
      <c r="JBQ10" s="501"/>
      <c r="JBR10" s="501"/>
      <c r="JBS10" s="501"/>
      <c r="JBT10" s="501"/>
      <c r="JBU10" s="501"/>
      <c r="JBV10" s="501"/>
      <c r="JBW10" s="501"/>
      <c r="JBX10" s="501"/>
      <c r="JBY10" s="501"/>
      <c r="JBZ10" s="501"/>
      <c r="JCA10" s="501"/>
      <c r="JCB10" s="501"/>
      <c r="JCC10" s="501"/>
      <c r="JCD10" s="501"/>
      <c r="JCE10" s="501"/>
      <c r="JCF10" s="501"/>
      <c r="JCG10" s="501"/>
      <c r="JCH10" s="501"/>
      <c r="JCI10" s="501"/>
      <c r="JCJ10" s="501"/>
      <c r="JCK10" s="501"/>
      <c r="JCL10" s="501"/>
      <c r="JCM10" s="501"/>
      <c r="JCN10" s="501"/>
      <c r="JCO10" s="501"/>
      <c r="JCP10" s="501"/>
      <c r="JCQ10" s="501"/>
      <c r="JCR10" s="501"/>
      <c r="JCS10" s="501"/>
      <c r="JCT10" s="501"/>
      <c r="JCU10" s="501"/>
      <c r="JCV10" s="501"/>
      <c r="JCW10" s="501"/>
      <c r="JCX10" s="501"/>
      <c r="JCY10" s="501"/>
      <c r="JCZ10" s="501"/>
      <c r="JDA10" s="501"/>
      <c r="JDB10" s="501"/>
      <c r="JDC10" s="501"/>
      <c r="JDD10" s="501"/>
      <c r="JDE10" s="501"/>
      <c r="JDF10" s="501"/>
      <c r="JDG10" s="501"/>
      <c r="JDH10" s="501"/>
      <c r="JDI10" s="501"/>
      <c r="JDJ10" s="501"/>
      <c r="JDK10" s="501"/>
      <c r="JDL10" s="501"/>
      <c r="JDM10" s="501"/>
      <c r="JDN10" s="501"/>
      <c r="JDO10" s="501"/>
      <c r="JDP10" s="501"/>
      <c r="JDQ10" s="501"/>
      <c r="JDR10" s="501"/>
      <c r="JDS10" s="501"/>
      <c r="JDT10" s="501"/>
      <c r="JDU10" s="501"/>
      <c r="JDV10" s="501"/>
      <c r="JDW10" s="501"/>
      <c r="JDX10" s="501"/>
      <c r="JDY10" s="501"/>
      <c r="JDZ10" s="501"/>
      <c r="JEA10" s="501"/>
      <c r="JEB10" s="501"/>
      <c r="JEC10" s="501"/>
      <c r="JED10" s="501"/>
      <c r="JEE10" s="501"/>
      <c r="JEF10" s="501"/>
      <c r="JEG10" s="501"/>
      <c r="JEH10" s="501"/>
      <c r="JEI10" s="501"/>
      <c r="JEJ10" s="501"/>
      <c r="JEK10" s="501"/>
      <c r="JEL10" s="501"/>
      <c r="JEM10" s="501"/>
      <c r="JEN10" s="501"/>
      <c r="JEO10" s="501"/>
      <c r="JEP10" s="501"/>
      <c r="JEQ10" s="501"/>
      <c r="JER10" s="501"/>
      <c r="JES10" s="501"/>
      <c r="JET10" s="501"/>
      <c r="JEU10" s="501"/>
      <c r="JEV10" s="501"/>
      <c r="JEW10" s="501"/>
      <c r="JEX10" s="501"/>
      <c r="JEY10" s="501"/>
      <c r="JEZ10" s="501"/>
      <c r="JFA10" s="501"/>
      <c r="JFB10" s="501"/>
      <c r="JFC10" s="501"/>
      <c r="JFD10" s="501"/>
      <c r="JFE10" s="501"/>
      <c r="JFF10" s="501"/>
      <c r="JFG10" s="501"/>
      <c r="JFH10" s="501"/>
      <c r="JFI10" s="501"/>
      <c r="JFJ10" s="501"/>
      <c r="JFK10" s="501"/>
      <c r="JFL10" s="501"/>
      <c r="JFM10" s="501"/>
      <c r="JFN10" s="501"/>
      <c r="JFO10" s="501"/>
      <c r="JFP10" s="501"/>
      <c r="JFQ10" s="501"/>
      <c r="JFR10" s="501"/>
      <c r="JFS10" s="501"/>
      <c r="JFT10" s="501"/>
      <c r="JFU10" s="501"/>
      <c r="JFV10" s="501"/>
      <c r="JFW10" s="501"/>
      <c r="JFX10" s="501"/>
      <c r="JFY10" s="501"/>
      <c r="JFZ10" s="501"/>
      <c r="JGA10" s="501"/>
      <c r="JGB10" s="501"/>
      <c r="JGC10" s="501"/>
      <c r="JGD10" s="501"/>
      <c r="JGE10" s="501"/>
      <c r="JGF10" s="501"/>
      <c r="JGG10" s="501"/>
      <c r="JGH10" s="501"/>
      <c r="JGI10" s="501"/>
      <c r="JGJ10" s="501"/>
      <c r="JGK10" s="501"/>
      <c r="JGL10" s="501"/>
      <c r="JGM10" s="501"/>
      <c r="JGN10" s="501"/>
      <c r="JGO10" s="501"/>
      <c r="JGP10" s="501"/>
      <c r="JGQ10" s="501"/>
      <c r="JGR10" s="501"/>
      <c r="JGS10" s="501"/>
      <c r="JGT10" s="501"/>
      <c r="JGU10" s="501"/>
      <c r="JGV10" s="501"/>
      <c r="JGW10" s="501"/>
      <c r="JGX10" s="501"/>
      <c r="JGY10" s="501"/>
      <c r="JGZ10" s="501"/>
      <c r="JHA10" s="501"/>
      <c r="JHB10" s="501"/>
      <c r="JHC10" s="501"/>
      <c r="JHD10" s="501"/>
      <c r="JHE10" s="501"/>
      <c r="JHF10" s="501"/>
      <c r="JHG10" s="501"/>
      <c r="JHH10" s="501"/>
      <c r="JHI10" s="501"/>
      <c r="JHJ10" s="501"/>
      <c r="JHK10" s="501"/>
      <c r="JHL10" s="501"/>
      <c r="JHM10" s="501"/>
      <c r="JHN10" s="501"/>
      <c r="JHO10" s="501"/>
      <c r="JHP10" s="501"/>
      <c r="JHQ10" s="501"/>
      <c r="JHR10" s="501"/>
      <c r="JHS10" s="501"/>
      <c r="JHT10" s="501"/>
      <c r="JHU10" s="501"/>
      <c r="JHV10" s="501"/>
      <c r="JHW10" s="501"/>
      <c r="JHX10" s="501"/>
      <c r="JHY10" s="501"/>
      <c r="JHZ10" s="501"/>
      <c r="JIA10" s="501"/>
      <c r="JIB10" s="501"/>
      <c r="JIC10" s="501"/>
      <c r="JID10" s="501"/>
      <c r="JIE10" s="501"/>
      <c r="JIF10" s="501"/>
      <c r="JIG10" s="501"/>
      <c r="JIH10" s="501"/>
      <c r="JII10" s="501"/>
      <c r="JIJ10" s="501"/>
      <c r="JIK10" s="501"/>
      <c r="JIL10" s="501"/>
      <c r="JIM10" s="501"/>
      <c r="JIN10" s="501"/>
      <c r="JIO10" s="501"/>
      <c r="JIP10" s="501"/>
      <c r="JIQ10" s="501"/>
      <c r="JIR10" s="501"/>
      <c r="JIS10" s="501"/>
      <c r="JIT10" s="501"/>
      <c r="JIU10" s="501"/>
      <c r="JIV10" s="501"/>
      <c r="JIW10" s="501"/>
      <c r="JIX10" s="501"/>
      <c r="JIY10" s="501"/>
      <c r="JIZ10" s="501"/>
      <c r="JJA10" s="501"/>
      <c r="JJB10" s="501"/>
      <c r="JJC10" s="501"/>
      <c r="JJD10" s="501"/>
      <c r="JJE10" s="501"/>
      <c r="JJF10" s="501"/>
      <c r="JJG10" s="501"/>
      <c r="JJH10" s="501"/>
      <c r="JJI10" s="501"/>
      <c r="JJJ10" s="501"/>
      <c r="JJK10" s="501"/>
      <c r="JJL10" s="501"/>
      <c r="JJM10" s="501"/>
      <c r="JJN10" s="501"/>
      <c r="JJO10" s="501"/>
      <c r="JJP10" s="501"/>
      <c r="JJQ10" s="501"/>
      <c r="JJR10" s="501"/>
      <c r="JJS10" s="501"/>
      <c r="JJT10" s="501"/>
      <c r="JJU10" s="501"/>
      <c r="JJV10" s="501"/>
      <c r="JJW10" s="501"/>
      <c r="JJX10" s="501"/>
      <c r="JJY10" s="501"/>
      <c r="JJZ10" s="501"/>
      <c r="JKA10" s="501"/>
      <c r="JKB10" s="501"/>
      <c r="JKC10" s="501"/>
      <c r="JKD10" s="501"/>
      <c r="JKE10" s="501"/>
      <c r="JKF10" s="501"/>
      <c r="JKG10" s="501"/>
      <c r="JKH10" s="501"/>
      <c r="JKI10" s="501"/>
      <c r="JKJ10" s="501"/>
      <c r="JKK10" s="501"/>
      <c r="JKL10" s="501"/>
      <c r="JKM10" s="501"/>
      <c r="JKN10" s="501"/>
      <c r="JKO10" s="501"/>
      <c r="JKP10" s="501"/>
      <c r="JKQ10" s="501"/>
      <c r="JKR10" s="501"/>
      <c r="JKS10" s="501"/>
      <c r="JKT10" s="501"/>
      <c r="JKU10" s="501"/>
      <c r="JKV10" s="501"/>
      <c r="JKW10" s="501"/>
      <c r="JKX10" s="501"/>
      <c r="JKY10" s="501"/>
      <c r="JKZ10" s="501"/>
      <c r="JLA10" s="501"/>
      <c r="JLB10" s="501"/>
      <c r="JLC10" s="501"/>
      <c r="JLD10" s="501"/>
      <c r="JLE10" s="501"/>
      <c r="JLF10" s="501"/>
      <c r="JLG10" s="501"/>
      <c r="JLH10" s="501"/>
      <c r="JLI10" s="501"/>
      <c r="JLJ10" s="501"/>
      <c r="JLK10" s="501"/>
      <c r="JLL10" s="501"/>
      <c r="JLM10" s="501"/>
      <c r="JLN10" s="501"/>
      <c r="JLO10" s="501"/>
      <c r="JLP10" s="501"/>
      <c r="JLQ10" s="501"/>
      <c r="JLR10" s="501"/>
      <c r="JLS10" s="501"/>
      <c r="JLT10" s="501"/>
      <c r="JLU10" s="501"/>
      <c r="JLV10" s="501"/>
      <c r="JLW10" s="501"/>
      <c r="JLX10" s="501"/>
      <c r="JLY10" s="501"/>
      <c r="JLZ10" s="501"/>
      <c r="JMA10" s="501"/>
      <c r="JMB10" s="501"/>
      <c r="JMC10" s="501"/>
      <c r="JMD10" s="501"/>
      <c r="JME10" s="501"/>
      <c r="JMF10" s="501"/>
      <c r="JMG10" s="501"/>
      <c r="JMH10" s="501"/>
      <c r="JMI10" s="501"/>
      <c r="JMJ10" s="501"/>
      <c r="JMK10" s="501"/>
      <c r="JML10" s="501"/>
      <c r="JMM10" s="501"/>
      <c r="JMN10" s="501"/>
      <c r="JMO10" s="501"/>
      <c r="JMP10" s="501"/>
      <c r="JMQ10" s="501"/>
      <c r="JMR10" s="501"/>
      <c r="JMS10" s="501"/>
      <c r="JMT10" s="501"/>
      <c r="JMU10" s="501"/>
      <c r="JMV10" s="501"/>
      <c r="JMW10" s="501"/>
      <c r="JMX10" s="501"/>
      <c r="JMY10" s="501"/>
      <c r="JMZ10" s="501"/>
      <c r="JNA10" s="501"/>
      <c r="JNB10" s="501"/>
      <c r="JNC10" s="501"/>
      <c r="JND10" s="501"/>
      <c r="JNE10" s="501"/>
      <c r="JNF10" s="501"/>
      <c r="JNG10" s="501"/>
      <c r="JNH10" s="501"/>
      <c r="JNI10" s="501"/>
      <c r="JNJ10" s="501"/>
      <c r="JNK10" s="501"/>
      <c r="JNL10" s="501"/>
      <c r="JNM10" s="501"/>
      <c r="JNN10" s="501"/>
      <c r="JNO10" s="501"/>
      <c r="JNP10" s="501"/>
      <c r="JNQ10" s="501"/>
      <c r="JNR10" s="501"/>
      <c r="JNS10" s="501"/>
      <c r="JNT10" s="501"/>
      <c r="JNU10" s="501"/>
      <c r="JNV10" s="501"/>
      <c r="JNW10" s="501"/>
      <c r="JNX10" s="501"/>
      <c r="JNY10" s="501"/>
      <c r="JNZ10" s="501"/>
      <c r="JOA10" s="501"/>
      <c r="JOB10" s="501"/>
      <c r="JOC10" s="501"/>
      <c r="JOD10" s="501"/>
      <c r="JOE10" s="501"/>
      <c r="JOF10" s="501"/>
      <c r="JOG10" s="501"/>
      <c r="JOH10" s="501"/>
      <c r="JOI10" s="501"/>
      <c r="JOJ10" s="501"/>
      <c r="JOK10" s="501"/>
      <c r="JOL10" s="501"/>
      <c r="JOM10" s="501"/>
      <c r="JON10" s="501"/>
      <c r="JOO10" s="501"/>
      <c r="JOP10" s="501"/>
      <c r="JOQ10" s="501"/>
      <c r="JOR10" s="501"/>
      <c r="JOS10" s="501"/>
      <c r="JOT10" s="501"/>
      <c r="JOU10" s="501"/>
      <c r="JOV10" s="501"/>
      <c r="JOW10" s="501"/>
      <c r="JOX10" s="501"/>
      <c r="JOY10" s="501"/>
      <c r="JOZ10" s="501"/>
      <c r="JPA10" s="501"/>
      <c r="JPB10" s="501"/>
      <c r="JPC10" s="501"/>
      <c r="JPD10" s="501"/>
      <c r="JPE10" s="501"/>
      <c r="JPF10" s="501"/>
      <c r="JPG10" s="501"/>
      <c r="JPH10" s="501"/>
      <c r="JPI10" s="501"/>
      <c r="JPJ10" s="501"/>
      <c r="JPK10" s="501"/>
      <c r="JPL10" s="501"/>
      <c r="JPM10" s="501"/>
      <c r="JPN10" s="501"/>
      <c r="JPO10" s="501"/>
      <c r="JPP10" s="501"/>
      <c r="JPQ10" s="501"/>
      <c r="JPR10" s="501"/>
      <c r="JPS10" s="501"/>
      <c r="JPT10" s="501"/>
      <c r="JPU10" s="501"/>
      <c r="JPV10" s="501"/>
      <c r="JPW10" s="501"/>
      <c r="JPX10" s="501"/>
      <c r="JPY10" s="501"/>
      <c r="JPZ10" s="501"/>
      <c r="JQA10" s="501"/>
      <c r="JQB10" s="501"/>
      <c r="JQC10" s="501"/>
      <c r="JQD10" s="501"/>
      <c r="JQE10" s="501"/>
      <c r="JQF10" s="501"/>
      <c r="JQG10" s="501"/>
      <c r="JQH10" s="501"/>
      <c r="JQI10" s="501"/>
      <c r="JQJ10" s="501"/>
      <c r="JQK10" s="501"/>
      <c r="JQL10" s="501"/>
      <c r="JQM10" s="501"/>
      <c r="JQN10" s="501"/>
      <c r="JQO10" s="501"/>
      <c r="JQP10" s="501"/>
      <c r="JQQ10" s="501"/>
      <c r="JQR10" s="501"/>
      <c r="JQS10" s="501"/>
      <c r="JQT10" s="501"/>
      <c r="JQU10" s="501"/>
      <c r="JQV10" s="501"/>
      <c r="JQW10" s="501"/>
      <c r="JQX10" s="501"/>
      <c r="JQY10" s="501"/>
      <c r="JQZ10" s="501"/>
      <c r="JRA10" s="501"/>
      <c r="JRB10" s="501"/>
      <c r="JRC10" s="501"/>
      <c r="JRD10" s="501"/>
      <c r="JRE10" s="501"/>
      <c r="JRF10" s="501"/>
      <c r="JRG10" s="501"/>
      <c r="JRH10" s="501"/>
      <c r="JRI10" s="501"/>
      <c r="JRJ10" s="501"/>
      <c r="JRK10" s="501"/>
      <c r="JRL10" s="501"/>
      <c r="JRM10" s="501"/>
      <c r="JRN10" s="501"/>
      <c r="JRO10" s="501"/>
      <c r="JRP10" s="501"/>
      <c r="JRQ10" s="501"/>
      <c r="JRR10" s="501"/>
      <c r="JRS10" s="501"/>
      <c r="JRT10" s="501"/>
      <c r="JRU10" s="501"/>
      <c r="JRV10" s="501"/>
      <c r="JRW10" s="501"/>
      <c r="JRX10" s="501"/>
      <c r="JRY10" s="501"/>
      <c r="JRZ10" s="501"/>
      <c r="JSA10" s="501"/>
      <c r="JSB10" s="501"/>
      <c r="JSC10" s="501"/>
      <c r="JSD10" s="501"/>
      <c r="JSE10" s="501"/>
      <c r="JSF10" s="501"/>
      <c r="JSG10" s="501"/>
      <c r="JSH10" s="501"/>
      <c r="JSI10" s="501"/>
      <c r="JSJ10" s="501"/>
      <c r="JSK10" s="501"/>
      <c r="JSL10" s="501"/>
      <c r="JSM10" s="501"/>
      <c r="JSN10" s="501"/>
      <c r="JSO10" s="501"/>
      <c r="JSP10" s="501"/>
      <c r="JSQ10" s="501"/>
      <c r="JSR10" s="501"/>
      <c r="JSS10" s="501"/>
      <c r="JST10" s="501"/>
      <c r="JSU10" s="501"/>
      <c r="JSV10" s="501"/>
      <c r="JSW10" s="501"/>
      <c r="JSX10" s="501"/>
      <c r="JSY10" s="501"/>
      <c r="JSZ10" s="501"/>
      <c r="JTA10" s="501"/>
      <c r="JTB10" s="501"/>
      <c r="JTC10" s="501"/>
      <c r="JTD10" s="501"/>
      <c r="JTE10" s="501"/>
      <c r="JTF10" s="501"/>
      <c r="JTG10" s="501"/>
      <c r="JTH10" s="501"/>
      <c r="JTI10" s="501"/>
      <c r="JTJ10" s="501"/>
      <c r="JTK10" s="501"/>
      <c r="JTL10" s="501"/>
      <c r="JTM10" s="501"/>
      <c r="JTN10" s="501"/>
      <c r="JTO10" s="501"/>
      <c r="JTP10" s="501"/>
      <c r="JTQ10" s="501"/>
      <c r="JTR10" s="501"/>
      <c r="JTS10" s="501"/>
      <c r="JTT10" s="501"/>
      <c r="JTU10" s="501"/>
      <c r="JTV10" s="501"/>
      <c r="JTW10" s="501"/>
      <c r="JTX10" s="501"/>
      <c r="JTY10" s="501"/>
      <c r="JTZ10" s="501"/>
      <c r="JUA10" s="501"/>
      <c r="JUB10" s="501"/>
      <c r="JUC10" s="501"/>
      <c r="JUD10" s="501"/>
      <c r="JUE10" s="501"/>
      <c r="JUF10" s="501"/>
      <c r="JUG10" s="501"/>
      <c r="JUH10" s="501"/>
      <c r="JUI10" s="501"/>
      <c r="JUJ10" s="501"/>
      <c r="JUK10" s="501"/>
      <c r="JUL10" s="501"/>
      <c r="JUM10" s="501"/>
      <c r="JUN10" s="501"/>
      <c r="JUO10" s="501"/>
      <c r="JUP10" s="501"/>
      <c r="JUQ10" s="501"/>
      <c r="JUR10" s="501"/>
      <c r="JUS10" s="501"/>
      <c r="JUT10" s="501"/>
      <c r="JUU10" s="501"/>
      <c r="JUV10" s="501"/>
      <c r="JUW10" s="501"/>
      <c r="JUX10" s="501"/>
      <c r="JUY10" s="501"/>
      <c r="JUZ10" s="501"/>
      <c r="JVA10" s="501"/>
      <c r="JVB10" s="501"/>
      <c r="JVC10" s="501"/>
      <c r="JVD10" s="501"/>
      <c r="JVE10" s="501"/>
      <c r="JVF10" s="501"/>
      <c r="JVG10" s="501"/>
      <c r="JVH10" s="501"/>
      <c r="JVI10" s="501"/>
      <c r="JVJ10" s="501"/>
      <c r="JVK10" s="501"/>
      <c r="JVL10" s="501"/>
      <c r="JVM10" s="501"/>
      <c r="JVN10" s="501"/>
      <c r="JVO10" s="501"/>
      <c r="JVP10" s="501"/>
      <c r="JVQ10" s="501"/>
      <c r="JVR10" s="501"/>
      <c r="JVS10" s="501"/>
      <c r="JVT10" s="501"/>
      <c r="JVU10" s="501"/>
      <c r="JVV10" s="501"/>
      <c r="JVW10" s="501"/>
      <c r="JVX10" s="501"/>
      <c r="JVY10" s="501"/>
      <c r="JVZ10" s="501"/>
      <c r="JWA10" s="501"/>
      <c r="JWB10" s="501"/>
      <c r="JWC10" s="501"/>
      <c r="JWD10" s="501"/>
      <c r="JWE10" s="501"/>
      <c r="JWF10" s="501"/>
      <c r="JWG10" s="501"/>
      <c r="JWH10" s="501"/>
      <c r="JWI10" s="501"/>
      <c r="JWJ10" s="501"/>
      <c r="JWK10" s="501"/>
      <c r="JWL10" s="501"/>
      <c r="JWM10" s="501"/>
      <c r="JWN10" s="501"/>
      <c r="JWO10" s="501"/>
      <c r="JWP10" s="501"/>
      <c r="JWQ10" s="501"/>
      <c r="JWR10" s="501"/>
      <c r="JWS10" s="501"/>
      <c r="JWT10" s="501"/>
      <c r="JWU10" s="501"/>
      <c r="JWV10" s="501"/>
      <c r="JWW10" s="501"/>
      <c r="JWX10" s="501"/>
      <c r="JWY10" s="501"/>
      <c r="JWZ10" s="501"/>
      <c r="JXA10" s="501"/>
      <c r="JXB10" s="501"/>
      <c r="JXC10" s="501"/>
      <c r="JXD10" s="501"/>
      <c r="JXE10" s="501"/>
      <c r="JXF10" s="501"/>
      <c r="JXG10" s="501"/>
      <c r="JXH10" s="501"/>
      <c r="JXI10" s="501"/>
      <c r="JXJ10" s="501"/>
      <c r="JXK10" s="501"/>
      <c r="JXL10" s="501"/>
      <c r="JXM10" s="501"/>
      <c r="JXN10" s="501"/>
      <c r="JXO10" s="501"/>
      <c r="JXP10" s="501"/>
      <c r="JXQ10" s="501"/>
      <c r="JXR10" s="501"/>
      <c r="JXS10" s="501"/>
      <c r="JXT10" s="501"/>
      <c r="JXU10" s="501"/>
      <c r="JXV10" s="501"/>
      <c r="JXW10" s="501"/>
      <c r="JXX10" s="501"/>
      <c r="JXY10" s="501"/>
      <c r="JXZ10" s="501"/>
      <c r="JYA10" s="501"/>
      <c r="JYB10" s="501"/>
      <c r="JYC10" s="501"/>
      <c r="JYD10" s="501"/>
      <c r="JYE10" s="501"/>
      <c r="JYF10" s="501"/>
      <c r="JYG10" s="501"/>
      <c r="JYH10" s="501"/>
      <c r="JYI10" s="501"/>
      <c r="JYJ10" s="501"/>
      <c r="JYK10" s="501"/>
      <c r="JYL10" s="501"/>
      <c r="JYM10" s="501"/>
      <c r="JYN10" s="501"/>
      <c r="JYO10" s="501"/>
      <c r="JYP10" s="501"/>
      <c r="JYQ10" s="501"/>
      <c r="JYR10" s="501"/>
      <c r="JYS10" s="501"/>
      <c r="JYT10" s="501"/>
      <c r="JYU10" s="501"/>
      <c r="JYV10" s="501"/>
      <c r="JYW10" s="501"/>
      <c r="JYX10" s="501"/>
      <c r="JYY10" s="501"/>
      <c r="JYZ10" s="501"/>
      <c r="JZA10" s="501"/>
      <c r="JZB10" s="501"/>
      <c r="JZC10" s="501"/>
      <c r="JZD10" s="501"/>
      <c r="JZE10" s="501"/>
      <c r="JZF10" s="501"/>
      <c r="JZG10" s="501"/>
      <c r="JZH10" s="501"/>
      <c r="JZI10" s="501"/>
      <c r="JZJ10" s="501"/>
      <c r="JZK10" s="501"/>
      <c r="JZL10" s="501"/>
      <c r="JZM10" s="501"/>
      <c r="JZN10" s="501"/>
      <c r="JZO10" s="501"/>
      <c r="JZP10" s="501"/>
      <c r="JZQ10" s="501"/>
      <c r="JZR10" s="501"/>
      <c r="JZS10" s="501"/>
      <c r="JZT10" s="501"/>
      <c r="JZU10" s="501"/>
      <c r="JZV10" s="501"/>
      <c r="JZW10" s="501"/>
      <c r="JZX10" s="501"/>
      <c r="JZY10" s="501"/>
      <c r="JZZ10" s="501"/>
      <c r="KAA10" s="501"/>
      <c r="KAB10" s="501"/>
      <c r="KAC10" s="501"/>
      <c r="KAD10" s="501"/>
      <c r="KAE10" s="501"/>
      <c r="KAF10" s="501"/>
      <c r="KAG10" s="501"/>
      <c r="KAH10" s="501"/>
      <c r="KAI10" s="501"/>
      <c r="KAJ10" s="501"/>
      <c r="KAK10" s="501"/>
      <c r="KAL10" s="501"/>
      <c r="KAM10" s="501"/>
      <c r="KAN10" s="501"/>
      <c r="KAO10" s="501"/>
      <c r="KAP10" s="501"/>
      <c r="KAQ10" s="501"/>
      <c r="KAR10" s="501"/>
      <c r="KAS10" s="501"/>
      <c r="KAT10" s="501"/>
      <c r="KAU10" s="501"/>
      <c r="KAV10" s="501"/>
      <c r="KAW10" s="501"/>
      <c r="KAX10" s="501"/>
      <c r="KAY10" s="501"/>
      <c r="KAZ10" s="501"/>
      <c r="KBA10" s="501"/>
      <c r="KBB10" s="501"/>
      <c r="KBC10" s="501"/>
      <c r="KBD10" s="501"/>
      <c r="KBE10" s="501"/>
      <c r="KBF10" s="501"/>
      <c r="KBG10" s="501"/>
      <c r="KBH10" s="501"/>
      <c r="KBI10" s="501"/>
      <c r="KBJ10" s="501"/>
      <c r="KBK10" s="501"/>
      <c r="KBL10" s="501"/>
      <c r="KBM10" s="501"/>
      <c r="KBN10" s="501"/>
      <c r="KBO10" s="501"/>
      <c r="KBP10" s="501"/>
      <c r="KBQ10" s="501"/>
      <c r="KBR10" s="501"/>
      <c r="KBS10" s="501"/>
      <c r="KBT10" s="501"/>
      <c r="KBU10" s="501"/>
      <c r="KBV10" s="501"/>
      <c r="KBW10" s="501"/>
      <c r="KBX10" s="501"/>
      <c r="KBY10" s="501"/>
      <c r="KBZ10" s="501"/>
      <c r="KCA10" s="501"/>
      <c r="KCB10" s="501"/>
      <c r="KCC10" s="501"/>
      <c r="KCD10" s="501"/>
      <c r="KCE10" s="501"/>
      <c r="KCF10" s="501"/>
      <c r="KCG10" s="501"/>
      <c r="KCH10" s="501"/>
      <c r="KCI10" s="501"/>
      <c r="KCJ10" s="501"/>
      <c r="KCK10" s="501"/>
      <c r="KCL10" s="501"/>
      <c r="KCM10" s="501"/>
      <c r="KCN10" s="501"/>
      <c r="KCO10" s="501"/>
      <c r="KCP10" s="501"/>
      <c r="KCQ10" s="501"/>
      <c r="KCR10" s="501"/>
      <c r="KCS10" s="501"/>
      <c r="KCT10" s="501"/>
      <c r="KCU10" s="501"/>
      <c r="KCV10" s="501"/>
      <c r="KCW10" s="501"/>
      <c r="KCX10" s="501"/>
      <c r="KCY10" s="501"/>
      <c r="KCZ10" s="501"/>
      <c r="KDA10" s="501"/>
      <c r="KDB10" s="501"/>
      <c r="KDC10" s="501"/>
      <c r="KDD10" s="501"/>
      <c r="KDE10" s="501"/>
      <c r="KDF10" s="501"/>
      <c r="KDG10" s="501"/>
      <c r="KDH10" s="501"/>
      <c r="KDI10" s="501"/>
      <c r="KDJ10" s="501"/>
      <c r="KDK10" s="501"/>
      <c r="KDL10" s="501"/>
      <c r="KDM10" s="501"/>
      <c r="KDN10" s="501"/>
      <c r="KDO10" s="501"/>
      <c r="KDP10" s="501"/>
      <c r="KDQ10" s="501"/>
      <c r="KDR10" s="501"/>
      <c r="KDS10" s="501"/>
      <c r="KDT10" s="501"/>
      <c r="KDU10" s="501"/>
      <c r="KDV10" s="501"/>
      <c r="KDW10" s="501"/>
      <c r="KDX10" s="501"/>
      <c r="KDY10" s="501"/>
      <c r="KDZ10" s="501"/>
      <c r="KEA10" s="501"/>
      <c r="KEB10" s="501"/>
      <c r="KEC10" s="501"/>
      <c r="KED10" s="501"/>
      <c r="KEE10" s="501"/>
      <c r="KEF10" s="501"/>
      <c r="KEG10" s="501"/>
      <c r="KEH10" s="501"/>
      <c r="KEI10" s="501"/>
      <c r="KEJ10" s="501"/>
      <c r="KEK10" s="501"/>
      <c r="KEL10" s="501"/>
      <c r="KEM10" s="501"/>
      <c r="KEN10" s="501"/>
      <c r="KEO10" s="501"/>
      <c r="KEP10" s="501"/>
      <c r="KEQ10" s="501"/>
      <c r="KER10" s="501"/>
      <c r="KES10" s="501"/>
      <c r="KET10" s="501"/>
      <c r="KEU10" s="501"/>
      <c r="KEV10" s="501"/>
      <c r="KEW10" s="501"/>
      <c r="KEX10" s="501"/>
      <c r="KEY10" s="501"/>
      <c r="KEZ10" s="501"/>
      <c r="KFA10" s="501"/>
      <c r="KFB10" s="501"/>
      <c r="KFC10" s="501"/>
      <c r="KFD10" s="501"/>
      <c r="KFE10" s="501"/>
      <c r="KFF10" s="501"/>
      <c r="KFG10" s="501"/>
      <c r="KFH10" s="501"/>
      <c r="KFI10" s="501"/>
      <c r="KFJ10" s="501"/>
      <c r="KFK10" s="501"/>
      <c r="KFL10" s="501"/>
      <c r="KFM10" s="501"/>
      <c r="KFN10" s="501"/>
      <c r="KFO10" s="501"/>
      <c r="KFP10" s="501"/>
      <c r="KFQ10" s="501"/>
      <c r="KFR10" s="501"/>
      <c r="KFS10" s="501"/>
      <c r="KFT10" s="501"/>
      <c r="KFU10" s="501"/>
      <c r="KFV10" s="501"/>
      <c r="KFW10" s="501"/>
      <c r="KFX10" s="501"/>
      <c r="KFY10" s="501"/>
      <c r="KFZ10" s="501"/>
      <c r="KGA10" s="501"/>
      <c r="KGB10" s="501"/>
      <c r="KGC10" s="501"/>
      <c r="KGD10" s="501"/>
      <c r="KGE10" s="501"/>
      <c r="KGF10" s="501"/>
      <c r="KGG10" s="501"/>
      <c r="KGH10" s="501"/>
      <c r="KGI10" s="501"/>
      <c r="KGJ10" s="501"/>
      <c r="KGK10" s="501"/>
      <c r="KGL10" s="501"/>
      <c r="KGM10" s="501"/>
      <c r="KGN10" s="501"/>
      <c r="KGO10" s="501"/>
      <c r="KGP10" s="501"/>
      <c r="KGQ10" s="501"/>
      <c r="KGR10" s="501"/>
      <c r="KGS10" s="501"/>
      <c r="KGT10" s="501"/>
      <c r="KGU10" s="501"/>
      <c r="KGV10" s="501"/>
      <c r="KGW10" s="501"/>
      <c r="KGX10" s="501"/>
      <c r="KGY10" s="501"/>
      <c r="KGZ10" s="501"/>
      <c r="KHA10" s="501"/>
      <c r="KHB10" s="501"/>
      <c r="KHC10" s="501"/>
      <c r="KHD10" s="501"/>
      <c r="KHE10" s="501"/>
      <c r="KHF10" s="501"/>
      <c r="KHG10" s="501"/>
      <c r="KHH10" s="501"/>
      <c r="KHI10" s="501"/>
      <c r="KHJ10" s="501"/>
      <c r="KHK10" s="501"/>
      <c r="KHL10" s="501"/>
      <c r="KHM10" s="501"/>
      <c r="KHN10" s="501"/>
      <c r="KHO10" s="501"/>
      <c r="KHP10" s="501"/>
      <c r="KHQ10" s="501"/>
      <c r="KHR10" s="501"/>
      <c r="KHS10" s="501"/>
      <c r="KHT10" s="501"/>
      <c r="KHU10" s="501"/>
      <c r="KHV10" s="501"/>
      <c r="KHW10" s="501"/>
      <c r="KHX10" s="501"/>
      <c r="KHY10" s="501"/>
      <c r="KHZ10" s="501"/>
      <c r="KIA10" s="501"/>
      <c r="KIB10" s="501"/>
      <c r="KIC10" s="501"/>
      <c r="KID10" s="501"/>
      <c r="KIE10" s="501"/>
      <c r="KIF10" s="501"/>
      <c r="KIG10" s="501"/>
      <c r="KIH10" s="501"/>
      <c r="KII10" s="501"/>
      <c r="KIJ10" s="501"/>
      <c r="KIK10" s="501"/>
      <c r="KIL10" s="501"/>
      <c r="KIM10" s="501"/>
      <c r="KIN10" s="501"/>
      <c r="KIO10" s="501"/>
      <c r="KIP10" s="501"/>
      <c r="KIQ10" s="501"/>
      <c r="KIR10" s="501"/>
      <c r="KIS10" s="501"/>
      <c r="KIT10" s="501"/>
      <c r="KIU10" s="501"/>
      <c r="KIV10" s="501"/>
      <c r="KIW10" s="501"/>
      <c r="KIX10" s="501"/>
      <c r="KIY10" s="501"/>
      <c r="KIZ10" s="501"/>
      <c r="KJA10" s="501"/>
      <c r="KJB10" s="501"/>
      <c r="KJC10" s="501"/>
      <c r="KJD10" s="501"/>
      <c r="KJE10" s="501"/>
      <c r="KJF10" s="501"/>
      <c r="KJG10" s="501"/>
      <c r="KJH10" s="501"/>
      <c r="KJI10" s="501"/>
      <c r="KJJ10" s="501"/>
      <c r="KJK10" s="501"/>
      <c r="KJL10" s="501"/>
      <c r="KJM10" s="501"/>
      <c r="KJN10" s="501"/>
      <c r="KJO10" s="501"/>
      <c r="KJP10" s="501"/>
      <c r="KJQ10" s="501"/>
      <c r="KJR10" s="501"/>
      <c r="KJS10" s="501"/>
      <c r="KJT10" s="501"/>
      <c r="KJU10" s="501"/>
      <c r="KJV10" s="501"/>
      <c r="KJW10" s="501"/>
      <c r="KJX10" s="501"/>
      <c r="KJY10" s="501"/>
      <c r="KJZ10" s="501"/>
      <c r="KKA10" s="501"/>
      <c r="KKB10" s="501"/>
      <c r="KKC10" s="501"/>
      <c r="KKD10" s="501"/>
      <c r="KKE10" s="501"/>
      <c r="KKF10" s="501"/>
      <c r="KKG10" s="501"/>
      <c r="KKH10" s="501"/>
      <c r="KKI10" s="501"/>
      <c r="KKJ10" s="501"/>
      <c r="KKK10" s="501"/>
      <c r="KKL10" s="501"/>
      <c r="KKM10" s="501"/>
      <c r="KKN10" s="501"/>
      <c r="KKO10" s="501"/>
      <c r="KKP10" s="501"/>
      <c r="KKQ10" s="501"/>
      <c r="KKR10" s="501"/>
      <c r="KKS10" s="501"/>
      <c r="KKT10" s="501"/>
      <c r="KKU10" s="501"/>
      <c r="KKV10" s="501"/>
      <c r="KKW10" s="501"/>
      <c r="KKX10" s="501"/>
      <c r="KKY10" s="501"/>
      <c r="KKZ10" s="501"/>
      <c r="KLA10" s="501"/>
      <c r="KLB10" s="501"/>
      <c r="KLC10" s="501"/>
      <c r="KLD10" s="501"/>
      <c r="KLE10" s="501"/>
      <c r="KLF10" s="501"/>
      <c r="KLG10" s="501"/>
      <c r="KLH10" s="501"/>
      <c r="KLI10" s="501"/>
      <c r="KLJ10" s="501"/>
      <c r="KLK10" s="501"/>
      <c r="KLL10" s="501"/>
      <c r="KLM10" s="501"/>
      <c r="KLN10" s="501"/>
      <c r="KLO10" s="501"/>
      <c r="KLP10" s="501"/>
      <c r="KLQ10" s="501"/>
      <c r="KLR10" s="501"/>
      <c r="KLS10" s="501"/>
      <c r="KLT10" s="501"/>
      <c r="KLU10" s="501"/>
      <c r="KLV10" s="501"/>
      <c r="KLW10" s="501"/>
      <c r="KLX10" s="501"/>
      <c r="KLY10" s="501"/>
      <c r="KLZ10" s="501"/>
      <c r="KMA10" s="501"/>
      <c r="KMB10" s="501"/>
      <c r="KMC10" s="501"/>
      <c r="KMD10" s="501"/>
      <c r="KME10" s="501"/>
      <c r="KMF10" s="501"/>
      <c r="KMG10" s="501"/>
      <c r="KMH10" s="501"/>
      <c r="KMI10" s="501"/>
      <c r="KMJ10" s="501"/>
      <c r="KMK10" s="501"/>
      <c r="KML10" s="501"/>
      <c r="KMM10" s="501"/>
      <c r="KMN10" s="501"/>
      <c r="KMO10" s="501"/>
      <c r="KMP10" s="501"/>
      <c r="KMQ10" s="501"/>
      <c r="KMR10" s="501"/>
      <c r="KMS10" s="501"/>
      <c r="KMT10" s="501"/>
      <c r="KMU10" s="501"/>
      <c r="KMV10" s="501"/>
      <c r="KMW10" s="501"/>
      <c r="KMX10" s="501"/>
      <c r="KMY10" s="501"/>
      <c r="KMZ10" s="501"/>
      <c r="KNA10" s="501"/>
      <c r="KNB10" s="501"/>
      <c r="KNC10" s="501"/>
      <c r="KND10" s="501"/>
      <c r="KNE10" s="501"/>
      <c r="KNF10" s="501"/>
      <c r="KNG10" s="501"/>
      <c r="KNH10" s="501"/>
      <c r="KNI10" s="501"/>
      <c r="KNJ10" s="501"/>
      <c r="KNK10" s="501"/>
      <c r="KNL10" s="501"/>
      <c r="KNM10" s="501"/>
      <c r="KNN10" s="501"/>
      <c r="KNO10" s="501"/>
      <c r="KNP10" s="501"/>
      <c r="KNQ10" s="501"/>
      <c r="KNR10" s="501"/>
      <c r="KNS10" s="501"/>
      <c r="KNT10" s="501"/>
      <c r="KNU10" s="501"/>
      <c r="KNV10" s="501"/>
      <c r="KNW10" s="501"/>
      <c r="KNX10" s="501"/>
      <c r="KNY10" s="501"/>
      <c r="KNZ10" s="501"/>
      <c r="KOA10" s="501"/>
      <c r="KOB10" s="501"/>
      <c r="KOC10" s="501"/>
      <c r="KOD10" s="501"/>
      <c r="KOE10" s="501"/>
      <c r="KOF10" s="501"/>
      <c r="KOG10" s="501"/>
      <c r="KOH10" s="501"/>
      <c r="KOI10" s="501"/>
      <c r="KOJ10" s="501"/>
      <c r="KOK10" s="501"/>
      <c r="KOL10" s="501"/>
      <c r="KOM10" s="501"/>
      <c r="KON10" s="501"/>
      <c r="KOO10" s="501"/>
      <c r="KOP10" s="501"/>
      <c r="KOQ10" s="501"/>
      <c r="KOR10" s="501"/>
      <c r="KOS10" s="501"/>
      <c r="KOT10" s="501"/>
      <c r="KOU10" s="501"/>
      <c r="KOV10" s="501"/>
      <c r="KOW10" s="501"/>
      <c r="KOX10" s="501"/>
      <c r="KOY10" s="501"/>
      <c r="KOZ10" s="501"/>
      <c r="KPA10" s="501"/>
      <c r="KPB10" s="501"/>
      <c r="KPC10" s="501"/>
      <c r="KPD10" s="501"/>
      <c r="KPE10" s="501"/>
      <c r="KPF10" s="501"/>
      <c r="KPG10" s="501"/>
      <c r="KPH10" s="501"/>
      <c r="KPI10" s="501"/>
      <c r="KPJ10" s="501"/>
      <c r="KPK10" s="501"/>
      <c r="KPL10" s="501"/>
      <c r="KPM10" s="501"/>
      <c r="KPN10" s="501"/>
      <c r="KPO10" s="501"/>
      <c r="KPP10" s="501"/>
      <c r="KPQ10" s="501"/>
      <c r="KPR10" s="501"/>
      <c r="KPS10" s="501"/>
      <c r="KPT10" s="501"/>
      <c r="KPU10" s="501"/>
      <c r="KPV10" s="501"/>
      <c r="KPW10" s="501"/>
      <c r="KPX10" s="501"/>
      <c r="KPY10" s="501"/>
      <c r="KPZ10" s="501"/>
      <c r="KQA10" s="501"/>
      <c r="KQB10" s="501"/>
      <c r="KQC10" s="501"/>
      <c r="KQD10" s="501"/>
      <c r="KQE10" s="501"/>
      <c r="KQF10" s="501"/>
      <c r="KQG10" s="501"/>
      <c r="KQH10" s="501"/>
      <c r="KQI10" s="501"/>
      <c r="KQJ10" s="501"/>
      <c r="KQK10" s="501"/>
      <c r="KQL10" s="501"/>
      <c r="KQM10" s="501"/>
      <c r="KQN10" s="501"/>
      <c r="KQO10" s="501"/>
      <c r="KQP10" s="501"/>
      <c r="KQQ10" s="501"/>
      <c r="KQR10" s="501"/>
      <c r="KQS10" s="501"/>
      <c r="KQT10" s="501"/>
      <c r="KQU10" s="501"/>
      <c r="KQV10" s="501"/>
      <c r="KQW10" s="501"/>
      <c r="KQX10" s="501"/>
      <c r="KQY10" s="501"/>
      <c r="KQZ10" s="501"/>
      <c r="KRA10" s="501"/>
      <c r="KRB10" s="501"/>
      <c r="KRC10" s="501"/>
      <c r="KRD10" s="501"/>
      <c r="KRE10" s="501"/>
      <c r="KRF10" s="501"/>
      <c r="KRG10" s="501"/>
      <c r="KRH10" s="501"/>
      <c r="KRI10" s="501"/>
      <c r="KRJ10" s="501"/>
      <c r="KRK10" s="501"/>
      <c r="KRL10" s="501"/>
      <c r="KRM10" s="501"/>
      <c r="KRN10" s="501"/>
      <c r="KRO10" s="501"/>
      <c r="KRP10" s="501"/>
      <c r="KRQ10" s="501"/>
      <c r="KRR10" s="501"/>
      <c r="KRS10" s="501"/>
      <c r="KRT10" s="501"/>
      <c r="KRU10" s="501"/>
      <c r="KRV10" s="501"/>
      <c r="KRW10" s="501"/>
      <c r="KRX10" s="501"/>
      <c r="KRY10" s="501"/>
      <c r="KRZ10" s="501"/>
      <c r="KSA10" s="501"/>
      <c r="KSB10" s="501"/>
      <c r="KSC10" s="501"/>
      <c r="KSD10" s="501"/>
      <c r="KSE10" s="501"/>
      <c r="KSF10" s="501"/>
      <c r="KSG10" s="501"/>
      <c r="KSH10" s="501"/>
      <c r="KSI10" s="501"/>
      <c r="KSJ10" s="501"/>
      <c r="KSK10" s="501"/>
      <c r="KSL10" s="501"/>
      <c r="KSM10" s="501"/>
      <c r="KSN10" s="501"/>
      <c r="KSO10" s="501"/>
      <c r="KSP10" s="501"/>
      <c r="KSQ10" s="501"/>
      <c r="KSR10" s="501"/>
      <c r="KSS10" s="501"/>
      <c r="KST10" s="501"/>
      <c r="KSU10" s="501"/>
      <c r="KSV10" s="501"/>
      <c r="KSW10" s="501"/>
      <c r="KSX10" s="501"/>
      <c r="KSY10" s="501"/>
      <c r="KSZ10" s="501"/>
      <c r="KTA10" s="501"/>
      <c r="KTB10" s="501"/>
      <c r="KTC10" s="501"/>
      <c r="KTD10" s="501"/>
      <c r="KTE10" s="501"/>
      <c r="KTF10" s="501"/>
      <c r="KTG10" s="501"/>
      <c r="KTH10" s="501"/>
      <c r="KTI10" s="501"/>
      <c r="KTJ10" s="501"/>
      <c r="KTK10" s="501"/>
      <c r="KTL10" s="501"/>
      <c r="KTM10" s="501"/>
      <c r="KTN10" s="501"/>
      <c r="KTO10" s="501"/>
      <c r="KTP10" s="501"/>
      <c r="KTQ10" s="501"/>
      <c r="KTR10" s="501"/>
      <c r="KTS10" s="501"/>
      <c r="KTT10" s="501"/>
      <c r="KTU10" s="501"/>
      <c r="KTV10" s="501"/>
      <c r="KTW10" s="501"/>
      <c r="KTX10" s="501"/>
      <c r="KTY10" s="501"/>
      <c r="KTZ10" s="501"/>
      <c r="KUA10" s="501"/>
      <c r="KUB10" s="501"/>
      <c r="KUC10" s="501"/>
      <c r="KUD10" s="501"/>
      <c r="KUE10" s="501"/>
      <c r="KUF10" s="501"/>
      <c r="KUG10" s="501"/>
      <c r="KUH10" s="501"/>
      <c r="KUI10" s="501"/>
      <c r="KUJ10" s="501"/>
      <c r="KUK10" s="501"/>
      <c r="KUL10" s="501"/>
      <c r="KUM10" s="501"/>
      <c r="KUN10" s="501"/>
      <c r="KUO10" s="501"/>
      <c r="KUP10" s="501"/>
      <c r="KUQ10" s="501"/>
      <c r="KUR10" s="501"/>
      <c r="KUS10" s="501"/>
      <c r="KUT10" s="501"/>
      <c r="KUU10" s="501"/>
      <c r="KUV10" s="501"/>
      <c r="KUW10" s="501"/>
      <c r="KUX10" s="501"/>
      <c r="KUY10" s="501"/>
      <c r="KUZ10" s="501"/>
      <c r="KVA10" s="501"/>
      <c r="KVB10" s="501"/>
      <c r="KVC10" s="501"/>
      <c r="KVD10" s="501"/>
      <c r="KVE10" s="501"/>
      <c r="KVF10" s="501"/>
      <c r="KVG10" s="501"/>
      <c r="KVH10" s="501"/>
      <c r="KVI10" s="501"/>
      <c r="KVJ10" s="501"/>
      <c r="KVK10" s="501"/>
      <c r="KVL10" s="501"/>
      <c r="KVM10" s="501"/>
      <c r="KVN10" s="501"/>
      <c r="KVO10" s="501"/>
      <c r="KVP10" s="501"/>
      <c r="KVQ10" s="501"/>
      <c r="KVR10" s="501"/>
      <c r="KVS10" s="501"/>
      <c r="KVT10" s="501"/>
      <c r="KVU10" s="501"/>
      <c r="KVV10" s="501"/>
      <c r="KVW10" s="501"/>
      <c r="KVX10" s="501"/>
      <c r="KVY10" s="501"/>
      <c r="KVZ10" s="501"/>
      <c r="KWA10" s="501"/>
      <c r="KWB10" s="501"/>
      <c r="KWC10" s="501"/>
      <c r="KWD10" s="501"/>
      <c r="KWE10" s="501"/>
      <c r="KWF10" s="501"/>
      <c r="KWG10" s="501"/>
      <c r="KWH10" s="501"/>
      <c r="KWI10" s="501"/>
      <c r="KWJ10" s="501"/>
      <c r="KWK10" s="501"/>
      <c r="KWL10" s="501"/>
      <c r="KWM10" s="501"/>
      <c r="KWN10" s="501"/>
      <c r="KWO10" s="501"/>
      <c r="KWP10" s="501"/>
      <c r="KWQ10" s="501"/>
      <c r="KWR10" s="501"/>
      <c r="KWS10" s="501"/>
      <c r="KWT10" s="501"/>
      <c r="KWU10" s="501"/>
      <c r="KWV10" s="501"/>
      <c r="KWW10" s="501"/>
      <c r="KWX10" s="501"/>
      <c r="KWY10" s="501"/>
      <c r="KWZ10" s="501"/>
      <c r="KXA10" s="501"/>
      <c r="KXB10" s="501"/>
      <c r="KXC10" s="501"/>
      <c r="KXD10" s="501"/>
      <c r="KXE10" s="501"/>
      <c r="KXF10" s="501"/>
      <c r="KXG10" s="501"/>
      <c r="KXH10" s="501"/>
      <c r="KXI10" s="501"/>
      <c r="KXJ10" s="501"/>
      <c r="KXK10" s="501"/>
      <c r="KXL10" s="501"/>
      <c r="KXM10" s="501"/>
      <c r="KXN10" s="501"/>
      <c r="KXO10" s="501"/>
      <c r="KXP10" s="501"/>
      <c r="KXQ10" s="501"/>
      <c r="KXR10" s="501"/>
      <c r="KXS10" s="501"/>
      <c r="KXT10" s="501"/>
      <c r="KXU10" s="501"/>
      <c r="KXV10" s="501"/>
      <c r="KXW10" s="501"/>
      <c r="KXX10" s="501"/>
      <c r="KXY10" s="501"/>
      <c r="KXZ10" s="501"/>
      <c r="KYA10" s="501"/>
      <c r="KYB10" s="501"/>
      <c r="KYC10" s="501"/>
      <c r="KYD10" s="501"/>
      <c r="KYE10" s="501"/>
      <c r="KYF10" s="501"/>
      <c r="KYG10" s="501"/>
      <c r="KYH10" s="501"/>
      <c r="KYI10" s="501"/>
      <c r="KYJ10" s="501"/>
      <c r="KYK10" s="501"/>
      <c r="KYL10" s="501"/>
      <c r="KYM10" s="501"/>
      <c r="KYN10" s="501"/>
      <c r="KYO10" s="501"/>
      <c r="KYP10" s="501"/>
      <c r="KYQ10" s="501"/>
      <c r="KYR10" s="501"/>
      <c r="KYS10" s="501"/>
      <c r="KYT10" s="501"/>
      <c r="KYU10" s="501"/>
      <c r="KYV10" s="501"/>
      <c r="KYW10" s="501"/>
      <c r="KYX10" s="501"/>
      <c r="KYY10" s="501"/>
      <c r="KYZ10" s="501"/>
      <c r="KZA10" s="501"/>
      <c r="KZB10" s="501"/>
      <c r="KZC10" s="501"/>
      <c r="KZD10" s="501"/>
      <c r="KZE10" s="501"/>
      <c r="KZF10" s="501"/>
      <c r="KZG10" s="501"/>
      <c r="KZH10" s="501"/>
      <c r="KZI10" s="501"/>
      <c r="KZJ10" s="501"/>
      <c r="KZK10" s="501"/>
      <c r="KZL10" s="501"/>
      <c r="KZM10" s="501"/>
      <c r="KZN10" s="501"/>
      <c r="KZO10" s="501"/>
      <c r="KZP10" s="501"/>
      <c r="KZQ10" s="501"/>
      <c r="KZR10" s="501"/>
      <c r="KZS10" s="501"/>
      <c r="KZT10" s="501"/>
      <c r="KZU10" s="501"/>
      <c r="KZV10" s="501"/>
      <c r="KZW10" s="501"/>
      <c r="KZX10" s="501"/>
      <c r="KZY10" s="501"/>
      <c r="KZZ10" s="501"/>
      <c r="LAA10" s="501"/>
      <c r="LAB10" s="501"/>
      <c r="LAC10" s="501"/>
      <c r="LAD10" s="501"/>
      <c r="LAE10" s="501"/>
      <c r="LAF10" s="501"/>
      <c r="LAG10" s="501"/>
      <c r="LAH10" s="501"/>
      <c r="LAI10" s="501"/>
      <c r="LAJ10" s="501"/>
      <c r="LAK10" s="501"/>
      <c r="LAL10" s="501"/>
      <c r="LAM10" s="501"/>
      <c r="LAN10" s="501"/>
      <c r="LAO10" s="501"/>
      <c r="LAP10" s="501"/>
      <c r="LAQ10" s="501"/>
      <c r="LAR10" s="501"/>
      <c r="LAS10" s="501"/>
      <c r="LAT10" s="501"/>
      <c r="LAU10" s="501"/>
      <c r="LAV10" s="501"/>
      <c r="LAW10" s="501"/>
      <c r="LAX10" s="501"/>
      <c r="LAY10" s="501"/>
      <c r="LAZ10" s="501"/>
      <c r="LBA10" s="501"/>
      <c r="LBB10" s="501"/>
      <c r="LBC10" s="501"/>
      <c r="LBD10" s="501"/>
      <c r="LBE10" s="501"/>
      <c r="LBF10" s="501"/>
      <c r="LBG10" s="501"/>
      <c r="LBH10" s="501"/>
      <c r="LBI10" s="501"/>
      <c r="LBJ10" s="501"/>
      <c r="LBK10" s="501"/>
      <c r="LBL10" s="501"/>
      <c r="LBM10" s="501"/>
      <c r="LBN10" s="501"/>
      <c r="LBO10" s="501"/>
      <c r="LBP10" s="501"/>
      <c r="LBQ10" s="501"/>
      <c r="LBR10" s="501"/>
      <c r="LBS10" s="501"/>
      <c r="LBT10" s="501"/>
      <c r="LBU10" s="501"/>
      <c r="LBV10" s="501"/>
      <c r="LBW10" s="501"/>
      <c r="LBX10" s="501"/>
      <c r="LBY10" s="501"/>
      <c r="LBZ10" s="501"/>
      <c r="LCA10" s="501"/>
      <c r="LCB10" s="501"/>
      <c r="LCC10" s="501"/>
      <c r="LCD10" s="501"/>
      <c r="LCE10" s="501"/>
      <c r="LCF10" s="501"/>
      <c r="LCG10" s="501"/>
      <c r="LCH10" s="501"/>
      <c r="LCI10" s="501"/>
      <c r="LCJ10" s="501"/>
      <c r="LCK10" s="501"/>
      <c r="LCL10" s="501"/>
      <c r="LCM10" s="501"/>
      <c r="LCN10" s="501"/>
      <c r="LCO10" s="501"/>
      <c r="LCP10" s="501"/>
      <c r="LCQ10" s="501"/>
      <c r="LCR10" s="501"/>
      <c r="LCS10" s="501"/>
      <c r="LCT10" s="501"/>
      <c r="LCU10" s="501"/>
      <c r="LCV10" s="501"/>
      <c r="LCW10" s="501"/>
      <c r="LCX10" s="501"/>
      <c r="LCY10" s="501"/>
      <c r="LCZ10" s="501"/>
      <c r="LDA10" s="501"/>
      <c r="LDB10" s="501"/>
      <c r="LDC10" s="501"/>
      <c r="LDD10" s="501"/>
      <c r="LDE10" s="501"/>
      <c r="LDF10" s="501"/>
      <c r="LDG10" s="501"/>
      <c r="LDH10" s="501"/>
      <c r="LDI10" s="501"/>
      <c r="LDJ10" s="501"/>
      <c r="LDK10" s="501"/>
      <c r="LDL10" s="501"/>
      <c r="LDM10" s="501"/>
      <c r="LDN10" s="501"/>
      <c r="LDO10" s="501"/>
      <c r="LDP10" s="501"/>
      <c r="LDQ10" s="501"/>
      <c r="LDR10" s="501"/>
      <c r="LDS10" s="501"/>
      <c r="LDT10" s="501"/>
      <c r="LDU10" s="501"/>
      <c r="LDV10" s="501"/>
      <c r="LDW10" s="501"/>
      <c r="LDX10" s="501"/>
      <c r="LDY10" s="501"/>
      <c r="LDZ10" s="501"/>
      <c r="LEA10" s="501"/>
      <c r="LEB10" s="501"/>
      <c r="LEC10" s="501"/>
      <c r="LED10" s="501"/>
      <c r="LEE10" s="501"/>
      <c r="LEF10" s="501"/>
      <c r="LEG10" s="501"/>
      <c r="LEH10" s="501"/>
      <c r="LEI10" s="501"/>
      <c r="LEJ10" s="501"/>
      <c r="LEK10" s="501"/>
      <c r="LEL10" s="501"/>
      <c r="LEM10" s="501"/>
      <c r="LEN10" s="501"/>
      <c r="LEO10" s="501"/>
      <c r="LEP10" s="501"/>
      <c r="LEQ10" s="501"/>
      <c r="LER10" s="501"/>
      <c r="LES10" s="501"/>
      <c r="LET10" s="501"/>
      <c r="LEU10" s="501"/>
      <c r="LEV10" s="501"/>
      <c r="LEW10" s="501"/>
      <c r="LEX10" s="501"/>
      <c r="LEY10" s="501"/>
      <c r="LEZ10" s="501"/>
      <c r="LFA10" s="501"/>
      <c r="LFB10" s="501"/>
      <c r="LFC10" s="501"/>
      <c r="LFD10" s="501"/>
      <c r="LFE10" s="501"/>
      <c r="LFF10" s="501"/>
      <c r="LFG10" s="501"/>
      <c r="LFH10" s="501"/>
      <c r="LFI10" s="501"/>
      <c r="LFJ10" s="501"/>
      <c r="LFK10" s="501"/>
      <c r="LFL10" s="501"/>
      <c r="LFM10" s="501"/>
      <c r="LFN10" s="501"/>
      <c r="LFO10" s="501"/>
      <c r="LFP10" s="501"/>
      <c r="LFQ10" s="501"/>
      <c r="LFR10" s="501"/>
      <c r="LFS10" s="501"/>
      <c r="LFT10" s="501"/>
      <c r="LFU10" s="501"/>
      <c r="LFV10" s="501"/>
      <c r="LFW10" s="501"/>
      <c r="LFX10" s="501"/>
      <c r="LFY10" s="501"/>
      <c r="LFZ10" s="501"/>
      <c r="LGA10" s="501"/>
      <c r="LGB10" s="501"/>
      <c r="LGC10" s="501"/>
      <c r="LGD10" s="501"/>
      <c r="LGE10" s="501"/>
      <c r="LGF10" s="501"/>
      <c r="LGG10" s="501"/>
      <c r="LGH10" s="501"/>
      <c r="LGI10" s="501"/>
      <c r="LGJ10" s="501"/>
      <c r="LGK10" s="501"/>
      <c r="LGL10" s="501"/>
      <c r="LGM10" s="501"/>
      <c r="LGN10" s="501"/>
      <c r="LGO10" s="501"/>
      <c r="LGP10" s="501"/>
      <c r="LGQ10" s="501"/>
      <c r="LGR10" s="501"/>
      <c r="LGS10" s="501"/>
      <c r="LGT10" s="501"/>
      <c r="LGU10" s="501"/>
      <c r="LGV10" s="501"/>
      <c r="LGW10" s="501"/>
      <c r="LGX10" s="501"/>
      <c r="LGY10" s="501"/>
      <c r="LGZ10" s="501"/>
      <c r="LHA10" s="501"/>
      <c r="LHB10" s="501"/>
      <c r="LHC10" s="501"/>
      <c r="LHD10" s="501"/>
      <c r="LHE10" s="501"/>
      <c r="LHF10" s="501"/>
      <c r="LHG10" s="501"/>
      <c r="LHH10" s="501"/>
      <c r="LHI10" s="501"/>
      <c r="LHJ10" s="501"/>
      <c r="LHK10" s="501"/>
      <c r="LHL10" s="501"/>
      <c r="LHM10" s="501"/>
      <c r="LHN10" s="501"/>
      <c r="LHO10" s="501"/>
      <c r="LHP10" s="501"/>
      <c r="LHQ10" s="501"/>
      <c r="LHR10" s="501"/>
      <c r="LHS10" s="501"/>
      <c r="LHT10" s="501"/>
      <c r="LHU10" s="501"/>
      <c r="LHV10" s="501"/>
      <c r="LHW10" s="501"/>
      <c r="LHX10" s="501"/>
      <c r="LHY10" s="501"/>
      <c r="LHZ10" s="501"/>
      <c r="LIA10" s="501"/>
      <c r="LIB10" s="501"/>
      <c r="LIC10" s="501"/>
      <c r="LID10" s="501"/>
      <c r="LIE10" s="501"/>
      <c r="LIF10" s="501"/>
      <c r="LIG10" s="501"/>
      <c r="LIH10" s="501"/>
      <c r="LII10" s="501"/>
      <c r="LIJ10" s="501"/>
      <c r="LIK10" s="501"/>
      <c r="LIL10" s="501"/>
      <c r="LIM10" s="501"/>
      <c r="LIN10" s="501"/>
      <c r="LIO10" s="501"/>
      <c r="LIP10" s="501"/>
      <c r="LIQ10" s="501"/>
      <c r="LIR10" s="501"/>
      <c r="LIS10" s="501"/>
      <c r="LIT10" s="501"/>
      <c r="LIU10" s="501"/>
      <c r="LIV10" s="501"/>
      <c r="LIW10" s="501"/>
      <c r="LIX10" s="501"/>
      <c r="LIY10" s="501"/>
      <c r="LIZ10" s="501"/>
      <c r="LJA10" s="501"/>
      <c r="LJB10" s="501"/>
      <c r="LJC10" s="501"/>
      <c r="LJD10" s="501"/>
      <c r="LJE10" s="501"/>
      <c r="LJF10" s="501"/>
      <c r="LJG10" s="501"/>
      <c r="LJH10" s="501"/>
      <c r="LJI10" s="501"/>
      <c r="LJJ10" s="501"/>
      <c r="LJK10" s="501"/>
      <c r="LJL10" s="501"/>
      <c r="LJM10" s="501"/>
      <c r="LJN10" s="501"/>
      <c r="LJO10" s="501"/>
      <c r="LJP10" s="501"/>
      <c r="LJQ10" s="501"/>
      <c r="LJR10" s="501"/>
      <c r="LJS10" s="501"/>
      <c r="LJT10" s="501"/>
      <c r="LJU10" s="501"/>
      <c r="LJV10" s="501"/>
      <c r="LJW10" s="501"/>
      <c r="LJX10" s="501"/>
      <c r="LJY10" s="501"/>
      <c r="LJZ10" s="501"/>
      <c r="LKA10" s="501"/>
      <c r="LKB10" s="501"/>
      <c r="LKC10" s="501"/>
      <c r="LKD10" s="501"/>
      <c r="LKE10" s="501"/>
      <c r="LKF10" s="501"/>
      <c r="LKG10" s="501"/>
      <c r="LKH10" s="501"/>
      <c r="LKI10" s="501"/>
      <c r="LKJ10" s="501"/>
      <c r="LKK10" s="501"/>
      <c r="LKL10" s="501"/>
      <c r="LKM10" s="501"/>
      <c r="LKN10" s="501"/>
      <c r="LKO10" s="501"/>
      <c r="LKP10" s="501"/>
      <c r="LKQ10" s="501"/>
      <c r="LKR10" s="501"/>
      <c r="LKS10" s="501"/>
      <c r="LKT10" s="501"/>
      <c r="LKU10" s="501"/>
      <c r="LKV10" s="501"/>
      <c r="LKW10" s="501"/>
      <c r="LKX10" s="501"/>
      <c r="LKY10" s="501"/>
      <c r="LKZ10" s="501"/>
      <c r="LLA10" s="501"/>
      <c r="LLB10" s="501"/>
      <c r="LLC10" s="501"/>
      <c r="LLD10" s="501"/>
      <c r="LLE10" s="501"/>
      <c r="LLF10" s="501"/>
      <c r="LLG10" s="501"/>
      <c r="LLH10" s="501"/>
      <c r="LLI10" s="501"/>
      <c r="LLJ10" s="501"/>
      <c r="LLK10" s="501"/>
      <c r="LLL10" s="501"/>
      <c r="LLM10" s="501"/>
      <c r="LLN10" s="501"/>
      <c r="LLO10" s="501"/>
      <c r="LLP10" s="501"/>
      <c r="LLQ10" s="501"/>
      <c r="LLR10" s="501"/>
      <c r="LLS10" s="501"/>
      <c r="LLT10" s="501"/>
      <c r="LLU10" s="501"/>
      <c r="LLV10" s="501"/>
      <c r="LLW10" s="501"/>
      <c r="LLX10" s="501"/>
      <c r="LLY10" s="501"/>
      <c r="LLZ10" s="501"/>
      <c r="LMA10" s="501"/>
      <c r="LMB10" s="501"/>
      <c r="LMC10" s="501"/>
      <c r="LMD10" s="501"/>
      <c r="LME10" s="501"/>
      <c r="LMF10" s="501"/>
      <c r="LMG10" s="501"/>
      <c r="LMH10" s="501"/>
      <c r="LMI10" s="501"/>
      <c r="LMJ10" s="501"/>
      <c r="LMK10" s="501"/>
      <c r="LML10" s="501"/>
      <c r="LMM10" s="501"/>
      <c r="LMN10" s="501"/>
      <c r="LMO10" s="501"/>
      <c r="LMP10" s="501"/>
      <c r="LMQ10" s="501"/>
      <c r="LMR10" s="501"/>
      <c r="LMS10" s="501"/>
      <c r="LMT10" s="501"/>
      <c r="LMU10" s="501"/>
      <c r="LMV10" s="501"/>
      <c r="LMW10" s="501"/>
      <c r="LMX10" s="501"/>
      <c r="LMY10" s="501"/>
      <c r="LMZ10" s="501"/>
      <c r="LNA10" s="501"/>
      <c r="LNB10" s="501"/>
      <c r="LNC10" s="501"/>
      <c r="LND10" s="501"/>
      <c r="LNE10" s="501"/>
      <c r="LNF10" s="501"/>
      <c r="LNG10" s="501"/>
      <c r="LNH10" s="501"/>
      <c r="LNI10" s="501"/>
      <c r="LNJ10" s="501"/>
      <c r="LNK10" s="501"/>
      <c r="LNL10" s="501"/>
      <c r="LNM10" s="501"/>
      <c r="LNN10" s="501"/>
      <c r="LNO10" s="501"/>
      <c r="LNP10" s="501"/>
      <c r="LNQ10" s="501"/>
      <c r="LNR10" s="501"/>
      <c r="LNS10" s="501"/>
      <c r="LNT10" s="501"/>
      <c r="LNU10" s="501"/>
      <c r="LNV10" s="501"/>
      <c r="LNW10" s="501"/>
      <c r="LNX10" s="501"/>
      <c r="LNY10" s="501"/>
      <c r="LNZ10" s="501"/>
      <c r="LOA10" s="501"/>
      <c r="LOB10" s="501"/>
      <c r="LOC10" s="501"/>
      <c r="LOD10" s="501"/>
      <c r="LOE10" s="501"/>
      <c r="LOF10" s="501"/>
      <c r="LOG10" s="501"/>
      <c r="LOH10" s="501"/>
      <c r="LOI10" s="501"/>
      <c r="LOJ10" s="501"/>
      <c r="LOK10" s="501"/>
      <c r="LOL10" s="501"/>
      <c r="LOM10" s="501"/>
      <c r="LON10" s="501"/>
      <c r="LOO10" s="501"/>
      <c r="LOP10" s="501"/>
      <c r="LOQ10" s="501"/>
      <c r="LOR10" s="501"/>
      <c r="LOS10" s="501"/>
      <c r="LOT10" s="501"/>
      <c r="LOU10" s="501"/>
      <c r="LOV10" s="501"/>
      <c r="LOW10" s="501"/>
      <c r="LOX10" s="501"/>
      <c r="LOY10" s="501"/>
      <c r="LOZ10" s="501"/>
      <c r="LPA10" s="501"/>
      <c r="LPB10" s="501"/>
      <c r="LPC10" s="501"/>
      <c r="LPD10" s="501"/>
      <c r="LPE10" s="501"/>
      <c r="LPF10" s="501"/>
      <c r="LPG10" s="501"/>
      <c r="LPH10" s="501"/>
      <c r="LPI10" s="501"/>
      <c r="LPJ10" s="501"/>
      <c r="LPK10" s="501"/>
      <c r="LPL10" s="501"/>
      <c r="LPM10" s="501"/>
      <c r="LPN10" s="501"/>
      <c r="LPO10" s="501"/>
      <c r="LPP10" s="501"/>
      <c r="LPQ10" s="501"/>
      <c r="LPR10" s="501"/>
      <c r="LPS10" s="501"/>
      <c r="LPT10" s="501"/>
      <c r="LPU10" s="501"/>
      <c r="LPV10" s="501"/>
      <c r="LPW10" s="501"/>
      <c r="LPX10" s="501"/>
      <c r="LPY10" s="501"/>
      <c r="LPZ10" s="501"/>
      <c r="LQA10" s="501"/>
      <c r="LQB10" s="501"/>
      <c r="LQC10" s="501"/>
      <c r="LQD10" s="501"/>
      <c r="LQE10" s="501"/>
      <c r="LQF10" s="501"/>
      <c r="LQG10" s="501"/>
      <c r="LQH10" s="501"/>
      <c r="LQI10" s="501"/>
      <c r="LQJ10" s="501"/>
      <c r="LQK10" s="501"/>
      <c r="LQL10" s="501"/>
      <c r="LQM10" s="501"/>
      <c r="LQN10" s="501"/>
      <c r="LQO10" s="501"/>
      <c r="LQP10" s="501"/>
      <c r="LQQ10" s="501"/>
      <c r="LQR10" s="501"/>
      <c r="LQS10" s="501"/>
      <c r="LQT10" s="501"/>
      <c r="LQU10" s="501"/>
      <c r="LQV10" s="501"/>
      <c r="LQW10" s="501"/>
      <c r="LQX10" s="501"/>
      <c r="LQY10" s="501"/>
      <c r="LQZ10" s="501"/>
      <c r="LRA10" s="501"/>
      <c r="LRB10" s="501"/>
      <c r="LRC10" s="501"/>
      <c r="LRD10" s="501"/>
      <c r="LRE10" s="501"/>
      <c r="LRF10" s="501"/>
      <c r="LRG10" s="501"/>
      <c r="LRH10" s="501"/>
      <c r="LRI10" s="501"/>
      <c r="LRJ10" s="501"/>
      <c r="LRK10" s="501"/>
      <c r="LRL10" s="501"/>
      <c r="LRM10" s="501"/>
      <c r="LRN10" s="501"/>
      <c r="LRO10" s="501"/>
      <c r="LRP10" s="501"/>
      <c r="LRQ10" s="501"/>
      <c r="LRR10" s="501"/>
      <c r="LRS10" s="501"/>
      <c r="LRT10" s="501"/>
      <c r="LRU10" s="501"/>
      <c r="LRV10" s="501"/>
      <c r="LRW10" s="501"/>
      <c r="LRX10" s="501"/>
      <c r="LRY10" s="501"/>
      <c r="LRZ10" s="501"/>
      <c r="LSA10" s="501"/>
      <c r="LSB10" s="501"/>
      <c r="LSC10" s="501"/>
      <c r="LSD10" s="501"/>
      <c r="LSE10" s="501"/>
      <c r="LSF10" s="501"/>
      <c r="LSG10" s="501"/>
      <c r="LSH10" s="501"/>
      <c r="LSI10" s="501"/>
      <c r="LSJ10" s="501"/>
      <c r="LSK10" s="501"/>
      <c r="LSL10" s="501"/>
      <c r="LSM10" s="501"/>
      <c r="LSN10" s="501"/>
      <c r="LSO10" s="501"/>
      <c r="LSP10" s="501"/>
      <c r="LSQ10" s="501"/>
      <c r="LSR10" s="501"/>
      <c r="LSS10" s="501"/>
      <c r="LST10" s="501"/>
      <c r="LSU10" s="501"/>
      <c r="LSV10" s="501"/>
      <c r="LSW10" s="501"/>
      <c r="LSX10" s="501"/>
      <c r="LSY10" s="501"/>
      <c r="LSZ10" s="501"/>
      <c r="LTA10" s="501"/>
      <c r="LTB10" s="501"/>
      <c r="LTC10" s="501"/>
      <c r="LTD10" s="501"/>
      <c r="LTE10" s="501"/>
      <c r="LTF10" s="501"/>
      <c r="LTG10" s="501"/>
      <c r="LTH10" s="501"/>
      <c r="LTI10" s="501"/>
      <c r="LTJ10" s="501"/>
      <c r="LTK10" s="501"/>
      <c r="LTL10" s="501"/>
      <c r="LTM10" s="501"/>
      <c r="LTN10" s="501"/>
      <c r="LTO10" s="501"/>
      <c r="LTP10" s="501"/>
      <c r="LTQ10" s="501"/>
      <c r="LTR10" s="501"/>
      <c r="LTS10" s="501"/>
      <c r="LTT10" s="501"/>
      <c r="LTU10" s="501"/>
      <c r="LTV10" s="501"/>
      <c r="LTW10" s="501"/>
      <c r="LTX10" s="501"/>
      <c r="LTY10" s="501"/>
      <c r="LTZ10" s="501"/>
      <c r="LUA10" s="501"/>
      <c r="LUB10" s="501"/>
      <c r="LUC10" s="501"/>
      <c r="LUD10" s="501"/>
      <c r="LUE10" s="501"/>
      <c r="LUF10" s="501"/>
      <c r="LUG10" s="501"/>
      <c r="LUH10" s="501"/>
      <c r="LUI10" s="501"/>
      <c r="LUJ10" s="501"/>
      <c r="LUK10" s="501"/>
      <c r="LUL10" s="501"/>
      <c r="LUM10" s="501"/>
      <c r="LUN10" s="501"/>
      <c r="LUO10" s="501"/>
      <c r="LUP10" s="501"/>
      <c r="LUQ10" s="501"/>
      <c r="LUR10" s="501"/>
      <c r="LUS10" s="501"/>
      <c r="LUT10" s="501"/>
      <c r="LUU10" s="501"/>
      <c r="LUV10" s="501"/>
      <c r="LUW10" s="501"/>
      <c r="LUX10" s="501"/>
      <c r="LUY10" s="501"/>
      <c r="LUZ10" s="501"/>
      <c r="LVA10" s="501"/>
      <c r="LVB10" s="501"/>
      <c r="LVC10" s="501"/>
      <c r="LVD10" s="501"/>
      <c r="LVE10" s="501"/>
      <c r="LVF10" s="501"/>
      <c r="LVG10" s="501"/>
      <c r="LVH10" s="501"/>
      <c r="LVI10" s="501"/>
      <c r="LVJ10" s="501"/>
      <c r="LVK10" s="501"/>
      <c r="LVL10" s="501"/>
      <c r="LVM10" s="501"/>
      <c r="LVN10" s="501"/>
      <c r="LVO10" s="501"/>
      <c r="LVP10" s="501"/>
      <c r="LVQ10" s="501"/>
      <c r="LVR10" s="501"/>
      <c r="LVS10" s="501"/>
      <c r="LVT10" s="501"/>
      <c r="LVU10" s="501"/>
      <c r="LVV10" s="501"/>
      <c r="LVW10" s="501"/>
      <c r="LVX10" s="501"/>
      <c r="LVY10" s="501"/>
      <c r="LVZ10" s="501"/>
      <c r="LWA10" s="501"/>
      <c r="LWB10" s="501"/>
      <c r="LWC10" s="501"/>
      <c r="LWD10" s="501"/>
      <c r="LWE10" s="501"/>
      <c r="LWF10" s="501"/>
      <c r="LWG10" s="501"/>
      <c r="LWH10" s="501"/>
      <c r="LWI10" s="501"/>
      <c r="LWJ10" s="501"/>
      <c r="LWK10" s="501"/>
      <c r="LWL10" s="501"/>
      <c r="LWM10" s="501"/>
      <c r="LWN10" s="501"/>
      <c r="LWO10" s="501"/>
      <c r="LWP10" s="501"/>
      <c r="LWQ10" s="501"/>
      <c r="LWR10" s="501"/>
      <c r="LWS10" s="501"/>
      <c r="LWT10" s="501"/>
      <c r="LWU10" s="501"/>
      <c r="LWV10" s="501"/>
      <c r="LWW10" s="501"/>
      <c r="LWX10" s="501"/>
      <c r="LWY10" s="501"/>
      <c r="LWZ10" s="501"/>
      <c r="LXA10" s="501"/>
      <c r="LXB10" s="501"/>
      <c r="LXC10" s="501"/>
      <c r="LXD10" s="501"/>
      <c r="LXE10" s="501"/>
      <c r="LXF10" s="501"/>
      <c r="LXG10" s="501"/>
      <c r="LXH10" s="501"/>
      <c r="LXI10" s="501"/>
      <c r="LXJ10" s="501"/>
      <c r="LXK10" s="501"/>
      <c r="LXL10" s="501"/>
      <c r="LXM10" s="501"/>
      <c r="LXN10" s="501"/>
      <c r="LXO10" s="501"/>
      <c r="LXP10" s="501"/>
      <c r="LXQ10" s="501"/>
      <c r="LXR10" s="501"/>
      <c r="LXS10" s="501"/>
      <c r="LXT10" s="501"/>
      <c r="LXU10" s="501"/>
      <c r="LXV10" s="501"/>
      <c r="LXW10" s="501"/>
      <c r="LXX10" s="501"/>
      <c r="LXY10" s="501"/>
      <c r="LXZ10" s="501"/>
      <c r="LYA10" s="501"/>
      <c r="LYB10" s="501"/>
      <c r="LYC10" s="501"/>
      <c r="LYD10" s="501"/>
      <c r="LYE10" s="501"/>
      <c r="LYF10" s="501"/>
      <c r="LYG10" s="501"/>
      <c r="LYH10" s="501"/>
      <c r="LYI10" s="501"/>
      <c r="LYJ10" s="501"/>
      <c r="LYK10" s="501"/>
      <c r="LYL10" s="501"/>
      <c r="LYM10" s="501"/>
      <c r="LYN10" s="501"/>
      <c r="LYO10" s="501"/>
      <c r="LYP10" s="501"/>
      <c r="LYQ10" s="501"/>
      <c r="LYR10" s="501"/>
      <c r="LYS10" s="501"/>
      <c r="LYT10" s="501"/>
      <c r="LYU10" s="501"/>
      <c r="LYV10" s="501"/>
      <c r="LYW10" s="501"/>
      <c r="LYX10" s="501"/>
      <c r="LYY10" s="501"/>
      <c r="LYZ10" s="501"/>
      <c r="LZA10" s="501"/>
      <c r="LZB10" s="501"/>
      <c r="LZC10" s="501"/>
      <c r="LZD10" s="501"/>
      <c r="LZE10" s="501"/>
      <c r="LZF10" s="501"/>
      <c r="LZG10" s="501"/>
      <c r="LZH10" s="501"/>
      <c r="LZI10" s="501"/>
      <c r="LZJ10" s="501"/>
      <c r="LZK10" s="501"/>
      <c r="LZL10" s="501"/>
      <c r="LZM10" s="501"/>
      <c r="LZN10" s="501"/>
      <c r="LZO10" s="501"/>
      <c r="LZP10" s="501"/>
      <c r="LZQ10" s="501"/>
      <c r="LZR10" s="501"/>
      <c r="LZS10" s="501"/>
      <c r="LZT10" s="501"/>
      <c r="LZU10" s="501"/>
      <c r="LZV10" s="501"/>
      <c r="LZW10" s="501"/>
      <c r="LZX10" s="501"/>
      <c r="LZY10" s="501"/>
      <c r="LZZ10" s="501"/>
      <c r="MAA10" s="501"/>
      <c r="MAB10" s="501"/>
      <c r="MAC10" s="501"/>
      <c r="MAD10" s="501"/>
      <c r="MAE10" s="501"/>
      <c r="MAF10" s="501"/>
      <c r="MAG10" s="501"/>
      <c r="MAH10" s="501"/>
      <c r="MAI10" s="501"/>
      <c r="MAJ10" s="501"/>
      <c r="MAK10" s="501"/>
      <c r="MAL10" s="501"/>
      <c r="MAM10" s="501"/>
      <c r="MAN10" s="501"/>
      <c r="MAO10" s="501"/>
      <c r="MAP10" s="501"/>
      <c r="MAQ10" s="501"/>
      <c r="MAR10" s="501"/>
      <c r="MAS10" s="501"/>
      <c r="MAT10" s="501"/>
      <c r="MAU10" s="501"/>
      <c r="MAV10" s="501"/>
      <c r="MAW10" s="501"/>
      <c r="MAX10" s="501"/>
      <c r="MAY10" s="501"/>
      <c r="MAZ10" s="501"/>
      <c r="MBA10" s="501"/>
      <c r="MBB10" s="501"/>
      <c r="MBC10" s="501"/>
      <c r="MBD10" s="501"/>
      <c r="MBE10" s="501"/>
      <c r="MBF10" s="501"/>
      <c r="MBG10" s="501"/>
      <c r="MBH10" s="501"/>
      <c r="MBI10" s="501"/>
      <c r="MBJ10" s="501"/>
      <c r="MBK10" s="501"/>
      <c r="MBL10" s="501"/>
      <c r="MBM10" s="501"/>
      <c r="MBN10" s="501"/>
      <c r="MBO10" s="501"/>
      <c r="MBP10" s="501"/>
      <c r="MBQ10" s="501"/>
      <c r="MBR10" s="501"/>
      <c r="MBS10" s="501"/>
      <c r="MBT10" s="501"/>
      <c r="MBU10" s="501"/>
      <c r="MBV10" s="501"/>
      <c r="MBW10" s="501"/>
      <c r="MBX10" s="501"/>
      <c r="MBY10" s="501"/>
      <c r="MBZ10" s="501"/>
      <c r="MCA10" s="501"/>
      <c r="MCB10" s="501"/>
      <c r="MCC10" s="501"/>
      <c r="MCD10" s="501"/>
      <c r="MCE10" s="501"/>
      <c r="MCF10" s="501"/>
      <c r="MCG10" s="501"/>
      <c r="MCH10" s="501"/>
      <c r="MCI10" s="501"/>
      <c r="MCJ10" s="501"/>
      <c r="MCK10" s="501"/>
      <c r="MCL10" s="501"/>
      <c r="MCM10" s="501"/>
      <c r="MCN10" s="501"/>
      <c r="MCO10" s="501"/>
      <c r="MCP10" s="501"/>
      <c r="MCQ10" s="501"/>
      <c r="MCR10" s="501"/>
      <c r="MCS10" s="501"/>
      <c r="MCT10" s="501"/>
      <c r="MCU10" s="501"/>
      <c r="MCV10" s="501"/>
      <c r="MCW10" s="501"/>
      <c r="MCX10" s="501"/>
      <c r="MCY10" s="501"/>
      <c r="MCZ10" s="501"/>
      <c r="MDA10" s="501"/>
      <c r="MDB10" s="501"/>
      <c r="MDC10" s="501"/>
      <c r="MDD10" s="501"/>
      <c r="MDE10" s="501"/>
      <c r="MDF10" s="501"/>
      <c r="MDG10" s="501"/>
      <c r="MDH10" s="501"/>
      <c r="MDI10" s="501"/>
      <c r="MDJ10" s="501"/>
      <c r="MDK10" s="501"/>
      <c r="MDL10" s="501"/>
      <c r="MDM10" s="501"/>
      <c r="MDN10" s="501"/>
      <c r="MDO10" s="501"/>
      <c r="MDP10" s="501"/>
      <c r="MDQ10" s="501"/>
      <c r="MDR10" s="501"/>
      <c r="MDS10" s="501"/>
      <c r="MDT10" s="501"/>
      <c r="MDU10" s="501"/>
      <c r="MDV10" s="501"/>
      <c r="MDW10" s="501"/>
      <c r="MDX10" s="501"/>
      <c r="MDY10" s="501"/>
      <c r="MDZ10" s="501"/>
      <c r="MEA10" s="501"/>
      <c r="MEB10" s="501"/>
      <c r="MEC10" s="501"/>
      <c r="MED10" s="501"/>
      <c r="MEE10" s="501"/>
      <c r="MEF10" s="501"/>
      <c r="MEG10" s="501"/>
      <c r="MEH10" s="501"/>
      <c r="MEI10" s="501"/>
      <c r="MEJ10" s="501"/>
      <c r="MEK10" s="501"/>
      <c r="MEL10" s="501"/>
      <c r="MEM10" s="501"/>
      <c r="MEN10" s="501"/>
      <c r="MEO10" s="501"/>
      <c r="MEP10" s="501"/>
      <c r="MEQ10" s="501"/>
      <c r="MER10" s="501"/>
      <c r="MES10" s="501"/>
      <c r="MET10" s="501"/>
      <c r="MEU10" s="501"/>
      <c r="MEV10" s="501"/>
      <c r="MEW10" s="501"/>
      <c r="MEX10" s="501"/>
      <c r="MEY10" s="501"/>
      <c r="MEZ10" s="501"/>
      <c r="MFA10" s="501"/>
      <c r="MFB10" s="501"/>
      <c r="MFC10" s="501"/>
      <c r="MFD10" s="501"/>
      <c r="MFE10" s="501"/>
      <c r="MFF10" s="501"/>
      <c r="MFG10" s="501"/>
      <c r="MFH10" s="501"/>
      <c r="MFI10" s="501"/>
      <c r="MFJ10" s="501"/>
      <c r="MFK10" s="501"/>
      <c r="MFL10" s="501"/>
      <c r="MFM10" s="501"/>
      <c r="MFN10" s="501"/>
      <c r="MFO10" s="501"/>
      <c r="MFP10" s="501"/>
      <c r="MFQ10" s="501"/>
      <c r="MFR10" s="501"/>
      <c r="MFS10" s="501"/>
      <c r="MFT10" s="501"/>
      <c r="MFU10" s="501"/>
      <c r="MFV10" s="501"/>
      <c r="MFW10" s="501"/>
      <c r="MFX10" s="501"/>
      <c r="MFY10" s="501"/>
      <c r="MFZ10" s="501"/>
      <c r="MGA10" s="501"/>
      <c r="MGB10" s="501"/>
      <c r="MGC10" s="501"/>
      <c r="MGD10" s="501"/>
      <c r="MGE10" s="501"/>
      <c r="MGF10" s="501"/>
      <c r="MGG10" s="501"/>
      <c r="MGH10" s="501"/>
      <c r="MGI10" s="501"/>
      <c r="MGJ10" s="501"/>
      <c r="MGK10" s="501"/>
      <c r="MGL10" s="501"/>
      <c r="MGM10" s="501"/>
      <c r="MGN10" s="501"/>
      <c r="MGO10" s="501"/>
      <c r="MGP10" s="501"/>
      <c r="MGQ10" s="501"/>
      <c r="MGR10" s="501"/>
      <c r="MGS10" s="501"/>
      <c r="MGT10" s="501"/>
      <c r="MGU10" s="501"/>
      <c r="MGV10" s="501"/>
      <c r="MGW10" s="501"/>
      <c r="MGX10" s="501"/>
      <c r="MGY10" s="501"/>
      <c r="MGZ10" s="501"/>
      <c r="MHA10" s="501"/>
      <c r="MHB10" s="501"/>
      <c r="MHC10" s="501"/>
      <c r="MHD10" s="501"/>
      <c r="MHE10" s="501"/>
      <c r="MHF10" s="501"/>
      <c r="MHG10" s="501"/>
      <c r="MHH10" s="501"/>
      <c r="MHI10" s="501"/>
      <c r="MHJ10" s="501"/>
      <c r="MHK10" s="501"/>
      <c r="MHL10" s="501"/>
      <c r="MHM10" s="501"/>
      <c r="MHN10" s="501"/>
      <c r="MHO10" s="501"/>
      <c r="MHP10" s="501"/>
      <c r="MHQ10" s="501"/>
      <c r="MHR10" s="501"/>
      <c r="MHS10" s="501"/>
      <c r="MHT10" s="501"/>
      <c r="MHU10" s="501"/>
      <c r="MHV10" s="501"/>
      <c r="MHW10" s="501"/>
      <c r="MHX10" s="501"/>
      <c r="MHY10" s="501"/>
      <c r="MHZ10" s="501"/>
      <c r="MIA10" s="501"/>
      <c r="MIB10" s="501"/>
      <c r="MIC10" s="501"/>
      <c r="MID10" s="501"/>
      <c r="MIE10" s="501"/>
      <c r="MIF10" s="501"/>
      <c r="MIG10" s="501"/>
      <c r="MIH10" s="501"/>
      <c r="MII10" s="501"/>
      <c r="MIJ10" s="501"/>
      <c r="MIK10" s="501"/>
      <c r="MIL10" s="501"/>
      <c r="MIM10" s="501"/>
      <c r="MIN10" s="501"/>
      <c r="MIO10" s="501"/>
      <c r="MIP10" s="501"/>
      <c r="MIQ10" s="501"/>
      <c r="MIR10" s="501"/>
      <c r="MIS10" s="501"/>
      <c r="MIT10" s="501"/>
      <c r="MIU10" s="501"/>
      <c r="MIV10" s="501"/>
      <c r="MIW10" s="501"/>
      <c r="MIX10" s="501"/>
      <c r="MIY10" s="501"/>
      <c r="MIZ10" s="501"/>
      <c r="MJA10" s="501"/>
      <c r="MJB10" s="501"/>
      <c r="MJC10" s="501"/>
      <c r="MJD10" s="501"/>
      <c r="MJE10" s="501"/>
      <c r="MJF10" s="501"/>
      <c r="MJG10" s="501"/>
      <c r="MJH10" s="501"/>
      <c r="MJI10" s="501"/>
      <c r="MJJ10" s="501"/>
      <c r="MJK10" s="501"/>
      <c r="MJL10" s="501"/>
      <c r="MJM10" s="501"/>
      <c r="MJN10" s="501"/>
      <c r="MJO10" s="501"/>
      <c r="MJP10" s="501"/>
      <c r="MJQ10" s="501"/>
      <c r="MJR10" s="501"/>
      <c r="MJS10" s="501"/>
      <c r="MJT10" s="501"/>
      <c r="MJU10" s="501"/>
      <c r="MJV10" s="501"/>
      <c r="MJW10" s="501"/>
      <c r="MJX10" s="501"/>
      <c r="MJY10" s="501"/>
      <c r="MJZ10" s="501"/>
      <c r="MKA10" s="501"/>
      <c r="MKB10" s="501"/>
      <c r="MKC10" s="501"/>
      <c r="MKD10" s="501"/>
      <c r="MKE10" s="501"/>
      <c r="MKF10" s="501"/>
      <c r="MKG10" s="501"/>
      <c r="MKH10" s="501"/>
      <c r="MKI10" s="501"/>
      <c r="MKJ10" s="501"/>
      <c r="MKK10" s="501"/>
      <c r="MKL10" s="501"/>
      <c r="MKM10" s="501"/>
      <c r="MKN10" s="501"/>
      <c r="MKO10" s="501"/>
      <c r="MKP10" s="501"/>
      <c r="MKQ10" s="501"/>
      <c r="MKR10" s="501"/>
      <c r="MKS10" s="501"/>
      <c r="MKT10" s="501"/>
      <c r="MKU10" s="501"/>
      <c r="MKV10" s="501"/>
      <c r="MKW10" s="501"/>
      <c r="MKX10" s="501"/>
      <c r="MKY10" s="501"/>
      <c r="MKZ10" s="501"/>
      <c r="MLA10" s="501"/>
      <c r="MLB10" s="501"/>
      <c r="MLC10" s="501"/>
      <c r="MLD10" s="501"/>
      <c r="MLE10" s="501"/>
      <c r="MLF10" s="501"/>
      <c r="MLG10" s="501"/>
      <c r="MLH10" s="501"/>
      <c r="MLI10" s="501"/>
      <c r="MLJ10" s="501"/>
      <c r="MLK10" s="501"/>
      <c r="MLL10" s="501"/>
      <c r="MLM10" s="501"/>
      <c r="MLN10" s="501"/>
      <c r="MLO10" s="501"/>
      <c r="MLP10" s="501"/>
      <c r="MLQ10" s="501"/>
      <c r="MLR10" s="501"/>
      <c r="MLS10" s="501"/>
      <c r="MLT10" s="501"/>
      <c r="MLU10" s="501"/>
      <c r="MLV10" s="501"/>
      <c r="MLW10" s="501"/>
      <c r="MLX10" s="501"/>
      <c r="MLY10" s="501"/>
      <c r="MLZ10" s="501"/>
      <c r="MMA10" s="501"/>
      <c r="MMB10" s="501"/>
      <c r="MMC10" s="501"/>
      <c r="MMD10" s="501"/>
      <c r="MME10" s="501"/>
      <c r="MMF10" s="501"/>
      <c r="MMG10" s="501"/>
      <c r="MMH10" s="501"/>
      <c r="MMI10" s="501"/>
      <c r="MMJ10" s="501"/>
      <c r="MMK10" s="501"/>
      <c r="MML10" s="501"/>
      <c r="MMM10" s="501"/>
      <c r="MMN10" s="501"/>
      <c r="MMO10" s="501"/>
      <c r="MMP10" s="501"/>
      <c r="MMQ10" s="501"/>
      <c r="MMR10" s="501"/>
      <c r="MMS10" s="501"/>
      <c r="MMT10" s="501"/>
      <c r="MMU10" s="501"/>
      <c r="MMV10" s="501"/>
      <c r="MMW10" s="501"/>
      <c r="MMX10" s="501"/>
      <c r="MMY10" s="501"/>
      <c r="MMZ10" s="501"/>
      <c r="MNA10" s="501"/>
      <c r="MNB10" s="501"/>
      <c r="MNC10" s="501"/>
      <c r="MND10" s="501"/>
      <c r="MNE10" s="501"/>
      <c r="MNF10" s="501"/>
      <c r="MNG10" s="501"/>
      <c r="MNH10" s="501"/>
      <c r="MNI10" s="501"/>
      <c r="MNJ10" s="501"/>
      <c r="MNK10" s="501"/>
      <c r="MNL10" s="501"/>
      <c r="MNM10" s="501"/>
      <c r="MNN10" s="501"/>
      <c r="MNO10" s="501"/>
      <c r="MNP10" s="501"/>
      <c r="MNQ10" s="501"/>
      <c r="MNR10" s="501"/>
      <c r="MNS10" s="501"/>
      <c r="MNT10" s="501"/>
      <c r="MNU10" s="501"/>
      <c r="MNV10" s="501"/>
      <c r="MNW10" s="501"/>
      <c r="MNX10" s="501"/>
      <c r="MNY10" s="501"/>
      <c r="MNZ10" s="501"/>
      <c r="MOA10" s="501"/>
      <c r="MOB10" s="501"/>
      <c r="MOC10" s="501"/>
      <c r="MOD10" s="501"/>
      <c r="MOE10" s="501"/>
      <c r="MOF10" s="501"/>
      <c r="MOG10" s="501"/>
      <c r="MOH10" s="501"/>
      <c r="MOI10" s="501"/>
      <c r="MOJ10" s="501"/>
      <c r="MOK10" s="501"/>
      <c r="MOL10" s="501"/>
      <c r="MOM10" s="501"/>
      <c r="MON10" s="501"/>
      <c r="MOO10" s="501"/>
      <c r="MOP10" s="501"/>
      <c r="MOQ10" s="501"/>
      <c r="MOR10" s="501"/>
      <c r="MOS10" s="501"/>
      <c r="MOT10" s="501"/>
      <c r="MOU10" s="501"/>
      <c r="MOV10" s="501"/>
      <c r="MOW10" s="501"/>
      <c r="MOX10" s="501"/>
      <c r="MOY10" s="501"/>
      <c r="MOZ10" s="501"/>
      <c r="MPA10" s="501"/>
      <c r="MPB10" s="501"/>
      <c r="MPC10" s="501"/>
      <c r="MPD10" s="501"/>
      <c r="MPE10" s="501"/>
      <c r="MPF10" s="501"/>
      <c r="MPG10" s="501"/>
      <c r="MPH10" s="501"/>
      <c r="MPI10" s="501"/>
      <c r="MPJ10" s="501"/>
      <c r="MPK10" s="501"/>
      <c r="MPL10" s="501"/>
      <c r="MPM10" s="501"/>
      <c r="MPN10" s="501"/>
      <c r="MPO10" s="501"/>
      <c r="MPP10" s="501"/>
      <c r="MPQ10" s="501"/>
      <c r="MPR10" s="501"/>
      <c r="MPS10" s="501"/>
      <c r="MPT10" s="501"/>
      <c r="MPU10" s="501"/>
      <c r="MPV10" s="501"/>
      <c r="MPW10" s="501"/>
      <c r="MPX10" s="501"/>
      <c r="MPY10" s="501"/>
      <c r="MPZ10" s="501"/>
      <c r="MQA10" s="501"/>
      <c r="MQB10" s="501"/>
      <c r="MQC10" s="501"/>
      <c r="MQD10" s="501"/>
      <c r="MQE10" s="501"/>
      <c r="MQF10" s="501"/>
      <c r="MQG10" s="501"/>
      <c r="MQH10" s="501"/>
      <c r="MQI10" s="501"/>
      <c r="MQJ10" s="501"/>
      <c r="MQK10" s="501"/>
      <c r="MQL10" s="501"/>
      <c r="MQM10" s="501"/>
      <c r="MQN10" s="501"/>
      <c r="MQO10" s="501"/>
      <c r="MQP10" s="501"/>
      <c r="MQQ10" s="501"/>
      <c r="MQR10" s="501"/>
      <c r="MQS10" s="501"/>
      <c r="MQT10" s="501"/>
      <c r="MQU10" s="501"/>
      <c r="MQV10" s="501"/>
      <c r="MQW10" s="501"/>
      <c r="MQX10" s="501"/>
      <c r="MQY10" s="501"/>
      <c r="MQZ10" s="501"/>
      <c r="MRA10" s="501"/>
      <c r="MRB10" s="501"/>
      <c r="MRC10" s="501"/>
      <c r="MRD10" s="501"/>
      <c r="MRE10" s="501"/>
      <c r="MRF10" s="501"/>
      <c r="MRG10" s="501"/>
      <c r="MRH10" s="501"/>
      <c r="MRI10" s="501"/>
      <c r="MRJ10" s="501"/>
      <c r="MRK10" s="501"/>
      <c r="MRL10" s="501"/>
      <c r="MRM10" s="501"/>
      <c r="MRN10" s="501"/>
      <c r="MRO10" s="501"/>
      <c r="MRP10" s="501"/>
      <c r="MRQ10" s="501"/>
      <c r="MRR10" s="501"/>
      <c r="MRS10" s="501"/>
      <c r="MRT10" s="501"/>
      <c r="MRU10" s="501"/>
      <c r="MRV10" s="501"/>
      <c r="MRW10" s="501"/>
      <c r="MRX10" s="501"/>
      <c r="MRY10" s="501"/>
      <c r="MRZ10" s="501"/>
      <c r="MSA10" s="501"/>
      <c r="MSB10" s="501"/>
      <c r="MSC10" s="501"/>
      <c r="MSD10" s="501"/>
      <c r="MSE10" s="501"/>
      <c r="MSF10" s="501"/>
      <c r="MSG10" s="501"/>
      <c r="MSH10" s="501"/>
      <c r="MSI10" s="501"/>
      <c r="MSJ10" s="501"/>
      <c r="MSK10" s="501"/>
      <c r="MSL10" s="501"/>
      <c r="MSM10" s="501"/>
      <c r="MSN10" s="501"/>
      <c r="MSO10" s="501"/>
      <c r="MSP10" s="501"/>
      <c r="MSQ10" s="501"/>
      <c r="MSR10" s="501"/>
      <c r="MSS10" s="501"/>
      <c r="MST10" s="501"/>
      <c r="MSU10" s="501"/>
      <c r="MSV10" s="501"/>
      <c r="MSW10" s="501"/>
      <c r="MSX10" s="501"/>
      <c r="MSY10" s="501"/>
      <c r="MSZ10" s="501"/>
      <c r="MTA10" s="501"/>
      <c r="MTB10" s="501"/>
      <c r="MTC10" s="501"/>
      <c r="MTD10" s="501"/>
      <c r="MTE10" s="501"/>
      <c r="MTF10" s="501"/>
      <c r="MTG10" s="501"/>
      <c r="MTH10" s="501"/>
      <c r="MTI10" s="501"/>
      <c r="MTJ10" s="501"/>
      <c r="MTK10" s="501"/>
      <c r="MTL10" s="501"/>
      <c r="MTM10" s="501"/>
      <c r="MTN10" s="501"/>
      <c r="MTO10" s="501"/>
      <c r="MTP10" s="501"/>
      <c r="MTQ10" s="501"/>
      <c r="MTR10" s="501"/>
      <c r="MTS10" s="501"/>
      <c r="MTT10" s="501"/>
      <c r="MTU10" s="501"/>
      <c r="MTV10" s="501"/>
      <c r="MTW10" s="501"/>
      <c r="MTX10" s="501"/>
      <c r="MTY10" s="501"/>
      <c r="MTZ10" s="501"/>
      <c r="MUA10" s="501"/>
      <c r="MUB10" s="501"/>
      <c r="MUC10" s="501"/>
      <c r="MUD10" s="501"/>
      <c r="MUE10" s="501"/>
      <c r="MUF10" s="501"/>
      <c r="MUG10" s="501"/>
      <c r="MUH10" s="501"/>
      <c r="MUI10" s="501"/>
      <c r="MUJ10" s="501"/>
      <c r="MUK10" s="501"/>
      <c r="MUL10" s="501"/>
      <c r="MUM10" s="501"/>
      <c r="MUN10" s="501"/>
      <c r="MUO10" s="501"/>
      <c r="MUP10" s="501"/>
      <c r="MUQ10" s="501"/>
      <c r="MUR10" s="501"/>
      <c r="MUS10" s="501"/>
      <c r="MUT10" s="501"/>
      <c r="MUU10" s="501"/>
      <c r="MUV10" s="501"/>
      <c r="MUW10" s="501"/>
      <c r="MUX10" s="501"/>
      <c r="MUY10" s="501"/>
      <c r="MUZ10" s="501"/>
      <c r="MVA10" s="501"/>
      <c r="MVB10" s="501"/>
      <c r="MVC10" s="501"/>
      <c r="MVD10" s="501"/>
      <c r="MVE10" s="501"/>
      <c r="MVF10" s="501"/>
      <c r="MVG10" s="501"/>
      <c r="MVH10" s="501"/>
      <c r="MVI10" s="501"/>
      <c r="MVJ10" s="501"/>
      <c r="MVK10" s="501"/>
      <c r="MVL10" s="501"/>
      <c r="MVM10" s="501"/>
      <c r="MVN10" s="501"/>
      <c r="MVO10" s="501"/>
      <c r="MVP10" s="501"/>
      <c r="MVQ10" s="501"/>
      <c r="MVR10" s="501"/>
      <c r="MVS10" s="501"/>
      <c r="MVT10" s="501"/>
      <c r="MVU10" s="501"/>
      <c r="MVV10" s="501"/>
      <c r="MVW10" s="501"/>
      <c r="MVX10" s="501"/>
      <c r="MVY10" s="501"/>
      <c r="MVZ10" s="501"/>
      <c r="MWA10" s="501"/>
      <c r="MWB10" s="501"/>
      <c r="MWC10" s="501"/>
      <c r="MWD10" s="501"/>
      <c r="MWE10" s="501"/>
      <c r="MWF10" s="501"/>
      <c r="MWG10" s="501"/>
      <c r="MWH10" s="501"/>
      <c r="MWI10" s="501"/>
      <c r="MWJ10" s="501"/>
      <c r="MWK10" s="501"/>
      <c r="MWL10" s="501"/>
      <c r="MWM10" s="501"/>
      <c r="MWN10" s="501"/>
      <c r="MWO10" s="501"/>
      <c r="MWP10" s="501"/>
      <c r="MWQ10" s="501"/>
      <c r="MWR10" s="501"/>
      <c r="MWS10" s="501"/>
      <c r="MWT10" s="501"/>
      <c r="MWU10" s="501"/>
      <c r="MWV10" s="501"/>
      <c r="MWW10" s="501"/>
      <c r="MWX10" s="501"/>
      <c r="MWY10" s="501"/>
      <c r="MWZ10" s="501"/>
      <c r="MXA10" s="501"/>
      <c r="MXB10" s="501"/>
      <c r="MXC10" s="501"/>
      <c r="MXD10" s="501"/>
      <c r="MXE10" s="501"/>
      <c r="MXF10" s="501"/>
      <c r="MXG10" s="501"/>
      <c r="MXH10" s="501"/>
      <c r="MXI10" s="501"/>
      <c r="MXJ10" s="501"/>
      <c r="MXK10" s="501"/>
      <c r="MXL10" s="501"/>
      <c r="MXM10" s="501"/>
      <c r="MXN10" s="501"/>
      <c r="MXO10" s="501"/>
      <c r="MXP10" s="501"/>
      <c r="MXQ10" s="501"/>
      <c r="MXR10" s="501"/>
      <c r="MXS10" s="501"/>
      <c r="MXT10" s="501"/>
      <c r="MXU10" s="501"/>
      <c r="MXV10" s="501"/>
      <c r="MXW10" s="501"/>
      <c r="MXX10" s="501"/>
      <c r="MXY10" s="501"/>
      <c r="MXZ10" s="501"/>
      <c r="MYA10" s="501"/>
      <c r="MYB10" s="501"/>
      <c r="MYC10" s="501"/>
      <c r="MYD10" s="501"/>
      <c r="MYE10" s="501"/>
      <c r="MYF10" s="501"/>
      <c r="MYG10" s="501"/>
      <c r="MYH10" s="501"/>
      <c r="MYI10" s="501"/>
      <c r="MYJ10" s="501"/>
      <c r="MYK10" s="501"/>
      <c r="MYL10" s="501"/>
      <c r="MYM10" s="501"/>
      <c r="MYN10" s="501"/>
      <c r="MYO10" s="501"/>
      <c r="MYP10" s="501"/>
      <c r="MYQ10" s="501"/>
      <c r="MYR10" s="501"/>
      <c r="MYS10" s="501"/>
      <c r="MYT10" s="501"/>
      <c r="MYU10" s="501"/>
      <c r="MYV10" s="501"/>
      <c r="MYW10" s="501"/>
      <c r="MYX10" s="501"/>
      <c r="MYY10" s="501"/>
      <c r="MYZ10" s="501"/>
      <c r="MZA10" s="501"/>
      <c r="MZB10" s="501"/>
      <c r="MZC10" s="501"/>
      <c r="MZD10" s="501"/>
      <c r="MZE10" s="501"/>
      <c r="MZF10" s="501"/>
      <c r="MZG10" s="501"/>
      <c r="MZH10" s="501"/>
      <c r="MZI10" s="501"/>
      <c r="MZJ10" s="501"/>
      <c r="MZK10" s="501"/>
      <c r="MZL10" s="501"/>
      <c r="MZM10" s="501"/>
      <c r="MZN10" s="501"/>
      <c r="MZO10" s="501"/>
      <c r="MZP10" s="501"/>
      <c r="MZQ10" s="501"/>
      <c r="MZR10" s="501"/>
      <c r="MZS10" s="501"/>
      <c r="MZT10" s="501"/>
      <c r="MZU10" s="501"/>
      <c r="MZV10" s="501"/>
      <c r="MZW10" s="501"/>
      <c r="MZX10" s="501"/>
      <c r="MZY10" s="501"/>
      <c r="MZZ10" s="501"/>
      <c r="NAA10" s="501"/>
      <c r="NAB10" s="501"/>
      <c r="NAC10" s="501"/>
      <c r="NAD10" s="501"/>
      <c r="NAE10" s="501"/>
      <c r="NAF10" s="501"/>
      <c r="NAG10" s="501"/>
      <c r="NAH10" s="501"/>
      <c r="NAI10" s="501"/>
      <c r="NAJ10" s="501"/>
      <c r="NAK10" s="501"/>
      <c r="NAL10" s="501"/>
      <c r="NAM10" s="501"/>
      <c r="NAN10" s="501"/>
      <c r="NAO10" s="501"/>
      <c r="NAP10" s="501"/>
      <c r="NAQ10" s="501"/>
      <c r="NAR10" s="501"/>
      <c r="NAS10" s="501"/>
      <c r="NAT10" s="501"/>
      <c r="NAU10" s="501"/>
      <c r="NAV10" s="501"/>
      <c r="NAW10" s="501"/>
      <c r="NAX10" s="501"/>
      <c r="NAY10" s="501"/>
      <c r="NAZ10" s="501"/>
      <c r="NBA10" s="501"/>
      <c r="NBB10" s="501"/>
      <c r="NBC10" s="501"/>
      <c r="NBD10" s="501"/>
      <c r="NBE10" s="501"/>
      <c r="NBF10" s="501"/>
      <c r="NBG10" s="501"/>
      <c r="NBH10" s="501"/>
      <c r="NBI10" s="501"/>
      <c r="NBJ10" s="501"/>
      <c r="NBK10" s="501"/>
      <c r="NBL10" s="501"/>
      <c r="NBM10" s="501"/>
      <c r="NBN10" s="501"/>
      <c r="NBO10" s="501"/>
      <c r="NBP10" s="501"/>
      <c r="NBQ10" s="501"/>
      <c r="NBR10" s="501"/>
      <c r="NBS10" s="501"/>
      <c r="NBT10" s="501"/>
      <c r="NBU10" s="501"/>
      <c r="NBV10" s="501"/>
      <c r="NBW10" s="501"/>
      <c r="NBX10" s="501"/>
      <c r="NBY10" s="501"/>
      <c r="NBZ10" s="501"/>
      <c r="NCA10" s="501"/>
      <c r="NCB10" s="501"/>
      <c r="NCC10" s="501"/>
      <c r="NCD10" s="501"/>
      <c r="NCE10" s="501"/>
      <c r="NCF10" s="501"/>
      <c r="NCG10" s="501"/>
      <c r="NCH10" s="501"/>
      <c r="NCI10" s="501"/>
      <c r="NCJ10" s="501"/>
      <c r="NCK10" s="501"/>
      <c r="NCL10" s="501"/>
      <c r="NCM10" s="501"/>
      <c r="NCN10" s="501"/>
      <c r="NCO10" s="501"/>
      <c r="NCP10" s="501"/>
      <c r="NCQ10" s="501"/>
      <c r="NCR10" s="501"/>
      <c r="NCS10" s="501"/>
      <c r="NCT10" s="501"/>
      <c r="NCU10" s="501"/>
      <c r="NCV10" s="501"/>
      <c r="NCW10" s="501"/>
      <c r="NCX10" s="501"/>
      <c r="NCY10" s="501"/>
      <c r="NCZ10" s="501"/>
      <c r="NDA10" s="501"/>
      <c r="NDB10" s="501"/>
      <c r="NDC10" s="501"/>
      <c r="NDD10" s="501"/>
      <c r="NDE10" s="501"/>
      <c r="NDF10" s="501"/>
      <c r="NDG10" s="501"/>
      <c r="NDH10" s="501"/>
      <c r="NDI10" s="501"/>
      <c r="NDJ10" s="501"/>
      <c r="NDK10" s="501"/>
      <c r="NDL10" s="501"/>
      <c r="NDM10" s="501"/>
      <c r="NDN10" s="501"/>
      <c r="NDO10" s="501"/>
      <c r="NDP10" s="501"/>
      <c r="NDQ10" s="501"/>
      <c r="NDR10" s="501"/>
      <c r="NDS10" s="501"/>
      <c r="NDT10" s="501"/>
      <c r="NDU10" s="501"/>
      <c r="NDV10" s="501"/>
      <c r="NDW10" s="501"/>
      <c r="NDX10" s="501"/>
      <c r="NDY10" s="501"/>
      <c r="NDZ10" s="501"/>
      <c r="NEA10" s="501"/>
      <c r="NEB10" s="501"/>
      <c r="NEC10" s="501"/>
      <c r="NED10" s="501"/>
      <c r="NEE10" s="501"/>
      <c r="NEF10" s="501"/>
      <c r="NEG10" s="501"/>
      <c r="NEH10" s="501"/>
      <c r="NEI10" s="501"/>
      <c r="NEJ10" s="501"/>
      <c r="NEK10" s="501"/>
      <c r="NEL10" s="501"/>
      <c r="NEM10" s="501"/>
      <c r="NEN10" s="501"/>
      <c r="NEO10" s="501"/>
      <c r="NEP10" s="501"/>
      <c r="NEQ10" s="501"/>
      <c r="NER10" s="501"/>
      <c r="NES10" s="501"/>
      <c r="NET10" s="501"/>
      <c r="NEU10" s="501"/>
      <c r="NEV10" s="501"/>
      <c r="NEW10" s="501"/>
      <c r="NEX10" s="501"/>
      <c r="NEY10" s="501"/>
      <c r="NEZ10" s="501"/>
      <c r="NFA10" s="501"/>
      <c r="NFB10" s="501"/>
      <c r="NFC10" s="501"/>
      <c r="NFD10" s="501"/>
      <c r="NFE10" s="501"/>
      <c r="NFF10" s="501"/>
      <c r="NFG10" s="501"/>
      <c r="NFH10" s="501"/>
      <c r="NFI10" s="501"/>
      <c r="NFJ10" s="501"/>
      <c r="NFK10" s="501"/>
      <c r="NFL10" s="501"/>
      <c r="NFM10" s="501"/>
      <c r="NFN10" s="501"/>
      <c r="NFO10" s="501"/>
      <c r="NFP10" s="501"/>
      <c r="NFQ10" s="501"/>
      <c r="NFR10" s="501"/>
      <c r="NFS10" s="501"/>
      <c r="NFT10" s="501"/>
      <c r="NFU10" s="501"/>
      <c r="NFV10" s="501"/>
      <c r="NFW10" s="501"/>
      <c r="NFX10" s="501"/>
      <c r="NFY10" s="501"/>
      <c r="NFZ10" s="501"/>
      <c r="NGA10" s="501"/>
      <c r="NGB10" s="501"/>
      <c r="NGC10" s="501"/>
      <c r="NGD10" s="501"/>
      <c r="NGE10" s="501"/>
      <c r="NGF10" s="501"/>
      <c r="NGG10" s="501"/>
      <c r="NGH10" s="501"/>
      <c r="NGI10" s="501"/>
      <c r="NGJ10" s="501"/>
      <c r="NGK10" s="501"/>
      <c r="NGL10" s="501"/>
      <c r="NGM10" s="501"/>
      <c r="NGN10" s="501"/>
      <c r="NGO10" s="501"/>
      <c r="NGP10" s="501"/>
      <c r="NGQ10" s="501"/>
      <c r="NGR10" s="501"/>
      <c r="NGS10" s="501"/>
      <c r="NGT10" s="501"/>
      <c r="NGU10" s="501"/>
      <c r="NGV10" s="501"/>
      <c r="NGW10" s="501"/>
      <c r="NGX10" s="501"/>
      <c r="NGY10" s="501"/>
      <c r="NGZ10" s="501"/>
      <c r="NHA10" s="501"/>
      <c r="NHB10" s="501"/>
      <c r="NHC10" s="501"/>
      <c r="NHD10" s="501"/>
      <c r="NHE10" s="501"/>
      <c r="NHF10" s="501"/>
      <c r="NHG10" s="501"/>
      <c r="NHH10" s="501"/>
      <c r="NHI10" s="501"/>
      <c r="NHJ10" s="501"/>
      <c r="NHK10" s="501"/>
      <c r="NHL10" s="501"/>
      <c r="NHM10" s="501"/>
      <c r="NHN10" s="501"/>
      <c r="NHO10" s="501"/>
      <c r="NHP10" s="501"/>
      <c r="NHQ10" s="501"/>
      <c r="NHR10" s="501"/>
      <c r="NHS10" s="501"/>
      <c r="NHT10" s="501"/>
      <c r="NHU10" s="501"/>
      <c r="NHV10" s="501"/>
      <c r="NHW10" s="501"/>
      <c r="NHX10" s="501"/>
      <c r="NHY10" s="501"/>
      <c r="NHZ10" s="501"/>
      <c r="NIA10" s="501"/>
      <c r="NIB10" s="501"/>
      <c r="NIC10" s="501"/>
      <c r="NID10" s="501"/>
      <c r="NIE10" s="501"/>
      <c r="NIF10" s="501"/>
      <c r="NIG10" s="501"/>
      <c r="NIH10" s="501"/>
      <c r="NII10" s="501"/>
      <c r="NIJ10" s="501"/>
      <c r="NIK10" s="501"/>
      <c r="NIL10" s="501"/>
      <c r="NIM10" s="501"/>
      <c r="NIN10" s="501"/>
      <c r="NIO10" s="501"/>
      <c r="NIP10" s="501"/>
      <c r="NIQ10" s="501"/>
      <c r="NIR10" s="501"/>
      <c r="NIS10" s="501"/>
      <c r="NIT10" s="501"/>
      <c r="NIU10" s="501"/>
      <c r="NIV10" s="501"/>
      <c r="NIW10" s="501"/>
      <c r="NIX10" s="501"/>
      <c r="NIY10" s="501"/>
      <c r="NIZ10" s="501"/>
      <c r="NJA10" s="501"/>
      <c r="NJB10" s="501"/>
      <c r="NJC10" s="501"/>
      <c r="NJD10" s="501"/>
      <c r="NJE10" s="501"/>
      <c r="NJF10" s="501"/>
      <c r="NJG10" s="501"/>
      <c r="NJH10" s="501"/>
      <c r="NJI10" s="501"/>
      <c r="NJJ10" s="501"/>
      <c r="NJK10" s="501"/>
      <c r="NJL10" s="501"/>
      <c r="NJM10" s="501"/>
      <c r="NJN10" s="501"/>
      <c r="NJO10" s="501"/>
      <c r="NJP10" s="501"/>
      <c r="NJQ10" s="501"/>
      <c r="NJR10" s="501"/>
      <c r="NJS10" s="501"/>
      <c r="NJT10" s="501"/>
      <c r="NJU10" s="501"/>
      <c r="NJV10" s="501"/>
      <c r="NJW10" s="501"/>
      <c r="NJX10" s="501"/>
      <c r="NJY10" s="501"/>
      <c r="NJZ10" s="501"/>
      <c r="NKA10" s="501"/>
      <c r="NKB10" s="501"/>
      <c r="NKC10" s="501"/>
      <c r="NKD10" s="501"/>
      <c r="NKE10" s="501"/>
      <c r="NKF10" s="501"/>
      <c r="NKG10" s="501"/>
      <c r="NKH10" s="501"/>
      <c r="NKI10" s="501"/>
      <c r="NKJ10" s="501"/>
      <c r="NKK10" s="501"/>
      <c r="NKL10" s="501"/>
      <c r="NKM10" s="501"/>
      <c r="NKN10" s="501"/>
      <c r="NKO10" s="501"/>
      <c r="NKP10" s="501"/>
      <c r="NKQ10" s="501"/>
      <c r="NKR10" s="501"/>
      <c r="NKS10" s="501"/>
      <c r="NKT10" s="501"/>
      <c r="NKU10" s="501"/>
      <c r="NKV10" s="501"/>
      <c r="NKW10" s="501"/>
      <c r="NKX10" s="501"/>
      <c r="NKY10" s="501"/>
      <c r="NKZ10" s="501"/>
      <c r="NLA10" s="501"/>
      <c r="NLB10" s="501"/>
      <c r="NLC10" s="501"/>
      <c r="NLD10" s="501"/>
      <c r="NLE10" s="501"/>
      <c r="NLF10" s="501"/>
      <c r="NLG10" s="501"/>
      <c r="NLH10" s="501"/>
      <c r="NLI10" s="501"/>
      <c r="NLJ10" s="501"/>
      <c r="NLK10" s="501"/>
      <c r="NLL10" s="501"/>
      <c r="NLM10" s="501"/>
      <c r="NLN10" s="501"/>
      <c r="NLO10" s="501"/>
      <c r="NLP10" s="501"/>
      <c r="NLQ10" s="501"/>
      <c r="NLR10" s="501"/>
      <c r="NLS10" s="501"/>
      <c r="NLT10" s="501"/>
      <c r="NLU10" s="501"/>
      <c r="NLV10" s="501"/>
      <c r="NLW10" s="501"/>
      <c r="NLX10" s="501"/>
      <c r="NLY10" s="501"/>
      <c r="NLZ10" s="501"/>
      <c r="NMA10" s="501"/>
      <c r="NMB10" s="501"/>
      <c r="NMC10" s="501"/>
      <c r="NMD10" s="501"/>
      <c r="NME10" s="501"/>
      <c r="NMF10" s="501"/>
      <c r="NMG10" s="501"/>
      <c r="NMH10" s="501"/>
      <c r="NMI10" s="501"/>
      <c r="NMJ10" s="501"/>
      <c r="NMK10" s="501"/>
      <c r="NML10" s="501"/>
      <c r="NMM10" s="501"/>
      <c r="NMN10" s="501"/>
      <c r="NMO10" s="501"/>
      <c r="NMP10" s="501"/>
      <c r="NMQ10" s="501"/>
      <c r="NMR10" s="501"/>
      <c r="NMS10" s="501"/>
      <c r="NMT10" s="501"/>
      <c r="NMU10" s="501"/>
      <c r="NMV10" s="501"/>
      <c r="NMW10" s="501"/>
      <c r="NMX10" s="501"/>
      <c r="NMY10" s="501"/>
      <c r="NMZ10" s="501"/>
      <c r="NNA10" s="501"/>
      <c r="NNB10" s="501"/>
      <c r="NNC10" s="501"/>
      <c r="NND10" s="501"/>
      <c r="NNE10" s="501"/>
      <c r="NNF10" s="501"/>
      <c r="NNG10" s="501"/>
      <c r="NNH10" s="501"/>
      <c r="NNI10" s="501"/>
      <c r="NNJ10" s="501"/>
      <c r="NNK10" s="501"/>
      <c r="NNL10" s="501"/>
      <c r="NNM10" s="501"/>
      <c r="NNN10" s="501"/>
      <c r="NNO10" s="501"/>
      <c r="NNP10" s="501"/>
      <c r="NNQ10" s="501"/>
      <c r="NNR10" s="501"/>
      <c r="NNS10" s="501"/>
      <c r="NNT10" s="501"/>
      <c r="NNU10" s="501"/>
      <c r="NNV10" s="501"/>
      <c r="NNW10" s="501"/>
      <c r="NNX10" s="501"/>
      <c r="NNY10" s="501"/>
      <c r="NNZ10" s="501"/>
      <c r="NOA10" s="501"/>
      <c r="NOB10" s="501"/>
      <c r="NOC10" s="501"/>
      <c r="NOD10" s="501"/>
      <c r="NOE10" s="501"/>
      <c r="NOF10" s="501"/>
      <c r="NOG10" s="501"/>
      <c r="NOH10" s="501"/>
      <c r="NOI10" s="501"/>
      <c r="NOJ10" s="501"/>
      <c r="NOK10" s="501"/>
      <c r="NOL10" s="501"/>
      <c r="NOM10" s="501"/>
      <c r="NON10" s="501"/>
      <c r="NOO10" s="501"/>
      <c r="NOP10" s="501"/>
      <c r="NOQ10" s="501"/>
      <c r="NOR10" s="501"/>
      <c r="NOS10" s="501"/>
      <c r="NOT10" s="501"/>
      <c r="NOU10" s="501"/>
      <c r="NOV10" s="501"/>
      <c r="NOW10" s="501"/>
      <c r="NOX10" s="501"/>
      <c r="NOY10" s="501"/>
      <c r="NOZ10" s="501"/>
      <c r="NPA10" s="501"/>
      <c r="NPB10" s="501"/>
      <c r="NPC10" s="501"/>
      <c r="NPD10" s="501"/>
      <c r="NPE10" s="501"/>
      <c r="NPF10" s="501"/>
      <c r="NPG10" s="501"/>
      <c r="NPH10" s="501"/>
      <c r="NPI10" s="501"/>
      <c r="NPJ10" s="501"/>
      <c r="NPK10" s="501"/>
      <c r="NPL10" s="501"/>
      <c r="NPM10" s="501"/>
      <c r="NPN10" s="501"/>
      <c r="NPO10" s="501"/>
      <c r="NPP10" s="501"/>
      <c r="NPQ10" s="501"/>
      <c r="NPR10" s="501"/>
      <c r="NPS10" s="501"/>
      <c r="NPT10" s="501"/>
      <c r="NPU10" s="501"/>
      <c r="NPV10" s="501"/>
      <c r="NPW10" s="501"/>
      <c r="NPX10" s="501"/>
      <c r="NPY10" s="501"/>
      <c r="NPZ10" s="501"/>
      <c r="NQA10" s="501"/>
      <c r="NQB10" s="501"/>
      <c r="NQC10" s="501"/>
      <c r="NQD10" s="501"/>
      <c r="NQE10" s="501"/>
      <c r="NQF10" s="501"/>
      <c r="NQG10" s="501"/>
      <c r="NQH10" s="501"/>
      <c r="NQI10" s="501"/>
      <c r="NQJ10" s="501"/>
      <c r="NQK10" s="501"/>
      <c r="NQL10" s="501"/>
      <c r="NQM10" s="501"/>
      <c r="NQN10" s="501"/>
      <c r="NQO10" s="501"/>
      <c r="NQP10" s="501"/>
      <c r="NQQ10" s="501"/>
      <c r="NQR10" s="501"/>
      <c r="NQS10" s="501"/>
      <c r="NQT10" s="501"/>
      <c r="NQU10" s="501"/>
      <c r="NQV10" s="501"/>
      <c r="NQW10" s="501"/>
      <c r="NQX10" s="501"/>
      <c r="NQY10" s="501"/>
      <c r="NQZ10" s="501"/>
      <c r="NRA10" s="501"/>
      <c r="NRB10" s="501"/>
      <c r="NRC10" s="501"/>
      <c r="NRD10" s="501"/>
      <c r="NRE10" s="501"/>
      <c r="NRF10" s="501"/>
      <c r="NRG10" s="501"/>
      <c r="NRH10" s="501"/>
      <c r="NRI10" s="501"/>
      <c r="NRJ10" s="501"/>
      <c r="NRK10" s="501"/>
      <c r="NRL10" s="501"/>
      <c r="NRM10" s="501"/>
      <c r="NRN10" s="501"/>
      <c r="NRO10" s="501"/>
      <c r="NRP10" s="501"/>
      <c r="NRQ10" s="501"/>
      <c r="NRR10" s="501"/>
      <c r="NRS10" s="501"/>
      <c r="NRT10" s="501"/>
      <c r="NRU10" s="501"/>
      <c r="NRV10" s="501"/>
      <c r="NRW10" s="501"/>
      <c r="NRX10" s="501"/>
      <c r="NRY10" s="501"/>
      <c r="NRZ10" s="501"/>
      <c r="NSA10" s="501"/>
      <c r="NSB10" s="501"/>
      <c r="NSC10" s="501"/>
      <c r="NSD10" s="501"/>
      <c r="NSE10" s="501"/>
      <c r="NSF10" s="501"/>
      <c r="NSG10" s="501"/>
      <c r="NSH10" s="501"/>
      <c r="NSI10" s="501"/>
      <c r="NSJ10" s="501"/>
      <c r="NSK10" s="501"/>
      <c r="NSL10" s="501"/>
      <c r="NSM10" s="501"/>
      <c r="NSN10" s="501"/>
      <c r="NSO10" s="501"/>
      <c r="NSP10" s="501"/>
      <c r="NSQ10" s="501"/>
      <c r="NSR10" s="501"/>
      <c r="NSS10" s="501"/>
      <c r="NST10" s="501"/>
      <c r="NSU10" s="501"/>
      <c r="NSV10" s="501"/>
      <c r="NSW10" s="501"/>
      <c r="NSX10" s="501"/>
      <c r="NSY10" s="501"/>
      <c r="NSZ10" s="501"/>
      <c r="NTA10" s="501"/>
      <c r="NTB10" s="501"/>
      <c r="NTC10" s="501"/>
      <c r="NTD10" s="501"/>
      <c r="NTE10" s="501"/>
      <c r="NTF10" s="501"/>
      <c r="NTG10" s="501"/>
      <c r="NTH10" s="501"/>
      <c r="NTI10" s="501"/>
      <c r="NTJ10" s="501"/>
      <c r="NTK10" s="501"/>
      <c r="NTL10" s="501"/>
      <c r="NTM10" s="501"/>
      <c r="NTN10" s="501"/>
      <c r="NTO10" s="501"/>
      <c r="NTP10" s="501"/>
      <c r="NTQ10" s="501"/>
      <c r="NTR10" s="501"/>
      <c r="NTS10" s="501"/>
      <c r="NTT10" s="501"/>
      <c r="NTU10" s="501"/>
      <c r="NTV10" s="501"/>
      <c r="NTW10" s="501"/>
      <c r="NTX10" s="501"/>
      <c r="NTY10" s="501"/>
      <c r="NTZ10" s="501"/>
      <c r="NUA10" s="501"/>
      <c r="NUB10" s="501"/>
      <c r="NUC10" s="501"/>
      <c r="NUD10" s="501"/>
      <c r="NUE10" s="501"/>
      <c r="NUF10" s="501"/>
      <c r="NUG10" s="501"/>
      <c r="NUH10" s="501"/>
      <c r="NUI10" s="501"/>
      <c r="NUJ10" s="501"/>
      <c r="NUK10" s="501"/>
      <c r="NUL10" s="501"/>
      <c r="NUM10" s="501"/>
      <c r="NUN10" s="501"/>
      <c r="NUO10" s="501"/>
      <c r="NUP10" s="501"/>
      <c r="NUQ10" s="501"/>
      <c r="NUR10" s="501"/>
      <c r="NUS10" s="501"/>
      <c r="NUT10" s="501"/>
      <c r="NUU10" s="501"/>
      <c r="NUV10" s="501"/>
      <c r="NUW10" s="501"/>
      <c r="NUX10" s="501"/>
      <c r="NUY10" s="501"/>
      <c r="NUZ10" s="501"/>
      <c r="NVA10" s="501"/>
      <c r="NVB10" s="501"/>
      <c r="NVC10" s="501"/>
      <c r="NVD10" s="501"/>
      <c r="NVE10" s="501"/>
      <c r="NVF10" s="501"/>
      <c r="NVG10" s="501"/>
      <c r="NVH10" s="501"/>
      <c r="NVI10" s="501"/>
      <c r="NVJ10" s="501"/>
      <c r="NVK10" s="501"/>
      <c r="NVL10" s="501"/>
      <c r="NVM10" s="501"/>
      <c r="NVN10" s="501"/>
      <c r="NVO10" s="501"/>
      <c r="NVP10" s="501"/>
      <c r="NVQ10" s="501"/>
      <c r="NVR10" s="501"/>
      <c r="NVS10" s="501"/>
      <c r="NVT10" s="501"/>
      <c r="NVU10" s="501"/>
      <c r="NVV10" s="501"/>
      <c r="NVW10" s="501"/>
      <c r="NVX10" s="501"/>
      <c r="NVY10" s="501"/>
      <c r="NVZ10" s="501"/>
      <c r="NWA10" s="501"/>
      <c r="NWB10" s="501"/>
      <c r="NWC10" s="501"/>
      <c r="NWD10" s="501"/>
      <c r="NWE10" s="501"/>
      <c r="NWF10" s="501"/>
      <c r="NWG10" s="501"/>
      <c r="NWH10" s="501"/>
      <c r="NWI10" s="501"/>
      <c r="NWJ10" s="501"/>
      <c r="NWK10" s="501"/>
      <c r="NWL10" s="501"/>
      <c r="NWM10" s="501"/>
      <c r="NWN10" s="501"/>
      <c r="NWO10" s="501"/>
      <c r="NWP10" s="501"/>
      <c r="NWQ10" s="501"/>
      <c r="NWR10" s="501"/>
      <c r="NWS10" s="501"/>
      <c r="NWT10" s="501"/>
      <c r="NWU10" s="501"/>
      <c r="NWV10" s="501"/>
      <c r="NWW10" s="501"/>
      <c r="NWX10" s="501"/>
      <c r="NWY10" s="501"/>
      <c r="NWZ10" s="501"/>
      <c r="NXA10" s="501"/>
      <c r="NXB10" s="501"/>
      <c r="NXC10" s="501"/>
      <c r="NXD10" s="501"/>
      <c r="NXE10" s="501"/>
      <c r="NXF10" s="501"/>
      <c r="NXG10" s="501"/>
      <c r="NXH10" s="501"/>
      <c r="NXI10" s="501"/>
      <c r="NXJ10" s="501"/>
      <c r="NXK10" s="501"/>
      <c r="NXL10" s="501"/>
      <c r="NXM10" s="501"/>
      <c r="NXN10" s="501"/>
      <c r="NXO10" s="501"/>
      <c r="NXP10" s="501"/>
      <c r="NXQ10" s="501"/>
      <c r="NXR10" s="501"/>
      <c r="NXS10" s="501"/>
      <c r="NXT10" s="501"/>
      <c r="NXU10" s="501"/>
      <c r="NXV10" s="501"/>
      <c r="NXW10" s="501"/>
      <c r="NXX10" s="501"/>
      <c r="NXY10" s="501"/>
      <c r="NXZ10" s="501"/>
      <c r="NYA10" s="501"/>
      <c r="NYB10" s="501"/>
      <c r="NYC10" s="501"/>
      <c r="NYD10" s="501"/>
      <c r="NYE10" s="501"/>
      <c r="NYF10" s="501"/>
      <c r="NYG10" s="501"/>
      <c r="NYH10" s="501"/>
      <c r="NYI10" s="501"/>
      <c r="NYJ10" s="501"/>
      <c r="NYK10" s="501"/>
      <c r="NYL10" s="501"/>
      <c r="NYM10" s="501"/>
      <c r="NYN10" s="501"/>
      <c r="NYO10" s="501"/>
      <c r="NYP10" s="501"/>
      <c r="NYQ10" s="501"/>
      <c r="NYR10" s="501"/>
      <c r="NYS10" s="501"/>
      <c r="NYT10" s="501"/>
      <c r="NYU10" s="501"/>
      <c r="NYV10" s="501"/>
      <c r="NYW10" s="501"/>
      <c r="NYX10" s="501"/>
      <c r="NYY10" s="501"/>
      <c r="NYZ10" s="501"/>
      <c r="NZA10" s="501"/>
      <c r="NZB10" s="501"/>
      <c r="NZC10" s="501"/>
      <c r="NZD10" s="501"/>
      <c r="NZE10" s="501"/>
      <c r="NZF10" s="501"/>
      <c r="NZG10" s="501"/>
      <c r="NZH10" s="501"/>
      <c r="NZI10" s="501"/>
      <c r="NZJ10" s="501"/>
      <c r="NZK10" s="501"/>
      <c r="NZL10" s="501"/>
      <c r="NZM10" s="501"/>
      <c r="NZN10" s="501"/>
      <c r="NZO10" s="501"/>
      <c r="NZP10" s="501"/>
      <c r="NZQ10" s="501"/>
      <c r="NZR10" s="501"/>
      <c r="NZS10" s="501"/>
      <c r="NZT10" s="501"/>
      <c r="NZU10" s="501"/>
      <c r="NZV10" s="501"/>
      <c r="NZW10" s="501"/>
      <c r="NZX10" s="501"/>
      <c r="NZY10" s="501"/>
      <c r="NZZ10" s="501"/>
      <c r="OAA10" s="501"/>
      <c r="OAB10" s="501"/>
      <c r="OAC10" s="501"/>
      <c r="OAD10" s="501"/>
      <c r="OAE10" s="501"/>
      <c r="OAF10" s="501"/>
      <c r="OAG10" s="501"/>
      <c r="OAH10" s="501"/>
      <c r="OAI10" s="501"/>
      <c r="OAJ10" s="501"/>
      <c r="OAK10" s="501"/>
      <c r="OAL10" s="501"/>
      <c r="OAM10" s="501"/>
      <c r="OAN10" s="501"/>
      <c r="OAO10" s="501"/>
      <c r="OAP10" s="501"/>
      <c r="OAQ10" s="501"/>
      <c r="OAR10" s="501"/>
      <c r="OAS10" s="501"/>
      <c r="OAT10" s="501"/>
      <c r="OAU10" s="501"/>
      <c r="OAV10" s="501"/>
      <c r="OAW10" s="501"/>
      <c r="OAX10" s="501"/>
      <c r="OAY10" s="501"/>
      <c r="OAZ10" s="501"/>
      <c r="OBA10" s="501"/>
      <c r="OBB10" s="501"/>
      <c r="OBC10" s="501"/>
      <c r="OBD10" s="501"/>
      <c r="OBE10" s="501"/>
      <c r="OBF10" s="501"/>
      <c r="OBG10" s="501"/>
      <c r="OBH10" s="501"/>
      <c r="OBI10" s="501"/>
      <c r="OBJ10" s="501"/>
      <c r="OBK10" s="501"/>
      <c r="OBL10" s="501"/>
      <c r="OBM10" s="501"/>
      <c r="OBN10" s="501"/>
      <c r="OBO10" s="501"/>
      <c r="OBP10" s="501"/>
      <c r="OBQ10" s="501"/>
      <c r="OBR10" s="501"/>
      <c r="OBS10" s="501"/>
      <c r="OBT10" s="501"/>
      <c r="OBU10" s="501"/>
      <c r="OBV10" s="501"/>
      <c r="OBW10" s="501"/>
      <c r="OBX10" s="501"/>
      <c r="OBY10" s="501"/>
      <c r="OBZ10" s="501"/>
      <c r="OCA10" s="501"/>
      <c r="OCB10" s="501"/>
      <c r="OCC10" s="501"/>
      <c r="OCD10" s="501"/>
      <c r="OCE10" s="501"/>
      <c r="OCF10" s="501"/>
      <c r="OCG10" s="501"/>
      <c r="OCH10" s="501"/>
      <c r="OCI10" s="501"/>
      <c r="OCJ10" s="501"/>
      <c r="OCK10" s="501"/>
      <c r="OCL10" s="501"/>
      <c r="OCM10" s="501"/>
      <c r="OCN10" s="501"/>
      <c r="OCO10" s="501"/>
      <c r="OCP10" s="501"/>
      <c r="OCQ10" s="501"/>
      <c r="OCR10" s="501"/>
      <c r="OCS10" s="501"/>
      <c r="OCT10" s="501"/>
      <c r="OCU10" s="501"/>
      <c r="OCV10" s="501"/>
      <c r="OCW10" s="501"/>
      <c r="OCX10" s="501"/>
      <c r="OCY10" s="501"/>
      <c r="OCZ10" s="501"/>
      <c r="ODA10" s="501"/>
      <c r="ODB10" s="501"/>
      <c r="ODC10" s="501"/>
      <c r="ODD10" s="501"/>
      <c r="ODE10" s="501"/>
      <c r="ODF10" s="501"/>
      <c r="ODG10" s="501"/>
      <c r="ODH10" s="501"/>
      <c r="ODI10" s="501"/>
      <c r="ODJ10" s="501"/>
      <c r="ODK10" s="501"/>
      <c r="ODL10" s="501"/>
      <c r="ODM10" s="501"/>
      <c r="ODN10" s="501"/>
      <c r="ODO10" s="501"/>
      <c r="ODP10" s="501"/>
      <c r="ODQ10" s="501"/>
      <c r="ODR10" s="501"/>
      <c r="ODS10" s="501"/>
      <c r="ODT10" s="501"/>
      <c r="ODU10" s="501"/>
      <c r="ODV10" s="501"/>
      <c r="ODW10" s="501"/>
      <c r="ODX10" s="501"/>
      <c r="ODY10" s="501"/>
      <c r="ODZ10" s="501"/>
      <c r="OEA10" s="501"/>
      <c r="OEB10" s="501"/>
      <c r="OEC10" s="501"/>
      <c r="OED10" s="501"/>
      <c r="OEE10" s="501"/>
      <c r="OEF10" s="501"/>
      <c r="OEG10" s="501"/>
      <c r="OEH10" s="501"/>
      <c r="OEI10" s="501"/>
      <c r="OEJ10" s="501"/>
      <c r="OEK10" s="501"/>
      <c r="OEL10" s="501"/>
      <c r="OEM10" s="501"/>
      <c r="OEN10" s="501"/>
      <c r="OEO10" s="501"/>
      <c r="OEP10" s="501"/>
      <c r="OEQ10" s="501"/>
      <c r="OER10" s="501"/>
      <c r="OES10" s="501"/>
      <c r="OET10" s="501"/>
      <c r="OEU10" s="501"/>
      <c r="OEV10" s="501"/>
      <c r="OEW10" s="501"/>
      <c r="OEX10" s="501"/>
      <c r="OEY10" s="501"/>
      <c r="OEZ10" s="501"/>
      <c r="OFA10" s="501"/>
      <c r="OFB10" s="501"/>
      <c r="OFC10" s="501"/>
      <c r="OFD10" s="501"/>
      <c r="OFE10" s="501"/>
      <c r="OFF10" s="501"/>
      <c r="OFG10" s="501"/>
      <c r="OFH10" s="501"/>
      <c r="OFI10" s="501"/>
      <c r="OFJ10" s="501"/>
      <c r="OFK10" s="501"/>
      <c r="OFL10" s="501"/>
      <c r="OFM10" s="501"/>
      <c r="OFN10" s="501"/>
      <c r="OFO10" s="501"/>
      <c r="OFP10" s="501"/>
      <c r="OFQ10" s="501"/>
      <c r="OFR10" s="501"/>
      <c r="OFS10" s="501"/>
      <c r="OFT10" s="501"/>
      <c r="OFU10" s="501"/>
      <c r="OFV10" s="501"/>
      <c r="OFW10" s="501"/>
      <c r="OFX10" s="501"/>
      <c r="OFY10" s="501"/>
      <c r="OFZ10" s="501"/>
      <c r="OGA10" s="501"/>
      <c r="OGB10" s="501"/>
      <c r="OGC10" s="501"/>
      <c r="OGD10" s="501"/>
      <c r="OGE10" s="501"/>
      <c r="OGF10" s="501"/>
      <c r="OGG10" s="501"/>
      <c r="OGH10" s="501"/>
      <c r="OGI10" s="501"/>
      <c r="OGJ10" s="501"/>
      <c r="OGK10" s="501"/>
      <c r="OGL10" s="501"/>
      <c r="OGM10" s="501"/>
      <c r="OGN10" s="501"/>
      <c r="OGO10" s="501"/>
      <c r="OGP10" s="501"/>
      <c r="OGQ10" s="501"/>
      <c r="OGR10" s="501"/>
      <c r="OGS10" s="501"/>
      <c r="OGT10" s="501"/>
      <c r="OGU10" s="501"/>
      <c r="OGV10" s="501"/>
      <c r="OGW10" s="501"/>
      <c r="OGX10" s="501"/>
      <c r="OGY10" s="501"/>
      <c r="OGZ10" s="501"/>
      <c r="OHA10" s="501"/>
      <c r="OHB10" s="501"/>
      <c r="OHC10" s="501"/>
      <c r="OHD10" s="501"/>
      <c r="OHE10" s="501"/>
      <c r="OHF10" s="501"/>
      <c r="OHG10" s="501"/>
      <c r="OHH10" s="501"/>
      <c r="OHI10" s="501"/>
      <c r="OHJ10" s="501"/>
      <c r="OHK10" s="501"/>
      <c r="OHL10" s="501"/>
      <c r="OHM10" s="501"/>
      <c r="OHN10" s="501"/>
      <c r="OHO10" s="501"/>
      <c r="OHP10" s="501"/>
      <c r="OHQ10" s="501"/>
      <c r="OHR10" s="501"/>
      <c r="OHS10" s="501"/>
      <c r="OHT10" s="501"/>
      <c r="OHU10" s="501"/>
      <c r="OHV10" s="501"/>
      <c r="OHW10" s="501"/>
      <c r="OHX10" s="501"/>
      <c r="OHY10" s="501"/>
      <c r="OHZ10" s="501"/>
      <c r="OIA10" s="501"/>
      <c r="OIB10" s="501"/>
      <c r="OIC10" s="501"/>
      <c r="OID10" s="501"/>
      <c r="OIE10" s="501"/>
      <c r="OIF10" s="501"/>
      <c r="OIG10" s="501"/>
      <c r="OIH10" s="501"/>
      <c r="OII10" s="501"/>
      <c r="OIJ10" s="501"/>
      <c r="OIK10" s="501"/>
      <c r="OIL10" s="501"/>
      <c r="OIM10" s="501"/>
      <c r="OIN10" s="501"/>
      <c r="OIO10" s="501"/>
      <c r="OIP10" s="501"/>
      <c r="OIQ10" s="501"/>
      <c r="OIR10" s="501"/>
      <c r="OIS10" s="501"/>
      <c r="OIT10" s="501"/>
      <c r="OIU10" s="501"/>
      <c r="OIV10" s="501"/>
      <c r="OIW10" s="501"/>
      <c r="OIX10" s="501"/>
      <c r="OIY10" s="501"/>
      <c r="OIZ10" s="501"/>
      <c r="OJA10" s="501"/>
      <c r="OJB10" s="501"/>
      <c r="OJC10" s="501"/>
      <c r="OJD10" s="501"/>
      <c r="OJE10" s="501"/>
      <c r="OJF10" s="501"/>
      <c r="OJG10" s="501"/>
      <c r="OJH10" s="501"/>
      <c r="OJI10" s="501"/>
      <c r="OJJ10" s="501"/>
      <c r="OJK10" s="501"/>
      <c r="OJL10" s="501"/>
      <c r="OJM10" s="501"/>
      <c r="OJN10" s="501"/>
      <c r="OJO10" s="501"/>
      <c r="OJP10" s="501"/>
      <c r="OJQ10" s="501"/>
      <c r="OJR10" s="501"/>
      <c r="OJS10" s="501"/>
      <c r="OJT10" s="501"/>
      <c r="OJU10" s="501"/>
      <c r="OJV10" s="501"/>
      <c r="OJW10" s="501"/>
      <c r="OJX10" s="501"/>
      <c r="OJY10" s="501"/>
      <c r="OJZ10" s="501"/>
      <c r="OKA10" s="501"/>
      <c r="OKB10" s="501"/>
      <c r="OKC10" s="501"/>
      <c r="OKD10" s="501"/>
      <c r="OKE10" s="501"/>
      <c r="OKF10" s="501"/>
      <c r="OKG10" s="501"/>
      <c r="OKH10" s="501"/>
      <c r="OKI10" s="501"/>
      <c r="OKJ10" s="501"/>
      <c r="OKK10" s="501"/>
      <c r="OKL10" s="501"/>
      <c r="OKM10" s="501"/>
      <c r="OKN10" s="501"/>
      <c r="OKO10" s="501"/>
      <c r="OKP10" s="501"/>
      <c r="OKQ10" s="501"/>
      <c r="OKR10" s="501"/>
      <c r="OKS10" s="501"/>
      <c r="OKT10" s="501"/>
      <c r="OKU10" s="501"/>
      <c r="OKV10" s="501"/>
      <c r="OKW10" s="501"/>
      <c r="OKX10" s="501"/>
      <c r="OKY10" s="501"/>
      <c r="OKZ10" s="501"/>
      <c r="OLA10" s="501"/>
      <c r="OLB10" s="501"/>
      <c r="OLC10" s="501"/>
      <c r="OLD10" s="501"/>
      <c r="OLE10" s="501"/>
      <c r="OLF10" s="501"/>
      <c r="OLG10" s="501"/>
      <c r="OLH10" s="501"/>
      <c r="OLI10" s="501"/>
      <c r="OLJ10" s="501"/>
      <c r="OLK10" s="501"/>
      <c r="OLL10" s="501"/>
      <c r="OLM10" s="501"/>
      <c r="OLN10" s="501"/>
      <c r="OLO10" s="501"/>
      <c r="OLP10" s="501"/>
      <c r="OLQ10" s="501"/>
      <c r="OLR10" s="501"/>
      <c r="OLS10" s="501"/>
      <c r="OLT10" s="501"/>
      <c r="OLU10" s="501"/>
      <c r="OLV10" s="501"/>
      <c r="OLW10" s="501"/>
      <c r="OLX10" s="501"/>
      <c r="OLY10" s="501"/>
      <c r="OLZ10" s="501"/>
      <c r="OMA10" s="501"/>
      <c r="OMB10" s="501"/>
      <c r="OMC10" s="501"/>
      <c r="OMD10" s="501"/>
      <c r="OME10" s="501"/>
      <c r="OMF10" s="501"/>
      <c r="OMG10" s="501"/>
      <c r="OMH10" s="501"/>
      <c r="OMI10" s="501"/>
      <c r="OMJ10" s="501"/>
      <c r="OMK10" s="501"/>
      <c r="OML10" s="501"/>
      <c r="OMM10" s="501"/>
      <c r="OMN10" s="501"/>
      <c r="OMO10" s="501"/>
      <c r="OMP10" s="501"/>
      <c r="OMQ10" s="501"/>
      <c r="OMR10" s="501"/>
      <c r="OMS10" s="501"/>
      <c r="OMT10" s="501"/>
      <c r="OMU10" s="501"/>
      <c r="OMV10" s="501"/>
      <c r="OMW10" s="501"/>
      <c r="OMX10" s="501"/>
      <c r="OMY10" s="501"/>
      <c r="OMZ10" s="501"/>
      <c r="ONA10" s="501"/>
      <c r="ONB10" s="501"/>
      <c r="ONC10" s="501"/>
      <c r="OND10" s="501"/>
      <c r="ONE10" s="501"/>
      <c r="ONF10" s="501"/>
      <c r="ONG10" s="501"/>
      <c r="ONH10" s="501"/>
      <c r="ONI10" s="501"/>
      <c r="ONJ10" s="501"/>
      <c r="ONK10" s="501"/>
      <c r="ONL10" s="501"/>
      <c r="ONM10" s="501"/>
      <c r="ONN10" s="501"/>
      <c r="ONO10" s="501"/>
      <c r="ONP10" s="501"/>
      <c r="ONQ10" s="501"/>
      <c r="ONR10" s="501"/>
      <c r="ONS10" s="501"/>
      <c r="ONT10" s="501"/>
      <c r="ONU10" s="501"/>
      <c r="ONV10" s="501"/>
      <c r="ONW10" s="501"/>
      <c r="ONX10" s="501"/>
      <c r="ONY10" s="501"/>
      <c r="ONZ10" s="501"/>
      <c r="OOA10" s="501"/>
      <c r="OOB10" s="501"/>
      <c r="OOC10" s="501"/>
      <c r="OOD10" s="501"/>
      <c r="OOE10" s="501"/>
      <c r="OOF10" s="501"/>
      <c r="OOG10" s="501"/>
      <c r="OOH10" s="501"/>
      <c r="OOI10" s="501"/>
      <c r="OOJ10" s="501"/>
      <c r="OOK10" s="501"/>
      <c r="OOL10" s="501"/>
      <c r="OOM10" s="501"/>
      <c r="OON10" s="501"/>
      <c r="OOO10" s="501"/>
      <c r="OOP10" s="501"/>
      <c r="OOQ10" s="501"/>
      <c r="OOR10" s="501"/>
      <c r="OOS10" s="501"/>
      <c r="OOT10" s="501"/>
      <c r="OOU10" s="501"/>
      <c r="OOV10" s="501"/>
      <c r="OOW10" s="501"/>
      <c r="OOX10" s="501"/>
      <c r="OOY10" s="501"/>
      <c r="OOZ10" s="501"/>
      <c r="OPA10" s="501"/>
      <c r="OPB10" s="501"/>
      <c r="OPC10" s="501"/>
      <c r="OPD10" s="501"/>
      <c r="OPE10" s="501"/>
      <c r="OPF10" s="501"/>
      <c r="OPG10" s="501"/>
      <c r="OPH10" s="501"/>
      <c r="OPI10" s="501"/>
      <c r="OPJ10" s="501"/>
      <c r="OPK10" s="501"/>
      <c r="OPL10" s="501"/>
      <c r="OPM10" s="501"/>
      <c r="OPN10" s="501"/>
      <c r="OPO10" s="501"/>
      <c r="OPP10" s="501"/>
      <c r="OPQ10" s="501"/>
      <c r="OPR10" s="501"/>
      <c r="OPS10" s="501"/>
      <c r="OPT10" s="501"/>
      <c r="OPU10" s="501"/>
      <c r="OPV10" s="501"/>
      <c r="OPW10" s="501"/>
      <c r="OPX10" s="501"/>
      <c r="OPY10" s="501"/>
      <c r="OPZ10" s="501"/>
      <c r="OQA10" s="501"/>
      <c r="OQB10" s="501"/>
      <c r="OQC10" s="501"/>
      <c r="OQD10" s="501"/>
      <c r="OQE10" s="501"/>
      <c r="OQF10" s="501"/>
      <c r="OQG10" s="501"/>
      <c r="OQH10" s="501"/>
      <c r="OQI10" s="501"/>
      <c r="OQJ10" s="501"/>
      <c r="OQK10" s="501"/>
      <c r="OQL10" s="501"/>
      <c r="OQM10" s="501"/>
      <c r="OQN10" s="501"/>
      <c r="OQO10" s="501"/>
      <c r="OQP10" s="501"/>
      <c r="OQQ10" s="501"/>
      <c r="OQR10" s="501"/>
      <c r="OQS10" s="501"/>
      <c r="OQT10" s="501"/>
      <c r="OQU10" s="501"/>
      <c r="OQV10" s="501"/>
      <c r="OQW10" s="501"/>
      <c r="OQX10" s="501"/>
      <c r="OQY10" s="501"/>
      <c r="OQZ10" s="501"/>
      <c r="ORA10" s="501"/>
      <c r="ORB10" s="501"/>
      <c r="ORC10" s="501"/>
      <c r="ORD10" s="501"/>
      <c r="ORE10" s="501"/>
      <c r="ORF10" s="501"/>
      <c r="ORG10" s="501"/>
      <c r="ORH10" s="501"/>
      <c r="ORI10" s="501"/>
      <c r="ORJ10" s="501"/>
      <c r="ORK10" s="501"/>
      <c r="ORL10" s="501"/>
      <c r="ORM10" s="501"/>
      <c r="ORN10" s="501"/>
      <c r="ORO10" s="501"/>
      <c r="ORP10" s="501"/>
      <c r="ORQ10" s="501"/>
      <c r="ORR10" s="501"/>
      <c r="ORS10" s="501"/>
      <c r="ORT10" s="501"/>
      <c r="ORU10" s="501"/>
      <c r="ORV10" s="501"/>
      <c r="ORW10" s="501"/>
      <c r="ORX10" s="501"/>
      <c r="ORY10" s="501"/>
      <c r="ORZ10" s="501"/>
      <c r="OSA10" s="501"/>
      <c r="OSB10" s="501"/>
      <c r="OSC10" s="501"/>
      <c r="OSD10" s="501"/>
      <c r="OSE10" s="501"/>
      <c r="OSF10" s="501"/>
      <c r="OSG10" s="501"/>
      <c r="OSH10" s="501"/>
      <c r="OSI10" s="501"/>
      <c r="OSJ10" s="501"/>
      <c r="OSK10" s="501"/>
      <c r="OSL10" s="501"/>
      <c r="OSM10" s="501"/>
      <c r="OSN10" s="501"/>
      <c r="OSO10" s="501"/>
      <c r="OSP10" s="501"/>
      <c r="OSQ10" s="501"/>
      <c r="OSR10" s="501"/>
      <c r="OSS10" s="501"/>
      <c r="OST10" s="501"/>
      <c r="OSU10" s="501"/>
      <c r="OSV10" s="501"/>
      <c r="OSW10" s="501"/>
      <c r="OSX10" s="501"/>
      <c r="OSY10" s="501"/>
      <c r="OSZ10" s="501"/>
      <c r="OTA10" s="501"/>
      <c r="OTB10" s="501"/>
      <c r="OTC10" s="501"/>
      <c r="OTD10" s="501"/>
      <c r="OTE10" s="501"/>
      <c r="OTF10" s="501"/>
      <c r="OTG10" s="501"/>
      <c r="OTH10" s="501"/>
      <c r="OTI10" s="501"/>
      <c r="OTJ10" s="501"/>
      <c r="OTK10" s="501"/>
      <c r="OTL10" s="501"/>
      <c r="OTM10" s="501"/>
      <c r="OTN10" s="501"/>
      <c r="OTO10" s="501"/>
      <c r="OTP10" s="501"/>
      <c r="OTQ10" s="501"/>
      <c r="OTR10" s="501"/>
      <c r="OTS10" s="501"/>
      <c r="OTT10" s="501"/>
      <c r="OTU10" s="501"/>
      <c r="OTV10" s="501"/>
      <c r="OTW10" s="501"/>
      <c r="OTX10" s="501"/>
      <c r="OTY10" s="501"/>
      <c r="OTZ10" s="501"/>
      <c r="OUA10" s="501"/>
      <c r="OUB10" s="501"/>
      <c r="OUC10" s="501"/>
      <c r="OUD10" s="501"/>
      <c r="OUE10" s="501"/>
      <c r="OUF10" s="501"/>
      <c r="OUG10" s="501"/>
      <c r="OUH10" s="501"/>
      <c r="OUI10" s="501"/>
      <c r="OUJ10" s="501"/>
      <c r="OUK10" s="501"/>
      <c r="OUL10" s="501"/>
      <c r="OUM10" s="501"/>
      <c r="OUN10" s="501"/>
      <c r="OUO10" s="501"/>
      <c r="OUP10" s="501"/>
      <c r="OUQ10" s="501"/>
      <c r="OUR10" s="501"/>
      <c r="OUS10" s="501"/>
      <c r="OUT10" s="501"/>
      <c r="OUU10" s="501"/>
      <c r="OUV10" s="501"/>
      <c r="OUW10" s="501"/>
      <c r="OUX10" s="501"/>
      <c r="OUY10" s="501"/>
      <c r="OUZ10" s="501"/>
      <c r="OVA10" s="501"/>
      <c r="OVB10" s="501"/>
      <c r="OVC10" s="501"/>
      <c r="OVD10" s="501"/>
      <c r="OVE10" s="501"/>
      <c r="OVF10" s="501"/>
      <c r="OVG10" s="501"/>
      <c r="OVH10" s="501"/>
      <c r="OVI10" s="501"/>
      <c r="OVJ10" s="501"/>
      <c r="OVK10" s="501"/>
      <c r="OVL10" s="501"/>
      <c r="OVM10" s="501"/>
      <c r="OVN10" s="501"/>
      <c r="OVO10" s="501"/>
      <c r="OVP10" s="501"/>
      <c r="OVQ10" s="501"/>
      <c r="OVR10" s="501"/>
      <c r="OVS10" s="501"/>
      <c r="OVT10" s="501"/>
      <c r="OVU10" s="501"/>
      <c r="OVV10" s="501"/>
      <c r="OVW10" s="501"/>
      <c r="OVX10" s="501"/>
      <c r="OVY10" s="501"/>
      <c r="OVZ10" s="501"/>
      <c r="OWA10" s="501"/>
      <c r="OWB10" s="501"/>
      <c r="OWC10" s="501"/>
      <c r="OWD10" s="501"/>
      <c r="OWE10" s="501"/>
      <c r="OWF10" s="501"/>
      <c r="OWG10" s="501"/>
      <c r="OWH10" s="501"/>
      <c r="OWI10" s="501"/>
      <c r="OWJ10" s="501"/>
      <c r="OWK10" s="501"/>
      <c r="OWL10" s="501"/>
      <c r="OWM10" s="501"/>
      <c r="OWN10" s="501"/>
      <c r="OWO10" s="501"/>
      <c r="OWP10" s="501"/>
      <c r="OWQ10" s="501"/>
      <c r="OWR10" s="501"/>
      <c r="OWS10" s="501"/>
      <c r="OWT10" s="501"/>
      <c r="OWU10" s="501"/>
      <c r="OWV10" s="501"/>
      <c r="OWW10" s="501"/>
      <c r="OWX10" s="501"/>
      <c r="OWY10" s="501"/>
      <c r="OWZ10" s="501"/>
      <c r="OXA10" s="501"/>
      <c r="OXB10" s="501"/>
      <c r="OXC10" s="501"/>
      <c r="OXD10" s="501"/>
      <c r="OXE10" s="501"/>
      <c r="OXF10" s="501"/>
      <c r="OXG10" s="501"/>
      <c r="OXH10" s="501"/>
      <c r="OXI10" s="501"/>
      <c r="OXJ10" s="501"/>
      <c r="OXK10" s="501"/>
      <c r="OXL10" s="501"/>
      <c r="OXM10" s="501"/>
      <c r="OXN10" s="501"/>
      <c r="OXO10" s="501"/>
      <c r="OXP10" s="501"/>
      <c r="OXQ10" s="501"/>
      <c r="OXR10" s="501"/>
      <c r="OXS10" s="501"/>
      <c r="OXT10" s="501"/>
      <c r="OXU10" s="501"/>
      <c r="OXV10" s="501"/>
      <c r="OXW10" s="501"/>
      <c r="OXX10" s="501"/>
      <c r="OXY10" s="501"/>
      <c r="OXZ10" s="501"/>
      <c r="OYA10" s="501"/>
      <c r="OYB10" s="501"/>
      <c r="OYC10" s="501"/>
      <c r="OYD10" s="501"/>
      <c r="OYE10" s="501"/>
      <c r="OYF10" s="501"/>
      <c r="OYG10" s="501"/>
      <c r="OYH10" s="501"/>
      <c r="OYI10" s="501"/>
      <c r="OYJ10" s="501"/>
      <c r="OYK10" s="501"/>
      <c r="OYL10" s="501"/>
      <c r="OYM10" s="501"/>
      <c r="OYN10" s="501"/>
      <c r="OYO10" s="501"/>
      <c r="OYP10" s="501"/>
      <c r="OYQ10" s="501"/>
      <c r="OYR10" s="501"/>
      <c r="OYS10" s="501"/>
      <c r="OYT10" s="501"/>
      <c r="OYU10" s="501"/>
      <c r="OYV10" s="501"/>
      <c r="OYW10" s="501"/>
      <c r="OYX10" s="501"/>
      <c r="OYY10" s="501"/>
      <c r="OYZ10" s="501"/>
      <c r="OZA10" s="501"/>
      <c r="OZB10" s="501"/>
      <c r="OZC10" s="501"/>
      <c r="OZD10" s="501"/>
      <c r="OZE10" s="501"/>
      <c r="OZF10" s="501"/>
      <c r="OZG10" s="501"/>
      <c r="OZH10" s="501"/>
      <c r="OZI10" s="501"/>
      <c r="OZJ10" s="501"/>
      <c r="OZK10" s="501"/>
      <c r="OZL10" s="501"/>
      <c r="OZM10" s="501"/>
      <c r="OZN10" s="501"/>
      <c r="OZO10" s="501"/>
      <c r="OZP10" s="501"/>
      <c r="OZQ10" s="501"/>
      <c r="OZR10" s="501"/>
      <c r="OZS10" s="501"/>
      <c r="OZT10" s="501"/>
      <c r="OZU10" s="501"/>
      <c r="OZV10" s="501"/>
      <c r="OZW10" s="501"/>
      <c r="OZX10" s="501"/>
      <c r="OZY10" s="501"/>
      <c r="OZZ10" s="501"/>
      <c r="PAA10" s="501"/>
      <c r="PAB10" s="501"/>
      <c r="PAC10" s="501"/>
      <c r="PAD10" s="501"/>
      <c r="PAE10" s="501"/>
      <c r="PAF10" s="501"/>
      <c r="PAG10" s="501"/>
      <c r="PAH10" s="501"/>
      <c r="PAI10" s="501"/>
      <c r="PAJ10" s="501"/>
      <c r="PAK10" s="501"/>
      <c r="PAL10" s="501"/>
      <c r="PAM10" s="501"/>
      <c r="PAN10" s="501"/>
      <c r="PAO10" s="501"/>
      <c r="PAP10" s="501"/>
      <c r="PAQ10" s="501"/>
      <c r="PAR10" s="501"/>
      <c r="PAS10" s="501"/>
      <c r="PAT10" s="501"/>
      <c r="PAU10" s="501"/>
      <c r="PAV10" s="501"/>
      <c r="PAW10" s="501"/>
      <c r="PAX10" s="501"/>
      <c r="PAY10" s="501"/>
      <c r="PAZ10" s="501"/>
      <c r="PBA10" s="501"/>
      <c r="PBB10" s="501"/>
      <c r="PBC10" s="501"/>
      <c r="PBD10" s="501"/>
      <c r="PBE10" s="501"/>
      <c r="PBF10" s="501"/>
      <c r="PBG10" s="501"/>
      <c r="PBH10" s="501"/>
      <c r="PBI10" s="501"/>
      <c r="PBJ10" s="501"/>
      <c r="PBK10" s="501"/>
      <c r="PBL10" s="501"/>
      <c r="PBM10" s="501"/>
      <c r="PBN10" s="501"/>
      <c r="PBO10" s="501"/>
      <c r="PBP10" s="501"/>
      <c r="PBQ10" s="501"/>
      <c r="PBR10" s="501"/>
      <c r="PBS10" s="501"/>
      <c r="PBT10" s="501"/>
      <c r="PBU10" s="501"/>
      <c r="PBV10" s="501"/>
      <c r="PBW10" s="501"/>
      <c r="PBX10" s="501"/>
      <c r="PBY10" s="501"/>
      <c r="PBZ10" s="501"/>
      <c r="PCA10" s="501"/>
      <c r="PCB10" s="501"/>
      <c r="PCC10" s="501"/>
      <c r="PCD10" s="501"/>
      <c r="PCE10" s="501"/>
      <c r="PCF10" s="501"/>
      <c r="PCG10" s="501"/>
      <c r="PCH10" s="501"/>
      <c r="PCI10" s="501"/>
      <c r="PCJ10" s="501"/>
      <c r="PCK10" s="501"/>
      <c r="PCL10" s="501"/>
      <c r="PCM10" s="501"/>
      <c r="PCN10" s="501"/>
      <c r="PCO10" s="501"/>
      <c r="PCP10" s="501"/>
      <c r="PCQ10" s="501"/>
      <c r="PCR10" s="501"/>
      <c r="PCS10" s="501"/>
      <c r="PCT10" s="501"/>
      <c r="PCU10" s="501"/>
      <c r="PCV10" s="501"/>
      <c r="PCW10" s="501"/>
      <c r="PCX10" s="501"/>
      <c r="PCY10" s="501"/>
      <c r="PCZ10" s="501"/>
      <c r="PDA10" s="501"/>
      <c r="PDB10" s="501"/>
      <c r="PDC10" s="501"/>
      <c r="PDD10" s="501"/>
      <c r="PDE10" s="501"/>
      <c r="PDF10" s="501"/>
      <c r="PDG10" s="501"/>
      <c r="PDH10" s="501"/>
      <c r="PDI10" s="501"/>
      <c r="PDJ10" s="501"/>
      <c r="PDK10" s="501"/>
      <c r="PDL10" s="501"/>
      <c r="PDM10" s="501"/>
      <c r="PDN10" s="501"/>
      <c r="PDO10" s="501"/>
      <c r="PDP10" s="501"/>
      <c r="PDQ10" s="501"/>
      <c r="PDR10" s="501"/>
      <c r="PDS10" s="501"/>
      <c r="PDT10" s="501"/>
      <c r="PDU10" s="501"/>
      <c r="PDV10" s="501"/>
      <c r="PDW10" s="501"/>
      <c r="PDX10" s="501"/>
      <c r="PDY10" s="501"/>
      <c r="PDZ10" s="501"/>
      <c r="PEA10" s="501"/>
      <c r="PEB10" s="501"/>
      <c r="PEC10" s="501"/>
      <c r="PED10" s="501"/>
      <c r="PEE10" s="501"/>
      <c r="PEF10" s="501"/>
      <c r="PEG10" s="501"/>
      <c r="PEH10" s="501"/>
      <c r="PEI10" s="501"/>
      <c r="PEJ10" s="501"/>
      <c r="PEK10" s="501"/>
      <c r="PEL10" s="501"/>
      <c r="PEM10" s="501"/>
      <c r="PEN10" s="501"/>
      <c r="PEO10" s="501"/>
      <c r="PEP10" s="501"/>
      <c r="PEQ10" s="501"/>
      <c r="PER10" s="501"/>
      <c r="PES10" s="501"/>
      <c r="PET10" s="501"/>
      <c r="PEU10" s="501"/>
      <c r="PEV10" s="501"/>
      <c r="PEW10" s="501"/>
      <c r="PEX10" s="501"/>
      <c r="PEY10" s="501"/>
      <c r="PEZ10" s="501"/>
      <c r="PFA10" s="501"/>
      <c r="PFB10" s="501"/>
      <c r="PFC10" s="501"/>
      <c r="PFD10" s="501"/>
      <c r="PFE10" s="501"/>
      <c r="PFF10" s="501"/>
      <c r="PFG10" s="501"/>
      <c r="PFH10" s="501"/>
      <c r="PFI10" s="501"/>
      <c r="PFJ10" s="501"/>
      <c r="PFK10" s="501"/>
      <c r="PFL10" s="501"/>
      <c r="PFM10" s="501"/>
      <c r="PFN10" s="501"/>
      <c r="PFO10" s="501"/>
      <c r="PFP10" s="501"/>
      <c r="PFQ10" s="501"/>
      <c r="PFR10" s="501"/>
      <c r="PFS10" s="501"/>
      <c r="PFT10" s="501"/>
      <c r="PFU10" s="501"/>
      <c r="PFV10" s="501"/>
      <c r="PFW10" s="501"/>
      <c r="PFX10" s="501"/>
      <c r="PFY10" s="501"/>
      <c r="PFZ10" s="501"/>
      <c r="PGA10" s="501"/>
      <c r="PGB10" s="501"/>
      <c r="PGC10" s="501"/>
      <c r="PGD10" s="501"/>
      <c r="PGE10" s="501"/>
      <c r="PGF10" s="501"/>
      <c r="PGG10" s="501"/>
      <c r="PGH10" s="501"/>
      <c r="PGI10" s="501"/>
      <c r="PGJ10" s="501"/>
      <c r="PGK10" s="501"/>
      <c r="PGL10" s="501"/>
      <c r="PGM10" s="501"/>
      <c r="PGN10" s="501"/>
      <c r="PGO10" s="501"/>
      <c r="PGP10" s="501"/>
      <c r="PGQ10" s="501"/>
      <c r="PGR10" s="501"/>
      <c r="PGS10" s="501"/>
      <c r="PGT10" s="501"/>
      <c r="PGU10" s="501"/>
      <c r="PGV10" s="501"/>
      <c r="PGW10" s="501"/>
      <c r="PGX10" s="501"/>
      <c r="PGY10" s="501"/>
      <c r="PGZ10" s="501"/>
      <c r="PHA10" s="501"/>
      <c r="PHB10" s="501"/>
      <c r="PHC10" s="501"/>
      <c r="PHD10" s="501"/>
      <c r="PHE10" s="501"/>
      <c r="PHF10" s="501"/>
      <c r="PHG10" s="501"/>
      <c r="PHH10" s="501"/>
      <c r="PHI10" s="501"/>
      <c r="PHJ10" s="501"/>
      <c r="PHK10" s="501"/>
      <c r="PHL10" s="501"/>
      <c r="PHM10" s="501"/>
      <c r="PHN10" s="501"/>
      <c r="PHO10" s="501"/>
      <c r="PHP10" s="501"/>
      <c r="PHQ10" s="501"/>
      <c r="PHR10" s="501"/>
      <c r="PHS10" s="501"/>
      <c r="PHT10" s="501"/>
      <c r="PHU10" s="501"/>
      <c r="PHV10" s="501"/>
      <c r="PHW10" s="501"/>
      <c r="PHX10" s="501"/>
      <c r="PHY10" s="501"/>
      <c r="PHZ10" s="501"/>
      <c r="PIA10" s="501"/>
      <c r="PIB10" s="501"/>
      <c r="PIC10" s="501"/>
      <c r="PID10" s="501"/>
      <c r="PIE10" s="501"/>
      <c r="PIF10" s="501"/>
      <c r="PIG10" s="501"/>
      <c r="PIH10" s="501"/>
      <c r="PII10" s="501"/>
      <c r="PIJ10" s="501"/>
      <c r="PIK10" s="501"/>
      <c r="PIL10" s="501"/>
      <c r="PIM10" s="501"/>
      <c r="PIN10" s="501"/>
      <c r="PIO10" s="501"/>
      <c r="PIP10" s="501"/>
      <c r="PIQ10" s="501"/>
      <c r="PIR10" s="501"/>
      <c r="PIS10" s="501"/>
      <c r="PIT10" s="501"/>
      <c r="PIU10" s="501"/>
      <c r="PIV10" s="501"/>
      <c r="PIW10" s="501"/>
      <c r="PIX10" s="501"/>
      <c r="PIY10" s="501"/>
      <c r="PIZ10" s="501"/>
      <c r="PJA10" s="501"/>
      <c r="PJB10" s="501"/>
      <c r="PJC10" s="501"/>
      <c r="PJD10" s="501"/>
      <c r="PJE10" s="501"/>
      <c r="PJF10" s="501"/>
      <c r="PJG10" s="501"/>
      <c r="PJH10" s="501"/>
      <c r="PJI10" s="501"/>
      <c r="PJJ10" s="501"/>
      <c r="PJK10" s="501"/>
      <c r="PJL10" s="501"/>
      <c r="PJM10" s="501"/>
      <c r="PJN10" s="501"/>
      <c r="PJO10" s="501"/>
      <c r="PJP10" s="501"/>
      <c r="PJQ10" s="501"/>
      <c r="PJR10" s="501"/>
      <c r="PJS10" s="501"/>
      <c r="PJT10" s="501"/>
      <c r="PJU10" s="501"/>
      <c r="PJV10" s="501"/>
      <c r="PJW10" s="501"/>
      <c r="PJX10" s="501"/>
      <c r="PJY10" s="501"/>
      <c r="PJZ10" s="501"/>
      <c r="PKA10" s="501"/>
      <c r="PKB10" s="501"/>
      <c r="PKC10" s="501"/>
      <c r="PKD10" s="501"/>
      <c r="PKE10" s="501"/>
      <c r="PKF10" s="501"/>
      <c r="PKG10" s="501"/>
      <c r="PKH10" s="501"/>
      <c r="PKI10" s="501"/>
      <c r="PKJ10" s="501"/>
      <c r="PKK10" s="501"/>
      <c r="PKL10" s="501"/>
      <c r="PKM10" s="501"/>
      <c r="PKN10" s="501"/>
      <c r="PKO10" s="501"/>
      <c r="PKP10" s="501"/>
      <c r="PKQ10" s="501"/>
      <c r="PKR10" s="501"/>
      <c r="PKS10" s="501"/>
      <c r="PKT10" s="501"/>
      <c r="PKU10" s="501"/>
      <c r="PKV10" s="501"/>
      <c r="PKW10" s="501"/>
      <c r="PKX10" s="501"/>
      <c r="PKY10" s="501"/>
      <c r="PKZ10" s="501"/>
      <c r="PLA10" s="501"/>
      <c r="PLB10" s="501"/>
      <c r="PLC10" s="501"/>
      <c r="PLD10" s="501"/>
      <c r="PLE10" s="501"/>
      <c r="PLF10" s="501"/>
      <c r="PLG10" s="501"/>
      <c r="PLH10" s="501"/>
      <c r="PLI10" s="501"/>
      <c r="PLJ10" s="501"/>
      <c r="PLK10" s="501"/>
      <c r="PLL10" s="501"/>
      <c r="PLM10" s="501"/>
      <c r="PLN10" s="501"/>
      <c r="PLO10" s="501"/>
      <c r="PLP10" s="501"/>
      <c r="PLQ10" s="501"/>
      <c r="PLR10" s="501"/>
      <c r="PLS10" s="501"/>
      <c r="PLT10" s="501"/>
      <c r="PLU10" s="501"/>
      <c r="PLV10" s="501"/>
      <c r="PLW10" s="501"/>
      <c r="PLX10" s="501"/>
      <c r="PLY10" s="501"/>
      <c r="PLZ10" s="501"/>
      <c r="PMA10" s="501"/>
      <c r="PMB10" s="501"/>
      <c r="PMC10" s="501"/>
      <c r="PMD10" s="501"/>
      <c r="PME10" s="501"/>
      <c r="PMF10" s="501"/>
      <c r="PMG10" s="501"/>
      <c r="PMH10" s="501"/>
      <c r="PMI10" s="501"/>
      <c r="PMJ10" s="501"/>
      <c r="PMK10" s="501"/>
      <c r="PML10" s="501"/>
      <c r="PMM10" s="501"/>
      <c r="PMN10" s="501"/>
      <c r="PMO10" s="501"/>
      <c r="PMP10" s="501"/>
      <c r="PMQ10" s="501"/>
      <c r="PMR10" s="501"/>
      <c r="PMS10" s="501"/>
      <c r="PMT10" s="501"/>
      <c r="PMU10" s="501"/>
      <c r="PMV10" s="501"/>
      <c r="PMW10" s="501"/>
      <c r="PMX10" s="501"/>
      <c r="PMY10" s="501"/>
      <c r="PMZ10" s="501"/>
      <c r="PNA10" s="501"/>
      <c r="PNB10" s="501"/>
      <c r="PNC10" s="501"/>
      <c r="PND10" s="501"/>
      <c r="PNE10" s="501"/>
      <c r="PNF10" s="501"/>
      <c r="PNG10" s="501"/>
      <c r="PNH10" s="501"/>
      <c r="PNI10" s="501"/>
      <c r="PNJ10" s="501"/>
      <c r="PNK10" s="501"/>
      <c r="PNL10" s="501"/>
      <c r="PNM10" s="501"/>
      <c r="PNN10" s="501"/>
      <c r="PNO10" s="501"/>
      <c r="PNP10" s="501"/>
      <c r="PNQ10" s="501"/>
      <c r="PNR10" s="501"/>
      <c r="PNS10" s="501"/>
      <c r="PNT10" s="501"/>
      <c r="PNU10" s="501"/>
      <c r="PNV10" s="501"/>
      <c r="PNW10" s="501"/>
      <c r="PNX10" s="501"/>
      <c r="PNY10" s="501"/>
      <c r="PNZ10" s="501"/>
      <c r="POA10" s="501"/>
      <c r="POB10" s="501"/>
      <c r="POC10" s="501"/>
      <c r="POD10" s="501"/>
      <c r="POE10" s="501"/>
      <c r="POF10" s="501"/>
      <c r="POG10" s="501"/>
      <c r="POH10" s="501"/>
      <c r="POI10" s="501"/>
      <c r="POJ10" s="501"/>
      <c r="POK10" s="501"/>
      <c r="POL10" s="501"/>
      <c r="POM10" s="501"/>
      <c r="PON10" s="501"/>
      <c r="POO10" s="501"/>
      <c r="POP10" s="501"/>
      <c r="POQ10" s="501"/>
      <c r="POR10" s="501"/>
      <c r="POS10" s="501"/>
      <c r="POT10" s="501"/>
      <c r="POU10" s="501"/>
      <c r="POV10" s="501"/>
      <c r="POW10" s="501"/>
      <c r="POX10" s="501"/>
      <c r="POY10" s="501"/>
      <c r="POZ10" s="501"/>
      <c r="PPA10" s="501"/>
      <c r="PPB10" s="501"/>
      <c r="PPC10" s="501"/>
      <c r="PPD10" s="501"/>
      <c r="PPE10" s="501"/>
      <c r="PPF10" s="501"/>
      <c r="PPG10" s="501"/>
      <c r="PPH10" s="501"/>
      <c r="PPI10" s="501"/>
      <c r="PPJ10" s="501"/>
      <c r="PPK10" s="501"/>
      <c r="PPL10" s="501"/>
      <c r="PPM10" s="501"/>
      <c r="PPN10" s="501"/>
      <c r="PPO10" s="501"/>
      <c r="PPP10" s="501"/>
      <c r="PPQ10" s="501"/>
      <c r="PPR10" s="501"/>
      <c r="PPS10" s="501"/>
      <c r="PPT10" s="501"/>
      <c r="PPU10" s="501"/>
      <c r="PPV10" s="501"/>
      <c r="PPW10" s="501"/>
      <c r="PPX10" s="501"/>
      <c r="PPY10" s="501"/>
      <c r="PPZ10" s="501"/>
      <c r="PQA10" s="501"/>
      <c r="PQB10" s="501"/>
      <c r="PQC10" s="501"/>
      <c r="PQD10" s="501"/>
      <c r="PQE10" s="501"/>
      <c r="PQF10" s="501"/>
      <c r="PQG10" s="501"/>
      <c r="PQH10" s="501"/>
      <c r="PQI10" s="501"/>
      <c r="PQJ10" s="501"/>
      <c r="PQK10" s="501"/>
      <c r="PQL10" s="501"/>
      <c r="PQM10" s="501"/>
      <c r="PQN10" s="501"/>
      <c r="PQO10" s="501"/>
      <c r="PQP10" s="501"/>
      <c r="PQQ10" s="501"/>
      <c r="PQR10" s="501"/>
      <c r="PQS10" s="501"/>
      <c r="PQT10" s="501"/>
      <c r="PQU10" s="501"/>
      <c r="PQV10" s="501"/>
      <c r="PQW10" s="501"/>
      <c r="PQX10" s="501"/>
      <c r="PQY10" s="501"/>
      <c r="PQZ10" s="501"/>
      <c r="PRA10" s="501"/>
      <c r="PRB10" s="501"/>
      <c r="PRC10" s="501"/>
      <c r="PRD10" s="501"/>
      <c r="PRE10" s="501"/>
      <c r="PRF10" s="501"/>
      <c r="PRG10" s="501"/>
      <c r="PRH10" s="501"/>
      <c r="PRI10" s="501"/>
      <c r="PRJ10" s="501"/>
      <c r="PRK10" s="501"/>
      <c r="PRL10" s="501"/>
      <c r="PRM10" s="501"/>
      <c r="PRN10" s="501"/>
      <c r="PRO10" s="501"/>
      <c r="PRP10" s="501"/>
      <c r="PRQ10" s="501"/>
      <c r="PRR10" s="501"/>
      <c r="PRS10" s="501"/>
      <c r="PRT10" s="501"/>
      <c r="PRU10" s="501"/>
      <c r="PRV10" s="501"/>
      <c r="PRW10" s="501"/>
      <c r="PRX10" s="501"/>
      <c r="PRY10" s="501"/>
      <c r="PRZ10" s="501"/>
      <c r="PSA10" s="501"/>
      <c r="PSB10" s="501"/>
      <c r="PSC10" s="501"/>
      <c r="PSD10" s="501"/>
      <c r="PSE10" s="501"/>
      <c r="PSF10" s="501"/>
      <c r="PSG10" s="501"/>
      <c r="PSH10" s="501"/>
      <c r="PSI10" s="501"/>
      <c r="PSJ10" s="501"/>
      <c r="PSK10" s="501"/>
      <c r="PSL10" s="501"/>
      <c r="PSM10" s="501"/>
      <c r="PSN10" s="501"/>
      <c r="PSO10" s="501"/>
      <c r="PSP10" s="501"/>
      <c r="PSQ10" s="501"/>
      <c r="PSR10" s="501"/>
      <c r="PSS10" s="501"/>
      <c r="PST10" s="501"/>
      <c r="PSU10" s="501"/>
      <c r="PSV10" s="501"/>
      <c r="PSW10" s="501"/>
      <c r="PSX10" s="501"/>
      <c r="PSY10" s="501"/>
      <c r="PSZ10" s="501"/>
      <c r="PTA10" s="501"/>
      <c r="PTB10" s="501"/>
      <c r="PTC10" s="501"/>
      <c r="PTD10" s="501"/>
      <c r="PTE10" s="501"/>
      <c r="PTF10" s="501"/>
      <c r="PTG10" s="501"/>
      <c r="PTH10" s="501"/>
      <c r="PTI10" s="501"/>
      <c r="PTJ10" s="501"/>
      <c r="PTK10" s="501"/>
      <c r="PTL10" s="501"/>
      <c r="PTM10" s="501"/>
      <c r="PTN10" s="501"/>
      <c r="PTO10" s="501"/>
      <c r="PTP10" s="501"/>
      <c r="PTQ10" s="501"/>
      <c r="PTR10" s="501"/>
      <c r="PTS10" s="501"/>
      <c r="PTT10" s="501"/>
      <c r="PTU10" s="501"/>
      <c r="PTV10" s="501"/>
      <c r="PTW10" s="501"/>
      <c r="PTX10" s="501"/>
      <c r="PTY10" s="501"/>
      <c r="PTZ10" s="501"/>
      <c r="PUA10" s="501"/>
      <c r="PUB10" s="501"/>
      <c r="PUC10" s="501"/>
      <c r="PUD10" s="501"/>
      <c r="PUE10" s="501"/>
      <c r="PUF10" s="501"/>
      <c r="PUG10" s="501"/>
      <c r="PUH10" s="501"/>
      <c r="PUI10" s="501"/>
      <c r="PUJ10" s="501"/>
      <c r="PUK10" s="501"/>
      <c r="PUL10" s="501"/>
      <c r="PUM10" s="501"/>
      <c r="PUN10" s="501"/>
      <c r="PUO10" s="501"/>
      <c r="PUP10" s="501"/>
      <c r="PUQ10" s="501"/>
      <c r="PUR10" s="501"/>
      <c r="PUS10" s="501"/>
      <c r="PUT10" s="501"/>
      <c r="PUU10" s="501"/>
      <c r="PUV10" s="501"/>
      <c r="PUW10" s="501"/>
      <c r="PUX10" s="501"/>
      <c r="PUY10" s="501"/>
      <c r="PUZ10" s="501"/>
      <c r="PVA10" s="501"/>
      <c r="PVB10" s="501"/>
      <c r="PVC10" s="501"/>
      <c r="PVD10" s="501"/>
      <c r="PVE10" s="501"/>
      <c r="PVF10" s="501"/>
      <c r="PVG10" s="501"/>
      <c r="PVH10" s="501"/>
      <c r="PVI10" s="501"/>
      <c r="PVJ10" s="501"/>
      <c r="PVK10" s="501"/>
      <c r="PVL10" s="501"/>
      <c r="PVM10" s="501"/>
      <c r="PVN10" s="501"/>
      <c r="PVO10" s="501"/>
      <c r="PVP10" s="501"/>
      <c r="PVQ10" s="501"/>
      <c r="PVR10" s="501"/>
      <c r="PVS10" s="501"/>
      <c r="PVT10" s="501"/>
      <c r="PVU10" s="501"/>
      <c r="PVV10" s="501"/>
      <c r="PVW10" s="501"/>
      <c r="PVX10" s="501"/>
      <c r="PVY10" s="501"/>
      <c r="PVZ10" s="501"/>
      <c r="PWA10" s="501"/>
      <c r="PWB10" s="501"/>
      <c r="PWC10" s="501"/>
      <c r="PWD10" s="501"/>
      <c r="PWE10" s="501"/>
      <c r="PWF10" s="501"/>
      <c r="PWG10" s="501"/>
      <c r="PWH10" s="501"/>
      <c r="PWI10" s="501"/>
      <c r="PWJ10" s="501"/>
      <c r="PWK10" s="501"/>
      <c r="PWL10" s="501"/>
      <c r="PWM10" s="501"/>
      <c r="PWN10" s="501"/>
      <c r="PWO10" s="501"/>
      <c r="PWP10" s="501"/>
      <c r="PWQ10" s="501"/>
      <c r="PWR10" s="501"/>
      <c r="PWS10" s="501"/>
      <c r="PWT10" s="501"/>
      <c r="PWU10" s="501"/>
      <c r="PWV10" s="501"/>
      <c r="PWW10" s="501"/>
      <c r="PWX10" s="501"/>
      <c r="PWY10" s="501"/>
      <c r="PWZ10" s="501"/>
      <c r="PXA10" s="501"/>
      <c r="PXB10" s="501"/>
      <c r="PXC10" s="501"/>
      <c r="PXD10" s="501"/>
      <c r="PXE10" s="501"/>
      <c r="PXF10" s="501"/>
      <c r="PXG10" s="501"/>
      <c r="PXH10" s="501"/>
      <c r="PXI10" s="501"/>
      <c r="PXJ10" s="501"/>
      <c r="PXK10" s="501"/>
      <c r="PXL10" s="501"/>
      <c r="PXM10" s="501"/>
      <c r="PXN10" s="501"/>
      <c r="PXO10" s="501"/>
      <c r="PXP10" s="501"/>
      <c r="PXQ10" s="501"/>
      <c r="PXR10" s="501"/>
      <c r="PXS10" s="501"/>
      <c r="PXT10" s="501"/>
      <c r="PXU10" s="501"/>
      <c r="PXV10" s="501"/>
      <c r="PXW10" s="501"/>
      <c r="PXX10" s="501"/>
      <c r="PXY10" s="501"/>
      <c r="PXZ10" s="501"/>
      <c r="PYA10" s="501"/>
      <c r="PYB10" s="501"/>
      <c r="PYC10" s="501"/>
      <c r="PYD10" s="501"/>
      <c r="PYE10" s="501"/>
      <c r="PYF10" s="501"/>
      <c r="PYG10" s="501"/>
      <c r="PYH10" s="501"/>
      <c r="PYI10" s="501"/>
      <c r="PYJ10" s="501"/>
      <c r="PYK10" s="501"/>
      <c r="PYL10" s="501"/>
      <c r="PYM10" s="501"/>
      <c r="PYN10" s="501"/>
      <c r="PYO10" s="501"/>
      <c r="PYP10" s="501"/>
      <c r="PYQ10" s="501"/>
      <c r="PYR10" s="501"/>
      <c r="PYS10" s="501"/>
      <c r="PYT10" s="501"/>
      <c r="PYU10" s="501"/>
      <c r="PYV10" s="501"/>
      <c r="PYW10" s="501"/>
      <c r="PYX10" s="501"/>
      <c r="PYY10" s="501"/>
      <c r="PYZ10" s="501"/>
      <c r="PZA10" s="501"/>
      <c r="PZB10" s="501"/>
      <c r="PZC10" s="501"/>
      <c r="PZD10" s="501"/>
      <c r="PZE10" s="501"/>
      <c r="PZF10" s="501"/>
      <c r="PZG10" s="501"/>
      <c r="PZH10" s="501"/>
      <c r="PZI10" s="501"/>
      <c r="PZJ10" s="501"/>
      <c r="PZK10" s="501"/>
      <c r="PZL10" s="501"/>
      <c r="PZM10" s="501"/>
      <c r="PZN10" s="501"/>
      <c r="PZO10" s="501"/>
      <c r="PZP10" s="501"/>
      <c r="PZQ10" s="501"/>
      <c r="PZR10" s="501"/>
      <c r="PZS10" s="501"/>
      <c r="PZT10" s="501"/>
      <c r="PZU10" s="501"/>
      <c r="PZV10" s="501"/>
      <c r="PZW10" s="501"/>
      <c r="PZX10" s="501"/>
      <c r="PZY10" s="501"/>
      <c r="PZZ10" s="501"/>
      <c r="QAA10" s="501"/>
      <c r="QAB10" s="501"/>
      <c r="QAC10" s="501"/>
      <c r="QAD10" s="501"/>
      <c r="QAE10" s="501"/>
      <c r="QAF10" s="501"/>
      <c r="QAG10" s="501"/>
      <c r="QAH10" s="501"/>
      <c r="QAI10" s="501"/>
      <c r="QAJ10" s="501"/>
      <c r="QAK10" s="501"/>
      <c r="QAL10" s="501"/>
      <c r="QAM10" s="501"/>
      <c r="QAN10" s="501"/>
      <c r="QAO10" s="501"/>
      <c r="QAP10" s="501"/>
      <c r="QAQ10" s="501"/>
      <c r="QAR10" s="501"/>
      <c r="QAS10" s="501"/>
      <c r="QAT10" s="501"/>
      <c r="QAU10" s="501"/>
      <c r="QAV10" s="501"/>
      <c r="QAW10" s="501"/>
      <c r="QAX10" s="501"/>
      <c r="QAY10" s="501"/>
      <c r="QAZ10" s="501"/>
      <c r="QBA10" s="501"/>
      <c r="QBB10" s="501"/>
      <c r="QBC10" s="501"/>
      <c r="QBD10" s="501"/>
      <c r="QBE10" s="501"/>
      <c r="QBF10" s="501"/>
      <c r="QBG10" s="501"/>
      <c r="QBH10" s="501"/>
      <c r="QBI10" s="501"/>
      <c r="QBJ10" s="501"/>
      <c r="QBK10" s="501"/>
      <c r="QBL10" s="501"/>
      <c r="QBM10" s="501"/>
      <c r="QBN10" s="501"/>
      <c r="QBO10" s="501"/>
      <c r="QBP10" s="501"/>
      <c r="QBQ10" s="501"/>
      <c r="QBR10" s="501"/>
      <c r="QBS10" s="501"/>
      <c r="QBT10" s="501"/>
      <c r="QBU10" s="501"/>
      <c r="QBV10" s="501"/>
      <c r="QBW10" s="501"/>
      <c r="QBX10" s="501"/>
      <c r="QBY10" s="501"/>
      <c r="QBZ10" s="501"/>
      <c r="QCA10" s="501"/>
      <c r="QCB10" s="501"/>
      <c r="QCC10" s="501"/>
      <c r="QCD10" s="501"/>
      <c r="QCE10" s="501"/>
      <c r="QCF10" s="501"/>
      <c r="QCG10" s="501"/>
      <c r="QCH10" s="501"/>
      <c r="QCI10" s="501"/>
      <c r="QCJ10" s="501"/>
      <c r="QCK10" s="501"/>
      <c r="QCL10" s="501"/>
      <c r="QCM10" s="501"/>
      <c r="QCN10" s="501"/>
      <c r="QCO10" s="501"/>
      <c r="QCP10" s="501"/>
      <c r="QCQ10" s="501"/>
      <c r="QCR10" s="501"/>
      <c r="QCS10" s="501"/>
      <c r="QCT10" s="501"/>
      <c r="QCU10" s="501"/>
      <c r="QCV10" s="501"/>
      <c r="QCW10" s="501"/>
      <c r="QCX10" s="501"/>
      <c r="QCY10" s="501"/>
      <c r="QCZ10" s="501"/>
      <c r="QDA10" s="501"/>
      <c r="QDB10" s="501"/>
      <c r="QDC10" s="501"/>
      <c r="QDD10" s="501"/>
      <c r="QDE10" s="501"/>
      <c r="QDF10" s="501"/>
      <c r="QDG10" s="501"/>
      <c r="QDH10" s="501"/>
      <c r="QDI10" s="501"/>
      <c r="QDJ10" s="501"/>
      <c r="QDK10" s="501"/>
      <c r="QDL10" s="501"/>
      <c r="QDM10" s="501"/>
      <c r="QDN10" s="501"/>
      <c r="QDO10" s="501"/>
      <c r="QDP10" s="501"/>
      <c r="QDQ10" s="501"/>
      <c r="QDR10" s="501"/>
      <c r="QDS10" s="501"/>
      <c r="QDT10" s="501"/>
      <c r="QDU10" s="501"/>
      <c r="QDV10" s="501"/>
      <c r="QDW10" s="501"/>
      <c r="QDX10" s="501"/>
      <c r="QDY10" s="501"/>
      <c r="QDZ10" s="501"/>
      <c r="QEA10" s="501"/>
      <c r="QEB10" s="501"/>
      <c r="QEC10" s="501"/>
      <c r="QED10" s="501"/>
      <c r="QEE10" s="501"/>
      <c r="QEF10" s="501"/>
      <c r="QEG10" s="501"/>
      <c r="QEH10" s="501"/>
      <c r="QEI10" s="501"/>
      <c r="QEJ10" s="501"/>
      <c r="QEK10" s="501"/>
      <c r="QEL10" s="501"/>
      <c r="QEM10" s="501"/>
      <c r="QEN10" s="501"/>
      <c r="QEO10" s="501"/>
      <c r="QEP10" s="501"/>
      <c r="QEQ10" s="501"/>
      <c r="QER10" s="501"/>
      <c r="QES10" s="501"/>
      <c r="QET10" s="501"/>
      <c r="QEU10" s="501"/>
      <c r="QEV10" s="501"/>
      <c r="QEW10" s="501"/>
      <c r="QEX10" s="501"/>
      <c r="QEY10" s="501"/>
      <c r="QEZ10" s="501"/>
      <c r="QFA10" s="501"/>
      <c r="QFB10" s="501"/>
      <c r="QFC10" s="501"/>
      <c r="QFD10" s="501"/>
      <c r="QFE10" s="501"/>
      <c r="QFF10" s="501"/>
      <c r="QFG10" s="501"/>
      <c r="QFH10" s="501"/>
      <c r="QFI10" s="501"/>
      <c r="QFJ10" s="501"/>
      <c r="QFK10" s="501"/>
      <c r="QFL10" s="501"/>
      <c r="QFM10" s="501"/>
      <c r="QFN10" s="501"/>
      <c r="QFO10" s="501"/>
      <c r="QFP10" s="501"/>
      <c r="QFQ10" s="501"/>
      <c r="QFR10" s="501"/>
      <c r="QFS10" s="501"/>
      <c r="QFT10" s="501"/>
      <c r="QFU10" s="501"/>
      <c r="QFV10" s="501"/>
      <c r="QFW10" s="501"/>
      <c r="QFX10" s="501"/>
      <c r="QFY10" s="501"/>
      <c r="QFZ10" s="501"/>
      <c r="QGA10" s="501"/>
      <c r="QGB10" s="501"/>
      <c r="QGC10" s="501"/>
      <c r="QGD10" s="501"/>
      <c r="QGE10" s="501"/>
      <c r="QGF10" s="501"/>
      <c r="QGG10" s="501"/>
      <c r="QGH10" s="501"/>
      <c r="QGI10" s="501"/>
      <c r="QGJ10" s="501"/>
      <c r="QGK10" s="501"/>
      <c r="QGL10" s="501"/>
      <c r="QGM10" s="501"/>
      <c r="QGN10" s="501"/>
      <c r="QGO10" s="501"/>
      <c r="QGP10" s="501"/>
      <c r="QGQ10" s="501"/>
      <c r="QGR10" s="501"/>
      <c r="QGS10" s="501"/>
      <c r="QGT10" s="501"/>
      <c r="QGU10" s="501"/>
      <c r="QGV10" s="501"/>
      <c r="QGW10" s="501"/>
      <c r="QGX10" s="501"/>
      <c r="QGY10" s="501"/>
      <c r="QGZ10" s="501"/>
      <c r="QHA10" s="501"/>
      <c r="QHB10" s="501"/>
      <c r="QHC10" s="501"/>
      <c r="QHD10" s="501"/>
      <c r="QHE10" s="501"/>
      <c r="QHF10" s="501"/>
      <c r="QHG10" s="501"/>
      <c r="QHH10" s="501"/>
      <c r="QHI10" s="501"/>
      <c r="QHJ10" s="501"/>
      <c r="QHK10" s="501"/>
      <c r="QHL10" s="501"/>
      <c r="QHM10" s="501"/>
      <c r="QHN10" s="501"/>
      <c r="QHO10" s="501"/>
      <c r="QHP10" s="501"/>
      <c r="QHQ10" s="501"/>
      <c r="QHR10" s="501"/>
      <c r="QHS10" s="501"/>
      <c r="QHT10" s="501"/>
      <c r="QHU10" s="501"/>
      <c r="QHV10" s="501"/>
      <c r="QHW10" s="501"/>
      <c r="QHX10" s="501"/>
      <c r="QHY10" s="501"/>
      <c r="QHZ10" s="501"/>
      <c r="QIA10" s="501"/>
      <c r="QIB10" s="501"/>
      <c r="QIC10" s="501"/>
      <c r="QID10" s="501"/>
      <c r="QIE10" s="501"/>
      <c r="QIF10" s="501"/>
      <c r="QIG10" s="501"/>
      <c r="QIH10" s="501"/>
      <c r="QII10" s="501"/>
      <c r="QIJ10" s="501"/>
      <c r="QIK10" s="501"/>
      <c r="QIL10" s="501"/>
      <c r="QIM10" s="501"/>
      <c r="QIN10" s="501"/>
      <c r="QIO10" s="501"/>
      <c r="QIP10" s="501"/>
      <c r="QIQ10" s="501"/>
      <c r="QIR10" s="501"/>
      <c r="QIS10" s="501"/>
      <c r="QIT10" s="501"/>
      <c r="QIU10" s="501"/>
      <c r="QIV10" s="501"/>
      <c r="QIW10" s="501"/>
      <c r="QIX10" s="501"/>
      <c r="QIY10" s="501"/>
      <c r="QIZ10" s="501"/>
      <c r="QJA10" s="501"/>
      <c r="QJB10" s="501"/>
      <c r="QJC10" s="501"/>
      <c r="QJD10" s="501"/>
      <c r="QJE10" s="501"/>
      <c r="QJF10" s="501"/>
      <c r="QJG10" s="501"/>
      <c r="QJH10" s="501"/>
      <c r="QJI10" s="501"/>
      <c r="QJJ10" s="501"/>
      <c r="QJK10" s="501"/>
      <c r="QJL10" s="501"/>
      <c r="QJM10" s="501"/>
      <c r="QJN10" s="501"/>
      <c r="QJO10" s="501"/>
      <c r="QJP10" s="501"/>
      <c r="QJQ10" s="501"/>
      <c r="QJR10" s="501"/>
      <c r="QJS10" s="501"/>
      <c r="QJT10" s="501"/>
      <c r="QJU10" s="501"/>
      <c r="QJV10" s="501"/>
      <c r="QJW10" s="501"/>
      <c r="QJX10" s="501"/>
      <c r="QJY10" s="501"/>
      <c r="QJZ10" s="501"/>
      <c r="QKA10" s="501"/>
      <c r="QKB10" s="501"/>
      <c r="QKC10" s="501"/>
      <c r="QKD10" s="501"/>
      <c r="QKE10" s="501"/>
      <c r="QKF10" s="501"/>
      <c r="QKG10" s="501"/>
      <c r="QKH10" s="501"/>
      <c r="QKI10" s="501"/>
      <c r="QKJ10" s="501"/>
      <c r="QKK10" s="501"/>
      <c r="QKL10" s="501"/>
      <c r="QKM10" s="501"/>
      <c r="QKN10" s="501"/>
      <c r="QKO10" s="501"/>
      <c r="QKP10" s="501"/>
      <c r="QKQ10" s="501"/>
      <c r="QKR10" s="501"/>
      <c r="QKS10" s="501"/>
      <c r="QKT10" s="501"/>
      <c r="QKU10" s="501"/>
      <c r="QKV10" s="501"/>
      <c r="QKW10" s="501"/>
      <c r="QKX10" s="501"/>
      <c r="QKY10" s="501"/>
      <c r="QKZ10" s="501"/>
      <c r="QLA10" s="501"/>
      <c r="QLB10" s="501"/>
      <c r="QLC10" s="501"/>
      <c r="QLD10" s="501"/>
      <c r="QLE10" s="501"/>
      <c r="QLF10" s="501"/>
      <c r="QLG10" s="501"/>
      <c r="QLH10" s="501"/>
      <c r="QLI10" s="501"/>
      <c r="QLJ10" s="501"/>
      <c r="QLK10" s="501"/>
      <c r="QLL10" s="501"/>
      <c r="QLM10" s="501"/>
      <c r="QLN10" s="501"/>
      <c r="QLO10" s="501"/>
      <c r="QLP10" s="501"/>
      <c r="QLQ10" s="501"/>
      <c r="QLR10" s="501"/>
      <c r="QLS10" s="501"/>
      <c r="QLT10" s="501"/>
      <c r="QLU10" s="501"/>
      <c r="QLV10" s="501"/>
      <c r="QLW10" s="501"/>
      <c r="QLX10" s="501"/>
      <c r="QLY10" s="501"/>
      <c r="QLZ10" s="501"/>
      <c r="QMA10" s="501"/>
      <c r="QMB10" s="501"/>
      <c r="QMC10" s="501"/>
      <c r="QMD10" s="501"/>
      <c r="QME10" s="501"/>
      <c r="QMF10" s="501"/>
      <c r="QMG10" s="501"/>
      <c r="QMH10" s="501"/>
      <c r="QMI10" s="501"/>
      <c r="QMJ10" s="501"/>
      <c r="QMK10" s="501"/>
      <c r="QML10" s="501"/>
      <c r="QMM10" s="501"/>
      <c r="QMN10" s="501"/>
      <c r="QMO10" s="501"/>
      <c r="QMP10" s="501"/>
      <c r="QMQ10" s="501"/>
      <c r="QMR10" s="501"/>
      <c r="QMS10" s="501"/>
      <c r="QMT10" s="501"/>
      <c r="QMU10" s="501"/>
      <c r="QMV10" s="501"/>
      <c r="QMW10" s="501"/>
      <c r="QMX10" s="501"/>
      <c r="QMY10" s="501"/>
      <c r="QMZ10" s="501"/>
      <c r="QNA10" s="501"/>
      <c r="QNB10" s="501"/>
      <c r="QNC10" s="501"/>
      <c r="QND10" s="501"/>
      <c r="QNE10" s="501"/>
      <c r="QNF10" s="501"/>
      <c r="QNG10" s="501"/>
      <c r="QNH10" s="501"/>
      <c r="QNI10" s="501"/>
      <c r="QNJ10" s="501"/>
      <c r="QNK10" s="501"/>
      <c r="QNL10" s="501"/>
      <c r="QNM10" s="501"/>
      <c r="QNN10" s="501"/>
      <c r="QNO10" s="501"/>
      <c r="QNP10" s="501"/>
      <c r="QNQ10" s="501"/>
      <c r="QNR10" s="501"/>
      <c r="QNS10" s="501"/>
      <c r="QNT10" s="501"/>
      <c r="QNU10" s="501"/>
      <c r="QNV10" s="501"/>
      <c r="QNW10" s="501"/>
      <c r="QNX10" s="501"/>
      <c r="QNY10" s="501"/>
      <c r="QNZ10" s="501"/>
      <c r="QOA10" s="501"/>
      <c r="QOB10" s="501"/>
      <c r="QOC10" s="501"/>
      <c r="QOD10" s="501"/>
      <c r="QOE10" s="501"/>
      <c r="QOF10" s="501"/>
      <c r="QOG10" s="501"/>
      <c r="QOH10" s="501"/>
      <c r="QOI10" s="501"/>
      <c r="QOJ10" s="501"/>
      <c r="QOK10" s="501"/>
      <c r="QOL10" s="501"/>
      <c r="QOM10" s="501"/>
      <c r="QON10" s="501"/>
      <c r="QOO10" s="501"/>
      <c r="QOP10" s="501"/>
      <c r="QOQ10" s="501"/>
      <c r="QOR10" s="501"/>
      <c r="QOS10" s="501"/>
      <c r="QOT10" s="501"/>
      <c r="QOU10" s="501"/>
      <c r="QOV10" s="501"/>
      <c r="QOW10" s="501"/>
      <c r="QOX10" s="501"/>
      <c r="QOY10" s="501"/>
      <c r="QOZ10" s="501"/>
      <c r="QPA10" s="501"/>
      <c r="QPB10" s="501"/>
      <c r="QPC10" s="501"/>
      <c r="QPD10" s="501"/>
      <c r="QPE10" s="501"/>
      <c r="QPF10" s="501"/>
      <c r="QPG10" s="501"/>
      <c r="QPH10" s="501"/>
      <c r="QPI10" s="501"/>
      <c r="QPJ10" s="501"/>
      <c r="QPK10" s="501"/>
      <c r="QPL10" s="501"/>
      <c r="QPM10" s="501"/>
      <c r="QPN10" s="501"/>
      <c r="QPO10" s="501"/>
      <c r="QPP10" s="501"/>
      <c r="QPQ10" s="501"/>
      <c r="QPR10" s="501"/>
      <c r="QPS10" s="501"/>
      <c r="QPT10" s="501"/>
      <c r="QPU10" s="501"/>
      <c r="QPV10" s="501"/>
      <c r="QPW10" s="501"/>
      <c r="QPX10" s="501"/>
      <c r="QPY10" s="501"/>
      <c r="QPZ10" s="501"/>
      <c r="QQA10" s="501"/>
      <c r="QQB10" s="501"/>
      <c r="QQC10" s="501"/>
      <c r="QQD10" s="501"/>
      <c r="QQE10" s="501"/>
      <c r="QQF10" s="501"/>
      <c r="QQG10" s="501"/>
      <c r="QQH10" s="501"/>
      <c r="QQI10" s="501"/>
      <c r="QQJ10" s="501"/>
      <c r="QQK10" s="501"/>
      <c r="QQL10" s="501"/>
      <c r="QQM10" s="501"/>
      <c r="QQN10" s="501"/>
      <c r="QQO10" s="501"/>
      <c r="QQP10" s="501"/>
      <c r="QQQ10" s="501"/>
      <c r="QQR10" s="501"/>
      <c r="QQS10" s="501"/>
      <c r="QQT10" s="501"/>
      <c r="QQU10" s="501"/>
      <c r="QQV10" s="501"/>
      <c r="QQW10" s="501"/>
      <c r="QQX10" s="501"/>
      <c r="QQY10" s="501"/>
      <c r="QQZ10" s="501"/>
      <c r="QRA10" s="501"/>
      <c r="QRB10" s="501"/>
      <c r="QRC10" s="501"/>
      <c r="QRD10" s="501"/>
      <c r="QRE10" s="501"/>
      <c r="QRF10" s="501"/>
      <c r="QRG10" s="501"/>
      <c r="QRH10" s="501"/>
      <c r="QRI10" s="501"/>
      <c r="QRJ10" s="501"/>
      <c r="QRK10" s="501"/>
      <c r="QRL10" s="501"/>
      <c r="QRM10" s="501"/>
      <c r="QRN10" s="501"/>
      <c r="QRO10" s="501"/>
      <c r="QRP10" s="501"/>
      <c r="QRQ10" s="501"/>
      <c r="QRR10" s="501"/>
      <c r="QRS10" s="501"/>
      <c r="QRT10" s="501"/>
      <c r="QRU10" s="501"/>
      <c r="QRV10" s="501"/>
      <c r="QRW10" s="501"/>
      <c r="QRX10" s="501"/>
      <c r="QRY10" s="501"/>
      <c r="QRZ10" s="501"/>
      <c r="QSA10" s="501"/>
      <c r="QSB10" s="501"/>
      <c r="QSC10" s="501"/>
      <c r="QSD10" s="501"/>
      <c r="QSE10" s="501"/>
      <c r="QSF10" s="501"/>
      <c r="QSG10" s="501"/>
      <c r="QSH10" s="501"/>
      <c r="QSI10" s="501"/>
      <c r="QSJ10" s="501"/>
      <c r="QSK10" s="501"/>
      <c r="QSL10" s="501"/>
      <c r="QSM10" s="501"/>
      <c r="QSN10" s="501"/>
      <c r="QSO10" s="501"/>
      <c r="QSP10" s="501"/>
      <c r="QSQ10" s="501"/>
      <c r="QSR10" s="501"/>
      <c r="QSS10" s="501"/>
      <c r="QST10" s="501"/>
      <c r="QSU10" s="501"/>
      <c r="QSV10" s="501"/>
      <c r="QSW10" s="501"/>
      <c r="QSX10" s="501"/>
      <c r="QSY10" s="501"/>
      <c r="QSZ10" s="501"/>
      <c r="QTA10" s="501"/>
      <c r="QTB10" s="501"/>
      <c r="QTC10" s="501"/>
      <c r="QTD10" s="501"/>
      <c r="QTE10" s="501"/>
      <c r="QTF10" s="501"/>
      <c r="QTG10" s="501"/>
      <c r="QTH10" s="501"/>
      <c r="QTI10" s="501"/>
      <c r="QTJ10" s="501"/>
      <c r="QTK10" s="501"/>
      <c r="QTL10" s="501"/>
      <c r="QTM10" s="501"/>
      <c r="QTN10" s="501"/>
      <c r="QTO10" s="501"/>
      <c r="QTP10" s="501"/>
      <c r="QTQ10" s="501"/>
      <c r="QTR10" s="501"/>
      <c r="QTS10" s="501"/>
      <c r="QTT10" s="501"/>
      <c r="QTU10" s="501"/>
      <c r="QTV10" s="501"/>
      <c r="QTW10" s="501"/>
      <c r="QTX10" s="501"/>
      <c r="QTY10" s="501"/>
      <c r="QTZ10" s="501"/>
      <c r="QUA10" s="501"/>
      <c r="QUB10" s="501"/>
      <c r="QUC10" s="501"/>
      <c r="QUD10" s="501"/>
      <c r="QUE10" s="501"/>
      <c r="QUF10" s="501"/>
      <c r="QUG10" s="501"/>
      <c r="QUH10" s="501"/>
      <c r="QUI10" s="501"/>
      <c r="QUJ10" s="501"/>
      <c r="QUK10" s="501"/>
      <c r="QUL10" s="501"/>
      <c r="QUM10" s="501"/>
      <c r="QUN10" s="501"/>
      <c r="QUO10" s="501"/>
      <c r="QUP10" s="501"/>
      <c r="QUQ10" s="501"/>
      <c r="QUR10" s="501"/>
      <c r="QUS10" s="501"/>
      <c r="QUT10" s="501"/>
      <c r="QUU10" s="501"/>
      <c r="QUV10" s="501"/>
      <c r="QUW10" s="501"/>
      <c r="QUX10" s="501"/>
      <c r="QUY10" s="501"/>
      <c r="QUZ10" s="501"/>
      <c r="QVA10" s="501"/>
      <c r="QVB10" s="501"/>
      <c r="QVC10" s="501"/>
      <c r="QVD10" s="501"/>
      <c r="QVE10" s="501"/>
      <c r="QVF10" s="501"/>
      <c r="QVG10" s="501"/>
      <c r="QVH10" s="501"/>
      <c r="QVI10" s="501"/>
      <c r="QVJ10" s="501"/>
      <c r="QVK10" s="501"/>
      <c r="QVL10" s="501"/>
      <c r="QVM10" s="501"/>
      <c r="QVN10" s="501"/>
      <c r="QVO10" s="501"/>
      <c r="QVP10" s="501"/>
      <c r="QVQ10" s="501"/>
      <c r="QVR10" s="501"/>
      <c r="QVS10" s="501"/>
      <c r="QVT10" s="501"/>
      <c r="QVU10" s="501"/>
      <c r="QVV10" s="501"/>
      <c r="QVW10" s="501"/>
      <c r="QVX10" s="501"/>
      <c r="QVY10" s="501"/>
      <c r="QVZ10" s="501"/>
      <c r="QWA10" s="501"/>
      <c r="QWB10" s="501"/>
      <c r="QWC10" s="501"/>
      <c r="QWD10" s="501"/>
      <c r="QWE10" s="501"/>
      <c r="QWF10" s="501"/>
      <c r="QWG10" s="501"/>
      <c r="QWH10" s="501"/>
      <c r="QWI10" s="501"/>
      <c r="QWJ10" s="501"/>
      <c r="QWK10" s="501"/>
      <c r="QWL10" s="501"/>
      <c r="QWM10" s="501"/>
      <c r="QWN10" s="501"/>
      <c r="QWO10" s="501"/>
      <c r="QWP10" s="501"/>
      <c r="QWQ10" s="501"/>
      <c r="QWR10" s="501"/>
      <c r="QWS10" s="501"/>
      <c r="QWT10" s="501"/>
      <c r="QWU10" s="501"/>
      <c r="QWV10" s="501"/>
      <c r="QWW10" s="501"/>
      <c r="QWX10" s="501"/>
      <c r="QWY10" s="501"/>
      <c r="QWZ10" s="501"/>
      <c r="QXA10" s="501"/>
      <c r="QXB10" s="501"/>
      <c r="QXC10" s="501"/>
      <c r="QXD10" s="501"/>
      <c r="QXE10" s="501"/>
      <c r="QXF10" s="501"/>
      <c r="QXG10" s="501"/>
      <c r="QXH10" s="501"/>
      <c r="QXI10" s="501"/>
      <c r="QXJ10" s="501"/>
      <c r="QXK10" s="501"/>
      <c r="QXL10" s="501"/>
      <c r="QXM10" s="501"/>
      <c r="QXN10" s="501"/>
      <c r="QXO10" s="501"/>
      <c r="QXP10" s="501"/>
      <c r="QXQ10" s="501"/>
      <c r="QXR10" s="501"/>
      <c r="QXS10" s="501"/>
      <c r="QXT10" s="501"/>
      <c r="QXU10" s="501"/>
      <c r="QXV10" s="501"/>
      <c r="QXW10" s="501"/>
      <c r="QXX10" s="501"/>
      <c r="QXY10" s="501"/>
      <c r="QXZ10" s="501"/>
      <c r="QYA10" s="501"/>
      <c r="QYB10" s="501"/>
      <c r="QYC10" s="501"/>
      <c r="QYD10" s="501"/>
      <c r="QYE10" s="501"/>
      <c r="QYF10" s="501"/>
      <c r="QYG10" s="501"/>
      <c r="QYH10" s="501"/>
      <c r="QYI10" s="501"/>
      <c r="QYJ10" s="501"/>
      <c r="QYK10" s="501"/>
      <c r="QYL10" s="501"/>
      <c r="QYM10" s="501"/>
      <c r="QYN10" s="501"/>
      <c r="QYO10" s="501"/>
      <c r="QYP10" s="501"/>
      <c r="QYQ10" s="501"/>
      <c r="QYR10" s="501"/>
      <c r="QYS10" s="501"/>
      <c r="QYT10" s="501"/>
      <c r="QYU10" s="501"/>
      <c r="QYV10" s="501"/>
      <c r="QYW10" s="501"/>
      <c r="QYX10" s="501"/>
      <c r="QYY10" s="501"/>
      <c r="QYZ10" s="501"/>
      <c r="QZA10" s="501"/>
      <c r="QZB10" s="501"/>
      <c r="QZC10" s="501"/>
      <c r="QZD10" s="501"/>
      <c r="QZE10" s="501"/>
      <c r="QZF10" s="501"/>
      <c r="QZG10" s="501"/>
      <c r="QZH10" s="501"/>
      <c r="QZI10" s="501"/>
      <c r="QZJ10" s="501"/>
      <c r="QZK10" s="501"/>
      <c r="QZL10" s="501"/>
      <c r="QZM10" s="501"/>
      <c r="QZN10" s="501"/>
      <c r="QZO10" s="501"/>
      <c r="QZP10" s="501"/>
      <c r="QZQ10" s="501"/>
      <c r="QZR10" s="501"/>
      <c r="QZS10" s="501"/>
      <c r="QZT10" s="501"/>
      <c r="QZU10" s="501"/>
      <c r="QZV10" s="501"/>
      <c r="QZW10" s="501"/>
      <c r="QZX10" s="501"/>
      <c r="QZY10" s="501"/>
      <c r="QZZ10" s="501"/>
      <c r="RAA10" s="501"/>
      <c r="RAB10" s="501"/>
      <c r="RAC10" s="501"/>
      <c r="RAD10" s="501"/>
      <c r="RAE10" s="501"/>
      <c r="RAF10" s="501"/>
      <c r="RAG10" s="501"/>
      <c r="RAH10" s="501"/>
      <c r="RAI10" s="501"/>
      <c r="RAJ10" s="501"/>
      <c r="RAK10" s="501"/>
      <c r="RAL10" s="501"/>
      <c r="RAM10" s="501"/>
      <c r="RAN10" s="501"/>
      <c r="RAO10" s="501"/>
      <c r="RAP10" s="501"/>
      <c r="RAQ10" s="501"/>
      <c r="RAR10" s="501"/>
      <c r="RAS10" s="501"/>
      <c r="RAT10" s="501"/>
      <c r="RAU10" s="501"/>
      <c r="RAV10" s="501"/>
      <c r="RAW10" s="501"/>
      <c r="RAX10" s="501"/>
      <c r="RAY10" s="501"/>
      <c r="RAZ10" s="501"/>
      <c r="RBA10" s="501"/>
      <c r="RBB10" s="501"/>
      <c r="RBC10" s="501"/>
      <c r="RBD10" s="501"/>
      <c r="RBE10" s="501"/>
      <c r="RBF10" s="501"/>
      <c r="RBG10" s="501"/>
      <c r="RBH10" s="501"/>
      <c r="RBI10" s="501"/>
      <c r="RBJ10" s="501"/>
      <c r="RBK10" s="501"/>
      <c r="RBL10" s="501"/>
      <c r="RBM10" s="501"/>
      <c r="RBN10" s="501"/>
      <c r="RBO10" s="501"/>
      <c r="RBP10" s="501"/>
      <c r="RBQ10" s="501"/>
      <c r="RBR10" s="501"/>
      <c r="RBS10" s="501"/>
      <c r="RBT10" s="501"/>
      <c r="RBU10" s="501"/>
      <c r="RBV10" s="501"/>
      <c r="RBW10" s="501"/>
      <c r="RBX10" s="501"/>
      <c r="RBY10" s="501"/>
      <c r="RBZ10" s="501"/>
      <c r="RCA10" s="501"/>
      <c r="RCB10" s="501"/>
      <c r="RCC10" s="501"/>
      <c r="RCD10" s="501"/>
      <c r="RCE10" s="501"/>
      <c r="RCF10" s="501"/>
      <c r="RCG10" s="501"/>
      <c r="RCH10" s="501"/>
      <c r="RCI10" s="501"/>
      <c r="RCJ10" s="501"/>
      <c r="RCK10" s="501"/>
      <c r="RCL10" s="501"/>
      <c r="RCM10" s="501"/>
      <c r="RCN10" s="501"/>
      <c r="RCO10" s="501"/>
      <c r="RCP10" s="501"/>
      <c r="RCQ10" s="501"/>
      <c r="RCR10" s="501"/>
      <c r="RCS10" s="501"/>
      <c r="RCT10" s="501"/>
      <c r="RCU10" s="501"/>
      <c r="RCV10" s="501"/>
      <c r="RCW10" s="501"/>
      <c r="RCX10" s="501"/>
      <c r="RCY10" s="501"/>
      <c r="RCZ10" s="501"/>
      <c r="RDA10" s="501"/>
      <c r="RDB10" s="501"/>
      <c r="RDC10" s="501"/>
      <c r="RDD10" s="501"/>
      <c r="RDE10" s="501"/>
      <c r="RDF10" s="501"/>
      <c r="RDG10" s="501"/>
      <c r="RDH10" s="501"/>
      <c r="RDI10" s="501"/>
      <c r="RDJ10" s="501"/>
      <c r="RDK10" s="501"/>
      <c r="RDL10" s="501"/>
      <c r="RDM10" s="501"/>
      <c r="RDN10" s="501"/>
      <c r="RDO10" s="501"/>
      <c r="RDP10" s="501"/>
      <c r="RDQ10" s="501"/>
      <c r="RDR10" s="501"/>
      <c r="RDS10" s="501"/>
      <c r="RDT10" s="501"/>
      <c r="RDU10" s="501"/>
      <c r="RDV10" s="501"/>
      <c r="RDW10" s="501"/>
      <c r="RDX10" s="501"/>
      <c r="RDY10" s="501"/>
      <c r="RDZ10" s="501"/>
      <c r="REA10" s="501"/>
      <c r="REB10" s="501"/>
      <c r="REC10" s="501"/>
      <c r="RED10" s="501"/>
      <c r="REE10" s="501"/>
      <c r="REF10" s="501"/>
      <c r="REG10" s="501"/>
      <c r="REH10" s="501"/>
      <c r="REI10" s="501"/>
      <c r="REJ10" s="501"/>
      <c r="REK10" s="501"/>
      <c r="REL10" s="501"/>
      <c r="REM10" s="501"/>
      <c r="REN10" s="501"/>
      <c r="REO10" s="501"/>
      <c r="REP10" s="501"/>
      <c r="REQ10" s="501"/>
      <c r="RER10" s="501"/>
      <c r="RES10" s="501"/>
      <c r="RET10" s="501"/>
      <c r="REU10" s="501"/>
      <c r="REV10" s="501"/>
      <c r="REW10" s="501"/>
      <c r="REX10" s="501"/>
      <c r="REY10" s="501"/>
      <c r="REZ10" s="501"/>
      <c r="RFA10" s="501"/>
      <c r="RFB10" s="501"/>
      <c r="RFC10" s="501"/>
      <c r="RFD10" s="501"/>
      <c r="RFE10" s="501"/>
      <c r="RFF10" s="501"/>
      <c r="RFG10" s="501"/>
      <c r="RFH10" s="501"/>
      <c r="RFI10" s="501"/>
      <c r="RFJ10" s="501"/>
      <c r="RFK10" s="501"/>
      <c r="RFL10" s="501"/>
      <c r="RFM10" s="501"/>
      <c r="RFN10" s="501"/>
      <c r="RFO10" s="501"/>
      <c r="RFP10" s="501"/>
      <c r="RFQ10" s="501"/>
      <c r="RFR10" s="501"/>
      <c r="RFS10" s="501"/>
      <c r="RFT10" s="501"/>
      <c r="RFU10" s="501"/>
      <c r="RFV10" s="501"/>
      <c r="RFW10" s="501"/>
      <c r="RFX10" s="501"/>
      <c r="RFY10" s="501"/>
      <c r="RFZ10" s="501"/>
      <c r="RGA10" s="501"/>
      <c r="RGB10" s="501"/>
      <c r="RGC10" s="501"/>
      <c r="RGD10" s="501"/>
      <c r="RGE10" s="501"/>
      <c r="RGF10" s="501"/>
      <c r="RGG10" s="501"/>
      <c r="RGH10" s="501"/>
      <c r="RGI10" s="501"/>
      <c r="RGJ10" s="501"/>
      <c r="RGK10" s="501"/>
      <c r="RGL10" s="501"/>
      <c r="RGM10" s="501"/>
      <c r="RGN10" s="501"/>
      <c r="RGO10" s="501"/>
      <c r="RGP10" s="501"/>
      <c r="RGQ10" s="501"/>
      <c r="RGR10" s="501"/>
      <c r="RGS10" s="501"/>
      <c r="RGT10" s="501"/>
      <c r="RGU10" s="501"/>
      <c r="RGV10" s="501"/>
      <c r="RGW10" s="501"/>
      <c r="RGX10" s="501"/>
      <c r="RGY10" s="501"/>
      <c r="RGZ10" s="501"/>
      <c r="RHA10" s="501"/>
      <c r="RHB10" s="501"/>
      <c r="RHC10" s="501"/>
      <c r="RHD10" s="501"/>
      <c r="RHE10" s="501"/>
      <c r="RHF10" s="501"/>
      <c r="RHG10" s="501"/>
      <c r="RHH10" s="501"/>
      <c r="RHI10" s="501"/>
      <c r="RHJ10" s="501"/>
      <c r="RHK10" s="501"/>
      <c r="RHL10" s="501"/>
      <c r="RHM10" s="501"/>
      <c r="RHN10" s="501"/>
      <c r="RHO10" s="501"/>
      <c r="RHP10" s="501"/>
      <c r="RHQ10" s="501"/>
      <c r="RHR10" s="501"/>
      <c r="RHS10" s="501"/>
      <c r="RHT10" s="501"/>
      <c r="RHU10" s="501"/>
      <c r="RHV10" s="501"/>
      <c r="RHW10" s="501"/>
      <c r="RHX10" s="501"/>
      <c r="RHY10" s="501"/>
      <c r="RHZ10" s="501"/>
      <c r="RIA10" s="501"/>
      <c r="RIB10" s="501"/>
      <c r="RIC10" s="501"/>
      <c r="RID10" s="501"/>
      <c r="RIE10" s="501"/>
      <c r="RIF10" s="501"/>
      <c r="RIG10" s="501"/>
      <c r="RIH10" s="501"/>
      <c r="RII10" s="501"/>
      <c r="RIJ10" s="501"/>
      <c r="RIK10" s="501"/>
      <c r="RIL10" s="501"/>
      <c r="RIM10" s="501"/>
      <c r="RIN10" s="501"/>
      <c r="RIO10" s="501"/>
      <c r="RIP10" s="501"/>
      <c r="RIQ10" s="501"/>
      <c r="RIR10" s="501"/>
      <c r="RIS10" s="501"/>
      <c r="RIT10" s="501"/>
      <c r="RIU10" s="501"/>
      <c r="RIV10" s="501"/>
      <c r="RIW10" s="501"/>
      <c r="RIX10" s="501"/>
      <c r="RIY10" s="501"/>
      <c r="RIZ10" s="501"/>
      <c r="RJA10" s="501"/>
      <c r="RJB10" s="501"/>
      <c r="RJC10" s="501"/>
      <c r="RJD10" s="501"/>
      <c r="RJE10" s="501"/>
      <c r="RJF10" s="501"/>
      <c r="RJG10" s="501"/>
      <c r="RJH10" s="501"/>
      <c r="RJI10" s="501"/>
      <c r="RJJ10" s="501"/>
      <c r="RJK10" s="501"/>
      <c r="RJL10" s="501"/>
      <c r="RJM10" s="501"/>
      <c r="RJN10" s="501"/>
      <c r="RJO10" s="501"/>
      <c r="RJP10" s="501"/>
      <c r="RJQ10" s="501"/>
      <c r="RJR10" s="501"/>
      <c r="RJS10" s="501"/>
      <c r="RJT10" s="501"/>
      <c r="RJU10" s="501"/>
      <c r="RJV10" s="501"/>
      <c r="RJW10" s="501"/>
      <c r="RJX10" s="501"/>
      <c r="RJY10" s="501"/>
      <c r="RJZ10" s="501"/>
      <c r="RKA10" s="501"/>
      <c r="RKB10" s="501"/>
      <c r="RKC10" s="501"/>
      <c r="RKD10" s="501"/>
      <c r="RKE10" s="501"/>
      <c r="RKF10" s="501"/>
      <c r="RKG10" s="501"/>
      <c r="RKH10" s="501"/>
      <c r="RKI10" s="501"/>
      <c r="RKJ10" s="501"/>
      <c r="RKK10" s="501"/>
      <c r="RKL10" s="501"/>
      <c r="RKM10" s="501"/>
      <c r="RKN10" s="501"/>
      <c r="RKO10" s="501"/>
      <c r="RKP10" s="501"/>
      <c r="RKQ10" s="501"/>
      <c r="RKR10" s="501"/>
      <c r="RKS10" s="501"/>
      <c r="RKT10" s="501"/>
      <c r="RKU10" s="501"/>
      <c r="RKV10" s="501"/>
      <c r="RKW10" s="501"/>
      <c r="RKX10" s="501"/>
      <c r="RKY10" s="501"/>
      <c r="RKZ10" s="501"/>
      <c r="RLA10" s="501"/>
      <c r="RLB10" s="501"/>
      <c r="RLC10" s="501"/>
      <c r="RLD10" s="501"/>
      <c r="RLE10" s="501"/>
      <c r="RLF10" s="501"/>
      <c r="RLG10" s="501"/>
      <c r="RLH10" s="501"/>
      <c r="RLI10" s="501"/>
      <c r="RLJ10" s="501"/>
      <c r="RLK10" s="501"/>
      <c r="RLL10" s="501"/>
      <c r="RLM10" s="501"/>
      <c r="RLN10" s="501"/>
      <c r="RLO10" s="501"/>
      <c r="RLP10" s="501"/>
      <c r="RLQ10" s="501"/>
      <c r="RLR10" s="501"/>
      <c r="RLS10" s="501"/>
      <c r="RLT10" s="501"/>
      <c r="RLU10" s="501"/>
      <c r="RLV10" s="501"/>
      <c r="RLW10" s="501"/>
      <c r="RLX10" s="501"/>
      <c r="RLY10" s="501"/>
      <c r="RLZ10" s="501"/>
      <c r="RMA10" s="501"/>
      <c r="RMB10" s="501"/>
      <c r="RMC10" s="501"/>
      <c r="RMD10" s="501"/>
      <c r="RME10" s="501"/>
      <c r="RMF10" s="501"/>
      <c r="RMG10" s="501"/>
      <c r="RMH10" s="501"/>
      <c r="RMI10" s="501"/>
      <c r="RMJ10" s="501"/>
      <c r="RMK10" s="501"/>
      <c r="RML10" s="501"/>
      <c r="RMM10" s="501"/>
      <c r="RMN10" s="501"/>
      <c r="RMO10" s="501"/>
      <c r="RMP10" s="501"/>
      <c r="RMQ10" s="501"/>
      <c r="RMR10" s="501"/>
      <c r="RMS10" s="501"/>
      <c r="RMT10" s="501"/>
      <c r="RMU10" s="501"/>
      <c r="RMV10" s="501"/>
      <c r="RMW10" s="501"/>
      <c r="RMX10" s="501"/>
      <c r="RMY10" s="501"/>
      <c r="RMZ10" s="501"/>
      <c r="RNA10" s="501"/>
      <c r="RNB10" s="501"/>
      <c r="RNC10" s="501"/>
      <c r="RND10" s="501"/>
      <c r="RNE10" s="501"/>
      <c r="RNF10" s="501"/>
      <c r="RNG10" s="501"/>
      <c r="RNH10" s="501"/>
      <c r="RNI10" s="501"/>
      <c r="RNJ10" s="501"/>
      <c r="RNK10" s="501"/>
      <c r="RNL10" s="501"/>
      <c r="RNM10" s="501"/>
      <c r="RNN10" s="501"/>
      <c r="RNO10" s="501"/>
      <c r="RNP10" s="501"/>
      <c r="RNQ10" s="501"/>
      <c r="RNR10" s="501"/>
      <c r="RNS10" s="501"/>
      <c r="RNT10" s="501"/>
      <c r="RNU10" s="501"/>
      <c r="RNV10" s="501"/>
      <c r="RNW10" s="501"/>
      <c r="RNX10" s="501"/>
      <c r="RNY10" s="501"/>
      <c r="RNZ10" s="501"/>
      <c r="ROA10" s="501"/>
      <c r="ROB10" s="501"/>
      <c r="ROC10" s="501"/>
      <c r="ROD10" s="501"/>
      <c r="ROE10" s="501"/>
      <c r="ROF10" s="501"/>
      <c r="ROG10" s="501"/>
      <c r="ROH10" s="501"/>
      <c r="ROI10" s="501"/>
      <c r="ROJ10" s="501"/>
      <c r="ROK10" s="501"/>
      <c r="ROL10" s="501"/>
      <c r="ROM10" s="501"/>
      <c r="RON10" s="501"/>
      <c r="ROO10" s="501"/>
      <c r="ROP10" s="501"/>
      <c r="ROQ10" s="501"/>
      <c r="ROR10" s="501"/>
      <c r="ROS10" s="501"/>
      <c r="ROT10" s="501"/>
      <c r="ROU10" s="501"/>
      <c r="ROV10" s="501"/>
      <c r="ROW10" s="501"/>
      <c r="ROX10" s="501"/>
      <c r="ROY10" s="501"/>
      <c r="ROZ10" s="501"/>
      <c r="RPA10" s="501"/>
      <c r="RPB10" s="501"/>
      <c r="RPC10" s="501"/>
      <c r="RPD10" s="501"/>
      <c r="RPE10" s="501"/>
      <c r="RPF10" s="501"/>
      <c r="RPG10" s="501"/>
      <c r="RPH10" s="501"/>
      <c r="RPI10" s="501"/>
      <c r="RPJ10" s="501"/>
      <c r="RPK10" s="501"/>
      <c r="RPL10" s="501"/>
      <c r="RPM10" s="501"/>
      <c r="RPN10" s="501"/>
      <c r="RPO10" s="501"/>
      <c r="RPP10" s="501"/>
      <c r="RPQ10" s="501"/>
      <c r="RPR10" s="501"/>
      <c r="RPS10" s="501"/>
      <c r="RPT10" s="501"/>
      <c r="RPU10" s="501"/>
      <c r="RPV10" s="501"/>
      <c r="RPW10" s="501"/>
      <c r="RPX10" s="501"/>
      <c r="RPY10" s="501"/>
      <c r="RPZ10" s="501"/>
      <c r="RQA10" s="501"/>
      <c r="RQB10" s="501"/>
      <c r="RQC10" s="501"/>
      <c r="RQD10" s="501"/>
      <c r="RQE10" s="501"/>
      <c r="RQF10" s="501"/>
      <c r="RQG10" s="501"/>
      <c r="RQH10" s="501"/>
      <c r="RQI10" s="501"/>
      <c r="RQJ10" s="501"/>
      <c r="RQK10" s="501"/>
      <c r="RQL10" s="501"/>
      <c r="RQM10" s="501"/>
      <c r="RQN10" s="501"/>
      <c r="RQO10" s="501"/>
      <c r="RQP10" s="501"/>
      <c r="RQQ10" s="501"/>
      <c r="RQR10" s="501"/>
      <c r="RQS10" s="501"/>
      <c r="RQT10" s="501"/>
      <c r="RQU10" s="501"/>
      <c r="RQV10" s="501"/>
      <c r="RQW10" s="501"/>
      <c r="RQX10" s="501"/>
      <c r="RQY10" s="501"/>
      <c r="RQZ10" s="501"/>
      <c r="RRA10" s="501"/>
      <c r="RRB10" s="501"/>
      <c r="RRC10" s="501"/>
      <c r="RRD10" s="501"/>
      <c r="RRE10" s="501"/>
      <c r="RRF10" s="501"/>
      <c r="RRG10" s="501"/>
      <c r="RRH10" s="501"/>
      <c r="RRI10" s="501"/>
      <c r="RRJ10" s="501"/>
      <c r="RRK10" s="501"/>
      <c r="RRL10" s="501"/>
      <c r="RRM10" s="501"/>
      <c r="RRN10" s="501"/>
      <c r="RRO10" s="501"/>
      <c r="RRP10" s="501"/>
      <c r="RRQ10" s="501"/>
      <c r="RRR10" s="501"/>
      <c r="RRS10" s="501"/>
      <c r="RRT10" s="501"/>
      <c r="RRU10" s="501"/>
      <c r="RRV10" s="501"/>
      <c r="RRW10" s="501"/>
      <c r="RRX10" s="501"/>
      <c r="RRY10" s="501"/>
      <c r="RRZ10" s="501"/>
      <c r="RSA10" s="501"/>
      <c r="RSB10" s="501"/>
      <c r="RSC10" s="501"/>
      <c r="RSD10" s="501"/>
      <c r="RSE10" s="501"/>
      <c r="RSF10" s="501"/>
      <c r="RSG10" s="501"/>
      <c r="RSH10" s="501"/>
      <c r="RSI10" s="501"/>
      <c r="RSJ10" s="501"/>
      <c r="RSK10" s="501"/>
      <c r="RSL10" s="501"/>
      <c r="RSM10" s="501"/>
      <c r="RSN10" s="501"/>
      <c r="RSO10" s="501"/>
      <c r="RSP10" s="501"/>
      <c r="RSQ10" s="501"/>
      <c r="RSR10" s="501"/>
      <c r="RSS10" s="501"/>
      <c r="RST10" s="501"/>
      <c r="RSU10" s="501"/>
      <c r="RSV10" s="501"/>
      <c r="RSW10" s="501"/>
      <c r="RSX10" s="501"/>
      <c r="RSY10" s="501"/>
      <c r="RSZ10" s="501"/>
      <c r="RTA10" s="501"/>
      <c r="RTB10" s="501"/>
      <c r="RTC10" s="501"/>
      <c r="RTD10" s="501"/>
      <c r="RTE10" s="501"/>
      <c r="RTF10" s="501"/>
      <c r="RTG10" s="501"/>
      <c r="RTH10" s="501"/>
      <c r="RTI10" s="501"/>
      <c r="RTJ10" s="501"/>
      <c r="RTK10" s="501"/>
      <c r="RTL10" s="501"/>
      <c r="RTM10" s="501"/>
      <c r="RTN10" s="501"/>
      <c r="RTO10" s="501"/>
      <c r="RTP10" s="501"/>
      <c r="RTQ10" s="501"/>
      <c r="RTR10" s="501"/>
      <c r="RTS10" s="501"/>
      <c r="RTT10" s="501"/>
      <c r="RTU10" s="501"/>
      <c r="RTV10" s="501"/>
      <c r="RTW10" s="501"/>
      <c r="RTX10" s="501"/>
      <c r="RTY10" s="501"/>
      <c r="RTZ10" s="501"/>
      <c r="RUA10" s="501"/>
      <c r="RUB10" s="501"/>
      <c r="RUC10" s="501"/>
      <c r="RUD10" s="501"/>
      <c r="RUE10" s="501"/>
      <c r="RUF10" s="501"/>
      <c r="RUG10" s="501"/>
      <c r="RUH10" s="501"/>
      <c r="RUI10" s="501"/>
      <c r="RUJ10" s="501"/>
      <c r="RUK10" s="501"/>
      <c r="RUL10" s="501"/>
      <c r="RUM10" s="501"/>
      <c r="RUN10" s="501"/>
      <c r="RUO10" s="501"/>
      <c r="RUP10" s="501"/>
      <c r="RUQ10" s="501"/>
      <c r="RUR10" s="501"/>
      <c r="RUS10" s="501"/>
      <c r="RUT10" s="501"/>
      <c r="RUU10" s="501"/>
      <c r="RUV10" s="501"/>
      <c r="RUW10" s="501"/>
      <c r="RUX10" s="501"/>
      <c r="RUY10" s="501"/>
      <c r="RUZ10" s="501"/>
      <c r="RVA10" s="501"/>
      <c r="RVB10" s="501"/>
      <c r="RVC10" s="501"/>
      <c r="RVD10" s="501"/>
      <c r="RVE10" s="501"/>
      <c r="RVF10" s="501"/>
      <c r="RVG10" s="501"/>
      <c r="RVH10" s="501"/>
      <c r="RVI10" s="501"/>
      <c r="RVJ10" s="501"/>
      <c r="RVK10" s="501"/>
      <c r="RVL10" s="501"/>
      <c r="RVM10" s="501"/>
      <c r="RVN10" s="501"/>
      <c r="RVO10" s="501"/>
      <c r="RVP10" s="501"/>
      <c r="RVQ10" s="501"/>
      <c r="RVR10" s="501"/>
      <c r="RVS10" s="501"/>
      <c r="RVT10" s="501"/>
      <c r="RVU10" s="501"/>
      <c r="RVV10" s="501"/>
      <c r="RVW10" s="501"/>
      <c r="RVX10" s="501"/>
      <c r="RVY10" s="501"/>
      <c r="RVZ10" s="501"/>
      <c r="RWA10" s="501"/>
      <c r="RWB10" s="501"/>
      <c r="RWC10" s="501"/>
      <c r="RWD10" s="501"/>
      <c r="RWE10" s="501"/>
      <c r="RWF10" s="501"/>
      <c r="RWG10" s="501"/>
      <c r="RWH10" s="501"/>
      <c r="RWI10" s="501"/>
      <c r="RWJ10" s="501"/>
      <c r="RWK10" s="501"/>
      <c r="RWL10" s="501"/>
      <c r="RWM10" s="501"/>
      <c r="RWN10" s="501"/>
      <c r="RWO10" s="501"/>
      <c r="RWP10" s="501"/>
      <c r="RWQ10" s="501"/>
      <c r="RWR10" s="501"/>
      <c r="RWS10" s="501"/>
      <c r="RWT10" s="501"/>
      <c r="RWU10" s="501"/>
      <c r="RWV10" s="501"/>
      <c r="RWW10" s="501"/>
      <c r="RWX10" s="501"/>
      <c r="RWY10" s="501"/>
      <c r="RWZ10" s="501"/>
      <c r="RXA10" s="501"/>
      <c r="RXB10" s="501"/>
      <c r="RXC10" s="501"/>
      <c r="RXD10" s="501"/>
      <c r="RXE10" s="501"/>
      <c r="RXF10" s="501"/>
      <c r="RXG10" s="501"/>
      <c r="RXH10" s="501"/>
      <c r="RXI10" s="501"/>
      <c r="RXJ10" s="501"/>
      <c r="RXK10" s="501"/>
      <c r="RXL10" s="501"/>
      <c r="RXM10" s="501"/>
      <c r="RXN10" s="501"/>
      <c r="RXO10" s="501"/>
      <c r="RXP10" s="501"/>
      <c r="RXQ10" s="501"/>
      <c r="RXR10" s="501"/>
      <c r="RXS10" s="501"/>
      <c r="RXT10" s="501"/>
      <c r="RXU10" s="501"/>
      <c r="RXV10" s="501"/>
      <c r="RXW10" s="501"/>
      <c r="RXX10" s="501"/>
      <c r="RXY10" s="501"/>
      <c r="RXZ10" s="501"/>
      <c r="RYA10" s="501"/>
      <c r="RYB10" s="501"/>
      <c r="RYC10" s="501"/>
      <c r="RYD10" s="501"/>
      <c r="RYE10" s="501"/>
      <c r="RYF10" s="501"/>
      <c r="RYG10" s="501"/>
      <c r="RYH10" s="501"/>
      <c r="RYI10" s="501"/>
      <c r="RYJ10" s="501"/>
      <c r="RYK10" s="501"/>
      <c r="RYL10" s="501"/>
      <c r="RYM10" s="501"/>
      <c r="RYN10" s="501"/>
      <c r="RYO10" s="501"/>
      <c r="RYP10" s="501"/>
      <c r="RYQ10" s="501"/>
      <c r="RYR10" s="501"/>
      <c r="RYS10" s="501"/>
      <c r="RYT10" s="501"/>
      <c r="RYU10" s="501"/>
      <c r="RYV10" s="501"/>
      <c r="RYW10" s="501"/>
      <c r="RYX10" s="501"/>
      <c r="RYY10" s="501"/>
      <c r="RYZ10" s="501"/>
      <c r="RZA10" s="501"/>
      <c r="RZB10" s="501"/>
      <c r="RZC10" s="501"/>
      <c r="RZD10" s="501"/>
      <c r="RZE10" s="501"/>
      <c r="RZF10" s="501"/>
      <c r="RZG10" s="501"/>
      <c r="RZH10" s="501"/>
      <c r="RZI10" s="501"/>
      <c r="RZJ10" s="501"/>
      <c r="RZK10" s="501"/>
      <c r="RZL10" s="501"/>
      <c r="RZM10" s="501"/>
      <c r="RZN10" s="501"/>
      <c r="RZO10" s="501"/>
      <c r="RZP10" s="501"/>
      <c r="RZQ10" s="501"/>
      <c r="RZR10" s="501"/>
      <c r="RZS10" s="501"/>
      <c r="RZT10" s="501"/>
      <c r="RZU10" s="501"/>
      <c r="RZV10" s="501"/>
      <c r="RZW10" s="501"/>
      <c r="RZX10" s="501"/>
      <c r="RZY10" s="501"/>
      <c r="RZZ10" s="501"/>
      <c r="SAA10" s="501"/>
      <c r="SAB10" s="501"/>
      <c r="SAC10" s="501"/>
      <c r="SAD10" s="501"/>
      <c r="SAE10" s="501"/>
      <c r="SAF10" s="501"/>
      <c r="SAG10" s="501"/>
      <c r="SAH10" s="501"/>
      <c r="SAI10" s="501"/>
      <c r="SAJ10" s="501"/>
      <c r="SAK10" s="501"/>
      <c r="SAL10" s="501"/>
      <c r="SAM10" s="501"/>
      <c r="SAN10" s="501"/>
      <c r="SAO10" s="501"/>
      <c r="SAP10" s="501"/>
      <c r="SAQ10" s="501"/>
      <c r="SAR10" s="501"/>
      <c r="SAS10" s="501"/>
      <c r="SAT10" s="501"/>
      <c r="SAU10" s="501"/>
      <c r="SAV10" s="501"/>
      <c r="SAW10" s="501"/>
      <c r="SAX10" s="501"/>
      <c r="SAY10" s="501"/>
      <c r="SAZ10" s="501"/>
      <c r="SBA10" s="501"/>
      <c r="SBB10" s="501"/>
      <c r="SBC10" s="501"/>
      <c r="SBD10" s="501"/>
      <c r="SBE10" s="501"/>
      <c r="SBF10" s="501"/>
      <c r="SBG10" s="501"/>
      <c r="SBH10" s="501"/>
      <c r="SBI10" s="501"/>
      <c r="SBJ10" s="501"/>
      <c r="SBK10" s="501"/>
      <c r="SBL10" s="501"/>
      <c r="SBM10" s="501"/>
      <c r="SBN10" s="501"/>
      <c r="SBO10" s="501"/>
      <c r="SBP10" s="501"/>
      <c r="SBQ10" s="501"/>
      <c r="SBR10" s="501"/>
      <c r="SBS10" s="501"/>
      <c r="SBT10" s="501"/>
      <c r="SBU10" s="501"/>
      <c r="SBV10" s="501"/>
      <c r="SBW10" s="501"/>
      <c r="SBX10" s="501"/>
      <c r="SBY10" s="501"/>
      <c r="SBZ10" s="501"/>
      <c r="SCA10" s="501"/>
      <c r="SCB10" s="501"/>
      <c r="SCC10" s="501"/>
      <c r="SCD10" s="501"/>
      <c r="SCE10" s="501"/>
      <c r="SCF10" s="501"/>
      <c r="SCG10" s="501"/>
      <c r="SCH10" s="501"/>
      <c r="SCI10" s="501"/>
      <c r="SCJ10" s="501"/>
      <c r="SCK10" s="501"/>
      <c r="SCL10" s="501"/>
      <c r="SCM10" s="501"/>
      <c r="SCN10" s="501"/>
      <c r="SCO10" s="501"/>
      <c r="SCP10" s="501"/>
      <c r="SCQ10" s="501"/>
      <c r="SCR10" s="501"/>
      <c r="SCS10" s="501"/>
      <c r="SCT10" s="501"/>
      <c r="SCU10" s="501"/>
      <c r="SCV10" s="501"/>
      <c r="SCW10" s="501"/>
      <c r="SCX10" s="501"/>
      <c r="SCY10" s="501"/>
      <c r="SCZ10" s="501"/>
      <c r="SDA10" s="501"/>
      <c r="SDB10" s="501"/>
      <c r="SDC10" s="501"/>
      <c r="SDD10" s="501"/>
      <c r="SDE10" s="501"/>
      <c r="SDF10" s="501"/>
      <c r="SDG10" s="501"/>
      <c r="SDH10" s="501"/>
      <c r="SDI10" s="501"/>
      <c r="SDJ10" s="501"/>
      <c r="SDK10" s="501"/>
      <c r="SDL10" s="501"/>
      <c r="SDM10" s="501"/>
      <c r="SDN10" s="501"/>
      <c r="SDO10" s="501"/>
      <c r="SDP10" s="501"/>
      <c r="SDQ10" s="501"/>
      <c r="SDR10" s="501"/>
      <c r="SDS10" s="501"/>
      <c r="SDT10" s="501"/>
      <c r="SDU10" s="501"/>
      <c r="SDV10" s="501"/>
      <c r="SDW10" s="501"/>
      <c r="SDX10" s="501"/>
      <c r="SDY10" s="501"/>
      <c r="SDZ10" s="501"/>
      <c r="SEA10" s="501"/>
      <c r="SEB10" s="501"/>
      <c r="SEC10" s="501"/>
      <c r="SED10" s="501"/>
      <c r="SEE10" s="501"/>
      <c r="SEF10" s="501"/>
      <c r="SEG10" s="501"/>
      <c r="SEH10" s="501"/>
      <c r="SEI10" s="501"/>
      <c r="SEJ10" s="501"/>
      <c r="SEK10" s="501"/>
      <c r="SEL10" s="501"/>
      <c r="SEM10" s="501"/>
      <c r="SEN10" s="501"/>
      <c r="SEO10" s="501"/>
      <c r="SEP10" s="501"/>
      <c r="SEQ10" s="501"/>
      <c r="SER10" s="501"/>
      <c r="SES10" s="501"/>
      <c r="SET10" s="501"/>
      <c r="SEU10" s="501"/>
      <c r="SEV10" s="501"/>
      <c r="SEW10" s="501"/>
      <c r="SEX10" s="501"/>
      <c r="SEY10" s="501"/>
      <c r="SEZ10" s="501"/>
      <c r="SFA10" s="501"/>
      <c r="SFB10" s="501"/>
      <c r="SFC10" s="501"/>
      <c r="SFD10" s="501"/>
      <c r="SFE10" s="501"/>
      <c r="SFF10" s="501"/>
      <c r="SFG10" s="501"/>
      <c r="SFH10" s="501"/>
      <c r="SFI10" s="501"/>
      <c r="SFJ10" s="501"/>
      <c r="SFK10" s="501"/>
      <c r="SFL10" s="501"/>
      <c r="SFM10" s="501"/>
      <c r="SFN10" s="501"/>
      <c r="SFO10" s="501"/>
      <c r="SFP10" s="501"/>
      <c r="SFQ10" s="501"/>
      <c r="SFR10" s="501"/>
      <c r="SFS10" s="501"/>
      <c r="SFT10" s="501"/>
      <c r="SFU10" s="501"/>
      <c r="SFV10" s="501"/>
      <c r="SFW10" s="501"/>
      <c r="SFX10" s="501"/>
      <c r="SFY10" s="501"/>
      <c r="SFZ10" s="501"/>
      <c r="SGA10" s="501"/>
      <c r="SGB10" s="501"/>
      <c r="SGC10" s="501"/>
      <c r="SGD10" s="501"/>
      <c r="SGE10" s="501"/>
      <c r="SGF10" s="501"/>
      <c r="SGG10" s="501"/>
      <c r="SGH10" s="501"/>
      <c r="SGI10" s="501"/>
      <c r="SGJ10" s="501"/>
      <c r="SGK10" s="501"/>
      <c r="SGL10" s="501"/>
      <c r="SGM10" s="501"/>
      <c r="SGN10" s="501"/>
      <c r="SGO10" s="501"/>
      <c r="SGP10" s="501"/>
      <c r="SGQ10" s="501"/>
      <c r="SGR10" s="501"/>
      <c r="SGS10" s="501"/>
      <c r="SGT10" s="501"/>
      <c r="SGU10" s="501"/>
      <c r="SGV10" s="501"/>
      <c r="SGW10" s="501"/>
      <c r="SGX10" s="501"/>
      <c r="SGY10" s="501"/>
      <c r="SGZ10" s="501"/>
      <c r="SHA10" s="501"/>
      <c r="SHB10" s="501"/>
      <c r="SHC10" s="501"/>
      <c r="SHD10" s="501"/>
      <c r="SHE10" s="501"/>
      <c r="SHF10" s="501"/>
      <c r="SHG10" s="501"/>
      <c r="SHH10" s="501"/>
      <c r="SHI10" s="501"/>
      <c r="SHJ10" s="501"/>
      <c r="SHK10" s="501"/>
      <c r="SHL10" s="501"/>
      <c r="SHM10" s="501"/>
      <c r="SHN10" s="501"/>
      <c r="SHO10" s="501"/>
      <c r="SHP10" s="501"/>
      <c r="SHQ10" s="501"/>
      <c r="SHR10" s="501"/>
      <c r="SHS10" s="501"/>
      <c r="SHT10" s="501"/>
      <c r="SHU10" s="501"/>
      <c r="SHV10" s="501"/>
      <c r="SHW10" s="501"/>
      <c r="SHX10" s="501"/>
      <c r="SHY10" s="501"/>
      <c r="SHZ10" s="501"/>
      <c r="SIA10" s="501"/>
      <c r="SIB10" s="501"/>
      <c r="SIC10" s="501"/>
      <c r="SID10" s="501"/>
      <c r="SIE10" s="501"/>
      <c r="SIF10" s="501"/>
      <c r="SIG10" s="501"/>
      <c r="SIH10" s="501"/>
      <c r="SII10" s="501"/>
      <c r="SIJ10" s="501"/>
      <c r="SIK10" s="501"/>
      <c r="SIL10" s="501"/>
      <c r="SIM10" s="501"/>
      <c r="SIN10" s="501"/>
      <c r="SIO10" s="501"/>
      <c r="SIP10" s="501"/>
      <c r="SIQ10" s="501"/>
      <c r="SIR10" s="501"/>
      <c r="SIS10" s="501"/>
      <c r="SIT10" s="501"/>
      <c r="SIU10" s="501"/>
      <c r="SIV10" s="501"/>
      <c r="SIW10" s="501"/>
      <c r="SIX10" s="501"/>
      <c r="SIY10" s="501"/>
      <c r="SIZ10" s="501"/>
      <c r="SJA10" s="501"/>
      <c r="SJB10" s="501"/>
      <c r="SJC10" s="501"/>
      <c r="SJD10" s="501"/>
      <c r="SJE10" s="501"/>
      <c r="SJF10" s="501"/>
      <c r="SJG10" s="501"/>
      <c r="SJH10" s="501"/>
      <c r="SJI10" s="501"/>
      <c r="SJJ10" s="501"/>
      <c r="SJK10" s="501"/>
      <c r="SJL10" s="501"/>
      <c r="SJM10" s="501"/>
      <c r="SJN10" s="501"/>
      <c r="SJO10" s="501"/>
      <c r="SJP10" s="501"/>
      <c r="SJQ10" s="501"/>
      <c r="SJR10" s="501"/>
      <c r="SJS10" s="501"/>
      <c r="SJT10" s="501"/>
      <c r="SJU10" s="501"/>
      <c r="SJV10" s="501"/>
      <c r="SJW10" s="501"/>
      <c r="SJX10" s="501"/>
      <c r="SJY10" s="501"/>
      <c r="SJZ10" s="501"/>
      <c r="SKA10" s="501"/>
      <c r="SKB10" s="501"/>
      <c r="SKC10" s="501"/>
      <c r="SKD10" s="501"/>
      <c r="SKE10" s="501"/>
      <c r="SKF10" s="501"/>
      <c r="SKG10" s="501"/>
      <c r="SKH10" s="501"/>
      <c r="SKI10" s="501"/>
      <c r="SKJ10" s="501"/>
      <c r="SKK10" s="501"/>
      <c r="SKL10" s="501"/>
      <c r="SKM10" s="501"/>
      <c r="SKN10" s="501"/>
      <c r="SKO10" s="501"/>
      <c r="SKP10" s="501"/>
      <c r="SKQ10" s="501"/>
      <c r="SKR10" s="501"/>
      <c r="SKS10" s="501"/>
      <c r="SKT10" s="501"/>
      <c r="SKU10" s="501"/>
      <c r="SKV10" s="501"/>
      <c r="SKW10" s="501"/>
      <c r="SKX10" s="501"/>
      <c r="SKY10" s="501"/>
      <c r="SKZ10" s="501"/>
      <c r="SLA10" s="501"/>
      <c r="SLB10" s="501"/>
      <c r="SLC10" s="501"/>
      <c r="SLD10" s="501"/>
      <c r="SLE10" s="501"/>
      <c r="SLF10" s="501"/>
      <c r="SLG10" s="501"/>
      <c r="SLH10" s="501"/>
      <c r="SLI10" s="501"/>
      <c r="SLJ10" s="501"/>
      <c r="SLK10" s="501"/>
      <c r="SLL10" s="501"/>
      <c r="SLM10" s="501"/>
      <c r="SLN10" s="501"/>
      <c r="SLO10" s="501"/>
      <c r="SLP10" s="501"/>
      <c r="SLQ10" s="501"/>
      <c r="SLR10" s="501"/>
      <c r="SLS10" s="501"/>
      <c r="SLT10" s="501"/>
      <c r="SLU10" s="501"/>
      <c r="SLV10" s="501"/>
      <c r="SLW10" s="501"/>
      <c r="SLX10" s="501"/>
      <c r="SLY10" s="501"/>
      <c r="SLZ10" s="501"/>
      <c r="SMA10" s="501"/>
      <c r="SMB10" s="501"/>
      <c r="SMC10" s="501"/>
      <c r="SMD10" s="501"/>
      <c r="SME10" s="501"/>
      <c r="SMF10" s="501"/>
      <c r="SMG10" s="501"/>
      <c r="SMH10" s="501"/>
      <c r="SMI10" s="501"/>
      <c r="SMJ10" s="501"/>
      <c r="SMK10" s="501"/>
      <c r="SML10" s="501"/>
      <c r="SMM10" s="501"/>
      <c r="SMN10" s="501"/>
      <c r="SMO10" s="501"/>
      <c r="SMP10" s="501"/>
      <c r="SMQ10" s="501"/>
      <c r="SMR10" s="501"/>
      <c r="SMS10" s="501"/>
      <c r="SMT10" s="501"/>
      <c r="SMU10" s="501"/>
      <c r="SMV10" s="501"/>
      <c r="SMW10" s="501"/>
      <c r="SMX10" s="501"/>
      <c r="SMY10" s="501"/>
      <c r="SMZ10" s="501"/>
      <c r="SNA10" s="501"/>
      <c r="SNB10" s="501"/>
      <c r="SNC10" s="501"/>
      <c r="SND10" s="501"/>
      <c r="SNE10" s="501"/>
      <c r="SNF10" s="501"/>
      <c r="SNG10" s="501"/>
      <c r="SNH10" s="501"/>
      <c r="SNI10" s="501"/>
      <c r="SNJ10" s="501"/>
      <c r="SNK10" s="501"/>
      <c r="SNL10" s="501"/>
      <c r="SNM10" s="501"/>
      <c r="SNN10" s="501"/>
      <c r="SNO10" s="501"/>
      <c r="SNP10" s="501"/>
      <c r="SNQ10" s="501"/>
      <c r="SNR10" s="501"/>
      <c r="SNS10" s="501"/>
      <c r="SNT10" s="501"/>
      <c r="SNU10" s="501"/>
      <c r="SNV10" s="501"/>
      <c r="SNW10" s="501"/>
      <c r="SNX10" s="501"/>
      <c r="SNY10" s="501"/>
      <c r="SNZ10" s="501"/>
      <c r="SOA10" s="501"/>
      <c r="SOB10" s="501"/>
      <c r="SOC10" s="501"/>
      <c r="SOD10" s="501"/>
      <c r="SOE10" s="501"/>
      <c r="SOF10" s="501"/>
      <c r="SOG10" s="501"/>
      <c r="SOH10" s="501"/>
      <c r="SOI10" s="501"/>
      <c r="SOJ10" s="501"/>
      <c r="SOK10" s="501"/>
      <c r="SOL10" s="501"/>
      <c r="SOM10" s="501"/>
      <c r="SON10" s="501"/>
      <c r="SOO10" s="501"/>
      <c r="SOP10" s="501"/>
      <c r="SOQ10" s="501"/>
      <c r="SOR10" s="501"/>
      <c r="SOS10" s="501"/>
      <c r="SOT10" s="501"/>
      <c r="SOU10" s="501"/>
      <c r="SOV10" s="501"/>
      <c r="SOW10" s="501"/>
      <c r="SOX10" s="501"/>
      <c r="SOY10" s="501"/>
      <c r="SOZ10" s="501"/>
      <c r="SPA10" s="501"/>
      <c r="SPB10" s="501"/>
      <c r="SPC10" s="501"/>
      <c r="SPD10" s="501"/>
      <c r="SPE10" s="501"/>
      <c r="SPF10" s="501"/>
      <c r="SPG10" s="501"/>
      <c r="SPH10" s="501"/>
      <c r="SPI10" s="501"/>
      <c r="SPJ10" s="501"/>
      <c r="SPK10" s="501"/>
      <c r="SPL10" s="501"/>
      <c r="SPM10" s="501"/>
      <c r="SPN10" s="501"/>
      <c r="SPO10" s="501"/>
      <c r="SPP10" s="501"/>
      <c r="SPQ10" s="501"/>
      <c r="SPR10" s="501"/>
      <c r="SPS10" s="501"/>
      <c r="SPT10" s="501"/>
      <c r="SPU10" s="501"/>
      <c r="SPV10" s="501"/>
      <c r="SPW10" s="501"/>
      <c r="SPX10" s="501"/>
      <c r="SPY10" s="501"/>
      <c r="SPZ10" s="501"/>
      <c r="SQA10" s="501"/>
      <c r="SQB10" s="501"/>
      <c r="SQC10" s="501"/>
      <c r="SQD10" s="501"/>
      <c r="SQE10" s="501"/>
      <c r="SQF10" s="501"/>
      <c r="SQG10" s="501"/>
      <c r="SQH10" s="501"/>
      <c r="SQI10" s="501"/>
      <c r="SQJ10" s="501"/>
      <c r="SQK10" s="501"/>
      <c r="SQL10" s="501"/>
      <c r="SQM10" s="501"/>
      <c r="SQN10" s="501"/>
      <c r="SQO10" s="501"/>
      <c r="SQP10" s="501"/>
      <c r="SQQ10" s="501"/>
      <c r="SQR10" s="501"/>
      <c r="SQS10" s="501"/>
      <c r="SQT10" s="501"/>
      <c r="SQU10" s="501"/>
      <c r="SQV10" s="501"/>
      <c r="SQW10" s="501"/>
      <c r="SQX10" s="501"/>
      <c r="SQY10" s="501"/>
      <c r="SQZ10" s="501"/>
      <c r="SRA10" s="501"/>
      <c r="SRB10" s="501"/>
      <c r="SRC10" s="501"/>
      <c r="SRD10" s="501"/>
      <c r="SRE10" s="501"/>
      <c r="SRF10" s="501"/>
      <c r="SRG10" s="501"/>
      <c r="SRH10" s="501"/>
      <c r="SRI10" s="501"/>
      <c r="SRJ10" s="501"/>
      <c r="SRK10" s="501"/>
      <c r="SRL10" s="501"/>
      <c r="SRM10" s="501"/>
      <c r="SRN10" s="501"/>
      <c r="SRO10" s="501"/>
      <c r="SRP10" s="501"/>
      <c r="SRQ10" s="501"/>
      <c r="SRR10" s="501"/>
      <c r="SRS10" s="501"/>
      <c r="SRT10" s="501"/>
      <c r="SRU10" s="501"/>
      <c r="SRV10" s="501"/>
      <c r="SRW10" s="501"/>
      <c r="SRX10" s="501"/>
      <c r="SRY10" s="501"/>
      <c r="SRZ10" s="501"/>
      <c r="SSA10" s="501"/>
      <c r="SSB10" s="501"/>
      <c r="SSC10" s="501"/>
      <c r="SSD10" s="501"/>
      <c r="SSE10" s="501"/>
      <c r="SSF10" s="501"/>
      <c r="SSG10" s="501"/>
      <c r="SSH10" s="501"/>
      <c r="SSI10" s="501"/>
      <c r="SSJ10" s="501"/>
      <c r="SSK10" s="501"/>
      <c r="SSL10" s="501"/>
      <c r="SSM10" s="501"/>
      <c r="SSN10" s="501"/>
      <c r="SSO10" s="501"/>
      <c r="SSP10" s="501"/>
      <c r="SSQ10" s="501"/>
      <c r="SSR10" s="501"/>
      <c r="SSS10" s="501"/>
      <c r="SST10" s="501"/>
      <c r="SSU10" s="501"/>
      <c r="SSV10" s="501"/>
      <c r="SSW10" s="501"/>
      <c r="SSX10" s="501"/>
      <c r="SSY10" s="501"/>
      <c r="SSZ10" s="501"/>
      <c r="STA10" s="501"/>
      <c r="STB10" s="501"/>
      <c r="STC10" s="501"/>
      <c r="STD10" s="501"/>
      <c r="STE10" s="501"/>
      <c r="STF10" s="501"/>
      <c r="STG10" s="501"/>
      <c r="STH10" s="501"/>
      <c r="STI10" s="501"/>
      <c r="STJ10" s="501"/>
      <c r="STK10" s="501"/>
      <c r="STL10" s="501"/>
      <c r="STM10" s="501"/>
      <c r="STN10" s="501"/>
      <c r="STO10" s="501"/>
      <c r="STP10" s="501"/>
      <c r="STQ10" s="501"/>
      <c r="STR10" s="501"/>
      <c r="STS10" s="501"/>
      <c r="STT10" s="501"/>
      <c r="STU10" s="501"/>
      <c r="STV10" s="501"/>
      <c r="STW10" s="501"/>
      <c r="STX10" s="501"/>
      <c r="STY10" s="501"/>
      <c r="STZ10" s="501"/>
      <c r="SUA10" s="501"/>
      <c r="SUB10" s="501"/>
      <c r="SUC10" s="501"/>
      <c r="SUD10" s="501"/>
      <c r="SUE10" s="501"/>
      <c r="SUF10" s="501"/>
      <c r="SUG10" s="501"/>
      <c r="SUH10" s="501"/>
      <c r="SUI10" s="501"/>
      <c r="SUJ10" s="501"/>
      <c r="SUK10" s="501"/>
      <c r="SUL10" s="501"/>
      <c r="SUM10" s="501"/>
      <c r="SUN10" s="501"/>
      <c r="SUO10" s="501"/>
      <c r="SUP10" s="501"/>
      <c r="SUQ10" s="501"/>
      <c r="SUR10" s="501"/>
      <c r="SUS10" s="501"/>
      <c r="SUT10" s="501"/>
      <c r="SUU10" s="501"/>
      <c r="SUV10" s="501"/>
      <c r="SUW10" s="501"/>
      <c r="SUX10" s="501"/>
      <c r="SUY10" s="501"/>
      <c r="SUZ10" s="501"/>
      <c r="SVA10" s="501"/>
      <c r="SVB10" s="501"/>
      <c r="SVC10" s="501"/>
      <c r="SVD10" s="501"/>
      <c r="SVE10" s="501"/>
      <c r="SVF10" s="501"/>
      <c r="SVG10" s="501"/>
      <c r="SVH10" s="501"/>
      <c r="SVI10" s="501"/>
      <c r="SVJ10" s="501"/>
      <c r="SVK10" s="501"/>
      <c r="SVL10" s="501"/>
      <c r="SVM10" s="501"/>
      <c r="SVN10" s="501"/>
      <c r="SVO10" s="501"/>
      <c r="SVP10" s="501"/>
      <c r="SVQ10" s="501"/>
      <c r="SVR10" s="501"/>
      <c r="SVS10" s="501"/>
      <c r="SVT10" s="501"/>
      <c r="SVU10" s="501"/>
      <c r="SVV10" s="501"/>
      <c r="SVW10" s="501"/>
      <c r="SVX10" s="501"/>
      <c r="SVY10" s="501"/>
      <c r="SVZ10" s="501"/>
      <c r="SWA10" s="501"/>
      <c r="SWB10" s="501"/>
      <c r="SWC10" s="501"/>
      <c r="SWD10" s="501"/>
      <c r="SWE10" s="501"/>
      <c r="SWF10" s="501"/>
      <c r="SWG10" s="501"/>
      <c r="SWH10" s="501"/>
      <c r="SWI10" s="501"/>
      <c r="SWJ10" s="501"/>
      <c r="SWK10" s="501"/>
      <c r="SWL10" s="501"/>
      <c r="SWM10" s="501"/>
      <c r="SWN10" s="501"/>
      <c r="SWO10" s="501"/>
      <c r="SWP10" s="501"/>
      <c r="SWQ10" s="501"/>
      <c r="SWR10" s="501"/>
      <c r="SWS10" s="501"/>
      <c r="SWT10" s="501"/>
      <c r="SWU10" s="501"/>
      <c r="SWV10" s="501"/>
      <c r="SWW10" s="501"/>
      <c r="SWX10" s="501"/>
      <c r="SWY10" s="501"/>
      <c r="SWZ10" s="501"/>
      <c r="SXA10" s="501"/>
      <c r="SXB10" s="501"/>
      <c r="SXC10" s="501"/>
      <c r="SXD10" s="501"/>
      <c r="SXE10" s="501"/>
      <c r="SXF10" s="501"/>
      <c r="SXG10" s="501"/>
      <c r="SXH10" s="501"/>
      <c r="SXI10" s="501"/>
      <c r="SXJ10" s="501"/>
      <c r="SXK10" s="501"/>
      <c r="SXL10" s="501"/>
      <c r="SXM10" s="501"/>
      <c r="SXN10" s="501"/>
      <c r="SXO10" s="501"/>
      <c r="SXP10" s="501"/>
      <c r="SXQ10" s="501"/>
      <c r="SXR10" s="501"/>
      <c r="SXS10" s="501"/>
      <c r="SXT10" s="501"/>
      <c r="SXU10" s="501"/>
      <c r="SXV10" s="501"/>
      <c r="SXW10" s="501"/>
      <c r="SXX10" s="501"/>
      <c r="SXY10" s="501"/>
      <c r="SXZ10" s="501"/>
      <c r="SYA10" s="501"/>
      <c r="SYB10" s="501"/>
      <c r="SYC10" s="501"/>
      <c r="SYD10" s="501"/>
      <c r="SYE10" s="501"/>
      <c r="SYF10" s="501"/>
      <c r="SYG10" s="501"/>
      <c r="SYH10" s="501"/>
      <c r="SYI10" s="501"/>
      <c r="SYJ10" s="501"/>
      <c r="SYK10" s="501"/>
      <c r="SYL10" s="501"/>
      <c r="SYM10" s="501"/>
      <c r="SYN10" s="501"/>
      <c r="SYO10" s="501"/>
      <c r="SYP10" s="501"/>
      <c r="SYQ10" s="501"/>
      <c r="SYR10" s="501"/>
      <c r="SYS10" s="501"/>
      <c r="SYT10" s="501"/>
      <c r="SYU10" s="501"/>
      <c r="SYV10" s="501"/>
      <c r="SYW10" s="501"/>
      <c r="SYX10" s="501"/>
      <c r="SYY10" s="501"/>
      <c r="SYZ10" s="501"/>
      <c r="SZA10" s="501"/>
      <c r="SZB10" s="501"/>
      <c r="SZC10" s="501"/>
      <c r="SZD10" s="501"/>
      <c r="SZE10" s="501"/>
      <c r="SZF10" s="501"/>
      <c r="SZG10" s="501"/>
      <c r="SZH10" s="501"/>
      <c r="SZI10" s="501"/>
      <c r="SZJ10" s="501"/>
      <c r="SZK10" s="501"/>
      <c r="SZL10" s="501"/>
      <c r="SZM10" s="501"/>
      <c r="SZN10" s="501"/>
      <c r="SZO10" s="501"/>
      <c r="SZP10" s="501"/>
      <c r="SZQ10" s="501"/>
      <c r="SZR10" s="501"/>
      <c r="SZS10" s="501"/>
      <c r="SZT10" s="501"/>
      <c r="SZU10" s="501"/>
      <c r="SZV10" s="501"/>
      <c r="SZW10" s="501"/>
      <c r="SZX10" s="501"/>
      <c r="SZY10" s="501"/>
      <c r="SZZ10" s="501"/>
      <c r="TAA10" s="501"/>
      <c r="TAB10" s="501"/>
      <c r="TAC10" s="501"/>
      <c r="TAD10" s="501"/>
      <c r="TAE10" s="501"/>
      <c r="TAF10" s="501"/>
      <c r="TAG10" s="501"/>
      <c r="TAH10" s="501"/>
      <c r="TAI10" s="501"/>
      <c r="TAJ10" s="501"/>
      <c r="TAK10" s="501"/>
      <c r="TAL10" s="501"/>
      <c r="TAM10" s="501"/>
      <c r="TAN10" s="501"/>
      <c r="TAO10" s="501"/>
      <c r="TAP10" s="501"/>
      <c r="TAQ10" s="501"/>
      <c r="TAR10" s="501"/>
      <c r="TAS10" s="501"/>
      <c r="TAT10" s="501"/>
      <c r="TAU10" s="501"/>
      <c r="TAV10" s="501"/>
      <c r="TAW10" s="501"/>
      <c r="TAX10" s="501"/>
      <c r="TAY10" s="501"/>
      <c r="TAZ10" s="501"/>
      <c r="TBA10" s="501"/>
      <c r="TBB10" s="501"/>
      <c r="TBC10" s="501"/>
      <c r="TBD10" s="501"/>
      <c r="TBE10" s="501"/>
      <c r="TBF10" s="501"/>
      <c r="TBG10" s="501"/>
      <c r="TBH10" s="501"/>
      <c r="TBI10" s="501"/>
      <c r="TBJ10" s="501"/>
      <c r="TBK10" s="501"/>
      <c r="TBL10" s="501"/>
      <c r="TBM10" s="501"/>
      <c r="TBN10" s="501"/>
      <c r="TBO10" s="501"/>
      <c r="TBP10" s="501"/>
      <c r="TBQ10" s="501"/>
      <c r="TBR10" s="501"/>
      <c r="TBS10" s="501"/>
      <c r="TBT10" s="501"/>
      <c r="TBU10" s="501"/>
      <c r="TBV10" s="501"/>
      <c r="TBW10" s="501"/>
      <c r="TBX10" s="501"/>
      <c r="TBY10" s="501"/>
      <c r="TBZ10" s="501"/>
      <c r="TCA10" s="501"/>
      <c r="TCB10" s="501"/>
      <c r="TCC10" s="501"/>
      <c r="TCD10" s="501"/>
      <c r="TCE10" s="501"/>
      <c r="TCF10" s="501"/>
      <c r="TCG10" s="501"/>
      <c r="TCH10" s="501"/>
      <c r="TCI10" s="501"/>
      <c r="TCJ10" s="501"/>
      <c r="TCK10" s="501"/>
      <c r="TCL10" s="501"/>
      <c r="TCM10" s="501"/>
      <c r="TCN10" s="501"/>
      <c r="TCO10" s="501"/>
      <c r="TCP10" s="501"/>
      <c r="TCQ10" s="501"/>
      <c r="TCR10" s="501"/>
      <c r="TCS10" s="501"/>
      <c r="TCT10" s="501"/>
      <c r="TCU10" s="501"/>
      <c r="TCV10" s="501"/>
      <c r="TCW10" s="501"/>
      <c r="TCX10" s="501"/>
      <c r="TCY10" s="501"/>
      <c r="TCZ10" s="501"/>
      <c r="TDA10" s="501"/>
      <c r="TDB10" s="501"/>
      <c r="TDC10" s="501"/>
      <c r="TDD10" s="501"/>
      <c r="TDE10" s="501"/>
      <c r="TDF10" s="501"/>
      <c r="TDG10" s="501"/>
      <c r="TDH10" s="501"/>
      <c r="TDI10" s="501"/>
      <c r="TDJ10" s="501"/>
      <c r="TDK10" s="501"/>
      <c r="TDL10" s="501"/>
      <c r="TDM10" s="501"/>
      <c r="TDN10" s="501"/>
      <c r="TDO10" s="501"/>
      <c r="TDP10" s="501"/>
      <c r="TDQ10" s="501"/>
      <c r="TDR10" s="501"/>
      <c r="TDS10" s="501"/>
      <c r="TDT10" s="501"/>
      <c r="TDU10" s="501"/>
      <c r="TDV10" s="501"/>
      <c r="TDW10" s="501"/>
      <c r="TDX10" s="501"/>
      <c r="TDY10" s="501"/>
      <c r="TDZ10" s="501"/>
      <c r="TEA10" s="501"/>
      <c r="TEB10" s="501"/>
      <c r="TEC10" s="501"/>
      <c r="TED10" s="501"/>
      <c r="TEE10" s="501"/>
      <c r="TEF10" s="501"/>
      <c r="TEG10" s="501"/>
      <c r="TEH10" s="501"/>
      <c r="TEI10" s="501"/>
      <c r="TEJ10" s="501"/>
      <c r="TEK10" s="501"/>
      <c r="TEL10" s="501"/>
      <c r="TEM10" s="501"/>
      <c r="TEN10" s="501"/>
      <c r="TEO10" s="501"/>
      <c r="TEP10" s="501"/>
      <c r="TEQ10" s="501"/>
      <c r="TER10" s="501"/>
      <c r="TES10" s="501"/>
      <c r="TET10" s="501"/>
      <c r="TEU10" s="501"/>
      <c r="TEV10" s="501"/>
      <c r="TEW10" s="501"/>
      <c r="TEX10" s="501"/>
      <c r="TEY10" s="501"/>
      <c r="TEZ10" s="501"/>
      <c r="TFA10" s="501"/>
      <c r="TFB10" s="501"/>
      <c r="TFC10" s="501"/>
      <c r="TFD10" s="501"/>
      <c r="TFE10" s="501"/>
      <c r="TFF10" s="501"/>
      <c r="TFG10" s="501"/>
      <c r="TFH10" s="501"/>
      <c r="TFI10" s="501"/>
      <c r="TFJ10" s="501"/>
      <c r="TFK10" s="501"/>
      <c r="TFL10" s="501"/>
      <c r="TFM10" s="501"/>
      <c r="TFN10" s="501"/>
      <c r="TFO10" s="501"/>
      <c r="TFP10" s="501"/>
      <c r="TFQ10" s="501"/>
      <c r="TFR10" s="501"/>
      <c r="TFS10" s="501"/>
      <c r="TFT10" s="501"/>
      <c r="TFU10" s="501"/>
      <c r="TFV10" s="501"/>
      <c r="TFW10" s="501"/>
      <c r="TFX10" s="501"/>
      <c r="TFY10" s="501"/>
      <c r="TFZ10" s="501"/>
      <c r="TGA10" s="501"/>
      <c r="TGB10" s="501"/>
      <c r="TGC10" s="501"/>
      <c r="TGD10" s="501"/>
      <c r="TGE10" s="501"/>
      <c r="TGF10" s="501"/>
      <c r="TGG10" s="501"/>
      <c r="TGH10" s="501"/>
      <c r="TGI10" s="501"/>
      <c r="TGJ10" s="501"/>
      <c r="TGK10" s="501"/>
      <c r="TGL10" s="501"/>
      <c r="TGM10" s="501"/>
      <c r="TGN10" s="501"/>
      <c r="TGO10" s="501"/>
      <c r="TGP10" s="501"/>
      <c r="TGQ10" s="501"/>
      <c r="TGR10" s="501"/>
      <c r="TGS10" s="501"/>
      <c r="TGT10" s="501"/>
      <c r="TGU10" s="501"/>
      <c r="TGV10" s="501"/>
      <c r="TGW10" s="501"/>
      <c r="TGX10" s="501"/>
      <c r="TGY10" s="501"/>
      <c r="TGZ10" s="501"/>
      <c r="THA10" s="501"/>
      <c r="THB10" s="501"/>
      <c r="THC10" s="501"/>
      <c r="THD10" s="501"/>
      <c r="THE10" s="501"/>
      <c r="THF10" s="501"/>
      <c r="THG10" s="501"/>
      <c r="THH10" s="501"/>
      <c r="THI10" s="501"/>
      <c r="THJ10" s="501"/>
      <c r="THK10" s="501"/>
      <c r="THL10" s="501"/>
      <c r="THM10" s="501"/>
      <c r="THN10" s="501"/>
      <c r="THO10" s="501"/>
      <c r="THP10" s="501"/>
      <c r="THQ10" s="501"/>
      <c r="THR10" s="501"/>
      <c r="THS10" s="501"/>
      <c r="THT10" s="501"/>
      <c r="THU10" s="501"/>
      <c r="THV10" s="501"/>
      <c r="THW10" s="501"/>
      <c r="THX10" s="501"/>
      <c r="THY10" s="501"/>
      <c r="THZ10" s="501"/>
      <c r="TIA10" s="501"/>
      <c r="TIB10" s="501"/>
      <c r="TIC10" s="501"/>
      <c r="TID10" s="501"/>
      <c r="TIE10" s="501"/>
      <c r="TIF10" s="501"/>
      <c r="TIG10" s="501"/>
      <c r="TIH10" s="501"/>
      <c r="TII10" s="501"/>
      <c r="TIJ10" s="501"/>
      <c r="TIK10" s="501"/>
      <c r="TIL10" s="501"/>
      <c r="TIM10" s="501"/>
      <c r="TIN10" s="501"/>
      <c r="TIO10" s="501"/>
      <c r="TIP10" s="501"/>
      <c r="TIQ10" s="501"/>
      <c r="TIR10" s="501"/>
      <c r="TIS10" s="501"/>
      <c r="TIT10" s="501"/>
      <c r="TIU10" s="501"/>
      <c r="TIV10" s="501"/>
      <c r="TIW10" s="501"/>
      <c r="TIX10" s="501"/>
      <c r="TIY10" s="501"/>
      <c r="TIZ10" s="501"/>
      <c r="TJA10" s="501"/>
      <c r="TJB10" s="501"/>
      <c r="TJC10" s="501"/>
      <c r="TJD10" s="501"/>
      <c r="TJE10" s="501"/>
      <c r="TJF10" s="501"/>
      <c r="TJG10" s="501"/>
      <c r="TJH10" s="501"/>
      <c r="TJI10" s="501"/>
      <c r="TJJ10" s="501"/>
      <c r="TJK10" s="501"/>
      <c r="TJL10" s="501"/>
      <c r="TJM10" s="501"/>
      <c r="TJN10" s="501"/>
      <c r="TJO10" s="501"/>
      <c r="TJP10" s="501"/>
      <c r="TJQ10" s="501"/>
      <c r="TJR10" s="501"/>
      <c r="TJS10" s="501"/>
      <c r="TJT10" s="501"/>
      <c r="TJU10" s="501"/>
      <c r="TJV10" s="501"/>
      <c r="TJW10" s="501"/>
      <c r="TJX10" s="501"/>
      <c r="TJY10" s="501"/>
      <c r="TJZ10" s="501"/>
      <c r="TKA10" s="501"/>
      <c r="TKB10" s="501"/>
      <c r="TKC10" s="501"/>
      <c r="TKD10" s="501"/>
      <c r="TKE10" s="501"/>
      <c r="TKF10" s="501"/>
      <c r="TKG10" s="501"/>
      <c r="TKH10" s="501"/>
      <c r="TKI10" s="501"/>
      <c r="TKJ10" s="501"/>
      <c r="TKK10" s="501"/>
      <c r="TKL10" s="501"/>
      <c r="TKM10" s="501"/>
      <c r="TKN10" s="501"/>
      <c r="TKO10" s="501"/>
      <c r="TKP10" s="501"/>
      <c r="TKQ10" s="501"/>
      <c r="TKR10" s="501"/>
      <c r="TKS10" s="501"/>
      <c r="TKT10" s="501"/>
      <c r="TKU10" s="501"/>
      <c r="TKV10" s="501"/>
      <c r="TKW10" s="501"/>
      <c r="TKX10" s="501"/>
      <c r="TKY10" s="501"/>
      <c r="TKZ10" s="501"/>
      <c r="TLA10" s="501"/>
      <c r="TLB10" s="501"/>
      <c r="TLC10" s="501"/>
      <c r="TLD10" s="501"/>
      <c r="TLE10" s="501"/>
      <c r="TLF10" s="501"/>
      <c r="TLG10" s="501"/>
      <c r="TLH10" s="501"/>
      <c r="TLI10" s="501"/>
      <c r="TLJ10" s="501"/>
      <c r="TLK10" s="501"/>
      <c r="TLL10" s="501"/>
      <c r="TLM10" s="501"/>
      <c r="TLN10" s="501"/>
      <c r="TLO10" s="501"/>
      <c r="TLP10" s="501"/>
      <c r="TLQ10" s="501"/>
      <c r="TLR10" s="501"/>
      <c r="TLS10" s="501"/>
      <c r="TLT10" s="501"/>
      <c r="TLU10" s="501"/>
      <c r="TLV10" s="501"/>
      <c r="TLW10" s="501"/>
      <c r="TLX10" s="501"/>
      <c r="TLY10" s="501"/>
      <c r="TLZ10" s="501"/>
      <c r="TMA10" s="501"/>
      <c r="TMB10" s="501"/>
      <c r="TMC10" s="501"/>
      <c r="TMD10" s="501"/>
      <c r="TME10" s="501"/>
      <c r="TMF10" s="501"/>
      <c r="TMG10" s="501"/>
      <c r="TMH10" s="501"/>
      <c r="TMI10" s="501"/>
      <c r="TMJ10" s="501"/>
      <c r="TMK10" s="501"/>
      <c r="TML10" s="501"/>
      <c r="TMM10" s="501"/>
      <c r="TMN10" s="501"/>
      <c r="TMO10" s="501"/>
      <c r="TMP10" s="501"/>
      <c r="TMQ10" s="501"/>
      <c r="TMR10" s="501"/>
      <c r="TMS10" s="501"/>
      <c r="TMT10" s="501"/>
      <c r="TMU10" s="501"/>
      <c r="TMV10" s="501"/>
      <c r="TMW10" s="501"/>
      <c r="TMX10" s="501"/>
      <c r="TMY10" s="501"/>
      <c r="TMZ10" s="501"/>
      <c r="TNA10" s="501"/>
      <c r="TNB10" s="501"/>
      <c r="TNC10" s="501"/>
      <c r="TND10" s="501"/>
      <c r="TNE10" s="501"/>
      <c r="TNF10" s="501"/>
      <c r="TNG10" s="501"/>
      <c r="TNH10" s="501"/>
      <c r="TNI10" s="501"/>
      <c r="TNJ10" s="501"/>
      <c r="TNK10" s="501"/>
      <c r="TNL10" s="501"/>
      <c r="TNM10" s="501"/>
      <c r="TNN10" s="501"/>
      <c r="TNO10" s="501"/>
      <c r="TNP10" s="501"/>
      <c r="TNQ10" s="501"/>
      <c r="TNR10" s="501"/>
      <c r="TNS10" s="501"/>
      <c r="TNT10" s="501"/>
      <c r="TNU10" s="501"/>
      <c r="TNV10" s="501"/>
      <c r="TNW10" s="501"/>
      <c r="TNX10" s="501"/>
      <c r="TNY10" s="501"/>
      <c r="TNZ10" s="501"/>
      <c r="TOA10" s="501"/>
      <c r="TOB10" s="501"/>
      <c r="TOC10" s="501"/>
      <c r="TOD10" s="501"/>
      <c r="TOE10" s="501"/>
      <c r="TOF10" s="501"/>
      <c r="TOG10" s="501"/>
      <c r="TOH10" s="501"/>
      <c r="TOI10" s="501"/>
      <c r="TOJ10" s="501"/>
      <c r="TOK10" s="501"/>
      <c r="TOL10" s="501"/>
      <c r="TOM10" s="501"/>
      <c r="TON10" s="501"/>
      <c r="TOO10" s="501"/>
      <c r="TOP10" s="501"/>
      <c r="TOQ10" s="501"/>
      <c r="TOR10" s="501"/>
      <c r="TOS10" s="501"/>
      <c r="TOT10" s="501"/>
      <c r="TOU10" s="501"/>
      <c r="TOV10" s="501"/>
      <c r="TOW10" s="501"/>
      <c r="TOX10" s="501"/>
      <c r="TOY10" s="501"/>
      <c r="TOZ10" s="501"/>
      <c r="TPA10" s="501"/>
      <c r="TPB10" s="501"/>
      <c r="TPC10" s="501"/>
      <c r="TPD10" s="501"/>
      <c r="TPE10" s="501"/>
      <c r="TPF10" s="501"/>
      <c r="TPG10" s="501"/>
      <c r="TPH10" s="501"/>
      <c r="TPI10" s="501"/>
      <c r="TPJ10" s="501"/>
      <c r="TPK10" s="501"/>
      <c r="TPL10" s="501"/>
      <c r="TPM10" s="501"/>
      <c r="TPN10" s="501"/>
      <c r="TPO10" s="501"/>
      <c r="TPP10" s="501"/>
      <c r="TPQ10" s="501"/>
      <c r="TPR10" s="501"/>
      <c r="TPS10" s="501"/>
      <c r="TPT10" s="501"/>
      <c r="TPU10" s="501"/>
      <c r="TPV10" s="501"/>
      <c r="TPW10" s="501"/>
      <c r="TPX10" s="501"/>
      <c r="TPY10" s="501"/>
      <c r="TPZ10" s="501"/>
      <c r="TQA10" s="501"/>
      <c r="TQB10" s="501"/>
      <c r="TQC10" s="501"/>
      <c r="TQD10" s="501"/>
      <c r="TQE10" s="501"/>
      <c r="TQF10" s="501"/>
      <c r="TQG10" s="501"/>
      <c r="TQH10" s="501"/>
      <c r="TQI10" s="501"/>
      <c r="TQJ10" s="501"/>
      <c r="TQK10" s="501"/>
      <c r="TQL10" s="501"/>
      <c r="TQM10" s="501"/>
      <c r="TQN10" s="501"/>
      <c r="TQO10" s="501"/>
      <c r="TQP10" s="501"/>
      <c r="TQQ10" s="501"/>
      <c r="TQR10" s="501"/>
      <c r="TQS10" s="501"/>
      <c r="TQT10" s="501"/>
      <c r="TQU10" s="501"/>
      <c r="TQV10" s="501"/>
      <c r="TQW10" s="501"/>
      <c r="TQX10" s="501"/>
      <c r="TQY10" s="501"/>
      <c r="TQZ10" s="501"/>
      <c r="TRA10" s="501"/>
      <c r="TRB10" s="501"/>
      <c r="TRC10" s="501"/>
      <c r="TRD10" s="501"/>
      <c r="TRE10" s="501"/>
      <c r="TRF10" s="501"/>
      <c r="TRG10" s="501"/>
      <c r="TRH10" s="501"/>
      <c r="TRI10" s="501"/>
      <c r="TRJ10" s="501"/>
      <c r="TRK10" s="501"/>
      <c r="TRL10" s="501"/>
      <c r="TRM10" s="501"/>
      <c r="TRN10" s="501"/>
      <c r="TRO10" s="501"/>
      <c r="TRP10" s="501"/>
      <c r="TRQ10" s="501"/>
      <c r="TRR10" s="501"/>
      <c r="TRS10" s="501"/>
      <c r="TRT10" s="501"/>
      <c r="TRU10" s="501"/>
      <c r="TRV10" s="501"/>
      <c r="TRW10" s="501"/>
      <c r="TRX10" s="501"/>
      <c r="TRY10" s="501"/>
      <c r="TRZ10" s="501"/>
      <c r="TSA10" s="501"/>
      <c r="TSB10" s="501"/>
      <c r="TSC10" s="501"/>
      <c r="TSD10" s="501"/>
      <c r="TSE10" s="501"/>
      <c r="TSF10" s="501"/>
      <c r="TSG10" s="501"/>
      <c r="TSH10" s="501"/>
      <c r="TSI10" s="501"/>
      <c r="TSJ10" s="501"/>
      <c r="TSK10" s="501"/>
      <c r="TSL10" s="501"/>
      <c r="TSM10" s="501"/>
      <c r="TSN10" s="501"/>
      <c r="TSO10" s="501"/>
      <c r="TSP10" s="501"/>
      <c r="TSQ10" s="501"/>
      <c r="TSR10" s="501"/>
      <c r="TSS10" s="501"/>
      <c r="TST10" s="501"/>
      <c r="TSU10" s="501"/>
      <c r="TSV10" s="501"/>
      <c r="TSW10" s="501"/>
      <c r="TSX10" s="501"/>
      <c r="TSY10" s="501"/>
      <c r="TSZ10" s="501"/>
      <c r="TTA10" s="501"/>
      <c r="TTB10" s="501"/>
      <c r="TTC10" s="501"/>
      <c r="TTD10" s="501"/>
      <c r="TTE10" s="501"/>
      <c r="TTF10" s="501"/>
      <c r="TTG10" s="501"/>
      <c r="TTH10" s="501"/>
      <c r="TTI10" s="501"/>
      <c r="TTJ10" s="501"/>
      <c r="TTK10" s="501"/>
      <c r="TTL10" s="501"/>
      <c r="TTM10" s="501"/>
      <c r="TTN10" s="501"/>
      <c r="TTO10" s="501"/>
      <c r="TTP10" s="501"/>
      <c r="TTQ10" s="501"/>
      <c r="TTR10" s="501"/>
      <c r="TTS10" s="501"/>
      <c r="TTT10" s="501"/>
      <c r="TTU10" s="501"/>
      <c r="TTV10" s="501"/>
      <c r="TTW10" s="501"/>
      <c r="TTX10" s="501"/>
      <c r="TTY10" s="501"/>
      <c r="TTZ10" s="501"/>
      <c r="TUA10" s="501"/>
      <c r="TUB10" s="501"/>
      <c r="TUC10" s="501"/>
      <c r="TUD10" s="501"/>
      <c r="TUE10" s="501"/>
      <c r="TUF10" s="501"/>
      <c r="TUG10" s="501"/>
      <c r="TUH10" s="501"/>
      <c r="TUI10" s="501"/>
      <c r="TUJ10" s="501"/>
      <c r="TUK10" s="501"/>
      <c r="TUL10" s="501"/>
      <c r="TUM10" s="501"/>
      <c r="TUN10" s="501"/>
      <c r="TUO10" s="501"/>
      <c r="TUP10" s="501"/>
      <c r="TUQ10" s="501"/>
      <c r="TUR10" s="501"/>
      <c r="TUS10" s="501"/>
      <c r="TUT10" s="501"/>
      <c r="TUU10" s="501"/>
      <c r="TUV10" s="501"/>
      <c r="TUW10" s="501"/>
      <c r="TUX10" s="501"/>
      <c r="TUY10" s="501"/>
      <c r="TUZ10" s="501"/>
      <c r="TVA10" s="501"/>
      <c r="TVB10" s="501"/>
      <c r="TVC10" s="501"/>
      <c r="TVD10" s="501"/>
      <c r="TVE10" s="501"/>
      <c r="TVF10" s="501"/>
      <c r="TVG10" s="501"/>
      <c r="TVH10" s="501"/>
      <c r="TVI10" s="501"/>
      <c r="TVJ10" s="501"/>
      <c r="TVK10" s="501"/>
      <c r="TVL10" s="501"/>
      <c r="TVM10" s="501"/>
      <c r="TVN10" s="501"/>
      <c r="TVO10" s="501"/>
      <c r="TVP10" s="501"/>
      <c r="TVQ10" s="501"/>
      <c r="TVR10" s="501"/>
      <c r="TVS10" s="501"/>
      <c r="TVT10" s="501"/>
      <c r="TVU10" s="501"/>
      <c r="TVV10" s="501"/>
      <c r="TVW10" s="501"/>
      <c r="TVX10" s="501"/>
      <c r="TVY10" s="501"/>
      <c r="TVZ10" s="501"/>
      <c r="TWA10" s="501"/>
      <c r="TWB10" s="501"/>
      <c r="TWC10" s="501"/>
      <c r="TWD10" s="501"/>
      <c r="TWE10" s="501"/>
      <c r="TWF10" s="501"/>
      <c r="TWG10" s="501"/>
      <c r="TWH10" s="501"/>
      <c r="TWI10" s="501"/>
      <c r="TWJ10" s="501"/>
      <c r="TWK10" s="501"/>
      <c r="TWL10" s="501"/>
      <c r="TWM10" s="501"/>
      <c r="TWN10" s="501"/>
      <c r="TWO10" s="501"/>
      <c r="TWP10" s="501"/>
      <c r="TWQ10" s="501"/>
      <c r="TWR10" s="501"/>
      <c r="TWS10" s="501"/>
      <c r="TWT10" s="501"/>
      <c r="TWU10" s="501"/>
      <c r="TWV10" s="501"/>
      <c r="TWW10" s="501"/>
      <c r="TWX10" s="501"/>
      <c r="TWY10" s="501"/>
      <c r="TWZ10" s="501"/>
      <c r="TXA10" s="501"/>
      <c r="TXB10" s="501"/>
      <c r="TXC10" s="501"/>
      <c r="TXD10" s="501"/>
      <c r="TXE10" s="501"/>
      <c r="TXF10" s="501"/>
      <c r="TXG10" s="501"/>
      <c r="TXH10" s="501"/>
      <c r="TXI10" s="501"/>
      <c r="TXJ10" s="501"/>
      <c r="TXK10" s="501"/>
      <c r="TXL10" s="501"/>
      <c r="TXM10" s="501"/>
      <c r="TXN10" s="501"/>
      <c r="TXO10" s="501"/>
      <c r="TXP10" s="501"/>
      <c r="TXQ10" s="501"/>
      <c r="TXR10" s="501"/>
      <c r="TXS10" s="501"/>
      <c r="TXT10" s="501"/>
      <c r="TXU10" s="501"/>
      <c r="TXV10" s="501"/>
      <c r="TXW10" s="501"/>
      <c r="TXX10" s="501"/>
      <c r="TXY10" s="501"/>
      <c r="TXZ10" s="501"/>
      <c r="TYA10" s="501"/>
      <c r="TYB10" s="501"/>
      <c r="TYC10" s="501"/>
      <c r="TYD10" s="501"/>
      <c r="TYE10" s="501"/>
      <c r="TYF10" s="501"/>
      <c r="TYG10" s="501"/>
      <c r="TYH10" s="501"/>
      <c r="TYI10" s="501"/>
      <c r="TYJ10" s="501"/>
      <c r="TYK10" s="501"/>
      <c r="TYL10" s="501"/>
      <c r="TYM10" s="501"/>
      <c r="TYN10" s="501"/>
      <c r="TYO10" s="501"/>
      <c r="TYP10" s="501"/>
      <c r="TYQ10" s="501"/>
      <c r="TYR10" s="501"/>
      <c r="TYS10" s="501"/>
      <c r="TYT10" s="501"/>
      <c r="TYU10" s="501"/>
      <c r="TYV10" s="501"/>
      <c r="TYW10" s="501"/>
      <c r="TYX10" s="501"/>
      <c r="TYY10" s="501"/>
      <c r="TYZ10" s="501"/>
      <c r="TZA10" s="501"/>
      <c r="TZB10" s="501"/>
      <c r="TZC10" s="501"/>
      <c r="TZD10" s="501"/>
      <c r="TZE10" s="501"/>
      <c r="TZF10" s="501"/>
      <c r="TZG10" s="501"/>
      <c r="TZH10" s="501"/>
      <c r="TZI10" s="501"/>
      <c r="TZJ10" s="501"/>
      <c r="TZK10" s="501"/>
      <c r="TZL10" s="501"/>
      <c r="TZM10" s="501"/>
      <c r="TZN10" s="501"/>
      <c r="TZO10" s="501"/>
      <c r="TZP10" s="501"/>
      <c r="TZQ10" s="501"/>
      <c r="TZR10" s="501"/>
      <c r="TZS10" s="501"/>
      <c r="TZT10" s="501"/>
      <c r="TZU10" s="501"/>
      <c r="TZV10" s="501"/>
      <c r="TZW10" s="501"/>
      <c r="TZX10" s="501"/>
      <c r="TZY10" s="501"/>
      <c r="TZZ10" s="501"/>
      <c r="UAA10" s="501"/>
      <c r="UAB10" s="501"/>
      <c r="UAC10" s="501"/>
      <c r="UAD10" s="501"/>
      <c r="UAE10" s="501"/>
      <c r="UAF10" s="501"/>
      <c r="UAG10" s="501"/>
      <c r="UAH10" s="501"/>
      <c r="UAI10" s="501"/>
      <c r="UAJ10" s="501"/>
      <c r="UAK10" s="501"/>
      <c r="UAL10" s="501"/>
      <c r="UAM10" s="501"/>
      <c r="UAN10" s="501"/>
      <c r="UAO10" s="501"/>
      <c r="UAP10" s="501"/>
      <c r="UAQ10" s="501"/>
      <c r="UAR10" s="501"/>
      <c r="UAS10" s="501"/>
      <c r="UAT10" s="501"/>
      <c r="UAU10" s="501"/>
      <c r="UAV10" s="501"/>
      <c r="UAW10" s="501"/>
      <c r="UAX10" s="501"/>
      <c r="UAY10" s="501"/>
      <c r="UAZ10" s="501"/>
      <c r="UBA10" s="501"/>
      <c r="UBB10" s="501"/>
      <c r="UBC10" s="501"/>
      <c r="UBD10" s="501"/>
      <c r="UBE10" s="501"/>
      <c r="UBF10" s="501"/>
      <c r="UBG10" s="501"/>
      <c r="UBH10" s="501"/>
      <c r="UBI10" s="501"/>
      <c r="UBJ10" s="501"/>
      <c r="UBK10" s="501"/>
      <c r="UBL10" s="501"/>
      <c r="UBM10" s="501"/>
      <c r="UBN10" s="501"/>
      <c r="UBO10" s="501"/>
      <c r="UBP10" s="501"/>
      <c r="UBQ10" s="501"/>
      <c r="UBR10" s="501"/>
      <c r="UBS10" s="501"/>
      <c r="UBT10" s="501"/>
      <c r="UBU10" s="501"/>
      <c r="UBV10" s="501"/>
      <c r="UBW10" s="501"/>
      <c r="UBX10" s="501"/>
      <c r="UBY10" s="501"/>
      <c r="UBZ10" s="501"/>
      <c r="UCA10" s="501"/>
      <c r="UCB10" s="501"/>
      <c r="UCC10" s="501"/>
      <c r="UCD10" s="501"/>
      <c r="UCE10" s="501"/>
      <c r="UCF10" s="501"/>
      <c r="UCG10" s="501"/>
      <c r="UCH10" s="501"/>
      <c r="UCI10" s="501"/>
      <c r="UCJ10" s="501"/>
      <c r="UCK10" s="501"/>
      <c r="UCL10" s="501"/>
      <c r="UCM10" s="501"/>
      <c r="UCN10" s="501"/>
      <c r="UCO10" s="501"/>
      <c r="UCP10" s="501"/>
      <c r="UCQ10" s="501"/>
      <c r="UCR10" s="501"/>
      <c r="UCS10" s="501"/>
      <c r="UCT10" s="501"/>
      <c r="UCU10" s="501"/>
      <c r="UCV10" s="501"/>
      <c r="UCW10" s="501"/>
      <c r="UCX10" s="501"/>
      <c r="UCY10" s="501"/>
      <c r="UCZ10" s="501"/>
      <c r="UDA10" s="501"/>
      <c r="UDB10" s="501"/>
      <c r="UDC10" s="501"/>
      <c r="UDD10" s="501"/>
      <c r="UDE10" s="501"/>
      <c r="UDF10" s="501"/>
      <c r="UDG10" s="501"/>
      <c r="UDH10" s="501"/>
      <c r="UDI10" s="501"/>
      <c r="UDJ10" s="501"/>
      <c r="UDK10" s="501"/>
      <c r="UDL10" s="501"/>
      <c r="UDM10" s="501"/>
      <c r="UDN10" s="501"/>
      <c r="UDO10" s="501"/>
      <c r="UDP10" s="501"/>
      <c r="UDQ10" s="501"/>
      <c r="UDR10" s="501"/>
      <c r="UDS10" s="501"/>
      <c r="UDT10" s="501"/>
      <c r="UDU10" s="501"/>
      <c r="UDV10" s="501"/>
      <c r="UDW10" s="501"/>
      <c r="UDX10" s="501"/>
      <c r="UDY10" s="501"/>
      <c r="UDZ10" s="501"/>
      <c r="UEA10" s="501"/>
      <c r="UEB10" s="501"/>
      <c r="UEC10" s="501"/>
      <c r="UED10" s="501"/>
      <c r="UEE10" s="501"/>
      <c r="UEF10" s="501"/>
      <c r="UEG10" s="501"/>
      <c r="UEH10" s="501"/>
      <c r="UEI10" s="501"/>
      <c r="UEJ10" s="501"/>
      <c r="UEK10" s="501"/>
      <c r="UEL10" s="501"/>
      <c r="UEM10" s="501"/>
      <c r="UEN10" s="501"/>
      <c r="UEO10" s="501"/>
      <c r="UEP10" s="501"/>
      <c r="UEQ10" s="501"/>
      <c r="UER10" s="501"/>
      <c r="UES10" s="501"/>
      <c r="UET10" s="501"/>
      <c r="UEU10" s="501"/>
      <c r="UEV10" s="501"/>
      <c r="UEW10" s="501"/>
      <c r="UEX10" s="501"/>
      <c r="UEY10" s="501"/>
      <c r="UEZ10" s="501"/>
      <c r="UFA10" s="501"/>
      <c r="UFB10" s="501"/>
      <c r="UFC10" s="501"/>
      <c r="UFD10" s="501"/>
      <c r="UFE10" s="501"/>
      <c r="UFF10" s="501"/>
      <c r="UFG10" s="501"/>
      <c r="UFH10" s="501"/>
      <c r="UFI10" s="501"/>
      <c r="UFJ10" s="501"/>
      <c r="UFK10" s="501"/>
      <c r="UFL10" s="501"/>
      <c r="UFM10" s="501"/>
      <c r="UFN10" s="501"/>
      <c r="UFO10" s="501"/>
      <c r="UFP10" s="501"/>
      <c r="UFQ10" s="501"/>
      <c r="UFR10" s="501"/>
      <c r="UFS10" s="501"/>
      <c r="UFT10" s="501"/>
      <c r="UFU10" s="501"/>
      <c r="UFV10" s="501"/>
      <c r="UFW10" s="501"/>
      <c r="UFX10" s="501"/>
      <c r="UFY10" s="501"/>
      <c r="UFZ10" s="501"/>
      <c r="UGA10" s="501"/>
      <c r="UGB10" s="501"/>
      <c r="UGC10" s="501"/>
      <c r="UGD10" s="501"/>
      <c r="UGE10" s="501"/>
      <c r="UGF10" s="501"/>
      <c r="UGG10" s="501"/>
      <c r="UGH10" s="501"/>
      <c r="UGI10" s="501"/>
      <c r="UGJ10" s="501"/>
      <c r="UGK10" s="501"/>
      <c r="UGL10" s="501"/>
      <c r="UGM10" s="501"/>
      <c r="UGN10" s="501"/>
      <c r="UGO10" s="501"/>
      <c r="UGP10" s="501"/>
      <c r="UGQ10" s="501"/>
      <c r="UGR10" s="501"/>
      <c r="UGS10" s="501"/>
      <c r="UGT10" s="501"/>
      <c r="UGU10" s="501"/>
      <c r="UGV10" s="501"/>
      <c r="UGW10" s="501"/>
      <c r="UGX10" s="501"/>
      <c r="UGY10" s="501"/>
      <c r="UGZ10" s="501"/>
      <c r="UHA10" s="501"/>
      <c r="UHB10" s="501"/>
      <c r="UHC10" s="501"/>
      <c r="UHD10" s="501"/>
      <c r="UHE10" s="501"/>
      <c r="UHF10" s="501"/>
      <c r="UHG10" s="501"/>
      <c r="UHH10" s="501"/>
      <c r="UHI10" s="501"/>
      <c r="UHJ10" s="501"/>
      <c r="UHK10" s="501"/>
      <c r="UHL10" s="501"/>
      <c r="UHM10" s="501"/>
      <c r="UHN10" s="501"/>
      <c r="UHO10" s="501"/>
      <c r="UHP10" s="501"/>
      <c r="UHQ10" s="501"/>
      <c r="UHR10" s="501"/>
      <c r="UHS10" s="501"/>
      <c r="UHT10" s="501"/>
      <c r="UHU10" s="501"/>
      <c r="UHV10" s="501"/>
      <c r="UHW10" s="501"/>
      <c r="UHX10" s="501"/>
      <c r="UHY10" s="501"/>
      <c r="UHZ10" s="501"/>
      <c r="UIA10" s="501"/>
      <c r="UIB10" s="501"/>
      <c r="UIC10" s="501"/>
      <c r="UID10" s="501"/>
      <c r="UIE10" s="501"/>
      <c r="UIF10" s="501"/>
      <c r="UIG10" s="501"/>
      <c r="UIH10" s="501"/>
      <c r="UII10" s="501"/>
      <c r="UIJ10" s="501"/>
      <c r="UIK10" s="501"/>
      <c r="UIL10" s="501"/>
      <c r="UIM10" s="501"/>
      <c r="UIN10" s="501"/>
      <c r="UIO10" s="501"/>
      <c r="UIP10" s="501"/>
      <c r="UIQ10" s="501"/>
      <c r="UIR10" s="501"/>
      <c r="UIS10" s="501"/>
      <c r="UIT10" s="501"/>
      <c r="UIU10" s="501"/>
      <c r="UIV10" s="501"/>
      <c r="UIW10" s="501"/>
      <c r="UIX10" s="501"/>
      <c r="UIY10" s="501"/>
      <c r="UIZ10" s="501"/>
      <c r="UJA10" s="501"/>
      <c r="UJB10" s="501"/>
      <c r="UJC10" s="501"/>
      <c r="UJD10" s="501"/>
      <c r="UJE10" s="501"/>
      <c r="UJF10" s="501"/>
      <c r="UJG10" s="501"/>
      <c r="UJH10" s="501"/>
      <c r="UJI10" s="501"/>
      <c r="UJJ10" s="501"/>
      <c r="UJK10" s="501"/>
      <c r="UJL10" s="501"/>
      <c r="UJM10" s="501"/>
      <c r="UJN10" s="501"/>
      <c r="UJO10" s="501"/>
      <c r="UJP10" s="501"/>
      <c r="UJQ10" s="501"/>
      <c r="UJR10" s="501"/>
      <c r="UJS10" s="501"/>
      <c r="UJT10" s="501"/>
      <c r="UJU10" s="501"/>
      <c r="UJV10" s="501"/>
      <c r="UJW10" s="501"/>
      <c r="UJX10" s="501"/>
      <c r="UJY10" s="501"/>
      <c r="UJZ10" s="501"/>
      <c r="UKA10" s="501"/>
      <c r="UKB10" s="501"/>
      <c r="UKC10" s="501"/>
      <c r="UKD10" s="501"/>
      <c r="UKE10" s="501"/>
      <c r="UKF10" s="501"/>
      <c r="UKG10" s="501"/>
      <c r="UKH10" s="501"/>
      <c r="UKI10" s="501"/>
      <c r="UKJ10" s="501"/>
      <c r="UKK10" s="501"/>
      <c r="UKL10" s="501"/>
      <c r="UKM10" s="501"/>
      <c r="UKN10" s="501"/>
      <c r="UKO10" s="501"/>
      <c r="UKP10" s="501"/>
      <c r="UKQ10" s="501"/>
      <c r="UKR10" s="501"/>
      <c r="UKS10" s="501"/>
      <c r="UKT10" s="501"/>
      <c r="UKU10" s="501"/>
      <c r="UKV10" s="501"/>
      <c r="UKW10" s="501"/>
      <c r="UKX10" s="501"/>
      <c r="UKY10" s="501"/>
      <c r="UKZ10" s="501"/>
      <c r="ULA10" s="501"/>
      <c r="ULB10" s="501"/>
      <c r="ULC10" s="501"/>
      <c r="ULD10" s="501"/>
      <c r="ULE10" s="501"/>
      <c r="ULF10" s="501"/>
      <c r="ULG10" s="501"/>
      <c r="ULH10" s="501"/>
      <c r="ULI10" s="501"/>
      <c r="ULJ10" s="501"/>
      <c r="ULK10" s="501"/>
      <c r="ULL10" s="501"/>
      <c r="ULM10" s="501"/>
      <c r="ULN10" s="501"/>
      <c r="ULO10" s="501"/>
      <c r="ULP10" s="501"/>
      <c r="ULQ10" s="501"/>
      <c r="ULR10" s="501"/>
      <c r="ULS10" s="501"/>
      <c r="ULT10" s="501"/>
      <c r="ULU10" s="501"/>
      <c r="ULV10" s="501"/>
      <c r="ULW10" s="501"/>
      <c r="ULX10" s="501"/>
      <c r="ULY10" s="501"/>
      <c r="ULZ10" s="501"/>
      <c r="UMA10" s="501"/>
      <c r="UMB10" s="501"/>
      <c r="UMC10" s="501"/>
      <c r="UMD10" s="501"/>
      <c r="UME10" s="501"/>
      <c r="UMF10" s="501"/>
      <c r="UMG10" s="501"/>
      <c r="UMH10" s="501"/>
      <c r="UMI10" s="501"/>
      <c r="UMJ10" s="501"/>
      <c r="UMK10" s="501"/>
      <c r="UML10" s="501"/>
      <c r="UMM10" s="501"/>
      <c r="UMN10" s="501"/>
      <c r="UMO10" s="501"/>
      <c r="UMP10" s="501"/>
      <c r="UMQ10" s="501"/>
      <c r="UMR10" s="501"/>
      <c r="UMS10" s="501"/>
      <c r="UMT10" s="501"/>
      <c r="UMU10" s="501"/>
      <c r="UMV10" s="501"/>
      <c r="UMW10" s="501"/>
      <c r="UMX10" s="501"/>
      <c r="UMY10" s="501"/>
      <c r="UMZ10" s="501"/>
      <c r="UNA10" s="501"/>
      <c r="UNB10" s="501"/>
      <c r="UNC10" s="501"/>
      <c r="UND10" s="501"/>
      <c r="UNE10" s="501"/>
      <c r="UNF10" s="501"/>
      <c r="UNG10" s="501"/>
      <c r="UNH10" s="501"/>
      <c r="UNI10" s="501"/>
      <c r="UNJ10" s="501"/>
      <c r="UNK10" s="501"/>
      <c r="UNL10" s="501"/>
      <c r="UNM10" s="501"/>
      <c r="UNN10" s="501"/>
      <c r="UNO10" s="501"/>
      <c r="UNP10" s="501"/>
      <c r="UNQ10" s="501"/>
      <c r="UNR10" s="501"/>
      <c r="UNS10" s="501"/>
      <c r="UNT10" s="501"/>
      <c r="UNU10" s="501"/>
      <c r="UNV10" s="501"/>
      <c r="UNW10" s="501"/>
      <c r="UNX10" s="501"/>
      <c r="UNY10" s="501"/>
      <c r="UNZ10" s="501"/>
      <c r="UOA10" s="501"/>
      <c r="UOB10" s="501"/>
      <c r="UOC10" s="501"/>
      <c r="UOD10" s="501"/>
      <c r="UOE10" s="501"/>
      <c r="UOF10" s="501"/>
      <c r="UOG10" s="501"/>
      <c r="UOH10" s="501"/>
      <c r="UOI10" s="501"/>
      <c r="UOJ10" s="501"/>
      <c r="UOK10" s="501"/>
      <c r="UOL10" s="501"/>
      <c r="UOM10" s="501"/>
      <c r="UON10" s="501"/>
      <c r="UOO10" s="501"/>
      <c r="UOP10" s="501"/>
      <c r="UOQ10" s="501"/>
      <c r="UOR10" s="501"/>
      <c r="UOS10" s="501"/>
      <c r="UOT10" s="501"/>
      <c r="UOU10" s="501"/>
      <c r="UOV10" s="501"/>
      <c r="UOW10" s="501"/>
      <c r="UOX10" s="501"/>
      <c r="UOY10" s="501"/>
      <c r="UOZ10" s="501"/>
      <c r="UPA10" s="501"/>
      <c r="UPB10" s="501"/>
      <c r="UPC10" s="501"/>
      <c r="UPD10" s="501"/>
      <c r="UPE10" s="501"/>
      <c r="UPF10" s="501"/>
      <c r="UPG10" s="501"/>
      <c r="UPH10" s="501"/>
      <c r="UPI10" s="501"/>
      <c r="UPJ10" s="501"/>
      <c r="UPK10" s="501"/>
      <c r="UPL10" s="501"/>
      <c r="UPM10" s="501"/>
      <c r="UPN10" s="501"/>
      <c r="UPO10" s="501"/>
      <c r="UPP10" s="501"/>
      <c r="UPQ10" s="501"/>
      <c r="UPR10" s="501"/>
      <c r="UPS10" s="501"/>
      <c r="UPT10" s="501"/>
      <c r="UPU10" s="501"/>
      <c r="UPV10" s="501"/>
      <c r="UPW10" s="501"/>
      <c r="UPX10" s="501"/>
      <c r="UPY10" s="501"/>
      <c r="UPZ10" s="501"/>
      <c r="UQA10" s="501"/>
      <c r="UQB10" s="501"/>
      <c r="UQC10" s="501"/>
      <c r="UQD10" s="501"/>
      <c r="UQE10" s="501"/>
      <c r="UQF10" s="501"/>
      <c r="UQG10" s="501"/>
      <c r="UQH10" s="501"/>
      <c r="UQI10" s="501"/>
      <c r="UQJ10" s="501"/>
      <c r="UQK10" s="501"/>
      <c r="UQL10" s="501"/>
      <c r="UQM10" s="501"/>
      <c r="UQN10" s="501"/>
      <c r="UQO10" s="501"/>
      <c r="UQP10" s="501"/>
      <c r="UQQ10" s="501"/>
      <c r="UQR10" s="501"/>
      <c r="UQS10" s="501"/>
      <c r="UQT10" s="501"/>
      <c r="UQU10" s="501"/>
      <c r="UQV10" s="501"/>
      <c r="UQW10" s="501"/>
      <c r="UQX10" s="501"/>
      <c r="UQY10" s="501"/>
      <c r="UQZ10" s="501"/>
      <c r="URA10" s="501"/>
      <c r="URB10" s="501"/>
      <c r="URC10" s="501"/>
      <c r="URD10" s="501"/>
      <c r="URE10" s="501"/>
      <c r="URF10" s="501"/>
      <c r="URG10" s="501"/>
      <c r="URH10" s="501"/>
      <c r="URI10" s="501"/>
      <c r="URJ10" s="501"/>
      <c r="URK10" s="501"/>
      <c r="URL10" s="501"/>
      <c r="URM10" s="501"/>
      <c r="URN10" s="501"/>
      <c r="URO10" s="501"/>
      <c r="URP10" s="501"/>
      <c r="URQ10" s="501"/>
      <c r="URR10" s="501"/>
      <c r="URS10" s="501"/>
      <c r="URT10" s="501"/>
      <c r="URU10" s="501"/>
      <c r="URV10" s="501"/>
      <c r="URW10" s="501"/>
      <c r="URX10" s="501"/>
      <c r="URY10" s="501"/>
      <c r="URZ10" s="501"/>
      <c r="USA10" s="501"/>
      <c r="USB10" s="501"/>
      <c r="USC10" s="501"/>
      <c r="USD10" s="501"/>
      <c r="USE10" s="501"/>
      <c r="USF10" s="501"/>
      <c r="USG10" s="501"/>
      <c r="USH10" s="501"/>
      <c r="USI10" s="501"/>
      <c r="USJ10" s="501"/>
      <c r="USK10" s="501"/>
      <c r="USL10" s="501"/>
      <c r="USM10" s="501"/>
      <c r="USN10" s="501"/>
      <c r="USO10" s="501"/>
      <c r="USP10" s="501"/>
      <c r="USQ10" s="501"/>
      <c r="USR10" s="501"/>
      <c r="USS10" s="501"/>
      <c r="UST10" s="501"/>
      <c r="USU10" s="501"/>
      <c r="USV10" s="501"/>
      <c r="USW10" s="501"/>
      <c r="USX10" s="501"/>
      <c r="USY10" s="501"/>
      <c r="USZ10" s="501"/>
      <c r="UTA10" s="501"/>
      <c r="UTB10" s="501"/>
      <c r="UTC10" s="501"/>
      <c r="UTD10" s="501"/>
      <c r="UTE10" s="501"/>
      <c r="UTF10" s="501"/>
      <c r="UTG10" s="501"/>
      <c r="UTH10" s="501"/>
      <c r="UTI10" s="501"/>
      <c r="UTJ10" s="501"/>
      <c r="UTK10" s="501"/>
      <c r="UTL10" s="501"/>
      <c r="UTM10" s="501"/>
      <c r="UTN10" s="501"/>
      <c r="UTO10" s="501"/>
      <c r="UTP10" s="501"/>
      <c r="UTQ10" s="501"/>
      <c r="UTR10" s="501"/>
      <c r="UTS10" s="501"/>
      <c r="UTT10" s="501"/>
      <c r="UTU10" s="501"/>
      <c r="UTV10" s="501"/>
      <c r="UTW10" s="501"/>
      <c r="UTX10" s="501"/>
      <c r="UTY10" s="501"/>
      <c r="UTZ10" s="501"/>
      <c r="UUA10" s="501"/>
      <c r="UUB10" s="501"/>
      <c r="UUC10" s="501"/>
      <c r="UUD10" s="501"/>
      <c r="UUE10" s="501"/>
      <c r="UUF10" s="501"/>
      <c r="UUG10" s="501"/>
      <c r="UUH10" s="501"/>
      <c r="UUI10" s="501"/>
      <c r="UUJ10" s="501"/>
      <c r="UUK10" s="501"/>
      <c r="UUL10" s="501"/>
      <c r="UUM10" s="501"/>
      <c r="UUN10" s="501"/>
      <c r="UUO10" s="501"/>
      <c r="UUP10" s="501"/>
      <c r="UUQ10" s="501"/>
      <c r="UUR10" s="501"/>
      <c r="UUS10" s="501"/>
      <c r="UUT10" s="501"/>
      <c r="UUU10" s="501"/>
      <c r="UUV10" s="501"/>
      <c r="UUW10" s="501"/>
      <c r="UUX10" s="501"/>
      <c r="UUY10" s="501"/>
      <c r="UUZ10" s="501"/>
      <c r="UVA10" s="501"/>
      <c r="UVB10" s="501"/>
      <c r="UVC10" s="501"/>
      <c r="UVD10" s="501"/>
      <c r="UVE10" s="501"/>
      <c r="UVF10" s="501"/>
      <c r="UVG10" s="501"/>
      <c r="UVH10" s="501"/>
      <c r="UVI10" s="501"/>
      <c r="UVJ10" s="501"/>
      <c r="UVK10" s="501"/>
      <c r="UVL10" s="501"/>
      <c r="UVM10" s="501"/>
      <c r="UVN10" s="501"/>
      <c r="UVO10" s="501"/>
      <c r="UVP10" s="501"/>
      <c r="UVQ10" s="501"/>
      <c r="UVR10" s="501"/>
      <c r="UVS10" s="501"/>
      <c r="UVT10" s="501"/>
      <c r="UVU10" s="501"/>
      <c r="UVV10" s="501"/>
      <c r="UVW10" s="501"/>
      <c r="UVX10" s="501"/>
      <c r="UVY10" s="501"/>
      <c r="UVZ10" s="501"/>
      <c r="UWA10" s="501"/>
      <c r="UWB10" s="501"/>
      <c r="UWC10" s="501"/>
      <c r="UWD10" s="501"/>
      <c r="UWE10" s="501"/>
      <c r="UWF10" s="501"/>
      <c r="UWG10" s="501"/>
      <c r="UWH10" s="501"/>
      <c r="UWI10" s="501"/>
      <c r="UWJ10" s="501"/>
      <c r="UWK10" s="501"/>
      <c r="UWL10" s="501"/>
      <c r="UWM10" s="501"/>
      <c r="UWN10" s="501"/>
      <c r="UWO10" s="501"/>
      <c r="UWP10" s="501"/>
      <c r="UWQ10" s="501"/>
      <c r="UWR10" s="501"/>
      <c r="UWS10" s="501"/>
      <c r="UWT10" s="501"/>
      <c r="UWU10" s="501"/>
      <c r="UWV10" s="501"/>
      <c r="UWW10" s="501"/>
      <c r="UWX10" s="501"/>
      <c r="UWY10" s="501"/>
      <c r="UWZ10" s="501"/>
      <c r="UXA10" s="501"/>
      <c r="UXB10" s="501"/>
      <c r="UXC10" s="501"/>
      <c r="UXD10" s="501"/>
      <c r="UXE10" s="501"/>
      <c r="UXF10" s="501"/>
      <c r="UXG10" s="501"/>
      <c r="UXH10" s="501"/>
      <c r="UXI10" s="501"/>
      <c r="UXJ10" s="501"/>
      <c r="UXK10" s="501"/>
      <c r="UXL10" s="501"/>
      <c r="UXM10" s="501"/>
      <c r="UXN10" s="501"/>
      <c r="UXO10" s="501"/>
      <c r="UXP10" s="501"/>
      <c r="UXQ10" s="501"/>
      <c r="UXR10" s="501"/>
      <c r="UXS10" s="501"/>
      <c r="UXT10" s="501"/>
      <c r="UXU10" s="501"/>
      <c r="UXV10" s="501"/>
      <c r="UXW10" s="501"/>
      <c r="UXX10" s="501"/>
      <c r="UXY10" s="501"/>
      <c r="UXZ10" s="501"/>
      <c r="UYA10" s="501"/>
      <c r="UYB10" s="501"/>
      <c r="UYC10" s="501"/>
      <c r="UYD10" s="501"/>
      <c r="UYE10" s="501"/>
      <c r="UYF10" s="501"/>
      <c r="UYG10" s="501"/>
      <c r="UYH10" s="501"/>
      <c r="UYI10" s="501"/>
      <c r="UYJ10" s="501"/>
      <c r="UYK10" s="501"/>
      <c r="UYL10" s="501"/>
      <c r="UYM10" s="501"/>
      <c r="UYN10" s="501"/>
      <c r="UYO10" s="501"/>
      <c r="UYP10" s="501"/>
      <c r="UYQ10" s="501"/>
      <c r="UYR10" s="501"/>
      <c r="UYS10" s="501"/>
      <c r="UYT10" s="501"/>
      <c r="UYU10" s="501"/>
      <c r="UYV10" s="501"/>
      <c r="UYW10" s="501"/>
      <c r="UYX10" s="501"/>
      <c r="UYY10" s="501"/>
      <c r="UYZ10" s="501"/>
      <c r="UZA10" s="501"/>
      <c r="UZB10" s="501"/>
      <c r="UZC10" s="501"/>
      <c r="UZD10" s="501"/>
      <c r="UZE10" s="501"/>
      <c r="UZF10" s="501"/>
      <c r="UZG10" s="501"/>
      <c r="UZH10" s="501"/>
      <c r="UZI10" s="501"/>
      <c r="UZJ10" s="501"/>
      <c r="UZK10" s="501"/>
      <c r="UZL10" s="501"/>
      <c r="UZM10" s="501"/>
      <c r="UZN10" s="501"/>
      <c r="UZO10" s="501"/>
      <c r="UZP10" s="501"/>
      <c r="UZQ10" s="501"/>
      <c r="UZR10" s="501"/>
      <c r="UZS10" s="501"/>
      <c r="UZT10" s="501"/>
      <c r="UZU10" s="501"/>
      <c r="UZV10" s="501"/>
      <c r="UZW10" s="501"/>
      <c r="UZX10" s="501"/>
      <c r="UZY10" s="501"/>
      <c r="UZZ10" s="501"/>
      <c r="VAA10" s="501"/>
      <c r="VAB10" s="501"/>
      <c r="VAC10" s="501"/>
      <c r="VAD10" s="501"/>
      <c r="VAE10" s="501"/>
      <c r="VAF10" s="501"/>
      <c r="VAG10" s="501"/>
      <c r="VAH10" s="501"/>
      <c r="VAI10" s="501"/>
      <c r="VAJ10" s="501"/>
      <c r="VAK10" s="501"/>
      <c r="VAL10" s="501"/>
      <c r="VAM10" s="501"/>
      <c r="VAN10" s="501"/>
      <c r="VAO10" s="501"/>
      <c r="VAP10" s="501"/>
      <c r="VAQ10" s="501"/>
      <c r="VAR10" s="501"/>
      <c r="VAS10" s="501"/>
      <c r="VAT10" s="501"/>
      <c r="VAU10" s="501"/>
      <c r="VAV10" s="501"/>
      <c r="VAW10" s="501"/>
      <c r="VAX10" s="501"/>
      <c r="VAY10" s="501"/>
      <c r="VAZ10" s="501"/>
      <c r="VBA10" s="501"/>
      <c r="VBB10" s="501"/>
      <c r="VBC10" s="501"/>
      <c r="VBD10" s="501"/>
      <c r="VBE10" s="501"/>
      <c r="VBF10" s="501"/>
      <c r="VBG10" s="501"/>
      <c r="VBH10" s="501"/>
      <c r="VBI10" s="501"/>
      <c r="VBJ10" s="501"/>
      <c r="VBK10" s="501"/>
      <c r="VBL10" s="501"/>
      <c r="VBM10" s="501"/>
      <c r="VBN10" s="501"/>
      <c r="VBO10" s="501"/>
      <c r="VBP10" s="501"/>
      <c r="VBQ10" s="501"/>
      <c r="VBR10" s="501"/>
      <c r="VBS10" s="501"/>
      <c r="VBT10" s="501"/>
      <c r="VBU10" s="501"/>
      <c r="VBV10" s="501"/>
      <c r="VBW10" s="501"/>
      <c r="VBX10" s="501"/>
      <c r="VBY10" s="501"/>
      <c r="VBZ10" s="501"/>
      <c r="VCA10" s="501"/>
      <c r="VCB10" s="501"/>
      <c r="VCC10" s="501"/>
      <c r="VCD10" s="501"/>
      <c r="VCE10" s="501"/>
      <c r="VCF10" s="501"/>
      <c r="VCG10" s="501"/>
      <c r="VCH10" s="501"/>
      <c r="VCI10" s="501"/>
      <c r="VCJ10" s="501"/>
      <c r="VCK10" s="501"/>
      <c r="VCL10" s="501"/>
      <c r="VCM10" s="501"/>
      <c r="VCN10" s="501"/>
      <c r="VCO10" s="501"/>
      <c r="VCP10" s="501"/>
      <c r="VCQ10" s="501"/>
      <c r="VCR10" s="501"/>
      <c r="VCS10" s="501"/>
      <c r="VCT10" s="501"/>
      <c r="VCU10" s="501"/>
      <c r="VCV10" s="501"/>
      <c r="VCW10" s="501"/>
      <c r="VCX10" s="501"/>
      <c r="VCY10" s="501"/>
      <c r="VCZ10" s="501"/>
      <c r="VDA10" s="501"/>
      <c r="VDB10" s="501"/>
      <c r="VDC10" s="501"/>
      <c r="VDD10" s="501"/>
      <c r="VDE10" s="501"/>
      <c r="VDF10" s="501"/>
      <c r="VDG10" s="501"/>
      <c r="VDH10" s="501"/>
      <c r="VDI10" s="501"/>
      <c r="VDJ10" s="501"/>
      <c r="VDK10" s="501"/>
      <c r="VDL10" s="501"/>
      <c r="VDM10" s="501"/>
      <c r="VDN10" s="501"/>
      <c r="VDO10" s="501"/>
      <c r="VDP10" s="501"/>
      <c r="VDQ10" s="501"/>
      <c r="VDR10" s="501"/>
      <c r="VDS10" s="501"/>
      <c r="VDT10" s="501"/>
      <c r="VDU10" s="501"/>
      <c r="VDV10" s="501"/>
      <c r="VDW10" s="501"/>
      <c r="VDX10" s="501"/>
      <c r="VDY10" s="501"/>
      <c r="VDZ10" s="501"/>
      <c r="VEA10" s="501"/>
      <c r="VEB10" s="501"/>
      <c r="VEC10" s="501"/>
      <c r="VED10" s="501"/>
      <c r="VEE10" s="501"/>
      <c r="VEF10" s="501"/>
      <c r="VEG10" s="501"/>
      <c r="VEH10" s="501"/>
      <c r="VEI10" s="501"/>
      <c r="VEJ10" s="501"/>
      <c r="VEK10" s="501"/>
      <c r="VEL10" s="501"/>
      <c r="VEM10" s="501"/>
      <c r="VEN10" s="501"/>
      <c r="VEO10" s="501"/>
      <c r="VEP10" s="501"/>
      <c r="VEQ10" s="501"/>
      <c r="VER10" s="501"/>
      <c r="VES10" s="501"/>
      <c r="VET10" s="501"/>
      <c r="VEU10" s="501"/>
      <c r="VEV10" s="501"/>
      <c r="VEW10" s="501"/>
      <c r="VEX10" s="501"/>
      <c r="VEY10" s="501"/>
      <c r="VEZ10" s="501"/>
      <c r="VFA10" s="501"/>
      <c r="VFB10" s="501"/>
      <c r="VFC10" s="501"/>
      <c r="VFD10" s="501"/>
      <c r="VFE10" s="501"/>
      <c r="VFF10" s="501"/>
      <c r="VFG10" s="501"/>
      <c r="VFH10" s="501"/>
      <c r="VFI10" s="501"/>
      <c r="VFJ10" s="501"/>
      <c r="VFK10" s="501"/>
      <c r="VFL10" s="501"/>
      <c r="VFM10" s="501"/>
      <c r="VFN10" s="501"/>
      <c r="VFO10" s="501"/>
      <c r="VFP10" s="501"/>
      <c r="VFQ10" s="501"/>
      <c r="VFR10" s="501"/>
      <c r="VFS10" s="501"/>
      <c r="VFT10" s="501"/>
      <c r="VFU10" s="501"/>
      <c r="VFV10" s="501"/>
      <c r="VFW10" s="501"/>
      <c r="VFX10" s="501"/>
      <c r="VFY10" s="501"/>
      <c r="VFZ10" s="501"/>
      <c r="VGA10" s="501"/>
      <c r="VGB10" s="501"/>
      <c r="VGC10" s="501"/>
      <c r="VGD10" s="501"/>
      <c r="VGE10" s="501"/>
      <c r="VGF10" s="501"/>
      <c r="VGG10" s="501"/>
      <c r="VGH10" s="501"/>
      <c r="VGI10" s="501"/>
      <c r="VGJ10" s="501"/>
      <c r="VGK10" s="501"/>
      <c r="VGL10" s="501"/>
      <c r="VGM10" s="501"/>
      <c r="VGN10" s="501"/>
      <c r="VGO10" s="501"/>
      <c r="VGP10" s="501"/>
      <c r="VGQ10" s="501"/>
      <c r="VGR10" s="501"/>
      <c r="VGS10" s="501"/>
      <c r="VGT10" s="501"/>
      <c r="VGU10" s="501"/>
      <c r="VGV10" s="501"/>
      <c r="VGW10" s="501"/>
      <c r="VGX10" s="501"/>
      <c r="VGY10" s="501"/>
      <c r="VGZ10" s="501"/>
      <c r="VHA10" s="501"/>
      <c r="VHB10" s="501"/>
      <c r="VHC10" s="501"/>
      <c r="VHD10" s="501"/>
      <c r="VHE10" s="501"/>
      <c r="VHF10" s="501"/>
      <c r="VHG10" s="501"/>
      <c r="VHH10" s="501"/>
      <c r="VHI10" s="501"/>
      <c r="VHJ10" s="501"/>
      <c r="VHK10" s="501"/>
      <c r="VHL10" s="501"/>
      <c r="VHM10" s="501"/>
      <c r="VHN10" s="501"/>
      <c r="VHO10" s="501"/>
      <c r="VHP10" s="501"/>
      <c r="VHQ10" s="501"/>
      <c r="VHR10" s="501"/>
      <c r="VHS10" s="501"/>
      <c r="VHT10" s="501"/>
      <c r="VHU10" s="501"/>
      <c r="VHV10" s="501"/>
      <c r="VHW10" s="501"/>
      <c r="VHX10" s="501"/>
      <c r="VHY10" s="501"/>
      <c r="VHZ10" s="501"/>
      <c r="VIA10" s="501"/>
      <c r="VIB10" s="501"/>
      <c r="VIC10" s="501"/>
      <c r="VID10" s="501"/>
      <c r="VIE10" s="501"/>
      <c r="VIF10" s="501"/>
      <c r="VIG10" s="501"/>
      <c r="VIH10" s="501"/>
      <c r="VII10" s="501"/>
      <c r="VIJ10" s="501"/>
      <c r="VIK10" s="501"/>
      <c r="VIL10" s="501"/>
      <c r="VIM10" s="501"/>
      <c r="VIN10" s="501"/>
      <c r="VIO10" s="501"/>
      <c r="VIP10" s="501"/>
      <c r="VIQ10" s="501"/>
      <c r="VIR10" s="501"/>
      <c r="VIS10" s="501"/>
      <c r="VIT10" s="501"/>
      <c r="VIU10" s="501"/>
      <c r="VIV10" s="501"/>
      <c r="VIW10" s="501"/>
      <c r="VIX10" s="501"/>
      <c r="VIY10" s="501"/>
      <c r="VIZ10" s="501"/>
      <c r="VJA10" s="501"/>
      <c r="VJB10" s="501"/>
      <c r="VJC10" s="501"/>
      <c r="VJD10" s="501"/>
      <c r="VJE10" s="501"/>
      <c r="VJF10" s="501"/>
      <c r="VJG10" s="501"/>
      <c r="VJH10" s="501"/>
      <c r="VJI10" s="501"/>
      <c r="VJJ10" s="501"/>
      <c r="VJK10" s="501"/>
      <c r="VJL10" s="501"/>
      <c r="VJM10" s="501"/>
      <c r="VJN10" s="501"/>
      <c r="VJO10" s="501"/>
      <c r="VJP10" s="501"/>
      <c r="VJQ10" s="501"/>
      <c r="VJR10" s="501"/>
      <c r="VJS10" s="501"/>
      <c r="VJT10" s="501"/>
      <c r="VJU10" s="501"/>
      <c r="VJV10" s="501"/>
      <c r="VJW10" s="501"/>
      <c r="VJX10" s="501"/>
      <c r="VJY10" s="501"/>
      <c r="VJZ10" s="501"/>
      <c r="VKA10" s="501"/>
      <c r="VKB10" s="501"/>
      <c r="VKC10" s="501"/>
      <c r="VKD10" s="501"/>
      <c r="VKE10" s="501"/>
      <c r="VKF10" s="501"/>
      <c r="VKG10" s="501"/>
      <c r="VKH10" s="501"/>
      <c r="VKI10" s="501"/>
      <c r="VKJ10" s="501"/>
      <c r="VKK10" s="501"/>
      <c r="VKL10" s="501"/>
      <c r="VKM10" s="501"/>
      <c r="VKN10" s="501"/>
      <c r="VKO10" s="501"/>
      <c r="VKP10" s="501"/>
      <c r="VKQ10" s="501"/>
      <c r="VKR10" s="501"/>
      <c r="VKS10" s="501"/>
      <c r="VKT10" s="501"/>
      <c r="VKU10" s="501"/>
      <c r="VKV10" s="501"/>
      <c r="VKW10" s="501"/>
      <c r="VKX10" s="501"/>
      <c r="VKY10" s="501"/>
      <c r="VKZ10" s="501"/>
      <c r="VLA10" s="501"/>
      <c r="VLB10" s="501"/>
      <c r="VLC10" s="501"/>
      <c r="VLD10" s="501"/>
      <c r="VLE10" s="501"/>
      <c r="VLF10" s="501"/>
      <c r="VLG10" s="501"/>
      <c r="VLH10" s="501"/>
      <c r="VLI10" s="501"/>
      <c r="VLJ10" s="501"/>
      <c r="VLK10" s="501"/>
      <c r="VLL10" s="501"/>
      <c r="VLM10" s="501"/>
      <c r="VLN10" s="501"/>
      <c r="VLO10" s="501"/>
      <c r="VLP10" s="501"/>
      <c r="VLQ10" s="501"/>
      <c r="VLR10" s="501"/>
      <c r="VLS10" s="501"/>
      <c r="VLT10" s="501"/>
      <c r="VLU10" s="501"/>
      <c r="VLV10" s="501"/>
      <c r="VLW10" s="501"/>
      <c r="VLX10" s="501"/>
      <c r="VLY10" s="501"/>
      <c r="VLZ10" s="501"/>
      <c r="VMA10" s="501"/>
      <c r="VMB10" s="501"/>
      <c r="VMC10" s="501"/>
      <c r="VMD10" s="501"/>
      <c r="VME10" s="501"/>
      <c r="VMF10" s="501"/>
      <c r="VMG10" s="501"/>
      <c r="VMH10" s="501"/>
      <c r="VMI10" s="501"/>
      <c r="VMJ10" s="501"/>
      <c r="VMK10" s="501"/>
      <c r="VML10" s="501"/>
      <c r="VMM10" s="501"/>
      <c r="VMN10" s="501"/>
      <c r="VMO10" s="501"/>
      <c r="VMP10" s="501"/>
      <c r="VMQ10" s="501"/>
      <c r="VMR10" s="501"/>
      <c r="VMS10" s="501"/>
      <c r="VMT10" s="501"/>
      <c r="VMU10" s="501"/>
      <c r="VMV10" s="501"/>
      <c r="VMW10" s="501"/>
      <c r="VMX10" s="501"/>
      <c r="VMY10" s="501"/>
      <c r="VMZ10" s="501"/>
      <c r="VNA10" s="501"/>
      <c r="VNB10" s="501"/>
      <c r="VNC10" s="501"/>
      <c r="VND10" s="501"/>
      <c r="VNE10" s="501"/>
      <c r="VNF10" s="501"/>
      <c r="VNG10" s="501"/>
      <c r="VNH10" s="501"/>
      <c r="VNI10" s="501"/>
      <c r="VNJ10" s="501"/>
      <c r="VNK10" s="501"/>
      <c r="VNL10" s="501"/>
      <c r="VNM10" s="501"/>
      <c r="VNN10" s="501"/>
      <c r="VNO10" s="501"/>
      <c r="VNP10" s="501"/>
      <c r="VNQ10" s="501"/>
      <c r="VNR10" s="501"/>
      <c r="VNS10" s="501"/>
      <c r="VNT10" s="501"/>
      <c r="VNU10" s="501"/>
      <c r="VNV10" s="501"/>
      <c r="VNW10" s="501"/>
      <c r="VNX10" s="501"/>
      <c r="VNY10" s="501"/>
      <c r="VNZ10" s="501"/>
      <c r="VOA10" s="501"/>
      <c r="VOB10" s="501"/>
      <c r="VOC10" s="501"/>
      <c r="VOD10" s="501"/>
      <c r="VOE10" s="501"/>
      <c r="VOF10" s="501"/>
      <c r="VOG10" s="501"/>
      <c r="VOH10" s="501"/>
      <c r="VOI10" s="501"/>
      <c r="VOJ10" s="501"/>
      <c r="VOK10" s="501"/>
      <c r="VOL10" s="501"/>
      <c r="VOM10" s="501"/>
      <c r="VON10" s="501"/>
      <c r="VOO10" s="501"/>
      <c r="VOP10" s="501"/>
      <c r="VOQ10" s="501"/>
      <c r="VOR10" s="501"/>
      <c r="VOS10" s="501"/>
      <c r="VOT10" s="501"/>
      <c r="VOU10" s="501"/>
      <c r="VOV10" s="501"/>
      <c r="VOW10" s="501"/>
      <c r="VOX10" s="501"/>
      <c r="VOY10" s="501"/>
      <c r="VOZ10" s="501"/>
      <c r="VPA10" s="501"/>
      <c r="VPB10" s="501"/>
      <c r="VPC10" s="501"/>
      <c r="VPD10" s="501"/>
      <c r="VPE10" s="501"/>
      <c r="VPF10" s="501"/>
      <c r="VPG10" s="501"/>
      <c r="VPH10" s="501"/>
      <c r="VPI10" s="501"/>
      <c r="VPJ10" s="501"/>
      <c r="VPK10" s="501"/>
      <c r="VPL10" s="501"/>
      <c r="VPM10" s="501"/>
      <c r="VPN10" s="501"/>
      <c r="VPO10" s="501"/>
      <c r="VPP10" s="501"/>
      <c r="VPQ10" s="501"/>
      <c r="VPR10" s="501"/>
      <c r="VPS10" s="501"/>
      <c r="VPT10" s="501"/>
      <c r="VPU10" s="501"/>
      <c r="VPV10" s="501"/>
      <c r="VPW10" s="501"/>
      <c r="VPX10" s="501"/>
      <c r="VPY10" s="501"/>
      <c r="VPZ10" s="501"/>
      <c r="VQA10" s="501"/>
      <c r="VQB10" s="501"/>
      <c r="VQC10" s="501"/>
      <c r="VQD10" s="501"/>
      <c r="VQE10" s="501"/>
      <c r="VQF10" s="501"/>
      <c r="VQG10" s="501"/>
      <c r="VQH10" s="501"/>
      <c r="VQI10" s="501"/>
      <c r="VQJ10" s="501"/>
      <c r="VQK10" s="501"/>
      <c r="VQL10" s="501"/>
      <c r="VQM10" s="501"/>
      <c r="VQN10" s="501"/>
      <c r="VQO10" s="501"/>
      <c r="VQP10" s="501"/>
      <c r="VQQ10" s="501"/>
      <c r="VQR10" s="501"/>
      <c r="VQS10" s="501"/>
      <c r="VQT10" s="501"/>
      <c r="VQU10" s="501"/>
      <c r="VQV10" s="501"/>
      <c r="VQW10" s="501"/>
      <c r="VQX10" s="501"/>
      <c r="VQY10" s="501"/>
      <c r="VQZ10" s="501"/>
      <c r="VRA10" s="501"/>
      <c r="VRB10" s="501"/>
      <c r="VRC10" s="501"/>
      <c r="VRD10" s="501"/>
      <c r="VRE10" s="501"/>
      <c r="VRF10" s="501"/>
      <c r="VRG10" s="501"/>
      <c r="VRH10" s="501"/>
      <c r="VRI10" s="501"/>
      <c r="VRJ10" s="501"/>
      <c r="VRK10" s="501"/>
      <c r="VRL10" s="501"/>
      <c r="VRM10" s="501"/>
      <c r="VRN10" s="501"/>
      <c r="VRO10" s="501"/>
      <c r="VRP10" s="501"/>
      <c r="VRQ10" s="501"/>
      <c r="VRR10" s="501"/>
      <c r="VRS10" s="501"/>
      <c r="VRT10" s="501"/>
      <c r="VRU10" s="501"/>
      <c r="VRV10" s="501"/>
      <c r="VRW10" s="501"/>
      <c r="VRX10" s="501"/>
      <c r="VRY10" s="501"/>
      <c r="VRZ10" s="501"/>
      <c r="VSA10" s="501"/>
      <c r="VSB10" s="501"/>
      <c r="VSC10" s="501"/>
      <c r="VSD10" s="501"/>
      <c r="VSE10" s="501"/>
      <c r="VSF10" s="501"/>
      <c r="VSG10" s="501"/>
      <c r="VSH10" s="501"/>
      <c r="VSI10" s="501"/>
      <c r="VSJ10" s="501"/>
      <c r="VSK10" s="501"/>
      <c r="VSL10" s="501"/>
      <c r="VSM10" s="501"/>
      <c r="VSN10" s="501"/>
      <c r="VSO10" s="501"/>
      <c r="VSP10" s="501"/>
      <c r="VSQ10" s="501"/>
      <c r="VSR10" s="501"/>
      <c r="VSS10" s="501"/>
      <c r="VST10" s="501"/>
      <c r="VSU10" s="501"/>
      <c r="VSV10" s="501"/>
      <c r="VSW10" s="501"/>
      <c r="VSX10" s="501"/>
      <c r="VSY10" s="501"/>
      <c r="VSZ10" s="501"/>
      <c r="VTA10" s="501"/>
      <c r="VTB10" s="501"/>
      <c r="VTC10" s="501"/>
      <c r="VTD10" s="501"/>
      <c r="VTE10" s="501"/>
      <c r="VTF10" s="501"/>
      <c r="VTG10" s="501"/>
      <c r="VTH10" s="501"/>
      <c r="VTI10" s="501"/>
      <c r="VTJ10" s="501"/>
      <c r="VTK10" s="501"/>
      <c r="VTL10" s="501"/>
      <c r="VTM10" s="501"/>
      <c r="VTN10" s="501"/>
      <c r="VTO10" s="501"/>
      <c r="VTP10" s="501"/>
      <c r="VTQ10" s="501"/>
      <c r="VTR10" s="501"/>
      <c r="VTS10" s="501"/>
      <c r="VTT10" s="501"/>
      <c r="VTU10" s="501"/>
      <c r="VTV10" s="501"/>
      <c r="VTW10" s="501"/>
      <c r="VTX10" s="501"/>
      <c r="VTY10" s="501"/>
      <c r="VTZ10" s="501"/>
      <c r="VUA10" s="501"/>
      <c r="VUB10" s="501"/>
      <c r="VUC10" s="501"/>
      <c r="VUD10" s="501"/>
      <c r="VUE10" s="501"/>
      <c r="VUF10" s="501"/>
      <c r="VUG10" s="501"/>
      <c r="VUH10" s="501"/>
      <c r="VUI10" s="501"/>
      <c r="VUJ10" s="501"/>
      <c r="VUK10" s="501"/>
      <c r="VUL10" s="501"/>
      <c r="VUM10" s="501"/>
      <c r="VUN10" s="501"/>
      <c r="VUO10" s="501"/>
      <c r="VUP10" s="501"/>
      <c r="VUQ10" s="501"/>
      <c r="VUR10" s="501"/>
      <c r="VUS10" s="501"/>
      <c r="VUT10" s="501"/>
      <c r="VUU10" s="501"/>
      <c r="VUV10" s="501"/>
      <c r="VUW10" s="501"/>
      <c r="VUX10" s="501"/>
      <c r="VUY10" s="501"/>
      <c r="VUZ10" s="501"/>
      <c r="VVA10" s="501"/>
      <c r="VVB10" s="501"/>
      <c r="VVC10" s="501"/>
      <c r="VVD10" s="501"/>
      <c r="VVE10" s="501"/>
      <c r="VVF10" s="501"/>
      <c r="VVG10" s="501"/>
      <c r="VVH10" s="501"/>
      <c r="VVI10" s="501"/>
      <c r="VVJ10" s="501"/>
      <c r="VVK10" s="501"/>
      <c r="VVL10" s="501"/>
      <c r="VVM10" s="501"/>
      <c r="VVN10" s="501"/>
      <c r="VVO10" s="501"/>
      <c r="VVP10" s="501"/>
      <c r="VVQ10" s="501"/>
      <c r="VVR10" s="501"/>
      <c r="VVS10" s="501"/>
      <c r="VVT10" s="501"/>
      <c r="VVU10" s="501"/>
      <c r="VVV10" s="501"/>
      <c r="VVW10" s="501"/>
      <c r="VVX10" s="501"/>
      <c r="VVY10" s="501"/>
      <c r="VVZ10" s="501"/>
      <c r="VWA10" s="501"/>
      <c r="VWB10" s="501"/>
      <c r="VWC10" s="501"/>
      <c r="VWD10" s="501"/>
      <c r="VWE10" s="501"/>
      <c r="VWF10" s="501"/>
      <c r="VWG10" s="501"/>
      <c r="VWH10" s="501"/>
      <c r="VWI10" s="501"/>
      <c r="VWJ10" s="501"/>
      <c r="VWK10" s="501"/>
      <c r="VWL10" s="501"/>
      <c r="VWM10" s="501"/>
      <c r="VWN10" s="501"/>
      <c r="VWO10" s="501"/>
      <c r="VWP10" s="501"/>
      <c r="VWQ10" s="501"/>
      <c r="VWR10" s="501"/>
      <c r="VWS10" s="501"/>
      <c r="VWT10" s="501"/>
      <c r="VWU10" s="501"/>
      <c r="VWV10" s="501"/>
      <c r="VWW10" s="501"/>
      <c r="VWX10" s="501"/>
      <c r="VWY10" s="501"/>
      <c r="VWZ10" s="501"/>
      <c r="VXA10" s="501"/>
      <c r="VXB10" s="501"/>
      <c r="VXC10" s="501"/>
      <c r="VXD10" s="501"/>
      <c r="VXE10" s="501"/>
      <c r="VXF10" s="501"/>
      <c r="VXG10" s="501"/>
      <c r="VXH10" s="501"/>
      <c r="VXI10" s="501"/>
      <c r="VXJ10" s="501"/>
      <c r="VXK10" s="501"/>
      <c r="VXL10" s="501"/>
      <c r="VXM10" s="501"/>
      <c r="VXN10" s="501"/>
      <c r="VXO10" s="501"/>
      <c r="VXP10" s="501"/>
      <c r="VXQ10" s="501"/>
      <c r="VXR10" s="501"/>
      <c r="VXS10" s="501"/>
      <c r="VXT10" s="501"/>
      <c r="VXU10" s="501"/>
      <c r="VXV10" s="501"/>
      <c r="VXW10" s="501"/>
      <c r="VXX10" s="501"/>
      <c r="VXY10" s="501"/>
      <c r="VXZ10" s="501"/>
      <c r="VYA10" s="501"/>
      <c r="VYB10" s="501"/>
      <c r="VYC10" s="501"/>
      <c r="VYD10" s="501"/>
      <c r="VYE10" s="501"/>
      <c r="VYF10" s="501"/>
      <c r="VYG10" s="501"/>
      <c r="VYH10" s="501"/>
      <c r="VYI10" s="501"/>
      <c r="VYJ10" s="501"/>
      <c r="VYK10" s="501"/>
      <c r="VYL10" s="501"/>
      <c r="VYM10" s="501"/>
      <c r="VYN10" s="501"/>
      <c r="VYO10" s="501"/>
      <c r="VYP10" s="501"/>
      <c r="VYQ10" s="501"/>
      <c r="VYR10" s="501"/>
      <c r="VYS10" s="501"/>
      <c r="VYT10" s="501"/>
      <c r="VYU10" s="501"/>
      <c r="VYV10" s="501"/>
      <c r="VYW10" s="501"/>
      <c r="VYX10" s="501"/>
      <c r="VYY10" s="501"/>
      <c r="VYZ10" s="501"/>
      <c r="VZA10" s="501"/>
      <c r="VZB10" s="501"/>
      <c r="VZC10" s="501"/>
      <c r="VZD10" s="501"/>
      <c r="VZE10" s="501"/>
      <c r="VZF10" s="501"/>
      <c r="VZG10" s="501"/>
      <c r="VZH10" s="501"/>
      <c r="VZI10" s="501"/>
      <c r="VZJ10" s="501"/>
      <c r="VZK10" s="501"/>
      <c r="VZL10" s="501"/>
      <c r="VZM10" s="501"/>
      <c r="VZN10" s="501"/>
      <c r="VZO10" s="501"/>
      <c r="VZP10" s="501"/>
      <c r="VZQ10" s="501"/>
      <c r="VZR10" s="501"/>
      <c r="VZS10" s="501"/>
      <c r="VZT10" s="501"/>
      <c r="VZU10" s="501"/>
      <c r="VZV10" s="501"/>
      <c r="VZW10" s="501"/>
      <c r="VZX10" s="501"/>
      <c r="VZY10" s="501"/>
      <c r="VZZ10" s="501"/>
      <c r="WAA10" s="501"/>
      <c r="WAB10" s="501"/>
      <c r="WAC10" s="501"/>
      <c r="WAD10" s="501"/>
      <c r="WAE10" s="501"/>
      <c r="WAF10" s="501"/>
      <c r="WAG10" s="501"/>
      <c r="WAH10" s="501"/>
      <c r="WAI10" s="501"/>
      <c r="WAJ10" s="501"/>
      <c r="WAK10" s="501"/>
      <c r="WAL10" s="501"/>
      <c r="WAM10" s="501"/>
      <c r="WAN10" s="501"/>
      <c r="WAO10" s="501"/>
      <c r="WAP10" s="501"/>
      <c r="WAQ10" s="501"/>
      <c r="WAR10" s="501"/>
      <c r="WAS10" s="501"/>
      <c r="WAT10" s="501"/>
      <c r="WAU10" s="501"/>
      <c r="WAV10" s="501"/>
      <c r="WAW10" s="501"/>
      <c r="WAX10" s="501"/>
      <c r="WAY10" s="501"/>
      <c r="WAZ10" s="501"/>
      <c r="WBA10" s="501"/>
      <c r="WBB10" s="501"/>
      <c r="WBC10" s="501"/>
      <c r="WBD10" s="501"/>
      <c r="WBE10" s="501"/>
      <c r="WBF10" s="501"/>
      <c r="WBG10" s="501"/>
      <c r="WBH10" s="501"/>
      <c r="WBI10" s="501"/>
      <c r="WBJ10" s="501"/>
      <c r="WBK10" s="501"/>
      <c r="WBL10" s="501"/>
      <c r="WBM10" s="501"/>
      <c r="WBN10" s="501"/>
      <c r="WBO10" s="501"/>
      <c r="WBP10" s="501"/>
      <c r="WBQ10" s="501"/>
      <c r="WBR10" s="501"/>
      <c r="WBS10" s="501"/>
      <c r="WBT10" s="501"/>
      <c r="WBU10" s="501"/>
      <c r="WBV10" s="501"/>
      <c r="WBW10" s="501"/>
      <c r="WBX10" s="501"/>
      <c r="WBY10" s="501"/>
      <c r="WBZ10" s="501"/>
      <c r="WCA10" s="501"/>
      <c r="WCB10" s="501"/>
      <c r="WCC10" s="501"/>
      <c r="WCD10" s="501"/>
      <c r="WCE10" s="501"/>
      <c r="WCF10" s="501"/>
      <c r="WCG10" s="501"/>
      <c r="WCH10" s="501"/>
      <c r="WCI10" s="501"/>
      <c r="WCJ10" s="501"/>
      <c r="WCK10" s="501"/>
      <c r="WCL10" s="501"/>
      <c r="WCM10" s="501"/>
      <c r="WCN10" s="501"/>
      <c r="WCO10" s="501"/>
      <c r="WCP10" s="501"/>
      <c r="WCQ10" s="501"/>
      <c r="WCR10" s="501"/>
      <c r="WCS10" s="501"/>
      <c r="WCT10" s="501"/>
      <c r="WCU10" s="501"/>
      <c r="WCV10" s="501"/>
      <c r="WCW10" s="501"/>
      <c r="WCX10" s="501"/>
      <c r="WCY10" s="501"/>
      <c r="WCZ10" s="501"/>
      <c r="WDA10" s="501"/>
      <c r="WDB10" s="501"/>
      <c r="WDC10" s="501"/>
      <c r="WDD10" s="501"/>
      <c r="WDE10" s="501"/>
      <c r="WDF10" s="501"/>
      <c r="WDG10" s="501"/>
      <c r="WDH10" s="501"/>
      <c r="WDI10" s="501"/>
      <c r="WDJ10" s="501"/>
      <c r="WDK10" s="501"/>
      <c r="WDL10" s="501"/>
      <c r="WDM10" s="501"/>
      <c r="WDN10" s="501"/>
      <c r="WDO10" s="501"/>
      <c r="WDP10" s="501"/>
      <c r="WDQ10" s="501"/>
      <c r="WDR10" s="501"/>
      <c r="WDS10" s="501"/>
      <c r="WDT10" s="501"/>
      <c r="WDU10" s="501"/>
      <c r="WDV10" s="501"/>
      <c r="WDW10" s="501"/>
      <c r="WDX10" s="501"/>
      <c r="WDY10" s="501"/>
      <c r="WDZ10" s="501"/>
      <c r="WEA10" s="501"/>
      <c r="WEB10" s="501"/>
      <c r="WEC10" s="501"/>
      <c r="WED10" s="501"/>
      <c r="WEE10" s="501"/>
      <c r="WEF10" s="501"/>
      <c r="WEG10" s="501"/>
      <c r="WEH10" s="501"/>
      <c r="WEI10" s="501"/>
      <c r="WEJ10" s="501"/>
      <c r="WEK10" s="501"/>
      <c r="WEL10" s="501"/>
      <c r="WEM10" s="501"/>
      <c r="WEN10" s="501"/>
      <c r="WEO10" s="501"/>
      <c r="WEP10" s="501"/>
      <c r="WEQ10" s="501"/>
      <c r="WER10" s="501"/>
      <c r="WES10" s="501"/>
      <c r="WET10" s="501"/>
      <c r="WEU10" s="501"/>
      <c r="WEV10" s="501"/>
      <c r="WEW10" s="501"/>
      <c r="WEX10" s="501"/>
      <c r="WEY10" s="501"/>
      <c r="WEZ10" s="501"/>
      <c r="WFA10" s="501"/>
      <c r="WFB10" s="501"/>
      <c r="WFC10" s="501"/>
      <c r="WFD10" s="501"/>
      <c r="WFE10" s="501"/>
      <c r="WFF10" s="501"/>
      <c r="WFG10" s="501"/>
      <c r="WFH10" s="501"/>
      <c r="WFI10" s="501"/>
      <c r="WFJ10" s="501"/>
      <c r="WFK10" s="501"/>
      <c r="WFL10" s="501"/>
      <c r="WFM10" s="501"/>
      <c r="WFN10" s="501"/>
      <c r="WFO10" s="501"/>
      <c r="WFP10" s="501"/>
      <c r="WFQ10" s="501"/>
      <c r="WFR10" s="501"/>
      <c r="WFS10" s="501"/>
      <c r="WFT10" s="501"/>
      <c r="WFU10" s="501"/>
      <c r="WFV10" s="501"/>
      <c r="WFW10" s="501"/>
      <c r="WFX10" s="501"/>
      <c r="WFY10" s="501"/>
      <c r="WFZ10" s="501"/>
      <c r="WGA10" s="501"/>
      <c r="WGB10" s="501"/>
      <c r="WGC10" s="501"/>
      <c r="WGD10" s="501"/>
      <c r="WGE10" s="501"/>
      <c r="WGF10" s="501"/>
      <c r="WGG10" s="501"/>
      <c r="WGH10" s="501"/>
      <c r="WGI10" s="501"/>
      <c r="WGJ10" s="501"/>
      <c r="WGK10" s="501"/>
      <c r="WGL10" s="501"/>
      <c r="WGM10" s="501"/>
      <c r="WGN10" s="501"/>
      <c r="WGO10" s="501"/>
      <c r="WGP10" s="501"/>
      <c r="WGQ10" s="501"/>
      <c r="WGR10" s="501"/>
      <c r="WGS10" s="501"/>
      <c r="WGT10" s="501"/>
      <c r="WGU10" s="501"/>
      <c r="WGV10" s="501"/>
      <c r="WGW10" s="501"/>
      <c r="WGX10" s="501"/>
      <c r="WGY10" s="501"/>
      <c r="WGZ10" s="501"/>
      <c r="WHA10" s="501"/>
      <c r="WHB10" s="501"/>
      <c r="WHC10" s="501"/>
      <c r="WHD10" s="501"/>
      <c r="WHE10" s="501"/>
      <c r="WHF10" s="501"/>
      <c r="WHG10" s="501"/>
      <c r="WHH10" s="501"/>
      <c r="WHI10" s="501"/>
      <c r="WHJ10" s="501"/>
      <c r="WHK10" s="501"/>
      <c r="WHL10" s="501"/>
      <c r="WHM10" s="501"/>
      <c r="WHN10" s="501"/>
      <c r="WHO10" s="501"/>
      <c r="WHP10" s="501"/>
      <c r="WHQ10" s="501"/>
      <c r="WHR10" s="501"/>
      <c r="WHS10" s="501"/>
      <c r="WHT10" s="501"/>
      <c r="WHU10" s="501"/>
      <c r="WHV10" s="501"/>
      <c r="WHW10" s="501"/>
      <c r="WHX10" s="501"/>
      <c r="WHY10" s="501"/>
      <c r="WHZ10" s="501"/>
      <c r="WIA10" s="501"/>
      <c r="WIB10" s="501"/>
      <c r="WIC10" s="501"/>
      <c r="WID10" s="501"/>
      <c r="WIE10" s="501"/>
      <c r="WIF10" s="501"/>
      <c r="WIG10" s="501"/>
      <c r="WIH10" s="501"/>
      <c r="WII10" s="501"/>
      <c r="WIJ10" s="501"/>
      <c r="WIK10" s="501"/>
      <c r="WIL10" s="501"/>
      <c r="WIM10" s="501"/>
      <c r="WIN10" s="501"/>
      <c r="WIO10" s="501"/>
      <c r="WIP10" s="501"/>
      <c r="WIQ10" s="501"/>
      <c r="WIR10" s="501"/>
      <c r="WIS10" s="501"/>
      <c r="WIT10" s="501"/>
      <c r="WIU10" s="501"/>
      <c r="WIV10" s="501"/>
      <c r="WIW10" s="501"/>
      <c r="WIX10" s="501"/>
      <c r="WIY10" s="501"/>
      <c r="WIZ10" s="501"/>
      <c r="WJA10" s="501"/>
      <c r="WJB10" s="501"/>
      <c r="WJC10" s="501"/>
      <c r="WJD10" s="501"/>
      <c r="WJE10" s="501"/>
      <c r="WJF10" s="501"/>
      <c r="WJG10" s="501"/>
      <c r="WJH10" s="501"/>
      <c r="WJI10" s="501"/>
      <c r="WJJ10" s="501"/>
      <c r="WJK10" s="501"/>
      <c r="WJL10" s="501"/>
      <c r="WJM10" s="501"/>
      <c r="WJN10" s="501"/>
      <c r="WJO10" s="501"/>
      <c r="WJP10" s="501"/>
      <c r="WJQ10" s="501"/>
      <c r="WJR10" s="501"/>
      <c r="WJS10" s="501"/>
      <c r="WJT10" s="501"/>
      <c r="WJU10" s="501"/>
      <c r="WJV10" s="501"/>
      <c r="WJW10" s="501"/>
      <c r="WJX10" s="501"/>
      <c r="WJY10" s="501"/>
      <c r="WJZ10" s="501"/>
      <c r="WKA10" s="501"/>
      <c r="WKB10" s="501"/>
      <c r="WKC10" s="501"/>
      <c r="WKD10" s="501"/>
      <c r="WKE10" s="501"/>
      <c r="WKF10" s="501"/>
      <c r="WKG10" s="501"/>
      <c r="WKH10" s="501"/>
      <c r="WKI10" s="501"/>
      <c r="WKJ10" s="501"/>
      <c r="WKK10" s="501"/>
      <c r="WKL10" s="501"/>
      <c r="WKM10" s="501"/>
      <c r="WKN10" s="501"/>
      <c r="WKO10" s="501"/>
      <c r="WKP10" s="501"/>
      <c r="WKQ10" s="501"/>
      <c r="WKR10" s="501"/>
      <c r="WKS10" s="501"/>
      <c r="WKT10" s="501"/>
      <c r="WKU10" s="501"/>
      <c r="WKV10" s="501"/>
      <c r="WKW10" s="501"/>
      <c r="WKX10" s="501"/>
      <c r="WKY10" s="501"/>
      <c r="WKZ10" s="501"/>
      <c r="WLA10" s="501"/>
      <c r="WLB10" s="501"/>
      <c r="WLC10" s="501"/>
      <c r="WLD10" s="501"/>
      <c r="WLE10" s="501"/>
      <c r="WLF10" s="501"/>
      <c r="WLG10" s="501"/>
      <c r="WLH10" s="501"/>
      <c r="WLI10" s="501"/>
      <c r="WLJ10" s="501"/>
      <c r="WLK10" s="501"/>
      <c r="WLL10" s="501"/>
      <c r="WLM10" s="501"/>
      <c r="WLN10" s="501"/>
      <c r="WLO10" s="501"/>
      <c r="WLP10" s="501"/>
      <c r="WLQ10" s="501"/>
      <c r="WLR10" s="501"/>
      <c r="WLS10" s="501"/>
      <c r="WLT10" s="501"/>
      <c r="WLU10" s="501"/>
      <c r="WLV10" s="501"/>
      <c r="WLW10" s="501"/>
      <c r="WLX10" s="501"/>
      <c r="WLY10" s="501"/>
      <c r="WLZ10" s="501"/>
      <c r="WMA10" s="501"/>
      <c r="WMB10" s="501"/>
      <c r="WMC10" s="501"/>
      <c r="WMD10" s="501"/>
      <c r="WME10" s="501"/>
      <c r="WMF10" s="501"/>
      <c r="WMG10" s="501"/>
      <c r="WMH10" s="501"/>
      <c r="WMI10" s="501"/>
      <c r="WMJ10" s="501"/>
      <c r="WMK10" s="501"/>
      <c r="WML10" s="501"/>
      <c r="WMM10" s="501"/>
      <c r="WMN10" s="501"/>
      <c r="WMO10" s="501"/>
      <c r="WMP10" s="501"/>
      <c r="WMQ10" s="501"/>
      <c r="WMR10" s="501"/>
      <c r="WMS10" s="501"/>
      <c r="WMT10" s="501"/>
      <c r="WMU10" s="501"/>
      <c r="WMV10" s="501"/>
      <c r="WMW10" s="501"/>
      <c r="WMX10" s="501"/>
      <c r="WMY10" s="501"/>
      <c r="WMZ10" s="501"/>
      <c r="WNA10" s="501"/>
      <c r="WNB10" s="501"/>
      <c r="WNC10" s="501"/>
      <c r="WND10" s="501"/>
      <c r="WNE10" s="501"/>
      <c r="WNF10" s="501"/>
      <c r="WNG10" s="501"/>
      <c r="WNH10" s="501"/>
      <c r="WNI10" s="501"/>
      <c r="WNJ10" s="501"/>
      <c r="WNK10" s="501"/>
      <c r="WNL10" s="501"/>
      <c r="WNM10" s="501"/>
      <c r="WNN10" s="501"/>
      <c r="WNO10" s="501"/>
      <c r="WNP10" s="501"/>
      <c r="WNQ10" s="501"/>
      <c r="WNR10" s="501"/>
      <c r="WNS10" s="501"/>
      <c r="WNT10" s="501"/>
      <c r="WNU10" s="501"/>
      <c r="WNV10" s="501"/>
      <c r="WNW10" s="501"/>
      <c r="WNX10" s="501"/>
      <c r="WNY10" s="501"/>
      <c r="WNZ10" s="501"/>
      <c r="WOA10" s="501"/>
      <c r="WOB10" s="501"/>
      <c r="WOC10" s="501"/>
      <c r="WOD10" s="501"/>
      <c r="WOE10" s="501"/>
      <c r="WOF10" s="501"/>
      <c r="WOG10" s="501"/>
      <c r="WOH10" s="501"/>
      <c r="WOI10" s="501"/>
      <c r="WOJ10" s="501"/>
      <c r="WOK10" s="501"/>
      <c r="WOL10" s="501"/>
      <c r="WOM10" s="501"/>
      <c r="WON10" s="501"/>
      <c r="WOO10" s="501"/>
      <c r="WOP10" s="501"/>
      <c r="WOQ10" s="501"/>
      <c r="WOR10" s="501"/>
      <c r="WOS10" s="501"/>
      <c r="WOT10" s="501"/>
      <c r="WOU10" s="501"/>
      <c r="WOV10" s="501"/>
      <c r="WOW10" s="501"/>
      <c r="WOX10" s="501"/>
      <c r="WOY10" s="501"/>
      <c r="WOZ10" s="501"/>
      <c r="WPA10" s="501"/>
      <c r="WPB10" s="501"/>
      <c r="WPC10" s="501"/>
      <c r="WPD10" s="501"/>
      <c r="WPE10" s="501"/>
      <c r="WPF10" s="501"/>
      <c r="WPG10" s="501"/>
      <c r="WPH10" s="501"/>
      <c r="WPI10" s="501"/>
      <c r="WPJ10" s="501"/>
      <c r="WPK10" s="501"/>
      <c r="WPL10" s="501"/>
      <c r="WPM10" s="501"/>
      <c r="WPN10" s="501"/>
      <c r="WPO10" s="501"/>
      <c r="WPP10" s="501"/>
      <c r="WPQ10" s="501"/>
      <c r="WPR10" s="501"/>
      <c r="WPS10" s="501"/>
      <c r="WPT10" s="501"/>
      <c r="WPU10" s="501"/>
      <c r="WPV10" s="501"/>
      <c r="WPW10" s="501"/>
      <c r="WPX10" s="501"/>
      <c r="WPY10" s="501"/>
      <c r="WPZ10" s="501"/>
      <c r="WQA10" s="501"/>
      <c r="WQB10" s="501"/>
      <c r="WQC10" s="501"/>
      <c r="WQD10" s="501"/>
      <c r="WQE10" s="501"/>
      <c r="WQF10" s="501"/>
      <c r="WQG10" s="501"/>
      <c r="WQH10" s="501"/>
      <c r="WQI10" s="501"/>
      <c r="WQJ10" s="501"/>
      <c r="WQK10" s="501"/>
      <c r="WQL10" s="501"/>
      <c r="WQM10" s="501"/>
      <c r="WQN10" s="501"/>
      <c r="WQO10" s="501"/>
      <c r="WQP10" s="501"/>
      <c r="WQQ10" s="501"/>
      <c r="WQR10" s="501"/>
      <c r="WQS10" s="501"/>
      <c r="WQT10" s="501"/>
      <c r="WQU10" s="501"/>
      <c r="WQV10" s="501"/>
      <c r="WQW10" s="501"/>
      <c r="WQX10" s="501"/>
      <c r="WQY10" s="501"/>
      <c r="WQZ10" s="501"/>
      <c r="WRA10" s="501"/>
      <c r="WRB10" s="501"/>
      <c r="WRC10" s="501"/>
      <c r="WRD10" s="501"/>
      <c r="WRE10" s="501"/>
      <c r="WRF10" s="501"/>
      <c r="WRG10" s="501"/>
      <c r="WRH10" s="501"/>
      <c r="WRI10" s="501"/>
      <c r="WRJ10" s="501"/>
      <c r="WRK10" s="501"/>
      <c r="WRL10" s="501"/>
      <c r="WRM10" s="501"/>
      <c r="WRN10" s="501"/>
      <c r="WRO10" s="501"/>
      <c r="WRP10" s="501"/>
      <c r="WRQ10" s="501"/>
      <c r="WRR10" s="501"/>
      <c r="WRS10" s="501"/>
      <c r="WRT10" s="501"/>
      <c r="WRU10" s="501"/>
      <c r="WRV10" s="501"/>
      <c r="WRW10" s="501"/>
      <c r="WRX10" s="501"/>
      <c r="WRY10" s="501"/>
      <c r="WRZ10" s="501"/>
      <c r="WSA10" s="501"/>
      <c r="WSB10" s="501"/>
      <c r="WSC10" s="501"/>
      <c r="WSD10" s="501"/>
      <c r="WSE10" s="501"/>
      <c r="WSF10" s="501"/>
      <c r="WSG10" s="501"/>
      <c r="WSH10" s="501"/>
      <c r="WSI10" s="501"/>
      <c r="WSJ10" s="501"/>
      <c r="WSK10" s="501"/>
      <c r="WSL10" s="501"/>
      <c r="WSM10" s="501"/>
      <c r="WSN10" s="501"/>
      <c r="WSO10" s="501"/>
      <c r="WSP10" s="501"/>
      <c r="WSQ10" s="501"/>
      <c r="WSR10" s="501"/>
      <c r="WSS10" s="501"/>
      <c r="WST10" s="501"/>
      <c r="WSU10" s="501"/>
      <c r="WSV10" s="501"/>
      <c r="WSW10" s="501"/>
      <c r="WSX10" s="501"/>
      <c r="WSY10" s="501"/>
      <c r="WSZ10" s="501"/>
      <c r="WTA10" s="501"/>
      <c r="WTB10" s="501"/>
      <c r="WTC10" s="501"/>
      <c r="WTD10" s="501"/>
      <c r="WTE10" s="501"/>
      <c r="WTF10" s="501"/>
      <c r="WTG10" s="501"/>
      <c r="WTH10" s="501"/>
      <c r="WTI10" s="501"/>
      <c r="WTJ10" s="501"/>
      <c r="WTK10" s="501"/>
      <c r="WTL10" s="501"/>
      <c r="WTM10" s="501"/>
      <c r="WTN10" s="501"/>
      <c r="WTO10" s="501"/>
      <c r="WTP10" s="501"/>
      <c r="WTQ10" s="501"/>
      <c r="WTR10" s="501"/>
      <c r="WTS10" s="501"/>
      <c r="WTT10" s="501"/>
      <c r="WTU10" s="501"/>
      <c r="WTV10" s="501"/>
      <c r="WTW10" s="501"/>
      <c r="WTX10" s="501"/>
      <c r="WTY10" s="501"/>
      <c r="WTZ10" s="501"/>
      <c r="WUA10" s="501"/>
      <c r="WUB10" s="501"/>
      <c r="WUC10" s="501"/>
      <c r="WUD10" s="501"/>
      <c r="WUE10" s="501"/>
      <c r="WUF10" s="501"/>
      <c r="WUG10" s="501"/>
      <c r="WUH10" s="501"/>
      <c r="WUI10" s="501"/>
      <c r="WUJ10" s="501"/>
      <c r="WUK10" s="501"/>
      <c r="WUL10" s="501"/>
      <c r="WUM10" s="501"/>
      <c r="WUN10" s="501"/>
      <c r="WUO10" s="501"/>
      <c r="WUP10" s="501"/>
      <c r="WUQ10" s="501"/>
      <c r="WUR10" s="501"/>
      <c r="WUS10" s="501"/>
      <c r="WUT10" s="501"/>
      <c r="WUU10" s="501"/>
      <c r="WUV10" s="501"/>
      <c r="WUW10" s="501"/>
      <c r="WUX10" s="501"/>
      <c r="WUY10" s="501"/>
      <c r="WUZ10" s="501"/>
      <c r="WVA10" s="501"/>
      <c r="WVB10" s="501"/>
      <c r="WVC10" s="501"/>
      <c r="WVD10" s="501"/>
      <c r="WVE10" s="501"/>
      <c r="WVF10" s="501"/>
      <c r="WVG10" s="501"/>
      <c r="WVH10" s="501"/>
      <c r="WVI10" s="501"/>
      <c r="WVJ10" s="501"/>
      <c r="WVK10" s="501"/>
      <c r="WVL10" s="501"/>
      <c r="WVM10" s="501"/>
      <c r="WVN10" s="501"/>
      <c r="WVO10" s="501"/>
      <c r="WVP10" s="501"/>
      <c r="WVQ10" s="501"/>
      <c r="WVR10" s="501"/>
      <c r="WVS10" s="501"/>
      <c r="WVT10" s="501"/>
      <c r="WVU10" s="501"/>
      <c r="WVV10" s="501"/>
      <c r="WVW10" s="501"/>
      <c r="WVX10" s="501"/>
      <c r="WVY10" s="501"/>
      <c r="WVZ10" s="501"/>
      <c r="WWA10" s="501"/>
      <c r="WWB10" s="501"/>
      <c r="WWC10" s="501"/>
      <c r="WWD10" s="501"/>
      <c r="WWE10" s="501"/>
      <c r="WWF10" s="501"/>
      <c r="WWG10" s="501"/>
      <c r="WWH10" s="501"/>
      <c r="WWI10" s="501"/>
      <c r="WWJ10" s="501"/>
      <c r="WWK10" s="501"/>
      <c r="WWL10" s="501"/>
      <c r="WWM10" s="501"/>
      <c r="WWN10" s="501"/>
      <c r="WWO10" s="501"/>
      <c r="WWP10" s="501"/>
      <c r="WWQ10" s="501"/>
      <c r="WWR10" s="501"/>
      <c r="WWS10" s="501"/>
      <c r="WWT10" s="501"/>
      <c r="WWU10" s="501"/>
      <c r="WWV10" s="501"/>
      <c r="WWW10" s="501"/>
      <c r="WWX10" s="501"/>
      <c r="WWY10" s="501"/>
      <c r="WWZ10" s="501"/>
      <c r="WXA10" s="501"/>
      <c r="WXB10" s="501"/>
      <c r="WXC10" s="501"/>
      <c r="WXD10" s="501"/>
      <c r="WXE10" s="501"/>
      <c r="WXF10" s="501"/>
      <c r="WXG10" s="501"/>
      <c r="WXH10" s="501"/>
      <c r="WXI10" s="501"/>
      <c r="WXJ10" s="501"/>
      <c r="WXK10" s="501"/>
      <c r="WXL10" s="501"/>
      <c r="WXM10" s="501"/>
      <c r="WXN10" s="501"/>
      <c r="WXO10" s="501"/>
      <c r="WXP10" s="501"/>
      <c r="WXQ10" s="501"/>
      <c r="WXR10" s="501"/>
      <c r="WXS10" s="501"/>
      <c r="WXT10" s="501"/>
      <c r="WXU10" s="501"/>
      <c r="WXV10" s="501"/>
      <c r="WXW10" s="501"/>
      <c r="WXX10" s="501"/>
      <c r="WXY10" s="501"/>
      <c r="WXZ10" s="501"/>
      <c r="WYA10" s="501"/>
      <c r="WYB10" s="501"/>
      <c r="WYC10" s="501"/>
      <c r="WYD10" s="501"/>
      <c r="WYE10" s="501"/>
      <c r="WYF10" s="501"/>
      <c r="WYG10" s="501"/>
      <c r="WYH10" s="501"/>
      <c r="WYI10" s="501"/>
      <c r="WYJ10" s="501"/>
      <c r="WYK10" s="501"/>
      <c r="WYL10" s="501"/>
      <c r="WYM10" s="501"/>
      <c r="WYN10" s="501"/>
      <c r="WYO10" s="501"/>
      <c r="WYP10" s="501"/>
      <c r="WYQ10" s="501"/>
      <c r="WYR10" s="501"/>
      <c r="WYS10" s="501"/>
      <c r="WYT10" s="501"/>
      <c r="WYU10" s="501"/>
      <c r="WYV10" s="501"/>
      <c r="WYW10" s="501"/>
      <c r="WYX10" s="501"/>
      <c r="WYY10" s="501"/>
      <c r="WYZ10" s="501"/>
      <c r="WZA10" s="501"/>
      <c r="WZB10" s="501"/>
      <c r="WZC10" s="501"/>
      <c r="WZD10" s="501"/>
      <c r="WZE10" s="501"/>
      <c r="WZF10" s="501"/>
      <c r="WZG10" s="501"/>
      <c r="WZH10" s="501"/>
      <c r="WZI10" s="501"/>
      <c r="WZJ10" s="501"/>
      <c r="WZK10" s="501"/>
      <c r="WZL10" s="501"/>
      <c r="WZM10" s="501"/>
      <c r="WZN10" s="501"/>
      <c r="WZO10" s="501"/>
      <c r="WZP10" s="501"/>
      <c r="WZQ10" s="501"/>
      <c r="WZR10" s="501"/>
      <c r="WZS10" s="501"/>
      <c r="WZT10" s="501"/>
      <c r="WZU10" s="501"/>
      <c r="WZV10" s="501"/>
      <c r="WZW10" s="501"/>
      <c r="WZX10" s="501"/>
      <c r="WZY10" s="501"/>
      <c r="WZZ10" s="501"/>
      <c r="XAA10" s="501"/>
      <c r="XAB10" s="501"/>
      <c r="XAC10" s="501"/>
      <c r="XAD10" s="501"/>
      <c r="XAE10" s="501"/>
      <c r="XAF10" s="501"/>
      <c r="XAG10" s="501"/>
      <c r="XAH10" s="501"/>
      <c r="XAI10" s="501"/>
      <c r="XAJ10" s="501"/>
      <c r="XAK10" s="501"/>
      <c r="XAL10" s="501"/>
      <c r="XAM10" s="501"/>
      <c r="XAN10" s="501"/>
      <c r="XAO10" s="501"/>
      <c r="XAP10" s="501"/>
      <c r="XAQ10" s="501"/>
      <c r="XAR10" s="501"/>
      <c r="XAS10" s="501"/>
      <c r="XAT10" s="501"/>
      <c r="XAU10" s="501"/>
      <c r="XAV10" s="501"/>
      <c r="XAW10" s="501"/>
      <c r="XAX10" s="501"/>
      <c r="XAY10" s="501"/>
      <c r="XAZ10" s="501"/>
      <c r="XBA10" s="501"/>
      <c r="XBB10" s="501"/>
      <c r="XBC10" s="501"/>
      <c r="XBD10" s="501"/>
      <c r="XBE10" s="501"/>
      <c r="XBF10" s="501"/>
      <c r="XBG10" s="501"/>
      <c r="XBH10" s="501"/>
      <c r="XBI10" s="501"/>
      <c r="XBJ10" s="501"/>
      <c r="XBK10" s="501"/>
      <c r="XBL10" s="501"/>
      <c r="XBM10" s="501"/>
      <c r="XBN10" s="501"/>
      <c r="XBO10" s="501"/>
      <c r="XBP10" s="501"/>
      <c r="XBQ10" s="501"/>
      <c r="XBR10" s="501"/>
      <c r="XBS10" s="501"/>
      <c r="XBT10" s="501"/>
      <c r="XBU10" s="501"/>
      <c r="XBV10" s="501"/>
      <c r="XBW10" s="501"/>
      <c r="XBX10" s="501"/>
      <c r="XBY10" s="501"/>
      <c r="XBZ10" s="501"/>
      <c r="XCA10" s="501"/>
      <c r="XCB10" s="501"/>
      <c r="XCC10" s="501"/>
      <c r="XCD10" s="501"/>
      <c r="XCE10" s="501"/>
    </row>
    <row r="11" spans="1:16307" s="26" customFormat="1" x14ac:dyDescent="0.2">
      <c r="A11" s="107"/>
      <c r="B11" s="500"/>
      <c r="C11" s="836"/>
      <c r="D11" s="836"/>
      <c r="E11" s="836"/>
      <c r="F11" s="836"/>
      <c r="G11" s="836"/>
      <c r="H11" s="836"/>
      <c r="I11" s="836"/>
      <c r="J11" s="836"/>
      <c r="K11" s="836"/>
      <c r="L11" s="836"/>
      <c r="M11" s="836"/>
      <c r="N11" s="836"/>
      <c r="O11" s="836"/>
      <c r="P11" s="836"/>
      <c r="Q11" s="836"/>
      <c r="R11" s="836"/>
      <c r="S11" s="836"/>
      <c r="T11" s="836"/>
      <c r="U11" s="836"/>
      <c r="V11" s="836"/>
      <c r="W11" s="836"/>
      <c r="X11" s="836"/>
      <c r="Y11" s="836"/>
      <c r="Z11" s="836"/>
      <c r="AA11" s="836"/>
      <c r="AB11" s="836"/>
      <c r="AC11" s="836"/>
      <c r="AD11" s="836"/>
      <c r="AE11" s="836"/>
      <c r="AF11" s="836"/>
      <c r="AG11" s="836"/>
      <c r="AH11" s="836"/>
      <c r="AI11" s="836"/>
      <c r="AJ11" s="836"/>
      <c r="AK11" s="836"/>
      <c r="AL11" s="836"/>
      <c r="AM11" s="836"/>
      <c r="AN11" s="836"/>
      <c r="AO11" s="836"/>
      <c r="AP11" s="836"/>
      <c r="AQ11" s="836"/>
      <c r="AR11" s="836"/>
      <c r="AS11" s="836"/>
      <c r="AT11" s="836"/>
      <c r="AU11" s="836"/>
      <c r="AV11" s="836"/>
      <c r="AW11" s="836"/>
      <c r="AX11" s="836"/>
      <c r="AY11" s="836"/>
    </row>
    <row r="12" spans="1:16307" s="26" customFormat="1" x14ac:dyDescent="0.2">
      <c r="A12" s="2256" t="s">
        <v>897</v>
      </c>
      <c r="B12" s="2257"/>
      <c r="C12" s="2257"/>
      <c r="D12" s="2257"/>
      <c r="E12" s="2257"/>
      <c r="F12" s="2257"/>
      <c r="G12" s="2257"/>
      <c r="H12" s="2257"/>
      <c r="I12" s="2257"/>
      <c r="J12" s="2257"/>
      <c r="K12" s="2257"/>
      <c r="L12" s="2257"/>
      <c r="M12" s="2257"/>
      <c r="N12" s="2257"/>
      <c r="O12" s="2257"/>
      <c r="P12" s="2257"/>
      <c r="Q12" s="2257"/>
      <c r="R12" s="2257"/>
      <c r="S12" s="2257"/>
      <c r="T12" s="2257"/>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c r="AT12" s="2257"/>
      <c r="AU12" s="2257"/>
      <c r="AV12" s="2257"/>
      <c r="AW12" s="2257"/>
      <c r="AX12" s="2257"/>
      <c r="AY12" s="2258"/>
    </row>
    <row r="13" spans="1:16307" s="26" customFormat="1" x14ac:dyDescent="0.2">
      <c r="A13" s="824" t="s">
        <v>654</v>
      </c>
      <c r="B13" s="825" t="s">
        <v>655</v>
      </c>
      <c r="C13" s="826">
        <v>40360</v>
      </c>
      <c r="D13" s="826">
        <v>40391</v>
      </c>
      <c r="E13" s="826">
        <v>40422</v>
      </c>
      <c r="F13" s="826">
        <v>40452</v>
      </c>
      <c r="G13" s="826">
        <v>40483</v>
      </c>
      <c r="H13" s="826">
        <v>40513</v>
      </c>
      <c r="I13" s="826">
        <v>40544</v>
      </c>
      <c r="J13" s="826">
        <v>40575</v>
      </c>
      <c r="K13" s="826">
        <v>40603</v>
      </c>
      <c r="L13" s="826">
        <v>40634</v>
      </c>
      <c r="M13" s="826">
        <v>40664</v>
      </c>
      <c r="N13" s="826">
        <v>40695</v>
      </c>
      <c r="O13" s="826">
        <v>40725</v>
      </c>
      <c r="P13" s="826">
        <v>40756</v>
      </c>
      <c r="Q13" s="826">
        <v>40787</v>
      </c>
      <c r="R13" s="826">
        <v>40817</v>
      </c>
      <c r="S13" s="826">
        <v>40848</v>
      </c>
      <c r="T13" s="826">
        <v>40878</v>
      </c>
      <c r="U13" s="826">
        <v>40909</v>
      </c>
      <c r="V13" s="826">
        <v>40940</v>
      </c>
      <c r="W13" s="826">
        <v>40969</v>
      </c>
      <c r="X13" s="826">
        <v>41000</v>
      </c>
      <c r="Y13" s="826">
        <v>41030</v>
      </c>
      <c r="Z13" s="826">
        <v>41061</v>
      </c>
      <c r="AA13" s="826">
        <v>41091</v>
      </c>
      <c r="AB13" s="826">
        <v>41122</v>
      </c>
      <c r="AC13" s="826">
        <v>41153</v>
      </c>
      <c r="AD13" s="826">
        <v>41183</v>
      </c>
      <c r="AE13" s="826">
        <v>41214</v>
      </c>
      <c r="AF13" s="826">
        <v>41244</v>
      </c>
      <c r="AG13" s="826">
        <v>41275</v>
      </c>
      <c r="AH13" s="826">
        <v>41306</v>
      </c>
      <c r="AI13" s="826">
        <v>41334</v>
      </c>
      <c r="AJ13" s="826">
        <v>41365</v>
      </c>
      <c r="AK13" s="826">
        <v>41395</v>
      </c>
      <c r="AL13" s="826">
        <v>41426</v>
      </c>
      <c r="AM13" s="826">
        <v>41456</v>
      </c>
      <c r="AN13" s="826">
        <v>41487</v>
      </c>
      <c r="AO13" s="826">
        <v>41518</v>
      </c>
      <c r="AP13" s="826">
        <v>41548</v>
      </c>
      <c r="AQ13" s="826">
        <v>41579</v>
      </c>
      <c r="AR13" s="826">
        <v>41609</v>
      </c>
      <c r="AS13" s="826">
        <v>41640</v>
      </c>
      <c r="AT13" s="826">
        <v>41671</v>
      </c>
      <c r="AU13" s="826">
        <v>41699</v>
      </c>
      <c r="AV13" s="826">
        <v>41730</v>
      </c>
      <c r="AW13" s="826">
        <v>41760</v>
      </c>
      <c r="AX13" s="826">
        <v>41791</v>
      </c>
      <c r="AY13" s="826">
        <v>41821</v>
      </c>
    </row>
    <row r="14" spans="1:16307" s="500" customFormat="1" x14ac:dyDescent="0.2">
      <c r="A14" s="827" t="s">
        <v>889</v>
      </c>
      <c r="B14" s="828" t="s">
        <v>898</v>
      </c>
      <c r="C14" s="829">
        <v>519706.60000000003</v>
      </c>
      <c r="D14" s="829">
        <v>395410.80000000005</v>
      </c>
      <c r="E14" s="829">
        <v>316161.80000000005</v>
      </c>
      <c r="F14" s="829">
        <v>308654</v>
      </c>
      <c r="G14" s="829">
        <v>493012.2</v>
      </c>
      <c r="H14" s="829">
        <v>947651.20000000007</v>
      </c>
      <c r="I14" s="829">
        <v>982687.60000000009</v>
      </c>
      <c r="J14" s="829">
        <v>474659.80000000005</v>
      </c>
      <c r="K14" s="829">
        <v>401250.2</v>
      </c>
      <c r="L14" s="829">
        <v>322001.2</v>
      </c>
      <c r="M14" s="829">
        <v>351198.2</v>
      </c>
      <c r="N14" s="829">
        <v>274451.8</v>
      </c>
      <c r="O14" s="829">
        <v>37539</v>
      </c>
      <c r="P14" s="829">
        <v>404587</v>
      </c>
      <c r="Q14" s="829">
        <v>459644.2</v>
      </c>
      <c r="R14" s="829">
        <v>527214.4</v>
      </c>
      <c r="S14" s="829">
        <v>569758.60000000009</v>
      </c>
      <c r="T14" s="829">
        <v>608966</v>
      </c>
      <c r="U14" s="829">
        <v>654847</v>
      </c>
      <c r="V14" s="829">
        <v>620644.80000000005</v>
      </c>
      <c r="W14" s="829">
        <v>524711.80000000005</v>
      </c>
      <c r="X14" s="829">
        <v>1393948.2000000002</v>
      </c>
      <c r="Y14" s="829">
        <v>601458.20000000007</v>
      </c>
      <c r="Z14" s="829">
        <v>583105.80000000005</v>
      </c>
      <c r="AA14" s="829">
        <v>642334</v>
      </c>
      <c r="AB14" s="829">
        <v>733261.8</v>
      </c>
      <c r="AC14" s="829">
        <v>677370.4</v>
      </c>
      <c r="AD14" s="829">
        <v>742438</v>
      </c>
      <c r="AE14" s="829">
        <v>886754.60000000009</v>
      </c>
      <c r="AF14" s="829">
        <v>978516.60000000009</v>
      </c>
      <c r="AG14" s="829">
        <v>1117828</v>
      </c>
      <c r="AH14" s="829">
        <v>953490.60000000009</v>
      </c>
      <c r="AI14" s="829">
        <v>797495.20000000007</v>
      </c>
      <c r="AJ14" s="829">
        <v>533888</v>
      </c>
      <c r="AK14" s="829">
        <v>681541.4</v>
      </c>
      <c r="AL14" s="829">
        <v>413763.2</v>
      </c>
      <c r="AM14" s="829">
        <v>726588.20000000007</v>
      </c>
      <c r="AN14" s="829">
        <v>731593.4</v>
      </c>
      <c r="AO14" s="829">
        <v>461312.60000000003</v>
      </c>
      <c r="AP14" s="829">
        <v>842542</v>
      </c>
      <c r="AQ14" s="829">
        <v>674867.8</v>
      </c>
      <c r="AR14" s="829">
        <v>809174</v>
      </c>
      <c r="AS14" s="829">
        <v>1115325.4000000001</v>
      </c>
      <c r="AT14" s="829">
        <v>682375.60000000009</v>
      </c>
      <c r="AU14" s="829">
        <v>902604.4</v>
      </c>
      <c r="AV14" s="829">
        <v>724919.8</v>
      </c>
      <c r="AW14" s="829">
        <v>504691.00000000006</v>
      </c>
      <c r="AX14" s="829">
        <v>397913.4</v>
      </c>
      <c r="AY14" s="829">
        <v>470488.80000000005</v>
      </c>
    </row>
    <row r="15" spans="1:16307" s="500" customFormat="1" ht="12.75" customHeight="1" x14ac:dyDescent="0.2">
      <c r="A15" s="830">
        <v>315</v>
      </c>
      <c r="B15" s="831" t="s">
        <v>899</v>
      </c>
      <c r="C15" s="832">
        <v>41710</v>
      </c>
      <c r="D15" s="832">
        <v>62565.000000000007</v>
      </c>
      <c r="E15" s="832">
        <v>100104</v>
      </c>
      <c r="F15" s="832">
        <v>153492.80000000002</v>
      </c>
      <c r="G15" s="832">
        <v>163503.20000000001</v>
      </c>
      <c r="H15" s="832">
        <v>216892</v>
      </c>
      <c r="I15" s="832">
        <v>296141</v>
      </c>
      <c r="J15" s="832">
        <v>200208</v>
      </c>
      <c r="K15" s="832">
        <v>166840</v>
      </c>
      <c r="L15" s="832">
        <v>135140.4</v>
      </c>
      <c r="M15" s="832">
        <v>94264.6</v>
      </c>
      <c r="N15" s="832">
        <v>101772.40000000001</v>
      </c>
      <c r="O15" s="832">
        <v>79249</v>
      </c>
      <c r="P15" s="832">
        <v>165171.6</v>
      </c>
      <c r="Q15" s="832">
        <v>141814</v>
      </c>
      <c r="R15" s="832">
        <v>164337.40000000002</v>
      </c>
      <c r="S15" s="832">
        <v>206881.6</v>
      </c>
      <c r="T15" s="832">
        <v>207048.44</v>
      </c>
      <c r="U15" s="832">
        <v>208216.32000000001</v>
      </c>
      <c r="V15" s="832">
        <v>242752.2</v>
      </c>
      <c r="W15" s="832">
        <v>211052.6</v>
      </c>
      <c r="X15" s="832">
        <v>160166.40000000002</v>
      </c>
      <c r="Y15" s="832">
        <v>82585.8</v>
      </c>
      <c r="Z15" s="832">
        <v>59228.200000000004</v>
      </c>
      <c r="AA15" s="832">
        <v>65901.8</v>
      </c>
      <c r="AB15" s="832">
        <v>85922.6</v>
      </c>
      <c r="AC15" s="832">
        <v>171011</v>
      </c>
      <c r="AD15" s="832">
        <v>170176.80000000002</v>
      </c>
      <c r="AE15" s="832">
        <v>208550</v>
      </c>
      <c r="AF15" s="832">
        <v>219394.6</v>
      </c>
      <c r="AG15" s="832">
        <v>291970</v>
      </c>
      <c r="AH15" s="832">
        <v>254848.1</v>
      </c>
      <c r="AI15" s="832">
        <v>229405</v>
      </c>
      <c r="AJ15" s="832">
        <v>171011</v>
      </c>
      <c r="AK15" s="832">
        <v>145985</v>
      </c>
      <c r="AL15" s="832">
        <v>52554.600000000006</v>
      </c>
      <c r="AM15" s="832">
        <v>59228.200000000004</v>
      </c>
      <c r="AN15" s="832">
        <v>95933</v>
      </c>
      <c r="AO15" s="832">
        <v>132637.80000000002</v>
      </c>
      <c r="AP15" s="832">
        <v>192700.2</v>
      </c>
      <c r="AQ15" s="832">
        <v>214389.40000000002</v>
      </c>
      <c r="AR15" s="832">
        <v>207715.80000000002</v>
      </c>
      <c r="AS15" s="832">
        <v>381229.4</v>
      </c>
      <c r="AT15" s="832">
        <v>204379</v>
      </c>
      <c r="AU15" s="832">
        <v>255265.2</v>
      </c>
      <c r="AV15" s="832">
        <v>206881.6</v>
      </c>
      <c r="AW15" s="832">
        <v>81751.600000000006</v>
      </c>
      <c r="AX15" s="832">
        <v>45881</v>
      </c>
      <c r="AY15" s="832">
        <v>58394.000000000007</v>
      </c>
    </row>
    <row r="16" spans="1:16307" s="500" customFormat="1" ht="12.75" customHeight="1" x14ac:dyDescent="0.2">
      <c r="A16" s="830" t="s">
        <v>892</v>
      </c>
      <c r="B16" s="831" t="s">
        <v>900</v>
      </c>
      <c r="C16" s="832">
        <v>0</v>
      </c>
      <c r="D16" s="832">
        <v>0</v>
      </c>
      <c r="E16" s="832">
        <v>0</v>
      </c>
      <c r="F16" s="832">
        <v>0</v>
      </c>
      <c r="G16" s="832">
        <v>0</v>
      </c>
      <c r="H16" s="832">
        <v>0</v>
      </c>
      <c r="I16" s="832">
        <v>0</v>
      </c>
      <c r="J16" s="832">
        <v>0</v>
      </c>
      <c r="K16" s="832">
        <v>0</v>
      </c>
      <c r="L16" s="832">
        <v>0</v>
      </c>
      <c r="M16" s="832">
        <v>0</v>
      </c>
      <c r="N16" s="832">
        <v>0</v>
      </c>
      <c r="O16" s="832">
        <v>0</v>
      </c>
      <c r="P16" s="832">
        <v>0</v>
      </c>
      <c r="Q16" s="832">
        <v>0</v>
      </c>
      <c r="R16" s="832">
        <v>0</v>
      </c>
      <c r="S16" s="832">
        <v>0</v>
      </c>
      <c r="T16" s="832">
        <v>0</v>
      </c>
      <c r="U16" s="832">
        <v>0</v>
      </c>
      <c r="V16" s="832">
        <v>0</v>
      </c>
      <c r="W16" s="832">
        <v>0</v>
      </c>
      <c r="X16" s="832">
        <v>0</v>
      </c>
      <c r="Y16" s="832">
        <v>210652.18400000001</v>
      </c>
      <c r="Z16" s="832">
        <v>60696.392000000007</v>
      </c>
      <c r="AA16" s="832">
        <v>83545.13</v>
      </c>
      <c r="AB16" s="832">
        <v>170660.636</v>
      </c>
      <c r="AC16" s="832">
        <v>189229.92800000001</v>
      </c>
      <c r="AD16" s="832">
        <v>343473.50800000003</v>
      </c>
      <c r="AE16" s="832">
        <v>382747.64400000003</v>
      </c>
      <c r="AF16" s="832">
        <v>356320.18800000002</v>
      </c>
      <c r="AG16" s="832">
        <v>498426.15800000005</v>
      </c>
      <c r="AH16" s="832">
        <v>606463.4</v>
      </c>
      <c r="AI16" s="832">
        <v>623147.4</v>
      </c>
      <c r="AJ16" s="832">
        <v>367048</v>
      </c>
      <c r="AK16" s="832">
        <v>385400.4</v>
      </c>
      <c r="AL16" s="832">
        <v>272783.40000000002</v>
      </c>
      <c r="AM16" s="832">
        <v>340353.60000000003</v>
      </c>
      <c r="AN16" s="832">
        <v>437120.80000000005</v>
      </c>
      <c r="AO16" s="832">
        <v>359540.2</v>
      </c>
      <c r="AP16" s="832">
        <v>462981.00000000006</v>
      </c>
      <c r="AQ16" s="832">
        <v>530551.20000000007</v>
      </c>
      <c r="AR16" s="832">
        <v>387068.80000000005</v>
      </c>
      <c r="AS16" s="832">
        <v>846713</v>
      </c>
      <c r="AT16" s="832">
        <v>451302.2</v>
      </c>
      <c r="AU16" s="832">
        <v>542230</v>
      </c>
      <c r="AV16" s="832">
        <v>358706</v>
      </c>
      <c r="AW16" s="832">
        <v>216892</v>
      </c>
      <c r="AX16" s="832">
        <v>246923.2</v>
      </c>
      <c r="AY16" s="832">
        <v>286964.80000000005</v>
      </c>
    </row>
    <row r="17" spans="1:16307" s="501" customFormat="1" x14ac:dyDescent="0.2">
      <c r="A17" s="833" t="s">
        <v>889</v>
      </c>
      <c r="B17" s="834" t="s">
        <v>901</v>
      </c>
      <c r="C17" s="835">
        <v>22867.09</v>
      </c>
      <c r="D17" s="835">
        <v>17398.079999999998</v>
      </c>
      <c r="E17" s="835">
        <v>13911.12</v>
      </c>
      <c r="F17" s="835">
        <v>13580.779999999999</v>
      </c>
      <c r="G17" s="835">
        <v>21692.54</v>
      </c>
      <c r="H17" s="835">
        <v>41696.649999999994</v>
      </c>
      <c r="I17" s="835">
        <v>43238.25</v>
      </c>
      <c r="J17" s="835">
        <v>20885.04</v>
      </c>
      <c r="K17" s="835">
        <v>17655.009999999998</v>
      </c>
      <c r="L17" s="835">
        <v>14168.050000000001</v>
      </c>
      <c r="M17" s="835">
        <v>15452.72</v>
      </c>
      <c r="N17" s="835">
        <v>5764.08</v>
      </c>
      <c r="O17" s="835">
        <v>788.4</v>
      </c>
      <c r="P17" s="835">
        <v>8497.2000000000007</v>
      </c>
      <c r="Q17" s="835">
        <v>9653.52</v>
      </c>
      <c r="R17" s="835">
        <v>11072.64</v>
      </c>
      <c r="S17" s="835">
        <v>11966.16</v>
      </c>
      <c r="T17" s="835">
        <v>12789.6</v>
      </c>
      <c r="U17" s="835">
        <v>13753.199999999999</v>
      </c>
      <c r="V17" s="835">
        <v>13034.880000000001</v>
      </c>
      <c r="W17" s="835">
        <v>11020.08</v>
      </c>
      <c r="X17" s="835">
        <v>29275.919999999998</v>
      </c>
      <c r="Y17" s="835">
        <v>12631.92</v>
      </c>
      <c r="Z17" s="835">
        <v>12246.48</v>
      </c>
      <c r="AA17" s="835">
        <v>13490.4</v>
      </c>
      <c r="AB17" s="835">
        <v>15400.08</v>
      </c>
      <c r="AC17" s="835">
        <v>14226.24</v>
      </c>
      <c r="AD17" s="835">
        <v>15592.8</v>
      </c>
      <c r="AE17" s="835">
        <v>18623.760000000002</v>
      </c>
      <c r="AF17" s="835">
        <v>20550.96</v>
      </c>
      <c r="AG17" s="835">
        <v>23476.799999999999</v>
      </c>
      <c r="AH17" s="835">
        <v>20025.36</v>
      </c>
      <c r="AI17" s="835">
        <v>16749.12</v>
      </c>
      <c r="AJ17" s="835">
        <v>11212.8</v>
      </c>
      <c r="AK17" s="835">
        <v>14313.84</v>
      </c>
      <c r="AL17" s="835">
        <v>8689.92</v>
      </c>
      <c r="AM17" s="835">
        <v>15259.92</v>
      </c>
      <c r="AN17" s="835">
        <v>15365.04</v>
      </c>
      <c r="AO17" s="835">
        <v>9688.5600000000013</v>
      </c>
      <c r="AP17" s="835">
        <v>17695.2</v>
      </c>
      <c r="AQ17" s="835">
        <v>14173.679999999998</v>
      </c>
      <c r="AR17" s="835">
        <v>16994.400000000001</v>
      </c>
      <c r="AS17" s="835">
        <v>23424.239999999998</v>
      </c>
      <c r="AT17" s="835">
        <v>14331.36</v>
      </c>
      <c r="AU17" s="835">
        <v>18956.64</v>
      </c>
      <c r="AV17" s="835">
        <v>15224.88</v>
      </c>
      <c r="AW17" s="835">
        <v>10599.6</v>
      </c>
      <c r="AX17" s="835">
        <v>8357.0399999999991</v>
      </c>
      <c r="AY17" s="835">
        <v>9881.2800000000007</v>
      </c>
      <c r="AZ17" s="500"/>
      <c r="BA17" s="500"/>
      <c r="BB17" s="500"/>
      <c r="BC17" s="500"/>
      <c r="BD17" s="500"/>
      <c r="BE17" s="500"/>
      <c r="BF17" s="500"/>
      <c r="BG17" s="500"/>
      <c r="BH17" s="500"/>
      <c r="BI17" s="500"/>
      <c r="BJ17" s="500"/>
      <c r="BK17" s="500"/>
      <c r="BL17" s="500"/>
      <c r="BM17" s="500"/>
      <c r="BN17" s="500"/>
      <c r="BO17" s="500"/>
      <c r="BP17" s="500"/>
      <c r="BQ17" s="500"/>
      <c r="BR17" s="500"/>
      <c r="BS17" s="500"/>
      <c r="BT17" s="500"/>
      <c r="BU17" s="500"/>
      <c r="BV17" s="500"/>
      <c r="BW17" s="500"/>
      <c r="BX17" s="500"/>
      <c r="BY17" s="500"/>
      <c r="BZ17" s="500"/>
      <c r="CA17" s="500"/>
      <c r="CB17" s="500"/>
      <c r="CC17" s="500"/>
      <c r="CD17" s="500"/>
      <c r="CE17" s="500"/>
      <c r="CF17" s="500"/>
      <c r="CG17" s="500"/>
      <c r="CH17" s="500"/>
      <c r="CI17" s="500"/>
      <c r="CJ17" s="500"/>
      <c r="CK17" s="500"/>
      <c r="CL17" s="500"/>
      <c r="CM17" s="500"/>
      <c r="CN17" s="500"/>
      <c r="CO17" s="500"/>
      <c r="CP17" s="500"/>
      <c r="CQ17" s="500"/>
      <c r="CR17" s="500"/>
      <c r="CS17" s="500"/>
      <c r="CT17" s="500"/>
      <c r="CU17" s="500"/>
      <c r="CV17" s="500"/>
      <c r="CW17" s="500"/>
      <c r="CX17" s="500"/>
      <c r="CY17" s="500"/>
      <c r="CZ17" s="500"/>
      <c r="DA17" s="500"/>
      <c r="DB17" s="500"/>
      <c r="DC17" s="500"/>
      <c r="DD17" s="500"/>
      <c r="DE17" s="500"/>
      <c r="DF17" s="500"/>
      <c r="DG17" s="500"/>
      <c r="DH17" s="500"/>
      <c r="DI17" s="500"/>
      <c r="DJ17" s="500"/>
      <c r="DK17" s="500"/>
      <c r="DL17" s="500"/>
      <c r="DM17" s="500"/>
      <c r="DN17" s="500"/>
      <c r="DO17" s="500"/>
      <c r="DP17" s="500"/>
      <c r="DQ17" s="500"/>
      <c r="DR17" s="500"/>
      <c r="DS17" s="500"/>
      <c r="DT17" s="500"/>
      <c r="DU17" s="500"/>
      <c r="DV17" s="500"/>
      <c r="DW17" s="500"/>
      <c r="DX17" s="500"/>
      <c r="DY17" s="500"/>
      <c r="DZ17" s="500"/>
      <c r="EA17" s="500"/>
      <c r="EB17" s="500"/>
      <c r="EC17" s="500"/>
      <c r="ED17" s="500"/>
      <c r="EE17" s="500"/>
      <c r="EF17" s="500"/>
      <c r="EG17" s="500"/>
      <c r="EH17" s="500"/>
      <c r="EI17" s="500"/>
      <c r="EJ17" s="500"/>
      <c r="EK17" s="500"/>
      <c r="EL17" s="500"/>
      <c r="EM17" s="500"/>
      <c r="EN17" s="500"/>
      <c r="EO17" s="500"/>
      <c r="EP17" s="500"/>
      <c r="EQ17" s="500"/>
      <c r="ER17" s="500"/>
      <c r="ES17" s="500"/>
      <c r="ET17" s="500"/>
      <c r="EU17" s="500"/>
      <c r="EV17" s="500"/>
      <c r="EW17" s="500"/>
      <c r="EX17" s="500"/>
      <c r="EY17" s="500"/>
      <c r="EZ17" s="500"/>
      <c r="FA17" s="500"/>
      <c r="FB17" s="500"/>
      <c r="FC17" s="500"/>
      <c r="FD17" s="500"/>
      <c r="FE17" s="500"/>
      <c r="FF17" s="500"/>
      <c r="FG17" s="500"/>
      <c r="FH17" s="500"/>
      <c r="FI17" s="500"/>
      <c r="FJ17" s="500"/>
      <c r="FK17" s="500"/>
      <c r="FL17" s="500"/>
      <c r="FM17" s="500"/>
      <c r="FN17" s="500"/>
      <c r="FO17" s="500"/>
      <c r="FP17" s="500"/>
      <c r="FQ17" s="500"/>
      <c r="FR17" s="500"/>
      <c r="FS17" s="500"/>
      <c r="FT17" s="500"/>
      <c r="FU17" s="500"/>
      <c r="FV17" s="500"/>
      <c r="FW17" s="500"/>
      <c r="FX17" s="500"/>
      <c r="FY17" s="500"/>
      <c r="FZ17" s="500"/>
      <c r="GA17" s="500"/>
      <c r="GB17" s="500"/>
      <c r="GC17" s="500"/>
      <c r="GD17" s="500"/>
      <c r="GE17" s="500"/>
      <c r="GF17" s="500"/>
      <c r="GG17" s="500"/>
      <c r="GH17" s="500"/>
      <c r="GI17" s="500"/>
      <c r="GJ17" s="500"/>
      <c r="GK17" s="500"/>
      <c r="GL17" s="500"/>
      <c r="GM17" s="500"/>
      <c r="GN17" s="500"/>
      <c r="GO17" s="500"/>
      <c r="GP17" s="500"/>
      <c r="GQ17" s="500"/>
      <c r="GR17" s="500"/>
      <c r="GS17" s="500"/>
      <c r="GT17" s="500"/>
      <c r="GU17" s="500"/>
      <c r="GV17" s="500"/>
      <c r="GW17" s="500"/>
      <c r="GX17" s="500"/>
      <c r="GY17" s="500"/>
      <c r="GZ17" s="500"/>
      <c r="HA17" s="500"/>
      <c r="HB17" s="500"/>
      <c r="HC17" s="500"/>
      <c r="HD17" s="500"/>
      <c r="HE17" s="500"/>
      <c r="HF17" s="500"/>
      <c r="HG17" s="500"/>
      <c r="HH17" s="500"/>
      <c r="HI17" s="500"/>
      <c r="HJ17" s="500"/>
      <c r="HK17" s="500"/>
      <c r="HL17" s="500"/>
      <c r="HM17" s="500"/>
      <c r="HN17" s="500"/>
      <c r="HO17" s="500"/>
      <c r="HP17" s="500"/>
      <c r="HQ17" s="500"/>
      <c r="HR17" s="500"/>
      <c r="HS17" s="500"/>
      <c r="HT17" s="500"/>
      <c r="HU17" s="500"/>
      <c r="HV17" s="500"/>
      <c r="HW17" s="500"/>
      <c r="HX17" s="500"/>
      <c r="HY17" s="500"/>
      <c r="HZ17" s="500"/>
      <c r="IA17" s="500"/>
      <c r="IB17" s="500"/>
      <c r="IC17" s="500"/>
      <c r="ID17" s="500"/>
      <c r="IE17" s="500"/>
      <c r="IF17" s="500"/>
      <c r="IG17" s="500"/>
      <c r="IH17" s="500"/>
      <c r="II17" s="500"/>
      <c r="IJ17" s="500"/>
      <c r="IK17" s="500"/>
      <c r="IL17" s="500"/>
      <c r="IM17" s="500"/>
      <c r="IN17" s="500"/>
      <c r="IO17" s="500"/>
      <c r="IP17" s="500"/>
      <c r="IQ17" s="500"/>
      <c r="IR17" s="500"/>
      <c r="IS17" s="500"/>
      <c r="IT17" s="500"/>
      <c r="IU17" s="500"/>
      <c r="IV17" s="500"/>
      <c r="IW17" s="500"/>
      <c r="IX17" s="500"/>
      <c r="IY17" s="500"/>
      <c r="IZ17" s="500"/>
      <c r="JA17" s="500"/>
      <c r="JB17" s="500"/>
      <c r="JC17" s="500"/>
      <c r="JD17" s="500"/>
      <c r="JE17" s="500"/>
      <c r="JF17" s="500"/>
      <c r="JG17" s="500"/>
      <c r="JH17" s="500"/>
      <c r="JI17" s="500"/>
      <c r="JJ17" s="500"/>
      <c r="JK17" s="500"/>
      <c r="JL17" s="500"/>
      <c r="JM17" s="500"/>
      <c r="JN17" s="500"/>
      <c r="JO17" s="500"/>
      <c r="JP17" s="500"/>
      <c r="JQ17" s="500"/>
      <c r="JR17" s="500"/>
      <c r="JS17" s="500"/>
      <c r="JT17" s="500"/>
      <c r="JU17" s="500"/>
      <c r="JV17" s="500"/>
      <c r="JW17" s="500"/>
      <c r="JX17" s="500"/>
      <c r="JY17" s="500"/>
      <c r="JZ17" s="500"/>
      <c r="KA17" s="500"/>
      <c r="KB17" s="500"/>
      <c r="KC17" s="500"/>
      <c r="KD17" s="500"/>
      <c r="KE17" s="500"/>
      <c r="KF17" s="500"/>
      <c r="KG17" s="500"/>
      <c r="KH17" s="500"/>
      <c r="KI17" s="500"/>
      <c r="KJ17" s="500"/>
      <c r="KK17" s="500"/>
      <c r="KL17" s="500"/>
      <c r="KM17" s="500"/>
      <c r="KN17" s="500"/>
      <c r="KO17" s="500"/>
      <c r="KP17" s="500"/>
      <c r="KQ17" s="500"/>
      <c r="KR17" s="500"/>
      <c r="KS17" s="500"/>
      <c r="KT17" s="500"/>
      <c r="KU17" s="500"/>
      <c r="KV17" s="500"/>
      <c r="KW17" s="500"/>
      <c r="KX17" s="500"/>
      <c r="KY17" s="500"/>
      <c r="KZ17" s="500"/>
      <c r="LA17" s="500"/>
      <c r="LB17" s="500"/>
      <c r="LC17" s="500"/>
      <c r="LD17" s="500"/>
      <c r="LE17" s="500"/>
      <c r="LF17" s="500"/>
      <c r="LG17" s="500"/>
      <c r="LH17" s="500"/>
      <c r="LI17" s="500"/>
      <c r="LJ17" s="500"/>
      <c r="LK17" s="500"/>
      <c r="LL17" s="500"/>
      <c r="LM17" s="500"/>
      <c r="LN17" s="500"/>
      <c r="LO17" s="500"/>
      <c r="LP17" s="500"/>
      <c r="LQ17" s="500"/>
      <c r="LR17" s="500"/>
      <c r="LS17" s="500"/>
      <c r="LT17" s="500"/>
      <c r="LU17" s="500"/>
      <c r="LV17" s="500"/>
      <c r="LW17" s="500"/>
      <c r="LX17" s="500"/>
      <c r="LY17" s="500"/>
      <c r="LZ17" s="500"/>
      <c r="MA17" s="500"/>
      <c r="MB17" s="500"/>
      <c r="MC17" s="500"/>
      <c r="MD17" s="500"/>
      <c r="ME17" s="500"/>
      <c r="MF17" s="500"/>
      <c r="MG17" s="500"/>
      <c r="MH17" s="500"/>
      <c r="MI17" s="500"/>
      <c r="MJ17" s="500"/>
      <c r="MK17" s="500"/>
      <c r="ML17" s="500"/>
      <c r="MM17" s="500"/>
      <c r="MN17" s="500"/>
      <c r="MO17" s="500"/>
      <c r="MP17" s="500"/>
      <c r="MQ17" s="500"/>
      <c r="MR17" s="500"/>
      <c r="MS17" s="500"/>
      <c r="MT17" s="500"/>
      <c r="MU17" s="500"/>
      <c r="MV17" s="500"/>
      <c r="MW17" s="500"/>
      <c r="MX17" s="500"/>
      <c r="MY17" s="500"/>
      <c r="MZ17" s="500"/>
      <c r="NA17" s="500"/>
      <c r="NB17" s="500"/>
      <c r="NC17" s="500"/>
      <c r="ND17" s="500"/>
      <c r="NE17" s="500"/>
      <c r="NF17" s="500"/>
      <c r="NG17" s="500"/>
      <c r="NH17" s="500"/>
      <c r="NI17" s="500"/>
      <c r="NJ17" s="500"/>
      <c r="NK17" s="500"/>
      <c r="NL17" s="500"/>
      <c r="NM17" s="500"/>
      <c r="NN17" s="500"/>
      <c r="NO17" s="500"/>
      <c r="NP17" s="500"/>
      <c r="NQ17" s="500"/>
      <c r="NR17" s="500"/>
      <c r="NS17" s="500"/>
      <c r="NT17" s="500"/>
      <c r="NU17" s="500"/>
      <c r="NV17" s="500"/>
      <c r="NW17" s="500"/>
      <c r="NX17" s="500"/>
      <c r="NY17" s="500"/>
      <c r="NZ17" s="500"/>
      <c r="OA17" s="500"/>
      <c r="OB17" s="500"/>
      <c r="OC17" s="500"/>
      <c r="OD17" s="500"/>
      <c r="OE17" s="500"/>
      <c r="OF17" s="500"/>
      <c r="OG17" s="500"/>
      <c r="OH17" s="500"/>
      <c r="OI17" s="500"/>
      <c r="OJ17" s="500"/>
      <c r="OK17" s="500"/>
      <c r="OL17" s="500"/>
      <c r="OM17" s="500"/>
      <c r="ON17" s="500"/>
      <c r="OO17" s="500"/>
      <c r="OP17" s="500"/>
      <c r="OQ17" s="500"/>
      <c r="OR17" s="500"/>
      <c r="OS17" s="500"/>
      <c r="OT17" s="500"/>
      <c r="OU17" s="500"/>
      <c r="OV17" s="500"/>
      <c r="OW17" s="500"/>
      <c r="OX17" s="500"/>
      <c r="OY17" s="500"/>
      <c r="OZ17" s="500"/>
      <c r="PA17" s="500"/>
      <c r="PB17" s="500"/>
      <c r="PC17" s="500"/>
      <c r="PD17" s="500"/>
      <c r="PE17" s="500"/>
      <c r="PF17" s="500"/>
      <c r="PG17" s="500"/>
      <c r="PH17" s="500"/>
      <c r="PI17" s="500"/>
      <c r="PJ17" s="500"/>
      <c r="PK17" s="500"/>
      <c r="PL17" s="500"/>
      <c r="PM17" s="500"/>
      <c r="PN17" s="500"/>
      <c r="PO17" s="500"/>
      <c r="PP17" s="500"/>
      <c r="PQ17" s="500"/>
      <c r="PR17" s="500"/>
      <c r="PS17" s="500"/>
      <c r="PT17" s="500"/>
      <c r="PU17" s="500"/>
      <c r="PV17" s="500"/>
      <c r="PW17" s="500"/>
      <c r="PX17" s="500"/>
      <c r="PY17" s="500"/>
      <c r="PZ17" s="500"/>
      <c r="QA17" s="500"/>
      <c r="QB17" s="500"/>
      <c r="QC17" s="500"/>
      <c r="QD17" s="500"/>
      <c r="QE17" s="500"/>
      <c r="QF17" s="500"/>
      <c r="QG17" s="500"/>
      <c r="QH17" s="500"/>
      <c r="QI17" s="500"/>
      <c r="QJ17" s="500"/>
      <c r="QK17" s="500"/>
      <c r="QL17" s="500"/>
      <c r="QM17" s="500"/>
      <c r="QN17" s="500"/>
      <c r="QO17" s="500"/>
      <c r="QP17" s="500"/>
      <c r="QQ17" s="500"/>
      <c r="QR17" s="500"/>
      <c r="QS17" s="500"/>
      <c r="QT17" s="500"/>
      <c r="QU17" s="500"/>
      <c r="QV17" s="500"/>
      <c r="QW17" s="500"/>
      <c r="QX17" s="500"/>
      <c r="QY17" s="500"/>
      <c r="QZ17" s="500"/>
      <c r="RA17" s="500"/>
      <c r="RB17" s="500"/>
      <c r="RC17" s="500"/>
      <c r="RD17" s="500"/>
      <c r="RE17" s="500"/>
      <c r="RF17" s="500"/>
      <c r="RG17" s="500"/>
      <c r="RH17" s="500"/>
      <c r="RI17" s="500"/>
      <c r="RJ17" s="500"/>
      <c r="RK17" s="500"/>
      <c r="RL17" s="500"/>
      <c r="RM17" s="500"/>
      <c r="RN17" s="500"/>
      <c r="RO17" s="500"/>
      <c r="RP17" s="500"/>
      <c r="RQ17" s="500"/>
      <c r="RR17" s="500"/>
      <c r="RS17" s="500"/>
      <c r="RT17" s="500"/>
      <c r="RU17" s="500"/>
      <c r="RV17" s="500"/>
      <c r="RW17" s="500"/>
      <c r="RX17" s="500"/>
      <c r="RY17" s="500"/>
      <c r="RZ17" s="500"/>
      <c r="SA17" s="500"/>
      <c r="SB17" s="500"/>
      <c r="SC17" s="500"/>
      <c r="SD17" s="500"/>
      <c r="SE17" s="500"/>
      <c r="SF17" s="500"/>
      <c r="SG17" s="500"/>
      <c r="SH17" s="500"/>
      <c r="SI17" s="500"/>
      <c r="SJ17" s="500"/>
      <c r="SK17" s="500"/>
      <c r="SL17" s="500"/>
      <c r="SM17" s="500"/>
      <c r="SN17" s="500"/>
      <c r="SO17" s="500"/>
      <c r="SP17" s="500"/>
      <c r="SQ17" s="500"/>
      <c r="SR17" s="500"/>
      <c r="SS17" s="500"/>
      <c r="ST17" s="500"/>
      <c r="SU17" s="500"/>
      <c r="SV17" s="500"/>
      <c r="SW17" s="500"/>
      <c r="SX17" s="500"/>
      <c r="SY17" s="500"/>
      <c r="SZ17" s="500"/>
      <c r="TA17" s="500"/>
      <c r="TB17" s="500"/>
      <c r="TC17" s="500"/>
      <c r="TD17" s="500"/>
      <c r="TE17" s="500"/>
      <c r="TF17" s="500"/>
      <c r="TG17" s="500"/>
      <c r="TH17" s="500"/>
      <c r="TI17" s="500"/>
      <c r="TJ17" s="500"/>
      <c r="TK17" s="500"/>
      <c r="TL17" s="500"/>
      <c r="TM17" s="500"/>
      <c r="TN17" s="500"/>
      <c r="TO17" s="500"/>
      <c r="TP17" s="500"/>
      <c r="TQ17" s="500"/>
      <c r="TR17" s="500"/>
      <c r="TS17" s="500"/>
      <c r="TT17" s="500"/>
      <c r="TU17" s="500"/>
      <c r="TV17" s="500"/>
      <c r="TW17" s="500"/>
      <c r="TX17" s="500"/>
      <c r="TY17" s="500"/>
      <c r="TZ17" s="500"/>
      <c r="UA17" s="500"/>
      <c r="UB17" s="500"/>
      <c r="UC17" s="500"/>
      <c r="UD17" s="500"/>
      <c r="UE17" s="500"/>
      <c r="UF17" s="500"/>
      <c r="UG17" s="500"/>
      <c r="UH17" s="500"/>
      <c r="UI17" s="500"/>
      <c r="UJ17" s="500"/>
      <c r="UK17" s="500"/>
      <c r="UL17" s="500"/>
      <c r="UM17" s="500"/>
      <c r="UN17" s="500"/>
      <c r="UO17" s="500"/>
      <c r="UP17" s="500"/>
      <c r="UQ17" s="500"/>
      <c r="UR17" s="500"/>
      <c r="US17" s="500"/>
      <c r="UT17" s="500"/>
      <c r="UU17" s="500"/>
      <c r="UV17" s="500"/>
      <c r="UW17" s="500"/>
      <c r="UX17" s="500"/>
      <c r="UY17" s="500"/>
      <c r="UZ17" s="500"/>
      <c r="VA17" s="500"/>
      <c r="VB17" s="500"/>
      <c r="VC17" s="500"/>
      <c r="VD17" s="500"/>
      <c r="VE17" s="500"/>
      <c r="VF17" s="500"/>
      <c r="VG17" s="500"/>
      <c r="VH17" s="500"/>
      <c r="VI17" s="500"/>
      <c r="VJ17" s="500"/>
      <c r="VK17" s="500"/>
      <c r="VL17" s="500"/>
      <c r="VM17" s="500"/>
      <c r="VN17" s="500"/>
      <c r="VO17" s="500"/>
      <c r="VP17" s="500"/>
      <c r="VQ17" s="500"/>
      <c r="VR17" s="500"/>
      <c r="VS17" s="500"/>
      <c r="VT17" s="500"/>
      <c r="VU17" s="500"/>
      <c r="VV17" s="500"/>
      <c r="VW17" s="500"/>
      <c r="VX17" s="500"/>
      <c r="VY17" s="500"/>
      <c r="VZ17" s="500"/>
      <c r="WA17" s="500"/>
      <c r="WB17" s="500"/>
      <c r="WC17" s="500"/>
      <c r="WD17" s="500"/>
      <c r="WE17" s="500"/>
      <c r="WF17" s="500"/>
      <c r="WG17" s="500"/>
      <c r="WH17" s="500"/>
      <c r="WI17" s="500"/>
      <c r="WJ17" s="500"/>
      <c r="WK17" s="500"/>
      <c r="WL17" s="500"/>
      <c r="WM17" s="500"/>
      <c r="WN17" s="500"/>
      <c r="WO17" s="500"/>
      <c r="WP17" s="500"/>
      <c r="WQ17" s="500"/>
      <c r="WR17" s="500"/>
      <c r="WS17" s="500"/>
      <c r="WT17" s="500"/>
      <c r="WU17" s="500"/>
      <c r="WV17" s="500"/>
      <c r="WW17" s="500"/>
      <c r="WX17" s="500"/>
      <c r="WY17" s="500"/>
      <c r="WZ17" s="500"/>
      <c r="XA17" s="500"/>
      <c r="XB17" s="500"/>
      <c r="XC17" s="500"/>
      <c r="XD17" s="500"/>
      <c r="XE17" s="500"/>
      <c r="XF17" s="500"/>
      <c r="XG17" s="500"/>
      <c r="XH17" s="500"/>
      <c r="XI17" s="500"/>
      <c r="XJ17" s="500"/>
      <c r="XK17" s="500"/>
      <c r="XL17" s="500"/>
      <c r="XM17" s="500"/>
      <c r="XN17" s="500"/>
      <c r="XO17" s="500"/>
      <c r="XP17" s="500"/>
      <c r="XQ17" s="500"/>
      <c r="XR17" s="500"/>
      <c r="XS17" s="500"/>
      <c r="XT17" s="500"/>
      <c r="XU17" s="500"/>
      <c r="XV17" s="500"/>
      <c r="XW17" s="500"/>
      <c r="XX17" s="500"/>
      <c r="XY17" s="500"/>
      <c r="XZ17" s="500"/>
      <c r="YA17" s="500"/>
      <c r="YB17" s="500"/>
      <c r="YC17" s="500"/>
      <c r="YD17" s="500"/>
      <c r="YE17" s="500"/>
      <c r="YF17" s="500"/>
      <c r="YG17" s="500"/>
      <c r="YH17" s="500"/>
      <c r="YI17" s="500"/>
      <c r="YJ17" s="500"/>
      <c r="YK17" s="500"/>
      <c r="YL17" s="500"/>
      <c r="YM17" s="500"/>
      <c r="YN17" s="500"/>
      <c r="YO17" s="500"/>
      <c r="YP17" s="500"/>
      <c r="YQ17" s="500"/>
      <c r="YR17" s="500"/>
      <c r="YS17" s="500"/>
      <c r="YT17" s="500"/>
      <c r="YU17" s="500"/>
      <c r="YV17" s="500"/>
      <c r="YW17" s="500"/>
      <c r="YX17" s="500"/>
      <c r="YY17" s="500"/>
      <c r="YZ17" s="500"/>
      <c r="ZA17" s="500"/>
      <c r="ZB17" s="500"/>
      <c r="ZC17" s="500"/>
      <c r="ZD17" s="500"/>
      <c r="ZE17" s="500"/>
      <c r="ZF17" s="500"/>
      <c r="ZG17" s="500"/>
      <c r="ZH17" s="500"/>
      <c r="ZI17" s="500"/>
      <c r="ZJ17" s="500"/>
      <c r="ZK17" s="500"/>
      <c r="ZL17" s="500"/>
      <c r="ZM17" s="500"/>
      <c r="ZN17" s="500"/>
      <c r="ZO17" s="500"/>
      <c r="ZP17" s="500"/>
      <c r="ZQ17" s="500"/>
      <c r="ZR17" s="500"/>
      <c r="ZS17" s="500"/>
      <c r="ZT17" s="500"/>
      <c r="ZU17" s="500"/>
      <c r="ZV17" s="500"/>
      <c r="ZW17" s="500"/>
      <c r="ZX17" s="500"/>
      <c r="ZY17" s="500"/>
      <c r="ZZ17" s="500"/>
      <c r="AAA17" s="500"/>
      <c r="AAB17" s="500"/>
      <c r="AAC17" s="500"/>
      <c r="AAD17" s="500"/>
      <c r="AAE17" s="500"/>
      <c r="AAF17" s="500"/>
      <c r="AAG17" s="500"/>
      <c r="AAH17" s="500"/>
      <c r="AAI17" s="500"/>
      <c r="AAJ17" s="500"/>
      <c r="AAK17" s="500"/>
      <c r="AAL17" s="500"/>
      <c r="AAM17" s="500"/>
      <c r="AAN17" s="500"/>
      <c r="AAO17" s="500"/>
      <c r="AAP17" s="500"/>
      <c r="AAQ17" s="500"/>
      <c r="AAR17" s="500"/>
      <c r="AAS17" s="500"/>
      <c r="AAT17" s="500"/>
      <c r="AAU17" s="500"/>
      <c r="AAV17" s="500"/>
      <c r="AAW17" s="500"/>
      <c r="AAX17" s="500"/>
      <c r="AAY17" s="500"/>
      <c r="AAZ17" s="500"/>
      <c r="ABA17" s="500"/>
      <c r="ABB17" s="500"/>
      <c r="ABC17" s="500"/>
      <c r="ABD17" s="500"/>
      <c r="ABE17" s="500"/>
      <c r="ABF17" s="500"/>
      <c r="ABG17" s="500"/>
      <c r="ABH17" s="500"/>
      <c r="ABI17" s="500"/>
      <c r="ABJ17" s="500"/>
      <c r="ABK17" s="500"/>
      <c r="ABL17" s="500"/>
      <c r="ABM17" s="500"/>
      <c r="ABN17" s="500"/>
      <c r="ABO17" s="500"/>
      <c r="ABP17" s="500"/>
      <c r="ABQ17" s="500"/>
      <c r="ABR17" s="500"/>
      <c r="ABS17" s="500"/>
      <c r="ABT17" s="500"/>
      <c r="ABU17" s="500"/>
      <c r="ABV17" s="500"/>
      <c r="ABW17" s="500"/>
      <c r="ABX17" s="500"/>
      <c r="ABY17" s="500"/>
      <c r="ABZ17" s="500"/>
      <c r="ACA17" s="500"/>
      <c r="ACB17" s="500"/>
      <c r="ACC17" s="500"/>
      <c r="ACD17" s="500"/>
      <c r="ACE17" s="500"/>
      <c r="ACF17" s="500"/>
      <c r="ACG17" s="500"/>
      <c r="ACH17" s="500"/>
      <c r="ACI17" s="500"/>
      <c r="ACJ17" s="500"/>
      <c r="ACK17" s="500"/>
      <c r="ACL17" s="500"/>
      <c r="ACM17" s="500"/>
      <c r="ACN17" s="500"/>
      <c r="ACO17" s="500"/>
      <c r="ACP17" s="500"/>
      <c r="ACQ17" s="500"/>
      <c r="ACR17" s="500"/>
      <c r="ACS17" s="500"/>
      <c r="ACT17" s="500"/>
      <c r="ACU17" s="500"/>
      <c r="ACV17" s="500"/>
      <c r="ACW17" s="500"/>
      <c r="ACX17" s="500"/>
      <c r="ACY17" s="500"/>
      <c r="ACZ17" s="500"/>
      <c r="ADA17" s="500"/>
      <c r="ADB17" s="500"/>
      <c r="ADC17" s="500"/>
      <c r="ADD17" s="500"/>
      <c r="ADE17" s="500"/>
      <c r="ADF17" s="500"/>
      <c r="ADG17" s="500"/>
      <c r="ADH17" s="500"/>
      <c r="ADI17" s="500"/>
      <c r="ADJ17" s="500"/>
      <c r="ADK17" s="500"/>
      <c r="ADL17" s="500"/>
      <c r="ADM17" s="500"/>
      <c r="ADN17" s="500"/>
      <c r="ADO17" s="500"/>
      <c r="ADP17" s="500"/>
      <c r="ADQ17" s="500"/>
      <c r="ADR17" s="500"/>
      <c r="ADS17" s="500"/>
      <c r="ADT17" s="500"/>
      <c r="ADU17" s="500"/>
      <c r="ADV17" s="500"/>
      <c r="ADW17" s="500"/>
      <c r="ADX17" s="500"/>
      <c r="ADY17" s="500"/>
      <c r="ADZ17" s="500"/>
      <c r="AEA17" s="500"/>
      <c r="AEB17" s="500"/>
      <c r="AEC17" s="500"/>
      <c r="AED17" s="500"/>
      <c r="AEE17" s="500"/>
      <c r="AEF17" s="500"/>
      <c r="AEG17" s="500"/>
      <c r="AEH17" s="500"/>
      <c r="AEI17" s="500"/>
      <c r="AEJ17" s="500"/>
      <c r="AEK17" s="500"/>
      <c r="AEL17" s="500"/>
      <c r="AEM17" s="500"/>
      <c r="AEN17" s="500"/>
      <c r="AEO17" s="500"/>
      <c r="AEP17" s="500"/>
      <c r="AEQ17" s="500"/>
      <c r="AER17" s="500"/>
      <c r="AES17" s="500"/>
      <c r="AET17" s="500"/>
      <c r="AEU17" s="500"/>
      <c r="AEV17" s="500"/>
      <c r="AEW17" s="500"/>
      <c r="AEX17" s="500"/>
      <c r="AEY17" s="500"/>
      <c r="AEZ17" s="500"/>
      <c r="AFA17" s="500"/>
      <c r="AFB17" s="500"/>
      <c r="AFC17" s="500"/>
      <c r="AFD17" s="500"/>
      <c r="AFE17" s="500"/>
      <c r="AFF17" s="500"/>
      <c r="AFG17" s="500"/>
      <c r="AFH17" s="500"/>
      <c r="AFI17" s="500"/>
      <c r="AFJ17" s="500"/>
      <c r="AFK17" s="500"/>
      <c r="AFL17" s="500"/>
      <c r="AFM17" s="500"/>
      <c r="AFN17" s="500"/>
      <c r="AFO17" s="500"/>
      <c r="AFP17" s="500"/>
      <c r="AFQ17" s="500"/>
      <c r="AFR17" s="500"/>
      <c r="AFS17" s="500"/>
      <c r="AFT17" s="500"/>
      <c r="AFU17" s="500"/>
      <c r="AFV17" s="500"/>
      <c r="AFW17" s="500"/>
      <c r="AFX17" s="500"/>
      <c r="AFY17" s="500"/>
      <c r="AFZ17" s="500"/>
      <c r="AGA17" s="500"/>
      <c r="AGB17" s="500"/>
      <c r="AGC17" s="500"/>
      <c r="AGD17" s="500"/>
      <c r="AGE17" s="500"/>
      <c r="AGF17" s="500"/>
      <c r="AGG17" s="500"/>
      <c r="AGH17" s="500"/>
      <c r="AGI17" s="500"/>
      <c r="AGJ17" s="500"/>
      <c r="AGK17" s="500"/>
      <c r="AGL17" s="500"/>
      <c r="AGM17" s="500"/>
      <c r="AGN17" s="500"/>
      <c r="AGO17" s="500"/>
      <c r="AGP17" s="500"/>
      <c r="AGQ17" s="500"/>
      <c r="AGR17" s="500"/>
      <c r="AGS17" s="500"/>
      <c r="AGT17" s="500"/>
      <c r="AGU17" s="500"/>
      <c r="AGV17" s="500"/>
      <c r="AGW17" s="500"/>
      <c r="AGX17" s="500"/>
      <c r="AGY17" s="500"/>
      <c r="AGZ17" s="500"/>
      <c r="AHA17" s="500"/>
      <c r="AHB17" s="500"/>
      <c r="AHC17" s="500"/>
      <c r="AHD17" s="500"/>
      <c r="AHE17" s="500"/>
      <c r="AHF17" s="500"/>
      <c r="AHG17" s="500"/>
      <c r="AHH17" s="500"/>
      <c r="AHI17" s="500"/>
      <c r="AHJ17" s="500"/>
      <c r="AHK17" s="500"/>
      <c r="AHL17" s="500"/>
      <c r="AHM17" s="500"/>
      <c r="AHN17" s="500"/>
      <c r="AHO17" s="500"/>
      <c r="AHP17" s="500"/>
      <c r="AHQ17" s="500"/>
      <c r="AHR17" s="500"/>
      <c r="AHS17" s="500"/>
      <c r="AHT17" s="500"/>
      <c r="AHU17" s="500"/>
      <c r="AHV17" s="500"/>
      <c r="AHW17" s="500"/>
      <c r="AHX17" s="500"/>
      <c r="AHY17" s="500"/>
      <c r="AHZ17" s="500"/>
      <c r="AIA17" s="500"/>
      <c r="AIB17" s="500"/>
      <c r="AIC17" s="500"/>
      <c r="AID17" s="500"/>
      <c r="AIE17" s="500"/>
      <c r="AIF17" s="500"/>
      <c r="AIG17" s="500"/>
      <c r="AIH17" s="500"/>
      <c r="AII17" s="500"/>
      <c r="AIJ17" s="500"/>
      <c r="AIK17" s="500"/>
      <c r="AIL17" s="500"/>
      <c r="AIM17" s="500"/>
      <c r="AIN17" s="500"/>
      <c r="AIO17" s="500"/>
      <c r="AIP17" s="500"/>
      <c r="AIQ17" s="500"/>
      <c r="AIR17" s="500"/>
      <c r="AIS17" s="500"/>
      <c r="AIT17" s="500"/>
      <c r="AIU17" s="500"/>
      <c r="AIV17" s="500"/>
      <c r="AIW17" s="500"/>
      <c r="AIX17" s="500"/>
      <c r="AIY17" s="500"/>
      <c r="AIZ17" s="500"/>
      <c r="AJA17" s="500"/>
      <c r="AJB17" s="500"/>
      <c r="AJC17" s="500"/>
      <c r="AJD17" s="500"/>
      <c r="AJE17" s="500"/>
      <c r="AJF17" s="500"/>
      <c r="AJG17" s="500"/>
      <c r="AJH17" s="500"/>
      <c r="AJI17" s="500"/>
      <c r="AJJ17" s="500"/>
      <c r="AJK17" s="500"/>
      <c r="AJL17" s="500"/>
      <c r="AJM17" s="500"/>
      <c r="AJN17" s="500"/>
      <c r="AJO17" s="500"/>
      <c r="AJP17" s="500"/>
      <c r="AJQ17" s="500"/>
      <c r="AJR17" s="500"/>
      <c r="AJS17" s="500"/>
      <c r="AJT17" s="500"/>
      <c r="AJU17" s="500"/>
      <c r="AJV17" s="500"/>
      <c r="AJW17" s="500"/>
      <c r="AJX17" s="500"/>
      <c r="AJY17" s="500"/>
      <c r="AJZ17" s="500"/>
      <c r="AKA17" s="500"/>
      <c r="AKB17" s="500"/>
      <c r="AKC17" s="500"/>
      <c r="AKD17" s="500"/>
      <c r="AKE17" s="500"/>
      <c r="AKF17" s="500"/>
      <c r="AKG17" s="500"/>
      <c r="AKH17" s="500"/>
      <c r="AKI17" s="500"/>
      <c r="AKJ17" s="500"/>
      <c r="AKK17" s="500"/>
      <c r="AKL17" s="500"/>
      <c r="AKM17" s="500"/>
      <c r="AKN17" s="500"/>
      <c r="AKO17" s="500"/>
      <c r="AKP17" s="500"/>
      <c r="AKQ17" s="500"/>
      <c r="AKR17" s="500"/>
      <c r="AKS17" s="500"/>
      <c r="AKT17" s="500"/>
      <c r="AKU17" s="500"/>
      <c r="AKV17" s="500"/>
      <c r="AKW17" s="500"/>
      <c r="AKX17" s="500"/>
      <c r="AKY17" s="500"/>
      <c r="AKZ17" s="500"/>
      <c r="ALA17" s="500"/>
      <c r="ALB17" s="500"/>
      <c r="ALC17" s="500"/>
      <c r="ALD17" s="500"/>
      <c r="ALE17" s="500"/>
      <c r="ALF17" s="500"/>
      <c r="ALG17" s="500"/>
      <c r="ALH17" s="500"/>
      <c r="ALI17" s="500"/>
      <c r="ALJ17" s="500"/>
      <c r="ALK17" s="500"/>
      <c r="ALL17" s="500"/>
      <c r="ALM17" s="500"/>
      <c r="ALN17" s="500"/>
      <c r="ALO17" s="500"/>
      <c r="ALP17" s="500"/>
      <c r="ALQ17" s="500"/>
      <c r="ALR17" s="500"/>
      <c r="ALS17" s="500"/>
      <c r="ALT17" s="500"/>
      <c r="ALU17" s="500"/>
      <c r="ALV17" s="500"/>
      <c r="ALW17" s="500"/>
      <c r="ALX17" s="500"/>
      <c r="ALY17" s="500"/>
      <c r="ALZ17" s="500"/>
      <c r="AMA17" s="500"/>
      <c r="AMB17" s="500"/>
      <c r="AMC17" s="500"/>
      <c r="AMD17" s="500"/>
      <c r="AME17" s="500"/>
      <c r="AMF17" s="500"/>
      <c r="AMG17" s="500"/>
      <c r="AMH17" s="500"/>
      <c r="AMI17" s="500"/>
      <c r="AMJ17" s="500"/>
      <c r="AMK17" s="500"/>
      <c r="AML17" s="500"/>
      <c r="AMM17" s="500"/>
      <c r="AMN17" s="500"/>
      <c r="AMO17" s="500"/>
      <c r="AMP17" s="500"/>
      <c r="AMQ17" s="500"/>
      <c r="AMR17" s="500"/>
      <c r="AMS17" s="500"/>
      <c r="AMT17" s="500"/>
      <c r="AMU17" s="500"/>
      <c r="AMV17" s="500"/>
      <c r="AMW17" s="500"/>
      <c r="AMX17" s="500"/>
      <c r="AMY17" s="500"/>
      <c r="AMZ17" s="500"/>
      <c r="ANA17" s="500"/>
      <c r="ANB17" s="500"/>
      <c r="ANC17" s="500"/>
      <c r="AND17" s="500"/>
      <c r="ANE17" s="500"/>
      <c r="ANF17" s="500"/>
      <c r="ANG17" s="500"/>
      <c r="ANH17" s="500"/>
      <c r="ANI17" s="500"/>
      <c r="ANJ17" s="500"/>
      <c r="ANK17" s="500"/>
      <c r="ANL17" s="500"/>
      <c r="ANM17" s="500"/>
      <c r="ANN17" s="500"/>
      <c r="ANO17" s="500"/>
      <c r="ANP17" s="500"/>
      <c r="ANQ17" s="500"/>
      <c r="ANR17" s="500"/>
      <c r="ANS17" s="500"/>
      <c r="ANT17" s="500"/>
      <c r="ANU17" s="500"/>
      <c r="ANV17" s="500"/>
      <c r="ANW17" s="500"/>
      <c r="ANX17" s="500"/>
      <c r="ANY17" s="500"/>
      <c r="ANZ17" s="500"/>
      <c r="AOA17" s="500"/>
      <c r="AOB17" s="500"/>
      <c r="AOC17" s="500"/>
      <c r="AOD17" s="500"/>
      <c r="AOE17" s="500"/>
      <c r="AOF17" s="500"/>
      <c r="AOG17" s="500"/>
      <c r="AOH17" s="500"/>
      <c r="AOI17" s="500"/>
      <c r="AOJ17" s="500"/>
      <c r="AOK17" s="500"/>
      <c r="AOL17" s="500"/>
      <c r="AOM17" s="500"/>
      <c r="AON17" s="500"/>
      <c r="AOO17" s="500"/>
      <c r="AOP17" s="500"/>
      <c r="AOQ17" s="500"/>
      <c r="AOR17" s="500"/>
      <c r="AOS17" s="500"/>
      <c r="AOT17" s="500"/>
      <c r="AOU17" s="500"/>
      <c r="AOV17" s="500"/>
      <c r="AOW17" s="500"/>
      <c r="AOX17" s="500"/>
      <c r="AOY17" s="500"/>
      <c r="AOZ17" s="500"/>
      <c r="APA17" s="500"/>
      <c r="APB17" s="500"/>
      <c r="APC17" s="500"/>
      <c r="APD17" s="500"/>
      <c r="APE17" s="500"/>
      <c r="APF17" s="500"/>
      <c r="APG17" s="500"/>
      <c r="APH17" s="500"/>
      <c r="API17" s="500"/>
      <c r="APJ17" s="500"/>
      <c r="APK17" s="500"/>
      <c r="APL17" s="500"/>
      <c r="APM17" s="500"/>
      <c r="APN17" s="500"/>
      <c r="APO17" s="500"/>
      <c r="APP17" s="500"/>
      <c r="APQ17" s="500"/>
      <c r="APR17" s="500"/>
      <c r="APS17" s="500"/>
      <c r="APT17" s="500"/>
      <c r="APU17" s="500"/>
      <c r="APV17" s="500"/>
      <c r="APW17" s="500"/>
      <c r="APX17" s="500"/>
      <c r="APY17" s="500"/>
      <c r="APZ17" s="500"/>
      <c r="AQA17" s="500"/>
      <c r="AQB17" s="500"/>
      <c r="AQC17" s="500"/>
      <c r="AQD17" s="500"/>
      <c r="AQE17" s="500"/>
      <c r="AQF17" s="500"/>
      <c r="AQG17" s="500"/>
      <c r="AQH17" s="500"/>
      <c r="AQI17" s="500"/>
      <c r="AQJ17" s="500"/>
      <c r="AQK17" s="500"/>
      <c r="AQL17" s="500"/>
      <c r="AQM17" s="500"/>
      <c r="AQN17" s="500"/>
      <c r="AQO17" s="500"/>
      <c r="AQP17" s="500"/>
      <c r="AQQ17" s="500"/>
      <c r="AQR17" s="500"/>
      <c r="AQS17" s="500"/>
      <c r="AQT17" s="500"/>
      <c r="AQU17" s="500"/>
      <c r="AQV17" s="500"/>
      <c r="AQW17" s="500"/>
      <c r="AQX17" s="500"/>
      <c r="AQY17" s="500"/>
      <c r="AQZ17" s="500"/>
      <c r="ARA17" s="500"/>
      <c r="ARB17" s="500"/>
      <c r="ARC17" s="500"/>
      <c r="ARD17" s="500"/>
      <c r="ARE17" s="500"/>
      <c r="ARF17" s="500"/>
      <c r="ARG17" s="500"/>
      <c r="ARH17" s="500"/>
      <c r="ARI17" s="500"/>
      <c r="ARJ17" s="500"/>
      <c r="ARK17" s="500"/>
      <c r="ARL17" s="500"/>
      <c r="ARM17" s="500"/>
      <c r="ARN17" s="500"/>
      <c r="ARO17" s="500"/>
      <c r="ARP17" s="500"/>
      <c r="ARQ17" s="500"/>
      <c r="ARR17" s="500"/>
      <c r="ARS17" s="500"/>
      <c r="ART17" s="500"/>
      <c r="ARU17" s="500"/>
      <c r="ARV17" s="500"/>
      <c r="ARW17" s="500"/>
      <c r="ARX17" s="500"/>
      <c r="ARY17" s="500"/>
      <c r="ARZ17" s="500"/>
      <c r="ASA17" s="500"/>
      <c r="ASB17" s="500"/>
      <c r="ASC17" s="500"/>
      <c r="ASD17" s="500"/>
      <c r="ASE17" s="500"/>
      <c r="ASF17" s="500"/>
      <c r="ASG17" s="500"/>
      <c r="ASH17" s="500"/>
      <c r="ASI17" s="500"/>
      <c r="ASJ17" s="500"/>
      <c r="ASK17" s="500"/>
      <c r="ASL17" s="500"/>
      <c r="ASM17" s="500"/>
      <c r="ASN17" s="500"/>
      <c r="ASO17" s="500"/>
      <c r="ASP17" s="500"/>
      <c r="ASQ17" s="500"/>
      <c r="ASR17" s="500"/>
      <c r="ASS17" s="500"/>
      <c r="AST17" s="500"/>
      <c r="ASU17" s="500"/>
      <c r="ASV17" s="500"/>
      <c r="ASW17" s="500"/>
      <c r="ASX17" s="500"/>
      <c r="ASY17" s="500"/>
      <c r="ASZ17" s="500"/>
      <c r="ATA17" s="500"/>
      <c r="ATB17" s="500"/>
      <c r="ATC17" s="500"/>
      <c r="ATD17" s="500"/>
      <c r="ATE17" s="500"/>
      <c r="ATF17" s="500"/>
      <c r="ATG17" s="500"/>
      <c r="ATH17" s="500"/>
      <c r="ATI17" s="500"/>
      <c r="ATJ17" s="500"/>
      <c r="ATK17" s="500"/>
      <c r="ATL17" s="500"/>
      <c r="ATM17" s="500"/>
      <c r="ATN17" s="500"/>
      <c r="ATO17" s="500"/>
      <c r="ATP17" s="500"/>
      <c r="ATQ17" s="500"/>
      <c r="ATR17" s="500"/>
      <c r="ATS17" s="500"/>
      <c r="ATT17" s="500"/>
      <c r="ATU17" s="500"/>
      <c r="ATV17" s="500"/>
      <c r="ATW17" s="500"/>
      <c r="ATX17" s="500"/>
      <c r="ATY17" s="500"/>
      <c r="ATZ17" s="500"/>
      <c r="AUA17" s="500"/>
      <c r="AUB17" s="500"/>
      <c r="AUC17" s="500"/>
      <c r="AUD17" s="500"/>
      <c r="AUE17" s="500"/>
      <c r="AUF17" s="500"/>
      <c r="AUG17" s="500"/>
      <c r="AUH17" s="500"/>
      <c r="AUI17" s="500"/>
      <c r="AUJ17" s="500"/>
      <c r="AUK17" s="500"/>
      <c r="AUL17" s="500"/>
      <c r="AUM17" s="500"/>
      <c r="AUN17" s="500"/>
      <c r="AUO17" s="500"/>
      <c r="AUP17" s="500"/>
      <c r="AUQ17" s="500"/>
      <c r="AUR17" s="500"/>
      <c r="AUS17" s="500"/>
      <c r="AUT17" s="500"/>
      <c r="AUU17" s="500"/>
      <c r="AUV17" s="500"/>
      <c r="AUW17" s="500"/>
      <c r="AUX17" s="500"/>
      <c r="AUY17" s="500"/>
      <c r="AUZ17" s="500"/>
      <c r="AVA17" s="500"/>
      <c r="AVB17" s="500"/>
      <c r="AVC17" s="500"/>
      <c r="AVD17" s="500"/>
      <c r="AVE17" s="500"/>
      <c r="AVF17" s="500"/>
      <c r="AVG17" s="500"/>
      <c r="AVH17" s="500"/>
      <c r="AVI17" s="500"/>
      <c r="AVJ17" s="500"/>
      <c r="AVK17" s="500"/>
      <c r="AVL17" s="500"/>
      <c r="AVM17" s="500"/>
      <c r="AVN17" s="500"/>
      <c r="AVO17" s="500"/>
      <c r="AVP17" s="500"/>
      <c r="AVQ17" s="500"/>
      <c r="AVR17" s="500"/>
      <c r="AVS17" s="500"/>
      <c r="AVT17" s="500"/>
      <c r="AVU17" s="500"/>
      <c r="AVV17" s="500"/>
      <c r="AVW17" s="500"/>
      <c r="AVX17" s="500"/>
      <c r="AVY17" s="500"/>
      <c r="AVZ17" s="500"/>
      <c r="AWA17" s="500"/>
      <c r="AWB17" s="500"/>
      <c r="AWC17" s="500"/>
      <c r="AWD17" s="500"/>
      <c r="AWE17" s="500"/>
      <c r="AWF17" s="500"/>
      <c r="AWG17" s="500"/>
      <c r="AWH17" s="500"/>
      <c r="AWI17" s="500"/>
      <c r="AWJ17" s="500"/>
      <c r="AWK17" s="500"/>
      <c r="AWL17" s="500"/>
      <c r="AWM17" s="500"/>
      <c r="AWN17" s="500"/>
      <c r="AWO17" s="500"/>
      <c r="AWP17" s="500"/>
      <c r="AWQ17" s="500"/>
      <c r="AWR17" s="500"/>
      <c r="AWS17" s="500"/>
      <c r="AWT17" s="500"/>
      <c r="AWU17" s="500"/>
      <c r="AWV17" s="500"/>
      <c r="AWW17" s="500"/>
      <c r="AWX17" s="500"/>
      <c r="AWY17" s="500"/>
      <c r="AWZ17" s="500"/>
      <c r="AXA17" s="500"/>
      <c r="AXB17" s="500"/>
      <c r="AXC17" s="500"/>
      <c r="AXD17" s="500"/>
      <c r="AXE17" s="500"/>
      <c r="AXF17" s="500"/>
      <c r="AXG17" s="500"/>
      <c r="AXH17" s="500"/>
      <c r="AXI17" s="500"/>
      <c r="AXJ17" s="500"/>
      <c r="AXK17" s="500"/>
      <c r="AXL17" s="500"/>
      <c r="AXM17" s="500"/>
      <c r="AXN17" s="500"/>
      <c r="AXO17" s="500"/>
      <c r="AXP17" s="500"/>
      <c r="AXQ17" s="500"/>
      <c r="AXR17" s="500"/>
      <c r="AXS17" s="500"/>
      <c r="AXT17" s="500"/>
      <c r="AXU17" s="500"/>
      <c r="AXV17" s="500"/>
      <c r="AXW17" s="500"/>
      <c r="AXX17" s="500"/>
      <c r="AXY17" s="500"/>
      <c r="AXZ17" s="500"/>
      <c r="AYA17" s="500"/>
      <c r="AYB17" s="500"/>
      <c r="AYC17" s="500"/>
      <c r="AYD17" s="500"/>
      <c r="AYE17" s="500"/>
      <c r="AYF17" s="500"/>
      <c r="AYG17" s="500"/>
      <c r="AYH17" s="500"/>
      <c r="AYI17" s="500"/>
      <c r="AYJ17" s="500"/>
      <c r="AYK17" s="500"/>
      <c r="AYL17" s="500"/>
      <c r="AYM17" s="500"/>
      <c r="AYN17" s="500"/>
      <c r="AYO17" s="500"/>
      <c r="AYP17" s="500"/>
      <c r="AYQ17" s="500"/>
      <c r="AYR17" s="500"/>
      <c r="AYS17" s="500"/>
      <c r="AYT17" s="500"/>
      <c r="AYU17" s="500"/>
      <c r="AYV17" s="500"/>
      <c r="AYW17" s="500"/>
      <c r="AYX17" s="500"/>
      <c r="AYY17" s="500"/>
      <c r="AYZ17" s="500"/>
      <c r="AZA17" s="500"/>
      <c r="AZB17" s="500"/>
      <c r="AZC17" s="500"/>
      <c r="AZD17" s="500"/>
      <c r="AZE17" s="500"/>
      <c r="AZF17" s="500"/>
      <c r="AZG17" s="500"/>
      <c r="AZH17" s="500"/>
      <c r="AZI17" s="500"/>
      <c r="AZJ17" s="500"/>
      <c r="AZK17" s="500"/>
      <c r="AZL17" s="500"/>
      <c r="AZM17" s="500"/>
      <c r="AZN17" s="500"/>
      <c r="AZO17" s="500"/>
      <c r="AZP17" s="500"/>
      <c r="AZQ17" s="500"/>
      <c r="AZR17" s="500"/>
      <c r="AZS17" s="500"/>
      <c r="AZT17" s="500"/>
      <c r="AZU17" s="500"/>
      <c r="AZV17" s="500"/>
      <c r="AZW17" s="500"/>
      <c r="AZX17" s="500"/>
      <c r="AZY17" s="500"/>
      <c r="AZZ17" s="500"/>
      <c r="BAA17" s="500"/>
      <c r="BAB17" s="500"/>
      <c r="BAC17" s="500"/>
      <c r="BAD17" s="500"/>
      <c r="BAE17" s="500"/>
      <c r="BAF17" s="500"/>
      <c r="BAG17" s="500"/>
      <c r="BAH17" s="500"/>
      <c r="BAI17" s="500"/>
      <c r="BAJ17" s="500"/>
      <c r="BAK17" s="500"/>
      <c r="BAL17" s="500"/>
      <c r="BAM17" s="500"/>
      <c r="BAN17" s="500"/>
      <c r="BAO17" s="500"/>
      <c r="BAP17" s="500"/>
      <c r="BAQ17" s="500"/>
      <c r="BAR17" s="500"/>
      <c r="BAS17" s="500"/>
      <c r="BAT17" s="500"/>
      <c r="BAU17" s="500"/>
      <c r="BAV17" s="500"/>
      <c r="BAW17" s="500"/>
      <c r="BAX17" s="500"/>
      <c r="BAY17" s="500"/>
      <c r="BAZ17" s="500"/>
      <c r="BBA17" s="500"/>
      <c r="BBB17" s="500"/>
      <c r="BBC17" s="500"/>
      <c r="BBD17" s="500"/>
      <c r="BBE17" s="500"/>
      <c r="BBF17" s="500"/>
      <c r="BBG17" s="500"/>
      <c r="BBH17" s="500"/>
      <c r="BBI17" s="500"/>
      <c r="BBJ17" s="500"/>
      <c r="BBK17" s="500"/>
      <c r="BBL17" s="500"/>
      <c r="BBM17" s="500"/>
      <c r="BBN17" s="500"/>
      <c r="BBO17" s="500"/>
      <c r="BBP17" s="500"/>
      <c r="BBQ17" s="500"/>
      <c r="BBR17" s="500"/>
      <c r="BBS17" s="500"/>
      <c r="BBT17" s="500"/>
      <c r="BBU17" s="500"/>
      <c r="BBV17" s="500"/>
      <c r="BBW17" s="500"/>
      <c r="BBX17" s="500"/>
      <c r="BBY17" s="500"/>
      <c r="BBZ17" s="500"/>
      <c r="BCA17" s="500"/>
      <c r="BCB17" s="500"/>
      <c r="BCC17" s="500"/>
      <c r="BCD17" s="500"/>
      <c r="BCE17" s="500"/>
      <c r="BCF17" s="500"/>
      <c r="BCG17" s="500"/>
      <c r="BCH17" s="500"/>
      <c r="BCI17" s="500"/>
      <c r="BCJ17" s="500"/>
      <c r="BCK17" s="500"/>
      <c r="BCL17" s="500"/>
      <c r="BCM17" s="500"/>
      <c r="BCN17" s="500"/>
      <c r="BCO17" s="500"/>
      <c r="BCP17" s="500"/>
      <c r="BCQ17" s="500"/>
      <c r="BCR17" s="500"/>
      <c r="BCS17" s="500"/>
      <c r="BCT17" s="500"/>
      <c r="BCU17" s="500"/>
      <c r="BCV17" s="500"/>
      <c r="BCW17" s="500"/>
      <c r="BCX17" s="500"/>
      <c r="BCY17" s="500"/>
      <c r="BCZ17" s="500"/>
      <c r="BDA17" s="500"/>
      <c r="BDB17" s="500"/>
      <c r="BDC17" s="500"/>
      <c r="BDD17" s="500"/>
      <c r="BDE17" s="500"/>
      <c r="BDF17" s="500"/>
      <c r="BDG17" s="500"/>
      <c r="BDH17" s="500"/>
      <c r="BDI17" s="500"/>
      <c r="BDJ17" s="500"/>
      <c r="BDK17" s="500"/>
      <c r="BDL17" s="500"/>
      <c r="BDM17" s="500"/>
      <c r="BDN17" s="500"/>
      <c r="BDO17" s="500"/>
      <c r="BDP17" s="500"/>
      <c r="BDQ17" s="500"/>
      <c r="BDR17" s="500"/>
      <c r="BDS17" s="500"/>
      <c r="BDT17" s="500"/>
      <c r="BDU17" s="500"/>
      <c r="BDV17" s="500"/>
      <c r="BDW17" s="500"/>
      <c r="BDX17" s="500"/>
      <c r="BDY17" s="500"/>
      <c r="BDZ17" s="500"/>
      <c r="BEA17" s="500"/>
      <c r="BEB17" s="500"/>
      <c r="BEC17" s="500"/>
      <c r="BED17" s="500"/>
      <c r="BEE17" s="500"/>
      <c r="BEF17" s="500"/>
      <c r="BEG17" s="500"/>
      <c r="BEH17" s="500"/>
      <c r="BEI17" s="500"/>
      <c r="BEJ17" s="500"/>
      <c r="BEK17" s="500"/>
      <c r="BEL17" s="500"/>
      <c r="BEM17" s="500"/>
      <c r="BEN17" s="500"/>
      <c r="BEO17" s="500"/>
      <c r="BEP17" s="500"/>
      <c r="BEQ17" s="500"/>
      <c r="BER17" s="500"/>
      <c r="BES17" s="500"/>
      <c r="BET17" s="500"/>
      <c r="BEU17" s="500"/>
      <c r="BEV17" s="500"/>
      <c r="BEW17" s="500"/>
      <c r="BEX17" s="500"/>
      <c r="BEY17" s="500"/>
      <c r="BEZ17" s="500"/>
      <c r="BFA17" s="500"/>
      <c r="BFB17" s="500"/>
      <c r="BFC17" s="500"/>
      <c r="BFD17" s="500"/>
      <c r="BFE17" s="500"/>
      <c r="BFF17" s="500"/>
      <c r="BFG17" s="500"/>
      <c r="BFH17" s="500"/>
      <c r="BFI17" s="500"/>
      <c r="BFJ17" s="500"/>
      <c r="BFK17" s="500"/>
      <c r="BFL17" s="500"/>
      <c r="BFM17" s="500"/>
      <c r="BFN17" s="500"/>
      <c r="BFO17" s="500"/>
      <c r="BFP17" s="500"/>
      <c r="BFQ17" s="500"/>
      <c r="BFR17" s="500"/>
      <c r="BFS17" s="500"/>
      <c r="BFT17" s="500"/>
      <c r="BFU17" s="500"/>
      <c r="BFV17" s="500"/>
      <c r="BFW17" s="500"/>
      <c r="BFX17" s="500"/>
      <c r="BFY17" s="500"/>
      <c r="BFZ17" s="500"/>
      <c r="BGA17" s="500"/>
      <c r="BGB17" s="500"/>
      <c r="BGC17" s="500"/>
      <c r="BGD17" s="500"/>
      <c r="BGE17" s="500"/>
      <c r="BGF17" s="500"/>
      <c r="BGG17" s="500"/>
      <c r="BGH17" s="500"/>
      <c r="BGI17" s="500"/>
      <c r="BGJ17" s="500"/>
      <c r="BGK17" s="500"/>
      <c r="BGL17" s="500"/>
      <c r="BGM17" s="500"/>
      <c r="BGN17" s="500"/>
      <c r="BGO17" s="500"/>
      <c r="BGP17" s="500"/>
      <c r="BGQ17" s="500"/>
      <c r="BGR17" s="500"/>
      <c r="BGS17" s="500"/>
      <c r="BGT17" s="500"/>
      <c r="BGU17" s="500"/>
      <c r="BGV17" s="500"/>
      <c r="BGW17" s="500"/>
      <c r="BGX17" s="500"/>
      <c r="BGY17" s="500"/>
      <c r="BGZ17" s="500"/>
      <c r="BHA17" s="500"/>
      <c r="BHB17" s="500"/>
      <c r="BHC17" s="500"/>
      <c r="BHD17" s="500"/>
      <c r="BHE17" s="500"/>
      <c r="BHF17" s="500"/>
      <c r="BHG17" s="500"/>
      <c r="BHH17" s="500"/>
      <c r="BHI17" s="500"/>
      <c r="BHJ17" s="500"/>
      <c r="BHK17" s="500"/>
      <c r="BHL17" s="500"/>
      <c r="BHM17" s="500"/>
      <c r="BHN17" s="500"/>
      <c r="BHO17" s="500"/>
      <c r="BHP17" s="500"/>
      <c r="BHQ17" s="500"/>
      <c r="BHR17" s="500"/>
      <c r="BHS17" s="500"/>
      <c r="BHT17" s="500"/>
      <c r="BHU17" s="500"/>
      <c r="BHV17" s="500"/>
      <c r="BHW17" s="500"/>
      <c r="BHX17" s="500"/>
      <c r="BHY17" s="500"/>
      <c r="BHZ17" s="500"/>
      <c r="BIA17" s="500"/>
      <c r="BIB17" s="500"/>
      <c r="BIC17" s="500"/>
      <c r="BID17" s="500"/>
      <c r="BIE17" s="500"/>
      <c r="BIF17" s="500"/>
      <c r="BIG17" s="500"/>
      <c r="BIH17" s="500"/>
      <c r="BII17" s="500"/>
      <c r="BIJ17" s="500"/>
      <c r="BIK17" s="500"/>
      <c r="BIL17" s="500"/>
      <c r="BIM17" s="500"/>
      <c r="BIN17" s="500"/>
      <c r="BIO17" s="500"/>
      <c r="BIP17" s="500"/>
      <c r="BIQ17" s="500"/>
      <c r="BIR17" s="500"/>
      <c r="BIS17" s="500"/>
      <c r="BIT17" s="500"/>
      <c r="BIU17" s="500"/>
      <c r="BIV17" s="500"/>
      <c r="BIW17" s="500"/>
      <c r="BIX17" s="500"/>
      <c r="BIY17" s="500"/>
      <c r="BIZ17" s="500"/>
      <c r="BJA17" s="500"/>
      <c r="BJB17" s="500"/>
      <c r="BJC17" s="500"/>
      <c r="BJD17" s="500"/>
      <c r="BJE17" s="500"/>
      <c r="BJF17" s="500"/>
      <c r="BJG17" s="500"/>
      <c r="BJH17" s="500"/>
      <c r="BJI17" s="500"/>
      <c r="BJJ17" s="500"/>
      <c r="BJK17" s="500"/>
      <c r="BJL17" s="500"/>
      <c r="BJM17" s="500"/>
      <c r="BJN17" s="500"/>
      <c r="BJO17" s="500"/>
      <c r="BJP17" s="500"/>
      <c r="BJQ17" s="500"/>
      <c r="BJR17" s="500"/>
      <c r="BJS17" s="500"/>
      <c r="BJT17" s="500"/>
      <c r="BJU17" s="500"/>
      <c r="BJV17" s="500"/>
      <c r="BJW17" s="500"/>
      <c r="BJX17" s="500"/>
      <c r="BJY17" s="500"/>
      <c r="BJZ17" s="500"/>
      <c r="BKA17" s="500"/>
      <c r="BKB17" s="500"/>
      <c r="BKC17" s="500"/>
      <c r="BKD17" s="500"/>
      <c r="BKE17" s="500"/>
      <c r="BKF17" s="500"/>
      <c r="BKG17" s="500"/>
      <c r="BKH17" s="500"/>
      <c r="BKI17" s="500"/>
      <c r="BKJ17" s="500"/>
      <c r="BKK17" s="500"/>
      <c r="BKL17" s="500"/>
      <c r="BKM17" s="500"/>
      <c r="BKN17" s="500"/>
      <c r="BKO17" s="500"/>
      <c r="BKP17" s="500"/>
      <c r="BKQ17" s="500"/>
      <c r="BKR17" s="500"/>
      <c r="BKS17" s="500"/>
      <c r="BKT17" s="500"/>
      <c r="BKU17" s="500"/>
      <c r="BKV17" s="500"/>
      <c r="BKW17" s="500"/>
      <c r="BKX17" s="500"/>
      <c r="BKY17" s="500"/>
      <c r="BKZ17" s="500"/>
      <c r="BLA17" s="500"/>
      <c r="BLB17" s="500"/>
      <c r="BLC17" s="500"/>
      <c r="BLD17" s="500"/>
      <c r="BLE17" s="500"/>
      <c r="BLF17" s="500"/>
      <c r="BLG17" s="500"/>
      <c r="BLH17" s="500"/>
      <c r="BLI17" s="500"/>
      <c r="BLJ17" s="500"/>
      <c r="BLK17" s="500"/>
      <c r="BLL17" s="500"/>
      <c r="BLM17" s="500"/>
      <c r="BLN17" s="500"/>
      <c r="BLO17" s="500"/>
      <c r="BLP17" s="500"/>
      <c r="BLQ17" s="500"/>
      <c r="BLR17" s="500"/>
      <c r="BLS17" s="500"/>
      <c r="BLT17" s="500"/>
      <c r="BLU17" s="500"/>
      <c r="BLV17" s="500"/>
      <c r="BLW17" s="500"/>
      <c r="BLX17" s="500"/>
      <c r="BLY17" s="500"/>
      <c r="BLZ17" s="500"/>
      <c r="BMA17" s="500"/>
      <c r="BMB17" s="500"/>
      <c r="BMC17" s="500"/>
      <c r="BMD17" s="500"/>
      <c r="BME17" s="500"/>
      <c r="BMF17" s="500"/>
      <c r="BMG17" s="500"/>
      <c r="BMH17" s="500"/>
      <c r="BMI17" s="500"/>
      <c r="BMJ17" s="500"/>
      <c r="BMK17" s="500"/>
      <c r="BML17" s="500"/>
      <c r="BMM17" s="500"/>
      <c r="BMN17" s="500"/>
      <c r="BMO17" s="500"/>
      <c r="BMP17" s="500"/>
      <c r="BMQ17" s="500"/>
      <c r="BMR17" s="500"/>
      <c r="BMS17" s="500"/>
      <c r="BMT17" s="500"/>
      <c r="BMU17" s="500"/>
      <c r="BMV17" s="500"/>
      <c r="BMW17" s="500"/>
      <c r="BMX17" s="500"/>
      <c r="BMY17" s="500"/>
      <c r="BMZ17" s="500"/>
      <c r="BNA17" s="500"/>
      <c r="BNB17" s="500"/>
      <c r="BNC17" s="500"/>
      <c r="BND17" s="500"/>
      <c r="BNE17" s="500"/>
      <c r="BNF17" s="500"/>
      <c r="BNG17" s="500"/>
      <c r="BNH17" s="500"/>
      <c r="BNI17" s="500"/>
      <c r="BNJ17" s="500"/>
      <c r="BNK17" s="500"/>
      <c r="BNL17" s="500"/>
      <c r="BNM17" s="500"/>
      <c r="BNN17" s="500"/>
      <c r="BNO17" s="500"/>
      <c r="BNP17" s="500"/>
      <c r="BNQ17" s="500"/>
      <c r="BNR17" s="500"/>
      <c r="BNS17" s="500"/>
      <c r="BNT17" s="500"/>
      <c r="BNU17" s="500"/>
      <c r="BNV17" s="500"/>
      <c r="BNW17" s="500"/>
      <c r="BNX17" s="500"/>
      <c r="BNY17" s="500"/>
      <c r="BNZ17" s="500"/>
      <c r="BOA17" s="500"/>
      <c r="BOB17" s="500"/>
      <c r="BOC17" s="500"/>
      <c r="BOD17" s="500"/>
      <c r="BOE17" s="500"/>
      <c r="BOF17" s="500"/>
      <c r="BOG17" s="500"/>
      <c r="BOH17" s="500"/>
      <c r="BOI17" s="500"/>
      <c r="BOJ17" s="500"/>
      <c r="BOK17" s="500"/>
      <c r="BOL17" s="500"/>
      <c r="BOM17" s="500"/>
      <c r="BON17" s="500"/>
      <c r="BOO17" s="500"/>
      <c r="BOP17" s="500"/>
      <c r="BOQ17" s="500"/>
      <c r="BOR17" s="500"/>
      <c r="BOS17" s="500"/>
      <c r="BOT17" s="500"/>
      <c r="BOU17" s="500"/>
      <c r="BOV17" s="500"/>
      <c r="BOW17" s="500"/>
      <c r="BOX17" s="500"/>
      <c r="BOY17" s="500"/>
      <c r="BOZ17" s="500"/>
      <c r="BPA17" s="500"/>
      <c r="BPB17" s="500"/>
      <c r="BPC17" s="500"/>
      <c r="BPD17" s="500"/>
      <c r="BPE17" s="500"/>
      <c r="BPF17" s="500"/>
      <c r="BPG17" s="500"/>
      <c r="BPH17" s="500"/>
      <c r="BPI17" s="500"/>
      <c r="BPJ17" s="500"/>
      <c r="BPK17" s="500"/>
      <c r="BPL17" s="500"/>
      <c r="BPM17" s="500"/>
      <c r="BPN17" s="500"/>
      <c r="BPO17" s="500"/>
      <c r="BPP17" s="500"/>
      <c r="BPQ17" s="500"/>
      <c r="BPR17" s="500"/>
      <c r="BPS17" s="500"/>
      <c r="BPT17" s="500"/>
      <c r="BPU17" s="500"/>
      <c r="BPV17" s="500"/>
      <c r="BPW17" s="500"/>
      <c r="BPX17" s="500"/>
      <c r="BPY17" s="500"/>
      <c r="BPZ17" s="500"/>
      <c r="BQA17" s="500"/>
      <c r="BQB17" s="500"/>
      <c r="BQC17" s="500"/>
      <c r="BQD17" s="500"/>
      <c r="BQE17" s="500"/>
      <c r="BQF17" s="500"/>
      <c r="BQG17" s="500"/>
      <c r="BQH17" s="500"/>
      <c r="BQI17" s="500"/>
      <c r="BQJ17" s="500"/>
      <c r="BQK17" s="500"/>
      <c r="BQL17" s="500"/>
      <c r="BQM17" s="500"/>
      <c r="BQN17" s="500"/>
      <c r="BQO17" s="500"/>
      <c r="BQP17" s="500"/>
      <c r="BQQ17" s="500"/>
      <c r="BQR17" s="500"/>
      <c r="BQS17" s="500"/>
      <c r="BQT17" s="500"/>
      <c r="BQU17" s="500"/>
      <c r="BQV17" s="500"/>
      <c r="BQW17" s="500"/>
      <c r="BQX17" s="500"/>
      <c r="BQY17" s="500"/>
      <c r="BQZ17" s="500"/>
      <c r="BRA17" s="500"/>
      <c r="BRB17" s="500"/>
      <c r="BRC17" s="500"/>
      <c r="BRD17" s="500"/>
      <c r="BRE17" s="500"/>
      <c r="BRF17" s="500"/>
      <c r="BRG17" s="500"/>
      <c r="BRH17" s="500"/>
      <c r="BRI17" s="500"/>
      <c r="BRJ17" s="500"/>
      <c r="BRK17" s="500"/>
      <c r="BRL17" s="500"/>
      <c r="BRM17" s="500"/>
      <c r="BRN17" s="500"/>
      <c r="BRO17" s="500"/>
      <c r="BRP17" s="500"/>
      <c r="BRQ17" s="500"/>
      <c r="BRR17" s="500"/>
      <c r="BRS17" s="500"/>
      <c r="BRT17" s="500"/>
      <c r="BRU17" s="500"/>
      <c r="BRV17" s="500"/>
      <c r="BRW17" s="500"/>
      <c r="BRX17" s="500"/>
      <c r="BRY17" s="500"/>
      <c r="BRZ17" s="500"/>
      <c r="BSA17" s="500"/>
      <c r="BSB17" s="500"/>
      <c r="BSC17" s="500"/>
      <c r="BSD17" s="500"/>
      <c r="BSE17" s="500"/>
      <c r="BSF17" s="500"/>
      <c r="BSG17" s="500"/>
      <c r="BSH17" s="500"/>
      <c r="BSI17" s="500"/>
      <c r="BSJ17" s="500"/>
      <c r="BSK17" s="500"/>
      <c r="BSL17" s="500"/>
      <c r="BSM17" s="500"/>
      <c r="BSN17" s="500"/>
      <c r="BSO17" s="500"/>
      <c r="BSP17" s="500"/>
      <c r="BSQ17" s="500"/>
      <c r="BSR17" s="500"/>
      <c r="BSS17" s="500"/>
      <c r="BST17" s="500"/>
      <c r="BSU17" s="500"/>
      <c r="BSV17" s="500"/>
      <c r="BSW17" s="500"/>
      <c r="BSX17" s="500"/>
      <c r="BSY17" s="500"/>
      <c r="BSZ17" s="500"/>
      <c r="BTA17" s="500"/>
      <c r="BTB17" s="500"/>
      <c r="BTC17" s="500"/>
      <c r="BTD17" s="500"/>
      <c r="BTE17" s="500"/>
      <c r="BTF17" s="500"/>
      <c r="BTG17" s="500"/>
      <c r="BTH17" s="500"/>
      <c r="BTI17" s="500"/>
      <c r="BTJ17" s="500"/>
      <c r="BTK17" s="500"/>
      <c r="BTL17" s="500"/>
      <c r="BTM17" s="500"/>
      <c r="BTN17" s="500"/>
      <c r="BTO17" s="500"/>
      <c r="BTP17" s="500"/>
      <c r="BTQ17" s="500"/>
      <c r="BTR17" s="500"/>
      <c r="BTS17" s="500"/>
      <c r="BTT17" s="500"/>
      <c r="BTU17" s="500"/>
      <c r="BTV17" s="500"/>
      <c r="BTW17" s="500"/>
      <c r="BTX17" s="500"/>
      <c r="BTY17" s="500"/>
      <c r="BTZ17" s="500"/>
      <c r="BUA17" s="500"/>
      <c r="BUB17" s="500"/>
      <c r="BUC17" s="500"/>
      <c r="BUD17" s="500"/>
      <c r="BUE17" s="500"/>
      <c r="BUF17" s="500"/>
      <c r="BUG17" s="500"/>
      <c r="BUH17" s="500"/>
      <c r="BUI17" s="500"/>
      <c r="BUJ17" s="500"/>
      <c r="BUK17" s="500"/>
      <c r="BUL17" s="500"/>
      <c r="BUM17" s="500"/>
      <c r="BUN17" s="500"/>
      <c r="BUO17" s="500"/>
      <c r="BUP17" s="500"/>
      <c r="BUQ17" s="500"/>
      <c r="BUR17" s="500"/>
      <c r="BUS17" s="500"/>
      <c r="BUT17" s="500"/>
      <c r="BUU17" s="500"/>
      <c r="BUV17" s="500"/>
      <c r="BUW17" s="500"/>
      <c r="BUX17" s="500"/>
      <c r="BUY17" s="500"/>
      <c r="BUZ17" s="500"/>
      <c r="BVA17" s="500"/>
      <c r="BVB17" s="500"/>
      <c r="BVC17" s="500"/>
      <c r="BVD17" s="500"/>
      <c r="BVE17" s="500"/>
      <c r="BVF17" s="500"/>
      <c r="BVG17" s="500"/>
      <c r="BVH17" s="500"/>
      <c r="BVI17" s="500"/>
      <c r="BVJ17" s="500"/>
      <c r="BVK17" s="500"/>
      <c r="BVL17" s="500"/>
      <c r="BVM17" s="500"/>
      <c r="BVN17" s="500"/>
      <c r="BVO17" s="500"/>
      <c r="BVP17" s="500"/>
      <c r="BVQ17" s="500"/>
      <c r="BVR17" s="500"/>
      <c r="BVS17" s="500"/>
      <c r="BVT17" s="500"/>
      <c r="BVU17" s="500"/>
      <c r="BVV17" s="500"/>
      <c r="BVW17" s="500"/>
      <c r="BVX17" s="500"/>
      <c r="BVY17" s="500"/>
      <c r="BVZ17" s="500"/>
      <c r="BWA17" s="500"/>
      <c r="BWB17" s="500"/>
      <c r="BWC17" s="500"/>
      <c r="BWD17" s="500"/>
      <c r="BWE17" s="500"/>
      <c r="BWF17" s="500"/>
      <c r="BWG17" s="500"/>
      <c r="BWH17" s="500"/>
      <c r="BWI17" s="500"/>
      <c r="BWJ17" s="500"/>
      <c r="BWK17" s="500"/>
      <c r="BWL17" s="500"/>
      <c r="BWM17" s="500"/>
      <c r="BWN17" s="500"/>
      <c r="BWO17" s="500"/>
      <c r="BWP17" s="500"/>
      <c r="BWQ17" s="500"/>
      <c r="BWR17" s="500"/>
      <c r="BWS17" s="500"/>
      <c r="BWT17" s="500"/>
      <c r="BWU17" s="500"/>
      <c r="BWV17" s="500"/>
      <c r="BWW17" s="500"/>
      <c r="BWX17" s="500"/>
      <c r="BWY17" s="500"/>
      <c r="BWZ17" s="500"/>
      <c r="BXA17" s="500"/>
      <c r="BXB17" s="500"/>
      <c r="BXC17" s="500"/>
      <c r="BXD17" s="500"/>
      <c r="BXE17" s="500"/>
      <c r="BXF17" s="500"/>
      <c r="BXG17" s="500"/>
      <c r="BXH17" s="500"/>
      <c r="BXI17" s="500"/>
      <c r="BXJ17" s="500"/>
      <c r="BXK17" s="500"/>
      <c r="BXL17" s="500"/>
      <c r="BXM17" s="500"/>
      <c r="BXN17" s="500"/>
      <c r="BXO17" s="500"/>
      <c r="BXP17" s="500"/>
      <c r="BXQ17" s="500"/>
      <c r="BXR17" s="500"/>
      <c r="BXS17" s="500"/>
      <c r="BXT17" s="500"/>
      <c r="BXU17" s="500"/>
      <c r="BXV17" s="500"/>
      <c r="BXW17" s="500"/>
      <c r="BXX17" s="500"/>
      <c r="BXY17" s="500"/>
      <c r="BXZ17" s="500"/>
      <c r="BYA17" s="500"/>
      <c r="BYB17" s="500"/>
      <c r="BYC17" s="500"/>
      <c r="BYD17" s="500"/>
      <c r="BYE17" s="500"/>
      <c r="BYF17" s="500"/>
      <c r="BYG17" s="500"/>
      <c r="BYH17" s="500"/>
      <c r="BYI17" s="500"/>
      <c r="BYJ17" s="500"/>
      <c r="BYK17" s="500"/>
      <c r="BYL17" s="500"/>
      <c r="BYM17" s="500"/>
      <c r="BYN17" s="500"/>
      <c r="BYO17" s="500"/>
      <c r="BYP17" s="500"/>
      <c r="BYQ17" s="500"/>
      <c r="BYR17" s="500"/>
      <c r="BYS17" s="500"/>
      <c r="BYT17" s="500"/>
      <c r="BYU17" s="500"/>
      <c r="BYV17" s="500"/>
      <c r="BYW17" s="500"/>
      <c r="BYX17" s="500"/>
      <c r="BYY17" s="500"/>
      <c r="BYZ17" s="500"/>
      <c r="BZA17" s="500"/>
      <c r="BZB17" s="500"/>
      <c r="BZC17" s="500"/>
      <c r="BZD17" s="500"/>
      <c r="BZE17" s="500"/>
      <c r="BZF17" s="500"/>
      <c r="BZG17" s="500"/>
      <c r="BZH17" s="500"/>
      <c r="BZI17" s="500"/>
      <c r="BZJ17" s="500"/>
      <c r="BZK17" s="500"/>
      <c r="BZL17" s="500"/>
      <c r="BZM17" s="500"/>
      <c r="BZN17" s="500"/>
      <c r="BZO17" s="500"/>
      <c r="BZP17" s="500"/>
      <c r="BZQ17" s="500"/>
      <c r="BZR17" s="500"/>
      <c r="BZS17" s="500"/>
      <c r="BZT17" s="500"/>
      <c r="BZU17" s="500"/>
      <c r="BZV17" s="500"/>
      <c r="BZW17" s="500"/>
      <c r="BZX17" s="500"/>
      <c r="BZY17" s="500"/>
      <c r="BZZ17" s="500"/>
      <c r="CAA17" s="500"/>
      <c r="CAB17" s="500"/>
      <c r="CAC17" s="500"/>
      <c r="CAD17" s="500"/>
      <c r="CAE17" s="500"/>
      <c r="CAF17" s="500"/>
      <c r="CAG17" s="500"/>
      <c r="CAH17" s="500"/>
      <c r="CAI17" s="500"/>
      <c r="CAJ17" s="500"/>
      <c r="CAK17" s="500"/>
      <c r="CAL17" s="500"/>
      <c r="CAM17" s="500"/>
      <c r="CAN17" s="500"/>
      <c r="CAO17" s="500"/>
      <c r="CAP17" s="500"/>
      <c r="CAQ17" s="500"/>
      <c r="CAR17" s="500"/>
      <c r="CAS17" s="500"/>
      <c r="CAT17" s="500"/>
      <c r="CAU17" s="500"/>
      <c r="CAV17" s="500"/>
      <c r="CAW17" s="500"/>
      <c r="CAX17" s="500"/>
      <c r="CAY17" s="500"/>
      <c r="CAZ17" s="500"/>
      <c r="CBA17" s="500"/>
      <c r="CBB17" s="500"/>
      <c r="CBC17" s="500"/>
      <c r="CBD17" s="500"/>
      <c r="CBE17" s="500"/>
      <c r="CBF17" s="500"/>
      <c r="CBG17" s="500"/>
      <c r="CBH17" s="500"/>
      <c r="CBI17" s="500"/>
      <c r="CBJ17" s="500"/>
      <c r="CBK17" s="500"/>
      <c r="CBL17" s="500"/>
      <c r="CBM17" s="500"/>
      <c r="CBN17" s="500"/>
      <c r="CBO17" s="500"/>
      <c r="CBP17" s="500"/>
      <c r="CBQ17" s="500"/>
      <c r="CBR17" s="500"/>
      <c r="CBS17" s="500"/>
      <c r="CBT17" s="500"/>
      <c r="CBU17" s="500"/>
      <c r="CBV17" s="500"/>
      <c r="CBW17" s="500"/>
      <c r="CBX17" s="500"/>
      <c r="CBY17" s="500"/>
      <c r="CBZ17" s="500"/>
      <c r="CCA17" s="500"/>
      <c r="CCB17" s="500"/>
      <c r="CCC17" s="500"/>
      <c r="CCD17" s="500"/>
      <c r="CCE17" s="500"/>
      <c r="CCF17" s="500"/>
      <c r="CCG17" s="500"/>
      <c r="CCH17" s="500"/>
      <c r="CCI17" s="500"/>
      <c r="CCJ17" s="500"/>
      <c r="CCK17" s="500"/>
      <c r="CCL17" s="500"/>
      <c r="CCM17" s="500"/>
      <c r="CCN17" s="500"/>
      <c r="CCO17" s="500"/>
      <c r="CCP17" s="500"/>
      <c r="CCQ17" s="500"/>
      <c r="CCR17" s="500"/>
      <c r="CCS17" s="500"/>
      <c r="CCT17" s="500"/>
      <c r="CCU17" s="500"/>
      <c r="CCV17" s="500"/>
      <c r="CCW17" s="500"/>
      <c r="CCX17" s="500"/>
      <c r="CCY17" s="500"/>
      <c r="CCZ17" s="500"/>
      <c r="CDA17" s="500"/>
      <c r="CDB17" s="500"/>
      <c r="CDC17" s="500"/>
      <c r="CDD17" s="500"/>
      <c r="CDE17" s="500"/>
      <c r="CDF17" s="500"/>
      <c r="CDG17" s="500"/>
      <c r="CDH17" s="500"/>
      <c r="CDI17" s="500"/>
      <c r="CDJ17" s="500"/>
      <c r="CDK17" s="500"/>
      <c r="CDL17" s="500"/>
      <c r="CDM17" s="500"/>
      <c r="CDN17" s="500"/>
      <c r="CDO17" s="500"/>
      <c r="CDP17" s="500"/>
      <c r="CDQ17" s="500"/>
      <c r="CDR17" s="500"/>
      <c r="CDS17" s="500"/>
      <c r="CDT17" s="500"/>
      <c r="CDU17" s="500"/>
      <c r="CDV17" s="500"/>
      <c r="CDW17" s="500"/>
      <c r="CDX17" s="500"/>
      <c r="CDY17" s="500"/>
      <c r="CDZ17" s="500"/>
      <c r="CEA17" s="500"/>
      <c r="CEB17" s="500"/>
      <c r="CEC17" s="500"/>
      <c r="CED17" s="500"/>
      <c r="CEE17" s="500"/>
      <c r="CEF17" s="500"/>
      <c r="CEG17" s="500"/>
      <c r="CEH17" s="500"/>
      <c r="CEI17" s="500"/>
      <c r="CEJ17" s="500"/>
      <c r="CEK17" s="500"/>
      <c r="CEL17" s="500"/>
      <c r="CEM17" s="500"/>
      <c r="CEN17" s="500"/>
      <c r="CEO17" s="500"/>
      <c r="CEP17" s="500"/>
      <c r="CEQ17" s="500"/>
      <c r="CER17" s="500"/>
      <c r="CES17" s="500"/>
      <c r="CET17" s="500"/>
      <c r="CEU17" s="500"/>
      <c r="CEV17" s="500"/>
      <c r="CEW17" s="500"/>
      <c r="CEX17" s="500"/>
      <c r="CEY17" s="500"/>
      <c r="CEZ17" s="500"/>
      <c r="CFA17" s="500"/>
      <c r="CFB17" s="500"/>
      <c r="CFC17" s="500"/>
      <c r="CFD17" s="500"/>
      <c r="CFE17" s="500"/>
      <c r="CFF17" s="500"/>
      <c r="CFG17" s="500"/>
      <c r="CFH17" s="500"/>
      <c r="CFI17" s="500"/>
      <c r="CFJ17" s="500"/>
      <c r="CFK17" s="500"/>
      <c r="CFL17" s="500"/>
      <c r="CFM17" s="500"/>
      <c r="CFN17" s="500"/>
      <c r="CFO17" s="500"/>
      <c r="CFP17" s="500"/>
      <c r="CFQ17" s="500"/>
      <c r="CFR17" s="500"/>
      <c r="CFS17" s="500"/>
      <c r="CFT17" s="500"/>
      <c r="CFU17" s="500"/>
      <c r="CFV17" s="500"/>
      <c r="CFW17" s="500"/>
      <c r="CFX17" s="500"/>
      <c r="CFY17" s="500"/>
      <c r="CFZ17" s="500"/>
      <c r="CGA17" s="500"/>
      <c r="CGB17" s="500"/>
      <c r="CGC17" s="500"/>
      <c r="CGD17" s="500"/>
      <c r="CGE17" s="500"/>
      <c r="CGF17" s="500"/>
      <c r="CGG17" s="500"/>
      <c r="CGH17" s="500"/>
      <c r="CGI17" s="500"/>
      <c r="CGJ17" s="500"/>
      <c r="CGK17" s="500"/>
      <c r="CGL17" s="500"/>
      <c r="CGM17" s="500"/>
      <c r="CGN17" s="500"/>
      <c r="CGO17" s="500"/>
      <c r="CGP17" s="500"/>
      <c r="CGQ17" s="500"/>
      <c r="CGR17" s="500"/>
      <c r="CGS17" s="500"/>
      <c r="CGT17" s="500"/>
      <c r="CGU17" s="500"/>
      <c r="CGV17" s="500"/>
      <c r="CGW17" s="500"/>
      <c r="CGX17" s="500"/>
      <c r="CGY17" s="500"/>
      <c r="CGZ17" s="500"/>
      <c r="CHA17" s="500"/>
      <c r="CHB17" s="500"/>
      <c r="CHC17" s="500"/>
      <c r="CHD17" s="500"/>
      <c r="CHE17" s="500"/>
      <c r="CHF17" s="500"/>
      <c r="CHG17" s="500"/>
      <c r="CHH17" s="500"/>
      <c r="CHI17" s="500"/>
      <c r="CHJ17" s="500"/>
      <c r="CHK17" s="500"/>
      <c r="CHL17" s="500"/>
      <c r="CHM17" s="500"/>
      <c r="CHN17" s="500"/>
      <c r="CHO17" s="500"/>
      <c r="CHP17" s="500"/>
      <c r="CHQ17" s="500"/>
      <c r="CHR17" s="500"/>
      <c r="CHS17" s="500"/>
      <c r="CHT17" s="500"/>
      <c r="CHU17" s="500"/>
      <c r="CHV17" s="500"/>
      <c r="CHW17" s="500"/>
      <c r="CHX17" s="500"/>
      <c r="CHY17" s="500"/>
      <c r="CHZ17" s="500"/>
      <c r="CIA17" s="500"/>
      <c r="CIB17" s="500"/>
      <c r="CIC17" s="500"/>
      <c r="CID17" s="500"/>
      <c r="CIE17" s="500"/>
      <c r="CIF17" s="500"/>
      <c r="CIG17" s="500"/>
      <c r="CIH17" s="500"/>
      <c r="CII17" s="500"/>
      <c r="CIJ17" s="500"/>
      <c r="CIK17" s="500"/>
      <c r="CIL17" s="500"/>
      <c r="CIM17" s="500"/>
      <c r="CIN17" s="500"/>
      <c r="CIO17" s="500"/>
      <c r="CIP17" s="500"/>
      <c r="CIQ17" s="500"/>
      <c r="CIR17" s="500"/>
      <c r="CIS17" s="500"/>
      <c r="CIT17" s="500"/>
      <c r="CIU17" s="500"/>
      <c r="CIV17" s="500"/>
      <c r="CIW17" s="500"/>
      <c r="CIX17" s="500"/>
      <c r="CIY17" s="500"/>
      <c r="CIZ17" s="500"/>
      <c r="CJA17" s="500"/>
      <c r="CJB17" s="500"/>
      <c r="CJC17" s="500"/>
      <c r="CJD17" s="500"/>
      <c r="CJE17" s="500"/>
      <c r="CJF17" s="500"/>
      <c r="CJG17" s="500"/>
      <c r="CJH17" s="500"/>
      <c r="CJI17" s="500"/>
      <c r="CJJ17" s="500"/>
      <c r="CJK17" s="500"/>
      <c r="CJL17" s="500"/>
      <c r="CJM17" s="500"/>
      <c r="CJN17" s="500"/>
      <c r="CJO17" s="500"/>
      <c r="CJP17" s="500"/>
      <c r="CJQ17" s="500"/>
      <c r="CJR17" s="500"/>
      <c r="CJS17" s="500"/>
      <c r="CJT17" s="500"/>
      <c r="CJU17" s="500"/>
      <c r="CJV17" s="500"/>
      <c r="CJW17" s="500"/>
      <c r="CJX17" s="500"/>
      <c r="CJY17" s="500"/>
      <c r="CJZ17" s="500"/>
      <c r="CKA17" s="500"/>
      <c r="CKB17" s="500"/>
      <c r="CKC17" s="500"/>
      <c r="CKD17" s="500"/>
      <c r="CKE17" s="500"/>
      <c r="CKF17" s="500"/>
      <c r="CKG17" s="500"/>
      <c r="CKH17" s="500"/>
      <c r="CKI17" s="500"/>
      <c r="CKJ17" s="500"/>
      <c r="CKK17" s="500"/>
      <c r="CKL17" s="500"/>
      <c r="CKM17" s="500"/>
      <c r="CKN17" s="500"/>
      <c r="CKO17" s="500"/>
      <c r="CKP17" s="500"/>
      <c r="CKQ17" s="500"/>
      <c r="CKR17" s="500"/>
      <c r="CKS17" s="500"/>
      <c r="CKT17" s="500"/>
      <c r="CKU17" s="500"/>
      <c r="CKV17" s="500"/>
      <c r="CKW17" s="500"/>
      <c r="CKX17" s="500"/>
      <c r="CKY17" s="500"/>
      <c r="CKZ17" s="500"/>
      <c r="CLA17" s="500"/>
      <c r="CLB17" s="500"/>
      <c r="CLC17" s="500"/>
      <c r="CLD17" s="500"/>
      <c r="CLE17" s="500"/>
      <c r="CLF17" s="500"/>
      <c r="CLG17" s="500"/>
      <c r="CLH17" s="500"/>
      <c r="CLI17" s="500"/>
      <c r="CLJ17" s="500"/>
      <c r="CLK17" s="500"/>
      <c r="CLL17" s="500"/>
      <c r="CLM17" s="500"/>
      <c r="CLN17" s="500"/>
      <c r="CLO17" s="500"/>
      <c r="CLP17" s="500"/>
      <c r="CLQ17" s="500"/>
      <c r="CLR17" s="500"/>
      <c r="CLS17" s="500"/>
      <c r="CLT17" s="500"/>
      <c r="CLU17" s="500"/>
      <c r="CLV17" s="500"/>
      <c r="CLW17" s="500"/>
      <c r="CLX17" s="500"/>
      <c r="CLY17" s="500"/>
      <c r="CLZ17" s="500"/>
      <c r="CMA17" s="500"/>
      <c r="CMB17" s="500"/>
      <c r="CMC17" s="500"/>
      <c r="CMD17" s="500"/>
      <c r="CME17" s="500"/>
      <c r="CMF17" s="500"/>
      <c r="CMG17" s="500"/>
      <c r="CMH17" s="500"/>
      <c r="CMI17" s="500"/>
      <c r="CMJ17" s="500"/>
      <c r="CMK17" s="500"/>
      <c r="CML17" s="500"/>
      <c r="CMM17" s="500"/>
      <c r="CMN17" s="500"/>
      <c r="CMO17" s="500"/>
      <c r="CMP17" s="500"/>
      <c r="CMQ17" s="500"/>
      <c r="CMR17" s="500"/>
      <c r="CMS17" s="500"/>
      <c r="CMT17" s="500"/>
      <c r="CMU17" s="500"/>
      <c r="CMV17" s="500"/>
      <c r="CMW17" s="500"/>
      <c r="CMX17" s="500"/>
      <c r="CMY17" s="500"/>
      <c r="CMZ17" s="500"/>
      <c r="CNA17" s="500"/>
      <c r="CNB17" s="500"/>
      <c r="CNC17" s="500"/>
      <c r="CND17" s="500"/>
      <c r="CNE17" s="500"/>
      <c r="CNF17" s="500"/>
      <c r="CNG17" s="500"/>
      <c r="CNH17" s="500"/>
      <c r="CNI17" s="500"/>
      <c r="CNJ17" s="500"/>
      <c r="CNK17" s="500"/>
      <c r="CNL17" s="500"/>
      <c r="CNM17" s="500"/>
      <c r="CNN17" s="500"/>
      <c r="CNO17" s="500"/>
      <c r="CNP17" s="500"/>
      <c r="CNQ17" s="500"/>
      <c r="CNR17" s="500"/>
      <c r="CNS17" s="500"/>
      <c r="CNT17" s="500"/>
      <c r="CNU17" s="500"/>
      <c r="CNV17" s="500"/>
      <c r="CNW17" s="500"/>
      <c r="CNX17" s="500"/>
      <c r="CNY17" s="500"/>
      <c r="CNZ17" s="500"/>
      <c r="COA17" s="500"/>
      <c r="COB17" s="500"/>
      <c r="COC17" s="500"/>
      <c r="COD17" s="500"/>
      <c r="COE17" s="500"/>
      <c r="COF17" s="500"/>
      <c r="COG17" s="500"/>
      <c r="COH17" s="500"/>
      <c r="COI17" s="500"/>
      <c r="COJ17" s="500"/>
      <c r="COK17" s="500"/>
      <c r="COL17" s="500"/>
      <c r="COM17" s="500"/>
      <c r="CON17" s="500"/>
      <c r="COO17" s="500"/>
      <c r="COP17" s="500"/>
      <c r="COQ17" s="500"/>
      <c r="COR17" s="500"/>
      <c r="COS17" s="500"/>
      <c r="COT17" s="500"/>
      <c r="COU17" s="500"/>
      <c r="COV17" s="500"/>
      <c r="COW17" s="500"/>
      <c r="COX17" s="500"/>
      <c r="COY17" s="500"/>
      <c r="COZ17" s="500"/>
      <c r="CPA17" s="500"/>
      <c r="CPB17" s="500"/>
      <c r="CPC17" s="500"/>
      <c r="CPD17" s="500"/>
      <c r="CPE17" s="500"/>
      <c r="CPF17" s="500"/>
      <c r="CPG17" s="500"/>
      <c r="CPH17" s="500"/>
      <c r="CPI17" s="500"/>
      <c r="CPJ17" s="500"/>
      <c r="CPK17" s="500"/>
      <c r="CPL17" s="500"/>
      <c r="CPM17" s="500"/>
      <c r="CPN17" s="500"/>
      <c r="CPO17" s="500"/>
      <c r="CPP17" s="500"/>
      <c r="CPQ17" s="500"/>
      <c r="CPR17" s="500"/>
      <c r="CPS17" s="500"/>
      <c r="CPT17" s="500"/>
      <c r="CPU17" s="500"/>
      <c r="CPV17" s="500"/>
      <c r="CPW17" s="500"/>
      <c r="CPX17" s="500"/>
      <c r="CPY17" s="500"/>
      <c r="CPZ17" s="500"/>
      <c r="CQA17" s="500"/>
      <c r="CQB17" s="500"/>
      <c r="CQC17" s="500"/>
      <c r="CQD17" s="500"/>
      <c r="CQE17" s="500"/>
      <c r="CQF17" s="500"/>
      <c r="CQG17" s="500"/>
      <c r="CQH17" s="500"/>
      <c r="CQI17" s="500"/>
      <c r="CQJ17" s="500"/>
      <c r="CQK17" s="500"/>
      <c r="CQL17" s="500"/>
      <c r="CQM17" s="500"/>
      <c r="CQN17" s="500"/>
      <c r="CQO17" s="500"/>
      <c r="CQP17" s="500"/>
      <c r="CQQ17" s="500"/>
      <c r="CQR17" s="500"/>
      <c r="CQS17" s="500"/>
      <c r="CQT17" s="500"/>
      <c r="CQU17" s="500"/>
      <c r="CQV17" s="500"/>
      <c r="CQW17" s="500"/>
      <c r="CQX17" s="500"/>
      <c r="CQY17" s="500"/>
      <c r="CQZ17" s="500"/>
      <c r="CRA17" s="500"/>
      <c r="CRB17" s="500"/>
      <c r="CRC17" s="500"/>
      <c r="CRD17" s="500"/>
      <c r="CRE17" s="500"/>
      <c r="CRF17" s="500"/>
      <c r="CRG17" s="500"/>
      <c r="CRH17" s="500"/>
      <c r="CRI17" s="500"/>
      <c r="CRJ17" s="500"/>
      <c r="CRK17" s="500"/>
      <c r="CRL17" s="500"/>
      <c r="CRM17" s="500"/>
      <c r="CRN17" s="500"/>
      <c r="CRO17" s="500"/>
      <c r="CRP17" s="500"/>
      <c r="CRQ17" s="500"/>
      <c r="CRR17" s="500"/>
      <c r="CRS17" s="500"/>
      <c r="CRT17" s="500"/>
      <c r="CRU17" s="500"/>
      <c r="CRV17" s="500"/>
      <c r="CRW17" s="500"/>
      <c r="CRX17" s="500"/>
      <c r="CRY17" s="500"/>
      <c r="CRZ17" s="500"/>
      <c r="CSA17" s="500"/>
      <c r="CSB17" s="500"/>
      <c r="CSC17" s="500"/>
      <c r="CSD17" s="500"/>
      <c r="CSE17" s="500"/>
      <c r="CSF17" s="500"/>
      <c r="CSG17" s="500"/>
      <c r="CSH17" s="500"/>
      <c r="CSI17" s="500"/>
      <c r="CSJ17" s="500"/>
      <c r="CSK17" s="500"/>
      <c r="CSL17" s="500"/>
      <c r="CSM17" s="500"/>
      <c r="CSN17" s="500"/>
      <c r="CSO17" s="500"/>
      <c r="CSP17" s="500"/>
      <c r="CSQ17" s="500"/>
      <c r="CSR17" s="500"/>
      <c r="CSS17" s="500"/>
      <c r="CST17" s="500"/>
      <c r="CSU17" s="500"/>
      <c r="CSV17" s="500"/>
      <c r="CSW17" s="500"/>
      <c r="CSX17" s="500"/>
      <c r="CSY17" s="500"/>
      <c r="CSZ17" s="500"/>
      <c r="CTA17" s="500"/>
      <c r="CTB17" s="500"/>
      <c r="CTC17" s="500"/>
      <c r="CTD17" s="500"/>
      <c r="CTE17" s="500"/>
      <c r="CTF17" s="500"/>
      <c r="CTG17" s="500"/>
      <c r="CTH17" s="500"/>
      <c r="CTI17" s="500"/>
      <c r="CTJ17" s="500"/>
      <c r="CTK17" s="500"/>
      <c r="CTL17" s="500"/>
      <c r="CTM17" s="500"/>
      <c r="CTN17" s="500"/>
      <c r="CTO17" s="500"/>
      <c r="CTP17" s="500"/>
      <c r="CTQ17" s="500"/>
      <c r="CTR17" s="500"/>
      <c r="CTS17" s="500"/>
      <c r="CTT17" s="500"/>
      <c r="CTU17" s="500"/>
      <c r="CTV17" s="500"/>
      <c r="CTW17" s="500"/>
      <c r="CTX17" s="500"/>
      <c r="CTY17" s="500"/>
      <c r="CTZ17" s="500"/>
      <c r="CUA17" s="500"/>
      <c r="CUB17" s="500"/>
      <c r="CUC17" s="500"/>
      <c r="CUD17" s="500"/>
      <c r="CUE17" s="500"/>
      <c r="CUF17" s="500"/>
      <c r="CUG17" s="500"/>
      <c r="CUH17" s="500"/>
      <c r="CUI17" s="500"/>
      <c r="CUJ17" s="500"/>
      <c r="CUK17" s="500"/>
      <c r="CUL17" s="500"/>
      <c r="CUM17" s="500"/>
      <c r="CUN17" s="500"/>
      <c r="CUO17" s="500"/>
      <c r="CUP17" s="500"/>
      <c r="CUQ17" s="500"/>
      <c r="CUR17" s="500"/>
      <c r="CUS17" s="500"/>
      <c r="CUT17" s="500"/>
      <c r="CUU17" s="500"/>
      <c r="CUV17" s="500"/>
      <c r="CUW17" s="500"/>
      <c r="CUX17" s="500"/>
      <c r="CUY17" s="500"/>
      <c r="CUZ17" s="500"/>
      <c r="CVA17" s="500"/>
      <c r="CVB17" s="500"/>
      <c r="CVC17" s="500"/>
      <c r="CVD17" s="500"/>
      <c r="CVE17" s="500"/>
      <c r="CVF17" s="500"/>
      <c r="CVG17" s="500"/>
      <c r="CVH17" s="500"/>
      <c r="CVI17" s="500"/>
      <c r="CVJ17" s="500"/>
      <c r="CVK17" s="500"/>
      <c r="CVL17" s="500"/>
      <c r="CVM17" s="500"/>
      <c r="CVN17" s="500"/>
      <c r="CVO17" s="500"/>
      <c r="CVP17" s="500"/>
      <c r="CVQ17" s="500"/>
      <c r="CVR17" s="500"/>
      <c r="CVS17" s="500"/>
      <c r="CVT17" s="500"/>
      <c r="CVU17" s="500"/>
      <c r="CVV17" s="500"/>
      <c r="CVW17" s="500"/>
      <c r="CVX17" s="500"/>
      <c r="CVY17" s="500"/>
      <c r="CVZ17" s="500"/>
      <c r="CWA17" s="500"/>
      <c r="CWB17" s="500"/>
      <c r="CWC17" s="500"/>
      <c r="CWD17" s="500"/>
      <c r="CWE17" s="500"/>
      <c r="CWF17" s="500"/>
      <c r="CWG17" s="500"/>
      <c r="CWH17" s="500"/>
      <c r="CWI17" s="500"/>
      <c r="CWJ17" s="500"/>
      <c r="CWK17" s="500"/>
      <c r="CWL17" s="500"/>
      <c r="CWM17" s="500"/>
      <c r="CWN17" s="500"/>
      <c r="CWO17" s="500"/>
      <c r="CWP17" s="500"/>
      <c r="CWQ17" s="500"/>
      <c r="CWR17" s="500"/>
      <c r="CWS17" s="500"/>
      <c r="CWT17" s="500"/>
      <c r="CWU17" s="500"/>
      <c r="CWV17" s="500"/>
      <c r="CWW17" s="500"/>
      <c r="CWX17" s="500"/>
      <c r="CWY17" s="500"/>
      <c r="CWZ17" s="500"/>
      <c r="CXA17" s="500"/>
      <c r="CXB17" s="500"/>
      <c r="CXC17" s="500"/>
      <c r="CXD17" s="500"/>
      <c r="CXE17" s="500"/>
      <c r="CXF17" s="500"/>
      <c r="CXG17" s="500"/>
      <c r="CXH17" s="500"/>
      <c r="CXI17" s="500"/>
      <c r="CXJ17" s="500"/>
      <c r="CXK17" s="500"/>
      <c r="CXL17" s="500"/>
      <c r="CXM17" s="500"/>
      <c r="CXN17" s="500"/>
      <c r="CXO17" s="500"/>
      <c r="CXP17" s="500"/>
      <c r="CXQ17" s="500"/>
      <c r="CXR17" s="500"/>
      <c r="CXS17" s="500"/>
      <c r="CXT17" s="500"/>
      <c r="CXU17" s="500"/>
      <c r="CXV17" s="500"/>
      <c r="CXW17" s="500"/>
      <c r="CXX17" s="500"/>
      <c r="CXY17" s="500"/>
      <c r="CXZ17" s="500"/>
      <c r="CYA17" s="500"/>
      <c r="CYB17" s="500"/>
      <c r="CYC17" s="500"/>
      <c r="CYD17" s="500"/>
      <c r="CYE17" s="500"/>
      <c r="CYF17" s="500"/>
      <c r="CYG17" s="500"/>
      <c r="CYH17" s="500"/>
      <c r="CYI17" s="500"/>
      <c r="CYJ17" s="500"/>
      <c r="CYK17" s="500"/>
      <c r="CYL17" s="500"/>
      <c r="CYM17" s="500"/>
      <c r="CYN17" s="500"/>
      <c r="CYO17" s="500"/>
      <c r="CYP17" s="500"/>
      <c r="CYQ17" s="500"/>
      <c r="CYR17" s="500"/>
      <c r="CYS17" s="500"/>
      <c r="CYT17" s="500"/>
      <c r="CYU17" s="500"/>
      <c r="CYV17" s="500"/>
      <c r="CYW17" s="500"/>
      <c r="CYX17" s="500"/>
      <c r="CYY17" s="500"/>
      <c r="CYZ17" s="500"/>
      <c r="CZA17" s="500"/>
      <c r="CZB17" s="500"/>
      <c r="CZC17" s="500"/>
      <c r="CZD17" s="500"/>
      <c r="CZE17" s="500"/>
      <c r="CZF17" s="500"/>
      <c r="CZG17" s="500"/>
      <c r="CZH17" s="500"/>
      <c r="CZI17" s="500"/>
      <c r="CZJ17" s="500"/>
      <c r="CZK17" s="500"/>
      <c r="CZL17" s="500"/>
      <c r="CZM17" s="500"/>
      <c r="CZN17" s="500"/>
      <c r="CZO17" s="500"/>
      <c r="CZP17" s="500"/>
      <c r="CZQ17" s="500"/>
      <c r="CZR17" s="500"/>
      <c r="CZS17" s="500"/>
      <c r="CZT17" s="500"/>
      <c r="CZU17" s="500"/>
      <c r="CZV17" s="500"/>
      <c r="CZW17" s="500"/>
      <c r="CZX17" s="500"/>
      <c r="CZY17" s="500"/>
      <c r="CZZ17" s="500"/>
      <c r="DAA17" s="500"/>
      <c r="DAB17" s="500"/>
      <c r="DAC17" s="500"/>
      <c r="DAD17" s="500"/>
      <c r="DAE17" s="500"/>
      <c r="DAF17" s="500"/>
      <c r="DAG17" s="500"/>
      <c r="DAH17" s="500"/>
      <c r="DAI17" s="500"/>
      <c r="DAJ17" s="500"/>
      <c r="DAK17" s="500"/>
      <c r="DAL17" s="500"/>
      <c r="DAM17" s="500"/>
      <c r="DAN17" s="500"/>
      <c r="DAO17" s="500"/>
      <c r="DAP17" s="500"/>
      <c r="DAQ17" s="500"/>
      <c r="DAR17" s="500"/>
      <c r="DAS17" s="500"/>
      <c r="DAT17" s="500"/>
      <c r="DAU17" s="500"/>
      <c r="DAV17" s="500"/>
      <c r="DAW17" s="500"/>
      <c r="DAX17" s="500"/>
      <c r="DAY17" s="500"/>
      <c r="DAZ17" s="500"/>
      <c r="DBA17" s="500"/>
      <c r="DBB17" s="500"/>
      <c r="DBC17" s="500"/>
      <c r="DBD17" s="500"/>
      <c r="DBE17" s="500"/>
      <c r="DBF17" s="500"/>
      <c r="DBG17" s="500"/>
      <c r="DBH17" s="500"/>
      <c r="DBI17" s="500"/>
      <c r="DBJ17" s="500"/>
      <c r="DBK17" s="500"/>
      <c r="DBL17" s="500"/>
      <c r="DBM17" s="500"/>
      <c r="DBN17" s="500"/>
      <c r="DBO17" s="500"/>
      <c r="DBP17" s="500"/>
      <c r="DBQ17" s="500"/>
      <c r="DBR17" s="500"/>
      <c r="DBS17" s="500"/>
      <c r="DBT17" s="500"/>
      <c r="DBU17" s="500"/>
      <c r="DBV17" s="500"/>
      <c r="DBW17" s="500"/>
      <c r="DBX17" s="500"/>
      <c r="DBY17" s="500"/>
      <c r="DBZ17" s="500"/>
      <c r="DCA17" s="500"/>
      <c r="DCB17" s="500"/>
      <c r="DCC17" s="500"/>
      <c r="DCD17" s="500"/>
      <c r="DCE17" s="500"/>
      <c r="DCF17" s="500"/>
      <c r="DCG17" s="500"/>
      <c r="DCH17" s="500"/>
      <c r="DCI17" s="500"/>
      <c r="DCJ17" s="500"/>
      <c r="DCK17" s="500"/>
      <c r="DCL17" s="500"/>
      <c r="DCM17" s="500"/>
      <c r="DCN17" s="500"/>
      <c r="DCO17" s="500"/>
      <c r="DCP17" s="500"/>
      <c r="DCQ17" s="500"/>
      <c r="DCR17" s="500"/>
      <c r="DCS17" s="500"/>
      <c r="DCT17" s="500"/>
      <c r="DCU17" s="500"/>
      <c r="DCV17" s="500"/>
      <c r="DCW17" s="500"/>
      <c r="DCX17" s="500"/>
      <c r="DCY17" s="500"/>
      <c r="DCZ17" s="500"/>
      <c r="DDA17" s="500"/>
      <c r="DDB17" s="500"/>
      <c r="DDC17" s="500"/>
      <c r="DDD17" s="500"/>
      <c r="DDE17" s="500"/>
      <c r="DDF17" s="500"/>
      <c r="DDG17" s="500"/>
      <c r="DDH17" s="500"/>
      <c r="DDI17" s="500"/>
      <c r="DDJ17" s="500"/>
      <c r="DDK17" s="500"/>
      <c r="DDL17" s="500"/>
      <c r="DDM17" s="500"/>
      <c r="DDN17" s="500"/>
      <c r="DDO17" s="500"/>
      <c r="DDP17" s="500"/>
      <c r="DDQ17" s="500"/>
      <c r="DDR17" s="500"/>
      <c r="DDS17" s="500"/>
      <c r="DDT17" s="500"/>
      <c r="DDU17" s="500"/>
      <c r="DDV17" s="500"/>
      <c r="DDW17" s="500"/>
      <c r="DDX17" s="500"/>
      <c r="DDY17" s="500"/>
      <c r="DDZ17" s="500"/>
      <c r="DEA17" s="500"/>
      <c r="DEB17" s="500"/>
      <c r="DEC17" s="500"/>
      <c r="DED17" s="500"/>
      <c r="DEE17" s="500"/>
      <c r="DEF17" s="500"/>
      <c r="DEG17" s="500"/>
      <c r="DEH17" s="500"/>
      <c r="DEI17" s="500"/>
      <c r="DEJ17" s="500"/>
      <c r="DEK17" s="500"/>
      <c r="DEL17" s="500"/>
      <c r="DEM17" s="500"/>
      <c r="DEN17" s="500"/>
      <c r="DEO17" s="500"/>
      <c r="DEP17" s="500"/>
      <c r="DEQ17" s="500"/>
      <c r="DER17" s="500"/>
      <c r="DES17" s="500"/>
      <c r="DET17" s="500"/>
      <c r="DEU17" s="500"/>
      <c r="DEV17" s="500"/>
      <c r="DEW17" s="500"/>
      <c r="DEX17" s="500"/>
      <c r="DEY17" s="500"/>
      <c r="DEZ17" s="500"/>
      <c r="DFA17" s="500"/>
      <c r="DFB17" s="500"/>
      <c r="DFC17" s="500"/>
      <c r="DFD17" s="500"/>
      <c r="DFE17" s="500"/>
      <c r="DFF17" s="500"/>
      <c r="DFG17" s="500"/>
      <c r="DFH17" s="500"/>
      <c r="DFI17" s="500"/>
      <c r="DFJ17" s="500"/>
      <c r="DFK17" s="500"/>
      <c r="DFL17" s="500"/>
      <c r="DFM17" s="500"/>
      <c r="DFN17" s="500"/>
      <c r="DFO17" s="500"/>
      <c r="DFP17" s="500"/>
      <c r="DFQ17" s="500"/>
      <c r="DFR17" s="500"/>
      <c r="DFS17" s="500"/>
      <c r="DFT17" s="500"/>
      <c r="DFU17" s="500"/>
      <c r="DFV17" s="500"/>
      <c r="DFW17" s="500"/>
      <c r="DFX17" s="500"/>
      <c r="DFY17" s="500"/>
      <c r="DFZ17" s="500"/>
      <c r="DGA17" s="500"/>
      <c r="DGB17" s="500"/>
      <c r="DGC17" s="500"/>
      <c r="DGD17" s="500"/>
      <c r="DGE17" s="500"/>
      <c r="DGF17" s="500"/>
      <c r="DGG17" s="500"/>
      <c r="DGH17" s="500"/>
      <c r="DGI17" s="500"/>
      <c r="DGJ17" s="500"/>
      <c r="DGK17" s="500"/>
      <c r="DGL17" s="500"/>
      <c r="DGM17" s="500"/>
      <c r="DGN17" s="500"/>
      <c r="DGO17" s="500"/>
      <c r="DGP17" s="500"/>
      <c r="DGQ17" s="500"/>
      <c r="DGR17" s="500"/>
      <c r="DGS17" s="500"/>
      <c r="DGT17" s="500"/>
      <c r="DGU17" s="500"/>
      <c r="DGV17" s="500"/>
      <c r="DGW17" s="500"/>
      <c r="DGX17" s="500"/>
      <c r="DGY17" s="500"/>
      <c r="DGZ17" s="500"/>
      <c r="DHA17" s="500"/>
      <c r="DHB17" s="500"/>
      <c r="DHC17" s="500"/>
      <c r="DHD17" s="500"/>
      <c r="DHE17" s="500"/>
      <c r="DHF17" s="500"/>
      <c r="DHG17" s="500"/>
      <c r="DHH17" s="500"/>
      <c r="DHI17" s="500"/>
      <c r="DHJ17" s="500"/>
      <c r="DHK17" s="500"/>
      <c r="DHL17" s="500"/>
      <c r="DHM17" s="500"/>
      <c r="DHN17" s="500"/>
      <c r="DHO17" s="500"/>
      <c r="DHP17" s="500"/>
      <c r="DHQ17" s="500"/>
      <c r="DHR17" s="500"/>
      <c r="DHS17" s="500"/>
      <c r="DHT17" s="500"/>
      <c r="DHU17" s="500"/>
      <c r="DHV17" s="500"/>
      <c r="DHW17" s="500"/>
      <c r="DHX17" s="500"/>
      <c r="DHY17" s="500"/>
      <c r="DHZ17" s="500"/>
      <c r="DIA17" s="500"/>
      <c r="DIB17" s="500"/>
      <c r="DIC17" s="500"/>
      <c r="DID17" s="500"/>
      <c r="DIE17" s="500"/>
      <c r="DIF17" s="500"/>
      <c r="DIG17" s="500"/>
      <c r="DIH17" s="500"/>
      <c r="DII17" s="500"/>
      <c r="DIJ17" s="500"/>
      <c r="DIK17" s="500"/>
      <c r="DIL17" s="500"/>
      <c r="DIM17" s="500"/>
      <c r="DIN17" s="500"/>
      <c r="DIO17" s="500"/>
      <c r="DIP17" s="500"/>
      <c r="DIQ17" s="500"/>
      <c r="DIR17" s="500"/>
      <c r="DIS17" s="500"/>
      <c r="DIT17" s="500"/>
      <c r="DIU17" s="500"/>
      <c r="DIV17" s="500"/>
      <c r="DIW17" s="500"/>
      <c r="DIX17" s="500"/>
      <c r="DIY17" s="500"/>
      <c r="DIZ17" s="500"/>
      <c r="DJA17" s="500"/>
      <c r="DJB17" s="500"/>
      <c r="DJC17" s="500"/>
      <c r="DJD17" s="500"/>
      <c r="DJE17" s="500"/>
      <c r="DJF17" s="500"/>
      <c r="DJG17" s="500"/>
      <c r="DJH17" s="500"/>
      <c r="DJI17" s="500"/>
      <c r="DJJ17" s="500"/>
      <c r="DJK17" s="500"/>
      <c r="DJL17" s="500"/>
      <c r="DJM17" s="500"/>
      <c r="DJN17" s="500"/>
      <c r="DJO17" s="500"/>
      <c r="DJP17" s="500"/>
      <c r="DJQ17" s="500"/>
      <c r="DJR17" s="500"/>
      <c r="DJS17" s="500"/>
      <c r="DJT17" s="500"/>
      <c r="DJU17" s="500"/>
      <c r="DJV17" s="500"/>
      <c r="DJW17" s="500"/>
      <c r="DJX17" s="500"/>
      <c r="DJY17" s="500"/>
      <c r="DJZ17" s="500"/>
      <c r="DKA17" s="500"/>
      <c r="DKB17" s="500"/>
      <c r="DKC17" s="500"/>
      <c r="DKD17" s="500"/>
      <c r="DKE17" s="500"/>
      <c r="DKF17" s="500"/>
      <c r="DKG17" s="500"/>
      <c r="DKH17" s="500"/>
      <c r="DKI17" s="500"/>
      <c r="DKJ17" s="500"/>
      <c r="DKK17" s="500"/>
      <c r="DKL17" s="500"/>
      <c r="DKM17" s="500"/>
      <c r="DKN17" s="500"/>
      <c r="DKO17" s="500"/>
      <c r="DKP17" s="500"/>
      <c r="DKQ17" s="500"/>
      <c r="DKR17" s="500"/>
      <c r="DKS17" s="500"/>
      <c r="DKT17" s="500"/>
      <c r="DKU17" s="500"/>
      <c r="DKV17" s="500"/>
      <c r="DKW17" s="500"/>
      <c r="DKX17" s="500"/>
      <c r="DKY17" s="500"/>
      <c r="DKZ17" s="500"/>
      <c r="DLA17" s="500"/>
      <c r="DLB17" s="500"/>
      <c r="DLC17" s="500"/>
      <c r="DLD17" s="500"/>
      <c r="DLE17" s="500"/>
      <c r="DLF17" s="500"/>
      <c r="DLG17" s="500"/>
      <c r="DLH17" s="500"/>
      <c r="DLI17" s="500"/>
      <c r="DLJ17" s="500"/>
      <c r="DLK17" s="500"/>
      <c r="DLL17" s="500"/>
      <c r="DLM17" s="500"/>
      <c r="DLN17" s="500"/>
      <c r="DLO17" s="500"/>
      <c r="DLP17" s="500"/>
      <c r="DLQ17" s="500"/>
      <c r="DLR17" s="500"/>
      <c r="DLS17" s="500"/>
      <c r="DLT17" s="500"/>
      <c r="DLU17" s="500"/>
      <c r="DLV17" s="500"/>
      <c r="DLW17" s="500"/>
      <c r="DLX17" s="500"/>
      <c r="DLY17" s="500"/>
      <c r="DLZ17" s="500"/>
      <c r="DMA17" s="500"/>
      <c r="DMB17" s="500"/>
      <c r="DMC17" s="500"/>
      <c r="DMD17" s="500"/>
      <c r="DME17" s="500"/>
      <c r="DMF17" s="500"/>
      <c r="DMG17" s="500"/>
      <c r="DMH17" s="500"/>
      <c r="DMI17" s="500"/>
      <c r="DMJ17" s="500"/>
      <c r="DMK17" s="500"/>
      <c r="DML17" s="500"/>
      <c r="DMM17" s="500"/>
      <c r="DMN17" s="500"/>
      <c r="DMO17" s="500"/>
      <c r="DMP17" s="500"/>
      <c r="DMQ17" s="500"/>
      <c r="DMR17" s="500"/>
      <c r="DMS17" s="500"/>
      <c r="DMT17" s="500"/>
      <c r="DMU17" s="500"/>
      <c r="DMV17" s="500"/>
      <c r="DMW17" s="500"/>
      <c r="DMX17" s="500"/>
      <c r="DMY17" s="500"/>
      <c r="DMZ17" s="500"/>
      <c r="DNA17" s="500"/>
      <c r="DNB17" s="500"/>
      <c r="DNC17" s="500"/>
      <c r="DND17" s="500"/>
      <c r="DNE17" s="500"/>
      <c r="DNF17" s="500"/>
      <c r="DNG17" s="500"/>
      <c r="DNH17" s="500"/>
      <c r="DNI17" s="500"/>
      <c r="DNJ17" s="500"/>
      <c r="DNK17" s="500"/>
      <c r="DNL17" s="500"/>
      <c r="DNM17" s="500"/>
      <c r="DNN17" s="500"/>
      <c r="DNO17" s="500"/>
      <c r="DNP17" s="500"/>
      <c r="DNQ17" s="500"/>
      <c r="DNR17" s="500"/>
      <c r="DNS17" s="500"/>
      <c r="DNT17" s="500"/>
      <c r="DNU17" s="500"/>
      <c r="DNV17" s="500"/>
      <c r="DNW17" s="500"/>
      <c r="DNX17" s="500"/>
      <c r="DNY17" s="500"/>
      <c r="DNZ17" s="500"/>
      <c r="DOA17" s="500"/>
      <c r="DOB17" s="500"/>
      <c r="DOC17" s="500"/>
      <c r="DOD17" s="500"/>
      <c r="DOE17" s="500"/>
      <c r="DOF17" s="500"/>
      <c r="DOG17" s="500"/>
      <c r="DOH17" s="500"/>
      <c r="DOI17" s="500"/>
      <c r="DOJ17" s="500"/>
      <c r="DOK17" s="500"/>
      <c r="DOL17" s="500"/>
      <c r="DOM17" s="500"/>
      <c r="DON17" s="500"/>
      <c r="DOO17" s="500"/>
      <c r="DOP17" s="500"/>
      <c r="DOQ17" s="500"/>
      <c r="DOR17" s="500"/>
      <c r="DOS17" s="500"/>
      <c r="DOT17" s="500"/>
      <c r="DOU17" s="500"/>
      <c r="DOV17" s="500"/>
      <c r="DOW17" s="500"/>
      <c r="DOX17" s="500"/>
      <c r="DOY17" s="500"/>
      <c r="DOZ17" s="500"/>
      <c r="DPA17" s="500"/>
      <c r="DPB17" s="500"/>
      <c r="DPC17" s="500"/>
      <c r="DPD17" s="500"/>
      <c r="DPE17" s="500"/>
      <c r="DPF17" s="500"/>
      <c r="DPG17" s="500"/>
      <c r="DPH17" s="500"/>
      <c r="DPI17" s="500"/>
      <c r="DPJ17" s="500"/>
      <c r="DPK17" s="500"/>
      <c r="DPL17" s="500"/>
      <c r="DPM17" s="500"/>
      <c r="DPN17" s="500"/>
      <c r="DPO17" s="500"/>
      <c r="DPP17" s="500"/>
      <c r="DPQ17" s="500"/>
      <c r="DPR17" s="500"/>
      <c r="DPS17" s="500"/>
      <c r="DPT17" s="500"/>
      <c r="DPU17" s="500"/>
      <c r="DPV17" s="500"/>
      <c r="DPW17" s="500"/>
      <c r="DPX17" s="500"/>
      <c r="DPY17" s="500"/>
      <c r="DPZ17" s="500"/>
      <c r="DQA17" s="500"/>
      <c r="DQB17" s="500"/>
      <c r="DQC17" s="500"/>
      <c r="DQD17" s="500"/>
      <c r="DQE17" s="500"/>
      <c r="DQF17" s="500"/>
      <c r="DQG17" s="500"/>
      <c r="DQH17" s="500"/>
      <c r="DQI17" s="500"/>
      <c r="DQJ17" s="500"/>
      <c r="DQK17" s="500"/>
      <c r="DQL17" s="500"/>
      <c r="DQM17" s="500"/>
      <c r="DQN17" s="500"/>
      <c r="DQO17" s="500"/>
      <c r="DQP17" s="500"/>
      <c r="DQQ17" s="500"/>
      <c r="DQR17" s="500"/>
      <c r="DQS17" s="500"/>
      <c r="DQT17" s="500"/>
      <c r="DQU17" s="500"/>
      <c r="DQV17" s="500"/>
      <c r="DQW17" s="500"/>
      <c r="DQX17" s="500"/>
      <c r="DQY17" s="500"/>
      <c r="DQZ17" s="500"/>
      <c r="DRA17" s="500"/>
      <c r="DRB17" s="500"/>
      <c r="DRC17" s="500"/>
      <c r="DRD17" s="500"/>
      <c r="DRE17" s="500"/>
      <c r="DRF17" s="500"/>
      <c r="DRG17" s="500"/>
      <c r="DRH17" s="500"/>
      <c r="DRI17" s="500"/>
      <c r="DRJ17" s="500"/>
      <c r="DRK17" s="500"/>
      <c r="DRL17" s="500"/>
      <c r="DRM17" s="500"/>
      <c r="DRN17" s="500"/>
      <c r="DRO17" s="500"/>
      <c r="DRP17" s="500"/>
      <c r="DRQ17" s="500"/>
      <c r="DRR17" s="500"/>
      <c r="DRS17" s="500"/>
      <c r="DRT17" s="500"/>
      <c r="DRU17" s="500"/>
      <c r="DRV17" s="500"/>
      <c r="DRW17" s="500"/>
      <c r="DRX17" s="500"/>
      <c r="DRY17" s="500"/>
      <c r="DRZ17" s="500"/>
      <c r="DSA17" s="500"/>
      <c r="DSB17" s="500"/>
      <c r="DSC17" s="500"/>
      <c r="DSD17" s="500"/>
      <c r="DSE17" s="500"/>
      <c r="DSF17" s="500"/>
      <c r="DSG17" s="500"/>
      <c r="DSH17" s="500"/>
      <c r="DSI17" s="500"/>
      <c r="DSJ17" s="500"/>
      <c r="DSK17" s="500"/>
      <c r="DSL17" s="500"/>
      <c r="DSM17" s="500"/>
      <c r="DSN17" s="500"/>
      <c r="DSO17" s="500"/>
      <c r="DSP17" s="500"/>
      <c r="DSQ17" s="500"/>
      <c r="DSR17" s="500"/>
      <c r="DSS17" s="500"/>
      <c r="DST17" s="500"/>
      <c r="DSU17" s="500"/>
      <c r="DSV17" s="500"/>
      <c r="DSW17" s="500"/>
      <c r="DSX17" s="500"/>
      <c r="DSY17" s="500"/>
      <c r="DSZ17" s="500"/>
      <c r="DTA17" s="500"/>
      <c r="DTB17" s="500"/>
      <c r="DTC17" s="500"/>
      <c r="DTD17" s="500"/>
      <c r="DTE17" s="500"/>
      <c r="DTF17" s="500"/>
      <c r="DTG17" s="500"/>
      <c r="DTH17" s="500"/>
      <c r="DTI17" s="500"/>
      <c r="DTJ17" s="500"/>
      <c r="DTK17" s="500"/>
      <c r="DTL17" s="500"/>
      <c r="DTM17" s="500"/>
      <c r="DTN17" s="500"/>
      <c r="DTO17" s="500"/>
      <c r="DTP17" s="500"/>
      <c r="DTQ17" s="500"/>
      <c r="DTR17" s="500"/>
      <c r="DTS17" s="500"/>
      <c r="DTT17" s="500"/>
      <c r="DTU17" s="500"/>
      <c r="DTV17" s="500"/>
      <c r="DTW17" s="500"/>
      <c r="DTX17" s="500"/>
      <c r="DTY17" s="500"/>
      <c r="DTZ17" s="500"/>
      <c r="DUA17" s="500"/>
      <c r="DUB17" s="500"/>
      <c r="DUC17" s="500"/>
      <c r="DUD17" s="500"/>
      <c r="DUE17" s="500"/>
      <c r="DUF17" s="500"/>
      <c r="DUG17" s="500"/>
      <c r="DUH17" s="500"/>
      <c r="DUI17" s="500"/>
      <c r="DUJ17" s="500"/>
      <c r="DUK17" s="500"/>
      <c r="DUL17" s="500"/>
      <c r="DUM17" s="500"/>
      <c r="DUN17" s="500"/>
      <c r="DUO17" s="500"/>
      <c r="DUP17" s="500"/>
      <c r="DUQ17" s="500"/>
      <c r="DUR17" s="500"/>
      <c r="DUS17" s="500"/>
      <c r="DUT17" s="500"/>
      <c r="DUU17" s="500"/>
      <c r="DUV17" s="500"/>
      <c r="DUW17" s="500"/>
      <c r="DUX17" s="500"/>
      <c r="DUY17" s="500"/>
      <c r="DUZ17" s="500"/>
      <c r="DVA17" s="500"/>
      <c r="DVB17" s="500"/>
      <c r="DVC17" s="500"/>
      <c r="DVD17" s="500"/>
      <c r="DVE17" s="500"/>
      <c r="DVF17" s="500"/>
      <c r="DVG17" s="500"/>
      <c r="DVH17" s="500"/>
      <c r="DVI17" s="500"/>
      <c r="DVJ17" s="500"/>
      <c r="DVK17" s="500"/>
      <c r="DVL17" s="500"/>
      <c r="DVM17" s="500"/>
      <c r="DVN17" s="500"/>
      <c r="DVO17" s="500"/>
      <c r="DVP17" s="500"/>
      <c r="DVQ17" s="500"/>
      <c r="DVR17" s="500"/>
      <c r="DVS17" s="500"/>
      <c r="DVT17" s="500"/>
      <c r="DVU17" s="500"/>
      <c r="DVV17" s="500"/>
      <c r="DVW17" s="500"/>
      <c r="DVX17" s="500"/>
      <c r="DVY17" s="500"/>
      <c r="DVZ17" s="500"/>
      <c r="DWA17" s="500"/>
      <c r="DWB17" s="500"/>
      <c r="DWC17" s="500"/>
      <c r="DWD17" s="500"/>
      <c r="DWE17" s="500"/>
      <c r="DWF17" s="500"/>
      <c r="DWG17" s="500"/>
      <c r="DWH17" s="500"/>
      <c r="DWI17" s="500"/>
      <c r="DWJ17" s="500"/>
      <c r="DWK17" s="500"/>
      <c r="DWL17" s="500"/>
      <c r="DWM17" s="500"/>
      <c r="DWN17" s="500"/>
      <c r="DWO17" s="500"/>
      <c r="DWP17" s="500"/>
      <c r="DWQ17" s="500"/>
      <c r="DWR17" s="500"/>
      <c r="DWS17" s="500"/>
      <c r="DWT17" s="500"/>
      <c r="DWU17" s="500"/>
      <c r="DWV17" s="500"/>
      <c r="DWW17" s="500"/>
      <c r="DWX17" s="500"/>
      <c r="DWY17" s="500"/>
      <c r="DWZ17" s="500"/>
      <c r="DXA17" s="500"/>
      <c r="DXB17" s="500"/>
      <c r="DXC17" s="500"/>
      <c r="DXD17" s="500"/>
      <c r="DXE17" s="500"/>
      <c r="DXF17" s="500"/>
      <c r="DXG17" s="500"/>
      <c r="DXH17" s="500"/>
      <c r="DXI17" s="500"/>
      <c r="DXJ17" s="500"/>
      <c r="DXK17" s="500"/>
      <c r="DXL17" s="500"/>
      <c r="DXM17" s="500"/>
      <c r="DXN17" s="500"/>
      <c r="DXO17" s="500"/>
      <c r="DXP17" s="500"/>
      <c r="DXQ17" s="500"/>
      <c r="DXR17" s="500"/>
      <c r="DXS17" s="500"/>
      <c r="DXT17" s="500"/>
      <c r="DXU17" s="500"/>
      <c r="DXV17" s="500"/>
      <c r="DXW17" s="500"/>
      <c r="DXX17" s="500"/>
      <c r="DXY17" s="500"/>
      <c r="DXZ17" s="500"/>
      <c r="DYA17" s="500"/>
      <c r="DYB17" s="500"/>
      <c r="DYC17" s="500"/>
      <c r="DYD17" s="500"/>
      <c r="DYE17" s="500"/>
      <c r="DYF17" s="500"/>
      <c r="DYG17" s="500"/>
      <c r="DYH17" s="500"/>
      <c r="DYI17" s="500"/>
      <c r="DYJ17" s="500"/>
      <c r="DYK17" s="500"/>
      <c r="DYL17" s="500"/>
      <c r="DYM17" s="500"/>
      <c r="DYN17" s="500"/>
      <c r="DYO17" s="500"/>
      <c r="DYP17" s="500"/>
      <c r="DYQ17" s="500"/>
      <c r="DYR17" s="500"/>
      <c r="DYS17" s="500"/>
      <c r="DYT17" s="500"/>
      <c r="DYU17" s="500"/>
      <c r="DYV17" s="500"/>
      <c r="DYW17" s="500"/>
      <c r="DYX17" s="500"/>
      <c r="DYY17" s="500"/>
      <c r="DYZ17" s="500"/>
      <c r="DZA17" s="500"/>
      <c r="DZB17" s="500"/>
      <c r="DZC17" s="500"/>
      <c r="DZD17" s="500"/>
      <c r="DZE17" s="500"/>
      <c r="DZF17" s="500"/>
      <c r="DZG17" s="500"/>
      <c r="DZH17" s="500"/>
      <c r="DZI17" s="500"/>
      <c r="DZJ17" s="500"/>
      <c r="DZK17" s="500"/>
      <c r="DZL17" s="500"/>
      <c r="DZM17" s="500"/>
      <c r="DZN17" s="500"/>
      <c r="DZO17" s="500"/>
      <c r="DZP17" s="500"/>
      <c r="DZQ17" s="500"/>
      <c r="DZR17" s="500"/>
      <c r="DZS17" s="500"/>
      <c r="DZT17" s="500"/>
      <c r="DZU17" s="500"/>
      <c r="DZV17" s="500"/>
      <c r="DZW17" s="500"/>
      <c r="DZX17" s="500"/>
      <c r="DZY17" s="500"/>
      <c r="DZZ17" s="500"/>
      <c r="EAA17" s="500"/>
      <c r="EAB17" s="500"/>
      <c r="EAC17" s="500"/>
      <c r="EAD17" s="500"/>
      <c r="EAE17" s="500"/>
      <c r="EAF17" s="500"/>
      <c r="EAG17" s="500"/>
      <c r="EAH17" s="500"/>
      <c r="EAI17" s="500"/>
      <c r="EAJ17" s="500"/>
      <c r="EAK17" s="500"/>
      <c r="EAL17" s="500"/>
      <c r="EAM17" s="500"/>
      <c r="EAN17" s="500"/>
      <c r="EAO17" s="500"/>
      <c r="EAP17" s="500"/>
      <c r="EAQ17" s="500"/>
      <c r="EAR17" s="500"/>
      <c r="EAS17" s="500"/>
      <c r="EAT17" s="500"/>
      <c r="EAU17" s="500"/>
      <c r="EAV17" s="500"/>
      <c r="EAW17" s="500"/>
      <c r="EAX17" s="500"/>
      <c r="EAY17" s="500"/>
      <c r="EAZ17" s="500"/>
      <c r="EBA17" s="500"/>
      <c r="EBB17" s="500"/>
      <c r="EBC17" s="500"/>
      <c r="EBD17" s="500"/>
      <c r="EBE17" s="500"/>
      <c r="EBF17" s="500"/>
      <c r="EBG17" s="500"/>
      <c r="EBH17" s="500"/>
      <c r="EBI17" s="500"/>
      <c r="EBJ17" s="500"/>
      <c r="EBK17" s="500"/>
      <c r="EBL17" s="500"/>
      <c r="EBM17" s="500"/>
      <c r="EBN17" s="500"/>
      <c r="EBO17" s="500"/>
      <c r="EBP17" s="500"/>
      <c r="EBQ17" s="500"/>
      <c r="EBR17" s="500"/>
      <c r="EBS17" s="500"/>
      <c r="EBT17" s="500"/>
      <c r="EBU17" s="500"/>
      <c r="EBV17" s="500"/>
      <c r="EBW17" s="500"/>
      <c r="EBX17" s="500"/>
      <c r="EBY17" s="500"/>
      <c r="EBZ17" s="500"/>
      <c r="ECA17" s="500"/>
      <c r="ECB17" s="500"/>
      <c r="ECC17" s="500"/>
      <c r="ECD17" s="500"/>
      <c r="ECE17" s="500"/>
      <c r="ECF17" s="500"/>
      <c r="ECG17" s="500"/>
      <c r="ECH17" s="500"/>
      <c r="ECI17" s="500"/>
      <c r="ECJ17" s="500"/>
      <c r="ECK17" s="500"/>
      <c r="ECL17" s="500"/>
      <c r="ECM17" s="500"/>
      <c r="ECN17" s="500"/>
      <c r="ECO17" s="500"/>
      <c r="ECP17" s="500"/>
      <c r="ECQ17" s="500"/>
      <c r="ECR17" s="500"/>
      <c r="ECS17" s="500"/>
      <c r="ECT17" s="500"/>
      <c r="ECU17" s="500"/>
      <c r="ECV17" s="500"/>
      <c r="ECW17" s="500"/>
      <c r="ECX17" s="500"/>
      <c r="ECY17" s="500"/>
      <c r="ECZ17" s="500"/>
      <c r="EDA17" s="500"/>
      <c r="EDB17" s="500"/>
      <c r="EDC17" s="500"/>
      <c r="EDD17" s="500"/>
      <c r="EDE17" s="500"/>
      <c r="EDF17" s="500"/>
      <c r="EDG17" s="500"/>
      <c r="EDH17" s="500"/>
      <c r="EDI17" s="500"/>
      <c r="EDJ17" s="500"/>
      <c r="EDK17" s="500"/>
      <c r="EDL17" s="500"/>
      <c r="EDM17" s="500"/>
      <c r="EDN17" s="500"/>
      <c r="EDO17" s="500"/>
      <c r="EDP17" s="500"/>
      <c r="EDQ17" s="500"/>
      <c r="EDR17" s="500"/>
      <c r="EDS17" s="500"/>
      <c r="EDT17" s="500"/>
      <c r="EDU17" s="500"/>
      <c r="EDV17" s="500"/>
      <c r="EDW17" s="500"/>
      <c r="EDX17" s="500"/>
      <c r="EDY17" s="500"/>
      <c r="EDZ17" s="500"/>
      <c r="EEA17" s="500"/>
      <c r="EEB17" s="500"/>
      <c r="EEC17" s="500"/>
      <c r="EED17" s="500"/>
      <c r="EEE17" s="500"/>
      <c r="EEF17" s="500"/>
      <c r="EEG17" s="500"/>
      <c r="EEH17" s="500"/>
      <c r="EEI17" s="500"/>
      <c r="EEJ17" s="500"/>
      <c r="EEK17" s="500"/>
      <c r="EEL17" s="500"/>
      <c r="EEM17" s="500"/>
      <c r="EEN17" s="500"/>
      <c r="EEO17" s="500"/>
      <c r="EEP17" s="500"/>
      <c r="EEQ17" s="500"/>
      <c r="EER17" s="500"/>
      <c r="EES17" s="500"/>
      <c r="EET17" s="500"/>
      <c r="EEU17" s="500"/>
      <c r="EEV17" s="500"/>
      <c r="EEW17" s="500"/>
      <c r="EEX17" s="500"/>
      <c r="EEY17" s="500"/>
      <c r="EEZ17" s="500"/>
      <c r="EFA17" s="500"/>
      <c r="EFB17" s="500"/>
      <c r="EFC17" s="500"/>
      <c r="EFD17" s="500"/>
      <c r="EFE17" s="500"/>
      <c r="EFF17" s="500"/>
      <c r="EFG17" s="500"/>
      <c r="EFH17" s="500"/>
      <c r="EFI17" s="500"/>
      <c r="EFJ17" s="500"/>
      <c r="EFK17" s="500"/>
      <c r="EFL17" s="500"/>
      <c r="EFM17" s="500"/>
      <c r="EFN17" s="500"/>
      <c r="EFO17" s="500"/>
      <c r="EFP17" s="500"/>
      <c r="EFQ17" s="500"/>
      <c r="EFR17" s="500"/>
      <c r="EFS17" s="500"/>
      <c r="EFT17" s="500"/>
      <c r="EFU17" s="500"/>
      <c r="EFV17" s="500"/>
      <c r="EFW17" s="500"/>
      <c r="EFX17" s="500"/>
      <c r="EFY17" s="500"/>
      <c r="EFZ17" s="500"/>
      <c r="EGA17" s="500"/>
      <c r="EGB17" s="500"/>
      <c r="EGC17" s="500"/>
      <c r="EGD17" s="500"/>
      <c r="EGE17" s="500"/>
      <c r="EGF17" s="500"/>
      <c r="EGG17" s="500"/>
      <c r="EGH17" s="500"/>
      <c r="EGI17" s="500"/>
      <c r="EGJ17" s="500"/>
      <c r="EGK17" s="500"/>
      <c r="EGL17" s="500"/>
      <c r="EGM17" s="500"/>
      <c r="EGN17" s="500"/>
      <c r="EGO17" s="500"/>
      <c r="EGP17" s="500"/>
      <c r="EGQ17" s="500"/>
      <c r="EGR17" s="500"/>
      <c r="EGS17" s="500"/>
      <c r="EGT17" s="500"/>
      <c r="EGU17" s="500"/>
      <c r="EGV17" s="500"/>
      <c r="EGW17" s="500"/>
      <c r="EGX17" s="500"/>
      <c r="EGY17" s="500"/>
      <c r="EGZ17" s="500"/>
      <c r="EHA17" s="500"/>
      <c r="EHB17" s="500"/>
      <c r="EHC17" s="500"/>
      <c r="EHD17" s="500"/>
      <c r="EHE17" s="500"/>
      <c r="EHF17" s="500"/>
      <c r="EHG17" s="500"/>
      <c r="EHH17" s="500"/>
      <c r="EHI17" s="500"/>
      <c r="EHJ17" s="500"/>
      <c r="EHK17" s="500"/>
      <c r="EHL17" s="500"/>
      <c r="EHM17" s="500"/>
      <c r="EHN17" s="500"/>
      <c r="EHO17" s="500"/>
      <c r="EHP17" s="500"/>
      <c r="EHQ17" s="500"/>
      <c r="EHR17" s="500"/>
      <c r="EHS17" s="500"/>
      <c r="EHT17" s="500"/>
      <c r="EHU17" s="500"/>
      <c r="EHV17" s="500"/>
      <c r="EHW17" s="500"/>
      <c r="EHX17" s="500"/>
      <c r="EHY17" s="500"/>
      <c r="EHZ17" s="500"/>
      <c r="EIA17" s="500"/>
      <c r="EIB17" s="500"/>
      <c r="EIC17" s="500"/>
      <c r="EID17" s="500"/>
      <c r="EIE17" s="500"/>
      <c r="EIF17" s="500"/>
      <c r="EIG17" s="500"/>
      <c r="EIH17" s="500"/>
      <c r="EII17" s="500"/>
      <c r="EIJ17" s="500"/>
      <c r="EIK17" s="500"/>
      <c r="EIL17" s="500"/>
      <c r="EIM17" s="500"/>
      <c r="EIN17" s="500"/>
      <c r="EIO17" s="500"/>
      <c r="EIP17" s="500"/>
      <c r="EIQ17" s="500"/>
      <c r="EIR17" s="500"/>
      <c r="EIS17" s="500"/>
      <c r="EIT17" s="500"/>
      <c r="EIU17" s="500"/>
      <c r="EIV17" s="500"/>
      <c r="EIW17" s="500"/>
      <c r="EIX17" s="500"/>
      <c r="EIY17" s="500"/>
      <c r="EIZ17" s="500"/>
      <c r="EJA17" s="500"/>
      <c r="EJB17" s="500"/>
      <c r="EJC17" s="500"/>
      <c r="EJD17" s="500"/>
      <c r="EJE17" s="500"/>
      <c r="EJF17" s="500"/>
      <c r="EJG17" s="500"/>
      <c r="EJH17" s="500"/>
      <c r="EJI17" s="500"/>
      <c r="EJJ17" s="500"/>
      <c r="EJK17" s="500"/>
      <c r="EJL17" s="500"/>
      <c r="EJM17" s="500"/>
      <c r="EJN17" s="500"/>
      <c r="EJO17" s="500"/>
      <c r="EJP17" s="500"/>
      <c r="EJQ17" s="500"/>
      <c r="EJR17" s="500"/>
      <c r="EJS17" s="500"/>
      <c r="EJT17" s="500"/>
      <c r="EJU17" s="500"/>
      <c r="EJV17" s="500"/>
      <c r="EJW17" s="500"/>
      <c r="EJX17" s="500"/>
      <c r="EJY17" s="500"/>
      <c r="EJZ17" s="500"/>
      <c r="EKA17" s="500"/>
      <c r="EKB17" s="500"/>
      <c r="EKC17" s="500"/>
      <c r="EKD17" s="500"/>
      <c r="EKE17" s="500"/>
      <c r="EKF17" s="500"/>
      <c r="EKG17" s="500"/>
      <c r="EKH17" s="500"/>
      <c r="EKI17" s="500"/>
      <c r="EKJ17" s="500"/>
      <c r="EKK17" s="500"/>
      <c r="EKL17" s="500"/>
      <c r="EKM17" s="500"/>
      <c r="EKN17" s="500"/>
      <c r="EKO17" s="500"/>
      <c r="EKP17" s="500"/>
      <c r="EKQ17" s="500"/>
      <c r="EKR17" s="500"/>
      <c r="EKS17" s="500"/>
      <c r="EKT17" s="500"/>
      <c r="EKU17" s="500"/>
      <c r="EKV17" s="500"/>
      <c r="EKW17" s="500"/>
      <c r="EKX17" s="500"/>
      <c r="EKY17" s="500"/>
      <c r="EKZ17" s="500"/>
      <c r="ELA17" s="500"/>
      <c r="ELB17" s="500"/>
      <c r="ELC17" s="500"/>
      <c r="ELD17" s="500"/>
      <c r="ELE17" s="500"/>
      <c r="ELF17" s="500"/>
      <c r="ELG17" s="500"/>
      <c r="ELH17" s="500"/>
      <c r="ELI17" s="500"/>
      <c r="ELJ17" s="500"/>
      <c r="ELK17" s="500"/>
      <c r="ELL17" s="500"/>
      <c r="ELM17" s="500"/>
      <c r="ELN17" s="500"/>
      <c r="ELO17" s="500"/>
      <c r="ELP17" s="500"/>
      <c r="ELQ17" s="500"/>
      <c r="ELR17" s="500"/>
      <c r="ELS17" s="500"/>
      <c r="ELT17" s="500"/>
      <c r="ELU17" s="500"/>
      <c r="ELV17" s="500"/>
      <c r="ELW17" s="500"/>
      <c r="ELX17" s="500"/>
      <c r="ELY17" s="500"/>
      <c r="ELZ17" s="500"/>
      <c r="EMA17" s="500"/>
      <c r="EMB17" s="500"/>
      <c r="EMC17" s="500"/>
      <c r="EMD17" s="500"/>
      <c r="EME17" s="500"/>
      <c r="EMF17" s="500"/>
      <c r="EMG17" s="500"/>
      <c r="EMH17" s="500"/>
      <c r="EMI17" s="500"/>
      <c r="EMJ17" s="500"/>
      <c r="EMK17" s="500"/>
      <c r="EML17" s="500"/>
      <c r="EMM17" s="500"/>
      <c r="EMN17" s="500"/>
      <c r="EMO17" s="500"/>
      <c r="EMP17" s="500"/>
      <c r="EMQ17" s="500"/>
      <c r="EMR17" s="500"/>
      <c r="EMS17" s="500"/>
      <c r="EMT17" s="500"/>
      <c r="EMU17" s="500"/>
      <c r="EMV17" s="500"/>
      <c r="EMW17" s="500"/>
      <c r="EMX17" s="500"/>
      <c r="EMY17" s="500"/>
      <c r="EMZ17" s="500"/>
      <c r="ENA17" s="500"/>
      <c r="ENB17" s="500"/>
      <c r="ENC17" s="500"/>
      <c r="END17" s="500"/>
      <c r="ENE17" s="500"/>
      <c r="ENF17" s="500"/>
      <c r="ENG17" s="500"/>
      <c r="ENH17" s="500"/>
      <c r="ENI17" s="500"/>
      <c r="ENJ17" s="500"/>
      <c r="ENK17" s="500"/>
      <c r="ENL17" s="500"/>
      <c r="ENM17" s="500"/>
      <c r="ENN17" s="500"/>
      <c r="ENO17" s="500"/>
      <c r="ENP17" s="500"/>
      <c r="ENQ17" s="500"/>
      <c r="ENR17" s="500"/>
      <c r="ENS17" s="500"/>
      <c r="ENT17" s="500"/>
      <c r="ENU17" s="500"/>
      <c r="ENV17" s="500"/>
      <c r="ENW17" s="500"/>
      <c r="ENX17" s="500"/>
      <c r="ENY17" s="500"/>
      <c r="ENZ17" s="500"/>
      <c r="EOA17" s="500"/>
      <c r="EOB17" s="500"/>
      <c r="EOC17" s="500"/>
      <c r="EOD17" s="500"/>
      <c r="EOE17" s="500"/>
      <c r="EOF17" s="500"/>
      <c r="EOG17" s="500"/>
      <c r="EOH17" s="500"/>
      <c r="EOI17" s="500"/>
      <c r="EOJ17" s="500"/>
      <c r="EOK17" s="500"/>
      <c r="EOL17" s="500"/>
      <c r="EOM17" s="500"/>
      <c r="EON17" s="500"/>
      <c r="EOO17" s="500"/>
      <c r="EOP17" s="500"/>
      <c r="EOQ17" s="500"/>
      <c r="EOR17" s="500"/>
      <c r="EOS17" s="500"/>
      <c r="EOT17" s="500"/>
      <c r="EOU17" s="500"/>
      <c r="EOV17" s="500"/>
      <c r="EOW17" s="500"/>
      <c r="EOX17" s="500"/>
      <c r="EOY17" s="500"/>
      <c r="EOZ17" s="500"/>
      <c r="EPA17" s="500"/>
      <c r="EPB17" s="500"/>
      <c r="EPC17" s="500"/>
      <c r="EPD17" s="500"/>
      <c r="EPE17" s="500"/>
      <c r="EPF17" s="500"/>
      <c r="EPG17" s="500"/>
      <c r="EPH17" s="500"/>
      <c r="EPI17" s="500"/>
      <c r="EPJ17" s="500"/>
      <c r="EPK17" s="500"/>
      <c r="EPL17" s="500"/>
      <c r="EPM17" s="500"/>
      <c r="EPN17" s="500"/>
      <c r="EPO17" s="500"/>
      <c r="EPP17" s="500"/>
      <c r="EPQ17" s="500"/>
      <c r="EPR17" s="500"/>
      <c r="EPS17" s="500"/>
      <c r="EPT17" s="500"/>
      <c r="EPU17" s="500"/>
      <c r="EPV17" s="500"/>
      <c r="EPW17" s="500"/>
      <c r="EPX17" s="500"/>
      <c r="EPY17" s="500"/>
      <c r="EPZ17" s="500"/>
      <c r="EQA17" s="500"/>
      <c r="EQB17" s="500"/>
      <c r="EQC17" s="500"/>
      <c r="EQD17" s="500"/>
      <c r="EQE17" s="500"/>
      <c r="EQF17" s="500"/>
      <c r="EQG17" s="500"/>
      <c r="EQH17" s="500"/>
      <c r="EQI17" s="500"/>
      <c r="EQJ17" s="500"/>
      <c r="EQK17" s="500"/>
      <c r="EQL17" s="500"/>
      <c r="EQM17" s="500"/>
      <c r="EQN17" s="500"/>
      <c r="EQO17" s="500"/>
      <c r="EQP17" s="500"/>
      <c r="EQQ17" s="500"/>
      <c r="EQR17" s="500"/>
      <c r="EQS17" s="500"/>
      <c r="EQT17" s="500"/>
      <c r="EQU17" s="500"/>
      <c r="EQV17" s="500"/>
      <c r="EQW17" s="500"/>
      <c r="EQX17" s="500"/>
      <c r="EQY17" s="500"/>
      <c r="EQZ17" s="500"/>
      <c r="ERA17" s="500"/>
      <c r="ERB17" s="500"/>
      <c r="ERC17" s="500"/>
      <c r="ERD17" s="500"/>
      <c r="ERE17" s="500"/>
      <c r="ERF17" s="500"/>
      <c r="ERG17" s="500"/>
      <c r="ERH17" s="500"/>
      <c r="ERI17" s="500"/>
      <c r="ERJ17" s="500"/>
      <c r="ERK17" s="500"/>
      <c r="ERL17" s="500"/>
      <c r="ERM17" s="500"/>
      <c r="ERN17" s="500"/>
      <c r="ERO17" s="500"/>
      <c r="ERP17" s="500"/>
      <c r="ERQ17" s="500"/>
      <c r="ERR17" s="500"/>
      <c r="ERS17" s="500"/>
      <c r="ERT17" s="500"/>
      <c r="ERU17" s="500"/>
      <c r="ERV17" s="500"/>
      <c r="ERW17" s="500"/>
      <c r="ERX17" s="500"/>
      <c r="ERY17" s="500"/>
      <c r="ERZ17" s="500"/>
      <c r="ESA17" s="500"/>
      <c r="ESB17" s="500"/>
      <c r="ESC17" s="500"/>
      <c r="ESD17" s="500"/>
      <c r="ESE17" s="500"/>
      <c r="ESF17" s="500"/>
      <c r="ESG17" s="500"/>
      <c r="ESH17" s="500"/>
      <c r="ESI17" s="500"/>
      <c r="ESJ17" s="500"/>
      <c r="ESK17" s="500"/>
      <c r="ESL17" s="500"/>
      <c r="ESM17" s="500"/>
      <c r="ESN17" s="500"/>
      <c r="ESO17" s="500"/>
      <c r="ESP17" s="500"/>
      <c r="ESQ17" s="500"/>
      <c r="ESR17" s="500"/>
      <c r="ESS17" s="500"/>
      <c r="EST17" s="500"/>
      <c r="ESU17" s="500"/>
      <c r="ESV17" s="500"/>
      <c r="ESW17" s="500"/>
      <c r="ESX17" s="500"/>
      <c r="ESY17" s="500"/>
      <c r="ESZ17" s="500"/>
      <c r="ETA17" s="500"/>
      <c r="ETB17" s="500"/>
      <c r="ETC17" s="500"/>
      <c r="ETD17" s="500"/>
      <c r="ETE17" s="500"/>
      <c r="ETF17" s="500"/>
      <c r="ETG17" s="500"/>
      <c r="ETH17" s="500"/>
      <c r="ETI17" s="500"/>
      <c r="ETJ17" s="500"/>
      <c r="ETK17" s="500"/>
      <c r="ETL17" s="500"/>
      <c r="ETM17" s="500"/>
      <c r="ETN17" s="500"/>
      <c r="ETO17" s="500"/>
      <c r="ETP17" s="500"/>
      <c r="ETQ17" s="500"/>
      <c r="ETR17" s="500"/>
      <c r="ETS17" s="500"/>
      <c r="ETT17" s="500"/>
      <c r="ETU17" s="500"/>
      <c r="ETV17" s="500"/>
      <c r="ETW17" s="500"/>
      <c r="ETX17" s="500"/>
      <c r="ETY17" s="500"/>
      <c r="ETZ17" s="500"/>
      <c r="EUA17" s="500"/>
      <c r="EUB17" s="500"/>
      <c r="EUC17" s="500"/>
      <c r="EUD17" s="500"/>
      <c r="EUE17" s="500"/>
      <c r="EUF17" s="500"/>
      <c r="EUG17" s="500"/>
      <c r="EUH17" s="500"/>
      <c r="EUI17" s="500"/>
      <c r="EUJ17" s="500"/>
      <c r="EUK17" s="500"/>
      <c r="EUL17" s="500"/>
      <c r="EUM17" s="500"/>
      <c r="EUN17" s="500"/>
      <c r="EUO17" s="500"/>
      <c r="EUP17" s="500"/>
      <c r="EUQ17" s="500"/>
      <c r="EUR17" s="500"/>
      <c r="EUS17" s="500"/>
      <c r="EUT17" s="500"/>
      <c r="EUU17" s="500"/>
      <c r="EUV17" s="500"/>
      <c r="EUW17" s="500"/>
      <c r="EUX17" s="500"/>
      <c r="EUY17" s="500"/>
      <c r="EUZ17" s="500"/>
      <c r="EVA17" s="500"/>
      <c r="EVB17" s="500"/>
      <c r="EVC17" s="500"/>
      <c r="EVD17" s="500"/>
      <c r="EVE17" s="500"/>
      <c r="EVF17" s="500"/>
      <c r="EVG17" s="500"/>
      <c r="EVH17" s="500"/>
      <c r="EVI17" s="500"/>
      <c r="EVJ17" s="500"/>
      <c r="EVK17" s="500"/>
      <c r="EVL17" s="500"/>
      <c r="EVM17" s="500"/>
      <c r="EVN17" s="500"/>
      <c r="EVO17" s="500"/>
      <c r="EVP17" s="500"/>
      <c r="EVQ17" s="500"/>
      <c r="EVR17" s="500"/>
      <c r="EVS17" s="500"/>
      <c r="EVT17" s="500"/>
      <c r="EVU17" s="500"/>
      <c r="EVV17" s="500"/>
      <c r="EVW17" s="500"/>
      <c r="EVX17" s="500"/>
      <c r="EVY17" s="500"/>
      <c r="EVZ17" s="500"/>
      <c r="EWA17" s="500"/>
      <c r="EWB17" s="500"/>
      <c r="EWC17" s="500"/>
      <c r="EWD17" s="500"/>
      <c r="EWE17" s="500"/>
      <c r="EWF17" s="500"/>
      <c r="EWG17" s="500"/>
      <c r="EWH17" s="500"/>
      <c r="EWI17" s="500"/>
      <c r="EWJ17" s="500"/>
      <c r="EWK17" s="500"/>
      <c r="EWL17" s="500"/>
      <c r="EWM17" s="500"/>
      <c r="EWN17" s="500"/>
      <c r="EWO17" s="500"/>
      <c r="EWP17" s="500"/>
      <c r="EWQ17" s="500"/>
      <c r="EWR17" s="500"/>
      <c r="EWS17" s="500"/>
      <c r="EWT17" s="500"/>
      <c r="EWU17" s="500"/>
      <c r="EWV17" s="500"/>
      <c r="EWW17" s="500"/>
      <c r="EWX17" s="500"/>
      <c r="EWY17" s="500"/>
      <c r="EWZ17" s="500"/>
      <c r="EXA17" s="500"/>
      <c r="EXB17" s="500"/>
      <c r="EXC17" s="500"/>
      <c r="EXD17" s="500"/>
      <c r="EXE17" s="500"/>
      <c r="EXF17" s="500"/>
      <c r="EXG17" s="500"/>
      <c r="EXH17" s="500"/>
      <c r="EXI17" s="500"/>
      <c r="EXJ17" s="500"/>
      <c r="EXK17" s="500"/>
      <c r="EXL17" s="500"/>
      <c r="EXM17" s="500"/>
      <c r="EXN17" s="500"/>
      <c r="EXO17" s="500"/>
      <c r="EXP17" s="500"/>
      <c r="EXQ17" s="500"/>
      <c r="EXR17" s="500"/>
      <c r="EXS17" s="500"/>
      <c r="EXT17" s="500"/>
      <c r="EXU17" s="500"/>
      <c r="EXV17" s="500"/>
      <c r="EXW17" s="500"/>
      <c r="EXX17" s="500"/>
      <c r="EXY17" s="500"/>
      <c r="EXZ17" s="500"/>
      <c r="EYA17" s="500"/>
      <c r="EYB17" s="500"/>
      <c r="EYC17" s="500"/>
      <c r="EYD17" s="500"/>
      <c r="EYE17" s="500"/>
      <c r="EYF17" s="500"/>
      <c r="EYG17" s="500"/>
      <c r="EYH17" s="500"/>
      <c r="EYI17" s="500"/>
      <c r="EYJ17" s="500"/>
      <c r="EYK17" s="500"/>
      <c r="EYL17" s="500"/>
      <c r="EYM17" s="500"/>
      <c r="EYN17" s="500"/>
      <c r="EYO17" s="500"/>
      <c r="EYP17" s="500"/>
      <c r="EYQ17" s="500"/>
      <c r="EYR17" s="500"/>
      <c r="EYS17" s="500"/>
      <c r="EYT17" s="500"/>
      <c r="EYU17" s="500"/>
      <c r="EYV17" s="500"/>
      <c r="EYW17" s="500"/>
      <c r="EYX17" s="500"/>
      <c r="EYY17" s="500"/>
      <c r="EYZ17" s="500"/>
      <c r="EZA17" s="500"/>
      <c r="EZB17" s="500"/>
      <c r="EZC17" s="500"/>
      <c r="EZD17" s="500"/>
      <c r="EZE17" s="500"/>
      <c r="EZF17" s="500"/>
      <c r="EZG17" s="500"/>
      <c r="EZH17" s="500"/>
      <c r="EZI17" s="500"/>
      <c r="EZJ17" s="500"/>
      <c r="EZK17" s="500"/>
      <c r="EZL17" s="500"/>
      <c r="EZM17" s="500"/>
      <c r="EZN17" s="500"/>
      <c r="EZO17" s="500"/>
      <c r="EZP17" s="500"/>
      <c r="EZQ17" s="500"/>
      <c r="EZR17" s="500"/>
      <c r="EZS17" s="500"/>
      <c r="EZT17" s="500"/>
      <c r="EZU17" s="500"/>
      <c r="EZV17" s="500"/>
      <c r="EZW17" s="500"/>
      <c r="EZX17" s="500"/>
      <c r="EZY17" s="500"/>
      <c r="EZZ17" s="500"/>
      <c r="FAA17" s="500"/>
      <c r="FAB17" s="500"/>
      <c r="FAC17" s="500"/>
      <c r="FAD17" s="500"/>
      <c r="FAE17" s="500"/>
      <c r="FAF17" s="500"/>
      <c r="FAG17" s="500"/>
      <c r="FAH17" s="500"/>
      <c r="FAI17" s="500"/>
      <c r="FAJ17" s="500"/>
      <c r="FAK17" s="500"/>
      <c r="FAL17" s="500"/>
      <c r="FAM17" s="500"/>
      <c r="FAN17" s="500"/>
      <c r="FAO17" s="500"/>
      <c r="FAP17" s="500"/>
      <c r="FAQ17" s="500"/>
      <c r="FAR17" s="500"/>
      <c r="FAS17" s="500"/>
      <c r="FAT17" s="500"/>
      <c r="FAU17" s="500"/>
      <c r="FAV17" s="500"/>
      <c r="FAW17" s="500"/>
      <c r="FAX17" s="500"/>
      <c r="FAY17" s="500"/>
      <c r="FAZ17" s="500"/>
      <c r="FBA17" s="500"/>
      <c r="FBB17" s="500"/>
      <c r="FBC17" s="500"/>
      <c r="FBD17" s="500"/>
      <c r="FBE17" s="500"/>
      <c r="FBF17" s="500"/>
      <c r="FBG17" s="500"/>
      <c r="FBH17" s="500"/>
      <c r="FBI17" s="500"/>
      <c r="FBJ17" s="500"/>
      <c r="FBK17" s="500"/>
      <c r="FBL17" s="500"/>
      <c r="FBM17" s="500"/>
      <c r="FBN17" s="500"/>
      <c r="FBO17" s="500"/>
      <c r="FBP17" s="500"/>
      <c r="FBQ17" s="500"/>
      <c r="FBR17" s="500"/>
      <c r="FBS17" s="500"/>
      <c r="FBT17" s="500"/>
      <c r="FBU17" s="500"/>
      <c r="FBV17" s="500"/>
      <c r="FBW17" s="500"/>
      <c r="FBX17" s="500"/>
      <c r="FBY17" s="500"/>
      <c r="FBZ17" s="500"/>
      <c r="FCA17" s="500"/>
      <c r="FCB17" s="500"/>
      <c r="FCC17" s="500"/>
      <c r="FCD17" s="500"/>
      <c r="FCE17" s="500"/>
      <c r="FCF17" s="500"/>
      <c r="FCG17" s="500"/>
      <c r="FCH17" s="500"/>
      <c r="FCI17" s="500"/>
      <c r="FCJ17" s="500"/>
      <c r="FCK17" s="500"/>
      <c r="FCL17" s="500"/>
      <c r="FCM17" s="500"/>
      <c r="FCN17" s="500"/>
      <c r="FCO17" s="500"/>
      <c r="FCP17" s="500"/>
      <c r="FCQ17" s="500"/>
      <c r="FCR17" s="500"/>
      <c r="FCS17" s="500"/>
      <c r="FCT17" s="500"/>
      <c r="FCU17" s="500"/>
      <c r="FCV17" s="500"/>
      <c r="FCW17" s="500"/>
      <c r="FCX17" s="500"/>
      <c r="FCY17" s="500"/>
      <c r="FCZ17" s="500"/>
      <c r="FDA17" s="500"/>
      <c r="FDB17" s="500"/>
      <c r="FDC17" s="500"/>
      <c r="FDD17" s="500"/>
      <c r="FDE17" s="500"/>
      <c r="FDF17" s="500"/>
      <c r="FDG17" s="500"/>
      <c r="FDH17" s="500"/>
      <c r="FDI17" s="500"/>
      <c r="FDJ17" s="500"/>
      <c r="FDK17" s="500"/>
      <c r="FDL17" s="500"/>
      <c r="FDM17" s="500"/>
      <c r="FDN17" s="500"/>
      <c r="FDO17" s="500"/>
      <c r="FDP17" s="500"/>
      <c r="FDQ17" s="500"/>
      <c r="FDR17" s="500"/>
      <c r="FDS17" s="500"/>
      <c r="FDT17" s="500"/>
      <c r="FDU17" s="500"/>
      <c r="FDV17" s="500"/>
      <c r="FDW17" s="500"/>
      <c r="FDX17" s="500"/>
      <c r="FDY17" s="500"/>
      <c r="FDZ17" s="500"/>
      <c r="FEA17" s="500"/>
      <c r="FEB17" s="500"/>
      <c r="FEC17" s="500"/>
      <c r="FED17" s="500"/>
      <c r="FEE17" s="500"/>
      <c r="FEF17" s="500"/>
      <c r="FEG17" s="500"/>
      <c r="FEH17" s="500"/>
      <c r="FEI17" s="500"/>
      <c r="FEJ17" s="500"/>
      <c r="FEK17" s="500"/>
      <c r="FEL17" s="500"/>
      <c r="FEM17" s="500"/>
      <c r="FEN17" s="500"/>
      <c r="FEO17" s="500"/>
      <c r="FEP17" s="500"/>
      <c r="FEQ17" s="500"/>
      <c r="FER17" s="500"/>
      <c r="FES17" s="500"/>
      <c r="FET17" s="500"/>
      <c r="FEU17" s="500"/>
      <c r="FEV17" s="500"/>
      <c r="FEW17" s="500"/>
      <c r="FEX17" s="500"/>
      <c r="FEY17" s="500"/>
      <c r="FEZ17" s="500"/>
      <c r="FFA17" s="500"/>
      <c r="FFB17" s="500"/>
      <c r="FFC17" s="500"/>
      <c r="FFD17" s="500"/>
      <c r="FFE17" s="500"/>
      <c r="FFF17" s="500"/>
      <c r="FFG17" s="500"/>
      <c r="FFH17" s="500"/>
      <c r="FFI17" s="500"/>
      <c r="FFJ17" s="500"/>
      <c r="FFK17" s="500"/>
      <c r="FFL17" s="500"/>
      <c r="FFM17" s="500"/>
      <c r="FFN17" s="500"/>
      <c r="FFO17" s="500"/>
      <c r="FFP17" s="500"/>
      <c r="FFQ17" s="500"/>
      <c r="FFR17" s="500"/>
      <c r="FFS17" s="500"/>
      <c r="FFT17" s="500"/>
      <c r="FFU17" s="500"/>
      <c r="FFV17" s="500"/>
      <c r="FFW17" s="500"/>
      <c r="FFX17" s="500"/>
      <c r="FFY17" s="500"/>
      <c r="FFZ17" s="500"/>
      <c r="FGA17" s="500"/>
      <c r="FGB17" s="500"/>
      <c r="FGC17" s="500"/>
      <c r="FGD17" s="500"/>
      <c r="FGE17" s="500"/>
      <c r="FGF17" s="500"/>
      <c r="FGG17" s="500"/>
      <c r="FGH17" s="500"/>
      <c r="FGI17" s="500"/>
      <c r="FGJ17" s="500"/>
      <c r="FGK17" s="500"/>
      <c r="FGL17" s="500"/>
      <c r="FGM17" s="500"/>
      <c r="FGN17" s="500"/>
      <c r="FGO17" s="500"/>
      <c r="FGP17" s="500"/>
      <c r="FGQ17" s="500"/>
      <c r="FGR17" s="500"/>
      <c r="FGS17" s="500"/>
      <c r="FGT17" s="500"/>
      <c r="FGU17" s="500"/>
      <c r="FGV17" s="500"/>
      <c r="FGW17" s="500"/>
      <c r="FGX17" s="500"/>
      <c r="FGY17" s="500"/>
      <c r="FGZ17" s="500"/>
      <c r="FHA17" s="500"/>
      <c r="FHB17" s="500"/>
      <c r="FHC17" s="500"/>
      <c r="FHD17" s="500"/>
      <c r="FHE17" s="500"/>
      <c r="FHF17" s="500"/>
      <c r="FHG17" s="500"/>
      <c r="FHH17" s="500"/>
      <c r="FHI17" s="500"/>
      <c r="FHJ17" s="500"/>
      <c r="FHK17" s="500"/>
      <c r="FHL17" s="500"/>
      <c r="FHM17" s="500"/>
      <c r="FHN17" s="500"/>
      <c r="FHO17" s="500"/>
      <c r="FHP17" s="500"/>
      <c r="FHQ17" s="500"/>
      <c r="FHR17" s="500"/>
      <c r="FHS17" s="500"/>
      <c r="FHT17" s="500"/>
      <c r="FHU17" s="500"/>
      <c r="FHV17" s="500"/>
      <c r="FHW17" s="500"/>
      <c r="FHX17" s="500"/>
      <c r="FHY17" s="500"/>
      <c r="FHZ17" s="500"/>
      <c r="FIA17" s="500"/>
      <c r="FIB17" s="500"/>
      <c r="FIC17" s="500"/>
      <c r="FID17" s="500"/>
      <c r="FIE17" s="500"/>
      <c r="FIF17" s="500"/>
      <c r="FIG17" s="500"/>
      <c r="FIH17" s="500"/>
      <c r="FII17" s="500"/>
      <c r="FIJ17" s="500"/>
      <c r="FIK17" s="500"/>
      <c r="FIL17" s="500"/>
      <c r="FIM17" s="500"/>
      <c r="FIN17" s="500"/>
      <c r="FIO17" s="500"/>
      <c r="FIP17" s="500"/>
      <c r="FIQ17" s="500"/>
      <c r="FIR17" s="500"/>
      <c r="FIS17" s="500"/>
      <c r="FIT17" s="500"/>
      <c r="FIU17" s="500"/>
      <c r="FIV17" s="500"/>
      <c r="FIW17" s="500"/>
      <c r="FIX17" s="500"/>
      <c r="FIY17" s="500"/>
      <c r="FIZ17" s="500"/>
      <c r="FJA17" s="500"/>
      <c r="FJB17" s="500"/>
      <c r="FJC17" s="500"/>
      <c r="FJD17" s="500"/>
      <c r="FJE17" s="500"/>
      <c r="FJF17" s="500"/>
      <c r="FJG17" s="500"/>
      <c r="FJH17" s="500"/>
      <c r="FJI17" s="500"/>
      <c r="FJJ17" s="500"/>
      <c r="FJK17" s="500"/>
      <c r="FJL17" s="500"/>
      <c r="FJM17" s="500"/>
      <c r="FJN17" s="500"/>
      <c r="FJO17" s="500"/>
      <c r="FJP17" s="500"/>
      <c r="FJQ17" s="500"/>
      <c r="FJR17" s="500"/>
      <c r="FJS17" s="500"/>
      <c r="FJT17" s="500"/>
      <c r="FJU17" s="500"/>
      <c r="FJV17" s="500"/>
      <c r="FJW17" s="500"/>
      <c r="FJX17" s="500"/>
      <c r="FJY17" s="500"/>
      <c r="FJZ17" s="500"/>
      <c r="FKA17" s="500"/>
      <c r="FKB17" s="500"/>
      <c r="FKC17" s="500"/>
      <c r="FKD17" s="500"/>
      <c r="FKE17" s="500"/>
      <c r="FKF17" s="500"/>
      <c r="FKG17" s="500"/>
      <c r="FKH17" s="500"/>
      <c r="FKI17" s="500"/>
      <c r="FKJ17" s="500"/>
      <c r="FKK17" s="500"/>
      <c r="FKL17" s="500"/>
      <c r="FKM17" s="500"/>
      <c r="FKN17" s="500"/>
      <c r="FKO17" s="500"/>
      <c r="FKP17" s="500"/>
      <c r="FKQ17" s="500"/>
      <c r="FKR17" s="500"/>
      <c r="FKS17" s="500"/>
      <c r="FKT17" s="500"/>
      <c r="FKU17" s="500"/>
      <c r="FKV17" s="500"/>
      <c r="FKW17" s="500"/>
      <c r="FKX17" s="500"/>
      <c r="FKY17" s="500"/>
      <c r="FKZ17" s="500"/>
      <c r="FLA17" s="500"/>
      <c r="FLB17" s="500"/>
      <c r="FLC17" s="500"/>
      <c r="FLD17" s="500"/>
      <c r="FLE17" s="500"/>
      <c r="FLF17" s="500"/>
      <c r="FLG17" s="500"/>
      <c r="FLH17" s="500"/>
      <c r="FLI17" s="500"/>
      <c r="FLJ17" s="500"/>
      <c r="FLK17" s="500"/>
      <c r="FLL17" s="500"/>
      <c r="FLM17" s="500"/>
      <c r="FLN17" s="500"/>
      <c r="FLO17" s="500"/>
      <c r="FLP17" s="500"/>
      <c r="FLQ17" s="500"/>
      <c r="FLR17" s="500"/>
      <c r="FLS17" s="500"/>
      <c r="FLT17" s="500"/>
      <c r="FLU17" s="500"/>
      <c r="FLV17" s="500"/>
      <c r="FLW17" s="500"/>
      <c r="FLX17" s="500"/>
      <c r="FLY17" s="500"/>
      <c r="FLZ17" s="500"/>
      <c r="FMA17" s="500"/>
      <c r="FMB17" s="500"/>
      <c r="FMC17" s="500"/>
      <c r="FMD17" s="500"/>
      <c r="FME17" s="500"/>
      <c r="FMF17" s="500"/>
      <c r="FMG17" s="500"/>
      <c r="FMH17" s="500"/>
      <c r="FMI17" s="500"/>
      <c r="FMJ17" s="500"/>
      <c r="FMK17" s="500"/>
      <c r="FML17" s="500"/>
      <c r="FMM17" s="500"/>
      <c r="FMN17" s="500"/>
      <c r="FMO17" s="500"/>
      <c r="FMP17" s="500"/>
      <c r="FMQ17" s="500"/>
      <c r="FMR17" s="500"/>
      <c r="FMS17" s="500"/>
      <c r="FMT17" s="500"/>
      <c r="FMU17" s="500"/>
      <c r="FMV17" s="500"/>
      <c r="FMW17" s="500"/>
      <c r="FMX17" s="500"/>
      <c r="FMY17" s="500"/>
      <c r="FMZ17" s="500"/>
      <c r="FNA17" s="500"/>
      <c r="FNB17" s="500"/>
      <c r="FNC17" s="500"/>
      <c r="FND17" s="500"/>
      <c r="FNE17" s="500"/>
      <c r="FNF17" s="500"/>
      <c r="FNG17" s="500"/>
      <c r="FNH17" s="500"/>
      <c r="FNI17" s="500"/>
      <c r="FNJ17" s="500"/>
      <c r="FNK17" s="500"/>
      <c r="FNL17" s="500"/>
      <c r="FNM17" s="500"/>
      <c r="FNN17" s="500"/>
      <c r="FNO17" s="500"/>
      <c r="FNP17" s="500"/>
      <c r="FNQ17" s="500"/>
      <c r="FNR17" s="500"/>
      <c r="FNS17" s="500"/>
      <c r="FNT17" s="500"/>
      <c r="FNU17" s="500"/>
      <c r="FNV17" s="500"/>
      <c r="FNW17" s="500"/>
      <c r="FNX17" s="500"/>
      <c r="FNY17" s="500"/>
      <c r="FNZ17" s="500"/>
      <c r="FOA17" s="500"/>
      <c r="FOB17" s="500"/>
      <c r="FOC17" s="500"/>
      <c r="FOD17" s="500"/>
      <c r="FOE17" s="500"/>
      <c r="FOF17" s="500"/>
      <c r="FOG17" s="500"/>
      <c r="FOH17" s="500"/>
      <c r="FOI17" s="500"/>
      <c r="FOJ17" s="500"/>
      <c r="FOK17" s="500"/>
      <c r="FOL17" s="500"/>
      <c r="FOM17" s="500"/>
      <c r="FON17" s="500"/>
      <c r="FOO17" s="500"/>
      <c r="FOP17" s="500"/>
      <c r="FOQ17" s="500"/>
      <c r="FOR17" s="500"/>
      <c r="FOS17" s="500"/>
      <c r="FOT17" s="500"/>
      <c r="FOU17" s="500"/>
      <c r="FOV17" s="500"/>
      <c r="FOW17" s="500"/>
      <c r="FOX17" s="500"/>
      <c r="FOY17" s="500"/>
      <c r="FOZ17" s="500"/>
      <c r="FPA17" s="500"/>
      <c r="FPB17" s="500"/>
      <c r="FPC17" s="500"/>
      <c r="FPD17" s="500"/>
      <c r="FPE17" s="500"/>
      <c r="FPF17" s="500"/>
      <c r="FPG17" s="500"/>
      <c r="FPH17" s="500"/>
      <c r="FPI17" s="500"/>
      <c r="FPJ17" s="500"/>
      <c r="FPK17" s="500"/>
      <c r="FPL17" s="500"/>
      <c r="FPM17" s="500"/>
      <c r="FPN17" s="500"/>
      <c r="FPO17" s="500"/>
      <c r="FPP17" s="500"/>
      <c r="FPQ17" s="500"/>
      <c r="FPR17" s="500"/>
      <c r="FPS17" s="500"/>
      <c r="FPT17" s="500"/>
      <c r="FPU17" s="500"/>
      <c r="FPV17" s="500"/>
      <c r="FPW17" s="500"/>
      <c r="FPX17" s="500"/>
      <c r="FPY17" s="500"/>
      <c r="FPZ17" s="500"/>
      <c r="FQA17" s="500"/>
      <c r="FQB17" s="500"/>
      <c r="FQC17" s="500"/>
      <c r="FQD17" s="500"/>
      <c r="FQE17" s="500"/>
      <c r="FQF17" s="500"/>
      <c r="FQG17" s="500"/>
      <c r="FQH17" s="500"/>
      <c r="FQI17" s="500"/>
      <c r="FQJ17" s="500"/>
      <c r="FQK17" s="500"/>
      <c r="FQL17" s="500"/>
      <c r="FQM17" s="500"/>
      <c r="FQN17" s="500"/>
      <c r="FQO17" s="500"/>
      <c r="FQP17" s="500"/>
      <c r="FQQ17" s="500"/>
      <c r="FQR17" s="500"/>
      <c r="FQS17" s="500"/>
      <c r="FQT17" s="500"/>
      <c r="FQU17" s="500"/>
      <c r="FQV17" s="500"/>
      <c r="FQW17" s="500"/>
      <c r="FQX17" s="500"/>
      <c r="FQY17" s="500"/>
      <c r="FQZ17" s="500"/>
      <c r="FRA17" s="500"/>
      <c r="FRB17" s="500"/>
      <c r="FRC17" s="500"/>
      <c r="FRD17" s="500"/>
      <c r="FRE17" s="500"/>
      <c r="FRF17" s="500"/>
      <c r="FRG17" s="500"/>
      <c r="FRH17" s="500"/>
      <c r="FRI17" s="500"/>
      <c r="FRJ17" s="500"/>
      <c r="FRK17" s="500"/>
      <c r="FRL17" s="500"/>
      <c r="FRM17" s="500"/>
      <c r="FRN17" s="500"/>
      <c r="FRO17" s="500"/>
      <c r="FRP17" s="500"/>
      <c r="FRQ17" s="500"/>
      <c r="FRR17" s="500"/>
      <c r="FRS17" s="500"/>
      <c r="FRT17" s="500"/>
      <c r="FRU17" s="500"/>
      <c r="FRV17" s="500"/>
      <c r="FRW17" s="500"/>
      <c r="FRX17" s="500"/>
      <c r="FRY17" s="500"/>
      <c r="FRZ17" s="500"/>
      <c r="FSA17" s="500"/>
      <c r="FSB17" s="500"/>
      <c r="FSC17" s="500"/>
      <c r="FSD17" s="500"/>
      <c r="FSE17" s="500"/>
      <c r="FSF17" s="500"/>
      <c r="FSG17" s="500"/>
      <c r="FSH17" s="500"/>
      <c r="FSI17" s="500"/>
      <c r="FSJ17" s="500"/>
      <c r="FSK17" s="500"/>
      <c r="FSL17" s="500"/>
      <c r="FSM17" s="500"/>
      <c r="FSN17" s="500"/>
      <c r="FSO17" s="500"/>
      <c r="FSP17" s="500"/>
      <c r="FSQ17" s="500"/>
      <c r="FSR17" s="500"/>
      <c r="FSS17" s="500"/>
      <c r="FST17" s="500"/>
      <c r="FSU17" s="500"/>
      <c r="FSV17" s="500"/>
      <c r="FSW17" s="500"/>
      <c r="FSX17" s="500"/>
      <c r="FSY17" s="500"/>
      <c r="FSZ17" s="500"/>
      <c r="FTA17" s="500"/>
      <c r="FTB17" s="500"/>
      <c r="FTC17" s="500"/>
      <c r="FTD17" s="500"/>
      <c r="FTE17" s="500"/>
      <c r="FTF17" s="500"/>
      <c r="FTG17" s="500"/>
      <c r="FTH17" s="500"/>
      <c r="FTI17" s="500"/>
      <c r="FTJ17" s="500"/>
      <c r="FTK17" s="500"/>
      <c r="FTL17" s="500"/>
      <c r="FTM17" s="500"/>
      <c r="FTN17" s="500"/>
      <c r="FTO17" s="500"/>
      <c r="FTP17" s="500"/>
      <c r="FTQ17" s="500"/>
      <c r="FTR17" s="500"/>
      <c r="FTS17" s="500"/>
      <c r="FTT17" s="500"/>
      <c r="FTU17" s="500"/>
      <c r="FTV17" s="500"/>
      <c r="FTW17" s="500"/>
      <c r="FTX17" s="500"/>
      <c r="FTY17" s="500"/>
      <c r="FTZ17" s="500"/>
      <c r="FUA17" s="500"/>
      <c r="FUB17" s="500"/>
      <c r="FUC17" s="500"/>
      <c r="FUD17" s="500"/>
      <c r="FUE17" s="500"/>
      <c r="FUF17" s="500"/>
      <c r="FUG17" s="500"/>
      <c r="FUH17" s="500"/>
      <c r="FUI17" s="500"/>
      <c r="FUJ17" s="500"/>
      <c r="FUK17" s="500"/>
      <c r="FUL17" s="500"/>
      <c r="FUM17" s="500"/>
      <c r="FUN17" s="500"/>
      <c r="FUO17" s="500"/>
      <c r="FUP17" s="500"/>
      <c r="FUQ17" s="500"/>
      <c r="FUR17" s="500"/>
      <c r="FUS17" s="500"/>
      <c r="FUT17" s="500"/>
      <c r="FUU17" s="500"/>
      <c r="FUV17" s="500"/>
      <c r="FUW17" s="500"/>
      <c r="FUX17" s="500"/>
      <c r="FUY17" s="500"/>
      <c r="FUZ17" s="500"/>
      <c r="FVA17" s="500"/>
      <c r="FVB17" s="500"/>
      <c r="FVC17" s="500"/>
      <c r="FVD17" s="500"/>
      <c r="FVE17" s="500"/>
      <c r="FVF17" s="500"/>
      <c r="FVG17" s="500"/>
      <c r="FVH17" s="500"/>
      <c r="FVI17" s="500"/>
      <c r="FVJ17" s="500"/>
      <c r="FVK17" s="500"/>
      <c r="FVL17" s="500"/>
      <c r="FVM17" s="500"/>
      <c r="FVN17" s="500"/>
      <c r="FVO17" s="500"/>
      <c r="FVP17" s="500"/>
      <c r="FVQ17" s="500"/>
      <c r="FVR17" s="500"/>
      <c r="FVS17" s="500"/>
      <c r="FVT17" s="500"/>
      <c r="FVU17" s="500"/>
      <c r="FVV17" s="500"/>
      <c r="FVW17" s="500"/>
      <c r="FVX17" s="500"/>
      <c r="FVY17" s="500"/>
      <c r="FVZ17" s="500"/>
      <c r="FWA17" s="500"/>
      <c r="FWB17" s="500"/>
      <c r="FWC17" s="500"/>
      <c r="FWD17" s="500"/>
      <c r="FWE17" s="500"/>
      <c r="FWF17" s="500"/>
      <c r="FWG17" s="500"/>
      <c r="FWH17" s="500"/>
      <c r="FWI17" s="500"/>
      <c r="FWJ17" s="500"/>
      <c r="FWK17" s="500"/>
      <c r="FWL17" s="500"/>
      <c r="FWM17" s="500"/>
      <c r="FWN17" s="500"/>
      <c r="FWO17" s="500"/>
      <c r="FWP17" s="500"/>
      <c r="FWQ17" s="500"/>
      <c r="FWR17" s="500"/>
      <c r="FWS17" s="500"/>
      <c r="FWT17" s="500"/>
      <c r="FWU17" s="500"/>
      <c r="FWV17" s="500"/>
      <c r="FWW17" s="500"/>
      <c r="FWX17" s="500"/>
      <c r="FWY17" s="500"/>
      <c r="FWZ17" s="500"/>
      <c r="FXA17" s="500"/>
      <c r="FXB17" s="500"/>
      <c r="FXC17" s="500"/>
      <c r="FXD17" s="500"/>
      <c r="FXE17" s="500"/>
      <c r="FXF17" s="500"/>
      <c r="FXG17" s="500"/>
      <c r="FXH17" s="500"/>
      <c r="FXI17" s="500"/>
      <c r="FXJ17" s="500"/>
      <c r="FXK17" s="500"/>
      <c r="FXL17" s="500"/>
      <c r="FXM17" s="500"/>
      <c r="FXN17" s="500"/>
      <c r="FXO17" s="500"/>
      <c r="FXP17" s="500"/>
      <c r="FXQ17" s="500"/>
      <c r="FXR17" s="500"/>
      <c r="FXS17" s="500"/>
      <c r="FXT17" s="500"/>
      <c r="FXU17" s="500"/>
      <c r="FXV17" s="500"/>
      <c r="FXW17" s="500"/>
      <c r="FXX17" s="500"/>
      <c r="FXY17" s="500"/>
      <c r="FXZ17" s="500"/>
      <c r="FYA17" s="500"/>
      <c r="FYB17" s="500"/>
      <c r="FYC17" s="500"/>
      <c r="FYD17" s="500"/>
      <c r="FYE17" s="500"/>
      <c r="FYF17" s="500"/>
      <c r="FYG17" s="500"/>
      <c r="FYH17" s="500"/>
      <c r="FYI17" s="500"/>
      <c r="FYJ17" s="500"/>
      <c r="FYK17" s="500"/>
      <c r="FYL17" s="500"/>
      <c r="FYM17" s="500"/>
      <c r="FYN17" s="500"/>
      <c r="FYO17" s="500"/>
      <c r="FYP17" s="500"/>
      <c r="FYQ17" s="500"/>
      <c r="FYR17" s="500"/>
      <c r="FYS17" s="500"/>
      <c r="FYT17" s="500"/>
      <c r="FYU17" s="500"/>
      <c r="FYV17" s="500"/>
      <c r="FYW17" s="500"/>
      <c r="FYX17" s="500"/>
      <c r="FYY17" s="500"/>
      <c r="FYZ17" s="500"/>
      <c r="FZA17" s="500"/>
      <c r="FZB17" s="500"/>
      <c r="FZC17" s="500"/>
      <c r="FZD17" s="500"/>
      <c r="FZE17" s="500"/>
      <c r="FZF17" s="500"/>
      <c r="FZG17" s="500"/>
      <c r="FZH17" s="500"/>
      <c r="FZI17" s="500"/>
      <c r="FZJ17" s="500"/>
      <c r="FZK17" s="500"/>
      <c r="FZL17" s="500"/>
      <c r="FZM17" s="500"/>
      <c r="FZN17" s="500"/>
      <c r="FZO17" s="500"/>
      <c r="FZP17" s="500"/>
      <c r="FZQ17" s="500"/>
      <c r="FZR17" s="500"/>
      <c r="FZS17" s="500"/>
      <c r="FZT17" s="500"/>
      <c r="FZU17" s="500"/>
      <c r="FZV17" s="500"/>
      <c r="FZW17" s="500"/>
      <c r="FZX17" s="500"/>
      <c r="FZY17" s="500"/>
      <c r="FZZ17" s="500"/>
      <c r="GAA17" s="500"/>
      <c r="GAB17" s="500"/>
      <c r="GAC17" s="500"/>
      <c r="GAD17" s="500"/>
      <c r="GAE17" s="500"/>
      <c r="GAF17" s="500"/>
      <c r="GAG17" s="500"/>
      <c r="GAH17" s="500"/>
      <c r="GAI17" s="500"/>
      <c r="GAJ17" s="500"/>
      <c r="GAK17" s="500"/>
      <c r="GAL17" s="500"/>
      <c r="GAM17" s="500"/>
      <c r="GAN17" s="500"/>
      <c r="GAO17" s="500"/>
      <c r="GAP17" s="500"/>
      <c r="GAQ17" s="500"/>
      <c r="GAR17" s="500"/>
      <c r="GAS17" s="500"/>
      <c r="GAT17" s="500"/>
      <c r="GAU17" s="500"/>
      <c r="GAV17" s="500"/>
      <c r="GAW17" s="500"/>
      <c r="GAX17" s="500"/>
      <c r="GAY17" s="500"/>
      <c r="GAZ17" s="500"/>
      <c r="GBA17" s="500"/>
      <c r="GBB17" s="500"/>
      <c r="GBC17" s="500"/>
      <c r="GBD17" s="500"/>
      <c r="GBE17" s="500"/>
      <c r="GBF17" s="500"/>
      <c r="GBG17" s="500"/>
      <c r="GBH17" s="500"/>
      <c r="GBI17" s="500"/>
      <c r="GBJ17" s="500"/>
      <c r="GBK17" s="500"/>
      <c r="GBL17" s="500"/>
      <c r="GBM17" s="500"/>
      <c r="GBN17" s="500"/>
      <c r="GBO17" s="500"/>
      <c r="GBP17" s="500"/>
      <c r="GBQ17" s="500"/>
      <c r="GBR17" s="500"/>
      <c r="GBS17" s="500"/>
      <c r="GBT17" s="500"/>
      <c r="GBU17" s="500"/>
      <c r="GBV17" s="500"/>
      <c r="GBW17" s="500"/>
      <c r="GBX17" s="500"/>
      <c r="GBY17" s="500"/>
      <c r="GBZ17" s="500"/>
      <c r="GCA17" s="500"/>
      <c r="GCB17" s="500"/>
      <c r="GCC17" s="500"/>
      <c r="GCD17" s="500"/>
      <c r="GCE17" s="500"/>
      <c r="GCF17" s="500"/>
      <c r="GCG17" s="500"/>
      <c r="GCH17" s="500"/>
      <c r="GCI17" s="500"/>
      <c r="GCJ17" s="500"/>
      <c r="GCK17" s="500"/>
      <c r="GCL17" s="500"/>
      <c r="GCM17" s="500"/>
      <c r="GCN17" s="500"/>
      <c r="GCO17" s="500"/>
      <c r="GCP17" s="500"/>
      <c r="GCQ17" s="500"/>
      <c r="GCR17" s="500"/>
      <c r="GCS17" s="500"/>
      <c r="GCT17" s="500"/>
      <c r="GCU17" s="500"/>
      <c r="GCV17" s="500"/>
      <c r="GCW17" s="500"/>
      <c r="GCX17" s="500"/>
      <c r="GCY17" s="500"/>
      <c r="GCZ17" s="500"/>
      <c r="GDA17" s="500"/>
      <c r="GDB17" s="500"/>
      <c r="GDC17" s="500"/>
      <c r="GDD17" s="500"/>
      <c r="GDE17" s="500"/>
      <c r="GDF17" s="500"/>
      <c r="GDG17" s="500"/>
      <c r="GDH17" s="500"/>
      <c r="GDI17" s="500"/>
      <c r="GDJ17" s="500"/>
      <c r="GDK17" s="500"/>
      <c r="GDL17" s="500"/>
      <c r="GDM17" s="500"/>
      <c r="GDN17" s="500"/>
      <c r="GDO17" s="500"/>
      <c r="GDP17" s="500"/>
      <c r="GDQ17" s="500"/>
      <c r="GDR17" s="500"/>
      <c r="GDS17" s="500"/>
      <c r="GDT17" s="500"/>
      <c r="GDU17" s="500"/>
      <c r="GDV17" s="500"/>
      <c r="GDW17" s="500"/>
      <c r="GDX17" s="500"/>
      <c r="GDY17" s="500"/>
      <c r="GDZ17" s="500"/>
      <c r="GEA17" s="500"/>
      <c r="GEB17" s="500"/>
      <c r="GEC17" s="500"/>
      <c r="GED17" s="500"/>
      <c r="GEE17" s="500"/>
      <c r="GEF17" s="500"/>
      <c r="GEG17" s="500"/>
      <c r="GEH17" s="500"/>
      <c r="GEI17" s="500"/>
      <c r="GEJ17" s="500"/>
      <c r="GEK17" s="500"/>
      <c r="GEL17" s="500"/>
      <c r="GEM17" s="500"/>
      <c r="GEN17" s="500"/>
      <c r="GEO17" s="500"/>
      <c r="GEP17" s="500"/>
      <c r="GEQ17" s="500"/>
      <c r="GER17" s="500"/>
      <c r="GES17" s="500"/>
      <c r="GET17" s="500"/>
      <c r="GEU17" s="500"/>
      <c r="GEV17" s="500"/>
      <c r="GEW17" s="500"/>
      <c r="GEX17" s="500"/>
      <c r="GEY17" s="500"/>
      <c r="GEZ17" s="500"/>
      <c r="GFA17" s="500"/>
      <c r="GFB17" s="500"/>
      <c r="GFC17" s="500"/>
      <c r="GFD17" s="500"/>
      <c r="GFE17" s="500"/>
      <c r="GFF17" s="500"/>
      <c r="GFG17" s="500"/>
      <c r="GFH17" s="500"/>
      <c r="GFI17" s="500"/>
      <c r="GFJ17" s="500"/>
      <c r="GFK17" s="500"/>
      <c r="GFL17" s="500"/>
      <c r="GFM17" s="500"/>
      <c r="GFN17" s="500"/>
      <c r="GFO17" s="500"/>
      <c r="GFP17" s="500"/>
      <c r="GFQ17" s="500"/>
      <c r="GFR17" s="500"/>
      <c r="GFS17" s="500"/>
      <c r="GFT17" s="500"/>
      <c r="GFU17" s="500"/>
      <c r="GFV17" s="500"/>
      <c r="GFW17" s="500"/>
      <c r="GFX17" s="500"/>
      <c r="GFY17" s="500"/>
      <c r="GFZ17" s="500"/>
      <c r="GGA17" s="500"/>
      <c r="GGB17" s="500"/>
      <c r="GGC17" s="500"/>
      <c r="GGD17" s="500"/>
      <c r="GGE17" s="500"/>
      <c r="GGF17" s="500"/>
      <c r="GGG17" s="500"/>
      <c r="GGH17" s="500"/>
      <c r="GGI17" s="500"/>
      <c r="GGJ17" s="500"/>
      <c r="GGK17" s="500"/>
      <c r="GGL17" s="500"/>
      <c r="GGM17" s="500"/>
      <c r="GGN17" s="500"/>
      <c r="GGO17" s="500"/>
      <c r="GGP17" s="500"/>
      <c r="GGQ17" s="500"/>
      <c r="GGR17" s="500"/>
      <c r="GGS17" s="500"/>
      <c r="GGT17" s="500"/>
      <c r="GGU17" s="500"/>
      <c r="GGV17" s="500"/>
      <c r="GGW17" s="500"/>
      <c r="GGX17" s="500"/>
      <c r="GGY17" s="500"/>
      <c r="GGZ17" s="500"/>
      <c r="GHA17" s="500"/>
      <c r="GHB17" s="500"/>
      <c r="GHC17" s="500"/>
      <c r="GHD17" s="500"/>
      <c r="GHE17" s="500"/>
      <c r="GHF17" s="500"/>
      <c r="GHG17" s="500"/>
      <c r="GHH17" s="500"/>
      <c r="GHI17" s="500"/>
      <c r="GHJ17" s="500"/>
      <c r="GHK17" s="500"/>
      <c r="GHL17" s="500"/>
      <c r="GHM17" s="500"/>
      <c r="GHN17" s="500"/>
      <c r="GHO17" s="500"/>
      <c r="GHP17" s="500"/>
      <c r="GHQ17" s="500"/>
      <c r="GHR17" s="500"/>
      <c r="GHS17" s="500"/>
      <c r="GHT17" s="500"/>
      <c r="GHU17" s="500"/>
      <c r="GHV17" s="500"/>
      <c r="GHW17" s="500"/>
      <c r="GHX17" s="500"/>
      <c r="GHY17" s="500"/>
      <c r="GHZ17" s="500"/>
      <c r="GIA17" s="500"/>
      <c r="GIB17" s="500"/>
      <c r="GIC17" s="500"/>
      <c r="GID17" s="500"/>
      <c r="GIE17" s="500"/>
      <c r="GIF17" s="500"/>
      <c r="GIG17" s="500"/>
      <c r="GIH17" s="500"/>
      <c r="GII17" s="500"/>
      <c r="GIJ17" s="500"/>
      <c r="GIK17" s="500"/>
      <c r="GIL17" s="500"/>
      <c r="GIM17" s="500"/>
      <c r="GIN17" s="500"/>
      <c r="GIO17" s="500"/>
      <c r="GIP17" s="500"/>
      <c r="GIQ17" s="500"/>
      <c r="GIR17" s="500"/>
      <c r="GIS17" s="500"/>
      <c r="GIT17" s="500"/>
      <c r="GIU17" s="500"/>
      <c r="GIV17" s="500"/>
      <c r="GIW17" s="500"/>
      <c r="GIX17" s="500"/>
      <c r="GIY17" s="500"/>
      <c r="GIZ17" s="500"/>
      <c r="GJA17" s="500"/>
      <c r="GJB17" s="500"/>
      <c r="GJC17" s="500"/>
      <c r="GJD17" s="500"/>
      <c r="GJE17" s="500"/>
      <c r="GJF17" s="500"/>
      <c r="GJG17" s="500"/>
      <c r="GJH17" s="500"/>
      <c r="GJI17" s="500"/>
      <c r="GJJ17" s="500"/>
      <c r="GJK17" s="500"/>
      <c r="GJL17" s="500"/>
      <c r="GJM17" s="500"/>
      <c r="GJN17" s="500"/>
      <c r="GJO17" s="500"/>
      <c r="GJP17" s="500"/>
      <c r="GJQ17" s="500"/>
      <c r="GJR17" s="500"/>
      <c r="GJS17" s="500"/>
      <c r="GJT17" s="500"/>
      <c r="GJU17" s="500"/>
      <c r="GJV17" s="500"/>
      <c r="GJW17" s="500"/>
      <c r="GJX17" s="500"/>
      <c r="GJY17" s="500"/>
      <c r="GJZ17" s="500"/>
      <c r="GKA17" s="500"/>
      <c r="GKB17" s="500"/>
      <c r="GKC17" s="500"/>
      <c r="GKD17" s="500"/>
      <c r="GKE17" s="500"/>
      <c r="GKF17" s="500"/>
      <c r="GKG17" s="500"/>
      <c r="GKH17" s="500"/>
      <c r="GKI17" s="500"/>
      <c r="GKJ17" s="500"/>
      <c r="GKK17" s="500"/>
      <c r="GKL17" s="500"/>
      <c r="GKM17" s="500"/>
      <c r="GKN17" s="500"/>
      <c r="GKO17" s="500"/>
      <c r="GKP17" s="500"/>
      <c r="GKQ17" s="500"/>
      <c r="GKR17" s="500"/>
      <c r="GKS17" s="500"/>
      <c r="GKT17" s="500"/>
      <c r="GKU17" s="500"/>
      <c r="GKV17" s="500"/>
      <c r="GKW17" s="500"/>
      <c r="GKX17" s="500"/>
      <c r="GKY17" s="500"/>
      <c r="GKZ17" s="500"/>
      <c r="GLA17" s="500"/>
      <c r="GLB17" s="500"/>
      <c r="GLC17" s="500"/>
      <c r="GLD17" s="500"/>
      <c r="GLE17" s="500"/>
      <c r="GLF17" s="500"/>
      <c r="GLG17" s="500"/>
      <c r="GLH17" s="500"/>
      <c r="GLI17" s="500"/>
      <c r="GLJ17" s="500"/>
      <c r="GLK17" s="500"/>
      <c r="GLL17" s="500"/>
      <c r="GLM17" s="500"/>
      <c r="GLN17" s="500"/>
      <c r="GLO17" s="500"/>
      <c r="GLP17" s="500"/>
      <c r="GLQ17" s="500"/>
      <c r="GLR17" s="500"/>
      <c r="GLS17" s="500"/>
      <c r="GLT17" s="500"/>
      <c r="GLU17" s="500"/>
      <c r="GLV17" s="500"/>
      <c r="GLW17" s="500"/>
      <c r="GLX17" s="500"/>
      <c r="GLY17" s="500"/>
      <c r="GLZ17" s="500"/>
      <c r="GMA17" s="500"/>
      <c r="GMB17" s="500"/>
      <c r="GMC17" s="500"/>
      <c r="GMD17" s="500"/>
      <c r="GME17" s="500"/>
      <c r="GMF17" s="500"/>
      <c r="GMG17" s="500"/>
      <c r="GMH17" s="500"/>
      <c r="GMI17" s="500"/>
      <c r="GMJ17" s="500"/>
      <c r="GMK17" s="500"/>
      <c r="GML17" s="500"/>
      <c r="GMM17" s="500"/>
      <c r="GMN17" s="500"/>
      <c r="GMO17" s="500"/>
      <c r="GMP17" s="500"/>
      <c r="GMQ17" s="500"/>
      <c r="GMR17" s="500"/>
      <c r="GMS17" s="500"/>
      <c r="GMT17" s="500"/>
      <c r="GMU17" s="500"/>
      <c r="GMV17" s="500"/>
      <c r="GMW17" s="500"/>
      <c r="GMX17" s="500"/>
      <c r="GMY17" s="500"/>
      <c r="GMZ17" s="500"/>
      <c r="GNA17" s="500"/>
      <c r="GNB17" s="500"/>
      <c r="GNC17" s="500"/>
      <c r="GND17" s="500"/>
      <c r="GNE17" s="500"/>
      <c r="GNF17" s="500"/>
      <c r="GNG17" s="500"/>
      <c r="GNH17" s="500"/>
      <c r="GNI17" s="500"/>
      <c r="GNJ17" s="500"/>
      <c r="GNK17" s="500"/>
      <c r="GNL17" s="500"/>
      <c r="GNM17" s="500"/>
      <c r="GNN17" s="500"/>
      <c r="GNO17" s="500"/>
      <c r="GNP17" s="500"/>
      <c r="GNQ17" s="500"/>
      <c r="GNR17" s="500"/>
      <c r="GNS17" s="500"/>
      <c r="GNT17" s="500"/>
      <c r="GNU17" s="500"/>
      <c r="GNV17" s="500"/>
      <c r="GNW17" s="500"/>
      <c r="GNX17" s="500"/>
      <c r="GNY17" s="500"/>
      <c r="GNZ17" s="500"/>
      <c r="GOA17" s="500"/>
      <c r="GOB17" s="500"/>
      <c r="GOC17" s="500"/>
      <c r="GOD17" s="500"/>
      <c r="GOE17" s="500"/>
      <c r="GOF17" s="500"/>
      <c r="GOG17" s="500"/>
      <c r="GOH17" s="500"/>
      <c r="GOI17" s="500"/>
      <c r="GOJ17" s="500"/>
      <c r="GOK17" s="500"/>
      <c r="GOL17" s="500"/>
      <c r="GOM17" s="500"/>
      <c r="GON17" s="500"/>
      <c r="GOO17" s="500"/>
      <c r="GOP17" s="500"/>
      <c r="GOQ17" s="500"/>
      <c r="GOR17" s="500"/>
      <c r="GOS17" s="500"/>
      <c r="GOT17" s="500"/>
      <c r="GOU17" s="500"/>
      <c r="GOV17" s="500"/>
      <c r="GOW17" s="500"/>
      <c r="GOX17" s="500"/>
      <c r="GOY17" s="500"/>
      <c r="GOZ17" s="500"/>
      <c r="GPA17" s="500"/>
      <c r="GPB17" s="500"/>
      <c r="GPC17" s="500"/>
      <c r="GPD17" s="500"/>
      <c r="GPE17" s="500"/>
      <c r="GPF17" s="500"/>
      <c r="GPG17" s="500"/>
      <c r="GPH17" s="500"/>
      <c r="GPI17" s="500"/>
      <c r="GPJ17" s="500"/>
      <c r="GPK17" s="500"/>
      <c r="GPL17" s="500"/>
      <c r="GPM17" s="500"/>
      <c r="GPN17" s="500"/>
      <c r="GPO17" s="500"/>
      <c r="GPP17" s="500"/>
      <c r="GPQ17" s="500"/>
      <c r="GPR17" s="500"/>
      <c r="GPS17" s="500"/>
      <c r="GPT17" s="500"/>
      <c r="GPU17" s="500"/>
      <c r="GPV17" s="500"/>
      <c r="GPW17" s="500"/>
      <c r="GPX17" s="500"/>
      <c r="GPY17" s="500"/>
      <c r="GPZ17" s="500"/>
      <c r="GQA17" s="500"/>
      <c r="GQB17" s="500"/>
      <c r="GQC17" s="500"/>
      <c r="GQD17" s="500"/>
      <c r="GQE17" s="500"/>
      <c r="GQF17" s="500"/>
      <c r="GQG17" s="500"/>
      <c r="GQH17" s="500"/>
      <c r="GQI17" s="500"/>
      <c r="GQJ17" s="500"/>
      <c r="GQK17" s="500"/>
      <c r="GQL17" s="500"/>
      <c r="GQM17" s="500"/>
      <c r="GQN17" s="500"/>
      <c r="GQO17" s="500"/>
      <c r="GQP17" s="500"/>
      <c r="GQQ17" s="500"/>
      <c r="GQR17" s="500"/>
      <c r="GQS17" s="500"/>
      <c r="GQT17" s="500"/>
      <c r="GQU17" s="500"/>
      <c r="GQV17" s="500"/>
      <c r="GQW17" s="500"/>
      <c r="GQX17" s="500"/>
      <c r="GQY17" s="500"/>
      <c r="GQZ17" s="500"/>
      <c r="GRA17" s="500"/>
      <c r="GRB17" s="500"/>
      <c r="GRC17" s="500"/>
      <c r="GRD17" s="500"/>
      <c r="GRE17" s="500"/>
      <c r="GRF17" s="500"/>
      <c r="GRG17" s="500"/>
      <c r="GRH17" s="500"/>
      <c r="GRI17" s="500"/>
      <c r="GRJ17" s="500"/>
      <c r="GRK17" s="500"/>
      <c r="GRL17" s="500"/>
      <c r="GRM17" s="500"/>
      <c r="GRN17" s="500"/>
      <c r="GRO17" s="500"/>
      <c r="GRP17" s="500"/>
      <c r="GRQ17" s="500"/>
      <c r="GRR17" s="500"/>
      <c r="GRS17" s="500"/>
      <c r="GRT17" s="500"/>
      <c r="GRU17" s="500"/>
      <c r="GRV17" s="500"/>
      <c r="GRW17" s="500"/>
      <c r="GRX17" s="500"/>
      <c r="GRY17" s="500"/>
      <c r="GRZ17" s="500"/>
      <c r="GSA17" s="500"/>
      <c r="GSB17" s="500"/>
      <c r="GSC17" s="500"/>
      <c r="GSD17" s="500"/>
      <c r="GSE17" s="500"/>
      <c r="GSF17" s="500"/>
      <c r="GSG17" s="500"/>
      <c r="GSH17" s="500"/>
      <c r="GSI17" s="500"/>
      <c r="GSJ17" s="500"/>
      <c r="GSK17" s="500"/>
      <c r="GSL17" s="500"/>
      <c r="GSM17" s="500"/>
      <c r="GSN17" s="500"/>
      <c r="GSO17" s="500"/>
      <c r="GSP17" s="500"/>
      <c r="GSQ17" s="500"/>
      <c r="GSR17" s="500"/>
      <c r="GSS17" s="500"/>
      <c r="GST17" s="500"/>
      <c r="GSU17" s="500"/>
      <c r="GSV17" s="500"/>
      <c r="GSW17" s="500"/>
      <c r="GSX17" s="500"/>
      <c r="GSY17" s="500"/>
      <c r="GSZ17" s="500"/>
      <c r="GTA17" s="500"/>
      <c r="GTB17" s="500"/>
      <c r="GTC17" s="500"/>
      <c r="GTD17" s="500"/>
      <c r="GTE17" s="500"/>
      <c r="GTF17" s="500"/>
      <c r="GTG17" s="500"/>
      <c r="GTH17" s="500"/>
      <c r="GTI17" s="500"/>
      <c r="GTJ17" s="500"/>
      <c r="GTK17" s="500"/>
      <c r="GTL17" s="500"/>
      <c r="GTM17" s="500"/>
      <c r="GTN17" s="500"/>
      <c r="GTO17" s="500"/>
      <c r="GTP17" s="500"/>
      <c r="GTQ17" s="500"/>
      <c r="GTR17" s="500"/>
      <c r="GTS17" s="500"/>
      <c r="GTT17" s="500"/>
      <c r="GTU17" s="500"/>
      <c r="GTV17" s="500"/>
      <c r="GTW17" s="500"/>
      <c r="GTX17" s="500"/>
      <c r="GTY17" s="500"/>
      <c r="GTZ17" s="500"/>
      <c r="GUA17" s="500"/>
      <c r="GUB17" s="500"/>
      <c r="GUC17" s="500"/>
      <c r="GUD17" s="500"/>
      <c r="GUE17" s="500"/>
      <c r="GUF17" s="500"/>
      <c r="GUG17" s="500"/>
      <c r="GUH17" s="500"/>
      <c r="GUI17" s="500"/>
      <c r="GUJ17" s="500"/>
      <c r="GUK17" s="500"/>
      <c r="GUL17" s="500"/>
      <c r="GUM17" s="500"/>
      <c r="GUN17" s="500"/>
      <c r="GUO17" s="500"/>
      <c r="GUP17" s="500"/>
      <c r="GUQ17" s="500"/>
      <c r="GUR17" s="500"/>
      <c r="GUS17" s="500"/>
      <c r="GUT17" s="500"/>
      <c r="GUU17" s="500"/>
      <c r="GUV17" s="500"/>
      <c r="GUW17" s="500"/>
      <c r="GUX17" s="500"/>
      <c r="GUY17" s="500"/>
      <c r="GUZ17" s="500"/>
      <c r="GVA17" s="500"/>
      <c r="GVB17" s="500"/>
      <c r="GVC17" s="500"/>
      <c r="GVD17" s="500"/>
      <c r="GVE17" s="500"/>
      <c r="GVF17" s="500"/>
      <c r="GVG17" s="500"/>
      <c r="GVH17" s="500"/>
      <c r="GVI17" s="500"/>
      <c r="GVJ17" s="500"/>
      <c r="GVK17" s="500"/>
      <c r="GVL17" s="500"/>
      <c r="GVM17" s="500"/>
      <c r="GVN17" s="500"/>
      <c r="GVO17" s="500"/>
      <c r="GVP17" s="500"/>
      <c r="GVQ17" s="500"/>
      <c r="GVR17" s="500"/>
      <c r="GVS17" s="500"/>
      <c r="GVT17" s="500"/>
      <c r="GVU17" s="500"/>
      <c r="GVV17" s="500"/>
      <c r="GVW17" s="500"/>
      <c r="GVX17" s="500"/>
      <c r="GVY17" s="500"/>
      <c r="GVZ17" s="500"/>
      <c r="GWA17" s="500"/>
      <c r="GWB17" s="500"/>
      <c r="GWC17" s="500"/>
      <c r="GWD17" s="500"/>
      <c r="GWE17" s="500"/>
      <c r="GWF17" s="500"/>
      <c r="GWG17" s="500"/>
      <c r="GWH17" s="500"/>
      <c r="GWI17" s="500"/>
      <c r="GWJ17" s="500"/>
      <c r="GWK17" s="500"/>
      <c r="GWL17" s="500"/>
      <c r="GWM17" s="500"/>
      <c r="GWN17" s="500"/>
      <c r="GWO17" s="500"/>
      <c r="GWP17" s="500"/>
      <c r="GWQ17" s="500"/>
      <c r="GWR17" s="500"/>
      <c r="GWS17" s="500"/>
      <c r="GWT17" s="500"/>
      <c r="GWU17" s="500"/>
      <c r="GWV17" s="500"/>
      <c r="GWW17" s="500"/>
      <c r="GWX17" s="500"/>
      <c r="GWY17" s="500"/>
      <c r="GWZ17" s="500"/>
      <c r="GXA17" s="500"/>
      <c r="GXB17" s="500"/>
      <c r="GXC17" s="500"/>
      <c r="GXD17" s="500"/>
      <c r="GXE17" s="500"/>
      <c r="GXF17" s="500"/>
      <c r="GXG17" s="500"/>
      <c r="GXH17" s="500"/>
      <c r="GXI17" s="500"/>
      <c r="GXJ17" s="500"/>
      <c r="GXK17" s="500"/>
      <c r="GXL17" s="500"/>
      <c r="GXM17" s="500"/>
      <c r="GXN17" s="500"/>
      <c r="GXO17" s="500"/>
      <c r="GXP17" s="500"/>
      <c r="GXQ17" s="500"/>
      <c r="GXR17" s="500"/>
      <c r="GXS17" s="500"/>
      <c r="GXT17" s="500"/>
      <c r="GXU17" s="500"/>
      <c r="GXV17" s="500"/>
      <c r="GXW17" s="500"/>
      <c r="GXX17" s="500"/>
      <c r="GXY17" s="500"/>
      <c r="GXZ17" s="500"/>
      <c r="GYA17" s="500"/>
      <c r="GYB17" s="500"/>
      <c r="GYC17" s="500"/>
      <c r="GYD17" s="500"/>
      <c r="GYE17" s="500"/>
      <c r="GYF17" s="500"/>
      <c r="GYG17" s="500"/>
      <c r="GYH17" s="500"/>
      <c r="GYI17" s="500"/>
      <c r="GYJ17" s="500"/>
      <c r="GYK17" s="500"/>
      <c r="GYL17" s="500"/>
      <c r="GYM17" s="500"/>
      <c r="GYN17" s="500"/>
      <c r="GYO17" s="500"/>
      <c r="GYP17" s="500"/>
      <c r="GYQ17" s="500"/>
      <c r="GYR17" s="500"/>
      <c r="GYS17" s="500"/>
      <c r="GYT17" s="500"/>
      <c r="GYU17" s="500"/>
      <c r="GYV17" s="500"/>
      <c r="GYW17" s="500"/>
      <c r="GYX17" s="500"/>
      <c r="GYY17" s="500"/>
      <c r="GYZ17" s="500"/>
      <c r="GZA17" s="500"/>
      <c r="GZB17" s="500"/>
      <c r="GZC17" s="500"/>
      <c r="GZD17" s="500"/>
      <c r="GZE17" s="500"/>
      <c r="GZF17" s="500"/>
      <c r="GZG17" s="500"/>
      <c r="GZH17" s="500"/>
      <c r="GZI17" s="500"/>
      <c r="GZJ17" s="500"/>
      <c r="GZK17" s="500"/>
      <c r="GZL17" s="500"/>
      <c r="GZM17" s="500"/>
      <c r="GZN17" s="500"/>
      <c r="GZO17" s="500"/>
      <c r="GZP17" s="500"/>
      <c r="GZQ17" s="500"/>
      <c r="GZR17" s="500"/>
      <c r="GZS17" s="500"/>
      <c r="GZT17" s="500"/>
      <c r="GZU17" s="500"/>
      <c r="GZV17" s="500"/>
      <c r="GZW17" s="500"/>
      <c r="GZX17" s="500"/>
      <c r="GZY17" s="500"/>
      <c r="GZZ17" s="500"/>
      <c r="HAA17" s="500"/>
      <c r="HAB17" s="500"/>
      <c r="HAC17" s="500"/>
      <c r="HAD17" s="500"/>
      <c r="HAE17" s="500"/>
      <c r="HAF17" s="500"/>
      <c r="HAG17" s="500"/>
      <c r="HAH17" s="500"/>
      <c r="HAI17" s="500"/>
      <c r="HAJ17" s="500"/>
      <c r="HAK17" s="500"/>
      <c r="HAL17" s="500"/>
      <c r="HAM17" s="500"/>
      <c r="HAN17" s="500"/>
      <c r="HAO17" s="500"/>
      <c r="HAP17" s="500"/>
      <c r="HAQ17" s="500"/>
      <c r="HAR17" s="500"/>
      <c r="HAS17" s="500"/>
      <c r="HAT17" s="500"/>
      <c r="HAU17" s="500"/>
      <c r="HAV17" s="500"/>
      <c r="HAW17" s="500"/>
      <c r="HAX17" s="500"/>
      <c r="HAY17" s="500"/>
      <c r="HAZ17" s="500"/>
      <c r="HBA17" s="500"/>
      <c r="HBB17" s="500"/>
      <c r="HBC17" s="500"/>
      <c r="HBD17" s="500"/>
      <c r="HBE17" s="500"/>
      <c r="HBF17" s="500"/>
      <c r="HBG17" s="500"/>
      <c r="HBH17" s="500"/>
      <c r="HBI17" s="500"/>
      <c r="HBJ17" s="500"/>
      <c r="HBK17" s="500"/>
      <c r="HBL17" s="500"/>
      <c r="HBM17" s="500"/>
      <c r="HBN17" s="500"/>
      <c r="HBO17" s="500"/>
      <c r="HBP17" s="500"/>
      <c r="HBQ17" s="500"/>
      <c r="HBR17" s="500"/>
      <c r="HBS17" s="500"/>
      <c r="HBT17" s="500"/>
      <c r="HBU17" s="500"/>
      <c r="HBV17" s="500"/>
      <c r="HBW17" s="500"/>
      <c r="HBX17" s="500"/>
      <c r="HBY17" s="500"/>
      <c r="HBZ17" s="500"/>
      <c r="HCA17" s="500"/>
      <c r="HCB17" s="500"/>
      <c r="HCC17" s="500"/>
      <c r="HCD17" s="500"/>
      <c r="HCE17" s="500"/>
      <c r="HCF17" s="500"/>
      <c r="HCG17" s="500"/>
      <c r="HCH17" s="500"/>
      <c r="HCI17" s="500"/>
      <c r="HCJ17" s="500"/>
      <c r="HCK17" s="500"/>
      <c r="HCL17" s="500"/>
      <c r="HCM17" s="500"/>
      <c r="HCN17" s="500"/>
      <c r="HCO17" s="500"/>
      <c r="HCP17" s="500"/>
      <c r="HCQ17" s="500"/>
      <c r="HCR17" s="500"/>
      <c r="HCS17" s="500"/>
      <c r="HCT17" s="500"/>
      <c r="HCU17" s="500"/>
      <c r="HCV17" s="500"/>
      <c r="HCW17" s="500"/>
      <c r="HCX17" s="500"/>
      <c r="HCY17" s="500"/>
      <c r="HCZ17" s="500"/>
      <c r="HDA17" s="500"/>
      <c r="HDB17" s="500"/>
      <c r="HDC17" s="500"/>
      <c r="HDD17" s="500"/>
      <c r="HDE17" s="500"/>
      <c r="HDF17" s="500"/>
      <c r="HDG17" s="500"/>
      <c r="HDH17" s="500"/>
      <c r="HDI17" s="500"/>
      <c r="HDJ17" s="500"/>
      <c r="HDK17" s="500"/>
      <c r="HDL17" s="500"/>
      <c r="HDM17" s="500"/>
      <c r="HDN17" s="500"/>
      <c r="HDO17" s="500"/>
      <c r="HDP17" s="500"/>
      <c r="HDQ17" s="500"/>
      <c r="HDR17" s="500"/>
      <c r="HDS17" s="500"/>
      <c r="HDT17" s="500"/>
      <c r="HDU17" s="500"/>
      <c r="HDV17" s="500"/>
      <c r="HDW17" s="500"/>
      <c r="HDX17" s="500"/>
      <c r="HDY17" s="500"/>
      <c r="HDZ17" s="500"/>
      <c r="HEA17" s="500"/>
      <c r="HEB17" s="500"/>
      <c r="HEC17" s="500"/>
      <c r="HED17" s="500"/>
      <c r="HEE17" s="500"/>
      <c r="HEF17" s="500"/>
      <c r="HEG17" s="500"/>
      <c r="HEH17" s="500"/>
      <c r="HEI17" s="500"/>
      <c r="HEJ17" s="500"/>
      <c r="HEK17" s="500"/>
      <c r="HEL17" s="500"/>
      <c r="HEM17" s="500"/>
      <c r="HEN17" s="500"/>
      <c r="HEO17" s="500"/>
      <c r="HEP17" s="500"/>
      <c r="HEQ17" s="500"/>
      <c r="HER17" s="500"/>
      <c r="HES17" s="500"/>
      <c r="HET17" s="500"/>
      <c r="HEU17" s="500"/>
      <c r="HEV17" s="500"/>
      <c r="HEW17" s="500"/>
      <c r="HEX17" s="500"/>
      <c r="HEY17" s="500"/>
      <c r="HEZ17" s="500"/>
      <c r="HFA17" s="500"/>
      <c r="HFB17" s="500"/>
      <c r="HFC17" s="500"/>
      <c r="HFD17" s="500"/>
      <c r="HFE17" s="500"/>
      <c r="HFF17" s="500"/>
      <c r="HFG17" s="500"/>
      <c r="HFH17" s="500"/>
      <c r="HFI17" s="500"/>
      <c r="HFJ17" s="500"/>
      <c r="HFK17" s="500"/>
      <c r="HFL17" s="500"/>
      <c r="HFM17" s="500"/>
      <c r="HFN17" s="500"/>
      <c r="HFO17" s="500"/>
      <c r="HFP17" s="500"/>
      <c r="HFQ17" s="500"/>
      <c r="HFR17" s="500"/>
      <c r="HFS17" s="500"/>
      <c r="HFT17" s="500"/>
      <c r="HFU17" s="500"/>
      <c r="HFV17" s="500"/>
      <c r="HFW17" s="500"/>
      <c r="HFX17" s="500"/>
      <c r="HFY17" s="500"/>
      <c r="HFZ17" s="500"/>
      <c r="HGA17" s="500"/>
      <c r="HGB17" s="500"/>
      <c r="HGC17" s="500"/>
      <c r="HGD17" s="500"/>
      <c r="HGE17" s="500"/>
      <c r="HGF17" s="500"/>
      <c r="HGG17" s="500"/>
      <c r="HGH17" s="500"/>
      <c r="HGI17" s="500"/>
      <c r="HGJ17" s="500"/>
      <c r="HGK17" s="500"/>
      <c r="HGL17" s="500"/>
      <c r="HGM17" s="500"/>
      <c r="HGN17" s="500"/>
      <c r="HGO17" s="500"/>
      <c r="HGP17" s="500"/>
      <c r="HGQ17" s="500"/>
      <c r="HGR17" s="500"/>
      <c r="HGS17" s="500"/>
      <c r="HGT17" s="500"/>
      <c r="HGU17" s="500"/>
      <c r="HGV17" s="500"/>
      <c r="HGW17" s="500"/>
      <c r="HGX17" s="500"/>
      <c r="HGY17" s="500"/>
      <c r="HGZ17" s="500"/>
      <c r="HHA17" s="500"/>
      <c r="HHB17" s="500"/>
      <c r="HHC17" s="500"/>
      <c r="HHD17" s="500"/>
      <c r="HHE17" s="500"/>
      <c r="HHF17" s="500"/>
      <c r="HHG17" s="500"/>
      <c r="HHH17" s="500"/>
      <c r="HHI17" s="500"/>
      <c r="HHJ17" s="500"/>
      <c r="HHK17" s="500"/>
      <c r="HHL17" s="500"/>
      <c r="HHM17" s="500"/>
      <c r="HHN17" s="500"/>
      <c r="HHO17" s="500"/>
      <c r="HHP17" s="500"/>
      <c r="HHQ17" s="500"/>
      <c r="HHR17" s="500"/>
      <c r="HHS17" s="500"/>
      <c r="HHT17" s="500"/>
      <c r="HHU17" s="500"/>
      <c r="HHV17" s="500"/>
      <c r="HHW17" s="500"/>
      <c r="HHX17" s="500"/>
      <c r="HHY17" s="500"/>
      <c r="HHZ17" s="500"/>
      <c r="HIA17" s="500"/>
      <c r="HIB17" s="500"/>
      <c r="HIC17" s="500"/>
      <c r="HID17" s="500"/>
      <c r="HIE17" s="500"/>
      <c r="HIF17" s="500"/>
      <c r="HIG17" s="500"/>
      <c r="HIH17" s="500"/>
      <c r="HII17" s="500"/>
      <c r="HIJ17" s="500"/>
      <c r="HIK17" s="500"/>
      <c r="HIL17" s="500"/>
      <c r="HIM17" s="500"/>
      <c r="HIN17" s="500"/>
      <c r="HIO17" s="500"/>
      <c r="HIP17" s="500"/>
      <c r="HIQ17" s="500"/>
      <c r="HIR17" s="500"/>
      <c r="HIS17" s="500"/>
      <c r="HIT17" s="500"/>
      <c r="HIU17" s="500"/>
      <c r="HIV17" s="500"/>
      <c r="HIW17" s="500"/>
      <c r="HIX17" s="500"/>
      <c r="HIY17" s="500"/>
      <c r="HIZ17" s="500"/>
      <c r="HJA17" s="500"/>
      <c r="HJB17" s="500"/>
      <c r="HJC17" s="500"/>
      <c r="HJD17" s="500"/>
      <c r="HJE17" s="500"/>
      <c r="HJF17" s="500"/>
      <c r="HJG17" s="500"/>
      <c r="HJH17" s="500"/>
      <c r="HJI17" s="500"/>
      <c r="HJJ17" s="500"/>
      <c r="HJK17" s="500"/>
      <c r="HJL17" s="500"/>
      <c r="HJM17" s="500"/>
      <c r="HJN17" s="500"/>
      <c r="HJO17" s="500"/>
      <c r="HJP17" s="500"/>
      <c r="HJQ17" s="500"/>
      <c r="HJR17" s="500"/>
      <c r="HJS17" s="500"/>
      <c r="HJT17" s="500"/>
      <c r="HJU17" s="500"/>
      <c r="HJV17" s="500"/>
      <c r="HJW17" s="500"/>
      <c r="HJX17" s="500"/>
      <c r="HJY17" s="500"/>
      <c r="HJZ17" s="500"/>
      <c r="HKA17" s="500"/>
      <c r="HKB17" s="500"/>
      <c r="HKC17" s="500"/>
      <c r="HKD17" s="500"/>
      <c r="HKE17" s="500"/>
      <c r="HKF17" s="500"/>
      <c r="HKG17" s="500"/>
      <c r="HKH17" s="500"/>
      <c r="HKI17" s="500"/>
      <c r="HKJ17" s="500"/>
      <c r="HKK17" s="500"/>
      <c r="HKL17" s="500"/>
      <c r="HKM17" s="500"/>
      <c r="HKN17" s="500"/>
      <c r="HKO17" s="500"/>
      <c r="HKP17" s="500"/>
      <c r="HKQ17" s="500"/>
      <c r="HKR17" s="500"/>
      <c r="HKS17" s="500"/>
      <c r="HKT17" s="500"/>
      <c r="HKU17" s="500"/>
      <c r="HKV17" s="500"/>
      <c r="HKW17" s="500"/>
      <c r="HKX17" s="500"/>
      <c r="HKY17" s="500"/>
      <c r="HKZ17" s="500"/>
      <c r="HLA17" s="500"/>
      <c r="HLB17" s="500"/>
      <c r="HLC17" s="500"/>
      <c r="HLD17" s="500"/>
      <c r="HLE17" s="500"/>
      <c r="HLF17" s="500"/>
      <c r="HLG17" s="500"/>
      <c r="HLH17" s="500"/>
      <c r="HLI17" s="500"/>
      <c r="HLJ17" s="500"/>
      <c r="HLK17" s="500"/>
      <c r="HLL17" s="500"/>
      <c r="HLM17" s="500"/>
      <c r="HLN17" s="500"/>
      <c r="HLO17" s="500"/>
      <c r="HLP17" s="500"/>
      <c r="HLQ17" s="500"/>
      <c r="HLR17" s="500"/>
      <c r="HLS17" s="500"/>
      <c r="HLT17" s="500"/>
      <c r="HLU17" s="500"/>
      <c r="HLV17" s="500"/>
      <c r="HLW17" s="500"/>
      <c r="HLX17" s="500"/>
      <c r="HLY17" s="500"/>
      <c r="HLZ17" s="500"/>
      <c r="HMA17" s="500"/>
      <c r="HMB17" s="500"/>
      <c r="HMC17" s="500"/>
      <c r="HMD17" s="500"/>
      <c r="HME17" s="500"/>
      <c r="HMF17" s="500"/>
      <c r="HMG17" s="500"/>
      <c r="HMH17" s="500"/>
      <c r="HMI17" s="500"/>
      <c r="HMJ17" s="500"/>
      <c r="HMK17" s="500"/>
      <c r="HML17" s="500"/>
      <c r="HMM17" s="500"/>
      <c r="HMN17" s="500"/>
      <c r="HMO17" s="500"/>
      <c r="HMP17" s="500"/>
      <c r="HMQ17" s="500"/>
      <c r="HMR17" s="500"/>
      <c r="HMS17" s="500"/>
      <c r="HMT17" s="500"/>
      <c r="HMU17" s="500"/>
      <c r="HMV17" s="500"/>
      <c r="HMW17" s="500"/>
      <c r="HMX17" s="500"/>
      <c r="HMY17" s="500"/>
      <c r="HMZ17" s="500"/>
      <c r="HNA17" s="500"/>
      <c r="HNB17" s="500"/>
      <c r="HNC17" s="500"/>
      <c r="HND17" s="500"/>
      <c r="HNE17" s="500"/>
      <c r="HNF17" s="500"/>
      <c r="HNG17" s="500"/>
      <c r="HNH17" s="500"/>
      <c r="HNI17" s="500"/>
      <c r="HNJ17" s="500"/>
      <c r="HNK17" s="500"/>
      <c r="HNL17" s="500"/>
      <c r="HNM17" s="500"/>
      <c r="HNN17" s="500"/>
      <c r="HNO17" s="500"/>
      <c r="HNP17" s="500"/>
      <c r="HNQ17" s="500"/>
      <c r="HNR17" s="500"/>
      <c r="HNS17" s="500"/>
      <c r="HNT17" s="500"/>
      <c r="HNU17" s="500"/>
      <c r="HNV17" s="500"/>
      <c r="HNW17" s="500"/>
      <c r="HNX17" s="500"/>
      <c r="HNY17" s="500"/>
      <c r="HNZ17" s="500"/>
      <c r="HOA17" s="500"/>
      <c r="HOB17" s="500"/>
      <c r="HOC17" s="500"/>
      <c r="HOD17" s="500"/>
      <c r="HOE17" s="500"/>
      <c r="HOF17" s="500"/>
      <c r="HOG17" s="500"/>
      <c r="HOH17" s="500"/>
      <c r="HOI17" s="500"/>
      <c r="HOJ17" s="500"/>
      <c r="HOK17" s="500"/>
      <c r="HOL17" s="500"/>
      <c r="HOM17" s="500"/>
      <c r="HON17" s="500"/>
      <c r="HOO17" s="500"/>
      <c r="HOP17" s="500"/>
      <c r="HOQ17" s="500"/>
      <c r="HOR17" s="500"/>
      <c r="HOS17" s="500"/>
      <c r="HOT17" s="500"/>
      <c r="HOU17" s="500"/>
      <c r="HOV17" s="500"/>
      <c r="HOW17" s="500"/>
      <c r="HOX17" s="500"/>
      <c r="HOY17" s="500"/>
      <c r="HOZ17" s="500"/>
      <c r="HPA17" s="500"/>
      <c r="HPB17" s="500"/>
      <c r="HPC17" s="500"/>
      <c r="HPD17" s="500"/>
      <c r="HPE17" s="500"/>
      <c r="HPF17" s="500"/>
      <c r="HPG17" s="500"/>
      <c r="HPH17" s="500"/>
      <c r="HPI17" s="500"/>
      <c r="HPJ17" s="500"/>
      <c r="HPK17" s="500"/>
      <c r="HPL17" s="500"/>
      <c r="HPM17" s="500"/>
      <c r="HPN17" s="500"/>
      <c r="HPO17" s="500"/>
      <c r="HPP17" s="500"/>
      <c r="HPQ17" s="500"/>
      <c r="HPR17" s="500"/>
      <c r="HPS17" s="500"/>
      <c r="HPT17" s="500"/>
      <c r="HPU17" s="500"/>
      <c r="HPV17" s="500"/>
      <c r="HPW17" s="500"/>
      <c r="HPX17" s="500"/>
      <c r="HPY17" s="500"/>
      <c r="HPZ17" s="500"/>
      <c r="HQA17" s="500"/>
      <c r="HQB17" s="500"/>
      <c r="HQC17" s="500"/>
      <c r="HQD17" s="500"/>
      <c r="HQE17" s="500"/>
      <c r="HQF17" s="500"/>
      <c r="HQG17" s="500"/>
      <c r="HQH17" s="500"/>
      <c r="HQI17" s="500"/>
      <c r="HQJ17" s="500"/>
      <c r="HQK17" s="500"/>
      <c r="HQL17" s="500"/>
      <c r="HQM17" s="500"/>
      <c r="HQN17" s="500"/>
      <c r="HQO17" s="500"/>
      <c r="HQP17" s="500"/>
      <c r="HQQ17" s="500"/>
      <c r="HQR17" s="500"/>
      <c r="HQS17" s="500"/>
      <c r="HQT17" s="500"/>
      <c r="HQU17" s="500"/>
      <c r="HQV17" s="500"/>
      <c r="HQW17" s="500"/>
      <c r="HQX17" s="500"/>
      <c r="HQY17" s="500"/>
      <c r="HQZ17" s="500"/>
      <c r="HRA17" s="500"/>
      <c r="HRB17" s="500"/>
      <c r="HRC17" s="500"/>
      <c r="HRD17" s="500"/>
      <c r="HRE17" s="500"/>
      <c r="HRF17" s="500"/>
      <c r="HRG17" s="500"/>
      <c r="HRH17" s="500"/>
      <c r="HRI17" s="500"/>
      <c r="HRJ17" s="500"/>
      <c r="HRK17" s="500"/>
      <c r="HRL17" s="500"/>
      <c r="HRM17" s="500"/>
      <c r="HRN17" s="500"/>
      <c r="HRO17" s="500"/>
      <c r="HRP17" s="500"/>
      <c r="HRQ17" s="500"/>
      <c r="HRR17" s="500"/>
      <c r="HRS17" s="500"/>
      <c r="HRT17" s="500"/>
      <c r="HRU17" s="500"/>
      <c r="HRV17" s="500"/>
      <c r="HRW17" s="500"/>
      <c r="HRX17" s="500"/>
      <c r="HRY17" s="500"/>
      <c r="HRZ17" s="500"/>
      <c r="HSA17" s="500"/>
      <c r="HSB17" s="500"/>
      <c r="HSC17" s="500"/>
      <c r="HSD17" s="500"/>
      <c r="HSE17" s="500"/>
      <c r="HSF17" s="500"/>
      <c r="HSG17" s="500"/>
      <c r="HSH17" s="500"/>
      <c r="HSI17" s="500"/>
      <c r="HSJ17" s="500"/>
      <c r="HSK17" s="500"/>
      <c r="HSL17" s="500"/>
      <c r="HSM17" s="500"/>
      <c r="HSN17" s="500"/>
      <c r="HSO17" s="500"/>
      <c r="HSP17" s="500"/>
      <c r="HSQ17" s="500"/>
      <c r="HSR17" s="500"/>
      <c r="HSS17" s="500"/>
      <c r="HST17" s="500"/>
      <c r="HSU17" s="500"/>
      <c r="HSV17" s="500"/>
      <c r="HSW17" s="500"/>
      <c r="HSX17" s="500"/>
      <c r="HSY17" s="500"/>
      <c r="HSZ17" s="500"/>
      <c r="HTA17" s="500"/>
      <c r="HTB17" s="500"/>
      <c r="HTC17" s="500"/>
      <c r="HTD17" s="500"/>
      <c r="HTE17" s="500"/>
      <c r="HTF17" s="500"/>
      <c r="HTG17" s="500"/>
      <c r="HTH17" s="500"/>
      <c r="HTI17" s="500"/>
      <c r="HTJ17" s="500"/>
      <c r="HTK17" s="500"/>
      <c r="HTL17" s="500"/>
      <c r="HTM17" s="500"/>
      <c r="HTN17" s="500"/>
      <c r="HTO17" s="500"/>
      <c r="HTP17" s="500"/>
      <c r="HTQ17" s="500"/>
      <c r="HTR17" s="500"/>
      <c r="HTS17" s="500"/>
      <c r="HTT17" s="500"/>
      <c r="HTU17" s="500"/>
      <c r="HTV17" s="500"/>
      <c r="HTW17" s="500"/>
      <c r="HTX17" s="500"/>
      <c r="HTY17" s="500"/>
      <c r="HTZ17" s="500"/>
      <c r="HUA17" s="500"/>
      <c r="HUB17" s="500"/>
      <c r="HUC17" s="500"/>
      <c r="HUD17" s="500"/>
      <c r="HUE17" s="500"/>
      <c r="HUF17" s="500"/>
      <c r="HUG17" s="500"/>
      <c r="HUH17" s="500"/>
      <c r="HUI17" s="500"/>
      <c r="HUJ17" s="500"/>
      <c r="HUK17" s="500"/>
      <c r="HUL17" s="500"/>
      <c r="HUM17" s="500"/>
      <c r="HUN17" s="500"/>
      <c r="HUO17" s="500"/>
      <c r="HUP17" s="500"/>
      <c r="HUQ17" s="500"/>
      <c r="HUR17" s="500"/>
      <c r="HUS17" s="500"/>
      <c r="HUT17" s="500"/>
      <c r="HUU17" s="500"/>
      <c r="HUV17" s="500"/>
      <c r="HUW17" s="500"/>
      <c r="HUX17" s="500"/>
      <c r="HUY17" s="500"/>
      <c r="HUZ17" s="500"/>
      <c r="HVA17" s="500"/>
      <c r="HVB17" s="500"/>
      <c r="HVC17" s="500"/>
      <c r="HVD17" s="500"/>
      <c r="HVE17" s="500"/>
      <c r="HVF17" s="500"/>
      <c r="HVG17" s="500"/>
      <c r="HVH17" s="500"/>
      <c r="HVI17" s="500"/>
      <c r="HVJ17" s="500"/>
      <c r="HVK17" s="500"/>
      <c r="HVL17" s="500"/>
      <c r="HVM17" s="500"/>
      <c r="HVN17" s="500"/>
      <c r="HVO17" s="500"/>
      <c r="HVP17" s="500"/>
      <c r="HVQ17" s="500"/>
      <c r="HVR17" s="500"/>
      <c r="HVS17" s="500"/>
      <c r="HVT17" s="500"/>
      <c r="HVU17" s="500"/>
      <c r="HVV17" s="500"/>
      <c r="HVW17" s="500"/>
      <c r="HVX17" s="500"/>
      <c r="HVY17" s="500"/>
      <c r="HVZ17" s="500"/>
      <c r="HWA17" s="500"/>
      <c r="HWB17" s="500"/>
      <c r="HWC17" s="500"/>
      <c r="HWD17" s="500"/>
      <c r="HWE17" s="500"/>
      <c r="HWF17" s="500"/>
      <c r="HWG17" s="500"/>
      <c r="HWH17" s="500"/>
      <c r="HWI17" s="500"/>
      <c r="HWJ17" s="500"/>
      <c r="HWK17" s="500"/>
      <c r="HWL17" s="500"/>
      <c r="HWM17" s="500"/>
      <c r="HWN17" s="500"/>
      <c r="HWO17" s="500"/>
      <c r="HWP17" s="500"/>
      <c r="HWQ17" s="500"/>
      <c r="HWR17" s="500"/>
      <c r="HWS17" s="500"/>
      <c r="HWT17" s="500"/>
      <c r="HWU17" s="500"/>
      <c r="HWV17" s="500"/>
      <c r="HWW17" s="500"/>
      <c r="HWX17" s="500"/>
      <c r="HWY17" s="500"/>
      <c r="HWZ17" s="500"/>
      <c r="HXA17" s="500"/>
      <c r="HXB17" s="500"/>
      <c r="HXC17" s="500"/>
      <c r="HXD17" s="500"/>
      <c r="HXE17" s="500"/>
      <c r="HXF17" s="500"/>
      <c r="HXG17" s="500"/>
      <c r="HXH17" s="500"/>
      <c r="HXI17" s="500"/>
      <c r="HXJ17" s="500"/>
      <c r="HXK17" s="500"/>
      <c r="HXL17" s="500"/>
      <c r="HXM17" s="500"/>
      <c r="HXN17" s="500"/>
      <c r="HXO17" s="500"/>
      <c r="HXP17" s="500"/>
      <c r="HXQ17" s="500"/>
      <c r="HXR17" s="500"/>
      <c r="HXS17" s="500"/>
      <c r="HXT17" s="500"/>
      <c r="HXU17" s="500"/>
      <c r="HXV17" s="500"/>
      <c r="HXW17" s="500"/>
      <c r="HXX17" s="500"/>
      <c r="HXY17" s="500"/>
      <c r="HXZ17" s="500"/>
      <c r="HYA17" s="500"/>
      <c r="HYB17" s="500"/>
      <c r="HYC17" s="500"/>
      <c r="HYD17" s="500"/>
      <c r="HYE17" s="500"/>
      <c r="HYF17" s="500"/>
      <c r="HYG17" s="500"/>
      <c r="HYH17" s="500"/>
      <c r="HYI17" s="500"/>
      <c r="HYJ17" s="500"/>
      <c r="HYK17" s="500"/>
      <c r="HYL17" s="500"/>
      <c r="HYM17" s="500"/>
      <c r="HYN17" s="500"/>
      <c r="HYO17" s="500"/>
      <c r="HYP17" s="500"/>
      <c r="HYQ17" s="500"/>
      <c r="HYR17" s="500"/>
      <c r="HYS17" s="500"/>
      <c r="HYT17" s="500"/>
      <c r="HYU17" s="500"/>
      <c r="HYV17" s="500"/>
      <c r="HYW17" s="500"/>
      <c r="HYX17" s="500"/>
      <c r="HYY17" s="500"/>
      <c r="HYZ17" s="500"/>
      <c r="HZA17" s="500"/>
      <c r="HZB17" s="500"/>
      <c r="HZC17" s="500"/>
      <c r="HZD17" s="500"/>
      <c r="HZE17" s="500"/>
      <c r="HZF17" s="500"/>
      <c r="HZG17" s="500"/>
      <c r="HZH17" s="500"/>
      <c r="HZI17" s="500"/>
      <c r="HZJ17" s="500"/>
      <c r="HZK17" s="500"/>
      <c r="HZL17" s="500"/>
      <c r="HZM17" s="500"/>
      <c r="HZN17" s="500"/>
      <c r="HZO17" s="500"/>
      <c r="HZP17" s="500"/>
      <c r="HZQ17" s="500"/>
      <c r="HZR17" s="500"/>
      <c r="HZS17" s="500"/>
      <c r="HZT17" s="500"/>
      <c r="HZU17" s="500"/>
      <c r="HZV17" s="500"/>
      <c r="HZW17" s="500"/>
      <c r="HZX17" s="500"/>
      <c r="HZY17" s="500"/>
      <c r="HZZ17" s="500"/>
      <c r="IAA17" s="500"/>
      <c r="IAB17" s="500"/>
      <c r="IAC17" s="500"/>
      <c r="IAD17" s="500"/>
      <c r="IAE17" s="500"/>
      <c r="IAF17" s="500"/>
      <c r="IAG17" s="500"/>
      <c r="IAH17" s="500"/>
      <c r="IAI17" s="500"/>
      <c r="IAJ17" s="500"/>
      <c r="IAK17" s="500"/>
      <c r="IAL17" s="500"/>
      <c r="IAM17" s="500"/>
      <c r="IAN17" s="500"/>
      <c r="IAO17" s="500"/>
      <c r="IAP17" s="500"/>
      <c r="IAQ17" s="500"/>
      <c r="IAR17" s="500"/>
      <c r="IAS17" s="500"/>
      <c r="IAT17" s="500"/>
      <c r="IAU17" s="500"/>
      <c r="IAV17" s="500"/>
      <c r="IAW17" s="500"/>
      <c r="IAX17" s="500"/>
      <c r="IAY17" s="500"/>
      <c r="IAZ17" s="500"/>
      <c r="IBA17" s="500"/>
      <c r="IBB17" s="500"/>
      <c r="IBC17" s="500"/>
      <c r="IBD17" s="500"/>
      <c r="IBE17" s="500"/>
      <c r="IBF17" s="500"/>
      <c r="IBG17" s="500"/>
      <c r="IBH17" s="500"/>
      <c r="IBI17" s="500"/>
      <c r="IBJ17" s="500"/>
      <c r="IBK17" s="500"/>
      <c r="IBL17" s="500"/>
      <c r="IBM17" s="500"/>
      <c r="IBN17" s="500"/>
      <c r="IBO17" s="500"/>
      <c r="IBP17" s="500"/>
      <c r="IBQ17" s="500"/>
      <c r="IBR17" s="500"/>
      <c r="IBS17" s="500"/>
      <c r="IBT17" s="500"/>
      <c r="IBU17" s="500"/>
      <c r="IBV17" s="500"/>
      <c r="IBW17" s="500"/>
      <c r="IBX17" s="500"/>
      <c r="IBY17" s="500"/>
      <c r="IBZ17" s="500"/>
      <c r="ICA17" s="500"/>
      <c r="ICB17" s="500"/>
      <c r="ICC17" s="500"/>
      <c r="ICD17" s="500"/>
      <c r="ICE17" s="500"/>
      <c r="ICF17" s="500"/>
      <c r="ICG17" s="500"/>
      <c r="ICH17" s="500"/>
      <c r="ICI17" s="500"/>
      <c r="ICJ17" s="500"/>
      <c r="ICK17" s="500"/>
      <c r="ICL17" s="500"/>
      <c r="ICM17" s="500"/>
      <c r="ICN17" s="500"/>
      <c r="ICO17" s="500"/>
      <c r="ICP17" s="500"/>
      <c r="ICQ17" s="500"/>
      <c r="ICR17" s="500"/>
      <c r="ICS17" s="500"/>
      <c r="ICT17" s="500"/>
      <c r="ICU17" s="500"/>
      <c r="ICV17" s="500"/>
      <c r="ICW17" s="500"/>
      <c r="ICX17" s="500"/>
      <c r="ICY17" s="500"/>
      <c r="ICZ17" s="500"/>
      <c r="IDA17" s="500"/>
      <c r="IDB17" s="500"/>
      <c r="IDC17" s="500"/>
      <c r="IDD17" s="500"/>
      <c r="IDE17" s="500"/>
      <c r="IDF17" s="500"/>
      <c r="IDG17" s="500"/>
      <c r="IDH17" s="500"/>
      <c r="IDI17" s="500"/>
      <c r="IDJ17" s="500"/>
      <c r="IDK17" s="500"/>
      <c r="IDL17" s="500"/>
      <c r="IDM17" s="500"/>
      <c r="IDN17" s="500"/>
      <c r="IDO17" s="500"/>
      <c r="IDP17" s="500"/>
      <c r="IDQ17" s="500"/>
      <c r="IDR17" s="500"/>
      <c r="IDS17" s="500"/>
      <c r="IDT17" s="500"/>
      <c r="IDU17" s="500"/>
      <c r="IDV17" s="500"/>
      <c r="IDW17" s="500"/>
      <c r="IDX17" s="500"/>
      <c r="IDY17" s="500"/>
      <c r="IDZ17" s="500"/>
      <c r="IEA17" s="500"/>
      <c r="IEB17" s="500"/>
      <c r="IEC17" s="500"/>
      <c r="IED17" s="500"/>
      <c r="IEE17" s="500"/>
      <c r="IEF17" s="500"/>
      <c r="IEG17" s="500"/>
      <c r="IEH17" s="500"/>
      <c r="IEI17" s="500"/>
      <c r="IEJ17" s="500"/>
      <c r="IEK17" s="500"/>
      <c r="IEL17" s="500"/>
      <c r="IEM17" s="500"/>
      <c r="IEN17" s="500"/>
      <c r="IEO17" s="500"/>
      <c r="IEP17" s="500"/>
      <c r="IEQ17" s="500"/>
      <c r="IER17" s="500"/>
      <c r="IES17" s="500"/>
      <c r="IET17" s="500"/>
      <c r="IEU17" s="500"/>
      <c r="IEV17" s="500"/>
      <c r="IEW17" s="500"/>
      <c r="IEX17" s="500"/>
      <c r="IEY17" s="500"/>
      <c r="IEZ17" s="500"/>
      <c r="IFA17" s="500"/>
      <c r="IFB17" s="500"/>
      <c r="IFC17" s="500"/>
      <c r="IFD17" s="500"/>
      <c r="IFE17" s="500"/>
      <c r="IFF17" s="500"/>
      <c r="IFG17" s="500"/>
      <c r="IFH17" s="500"/>
      <c r="IFI17" s="500"/>
      <c r="IFJ17" s="500"/>
      <c r="IFK17" s="500"/>
      <c r="IFL17" s="500"/>
      <c r="IFM17" s="500"/>
      <c r="IFN17" s="500"/>
      <c r="IFO17" s="500"/>
      <c r="IFP17" s="500"/>
      <c r="IFQ17" s="500"/>
      <c r="IFR17" s="500"/>
      <c r="IFS17" s="500"/>
      <c r="IFT17" s="500"/>
      <c r="IFU17" s="500"/>
      <c r="IFV17" s="500"/>
      <c r="IFW17" s="500"/>
      <c r="IFX17" s="500"/>
      <c r="IFY17" s="500"/>
      <c r="IFZ17" s="500"/>
      <c r="IGA17" s="500"/>
      <c r="IGB17" s="500"/>
      <c r="IGC17" s="500"/>
      <c r="IGD17" s="500"/>
      <c r="IGE17" s="500"/>
      <c r="IGF17" s="500"/>
      <c r="IGG17" s="500"/>
      <c r="IGH17" s="500"/>
      <c r="IGI17" s="500"/>
      <c r="IGJ17" s="500"/>
      <c r="IGK17" s="500"/>
      <c r="IGL17" s="500"/>
      <c r="IGM17" s="500"/>
      <c r="IGN17" s="500"/>
      <c r="IGO17" s="500"/>
      <c r="IGP17" s="500"/>
      <c r="IGQ17" s="500"/>
      <c r="IGR17" s="500"/>
      <c r="IGS17" s="500"/>
      <c r="IGT17" s="500"/>
      <c r="IGU17" s="500"/>
      <c r="IGV17" s="500"/>
      <c r="IGW17" s="500"/>
      <c r="IGX17" s="500"/>
      <c r="IGY17" s="500"/>
      <c r="IGZ17" s="500"/>
      <c r="IHA17" s="500"/>
      <c r="IHB17" s="500"/>
      <c r="IHC17" s="500"/>
      <c r="IHD17" s="500"/>
      <c r="IHE17" s="500"/>
      <c r="IHF17" s="500"/>
      <c r="IHG17" s="500"/>
      <c r="IHH17" s="500"/>
      <c r="IHI17" s="500"/>
      <c r="IHJ17" s="500"/>
      <c r="IHK17" s="500"/>
      <c r="IHL17" s="500"/>
      <c r="IHM17" s="500"/>
      <c r="IHN17" s="500"/>
      <c r="IHO17" s="500"/>
      <c r="IHP17" s="500"/>
      <c r="IHQ17" s="500"/>
      <c r="IHR17" s="500"/>
      <c r="IHS17" s="500"/>
      <c r="IHT17" s="500"/>
      <c r="IHU17" s="500"/>
      <c r="IHV17" s="500"/>
      <c r="IHW17" s="500"/>
      <c r="IHX17" s="500"/>
      <c r="IHY17" s="500"/>
      <c r="IHZ17" s="500"/>
      <c r="IIA17" s="500"/>
      <c r="IIB17" s="500"/>
      <c r="IIC17" s="500"/>
      <c r="IID17" s="500"/>
      <c r="IIE17" s="500"/>
      <c r="IIF17" s="500"/>
      <c r="IIG17" s="500"/>
      <c r="IIH17" s="500"/>
      <c r="III17" s="500"/>
      <c r="IIJ17" s="500"/>
      <c r="IIK17" s="500"/>
      <c r="IIL17" s="500"/>
      <c r="IIM17" s="500"/>
      <c r="IIN17" s="500"/>
      <c r="IIO17" s="500"/>
      <c r="IIP17" s="500"/>
      <c r="IIQ17" s="500"/>
      <c r="IIR17" s="500"/>
      <c r="IIS17" s="500"/>
      <c r="IIT17" s="500"/>
      <c r="IIU17" s="500"/>
      <c r="IIV17" s="500"/>
      <c r="IIW17" s="500"/>
      <c r="IIX17" s="500"/>
      <c r="IIY17" s="500"/>
      <c r="IIZ17" s="500"/>
      <c r="IJA17" s="500"/>
      <c r="IJB17" s="500"/>
      <c r="IJC17" s="500"/>
      <c r="IJD17" s="500"/>
      <c r="IJE17" s="500"/>
      <c r="IJF17" s="500"/>
      <c r="IJG17" s="500"/>
      <c r="IJH17" s="500"/>
      <c r="IJI17" s="500"/>
      <c r="IJJ17" s="500"/>
      <c r="IJK17" s="500"/>
      <c r="IJL17" s="500"/>
      <c r="IJM17" s="500"/>
      <c r="IJN17" s="500"/>
      <c r="IJO17" s="500"/>
      <c r="IJP17" s="500"/>
      <c r="IJQ17" s="500"/>
      <c r="IJR17" s="500"/>
      <c r="IJS17" s="500"/>
      <c r="IJT17" s="500"/>
      <c r="IJU17" s="500"/>
      <c r="IJV17" s="500"/>
      <c r="IJW17" s="500"/>
      <c r="IJX17" s="500"/>
      <c r="IJY17" s="500"/>
      <c r="IJZ17" s="500"/>
      <c r="IKA17" s="500"/>
      <c r="IKB17" s="500"/>
      <c r="IKC17" s="500"/>
      <c r="IKD17" s="500"/>
      <c r="IKE17" s="500"/>
      <c r="IKF17" s="500"/>
      <c r="IKG17" s="500"/>
      <c r="IKH17" s="500"/>
      <c r="IKI17" s="500"/>
      <c r="IKJ17" s="500"/>
      <c r="IKK17" s="500"/>
      <c r="IKL17" s="500"/>
      <c r="IKM17" s="500"/>
      <c r="IKN17" s="500"/>
      <c r="IKO17" s="500"/>
      <c r="IKP17" s="500"/>
      <c r="IKQ17" s="500"/>
      <c r="IKR17" s="500"/>
      <c r="IKS17" s="500"/>
      <c r="IKT17" s="500"/>
      <c r="IKU17" s="500"/>
      <c r="IKV17" s="500"/>
      <c r="IKW17" s="500"/>
      <c r="IKX17" s="500"/>
      <c r="IKY17" s="500"/>
      <c r="IKZ17" s="500"/>
      <c r="ILA17" s="500"/>
      <c r="ILB17" s="500"/>
      <c r="ILC17" s="500"/>
      <c r="ILD17" s="500"/>
      <c r="ILE17" s="500"/>
      <c r="ILF17" s="500"/>
      <c r="ILG17" s="500"/>
      <c r="ILH17" s="500"/>
      <c r="ILI17" s="500"/>
      <c r="ILJ17" s="500"/>
      <c r="ILK17" s="500"/>
      <c r="ILL17" s="500"/>
      <c r="ILM17" s="500"/>
      <c r="ILN17" s="500"/>
      <c r="ILO17" s="500"/>
      <c r="ILP17" s="500"/>
      <c r="ILQ17" s="500"/>
      <c r="ILR17" s="500"/>
      <c r="ILS17" s="500"/>
      <c r="ILT17" s="500"/>
      <c r="ILU17" s="500"/>
      <c r="ILV17" s="500"/>
      <c r="ILW17" s="500"/>
      <c r="ILX17" s="500"/>
      <c r="ILY17" s="500"/>
      <c r="ILZ17" s="500"/>
      <c r="IMA17" s="500"/>
      <c r="IMB17" s="500"/>
      <c r="IMC17" s="500"/>
      <c r="IMD17" s="500"/>
      <c r="IME17" s="500"/>
      <c r="IMF17" s="500"/>
      <c r="IMG17" s="500"/>
      <c r="IMH17" s="500"/>
      <c r="IMI17" s="500"/>
      <c r="IMJ17" s="500"/>
      <c r="IMK17" s="500"/>
      <c r="IML17" s="500"/>
      <c r="IMM17" s="500"/>
      <c r="IMN17" s="500"/>
      <c r="IMO17" s="500"/>
      <c r="IMP17" s="500"/>
      <c r="IMQ17" s="500"/>
      <c r="IMR17" s="500"/>
      <c r="IMS17" s="500"/>
      <c r="IMT17" s="500"/>
      <c r="IMU17" s="500"/>
      <c r="IMV17" s="500"/>
      <c r="IMW17" s="500"/>
      <c r="IMX17" s="500"/>
      <c r="IMY17" s="500"/>
      <c r="IMZ17" s="500"/>
      <c r="INA17" s="500"/>
      <c r="INB17" s="500"/>
      <c r="INC17" s="500"/>
      <c r="IND17" s="500"/>
      <c r="INE17" s="500"/>
      <c r="INF17" s="500"/>
      <c r="ING17" s="500"/>
      <c r="INH17" s="500"/>
      <c r="INI17" s="500"/>
      <c r="INJ17" s="500"/>
      <c r="INK17" s="500"/>
      <c r="INL17" s="500"/>
      <c r="INM17" s="500"/>
      <c r="INN17" s="500"/>
      <c r="INO17" s="500"/>
      <c r="INP17" s="500"/>
      <c r="INQ17" s="500"/>
      <c r="INR17" s="500"/>
      <c r="INS17" s="500"/>
      <c r="INT17" s="500"/>
      <c r="INU17" s="500"/>
      <c r="INV17" s="500"/>
      <c r="INW17" s="500"/>
      <c r="INX17" s="500"/>
      <c r="INY17" s="500"/>
      <c r="INZ17" s="500"/>
      <c r="IOA17" s="500"/>
      <c r="IOB17" s="500"/>
      <c r="IOC17" s="500"/>
      <c r="IOD17" s="500"/>
      <c r="IOE17" s="500"/>
      <c r="IOF17" s="500"/>
      <c r="IOG17" s="500"/>
      <c r="IOH17" s="500"/>
      <c r="IOI17" s="500"/>
      <c r="IOJ17" s="500"/>
      <c r="IOK17" s="500"/>
      <c r="IOL17" s="500"/>
      <c r="IOM17" s="500"/>
      <c r="ION17" s="500"/>
      <c r="IOO17" s="500"/>
      <c r="IOP17" s="500"/>
      <c r="IOQ17" s="500"/>
      <c r="IOR17" s="500"/>
      <c r="IOS17" s="500"/>
      <c r="IOT17" s="500"/>
      <c r="IOU17" s="500"/>
      <c r="IOV17" s="500"/>
      <c r="IOW17" s="500"/>
      <c r="IOX17" s="500"/>
      <c r="IOY17" s="500"/>
      <c r="IOZ17" s="500"/>
      <c r="IPA17" s="500"/>
      <c r="IPB17" s="500"/>
      <c r="IPC17" s="500"/>
      <c r="IPD17" s="500"/>
      <c r="IPE17" s="500"/>
      <c r="IPF17" s="500"/>
      <c r="IPG17" s="500"/>
      <c r="IPH17" s="500"/>
      <c r="IPI17" s="500"/>
      <c r="IPJ17" s="500"/>
      <c r="IPK17" s="500"/>
      <c r="IPL17" s="500"/>
      <c r="IPM17" s="500"/>
      <c r="IPN17" s="500"/>
      <c r="IPO17" s="500"/>
      <c r="IPP17" s="500"/>
      <c r="IPQ17" s="500"/>
      <c r="IPR17" s="500"/>
      <c r="IPS17" s="500"/>
      <c r="IPT17" s="500"/>
      <c r="IPU17" s="500"/>
      <c r="IPV17" s="500"/>
      <c r="IPW17" s="500"/>
      <c r="IPX17" s="500"/>
      <c r="IPY17" s="500"/>
      <c r="IPZ17" s="500"/>
      <c r="IQA17" s="500"/>
      <c r="IQB17" s="500"/>
      <c r="IQC17" s="500"/>
      <c r="IQD17" s="500"/>
      <c r="IQE17" s="500"/>
      <c r="IQF17" s="500"/>
      <c r="IQG17" s="500"/>
      <c r="IQH17" s="500"/>
      <c r="IQI17" s="500"/>
      <c r="IQJ17" s="500"/>
      <c r="IQK17" s="500"/>
      <c r="IQL17" s="500"/>
      <c r="IQM17" s="500"/>
      <c r="IQN17" s="500"/>
      <c r="IQO17" s="500"/>
      <c r="IQP17" s="500"/>
      <c r="IQQ17" s="500"/>
      <c r="IQR17" s="500"/>
      <c r="IQS17" s="500"/>
      <c r="IQT17" s="500"/>
      <c r="IQU17" s="500"/>
      <c r="IQV17" s="500"/>
      <c r="IQW17" s="500"/>
      <c r="IQX17" s="500"/>
      <c r="IQY17" s="500"/>
      <c r="IQZ17" s="500"/>
      <c r="IRA17" s="500"/>
      <c r="IRB17" s="500"/>
      <c r="IRC17" s="500"/>
      <c r="IRD17" s="500"/>
      <c r="IRE17" s="500"/>
      <c r="IRF17" s="500"/>
      <c r="IRG17" s="500"/>
      <c r="IRH17" s="500"/>
      <c r="IRI17" s="500"/>
      <c r="IRJ17" s="500"/>
      <c r="IRK17" s="500"/>
      <c r="IRL17" s="500"/>
      <c r="IRM17" s="500"/>
      <c r="IRN17" s="500"/>
      <c r="IRO17" s="500"/>
      <c r="IRP17" s="500"/>
      <c r="IRQ17" s="500"/>
      <c r="IRR17" s="500"/>
      <c r="IRS17" s="500"/>
      <c r="IRT17" s="500"/>
      <c r="IRU17" s="500"/>
      <c r="IRV17" s="500"/>
      <c r="IRW17" s="500"/>
      <c r="IRX17" s="500"/>
      <c r="IRY17" s="500"/>
      <c r="IRZ17" s="500"/>
      <c r="ISA17" s="500"/>
      <c r="ISB17" s="500"/>
      <c r="ISC17" s="500"/>
      <c r="ISD17" s="500"/>
      <c r="ISE17" s="500"/>
      <c r="ISF17" s="500"/>
      <c r="ISG17" s="500"/>
      <c r="ISH17" s="500"/>
      <c r="ISI17" s="500"/>
      <c r="ISJ17" s="500"/>
      <c r="ISK17" s="500"/>
      <c r="ISL17" s="500"/>
      <c r="ISM17" s="500"/>
      <c r="ISN17" s="500"/>
      <c r="ISO17" s="500"/>
      <c r="ISP17" s="500"/>
      <c r="ISQ17" s="500"/>
      <c r="ISR17" s="500"/>
      <c r="ISS17" s="500"/>
      <c r="IST17" s="500"/>
      <c r="ISU17" s="500"/>
      <c r="ISV17" s="500"/>
      <c r="ISW17" s="500"/>
      <c r="ISX17" s="500"/>
      <c r="ISY17" s="500"/>
      <c r="ISZ17" s="500"/>
      <c r="ITA17" s="500"/>
      <c r="ITB17" s="500"/>
      <c r="ITC17" s="500"/>
      <c r="ITD17" s="500"/>
      <c r="ITE17" s="500"/>
      <c r="ITF17" s="500"/>
      <c r="ITG17" s="500"/>
      <c r="ITH17" s="500"/>
      <c r="ITI17" s="500"/>
      <c r="ITJ17" s="500"/>
      <c r="ITK17" s="500"/>
      <c r="ITL17" s="500"/>
      <c r="ITM17" s="500"/>
      <c r="ITN17" s="500"/>
      <c r="ITO17" s="500"/>
      <c r="ITP17" s="500"/>
      <c r="ITQ17" s="500"/>
      <c r="ITR17" s="500"/>
      <c r="ITS17" s="500"/>
      <c r="ITT17" s="500"/>
      <c r="ITU17" s="500"/>
      <c r="ITV17" s="500"/>
      <c r="ITW17" s="500"/>
      <c r="ITX17" s="500"/>
      <c r="ITY17" s="500"/>
      <c r="ITZ17" s="500"/>
      <c r="IUA17" s="500"/>
      <c r="IUB17" s="500"/>
      <c r="IUC17" s="500"/>
      <c r="IUD17" s="500"/>
      <c r="IUE17" s="500"/>
      <c r="IUF17" s="500"/>
      <c r="IUG17" s="500"/>
      <c r="IUH17" s="500"/>
      <c r="IUI17" s="500"/>
      <c r="IUJ17" s="500"/>
      <c r="IUK17" s="500"/>
      <c r="IUL17" s="500"/>
      <c r="IUM17" s="500"/>
      <c r="IUN17" s="500"/>
      <c r="IUO17" s="500"/>
      <c r="IUP17" s="500"/>
      <c r="IUQ17" s="500"/>
      <c r="IUR17" s="500"/>
      <c r="IUS17" s="500"/>
      <c r="IUT17" s="500"/>
      <c r="IUU17" s="500"/>
      <c r="IUV17" s="500"/>
      <c r="IUW17" s="500"/>
      <c r="IUX17" s="500"/>
      <c r="IUY17" s="500"/>
      <c r="IUZ17" s="500"/>
      <c r="IVA17" s="500"/>
      <c r="IVB17" s="500"/>
      <c r="IVC17" s="500"/>
      <c r="IVD17" s="500"/>
      <c r="IVE17" s="500"/>
      <c r="IVF17" s="500"/>
      <c r="IVG17" s="500"/>
      <c r="IVH17" s="500"/>
      <c r="IVI17" s="500"/>
      <c r="IVJ17" s="500"/>
      <c r="IVK17" s="500"/>
      <c r="IVL17" s="500"/>
      <c r="IVM17" s="500"/>
      <c r="IVN17" s="500"/>
      <c r="IVO17" s="500"/>
      <c r="IVP17" s="500"/>
      <c r="IVQ17" s="500"/>
      <c r="IVR17" s="500"/>
      <c r="IVS17" s="500"/>
      <c r="IVT17" s="500"/>
      <c r="IVU17" s="500"/>
      <c r="IVV17" s="500"/>
      <c r="IVW17" s="500"/>
      <c r="IVX17" s="500"/>
      <c r="IVY17" s="500"/>
      <c r="IVZ17" s="500"/>
      <c r="IWA17" s="500"/>
      <c r="IWB17" s="500"/>
      <c r="IWC17" s="500"/>
      <c r="IWD17" s="500"/>
      <c r="IWE17" s="500"/>
      <c r="IWF17" s="500"/>
      <c r="IWG17" s="500"/>
      <c r="IWH17" s="500"/>
      <c r="IWI17" s="500"/>
      <c r="IWJ17" s="500"/>
      <c r="IWK17" s="500"/>
      <c r="IWL17" s="500"/>
      <c r="IWM17" s="500"/>
      <c r="IWN17" s="500"/>
      <c r="IWO17" s="500"/>
      <c r="IWP17" s="500"/>
      <c r="IWQ17" s="500"/>
      <c r="IWR17" s="500"/>
      <c r="IWS17" s="500"/>
      <c r="IWT17" s="500"/>
      <c r="IWU17" s="500"/>
      <c r="IWV17" s="500"/>
      <c r="IWW17" s="500"/>
      <c r="IWX17" s="500"/>
      <c r="IWY17" s="500"/>
      <c r="IWZ17" s="500"/>
      <c r="IXA17" s="500"/>
      <c r="IXB17" s="500"/>
      <c r="IXC17" s="500"/>
      <c r="IXD17" s="500"/>
      <c r="IXE17" s="500"/>
      <c r="IXF17" s="500"/>
      <c r="IXG17" s="500"/>
      <c r="IXH17" s="500"/>
      <c r="IXI17" s="500"/>
      <c r="IXJ17" s="500"/>
      <c r="IXK17" s="500"/>
      <c r="IXL17" s="500"/>
      <c r="IXM17" s="500"/>
      <c r="IXN17" s="500"/>
      <c r="IXO17" s="500"/>
      <c r="IXP17" s="500"/>
      <c r="IXQ17" s="500"/>
      <c r="IXR17" s="500"/>
      <c r="IXS17" s="500"/>
      <c r="IXT17" s="500"/>
      <c r="IXU17" s="500"/>
      <c r="IXV17" s="500"/>
      <c r="IXW17" s="500"/>
      <c r="IXX17" s="500"/>
      <c r="IXY17" s="500"/>
      <c r="IXZ17" s="500"/>
      <c r="IYA17" s="500"/>
      <c r="IYB17" s="500"/>
      <c r="IYC17" s="500"/>
      <c r="IYD17" s="500"/>
      <c r="IYE17" s="500"/>
      <c r="IYF17" s="500"/>
      <c r="IYG17" s="500"/>
      <c r="IYH17" s="500"/>
      <c r="IYI17" s="500"/>
      <c r="IYJ17" s="500"/>
      <c r="IYK17" s="500"/>
      <c r="IYL17" s="500"/>
      <c r="IYM17" s="500"/>
      <c r="IYN17" s="500"/>
      <c r="IYO17" s="500"/>
      <c r="IYP17" s="500"/>
      <c r="IYQ17" s="500"/>
      <c r="IYR17" s="500"/>
      <c r="IYS17" s="500"/>
      <c r="IYT17" s="500"/>
      <c r="IYU17" s="500"/>
      <c r="IYV17" s="500"/>
      <c r="IYW17" s="500"/>
      <c r="IYX17" s="500"/>
      <c r="IYY17" s="500"/>
      <c r="IYZ17" s="500"/>
      <c r="IZA17" s="500"/>
      <c r="IZB17" s="500"/>
      <c r="IZC17" s="500"/>
      <c r="IZD17" s="500"/>
      <c r="IZE17" s="500"/>
      <c r="IZF17" s="500"/>
      <c r="IZG17" s="500"/>
      <c r="IZH17" s="500"/>
      <c r="IZI17" s="500"/>
      <c r="IZJ17" s="500"/>
      <c r="IZK17" s="500"/>
      <c r="IZL17" s="500"/>
      <c r="IZM17" s="500"/>
      <c r="IZN17" s="500"/>
      <c r="IZO17" s="500"/>
      <c r="IZP17" s="500"/>
      <c r="IZQ17" s="500"/>
      <c r="IZR17" s="500"/>
      <c r="IZS17" s="500"/>
      <c r="IZT17" s="500"/>
      <c r="IZU17" s="500"/>
      <c r="IZV17" s="500"/>
      <c r="IZW17" s="500"/>
      <c r="IZX17" s="500"/>
      <c r="IZY17" s="500"/>
      <c r="IZZ17" s="500"/>
      <c r="JAA17" s="500"/>
      <c r="JAB17" s="500"/>
      <c r="JAC17" s="500"/>
      <c r="JAD17" s="500"/>
      <c r="JAE17" s="500"/>
      <c r="JAF17" s="500"/>
      <c r="JAG17" s="500"/>
      <c r="JAH17" s="500"/>
      <c r="JAI17" s="500"/>
      <c r="JAJ17" s="500"/>
      <c r="JAK17" s="500"/>
      <c r="JAL17" s="500"/>
      <c r="JAM17" s="500"/>
      <c r="JAN17" s="500"/>
      <c r="JAO17" s="500"/>
      <c r="JAP17" s="500"/>
      <c r="JAQ17" s="500"/>
      <c r="JAR17" s="500"/>
      <c r="JAS17" s="500"/>
      <c r="JAT17" s="500"/>
      <c r="JAU17" s="500"/>
      <c r="JAV17" s="500"/>
      <c r="JAW17" s="500"/>
      <c r="JAX17" s="500"/>
      <c r="JAY17" s="500"/>
      <c r="JAZ17" s="500"/>
      <c r="JBA17" s="500"/>
      <c r="JBB17" s="500"/>
      <c r="JBC17" s="500"/>
      <c r="JBD17" s="500"/>
      <c r="JBE17" s="500"/>
      <c r="JBF17" s="500"/>
      <c r="JBG17" s="500"/>
      <c r="JBH17" s="500"/>
      <c r="JBI17" s="500"/>
      <c r="JBJ17" s="500"/>
      <c r="JBK17" s="500"/>
      <c r="JBL17" s="500"/>
      <c r="JBM17" s="500"/>
      <c r="JBN17" s="500"/>
      <c r="JBO17" s="500"/>
      <c r="JBP17" s="500"/>
      <c r="JBQ17" s="500"/>
      <c r="JBR17" s="500"/>
      <c r="JBS17" s="500"/>
      <c r="JBT17" s="500"/>
      <c r="JBU17" s="500"/>
      <c r="JBV17" s="500"/>
      <c r="JBW17" s="500"/>
      <c r="JBX17" s="500"/>
      <c r="JBY17" s="500"/>
      <c r="JBZ17" s="500"/>
      <c r="JCA17" s="500"/>
      <c r="JCB17" s="500"/>
      <c r="JCC17" s="500"/>
      <c r="JCD17" s="500"/>
      <c r="JCE17" s="500"/>
      <c r="JCF17" s="500"/>
      <c r="JCG17" s="500"/>
      <c r="JCH17" s="500"/>
      <c r="JCI17" s="500"/>
      <c r="JCJ17" s="500"/>
      <c r="JCK17" s="500"/>
      <c r="JCL17" s="500"/>
      <c r="JCM17" s="500"/>
      <c r="JCN17" s="500"/>
      <c r="JCO17" s="500"/>
      <c r="JCP17" s="500"/>
      <c r="JCQ17" s="500"/>
      <c r="JCR17" s="500"/>
      <c r="JCS17" s="500"/>
      <c r="JCT17" s="500"/>
      <c r="JCU17" s="500"/>
      <c r="JCV17" s="500"/>
      <c r="JCW17" s="500"/>
      <c r="JCX17" s="500"/>
      <c r="JCY17" s="500"/>
      <c r="JCZ17" s="500"/>
      <c r="JDA17" s="500"/>
      <c r="JDB17" s="500"/>
      <c r="JDC17" s="500"/>
      <c r="JDD17" s="500"/>
      <c r="JDE17" s="500"/>
      <c r="JDF17" s="500"/>
      <c r="JDG17" s="500"/>
      <c r="JDH17" s="500"/>
      <c r="JDI17" s="500"/>
      <c r="JDJ17" s="500"/>
      <c r="JDK17" s="500"/>
      <c r="JDL17" s="500"/>
      <c r="JDM17" s="500"/>
      <c r="JDN17" s="500"/>
      <c r="JDO17" s="500"/>
      <c r="JDP17" s="500"/>
      <c r="JDQ17" s="500"/>
      <c r="JDR17" s="500"/>
      <c r="JDS17" s="500"/>
      <c r="JDT17" s="500"/>
      <c r="JDU17" s="500"/>
      <c r="JDV17" s="500"/>
      <c r="JDW17" s="500"/>
      <c r="JDX17" s="500"/>
      <c r="JDY17" s="500"/>
      <c r="JDZ17" s="500"/>
      <c r="JEA17" s="500"/>
      <c r="JEB17" s="500"/>
      <c r="JEC17" s="500"/>
      <c r="JED17" s="500"/>
      <c r="JEE17" s="500"/>
      <c r="JEF17" s="500"/>
      <c r="JEG17" s="500"/>
      <c r="JEH17" s="500"/>
      <c r="JEI17" s="500"/>
      <c r="JEJ17" s="500"/>
      <c r="JEK17" s="500"/>
      <c r="JEL17" s="500"/>
      <c r="JEM17" s="500"/>
      <c r="JEN17" s="500"/>
      <c r="JEO17" s="500"/>
      <c r="JEP17" s="500"/>
      <c r="JEQ17" s="500"/>
      <c r="JER17" s="500"/>
      <c r="JES17" s="500"/>
      <c r="JET17" s="500"/>
      <c r="JEU17" s="500"/>
      <c r="JEV17" s="500"/>
      <c r="JEW17" s="500"/>
      <c r="JEX17" s="500"/>
      <c r="JEY17" s="500"/>
      <c r="JEZ17" s="500"/>
      <c r="JFA17" s="500"/>
      <c r="JFB17" s="500"/>
      <c r="JFC17" s="500"/>
      <c r="JFD17" s="500"/>
      <c r="JFE17" s="500"/>
      <c r="JFF17" s="500"/>
      <c r="JFG17" s="500"/>
      <c r="JFH17" s="500"/>
      <c r="JFI17" s="500"/>
      <c r="JFJ17" s="500"/>
      <c r="JFK17" s="500"/>
      <c r="JFL17" s="500"/>
      <c r="JFM17" s="500"/>
      <c r="JFN17" s="500"/>
      <c r="JFO17" s="500"/>
      <c r="JFP17" s="500"/>
      <c r="JFQ17" s="500"/>
      <c r="JFR17" s="500"/>
      <c r="JFS17" s="500"/>
      <c r="JFT17" s="500"/>
      <c r="JFU17" s="500"/>
      <c r="JFV17" s="500"/>
      <c r="JFW17" s="500"/>
      <c r="JFX17" s="500"/>
      <c r="JFY17" s="500"/>
      <c r="JFZ17" s="500"/>
      <c r="JGA17" s="500"/>
      <c r="JGB17" s="500"/>
      <c r="JGC17" s="500"/>
      <c r="JGD17" s="500"/>
      <c r="JGE17" s="500"/>
      <c r="JGF17" s="500"/>
      <c r="JGG17" s="500"/>
      <c r="JGH17" s="500"/>
      <c r="JGI17" s="500"/>
      <c r="JGJ17" s="500"/>
      <c r="JGK17" s="500"/>
      <c r="JGL17" s="500"/>
      <c r="JGM17" s="500"/>
      <c r="JGN17" s="500"/>
      <c r="JGO17" s="500"/>
      <c r="JGP17" s="500"/>
      <c r="JGQ17" s="500"/>
      <c r="JGR17" s="500"/>
      <c r="JGS17" s="500"/>
      <c r="JGT17" s="500"/>
      <c r="JGU17" s="500"/>
      <c r="JGV17" s="500"/>
      <c r="JGW17" s="500"/>
      <c r="JGX17" s="500"/>
      <c r="JGY17" s="500"/>
      <c r="JGZ17" s="500"/>
      <c r="JHA17" s="500"/>
      <c r="JHB17" s="500"/>
      <c r="JHC17" s="500"/>
      <c r="JHD17" s="500"/>
      <c r="JHE17" s="500"/>
      <c r="JHF17" s="500"/>
      <c r="JHG17" s="500"/>
      <c r="JHH17" s="500"/>
      <c r="JHI17" s="500"/>
      <c r="JHJ17" s="500"/>
      <c r="JHK17" s="500"/>
      <c r="JHL17" s="500"/>
      <c r="JHM17" s="500"/>
      <c r="JHN17" s="500"/>
      <c r="JHO17" s="500"/>
      <c r="JHP17" s="500"/>
      <c r="JHQ17" s="500"/>
      <c r="JHR17" s="500"/>
      <c r="JHS17" s="500"/>
      <c r="JHT17" s="500"/>
      <c r="JHU17" s="500"/>
      <c r="JHV17" s="500"/>
      <c r="JHW17" s="500"/>
      <c r="JHX17" s="500"/>
      <c r="JHY17" s="500"/>
      <c r="JHZ17" s="500"/>
      <c r="JIA17" s="500"/>
      <c r="JIB17" s="500"/>
      <c r="JIC17" s="500"/>
      <c r="JID17" s="500"/>
      <c r="JIE17" s="500"/>
      <c r="JIF17" s="500"/>
      <c r="JIG17" s="500"/>
      <c r="JIH17" s="500"/>
      <c r="JII17" s="500"/>
      <c r="JIJ17" s="500"/>
      <c r="JIK17" s="500"/>
      <c r="JIL17" s="500"/>
      <c r="JIM17" s="500"/>
      <c r="JIN17" s="500"/>
      <c r="JIO17" s="500"/>
      <c r="JIP17" s="500"/>
      <c r="JIQ17" s="500"/>
      <c r="JIR17" s="500"/>
      <c r="JIS17" s="500"/>
      <c r="JIT17" s="500"/>
      <c r="JIU17" s="500"/>
      <c r="JIV17" s="500"/>
      <c r="JIW17" s="500"/>
      <c r="JIX17" s="500"/>
      <c r="JIY17" s="500"/>
      <c r="JIZ17" s="500"/>
      <c r="JJA17" s="500"/>
      <c r="JJB17" s="500"/>
      <c r="JJC17" s="500"/>
      <c r="JJD17" s="500"/>
      <c r="JJE17" s="500"/>
      <c r="JJF17" s="500"/>
      <c r="JJG17" s="500"/>
      <c r="JJH17" s="500"/>
      <c r="JJI17" s="500"/>
      <c r="JJJ17" s="500"/>
      <c r="JJK17" s="500"/>
      <c r="JJL17" s="500"/>
      <c r="JJM17" s="500"/>
      <c r="JJN17" s="500"/>
      <c r="JJO17" s="500"/>
      <c r="JJP17" s="500"/>
      <c r="JJQ17" s="500"/>
      <c r="JJR17" s="500"/>
      <c r="JJS17" s="500"/>
      <c r="JJT17" s="500"/>
      <c r="JJU17" s="500"/>
      <c r="JJV17" s="500"/>
      <c r="JJW17" s="500"/>
      <c r="JJX17" s="500"/>
      <c r="JJY17" s="500"/>
      <c r="JJZ17" s="500"/>
      <c r="JKA17" s="500"/>
      <c r="JKB17" s="500"/>
      <c r="JKC17" s="500"/>
      <c r="JKD17" s="500"/>
      <c r="JKE17" s="500"/>
      <c r="JKF17" s="500"/>
      <c r="JKG17" s="500"/>
      <c r="JKH17" s="500"/>
      <c r="JKI17" s="500"/>
      <c r="JKJ17" s="500"/>
      <c r="JKK17" s="500"/>
      <c r="JKL17" s="500"/>
      <c r="JKM17" s="500"/>
      <c r="JKN17" s="500"/>
      <c r="JKO17" s="500"/>
      <c r="JKP17" s="500"/>
      <c r="JKQ17" s="500"/>
      <c r="JKR17" s="500"/>
      <c r="JKS17" s="500"/>
      <c r="JKT17" s="500"/>
      <c r="JKU17" s="500"/>
      <c r="JKV17" s="500"/>
      <c r="JKW17" s="500"/>
      <c r="JKX17" s="500"/>
      <c r="JKY17" s="500"/>
      <c r="JKZ17" s="500"/>
      <c r="JLA17" s="500"/>
      <c r="JLB17" s="500"/>
      <c r="JLC17" s="500"/>
      <c r="JLD17" s="500"/>
      <c r="JLE17" s="500"/>
      <c r="JLF17" s="500"/>
      <c r="JLG17" s="500"/>
      <c r="JLH17" s="500"/>
      <c r="JLI17" s="500"/>
      <c r="JLJ17" s="500"/>
      <c r="JLK17" s="500"/>
      <c r="JLL17" s="500"/>
      <c r="JLM17" s="500"/>
      <c r="JLN17" s="500"/>
      <c r="JLO17" s="500"/>
      <c r="JLP17" s="500"/>
      <c r="JLQ17" s="500"/>
      <c r="JLR17" s="500"/>
      <c r="JLS17" s="500"/>
      <c r="JLT17" s="500"/>
      <c r="JLU17" s="500"/>
      <c r="JLV17" s="500"/>
      <c r="JLW17" s="500"/>
      <c r="JLX17" s="500"/>
      <c r="JLY17" s="500"/>
      <c r="JLZ17" s="500"/>
      <c r="JMA17" s="500"/>
      <c r="JMB17" s="500"/>
      <c r="JMC17" s="500"/>
      <c r="JMD17" s="500"/>
      <c r="JME17" s="500"/>
      <c r="JMF17" s="500"/>
      <c r="JMG17" s="500"/>
      <c r="JMH17" s="500"/>
      <c r="JMI17" s="500"/>
      <c r="JMJ17" s="500"/>
      <c r="JMK17" s="500"/>
      <c r="JML17" s="500"/>
      <c r="JMM17" s="500"/>
      <c r="JMN17" s="500"/>
      <c r="JMO17" s="500"/>
      <c r="JMP17" s="500"/>
      <c r="JMQ17" s="500"/>
      <c r="JMR17" s="500"/>
      <c r="JMS17" s="500"/>
      <c r="JMT17" s="500"/>
      <c r="JMU17" s="500"/>
      <c r="JMV17" s="500"/>
      <c r="JMW17" s="500"/>
      <c r="JMX17" s="500"/>
      <c r="JMY17" s="500"/>
      <c r="JMZ17" s="500"/>
      <c r="JNA17" s="500"/>
      <c r="JNB17" s="500"/>
      <c r="JNC17" s="500"/>
      <c r="JND17" s="500"/>
      <c r="JNE17" s="500"/>
      <c r="JNF17" s="500"/>
      <c r="JNG17" s="500"/>
      <c r="JNH17" s="500"/>
      <c r="JNI17" s="500"/>
      <c r="JNJ17" s="500"/>
      <c r="JNK17" s="500"/>
      <c r="JNL17" s="500"/>
      <c r="JNM17" s="500"/>
      <c r="JNN17" s="500"/>
      <c r="JNO17" s="500"/>
      <c r="JNP17" s="500"/>
      <c r="JNQ17" s="500"/>
      <c r="JNR17" s="500"/>
      <c r="JNS17" s="500"/>
      <c r="JNT17" s="500"/>
      <c r="JNU17" s="500"/>
      <c r="JNV17" s="500"/>
      <c r="JNW17" s="500"/>
      <c r="JNX17" s="500"/>
      <c r="JNY17" s="500"/>
      <c r="JNZ17" s="500"/>
      <c r="JOA17" s="500"/>
      <c r="JOB17" s="500"/>
      <c r="JOC17" s="500"/>
      <c r="JOD17" s="500"/>
      <c r="JOE17" s="500"/>
      <c r="JOF17" s="500"/>
      <c r="JOG17" s="500"/>
      <c r="JOH17" s="500"/>
      <c r="JOI17" s="500"/>
      <c r="JOJ17" s="500"/>
      <c r="JOK17" s="500"/>
      <c r="JOL17" s="500"/>
      <c r="JOM17" s="500"/>
      <c r="JON17" s="500"/>
      <c r="JOO17" s="500"/>
      <c r="JOP17" s="500"/>
      <c r="JOQ17" s="500"/>
      <c r="JOR17" s="500"/>
      <c r="JOS17" s="500"/>
      <c r="JOT17" s="500"/>
      <c r="JOU17" s="500"/>
      <c r="JOV17" s="500"/>
      <c r="JOW17" s="500"/>
      <c r="JOX17" s="500"/>
      <c r="JOY17" s="500"/>
      <c r="JOZ17" s="500"/>
      <c r="JPA17" s="500"/>
      <c r="JPB17" s="500"/>
      <c r="JPC17" s="500"/>
      <c r="JPD17" s="500"/>
      <c r="JPE17" s="500"/>
      <c r="JPF17" s="500"/>
      <c r="JPG17" s="500"/>
      <c r="JPH17" s="500"/>
      <c r="JPI17" s="500"/>
      <c r="JPJ17" s="500"/>
      <c r="JPK17" s="500"/>
      <c r="JPL17" s="500"/>
      <c r="JPM17" s="500"/>
      <c r="JPN17" s="500"/>
      <c r="JPO17" s="500"/>
      <c r="JPP17" s="500"/>
      <c r="JPQ17" s="500"/>
      <c r="JPR17" s="500"/>
      <c r="JPS17" s="500"/>
      <c r="JPT17" s="500"/>
      <c r="JPU17" s="500"/>
      <c r="JPV17" s="500"/>
      <c r="JPW17" s="500"/>
      <c r="JPX17" s="500"/>
      <c r="JPY17" s="500"/>
      <c r="JPZ17" s="500"/>
      <c r="JQA17" s="500"/>
      <c r="JQB17" s="500"/>
      <c r="JQC17" s="500"/>
      <c r="JQD17" s="500"/>
      <c r="JQE17" s="500"/>
      <c r="JQF17" s="500"/>
      <c r="JQG17" s="500"/>
      <c r="JQH17" s="500"/>
      <c r="JQI17" s="500"/>
      <c r="JQJ17" s="500"/>
      <c r="JQK17" s="500"/>
      <c r="JQL17" s="500"/>
      <c r="JQM17" s="500"/>
      <c r="JQN17" s="500"/>
      <c r="JQO17" s="500"/>
      <c r="JQP17" s="500"/>
      <c r="JQQ17" s="500"/>
      <c r="JQR17" s="500"/>
      <c r="JQS17" s="500"/>
      <c r="JQT17" s="500"/>
      <c r="JQU17" s="500"/>
      <c r="JQV17" s="500"/>
      <c r="JQW17" s="500"/>
      <c r="JQX17" s="500"/>
      <c r="JQY17" s="500"/>
      <c r="JQZ17" s="500"/>
      <c r="JRA17" s="500"/>
      <c r="JRB17" s="500"/>
      <c r="JRC17" s="500"/>
      <c r="JRD17" s="500"/>
      <c r="JRE17" s="500"/>
      <c r="JRF17" s="500"/>
      <c r="JRG17" s="500"/>
      <c r="JRH17" s="500"/>
      <c r="JRI17" s="500"/>
      <c r="JRJ17" s="500"/>
      <c r="JRK17" s="500"/>
      <c r="JRL17" s="500"/>
      <c r="JRM17" s="500"/>
      <c r="JRN17" s="500"/>
      <c r="JRO17" s="500"/>
      <c r="JRP17" s="500"/>
      <c r="JRQ17" s="500"/>
      <c r="JRR17" s="500"/>
      <c r="JRS17" s="500"/>
      <c r="JRT17" s="500"/>
      <c r="JRU17" s="500"/>
      <c r="JRV17" s="500"/>
      <c r="JRW17" s="500"/>
      <c r="JRX17" s="500"/>
      <c r="JRY17" s="500"/>
      <c r="JRZ17" s="500"/>
      <c r="JSA17" s="500"/>
      <c r="JSB17" s="500"/>
      <c r="JSC17" s="500"/>
      <c r="JSD17" s="500"/>
      <c r="JSE17" s="500"/>
      <c r="JSF17" s="500"/>
      <c r="JSG17" s="500"/>
      <c r="JSH17" s="500"/>
      <c r="JSI17" s="500"/>
      <c r="JSJ17" s="500"/>
      <c r="JSK17" s="500"/>
      <c r="JSL17" s="500"/>
      <c r="JSM17" s="500"/>
      <c r="JSN17" s="500"/>
      <c r="JSO17" s="500"/>
      <c r="JSP17" s="500"/>
      <c r="JSQ17" s="500"/>
      <c r="JSR17" s="500"/>
      <c r="JSS17" s="500"/>
      <c r="JST17" s="500"/>
      <c r="JSU17" s="500"/>
      <c r="JSV17" s="500"/>
      <c r="JSW17" s="500"/>
      <c r="JSX17" s="500"/>
      <c r="JSY17" s="500"/>
      <c r="JSZ17" s="500"/>
      <c r="JTA17" s="500"/>
      <c r="JTB17" s="500"/>
      <c r="JTC17" s="500"/>
      <c r="JTD17" s="500"/>
      <c r="JTE17" s="500"/>
      <c r="JTF17" s="500"/>
      <c r="JTG17" s="500"/>
      <c r="JTH17" s="500"/>
      <c r="JTI17" s="500"/>
      <c r="JTJ17" s="500"/>
      <c r="JTK17" s="500"/>
      <c r="JTL17" s="500"/>
      <c r="JTM17" s="500"/>
      <c r="JTN17" s="500"/>
      <c r="JTO17" s="500"/>
      <c r="JTP17" s="500"/>
      <c r="JTQ17" s="500"/>
      <c r="JTR17" s="500"/>
      <c r="JTS17" s="500"/>
      <c r="JTT17" s="500"/>
      <c r="JTU17" s="500"/>
      <c r="JTV17" s="500"/>
      <c r="JTW17" s="500"/>
      <c r="JTX17" s="500"/>
      <c r="JTY17" s="500"/>
      <c r="JTZ17" s="500"/>
      <c r="JUA17" s="500"/>
      <c r="JUB17" s="500"/>
      <c r="JUC17" s="500"/>
      <c r="JUD17" s="500"/>
      <c r="JUE17" s="500"/>
      <c r="JUF17" s="500"/>
      <c r="JUG17" s="500"/>
      <c r="JUH17" s="500"/>
      <c r="JUI17" s="500"/>
      <c r="JUJ17" s="500"/>
      <c r="JUK17" s="500"/>
      <c r="JUL17" s="500"/>
      <c r="JUM17" s="500"/>
      <c r="JUN17" s="500"/>
      <c r="JUO17" s="500"/>
      <c r="JUP17" s="500"/>
      <c r="JUQ17" s="500"/>
      <c r="JUR17" s="500"/>
      <c r="JUS17" s="500"/>
      <c r="JUT17" s="500"/>
      <c r="JUU17" s="500"/>
      <c r="JUV17" s="500"/>
      <c r="JUW17" s="500"/>
      <c r="JUX17" s="500"/>
      <c r="JUY17" s="500"/>
      <c r="JUZ17" s="500"/>
      <c r="JVA17" s="500"/>
      <c r="JVB17" s="500"/>
      <c r="JVC17" s="500"/>
      <c r="JVD17" s="500"/>
      <c r="JVE17" s="500"/>
      <c r="JVF17" s="500"/>
      <c r="JVG17" s="500"/>
      <c r="JVH17" s="500"/>
      <c r="JVI17" s="500"/>
      <c r="JVJ17" s="500"/>
      <c r="JVK17" s="500"/>
      <c r="JVL17" s="500"/>
      <c r="JVM17" s="500"/>
      <c r="JVN17" s="500"/>
      <c r="JVO17" s="500"/>
      <c r="JVP17" s="500"/>
      <c r="JVQ17" s="500"/>
      <c r="JVR17" s="500"/>
      <c r="JVS17" s="500"/>
      <c r="JVT17" s="500"/>
      <c r="JVU17" s="500"/>
      <c r="JVV17" s="500"/>
      <c r="JVW17" s="500"/>
      <c r="JVX17" s="500"/>
      <c r="JVY17" s="500"/>
      <c r="JVZ17" s="500"/>
      <c r="JWA17" s="500"/>
      <c r="JWB17" s="500"/>
      <c r="JWC17" s="500"/>
      <c r="JWD17" s="500"/>
      <c r="JWE17" s="500"/>
      <c r="JWF17" s="500"/>
      <c r="JWG17" s="500"/>
      <c r="JWH17" s="500"/>
      <c r="JWI17" s="500"/>
      <c r="JWJ17" s="500"/>
      <c r="JWK17" s="500"/>
      <c r="JWL17" s="500"/>
      <c r="JWM17" s="500"/>
      <c r="JWN17" s="500"/>
      <c r="JWO17" s="500"/>
      <c r="JWP17" s="500"/>
      <c r="JWQ17" s="500"/>
      <c r="JWR17" s="500"/>
      <c r="JWS17" s="500"/>
      <c r="JWT17" s="500"/>
      <c r="JWU17" s="500"/>
      <c r="JWV17" s="500"/>
      <c r="JWW17" s="500"/>
      <c r="JWX17" s="500"/>
      <c r="JWY17" s="500"/>
      <c r="JWZ17" s="500"/>
      <c r="JXA17" s="500"/>
      <c r="JXB17" s="500"/>
      <c r="JXC17" s="500"/>
      <c r="JXD17" s="500"/>
      <c r="JXE17" s="500"/>
      <c r="JXF17" s="500"/>
      <c r="JXG17" s="500"/>
      <c r="JXH17" s="500"/>
      <c r="JXI17" s="500"/>
      <c r="JXJ17" s="500"/>
      <c r="JXK17" s="500"/>
      <c r="JXL17" s="500"/>
      <c r="JXM17" s="500"/>
      <c r="JXN17" s="500"/>
      <c r="JXO17" s="500"/>
      <c r="JXP17" s="500"/>
      <c r="JXQ17" s="500"/>
      <c r="JXR17" s="500"/>
      <c r="JXS17" s="500"/>
      <c r="JXT17" s="500"/>
      <c r="JXU17" s="500"/>
      <c r="JXV17" s="500"/>
      <c r="JXW17" s="500"/>
      <c r="JXX17" s="500"/>
      <c r="JXY17" s="500"/>
      <c r="JXZ17" s="500"/>
      <c r="JYA17" s="500"/>
      <c r="JYB17" s="500"/>
      <c r="JYC17" s="500"/>
      <c r="JYD17" s="500"/>
      <c r="JYE17" s="500"/>
      <c r="JYF17" s="500"/>
      <c r="JYG17" s="500"/>
      <c r="JYH17" s="500"/>
      <c r="JYI17" s="500"/>
      <c r="JYJ17" s="500"/>
      <c r="JYK17" s="500"/>
      <c r="JYL17" s="500"/>
      <c r="JYM17" s="500"/>
      <c r="JYN17" s="500"/>
      <c r="JYO17" s="500"/>
      <c r="JYP17" s="500"/>
      <c r="JYQ17" s="500"/>
      <c r="JYR17" s="500"/>
      <c r="JYS17" s="500"/>
      <c r="JYT17" s="500"/>
      <c r="JYU17" s="500"/>
      <c r="JYV17" s="500"/>
      <c r="JYW17" s="500"/>
      <c r="JYX17" s="500"/>
      <c r="JYY17" s="500"/>
      <c r="JYZ17" s="500"/>
      <c r="JZA17" s="500"/>
      <c r="JZB17" s="500"/>
      <c r="JZC17" s="500"/>
      <c r="JZD17" s="500"/>
      <c r="JZE17" s="500"/>
      <c r="JZF17" s="500"/>
      <c r="JZG17" s="500"/>
      <c r="JZH17" s="500"/>
      <c r="JZI17" s="500"/>
      <c r="JZJ17" s="500"/>
      <c r="JZK17" s="500"/>
      <c r="JZL17" s="500"/>
      <c r="JZM17" s="500"/>
      <c r="JZN17" s="500"/>
      <c r="JZO17" s="500"/>
      <c r="JZP17" s="500"/>
      <c r="JZQ17" s="500"/>
      <c r="JZR17" s="500"/>
      <c r="JZS17" s="500"/>
      <c r="JZT17" s="500"/>
      <c r="JZU17" s="500"/>
      <c r="JZV17" s="500"/>
      <c r="JZW17" s="500"/>
      <c r="JZX17" s="500"/>
      <c r="JZY17" s="500"/>
      <c r="JZZ17" s="500"/>
      <c r="KAA17" s="500"/>
      <c r="KAB17" s="500"/>
      <c r="KAC17" s="500"/>
      <c r="KAD17" s="500"/>
      <c r="KAE17" s="500"/>
      <c r="KAF17" s="500"/>
      <c r="KAG17" s="500"/>
      <c r="KAH17" s="500"/>
      <c r="KAI17" s="500"/>
      <c r="KAJ17" s="500"/>
      <c r="KAK17" s="500"/>
      <c r="KAL17" s="500"/>
      <c r="KAM17" s="500"/>
      <c r="KAN17" s="500"/>
      <c r="KAO17" s="500"/>
      <c r="KAP17" s="500"/>
      <c r="KAQ17" s="500"/>
      <c r="KAR17" s="500"/>
      <c r="KAS17" s="500"/>
      <c r="KAT17" s="500"/>
      <c r="KAU17" s="500"/>
      <c r="KAV17" s="500"/>
      <c r="KAW17" s="500"/>
      <c r="KAX17" s="500"/>
      <c r="KAY17" s="500"/>
      <c r="KAZ17" s="500"/>
      <c r="KBA17" s="500"/>
      <c r="KBB17" s="500"/>
      <c r="KBC17" s="500"/>
      <c r="KBD17" s="500"/>
      <c r="KBE17" s="500"/>
      <c r="KBF17" s="500"/>
      <c r="KBG17" s="500"/>
      <c r="KBH17" s="500"/>
      <c r="KBI17" s="500"/>
      <c r="KBJ17" s="500"/>
      <c r="KBK17" s="500"/>
      <c r="KBL17" s="500"/>
      <c r="KBM17" s="500"/>
      <c r="KBN17" s="500"/>
      <c r="KBO17" s="500"/>
      <c r="KBP17" s="500"/>
      <c r="KBQ17" s="500"/>
      <c r="KBR17" s="500"/>
      <c r="KBS17" s="500"/>
      <c r="KBT17" s="500"/>
      <c r="KBU17" s="500"/>
      <c r="KBV17" s="500"/>
      <c r="KBW17" s="500"/>
      <c r="KBX17" s="500"/>
      <c r="KBY17" s="500"/>
      <c r="KBZ17" s="500"/>
      <c r="KCA17" s="500"/>
      <c r="KCB17" s="500"/>
      <c r="KCC17" s="500"/>
      <c r="KCD17" s="500"/>
      <c r="KCE17" s="500"/>
      <c r="KCF17" s="500"/>
      <c r="KCG17" s="500"/>
      <c r="KCH17" s="500"/>
      <c r="KCI17" s="500"/>
      <c r="KCJ17" s="500"/>
      <c r="KCK17" s="500"/>
      <c r="KCL17" s="500"/>
      <c r="KCM17" s="500"/>
      <c r="KCN17" s="500"/>
      <c r="KCO17" s="500"/>
      <c r="KCP17" s="500"/>
      <c r="KCQ17" s="500"/>
      <c r="KCR17" s="500"/>
      <c r="KCS17" s="500"/>
      <c r="KCT17" s="500"/>
      <c r="KCU17" s="500"/>
      <c r="KCV17" s="500"/>
      <c r="KCW17" s="500"/>
      <c r="KCX17" s="500"/>
      <c r="KCY17" s="500"/>
      <c r="KCZ17" s="500"/>
      <c r="KDA17" s="500"/>
      <c r="KDB17" s="500"/>
      <c r="KDC17" s="500"/>
      <c r="KDD17" s="500"/>
      <c r="KDE17" s="500"/>
      <c r="KDF17" s="500"/>
      <c r="KDG17" s="500"/>
      <c r="KDH17" s="500"/>
      <c r="KDI17" s="500"/>
      <c r="KDJ17" s="500"/>
      <c r="KDK17" s="500"/>
      <c r="KDL17" s="500"/>
      <c r="KDM17" s="500"/>
      <c r="KDN17" s="500"/>
      <c r="KDO17" s="500"/>
      <c r="KDP17" s="500"/>
      <c r="KDQ17" s="500"/>
      <c r="KDR17" s="500"/>
      <c r="KDS17" s="500"/>
      <c r="KDT17" s="500"/>
      <c r="KDU17" s="500"/>
      <c r="KDV17" s="500"/>
      <c r="KDW17" s="500"/>
      <c r="KDX17" s="500"/>
      <c r="KDY17" s="500"/>
      <c r="KDZ17" s="500"/>
      <c r="KEA17" s="500"/>
      <c r="KEB17" s="500"/>
      <c r="KEC17" s="500"/>
      <c r="KED17" s="500"/>
      <c r="KEE17" s="500"/>
      <c r="KEF17" s="500"/>
      <c r="KEG17" s="500"/>
      <c r="KEH17" s="500"/>
      <c r="KEI17" s="500"/>
      <c r="KEJ17" s="500"/>
      <c r="KEK17" s="500"/>
      <c r="KEL17" s="500"/>
      <c r="KEM17" s="500"/>
      <c r="KEN17" s="500"/>
      <c r="KEO17" s="500"/>
      <c r="KEP17" s="500"/>
      <c r="KEQ17" s="500"/>
      <c r="KER17" s="500"/>
      <c r="KES17" s="500"/>
      <c r="KET17" s="500"/>
      <c r="KEU17" s="500"/>
      <c r="KEV17" s="500"/>
      <c r="KEW17" s="500"/>
      <c r="KEX17" s="500"/>
      <c r="KEY17" s="500"/>
      <c r="KEZ17" s="500"/>
      <c r="KFA17" s="500"/>
      <c r="KFB17" s="500"/>
      <c r="KFC17" s="500"/>
      <c r="KFD17" s="500"/>
      <c r="KFE17" s="500"/>
      <c r="KFF17" s="500"/>
      <c r="KFG17" s="500"/>
      <c r="KFH17" s="500"/>
      <c r="KFI17" s="500"/>
      <c r="KFJ17" s="500"/>
      <c r="KFK17" s="500"/>
      <c r="KFL17" s="500"/>
      <c r="KFM17" s="500"/>
      <c r="KFN17" s="500"/>
      <c r="KFO17" s="500"/>
      <c r="KFP17" s="500"/>
      <c r="KFQ17" s="500"/>
      <c r="KFR17" s="500"/>
      <c r="KFS17" s="500"/>
      <c r="KFT17" s="500"/>
      <c r="KFU17" s="500"/>
      <c r="KFV17" s="500"/>
      <c r="KFW17" s="500"/>
      <c r="KFX17" s="500"/>
      <c r="KFY17" s="500"/>
      <c r="KFZ17" s="500"/>
      <c r="KGA17" s="500"/>
      <c r="KGB17" s="500"/>
      <c r="KGC17" s="500"/>
      <c r="KGD17" s="500"/>
      <c r="KGE17" s="500"/>
      <c r="KGF17" s="500"/>
      <c r="KGG17" s="500"/>
      <c r="KGH17" s="500"/>
      <c r="KGI17" s="500"/>
      <c r="KGJ17" s="500"/>
      <c r="KGK17" s="500"/>
      <c r="KGL17" s="500"/>
      <c r="KGM17" s="500"/>
      <c r="KGN17" s="500"/>
      <c r="KGO17" s="500"/>
      <c r="KGP17" s="500"/>
      <c r="KGQ17" s="500"/>
      <c r="KGR17" s="500"/>
      <c r="KGS17" s="500"/>
      <c r="KGT17" s="500"/>
      <c r="KGU17" s="500"/>
      <c r="KGV17" s="500"/>
      <c r="KGW17" s="500"/>
      <c r="KGX17" s="500"/>
      <c r="KGY17" s="500"/>
      <c r="KGZ17" s="500"/>
      <c r="KHA17" s="500"/>
      <c r="KHB17" s="500"/>
      <c r="KHC17" s="500"/>
      <c r="KHD17" s="500"/>
      <c r="KHE17" s="500"/>
      <c r="KHF17" s="500"/>
      <c r="KHG17" s="500"/>
      <c r="KHH17" s="500"/>
      <c r="KHI17" s="500"/>
      <c r="KHJ17" s="500"/>
      <c r="KHK17" s="500"/>
      <c r="KHL17" s="500"/>
      <c r="KHM17" s="500"/>
      <c r="KHN17" s="500"/>
      <c r="KHO17" s="500"/>
      <c r="KHP17" s="500"/>
      <c r="KHQ17" s="500"/>
      <c r="KHR17" s="500"/>
      <c r="KHS17" s="500"/>
      <c r="KHT17" s="500"/>
      <c r="KHU17" s="500"/>
      <c r="KHV17" s="500"/>
      <c r="KHW17" s="500"/>
      <c r="KHX17" s="500"/>
      <c r="KHY17" s="500"/>
      <c r="KHZ17" s="500"/>
      <c r="KIA17" s="500"/>
      <c r="KIB17" s="500"/>
      <c r="KIC17" s="500"/>
      <c r="KID17" s="500"/>
      <c r="KIE17" s="500"/>
      <c r="KIF17" s="500"/>
      <c r="KIG17" s="500"/>
      <c r="KIH17" s="500"/>
      <c r="KII17" s="500"/>
      <c r="KIJ17" s="500"/>
      <c r="KIK17" s="500"/>
      <c r="KIL17" s="500"/>
      <c r="KIM17" s="500"/>
      <c r="KIN17" s="500"/>
      <c r="KIO17" s="500"/>
      <c r="KIP17" s="500"/>
      <c r="KIQ17" s="500"/>
      <c r="KIR17" s="500"/>
      <c r="KIS17" s="500"/>
      <c r="KIT17" s="500"/>
      <c r="KIU17" s="500"/>
      <c r="KIV17" s="500"/>
      <c r="KIW17" s="500"/>
      <c r="KIX17" s="500"/>
      <c r="KIY17" s="500"/>
      <c r="KIZ17" s="500"/>
      <c r="KJA17" s="500"/>
      <c r="KJB17" s="500"/>
      <c r="KJC17" s="500"/>
      <c r="KJD17" s="500"/>
      <c r="KJE17" s="500"/>
      <c r="KJF17" s="500"/>
      <c r="KJG17" s="500"/>
      <c r="KJH17" s="500"/>
      <c r="KJI17" s="500"/>
      <c r="KJJ17" s="500"/>
      <c r="KJK17" s="500"/>
      <c r="KJL17" s="500"/>
      <c r="KJM17" s="500"/>
      <c r="KJN17" s="500"/>
      <c r="KJO17" s="500"/>
      <c r="KJP17" s="500"/>
      <c r="KJQ17" s="500"/>
      <c r="KJR17" s="500"/>
      <c r="KJS17" s="500"/>
      <c r="KJT17" s="500"/>
      <c r="KJU17" s="500"/>
      <c r="KJV17" s="500"/>
      <c r="KJW17" s="500"/>
      <c r="KJX17" s="500"/>
      <c r="KJY17" s="500"/>
      <c r="KJZ17" s="500"/>
      <c r="KKA17" s="500"/>
      <c r="KKB17" s="500"/>
      <c r="KKC17" s="500"/>
      <c r="KKD17" s="500"/>
      <c r="KKE17" s="500"/>
      <c r="KKF17" s="500"/>
      <c r="KKG17" s="500"/>
      <c r="KKH17" s="500"/>
      <c r="KKI17" s="500"/>
      <c r="KKJ17" s="500"/>
      <c r="KKK17" s="500"/>
      <c r="KKL17" s="500"/>
      <c r="KKM17" s="500"/>
      <c r="KKN17" s="500"/>
      <c r="KKO17" s="500"/>
      <c r="KKP17" s="500"/>
      <c r="KKQ17" s="500"/>
      <c r="KKR17" s="500"/>
      <c r="KKS17" s="500"/>
      <c r="KKT17" s="500"/>
      <c r="KKU17" s="500"/>
      <c r="KKV17" s="500"/>
      <c r="KKW17" s="500"/>
      <c r="KKX17" s="500"/>
      <c r="KKY17" s="500"/>
      <c r="KKZ17" s="500"/>
      <c r="KLA17" s="500"/>
      <c r="KLB17" s="500"/>
      <c r="KLC17" s="500"/>
      <c r="KLD17" s="500"/>
      <c r="KLE17" s="500"/>
      <c r="KLF17" s="500"/>
      <c r="KLG17" s="500"/>
      <c r="KLH17" s="500"/>
      <c r="KLI17" s="500"/>
      <c r="KLJ17" s="500"/>
      <c r="KLK17" s="500"/>
      <c r="KLL17" s="500"/>
      <c r="KLM17" s="500"/>
      <c r="KLN17" s="500"/>
      <c r="KLO17" s="500"/>
      <c r="KLP17" s="500"/>
      <c r="KLQ17" s="500"/>
      <c r="KLR17" s="500"/>
      <c r="KLS17" s="500"/>
      <c r="KLT17" s="500"/>
      <c r="KLU17" s="500"/>
      <c r="KLV17" s="500"/>
      <c r="KLW17" s="500"/>
      <c r="KLX17" s="500"/>
      <c r="KLY17" s="500"/>
      <c r="KLZ17" s="500"/>
      <c r="KMA17" s="500"/>
      <c r="KMB17" s="500"/>
      <c r="KMC17" s="500"/>
      <c r="KMD17" s="500"/>
      <c r="KME17" s="500"/>
      <c r="KMF17" s="500"/>
      <c r="KMG17" s="500"/>
      <c r="KMH17" s="500"/>
      <c r="KMI17" s="500"/>
      <c r="KMJ17" s="500"/>
      <c r="KMK17" s="500"/>
      <c r="KML17" s="500"/>
      <c r="KMM17" s="500"/>
      <c r="KMN17" s="500"/>
      <c r="KMO17" s="500"/>
      <c r="KMP17" s="500"/>
      <c r="KMQ17" s="500"/>
      <c r="KMR17" s="500"/>
      <c r="KMS17" s="500"/>
      <c r="KMT17" s="500"/>
      <c r="KMU17" s="500"/>
      <c r="KMV17" s="500"/>
      <c r="KMW17" s="500"/>
      <c r="KMX17" s="500"/>
      <c r="KMY17" s="500"/>
      <c r="KMZ17" s="500"/>
      <c r="KNA17" s="500"/>
      <c r="KNB17" s="500"/>
      <c r="KNC17" s="500"/>
      <c r="KND17" s="500"/>
      <c r="KNE17" s="500"/>
      <c r="KNF17" s="500"/>
      <c r="KNG17" s="500"/>
      <c r="KNH17" s="500"/>
      <c r="KNI17" s="500"/>
      <c r="KNJ17" s="500"/>
      <c r="KNK17" s="500"/>
      <c r="KNL17" s="500"/>
      <c r="KNM17" s="500"/>
      <c r="KNN17" s="500"/>
      <c r="KNO17" s="500"/>
      <c r="KNP17" s="500"/>
      <c r="KNQ17" s="500"/>
      <c r="KNR17" s="500"/>
      <c r="KNS17" s="500"/>
      <c r="KNT17" s="500"/>
      <c r="KNU17" s="500"/>
      <c r="KNV17" s="500"/>
      <c r="KNW17" s="500"/>
      <c r="KNX17" s="500"/>
      <c r="KNY17" s="500"/>
      <c r="KNZ17" s="500"/>
      <c r="KOA17" s="500"/>
      <c r="KOB17" s="500"/>
      <c r="KOC17" s="500"/>
      <c r="KOD17" s="500"/>
      <c r="KOE17" s="500"/>
      <c r="KOF17" s="500"/>
      <c r="KOG17" s="500"/>
      <c r="KOH17" s="500"/>
      <c r="KOI17" s="500"/>
      <c r="KOJ17" s="500"/>
      <c r="KOK17" s="500"/>
      <c r="KOL17" s="500"/>
      <c r="KOM17" s="500"/>
      <c r="KON17" s="500"/>
      <c r="KOO17" s="500"/>
      <c r="KOP17" s="500"/>
      <c r="KOQ17" s="500"/>
      <c r="KOR17" s="500"/>
      <c r="KOS17" s="500"/>
      <c r="KOT17" s="500"/>
      <c r="KOU17" s="500"/>
      <c r="KOV17" s="500"/>
      <c r="KOW17" s="500"/>
      <c r="KOX17" s="500"/>
      <c r="KOY17" s="500"/>
      <c r="KOZ17" s="500"/>
      <c r="KPA17" s="500"/>
      <c r="KPB17" s="500"/>
      <c r="KPC17" s="500"/>
      <c r="KPD17" s="500"/>
      <c r="KPE17" s="500"/>
      <c r="KPF17" s="500"/>
      <c r="KPG17" s="500"/>
      <c r="KPH17" s="500"/>
      <c r="KPI17" s="500"/>
      <c r="KPJ17" s="500"/>
      <c r="KPK17" s="500"/>
      <c r="KPL17" s="500"/>
      <c r="KPM17" s="500"/>
      <c r="KPN17" s="500"/>
      <c r="KPO17" s="500"/>
      <c r="KPP17" s="500"/>
      <c r="KPQ17" s="500"/>
      <c r="KPR17" s="500"/>
      <c r="KPS17" s="500"/>
      <c r="KPT17" s="500"/>
      <c r="KPU17" s="500"/>
      <c r="KPV17" s="500"/>
      <c r="KPW17" s="500"/>
      <c r="KPX17" s="500"/>
      <c r="KPY17" s="500"/>
      <c r="KPZ17" s="500"/>
      <c r="KQA17" s="500"/>
      <c r="KQB17" s="500"/>
      <c r="KQC17" s="500"/>
      <c r="KQD17" s="500"/>
      <c r="KQE17" s="500"/>
      <c r="KQF17" s="500"/>
      <c r="KQG17" s="500"/>
      <c r="KQH17" s="500"/>
      <c r="KQI17" s="500"/>
      <c r="KQJ17" s="500"/>
      <c r="KQK17" s="500"/>
      <c r="KQL17" s="500"/>
      <c r="KQM17" s="500"/>
      <c r="KQN17" s="500"/>
      <c r="KQO17" s="500"/>
      <c r="KQP17" s="500"/>
      <c r="KQQ17" s="500"/>
      <c r="KQR17" s="500"/>
      <c r="KQS17" s="500"/>
      <c r="KQT17" s="500"/>
      <c r="KQU17" s="500"/>
      <c r="KQV17" s="500"/>
      <c r="KQW17" s="500"/>
      <c r="KQX17" s="500"/>
      <c r="KQY17" s="500"/>
      <c r="KQZ17" s="500"/>
      <c r="KRA17" s="500"/>
      <c r="KRB17" s="500"/>
      <c r="KRC17" s="500"/>
      <c r="KRD17" s="500"/>
      <c r="KRE17" s="500"/>
      <c r="KRF17" s="500"/>
      <c r="KRG17" s="500"/>
      <c r="KRH17" s="500"/>
      <c r="KRI17" s="500"/>
      <c r="KRJ17" s="500"/>
      <c r="KRK17" s="500"/>
      <c r="KRL17" s="500"/>
      <c r="KRM17" s="500"/>
      <c r="KRN17" s="500"/>
      <c r="KRO17" s="500"/>
      <c r="KRP17" s="500"/>
      <c r="KRQ17" s="500"/>
      <c r="KRR17" s="500"/>
      <c r="KRS17" s="500"/>
      <c r="KRT17" s="500"/>
      <c r="KRU17" s="500"/>
      <c r="KRV17" s="500"/>
      <c r="KRW17" s="500"/>
      <c r="KRX17" s="500"/>
      <c r="KRY17" s="500"/>
      <c r="KRZ17" s="500"/>
      <c r="KSA17" s="500"/>
      <c r="KSB17" s="500"/>
      <c r="KSC17" s="500"/>
      <c r="KSD17" s="500"/>
      <c r="KSE17" s="500"/>
      <c r="KSF17" s="500"/>
      <c r="KSG17" s="500"/>
      <c r="KSH17" s="500"/>
      <c r="KSI17" s="500"/>
      <c r="KSJ17" s="500"/>
      <c r="KSK17" s="500"/>
      <c r="KSL17" s="500"/>
      <c r="KSM17" s="500"/>
      <c r="KSN17" s="500"/>
      <c r="KSO17" s="500"/>
      <c r="KSP17" s="500"/>
      <c r="KSQ17" s="500"/>
      <c r="KSR17" s="500"/>
      <c r="KSS17" s="500"/>
      <c r="KST17" s="500"/>
      <c r="KSU17" s="500"/>
      <c r="KSV17" s="500"/>
      <c r="KSW17" s="500"/>
      <c r="KSX17" s="500"/>
      <c r="KSY17" s="500"/>
      <c r="KSZ17" s="500"/>
      <c r="KTA17" s="500"/>
      <c r="KTB17" s="500"/>
      <c r="KTC17" s="500"/>
      <c r="KTD17" s="500"/>
      <c r="KTE17" s="500"/>
      <c r="KTF17" s="500"/>
      <c r="KTG17" s="500"/>
      <c r="KTH17" s="500"/>
      <c r="KTI17" s="500"/>
      <c r="KTJ17" s="500"/>
      <c r="KTK17" s="500"/>
      <c r="KTL17" s="500"/>
      <c r="KTM17" s="500"/>
      <c r="KTN17" s="500"/>
      <c r="KTO17" s="500"/>
      <c r="KTP17" s="500"/>
      <c r="KTQ17" s="500"/>
      <c r="KTR17" s="500"/>
      <c r="KTS17" s="500"/>
      <c r="KTT17" s="500"/>
      <c r="KTU17" s="500"/>
      <c r="KTV17" s="500"/>
      <c r="KTW17" s="500"/>
      <c r="KTX17" s="500"/>
      <c r="KTY17" s="500"/>
      <c r="KTZ17" s="500"/>
      <c r="KUA17" s="500"/>
      <c r="KUB17" s="500"/>
      <c r="KUC17" s="500"/>
      <c r="KUD17" s="500"/>
      <c r="KUE17" s="500"/>
      <c r="KUF17" s="500"/>
      <c r="KUG17" s="500"/>
      <c r="KUH17" s="500"/>
      <c r="KUI17" s="500"/>
      <c r="KUJ17" s="500"/>
      <c r="KUK17" s="500"/>
      <c r="KUL17" s="500"/>
      <c r="KUM17" s="500"/>
      <c r="KUN17" s="500"/>
      <c r="KUO17" s="500"/>
      <c r="KUP17" s="500"/>
      <c r="KUQ17" s="500"/>
      <c r="KUR17" s="500"/>
      <c r="KUS17" s="500"/>
      <c r="KUT17" s="500"/>
      <c r="KUU17" s="500"/>
      <c r="KUV17" s="500"/>
      <c r="KUW17" s="500"/>
      <c r="KUX17" s="500"/>
      <c r="KUY17" s="500"/>
      <c r="KUZ17" s="500"/>
      <c r="KVA17" s="500"/>
      <c r="KVB17" s="500"/>
      <c r="KVC17" s="500"/>
      <c r="KVD17" s="500"/>
      <c r="KVE17" s="500"/>
      <c r="KVF17" s="500"/>
      <c r="KVG17" s="500"/>
      <c r="KVH17" s="500"/>
      <c r="KVI17" s="500"/>
      <c r="KVJ17" s="500"/>
      <c r="KVK17" s="500"/>
      <c r="KVL17" s="500"/>
      <c r="KVM17" s="500"/>
      <c r="KVN17" s="500"/>
      <c r="KVO17" s="500"/>
      <c r="KVP17" s="500"/>
      <c r="KVQ17" s="500"/>
      <c r="KVR17" s="500"/>
      <c r="KVS17" s="500"/>
      <c r="KVT17" s="500"/>
      <c r="KVU17" s="500"/>
      <c r="KVV17" s="500"/>
      <c r="KVW17" s="500"/>
      <c r="KVX17" s="500"/>
      <c r="KVY17" s="500"/>
      <c r="KVZ17" s="500"/>
      <c r="KWA17" s="500"/>
      <c r="KWB17" s="500"/>
      <c r="KWC17" s="500"/>
      <c r="KWD17" s="500"/>
      <c r="KWE17" s="500"/>
      <c r="KWF17" s="500"/>
      <c r="KWG17" s="500"/>
      <c r="KWH17" s="500"/>
      <c r="KWI17" s="500"/>
      <c r="KWJ17" s="500"/>
      <c r="KWK17" s="500"/>
      <c r="KWL17" s="500"/>
      <c r="KWM17" s="500"/>
      <c r="KWN17" s="500"/>
      <c r="KWO17" s="500"/>
      <c r="KWP17" s="500"/>
      <c r="KWQ17" s="500"/>
      <c r="KWR17" s="500"/>
      <c r="KWS17" s="500"/>
      <c r="KWT17" s="500"/>
      <c r="KWU17" s="500"/>
      <c r="KWV17" s="500"/>
      <c r="KWW17" s="500"/>
      <c r="KWX17" s="500"/>
      <c r="KWY17" s="500"/>
      <c r="KWZ17" s="500"/>
      <c r="KXA17" s="500"/>
      <c r="KXB17" s="500"/>
      <c r="KXC17" s="500"/>
      <c r="KXD17" s="500"/>
      <c r="KXE17" s="500"/>
      <c r="KXF17" s="500"/>
      <c r="KXG17" s="500"/>
      <c r="KXH17" s="500"/>
      <c r="KXI17" s="500"/>
      <c r="KXJ17" s="500"/>
      <c r="KXK17" s="500"/>
      <c r="KXL17" s="500"/>
      <c r="KXM17" s="500"/>
      <c r="KXN17" s="500"/>
      <c r="KXO17" s="500"/>
      <c r="KXP17" s="500"/>
      <c r="KXQ17" s="500"/>
      <c r="KXR17" s="500"/>
      <c r="KXS17" s="500"/>
      <c r="KXT17" s="500"/>
      <c r="KXU17" s="500"/>
      <c r="KXV17" s="500"/>
      <c r="KXW17" s="500"/>
      <c r="KXX17" s="500"/>
      <c r="KXY17" s="500"/>
      <c r="KXZ17" s="500"/>
      <c r="KYA17" s="500"/>
      <c r="KYB17" s="500"/>
      <c r="KYC17" s="500"/>
      <c r="KYD17" s="500"/>
      <c r="KYE17" s="500"/>
      <c r="KYF17" s="500"/>
      <c r="KYG17" s="500"/>
      <c r="KYH17" s="500"/>
      <c r="KYI17" s="500"/>
      <c r="KYJ17" s="500"/>
      <c r="KYK17" s="500"/>
      <c r="KYL17" s="500"/>
      <c r="KYM17" s="500"/>
      <c r="KYN17" s="500"/>
      <c r="KYO17" s="500"/>
      <c r="KYP17" s="500"/>
      <c r="KYQ17" s="500"/>
      <c r="KYR17" s="500"/>
      <c r="KYS17" s="500"/>
      <c r="KYT17" s="500"/>
      <c r="KYU17" s="500"/>
      <c r="KYV17" s="500"/>
      <c r="KYW17" s="500"/>
      <c r="KYX17" s="500"/>
      <c r="KYY17" s="500"/>
      <c r="KYZ17" s="500"/>
      <c r="KZA17" s="500"/>
      <c r="KZB17" s="500"/>
      <c r="KZC17" s="500"/>
      <c r="KZD17" s="500"/>
      <c r="KZE17" s="500"/>
      <c r="KZF17" s="500"/>
      <c r="KZG17" s="500"/>
      <c r="KZH17" s="500"/>
      <c r="KZI17" s="500"/>
      <c r="KZJ17" s="500"/>
      <c r="KZK17" s="500"/>
      <c r="KZL17" s="500"/>
      <c r="KZM17" s="500"/>
      <c r="KZN17" s="500"/>
      <c r="KZO17" s="500"/>
      <c r="KZP17" s="500"/>
      <c r="KZQ17" s="500"/>
      <c r="KZR17" s="500"/>
      <c r="KZS17" s="500"/>
      <c r="KZT17" s="500"/>
      <c r="KZU17" s="500"/>
      <c r="KZV17" s="500"/>
      <c r="KZW17" s="500"/>
      <c r="KZX17" s="500"/>
      <c r="KZY17" s="500"/>
      <c r="KZZ17" s="500"/>
      <c r="LAA17" s="500"/>
      <c r="LAB17" s="500"/>
      <c r="LAC17" s="500"/>
      <c r="LAD17" s="500"/>
      <c r="LAE17" s="500"/>
      <c r="LAF17" s="500"/>
      <c r="LAG17" s="500"/>
      <c r="LAH17" s="500"/>
      <c r="LAI17" s="500"/>
      <c r="LAJ17" s="500"/>
      <c r="LAK17" s="500"/>
      <c r="LAL17" s="500"/>
      <c r="LAM17" s="500"/>
      <c r="LAN17" s="500"/>
      <c r="LAO17" s="500"/>
      <c r="LAP17" s="500"/>
      <c r="LAQ17" s="500"/>
      <c r="LAR17" s="500"/>
      <c r="LAS17" s="500"/>
      <c r="LAT17" s="500"/>
      <c r="LAU17" s="500"/>
      <c r="LAV17" s="500"/>
      <c r="LAW17" s="500"/>
      <c r="LAX17" s="500"/>
      <c r="LAY17" s="500"/>
      <c r="LAZ17" s="500"/>
      <c r="LBA17" s="500"/>
      <c r="LBB17" s="500"/>
      <c r="LBC17" s="500"/>
      <c r="LBD17" s="500"/>
      <c r="LBE17" s="500"/>
      <c r="LBF17" s="500"/>
      <c r="LBG17" s="500"/>
      <c r="LBH17" s="500"/>
      <c r="LBI17" s="500"/>
      <c r="LBJ17" s="500"/>
      <c r="LBK17" s="500"/>
      <c r="LBL17" s="500"/>
      <c r="LBM17" s="500"/>
      <c r="LBN17" s="500"/>
      <c r="LBO17" s="500"/>
      <c r="LBP17" s="500"/>
      <c r="LBQ17" s="500"/>
      <c r="LBR17" s="500"/>
      <c r="LBS17" s="500"/>
      <c r="LBT17" s="500"/>
      <c r="LBU17" s="500"/>
      <c r="LBV17" s="500"/>
      <c r="LBW17" s="500"/>
      <c r="LBX17" s="500"/>
      <c r="LBY17" s="500"/>
      <c r="LBZ17" s="500"/>
      <c r="LCA17" s="500"/>
      <c r="LCB17" s="500"/>
      <c r="LCC17" s="500"/>
      <c r="LCD17" s="500"/>
      <c r="LCE17" s="500"/>
      <c r="LCF17" s="500"/>
      <c r="LCG17" s="500"/>
      <c r="LCH17" s="500"/>
      <c r="LCI17" s="500"/>
      <c r="LCJ17" s="500"/>
      <c r="LCK17" s="500"/>
      <c r="LCL17" s="500"/>
      <c r="LCM17" s="500"/>
      <c r="LCN17" s="500"/>
      <c r="LCO17" s="500"/>
      <c r="LCP17" s="500"/>
      <c r="LCQ17" s="500"/>
      <c r="LCR17" s="500"/>
      <c r="LCS17" s="500"/>
      <c r="LCT17" s="500"/>
      <c r="LCU17" s="500"/>
      <c r="LCV17" s="500"/>
      <c r="LCW17" s="500"/>
      <c r="LCX17" s="500"/>
      <c r="LCY17" s="500"/>
      <c r="LCZ17" s="500"/>
      <c r="LDA17" s="500"/>
      <c r="LDB17" s="500"/>
      <c r="LDC17" s="500"/>
      <c r="LDD17" s="500"/>
      <c r="LDE17" s="500"/>
      <c r="LDF17" s="500"/>
      <c r="LDG17" s="500"/>
      <c r="LDH17" s="500"/>
      <c r="LDI17" s="500"/>
      <c r="LDJ17" s="500"/>
      <c r="LDK17" s="500"/>
      <c r="LDL17" s="500"/>
      <c r="LDM17" s="500"/>
      <c r="LDN17" s="500"/>
      <c r="LDO17" s="500"/>
      <c r="LDP17" s="500"/>
      <c r="LDQ17" s="500"/>
      <c r="LDR17" s="500"/>
      <c r="LDS17" s="500"/>
      <c r="LDT17" s="500"/>
      <c r="LDU17" s="500"/>
      <c r="LDV17" s="500"/>
      <c r="LDW17" s="500"/>
      <c r="LDX17" s="500"/>
      <c r="LDY17" s="500"/>
      <c r="LDZ17" s="500"/>
      <c r="LEA17" s="500"/>
      <c r="LEB17" s="500"/>
      <c r="LEC17" s="500"/>
      <c r="LED17" s="500"/>
      <c r="LEE17" s="500"/>
      <c r="LEF17" s="500"/>
      <c r="LEG17" s="500"/>
      <c r="LEH17" s="500"/>
      <c r="LEI17" s="500"/>
      <c r="LEJ17" s="500"/>
      <c r="LEK17" s="500"/>
      <c r="LEL17" s="500"/>
      <c r="LEM17" s="500"/>
      <c r="LEN17" s="500"/>
      <c r="LEO17" s="500"/>
      <c r="LEP17" s="500"/>
      <c r="LEQ17" s="500"/>
      <c r="LER17" s="500"/>
      <c r="LES17" s="500"/>
      <c r="LET17" s="500"/>
      <c r="LEU17" s="500"/>
      <c r="LEV17" s="500"/>
      <c r="LEW17" s="500"/>
      <c r="LEX17" s="500"/>
      <c r="LEY17" s="500"/>
      <c r="LEZ17" s="500"/>
      <c r="LFA17" s="500"/>
      <c r="LFB17" s="500"/>
      <c r="LFC17" s="500"/>
      <c r="LFD17" s="500"/>
      <c r="LFE17" s="500"/>
      <c r="LFF17" s="500"/>
      <c r="LFG17" s="500"/>
      <c r="LFH17" s="500"/>
      <c r="LFI17" s="500"/>
      <c r="LFJ17" s="500"/>
      <c r="LFK17" s="500"/>
      <c r="LFL17" s="500"/>
      <c r="LFM17" s="500"/>
      <c r="LFN17" s="500"/>
      <c r="LFO17" s="500"/>
      <c r="LFP17" s="500"/>
      <c r="LFQ17" s="500"/>
      <c r="LFR17" s="500"/>
      <c r="LFS17" s="500"/>
      <c r="LFT17" s="500"/>
      <c r="LFU17" s="500"/>
      <c r="LFV17" s="500"/>
      <c r="LFW17" s="500"/>
      <c r="LFX17" s="500"/>
      <c r="LFY17" s="500"/>
      <c r="LFZ17" s="500"/>
      <c r="LGA17" s="500"/>
      <c r="LGB17" s="500"/>
      <c r="LGC17" s="500"/>
      <c r="LGD17" s="500"/>
      <c r="LGE17" s="500"/>
      <c r="LGF17" s="500"/>
      <c r="LGG17" s="500"/>
      <c r="LGH17" s="500"/>
      <c r="LGI17" s="500"/>
      <c r="LGJ17" s="500"/>
      <c r="LGK17" s="500"/>
      <c r="LGL17" s="500"/>
      <c r="LGM17" s="500"/>
      <c r="LGN17" s="500"/>
      <c r="LGO17" s="500"/>
      <c r="LGP17" s="500"/>
      <c r="LGQ17" s="500"/>
      <c r="LGR17" s="500"/>
      <c r="LGS17" s="500"/>
      <c r="LGT17" s="500"/>
      <c r="LGU17" s="500"/>
      <c r="LGV17" s="500"/>
      <c r="LGW17" s="500"/>
      <c r="LGX17" s="500"/>
      <c r="LGY17" s="500"/>
      <c r="LGZ17" s="500"/>
      <c r="LHA17" s="500"/>
      <c r="LHB17" s="500"/>
      <c r="LHC17" s="500"/>
      <c r="LHD17" s="500"/>
      <c r="LHE17" s="500"/>
      <c r="LHF17" s="500"/>
      <c r="LHG17" s="500"/>
      <c r="LHH17" s="500"/>
      <c r="LHI17" s="500"/>
      <c r="LHJ17" s="500"/>
      <c r="LHK17" s="500"/>
      <c r="LHL17" s="500"/>
      <c r="LHM17" s="500"/>
      <c r="LHN17" s="500"/>
      <c r="LHO17" s="500"/>
      <c r="LHP17" s="500"/>
      <c r="LHQ17" s="500"/>
      <c r="LHR17" s="500"/>
      <c r="LHS17" s="500"/>
      <c r="LHT17" s="500"/>
      <c r="LHU17" s="500"/>
      <c r="LHV17" s="500"/>
      <c r="LHW17" s="500"/>
      <c r="LHX17" s="500"/>
      <c r="LHY17" s="500"/>
      <c r="LHZ17" s="500"/>
      <c r="LIA17" s="500"/>
      <c r="LIB17" s="500"/>
      <c r="LIC17" s="500"/>
      <c r="LID17" s="500"/>
      <c r="LIE17" s="500"/>
      <c r="LIF17" s="500"/>
      <c r="LIG17" s="500"/>
      <c r="LIH17" s="500"/>
      <c r="LII17" s="500"/>
      <c r="LIJ17" s="500"/>
      <c r="LIK17" s="500"/>
      <c r="LIL17" s="500"/>
      <c r="LIM17" s="500"/>
      <c r="LIN17" s="500"/>
      <c r="LIO17" s="500"/>
      <c r="LIP17" s="500"/>
      <c r="LIQ17" s="500"/>
      <c r="LIR17" s="500"/>
      <c r="LIS17" s="500"/>
      <c r="LIT17" s="500"/>
      <c r="LIU17" s="500"/>
      <c r="LIV17" s="500"/>
      <c r="LIW17" s="500"/>
      <c r="LIX17" s="500"/>
      <c r="LIY17" s="500"/>
      <c r="LIZ17" s="500"/>
      <c r="LJA17" s="500"/>
      <c r="LJB17" s="500"/>
      <c r="LJC17" s="500"/>
      <c r="LJD17" s="500"/>
      <c r="LJE17" s="500"/>
      <c r="LJF17" s="500"/>
      <c r="LJG17" s="500"/>
      <c r="LJH17" s="500"/>
      <c r="LJI17" s="500"/>
      <c r="LJJ17" s="500"/>
      <c r="LJK17" s="500"/>
      <c r="LJL17" s="500"/>
      <c r="LJM17" s="500"/>
      <c r="LJN17" s="500"/>
      <c r="LJO17" s="500"/>
      <c r="LJP17" s="500"/>
      <c r="LJQ17" s="500"/>
      <c r="LJR17" s="500"/>
      <c r="LJS17" s="500"/>
      <c r="LJT17" s="500"/>
      <c r="LJU17" s="500"/>
      <c r="LJV17" s="500"/>
      <c r="LJW17" s="500"/>
      <c r="LJX17" s="500"/>
      <c r="LJY17" s="500"/>
      <c r="LJZ17" s="500"/>
      <c r="LKA17" s="500"/>
      <c r="LKB17" s="500"/>
      <c r="LKC17" s="500"/>
      <c r="LKD17" s="500"/>
      <c r="LKE17" s="500"/>
      <c r="LKF17" s="500"/>
      <c r="LKG17" s="500"/>
      <c r="LKH17" s="500"/>
      <c r="LKI17" s="500"/>
      <c r="LKJ17" s="500"/>
      <c r="LKK17" s="500"/>
      <c r="LKL17" s="500"/>
      <c r="LKM17" s="500"/>
      <c r="LKN17" s="500"/>
      <c r="LKO17" s="500"/>
      <c r="LKP17" s="500"/>
      <c r="LKQ17" s="500"/>
      <c r="LKR17" s="500"/>
      <c r="LKS17" s="500"/>
      <c r="LKT17" s="500"/>
      <c r="LKU17" s="500"/>
      <c r="LKV17" s="500"/>
      <c r="LKW17" s="500"/>
      <c r="LKX17" s="500"/>
      <c r="LKY17" s="500"/>
      <c r="LKZ17" s="500"/>
      <c r="LLA17" s="500"/>
      <c r="LLB17" s="500"/>
      <c r="LLC17" s="500"/>
      <c r="LLD17" s="500"/>
      <c r="LLE17" s="500"/>
      <c r="LLF17" s="500"/>
      <c r="LLG17" s="500"/>
      <c r="LLH17" s="500"/>
      <c r="LLI17" s="500"/>
      <c r="LLJ17" s="500"/>
      <c r="LLK17" s="500"/>
      <c r="LLL17" s="500"/>
      <c r="LLM17" s="500"/>
      <c r="LLN17" s="500"/>
      <c r="LLO17" s="500"/>
      <c r="LLP17" s="500"/>
      <c r="LLQ17" s="500"/>
      <c r="LLR17" s="500"/>
      <c r="LLS17" s="500"/>
      <c r="LLT17" s="500"/>
      <c r="LLU17" s="500"/>
      <c r="LLV17" s="500"/>
      <c r="LLW17" s="500"/>
      <c r="LLX17" s="500"/>
      <c r="LLY17" s="500"/>
      <c r="LLZ17" s="500"/>
      <c r="LMA17" s="500"/>
      <c r="LMB17" s="500"/>
      <c r="LMC17" s="500"/>
      <c r="LMD17" s="500"/>
      <c r="LME17" s="500"/>
      <c r="LMF17" s="500"/>
      <c r="LMG17" s="500"/>
      <c r="LMH17" s="500"/>
      <c r="LMI17" s="500"/>
      <c r="LMJ17" s="500"/>
      <c r="LMK17" s="500"/>
      <c r="LML17" s="500"/>
      <c r="LMM17" s="500"/>
      <c r="LMN17" s="500"/>
      <c r="LMO17" s="500"/>
      <c r="LMP17" s="500"/>
      <c r="LMQ17" s="500"/>
      <c r="LMR17" s="500"/>
      <c r="LMS17" s="500"/>
      <c r="LMT17" s="500"/>
      <c r="LMU17" s="500"/>
      <c r="LMV17" s="500"/>
      <c r="LMW17" s="500"/>
      <c r="LMX17" s="500"/>
      <c r="LMY17" s="500"/>
      <c r="LMZ17" s="500"/>
      <c r="LNA17" s="500"/>
      <c r="LNB17" s="500"/>
      <c r="LNC17" s="500"/>
      <c r="LND17" s="500"/>
      <c r="LNE17" s="500"/>
      <c r="LNF17" s="500"/>
      <c r="LNG17" s="500"/>
      <c r="LNH17" s="500"/>
      <c r="LNI17" s="500"/>
      <c r="LNJ17" s="500"/>
      <c r="LNK17" s="500"/>
      <c r="LNL17" s="500"/>
      <c r="LNM17" s="500"/>
      <c r="LNN17" s="500"/>
      <c r="LNO17" s="500"/>
      <c r="LNP17" s="500"/>
      <c r="LNQ17" s="500"/>
      <c r="LNR17" s="500"/>
      <c r="LNS17" s="500"/>
      <c r="LNT17" s="500"/>
      <c r="LNU17" s="500"/>
      <c r="LNV17" s="500"/>
      <c r="LNW17" s="500"/>
      <c r="LNX17" s="500"/>
      <c r="LNY17" s="500"/>
      <c r="LNZ17" s="500"/>
      <c r="LOA17" s="500"/>
      <c r="LOB17" s="500"/>
      <c r="LOC17" s="500"/>
      <c r="LOD17" s="500"/>
      <c r="LOE17" s="500"/>
      <c r="LOF17" s="500"/>
      <c r="LOG17" s="500"/>
      <c r="LOH17" s="500"/>
      <c r="LOI17" s="500"/>
      <c r="LOJ17" s="500"/>
      <c r="LOK17" s="500"/>
      <c r="LOL17" s="500"/>
      <c r="LOM17" s="500"/>
      <c r="LON17" s="500"/>
      <c r="LOO17" s="500"/>
      <c r="LOP17" s="500"/>
      <c r="LOQ17" s="500"/>
      <c r="LOR17" s="500"/>
      <c r="LOS17" s="500"/>
      <c r="LOT17" s="500"/>
      <c r="LOU17" s="500"/>
      <c r="LOV17" s="500"/>
      <c r="LOW17" s="500"/>
      <c r="LOX17" s="500"/>
      <c r="LOY17" s="500"/>
      <c r="LOZ17" s="500"/>
      <c r="LPA17" s="500"/>
      <c r="LPB17" s="500"/>
      <c r="LPC17" s="500"/>
      <c r="LPD17" s="500"/>
      <c r="LPE17" s="500"/>
      <c r="LPF17" s="500"/>
      <c r="LPG17" s="500"/>
      <c r="LPH17" s="500"/>
      <c r="LPI17" s="500"/>
      <c r="LPJ17" s="500"/>
      <c r="LPK17" s="500"/>
      <c r="LPL17" s="500"/>
      <c r="LPM17" s="500"/>
      <c r="LPN17" s="500"/>
      <c r="LPO17" s="500"/>
      <c r="LPP17" s="500"/>
      <c r="LPQ17" s="500"/>
      <c r="LPR17" s="500"/>
      <c r="LPS17" s="500"/>
      <c r="LPT17" s="500"/>
      <c r="LPU17" s="500"/>
      <c r="LPV17" s="500"/>
      <c r="LPW17" s="500"/>
      <c r="LPX17" s="500"/>
      <c r="LPY17" s="500"/>
      <c r="LPZ17" s="500"/>
      <c r="LQA17" s="500"/>
      <c r="LQB17" s="500"/>
      <c r="LQC17" s="500"/>
      <c r="LQD17" s="500"/>
      <c r="LQE17" s="500"/>
      <c r="LQF17" s="500"/>
      <c r="LQG17" s="500"/>
      <c r="LQH17" s="500"/>
      <c r="LQI17" s="500"/>
      <c r="LQJ17" s="500"/>
      <c r="LQK17" s="500"/>
      <c r="LQL17" s="500"/>
      <c r="LQM17" s="500"/>
      <c r="LQN17" s="500"/>
      <c r="LQO17" s="500"/>
      <c r="LQP17" s="500"/>
      <c r="LQQ17" s="500"/>
      <c r="LQR17" s="500"/>
      <c r="LQS17" s="500"/>
      <c r="LQT17" s="500"/>
      <c r="LQU17" s="500"/>
      <c r="LQV17" s="500"/>
      <c r="LQW17" s="500"/>
      <c r="LQX17" s="500"/>
      <c r="LQY17" s="500"/>
      <c r="LQZ17" s="500"/>
      <c r="LRA17" s="500"/>
      <c r="LRB17" s="500"/>
      <c r="LRC17" s="500"/>
      <c r="LRD17" s="500"/>
      <c r="LRE17" s="500"/>
      <c r="LRF17" s="500"/>
      <c r="LRG17" s="500"/>
      <c r="LRH17" s="500"/>
      <c r="LRI17" s="500"/>
      <c r="LRJ17" s="500"/>
      <c r="LRK17" s="500"/>
      <c r="LRL17" s="500"/>
      <c r="LRM17" s="500"/>
      <c r="LRN17" s="500"/>
      <c r="LRO17" s="500"/>
      <c r="LRP17" s="500"/>
      <c r="LRQ17" s="500"/>
      <c r="LRR17" s="500"/>
      <c r="LRS17" s="500"/>
      <c r="LRT17" s="500"/>
      <c r="LRU17" s="500"/>
      <c r="LRV17" s="500"/>
      <c r="LRW17" s="500"/>
      <c r="LRX17" s="500"/>
      <c r="LRY17" s="500"/>
      <c r="LRZ17" s="500"/>
      <c r="LSA17" s="500"/>
      <c r="LSB17" s="500"/>
      <c r="LSC17" s="500"/>
      <c r="LSD17" s="500"/>
      <c r="LSE17" s="500"/>
      <c r="LSF17" s="500"/>
      <c r="LSG17" s="500"/>
      <c r="LSH17" s="500"/>
      <c r="LSI17" s="500"/>
      <c r="LSJ17" s="500"/>
      <c r="LSK17" s="500"/>
      <c r="LSL17" s="500"/>
      <c r="LSM17" s="500"/>
      <c r="LSN17" s="500"/>
      <c r="LSO17" s="500"/>
      <c r="LSP17" s="500"/>
      <c r="LSQ17" s="500"/>
      <c r="LSR17" s="500"/>
      <c r="LSS17" s="500"/>
      <c r="LST17" s="500"/>
      <c r="LSU17" s="500"/>
      <c r="LSV17" s="500"/>
      <c r="LSW17" s="500"/>
      <c r="LSX17" s="500"/>
      <c r="LSY17" s="500"/>
      <c r="LSZ17" s="500"/>
      <c r="LTA17" s="500"/>
      <c r="LTB17" s="500"/>
      <c r="LTC17" s="500"/>
      <c r="LTD17" s="500"/>
      <c r="LTE17" s="500"/>
      <c r="LTF17" s="500"/>
      <c r="LTG17" s="500"/>
      <c r="LTH17" s="500"/>
      <c r="LTI17" s="500"/>
      <c r="LTJ17" s="500"/>
      <c r="LTK17" s="500"/>
      <c r="LTL17" s="500"/>
      <c r="LTM17" s="500"/>
      <c r="LTN17" s="500"/>
      <c r="LTO17" s="500"/>
      <c r="LTP17" s="500"/>
      <c r="LTQ17" s="500"/>
      <c r="LTR17" s="500"/>
      <c r="LTS17" s="500"/>
      <c r="LTT17" s="500"/>
      <c r="LTU17" s="500"/>
      <c r="LTV17" s="500"/>
      <c r="LTW17" s="500"/>
      <c r="LTX17" s="500"/>
      <c r="LTY17" s="500"/>
      <c r="LTZ17" s="500"/>
      <c r="LUA17" s="500"/>
      <c r="LUB17" s="500"/>
      <c r="LUC17" s="500"/>
      <c r="LUD17" s="500"/>
      <c r="LUE17" s="500"/>
      <c r="LUF17" s="500"/>
      <c r="LUG17" s="500"/>
      <c r="LUH17" s="500"/>
      <c r="LUI17" s="500"/>
      <c r="LUJ17" s="500"/>
      <c r="LUK17" s="500"/>
      <c r="LUL17" s="500"/>
      <c r="LUM17" s="500"/>
      <c r="LUN17" s="500"/>
      <c r="LUO17" s="500"/>
      <c r="LUP17" s="500"/>
      <c r="LUQ17" s="500"/>
      <c r="LUR17" s="500"/>
      <c r="LUS17" s="500"/>
      <c r="LUT17" s="500"/>
      <c r="LUU17" s="500"/>
      <c r="LUV17" s="500"/>
      <c r="LUW17" s="500"/>
      <c r="LUX17" s="500"/>
      <c r="LUY17" s="500"/>
      <c r="LUZ17" s="500"/>
      <c r="LVA17" s="500"/>
      <c r="LVB17" s="500"/>
      <c r="LVC17" s="500"/>
      <c r="LVD17" s="500"/>
      <c r="LVE17" s="500"/>
      <c r="LVF17" s="500"/>
      <c r="LVG17" s="500"/>
      <c r="LVH17" s="500"/>
      <c r="LVI17" s="500"/>
      <c r="LVJ17" s="500"/>
      <c r="LVK17" s="500"/>
      <c r="LVL17" s="500"/>
      <c r="LVM17" s="500"/>
      <c r="LVN17" s="500"/>
      <c r="LVO17" s="500"/>
      <c r="LVP17" s="500"/>
      <c r="LVQ17" s="500"/>
      <c r="LVR17" s="500"/>
      <c r="LVS17" s="500"/>
      <c r="LVT17" s="500"/>
      <c r="LVU17" s="500"/>
      <c r="LVV17" s="500"/>
      <c r="LVW17" s="500"/>
      <c r="LVX17" s="500"/>
      <c r="LVY17" s="500"/>
      <c r="LVZ17" s="500"/>
      <c r="LWA17" s="500"/>
      <c r="LWB17" s="500"/>
      <c r="LWC17" s="500"/>
      <c r="LWD17" s="500"/>
      <c r="LWE17" s="500"/>
      <c r="LWF17" s="500"/>
      <c r="LWG17" s="500"/>
      <c r="LWH17" s="500"/>
      <c r="LWI17" s="500"/>
      <c r="LWJ17" s="500"/>
      <c r="LWK17" s="500"/>
      <c r="LWL17" s="500"/>
      <c r="LWM17" s="500"/>
      <c r="LWN17" s="500"/>
      <c r="LWO17" s="500"/>
      <c r="LWP17" s="500"/>
      <c r="LWQ17" s="500"/>
      <c r="LWR17" s="500"/>
      <c r="LWS17" s="500"/>
      <c r="LWT17" s="500"/>
      <c r="LWU17" s="500"/>
      <c r="LWV17" s="500"/>
      <c r="LWW17" s="500"/>
      <c r="LWX17" s="500"/>
      <c r="LWY17" s="500"/>
      <c r="LWZ17" s="500"/>
      <c r="LXA17" s="500"/>
      <c r="LXB17" s="500"/>
      <c r="LXC17" s="500"/>
      <c r="LXD17" s="500"/>
      <c r="LXE17" s="500"/>
      <c r="LXF17" s="500"/>
      <c r="LXG17" s="500"/>
      <c r="LXH17" s="500"/>
      <c r="LXI17" s="500"/>
      <c r="LXJ17" s="500"/>
      <c r="LXK17" s="500"/>
      <c r="LXL17" s="500"/>
      <c r="LXM17" s="500"/>
      <c r="LXN17" s="500"/>
      <c r="LXO17" s="500"/>
      <c r="LXP17" s="500"/>
      <c r="LXQ17" s="500"/>
      <c r="LXR17" s="500"/>
      <c r="LXS17" s="500"/>
      <c r="LXT17" s="500"/>
      <c r="LXU17" s="500"/>
      <c r="LXV17" s="500"/>
      <c r="LXW17" s="500"/>
      <c r="LXX17" s="500"/>
      <c r="LXY17" s="500"/>
      <c r="LXZ17" s="500"/>
      <c r="LYA17" s="500"/>
      <c r="LYB17" s="500"/>
      <c r="LYC17" s="500"/>
      <c r="LYD17" s="500"/>
      <c r="LYE17" s="500"/>
      <c r="LYF17" s="500"/>
      <c r="LYG17" s="500"/>
      <c r="LYH17" s="500"/>
      <c r="LYI17" s="500"/>
      <c r="LYJ17" s="500"/>
      <c r="LYK17" s="500"/>
      <c r="LYL17" s="500"/>
      <c r="LYM17" s="500"/>
      <c r="LYN17" s="500"/>
      <c r="LYO17" s="500"/>
      <c r="LYP17" s="500"/>
      <c r="LYQ17" s="500"/>
      <c r="LYR17" s="500"/>
      <c r="LYS17" s="500"/>
      <c r="LYT17" s="500"/>
      <c r="LYU17" s="500"/>
      <c r="LYV17" s="500"/>
      <c r="LYW17" s="500"/>
      <c r="LYX17" s="500"/>
      <c r="LYY17" s="500"/>
      <c r="LYZ17" s="500"/>
      <c r="LZA17" s="500"/>
      <c r="LZB17" s="500"/>
      <c r="LZC17" s="500"/>
      <c r="LZD17" s="500"/>
      <c r="LZE17" s="500"/>
      <c r="LZF17" s="500"/>
      <c r="LZG17" s="500"/>
      <c r="LZH17" s="500"/>
      <c r="LZI17" s="500"/>
      <c r="LZJ17" s="500"/>
      <c r="LZK17" s="500"/>
      <c r="LZL17" s="500"/>
      <c r="LZM17" s="500"/>
      <c r="LZN17" s="500"/>
      <c r="LZO17" s="500"/>
      <c r="LZP17" s="500"/>
      <c r="LZQ17" s="500"/>
      <c r="LZR17" s="500"/>
      <c r="LZS17" s="500"/>
      <c r="LZT17" s="500"/>
      <c r="LZU17" s="500"/>
      <c r="LZV17" s="500"/>
      <c r="LZW17" s="500"/>
      <c r="LZX17" s="500"/>
      <c r="LZY17" s="500"/>
      <c r="LZZ17" s="500"/>
      <c r="MAA17" s="500"/>
      <c r="MAB17" s="500"/>
      <c r="MAC17" s="500"/>
      <c r="MAD17" s="500"/>
      <c r="MAE17" s="500"/>
      <c r="MAF17" s="500"/>
      <c r="MAG17" s="500"/>
      <c r="MAH17" s="500"/>
      <c r="MAI17" s="500"/>
      <c r="MAJ17" s="500"/>
      <c r="MAK17" s="500"/>
      <c r="MAL17" s="500"/>
      <c r="MAM17" s="500"/>
      <c r="MAN17" s="500"/>
      <c r="MAO17" s="500"/>
      <c r="MAP17" s="500"/>
      <c r="MAQ17" s="500"/>
      <c r="MAR17" s="500"/>
      <c r="MAS17" s="500"/>
      <c r="MAT17" s="500"/>
      <c r="MAU17" s="500"/>
      <c r="MAV17" s="500"/>
      <c r="MAW17" s="500"/>
      <c r="MAX17" s="500"/>
      <c r="MAY17" s="500"/>
      <c r="MAZ17" s="500"/>
      <c r="MBA17" s="500"/>
      <c r="MBB17" s="500"/>
      <c r="MBC17" s="500"/>
      <c r="MBD17" s="500"/>
      <c r="MBE17" s="500"/>
      <c r="MBF17" s="500"/>
      <c r="MBG17" s="500"/>
      <c r="MBH17" s="500"/>
      <c r="MBI17" s="500"/>
      <c r="MBJ17" s="500"/>
      <c r="MBK17" s="500"/>
      <c r="MBL17" s="500"/>
      <c r="MBM17" s="500"/>
      <c r="MBN17" s="500"/>
      <c r="MBO17" s="500"/>
      <c r="MBP17" s="500"/>
      <c r="MBQ17" s="500"/>
      <c r="MBR17" s="500"/>
      <c r="MBS17" s="500"/>
      <c r="MBT17" s="500"/>
      <c r="MBU17" s="500"/>
      <c r="MBV17" s="500"/>
      <c r="MBW17" s="500"/>
      <c r="MBX17" s="500"/>
      <c r="MBY17" s="500"/>
      <c r="MBZ17" s="500"/>
      <c r="MCA17" s="500"/>
      <c r="MCB17" s="500"/>
      <c r="MCC17" s="500"/>
      <c r="MCD17" s="500"/>
      <c r="MCE17" s="500"/>
      <c r="MCF17" s="500"/>
      <c r="MCG17" s="500"/>
      <c r="MCH17" s="500"/>
      <c r="MCI17" s="500"/>
      <c r="MCJ17" s="500"/>
      <c r="MCK17" s="500"/>
      <c r="MCL17" s="500"/>
      <c r="MCM17" s="500"/>
      <c r="MCN17" s="500"/>
      <c r="MCO17" s="500"/>
      <c r="MCP17" s="500"/>
      <c r="MCQ17" s="500"/>
      <c r="MCR17" s="500"/>
      <c r="MCS17" s="500"/>
      <c r="MCT17" s="500"/>
      <c r="MCU17" s="500"/>
      <c r="MCV17" s="500"/>
      <c r="MCW17" s="500"/>
      <c r="MCX17" s="500"/>
      <c r="MCY17" s="500"/>
      <c r="MCZ17" s="500"/>
      <c r="MDA17" s="500"/>
      <c r="MDB17" s="500"/>
      <c r="MDC17" s="500"/>
      <c r="MDD17" s="500"/>
      <c r="MDE17" s="500"/>
      <c r="MDF17" s="500"/>
      <c r="MDG17" s="500"/>
      <c r="MDH17" s="500"/>
      <c r="MDI17" s="500"/>
      <c r="MDJ17" s="500"/>
      <c r="MDK17" s="500"/>
      <c r="MDL17" s="500"/>
      <c r="MDM17" s="500"/>
      <c r="MDN17" s="500"/>
      <c r="MDO17" s="500"/>
      <c r="MDP17" s="500"/>
      <c r="MDQ17" s="500"/>
      <c r="MDR17" s="500"/>
      <c r="MDS17" s="500"/>
      <c r="MDT17" s="500"/>
      <c r="MDU17" s="500"/>
      <c r="MDV17" s="500"/>
      <c r="MDW17" s="500"/>
      <c r="MDX17" s="500"/>
      <c r="MDY17" s="500"/>
      <c r="MDZ17" s="500"/>
      <c r="MEA17" s="500"/>
      <c r="MEB17" s="500"/>
      <c r="MEC17" s="500"/>
      <c r="MED17" s="500"/>
      <c r="MEE17" s="500"/>
      <c r="MEF17" s="500"/>
      <c r="MEG17" s="500"/>
      <c r="MEH17" s="500"/>
      <c r="MEI17" s="500"/>
      <c r="MEJ17" s="500"/>
      <c r="MEK17" s="500"/>
      <c r="MEL17" s="500"/>
      <c r="MEM17" s="500"/>
      <c r="MEN17" s="500"/>
      <c r="MEO17" s="500"/>
      <c r="MEP17" s="500"/>
      <c r="MEQ17" s="500"/>
      <c r="MER17" s="500"/>
      <c r="MES17" s="500"/>
      <c r="MET17" s="500"/>
      <c r="MEU17" s="500"/>
      <c r="MEV17" s="500"/>
      <c r="MEW17" s="500"/>
      <c r="MEX17" s="500"/>
      <c r="MEY17" s="500"/>
      <c r="MEZ17" s="500"/>
      <c r="MFA17" s="500"/>
      <c r="MFB17" s="500"/>
      <c r="MFC17" s="500"/>
      <c r="MFD17" s="500"/>
      <c r="MFE17" s="500"/>
      <c r="MFF17" s="500"/>
      <c r="MFG17" s="500"/>
      <c r="MFH17" s="500"/>
      <c r="MFI17" s="500"/>
      <c r="MFJ17" s="500"/>
      <c r="MFK17" s="500"/>
      <c r="MFL17" s="500"/>
      <c r="MFM17" s="500"/>
      <c r="MFN17" s="500"/>
      <c r="MFO17" s="500"/>
      <c r="MFP17" s="500"/>
      <c r="MFQ17" s="500"/>
      <c r="MFR17" s="500"/>
      <c r="MFS17" s="500"/>
      <c r="MFT17" s="500"/>
      <c r="MFU17" s="500"/>
      <c r="MFV17" s="500"/>
      <c r="MFW17" s="500"/>
      <c r="MFX17" s="500"/>
      <c r="MFY17" s="500"/>
      <c r="MFZ17" s="500"/>
      <c r="MGA17" s="500"/>
      <c r="MGB17" s="500"/>
      <c r="MGC17" s="500"/>
      <c r="MGD17" s="500"/>
      <c r="MGE17" s="500"/>
      <c r="MGF17" s="500"/>
      <c r="MGG17" s="500"/>
      <c r="MGH17" s="500"/>
      <c r="MGI17" s="500"/>
      <c r="MGJ17" s="500"/>
      <c r="MGK17" s="500"/>
      <c r="MGL17" s="500"/>
      <c r="MGM17" s="500"/>
      <c r="MGN17" s="500"/>
      <c r="MGO17" s="500"/>
      <c r="MGP17" s="500"/>
      <c r="MGQ17" s="500"/>
      <c r="MGR17" s="500"/>
      <c r="MGS17" s="500"/>
      <c r="MGT17" s="500"/>
      <c r="MGU17" s="500"/>
      <c r="MGV17" s="500"/>
      <c r="MGW17" s="500"/>
      <c r="MGX17" s="500"/>
      <c r="MGY17" s="500"/>
      <c r="MGZ17" s="500"/>
      <c r="MHA17" s="500"/>
      <c r="MHB17" s="500"/>
      <c r="MHC17" s="500"/>
      <c r="MHD17" s="500"/>
      <c r="MHE17" s="500"/>
      <c r="MHF17" s="500"/>
      <c r="MHG17" s="500"/>
      <c r="MHH17" s="500"/>
      <c r="MHI17" s="500"/>
      <c r="MHJ17" s="500"/>
      <c r="MHK17" s="500"/>
      <c r="MHL17" s="500"/>
      <c r="MHM17" s="500"/>
      <c r="MHN17" s="500"/>
      <c r="MHO17" s="500"/>
      <c r="MHP17" s="500"/>
      <c r="MHQ17" s="500"/>
      <c r="MHR17" s="500"/>
      <c r="MHS17" s="500"/>
      <c r="MHT17" s="500"/>
      <c r="MHU17" s="500"/>
      <c r="MHV17" s="500"/>
      <c r="MHW17" s="500"/>
      <c r="MHX17" s="500"/>
      <c r="MHY17" s="500"/>
      <c r="MHZ17" s="500"/>
      <c r="MIA17" s="500"/>
      <c r="MIB17" s="500"/>
      <c r="MIC17" s="500"/>
      <c r="MID17" s="500"/>
      <c r="MIE17" s="500"/>
      <c r="MIF17" s="500"/>
      <c r="MIG17" s="500"/>
      <c r="MIH17" s="500"/>
      <c r="MII17" s="500"/>
      <c r="MIJ17" s="500"/>
      <c r="MIK17" s="500"/>
      <c r="MIL17" s="500"/>
      <c r="MIM17" s="500"/>
      <c r="MIN17" s="500"/>
      <c r="MIO17" s="500"/>
      <c r="MIP17" s="500"/>
      <c r="MIQ17" s="500"/>
      <c r="MIR17" s="500"/>
      <c r="MIS17" s="500"/>
      <c r="MIT17" s="500"/>
      <c r="MIU17" s="500"/>
      <c r="MIV17" s="500"/>
      <c r="MIW17" s="500"/>
      <c r="MIX17" s="500"/>
      <c r="MIY17" s="500"/>
      <c r="MIZ17" s="500"/>
      <c r="MJA17" s="500"/>
      <c r="MJB17" s="500"/>
      <c r="MJC17" s="500"/>
      <c r="MJD17" s="500"/>
      <c r="MJE17" s="500"/>
      <c r="MJF17" s="500"/>
      <c r="MJG17" s="500"/>
      <c r="MJH17" s="500"/>
      <c r="MJI17" s="500"/>
      <c r="MJJ17" s="500"/>
      <c r="MJK17" s="500"/>
      <c r="MJL17" s="500"/>
      <c r="MJM17" s="500"/>
      <c r="MJN17" s="500"/>
      <c r="MJO17" s="500"/>
      <c r="MJP17" s="500"/>
      <c r="MJQ17" s="500"/>
      <c r="MJR17" s="500"/>
      <c r="MJS17" s="500"/>
      <c r="MJT17" s="500"/>
      <c r="MJU17" s="500"/>
      <c r="MJV17" s="500"/>
      <c r="MJW17" s="500"/>
      <c r="MJX17" s="500"/>
      <c r="MJY17" s="500"/>
      <c r="MJZ17" s="500"/>
      <c r="MKA17" s="500"/>
      <c r="MKB17" s="500"/>
      <c r="MKC17" s="500"/>
      <c r="MKD17" s="500"/>
      <c r="MKE17" s="500"/>
      <c r="MKF17" s="500"/>
      <c r="MKG17" s="500"/>
      <c r="MKH17" s="500"/>
      <c r="MKI17" s="500"/>
      <c r="MKJ17" s="500"/>
      <c r="MKK17" s="500"/>
      <c r="MKL17" s="500"/>
      <c r="MKM17" s="500"/>
      <c r="MKN17" s="500"/>
      <c r="MKO17" s="500"/>
      <c r="MKP17" s="500"/>
      <c r="MKQ17" s="500"/>
      <c r="MKR17" s="500"/>
      <c r="MKS17" s="500"/>
      <c r="MKT17" s="500"/>
      <c r="MKU17" s="500"/>
      <c r="MKV17" s="500"/>
      <c r="MKW17" s="500"/>
      <c r="MKX17" s="500"/>
      <c r="MKY17" s="500"/>
      <c r="MKZ17" s="500"/>
      <c r="MLA17" s="500"/>
      <c r="MLB17" s="500"/>
      <c r="MLC17" s="500"/>
      <c r="MLD17" s="500"/>
      <c r="MLE17" s="500"/>
      <c r="MLF17" s="500"/>
      <c r="MLG17" s="500"/>
      <c r="MLH17" s="500"/>
      <c r="MLI17" s="500"/>
      <c r="MLJ17" s="500"/>
      <c r="MLK17" s="500"/>
      <c r="MLL17" s="500"/>
      <c r="MLM17" s="500"/>
      <c r="MLN17" s="500"/>
      <c r="MLO17" s="500"/>
      <c r="MLP17" s="500"/>
      <c r="MLQ17" s="500"/>
      <c r="MLR17" s="500"/>
      <c r="MLS17" s="500"/>
      <c r="MLT17" s="500"/>
      <c r="MLU17" s="500"/>
      <c r="MLV17" s="500"/>
      <c r="MLW17" s="500"/>
      <c r="MLX17" s="500"/>
      <c r="MLY17" s="500"/>
      <c r="MLZ17" s="500"/>
      <c r="MMA17" s="500"/>
      <c r="MMB17" s="500"/>
      <c r="MMC17" s="500"/>
      <c r="MMD17" s="500"/>
      <c r="MME17" s="500"/>
      <c r="MMF17" s="500"/>
      <c r="MMG17" s="500"/>
      <c r="MMH17" s="500"/>
      <c r="MMI17" s="500"/>
      <c r="MMJ17" s="500"/>
      <c r="MMK17" s="500"/>
      <c r="MML17" s="500"/>
      <c r="MMM17" s="500"/>
      <c r="MMN17" s="500"/>
      <c r="MMO17" s="500"/>
      <c r="MMP17" s="500"/>
      <c r="MMQ17" s="500"/>
      <c r="MMR17" s="500"/>
      <c r="MMS17" s="500"/>
      <c r="MMT17" s="500"/>
      <c r="MMU17" s="500"/>
      <c r="MMV17" s="500"/>
      <c r="MMW17" s="500"/>
      <c r="MMX17" s="500"/>
      <c r="MMY17" s="500"/>
      <c r="MMZ17" s="500"/>
      <c r="MNA17" s="500"/>
      <c r="MNB17" s="500"/>
      <c r="MNC17" s="500"/>
      <c r="MND17" s="500"/>
      <c r="MNE17" s="500"/>
      <c r="MNF17" s="500"/>
      <c r="MNG17" s="500"/>
      <c r="MNH17" s="500"/>
      <c r="MNI17" s="500"/>
      <c r="MNJ17" s="500"/>
      <c r="MNK17" s="500"/>
      <c r="MNL17" s="500"/>
      <c r="MNM17" s="500"/>
      <c r="MNN17" s="500"/>
      <c r="MNO17" s="500"/>
      <c r="MNP17" s="500"/>
      <c r="MNQ17" s="500"/>
      <c r="MNR17" s="500"/>
      <c r="MNS17" s="500"/>
      <c r="MNT17" s="500"/>
      <c r="MNU17" s="500"/>
      <c r="MNV17" s="500"/>
      <c r="MNW17" s="500"/>
      <c r="MNX17" s="500"/>
      <c r="MNY17" s="500"/>
      <c r="MNZ17" s="500"/>
      <c r="MOA17" s="500"/>
      <c r="MOB17" s="500"/>
      <c r="MOC17" s="500"/>
      <c r="MOD17" s="500"/>
      <c r="MOE17" s="500"/>
      <c r="MOF17" s="500"/>
      <c r="MOG17" s="500"/>
      <c r="MOH17" s="500"/>
      <c r="MOI17" s="500"/>
      <c r="MOJ17" s="500"/>
      <c r="MOK17" s="500"/>
      <c r="MOL17" s="500"/>
      <c r="MOM17" s="500"/>
      <c r="MON17" s="500"/>
      <c r="MOO17" s="500"/>
      <c r="MOP17" s="500"/>
      <c r="MOQ17" s="500"/>
      <c r="MOR17" s="500"/>
      <c r="MOS17" s="500"/>
      <c r="MOT17" s="500"/>
      <c r="MOU17" s="500"/>
      <c r="MOV17" s="500"/>
      <c r="MOW17" s="500"/>
      <c r="MOX17" s="500"/>
      <c r="MOY17" s="500"/>
      <c r="MOZ17" s="500"/>
      <c r="MPA17" s="500"/>
      <c r="MPB17" s="500"/>
      <c r="MPC17" s="500"/>
      <c r="MPD17" s="500"/>
      <c r="MPE17" s="500"/>
      <c r="MPF17" s="500"/>
      <c r="MPG17" s="500"/>
      <c r="MPH17" s="500"/>
      <c r="MPI17" s="500"/>
      <c r="MPJ17" s="500"/>
      <c r="MPK17" s="500"/>
      <c r="MPL17" s="500"/>
      <c r="MPM17" s="500"/>
      <c r="MPN17" s="500"/>
      <c r="MPO17" s="500"/>
      <c r="MPP17" s="500"/>
      <c r="MPQ17" s="500"/>
      <c r="MPR17" s="500"/>
      <c r="MPS17" s="500"/>
      <c r="MPT17" s="500"/>
      <c r="MPU17" s="500"/>
      <c r="MPV17" s="500"/>
      <c r="MPW17" s="500"/>
      <c r="MPX17" s="500"/>
      <c r="MPY17" s="500"/>
      <c r="MPZ17" s="500"/>
      <c r="MQA17" s="500"/>
      <c r="MQB17" s="500"/>
      <c r="MQC17" s="500"/>
      <c r="MQD17" s="500"/>
      <c r="MQE17" s="500"/>
      <c r="MQF17" s="500"/>
      <c r="MQG17" s="500"/>
      <c r="MQH17" s="500"/>
      <c r="MQI17" s="500"/>
      <c r="MQJ17" s="500"/>
      <c r="MQK17" s="500"/>
      <c r="MQL17" s="500"/>
      <c r="MQM17" s="500"/>
      <c r="MQN17" s="500"/>
      <c r="MQO17" s="500"/>
      <c r="MQP17" s="500"/>
      <c r="MQQ17" s="500"/>
      <c r="MQR17" s="500"/>
      <c r="MQS17" s="500"/>
      <c r="MQT17" s="500"/>
      <c r="MQU17" s="500"/>
      <c r="MQV17" s="500"/>
      <c r="MQW17" s="500"/>
      <c r="MQX17" s="500"/>
      <c r="MQY17" s="500"/>
      <c r="MQZ17" s="500"/>
      <c r="MRA17" s="500"/>
      <c r="MRB17" s="500"/>
      <c r="MRC17" s="500"/>
      <c r="MRD17" s="500"/>
      <c r="MRE17" s="500"/>
      <c r="MRF17" s="500"/>
      <c r="MRG17" s="500"/>
      <c r="MRH17" s="500"/>
      <c r="MRI17" s="500"/>
      <c r="MRJ17" s="500"/>
      <c r="MRK17" s="500"/>
      <c r="MRL17" s="500"/>
      <c r="MRM17" s="500"/>
      <c r="MRN17" s="500"/>
      <c r="MRO17" s="500"/>
      <c r="MRP17" s="500"/>
      <c r="MRQ17" s="500"/>
      <c r="MRR17" s="500"/>
      <c r="MRS17" s="500"/>
      <c r="MRT17" s="500"/>
      <c r="MRU17" s="500"/>
      <c r="MRV17" s="500"/>
      <c r="MRW17" s="500"/>
      <c r="MRX17" s="500"/>
      <c r="MRY17" s="500"/>
      <c r="MRZ17" s="500"/>
      <c r="MSA17" s="500"/>
      <c r="MSB17" s="500"/>
      <c r="MSC17" s="500"/>
      <c r="MSD17" s="500"/>
      <c r="MSE17" s="500"/>
      <c r="MSF17" s="500"/>
      <c r="MSG17" s="500"/>
      <c r="MSH17" s="500"/>
      <c r="MSI17" s="500"/>
      <c r="MSJ17" s="500"/>
      <c r="MSK17" s="500"/>
      <c r="MSL17" s="500"/>
      <c r="MSM17" s="500"/>
      <c r="MSN17" s="500"/>
      <c r="MSO17" s="500"/>
      <c r="MSP17" s="500"/>
      <c r="MSQ17" s="500"/>
      <c r="MSR17" s="500"/>
      <c r="MSS17" s="500"/>
      <c r="MST17" s="500"/>
      <c r="MSU17" s="500"/>
      <c r="MSV17" s="500"/>
      <c r="MSW17" s="500"/>
      <c r="MSX17" s="500"/>
      <c r="MSY17" s="500"/>
      <c r="MSZ17" s="500"/>
      <c r="MTA17" s="500"/>
      <c r="MTB17" s="500"/>
      <c r="MTC17" s="500"/>
      <c r="MTD17" s="500"/>
      <c r="MTE17" s="500"/>
      <c r="MTF17" s="500"/>
      <c r="MTG17" s="500"/>
      <c r="MTH17" s="500"/>
      <c r="MTI17" s="500"/>
      <c r="MTJ17" s="500"/>
      <c r="MTK17" s="500"/>
      <c r="MTL17" s="500"/>
      <c r="MTM17" s="500"/>
      <c r="MTN17" s="500"/>
      <c r="MTO17" s="500"/>
      <c r="MTP17" s="500"/>
      <c r="MTQ17" s="500"/>
      <c r="MTR17" s="500"/>
      <c r="MTS17" s="500"/>
      <c r="MTT17" s="500"/>
      <c r="MTU17" s="500"/>
      <c r="MTV17" s="500"/>
      <c r="MTW17" s="500"/>
      <c r="MTX17" s="500"/>
      <c r="MTY17" s="500"/>
      <c r="MTZ17" s="500"/>
      <c r="MUA17" s="500"/>
      <c r="MUB17" s="500"/>
      <c r="MUC17" s="500"/>
      <c r="MUD17" s="500"/>
      <c r="MUE17" s="500"/>
      <c r="MUF17" s="500"/>
      <c r="MUG17" s="500"/>
      <c r="MUH17" s="500"/>
      <c r="MUI17" s="500"/>
      <c r="MUJ17" s="500"/>
      <c r="MUK17" s="500"/>
      <c r="MUL17" s="500"/>
      <c r="MUM17" s="500"/>
      <c r="MUN17" s="500"/>
      <c r="MUO17" s="500"/>
      <c r="MUP17" s="500"/>
      <c r="MUQ17" s="500"/>
      <c r="MUR17" s="500"/>
      <c r="MUS17" s="500"/>
      <c r="MUT17" s="500"/>
      <c r="MUU17" s="500"/>
      <c r="MUV17" s="500"/>
      <c r="MUW17" s="500"/>
      <c r="MUX17" s="500"/>
      <c r="MUY17" s="500"/>
      <c r="MUZ17" s="500"/>
      <c r="MVA17" s="500"/>
      <c r="MVB17" s="500"/>
      <c r="MVC17" s="500"/>
      <c r="MVD17" s="500"/>
      <c r="MVE17" s="500"/>
      <c r="MVF17" s="500"/>
      <c r="MVG17" s="500"/>
      <c r="MVH17" s="500"/>
      <c r="MVI17" s="500"/>
      <c r="MVJ17" s="500"/>
      <c r="MVK17" s="500"/>
      <c r="MVL17" s="500"/>
      <c r="MVM17" s="500"/>
      <c r="MVN17" s="500"/>
      <c r="MVO17" s="500"/>
      <c r="MVP17" s="500"/>
      <c r="MVQ17" s="500"/>
      <c r="MVR17" s="500"/>
      <c r="MVS17" s="500"/>
      <c r="MVT17" s="500"/>
      <c r="MVU17" s="500"/>
      <c r="MVV17" s="500"/>
      <c r="MVW17" s="500"/>
      <c r="MVX17" s="500"/>
      <c r="MVY17" s="500"/>
      <c r="MVZ17" s="500"/>
      <c r="MWA17" s="500"/>
      <c r="MWB17" s="500"/>
      <c r="MWC17" s="500"/>
      <c r="MWD17" s="500"/>
      <c r="MWE17" s="500"/>
      <c r="MWF17" s="500"/>
      <c r="MWG17" s="500"/>
      <c r="MWH17" s="500"/>
      <c r="MWI17" s="500"/>
      <c r="MWJ17" s="500"/>
      <c r="MWK17" s="500"/>
      <c r="MWL17" s="500"/>
      <c r="MWM17" s="500"/>
      <c r="MWN17" s="500"/>
      <c r="MWO17" s="500"/>
      <c r="MWP17" s="500"/>
      <c r="MWQ17" s="500"/>
      <c r="MWR17" s="500"/>
      <c r="MWS17" s="500"/>
      <c r="MWT17" s="500"/>
      <c r="MWU17" s="500"/>
      <c r="MWV17" s="500"/>
      <c r="MWW17" s="500"/>
      <c r="MWX17" s="500"/>
      <c r="MWY17" s="500"/>
      <c r="MWZ17" s="500"/>
      <c r="MXA17" s="500"/>
      <c r="MXB17" s="500"/>
      <c r="MXC17" s="500"/>
      <c r="MXD17" s="500"/>
      <c r="MXE17" s="500"/>
      <c r="MXF17" s="500"/>
      <c r="MXG17" s="500"/>
      <c r="MXH17" s="500"/>
      <c r="MXI17" s="500"/>
      <c r="MXJ17" s="500"/>
      <c r="MXK17" s="500"/>
      <c r="MXL17" s="500"/>
      <c r="MXM17" s="500"/>
      <c r="MXN17" s="500"/>
      <c r="MXO17" s="500"/>
      <c r="MXP17" s="500"/>
      <c r="MXQ17" s="500"/>
      <c r="MXR17" s="500"/>
      <c r="MXS17" s="500"/>
      <c r="MXT17" s="500"/>
      <c r="MXU17" s="500"/>
      <c r="MXV17" s="500"/>
      <c r="MXW17" s="500"/>
      <c r="MXX17" s="500"/>
      <c r="MXY17" s="500"/>
      <c r="MXZ17" s="500"/>
      <c r="MYA17" s="500"/>
      <c r="MYB17" s="500"/>
      <c r="MYC17" s="500"/>
      <c r="MYD17" s="500"/>
      <c r="MYE17" s="500"/>
      <c r="MYF17" s="500"/>
      <c r="MYG17" s="500"/>
      <c r="MYH17" s="500"/>
      <c r="MYI17" s="500"/>
      <c r="MYJ17" s="500"/>
      <c r="MYK17" s="500"/>
      <c r="MYL17" s="500"/>
      <c r="MYM17" s="500"/>
      <c r="MYN17" s="500"/>
      <c r="MYO17" s="500"/>
      <c r="MYP17" s="500"/>
      <c r="MYQ17" s="500"/>
      <c r="MYR17" s="500"/>
      <c r="MYS17" s="500"/>
      <c r="MYT17" s="500"/>
      <c r="MYU17" s="500"/>
      <c r="MYV17" s="500"/>
      <c r="MYW17" s="500"/>
      <c r="MYX17" s="500"/>
      <c r="MYY17" s="500"/>
      <c r="MYZ17" s="500"/>
      <c r="MZA17" s="500"/>
      <c r="MZB17" s="500"/>
      <c r="MZC17" s="500"/>
      <c r="MZD17" s="500"/>
      <c r="MZE17" s="500"/>
      <c r="MZF17" s="500"/>
      <c r="MZG17" s="500"/>
      <c r="MZH17" s="500"/>
      <c r="MZI17" s="500"/>
      <c r="MZJ17" s="500"/>
      <c r="MZK17" s="500"/>
      <c r="MZL17" s="500"/>
      <c r="MZM17" s="500"/>
      <c r="MZN17" s="500"/>
      <c r="MZO17" s="500"/>
      <c r="MZP17" s="500"/>
      <c r="MZQ17" s="500"/>
      <c r="MZR17" s="500"/>
      <c r="MZS17" s="500"/>
      <c r="MZT17" s="500"/>
      <c r="MZU17" s="500"/>
      <c r="MZV17" s="500"/>
      <c r="MZW17" s="500"/>
      <c r="MZX17" s="500"/>
      <c r="MZY17" s="500"/>
      <c r="MZZ17" s="500"/>
      <c r="NAA17" s="500"/>
      <c r="NAB17" s="500"/>
      <c r="NAC17" s="500"/>
      <c r="NAD17" s="500"/>
      <c r="NAE17" s="500"/>
      <c r="NAF17" s="500"/>
      <c r="NAG17" s="500"/>
      <c r="NAH17" s="500"/>
      <c r="NAI17" s="500"/>
      <c r="NAJ17" s="500"/>
      <c r="NAK17" s="500"/>
      <c r="NAL17" s="500"/>
      <c r="NAM17" s="500"/>
      <c r="NAN17" s="500"/>
      <c r="NAO17" s="500"/>
      <c r="NAP17" s="500"/>
      <c r="NAQ17" s="500"/>
      <c r="NAR17" s="500"/>
      <c r="NAS17" s="500"/>
      <c r="NAT17" s="500"/>
      <c r="NAU17" s="500"/>
      <c r="NAV17" s="500"/>
      <c r="NAW17" s="500"/>
      <c r="NAX17" s="500"/>
      <c r="NAY17" s="500"/>
      <c r="NAZ17" s="500"/>
      <c r="NBA17" s="500"/>
      <c r="NBB17" s="500"/>
      <c r="NBC17" s="500"/>
      <c r="NBD17" s="500"/>
      <c r="NBE17" s="500"/>
      <c r="NBF17" s="500"/>
      <c r="NBG17" s="500"/>
      <c r="NBH17" s="500"/>
      <c r="NBI17" s="500"/>
      <c r="NBJ17" s="500"/>
      <c r="NBK17" s="500"/>
      <c r="NBL17" s="500"/>
      <c r="NBM17" s="500"/>
      <c r="NBN17" s="500"/>
      <c r="NBO17" s="500"/>
      <c r="NBP17" s="500"/>
      <c r="NBQ17" s="500"/>
      <c r="NBR17" s="500"/>
      <c r="NBS17" s="500"/>
      <c r="NBT17" s="500"/>
      <c r="NBU17" s="500"/>
      <c r="NBV17" s="500"/>
      <c r="NBW17" s="500"/>
      <c r="NBX17" s="500"/>
      <c r="NBY17" s="500"/>
      <c r="NBZ17" s="500"/>
      <c r="NCA17" s="500"/>
      <c r="NCB17" s="500"/>
      <c r="NCC17" s="500"/>
      <c r="NCD17" s="500"/>
      <c r="NCE17" s="500"/>
      <c r="NCF17" s="500"/>
      <c r="NCG17" s="500"/>
      <c r="NCH17" s="500"/>
      <c r="NCI17" s="500"/>
      <c r="NCJ17" s="500"/>
      <c r="NCK17" s="500"/>
      <c r="NCL17" s="500"/>
      <c r="NCM17" s="500"/>
      <c r="NCN17" s="500"/>
      <c r="NCO17" s="500"/>
      <c r="NCP17" s="500"/>
      <c r="NCQ17" s="500"/>
      <c r="NCR17" s="500"/>
      <c r="NCS17" s="500"/>
      <c r="NCT17" s="500"/>
      <c r="NCU17" s="500"/>
      <c r="NCV17" s="500"/>
      <c r="NCW17" s="500"/>
      <c r="NCX17" s="500"/>
      <c r="NCY17" s="500"/>
      <c r="NCZ17" s="500"/>
      <c r="NDA17" s="500"/>
      <c r="NDB17" s="500"/>
      <c r="NDC17" s="500"/>
      <c r="NDD17" s="500"/>
      <c r="NDE17" s="500"/>
      <c r="NDF17" s="500"/>
      <c r="NDG17" s="500"/>
      <c r="NDH17" s="500"/>
      <c r="NDI17" s="500"/>
      <c r="NDJ17" s="500"/>
      <c r="NDK17" s="500"/>
      <c r="NDL17" s="500"/>
      <c r="NDM17" s="500"/>
      <c r="NDN17" s="500"/>
      <c r="NDO17" s="500"/>
      <c r="NDP17" s="500"/>
      <c r="NDQ17" s="500"/>
      <c r="NDR17" s="500"/>
      <c r="NDS17" s="500"/>
      <c r="NDT17" s="500"/>
      <c r="NDU17" s="500"/>
      <c r="NDV17" s="500"/>
      <c r="NDW17" s="500"/>
      <c r="NDX17" s="500"/>
      <c r="NDY17" s="500"/>
      <c r="NDZ17" s="500"/>
      <c r="NEA17" s="500"/>
      <c r="NEB17" s="500"/>
      <c r="NEC17" s="500"/>
      <c r="NED17" s="500"/>
      <c r="NEE17" s="500"/>
      <c r="NEF17" s="500"/>
      <c r="NEG17" s="500"/>
      <c r="NEH17" s="500"/>
      <c r="NEI17" s="500"/>
      <c r="NEJ17" s="500"/>
      <c r="NEK17" s="500"/>
      <c r="NEL17" s="500"/>
      <c r="NEM17" s="500"/>
      <c r="NEN17" s="500"/>
      <c r="NEO17" s="500"/>
      <c r="NEP17" s="500"/>
      <c r="NEQ17" s="500"/>
      <c r="NER17" s="500"/>
      <c r="NES17" s="500"/>
      <c r="NET17" s="500"/>
      <c r="NEU17" s="500"/>
      <c r="NEV17" s="500"/>
      <c r="NEW17" s="500"/>
      <c r="NEX17" s="500"/>
      <c r="NEY17" s="500"/>
      <c r="NEZ17" s="500"/>
      <c r="NFA17" s="500"/>
      <c r="NFB17" s="500"/>
      <c r="NFC17" s="500"/>
      <c r="NFD17" s="500"/>
      <c r="NFE17" s="500"/>
      <c r="NFF17" s="500"/>
      <c r="NFG17" s="500"/>
      <c r="NFH17" s="500"/>
      <c r="NFI17" s="500"/>
      <c r="NFJ17" s="500"/>
      <c r="NFK17" s="500"/>
      <c r="NFL17" s="500"/>
      <c r="NFM17" s="500"/>
      <c r="NFN17" s="500"/>
      <c r="NFO17" s="500"/>
      <c r="NFP17" s="500"/>
      <c r="NFQ17" s="500"/>
      <c r="NFR17" s="500"/>
      <c r="NFS17" s="500"/>
      <c r="NFT17" s="500"/>
      <c r="NFU17" s="500"/>
      <c r="NFV17" s="500"/>
      <c r="NFW17" s="500"/>
      <c r="NFX17" s="500"/>
      <c r="NFY17" s="500"/>
      <c r="NFZ17" s="500"/>
      <c r="NGA17" s="500"/>
      <c r="NGB17" s="500"/>
      <c r="NGC17" s="500"/>
      <c r="NGD17" s="500"/>
      <c r="NGE17" s="500"/>
      <c r="NGF17" s="500"/>
      <c r="NGG17" s="500"/>
      <c r="NGH17" s="500"/>
      <c r="NGI17" s="500"/>
      <c r="NGJ17" s="500"/>
      <c r="NGK17" s="500"/>
      <c r="NGL17" s="500"/>
      <c r="NGM17" s="500"/>
      <c r="NGN17" s="500"/>
      <c r="NGO17" s="500"/>
      <c r="NGP17" s="500"/>
      <c r="NGQ17" s="500"/>
      <c r="NGR17" s="500"/>
      <c r="NGS17" s="500"/>
      <c r="NGT17" s="500"/>
      <c r="NGU17" s="500"/>
      <c r="NGV17" s="500"/>
      <c r="NGW17" s="500"/>
      <c r="NGX17" s="500"/>
      <c r="NGY17" s="500"/>
      <c r="NGZ17" s="500"/>
      <c r="NHA17" s="500"/>
      <c r="NHB17" s="500"/>
      <c r="NHC17" s="500"/>
      <c r="NHD17" s="500"/>
      <c r="NHE17" s="500"/>
      <c r="NHF17" s="500"/>
      <c r="NHG17" s="500"/>
      <c r="NHH17" s="500"/>
      <c r="NHI17" s="500"/>
      <c r="NHJ17" s="500"/>
      <c r="NHK17" s="500"/>
      <c r="NHL17" s="500"/>
      <c r="NHM17" s="500"/>
      <c r="NHN17" s="500"/>
      <c r="NHO17" s="500"/>
      <c r="NHP17" s="500"/>
      <c r="NHQ17" s="500"/>
      <c r="NHR17" s="500"/>
      <c r="NHS17" s="500"/>
      <c r="NHT17" s="500"/>
      <c r="NHU17" s="500"/>
      <c r="NHV17" s="500"/>
      <c r="NHW17" s="500"/>
      <c r="NHX17" s="500"/>
      <c r="NHY17" s="500"/>
      <c r="NHZ17" s="500"/>
      <c r="NIA17" s="500"/>
      <c r="NIB17" s="500"/>
      <c r="NIC17" s="500"/>
      <c r="NID17" s="500"/>
      <c r="NIE17" s="500"/>
      <c r="NIF17" s="500"/>
      <c r="NIG17" s="500"/>
      <c r="NIH17" s="500"/>
      <c r="NII17" s="500"/>
      <c r="NIJ17" s="500"/>
      <c r="NIK17" s="500"/>
      <c r="NIL17" s="500"/>
      <c r="NIM17" s="500"/>
      <c r="NIN17" s="500"/>
      <c r="NIO17" s="500"/>
      <c r="NIP17" s="500"/>
      <c r="NIQ17" s="500"/>
      <c r="NIR17" s="500"/>
      <c r="NIS17" s="500"/>
      <c r="NIT17" s="500"/>
      <c r="NIU17" s="500"/>
      <c r="NIV17" s="500"/>
      <c r="NIW17" s="500"/>
      <c r="NIX17" s="500"/>
      <c r="NIY17" s="500"/>
      <c r="NIZ17" s="500"/>
      <c r="NJA17" s="500"/>
      <c r="NJB17" s="500"/>
      <c r="NJC17" s="500"/>
      <c r="NJD17" s="500"/>
      <c r="NJE17" s="500"/>
      <c r="NJF17" s="500"/>
      <c r="NJG17" s="500"/>
      <c r="NJH17" s="500"/>
      <c r="NJI17" s="500"/>
      <c r="NJJ17" s="500"/>
      <c r="NJK17" s="500"/>
      <c r="NJL17" s="500"/>
      <c r="NJM17" s="500"/>
      <c r="NJN17" s="500"/>
      <c r="NJO17" s="500"/>
      <c r="NJP17" s="500"/>
      <c r="NJQ17" s="500"/>
      <c r="NJR17" s="500"/>
      <c r="NJS17" s="500"/>
      <c r="NJT17" s="500"/>
      <c r="NJU17" s="500"/>
      <c r="NJV17" s="500"/>
      <c r="NJW17" s="500"/>
      <c r="NJX17" s="500"/>
      <c r="NJY17" s="500"/>
      <c r="NJZ17" s="500"/>
      <c r="NKA17" s="500"/>
      <c r="NKB17" s="500"/>
      <c r="NKC17" s="500"/>
      <c r="NKD17" s="500"/>
      <c r="NKE17" s="500"/>
      <c r="NKF17" s="500"/>
      <c r="NKG17" s="500"/>
      <c r="NKH17" s="500"/>
      <c r="NKI17" s="500"/>
      <c r="NKJ17" s="500"/>
      <c r="NKK17" s="500"/>
      <c r="NKL17" s="500"/>
      <c r="NKM17" s="500"/>
      <c r="NKN17" s="500"/>
      <c r="NKO17" s="500"/>
      <c r="NKP17" s="500"/>
      <c r="NKQ17" s="500"/>
      <c r="NKR17" s="500"/>
      <c r="NKS17" s="500"/>
      <c r="NKT17" s="500"/>
      <c r="NKU17" s="500"/>
      <c r="NKV17" s="500"/>
      <c r="NKW17" s="500"/>
      <c r="NKX17" s="500"/>
      <c r="NKY17" s="500"/>
      <c r="NKZ17" s="500"/>
      <c r="NLA17" s="500"/>
      <c r="NLB17" s="500"/>
      <c r="NLC17" s="500"/>
      <c r="NLD17" s="500"/>
      <c r="NLE17" s="500"/>
      <c r="NLF17" s="500"/>
      <c r="NLG17" s="500"/>
      <c r="NLH17" s="500"/>
      <c r="NLI17" s="500"/>
      <c r="NLJ17" s="500"/>
      <c r="NLK17" s="500"/>
      <c r="NLL17" s="500"/>
      <c r="NLM17" s="500"/>
      <c r="NLN17" s="500"/>
      <c r="NLO17" s="500"/>
      <c r="NLP17" s="500"/>
      <c r="NLQ17" s="500"/>
      <c r="NLR17" s="500"/>
      <c r="NLS17" s="500"/>
      <c r="NLT17" s="500"/>
      <c r="NLU17" s="500"/>
      <c r="NLV17" s="500"/>
      <c r="NLW17" s="500"/>
      <c r="NLX17" s="500"/>
      <c r="NLY17" s="500"/>
      <c r="NLZ17" s="500"/>
      <c r="NMA17" s="500"/>
      <c r="NMB17" s="500"/>
      <c r="NMC17" s="500"/>
      <c r="NMD17" s="500"/>
      <c r="NME17" s="500"/>
      <c r="NMF17" s="500"/>
      <c r="NMG17" s="500"/>
      <c r="NMH17" s="500"/>
      <c r="NMI17" s="500"/>
      <c r="NMJ17" s="500"/>
      <c r="NMK17" s="500"/>
      <c r="NML17" s="500"/>
      <c r="NMM17" s="500"/>
      <c r="NMN17" s="500"/>
      <c r="NMO17" s="500"/>
      <c r="NMP17" s="500"/>
      <c r="NMQ17" s="500"/>
      <c r="NMR17" s="500"/>
      <c r="NMS17" s="500"/>
      <c r="NMT17" s="500"/>
      <c r="NMU17" s="500"/>
      <c r="NMV17" s="500"/>
      <c r="NMW17" s="500"/>
      <c r="NMX17" s="500"/>
      <c r="NMY17" s="500"/>
      <c r="NMZ17" s="500"/>
      <c r="NNA17" s="500"/>
      <c r="NNB17" s="500"/>
      <c r="NNC17" s="500"/>
      <c r="NND17" s="500"/>
      <c r="NNE17" s="500"/>
      <c r="NNF17" s="500"/>
      <c r="NNG17" s="500"/>
      <c r="NNH17" s="500"/>
      <c r="NNI17" s="500"/>
      <c r="NNJ17" s="500"/>
      <c r="NNK17" s="500"/>
      <c r="NNL17" s="500"/>
      <c r="NNM17" s="500"/>
      <c r="NNN17" s="500"/>
      <c r="NNO17" s="500"/>
      <c r="NNP17" s="500"/>
      <c r="NNQ17" s="500"/>
      <c r="NNR17" s="500"/>
      <c r="NNS17" s="500"/>
      <c r="NNT17" s="500"/>
      <c r="NNU17" s="500"/>
      <c r="NNV17" s="500"/>
      <c r="NNW17" s="500"/>
      <c r="NNX17" s="500"/>
      <c r="NNY17" s="500"/>
      <c r="NNZ17" s="500"/>
      <c r="NOA17" s="500"/>
      <c r="NOB17" s="500"/>
      <c r="NOC17" s="500"/>
      <c r="NOD17" s="500"/>
      <c r="NOE17" s="500"/>
      <c r="NOF17" s="500"/>
      <c r="NOG17" s="500"/>
      <c r="NOH17" s="500"/>
      <c r="NOI17" s="500"/>
      <c r="NOJ17" s="500"/>
      <c r="NOK17" s="500"/>
      <c r="NOL17" s="500"/>
      <c r="NOM17" s="500"/>
      <c r="NON17" s="500"/>
      <c r="NOO17" s="500"/>
      <c r="NOP17" s="500"/>
      <c r="NOQ17" s="500"/>
      <c r="NOR17" s="500"/>
      <c r="NOS17" s="500"/>
      <c r="NOT17" s="500"/>
      <c r="NOU17" s="500"/>
      <c r="NOV17" s="500"/>
      <c r="NOW17" s="500"/>
      <c r="NOX17" s="500"/>
      <c r="NOY17" s="500"/>
      <c r="NOZ17" s="500"/>
      <c r="NPA17" s="500"/>
      <c r="NPB17" s="500"/>
      <c r="NPC17" s="500"/>
      <c r="NPD17" s="500"/>
      <c r="NPE17" s="500"/>
      <c r="NPF17" s="500"/>
      <c r="NPG17" s="500"/>
      <c r="NPH17" s="500"/>
      <c r="NPI17" s="500"/>
      <c r="NPJ17" s="500"/>
      <c r="NPK17" s="500"/>
      <c r="NPL17" s="500"/>
      <c r="NPM17" s="500"/>
      <c r="NPN17" s="500"/>
      <c r="NPO17" s="500"/>
      <c r="NPP17" s="500"/>
      <c r="NPQ17" s="500"/>
      <c r="NPR17" s="500"/>
      <c r="NPS17" s="500"/>
      <c r="NPT17" s="500"/>
      <c r="NPU17" s="500"/>
      <c r="NPV17" s="500"/>
      <c r="NPW17" s="500"/>
      <c r="NPX17" s="500"/>
      <c r="NPY17" s="500"/>
      <c r="NPZ17" s="500"/>
      <c r="NQA17" s="500"/>
      <c r="NQB17" s="500"/>
      <c r="NQC17" s="500"/>
      <c r="NQD17" s="500"/>
      <c r="NQE17" s="500"/>
      <c r="NQF17" s="500"/>
      <c r="NQG17" s="500"/>
      <c r="NQH17" s="500"/>
      <c r="NQI17" s="500"/>
      <c r="NQJ17" s="500"/>
      <c r="NQK17" s="500"/>
      <c r="NQL17" s="500"/>
      <c r="NQM17" s="500"/>
      <c r="NQN17" s="500"/>
      <c r="NQO17" s="500"/>
      <c r="NQP17" s="500"/>
      <c r="NQQ17" s="500"/>
      <c r="NQR17" s="500"/>
      <c r="NQS17" s="500"/>
      <c r="NQT17" s="500"/>
      <c r="NQU17" s="500"/>
      <c r="NQV17" s="500"/>
      <c r="NQW17" s="500"/>
      <c r="NQX17" s="500"/>
      <c r="NQY17" s="500"/>
      <c r="NQZ17" s="500"/>
      <c r="NRA17" s="500"/>
      <c r="NRB17" s="500"/>
      <c r="NRC17" s="500"/>
      <c r="NRD17" s="500"/>
      <c r="NRE17" s="500"/>
      <c r="NRF17" s="500"/>
      <c r="NRG17" s="500"/>
      <c r="NRH17" s="500"/>
      <c r="NRI17" s="500"/>
      <c r="NRJ17" s="500"/>
      <c r="NRK17" s="500"/>
      <c r="NRL17" s="500"/>
      <c r="NRM17" s="500"/>
      <c r="NRN17" s="500"/>
      <c r="NRO17" s="500"/>
      <c r="NRP17" s="500"/>
      <c r="NRQ17" s="500"/>
      <c r="NRR17" s="500"/>
      <c r="NRS17" s="500"/>
      <c r="NRT17" s="500"/>
      <c r="NRU17" s="500"/>
      <c r="NRV17" s="500"/>
      <c r="NRW17" s="500"/>
      <c r="NRX17" s="500"/>
      <c r="NRY17" s="500"/>
      <c r="NRZ17" s="500"/>
      <c r="NSA17" s="500"/>
      <c r="NSB17" s="500"/>
      <c r="NSC17" s="500"/>
      <c r="NSD17" s="500"/>
      <c r="NSE17" s="500"/>
      <c r="NSF17" s="500"/>
      <c r="NSG17" s="500"/>
      <c r="NSH17" s="500"/>
      <c r="NSI17" s="500"/>
      <c r="NSJ17" s="500"/>
      <c r="NSK17" s="500"/>
      <c r="NSL17" s="500"/>
      <c r="NSM17" s="500"/>
      <c r="NSN17" s="500"/>
      <c r="NSO17" s="500"/>
      <c r="NSP17" s="500"/>
      <c r="NSQ17" s="500"/>
      <c r="NSR17" s="500"/>
      <c r="NSS17" s="500"/>
      <c r="NST17" s="500"/>
      <c r="NSU17" s="500"/>
      <c r="NSV17" s="500"/>
      <c r="NSW17" s="500"/>
      <c r="NSX17" s="500"/>
      <c r="NSY17" s="500"/>
      <c r="NSZ17" s="500"/>
      <c r="NTA17" s="500"/>
      <c r="NTB17" s="500"/>
      <c r="NTC17" s="500"/>
      <c r="NTD17" s="500"/>
      <c r="NTE17" s="500"/>
      <c r="NTF17" s="500"/>
      <c r="NTG17" s="500"/>
      <c r="NTH17" s="500"/>
      <c r="NTI17" s="500"/>
      <c r="NTJ17" s="500"/>
      <c r="NTK17" s="500"/>
      <c r="NTL17" s="500"/>
      <c r="NTM17" s="500"/>
      <c r="NTN17" s="500"/>
      <c r="NTO17" s="500"/>
      <c r="NTP17" s="500"/>
      <c r="NTQ17" s="500"/>
      <c r="NTR17" s="500"/>
      <c r="NTS17" s="500"/>
      <c r="NTT17" s="500"/>
      <c r="NTU17" s="500"/>
      <c r="NTV17" s="500"/>
      <c r="NTW17" s="500"/>
      <c r="NTX17" s="500"/>
      <c r="NTY17" s="500"/>
      <c r="NTZ17" s="500"/>
      <c r="NUA17" s="500"/>
      <c r="NUB17" s="500"/>
      <c r="NUC17" s="500"/>
      <c r="NUD17" s="500"/>
      <c r="NUE17" s="500"/>
      <c r="NUF17" s="500"/>
      <c r="NUG17" s="500"/>
      <c r="NUH17" s="500"/>
      <c r="NUI17" s="500"/>
      <c r="NUJ17" s="500"/>
      <c r="NUK17" s="500"/>
      <c r="NUL17" s="500"/>
      <c r="NUM17" s="500"/>
      <c r="NUN17" s="500"/>
      <c r="NUO17" s="500"/>
      <c r="NUP17" s="500"/>
      <c r="NUQ17" s="500"/>
      <c r="NUR17" s="500"/>
      <c r="NUS17" s="500"/>
      <c r="NUT17" s="500"/>
      <c r="NUU17" s="500"/>
      <c r="NUV17" s="500"/>
      <c r="NUW17" s="500"/>
      <c r="NUX17" s="500"/>
      <c r="NUY17" s="500"/>
      <c r="NUZ17" s="500"/>
      <c r="NVA17" s="500"/>
      <c r="NVB17" s="500"/>
      <c r="NVC17" s="500"/>
      <c r="NVD17" s="500"/>
      <c r="NVE17" s="500"/>
      <c r="NVF17" s="500"/>
      <c r="NVG17" s="500"/>
      <c r="NVH17" s="500"/>
      <c r="NVI17" s="500"/>
      <c r="NVJ17" s="500"/>
      <c r="NVK17" s="500"/>
      <c r="NVL17" s="500"/>
      <c r="NVM17" s="500"/>
      <c r="NVN17" s="500"/>
      <c r="NVO17" s="500"/>
      <c r="NVP17" s="500"/>
      <c r="NVQ17" s="500"/>
      <c r="NVR17" s="500"/>
      <c r="NVS17" s="500"/>
      <c r="NVT17" s="500"/>
      <c r="NVU17" s="500"/>
      <c r="NVV17" s="500"/>
      <c r="NVW17" s="500"/>
      <c r="NVX17" s="500"/>
      <c r="NVY17" s="500"/>
      <c r="NVZ17" s="500"/>
      <c r="NWA17" s="500"/>
      <c r="NWB17" s="500"/>
      <c r="NWC17" s="500"/>
      <c r="NWD17" s="500"/>
      <c r="NWE17" s="500"/>
      <c r="NWF17" s="500"/>
      <c r="NWG17" s="500"/>
      <c r="NWH17" s="500"/>
      <c r="NWI17" s="500"/>
      <c r="NWJ17" s="500"/>
      <c r="NWK17" s="500"/>
      <c r="NWL17" s="500"/>
      <c r="NWM17" s="500"/>
      <c r="NWN17" s="500"/>
      <c r="NWO17" s="500"/>
      <c r="NWP17" s="500"/>
      <c r="NWQ17" s="500"/>
      <c r="NWR17" s="500"/>
      <c r="NWS17" s="500"/>
      <c r="NWT17" s="500"/>
      <c r="NWU17" s="500"/>
      <c r="NWV17" s="500"/>
      <c r="NWW17" s="500"/>
      <c r="NWX17" s="500"/>
      <c r="NWY17" s="500"/>
      <c r="NWZ17" s="500"/>
      <c r="NXA17" s="500"/>
      <c r="NXB17" s="500"/>
      <c r="NXC17" s="500"/>
      <c r="NXD17" s="500"/>
      <c r="NXE17" s="500"/>
      <c r="NXF17" s="500"/>
      <c r="NXG17" s="500"/>
      <c r="NXH17" s="500"/>
      <c r="NXI17" s="500"/>
      <c r="NXJ17" s="500"/>
      <c r="NXK17" s="500"/>
      <c r="NXL17" s="500"/>
      <c r="NXM17" s="500"/>
      <c r="NXN17" s="500"/>
      <c r="NXO17" s="500"/>
      <c r="NXP17" s="500"/>
      <c r="NXQ17" s="500"/>
      <c r="NXR17" s="500"/>
      <c r="NXS17" s="500"/>
      <c r="NXT17" s="500"/>
      <c r="NXU17" s="500"/>
      <c r="NXV17" s="500"/>
      <c r="NXW17" s="500"/>
      <c r="NXX17" s="500"/>
      <c r="NXY17" s="500"/>
      <c r="NXZ17" s="500"/>
      <c r="NYA17" s="500"/>
      <c r="NYB17" s="500"/>
      <c r="NYC17" s="500"/>
      <c r="NYD17" s="500"/>
      <c r="NYE17" s="500"/>
      <c r="NYF17" s="500"/>
      <c r="NYG17" s="500"/>
      <c r="NYH17" s="500"/>
      <c r="NYI17" s="500"/>
      <c r="NYJ17" s="500"/>
      <c r="NYK17" s="500"/>
      <c r="NYL17" s="500"/>
      <c r="NYM17" s="500"/>
      <c r="NYN17" s="500"/>
      <c r="NYO17" s="500"/>
      <c r="NYP17" s="500"/>
      <c r="NYQ17" s="500"/>
      <c r="NYR17" s="500"/>
      <c r="NYS17" s="500"/>
      <c r="NYT17" s="500"/>
      <c r="NYU17" s="500"/>
      <c r="NYV17" s="500"/>
      <c r="NYW17" s="500"/>
      <c r="NYX17" s="500"/>
      <c r="NYY17" s="500"/>
      <c r="NYZ17" s="500"/>
      <c r="NZA17" s="500"/>
      <c r="NZB17" s="500"/>
      <c r="NZC17" s="500"/>
      <c r="NZD17" s="500"/>
      <c r="NZE17" s="500"/>
      <c r="NZF17" s="500"/>
      <c r="NZG17" s="500"/>
      <c r="NZH17" s="500"/>
      <c r="NZI17" s="500"/>
      <c r="NZJ17" s="500"/>
      <c r="NZK17" s="500"/>
      <c r="NZL17" s="500"/>
      <c r="NZM17" s="500"/>
      <c r="NZN17" s="500"/>
      <c r="NZO17" s="500"/>
      <c r="NZP17" s="500"/>
      <c r="NZQ17" s="500"/>
      <c r="NZR17" s="500"/>
      <c r="NZS17" s="500"/>
      <c r="NZT17" s="500"/>
      <c r="NZU17" s="500"/>
      <c r="NZV17" s="500"/>
      <c r="NZW17" s="500"/>
      <c r="NZX17" s="500"/>
      <c r="NZY17" s="500"/>
      <c r="NZZ17" s="500"/>
      <c r="OAA17" s="500"/>
      <c r="OAB17" s="500"/>
      <c r="OAC17" s="500"/>
      <c r="OAD17" s="500"/>
      <c r="OAE17" s="500"/>
      <c r="OAF17" s="500"/>
      <c r="OAG17" s="500"/>
      <c r="OAH17" s="500"/>
      <c r="OAI17" s="500"/>
      <c r="OAJ17" s="500"/>
      <c r="OAK17" s="500"/>
      <c r="OAL17" s="500"/>
      <c r="OAM17" s="500"/>
      <c r="OAN17" s="500"/>
      <c r="OAO17" s="500"/>
      <c r="OAP17" s="500"/>
      <c r="OAQ17" s="500"/>
      <c r="OAR17" s="500"/>
      <c r="OAS17" s="500"/>
      <c r="OAT17" s="500"/>
      <c r="OAU17" s="500"/>
      <c r="OAV17" s="500"/>
      <c r="OAW17" s="500"/>
      <c r="OAX17" s="500"/>
      <c r="OAY17" s="500"/>
      <c r="OAZ17" s="500"/>
      <c r="OBA17" s="500"/>
      <c r="OBB17" s="500"/>
      <c r="OBC17" s="500"/>
      <c r="OBD17" s="500"/>
      <c r="OBE17" s="500"/>
      <c r="OBF17" s="500"/>
      <c r="OBG17" s="500"/>
      <c r="OBH17" s="500"/>
      <c r="OBI17" s="500"/>
      <c r="OBJ17" s="500"/>
      <c r="OBK17" s="500"/>
      <c r="OBL17" s="500"/>
      <c r="OBM17" s="500"/>
      <c r="OBN17" s="500"/>
      <c r="OBO17" s="500"/>
      <c r="OBP17" s="500"/>
      <c r="OBQ17" s="500"/>
      <c r="OBR17" s="500"/>
      <c r="OBS17" s="500"/>
      <c r="OBT17" s="500"/>
      <c r="OBU17" s="500"/>
      <c r="OBV17" s="500"/>
      <c r="OBW17" s="500"/>
      <c r="OBX17" s="500"/>
      <c r="OBY17" s="500"/>
      <c r="OBZ17" s="500"/>
      <c r="OCA17" s="500"/>
      <c r="OCB17" s="500"/>
      <c r="OCC17" s="500"/>
      <c r="OCD17" s="500"/>
      <c r="OCE17" s="500"/>
      <c r="OCF17" s="500"/>
      <c r="OCG17" s="500"/>
      <c r="OCH17" s="500"/>
      <c r="OCI17" s="500"/>
      <c r="OCJ17" s="500"/>
      <c r="OCK17" s="500"/>
      <c r="OCL17" s="500"/>
      <c r="OCM17" s="500"/>
      <c r="OCN17" s="500"/>
      <c r="OCO17" s="500"/>
      <c r="OCP17" s="500"/>
      <c r="OCQ17" s="500"/>
      <c r="OCR17" s="500"/>
      <c r="OCS17" s="500"/>
      <c r="OCT17" s="500"/>
      <c r="OCU17" s="500"/>
      <c r="OCV17" s="500"/>
      <c r="OCW17" s="500"/>
      <c r="OCX17" s="500"/>
      <c r="OCY17" s="500"/>
      <c r="OCZ17" s="500"/>
      <c r="ODA17" s="500"/>
      <c r="ODB17" s="500"/>
      <c r="ODC17" s="500"/>
      <c r="ODD17" s="500"/>
      <c r="ODE17" s="500"/>
      <c r="ODF17" s="500"/>
      <c r="ODG17" s="500"/>
      <c r="ODH17" s="500"/>
      <c r="ODI17" s="500"/>
      <c r="ODJ17" s="500"/>
      <c r="ODK17" s="500"/>
      <c r="ODL17" s="500"/>
      <c r="ODM17" s="500"/>
      <c r="ODN17" s="500"/>
      <c r="ODO17" s="500"/>
      <c r="ODP17" s="500"/>
      <c r="ODQ17" s="500"/>
      <c r="ODR17" s="500"/>
      <c r="ODS17" s="500"/>
      <c r="ODT17" s="500"/>
      <c r="ODU17" s="500"/>
      <c r="ODV17" s="500"/>
      <c r="ODW17" s="500"/>
      <c r="ODX17" s="500"/>
      <c r="ODY17" s="500"/>
      <c r="ODZ17" s="500"/>
      <c r="OEA17" s="500"/>
      <c r="OEB17" s="500"/>
      <c r="OEC17" s="500"/>
      <c r="OED17" s="500"/>
      <c r="OEE17" s="500"/>
      <c r="OEF17" s="500"/>
      <c r="OEG17" s="500"/>
      <c r="OEH17" s="500"/>
      <c r="OEI17" s="500"/>
      <c r="OEJ17" s="500"/>
      <c r="OEK17" s="500"/>
      <c r="OEL17" s="500"/>
      <c r="OEM17" s="500"/>
      <c r="OEN17" s="500"/>
      <c r="OEO17" s="500"/>
      <c r="OEP17" s="500"/>
      <c r="OEQ17" s="500"/>
      <c r="OER17" s="500"/>
      <c r="OES17" s="500"/>
      <c r="OET17" s="500"/>
      <c r="OEU17" s="500"/>
      <c r="OEV17" s="500"/>
      <c r="OEW17" s="500"/>
      <c r="OEX17" s="500"/>
      <c r="OEY17" s="500"/>
      <c r="OEZ17" s="500"/>
      <c r="OFA17" s="500"/>
      <c r="OFB17" s="500"/>
      <c r="OFC17" s="500"/>
      <c r="OFD17" s="500"/>
      <c r="OFE17" s="500"/>
      <c r="OFF17" s="500"/>
      <c r="OFG17" s="500"/>
      <c r="OFH17" s="500"/>
      <c r="OFI17" s="500"/>
      <c r="OFJ17" s="500"/>
      <c r="OFK17" s="500"/>
      <c r="OFL17" s="500"/>
      <c r="OFM17" s="500"/>
      <c r="OFN17" s="500"/>
      <c r="OFO17" s="500"/>
      <c r="OFP17" s="500"/>
      <c r="OFQ17" s="500"/>
      <c r="OFR17" s="500"/>
      <c r="OFS17" s="500"/>
      <c r="OFT17" s="500"/>
      <c r="OFU17" s="500"/>
      <c r="OFV17" s="500"/>
      <c r="OFW17" s="500"/>
      <c r="OFX17" s="500"/>
      <c r="OFY17" s="500"/>
      <c r="OFZ17" s="500"/>
      <c r="OGA17" s="500"/>
      <c r="OGB17" s="500"/>
      <c r="OGC17" s="500"/>
      <c r="OGD17" s="500"/>
      <c r="OGE17" s="500"/>
      <c r="OGF17" s="500"/>
      <c r="OGG17" s="500"/>
      <c r="OGH17" s="500"/>
      <c r="OGI17" s="500"/>
      <c r="OGJ17" s="500"/>
      <c r="OGK17" s="500"/>
      <c r="OGL17" s="500"/>
      <c r="OGM17" s="500"/>
      <c r="OGN17" s="500"/>
      <c r="OGO17" s="500"/>
      <c r="OGP17" s="500"/>
      <c r="OGQ17" s="500"/>
      <c r="OGR17" s="500"/>
      <c r="OGS17" s="500"/>
      <c r="OGT17" s="500"/>
      <c r="OGU17" s="500"/>
      <c r="OGV17" s="500"/>
      <c r="OGW17" s="500"/>
      <c r="OGX17" s="500"/>
      <c r="OGY17" s="500"/>
      <c r="OGZ17" s="500"/>
      <c r="OHA17" s="500"/>
      <c r="OHB17" s="500"/>
      <c r="OHC17" s="500"/>
      <c r="OHD17" s="500"/>
      <c r="OHE17" s="500"/>
      <c r="OHF17" s="500"/>
      <c r="OHG17" s="500"/>
      <c r="OHH17" s="500"/>
      <c r="OHI17" s="500"/>
      <c r="OHJ17" s="500"/>
      <c r="OHK17" s="500"/>
      <c r="OHL17" s="500"/>
      <c r="OHM17" s="500"/>
      <c r="OHN17" s="500"/>
      <c r="OHO17" s="500"/>
      <c r="OHP17" s="500"/>
      <c r="OHQ17" s="500"/>
      <c r="OHR17" s="500"/>
      <c r="OHS17" s="500"/>
      <c r="OHT17" s="500"/>
      <c r="OHU17" s="500"/>
      <c r="OHV17" s="500"/>
      <c r="OHW17" s="500"/>
      <c r="OHX17" s="500"/>
      <c r="OHY17" s="500"/>
      <c r="OHZ17" s="500"/>
      <c r="OIA17" s="500"/>
      <c r="OIB17" s="500"/>
      <c r="OIC17" s="500"/>
      <c r="OID17" s="500"/>
      <c r="OIE17" s="500"/>
      <c r="OIF17" s="500"/>
      <c r="OIG17" s="500"/>
      <c r="OIH17" s="500"/>
      <c r="OII17" s="500"/>
      <c r="OIJ17" s="500"/>
      <c r="OIK17" s="500"/>
      <c r="OIL17" s="500"/>
      <c r="OIM17" s="500"/>
      <c r="OIN17" s="500"/>
      <c r="OIO17" s="500"/>
      <c r="OIP17" s="500"/>
      <c r="OIQ17" s="500"/>
      <c r="OIR17" s="500"/>
      <c r="OIS17" s="500"/>
      <c r="OIT17" s="500"/>
      <c r="OIU17" s="500"/>
      <c r="OIV17" s="500"/>
      <c r="OIW17" s="500"/>
      <c r="OIX17" s="500"/>
      <c r="OIY17" s="500"/>
      <c r="OIZ17" s="500"/>
      <c r="OJA17" s="500"/>
      <c r="OJB17" s="500"/>
      <c r="OJC17" s="500"/>
      <c r="OJD17" s="500"/>
      <c r="OJE17" s="500"/>
      <c r="OJF17" s="500"/>
      <c r="OJG17" s="500"/>
      <c r="OJH17" s="500"/>
      <c r="OJI17" s="500"/>
      <c r="OJJ17" s="500"/>
      <c r="OJK17" s="500"/>
      <c r="OJL17" s="500"/>
      <c r="OJM17" s="500"/>
      <c r="OJN17" s="500"/>
      <c r="OJO17" s="500"/>
      <c r="OJP17" s="500"/>
      <c r="OJQ17" s="500"/>
      <c r="OJR17" s="500"/>
      <c r="OJS17" s="500"/>
      <c r="OJT17" s="500"/>
      <c r="OJU17" s="500"/>
      <c r="OJV17" s="500"/>
      <c r="OJW17" s="500"/>
      <c r="OJX17" s="500"/>
      <c r="OJY17" s="500"/>
      <c r="OJZ17" s="500"/>
      <c r="OKA17" s="500"/>
      <c r="OKB17" s="500"/>
      <c r="OKC17" s="500"/>
      <c r="OKD17" s="500"/>
      <c r="OKE17" s="500"/>
      <c r="OKF17" s="500"/>
      <c r="OKG17" s="500"/>
      <c r="OKH17" s="500"/>
      <c r="OKI17" s="500"/>
      <c r="OKJ17" s="500"/>
      <c r="OKK17" s="500"/>
      <c r="OKL17" s="500"/>
      <c r="OKM17" s="500"/>
      <c r="OKN17" s="500"/>
      <c r="OKO17" s="500"/>
      <c r="OKP17" s="500"/>
      <c r="OKQ17" s="500"/>
      <c r="OKR17" s="500"/>
      <c r="OKS17" s="500"/>
      <c r="OKT17" s="500"/>
      <c r="OKU17" s="500"/>
      <c r="OKV17" s="500"/>
      <c r="OKW17" s="500"/>
      <c r="OKX17" s="500"/>
      <c r="OKY17" s="500"/>
      <c r="OKZ17" s="500"/>
      <c r="OLA17" s="500"/>
      <c r="OLB17" s="500"/>
      <c r="OLC17" s="500"/>
      <c r="OLD17" s="500"/>
      <c r="OLE17" s="500"/>
      <c r="OLF17" s="500"/>
      <c r="OLG17" s="500"/>
      <c r="OLH17" s="500"/>
      <c r="OLI17" s="500"/>
      <c r="OLJ17" s="500"/>
      <c r="OLK17" s="500"/>
      <c r="OLL17" s="500"/>
      <c r="OLM17" s="500"/>
      <c r="OLN17" s="500"/>
      <c r="OLO17" s="500"/>
      <c r="OLP17" s="500"/>
      <c r="OLQ17" s="500"/>
      <c r="OLR17" s="500"/>
      <c r="OLS17" s="500"/>
      <c r="OLT17" s="500"/>
      <c r="OLU17" s="500"/>
      <c r="OLV17" s="500"/>
      <c r="OLW17" s="500"/>
      <c r="OLX17" s="500"/>
      <c r="OLY17" s="500"/>
      <c r="OLZ17" s="500"/>
      <c r="OMA17" s="500"/>
      <c r="OMB17" s="500"/>
      <c r="OMC17" s="500"/>
      <c r="OMD17" s="500"/>
      <c r="OME17" s="500"/>
      <c r="OMF17" s="500"/>
      <c r="OMG17" s="500"/>
      <c r="OMH17" s="500"/>
      <c r="OMI17" s="500"/>
      <c r="OMJ17" s="500"/>
      <c r="OMK17" s="500"/>
      <c r="OML17" s="500"/>
      <c r="OMM17" s="500"/>
      <c r="OMN17" s="500"/>
      <c r="OMO17" s="500"/>
      <c r="OMP17" s="500"/>
      <c r="OMQ17" s="500"/>
      <c r="OMR17" s="500"/>
      <c r="OMS17" s="500"/>
      <c r="OMT17" s="500"/>
      <c r="OMU17" s="500"/>
      <c r="OMV17" s="500"/>
      <c r="OMW17" s="500"/>
      <c r="OMX17" s="500"/>
      <c r="OMY17" s="500"/>
      <c r="OMZ17" s="500"/>
      <c r="ONA17" s="500"/>
      <c r="ONB17" s="500"/>
      <c r="ONC17" s="500"/>
      <c r="OND17" s="500"/>
      <c r="ONE17" s="500"/>
      <c r="ONF17" s="500"/>
      <c r="ONG17" s="500"/>
      <c r="ONH17" s="500"/>
      <c r="ONI17" s="500"/>
      <c r="ONJ17" s="500"/>
      <c r="ONK17" s="500"/>
      <c r="ONL17" s="500"/>
      <c r="ONM17" s="500"/>
      <c r="ONN17" s="500"/>
      <c r="ONO17" s="500"/>
      <c r="ONP17" s="500"/>
      <c r="ONQ17" s="500"/>
      <c r="ONR17" s="500"/>
      <c r="ONS17" s="500"/>
      <c r="ONT17" s="500"/>
      <c r="ONU17" s="500"/>
      <c r="ONV17" s="500"/>
      <c r="ONW17" s="500"/>
      <c r="ONX17" s="500"/>
      <c r="ONY17" s="500"/>
      <c r="ONZ17" s="500"/>
      <c r="OOA17" s="500"/>
      <c r="OOB17" s="500"/>
      <c r="OOC17" s="500"/>
      <c r="OOD17" s="500"/>
      <c r="OOE17" s="500"/>
      <c r="OOF17" s="500"/>
      <c r="OOG17" s="500"/>
      <c r="OOH17" s="500"/>
      <c r="OOI17" s="500"/>
      <c r="OOJ17" s="500"/>
      <c r="OOK17" s="500"/>
      <c r="OOL17" s="500"/>
      <c r="OOM17" s="500"/>
      <c r="OON17" s="500"/>
      <c r="OOO17" s="500"/>
      <c r="OOP17" s="500"/>
      <c r="OOQ17" s="500"/>
      <c r="OOR17" s="500"/>
      <c r="OOS17" s="500"/>
      <c r="OOT17" s="500"/>
      <c r="OOU17" s="500"/>
      <c r="OOV17" s="500"/>
      <c r="OOW17" s="500"/>
      <c r="OOX17" s="500"/>
      <c r="OOY17" s="500"/>
      <c r="OOZ17" s="500"/>
      <c r="OPA17" s="500"/>
      <c r="OPB17" s="500"/>
      <c r="OPC17" s="500"/>
      <c r="OPD17" s="500"/>
      <c r="OPE17" s="500"/>
      <c r="OPF17" s="500"/>
      <c r="OPG17" s="500"/>
      <c r="OPH17" s="500"/>
      <c r="OPI17" s="500"/>
      <c r="OPJ17" s="500"/>
      <c r="OPK17" s="500"/>
      <c r="OPL17" s="500"/>
      <c r="OPM17" s="500"/>
      <c r="OPN17" s="500"/>
      <c r="OPO17" s="500"/>
      <c r="OPP17" s="500"/>
      <c r="OPQ17" s="500"/>
      <c r="OPR17" s="500"/>
      <c r="OPS17" s="500"/>
      <c r="OPT17" s="500"/>
      <c r="OPU17" s="500"/>
      <c r="OPV17" s="500"/>
      <c r="OPW17" s="500"/>
      <c r="OPX17" s="500"/>
      <c r="OPY17" s="500"/>
      <c r="OPZ17" s="500"/>
      <c r="OQA17" s="500"/>
      <c r="OQB17" s="500"/>
      <c r="OQC17" s="500"/>
      <c r="OQD17" s="500"/>
      <c r="OQE17" s="500"/>
      <c r="OQF17" s="500"/>
      <c r="OQG17" s="500"/>
      <c r="OQH17" s="500"/>
      <c r="OQI17" s="500"/>
      <c r="OQJ17" s="500"/>
      <c r="OQK17" s="500"/>
      <c r="OQL17" s="500"/>
      <c r="OQM17" s="500"/>
      <c r="OQN17" s="500"/>
      <c r="OQO17" s="500"/>
      <c r="OQP17" s="500"/>
      <c r="OQQ17" s="500"/>
      <c r="OQR17" s="500"/>
      <c r="OQS17" s="500"/>
      <c r="OQT17" s="500"/>
      <c r="OQU17" s="500"/>
      <c r="OQV17" s="500"/>
      <c r="OQW17" s="500"/>
      <c r="OQX17" s="500"/>
      <c r="OQY17" s="500"/>
      <c r="OQZ17" s="500"/>
      <c r="ORA17" s="500"/>
      <c r="ORB17" s="500"/>
      <c r="ORC17" s="500"/>
      <c r="ORD17" s="500"/>
      <c r="ORE17" s="500"/>
      <c r="ORF17" s="500"/>
      <c r="ORG17" s="500"/>
      <c r="ORH17" s="500"/>
      <c r="ORI17" s="500"/>
      <c r="ORJ17" s="500"/>
      <c r="ORK17" s="500"/>
      <c r="ORL17" s="500"/>
      <c r="ORM17" s="500"/>
      <c r="ORN17" s="500"/>
      <c r="ORO17" s="500"/>
      <c r="ORP17" s="500"/>
      <c r="ORQ17" s="500"/>
      <c r="ORR17" s="500"/>
      <c r="ORS17" s="500"/>
      <c r="ORT17" s="500"/>
      <c r="ORU17" s="500"/>
      <c r="ORV17" s="500"/>
      <c r="ORW17" s="500"/>
      <c r="ORX17" s="500"/>
      <c r="ORY17" s="500"/>
      <c r="ORZ17" s="500"/>
      <c r="OSA17" s="500"/>
      <c r="OSB17" s="500"/>
      <c r="OSC17" s="500"/>
      <c r="OSD17" s="500"/>
      <c r="OSE17" s="500"/>
      <c r="OSF17" s="500"/>
      <c r="OSG17" s="500"/>
      <c r="OSH17" s="500"/>
      <c r="OSI17" s="500"/>
      <c r="OSJ17" s="500"/>
      <c r="OSK17" s="500"/>
      <c r="OSL17" s="500"/>
      <c r="OSM17" s="500"/>
      <c r="OSN17" s="500"/>
      <c r="OSO17" s="500"/>
      <c r="OSP17" s="500"/>
      <c r="OSQ17" s="500"/>
      <c r="OSR17" s="500"/>
      <c r="OSS17" s="500"/>
      <c r="OST17" s="500"/>
      <c r="OSU17" s="500"/>
      <c r="OSV17" s="500"/>
      <c r="OSW17" s="500"/>
      <c r="OSX17" s="500"/>
      <c r="OSY17" s="500"/>
      <c r="OSZ17" s="500"/>
      <c r="OTA17" s="500"/>
      <c r="OTB17" s="500"/>
      <c r="OTC17" s="500"/>
      <c r="OTD17" s="500"/>
      <c r="OTE17" s="500"/>
      <c r="OTF17" s="500"/>
      <c r="OTG17" s="500"/>
      <c r="OTH17" s="500"/>
      <c r="OTI17" s="500"/>
      <c r="OTJ17" s="500"/>
      <c r="OTK17" s="500"/>
      <c r="OTL17" s="500"/>
      <c r="OTM17" s="500"/>
      <c r="OTN17" s="500"/>
      <c r="OTO17" s="500"/>
      <c r="OTP17" s="500"/>
      <c r="OTQ17" s="500"/>
      <c r="OTR17" s="500"/>
      <c r="OTS17" s="500"/>
      <c r="OTT17" s="500"/>
      <c r="OTU17" s="500"/>
      <c r="OTV17" s="500"/>
      <c r="OTW17" s="500"/>
      <c r="OTX17" s="500"/>
      <c r="OTY17" s="500"/>
      <c r="OTZ17" s="500"/>
      <c r="OUA17" s="500"/>
      <c r="OUB17" s="500"/>
      <c r="OUC17" s="500"/>
      <c r="OUD17" s="500"/>
      <c r="OUE17" s="500"/>
      <c r="OUF17" s="500"/>
      <c r="OUG17" s="500"/>
      <c r="OUH17" s="500"/>
      <c r="OUI17" s="500"/>
      <c r="OUJ17" s="500"/>
      <c r="OUK17" s="500"/>
      <c r="OUL17" s="500"/>
      <c r="OUM17" s="500"/>
      <c r="OUN17" s="500"/>
      <c r="OUO17" s="500"/>
      <c r="OUP17" s="500"/>
      <c r="OUQ17" s="500"/>
      <c r="OUR17" s="500"/>
      <c r="OUS17" s="500"/>
      <c r="OUT17" s="500"/>
      <c r="OUU17" s="500"/>
      <c r="OUV17" s="500"/>
      <c r="OUW17" s="500"/>
      <c r="OUX17" s="500"/>
      <c r="OUY17" s="500"/>
      <c r="OUZ17" s="500"/>
      <c r="OVA17" s="500"/>
      <c r="OVB17" s="500"/>
      <c r="OVC17" s="500"/>
      <c r="OVD17" s="500"/>
      <c r="OVE17" s="500"/>
      <c r="OVF17" s="500"/>
      <c r="OVG17" s="500"/>
      <c r="OVH17" s="500"/>
      <c r="OVI17" s="500"/>
      <c r="OVJ17" s="500"/>
      <c r="OVK17" s="500"/>
      <c r="OVL17" s="500"/>
      <c r="OVM17" s="500"/>
      <c r="OVN17" s="500"/>
      <c r="OVO17" s="500"/>
      <c r="OVP17" s="500"/>
      <c r="OVQ17" s="500"/>
      <c r="OVR17" s="500"/>
      <c r="OVS17" s="500"/>
      <c r="OVT17" s="500"/>
      <c r="OVU17" s="500"/>
      <c r="OVV17" s="500"/>
      <c r="OVW17" s="500"/>
      <c r="OVX17" s="500"/>
      <c r="OVY17" s="500"/>
      <c r="OVZ17" s="500"/>
      <c r="OWA17" s="500"/>
      <c r="OWB17" s="500"/>
      <c r="OWC17" s="500"/>
      <c r="OWD17" s="500"/>
      <c r="OWE17" s="500"/>
      <c r="OWF17" s="500"/>
      <c r="OWG17" s="500"/>
      <c r="OWH17" s="500"/>
      <c r="OWI17" s="500"/>
      <c r="OWJ17" s="500"/>
      <c r="OWK17" s="500"/>
      <c r="OWL17" s="500"/>
      <c r="OWM17" s="500"/>
      <c r="OWN17" s="500"/>
      <c r="OWO17" s="500"/>
      <c r="OWP17" s="500"/>
      <c r="OWQ17" s="500"/>
      <c r="OWR17" s="500"/>
      <c r="OWS17" s="500"/>
      <c r="OWT17" s="500"/>
      <c r="OWU17" s="500"/>
      <c r="OWV17" s="500"/>
      <c r="OWW17" s="500"/>
      <c r="OWX17" s="500"/>
      <c r="OWY17" s="500"/>
      <c r="OWZ17" s="500"/>
      <c r="OXA17" s="500"/>
      <c r="OXB17" s="500"/>
      <c r="OXC17" s="500"/>
      <c r="OXD17" s="500"/>
      <c r="OXE17" s="500"/>
      <c r="OXF17" s="500"/>
      <c r="OXG17" s="500"/>
      <c r="OXH17" s="500"/>
      <c r="OXI17" s="500"/>
      <c r="OXJ17" s="500"/>
      <c r="OXK17" s="500"/>
      <c r="OXL17" s="500"/>
      <c r="OXM17" s="500"/>
      <c r="OXN17" s="500"/>
      <c r="OXO17" s="500"/>
      <c r="OXP17" s="500"/>
      <c r="OXQ17" s="500"/>
      <c r="OXR17" s="500"/>
      <c r="OXS17" s="500"/>
      <c r="OXT17" s="500"/>
      <c r="OXU17" s="500"/>
      <c r="OXV17" s="500"/>
      <c r="OXW17" s="500"/>
      <c r="OXX17" s="500"/>
      <c r="OXY17" s="500"/>
      <c r="OXZ17" s="500"/>
      <c r="OYA17" s="500"/>
      <c r="OYB17" s="500"/>
      <c r="OYC17" s="500"/>
      <c r="OYD17" s="500"/>
      <c r="OYE17" s="500"/>
      <c r="OYF17" s="500"/>
      <c r="OYG17" s="500"/>
      <c r="OYH17" s="500"/>
      <c r="OYI17" s="500"/>
      <c r="OYJ17" s="500"/>
      <c r="OYK17" s="500"/>
      <c r="OYL17" s="500"/>
      <c r="OYM17" s="500"/>
      <c r="OYN17" s="500"/>
      <c r="OYO17" s="500"/>
      <c r="OYP17" s="500"/>
      <c r="OYQ17" s="500"/>
      <c r="OYR17" s="500"/>
      <c r="OYS17" s="500"/>
      <c r="OYT17" s="500"/>
      <c r="OYU17" s="500"/>
      <c r="OYV17" s="500"/>
      <c r="OYW17" s="500"/>
      <c r="OYX17" s="500"/>
      <c r="OYY17" s="500"/>
      <c r="OYZ17" s="500"/>
      <c r="OZA17" s="500"/>
      <c r="OZB17" s="500"/>
      <c r="OZC17" s="500"/>
      <c r="OZD17" s="500"/>
      <c r="OZE17" s="500"/>
      <c r="OZF17" s="500"/>
      <c r="OZG17" s="500"/>
      <c r="OZH17" s="500"/>
      <c r="OZI17" s="500"/>
      <c r="OZJ17" s="500"/>
      <c r="OZK17" s="500"/>
      <c r="OZL17" s="500"/>
      <c r="OZM17" s="500"/>
      <c r="OZN17" s="500"/>
      <c r="OZO17" s="500"/>
      <c r="OZP17" s="500"/>
      <c r="OZQ17" s="500"/>
      <c r="OZR17" s="500"/>
      <c r="OZS17" s="500"/>
      <c r="OZT17" s="500"/>
      <c r="OZU17" s="500"/>
      <c r="OZV17" s="500"/>
      <c r="OZW17" s="500"/>
      <c r="OZX17" s="500"/>
      <c r="OZY17" s="500"/>
      <c r="OZZ17" s="500"/>
      <c r="PAA17" s="500"/>
      <c r="PAB17" s="500"/>
      <c r="PAC17" s="500"/>
      <c r="PAD17" s="500"/>
      <c r="PAE17" s="500"/>
      <c r="PAF17" s="500"/>
      <c r="PAG17" s="500"/>
      <c r="PAH17" s="500"/>
      <c r="PAI17" s="500"/>
      <c r="PAJ17" s="500"/>
      <c r="PAK17" s="500"/>
      <c r="PAL17" s="500"/>
      <c r="PAM17" s="500"/>
      <c r="PAN17" s="500"/>
      <c r="PAO17" s="500"/>
      <c r="PAP17" s="500"/>
      <c r="PAQ17" s="500"/>
      <c r="PAR17" s="500"/>
      <c r="PAS17" s="500"/>
      <c r="PAT17" s="500"/>
      <c r="PAU17" s="500"/>
      <c r="PAV17" s="500"/>
      <c r="PAW17" s="500"/>
      <c r="PAX17" s="500"/>
      <c r="PAY17" s="500"/>
      <c r="PAZ17" s="500"/>
      <c r="PBA17" s="500"/>
      <c r="PBB17" s="500"/>
      <c r="PBC17" s="500"/>
      <c r="PBD17" s="500"/>
      <c r="PBE17" s="500"/>
      <c r="PBF17" s="500"/>
      <c r="PBG17" s="500"/>
      <c r="PBH17" s="500"/>
      <c r="PBI17" s="500"/>
      <c r="PBJ17" s="500"/>
      <c r="PBK17" s="500"/>
      <c r="PBL17" s="500"/>
      <c r="PBM17" s="500"/>
      <c r="PBN17" s="500"/>
      <c r="PBO17" s="500"/>
      <c r="PBP17" s="500"/>
      <c r="PBQ17" s="500"/>
      <c r="PBR17" s="500"/>
      <c r="PBS17" s="500"/>
      <c r="PBT17" s="500"/>
      <c r="PBU17" s="500"/>
      <c r="PBV17" s="500"/>
      <c r="PBW17" s="500"/>
      <c r="PBX17" s="500"/>
      <c r="PBY17" s="500"/>
      <c r="PBZ17" s="500"/>
      <c r="PCA17" s="500"/>
      <c r="PCB17" s="500"/>
      <c r="PCC17" s="500"/>
      <c r="PCD17" s="500"/>
      <c r="PCE17" s="500"/>
      <c r="PCF17" s="500"/>
      <c r="PCG17" s="500"/>
      <c r="PCH17" s="500"/>
      <c r="PCI17" s="500"/>
      <c r="PCJ17" s="500"/>
      <c r="PCK17" s="500"/>
      <c r="PCL17" s="500"/>
      <c r="PCM17" s="500"/>
      <c r="PCN17" s="500"/>
      <c r="PCO17" s="500"/>
      <c r="PCP17" s="500"/>
      <c r="PCQ17" s="500"/>
      <c r="PCR17" s="500"/>
      <c r="PCS17" s="500"/>
      <c r="PCT17" s="500"/>
      <c r="PCU17" s="500"/>
      <c r="PCV17" s="500"/>
      <c r="PCW17" s="500"/>
      <c r="PCX17" s="500"/>
      <c r="PCY17" s="500"/>
      <c r="PCZ17" s="500"/>
      <c r="PDA17" s="500"/>
      <c r="PDB17" s="500"/>
      <c r="PDC17" s="500"/>
      <c r="PDD17" s="500"/>
      <c r="PDE17" s="500"/>
      <c r="PDF17" s="500"/>
      <c r="PDG17" s="500"/>
      <c r="PDH17" s="500"/>
      <c r="PDI17" s="500"/>
      <c r="PDJ17" s="500"/>
      <c r="PDK17" s="500"/>
      <c r="PDL17" s="500"/>
      <c r="PDM17" s="500"/>
      <c r="PDN17" s="500"/>
      <c r="PDO17" s="500"/>
      <c r="PDP17" s="500"/>
      <c r="PDQ17" s="500"/>
      <c r="PDR17" s="500"/>
      <c r="PDS17" s="500"/>
      <c r="PDT17" s="500"/>
      <c r="PDU17" s="500"/>
      <c r="PDV17" s="500"/>
      <c r="PDW17" s="500"/>
      <c r="PDX17" s="500"/>
      <c r="PDY17" s="500"/>
      <c r="PDZ17" s="500"/>
      <c r="PEA17" s="500"/>
      <c r="PEB17" s="500"/>
      <c r="PEC17" s="500"/>
      <c r="PED17" s="500"/>
      <c r="PEE17" s="500"/>
      <c r="PEF17" s="500"/>
      <c r="PEG17" s="500"/>
      <c r="PEH17" s="500"/>
      <c r="PEI17" s="500"/>
      <c r="PEJ17" s="500"/>
      <c r="PEK17" s="500"/>
      <c r="PEL17" s="500"/>
      <c r="PEM17" s="500"/>
      <c r="PEN17" s="500"/>
      <c r="PEO17" s="500"/>
      <c r="PEP17" s="500"/>
      <c r="PEQ17" s="500"/>
      <c r="PER17" s="500"/>
      <c r="PES17" s="500"/>
      <c r="PET17" s="500"/>
      <c r="PEU17" s="500"/>
      <c r="PEV17" s="500"/>
      <c r="PEW17" s="500"/>
      <c r="PEX17" s="500"/>
      <c r="PEY17" s="500"/>
      <c r="PEZ17" s="500"/>
      <c r="PFA17" s="500"/>
      <c r="PFB17" s="500"/>
      <c r="PFC17" s="500"/>
      <c r="PFD17" s="500"/>
      <c r="PFE17" s="500"/>
      <c r="PFF17" s="500"/>
      <c r="PFG17" s="500"/>
      <c r="PFH17" s="500"/>
      <c r="PFI17" s="500"/>
      <c r="PFJ17" s="500"/>
      <c r="PFK17" s="500"/>
      <c r="PFL17" s="500"/>
      <c r="PFM17" s="500"/>
      <c r="PFN17" s="500"/>
      <c r="PFO17" s="500"/>
      <c r="PFP17" s="500"/>
      <c r="PFQ17" s="500"/>
      <c r="PFR17" s="500"/>
      <c r="PFS17" s="500"/>
      <c r="PFT17" s="500"/>
      <c r="PFU17" s="500"/>
      <c r="PFV17" s="500"/>
      <c r="PFW17" s="500"/>
      <c r="PFX17" s="500"/>
      <c r="PFY17" s="500"/>
      <c r="PFZ17" s="500"/>
      <c r="PGA17" s="500"/>
      <c r="PGB17" s="500"/>
      <c r="PGC17" s="500"/>
      <c r="PGD17" s="500"/>
      <c r="PGE17" s="500"/>
      <c r="PGF17" s="500"/>
      <c r="PGG17" s="500"/>
      <c r="PGH17" s="500"/>
      <c r="PGI17" s="500"/>
      <c r="PGJ17" s="500"/>
      <c r="PGK17" s="500"/>
      <c r="PGL17" s="500"/>
      <c r="PGM17" s="500"/>
      <c r="PGN17" s="500"/>
      <c r="PGO17" s="500"/>
      <c r="PGP17" s="500"/>
      <c r="PGQ17" s="500"/>
      <c r="PGR17" s="500"/>
      <c r="PGS17" s="500"/>
      <c r="PGT17" s="500"/>
      <c r="PGU17" s="500"/>
      <c r="PGV17" s="500"/>
      <c r="PGW17" s="500"/>
      <c r="PGX17" s="500"/>
      <c r="PGY17" s="500"/>
      <c r="PGZ17" s="500"/>
      <c r="PHA17" s="500"/>
      <c r="PHB17" s="500"/>
      <c r="PHC17" s="500"/>
      <c r="PHD17" s="500"/>
      <c r="PHE17" s="500"/>
      <c r="PHF17" s="500"/>
      <c r="PHG17" s="500"/>
      <c r="PHH17" s="500"/>
      <c r="PHI17" s="500"/>
      <c r="PHJ17" s="500"/>
      <c r="PHK17" s="500"/>
      <c r="PHL17" s="500"/>
      <c r="PHM17" s="500"/>
      <c r="PHN17" s="500"/>
      <c r="PHO17" s="500"/>
      <c r="PHP17" s="500"/>
      <c r="PHQ17" s="500"/>
      <c r="PHR17" s="500"/>
      <c r="PHS17" s="500"/>
      <c r="PHT17" s="500"/>
      <c r="PHU17" s="500"/>
      <c r="PHV17" s="500"/>
      <c r="PHW17" s="500"/>
      <c r="PHX17" s="500"/>
      <c r="PHY17" s="500"/>
      <c r="PHZ17" s="500"/>
      <c r="PIA17" s="500"/>
      <c r="PIB17" s="500"/>
      <c r="PIC17" s="500"/>
      <c r="PID17" s="500"/>
      <c r="PIE17" s="500"/>
      <c r="PIF17" s="500"/>
      <c r="PIG17" s="500"/>
      <c r="PIH17" s="500"/>
      <c r="PII17" s="500"/>
      <c r="PIJ17" s="500"/>
      <c r="PIK17" s="500"/>
      <c r="PIL17" s="500"/>
      <c r="PIM17" s="500"/>
      <c r="PIN17" s="500"/>
      <c r="PIO17" s="500"/>
      <c r="PIP17" s="500"/>
      <c r="PIQ17" s="500"/>
      <c r="PIR17" s="500"/>
      <c r="PIS17" s="500"/>
      <c r="PIT17" s="500"/>
      <c r="PIU17" s="500"/>
      <c r="PIV17" s="500"/>
      <c r="PIW17" s="500"/>
      <c r="PIX17" s="500"/>
      <c r="PIY17" s="500"/>
      <c r="PIZ17" s="500"/>
      <c r="PJA17" s="500"/>
      <c r="PJB17" s="500"/>
      <c r="PJC17" s="500"/>
      <c r="PJD17" s="500"/>
      <c r="PJE17" s="500"/>
      <c r="PJF17" s="500"/>
      <c r="PJG17" s="500"/>
      <c r="PJH17" s="500"/>
      <c r="PJI17" s="500"/>
      <c r="PJJ17" s="500"/>
      <c r="PJK17" s="500"/>
      <c r="PJL17" s="500"/>
      <c r="PJM17" s="500"/>
      <c r="PJN17" s="500"/>
      <c r="PJO17" s="500"/>
      <c r="PJP17" s="500"/>
      <c r="PJQ17" s="500"/>
      <c r="PJR17" s="500"/>
      <c r="PJS17" s="500"/>
      <c r="PJT17" s="500"/>
      <c r="PJU17" s="500"/>
      <c r="PJV17" s="500"/>
      <c r="PJW17" s="500"/>
      <c r="PJX17" s="500"/>
      <c r="PJY17" s="500"/>
      <c r="PJZ17" s="500"/>
      <c r="PKA17" s="500"/>
      <c r="PKB17" s="500"/>
      <c r="PKC17" s="500"/>
      <c r="PKD17" s="500"/>
      <c r="PKE17" s="500"/>
      <c r="PKF17" s="500"/>
      <c r="PKG17" s="500"/>
      <c r="PKH17" s="500"/>
      <c r="PKI17" s="500"/>
      <c r="PKJ17" s="500"/>
      <c r="PKK17" s="500"/>
      <c r="PKL17" s="500"/>
      <c r="PKM17" s="500"/>
      <c r="PKN17" s="500"/>
      <c r="PKO17" s="500"/>
      <c r="PKP17" s="500"/>
      <c r="PKQ17" s="500"/>
      <c r="PKR17" s="500"/>
      <c r="PKS17" s="500"/>
      <c r="PKT17" s="500"/>
      <c r="PKU17" s="500"/>
      <c r="PKV17" s="500"/>
      <c r="PKW17" s="500"/>
      <c r="PKX17" s="500"/>
      <c r="PKY17" s="500"/>
      <c r="PKZ17" s="500"/>
      <c r="PLA17" s="500"/>
      <c r="PLB17" s="500"/>
      <c r="PLC17" s="500"/>
      <c r="PLD17" s="500"/>
      <c r="PLE17" s="500"/>
      <c r="PLF17" s="500"/>
      <c r="PLG17" s="500"/>
      <c r="PLH17" s="500"/>
      <c r="PLI17" s="500"/>
      <c r="PLJ17" s="500"/>
      <c r="PLK17" s="500"/>
      <c r="PLL17" s="500"/>
      <c r="PLM17" s="500"/>
      <c r="PLN17" s="500"/>
      <c r="PLO17" s="500"/>
      <c r="PLP17" s="500"/>
      <c r="PLQ17" s="500"/>
      <c r="PLR17" s="500"/>
      <c r="PLS17" s="500"/>
      <c r="PLT17" s="500"/>
      <c r="PLU17" s="500"/>
      <c r="PLV17" s="500"/>
      <c r="PLW17" s="500"/>
      <c r="PLX17" s="500"/>
      <c r="PLY17" s="500"/>
      <c r="PLZ17" s="500"/>
      <c r="PMA17" s="500"/>
      <c r="PMB17" s="500"/>
      <c r="PMC17" s="500"/>
      <c r="PMD17" s="500"/>
      <c r="PME17" s="500"/>
      <c r="PMF17" s="500"/>
      <c r="PMG17" s="500"/>
      <c r="PMH17" s="500"/>
      <c r="PMI17" s="500"/>
      <c r="PMJ17" s="500"/>
      <c r="PMK17" s="500"/>
      <c r="PML17" s="500"/>
      <c r="PMM17" s="500"/>
      <c r="PMN17" s="500"/>
      <c r="PMO17" s="500"/>
      <c r="PMP17" s="500"/>
      <c r="PMQ17" s="500"/>
      <c r="PMR17" s="500"/>
      <c r="PMS17" s="500"/>
      <c r="PMT17" s="500"/>
      <c r="PMU17" s="500"/>
      <c r="PMV17" s="500"/>
      <c r="PMW17" s="500"/>
      <c r="PMX17" s="500"/>
      <c r="PMY17" s="500"/>
      <c r="PMZ17" s="500"/>
      <c r="PNA17" s="500"/>
      <c r="PNB17" s="500"/>
      <c r="PNC17" s="500"/>
      <c r="PND17" s="500"/>
      <c r="PNE17" s="500"/>
      <c r="PNF17" s="500"/>
      <c r="PNG17" s="500"/>
      <c r="PNH17" s="500"/>
      <c r="PNI17" s="500"/>
      <c r="PNJ17" s="500"/>
      <c r="PNK17" s="500"/>
      <c r="PNL17" s="500"/>
      <c r="PNM17" s="500"/>
      <c r="PNN17" s="500"/>
      <c r="PNO17" s="500"/>
      <c r="PNP17" s="500"/>
      <c r="PNQ17" s="500"/>
      <c r="PNR17" s="500"/>
      <c r="PNS17" s="500"/>
      <c r="PNT17" s="500"/>
      <c r="PNU17" s="500"/>
      <c r="PNV17" s="500"/>
      <c r="PNW17" s="500"/>
      <c r="PNX17" s="500"/>
      <c r="PNY17" s="500"/>
      <c r="PNZ17" s="500"/>
      <c r="POA17" s="500"/>
      <c r="POB17" s="500"/>
      <c r="POC17" s="500"/>
      <c r="POD17" s="500"/>
      <c r="POE17" s="500"/>
      <c r="POF17" s="500"/>
      <c r="POG17" s="500"/>
      <c r="POH17" s="500"/>
      <c r="POI17" s="500"/>
      <c r="POJ17" s="500"/>
      <c r="POK17" s="500"/>
      <c r="POL17" s="500"/>
      <c r="POM17" s="500"/>
      <c r="PON17" s="500"/>
      <c r="POO17" s="500"/>
      <c r="POP17" s="500"/>
      <c r="POQ17" s="500"/>
      <c r="POR17" s="500"/>
      <c r="POS17" s="500"/>
      <c r="POT17" s="500"/>
      <c r="POU17" s="500"/>
      <c r="POV17" s="500"/>
      <c r="POW17" s="500"/>
      <c r="POX17" s="500"/>
      <c r="POY17" s="500"/>
      <c r="POZ17" s="500"/>
      <c r="PPA17" s="500"/>
      <c r="PPB17" s="500"/>
      <c r="PPC17" s="500"/>
      <c r="PPD17" s="500"/>
      <c r="PPE17" s="500"/>
      <c r="PPF17" s="500"/>
      <c r="PPG17" s="500"/>
      <c r="PPH17" s="500"/>
      <c r="PPI17" s="500"/>
      <c r="PPJ17" s="500"/>
      <c r="PPK17" s="500"/>
      <c r="PPL17" s="500"/>
      <c r="PPM17" s="500"/>
      <c r="PPN17" s="500"/>
      <c r="PPO17" s="500"/>
      <c r="PPP17" s="500"/>
      <c r="PPQ17" s="500"/>
      <c r="PPR17" s="500"/>
      <c r="PPS17" s="500"/>
      <c r="PPT17" s="500"/>
      <c r="PPU17" s="500"/>
      <c r="PPV17" s="500"/>
      <c r="PPW17" s="500"/>
      <c r="PPX17" s="500"/>
      <c r="PPY17" s="500"/>
      <c r="PPZ17" s="500"/>
      <c r="PQA17" s="500"/>
      <c r="PQB17" s="500"/>
      <c r="PQC17" s="500"/>
      <c r="PQD17" s="500"/>
      <c r="PQE17" s="500"/>
      <c r="PQF17" s="500"/>
      <c r="PQG17" s="500"/>
      <c r="PQH17" s="500"/>
      <c r="PQI17" s="500"/>
      <c r="PQJ17" s="500"/>
      <c r="PQK17" s="500"/>
      <c r="PQL17" s="500"/>
      <c r="PQM17" s="500"/>
      <c r="PQN17" s="500"/>
      <c r="PQO17" s="500"/>
      <c r="PQP17" s="500"/>
      <c r="PQQ17" s="500"/>
      <c r="PQR17" s="500"/>
      <c r="PQS17" s="500"/>
      <c r="PQT17" s="500"/>
      <c r="PQU17" s="500"/>
      <c r="PQV17" s="500"/>
      <c r="PQW17" s="500"/>
      <c r="PQX17" s="500"/>
      <c r="PQY17" s="500"/>
      <c r="PQZ17" s="500"/>
      <c r="PRA17" s="500"/>
      <c r="PRB17" s="500"/>
      <c r="PRC17" s="500"/>
      <c r="PRD17" s="500"/>
      <c r="PRE17" s="500"/>
      <c r="PRF17" s="500"/>
      <c r="PRG17" s="500"/>
      <c r="PRH17" s="500"/>
      <c r="PRI17" s="500"/>
      <c r="PRJ17" s="500"/>
      <c r="PRK17" s="500"/>
      <c r="PRL17" s="500"/>
      <c r="PRM17" s="500"/>
      <c r="PRN17" s="500"/>
      <c r="PRO17" s="500"/>
      <c r="PRP17" s="500"/>
      <c r="PRQ17" s="500"/>
      <c r="PRR17" s="500"/>
      <c r="PRS17" s="500"/>
      <c r="PRT17" s="500"/>
      <c r="PRU17" s="500"/>
      <c r="PRV17" s="500"/>
      <c r="PRW17" s="500"/>
      <c r="PRX17" s="500"/>
      <c r="PRY17" s="500"/>
      <c r="PRZ17" s="500"/>
      <c r="PSA17" s="500"/>
      <c r="PSB17" s="500"/>
      <c r="PSC17" s="500"/>
      <c r="PSD17" s="500"/>
      <c r="PSE17" s="500"/>
      <c r="PSF17" s="500"/>
      <c r="PSG17" s="500"/>
      <c r="PSH17" s="500"/>
      <c r="PSI17" s="500"/>
      <c r="PSJ17" s="500"/>
      <c r="PSK17" s="500"/>
      <c r="PSL17" s="500"/>
      <c r="PSM17" s="500"/>
      <c r="PSN17" s="500"/>
      <c r="PSO17" s="500"/>
      <c r="PSP17" s="500"/>
      <c r="PSQ17" s="500"/>
      <c r="PSR17" s="500"/>
      <c r="PSS17" s="500"/>
      <c r="PST17" s="500"/>
      <c r="PSU17" s="500"/>
      <c r="PSV17" s="500"/>
      <c r="PSW17" s="500"/>
      <c r="PSX17" s="500"/>
      <c r="PSY17" s="500"/>
      <c r="PSZ17" s="500"/>
      <c r="PTA17" s="500"/>
      <c r="PTB17" s="500"/>
      <c r="PTC17" s="500"/>
      <c r="PTD17" s="500"/>
      <c r="PTE17" s="500"/>
      <c r="PTF17" s="500"/>
      <c r="PTG17" s="500"/>
      <c r="PTH17" s="500"/>
      <c r="PTI17" s="500"/>
      <c r="PTJ17" s="500"/>
      <c r="PTK17" s="500"/>
      <c r="PTL17" s="500"/>
      <c r="PTM17" s="500"/>
      <c r="PTN17" s="500"/>
      <c r="PTO17" s="500"/>
      <c r="PTP17" s="500"/>
      <c r="PTQ17" s="500"/>
      <c r="PTR17" s="500"/>
      <c r="PTS17" s="500"/>
      <c r="PTT17" s="500"/>
      <c r="PTU17" s="500"/>
      <c r="PTV17" s="500"/>
      <c r="PTW17" s="500"/>
      <c r="PTX17" s="500"/>
      <c r="PTY17" s="500"/>
      <c r="PTZ17" s="500"/>
      <c r="PUA17" s="500"/>
      <c r="PUB17" s="500"/>
      <c r="PUC17" s="500"/>
      <c r="PUD17" s="500"/>
      <c r="PUE17" s="500"/>
      <c r="PUF17" s="500"/>
      <c r="PUG17" s="500"/>
      <c r="PUH17" s="500"/>
      <c r="PUI17" s="500"/>
      <c r="PUJ17" s="500"/>
      <c r="PUK17" s="500"/>
      <c r="PUL17" s="500"/>
      <c r="PUM17" s="500"/>
      <c r="PUN17" s="500"/>
      <c r="PUO17" s="500"/>
      <c r="PUP17" s="500"/>
      <c r="PUQ17" s="500"/>
      <c r="PUR17" s="500"/>
      <c r="PUS17" s="500"/>
      <c r="PUT17" s="500"/>
      <c r="PUU17" s="500"/>
      <c r="PUV17" s="500"/>
      <c r="PUW17" s="500"/>
      <c r="PUX17" s="500"/>
      <c r="PUY17" s="500"/>
      <c r="PUZ17" s="500"/>
      <c r="PVA17" s="500"/>
      <c r="PVB17" s="500"/>
      <c r="PVC17" s="500"/>
      <c r="PVD17" s="500"/>
      <c r="PVE17" s="500"/>
      <c r="PVF17" s="500"/>
      <c r="PVG17" s="500"/>
      <c r="PVH17" s="500"/>
      <c r="PVI17" s="500"/>
      <c r="PVJ17" s="500"/>
      <c r="PVK17" s="500"/>
      <c r="PVL17" s="500"/>
      <c r="PVM17" s="500"/>
      <c r="PVN17" s="500"/>
      <c r="PVO17" s="500"/>
      <c r="PVP17" s="500"/>
      <c r="PVQ17" s="500"/>
      <c r="PVR17" s="500"/>
      <c r="PVS17" s="500"/>
      <c r="PVT17" s="500"/>
      <c r="PVU17" s="500"/>
      <c r="PVV17" s="500"/>
      <c r="PVW17" s="500"/>
      <c r="PVX17" s="500"/>
      <c r="PVY17" s="500"/>
      <c r="PVZ17" s="500"/>
      <c r="PWA17" s="500"/>
      <c r="PWB17" s="500"/>
      <c r="PWC17" s="500"/>
      <c r="PWD17" s="500"/>
      <c r="PWE17" s="500"/>
      <c r="PWF17" s="500"/>
      <c r="PWG17" s="500"/>
      <c r="PWH17" s="500"/>
      <c r="PWI17" s="500"/>
      <c r="PWJ17" s="500"/>
      <c r="PWK17" s="500"/>
      <c r="PWL17" s="500"/>
      <c r="PWM17" s="500"/>
      <c r="PWN17" s="500"/>
      <c r="PWO17" s="500"/>
      <c r="PWP17" s="500"/>
      <c r="PWQ17" s="500"/>
      <c r="PWR17" s="500"/>
      <c r="PWS17" s="500"/>
      <c r="PWT17" s="500"/>
      <c r="PWU17" s="500"/>
      <c r="PWV17" s="500"/>
      <c r="PWW17" s="500"/>
      <c r="PWX17" s="500"/>
      <c r="PWY17" s="500"/>
      <c r="PWZ17" s="500"/>
      <c r="PXA17" s="500"/>
      <c r="PXB17" s="500"/>
      <c r="PXC17" s="500"/>
      <c r="PXD17" s="500"/>
      <c r="PXE17" s="500"/>
      <c r="PXF17" s="500"/>
      <c r="PXG17" s="500"/>
      <c r="PXH17" s="500"/>
      <c r="PXI17" s="500"/>
      <c r="PXJ17" s="500"/>
      <c r="PXK17" s="500"/>
      <c r="PXL17" s="500"/>
      <c r="PXM17" s="500"/>
      <c r="PXN17" s="500"/>
      <c r="PXO17" s="500"/>
      <c r="PXP17" s="500"/>
      <c r="PXQ17" s="500"/>
      <c r="PXR17" s="500"/>
      <c r="PXS17" s="500"/>
      <c r="PXT17" s="500"/>
      <c r="PXU17" s="500"/>
      <c r="PXV17" s="500"/>
      <c r="PXW17" s="500"/>
      <c r="PXX17" s="500"/>
      <c r="PXY17" s="500"/>
      <c r="PXZ17" s="500"/>
      <c r="PYA17" s="500"/>
      <c r="PYB17" s="500"/>
      <c r="PYC17" s="500"/>
      <c r="PYD17" s="500"/>
      <c r="PYE17" s="500"/>
      <c r="PYF17" s="500"/>
      <c r="PYG17" s="500"/>
      <c r="PYH17" s="500"/>
      <c r="PYI17" s="500"/>
      <c r="PYJ17" s="500"/>
      <c r="PYK17" s="500"/>
      <c r="PYL17" s="500"/>
      <c r="PYM17" s="500"/>
      <c r="PYN17" s="500"/>
      <c r="PYO17" s="500"/>
      <c r="PYP17" s="500"/>
      <c r="PYQ17" s="500"/>
      <c r="PYR17" s="500"/>
      <c r="PYS17" s="500"/>
      <c r="PYT17" s="500"/>
      <c r="PYU17" s="500"/>
      <c r="PYV17" s="500"/>
      <c r="PYW17" s="500"/>
      <c r="PYX17" s="500"/>
      <c r="PYY17" s="500"/>
      <c r="PYZ17" s="500"/>
      <c r="PZA17" s="500"/>
      <c r="PZB17" s="500"/>
      <c r="PZC17" s="500"/>
      <c r="PZD17" s="500"/>
      <c r="PZE17" s="500"/>
      <c r="PZF17" s="500"/>
      <c r="PZG17" s="500"/>
      <c r="PZH17" s="500"/>
      <c r="PZI17" s="500"/>
      <c r="PZJ17" s="500"/>
      <c r="PZK17" s="500"/>
      <c r="PZL17" s="500"/>
      <c r="PZM17" s="500"/>
      <c r="PZN17" s="500"/>
      <c r="PZO17" s="500"/>
      <c r="PZP17" s="500"/>
      <c r="PZQ17" s="500"/>
      <c r="PZR17" s="500"/>
      <c r="PZS17" s="500"/>
      <c r="PZT17" s="500"/>
      <c r="PZU17" s="500"/>
      <c r="PZV17" s="500"/>
      <c r="PZW17" s="500"/>
      <c r="PZX17" s="500"/>
      <c r="PZY17" s="500"/>
      <c r="PZZ17" s="500"/>
      <c r="QAA17" s="500"/>
      <c r="QAB17" s="500"/>
      <c r="QAC17" s="500"/>
      <c r="QAD17" s="500"/>
      <c r="QAE17" s="500"/>
      <c r="QAF17" s="500"/>
      <c r="QAG17" s="500"/>
      <c r="QAH17" s="500"/>
      <c r="QAI17" s="500"/>
      <c r="QAJ17" s="500"/>
      <c r="QAK17" s="500"/>
      <c r="QAL17" s="500"/>
      <c r="QAM17" s="500"/>
      <c r="QAN17" s="500"/>
      <c r="QAO17" s="500"/>
      <c r="QAP17" s="500"/>
      <c r="QAQ17" s="500"/>
      <c r="QAR17" s="500"/>
      <c r="QAS17" s="500"/>
      <c r="QAT17" s="500"/>
      <c r="QAU17" s="500"/>
      <c r="QAV17" s="500"/>
      <c r="QAW17" s="500"/>
      <c r="QAX17" s="500"/>
      <c r="QAY17" s="500"/>
      <c r="QAZ17" s="500"/>
      <c r="QBA17" s="500"/>
      <c r="QBB17" s="500"/>
      <c r="QBC17" s="500"/>
      <c r="QBD17" s="500"/>
      <c r="QBE17" s="500"/>
      <c r="QBF17" s="500"/>
      <c r="QBG17" s="500"/>
      <c r="QBH17" s="500"/>
      <c r="QBI17" s="500"/>
      <c r="QBJ17" s="500"/>
      <c r="QBK17" s="500"/>
      <c r="QBL17" s="500"/>
      <c r="QBM17" s="500"/>
      <c r="QBN17" s="500"/>
      <c r="QBO17" s="500"/>
      <c r="QBP17" s="500"/>
      <c r="QBQ17" s="500"/>
      <c r="QBR17" s="500"/>
      <c r="QBS17" s="500"/>
      <c r="QBT17" s="500"/>
      <c r="QBU17" s="500"/>
      <c r="QBV17" s="500"/>
      <c r="QBW17" s="500"/>
      <c r="QBX17" s="500"/>
      <c r="QBY17" s="500"/>
      <c r="QBZ17" s="500"/>
      <c r="QCA17" s="500"/>
      <c r="QCB17" s="500"/>
      <c r="QCC17" s="500"/>
      <c r="QCD17" s="500"/>
      <c r="QCE17" s="500"/>
      <c r="QCF17" s="500"/>
      <c r="QCG17" s="500"/>
      <c r="QCH17" s="500"/>
      <c r="QCI17" s="500"/>
      <c r="QCJ17" s="500"/>
      <c r="QCK17" s="500"/>
      <c r="QCL17" s="500"/>
      <c r="QCM17" s="500"/>
      <c r="QCN17" s="500"/>
      <c r="QCO17" s="500"/>
      <c r="QCP17" s="500"/>
      <c r="QCQ17" s="500"/>
      <c r="QCR17" s="500"/>
      <c r="QCS17" s="500"/>
      <c r="QCT17" s="500"/>
      <c r="QCU17" s="500"/>
      <c r="QCV17" s="500"/>
      <c r="QCW17" s="500"/>
      <c r="QCX17" s="500"/>
      <c r="QCY17" s="500"/>
      <c r="QCZ17" s="500"/>
      <c r="QDA17" s="500"/>
      <c r="QDB17" s="500"/>
      <c r="QDC17" s="500"/>
      <c r="QDD17" s="500"/>
      <c r="QDE17" s="500"/>
      <c r="QDF17" s="500"/>
      <c r="QDG17" s="500"/>
      <c r="QDH17" s="500"/>
      <c r="QDI17" s="500"/>
      <c r="QDJ17" s="500"/>
      <c r="QDK17" s="500"/>
      <c r="QDL17" s="500"/>
      <c r="QDM17" s="500"/>
      <c r="QDN17" s="500"/>
      <c r="QDO17" s="500"/>
      <c r="QDP17" s="500"/>
      <c r="QDQ17" s="500"/>
      <c r="QDR17" s="500"/>
      <c r="QDS17" s="500"/>
      <c r="QDT17" s="500"/>
      <c r="QDU17" s="500"/>
      <c r="QDV17" s="500"/>
      <c r="QDW17" s="500"/>
      <c r="QDX17" s="500"/>
      <c r="QDY17" s="500"/>
      <c r="QDZ17" s="500"/>
      <c r="QEA17" s="500"/>
      <c r="QEB17" s="500"/>
      <c r="QEC17" s="500"/>
      <c r="QED17" s="500"/>
      <c r="QEE17" s="500"/>
      <c r="QEF17" s="500"/>
      <c r="QEG17" s="500"/>
      <c r="QEH17" s="500"/>
      <c r="QEI17" s="500"/>
      <c r="QEJ17" s="500"/>
      <c r="QEK17" s="500"/>
      <c r="QEL17" s="500"/>
      <c r="QEM17" s="500"/>
      <c r="QEN17" s="500"/>
      <c r="QEO17" s="500"/>
      <c r="QEP17" s="500"/>
      <c r="QEQ17" s="500"/>
      <c r="QER17" s="500"/>
      <c r="QES17" s="500"/>
      <c r="QET17" s="500"/>
      <c r="QEU17" s="500"/>
      <c r="QEV17" s="500"/>
      <c r="QEW17" s="500"/>
      <c r="QEX17" s="500"/>
      <c r="QEY17" s="500"/>
      <c r="QEZ17" s="500"/>
      <c r="QFA17" s="500"/>
      <c r="QFB17" s="500"/>
      <c r="QFC17" s="500"/>
      <c r="QFD17" s="500"/>
      <c r="QFE17" s="500"/>
      <c r="QFF17" s="500"/>
      <c r="QFG17" s="500"/>
      <c r="QFH17" s="500"/>
      <c r="QFI17" s="500"/>
      <c r="QFJ17" s="500"/>
      <c r="QFK17" s="500"/>
      <c r="QFL17" s="500"/>
      <c r="QFM17" s="500"/>
      <c r="QFN17" s="500"/>
      <c r="QFO17" s="500"/>
      <c r="QFP17" s="500"/>
      <c r="QFQ17" s="500"/>
      <c r="QFR17" s="500"/>
      <c r="QFS17" s="500"/>
      <c r="QFT17" s="500"/>
      <c r="QFU17" s="500"/>
      <c r="QFV17" s="500"/>
      <c r="QFW17" s="500"/>
      <c r="QFX17" s="500"/>
      <c r="QFY17" s="500"/>
      <c r="QFZ17" s="500"/>
      <c r="QGA17" s="500"/>
      <c r="QGB17" s="500"/>
      <c r="QGC17" s="500"/>
      <c r="QGD17" s="500"/>
      <c r="QGE17" s="500"/>
      <c r="QGF17" s="500"/>
      <c r="QGG17" s="500"/>
      <c r="QGH17" s="500"/>
      <c r="QGI17" s="500"/>
      <c r="QGJ17" s="500"/>
      <c r="QGK17" s="500"/>
      <c r="QGL17" s="500"/>
      <c r="QGM17" s="500"/>
      <c r="QGN17" s="500"/>
      <c r="QGO17" s="500"/>
      <c r="QGP17" s="500"/>
      <c r="QGQ17" s="500"/>
      <c r="QGR17" s="500"/>
      <c r="QGS17" s="500"/>
      <c r="QGT17" s="500"/>
      <c r="QGU17" s="500"/>
      <c r="QGV17" s="500"/>
      <c r="QGW17" s="500"/>
      <c r="QGX17" s="500"/>
      <c r="QGY17" s="500"/>
      <c r="QGZ17" s="500"/>
      <c r="QHA17" s="500"/>
      <c r="QHB17" s="500"/>
      <c r="QHC17" s="500"/>
      <c r="QHD17" s="500"/>
      <c r="QHE17" s="500"/>
      <c r="QHF17" s="500"/>
      <c r="QHG17" s="500"/>
      <c r="QHH17" s="500"/>
      <c r="QHI17" s="500"/>
      <c r="QHJ17" s="500"/>
      <c r="QHK17" s="500"/>
      <c r="QHL17" s="500"/>
      <c r="QHM17" s="500"/>
      <c r="QHN17" s="500"/>
      <c r="QHO17" s="500"/>
      <c r="QHP17" s="500"/>
      <c r="QHQ17" s="500"/>
      <c r="QHR17" s="500"/>
      <c r="QHS17" s="500"/>
      <c r="QHT17" s="500"/>
      <c r="QHU17" s="500"/>
      <c r="QHV17" s="500"/>
      <c r="QHW17" s="500"/>
      <c r="QHX17" s="500"/>
      <c r="QHY17" s="500"/>
      <c r="QHZ17" s="500"/>
      <c r="QIA17" s="500"/>
      <c r="QIB17" s="500"/>
      <c r="QIC17" s="500"/>
      <c r="QID17" s="500"/>
      <c r="QIE17" s="500"/>
      <c r="QIF17" s="500"/>
      <c r="QIG17" s="500"/>
      <c r="QIH17" s="500"/>
      <c r="QII17" s="500"/>
      <c r="QIJ17" s="500"/>
      <c r="QIK17" s="500"/>
      <c r="QIL17" s="500"/>
      <c r="QIM17" s="500"/>
      <c r="QIN17" s="500"/>
      <c r="QIO17" s="500"/>
      <c r="QIP17" s="500"/>
      <c r="QIQ17" s="500"/>
      <c r="QIR17" s="500"/>
      <c r="QIS17" s="500"/>
      <c r="QIT17" s="500"/>
      <c r="QIU17" s="500"/>
      <c r="QIV17" s="500"/>
      <c r="QIW17" s="500"/>
      <c r="QIX17" s="500"/>
      <c r="QIY17" s="500"/>
      <c r="QIZ17" s="500"/>
      <c r="QJA17" s="500"/>
      <c r="QJB17" s="500"/>
      <c r="QJC17" s="500"/>
      <c r="QJD17" s="500"/>
      <c r="QJE17" s="500"/>
      <c r="QJF17" s="500"/>
      <c r="QJG17" s="500"/>
      <c r="QJH17" s="500"/>
      <c r="QJI17" s="500"/>
      <c r="QJJ17" s="500"/>
      <c r="QJK17" s="500"/>
      <c r="QJL17" s="500"/>
      <c r="QJM17" s="500"/>
      <c r="QJN17" s="500"/>
      <c r="QJO17" s="500"/>
      <c r="QJP17" s="500"/>
      <c r="QJQ17" s="500"/>
      <c r="QJR17" s="500"/>
      <c r="QJS17" s="500"/>
      <c r="QJT17" s="500"/>
      <c r="QJU17" s="500"/>
      <c r="QJV17" s="500"/>
      <c r="QJW17" s="500"/>
      <c r="QJX17" s="500"/>
      <c r="QJY17" s="500"/>
      <c r="QJZ17" s="500"/>
      <c r="QKA17" s="500"/>
      <c r="QKB17" s="500"/>
      <c r="QKC17" s="500"/>
      <c r="QKD17" s="500"/>
      <c r="QKE17" s="500"/>
      <c r="QKF17" s="500"/>
      <c r="QKG17" s="500"/>
      <c r="QKH17" s="500"/>
      <c r="QKI17" s="500"/>
      <c r="QKJ17" s="500"/>
      <c r="QKK17" s="500"/>
      <c r="QKL17" s="500"/>
      <c r="QKM17" s="500"/>
      <c r="QKN17" s="500"/>
      <c r="QKO17" s="500"/>
      <c r="QKP17" s="500"/>
      <c r="QKQ17" s="500"/>
      <c r="QKR17" s="500"/>
      <c r="QKS17" s="500"/>
      <c r="QKT17" s="500"/>
      <c r="QKU17" s="500"/>
      <c r="QKV17" s="500"/>
      <c r="QKW17" s="500"/>
      <c r="QKX17" s="500"/>
      <c r="QKY17" s="500"/>
      <c r="QKZ17" s="500"/>
      <c r="QLA17" s="500"/>
      <c r="QLB17" s="500"/>
      <c r="QLC17" s="500"/>
      <c r="QLD17" s="500"/>
      <c r="QLE17" s="500"/>
      <c r="QLF17" s="500"/>
      <c r="QLG17" s="500"/>
      <c r="QLH17" s="500"/>
      <c r="QLI17" s="500"/>
      <c r="QLJ17" s="500"/>
      <c r="QLK17" s="500"/>
      <c r="QLL17" s="500"/>
      <c r="QLM17" s="500"/>
      <c r="QLN17" s="500"/>
      <c r="QLO17" s="500"/>
      <c r="QLP17" s="500"/>
      <c r="QLQ17" s="500"/>
      <c r="QLR17" s="500"/>
      <c r="QLS17" s="500"/>
      <c r="QLT17" s="500"/>
      <c r="QLU17" s="500"/>
      <c r="QLV17" s="500"/>
      <c r="QLW17" s="500"/>
      <c r="QLX17" s="500"/>
      <c r="QLY17" s="500"/>
      <c r="QLZ17" s="500"/>
      <c r="QMA17" s="500"/>
      <c r="QMB17" s="500"/>
      <c r="QMC17" s="500"/>
      <c r="QMD17" s="500"/>
      <c r="QME17" s="500"/>
      <c r="QMF17" s="500"/>
      <c r="QMG17" s="500"/>
      <c r="QMH17" s="500"/>
      <c r="QMI17" s="500"/>
      <c r="QMJ17" s="500"/>
      <c r="QMK17" s="500"/>
      <c r="QML17" s="500"/>
      <c r="QMM17" s="500"/>
      <c r="QMN17" s="500"/>
      <c r="QMO17" s="500"/>
      <c r="QMP17" s="500"/>
      <c r="QMQ17" s="500"/>
      <c r="QMR17" s="500"/>
      <c r="QMS17" s="500"/>
      <c r="QMT17" s="500"/>
      <c r="QMU17" s="500"/>
      <c r="QMV17" s="500"/>
      <c r="QMW17" s="500"/>
      <c r="QMX17" s="500"/>
      <c r="QMY17" s="500"/>
      <c r="QMZ17" s="500"/>
      <c r="QNA17" s="500"/>
      <c r="QNB17" s="500"/>
      <c r="QNC17" s="500"/>
      <c r="QND17" s="500"/>
      <c r="QNE17" s="500"/>
      <c r="QNF17" s="500"/>
      <c r="QNG17" s="500"/>
      <c r="QNH17" s="500"/>
      <c r="QNI17" s="500"/>
      <c r="QNJ17" s="500"/>
      <c r="QNK17" s="500"/>
      <c r="QNL17" s="500"/>
      <c r="QNM17" s="500"/>
      <c r="QNN17" s="500"/>
      <c r="QNO17" s="500"/>
      <c r="QNP17" s="500"/>
      <c r="QNQ17" s="500"/>
      <c r="QNR17" s="500"/>
      <c r="QNS17" s="500"/>
      <c r="QNT17" s="500"/>
      <c r="QNU17" s="500"/>
      <c r="QNV17" s="500"/>
      <c r="QNW17" s="500"/>
      <c r="QNX17" s="500"/>
      <c r="QNY17" s="500"/>
      <c r="QNZ17" s="500"/>
      <c r="QOA17" s="500"/>
      <c r="QOB17" s="500"/>
      <c r="QOC17" s="500"/>
      <c r="QOD17" s="500"/>
      <c r="QOE17" s="500"/>
      <c r="QOF17" s="500"/>
      <c r="QOG17" s="500"/>
      <c r="QOH17" s="500"/>
      <c r="QOI17" s="500"/>
      <c r="QOJ17" s="500"/>
      <c r="QOK17" s="500"/>
      <c r="QOL17" s="500"/>
      <c r="QOM17" s="500"/>
      <c r="QON17" s="500"/>
      <c r="QOO17" s="500"/>
      <c r="QOP17" s="500"/>
      <c r="QOQ17" s="500"/>
      <c r="QOR17" s="500"/>
      <c r="QOS17" s="500"/>
      <c r="QOT17" s="500"/>
      <c r="QOU17" s="500"/>
      <c r="QOV17" s="500"/>
      <c r="QOW17" s="500"/>
      <c r="QOX17" s="500"/>
      <c r="QOY17" s="500"/>
      <c r="QOZ17" s="500"/>
      <c r="QPA17" s="500"/>
      <c r="QPB17" s="500"/>
      <c r="QPC17" s="500"/>
      <c r="QPD17" s="500"/>
      <c r="QPE17" s="500"/>
      <c r="QPF17" s="500"/>
      <c r="QPG17" s="500"/>
      <c r="QPH17" s="500"/>
      <c r="QPI17" s="500"/>
      <c r="QPJ17" s="500"/>
      <c r="QPK17" s="500"/>
      <c r="QPL17" s="500"/>
      <c r="QPM17" s="500"/>
      <c r="QPN17" s="500"/>
      <c r="QPO17" s="500"/>
      <c r="QPP17" s="500"/>
      <c r="QPQ17" s="500"/>
      <c r="QPR17" s="500"/>
      <c r="QPS17" s="500"/>
      <c r="QPT17" s="500"/>
      <c r="QPU17" s="500"/>
      <c r="QPV17" s="500"/>
      <c r="QPW17" s="500"/>
      <c r="QPX17" s="500"/>
      <c r="QPY17" s="500"/>
      <c r="QPZ17" s="500"/>
      <c r="QQA17" s="500"/>
      <c r="QQB17" s="500"/>
      <c r="QQC17" s="500"/>
      <c r="QQD17" s="500"/>
      <c r="QQE17" s="500"/>
      <c r="QQF17" s="500"/>
      <c r="QQG17" s="500"/>
      <c r="QQH17" s="500"/>
      <c r="QQI17" s="500"/>
      <c r="QQJ17" s="500"/>
      <c r="QQK17" s="500"/>
      <c r="QQL17" s="500"/>
      <c r="QQM17" s="500"/>
      <c r="QQN17" s="500"/>
      <c r="QQO17" s="500"/>
      <c r="QQP17" s="500"/>
      <c r="QQQ17" s="500"/>
      <c r="QQR17" s="500"/>
      <c r="QQS17" s="500"/>
      <c r="QQT17" s="500"/>
      <c r="QQU17" s="500"/>
      <c r="QQV17" s="500"/>
      <c r="QQW17" s="500"/>
      <c r="QQX17" s="500"/>
      <c r="QQY17" s="500"/>
      <c r="QQZ17" s="500"/>
      <c r="QRA17" s="500"/>
      <c r="QRB17" s="500"/>
      <c r="QRC17" s="500"/>
      <c r="QRD17" s="500"/>
      <c r="QRE17" s="500"/>
      <c r="QRF17" s="500"/>
      <c r="QRG17" s="500"/>
      <c r="QRH17" s="500"/>
      <c r="QRI17" s="500"/>
      <c r="QRJ17" s="500"/>
      <c r="QRK17" s="500"/>
      <c r="QRL17" s="500"/>
      <c r="QRM17" s="500"/>
      <c r="QRN17" s="500"/>
      <c r="QRO17" s="500"/>
      <c r="QRP17" s="500"/>
      <c r="QRQ17" s="500"/>
      <c r="QRR17" s="500"/>
      <c r="QRS17" s="500"/>
      <c r="QRT17" s="500"/>
      <c r="QRU17" s="500"/>
      <c r="QRV17" s="500"/>
      <c r="QRW17" s="500"/>
      <c r="QRX17" s="500"/>
      <c r="QRY17" s="500"/>
      <c r="QRZ17" s="500"/>
      <c r="QSA17" s="500"/>
      <c r="QSB17" s="500"/>
      <c r="QSC17" s="500"/>
      <c r="QSD17" s="500"/>
      <c r="QSE17" s="500"/>
      <c r="QSF17" s="500"/>
      <c r="QSG17" s="500"/>
      <c r="QSH17" s="500"/>
      <c r="QSI17" s="500"/>
      <c r="QSJ17" s="500"/>
      <c r="QSK17" s="500"/>
      <c r="QSL17" s="500"/>
      <c r="QSM17" s="500"/>
      <c r="QSN17" s="500"/>
      <c r="QSO17" s="500"/>
      <c r="QSP17" s="500"/>
      <c r="QSQ17" s="500"/>
      <c r="QSR17" s="500"/>
      <c r="QSS17" s="500"/>
      <c r="QST17" s="500"/>
      <c r="QSU17" s="500"/>
      <c r="QSV17" s="500"/>
      <c r="QSW17" s="500"/>
      <c r="QSX17" s="500"/>
      <c r="QSY17" s="500"/>
      <c r="QSZ17" s="500"/>
      <c r="QTA17" s="500"/>
      <c r="QTB17" s="500"/>
      <c r="QTC17" s="500"/>
      <c r="QTD17" s="500"/>
      <c r="QTE17" s="500"/>
      <c r="QTF17" s="500"/>
      <c r="QTG17" s="500"/>
      <c r="QTH17" s="500"/>
      <c r="QTI17" s="500"/>
      <c r="QTJ17" s="500"/>
      <c r="QTK17" s="500"/>
      <c r="QTL17" s="500"/>
      <c r="QTM17" s="500"/>
      <c r="QTN17" s="500"/>
      <c r="QTO17" s="500"/>
      <c r="QTP17" s="500"/>
      <c r="QTQ17" s="500"/>
      <c r="QTR17" s="500"/>
      <c r="QTS17" s="500"/>
      <c r="QTT17" s="500"/>
      <c r="QTU17" s="500"/>
      <c r="QTV17" s="500"/>
      <c r="QTW17" s="500"/>
      <c r="QTX17" s="500"/>
      <c r="QTY17" s="500"/>
      <c r="QTZ17" s="500"/>
      <c r="QUA17" s="500"/>
      <c r="QUB17" s="500"/>
      <c r="QUC17" s="500"/>
      <c r="QUD17" s="500"/>
      <c r="QUE17" s="500"/>
      <c r="QUF17" s="500"/>
      <c r="QUG17" s="500"/>
      <c r="QUH17" s="500"/>
      <c r="QUI17" s="500"/>
      <c r="QUJ17" s="500"/>
      <c r="QUK17" s="500"/>
      <c r="QUL17" s="500"/>
      <c r="QUM17" s="500"/>
      <c r="QUN17" s="500"/>
      <c r="QUO17" s="500"/>
      <c r="QUP17" s="500"/>
      <c r="QUQ17" s="500"/>
      <c r="QUR17" s="500"/>
      <c r="QUS17" s="500"/>
      <c r="QUT17" s="500"/>
      <c r="QUU17" s="500"/>
      <c r="QUV17" s="500"/>
      <c r="QUW17" s="500"/>
      <c r="QUX17" s="500"/>
      <c r="QUY17" s="500"/>
      <c r="QUZ17" s="500"/>
      <c r="QVA17" s="500"/>
      <c r="QVB17" s="500"/>
      <c r="QVC17" s="500"/>
      <c r="QVD17" s="500"/>
      <c r="QVE17" s="500"/>
      <c r="QVF17" s="500"/>
      <c r="QVG17" s="500"/>
      <c r="QVH17" s="500"/>
      <c r="QVI17" s="500"/>
      <c r="QVJ17" s="500"/>
      <c r="QVK17" s="500"/>
      <c r="QVL17" s="500"/>
      <c r="QVM17" s="500"/>
      <c r="QVN17" s="500"/>
      <c r="QVO17" s="500"/>
      <c r="QVP17" s="500"/>
      <c r="QVQ17" s="500"/>
      <c r="QVR17" s="500"/>
      <c r="QVS17" s="500"/>
      <c r="QVT17" s="500"/>
      <c r="QVU17" s="500"/>
      <c r="QVV17" s="500"/>
      <c r="QVW17" s="500"/>
      <c r="QVX17" s="500"/>
      <c r="QVY17" s="500"/>
      <c r="QVZ17" s="500"/>
      <c r="QWA17" s="500"/>
      <c r="QWB17" s="500"/>
      <c r="QWC17" s="500"/>
      <c r="QWD17" s="500"/>
      <c r="QWE17" s="500"/>
      <c r="QWF17" s="500"/>
      <c r="QWG17" s="500"/>
      <c r="QWH17" s="500"/>
      <c r="QWI17" s="500"/>
      <c r="QWJ17" s="500"/>
      <c r="QWK17" s="500"/>
      <c r="QWL17" s="500"/>
      <c r="QWM17" s="500"/>
      <c r="QWN17" s="500"/>
      <c r="QWO17" s="500"/>
      <c r="QWP17" s="500"/>
      <c r="QWQ17" s="500"/>
      <c r="QWR17" s="500"/>
      <c r="QWS17" s="500"/>
      <c r="QWT17" s="500"/>
      <c r="QWU17" s="500"/>
      <c r="QWV17" s="500"/>
      <c r="QWW17" s="500"/>
      <c r="QWX17" s="500"/>
      <c r="QWY17" s="500"/>
      <c r="QWZ17" s="500"/>
      <c r="QXA17" s="500"/>
      <c r="QXB17" s="500"/>
      <c r="QXC17" s="500"/>
      <c r="QXD17" s="500"/>
      <c r="QXE17" s="500"/>
      <c r="QXF17" s="500"/>
      <c r="QXG17" s="500"/>
      <c r="QXH17" s="500"/>
      <c r="QXI17" s="500"/>
      <c r="QXJ17" s="500"/>
      <c r="QXK17" s="500"/>
      <c r="QXL17" s="500"/>
      <c r="QXM17" s="500"/>
      <c r="QXN17" s="500"/>
      <c r="QXO17" s="500"/>
      <c r="QXP17" s="500"/>
      <c r="QXQ17" s="500"/>
      <c r="QXR17" s="500"/>
      <c r="QXS17" s="500"/>
      <c r="QXT17" s="500"/>
      <c r="QXU17" s="500"/>
      <c r="QXV17" s="500"/>
      <c r="QXW17" s="500"/>
      <c r="QXX17" s="500"/>
      <c r="QXY17" s="500"/>
      <c r="QXZ17" s="500"/>
      <c r="QYA17" s="500"/>
      <c r="QYB17" s="500"/>
      <c r="QYC17" s="500"/>
      <c r="QYD17" s="500"/>
      <c r="QYE17" s="500"/>
      <c r="QYF17" s="500"/>
      <c r="QYG17" s="500"/>
      <c r="QYH17" s="500"/>
      <c r="QYI17" s="500"/>
      <c r="QYJ17" s="500"/>
      <c r="QYK17" s="500"/>
      <c r="QYL17" s="500"/>
      <c r="QYM17" s="500"/>
      <c r="QYN17" s="500"/>
      <c r="QYO17" s="500"/>
      <c r="QYP17" s="500"/>
      <c r="QYQ17" s="500"/>
      <c r="QYR17" s="500"/>
      <c r="QYS17" s="500"/>
      <c r="QYT17" s="500"/>
      <c r="QYU17" s="500"/>
      <c r="QYV17" s="500"/>
      <c r="QYW17" s="500"/>
      <c r="QYX17" s="500"/>
      <c r="QYY17" s="500"/>
      <c r="QYZ17" s="500"/>
      <c r="QZA17" s="500"/>
      <c r="QZB17" s="500"/>
      <c r="QZC17" s="500"/>
      <c r="QZD17" s="500"/>
      <c r="QZE17" s="500"/>
      <c r="QZF17" s="500"/>
      <c r="QZG17" s="500"/>
      <c r="QZH17" s="500"/>
      <c r="QZI17" s="500"/>
      <c r="QZJ17" s="500"/>
      <c r="QZK17" s="500"/>
      <c r="QZL17" s="500"/>
      <c r="QZM17" s="500"/>
      <c r="QZN17" s="500"/>
      <c r="QZO17" s="500"/>
      <c r="QZP17" s="500"/>
      <c r="QZQ17" s="500"/>
      <c r="QZR17" s="500"/>
      <c r="QZS17" s="500"/>
      <c r="QZT17" s="500"/>
      <c r="QZU17" s="500"/>
      <c r="QZV17" s="500"/>
      <c r="QZW17" s="500"/>
      <c r="QZX17" s="500"/>
      <c r="QZY17" s="500"/>
      <c r="QZZ17" s="500"/>
      <c r="RAA17" s="500"/>
      <c r="RAB17" s="500"/>
      <c r="RAC17" s="500"/>
      <c r="RAD17" s="500"/>
      <c r="RAE17" s="500"/>
      <c r="RAF17" s="500"/>
      <c r="RAG17" s="500"/>
      <c r="RAH17" s="500"/>
      <c r="RAI17" s="500"/>
      <c r="RAJ17" s="500"/>
      <c r="RAK17" s="500"/>
      <c r="RAL17" s="500"/>
      <c r="RAM17" s="500"/>
      <c r="RAN17" s="500"/>
      <c r="RAO17" s="500"/>
      <c r="RAP17" s="500"/>
      <c r="RAQ17" s="500"/>
      <c r="RAR17" s="500"/>
      <c r="RAS17" s="500"/>
      <c r="RAT17" s="500"/>
      <c r="RAU17" s="500"/>
      <c r="RAV17" s="500"/>
      <c r="RAW17" s="500"/>
      <c r="RAX17" s="500"/>
      <c r="RAY17" s="500"/>
      <c r="RAZ17" s="500"/>
      <c r="RBA17" s="500"/>
      <c r="RBB17" s="500"/>
      <c r="RBC17" s="500"/>
      <c r="RBD17" s="500"/>
      <c r="RBE17" s="500"/>
      <c r="RBF17" s="500"/>
      <c r="RBG17" s="500"/>
      <c r="RBH17" s="500"/>
      <c r="RBI17" s="500"/>
      <c r="RBJ17" s="500"/>
      <c r="RBK17" s="500"/>
      <c r="RBL17" s="500"/>
      <c r="RBM17" s="500"/>
      <c r="RBN17" s="500"/>
      <c r="RBO17" s="500"/>
      <c r="RBP17" s="500"/>
      <c r="RBQ17" s="500"/>
      <c r="RBR17" s="500"/>
      <c r="RBS17" s="500"/>
      <c r="RBT17" s="500"/>
      <c r="RBU17" s="500"/>
      <c r="RBV17" s="500"/>
      <c r="RBW17" s="500"/>
      <c r="RBX17" s="500"/>
      <c r="RBY17" s="500"/>
      <c r="RBZ17" s="500"/>
      <c r="RCA17" s="500"/>
      <c r="RCB17" s="500"/>
      <c r="RCC17" s="500"/>
      <c r="RCD17" s="500"/>
      <c r="RCE17" s="500"/>
      <c r="RCF17" s="500"/>
      <c r="RCG17" s="500"/>
      <c r="RCH17" s="500"/>
      <c r="RCI17" s="500"/>
      <c r="RCJ17" s="500"/>
      <c r="RCK17" s="500"/>
      <c r="RCL17" s="500"/>
      <c r="RCM17" s="500"/>
      <c r="RCN17" s="500"/>
      <c r="RCO17" s="500"/>
      <c r="RCP17" s="500"/>
      <c r="RCQ17" s="500"/>
      <c r="RCR17" s="500"/>
      <c r="RCS17" s="500"/>
      <c r="RCT17" s="500"/>
      <c r="RCU17" s="500"/>
      <c r="RCV17" s="500"/>
      <c r="RCW17" s="500"/>
      <c r="RCX17" s="500"/>
      <c r="RCY17" s="500"/>
      <c r="RCZ17" s="500"/>
      <c r="RDA17" s="500"/>
      <c r="RDB17" s="500"/>
      <c r="RDC17" s="500"/>
      <c r="RDD17" s="500"/>
      <c r="RDE17" s="500"/>
      <c r="RDF17" s="500"/>
      <c r="RDG17" s="500"/>
      <c r="RDH17" s="500"/>
      <c r="RDI17" s="500"/>
      <c r="RDJ17" s="500"/>
      <c r="RDK17" s="500"/>
      <c r="RDL17" s="500"/>
      <c r="RDM17" s="500"/>
      <c r="RDN17" s="500"/>
      <c r="RDO17" s="500"/>
      <c r="RDP17" s="500"/>
      <c r="RDQ17" s="500"/>
      <c r="RDR17" s="500"/>
      <c r="RDS17" s="500"/>
      <c r="RDT17" s="500"/>
      <c r="RDU17" s="500"/>
      <c r="RDV17" s="500"/>
      <c r="RDW17" s="500"/>
      <c r="RDX17" s="500"/>
      <c r="RDY17" s="500"/>
      <c r="RDZ17" s="500"/>
      <c r="REA17" s="500"/>
      <c r="REB17" s="500"/>
      <c r="REC17" s="500"/>
      <c r="RED17" s="500"/>
      <c r="REE17" s="500"/>
      <c r="REF17" s="500"/>
      <c r="REG17" s="500"/>
      <c r="REH17" s="500"/>
      <c r="REI17" s="500"/>
      <c r="REJ17" s="500"/>
      <c r="REK17" s="500"/>
      <c r="REL17" s="500"/>
      <c r="REM17" s="500"/>
      <c r="REN17" s="500"/>
      <c r="REO17" s="500"/>
      <c r="REP17" s="500"/>
      <c r="REQ17" s="500"/>
      <c r="RER17" s="500"/>
      <c r="RES17" s="500"/>
      <c r="RET17" s="500"/>
      <c r="REU17" s="500"/>
      <c r="REV17" s="500"/>
      <c r="REW17" s="500"/>
      <c r="REX17" s="500"/>
      <c r="REY17" s="500"/>
      <c r="REZ17" s="500"/>
      <c r="RFA17" s="500"/>
      <c r="RFB17" s="500"/>
      <c r="RFC17" s="500"/>
      <c r="RFD17" s="500"/>
      <c r="RFE17" s="500"/>
      <c r="RFF17" s="500"/>
      <c r="RFG17" s="500"/>
      <c r="RFH17" s="500"/>
      <c r="RFI17" s="500"/>
      <c r="RFJ17" s="500"/>
      <c r="RFK17" s="500"/>
      <c r="RFL17" s="500"/>
      <c r="RFM17" s="500"/>
      <c r="RFN17" s="500"/>
      <c r="RFO17" s="500"/>
      <c r="RFP17" s="500"/>
      <c r="RFQ17" s="500"/>
      <c r="RFR17" s="500"/>
      <c r="RFS17" s="500"/>
      <c r="RFT17" s="500"/>
      <c r="RFU17" s="500"/>
      <c r="RFV17" s="500"/>
      <c r="RFW17" s="500"/>
      <c r="RFX17" s="500"/>
      <c r="RFY17" s="500"/>
      <c r="RFZ17" s="500"/>
      <c r="RGA17" s="500"/>
      <c r="RGB17" s="500"/>
      <c r="RGC17" s="500"/>
      <c r="RGD17" s="500"/>
      <c r="RGE17" s="500"/>
      <c r="RGF17" s="500"/>
      <c r="RGG17" s="500"/>
      <c r="RGH17" s="500"/>
      <c r="RGI17" s="500"/>
      <c r="RGJ17" s="500"/>
      <c r="RGK17" s="500"/>
      <c r="RGL17" s="500"/>
      <c r="RGM17" s="500"/>
      <c r="RGN17" s="500"/>
      <c r="RGO17" s="500"/>
      <c r="RGP17" s="500"/>
      <c r="RGQ17" s="500"/>
      <c r="RGR17" s="500"/>
      <c r="RGS17" s="500"/>
      <c r="RGT17" s="500"/>
      <c r="RGU17" s="500"/>
      <c r="RGV17" s="500"/>
      <c r="RGW17" s="500"/>
      <c r="RGX17" s="500"/>
      <c r="RGY17" s="500"/>
      <c r="RGZ17" s="500"/>
      <c r="RHA17" s="500"/>
      <c r="RHB17" s="500"/>
      <c r="RHC17" s="500"/>
      <c r="RHD17" s="500"/>
      <c r="RHE17" s="500"/>
      <c r="RHF17" s="500"/>
      <c r="RHG17" s="500"/>
      <c r="RHH17" s="500"/>
      <c r="RHI17" s="500"/>
      <c r="RHJ17" s="500"/>
      <c r="RHK17" s="500"/>
      <c r="RHL17" s="500"/>
      <c r="RHM17" s="500"/>
      <c r="RHN17" s="500"/>
      <c r="RHO17" s="500"/>
      <c r="RHP17" s="500"/>
      <c r="RHQ17" s="500"/>
      <c r="RHR17" s="500"/>
      <c r="RHS17" s="500"/>
      <c r="RHT17" s="500"/>
      <c r="RHU17" s="500"/>
      <c r="RHV17" s="500"/>
      <c r="RHW17" s="500"/>
      <c r="RHX17" s="500"/>
      <c r="RHY17" s="500"/>
      <c r="RHZ17" s="500"/>
      <c r="RIA17" s="500"/>
      <c r="RIB17" s="500"/>
      <c r="RIC17" s="500"/>
      <c r="RID17" s="500"/>
      <c r="RIE17" s="500"/>
      <c r="RIF17" s="500"/>
      <c r="RIG17" s="500"/>
      <c r="RIH17" s="500"/>
      <c r="RII17" s="500"/>
      <c r="RIJ17" s="500"/>
      <c r="RIK17" s="500"/>
      <c r="RIL17" s="500"/>
      <c r="RIM17" s="500"/>
      <c r="RIN17" s="500"/>
      <c r="RIO17" s="500"/>
      <c r="RIP17" s="500"/>
      <c r="RIQ17" s="500"/>
      <c r="RIR17" s="500"/>
      <c r="RIS17" s="500"/>
      <c r="RIT17" s="500"/>
      <c r="RIU17" s="500"/>
      <c r="RIV17" s="500"/>
      <c r="RIW17" s="500"/>
      <c r="RIX17" s="500"/>
      <c r="RIY17" s="500"/>
      <c r="RIZ17" s="500"/>
      <c r="RJA17" s="500"/>
      <c r="RJB17" s="500"/>
      <c r="RJC17" s="500"/>
      <c r="RJD17" s="500"/>
      <c r="RJE17" s="500"/>
      <c r="RJF17" s="500"/>
      <c r="RJG17" s="500"/>
      <c r="RJH17" s="500"/>
      <c r="RJI17" s="500"/>
      <c r="RJJ17" s="500"/>
      <c r="RJK17" s="500"/>
      <c r="RJL17" s="500"/>
      <c r="RJM17" s="500"/>
      <c r="RJN17" s="500"/>
      <c r="RJO17" s="500"/>
      <c r="RJP17" s="500"/>
      <c r="RJQ17" s="500"/>
      <c r="RJR17" s="500"/>
      <c r="RJS17" s="500"/>
      <c r="RJT17" s="500"/>
      <c r="RJU17" s="500"/>
      <c r="RJV17" s="500"/>
      <c r="RJW17" s="500"/>
      <c r="RJX17" s="500"/>
      <c r="RJY17" s="500"/>
      <c r="RJZ17" s="500"/>
      <c r="RKA17" s="500"/>
      <c r="RKB17" s="500"/>
      <c r="RKC17" s="500"/>
      <c r="RKD17" s="500"/>
      <c r="RKE17" s="500"/>
      <c r="RKF17" s="500"/>
      <c r="RKG17" s="500"/>
      <c r="RKH17" s="500"/>
      <c r="RKI17" s="500"/>
      <c r="RKJ17" s="500"/>
      <c r="RKK17" s="500"/>
      <c r="RKL17" s="500"/>
      <c r="RKM17" s="500"/>
      <c r="RKN17" s="500"/>
      <c r="RKO17" s="500"/>
      <c r="RKP17" s="500"/>
      <c r="RKQ17" s="500"/>
      <c r="RKR17" s="500"/>
      <c r="RKS17" s="500"/>
      <c r="RKT17" s="500"/>
      <c r="RKU17" s="500"/>
      <c r="RKV17" s="500"/>
      <c r="RKW17" s="500"/>
      <c r="RKX17" s="500"/>
      <c r="RKY17" s="500"/>
      <c r="RKZ17" s="500"/>
      <c r="RLA17" s="500"/>
      <c r="RLB17" s="500"/>
      <c r="RLC17" s="500"/>
      <c r="RLD17" s="500"/>
      <c r="RLE17" s="500"/>
      <c r="RLF17" s="500"/>
      <c r="RLG17" s="500"/>
      <c r="RLH17" s="500"/>
      <c r="RLI17" s="500"/>
      <c r="RLJ17" s="500"/>
      <c r="RLK17" s="500"/>
      <c r="RLL17" s="500"/>
      <c r="RLM17" s="500"/>
      <c r="RLN17" s="500"/>
      <c r="RLO17" s="500"/>
      <c r="RLP17" s="500"/>
      <c r="RLQ17" s="500"/>
      <c r="RLR17" s="500"/>
      <c r="RLS17" s="500"/>
      <c r="RLT17" s="500"/>
      <c r="RLU17" s="500"/>
      <c r="RLV17" s="500"/>
      <c r="RLW17" s="500"/>
      <c r="RLX17" s="500"/>
      <c r="RLY17" s="500"/>
      <c r="RLZ17" s="500"/>
      <c r="RMA17" s="500"/>
      <c r="RMB17" s="500"/>
      <c r="RMC17" s="500"/>
      <c r="RMD17" s="500"/>
      <c r="RME17" s="500"/>
      <c r="RMF17" s="500"/>
      <c r="RMG17" s="500"/>
      <c r="RMH17" s="500"/>
      <c r="RMI17" s="500"/>
      <c r="RMJ17" s="500"/>
      <c r="RMK17" s="500"/>
      <c r="RML17" s="500"/>
      <c r="RMM17" s="500"/>
      <c r="RMN17" s="500"/>
      <c r="RMO17" s="500"/>
      <c r="RMP17" s="500"/>
      <c r="RMQ17" s="500"/>
      <c r="RMR17" s="500"/>
      <c r="RMS17" s="500"/>
      <c r="RMT17" s="500"/>
      <c r="RMU17" s="500"/>
      <c r="RMV17" s="500"/>
      <c r="RMW17" s="500"/>
      <c r="RMX17" s="500"/>
      <c r="RMY17" s="500"/>
      <c r="RMZ17" s="500"/>
      <c r="RNA17" s="500"/>
      <c r="RNB17" s="500"/>
      <c r="RNC17" s="500"/>
      <c r="RND17" s="500"/>
      <c r="RNE17" s="500"/>
      <c r="RNF17" s="500"/>
      <c r="RNG17" s="500"/>
      <c r="RNH17" s="500"/>
      <c r="RNI17" s="500"/>
      <c r="RNJ17" s="500"/>
      <c r="RNK17" s="500"/>
      <c r="RNL17" s="500"/>
      <c r="RNM17" s="500"/>
      <c r="RNN17" s="500"/>
      <c r="RNO17" s="500"/>
      <c r="RNP17" s="500"/>
      <c r="RNQ17" s="500"/>
      <c r="RNR17" s="500"/>
      <c r="RNS17" s="500"/>
      <c r="RNT17" s="500"/>
      <c r="RNU17" s="500"/>
      <c r="RNV17" s="500"/>
      <c r="RNW17" s="500"/>
      <c r="RNX17" s="500"/>
      <c r="RNY17" s="500"/>
      <c r="RNZ17" s="500"/>
      <c r="ROA17" s="500"/>
      <c r="ROB17" s="500"/>
      <c r="ROC17" s="500"/>
      <c r="ROD17" s="500"/>
      <c r="ROE17" s="500"/>
      <c r="ROF17" s="500"/>
      <c r="ROG17" s="500"/>
      <c r="ROH17" s="500"/>
      <c r="ROI17" s="500"/>
      <c r="ROJ17" s="500"/>
      <c r="ROK17" s="500"/>
      <c r="ROL17" s="500"/>
      <c r="ROM17" s="500"/>
      <c r="RON17" s="500"/>
      <c r="ROO17" s="500"/>
      <c r="ROP17" s="500"/>
      <c r="ROQ17" s="500"/>
      <c r="ROR17" s="500"/>
      <c r="ROS17" s="500"/>
      <c r="ROT17" s="500"/>
      <c r="ROU17" s="500"/>
      <c r="ROV17" s="500"/>
      <c r="ROW17" s="500"/>
      <c r="ROX17" s="500"/>
      <c r="ROY17" s="500"/>
      <c r="ROZ17" s="500"/>
      <c r="RPA17" s="500"/>
      <c r="RPB17" s="500"/>
      <c r="RPC17" s="500"/>
      <c r="RPD17" s="500"/>
      <c r="RPE17" s="500"/>
      <c r="RPF17" s="500"/>
      <c r="RPG17" s="500"/>
      <c r="RPH17" s="500"/>
      <c r="RPI17" s="500"/>
      <c r="RPJ17" s="500"/>
      <c r="RPK17" s="500"/>
      <c r="RPL17" s="500"/>
      <c r="RPM17" s="500"/>
      <c r="RPN17" s="500"/>
      <c r="RPO17" s="500"/>
      <c r="RPP17" s="500"/>
      <c r="RPQ17" s="500"/>
      <c r="RPR17" s="500"/>
      <c r="RPS17" s="500"/>
      <c r="RPT17" s="500"/>
      <c r="RPU17" s="500"/>
      <c r="RPV17" s="500"/>
      <c r="RPW17" s="500"/>
      <c r="RPX17" s="500"/>
      <c r="RPY17" s="500"/>
      <c r="RPZ17" s="500"/>
      <c r="RQA17" s="500"/>
      <c r="RQB17" s="500"/>
      <c r="RQC17" s="500"/>
      <c r="RQD17" s="500"/>
      <c r="RQE17" s="500"/>
      <c r="RQF17" s="500"/>
      <c r="RQG17" s="500"/>
      <c r="RQH17" s="500"/>
      <c r="RQI17" s="500"/>
      <c r="RQJ17" s="500"/>
      <c r="RQK17" s="500"/>
      <c r="RQL17" s="500"/>
      <c r="RQM17" s="500"/>
      <c r="RQN17" s="500"/>
      <c r="RQO17" s="500"/>
      <c r="RQP17" s="500"/>
      <c r="RQQ17" s="500"/>
      <c r="RQR17" s="500"/>
      <c r="RQS17" s="500"/>
      <c r="RQT17" s="500"/>
      <c r="RQU17" s="500"/>
      <c r="RQV17" s="500"/>
      <c r="RQW17" s="500"/>
      <c r="RQX17" s="500"/>
      <c r="RQY17" s="500"/>
      <c r="RQZ17" s="500"/>
      <c r="RRA17" s="500"/>
      <c r="RRB17" s="500"/>
      <c r="RRC17" s="500"/>
      <c r="RRD17" s="500"/>
      <c r="RRE17" s="500"/>
      <c r="RRF17" s="500"/>
      <c r="RRG17" s="500"/>
      <c r="RRH17" s="500"/>
      <c r="RRI17" s="500"/>
      <c r="RRJ17" s="500"/>
      <c r="RRK17" s="500"/>
      <c r="RRL17" s="500"/>
      <c r="RRM17" s="500"/>
      <c r="RRN17" s="500"/>
      <c r="RRO17" s="500"/>
      <c r="RRP17" s="500"/>
      <c r="RRQ17" s="500"/>
      <c r="RRR17" s="500"/>
      <c r="RRS17" s="500"/>
      <c r="RRT17" s="500"/>
      <c r="RRU17" s="500"/>
      <c r="RRV17" s="500"/>
      <c r="RRW17" s="500"/>
      <c r="RRX17" s="500"/>
      <c r="RRY17" s="500"/>
      <c r="RRZ17" s="500"/>
      <c r="RSA17" s="500"/>
      <c r="RSB17" s="500"/>
      <c r="RSC17" s="500"/>
      <c r="RSD17" s="500"/>
      <c r="RSE17" s="500"/>
      <c r="RSF17" s="500"/>
      <c r="RSG17" s="500"/>
      <c r="RSH17" s="500"/>
      <c r="RSI17" s="500"/>
      <c r="RSJ17" s="500"/>
      <c r="RSK17" s="500"/>
      <c r="RSL17" s="500"/>
      <c r="RSM17" s="500"/>
      <c r="RSN17" s="500"/>
      <c r="RSO17" s="500"/>
      <c r="RSP17" s="500"/>
      <c r="RSQ17" s="500"/>
      <c r="RSR17" s="500"/>
      <c r="RSS17" s="500"/>
      <c r="RST17" s="500"/>
      <c r="RSU17" s="500"/>
      <c r="RSV17" s="500"/>
      <c r="RSW17" s="500"/>
      <c r="RSX17" s="500"/>
      <c r="RSY17" s="500"/>
      <c r="RSZ17" s="500"/>
      <c r="RTA17" s="500"/>
      <c r="RTB17" s="500"/>
      <c r="RTC17" s="500"/>
      <c r="RTD17" s="500"/>
      <c r="RTE17" s="500"/>
      <c r="RTF17" s="500"/>
      <c r="RTG17" s="500"/>
      <c r="RTH17" s="500"/>
      <c r="RTI17" s="500"/>
      <c r="RTJ17" s="500"/>
      <c r="RTK17" s="500"/>
      <c r="RTL17" s="500"/>
      <c r="RTM17" s="500"/>
      <c r="RTN17" s="500"/>
      <c r="RTO17" s="500"/>
      <c r="RTP17" s="500"/>
      <c r="RTQ17" s="500"/>
      <c r="RTR17" s="500"/>
      <c r="RTS17" s="500"/>
      <c r="RTT17" s="500"/>
      <c r="RTU17" s="500"/>
      <c r="RTV17" s="500"/>
      <c r="RTW17" s="500"/>
      <c r="RTX17" s="500"/>
      <c r="RTY17" s="500"/>
      <c r="RTZ17" s="500"/>
      <c r="RUA17" s="500"/>
      <c r="RUB17" s="500"/>
      <c r="RUC17" s="500"/>
      <c r="RUD17" s="500"/>
      <c r="RUE17" s="500"/>
      <c r="RUF17" s="500"/>
      <c r="RUG17" s="500"/>
      <c r="RUH17" s="500"/>
      <c r="RUI17" s="500"/>
      <c r="RUJ17" s="500"/>
      <c r="RUK17" s="500"/>
      <c r="RUL17" s="500"/>
      <c r="RUM17" s="500"/>
      <c r="RUN17" s="500"/>
      <c r="RUO17" s="500"/>
      <c r="RUP17" s="500"/>
      <c r="RUQ17" s="500"/>
      <c r="RUR17" s="500"/>
      <c r="RUS17" s="500"/>
      <c r="RUT17" s="500"/>
      <c r="RUU17" s="500"/>
      <c r="RUV17" s="500"/>
      <c r="RUW17" s="500"/>
      <c r="RUX17" s="500"/>
      <c r="RUY17" s="500"/>
      <c r="RUZ17" s="500"/>
      <c r="RVA17" s="500"/>
      <c r="RVB17" s="500"/>
      <c r="RVC17" s="500"/>
      <c r="RVD17" s="500"/>
      <c r="RVE17" s="500"/>
      <c r="RVF17" s="500"/>
      <c r="RVG17" s="500"/>
      <c r="RVH17" s="500"/>
      <c r="RVI17" s="500"/>
      <c r="RVJ17" s="500"/>
      <c r="RVK17" s="500"/>
      <c r="RVL17" s="500"/>
      <c r="RVM17" s="500"/>
      <c r="RVN17" s="500"/>
      <c r="RVO17" s="500"/>
      <c r="RVP17" s="500"/>
      <c r="RVQ17" s="500"/>
      <c r="RVR17" s="500"/>
      <c r="RVS17" s="500"/>
      <c r="RVT17" s="500"/>
      <c r="RVU17" s="500"/>
      <c r="RVV17" s="500"/>
      <c r="RVW17" s="500"/>
      <c r="RVX17" s="500"/>
      <c r="RVY17" s="500"/>
      <c r="RVZ17" s="500"/>
      <c r="RWA17" s="500"/>
      <c r="RWB17" s="500"/>
      <c r="RWC17" s="500"/>
      <c r="RWD17" s="500"/>
      <c r="RWE17" s="500"/>
      <c r="RWF17" s="500"/>
      <c r="RWG17" s="500"/>
      <c r="RWH17" s="500"/>
      <c r="RWI17" s="500"/>
      <c r="RWJ17" s="500"/>
      <c r="RWK17" s="500"/>
      <c r="RWL17" s="500"/>
      <c r="RWM17" s="500"/>
      <c r="RWN17" s="500"/>
      <c r="RWO17" s="500"/>
      <c r="RWP17" s="500"/>
      <c r="RWQ17" s="500"/>
      <c r="RWR17" s="500"/>
      <c r="RWS17" s="500"/>
      <c r="RWT17" s="500"/>
      <c r="RWU17" s="500"/>
      <c r="RWV17" s="500"/>
      <c r="RWW17" s="500"/>
      <c r="RWX17" s="500"/>
      <c r="RWY17" s="500"/>
      <c r="RWZ17" s="500"/>
      <c r="RXA17" s="500"/>
      <c r="RXB17" s="500"/>
      <c r="RXC17" s="500"/>
      <c r="RXD17" s="500"/>
      <c r="RXE17" s="500"/>
      <c r="RXF17" s="500"/>
      <c r="RXG17" s="500"/>
      <c r="RXH17" s="500"/>
      <c r="RXI17" s="500"/>
      <c r="RXJ17" s="500"/>
      <c r="RXK17" s="500"/>
      <c r="RXL17" s="500"/>
      <c r="RXM17" s="500"/>
      <c r="RXN17" s="500"/>
      <c r="RXO17" s="500"/>
      <c r="RXP17" s="500"/>
      <c r="RXQ17" s="500"/>
      <c r="RXR17" s="500"/>
      <c r="RXS17" s="500"/>
      <c r="RXT17" s="500"/>
      <c r="RXU17" s="500"/>
      <c r="RXV17" s="500"/>
      <c r="RXW17" s="500"/>
      <c r="RXX17" s="500"/>
      <c r="RXY17" s="500"/>
      <c r="RXZ17" s="500"/>
      <c r="RYA17" s="500"/>
      <c r="RYB17" s="500"/>
      <c r="RYC17" s="500"/>
      <c r="RYD17" s="500"/>
      <c r="RYE17" s="500"/>
      <c r="RYF17" s="500"/>
      <c r="RYG17" s="500"/>
      <c r="RYH17" s="500"/>
      <c r="RYI17" s="500"/>
      <c r="RYJ17" s="500"/>
      <c r="RYK17" s="500"/>
      <c r="RYL17" s="500"/>
      <c r="RYM17" s="500"/>
      <c r="RYN17" s="500"/>
      <c r="RYO17" s="500"/>
      <c r="RYP17" s="500"/>
      <c r="RYQ17" s="500"/>
      <c r="RYR17" s="500"/>
      <c r="RYS17" s="500"/>
      <c r="RYT17" s="500"/>
      <c r="RYU17" s="500"/>
      <c r="RYV17" s="500"/>
      <c r="RYW17" s="500"/>
      <c r="RYX17" s="500"/>
      <c r="RYY17" s="500"/>
      <c r="RYZ17" s="500"/>
      <c r="RZA17" s="500"/>
      <c r="RZB17" s="500"/>
      <c r="RZC17" s="500"/>
      <c r="RZD17" s="500"/>
      <c r="RZE17" s="500"/>
      <c r="RZF17" s="500"/>
      <c r="RZG17" s="500"/>
      <c r="RZH17" s="500"/>
      <c r="RZI17" s="500"/>
      <c r="RZJ17" s="500"/>
      <c r="RZK17" s="500"/>
      <c r="RZL17" s="500"/>
      <c r="RZM17" s="500"/>
      <c r="RZN17" s="500"/>
      <c r="RZO17" s="500"/>
      <c r="RZP17" s="500"/>
      <c r="RZQ17" s="500"/>
      <c r="RZR17" s="500"/>
      <c r="RZS17" s="500"/>
      <c r="RZT17" s="500"/>
      <c r="RZU17" s="500"/>
      <c r="RZV17" s="500"/>
      <c r="RZW17" s="500"/>
      <c r="RZX17" s="500"/>
      <c r="RZY17" s="500"/>
      <c r="RZZ17" s="500"/>
      <c r="SAA17" s="500"/>
      <c r="SAB17" s="500"/>
      <c r="SAC17" s="500"/>
      <c r="SAD17" s="500"/>
      <c r="SAE17" s="500"/>
      <c r="SAF17" s="500"/>
      <c r="SAG17" s="500"/>
      <c r="SAH17" s="500"/>
      <c r="SAI17" s="500"/>
      <c r="SAJ17" s="500"/>
      <c r="SAK17" s="500"/>
      <c r="SAL17" s="500"/>
      <c r="SAM17" s="500"/>
      <c r="SAN17" s="500"/>
      <c r="SAO17" s="500"/>
      <c r="SAP17" s="500"/>
      <c r="SAQ17" s="500"/>
      <c r="SAR17" s="500"/>
      <c r="SAS17" s="500"/>
      <c r="SAT17" s="500"/>
      <c r="SAU17" s="500"/>
      <c r="SAV17" s="500"/>
      <c r="SAW17" s="500"/>
      <c r="SAX17" s="500"/>
      <c r="SAY17" s="500"/>
      <c r="SAZ17" s="500"/>
      <c r="SBA17" s="500"/>
      <c r="SBB17" s="500"/>
      <c r="SBC17" s="500"/>
      <c r="SBD17" s="500"/>
      <c r="SBE17" s="500"/>
      <c r="SBF17" s="500"/>
      <c r="SBG17" s="500"/>
      <c r="SBH17" s="500"/>
      <c r="SBI17" s="500"/>
      <c r="SBJ17" s="500"/>
      <c r="SBK17" s="500"/>
      <c r="SBL17" s="500"/>
      <c r="SBM17" s="500"/>
      <c r="SBN17" s="500"/>
      <c r="SBO17" s="500"/>
      <c r="SBP17" s="500"/>
      <c r="SBQ17" s="500"/>
      <c r="SBR17" s="500"/>
      <c r="SBS17" s="500"/>
      <c r="SBT17" s="500"/>
      <c r="SBU17" s="500"/>
      <c r="SBV17" s="500"/>
      <c r="SBW17" s="500"/>
      <c r="SBX17" s="500"/>
      <c r="SBY17" s="500"/>
      <c r="SBZ17" s="500"/>
      <c r="SCA17" s="500"/>
      <c r="SCB17" s="500"/>
      <c r="SCC17" s="500"/>
      <c r="SCD17" s="500"/>
      <c r="SCE17" s="500"/>
      <c r="SCF17" s="500"/>
      <c r="SCG17" s="500"/>
      <c r="SCH17" s="500"/>
      <c r="SCI17" s="500"/>
      <c r="SCJ17" s="500"/>
      <c r="SCK17" s="500"/>
      <c r="SCL17" s="500"/>
      <c r="SCM17" s="500"/>
      <c r="SCN17" s="500"/>
      <c r="SCO17" s="500"/>
      <c r="SCP17" s="500"/>
      <c r="SCQ17" s="500"/>
      <c r="SCR17" s="500"/>
      <c r="SCS17" s="500"/>
      <c r="SCT17" s="500"/>
      <c r="SCU17" s="500"/>
      <c r="SCV17" s="500"/>
      <c r="SCW17" s="500"/>
      <c r="SCX17" s="500"/>
      <c r="SCY17" s="500"/>
      <c r="SCZ17" s="500"/>
      <c r="SDA17" s="500"/>
      <c r="SDB17" s="500"/>
      <c r="SDC17" s="500"/>
      <c r="SDD17" s="500"/>
      <c r="SDE17" s="500"/>
      <c r="SDF17" s="500"/>
      <c r="SDG17" s="500"/>
      <c r="SDH17" s="500"/>
      <c r="SDI17" s="500"/>
      <c r="SDJ17" s="500"/>
      <c r="SDK17" s="500"/>
      <c r="SDL17" s="500"/>
      <c r="SDM17" s="500"/>
      <c r="SDN17" s="500"/>
      <c r="SDO17" s="500"/>
      <c r="SDP17" s="500"/>
      <c r="SDQ17" s="500"/>
      <c r="SDR17" s="500"/>
      <c r="SDS17" s="500"/>
      <c r="SDT17" s="500"/>
      <c r="SDU17" s="500"/>
      <c r="SDV17" s="500"/>
      <c r="SDW17" s="500"/>
      <c r="SDX17" s="500"/>
      <c r="SDY17" s="500"/>
      <c r="SDZ17" s="500"/>
      <c r="SEA17" s="500"/>
      <c r="SEB17" s="500"/>
      <c r="SEC17" s="500"/>
      <c r="SED17" s="500"/>
      <c r="SEE17" s="500"/>
      <c r="SEF17" s="500"/>
      <c r="SEG17" s="500"/>
      <c r="SEH17" s="500"/>
      <c r="SEI17" s="500"/>
      <c r="SEJ17" s="500"/>
      <c r="SEK17" s="500"/>
      <c r="SEL17" s="500"/>
      <c r="SEM17" s="500"/>
      <c r="SEN17" s="500"/>
      <c r="SEO17" s="500"/>
      <c r="SEP17" s="500"/>
      <c r="SEQ17" s="500"/>
      <c r="SER17" s="500"/>
      <c r="SES17" s="500"/>
      <c r="SET17" s="500"/>
      <c r="SEU17" s="500"/>
      <c r="SEV17" s="500"/>
      <c r="SEW17" s="500"/>
      <c r="SEX17" s="500"/>
      <c r="SEY17" s="500"/>
      <c r="SEZ17" s="500"/>
      <c r="SFA17" s="500"/>
      <c r="SFB17" s="500"/>
      <c r="SFC17" s="500"/>
      <c r="SFD17" s="500"/>
      <c r="SFE17" s="500"/>
      <c r="SFF17" s="500"/>
      <c r="SFG17" s="500"/>
      <c r="SFH17" s="500"/>
      <c r="SFI17" s="500"/>
      <c r="SFJ17" s="500"/>
      <c r="SFK17" s="500"/>
      <c r="SFL17" s="500"/>
      <c r="SFM17" s="500"/>
      <c r="SFN17" s="500"/>
      <c r="SFO17" s="500"/>
      <c r="SFP17" s="500"/>
      <c r="SFQ17" s="500"/>
      <c r="SFR17" s="500"/>
      <c r="SFS17" s="500"/>
      <c r="SFT17" s="500"/>
      <c r="SFU17" s="500"/>
      <c r="SFV17" s="500"/>
      <c r="SFW17" s="500"/>
      <c r="SFX17" s="500"/>
      <c r="SFY17" s="500"/>
      <c r="SFZ17" s="500"/>
      <c r="SGA17" s="500"/>
      <c r="SGB17" s="500"/>
      <c r="SGC17" s="500"/>
      <c r="SGD17" s="500"/>
      <c r="SGE17" s="500"/>
      <c r="SGF17" s="500"/>
      <c r="SGG17" s="500"/>
      <c r="SGH17" s="500"/>
      <c r="SGI17" s="500"/>
      <c r="SGJ17" s="500"/>
      <c r="SGK17" s="500"/>
      <c r="SGL17" s="500"/>
      <c r="SGM17" s="500"/>
      <c r="SGN17" s="500"/>
      <c r="SGO17" s="500"/>
      <c r="SGP17" s="500"/>
      <c r="SGQ17" s="500"/>
      <c r="SGR17" s="500"/>
      <c r="SGS17" s="500"/>
      <c r="SGT17" s="500"/>
      <c r="SGU17" s="500"/>
      <c r="SGV17" s="500"/>
      <c r="SGW17" s="500"/>
      <c r="SGX17" s="500"/>
      <c r="SGY17" s="500"/>
      <c r="SGZ17" s="500"/>
      <c r="SHA17" s="500"/>
      <c r="SHB17" s="500"/>
      <c r="SHC17" s="500"/>
      <c r="SHD17" s="500"/>
      <c r="SHE17" s="500"/>
      <c r="SHF17" s="500"/>
      <c r="SHG17" s="500"/>
      <c r="SHH17" s="500"/>
      <c r="SHI17" s="500"/>
      <c r="SHJ17" s="500"/>
      <c r="SHK17" s="500"/>
      <c r="SHL17" s="500"/>
      <c r="SHM17" s="500"/>
      <c r="SHN17" s="500"/>
      <c r="SHO17" s="500"/>
      <c r="SHP17" s="500"/>
      <c r="SHQ17" s="500"/>
      <c r="SHR17" s="500"/>
      <c r="SHS17" s="500"/>
      <c r="SHT17" s="500"/>
      <c r="SHU17" s="500"/>
      <c r="SHV17" s="500"/>
      <c r="SHW17" s="500"/>
      <c r="SHX17" s="500"/>
      <c r="SHY17" s="500"/>
      <c r="SHZ17" s="500"/>
      <c r="SIA17" s="500"/>
      <c r="SIB17" s="500"/>
      <c r="SIC17" s="500"/>
      <c r="SID17" s="500"/>
      <c r="SIE17" s="500"/>
      <c r="SIF17" s="500"/>
      <c r="SIG17" s="500"/>
      <c r="SIH17" s="500"/>
      <c r="SII17" s="500"/>
      <c r="SIJ17" s="500"/>
      <c r="SIK17" s="500"/>
      <c r="SIL17" s="500"/>
      <c r="SIM17" s="500"/>
      <c r="SIN17" s="500"/>
      <c r="SIO17" s="500"/>
      <c r="SIP17" s="500"/>
      <c r="SIQ17" s="500"/>
      <c r="SIR17" s="500"/>
      <c r="SIS17" s="500"/>
      <c r="SIT17" s="500"/>
      <c r="SIU17" s="500"/>
      <c r="SIV17" s="500"/>
      <c r="SIW17" s="500"/>
      <c r="SIX17" s="500"/>
      <c r="SIY17" s="500"/>
      <c r="SIZ17" s="500"/>
      <c r="SJA17" s="500"/>
      <c r="SJB17" s="500"/>
      <c r="SJC17" s="500"/>
      <c r="SJD17" s="500"/>
      <c r="SJE17" s="500"/>
      <c r="SJF17" s="500"/>
      <c r="SJG17" s="500"/>
      <c r="SJH17" s="500"/>
      <c r="SJI17" s="500"/>
      <c r="SJJ17" s="500"/>
      <c r="SJK17" s="500"/>
      <c r="SJL17" s="500"/>
      <c r="SJM17" s="500"/>
      <c r="SJN17" s="500"/>
      <c r="SJO17" s="500"/>
      <c r="SJP17" s="500"/>
      <c r="SJQ17" s="500"/>
      <c r="SJR17" s="500"/>
      <c r="SJS17" s="500"/>
      <c r="SJT17" s="500"/>
      <c r="SJU17" s="500"/>
      <c r="SJV17" s="500"/>
      <c r="SJW17" s="500"/>
      <c r="SJX17" s="500"/>
      <c r="SJY17" s="500"/>
      <c r="SJZ17" s="500"/>
      <c r="SKA17" s="500"/>
      <c r="SKB17" s="500"/>
      <c r="SKC17" s="500"/>
      <c r="SKD17" s="500"/>
      <c r="SKE17" s="500"/>
      <c r="SKF17" s="500"/>
      <c r="SKG17" s="500"/>
      <c r="SKH17" s="500"/>
      <c r="SKI17" s="500"/>
      <c r="SKJ17" s="500"/>
      <c r="SKK17" s="500"/>
      <c r="SKL17" s="500"/>
      <c r="SKM17" s="500"/>
      <c r="SKN17" s="500"/>
      <c r="SKO17" s="500"/>
      <c r="SKP17" s="500"/>
      <c r="SKQ17" s="500"/>
      <c r="SKR17" s="500"/>
      <c r="SKS17" s="500"/>
      <c r="SKT17" s="500"/>
      <c r="SKU17" s="500"/>
      <c r="SKV17" s="500"/>
      <c r="SKW17" s="500"/>
      <c r="SKX17" s="500"/>
      <c r="SKY17" s="500"/>
      <c r="SKZ17" s="500"/>
      <c r="SLA17" s="500"/>
      <c r="SLB17" s="500"/>
      <c r="SLC17" s="500"/>
      <c r="SLD17" s="500"/>
      <c r="SLE17" s="500"/>
      <c r="SLF17" s="500"/>
      <c r="SLG17" s="500"/>
      <c r="SLH17" s="500"/>
      <c r="SLI17" s="500"/>
      <c r="SLJ17" s="500"/>
      <c r="SLK17" s="500"/>
      <c r="SLL17" s="500"/>
      <c r="SLM17" s="500"/>
      <c r="SLN17" s="500"/>
      <c r="SLO17" s="500"/>
      <c r="SLP17" s="500"/>
      <c r="SLQ17" s="500"/>
      <c r="SLR17" s="500"/>
      <c r="SLS17" s="500"/>
      <c r="SLT17" s="500"/>
      <c r="SLU17" s="500"/>
      <c r="SLV17" s="500"/>
      <c r="SLW17" s="500"/>
      <c r="SLX17" s="500"/>
      <c r="SLY17" s="500"/>
      <c r="SLZ17" s="500"/>
      <c r="SMA17" s="500"/>
      <c r="SMB17" s="500"/>
      <c r="SMC17" s="500"/>
      <c r="SMD17" s="500"/>
      <c r="SME17" s="500"/>
      <c r="SMF17" s="500"/>
      <c r="SMG17" s="500"/>
      <c r="SMH17" s="500"/>
      <c r="SMI17" s="500"/>
      <c r="SMJ17" s="500"/>
      <c r="SMK17" s="500"/>
      <c r="SML17" s="500"/>
      <c r="SMM17" s="500"/>
      <c r="SMN17" s="500"/>
      <c r="SMO17" s="500"/>
      <c r="SMP17" s="500"/>
      <c r="SMQ17" s="500"/>
      <c r="SMR17" s="500"/>
      <c r="SMS17" s="500"/>
      <c r="SMT17" s="500"/>
      <c r="SMU17" s="500"/>
      <c r="SMV17" s="500"/>
      <c r="SMW17" s="500"/>
      <c r="SMX17" s="500"/>
      <c r="SMY17" s="500"/>
      <c r="SMZ17" s="500"/>
      <c r="SNA17" s="500"/>
      <c r="SNB17" s="500"/>
      <c r="SNC17" s="500"/>
      <c r="SND17" s="500"/>
      <c r="SNE17" s="500"/>
      <c r="SNF17" s="500"/>
      <c r="SNG17" s="500"/>
      <c r="SNH17" s="500"/>
      <c r="SNI17" s="500"/>
      <c r="SNJ17" s="500"/>
      <c r="SNK17" s="500"/>
      <c r="SNL17" s="500"/>
      <c r="SNM17" s="500"/>
      <c r="SNN17" s="500"/>
      <c r="SNO17" s="500"/>
      <c r="SNP17" s="500"/>
      <c r="SNQ17" s="500"/>
      <c r="SNR17" s="500"/>
      <c r="SNS17" s="500"/>
      <c r="SNT17" s="500"/>
      <c r="SNU17" s="500"/>
      <c r="SNV17" s="500"/>
      <c r="SNW17" s="500"/>
      <c r="SNX17" s="500"/>
      <c r="SNY17" s="500"/>
      <c r="SNZ17" s="500"/>
      <c r="SOA17" s="500"/>
      <c r="SOB17" s="500"/>
      <c r="SOC17" s="500"/>
      <c r="SOD17" s="500"/>
      <c r="SOE17" s="500"/>
      <c r="SOF17" s="500"/>
      <c r="SOG17" s="500"/>
      <c r="SOH17" s="500"/>
      <c r="SOI17" s="500"/>
      <c r="SOJ17" s="500"/>
      <c r="SOK17" s="500"/>
      <c r="SOL17" s="500"/>
      <c r="SOM17" s="500"/>
      <c r="SON17" s="500"/>
      <c r="SOO17" s="500"/>
      <c r="SOP17" s="500"/>
      <c r="SOQ17" s="500"/>
      <c r="SOR17" s="500"/>
      <c r="SOS17" s="500"/>
      <c r="SOT17" s="500"/>
      <c r="SOU17" s="500"/>
      <c r="SOV17" s="500"/>
      <c r="SOW17" s="500"/>
      <c r="SOX17" s="500"/>
      <c r="SOY17" s="500"/>
      <c r="SOZ17" s="500"/>
      <c r="SPA17" s="500"/>
      <c r="SPB17" s="500"/>
      <c r="SPC17" s="500"/>
      <c r="SPD17" s="500"/>
      <c r="SPE17" s="500"/>
      <c r="SPF17" s="500"/>
      <c r="SPG17" s="500"/>
      <c r="SPH17" s="500"/>
      <c r="SPI17" s="500"/>
      <c r="SPJ17" s="500"/>
      <c r="SPK17" s="500"/>
      <c r="SPL17" s="500"/>
      <c r="SPM17" s="500"/>
      <c r="SPN17" s="500"/>
      <c r="SPO17" s="500"/>
      <c r="SPP17" s="500"/>
      <c r="SPQ17" s="500"/>
      <c r="SPR17" s="500"/>
      <c r="SPS17" s="500"/>
      <c r="SPT17" s="500"/>
      <c r="SPU17" s="500"/>
      <c r="SPV17" s="500"/>
      <c r="SPW17" s="500"/>
      <c r="SPX17" s="500"/>
      <c r="SPY17" s="500"/>
      <c r="SPZ17" s="500"/>
      <c r="SQA17" s="500"/>
      <c r="SQB17" s="500"/>
      <c r="SQC17" s="500"/>
      <c r="SQD17" s="500"/>
      <c r="SQE17" s="500"/>
      <c r="SQF17" s="500"/>
      <c r="SQG17" s="500"/>
      <c r="SQH17" s="500"/>
      <c r="SQI17" s="500"/>
      <c r="SQJ17" s="500"/>
      <c r="SQK17" s="500"/>
      <c r="SQL17" s="500"/>
      <c r="SQM17" s="500"/>
      <c r="SQN17" s="500"/>
      <c r="SQO17" s="500"/>
      <c r="SQP17" s="500"/>
      <c r="SQQ17" s="500"/>
      <c r="SQR17" s="500"/>
      <c r="SQS17" s="500"/>
      <c r="SQT17" s="500"/>
      <c r="SQU17" s="500"/>
      <c r="SQV17" s="500"/>
      <c r="SQW17" s="500"/>
      <c r="SQX17" s="500"/>
      <c r="SQY17" s="500"/>
      <c r="SQZ17" s="500"/>
      <c r="SRA17" s="500"/>
      <c r="SRB17" s="500"/>
      <c r="SRC17" s="500"/>
      <c r="SRD17" s="500"/>
      <c r="SRE17" s="500"/>
      <c r="SRF17" s="500"/>
      <c r="SRG17" s="500"/>
      <c r="SRH17" s="500"/>
      <c r="SRI17" s="500"/>
      <c r="SRJ17" s="500"/>
      <c r="SRK17" s="500"/>
      <c r="SRL17" s="500"/>
      <c r="SRM17" s="500"/>
      <c r="SRN17" s="500"/>
      <c r="SRO17" s="500"/>
      <c r="SRP17" s="500"/>
      <c r="SRQ17" s="500"/>
      <c r="SRR17" s="500"/>
      <c r="SRS17" s="500"/>
      <c r="SRT17" s="500"/>
      <c r="SRU17" s="500"/>
      <c r="SRV17" s="500"/>
      <c r="SRW17" s="500"/>
      <c r="SRX17" s="500"/>
      <c r="SRY17" s="500"/>
      <c r="SRZ17" s="500"/>
      <c r="SSA17" s="500"/>
      <c r="SSB17" s="500"/>
      <c r="SSC17" s="500"/>
      <c r="SSD17" s="500"/>
      <c r="SSE17" s="500"/>
      <c r="SSF17" s="500"/>
      <c r="SSG17" s="500"/>
      <c r="SSH17" s="500"/>
      <c r="SSI17" s="500"/>
      <c r="SSJ17" s="500"/>
      <c r="SSK17" s="500"/>
      <c r="SSL17" s="500"/>
      <c r="SSM17" s="500"/>
      <c r="SSN17" s="500"/>
      <c r="SSO17" s="500"/>
      <c r="SSP17" s="500"/>
      <c r="SSQ17" s="500"/>
      <c r="SSR17" s="500"/>
      <c r="SSS17" s="500"/>
      <c r="SST17" s="500"/>
      <c r="SSU17" s="500"/>
      <c r="SSV17" s="500"/>
      <c r="SSW17" s="500"/>
      <c r="SSX17" s="500"/>
      <c r="SSY17" s="500"/>
      <c r="SSZ17" s="500"/>
      <c r="STA17" s="500"/>
      <c r="STB17" s="500"/>
      <c r="STC17" s="500"/>
      <c r="STD17" s="500"/>
      <c r="STE17" s="500"/>
      <c r="STF17" s="500"/>
      <c r="STG17" s="500"/>
      <c r="STH17" s="500"/>
      <c r="STI17" s="500"/>
      <c r="STJ17" s="500"/>
      <c r="STK17" s="500"/>
      <c r="STL17" s="500"/>
      <c r="STM17" s="500"/>
      <c r="STN17" s="500"/>
      <c r="STO17" s="500"/>
      <c r="STP17" s="500"/>
      <c r="STQ17" s="500"/>
      <c r="STR17" s="500"/>
      <c r="STS17" s="500"/>
      <c r="STT17" s="500"/>
      <c r="STU17" s="500"/>
      <c r="STV17" s="500"/>
      <c r="STW17" s="500"/>
      <c r="STX17" s="500"/>
      <c r="STY17" s="500"/>
      <c r="STZ17" s="500"/>
      <c r="SUA17" s="500"/>
      <c r="SUB17" s="500"/>
      <c r="SUC17" s="500"/>
      <c r="SUD17" s="500"/>
      <c r="SUE17" s="500"/>
      <c r="SUF17" s="500"/>
      <c r="SUG17" s="500"/>
      <c r="SUH17" s="500"/>
      <c r="SUI17" s="500"/>
      <c r="SUJ17" s="500"/>
      <c r="SUK17" s="500"/>
      <c r="SUL17" s="500"/>
      <c r="SUM17" s="500"/>
      <c r="SUN17" s="500"/>
      <c r="SUO17" s="500"/>
      <c r="SUP17" s="500"/>
      <c r="SUQ17" s="500"/>
      <c r="SUR17" s="500"/>
      <c r="SUS17" s="500"/>
      <c r="SUT17" s="500"/>
      <c r="SUU17" s="500"/>
      <c r="SUV17" s="500"/>
      <c r="SUW17" s="500"/>
      <c r="SUX17" s="500"/>
      <c r="SUY17" s="500"/>
      <c r="SUZ17" s="500"/>
      <c r="SVA17" s="500"/>
      <c r="SVB17" s="500"/>
      <c r="SVC17" s="500"/>
      <c r="SVD17" s="500"/>
      <c r="SVE17" s="500"/>
      <c r="SVF17" s="500"/>
      <c r="SVG17" s="500"/>
      <c r="SVH17" s="500"/>
      <c r="SVI17" s="500"/>
      <c r="SVJ17" s="500"/>
      <c r="SVK17" s="500"/>
      <c r="SVL17" s="500"/>
      <c r="SVM17" s="500"/>
      <c r="SVN17" s="500"/>
      <c r="SVO17" s="500"/>
      <c r="SVP17" s="500"/>
      <c r="SVQ17" s="500"/>
      <c r="SVR17" s="500"/>
      <c r="SVS17" s="500"/>
      <c r="SVT17" s="500"/>
      <c r="SVU17" s="500"/>
      <c r="SVV17" s="500"/>
      <c r="SVW17" s="500"/>
      <c r="SVX17" s="500"/>
      <c r="SVY17" s="500"/>
      <c r="SVZ17" s="500"/>
      <c r="SWA17" s="500"/>
      <c r="SWB17" s="500"/>
      <c r="SWC17" s="500"/>
      <c r="SWD17" s="500"/>
      <c r="SWE17" s="500"/>
      <c r="SWF17" s="500"/>
      <c r="SWG17" s="500"/>
      <c r="SWH17" s="500"/>
      <c r="SWI17" s="500"/>
      <c r="SWJ17" s="500"/>
      <c r="SWK17" s="500"/>
      <c r="SWL17" s="500"/>
      <c r="SWM17" s="500"/>
      <c r="SWN17" s="500"/>
      <c r="SWO17" s="500"/>
      <c r="SWP17" s="500"/>
      <c r="SWQ17" s="500"/>
      <c r="SWR17" s="500"/>
      <c r="SWS17" s="500"/>
      <c r="SWT17" s="500"/>
      <c r="SWU17" s="500"/>
      <c r="SWV17" s="500"/>
      <c r="SWW17" s="500"/>
      <c r="SWX17" s="500"/>
      <c r="SWY17" s="500"/>
      <c r="SWZ17" s="500"/>
      <c r="SXA17" s="500"/>
      <c r="SXB17" s="500"/>
      <c r="SXC17" s="500"/>
      <c r="SXD17" s="500"/>
      <c r="SXE17" s="500"/>
      <c r="SXF17" s="500"/>
      <c r="SXG17" s="500"/>
      <c r="SXH17" s="500"/>
      <c r="SXI17" s="500"/>
      <c r="SXJ17" s="500"/>
      <c r="SXK17" s="500"/>
      <c r="SXL17" s="500"/>
      <c r="SXM17" s="500"/>
      <c r="SXN17" s="500"/>
      <c r="SXO17" s="500"/>
      <c r="SXP17" s="500"/>
      <c r="SXQ17" s="500"/>
      <c r="SXR17" s="500"/>
      <c r="SXS17" s="500"/>
      <c r="SXT17" s="500"/>
      <c r="SXU17" s="500"/>
      <c r="SXV17" s="500"/>
      <c r="SXW17" s="500"/>
      <c r="SXX17" s="500"/>
      <c r="SXY17" s="500"/>
      <c r="SXZ17" s="500"/>
      <c r="SYA17" s="500"/>
      <c r="SYB17" s="500"/>
      <c r="SYC17" s="500"/>
      <c r="SYD17" s="500"/>
      <c r="SYE17" s="500"/>
      <c r="SYF17" s="500"/>
      <c r="SYG17" s="500"/>
      <c r="SYH17" s="500"/>
      <c r="SYI17" s="500"/>
      <c r="SYJ17" s="500"/>
      <c r="SYK17" s="500"/>
      <c r="SYL17" s="500"/>
      <c r="SYM17" s="500"/>
      <c r="SYN17" s="500"/>
      <c r="SYO17" s="500"/>
      <c r="SYP17" s="500"/>
      <c r="SYQ17" s="500"/>
      <c r="SYR17" s="500"/>
      <c r="SYS17" s="500"/>
      <c r="SYT17" s="500"/>
      <c r="SYU17" s="500"/>
      <c r="SYV17" s="500"/>
      <c r="SYW17" s="500"/>
      <c r="SYX17" s="500"/>
      <c r="SYY17" s="500"/>
      <c r="SYZ17" s="500"/>
      <c r="SZA17" s="500"/>
      <c r="SZB17" s="500"/>
      <c r="SZC17" s="500"/>
      <c r="SZD17" s="500"/>
      <c r="SZE17" s="500"/>
      <c r="SZF17" s="500"/>
      <c r="SZG17" s="500"/>
      <c r="SZH17" s="500"/>
      <c r="SZI17" s="500"/>
      <c r="SZJ17" s="500"/>
      <c r="SZK17" s="500"/>
      <c r="SZL17" s="500"/>
      <c r="SZM17" s="500"/>
      <c r="SZN17" s="500"/>
      <c r="SZO17" s="500"/>
      <c r="SZP17" s="500"/>
      <c r="SZQ17" s="500"/>
      <c r="SZR17" s="500"/>
      <c r="SZS17" s="500"/>
      <c r="SZT17" s="500"/>
      <c r="SZU17" s="500"/>
      <c r="SZV17" s="500"/>
      <c r="SZW17" s="500"/>
      <c r="SZX17" s="500"/>
      <c r="SZY17" s="500"/>
      <c r="SZZ17" s="500"/>
      <c r="TAA17" s="500"/>
      <c r="TAB17" s="500"/>
      <c r="TAC17" s="500"/>
      <c r="TAD17" s="500"/>
      <c r="TAE17" s="500"/>
      <c r="TAF17" s="500"/>
      <c r="TAG17" s="500"/>
      <c r="TAH17" s="500"/>
      <c r="TAI17" s="500"/>
      <c r="TAJ17" s="500"/>
      <c r="TAK17" s="500"/>
      <c r="TAL17" s="500"/>
      <c r="TAM17" s="500"/>
      <c r="TAN17" s="500"/>
      <c r="TAO17" s="500"/>
      <c r="TAP17" s="500"/>
      <c r="TAQ17" s="500"/>
      <c r="TAR17" s="500"/>
      <c r="TAS17" s="500"/>
      <c r="TAT17" s="500"/>
      <c r="TAU17" s="500"/>
      <c r="TAV17" s="500"/>
      <c r="TAW17" s="500"/>
      <c r="TAX17" s="500"/>
      <c r="TAY17" s="500"/>
      <c r="TAZ17" s="500"/>
      <c r="TBA17" s="500"/>
      <c r="TBB17" s="500"/>
      <c r="TBC17" s="500"/>
      <c r="TBD17" s="500"/>
      <c r="TBE17" s="500"/>
      <c r="TBF17" s="500"/>
      <c r="TBG17" s="500"/>
      <c r="TBH17" s="500"/>
      <c r="TBI17" s="500"/>
      <c r="TBJ17" s="500"/>
      <c r="TBK17" s="500"/>
      <c r="TBL17" s="500"/>
      <c r="TBM17" s="500"/>
      <c r="TBN17" s="500"/>
      <c r="TBO17" s="500"/>
      <c r="TBP17" s="500"/>
      <c r="TBQ17" s="500"/>
      <c r="TBR17" s="500"/>
      <c r="TBS17" s="500"/>
      <c r="TBT17" s="500"/>
      <c r="TBU17" s="500"/>
      <c r="TBV17" s="500"/>
      <c r="TBW17" s="500"/>
      <c r="TBX17" s="500"/>
      <c r="TBY17" s="500"/>
      <c r="TBZ17" s="500"/>
      <c r="TCA17" s="500"/>
      <c r="TCB17" s="500"/>
      <c r="TCC17" s="500"/>
      <c r="TCD17" s="500"/>
      <c r="TCE17" s="500"/>
      <c r="TCF17" s="500"/>
      <c r="TCG17" s="500"/>
      <c r="TCH17" s="500"/>
      <c r="TCI17" s="500"/>
      <c r="TCJ17" s="500"/>
      <c r="TCK17" s="500"/>
      <c r="TCL17" s="500"/>
      <c r="TCM17" s="500"/>
      <c r="TCN17" s="500"/>
      <c r="TCO17" s="500"/>
      <c r="TCP17" s="500"/>
      <c r="TCQ17" s="500"/>
      <c r="TCR17" s="500"/>
      <c r="TCS17" s="500"/>
      <c r="TCT17" s="500"/>
      <c r="TCU17" s="500"/>
      <c r="TCV17" s="500"/>
      <c r="TCW17" s="500"/>
      <c r="TCX17" s="500"/>
      <c r="TCY17" s="500"/>
      <c r="TCZ17" s="500"/>
      <c r="TDA17" s="500"/>
      <c r="TDB17" s="500"/>
      <c r="TDC17" s="500"/>
      <c r="TDD17" s="500"/>
      <c r="TDE17" s="500"/>
      <c r="TDF17" s="500"/>
      <c r="TDG17" s="500"/>
      <c r="TDH17" s="500"/>
      <c r="TDI17" s="500"/>
      <c r="TDJ17" s="500"/>
      <c r="TDK17" s="500"/>
      <c r="TDL17" s="500"/>
      <c r="TDM17" s="500"/>
      <c r="TDN17" s="500"/>
      <c r="TDO17" s="500"/>
      <c r="TDP17" s="500"/>
      <c r="TDQ17" s="500"/>
      <c r="TDR17" s="500"/>
      <c r="TDS17" s="500"/>
      <c r="TDT17" s="500"/>
      <c r="TDU17" s="500"/>
      <c r="TDV17" s="500"/>
      <c r="TDW17" s="500"/>
      <c r="TDX17" s="500"/>
      <c r="TDY17" s="500"/>
      <c r="TDZ17" s="500"/>
      <c r="TEA17" s="500"/>
      <c r="TEB17" s="500"/>
      <c r="TEC17" s="500"/>
      <c r="TED17" s="500"/>
      <c r="TEE17" s="500"/>
      <c r="TEF17" s="500"/>
      <c r="TEG17" s="500"/>
      <c r="TEH17" s="500"/>
      <c r="TEI17" s="500"/>
      <c r="TEJ17" s="500"/>
      <c r="TEK17" s="500"/>
      <c r="TEL17" s="500"/>
      <c r="TEM17" s="500"/>
      <c r="TEN17" s="500"/>
      <c r="TEO17" s="500"/>
      <c r="TEP17" s="500"/>
      <c r="TEQ17" s="500"/>
      <c r="TER17" s="500"/>
      <c r="TES17" s="500"/>
      <c r="TET17" s="500"/>
      <c r="TEU17" s="500"/>
      <c r="TEV17" s="500"/>
      <c r="TEW17" s="500"/>
      <c r="TEX17" s="500"/>
      <c r="TEY17" s="500"/>
      <c r="TEZ17" s="500"/>
      <c r="TFA17" s="500"/>
      <c r="TFB17" s="500"/>
      <c r="TFC17" s="500"/>
      <c r="TFD17" s="500"/>
      <c r="TFE17" s="500"/>
      <c r="TFF17" s="500"/>
      <c r="TFG17" s="500"/>
      <c r="TFH17" s="500"/>
      <c r="TFI17" s="500"/>
      <c r="TFJ17" s="500"/>
      <c r="TFK17" s="500"/>
      <c r="TFL17" s="500"/>
      <c r="TFM17" s="500"/>
      <c r="TFN17" s="500"/>
      <c r="TFO17" s="500"/>
      <c r="TFP17" s="500"/>
      <c r="TFQ17" s="500"/>
      <c r="TFR17" s="500"/>
      <c r="TFS17" s="500"/>
      <c r="TFT17" s="500"/>
      <c r="TFU17" s="500"/>
      <c r="TFV17" s="500"/>
      <c r="TFW17" s="500"/>
      <c r="TFX17" s="500"/>
      <c r="TFY17" s="500"/>
      <c r="TFZ17" s="500"/>
      <c r="TGA17" s="500"/>
      <c r="TGB17" s="500"/>
      <c r="TGC17" s="500"/>
      <c r="TGD17" s="500"/>
      <c r="TGE17" s="500"/>
      <c r="TGF17" s="500"/>
      <c r="TGG17" s="500"/>
      <c r="TGH17" s="500"/>
      <c r="TGI17" s="500"/>
      <c r="TGJ17" s="500"/>
      <c r="TGK17" s="500"/>
      <c r="TGL17" s="500"/>
      <c r="TGM17" s="500"/>
      <c r="TGN17" s="500"/>
      <c r="TGO17" s="500"/>
      <c r="TGP17" s="500"/>
      <c r="TGQ17" s="500"/>
      <c r="TGR17" s="500"/>
      <c r="TGS17" s="500"/>
      <c r="TGT17" s="500"/>
      <c r="TGU17" s="500"/>
      <c r="TGV17" s="500"/>
      <c r="TGW17" s="500"/>
      <c r="TGX17" s="500"/>
      <c r="TGY17" s="500"/>
      <c r="TGZ17" s="500"/>
      <c r="THA17" s="500"/>
      <c r="THB17" s="500"/>
      <c r="THC17" s="500"/>
      <c r="THD17" s="500"/>
      <c r="THE17" s="500"/>
      <c r="THF17" s="500"/>
      <c r="THG17" s="500"/>
      <c r="THH17" s="500"/>
      <c r="THI17" s="500"/>
      <c r="THJ17" s="500"/>
      <c r="THK17" s="500"/>
      <c r="THL17" s="500"/>
      <c r="THM17" s="500"/>
      <c r="THN17" s="500"/>
      <c r="THO17" s="500"/>
      <c r="THP17" s="500"/>
      <c r="THQ17" s="500"/>
      <c r="THR17" s="500"/>
      <c r="THS17" s="500"/>
      <c r="THT17" s="500"/>
      <c r="THU17" s="500"/>
      <c r="THV17" s="500"/>
      <c r="THW17" s="500"/>
      <c r="THX17" s="500"/>
      <c r="THY17" s="500"/>
      <c r="THZ17" s="500"/>
      <c r="TIA17" s="500"/>
      <c r="TIB17" s="500"/>
      <c r="TIC17" s="500"/>
      <c r="TID17" s="500"/>
      <c r="TIE17" s="500"/>
      <c r="TIF17" s="500"/>
      <c r="TIG17" s="500"/>
      <c r="TIH17" s="500"/>
      <c r="TII17" s="500"/>
      <c r="TIJ17" s="500"/>
      <c r="TIK17" s="500"/>
      <c r="TIL17" s="500"/>
      <c r="TIM17" s="500"/>
      <c r="TIN17" s="500"/>
      <c r="TIO17" s="500"/>
      <c r="TIP17" s="500"/>
      <c r="TIQ17" s="500"/>
      <c r="TIR17" s="500"/>
      <c r="TIS17" s="500"/>
      <c r="TIT17" s="500"/>
      <c r="TIU17" s="500"/>
      <c r="TIV17" s="500"/>
      <c r="TIW17" s="500"/>
      <c r="TIX17" s="500"/>
      <c r="TIY17" s="500"/>
      <c r="TIZ17" s="500"/>
      <c r="TJA17" s="500"/>
      <c r="TJB17" s="500"/>
      <c r="TJC17" s="500"/>
      <c r="TJD17" s="500"/>
      <c r="TJE17" s="500"/>
      <c r="TJF17" s="500"/>
      <c r="TJG17" s="500"/>
      <c r="TJH17" s="500"/>
      <c r="TJI17" s="500"/>
      <c r="TJJ17" s="500"/>
      <c r="TJK17" s="500"/>
      <c r="TJL17" s="500"/>
      <c r="TJM17" s="500"/>
      <c r="TJN17" s="500"/>
      <c r="TJO17" s="500"/>
      <c r="TJP17" s="500"/>
      <c r="TJQ17" s="500"/>
      <c r="TJR17" s="500"/>
      <c r="TJS17" s="500"/>
      <c r="TJT17" s="500"/>
      <c r="TJU17" s="500"/>
      <c r="TJV17" s="500"/>
      <c r="TJW17" s="500"/>
      <c r="TJX17" s="500"/>
      <c r="TJY17" s="500"/>
      <c r="TJZ17" s="500"/>
      <c r="TKA17" s="500"/>
      <c r="TKB17" s="500"/>
      <c r="TKC17" s="500"/>
      <c r="TKD17" s="500"/>
      <c r="TKE17" s="500"/>
      <c r="TKF17" s="500"/>
      <c r="TKG17" s="500"/>
      <c r="TKH17" s="500"/>
      <c r="TKI17" s="500"/>
      <c r="TKJ17" s="500"/>
      <c r="TKK17" s="500"/>
      <c r="TKL17" s="500"/>
      <c r="TKM17" s="500"/>
      <c r="TKN17" s="500"/>
      <c r="TKO17" s="500"/>
      <c r="TKP17" s="500"/>
      <c r="TKQ17" s="500"/>
      <c r="TKR17" s="500"/>
      <c r="TKS17" s="500"/>
      <c r="TKT17" s="500"/>
      <c r="TKU17" s="500"/>
      <c r="TKV17" s="500"/>
      <c r="TKW17" s="500"/>
      <c r="TKX17" s="500"/>
      <c r="TKY17" s="500"/>
      <c r="TKZ17" s="500"/>
      <c r="TLA17" s="500"/>
      <c r="TLB17" s="500"/>
      <c r="TLC17" s="500"/>
      <c r="TLD17" s="500"/>
      <c r="TLE17" s="500"/>
      <c r="TLF17" s="500"/>
      <c r="TLG17" s="500"/>
      <c r="TLH17" s="500"/>
      <c r="TLI17" s="500"/>
      <c r="TLJ17" s="500"/>
      <c r="TLK17" s="500"/>
      <c r="TLL17" s="500"/>
      <c r="TLM17" s="500"/>
      <c r="TLN17" s="500"/>
      <c r="TLO17" s="500"/>
      <c r="TLP17" s="500"/>
      <c r="TLQ17" s="500"/>
      <c r="TLR17" s="500"/>
      <c r="TLS17" s="500"/>
      <c r="TLT17" s="500"/>
      <c r="TLU17" s="500"/>
      <c r="TLV17" s="500"/>
      <c r="TLW17" s="500"/>
      <c r="TLX17" s="500"/>
      <c r="TLY17" s="500"/>
      <c r="TLZ17" s="500"/>
      <c r="TMA17" s="500"/>
      <c r="TMB17" s="500"/>
      <c r="TMC17" s="500"/>
      <c r="TMD17" s="500"/>
      <c r="TME17" s="500"/>
      <c r="TMF17" s="500"/>
      <c r="TMG17" s="500"/>
      <c r="TMH17" s="500"/>
      <c r="TMI17" s="500"/>
      <c r="TMJ17" s="500"/>
      <c r="TMK17" s="500"/>
      <c r="TML17" s="500"/>
      <c r="TMM17" s="500"/>
      <c r="TMN17" s="500"/>
      <c r="TMO17" s="500"/>
      <c r="TMP17" s="500"/>
      <c r="TMQ17" s="500"/>
      <c r="TMR17" s="500"/>
      <c r="TMS17" s="500"/>
      <c r="TMT17" s="500"/>
      <c r="TMU17" s="500"/>
      <c r="TMV17" s="500"/>
      <c r="TMW17" s="500"/>
      <c r="TMX17" s="500"/>
      <c r="TMY17" s="500"/>
      <c r="TMZ17" s="500"/>
      <c r="TNA17" s="500"/>
      <c r="TNB17" s="500"/>
      <c r="TNC17" s="500"/>
      <c r="TND17" s="500"/>
      <c r="TNE17" s="500"/>
      <c r="TNF17" s="500"/>
      <c r="TNG17" s="500"/>
      <c r="TNH17" s="500"/>
      <c r="TNI17" s="500"/>
      <c r="TNJ17" s="500"/>
      <c r="TNK17" s="500"/>
      <c r="TNL17" s="500"/>
      <c r="TNM17" s="500"/>
      <c r="TNN17" s="500"/>
      <c r="TNO17" s="500"/>
      <c r="TNP17" s="500"/>
      <c r="TNQ17" s="500"/>
      <c r="TNR17" s="500"/>
      <c r="TNS17" s="500"/>
      <c r="TNT17" s="500"/>
      <c r="TNU17" s="500"/>
      <c r="TNV17" s="500"/>
      <c r="TNW17" s="500"/>
      <c r="TNX17" s="500"/>
      <c r="TNY17" s="500"/>
      <c r="TNZ17" s="500"/>
      <c r="TOA17" s="500"/>
      <c r="TOB17" s="500"/>
      <c r="TOC17" s="500"/>
      <c r="TOD17" s="500"/>
      <c r="TOE17" s="500"/>
      <c r="TOF17" s="500"/>
      <c r="TOG17" s="500"/>
      <c r="TOH17" s="500"/>
      <c r="TOI17" s="500"/>
      <c r="TOJ17" s="500"/>
      <c r="TOK17" s="500"/>
      <c r="TOL17" s="500"/>
      <c r="TOM17" s="500"/>
      <c r="TON17" s="500"/>
      <c r="TOO17" s="500"/>
      <c r="TOP17" s="500"/>
      <c r="TOQ17" s="500"/>
      <c r="TOR17" s="500"/>
      <c r="TOS17" s="500"/>
      <c r="TOT17" s="500"/>
      <c r="TOU17" s="500"/>
      <c r="TOV17" s="500"/>
      <c r="TOW17" s="500"/>
      <c r="TOX17" s="500"/>
      <c r="TOY17" s="500"/>
      <c r="TOZ17" s="500"/>
      <c r="TPA17" s="500"/>
      <c r="TPB17" s="500"/>
      <c r="TPC17" s="500"/>
      <c r="TPD17" s="500"/>
      <c r="TPE17" s="500"/>
      <c r="TPF17" s="500"/>
      <c r="TPG17" s="500"/>
      <c r="TPH17" s="500"/>
      <c r="TPI17" s="500"/>
      <c r="TPJ17" s="500"/>
      <c r="TPK17" s="500"/>
      <c r="TPL17" s="500"/>
      <c r="TPM17" s="500"/>
      <c r="TPN17" s="500"/>
      <c r="TPO17" s="500"/>
      <c r="TPP17" s="500"/>
      <c r="TPQ17" s="500"/>
      <c r="TPR17" s="500"/>
      <c r="TPS17" s="500"/>
      <c r="TPT17" s="500"/>
      <c r="TPU17" s="500"/>
      <c r="TPV17" s="500"/>
      <c r="TPW17" s="500"/>
      <c r="TPX17" s="500"/>
      <c r="TPY17" s="500"/>
      <c r="TPZ17" s="500"/>
      <c r="TQA17" s="500"/>
      <c r="TQB17" s="500"/>
      <c r="TQC17" s="500"/>
      <c r="TQD17" s="500"/>
      <c r="TQE17" s="500"/>
      <c r="TQF17" s="500"/>
      <c r="TQG17" s="500"/>
      <c r="TQH17" s="500"/>
      <c r="TQI17" s="500"/>
      <c r="TQJ17" s="500"/>
      <c r="TQK17" s="500"/>
      <c r="TQL17" s="500"/>
      <c r="TQM17" s="500"/>
      <c r="TQN17" s="500"/>
      <c r="TQO17" s="500"/>
      <c r="TQP17" s="500"/>
      <c r="TQQ17" s="500"/>
      <c r="TQR17" s="500"/>
      <c r="TQS17" s="500"/>
      <c r="TQT17" s="500"/>
      <c r="TQU17" s="500"/>
      <c r="TQV17" s="500"/>
      <c r="TQW17" s="500"/>
      <c r="TQX17" s="500"/>
      <c r="TQY17" s="500"/>
      <c r="TQZ17" s="500"/>
      <c r="TRA17" s="500"/>
      <c r="TRB17" s="500"/>
      <c r="TRC17" s="500"/>
      <c r="TRD17" s="500"/>
      <c r="TRE17" s="500"/>
      <c r="TRF17" s="500"/>
      <c r="TRG17" s="500"/>
      <c r="TRH17" s="500"/>
      <c r="TRI17" s="500"/>
      <c r="TRJ17" s="500"/>
      <c r="TRK17" s="500"/>
      <c r="TRL17" s="500"/>
      <c r="TRM17" s="500"/>
      <c r="TRN17" s="500"/>
      <c r="TRO17" s="500"/>
      <c r="TRP17" s="500"/>
      <c r="TRQ17" s="500"/>
      <c r="TRR17" s="500"/>
      <c r="TRS17" s="500"/>
      <c r="TRT17" s="500"/>
      <c r="TRU17" s="500"/>
      <c r="TRV17" s="500"/>
      <c r="TRW17" s="500"/>
      <c r="TRX17" s="500"/>
      <c r="TRY17" s="500"/>
      <c r="TRZ17" s="500"/>
      <c r="TSA17" s="500"/>
      <c r="TSB17" s="500"/>
      <c r="TSC17" s="500"/>
      <c r="TSD17" s="500"/>
      <c r="TSE17" s="500"/>
      <c r="TSF17" s="500"/>
      <c r="TSG17" s="500"/>
      <c r="TSH17" s="500"/>
      <c r="TSI17" s="500"/>
      <c r="TSJ17" s="500"/>
      <c r="TSK17" s="500"/>
      <c r="TSL17" s="500"/>
      <c r="TSM17" s="500"/>
      <c r="TSN17" s="500"/>
      <c r="TSO17" s="500"/>
      <c r="TSP17" s="500"/>
      <c r="TSQ17" s="500"/>
      <c r="TSR17" s="500"/>
      <c r="TSS17" s="500"/>
      <c r="TST17" s="500"/>
      <c r="TSU17" s="500"/>
      <c r="TSV17" s="500"/>
      <c r="TSW17" s="500"/>
      <c r="TSX17" s="500"/>
      <c r="TSY17" s="500"/>
      <c r="TSZ17" s="500"/>
      <c r="TTA17" s="500"/>
      <c r="TTB17" s="500"/>
      <c r="TTC17" s="500"/>
      <c r="TTD17" s="500"/>
      <c r="TTE17" s="500"/>
      <c r="TTF17" s="500"/>
      <c r="TTG17" s="500"/>
      <c r="TTH17" s="500"/>
      <c r="TTI17" s="500"/>
      <c r="TTJ17" s="500"/>
      <c r="TTK17" s="500"/>
      <c r="TTL17" s="500"/>
      <c r="TTM17" s="500"/>
      <c r="TTN17" s="500"/>
      <c r="TTO17" s="500"/>
      <c r="TTP17" s="500"/>
      <c r="TTQ17" s="500"/>
      <c r="TTR17" s="500"/>
      <c r="TTS17" s="500"/>
      <c r="TTT17" s="500"/>
      <c r="TTU17" s="500"/>
      <c r="TTV17" s="500"/>
      <c r="TTW17" s="500"/>
      <c r="TTX17" s="500"/>
      <c r="TTY17" s="500"/>
      <c r="TTZ17" s="500"/>
      <c r="TUA17" s="500"/>
      <c r="TUB17" s="500"/>
      <c r="TUC17" s="500"/>
      <c r="TUD17" s="500"/>
      <c r="TUE17" s="500"/>
      <c r="TUF17" s="500"/>
      <c r="TUG17" s="500"/>
      <c r="TUH17" s="500"/>
      <c r="TUI17" s="500"/>
      <c r="TUJ17" s="500"/>
      <c r="TUK17" s="500"/>
      <c r="TUL17" s="500"/>
      <c r="TUM17" s="500"/>
      <c r="TUN17" s="500"/>
      <c r="TUO17" s="500"/>
      <c r="TUP17" s="500"/>
      <c r="TUQ17" s="500"/>
      <c r="TUR17" s="500"/>
      <c r="TUS17" s="500"/>
      <c r="TUT17" s="500"/>
      <c r="TUU17" s="500"/>
      <c r="TUV17" s="500"/>
      <c r="TUW17" s="500"/>
      <c r="TUX17" s="500"/>
      <c r="TUY17" s="500"/>
      <c r="TUZ17" s="500"/>
      <c r="TVA17" s="500"/>
      <c r="TVB17" s="500"/>
      <c r="TVC17" s="500"/>
      <c r="TVD17" s="500"/>
      <c r="TVE17" s="500"/>
      <c r="TVF17" s="500"/>
      <c r="TVG17" s="500"/>
      <c r="TVH17" s="500"/>
      <c r="TVI17" s="500"/>
      <c r="TVJ17" s="500"/>
      <c r="TVK17" s="500"/>
      <c r="TVL17" s="500"/>
      <c r="TVM17" s="500"/>
      <c r="TVN17" s="500"/>
      <c r="TVO17" s="500"/>
      <c r="TVP17" s="500"/>
      <c r="TVQ17" s="500"/>
      <c r="TVR17" s="500"/>
      <c r="TVS17" s="500"/>
      <c r="TVT17" s="500"/>
      <c r="TVU17" s="500"/>
      <c r="TVV17" s="500"/>
      <c r="TVW17" s="500"/>
      <c r="TVX17" s="500"/>
      <c r="TVY17" s="500"/>
      <c r="TVZ17" s="500"/>
      <c r="TWA17" s="500"/>
      <c r="TWB17" s="500"/>
      <c r="TWC17" s="500"/>
      <c r="TWD17" s="500"/>
      <c r="TWE17" s="500"/>
      <c r="TWF17" s="500"/>
      <c r="TWG17" s="500"/>
      <c r="TWH17" s="500"/>
      <c r="TWI17" s="500"/>
      <c r="TWJ17" s="500"/>
      <c r="TWK17" s="500"/>
      <c r="TWL17" s="500"/>
      <c r="TWM17" s="500"/>
      <c r="TWN17" s="500"/>
      <c r="TWO17" s="500"/>
      <c r="TWP17" s="500"/>
      <c r="TWQ17" s="500"/>
      <c r="TWR17" s="500"/>
      <c r="TWS17" s="500"/>
      <c r="TWT17" s="500"/>
      <c r="TWU17" s="500"/>
      <c r="TWV17" s="500"/>
      <c r="TWW17" s="500"/>
      <c r="TWX17" s="500"/>
      <c r="TWY17" s="500"/>
      <c r="TWZ17" s="500"/>
      <c r="TXA17" s="500"/>
      <c r="TXB17" s="500"/>
      <c r="TXC17" s="500"/>
      <c r="TXD17" s="500"/>
      <c r="TXE17" s="500"/>
      <c r="TXF17" s="500"/>
      <c r="TXG17" s="500"/>
      <c r="TXH17" s="500"/>
      <c r="TXI17" s="500"/>
      <c r="TXJ17" s="500"/>
      <c r="TXK17" s="500"/>
      <c r="TXL17" s="500"/>
      <c r="TXM17" s="500"/>
      <c r="TXN17" s="500"/>
      <c r="TXO17" s="500"/>
      <c r="TXP17" s="500"/>
      <c r="TXQ17" s="500"/>
      <c r="TXR17" s="500"/>
      <c r="TXS17" s="500"/>
      <c r="TXT17" s="500"/>
      <c r="TXU17" s="500"/>
      <c r="TXV17" s="500"/>
      <c r="TXW17" s="500"/>
      <c r="TXX17" s="500"/>
      <c r="TXY17" s="500"/>
      <c r="TXZ17" s="500"/>
      <c r="TYA17" s="500"/>
      <c r="TYB17" s="500"/>
      <c r="TYC17" s="500"/>
      <c r="TYD17" s="500"/>
      <c r="TYE17" s="500"/>
      <c r="TYF17" s="500"/>
      <c r="TYG17" s="500"/>
      <c r="TYH17" s="500"/>
      <c r="TYI17" s="500"/>
      <c r="TYJ17" s="500"/>
      <c r="TYK17" s="500"/>
      <c r="TYL17" s="500"/>
      <c r="TYM17" s="500"/>
      <c r="TYN17" s="500"/>
      <c r="TYO17" s="500"/>
      <c r="TYP17" s="500"/>
      <c r="TYQ17" s="500"/>
      <c r="TYR17" s="500"/>
      <c r="TYS17" s="500"/>
      <c r="TYT17" s="500"/>
      <c r="TYU17" s="500"/>
      <c r="TYV17" s="500"/>
      <c r="TYW17" s="500"/>
      <c r="TYX17" s="500"/>
      <c r="TYY17" s="500"/>
      <c r="TYZ17" s="500"/>
      <c r="TZA17" s="500"/>
      <c r="TZB17" s="500"/>
      <c r="TZC17" s="500"/>
      <c r="TZD17" s="500"/>
      <c r="TZE17" s="500"/>
      <c r="TZF17" s="500"/>
      <c r="TZG17" s="500"/>
      <c r="TZH17" s="500"/>
      <c r="TZI17" s="500"/>
      <c r="TZJ17" s="500"/>
      <c r="TZK17" s="500"/>
      <c r="TZL17" s="500"/>
      <c r="TZM17" s="500"/>
      <c r="TZN17" s="500"/>
      <c r="TZO17" s="500"/>
      <c r="TZP17" s="500"/>
      <c r="TZQ17" s="500"/>
      <c r="TZR17" s="500"/>
      <c r="TZS17" s="500"/>
      <c r="TZT17" s="500"/>
      <c r="TZU17" s="500"/>
      <c r="TZV17" s="500"/>
      <c r="TZW17" s="500"/>
      <c r="TZX17" s="500"/>
      <c r="TZY17" s="500"/>
      <c r="TZZ17" s="500"/>
      <c r="UAA17" s="500"/>
      <c r="UAB17" s="500"/>
      <c r="UAC17" s="500"/>
      <c r="UAD17" s="500"/>
      <c r="UAE17" s="500"/>
      <c r="UAF17" s="500"/>
      <c r="UAG17" s="500"/>
      <c r="UAH17" s="500"/>
      <c r="UAI17" s="500"/>
      <c r="UAJ17" s="500"/>
      <c r="UAK17" s="500"/>
      <c r="UAL17" s="500"/>
      <c r="UAM17" s="500"/>
      <c r="UAN17" s="500"/>
      <c r="UAO17" s="500"/>
      <c r="UAP17" s="500"/>
      <c r="UAQ17" s="500"/>
      <c r="UAR17" s="500"/>
      <c r="UAS17" s="500"/>
      <c r="UAT17" s="500"/>
      <c r="UAU17" s="500"/>
      <c r="UAV17" s="500"/>
      <c r="UAW17" s="500"/>
      <c r="UAX17" s="500"/>
      <c r="UAY17" s="500"/>
      <c r="UAZ17" s="500"/>
      <c r="UBA17" s="500"/>
      <c r="UBB17" s="500"/>
      <c r="UBC17" s="500"/>
      <c r="UBD17" s="500"/>
      <c r="UBE17" s="500"/>
      <c r="UBF17" s="500"/>
      <c r="UBG17" s="500"/>
      <c r="UBH17" s="500"/>
      <c r="UBI17" s="500"/>
      <c r="UBJ17" s="500"/>
      <c r="UBK17" s="500"/>
      <c r="UBL17" s="500"/>
      <c r="UBM17" s="500"/>
      <c r="UBN17" s="500"/>
      <c r="UBO17" s="500"/>
      <c r="UBP17" s="500"/>
      <c r="UBQ17" s="500"/>
      <c r="UBR17" s="500"/>
      <c r="UBS17" s="500"/>
      <c r="UBT17" s="500"/>
      <c r="UBU17" s="500"/>
      <c r="UBV17" s="500"/>
      <c r="UBW17" s="500"/>
      <c r="UBX17" s="500"/>
      <c r="UBY17" s="500"/>
      <c r="UBZ17" s="500"/>
      <c r="UCA17" s="500"/>
      <c r="UCB17" s="500"/>
      <c r="UCC17" s="500"/>
      <c r="UCD17" s="500"/>
      <c r="UCE17" s="500"/>
      <c r="UCF17" s="500"/>
      <c r="UCG17" s="500"/>
      <c r="UCH17" s="500"/>
      <c r="UCI17" s="500"/>
      <c r="UCJ17" s="500"/>
      <c r="UCK17" s="500"/>
      <c r="UCL17" s="500"/>
      <c r="UCM17" s="500"/>
      <c r="UCN17" s="500"/>
      <c r="UCO17" s="500"/>
      <c r="UCP17" s="500"/>
      <c r="UCQ17" s="500"/>
      <c r="UCR17" s="500"/>
      <c r="UCS17" s="500"/>
      <c r="UCT17" s="500"/>
      <c r="UCU17" s="500"/>
      <c r="UCV17" s="500"/>
      <c r="UCW17" s="500"/>
      <c r="UCX17" s="500"/>
      <c r="UCY17" s="500"/>
      <c r="UCZ17" s="500"/>
      <c r="UDA17" s="500"/>
      <c r="UDB17" s="500"/>
      <c r="UDC17" s="500"/>
      <c r="UDD17" s="500"/>
      <c r="UDE17" s="500"/>
      <c r="UDF17" s="500"/>
      <c r="UDG17" s="500"/>
      <c r="UDH17" s="500"/>
      <c r="UDI17" s="500"/>
      <c r="UDJ17" s="500"/>
      <c r="UDK17" s="500"/>
      <c r="UDL17" s="500"/>
      <c r="UDM17" s="500"/>
      <c r="UDN17" s="500"/>
      <c r="UDO17" s="500"/>
      <c r="UDP17" s="500"/>
      <c r="UDQ17" s="500"/>
      <c r="UDR17" s="500"/>
      <c r="UDS17" s="500"/>
      <c r="UDT17" s="500"/>
      <c r="UDU17" s="500"/>
      <c r="UDV17" s="500"/>
      <c r="UDW17" s="500"/>
      <c r="UDX17" s="500"/>
      <c r="UDY17" s="500"/>
      <c r="UDZ17" s="500"/>
      <c r="UEA17" s="500"/>
      <c r="UEB17" s="500"/>
      <c r="UEC17" s="500"/>
      <c r="UED17" s="500"/>
      <c r="UEE17" s="500"/>
      <c r="UEF17" s="500"/>
      <c r="UEG17" s="500"/>
      <c r="UEH17" s="500"/>
      <c r="UEI17" s="500"/>
      <c r="UEJ17" s="500"/>
      <c r="UEK17" s="500"/>
      <c r="UEL17" s="500"/>
      <c r="UEM17" s="500"/>
      <c r="UEN17" s="500"/>
      <c r="UEO17" s="500"/>
      <c r="UEP17" s="500"/>
      <c r="UEQ17" s="500"/>
      <c r="UER17" s="500"/>
      <c r="UES17" s="500"/>
      <c r="UET17" s="500"/>
      <c r="UEU17" s="500"/>
      <c r="UEV17" s="500"/>
      <c r="UEW17" s="500"/>
      <c r="UEX17" s="500"/>
      <c r="UEY17" s="500"/>
      <c r="UEZ17" s="500"/>
      <c r="UFA17" s="500"/>
      <c r="UFB17" s="500"/>
      <c r="UFC17" s="500"/>
      <c r="UFD17" s="500"/>
      <c r="UFE17" s="500"/>
      <c r="UFF17" s="500"/>
      <c r="UFG17" s="500"/>
      <c r="UFH17" s="500"/>
      <c r="UFI17" s="500"/>
      <c r="UFJ17" s="500"/>
      <c r="UFK17" s="500"/>
      <c r="UFL17" s="500"/>
      <c r="UFM17" s="500"/>
      <c r="UFN17" s="500"/>
      <c r="UFO17" s="500"/>
      <c r="UFP17" s="500"/>
      <c r="UFQ17" s="500"/>
      <c r="UFR17" s="500"/>
      <c r="UFS17" s="500"/>
      <c r="UFT17" s="500"/>
      <c r="UFU17" s="500"/>
      <c r="UFV17" s="500"/>
      <c r="UFW17" s="500"/>
      <c r="UFX17" s="500"/>
      <c r="UFY17" s="500"/>
      <c r="UFZ17" s="500"/>
      <c r="UGA17" s="500"/>
      <c r="UGB17" s="500"/>
      <c r="UGC17" s="500"/>
      <c r="UGD17" s="500"/>
      <c r="UGE17" s="500"/>
      <c r="UGF17" s="500"/>
      <c r="UGG17" s="500"/>
      <c r="UGH17" s="500"/>
      <c r="UGI17" s="500"/>
      <c r="UGJ17" s="500"/>
      <c r="UGK17" s="500"/>
      <c r="UGL17" s="500"/>
      <c r="UGM17" s="500"/>
      <c r="UGN17" s="500"/>
      <c r="UGO17" s="500"/>
      <c r="UGP17" s="500"/>
      <c r="UGQ17" s="500"/>
      <c r="UGR17" s="500"/>
      <c r="UGS17" s="500"/>
      <c r="UGT17" s="500"/>
      <c r="UGU17" s="500"/>
      <c r="UGV17" s="500"/>
      <c r="UGW17" s="500"/>
      <c r="UGX17" s="500"/>
      <c r="UGY17" s="500"/>
      <c r="UGZ17" s="500"/>
      <c r="UHA17" s="500"/>
      <c r="UHB17" s="500"/>
      <c r="UHC17" s="500"/>
      <c r="UHD17" s="500"/>
      <c r="UHE17" s="500"/>
      <c r="UHF17" s="500"/>
      <c r="UHG17" s="500"/>
      <c r="UHH17" s="500"/>
      <c r="UHI17" s="500"/>
      <c r="UHJ17" s="500"/>
      <c r="UHK17" s="500"/>
      <c r="UHL17" s="500"/>
      <c r="UHM17" s="500"/>
      <c r="UHN17" s="500"/>
      <c r="UHO17" s="500"/>
      <c r="UHP17" s="500"/>
      <c r="UHQ17" s="500"/>
      <c r="UHR17" s="500"/>
      <c r="UHS17" s="500"/>
      <c r="UHT17" s="500"/>
      <c r="UHU17" s="500"/>
      <c r="UHV17" s="500"/>
      <c r="UHW17" s="500"/>
      <c r="UHX17" s="500"/>
      <c r="UHY17" s="500"/>
      <c r="UHZ17" s="500"/>
      <c r="UIA17" s="500"/>
      <c r="UIB17" s="500"/>
      <c r="UIC17" s="500"/>
      <c r="UID17" s="500"/>
      <c r="UIE17" s="500"/>
      <c r="UIF17" s="500"/>
      <c r="UIG17" s="500"/>
      <c r="UIH17" s="500"/>
      <c r="UII17" s="500"/>
      <c r="UIJ17" s="500"/>
      <c r="UIK17" s="500"/>
      <c r="UIL17" s="500"/>
      <c r="UIM17" s="500"/>
      <c r="UIN17" s="500"/>
      <c r="UIO17" s="500"/>
      <c r="UIP17" s="500"/>
      <c r="UIQ17" s="500"/>
      <c r="UIR17" s="500"/>
      <c r="UIS17" s="500"/>
      <c r="UIT17" s="500"/>
      <c r="UIU17" s="500"/>
      <c r="UIV17" s="500"/>
      <c r="UIW17" s="500"/>
      <c r="UIX17" s="500"/>
      <c r="UIY17" s="500"/>
      <c r="UIZ17" s="500"/>
      <c r="UJA17" s="500"/>
      <c r="UJB17" s="500"/>
      <c r="UJC17" s="500"/>
      <c r="UJD17" s="500"/>
      <c r="UJE17" s="500"/>
      <c r="UJF17" s="500"/>
      <c r="UJG17" s="500"/>
      <c r="UJH17" s="500"/>
      <c r="UJI17" s="500"/>
      <c r="UJJ17" s="500"/>
      <c r="UJK17" s="500"/>
      <c r="UJL17" s="500"/>
      <c r="UJM17" s="500"/>
      <c r="UJN17" s="500"/>
      <c r="UJO17" s="500"/>
      <c r="UJP17" s="500"/>
      <c r="UJQ17" s="500"/>
      <c r="UJR17" s="500"/>
      <c r="UJS17" s="500"/>
      <c r="UJT17" s="500"/>
      <c r="UJU17" s="500"/>
      <c r="UJV17" s="500"/>
      <c r="UJW17" s="500"/>
      <c r="UJX17" s="500"/>
      <c r="UJY17" s="500"/>
      <c r="UJZ17" s="500"/>
      <c r="UKA17" s="500"/>
      <c r="UKB17" s="500"/>
      <c r="UKC17" s="500"/>
      <c r="UKD17" s="500"/>
      <c r="UKE17" s="500"/>
      <c r="UKF17" s="500"/>
      <c r="UKG17" s="500"/>
      <c r="UKH17" s="500"/>
      <c r="UKI17" s="500"/>
      <c r="UKJ17" s="500"/>
      <c r="UKK17" s="500"/>
      <c r="UKL17" s="500"/>
      <c r="UKM17" s="500"/>
      <c r="UKN17" s="500"/>
      <c r="UKO17" s="500"/>
      <c r="UKP17" s="500"/>
      <c r="UKQ17" s="500"/>
      <c r="UKR17" s="500"/>
      <c r="UKS17" s="500"/>
      <c r="UKT17" s="500"/>
      <c r="UKU17" s="500"/>
      <c r="UKV17" s="500"/>
      <c r="UKW17" s="500"/>
      <c r="UKX17" s="500"/>
      <c r="UKY17" s="500"/>
      <c r="UKZ17" s="500"/>
      <c r="ULA17" s="500"/>
      <c r="ULB17" s="500"/>
      <c r="ULC17" s="500"/>
      <c r="ULD17" s="500"/>
      <c r="ULE17" s="500"/>
      <c r="ULF17" s="500"/>
      <c r="ULG17" s="500"/>
      <c r="ULH17" s="500"/>
      <c r="ULI17" s="500"/>
      <c r="ULJ17" s="500"/>
      <c r="ULK17" s="500"/>
      <c r="ULL17" s="500"/>
      <c r="ULM17" s="500"/>
      <c r="ULN17" s="500"/>
      <c r="ULO17" s="500"/>
      <c r="ULP17" s="500"/>
      <c r="ULQ17" s="500"/>
      <c r="ULR17" s="500"/>
      <c r="ULS17" s="500"/>
      <c r="ULT17" s="500"/>
      <c r="ULU17" s="500"/>
      <c r="ULV17" s="500"/>
      <c r="ULW17" s="500"/>
      <c r="ULX17" s="500"/>
      <c r="ULY17" s="500"/>
      <c r="ULZ17" s="500"/>
      <c r="UMA17" s="500"/>
      <c r="UMB17" s="500"/>
      <c r="UMC17" s="500"/>
      <c r="UMD17" s="500"/>
      <c r="UME17" s="500"/>
      <c r="UMF17" s="500"/>
      <c r="UMG17" s="500"/>
      <c r="UMH17" s="500"/>
      <c r="UMI17" s="500"/>
      <c r="UMJ17" s="500"/>
      <c r="UMK17" s="500"/>
      <c r="UML17" s="500"/>
      <c r="UMM17" s="500"/>
      <c r="UMN17" s="500"/>
      <c r="UMO17" s="500"/>
      <c r="UMP17" s="500"/>
      <c r="UMQ17" s="500"/>
      <c r="UMR17" s="500"/>
      <c r="UMS17" s="500"/>
      <c r="UMT17" s="500"/>
      <c r="UMU17" s="500"/>
      <c r="UMV17" s="500"/>
      <c r="UMW17" s="500"/>
      <c r="UMX17" s="500"/>
      <c r="UMY17" s="500"/>
      <c r="UMZ17" s="500"/>
      <c r="UNA17" s="500"/>
      <c r="UNB17" s="500"/>
      <c r="UNC17" s="500"/>
      <c r="UND17" s="500"/>
      <c r="UNE17" s="500"/>
      <c r="UNF17" s="500"/>
      <c r="UNG17" s="500"/>
      <c r="UNH17" s="500"/>
      <c r="UNI17" s="500"/>
      <c r="UNJ17" s="500"/>
      <c r="UNK17" s="500"/>
      <c r="UNL17" s="500"/>
      <c r="UNM17" s="500"/>
      <c r="UNN17" s="500"/>
      <c r="UNO17" s="500"/>
      <c r="UNP17" s="500"/>
      <c r="UNQ17" s="500"/>
      <c r="UNR17" s="500"/>
      <c r="UNS17" s="500"/>
      <c r="UNT17" s="500"/>
      <c r="UNU17" s="500"/>
      <c r="UNV17" s="500"/>
      <c r="UNW17" s="500"/>
      <c r="UNX17" s="500"/>
      <c r="UNY17" s="500"/>
      <c r="UNZ17" s="500"/>
      <c r="UOA17" s="500"/>
      <c r="UOB17" s="500"/>
      <c r="UOC17" s="500"/>
      <c r="UOD17" s="500"/>
      <c r="UOE17" s="500"/>
      <c r="UOF17" s="500"/>
      <c r="UOG17" s="500"/>
      <c r="UOH17" s="500"/>
      <c r="UOI17" s="500"/>
      <c r="UOJ17" s="500"/>
      <c r="UOK17" s="500"/>
      <c r="UOL17" s="500"/>
      <c r="UOM17" s="500"/>
      <c r="UON17" s="500"/>
      <c r="UOO17" s="500"/>
      <c r="UOP17" s="500"/>
      <c r="UOQ17" s="500"/>
      <c r="UOR17" s="500"/>
      <c r="UOS17" s="500"/>
      <c r="UOT17" s="500"/>
      <c r="UOU17" s="500"/>
      <c r="UOV17" s="500"/>
      <c r="UOW17" s="500"/>
      <c r="UOX17" s="500"/>
      <c r="UOY17" s="500"/>
      <c r="UOZ17" s="500"/>
      <c r="UPA17" s="500"/>
      <c r="UPB17" s="500"/>
      <c r="UPC17" s="500"/>
      <c r="UPD17" s="500"/>
      <c r="UPE17" s="500"/>
      <c r="UPF17" s="500"/>
      <c r="UPG17" s="500"/>
      <c r="UPH17" s="500"/>
      <c r="UPI17" s="500"/>
      <c r="UPJ17" s="500"/>
      <c r="UPK17" s="500"/>
      <c r="UPL17" s="500"/>
      <c r="UPM17" s="500"/>
      <c r="UPN17" s="500"/>
      <c r="UPO17" s="500"/>
      <c r="UPP17" s="500"/>
      <c r="UPQ17" s="500"/>
      <c r="UPR17" s="500"/>
      <c r="UPS17" s="500"/>
      <c r="UPT17" s="500"/>
      <c r="UPU17" s="500"/>
      <c r="UPV17" s="500"/>
      <c r="UPW17" s="500"/>
      <c r="UPX17" s="500"/>
      <c r="UPY17" s="500"/>
      <c r="UPZ17" s="500"/>
      <c r="UQA17" s="500"/>
      <c r="UQB17" s="500"/>
      <c r="UQC17" s="500"/>
      <c r="UQD17" s="500"/>
      <c r="UQE17" s="500"/>
      <c r="UQF17" s="500"/>
      <c r="UQG17" s="500"/>
      <c r="UQH17" s="500"/>
      <c r="UQI17" s="500"/>
      <c r="UQJ17" s="500"/>
      <c r="UQK17" s="500"/>
      <c r="UQL17" s="500"/>
      <c r="UQM17" s="500"/>
      <c r="UQN17" s="500"/>
      <c r="UQO17" s="500"/>
      <c r="UQP17" s="500"/>
      <c r="UQQ17" s="500"/>
      <c r="UQR17" s="500"/>
      <c r="UQS17" s="500"/>
      <c r="UQT17" s="500"/>
      <c r="UQU17" s="500"/>
      <c r="UQV17" s="500"/>
      <c r="UQW17" s="500"/>
      <c r="UQX17" s="500"/>
      <c r="UQY17" s="500"/>
      <c r="UQZ17" s="500"/>
      <c r="URA17" s="500"/>
      <c r="URB17" s="500"/>
      <c r="URC17" s="500"/>
      <c r="URD17" s="500"/>
      <c r="URE17" s="500"/>
      <c r="URF17" s="500"/>
      <c r="URG17" s="500"/>
      <c r="URH17" s="500"/>
      <c r="URI17" s="500"/>
      <c r="URJ17" s="500"/>
      <c r="URK17" s="500"/>
      <c r="URL17" s="500"/>
      <c r="URM17" s="500"/>
      <c r="URN17" s="500"/>
      <c r="URO17" s="500"/>
      <c r="URP17" s="500"/>
      <c r="URQ17" s="500"/>
      <c r="URR17" s="500"/>
      <c r="URS17" s="500"/>
      <c r="URT17" s="500"/>
      <c r="URU17" s="500"/>
      <c r="URV17" s="500"/>
      <c r="URW17" s="500"/>
      <c r="URX17" s="500"/>
      <c r="URY17" s="500"/>
      <c r="URZ17" s="500"/>
      <c r="USA17" s="500"/>
      <c r="USB17" s="500"/>
      <c r="USC17" s="500"/>
      <c r="USD17" s="500"/>
      <c r="USE17" s="500"/>
      <c r="USF17" s="500"/>
      <c r="USG17" s="500"/>
      <c r="USH17" s="500"/>
      <c r="USI17" s="500"/>
      <c r="USJ17" s="500"/>
      <c r="USK17" s="500"/>
      <c r="USL17" s="500"/>
      <c r="USM17" s="500"/>
      <c r="USN17" s="500"/>
      <c r="USO17" s="500"/>
      <c r="USP17" s="500"/>
      <c r="USQ17" s="500"/>
      <c r="USR17" s="500"/>
      <c r="USS17" s="500"/>
      <c r="UST17" s="500"/>
      <c r="USU17" s="500"/>
      <c r="USV17" s="500"/>
      <c r="USW17" s="500"/>
      <c r="USX17" s="500"/>
      <c r="USY17" s="500"/>
      <c r="USZ17" s="500"/>
      <c r="UTA17" s="500"/>
      <c r="UTB17" s="500"/>
      <c r="UTC17" s="500"/>
      <c r="UTD17" s="500"/>
      <c r="UTE17" s="500"/>
      <c r="UTF17" s="500"/>
      <c r="UTG17" s="500"/>
      <c r="UTH17" s="500"/>
      <c r="UTI17" s="500"/>
      <c r="UTJ17" s="500"/>
      <c r="UTK17" s="500"/>
      <c r="UTL17" s="500"/>
      <c r="UTM17" s="500"/>
      <c r="UTN17" s="500"/>
      <c r="UTO17" s="500"/>
      <c r="UTP17" s="500"/>
      <c r="UTQ17" s="500"/>
      <c r="UTR17" s="500"/>
      <c r="UTS17" s="500"/>
      <c r="UTT17" s="500"/>
      <c r="UTU17" s="500"/>
      <c r="UTV17" s="500"/>
      <c r="UTW17" s="500"/>
      <c r="UTX17" s="500"/>
      <c r="UTY17" s="500"/>
      <c r="UTZ17" s="500"/>
      <c r="UUA17" s="500"/>
      <c r="UUB17" s="500"/>
      <c r="UUC17" s="500"/>
      <c r="UUD17" s="500"/>
      <c r="UUE17" s="500"/>
      <c r="UUF17" s="500"/>
      <c r="UUG17" s="500"/>
      <c r="UUH17" s="500"/>
      <c r="UUI17" s="500"/>
      <c r="UUJ17" s="500"/>
      <c r="UUK17" s="500"/>
      <c r="UUL17" s="500"/>
      <c r="UUM17" s="500"/>
      <c r="UUN17" s="500"/>
      <c r="UUO17" s="500"/>
      <c r="UUP17" s="500"/>
      <c r="UUQ17" s="500"/>
      <c r="UUR17" s="500"/>
      <c r="UUS17" s="500"/>
      <c r="UUT17" s="500"/>
      <c r="UUU17" s="500"/>
      <c r="UUV17" s="500"/>
      <c r="UUW17" s="500"/>
      <c r="UUX17" s="500"/>
      <c r="UUY17" s="500"/>
      <c r="UUZ17" s="500"/>
      <c r="UVA17" s="500"/>
      <c r="UVB17" s="500"/>
      <c r="UVC17" s="500"/>
      <c r="UVD17" s="500"/>
      <c r="UVE17" s="500"/>
      <c r="UVF17" s="500"/>
      <c r="UVG17" s="500"/>
      <c r="UVH17" s="500"/>
      <c r="UVI17" s="500"/>
      <c r="UVJ17" s="500"/>
      <c r="UVK17" s="500"/>
      <c r="UVL17" s="500"/>
      <c r="UVM17" s="500"/>
      <c r="UVN17" s="500"/>
      <c r="UVO17" s="500"/>
      <c r="UVP17" s="500"/>
      <c r="UVQ17" s="500"/>
      <c r="UVR17" s="500"/>
      <c r="UVS17" s="500"/>
      <c r="UVT17" s="500"/>
      <c r="UVU17" s="500"/>
      <c r="UVV17" s="500"/>
      <c r="UVW17" s="500"/>
      <c r="UVX17" s="500"/>
      <c r="UVY17" s="500"/>
      <c r="UVZ17" s="500"/>
      <c r="UWA17" s="500"/>
      <c r="UWB17" s="500"/>
      <c r="UWC17" s="500"/>
      <c r="UWD17" s="500"/>
      <c r="UWE17" s="500"/>
      <c r="UWF17" s="500"/>
      <c r="UWG17" s="500"/>
      <c r="UWH17" s="500"/>
      <c r="UWI17" s="500"/>
      <c r="UWJ17" s="500"/>
      <c r="UWK17" s="500"/>
      <c r="UWL17" s="500"/>
      <c r="UWM17" s="500"/>
      <c r="UWN17" s="500"/>
      <c r="UWO17" s="500"/>
      <c r="UWP17" s="500"/>
      <c r="UWQ17" s="500"/>
      <c r="UWR17" s="500"/>
      <c r="UWS17" s="500"/>
      <c r="UWT17" s="500"/>
      <c r="UWU17" s="500"/>
      <c r="UWV17" s="500"/>
      <c r="UWW17" s="500"/>
      <c r="UWX17" s="500"/>
      <c r="UWY17" s="500"/>
      <c r="UWZ17" s="500"/>
      <c r="UXA17" s="500"/>
      <c r="UXB17" s="500"/>
      <c r="UXC17" s="500"/>
      <c r="UXD17" s="500"/>
      <c r="UXE17" s="500"/>
      <c r="UXF17" s="500"/>
      <c r="UXG17" s="500"/>
      <c r="UXH17" s="500"/>
      <c r="UXI17" s="500"/>
      <c r="UXJ17" s="500"/>
      <c r="UXK17" s="500"/>
      <c r="UXL17" s="500"/>
      <c r="UXM17" s="500"/>
      <c r="UXN17" s="500"/>
      <c r="UXO17" s="500"/>
      <c r="UXP17" s="500"/>
      <c r="UXQ17" s="500"/>
      <c r="UXR17" s="500"/>
      <c r="UXS17" s="500"/>
      <c r="UXT17" s="500"/>
      <c r="UXU17" s="500"/>
      <c r="UXV17" s="500"/>
      <c r="UXW17" s="500"/>
      <c r="UXX17" s="500"/>
      <c r="UXY17" s="500"/>
      <c r="UXZ17" s="500"/>
      <c r="UYA17" s="500"/>
      <c r="UYB17" s="500"/>
      <c r="UYC17" s="500"/>
      <c r="UYD17" s="500"/>
      <c r="UYE17" s="500"/>
      <c r="UYF17" s="500"/>
      <c r="UYG17" s="500"/>
      <c r="UYH17" s="500"/>
      <c r="UYI17" s="500"/>
      <c r="UYJ17" s="500"/>
      <c r="UYK17" s="500"/>
      <c r="UYL17" s="500"/>
      <c r="UYM17" s="500"/>
      <c r="UYN17" s="500"/>
      <c r="UYO17" s="500"/>
      <c r="UYP17" s="500"/>
      <c r="UYQ17" s="500"/>
      <c r="UYR17" s="500"/>
      <c r="UYS17" s="500"/>
      <c r="UYT17" s="500"/>
      <c r="UYU17" s="500"/>
      <c r="UYV17" s="500"/>
      <c r="UYW17" s="500"/>
      <c r="UYX17" s="500"/>
      <c r="UYY17" s="500"/>
      <c r="UYZ17" s="500"/>
      <c r="UZA17" s="500"/>
      <c r="UZB17" s="500"/>
      <c r="UZC17" s="500"/>
      <c r="UZD17" s="500"/>
      <c r="UZE17" s="500"/>
      <c r="UZF17" s="500"/>
      <c r="UZG17" s="500"/>
      <c r="UZH17" s="500"/>
      <c r="UZI17" s="500"/>
      <c r="UZJ17" s="500"/>
      <c r="UZK17" s="500"/>
      <c r="UZL17" s="500"/>
      <c r="UZM17" s="500"/>
      <c r="UZN17" s="500"/>
      <c r="UZO17" s="500"/>
      <c r="UZP17" s="500"/>
      <c r="UZQ17" s="500"/>
      <c r="UZR17" s="500"/>
      <c r="UZS17" s="500"/>
      <c r="UZT17" s="500"/>
      <c r="UZU17" s="500"/>
      <c r="UZV17" s="500"/>
      <c r="UZW17" s="500"/>
      <c r="UZX17" s="500"/>
      <c r="UZY17" s="500"/>
      <c r="UZZ17" s="500"/>
      <c r="VAA17" s="500"/>
      <c r="VAB17" s="500"/>
      <c r="VAC17" s="500"/>
      <c r="VAD17" s="500"/>
      <c r="VAE17" s="500"/>
      <c r="VAF17" s="500"/>
      <c r="VAG17" s="500"/>
      <c r="VAH17" s="500"/>
      <c r="VAI17" s="500"/>
      <c r="VAJ17" s="500"/>
      <c r="VAK17" s="500"/>
      <c r="VAL17" s="500"/>
      <c r="VAM17" s="500"/>
      <c r="VAN17" s="500"/>
      <c r="VAO17" s="500"/>
      <c r="VAP17" s="500"/>
      <c r="VAQ17" s="500"/>
      <c r="VAR17" s="500"/>
      <c r="VAS17" s="500"/>
      <c r="VAT17" s="500"/>
      <c r="VAU17" s="500"/>
      <c r="VAV17" s="500"/>
      <c r="VAW17" s="500"/>
      <c r="VAX17" s="500"/>
      <c r="VAY17" s="500"/>
      <c r="VAZ17" s="500"/>
      <c r="VBA17" s="500"/>
      <c r="VBB17" s="500"/>
      <c r="VBC17" s="500"/>
      <c r="VBD17" s="500"/>
      <c r="VBE17" s="500"/>
      <c r="VBF17" s="500"/>
      <c r="VBG17" s="500"/>
      <c r="VBH17" s="500"/>
      <c r="VBI17" s="500"/>
      <c r="VBJ17" s="500"/>
      <c r="VBK17" s="500"/>
      <c r="VBL17" s="500"/>
      <c r="VBM17" s="500"/>
      <c r="VBN17" s="500"/>
      <c r="VBO17" s="500"/>
      <c r="VBP17" s="500"/>
      <c r="VBQ17" s="500"/>
      <c r="VBR17" s="500"/>
      <c r="VBS17" s="500"/>
      <c r="VBT17" s="500"/>
      <c r="VBU17" s="500"/>
      <c r="VBV17" s="500"/>
      <c r="VBW17" s="500"/>
      <c r="VBX17" s="500"/>
      <c r="VBY17" s="500"/>
      <c r="VBZ17" s="500"/>
      <c r="VCA17" s="500"/>
      <c r="VCB17" s="500"/>
      <c r="VCC17" s="500"/>
      <c r="VCD17" s="500"/>
      <c r="VCE17" s="500"/>
      <c r="VCF17" s="500"/>
      <c r="VCG17" s="500"/>
      <c r="VCH17" s="500"/>
      <c r="VCI17" s="500"/>
      <c r="VCJ17" s="500"/>
      <c r="VCK17" s="500"/>
      <c r="VCL17" s="500"/>
      <c r="VCM17" s="500"/>
      <c r="VCN17" s="500"/>
      <c r="VCO17" s="500"/>
      <c r="VCP17" s="500"/>
      <c r="VCQ17" s="500"/>
      <c r="VCR17" s="500"/>
      <c r="VCS17" s="500"/>
      <c r="VCT17" s="500"/>
      <c r="VCU17" s="500"/>
      <c r="VCV17" s="500"/>
      <c r="VCW17" s="500"/>
      <c r="VCX17" s="500"/>
      <c r="VCY17" s="500"/>
      <c r="VCZ17" s="500"/>
      <c r="VDA17" s="500"/>
      <c r="VDB17" s="500"/>
      <c r="VDC17" s="500"/>
      <c r="VDD17" s="500"/>
      <c r="VDE17" s="500"/>
      <c r="VDF17" s="500"/>
      <c r="VDG17" s="500"/>
      <c r="VDH17" s="500"/>
      <c r="VDI17" s="500"/>
      <c r="VDJ17" s="500"/>
      <c r="VDK17" s="500"/>
      <c r="VDL17" s="500"/>
      <c r="VDM17" s="500"/>
      <c r="VDN17" s="500"/>
      <c r="VDO17" s="500"/>
      <c r="VDP17" s="500"/>
      <c r="VDQ17" s="500"/>
      <c r="VDR17" s="500"/>
      <c r="VDS17" s="500"/>
      <c r="VDT17" s="500"/>
      <c r="VDU17" s="500"/>
      <c r="VDV17" s="500"/>
      <c r="VDW17" s="500"/>
      <c r="VDX17" s="500"/>
      <c r="VDY17" s="500"/>
      <c r="VDZ17" s="500"/>
      <c r="VEA17" s="500"/>
      <c r="VEB17" s="500"/>
      <c r="VEC17" s="500"/>
      <c r="VED17" s="500"/>
      <c r="VEE17" s="500"/>
      <c r="VEF17" s="500"/>
      <c r="VEG17" s="500"/>
      <c r="VEH17" s="500"/>
      <c r="VEI17" s="500"/>
      <c r="VEJ17" s="500"/>
      <c r="VEK17" s="500"/>
      <c r="VEL17" s="500"/>
      <c r="VEM17" s="500"/>
      <c r="VEN17" s="500"/>
      <c r="VEO17" s="500"/>
      <c r="VEP17" s="500"/>
      <c r="VEQ17" s="500"/>
      <c r="VER17" s="500"/>
      <c r="VES17" s="500"/>
      <c r="VET17" s="500"/>
      <c r="VEU17" s="500"/>
      <c r="VEV17" s="500"/>
      <c r="VEW17" s="500"/>
      <c r="VEX17" s="500"/>
      <c r="VEY17" s="500"/>
      <c r="VEZ17" s="500"/>
      <c r="VFA17" s="500"/>
      <c r="VFB17" s="500"/>
      <c r="VFC17" s="500"/>
      <c r="VFD17" s="500"/>
      <c r="VFE17" s="500"/>
      <c r="VFF17" s="500"/>
      <c r="VFG17" s="500"/>
      <c r="VFH17" s="500"/>
      <c r="VFI17" s="500"/>
      <c r="VFJ17" s="500"/>
      <c r="VFK17" s="500"/>
      <c r="VFL17" s="500"/>
      <c r="VFM17" s="500"/>
      <c r="VFN17" s="500"/>
      <c r="VFO17" s="500"/>
      <c r="VFP17" s="500"/>
      <c r="VFQ17" s="500"/>
      <c r="VFR17" s="500"/>
      <c r="VFS17" s="500"/>
      <c r="VFT17" s="500"/>
      <c r="VFU17" s="500"/>
      <c r="VFV17" s="500"/>
      <c r="VFW17" s="500"/>
      <c r="VFX17" s="500"/>
      <c r="VFY17" s="500"/>
      <c r="VFZ17" s="500"/>
      <c r="VGA17" s="500"/>
      <c r="VGB17" s="500"/>
      <c r="VGC17" s="500"/>
      <c r="VGD17" s="500"/>
      <c r="VGE17" s="500"/>
      <c r="VGF17" s="500"/>
      <c r="VGG17" s="500"/>
      <c r="VGH17" s="500"/>
      <c r="VGI17" s="500"/>
      <c r="VGJ17" s="500"/>
      <c r="VGK17" s="500"/>
      <c r="VGL17" s="500"/>
      <c r="VGM17" s="500"/>
      <c r="VGN17" s="500"/>
      <c r="VGO17" s="500"/>
      <c r="VGP17" s="500"/>
      <c r="VGQ17" s="500"/>
      <c r="VGR17" s="500"/>
      <c r="VGS17" s="500"/>
      <c r="VGT17" s="500"/>
      <c r="VGU17" s="500"/>
      <c r="VGV17" s="500"/>
      <c r="VGW17" s="500"/>
      <c r="VGX17" s="500"/>
      <c r="VGY17" s="500"/>
      <c r="VGZ17" s="500"/>
      <c r="VHA17" s="500"/>
      <c r="VHB17" s="500"/>
      <c r="VHC17" s="500"/>
      <c r="VHD17" s="500"/>
      <c r="VHE17" s="500"/>
      <c r="VHF17" s="500"/>
      <c r="VHG17" s="500"/>
      <c r="VHH17" s="500"/>
      <c r="VHI17" s="500"/>
      <c r="VHJ17" s="500"/>
      <c r="VHK17" s="500"/>
      <c r="VHL17" s="500"/>
      <c r="VHM17" s="500"/>
      <c r="VHN17" s="500"/>
      <c r="VHO17" s="500"/>
      <c r="VHP17" s="500"/>
      <c r="VHQ17" s="500"/>
      <c r="VHR17" s="500"/>
      <c r="VHS17" s="500"/>
      <c r="VHT17" s="500"/>
      <c r="VHU17" s="500"/>
      <c r="VHV17" s="500"/>
      <c r="VHW17" s="500"/>
      <c r="VHX17" s="500"/>
      <c r="VHY17" s="500"/>
      <c r="VHZ17" s="500"/>
      <c r="VIA17" s="500"/>
      <c r="VIB17" s="500"/>
      <c r="VIC17" s="500"/>
      <c r="VID17" s="500"/>
      <c r="VIE17" s="500"/>
      <c r="VIF17" s="500"/>
      <c r="VIG17" s="500"/>
      <c r="VIH17" s="500"/>
      <c r="VII17" s="500"/>
      <c r="VIJ17" s="500"/>
      <c r="VIK17" s="500"/>
      <c r="VIL17" s="500"/>
      <c r="VIM17" s="500"/>
      <c r="VIN17" s="500"/>
      <c r="VIO17" s="500"/>
      <c r="VIP17" s="500"/>
      <c r="VIQ17" s="500"/>
      <c r="VIR17" s="500"/>
      <c r="VIS17" s="500"/>
      <c r="VIT17" s="500"/>
      <c r="VIU17" s="500"/>
      <c r="VIV17" s="500"/>
      <c r="VIW17" s="500"/>
      <c r="VIX17" s="500"/>
      <c r="VIY17" s="500"/>
      <c r="VIZ17" s="500"/>
      <c r="VJA17" s="500"/>
      <c r="VJB17" s="500"/>
      <c r="VJC17" s="500"/>
      <c r="VJD17" s="500"/>
      <c r="VJE17" s="500"/>
      <c r="VJF17" s="500"/>
      <c r="VJG17" s="500"/>
      <c r="VJH17" s="500"/>
      <c r="VJI17" s="500"/>
      <c r="VJJ17" s="500"/>
      <c r="VJK17" s="500"/>
      <c r="VJL17" s="500"/>
      <c r="VJM17" s="500"/>
      <c r="VJN17" s="500"/>
      <c r="VJO17" s="500"/>
      <c r="VJP17" s="500"/>
      <c r="VJQ17" s="500"/>
      <c r="VJR17" s="500"/>
      <c r="VJS17" s="500"/>
      <c r="VJT17" s="500"/>
      <c r="VJU17" s="500"/>
      <c r="VJV17" s="500"/>
      <c r="VJW17" s="500"/>
      <c r="VJX17" s="500"/>
      <c r="VJY17" s="500"/>
      <c r="VJZ17" s="500"/>
      <c r="VKA17" s="500"/>
      <c r="VKB17" s="500"/>
      <c r="VKC17" s="500"/>
      <c r="VKD17" s="500"/>
      <c r="VKE17" s="500"/>
      <c r="VKF17" s="500"/>
      <c r="VKG17" s="500"/>
      <c r="VKH17" s="500"/>
      <c r="VKI17" s="500"/>
      <c r="VKJ17" s="500"/>
      <c r="VKK17" s="500"/>
      <c r="VKL17" s="500"/>
      <c r="VKM17" s="500"/>
      <c r="VKN17" s="500"/>
      <c r="VKO17" s="500"/>
      <c r="VKP17" s="500"/>
      <c r="VKQ17" s="500"/>
      <c r="VKR17" s="500"/>
      <c r="VKS17" s="500"/>
      <c r="VKT17" s="500"/>
      <c r="VKU17" s="500"/>
      <c r="VKV17" s="500"/>
      <c r="VKW17" s="500"/>
      <c r="VKX17" s="500"/>
      <c r="VKY17" s="500"/>
      <c r="VKZ17" s="500"/>
      <c r="VLA17" s="500"/>
      <c r="VLB17" s="500"/>
      <c r="VLC17" s="500"/>
      <c r="VLD17" s="500"/>
      <c r="VLE17" s="500"/>
      <c r="VLF17" s="500"/>
      <c r="VLG17" s="500"/>
      <c r="VLH17" s="500"/>
      <c r="VLI17" s="500"/>
      <c r="VLJ17" s="500"/>
      <c r="VLK17" s="500"/>
      <c r="VLL17" s="500"/>
      <c r="VLM17" s="500"/>
      <c r="VLN17" s="500"/>
      <c r="VLO17" s="500"/>
      <c r="VLP17" s="500"/>
      <c r="VLQ17" s="500"/>
      <c r="VLR17" s="500"/>
      <c r="VLS17" s="500"/>
      <c r="VLT17" s="500"/>
      <c r="VLU17" s="500"/>
      <c r="VLV17" s="500"/>
      <c r="VLW17" s="500"/>
      <c r="VLX17" s="500"/>
      <c r="VLY17" s="500"/>
      <c r="VLZ17" s="500"/>
      <c r="VMA17" s="500"/>
      <c r="VMB17" s="500"/>
      <c r="VMC17" s="500"/>
      <c r="VMD17" s="500"/>
      <c r="VME17" s="500"/>
      <c r="VMF17" s="500"/>
      <c r="VMG17" s="500"/>
      <c r="VMH17" s="500"/>
      <c r="VMI17" s="500"/>
      <c r="VMJ17" s="500"/>
      <c r="VMK17" s="500"/>
      <c r="VML17" s="500"/>
      <c r="VMM17" s="500"/>
      <c r="VMN17" s="500"/>
      <c r="VMO17" s="500"/>
      <c r="VMP17" s="500"/>
      <c r="VMQ17" s="500"/>
      <c r="VMR17" s="500"/>
      <c r="VMS17" s="500"/>
      <c r="VMT17" s="500"/>
      <c r="VMU17" s="500"/>
      <c r="VMV17" s="500"/>
      <c r="VMW17" s="500"/>
      <c r="VMX17" s="500"/>
      <c r="VMY17" s="500"/>
      <c r="VMZ17" s="500"/>
      <c r="VNA17" s="500"/>
      <c r="VNB17" s="500"/>
      <c r="VNC17" s="500"/>
      <c r="VND17" s="500"/>
      <c r="VNE17" s="500"/>
      <c r="VNF17" s="500"/>
      <c r="VNG17" s="500"/>
      <c r="VNH17" s="500"/>
      <c r="VNI17" s="500"/>
      <c r="VNJ17" s="500"/>
      <c r="VNK17" s="500"/>
      <c r="VNL17" s="500"/>
      <c r="VNM17" s="500"/>
      <c r="VNN17" s="500"/>
      <c r="VNO17" s="500"/>
      <c r="VNP17" s="500"/>
      <c r="VNQ17" s="500"/>
      <c r="VNR17" s="500"/>
      <c r="VNS17" s="500"/>
      <c r="VNT17" s="500"/>
      <c r="VNU17" s="500"/>
      <c r="VNV17" s="500"/>
      <c r="VNW17" s="500"/>
      <c r="VNX17" s="500"/>
      <c r="VNY17" s="500"/>
      <c r="VNZ17" s="500"/>
      <c r="VOA17" s="500"/>
      <c r="VOB17" s="500"/>
      <c r="VOC17" s="500"/>
      <c r="VOD17" s="500"/>
      <c r="VOE17" s="500"/>
      <c r="VOF17" s="500"/>
      <c r="VOG17" s="500"/>
      <c r="VOH17" s="500"/>
      <c r="VOI17" s="500"/>
      <c r="VOJ17" s="500"/>
      <c r="VOK17" s="500"/>
      <c r="VOL17" s="500"/>
      <c r="VOM17" s="500"/>
      <c r="VON17" s="500"/>
      <c r="VOO17" s="500"/>
      <c r="VOP17" s="500"/>
      <c r="VOQ17" s="500"/>
      <c r="VOR17" s="500"/>
      <c r="VOS17" s="500"/>
      <c r="VOT17" s="500"/>
      <c r="VOU17" s="500"/>
      <c r="VOV17" s="500"/>
      <c r="VOW17" s="500"/>
      <c r="VOX17" s="500"/>
      <c r="VOY17" s="500"/>
      <c r="VOZ17" s="500"/>
      <c r="VPA17" s="500"/>
      <c r="VPB17" s="500"/>
      <c r="VPC17" s="500"/>
      <c r="VPD17" s="500"/>
      <c r="VPE17" s="500"/>
      <c r="VPF17" s="500"/>
      <c r="VPG17" s="500"/>
      <c r="VPH17" s="500"/>
      <c r="VPI17" s="500"/>
      <c r="VPJ17" s="500"/>
      <c r="VPK17" s="500"/>
      <c r="VPL17" s="500"/>
      <c r="VPM17" s="500"/>
      <c r="VPN17" s="500"/>
      <c r="VPO17" s="500"/>
      <c r="VPP17" s="500"/>
      <c r="VPQ17" s="500"/>
      <c r="VPR17" s="500"/>
      <c r="VPS17" s="500"/>
      <c r="VPT17" s="500"/>
      <c r="VPU17" s="500"/>
      <c r="VPV17" s="500"/>
      <c r="VPW17" s="500"/>
      <c r="VPX17" s="500"/>
      <c r="VPY17" s="500"/>
      <c r="VPZ17" s="500"/>
      <c r="VQA17" s="500"/>
      <c r="VQB17" s="500"/>
      <c r="VQC17" s="500"/>
      <c r="VQD17" s="500"/>
      <c r="VQE17" s="500"/>
      <c r="VQF17" s="500"/>
      <c r="VQG17" s="500"/>
      <c r="VQH17" s="500"/>
      <c r="VQI17" s="500"/>
      <c r="VQJ17" s="500"/>
      <c r="VQK17" s="500"/>
      <c r="VQL17" s="500"/>
      <c r="VQM17" s="500"/>
      <c r="VQN17" s="500"/>
      <c r="VQO17" s="500"/>
      <c r="VQP17" s="500"/>
      <c r="VQQ17" s="500"/>
      <c r="VQR17" s="500"/>
      <c r="VQS17" s="500"/>
      <c r="VQT17" s="500"/>
      <c r="VQU17" s="500"/>
      <c r="VQV17" s="500"/>
      <c r="VQW17" s="500"/>
      <c r="VQX17" s="500"/>
      <c r="VQY17" s="500"/>
      <c r="VQZ17" s="500"/>
      <c r="VRA17" s="500"/>
      <c r="VRB17" s="500"/>
      <c r="VRC17" s="500"/>
      <c r="VRD17" s="500"/>
      <c r="VRE17" s="500"/>
      <c r="VRF17" s="500"/>
      <c r="VRG17" s="500"/>
      <c r="VRH17" s="500"/>
      <c r="VRI17" s="500"/>
      <c r="VRJ17" s="500"/>
      <c r="VRK17" s="500"/>
      <c r="VRL17" s="500"/>
      <c r="VRM17" s="500"/>
      <c r="VRN17" s="500"/>
      <c r="VRO17" s="500"/>
      <c r="VRP17" s="500"/>
      <c r="VRQ17" s="500"/>
      <c r="VRR17" s="500"/>
      <c r="VRS17" s="500"/>
      <c r="VRT17" s="500"/>
      <c r="VRU17" s="500"/>
      <c r="VRV17" s="500"/>
      <c r="VRW17" s="500"/>
      <c r="VRX17" s="500"/>
      <c r="VRY17" s="500"/>
      <c r="VRZ17" s="500"/>
      <c r="VSA17" s="500"/>
      <c r="VSB17" s="500"/>
      <c r="VSC17" s="500"/>
      <c r="VSD17" s="500"/>
      <c r="VSE17" s="500"/>
      <c r="VSF17" s="500"/>
      <c r="VSG17" s="500"/>
      <c r="VSH17" s="500"/>
      <c r="VSI17" s="500"/>
      <c r="VSJ17" s="500"/>
      <c r="VSK17" s="500"/>
      <c r="VSL17" s="500"/>
      <c r="VSM17" s="500"/>
      <c r="VSN17" s="500"/>
      <c r="VSO17" s="500"/>
      <c r="VSP17" s="500"/>
      <c r="VSQ17" s="500"/>
      <c r="VSR17" s="500"/>
      <c r="VSS17" s="500"/>
      <c r="VST17" s="500"/>
      <c r="VSU17" s="500"/>
      <c r="VSV17" s="500"/>
      <c r="VSW17" s="500"/>
      <c r="VSX17" s="500"/>
      <c r="VSY17" s="500"/>
      <c r="VSZ17" s="500"/>
      <c r="VTA17" s="500"/>
      <c r="VTB17" s="500"/>
      <c r="VTC17" s="500"/>
      <c r="VTD17" s="500"/>
      <c r="VTE17" s="500"/>
      <c r="VTF17" s="500"/>
      <c r="VTG17" s="500"/>
      <c r="VTH17" s="500"/>
      <c r="VTI17" s="500"/>
      <c r="VTJ17" s="500"/>
      <c r="VTK17" s="500"/>
      <c r="VTL17" s="500"/>
      <c r="VTM17" s="500"/>
      <c r="VTN17" s="500"/>
      <c r="VTO17" s="500"/>
      <c r="VTP17" s="500"/>
      <c r="VTQ17" s="500"/>
      <c r="VTR17" s="500"/>
      <c r="VTS17" s="500"/>
      <c r="VTT17" s="500"/>
      <c r="VTU17" s="500"/>
      <c r="VTV17" s="500"/>
      <c r="VTW17" s="500"/>
      <c r="VTX17" s="500"/>
      <c r="VTY17" s="500"/>
      <c r="VTZ17" s="500"/>
      <c r="VUA17" s="500"/>
      <c r="VUB17" s="500"/>
      <c r="VUC17" s="500"/>
      <c r="VUD17" s="500"/>
      <c r="VUE17" s="500"/>
      <c r="VUF17" s="500"/>
      <c r="VUG17" s="500"/>
      <c r="VUH17" s="500"/>
      <c r="VUI17" s="500"/>
      <c r="VUJ17" s="500"/>
      <c r="VUK17" s="500"/>
      <c r="VUL17" s="500"/>
      <c r="VUM17" s="500"/>
      <c r="VUN17" s="500"/>
      <c r="VUO17" s="500"/>
      <c r="VUP17" s="500"/>
      <c r="VUQ17" s="500"/>
      <c r="VUR17" s="500"/>
      <c r="VUS17" s="500"/>
      <c r="VUT17" s="500"/>
      <c r="VUU17" s="500"/>
      <c r="VUV17" s="500"/>
      <c r="VUW17" s="500"/>
      <c r="VUX17" s="500"/>
      <c r="VUY17" s="500"/>
      <c r="VUZ17" s="500"/>
      <c r="VVA17" s="500"/>
      <c r="VVB17" s="500"/>
      <c r="VVC17" s="500"/>
      <c r="VVD17" s="500"/>
      <c r="VVE17" s="500"/>
      <c r="VVF17" s="500"/>
      <c r="VVG17" s="500"/>
      <c r="VVH17" s="500"/>
      <c r="VVI17" s="500"/>
      <c r="VVJ17" s="500"/>
      <c r="VVK17" s="500"/>
      <c r="VVL17" s="500"/>
      <c r="VVM17" s="500"/>
      <c r="VVN17" s="500"/>
      <c r="VVO17" s="500"/>
      <c r="VVP17" s="500"/>
      <c r="VVQ17" s="500"/>
      <c r="VVR17" s="500"/>
      <c r="VVS17" s="500"/>
      <c r="VVT17" s="500"/>
      <c r="VVU17" s="500"/>
      <c r="VVV17" s="500"/>
      <c r="VVW17" s="500"/>
      <c r="VVX17" s="500"/>
      <c r="VVY17" s="500"/>
      <c r="VVZ17" s="500"/>
      <c r="VWA17" s="500"/>
      <c r="VWB17" s="500"/>
      <c r="VWC17" s="500"/>
      <c r="VWD17" s="500"/>
      <c r="VWE17" s="500"/>
      <c r="VWF17" s="500"/>
      <c r="VWG17" s="500"/>
      <c r="VWH17" s="500"/>
      <c r="VWI17" s="500"/>
      <c r="VWJ17" s="500"/>
      <c r="VWK17" s="500"/>
      <c r="VWL17" s="500"/>
      <c r="VWM17" s="500"/>
      <c r="VWN17" s="500"/>
      <c r="VWO17" s="500"/>
      <c r="VWP17" s="500"/>
      <c r="VWQ17" s="500"/>
      <c r="VWR17" s="500"/>
      <c r="VWS17" s="500"/>
      <c r="VWT17" s="500"/>
      <c r="VWU17" s="500"/>
      <c r="VWV17" s="500"/>
      <c r="VWW17" s="500"/>
      <c r="VWX17" s="500"/>
      <c r="VWY17" s="500"/>
      <c r="VWZ17" s="500"/>
      <c r="VXA17" s="500"/>
      <c r="VXB17" s="500"/>
      <c r="VXC17" s="500"/>
      <c r="VXD17" s="500"/>
      <c r="VXE17" s="500"/>
      <c r="VXF17" s="500"/>
      <c r="VXG17" s="500"/>
      <c r="VXH17" s="500"/>
      <c r="VXI17" s="500"/>
      <c r="VXJ17" s="500"/>
      <c r="VXK17" s="500"/>
      <c r="VXL17" s="500"/>
      <c r="VXM17" s="500"/>
      <c r="VXN17" s="500"/>
      <c r="VXO17" s="500"/>
      <c r="VXP17" s="500"/>
      <c r="VXQ17" s="500"/>
      <c r="VXR17" s="500"/>
      <c r="VXS17" s="500"/>
      <c r="VXT17" s="500"/>
      <c r="VXU17" s="500"/>
      <c r="VXV17" s="500"/>
      <c r="VXW17" s="500"/>
      <c r="VXX17" s="500"/>
      <c r="VXY17" s="500"/>
      <c r="VXZ17" s="500"/>
      <c r="VYA17" s="500"/>
      <c r="VYB17" s="500"/>
      <c r="VYC17" s="500"/>
      <c r="VYD17" s="500"/>
      <c r="VYE17" s="500"/>
      <c r="VYF17" s="500"/>
      <c r="VYG17" s="500"/>
      <c r="VYH17" s="500"/>
      <c r="VYI17" s="500"/>
      <c r="VYJ17" s="500"/>
      <c r="VYK17" s="500"/>
      <c r="VYL17" s="500"/>
      <c r="VYM17" s="500"/>
      <c r="VYN17" s="500"/>
      <c r="VYO17" s="500"/>
      <c r="VYP17" s="500"/>
      <c r="VYQ17" s="500"/>
      <c r="VYR17" s="500"/>
      <c r="VYS17" s="500"/>
      <c r="VYT17" s="500"/>
      <c r="VYU17" s="500"/>
      <c r="VYV17" s="500"/>
      <c r="VYW17" s="500"/>
      <c r="VYX17" s="500"/>
      <c r="VYY17" s="500"/>
      <c r="VYZ17" s="500"/>
      <c r="VZA17" s="500"/>
      <c r="VZB17" s="500"/>
      <c r="VZC17" s="500"/>
      <c r="VZD17" s="500"/>
      <c r="VZE17" s="500"/>
      <c r="VZF17" s="500"/>
      <c r="VZG17" s="500"/>
      <c r="VZH17" s="500"/>
      <c r="VZI17" s="500"/>
      <c r="VZJ17" s="500"/>
      <c r="VZK17" s="500"/>
      <c r="VZL17" s="500"/>
      <c r="VZM17" s="500"/>
      <c r="VZN17" s="500"/>
      <c r="VZO17" s="500"/>
      <c r="VZP17" s="500"/>
      <c r="VZQ17" s="500"/>
      <c r="VZR17" s="500"/>
      <c r="VZS17" s="500"/>
      <c r="VZT17" s="500"/>
      <c r="VZU17" s="500"/>
      <c r="VZV17" s="500"/>
      <c r="VZW17" s="500"/>
      <c r="VZX17" s="500"/>
      <c r="VZY17" s="500"/>
      <c r="VZZ17" s="500"/>
      <c r="WAA17" s="500"/>
      <c r="WAB17" s="500"/>
      <c r="WAC17" s="500"/>
      <c r="WAD17" s="500"/>
      <c r="WAE17" s="500"/>
      <c r="WAF17" s="500"/>
      <c r="WAG17" s="500"/>
      <c r="WAH17" s="500"/>
      <c r="WAI17" s="500"/>
      <c r="WAJ17" s="500"/>
      <c r="WAK17" s="500"/>
      <c r="WAL17" s="500"/>
      <c r="WAM17" s="500"/>
      <c r="WAN17" s="500"/>
      <c r="WAO17" s="500"/>
      <c r="WAP17" s="500"/>
      <c r="WAQ17" s="500"/>
      <c r="WAR17" s="500"/>
      <c r="WAS17" s="500"/>
      <c r="WAT17" s="500"/>
      <c r="WAU17" s="500"/>
      <c r="WAV17" s="500"/>
      <c r="WAW17" s="500"/>
      <c r="WAX17" s="500"/>
      <c r="WAY17" s="500"/>
      <c r="WAZ17" s="500"/>
      <c r="WBA17" s="500"/>
      <c r="WBB17" s="500"/>
      <c r="WBC17" s="500"/>
      <c r="WBD17" s="500"/>
      <c r="WBE17" s="500"/>
      <c r="WBF17" s="500"/>
      <c r="WBG17" s="500"/>
      <c r="WBH17" s="500"/>
      <c r="WBI17" s="500"/>
      <c r="WBJ17" s="500"/>
      <c r="WBK17" s="500"/>
      <c r="WBL17" s="500"/>
      <c r="WBM17" s="500"/>
      <c r="WBN17" s="500"/>
      <c r="WBO17" s="500"/>
      <c r="WBP17" s="500"/>
      <c r="WBQ17" s="500"/>
      <c r="WBR17" s="500"/>
      <c r="WBS17" s="500"/>
      <c r="WBT17" s="500"/>
      <c r="WBU17" s="500"/>
      <c r="WBV17" s="500"/>
      <c r="WBW17" s="500"/>
      <c r="WBX17" s="500"/>
      <c r="WBY17" s="500"/>
      <c r="WBZ17" s="500"/>
      <c r="WCA17" s="500"/>
      <c r="WCB17" s="500"/>
      <c r="WCC17" s="500"/>
      <c r="WCD17" s="500"/>
      <c r="WCE17" s="500"/>
      <c r="WCF17" s="500"/>
      <c r="WCG17" s="500"/>
      <c r="WCH17" s="500"/>
      <c r="WCI17" s="500"/>
      <c r="WCJ17" s="500"/>
      <c r="WCK17" s="500"/>
      <c r="WCL17" s="500"/>
      <c r="WCM17" s="500"/>
      <c r="WCN17" s="500"/>
      <c r="WCO17" s="500"/>
      <c r="WCP17" s="500"/>
      <c r="WCQ17" s="500"/>
      <c r="WCR17" s="500"/>
      <c r="WCS17" s="500"/>
      <c r="WCT17" s="500"/>
      <c r="WCU17" s="500"/>
      <c r="WCV17" s="500"/>
      <c r="WCW17" s="500"/>
      <c r="WCX17" s="500"/>
      <c r="WCY17" s="500"/>
      <c r="WCZ17" s="500"/>
      <c r="WDA17" s="500"/>
      <c r="WDB17" s="500"/>
      <c r="WDC17" s="500"/>
      <c r="WDD17" s="500"/>
      <c r="WDE17" s="500"/>
      <c r="WDF17" s="500"/>
      <c r="WDG17" s="500"/>
      <c r="WDH17" s="500"/>
      <c r="WDI17" s="500"/>
      <c r="WDJ17" s="500"/>
      <c r="WDK17" s="500"/>
      <c r="WDL17" s="500"/>
      <c r="WDM17" s="500"/>
      <c r="WDN17" s="500"/>
      <c r="WDO17" s="500"/>
      <c r="WDP17" s="500"/>
      <c r="WDQ17" s="500"/>
      <c r="WDR17" s="500"/>
      <c r="WDS17" s="500"/>
      <c r="WDT17" s="500"/>
      <c r="WDU17" s="500"/>
      <c r="WDV17" s="500"/>
      <c r="WDW17" s="500"/>
      <c r="WDX17" s="500"/>
      <c r="WDY17" s="500"/>
      <c r="WDZ17" s="500"/>
      <c r="WEA17" s="500"/>
      <c r="WEB17" s="500"/>
      <c r="WEC17" s="500"/>
      <c r="WED17" s="500"/>
      <c r="WEE17" s="500"/>
      <c r="WEF17" s="500"/>
      <c r="WEG17" s="500"/>
      <c r="WEH17" s="500"/>
      <c r="WEI17" s="500"/>
      <c r="WEJ17" s="500"/>
      <c r="WEK17" s="500"/>
      <c r="WEL17" s="500"/>
      <c r="WEM17" s="500"/>
      <c r="WEN17" s="500"/>
      <c r="WEO17" s="500"/>
      <c r="WEP17" s="500"/>
      <c r="WEQ17" s="500"/>
      <c r="WER17" s="500"/>
      <c r="WES17" s="500"/>
      <c r="WET17" s="500"/>
      <c r="WEU17" s="500"/>
      <c r="WEV17" s="500"/>
      <c r="WEW17" s="500"/>
      <c r="WEX17" s="500"/>
      <c r="WEY17" s="500"/>
      <c r="WEZ17" s="500"/>
      <c r="WFA17" s="500"/>
      <c r="WFB17" s="500"/>
      <c r="WFC17" s="500"/>
      <c r="WFD17" s="500"/>
      <c r="WFE17" s="500"/>
      <c r="WFF17" s="500"/>
      <c r="WFG17" s="500"/>
      <c r="WFH17" s="500"/>
      <c r="WFI17" s="500"/>
      <c r="WFJ17" s="500"/>
      <c r="WFK17" s="500"/>
      <c r="WFL17" s="500"/>
      <c r="WFM17" s="500"/>
      <c r="WFN17" s="500"/>
      <c r="WFO17" s="500"/>
      <c r="WFP17" s="500"/>
      <c r="WFQ17" s="500"/>
      <c r="WFR17" s="500"/>
      <c r="WFS17" s="500"/>
      <c r="WFT17" s="500"/>
      <c r="WFU17" s="500"/>
      <c r="WFV17" s="500"/>
      <c r="WFW17" s="500"/>
      <c r="WFX17" s="500"/>
      <c r="WFY17" s="500"/>
      <c r="WFZ17" s="500"/>
      <c r="WGA17" s="500"/>
      <c r="WGB17" s="500"/>
      <c r="WGC17" s="500"/>
      <c r="WGD17" s="500"/>
      <c r="WGE17" s="500"/>
      <c r="WGF17" s="500"/>
      <c r="WGG17" s="500"/>
      <c r="WGH17" s="500"/>
      <c r="WGI17" s="500"/>
      <c r="WGJ17" s="500"/>
      <c r="WGK17" s="500"/>
      <c r="WGL17" s="500"/>
      <c r="WGM17" s="500"/>
      <c r="WGN17" s="500"/>
      <c r="WGO17" s="500"/>
      <c r="WGP17" s="500"/>
      <c r="WGQ17" s="500"/>
      <c r="WGR17" s="500"/>
      <c r="WGS17" s="500"/>
      <c r="WGT17" s="500"/>
      <c r="WGU17" s="500"/>
      <c r="WGV17" s="500"/>
      <c r="WGW17" s="500"/>
      <c r="WGX17" s="500"/>
      <c r="WGY17" s="500"/>
      <c r="WGZ17" s="500"/>
      <c r="WHA17" s="500"/>
      <c r="WHB17" s="500"/>
      <c r="WHC17" s="500"/>
      <c r="WHD17" s="500"/>
      <c r="WHE17" s="500"/>
      <c r="WHF17" s="500"/>
      <c r="WHG17" s="500"/>
      <c r="WHH17" s="500"/>
      <c r="WHI17" s="500"/>
      <c r="WHJ17" s="500"/>
      <c r="WHK17" s="500"/>
      <c r="WHL17" s="500"/>
      <c r="WHM17" s="500"/>
      <c r="WHN17" s="500"/>
      <c r="WHO17" s="500"/>
      <c r="WHP17" s="500"/>
      <c r="WHQ17" s="500"/>
      <c r="WHR17" s="500"/>
      <c r="WHS17" s="500"/>
      <c r="WHT17" s="500"/>
      <c r="WHU17" s="500"/>
      <c r="WHV17" s="500"/>
      <c r="WHW17" s="500"/>
      <c r="WHX17" s="500"/>
      <c r="WHY17" s="500"/>
      <c r="WHZ17" s="500"/>
      <c r="WIA17" s="500"/>
      <c r="WIB17" s="500"/>
      <c r="WIC17" s="500"/>
      <c r="WID17" s="500"/>
      <c r="WIE17" s="500"/>
      <c r="WIF17" s="500"/>
      <c r="WIG17" s="500"/>
      <c r="WIH17" s="500"/>
      <c r="WII17" s="500"/>
      <c r="WIJ17" s="500"/>
      <c r="WIK17" s="500"/>
      <c r="WIL17" s="500"/>
      <c r="WIM17" s="500"/>
      <c r="WIN17" s="500"/>
      <c r="WIO17" s="500"/>
      <c r="WIP17" s="500"/>
      <c r="WIQ17" s="500"/>
      <c r="WIR17" s="500"/>
      <c r="WIS17" s="500"/>
      <c r="WIT17" s="500"/>
      <c r="WIU17" s="500"/>
      <c r="WIV17" s="500"/>
      <c r="WIW17" s="500"/>
      <c r="WIX17" s="500"/>
      <c r="WIY17" s="500"/>
      <c r="WIZ17" s="500"/>
      <c r="WJA17" s="500"/>
      <c r="WJB17" s="500"/>
      <c r="WJC17" s="500"/>
      <c r="WJD17" s="500"/>
      <c r="WJE17" s="500"/>
      <c r="WJF17" s="500"/>
      <c r="WJG17" s="500"/>
      <c r="WJH17" s="500"/>
      <c r="WJI17" s="500"/>
      <c r="WJJ17" s="500"/>
      <c r="WJK17" s="500"/>
      <c r="WJL17" s="500"/>
      <c r="WJM17" s="500"/>
      <c r="WJN17" s="500"/>
      <c r="WJO17" s="500"/>
      <c r="WJP17" s="500"/>
      <c r="WJQ17" s="500"/>
      <c r="WJR17" s="500"/>
      <c r="WJS17" s="500"/>
      <c r="WJT17" s="500"/>
      <c r="WJU17" s="500"/>
      <c r="WJV17" s="500"/>
      <c r="WJW17" s="500"/>
      <c r="WJX17" s="500"/>
      <c r="WJY17" s="500"/>
      <c r="WJZ17" s="500"/>
      <c r="WKA17" s="500"/>
      <c r="WKB17" s="500"/>
      <c r="WKC17" s="500"/>
      <c r="WKD17" s="500"/>
      <c r="WKE17" s="500"/>
      <c r="WKF17" s="500"/>
      <c r="WKG17" s="500"/>
      <c r="WKH17" s="500"/>
      <c r="WKI17" s="500"/>
      <c r="WKJ17" s="500"/>
      <c r="WKK17" s="500"/>
      <c r="WKL17" s="500"/>
      <c r="WKM17" s="500"/>
      <c r="WKN17" s="500"/>
      <c r="WKO17" s="500"/>
      <c r="WKP17" s="500"/>
      <c r="WKQ17" s="500"/>
      <c r="WKR17" s="500"/>
      <c r="WKS17" s="500"/>
      <c r="WKT17" s="500"/>
      <c r="WKU17" s="500"/>
      <c r="WKV17" s="500"/>
      <c r="WKW17" s="500"/>
      <c r="WKX17" s="500"/>
      <c r="WKY17" s="500"/>
      <c r="WKZ17" s="500"/>
      <c r="WLA17" s="500"/>
      <c r="WLB17" s="500"/>
      <c r="WLC17" s="500"/>
      <c r="WLD17" s="500"/>
      <c r="WLE17" s="500"/>
      <c r="WLF17" s="500"/>
      <c r="WLG17" s="500"/>
      <c r="WLH17" s="500"/>
      <c r="WLI17" s="500"/>
      <c r="WLJ17" s="500"/>
      <c r="WLK17" s="500"/>
      <c r="WLL17" s="500"/>
      <c r="WLM17" s="500"/>
      <c r="WLN17" s="500"/>
      <c r="WLO17" s="500"/>
      <c r="WLP17" s="500"/>
      <c r="WLQ17" s="500"/>
      <c r="WLR17" s="500"/>
      <c r="WLS17" s="500"/>
      <c r="WLT17" s="500"/>
      <c r="WLU17" s="500"/>
      <c r="WLV17" s="500"/>
      <c r="WLW17" s="500"/>
      <c r="WLX17" s="500"/>
      <c r="WLY17" s="500"/>
      <c r="WLZ17" s="500"/>
      <c r="WMA17" s="500"/>
      <c r="WMB17" s="500"/>
      <c r="WMC17" s="500"/>
      <c r="WMD17" s="500"/>
      <c r="WME17" s="500"/>
      <c r="WMF17" s="500"/>
      <c r="WMG17" s="500"/>
      <c r="WMH17" s="500"/>
      <c r="WMI17" s="500"/>
      <c r="WMJ17" s="500"/>
      <c r="WMK17" s="500"/>
      <c r="WML17" s="500"/>
      <c r="WMM17" s="500"/>
      <c r="WMN17" s="500"/>
      <c r="WMO17" s="500"/>
      <c r="WMP17" s="500"/>
      <c r="WMQ17" s="500"/>
      <c r="WMR17" s="500"/>
      <c r="WMS17" s="500"/>
      <c r="WMT17" s="500"/>
      <c r="WMU17" s="500"/>
      <c r="WMV17" s="500"/>
      <c r="WMW17" s="500"/>
      <c r="WMX17" s="500"/>
      <c r="WMY17" s="500"/>
      <c r="WMZ17" s="500"/>
      <c r="WNA17" s="500"/>
      <c r="WNB17" s="500"/>
      <c r="WNC17" s="500"/>
      <c r="WND17" s="500"/>
      <c r="WNE17" s="500"/>
      <c r="WNF17" s="500"/>
      <c r="WNG17" s="500"/>
      <c r="WNH17" s="500"/>
      <c r="WNI17" s="500"/>
      <c r="WNJ17" s="500"/>
      <c r="WNK17" s="500"/>
      <c r="WNL17" s="500"/>
      <c r="WNM17" s="500"/>
      <c r="WNN17" s="500"/>
      <c r="WNO17" s="500"/>
      <c r="WNP17" s="500"/>
      <c r="WNQ17" s="500"/>
      <c r="WNR17" s="500"/>
      <c r="WNS17" s="500"/>
      <c r="WNT17" s="500"/>
      <c r="WNU17" s="500"/>
      <c r="WNV17" s="500"/>
      <c r="WNW17" s="500"/>
      <c r="WNX17" s="500"/>
      <c r="WNY17" s="500"/>
      <c r="WNZ17" s="500"/>
      <c r="WOA17" s="500"/>
      <c r="WOB17" s="500"/>
      <c r="WOC17" s="500"/>
      <c r="WOD17" s="500"/>
      <c r="WOE17" s="500"/>
      <c r="WOF17" s="500"/>
      <c r="WOG17" s="500"/>
      <c r="WOH17" s="500"/>
      <c r="WOI17" s="500"/>
      <c r="WOJ17" s="500"/>
      <c r="WOK17" s="500"/>
      <c r="WOL17" s="500"/>
      <c r="WOM17" s="500"/>
      <c r="WON17" s="500"/>
      <c r="WOO17" s="500"/>
      <c r="WOP17" s="500"/>
      <c r="WOQ17" s="500"/>
      <c r="WOR17" s="500"/>
      <c r="WOS17" s="500"/>
      <c r="WOT17" s="500"/>
      <c r="WOU17" s="500"/>
      <c r="WOV17" s="500"/>
      <c r="WOW17" s="500"/>
      <c r="WOX17" s="500"/>
      <c r="WOY17" s="500"/>
      <c r="WOZ17" s="500"/>
      <c r="WPA17" s="500"/>
      <c r="WPB17" s="500"/>
      <c r="WPC17" s="500"/>
      <c r="WPD17" s="500"/>
      <c r="WPE17" s="500"/>
      <c r="WPF17" s="500"/>
      <c r="WPG17" s="500"/>
      <c r="WPH17" s="500"/>
      <c r="WPI17" s="500"/>
      <c r="WPJ17" s="500"/>
      <c r="WPK17" s="500"/>
      <c r="WPL17" s="500"/>
      <c r="WPM17" s="500"/>
      <c r="WPN17" s="500"/>
      <c r="WPO17" s="500"/>
      <c r="WPP17" s="500"/>
      <c r="WPQ17" s="500"/>
      <c r="WPR17" s="500"/>
      <c r="WPS17" s="500"/>
      <c r="WPT17" s="500"/>
      <c r="WPU17" s="500"/>
      <c r="WPV17" s="500"/>
      <c r="WPW17" s="500"/>
      <c r="WPX17" s="500"/>
      <c r="WPY17" s="500"/>
      <c r="WPZ17" s="500"/>
      <c r="WQA17" s="500"/>
      <c r="WQB17" s="500"/>
      <c r="WQC17" s="500"/>
      <c r="WQD17" s="500"/>
      <c r="WQE17" s="500"/>
      <c r="WQF17" s="500"/>
      <c r="WQG17" s="500"/>
      <c r="WQH17" s="500"/>
      <c r="WQI17" s="500"/>
      <c r="WQJ17" s="500"/>
      <c r="WQK17" s="500"/>
      <c r="WQL17" s="500"/>
      <c r="WQM17" s="500"/>
      <c r="WQN17" s="500"/>
      <c r="WQO17" s="500"/>
      <c r="WQP17" s="500"/>
      <c r="WQQ17" s="500"/>
      <c r="WQR17" s="500"/>
      <c r="WQS17" s="500"/>
      <c r="WQT17" s="500"/>
      <c r="WQU17" s="500"/>
      <c r="WQV17" s="500"/>
      <c r="WQW17" s="500"/>
      <c r="WQX17" s="500"/>
      <c r="WQY17" s="500"/>
      <c r="WQZ17" s="500"/>
      <c r="WRA17" s="500"/>
      <c r="WRB17" s="500"/>
      <c r="WRC17" s="500"/>
      <c r="WRD17" s="500"/>
      <c r="WRE17" s="500"/>
      <c r="WRF17" s="500"/>
      <c r="WRG17" s="500"/>
      <c r="WRH17" s="500"/>
      <c r="WRI17" s="500"/>
      <c r="WRJ17" s="500"/>
      <c r="WRK17" s="500"/>
      <c r="WRL17" s="500"/>
      <c r="WRM17" s="500"/>
      <c r="WRN17" s="500"/>
      <c r="WRO17" s="500"/>
      <c r="WRP17" s="500"/>
      <c r="WRQ17" s="500"/>
      <c r="WRR17" s="500"/>
      <c r="WRS17" s="500"/>
      <c r="WRT17" s="500"/>
      <c r="WRU17" s="500"/>
      <c r="WRV17" s="500"/>
      <c r="WRW17" s="500"/>
      <c r="WRX17" s="500"/>
      <c r="WRY17" s="500"/>
      <c r="WRZ17" s="500"/>
      <c r="WSA17" s="500"/>
      <c r="WSB17" s="500"/>
      <c r="WSC17" s="500"/>
      <c r="WSD17" s="500"/>
      <c r="WSE17" s="500"/>
      <c r="WSF17" s="500"/>
      <c r="WSG17" s="500"/>
      <c r="WSH17" s="500"/>
      <c r="WSI17" s="500"/>
      <c r="WSJ17" s="500"/>
      <c r="WSK17" s="500"/>
      <c r="WSL17" s="500"/>
      <c r="WSM17" s="500"/>
      <c r="WSN17" s="500"/>
      <c r="WSO17" s="500"/>
      <c r="WSP17" s="500"/>
      <c r="WSQ17" s="500"/>
      <c r="WSR17" s="500"/>
      <c r="WSS17" s="500"/>
      <c r="WST17" s="500"/>
      <c r="WSU17" s="500"/>
      <c r="WSV17" s="500"/>
      <c r="WSW17" s="500"/>
      <c r="WSX17" s="500"/>
      <c r="WSY17" s="500"/>
      <c r="WSZ17" s="500"/>
      <c r="WTA17" s="500"/>
      <c r="WTB17" s="500"/>
      <c r="WTC17" s="500"/>
      <c r="WTD17" s="500"/>
      <c r="WTE17" s="500"/>
      <c r="WTF17" s="500"/>
      <c r="WTG17" s="500"/>
      <c r="WTH17" s="500"/>
      <c r="WTI17" s="500"/>
      <c r="WTJ17" s="500"/>
      <c r="WTK17" s="500"/>
      <c r="WTL17" s="500"/>
      <c r="WTM17" s="500"/>
      <c r="WTN17" s="500"/>
      <c r="WTO17" s="500"/>
      <c r="WTP17" s="500"/>
      <c r="WTQ17" s="500"/>
      <c r="WTR17" s="500"/>
      <c r="WTS17" s="500"/>
      <c r="WTT17" s="500"/>
      <c r="WTU17" s="500"/>
      <c r="WTV17" s="500"/>
      <c r="WTW17" s="500"/>
      <c r="WTX17" s="500"/>
      <c r="WTY17" s="500"/>
      <c r="WTZ17" s="500"/>
      <c r="WUA17" s="500"/>
      <c r="WUB17" s="500"/>
      <c r="WUC17" s="500"/>
      <c r="WUD17" s="500"/>
      <c r="WUE17" s="500"/>
      <c r="WUF17" s="500"/>
      <c r="WUG17" s="500"/>
      <c r="WUH17" s="500"/>
      <c r="WUI17" s="500"/>
      <c r="WUJ17" s="500"/>
      <c r="WUK17" s="500"/>
      <c r="WUL17" s="500"/>
      <c r="WUM17" s="500"/>
      <c r="WUN17" s="500"/>
      <c r="WUO17" s="500"/>
      <c r="WUP17" s="500"/>
      <c r="WUQ17" s="500"/>
      <c r="WUR17" s="500"/>
      <c r="WUS17" s="500"/>
      <c r="WUT17" s="500"/>
      <c r="WUU17" s="500"/>
      <c r="WUV17" s="500"/>
      <c r="WUW17" s="500"/>
      <c r="WUX17" s="500"/>
      <c r="WUY17" s="500"/>
      <c r="WUZ17" s="500"/>
      <c r="WVA17" s="500"/>
      <c r="WVB17" s="500"/>
      <c r="WVC17" s="500"/>
      <c r="WVD17" s="500"/>
      <c r="WVE17" s="500"/>
      <c r="WVF17" s="500"/>
      <c r="WVG17" s="500"/>
      <c r="WVH17" s="500"/>
      <c r="WVI17" s="500"/>
      <c r="WVJ17" s="500"/>
      <c r="WVK17" s="500"/>
      <c r="WVL17" s="500"/>
      <c r="WVM17" s="500"/>
      <c r="WVN17" s="500"/>
      <c r="WVO17" s="500"/>
      <c r="WVP17" s="500"/>
      <c r="WVQ17" s="500"/>
      <c r="WVR17" s="500"/>
      <c r="WVS17" s="500"/>
      <c r="WVT17" s="500"/>
      <c r="WVU17" s="500"/>
      <c r="WVV17" s="500"/>
      <c r="WVW17" s="500"/>
      <c r="WVX17" s="500"/>
      <c r="WVY17" s="500"/>
      <c r="WVZ17" s="500"/>
      <c r="WWA17" s="500"/>
      <c r="WWB17" s="500"/>
      <c r="WWC17" s="500"/>
      <c r="WWD17" s="500"/>
      <c r="WWE17" s="500"/>
      <c r="WWF17" s="500"/>
      <c r="WWG17" s="500"/>
      <c r="WWH17" s="500"/>
      <c r="WWI17" s="500"/>
      <c r="WWJ17" s="500"/>
      <c r="WWK17" s="500"/>
      <c r="WWL17" s="500"/>
      <c r="WWM17" s="500"/>
      <c r="WWN17" s="500"/>
      <c r="WWO17" s="500"/>
      <c r="WWP17" s="500"/>
      <c r="WWQ17" s="500"/>
      <c r="WWR17" s="500"/>
      <c r="WWS17" s="500"/>
      <c r="WWT17" s="500"/>
      <c r="WWU17" s="500"/>
      <c r="WWV17" s="500"/>
      <c r="WWW17" s="500"/>
      <c r="WWX17" s="500"/>
      <c r="WWY17" s="500"/>
      <c r="WWZ17" s="500"/>
      <c r="WXA17" s="500"/>
      <c r="WXB17" s="500"/>
      <c r="WXC17" s="500"/>
      <c r="WXD17" s="500"/>
      <c r="WXE17" s="500"/>
      <c r="WXF17" s="500"/>
      <c r="WXG17" s="500"/>
      <c r="WXH17" s="500"/>
      <c r="WXI17" s="500"/>
      <c r="WXJ17" s="500"/>
      <c r="WXK17" s="500"/>
      <c r="WXL17" s="500"/>
      <c r="WXM17" s="500"/>
      <c r="WXN17" s="500"/>
      <c r="WXO17" s="500"/>
      <c r="WXP17" s="500"/>
      <c r="WXQ17" s="500"/>
      <c r="WXR17" s="500"/>
      <c r="WXS17" s="500"/>
      <c r="WXT17" s="500"/>
      <c r="WXU17" s="500"/>
      <c r="WXV17" s="500"/>
      <c r="WXW17" s="500"/>
      <c r="WXX17" s="500"/>
      <c r="WXY17" s="500"/>
      <c r="WXZ17" s="500"/>
      <c r="WYA17" s="500"/>
      <c r="WYB17" s="500"/>
      <c r="WYC17" s="500"/>
      <c r="WYD17" s="500"/>
      <c r="WYE17" s="500"/>
      <c r="WYF17" s="500"/>
      <c r="WYG17" s="500"/>
      <c r="WYH17" s="500"/>
      <c r="WYI17" s="500"/>
      <c r="WYJ17" s="500"/>
      <c r="WYK17" s="500"/>
      <c r="WYL17" s="500"/>
      <c r="WYM17" s="500"/>
      <c r="WYN17" s="500"/>
      <c r="WYO17" s="500"/>
      <c r="WYP17" s="500"/>
      <c r="WYQ17" s="500"/>
      <c r="WYR17" s="500"/>
      <c r="WYS17" s="500"/>
      <c r="WYT17" s="500"/>
      <c r="WYU17" s="500"/>
      <c r="WYV17" s="500"/>
      <c r="WYW17" s="500"/>
      <c r="WYX17" s="500"/>
      <c r="WYY17" s="500"/>
      <c r="WYZ17" s="500"/>
      <c r="WZA17" s="500"/>
      <c r="WZB17" s="500"/>
      <c r="WZC17" s="500"/>
      <c r="WZD17" s="500"/>
      <c r="WZE17" s="500"/>
      <c r="WZF17" s="500"/>
      <c r="WZG17" s="500"/>
      <c r="WZH17" s="500"/>
      <c r="WZI17" s="500"/>
      <c r="WZJ17" s="500"/>
      <c r="WZK17" s="500"/>
      <c r="WZL17" s="500"/>
      <c r="WZM17" s="500"/>
      <c r="WZN17" s="500"/>
      <c r="WZO17" s="500"/>
      <c r="WZP17" s="500"/>
      <c r="WZQ17" s="500"/>
      <c r="WZR17" s="500"/>
      <c r="WZS17" s="500"/>
      <c r="WZT17" s="500"/>
      <c r="WZU17" s="500"/>
      <c r="WZV17" s="500"/>
      <c r="WZW17" s="500"/>
      <c r="WZX17" s="500"/>
      <c r="WZY17" s="500"/>
      <c r="WZZ17" s="500"/>
      <c r="XAA17" s="500"/>
      <c r="XAB17" s="500"/>
      <c r="XAC17" s="500"/>
      <c r="XAD17" s="500"/>
      <c r="XAE17" s="500"/>
      <c r="XAF17" s="500"/>
      <c r="XAG17" s="500"/>
      <c r="XAH17" s="500"/>
      <c r="XAI17" s="500"/>
      <c r="XAJ17" s="500"/>
      <c r="XAK17" s="500"/>
      <c r="XAL17" s="500"/>
      <c r="XAM17" s="500"/>
      <c r="XAN17" s="500"/>
      <c r="XAO17" s="500"/>
      <c r="XAP17" s="500"/>
      <c r="XAQ17" s="500"/>
      <c r="XAR17" s="500"/>
      <c r="XAS17" s="500"/>
      <c r="XAT17" s="500"/>
      <c r="XAU17" s="500"/>
      <c r="XAV17" s="500"/>
      <c r="XAW17" s="500"/>
      <c r="XAX17" s="500"/>
      <c r="XAY17" s="500"/>
      <c r="XAZ17" s="500"/>
      <c r="XBA17" s="500"/>
      <c r="XBB17" s="500"/>
      <c r="XBC17" s="500"/>
      <c r="XBD17" s="500"/>
      <c r="XBE17" s="500"/>
      <c r="XBF17" s="500"/>
      <c r="XBG17" s="500"/>
      <c r="XBH17" s="500"/>
      <c r="XBI17" s="500"/>
      <c r="XBJ17" s="500"/>
      <c r="XBK17" s="500"/>
      <c r="XBL17" s="500"/>
      <c r="XBM17" s="500"/>
      <c r="XBN17" s="500"/>
      <c r="XBO17" s="500"/>
      <c r="XBP17" s="500"/>
      <c r="XBQ17" s="500"/>
      <c r="XBR17" s="500"/>
      <c r="XBS17" s="500"/>
      <c r="XBT17" s="500"/>
      <c r="XBU17" s="500"/>
      <c r="XBV17" s="500"/>
      <c r="XBW17" s="500"/>
      <c r="XBX17" s="500"/>
      <c r="XBY17" s="500"/>
      <c r="XBZ17" s="500"/>
      <c r="XCA17" s="500"/>
      <c r="XCB17" s="500"/>
      <c r="XCC17" s="500"/>
      <c r="XCD17" s="500"/>
      <c r="XCE17" s="500"/>
    </row>
    <row r="18" spans="1:16307" s="500" customFormat="1" x14ac:dyDescent="0.2">
      <c r="A18" s="833">
        <v>315</v>
      </c>
      <c r="B18" s="834" t="s">
        <v>902</v>
      </c>
      <c r="C18" s="835">
        <v>1835.24</v>
      </c>
      <c r="D18" s="835">
        <v>2752.86</v>
      </c>
      <c r="E18" s="835">
        <v>4404.58</v>
      </c>
      <c r="F18" s="835">
        <v>6753.68</v>
      </c>
      <c r="G18" s="835">
        <v>7194.14</v>
      </c>
      <c r="H18" s="835">
        <v>9543.25</v>
      </c>
      <c r="I18" s="835">
        <v>13030.2</v>
      </c>
      <c r="J18" s="835">
        <v>8809.15</v>
      </c>
      <c r="K18" s="835">
        <v>7340.96</v>
      </c>
      <c r="L18" s="835">
        <v>5946.18</v>
      </c>
      <c r="M18" s="835">
        <v>4147.6400000000003</v>
      </c>
      <c r="N18" s="835">
        <v>2137.44</v>
      </c>
      <c r="O18" s="835">
        <v>1664.4</v>
      </c>
      <c r="P18" s="835">
        <v>3468.96</v>
      </c>
      <c r="Q18" s="835">
        <v>2978.4</v>
      </c>
      <c r="R18" s="835">
        <v>3451.44</v>
      </c>
      <c r="S18" s="835">
        <v>4344.96</v>
      </c>
      <c r="T18" s="835">
        <v>4348.46</v>
      </c>
      <c r="U18" s="835">
        <v>4372.99</v>
      </c>
      <c r="V18" s="835">
        <v>5098.32</v>
      </c>
      <c r="W18" s="835">
        <v>4432.5600000000004</v>
      </c>
      <c r="X18" s="835">
        <v>3363.84</v>
      </c>
      <c r="Y18" s="835">
        <v>1734.48</v>
      </c>
      <c r="Z18" s="835">
        <v>1243.92</v>
      </c>
      <c r="AA18" s="835">
        <v>1384.08</v>
      </c>
      <c r="AB18" s="835">
        <v>1804.56</v>
      </c>
      <c r="AC18" s="835">
        <v>3591.6</v>
      </c>
      <c r="AD18" s="835">
        <v>3574.08</v>
      </c>
      <c r="AE18" s="835">
        <v>4380</v>
      </c>
      <c r="AF18" s="835">
        <v>4607.76</v>
      </c>
      <c r="AG18" s="835">
        <v>6132</v>
      </c>
      <c r="AH18" s="835">
        <v>5352.36</v>
      </c>
      <c r="AI18" s="835">
        <v>4818</v>
      </c>
      <c r="AJ18" s="835">
        <v>3591.6</v>
      </c>
      <c r="AK18" s="835">
        <v>3066</v>
      </c>
      <c r="AL18" s="835">
        <v>1103.76</v>
      </c>
      <c r="AM18" s="835">
        <v>1243.92</v>
      </c>
      <c r="AN18" s="835">
        <v>2014.8</v>
      </c>
      <c r="AO18" s="835">
        <v>2785.68</v>
      </c>
      <c r="AP18" s="835">
        <v>4047.12</v>
      </c>
      <c r="AQ18" s="835">
        <v>4502.6400000000003</v>
      </c>
      <c r="AR18" s="835">
        <v>4362.4799999999996</v>
      </c>
      <c r="AS18" s="835">
        <v>8006.64</v>
      </c>
      <c r="AT18" s="835">
        <v>4292.3999999999996</v>
      </c>
      <c r="AU18" s="835">
        <v>5361.12</v>
      </c>
      <c r="AV18" s="835">
        <v>4344.96</v>
      </c>
      <c r="AW18" s="835">
        <v>1716.96</v>
      </c>
      <c r="AX18" s="835">
        <v>963.6</v>
      </c>
      <c r="AY18" s="835">
        <v>1226.4000000000001</v>
      </c>
    </row>
    <row r="19" spans="1:16307" s="500" customFormat="1" x14ac:dyDescent="0.2">
      <c r="A19" s="833" t="s">
        <v>892</v>
      </c>
      <c r="B19" s="834" t="s">
        <v>903</v>
      </c>
      <c r="C19" s="835">
        <v>0</v>
      </c>
      <c r="D19" s="835">
        <v>0</v>
      </c>
      <c r="E19" s="835">
        <v>0</v>
      </c>
      <c r="F19" s="835">
        <v>0</v>
      </c>
      <c r="G19" s="835">
        <v>0</v>
      </c>
      <c r="H19" s="835">
        <v>0</v>
      </c>
      <c r="I19" s="835">
        <v>0</v>
      </c>
      <c r="J19" s="835">
        <v>0</v>
      </c>
      <c r="K19" s="835">
        <v>0</v>
      </c>
      <c r="L19" s="835">
        <v>0</v>
      </c>
      <c r="M19" s="835">
        <v>0</v>
      </c>
      <c r="N19" s="835">
        <v>0</v>
      </c>
      <c r="O19" s="835">
        <v>0</v>
      </c>
      <c r="P19" s="835">
        <v>0</v>
      </c>
      <c r="Q19" s="835">
        <v>0</v>
      </c>
      <c r="R19" s="835">
        <v>0</v>
      </c>
      <c r="S19" s="835">
        <v>0</v>
      </c>
      <c r="T19" s="835">
        <v>0</v>
      </c>
      <c r="U19" s="835">
        <v>0</v>
      </c>
      <c r="V19" s="835">
        <v>0</v>
      </c>
      <c r="W19" s="835">
        <v>0</v>
      </c>
      <c r="X19" s="835">
        <v>0</v>
      </c>
      <c r="Y19" s="835">
        <v>4424.1499999999996</v>
      </c>
      <c r="Z19" s="835">
        <v>1274.76</v>
      </c>
      <c r="AA19" s="835">
        <v>1754.66</v>
      </c>
      <c r="AB19" s="835">
        <v>3584.31</v>
      </c>
      <c r="AC19" s="835">
        <v>3974.24</v>
      </c>
      <c r="AD19" s="835">
        <v>7213.61</v>
      </c>
      <c r="AE19" s="835">
        <v>8038.46</v>
      </c>
      <c r="AF19" s="835">
        <v>7483.56</v>
      </c>
      <c r="AG19" s="835">
        <v>10467.99</v>
      </c>
      <c r="AH19" s="835">
        <v>14829.71</v>
      </c>
      <c r="AI19" s="835">
        <v>15237.68</v>
      </c>
      <c r="AJ19" s="835">
        <v>8975.34</v>
      </c>
      <c r="AK19" s="835">
        <v>9424.1</v>
      </c>
      <c r="AL19" s="835">
        <v>6670.31</v>
      </c>
      <c r="AM19" s="835">
        <v>8322.59</v>
      </c>
      <c r="AN19" s="835">
        <v>10688.82</v>
      </c>
      <c r="AO19" s="835">
        <v>8791.75</v>
      </c>
      <c r="AP19" s="835">
        <v>11321.17</v>
      </c>
      <c r="AQ19" s="835">
        <v>12973.439999999999</v>
      </c>
      <c r="AR19" s="835">
        <v>9464.91</v>
      </c>
      <c r="AS19" s="835">
        <v>19687.449999999997</v>
      </c>
      <c r="AT19" s="835">
        <v>11035.59</v>
      </c>
      <c r="AU19" s="835">
        <v>13259.029999999999</v>
      </c>
      <c r="AV19" s="835">
        <v>8771.36</v>
      </c>
      <c r="AW19" s="835">
        <v>5303.6100000000006</v>
      </c>
      <c r="AX19" s="835">
        <v>6037.95</v>
      </c>
      <c r="AY19" s="835">
        <v>7017.09</v>
      </c>
      <c r="AZ19" s="501"/>
      <c r="BA19" s="501"/>
      <c r="BB19" s="501"/>
      <c r="BC19" s="501"/>
      <c r="BD19" s="501"/>
      <c r="BE19" s="501"/>
      <c r="BF19" s="501"/>
      <c r="BG19" s="501"/>
      <c r="BH19" s="501"/>
      <c r="BI19" s="501"/>
      <c r="BJ19" s="501"/>
      <c r="BK19" s="501"/>
      <c r="BL19" s="501"/>
      <c r="BM19" s="501"/>
      <c r="BN19" s="501"/>
      <c r="BO19" s="501"/>
      <c r="BP19" s="501"/>
      <c r="BQ19" s="501"/>
      <c r="BR19" s="501"/>
      <c r="BS19" s="501"/>
      <c r="BT19" s="501"/>
      <c r="BU19" s="501"/>
      <c r="BV19" s="501"/>
      <c r="BW19" s="501"/>
      <c r="BX19" s="501"/>
      <c r="BY19" s="501"/>
      <c r="BZ19" s="501"/>
      <c r="CA19" s="501"/>
      <c r="CB19" s="501"/>
      <c r="CC19" s="501"/>
      <c r="CD19" s="501"/>
      <c r="CE19" s="501"/>
      <c r="CF19" s="501"/>
      <c r="CG19" s="501"/>
      <c r="CH19" s="501"/>
      <c r="CI19" s="501"/>
      <c r="CJ19" s="501"/>
      <c r="CK19" s="501"/>
      <c r="CL19" s="501"/>
      <c r="CM19" s="501"/>
      <c r="CN19" s="501"/>
      <c r="CO19" s="501"/>
      <c r="CP19" s="501"/>
      <c r="CQ19" s="501"/>
      <c r="CR19" s="501"/>
      <c r="CS19" s="501"/>
      <c r="CT19" s="501"/>
      <c r="CU19" s="501"/>
      <c r="CV19" s="501"/>
      <c r="CW19" s="501"/>
      <c r="CX19" s="501"/>
      <c r="CY19" s="501"/>
      <c r="CZ19" s="501"/>
      <c r="DA19" s="501"/>
      <c r="DB19" s="501"/>
      <c r="DC19" s="501"/>
      <c r="DD19" s="501"/>
      <c r="DE19" s="501"/>
      <c r="DF19" s="501"/>
      <c r="DG19" s="501"/>
      <c r="DH19" s="501"/>
      <c r="DI19" s="501"/>
      <c r="DJ19" s="501"/>
      <c r="DK19" s="501"/>
      <c r="DL19" s="501"/>
      <c r="DM19" s="501"/>
      <c r="DN19" s="501"/>
      <c r="DO19" s="501"/>
      <c r="DP19" s="501"/>
      <c r="DQ19" s="501"/>
      <c r="DR19" s="501"/>
      <c r="DS19" s="501"/>
      <c r="DT19" s="501"/>
      <c r="DU19" s="501"/>
      <c r="DV19" s="501"/>
      <c r="DW19" s="501"/>
      <c r="DX19" s="501"/>
      <c r="DY19" s="501"/>
      <c r="DZ19" s="501"/>
      <c r="EA19" s="501"/>
      <c r="EB19" s="501"/>
      <c r="EC19" s="501"/>
      <c r="ED19" s="501"/>
      <c r="EE19" s="501"/>
      <c r="EF19" s="501"/>
      <c r="EG19" s="501"/>
      <c r="EH19" s="501"/>
      <c r="EI19" s="501"/>
      <c r="EJ19" s="501"/>
      <c r="EK19" s="501"/>
      <c r="EL19" s="501"/>
      <c r="EM19" s="501"/>
      <c r="EN19" s="501"/>
      <c r="EO19" s="501"/>
      <c r="EP19" s="501"/>
      <c r="EQ19" s="501"/>
      <c r="ER19" s="501"/>
      <c r="ES19" s="501"/>
      <c r="ET19" s="501"/>
      <c r="EU19" s="501"/>
      <c r="EV19" s="501"/>
      <c r="EW19" s="501"/>
      <c r="EX19" s="501"/>
      <c r="EY19" s="501"/>
      <c r="EZ19" s="501"/>
      <c r="FA19" s="501"/>
      <c r="FB19" s="501"/>
      <c r="FC19" s="501"/>
      <c r="FD19" s="501"/>
      <c r="FE19" s="501"/>
      <c r="FF19" s="501"/>
      <c r="FG19" s="501"/>
      <c r="FH19" s="501"/>
      <c r="FI19" s="501"/>
      <c r="FJ19" s="501"/>
      <c r="FK19" s="501"/>
      <c r="FL19" s="501"/>
      <c r="FM19" s="501"/>
      <c r="FN19" s="501"/>
      <c r="FO19" s="501"/>
      <c r="FP19" s="501"/>
      <c r="FQ19" s="501"/>
      <c r="FR19" s="501"/>
      <c r="FS19" s="501"/>
      <c r="FT19" s="501"/>
      <c r="FU19" s="501"/>
      <c r="FV19" s="501"/>
      <c r="FW19" s="501"/>
      <c r="FX19" s="501"/>
      <c r="FY19" s="501"/>
      <c r="FZ19" s="501"/>
      <c r="GA19" s="501"/>
      <c r="GB19" s="501"/>
      <c r="GC19" s="501"/>
      <c r="GD19" s="501"/>
      <c r="GE19" s="501"/>
      <c r="GF19" s="501"/>
      <c r="GG19" s="501"/>
      <c r="GH19" s="501"/>
      <c r="GI19" s="501"/>
      <c r="GJ19" s="501"/>
      <c r="GK19" s="501"/>
      <c r="GL19" s="501"/>
      <c r="GM19" s="501"/>
      <c r="GN19" s="501"/>
      <c r="GO19" s="501"/>
      <c r="GP19" s="501"/>
      <c r="GQ19" s="501"/>
      <c r="GR19" s="501"/>
      <c r="GS19" s="501"/>
      <c r="GT19" s="501"/>
      <c r="GU19" s="501"/>
      <c r="GV19" s="501"/>
      <c r="GW19" s="501"/>
      <c r="GX19" s="501"/>
      <c r="GY19" s="501"/>
      <c r="GZ19" s="501"/>
      <c r="HA19" s="501"/>
      <c r="HB19" s="501"/>
      <c r="HC19" s="501"/>
      <c r="HD19" s="501"/>
      <c r="HE19" s="501"/>
      <c r="HF19" s="501"/>
      <c r="HG19" s="501"/>
      <c r="HH19" s="501"/>
      <c r="HI19" s="501"/>
      <c r="HJ19" s="501"/>
      <c r="HK19" s="501"/>
      <c r="HL19" s="501"/>
      <c r="HM19" s="501"/>
      <c r="HN19" s="501"/>
      <c r="HO19" s="501"/>
      <c r="HP19" s="501"/>
      <c r="HQ19" s="501"/>
      <c r="HR19" s="501"/>
      <c r="HS19" s="501"/>
      <c r="HT19" s="501"/>
      <c r="HU19" s="501"/>
      <c r="HV19" s="501"/>
      <c r="HW19" s="501"/>
      <c r="HX19" s="501"/>
      <c r="HY19" s="501"/>
      <c r="HZ19" s="501"/>
      <c r="IA19" s="501"/>
      <c r="IB19" s="501"/>
      <c r="IC19" s="501"/>
      <c r="ID19" s="501"/>
      <c r="IE19" s="501"/>
      <c r="IF19" s="501"/>
      <c r="IG19" s="501"/>
      <c r="IH19" s="501"/>
      <c r="II19" s="501"/>
      <c r="IJ19" s="501"/>
      <c r="IK19" s="501"/>
      <c r="IL19" s="501"/>
      <c r="IM19" s="501"/>
      <c r="IN19" s="501"/>
      <c r="IO19" s="501"/>
      <c r="IP19" s="501"/>
      <c r="IQ19" s="501"/>
      <c r="IR19" s="501"/>
      <c r="IS19" s="501"/>
      <c r="IT19" s="501"/>
      <c r="IU19" s="501"/>
      <c r="IV19" s="501"/>
      <c r="IW19" s="501"/>
      <c r="IX19" s="501"/>
      <c r="IY19" s="501"/>
      <c r="IZ19" s="501"/>
      <c r="JA19" s="501"/>
      <c r="JB19" s="501"/>
      <c r="JC19" s="501"/>
      <c r="JD19" s="501"/>
      <c r="JE19" s="501"/>
      <c r="JF19" s="501"/>
      <c r="JG19" s="501"/>
      <c r="JH19" s="501"/>
      <c r="JI19" s="501"/>
      <c r="JJ19" s="501"/>
      <c r="JK19" s="501"/>
      <c r="JL19" s="501"/>
      <c r="JM19" s="501"/>
      <c r="JN19" s="501"/>
      <c r="JO19" s="501"/>
      <c r="JP19" s="501"/>
      <c r="JQ19" s="501"/>
      <c r="JR19" s="501"/>
      <c r="JS19" s="501"/>
      <c r="JT19" s="501"/>
      <c r="JU19" s="501"/>
      <c r="JV19" s="501"/>
      <c r="JW19" s="501"/>
      <c r="JX19" s="501"/>
      <c r="JY19" s="501"/>
      <c r="JZ19" s="501"/>
      <c r="KA19" s="501"/>
      <c r="KB19" s="501"/>
      <c r="KC19" s="501"/>
      <c r="KD19" s="501"/>
      <c r="KE19" s="501"/>
      <c r="KF19" s="501"/>
      <c r="KG19" s="501"/>
      <c r="KH19" s="501"/>
      <c r="KI19" s="501"/>
      <c r="KJ19" s="501"/>
      <c r="KK19" s="501"/>
      <c r="KL19" s="501"/>
      <c r="KM19" s="501"/>
      <c r="KN19" s="501"/>
      <c r="KO19" s="501"/>
      <c r="KP19" s="501"/>
      <c r="KQ19" s="501"/>
      <c r="KR19" s="501"/>
      <c r="KS19" s="501"/>
      <c r="KT19" s="501"/>
      <c r="KU19" s="501"/>
      <c r="KV19" s="501"/>
      <c r="KW19" s="501"/>
      <c r="KX19" s="501"/>
      <c r="KY19" s="501"/>
      <c r="KZ19" s="501"/>
      <c r="LA19" s="501"/>
      <c r="LB19" s="501"/>
      <c r="LC19" s="501"/>
      <c r="LD19" s="501"/>
      <c r="LE19" s="501"/>
      <c r="LF19" s="501"/>
      <c r="LG19" s="501"/>
      <c r="LH19" s="501"/>
      <c r="LI19" s="501"/>
      <c r="LJ19" s="501"/>
      <c r="LK19" s="501"/>
      <c r="LL19" s="501"/>
      <c r="LM19" s="501"/>
      <c r="LN19" s="501"/>
      <c r="LO19" s="501"/>
      <c r="LP19" s="501"/>
      <c r="LQ19" s="501"/>
      <c r="LR19" s="501"/>
      <c r="LS19" s="501"/>
      <c r="LT19" s="501"/>
      <c r="LU19" s="501"/>
      <c r="LV19" s="501"/>
      <c r="LW19" s="501"/>
      <c r="LX19" s="501"/>
      <c r="LY19" s="501"/>
      <c r="LZ19" s="501"/>
      <c r="MA19" s="501"/>
      <c r="MB19" s="501"/>
      <c r="MC19" s="501"/>
      <c r="MD19" s="501"/>
      <c r="ME19" s="501"/>
      <c r="MF19" s="501"/>
      <c r="MG19" s="501"/>
      <c r="MH19" s="501"/>
      <c r="MI19" s="501"/>
      <c r="MJ19" s="501"/>
      <c r="MK19" s="501"/>
      <c r="ML19" s="501"/>
      <c r="MM19" s="501"/>
      <c r="MN19" s="501"/>
      <c r="MO19" s="501"/>
      <c r="MP19" s="501"/>
      <c r="MQ19" s="501"/>
      <c r="MR19" s="501"/>
      <c r="MS19" s="501"/>
      <c r="MT19" s="501"/>
      <c r="MU19" s="501"/>
      <c r="MV19" s="501"/>
      <c r="MW19" s="501"/>
      <c r="MX19" s="501"/>
      <c r="MY19" s="501"/>
      <c r="MZ19" s="501"/>
      <c r="NA19" s="501"/>
      <c r="NB19" s="501"/>
      <c r="NC19" s="501"/>
      <c r="ND19" s="501"/>
      <c r="NE19" s="501"/>
      <c r="NF19" s="501"/>
      <c r="NG19" s="501"/>
      <c r="NH19" s="501"/>
      <c r="NI19" s="501"/>
      <c r="NJ19" s="501"/>
      <c r="NK19" s="501"/>
      <c r="NL19" s="501"/>
      <c r="NM19" s="501"/>
      <c r="NN19" s="501"/>
      <c r="NO19" s="501"/>
      <c r="NP19" s="501"/>
      <c r="NQ19" s="501"/>
      <c r="NR19" s="501"/>
      <c r="NS19" s="501"/>
      <c r="NT19" s="501"/>
      <c r="NU19" s="501"/>
      <c r="NV19" s="501"/>
      <c r="NW19" s="501"/>
      <c r="NX19" s="501"/>
      <c r="NY19" s="501"/>
      <c r="NZ19" s="501"/>
      <c r="OA19" s="501"/>
      <c r="OB19" s="501"/>
      <c r="OC19" s="501"/>
      <c r="OD19" s="501"/>
      <c r="OE19" s="501"/>
      <c r="OF19" s="501"/>
      <c r="OG19" s="501"/>
      <c r="OH19" s="501"/>
      <c r="OI19" s="501"/>
      <c r="OJ19" s="501"/>
      <c r="OK19" s="501"/>
      <c r="OL19" s="501"/>
      <c r="OM19" s="501"/>
      <c r="ON19" s="501"/>
      <c r="OO19" s="501"/>
      <c r="OP19" s="501"/>
      <c r="OQ19" s="501"/>
      <c r="OR19" s="501"/>
      <c r="OS19" s="501"/>
      <c r="OT19" s="501"/>
      <c r="OU19" s="501"/>
      <c r="OV19" s="501"/>
      <c r="OW19" s="501"/>
      <c r="OX19" s="501"/>
      <c r="OY19" s="501"/>
      <c r="OZ19" s="501"/>
      <c r="PA19" s="501"/>
      <c r="PB19" s="501"/>
      <c r="PC19" s="501"/>
      <c r="PD19" s="501"/>
      <c r="PE19" s="501"/>
      <c r="PF19" s="501"/>
      <c r="PG19" s="501"/>
      <c r="PH19" s="501"/>
      <c r="PI19" s="501"/>
      <c r="PJ19" s="501"/>
      <c r="PK19" s="501"/>
      <c r="PL19" s="501"/>
      <c r="PM19" s="501"/>
      <c r="PN19" s="501"/>
      <c r="PO19" s="501"/>
      <c r="PP19" s="501"/>
      <c r="PQ19" s="501"/>
      <c r="PR19" s="501"/>
      <c r="PS19" s="501"/>
      <c r="PT19" s="501"/>
      <c r="PU19" s="501"/>
      <c r="PV19" s="501"/>
      <c r="PW19" s="501"/>
      <c r="PX19" s="501"/>
      <c r="PY19" s="501"/>
      <c r="PZ19" s="501"/>
      <c r="QA19" s="501"/>
      <c r="QB19" s="501"/>
      <c r="QC19" s="501"/>
      <c r="QD19" s="501"/>
      <c r="QE19" s="501"/>
      <c r="QF19" s="501"/>
      <c r="QG19" s="501"/>
      <c r="QH19" s="501"/>
      <c r="QI19" s="501"/>
      <c r="QJ19" s="501"/>
      <c r="QK19" s="501"/>
      <c r="QL19" s="501"/>
      <c r="QM19" s="501"/>
      <c r="QN19" s="501"/>
      <c r="QO19" s="501"/>
      <c r="QP19" s="501"/>
      <c r="QQ19" s="501"/>
      <c r="QR19" s="501"/>
      <c r="QS19" s="501"/>
      <c r="QT19" s="501"/>
      <c r="QU19" s="501"/>
      <c r="QV19" s="501"/>
      <c r="QW19" s="501"/>
      <c r="QX19" s="501"/>
      <c r="QY19" s="501"/>
      <c r="QZ19" s="501"/>
      <c r="RA19" s="501"/>
      <c r="RB19" s="501"/>
      <c r="RC19" s="501"/>
      <c r="RD19" s="501"/>
      <c r="RE19" s="501"/>
      <c r="RF19" s="501"/>
      <c r="RG19" s="501"/>
      <c r="RH19" s="501"/>
      <c r="RI19" s="501"/>
      <c r="RJ19" s="501"/>
      <c r="RK19" s="501"/>
      <c r="RL19" s="501"/>
      <c r="RM19" s="501"/>
      <c r="RN19" s="501"/>
      <c r="RO19" s="501"/>
      <c r="RP19" s="501"/>
      <c r="RQ19" s="501"/>
      <c r="RR19" s="501"/>
      <c r="RS19" s="501"/>
      <c r="RT19" s="501"/>
      <c r="RU19" s="501"/>
      <c r="RV19" s="501"/>
      <c r="RW19" s="501"/>
      <c r="RX19" s="501"/>
      <c r="RY19" s="501"/>
      <c r="RZ19" s="501"/>
      <c r="SA19" s="501"/>
      <c r="SB19" s="501"/>
      <c r="SC19" s="501"/>
      <c r="SD19" s="501"/>
      <c r="SE19" s="501"/>
      <c r="SF19" s="501"/>
      <c r="SG19" s="501"/>
      <c r="SH19" s="501"/>
      <c r="SI19" s="501"/>
      <c r="SJ19" s="501"/>
      <c r="SK19" s="501"/>
      <c r="SL19" s="501"/>
      <c r="SM19" s="501"/>
      <c r="SN19" s="501"/>
      <c r="SO19" s="501"/>
      <c r="SP19" s="501"/>
      <c r="SQ19" s="501"/>
      <c r="SR19" s="501"/>
      <c r="SS19" s="501"/>
      <c r="ST19" s="501"/>
      <c r="SU19" s="501"/>
      <c r="SV19" s="501"/>
      <c r="SW19" s="501"/>
      <c r="SX19" s="501"/>
      <c r="SY19" s="501"/>
      <c r="SZ19" s="501"/>
      <c r="TA19" s="501"/>
      <c r="TB19" s="501"/>
      <c r="TC19" s="501"/>
      <c r="TD19" s="501"/>
      <c r="TE19" s="501"/>
      <c r="TF19" s="501"/>
      <c r="TG19" s="501"/>
      <c r="TH19" s="501"/>
      <c r="TI19" s="501"/>
      <c r="TJ19" s="501"/>
      <c r="TK19" s="501"/>
      <c r="TL19" s="501"/>
      <c r="TM19" s="501"/>
      <c r="TN19" s="501"/>
      <c r="TO19" s="501"/>
      <c r="TP19" s="501"/>
      <c r="TQ19" s="501"/>
      <c r="TR19" s="501"/>
      <c r="TS19" s="501"/>
      <c r="TT19" s="501"/>
      <c r="TU19" s="501"/>
      <c r="TV19" s="501"/>
      <c r="TW19" s="501"/>
      <c r="TX19" s="501"/>
      <c r="TY19" s="501"/>
      <c r="TZ19" s="501"/>
      <c r="UA19" s="501"/>
      <c r="UB19" s="501"/>
      <c r="UC19" s="501"/>
      <c r="UD19" s="501"/>
      <c r="UE19" s="501"/>
      <c r="UF19" s="501"/>
      <c r="UG19" s="501"/>
      <c r="UH19" s="501"/>
      <c r="UI19" s="501"/>
      <c r="UJ19" s="501"/>
      <c r="UK19" s="501"/>
      <c r="UL19" s="501"/>
      <c r="UM19" s="501"/>
      <c r="UN19" s="501"/>
      <c r="UO19" s="501"/>
      <c r="UP19" s="501"/>
      <c r="UQ19" s="501"/>
      <c r="UR19" s="501"/>
      <c r="US19" s="501"/>
      <c r="UT19" s="501"/>
      <c r="UU19" s="501"/>
      <c r="UV19" s="501"/>
      <c r="UW19" s="501"/>
      <c r="UX19" s="501"/>
      <c r="UY19" s="501"/>
      <c r="UZ19" s="501"/>
      <c r="VA19" s="501"/>
      <c r="VB19" s="501"/>
      <c r="VC19" s="501"/>
      <c r="VD19" s="501"/>
      <c r="VE19" s="501"/>
      <c r="VF19" s="501"/>
      <c r="VG19" s="501"/>
      <c r="VH19" s="501"/>
      <c r="VI19" s="501"/>
      <c r="VJ19" s="501"/>
      <c r="VK19" s="501"/>
      <c r="VL19" s="501"/>
      <c r="VM19" s="501"/>
      <c r="VN19" s="501"/>
      <c r="VO19" s="501"/>
      <c r="VP19" s="501"/>
      <c r="VQ19" s="501"/>
      <c r="VR19" s="501"/>
      <c r="VS19" s="501"/>
      <c r="VT19" s="501"/>
      <c r="VU19" s="501"/>
      <c r="VV19" s="501"/>
      <c r="VW19" s="501"/>
      <c r="VX19" s="501"/>
      <c r="VY19" s="501"/>
      <c r="VZ19" s="501"/>
      <c r="WA19" s="501"/>
      <c r="WB19" s="501"/>
      <c r="WC19" s="501"/>
      <c r="WD19" s="501"/>
      <c r="WE19" s="501"/>
      <c r="WF19" s="501"/>
      <c r="WG19" s="501"/>
      <c r="WH19" s="501"/>
      <c r="WI19" s="501"/>
      <c r="WJ19" s="501"/>
      <c r="WK19" s="501"/>
      <c r="WL19" s="501"/>
      <c r="WM19" s="501"/>
      <c r="WN19" s="501"/>
      <c r="WO19" s="501"/>
      <c r="WP19" s="501"/>
      <c r="WQ19" s="501"/>
      <c r="WR19" s="501"/>
      <c r="WS19" s="501"/>
      <c r="WT19" s="501"/>
      <c r="WU19" s="501"/>
      <c r="WV19" s="501"/>
      <c r="WW19" s="501"/>
      <c r="WX19" s="501"/>
      <c r="WY19" s="501"/>
      <c r="WZ19" s="501"/>
      <c r="XA19" s="501"/>
      <c r="XB19" s="501"/>
      <c r="XC19" s="501"/>
      <c r="XD19" s="501"/>
      <c r="XE19" s="501"/>
      <c r="XF19" s="501"/>
      <c r="XG19" s="501"/>
      <c r="XH19" s="501"/>
      <c r="XI19" s="501"/>
      <c r="XJ19" s="501"/>
      <c r="XK19" s="501"/>
      <c r="XL19" s="501"/>
      <c r="XM19" s="501"/>
      <c r="XN19" s="501"/>
      <c r="XO19" s="501"/>
      <c r="XP19" s="501"/>
      <c r="XQ19" s="501"/>
      <c r="XR19" s="501"/>
      <c r="XS19" s="501"/>
      <c r="XT19" s="501"/>
      <c r="XU19" s="501"/>
      <c r="XV19" s="501"/>
      <c r="XW19" s="501"/>
      <c r="XX19" s="501"/>
      <c r="XY19" s="501"/>
      <c r="XZ19" s="501"/>
      <c r="YA19" s="501"/>
      <c r="YB19" s="501"/>
      <c r="YC19" s="501"/>
      <c r="YD19" s="501"/>
      <c r="YE19" s="501"/>
      <c r="YF19" s="501"/>
      <c r="YG19" s="501"/>
      <c r="YH19" s="501"/>
      <c r="YI19" s="501"/>
      <c r="YJ19" s="501"/>
      <c r="YK19" s="501"/>
      <c r="YL19" s="501"/>
      <c r="YM19" s="501"/>
      <c r="YN19" s="501"/>
      <c r="YO19" s="501"/>
      <c r="YP19" s="501"/>
      <c r="YQ19" s="501"/>
      <c r="YR19" s="501"/>
      <c r="YS19" s="501"/>
      <c r="YT19" s="501"/>
      <c r="YU19" s="501"/>
      <c r="YV19" s="501"/>
      <c r="YW19" s="501"/>
      <c r="YX19" s="501"/>
      <c r="YY19" s="501"/>
      <c r="YZ19" s="501"/>
      <c r="ZA19" s="501"/>
      <c r="ZB19" s="501"/>
      <c r="ZC19" s="501"/>
      <c r="ZD19" s="501"/>
      <c r="ZE19" s="501"/>
      <c r="ZF19" s="501"/>
      <c r="ZG19" s="501"/>
      <c r="ZH19" s="501"/>
      <c r="ZI19" s="501"/>
      <c r="ZJ19" s="501"/>
      <c r="ZK19" s="501"/>
      <c r="ZL19" s="501"/>
      <c r="ZM19" s="501"/>
      <c r="ZN19" s="501"/>
      <c r="ZO19" s="501"/>
      <c r="ZP19" s="501"/>
      <c r="ZQ19" s="501"/>
      <c r="ZR19" s="501"/>
      <c r="ZS19" s="501"/>
      <c r="ZT19" s="501"/>
      <c r="ZU19" s="501"/>
      <c r="ZV19" s="501"/>
      <c r="ZW19" s="501"/>
      <c r="ZX19" s="501"/>
      <c r="ZY19" s="501"/>
      <c r="ZZ19" s="501"/>
      <c r="AAA19" s="501"/>
      <c r="AAB19" s="501"/>
      <c r="AAC19" s="501"/>
      <c r="AAD19" s="501"/>
      <c r="AAE19" s="501"/>
      <c r="AAF19" s="501"/>
      <c r="AAG19" s="501"/>
      <c r="AAH19" s="501"/>
      <c r="AAI19" s="501"/>
      <c r="AAJ19" s="501"/>
      <c r="AAK19" s="501"/>
      <c r="AAL19" s="501"/>
      <c r="AAM19" s="501"/>
      <c r="AAN19" s="501"/>
      <c r="AAO19" s="501"/>
      <c r="AAP19" s="501"/>
      <c r="AAQ19" s="501"/>
      <c r="AAR19" s="501"/>
      <c r="AAS19" s="501"/>
      <c r="AAT19" s="501"/>
      <c r="AAU19" s="501"/>
      <c r="AAV19" s="501"/>
      <c r="AAW19" s="501"/>
      <c r="AAX19" s="501"/>
      <c r="AAY19" s="501"/>
      <c r="AAZ19" s="501"/>
      <c r="ABA19" s="501"/>
      <c r="ABB19" s="501"/>
      <c r="ABC19" s="501"/>
      <c r="ABD19" s="501"/>
      <c r="ABE19" s="501"/>
      <c r="ABF19" s="501"/>
      <c r="ABG19" s="501"/>
      <c r="ABH19" s="501"/>
      <c r="ABI19" s="501"/>
      <c r="ABJ19" s="501"/>
      <c r="ABK19" s="501"/>
      <c r="ABL19" s="501"/>
      <c r="ABM19" s="501"/>
      <c r="ABN19" s="501"/>
      <c r="ABO19" s="501"/>
      <c r="ABP19" s="501"/>
      <c r="ABQ19" s="501"/>
      <c r="ABR19" s="501"/>
      <c r="ABS19" s="501"/>
      <c r="ABT19" s="501"/>
      <c r="ABU19" s="501"/>
      <c r="ABV19" s="501"/>
      <c r="ABW19" s="501"/>
      <c r="ABX19" s="501"/>
      <c r="ABY19" s="501"/>
      <c r="ABZ19" s="501"/>
      <c r="ACA19" s="501"/>
      <c r="ACB19" s="501"/>
      <c r="ACC19" s="501"/>
      <c r="ACD19" s="501"/>
      <c r="ACE19" s="501"/>
      <c r="ACF19" s="501"/>
      <c r="ACG19" s="501"/>
      <c r="ACH19" s="501"/>
      <c r="ACI19" s="501"/>
      <c r="ACJ19" s="501"/>
      <c r="ACK19" s="501"/>
      <c r="ACL19" s="501"/>
      <c r="ACM19" s="501"/>
      <c r="ACN19" s="501"/>
      <c r="ACO19" s="501"/>
      <c r="ACP19" s="501"/>
      <c r="ACQ19" s="501"/>
      <c r="ACR19" s="501"/>
      <c r="ACS19" s="501"/>
      <c r="ACT19" s="501"/>
      <c r="ACU19" s="501"/>
      <c r="ACV19" s="501"/>
      <c r="ACW19" s="501"/>
      <c r="ACX19" s="501"/>
      <c r="ACY19" s="501"/>
      <c r="ACZ19" s="501"/>
      <c r="ADA19" s="501"/>
      <c r="ADB19" s="501"/>
      <c r="ADC19" s="501"/>
      <c r="ADD19" s="501"/>
      <c r="ADE19" s="501"/>
      <c r="ADF19" s="501"/>
      <c r="ADG19" s="501"/>
      <c r="ADH19" s="501"/>
      <c r="ADI19" s="501"/>
      <c r="ADJ19" s="501"/>
      <c r="ADK19" s="501"/>
      <c r="ADL19" s="501"/>
      <c r="ADM19" s="501"/>
      <c r="ADN19" s="501"/>
      <c r="ADO19" s="501"/>
      <c r="ADP19" s="501"/>
      <c r="ADQ19" s="501"/>
      <c r="ADR19" s="501"/>
      <c r="ADS19" s="501"/>
      <c r="ADT19" s="501"/>
      <c r="ADU19" s="501"/>
      <c r="ADV19" s="501"/>
      <c r="ADW19" s="501"/>
      <c r="ADX19" s="501"/>
      <c r="ADY19" s="501"/>
      <c r="ADZ19" s="501"/>
      <c r="AEA19" s="501"/>
      <c r="AEB19" s="501"/>
      <c r="AEC19" s="501"/>
      <c r="AED19" s="501"/>
      <c r="AEE19" s="501"/>
      <c r="AEF19" s="501"/>
      <c r="AEG19" s="501"/>
      <c r="AEH19" s="501"/>
      <c r="AEI19" s="501"/>
      <c r="AEJ19" s="501"/>
      <c r="AEK19" s="501"/>
      <c r="AEL19" s="501"/>
      <c r="AEM19" s="501"/>
      <c r="AEN19" s="501"/>
      <c r="AEO19" s="501"/>
      <c r="AEP19" s="501"/>
      <c r="AEQ19" s="501"/>
      <c r="AER19" s="501"/>
      <c r="AES19" s="501"/>
      <c r="AET19" s="501"/>
      <c r="AEU19" s="501"/>
      <c r="AEV19" s="501"/>
      <c r="AEW19" s="501"/>
      <c r="AEX19" s="501"/>
      <c r="AEY19" s="501"/>
      <c r="AEZ19" s="501"/>
      <c r="AFA19" s="501"/>
      <c r="AFB19" s="501"/>
      <c r="AFC19" s="501"/>
      <c r="AFD19" s="501"/>
      <c r="AFE19" s="501"/>
      <c r="AFF19" s="501"/>
      <c r="AFG19" s="501"/>
      <c r="AFH19" s="501"/>
      <c r="AFI19" s="501"/>
      <c r="AFJ19" s="501"/>
      <c r="AFK19" s="501"/>
      <c r="AFL19" s="501"/>
      <c r="AFM19" s="501"/>
      <c r="AFN19" s="501"/>
      <c r="AFO19" s="501"/>
      <c r="AFP19" s="501"/>
      <c r="AFQ19" s="501"/>
      <c r="AFR19" s="501"/>
      <c r="AFS19" s="501"/>
      <c r="AFT19" s="501"/>
      <c r="AFU19" s="501"/>
      <c r="AFV19" s="501"/>
      <c r="AFW19" s="501"/>
      <c r="AFX19" s="501"/>
      <c r="AFY19" s="501"/>
      <c r="AFZ19" s="501"/>
      <c r="AGA19" s="501"/>
      <c r="AGB19" s="501"/>
      <c r="AGC19" s="501"/>
      <c r="AGD19" s="501"/>
      <c r="AGE19" s="501"/>
      <c r="AGF19" s="501"/>
      <c r="AGG19" s="501"/>
      <c r="AGH19" s="501"/>
      <c r="AGI19" s="501"/>
      <c r="AGJ19" s="501"/>
      <c r="AGK19" s="501"/>
      <c r="AGL19" s="501"/>
      <c r="AGM19" s="501"/>
      <c r="AGN19" s="501"/>
      <c r="AGO19" s="501"/>
      <c r="AGP19" s="501"/>
      <c r="AGQ19" s="501"/>
      <c r="AGR19" s="501"/>
      <c r="AGS19" s="501"/>
      <c r="AGT19" s="501"/>
      <c r="AGU19" s="501"/>
      <c r="AGV19" s="501"/>
      <c r="AGW19" s="501"/>
      <c r="AGX19" s="501"/>
      <c r="AGY19" s="501"/>
      <c r="AGZ19" s="501"/>
      <c r="AHA19" s="501"/>
      <c r="AHB19" s="501"/>
      <c r="AHC19" s="501"/>
      <c r="AHD19" s="501"/>
      <c r="AHE19" s="501"/>
      <c r="AHF19" s="501"/>
      <c r="AHG19" s="501"/>
      <c r="AHH19" s="501"/>
      <c r="AHI19" s="501"/>
      <c r="AHJ19" s="501"/>
      <c r="AHK19" s="501"/>
      <c r="AHL19" s="501"/>
      <c r="AHM19" s="501"/>
      <c r="AHN19" s="501"/>
      <c r="AHO19" s="501"/>
      <c r="AHP19" s="501"/>
      <c r="AHQ19" s="501"/>
      <c r="AHR19" s="501"/>
      <c r="AHS19" s="501"/>
      <c r="AHT19" s="501"/>
      <c r="AHU19" s="501"/>
      <c r="AHV19" s="501"/>
      <c r="AHW19" s="501"/>
      <c r="AHX19" s="501"/>
      <c r="AHY19" s="501"/>
      <c r="AHZ19" s="501"/>
      <c r="AIA19" s="501"/>
      <c r="AIB19" s="501"/>
      <c r="AIC19" s="501"/>
      <c r="AID19" s="501"/>
      <c r="AIE19" s="501"/>
      <c r="AIF19" s="501"/>
      <c r="AIG19" s="501"/>
      <c r="AIH19" s="501"/>
      <c r="AII19" s="501"/>
      <c r="AIJ19" s="501"/>
      <c r="AIK19" s="501"/>
      <c r="AIL19" s="501"/>
      <c r="AIM19" s="501"/>
      <c r="AIN19" s="501"/>
      <c r="AIO19" s="501"/>
      <c r="AIP19" s="501"/>
      <c r="AIQ19" s="501"/>
      <c r="AIR19" s="501"/>
      <c r="AIS19" s="501"/>
      <c r="AIT19" s="501"/>
      <c r="AIU19" s="501"/>
      <c r="AIV19" s="501"/>
      <c r="AIW19" s="501"/>
      <c r="AIX19" s="501"/>
      <c r="AIY19" s="501"/>
      <c r="AIZ19" s="501"/>
      <c r="AJA19" s="501"/>
      <c r="AJB19" s="501"/>
      <c r="AJC19" s="501"/>
      <c r="AJD19" s="501"/>
      <c r="AJE19" s="501"/>
      <c r="AJF19" s="501"/>
      <c r="AJG19" s="501"/>
      <c r="AJH19" s="501"/>
      <c r="AJI19" s="501"/>
      <c r="AJJ19" s="501"/>
      <c r="AJK19" s="501"/>
      <c r="AJL19" s="501"/>
      <c r="AJM19" s="501"/>
      <c r="AJN19" s="501"/>
      <c r="AJO19" s="501"/>
      <c r="AJP19" s="501"/>
      <c r="AJQ19" s="501"/>
      <c r="AJR19" s="501"/>
      <c r="AJS19" s="501"/>
      <c r="AJT19" s="501"/>
      <c r="AJU19" s="501"/>
      <c r="AJV19" s="501"/>
      <c r="AJW19" s="501"/>
      <c r="AJX19" s="501"/>
      <c r="AJY19" s="501"/>
      <c r="AJZ19" s="501"/>
      <c r="AKA19" s="501"/>
      <c r="AKB19" s="501"/>
      <c r="AKC19" s="501"/>
      <c r="AKD19" s="501"/>
      <c r="AKE19" s="501"/>
      <c r="AKF19" s="501"/>
      <c r="AKG19" s="501"/>
      <c r="AKH19" s="501"/>
      <c r="AKI19" s="501"/>
      <c r="AKJ19" s="501"/>
      <c r="AKK19" s="501"/>
      <c r="AKL19" s="501"/>
      <c r="AKM19" s="501"/>
      <c r="AKN19" s="501"/>
      <c r="AKO19" s="501"/>
      <c r="AKP19" s="501"/>
      <c r="AKQ19" s="501"/>
      <c r="AKR19" s="501"/>
      <c r="AKS19" s="501"/>
      <c r="AKT19" s="501"/>
      <c r="AKU19" s="501"/>
      <c r="AKV19" s="501"/>
      <c r="AKW19" s="501"/>
      <c r="AKX19" s="501"/>
      <c r="AKY19" s="501"/>
      <c r="AKZ19" s="501"/>
      <c r="ALA19" s="501"/>
      <c r="ALB19" s="501"/>
      <c r="ALC19" s="501"/>
      <c r="ALD19" s="501"/>
      <c r="ALE19" s="501"/>
      <c r="ALF19" s="501"/>
      <c r="ALG19" s="501"/>
      <c r="ALH19" s="501"/>
      <c r="ALI19" s="501"/>
      <c r="ALJ19" s="501"/>
      <c r="ALK19" s="501"/>
      <c r="ALL19" s="501"/>
      <c r="ALM19" s="501"/>
      <c r="ALN19" s="501"/>
      <c r="ALO19" s="501"/>
      <c r="ALP19" s="501"/>
      <c r="ALQ19" s="501"/>
      <c r="ALR19" s="501"/>
      <c r="ALS19" s="501"/>
      <c r="ALT19" s="501"/>
      <c r="ALU19" s="501"/>
      <c r="ALV19" s="501"/>
      <c r="ALW19" s="501"/>
      <c r="ALX19" s="501"/>
      <c r="ALY19" s="501"/>
      <c r="ALZ19" s="501"/>
      <c r="AMA19" s="501"/>
      <c r="AMB19" s="501"/>
      <c r="AMC19" s="501"/>
      <c r="AMD19" s="501"/>
      <c r="AME19" s="501"/>
      <c r="AMF19" s="501"/>
      <c r="AMG19" s="501"/>
      <c r="AMH19" s="501"/>
      <c r="AMI19" s="501"/>
      <c r="AMJ19" s="501"/>
      <c r="AMK19" s="501"/>
      <c r="AML19" s="501"/>
      <c r="AMM19" s="501"/>
      <c r="AMN19" s="501"/>
      <c r="AMO19" s="501"/>
      <c r="AMP19" s="501"/>
      <c r="AMQ19" s="501"/>
      <c r="AMR19" s="501"/>
      <c r="AMS19" s="501"/>
      <c r="AMT19" s="501"/>
      <c r="AMU19" s="501"/>
      <c r="AMV19" s="501"/>
      <c r="AMW19" s="501"/>
      <c r="AMX19" s="501"/>
      <c r="AMY19" s="501"/>
      <c r="AMZ19" s="501"/>
      <c r="ANA19" s="501"/>
      <c r="ANB19" s="501"/>
      <c r="ANC19" s="501"/>
      <c r="AND19" s="501"/>
      <c r="ANE19" s="501"/>
      <c r="ANF19" s="501"/>
      <c r="ANG19" s="501"/>
      <c r="ANH19" s="501"/>
      <c r="ANI19" s="501"/>
      <c r="ANJ19" s="501"/>
      <c r="ANK19" s="501"/>
      <c r="ANL19" s="501"/>
      <c r="ANM19" s="501"/>
      <c r="ANN19" s="501"/>
      <c r="ANO19" s="501"/>
      <c r="ANP19" s="501"/>
      <c r="ANQ19" s="501"/>
      <c r="ANR19" s="501"/>
      <c r="ANS19" s="501"/>
      <c r="ANT19" s="501"/>
      <c r="ANU19" s="501"/>
      <c r="ANV19" s="501"/>
      <c r="ANW19" s="501"/>
      <c r="ANX19" s="501"/>
      <c r="ANY19" s="501"/>
      <c r="ANZ19" s="501"/>
      <c r="AOA19" s="501"/>
      <c r="AOB19" s="501"/>
      <c r="AOC19" s="501"/>
      <c r="AOD19" s="501"/>
      <c r="AOE19" s="501"/>
      <c r="AOF19" s="501"/>
      <c r="AOG19" s="501"/>
      <c r="AOH19" s="501"/>
      <c r="AOI19" s="501"/>
      <c r="AOJ19" s="501"/>
      <c r="AOK19" s="501"/>
      <c r="AOL19" s="501"/>
      <c r="AOM19" s="501"/>
      <c r="AON19" s="501"/>
      <c r="AOO19" s="501"/>
      <c r="AOP19" s="501"/>
      <c r="AOQ19" s="501"/>
      <c r="AOR19" s="501"/>
      <c r="AOS19" s="501"/>
      <c r="AOT19" s="501"/>
      <c r="AOU19" s="501"/>
      <c r="AOV19" s="501"/>
      <c r="AOW19" s="501"/>
      <c r="AOX19" s="501"/>
      <c r="AOY19" s="501"/>
      <c r="AOZ19" s="501"/>
      <c r="APA19" s="501"/>
      <c r="APB19" s="501"/>
      <c r="APC19" s="501"/>
      <c r="APD19" s="501"/>
      <c r="APE19" s="501"/>
      <c r="APF19" s="501"/>
      <c r="APG19" s="501"/>
      <c r="APH19" s="501"/>
      <c r="API19" s="501"/>
      <c r="APJ19" s="501"/>
      <c r="APK19" s="501"/>
      <c r="APL19" s="501"/>
      <c r="APM19" s="501"/>
      <c r="APN19" s="501"/>
      <c r="APO19" s="501"/>
      <c r="APP19" s="501"/>
      <c r="APQ19" s="501"/>
      <c r="APR19" s="501"/>
      <c r="APS19" s="501"/>
      <c r="APT19" s="501"/>
      <c r="APU19" s="501"/>
      <c r="APV19" s="501"/>
      <c r="APW19" s="501"/>
      <c r="APX19" s="501"/>
      <c r="APY19" s="501"/>
      <c r="APZ19" s="501"/>
      <c r="AQA19" s="501"/>
      <c r="AQB19" s="501"/>
      <c r="AQC19" s="501"/>
      <c r="AQD19" s="501"/>
      <c r="AQE19" s="501"/>
      <c r="AQF19" s="501"/>
      <c r="AQG19" s="501"/>
      <c r="AQH19" s="501"/>
      <c r="AQI19" s="501"/>
      <c r="AQJ19" s="501"/>
      <c r="AQK19" s="501"/>
      <c r="AQL19" s="501"/>
      <c r="AQM19" s="501"/>
      <c r="AQN19" s="501"/>
      <c r="AQO19" s="501"/>
      <c r="AQP19" s="501"/>
      <c r="AQQ19" s="501"/>
      <c r="AQR19" s="501"/>
      <c r="AQS19" s="501"/>
      <c r="AQT19" s="501"/>
      <c r="AQU19" s="501"/>
      <c r="AQV19" s="501"/>
      <c r="AQW19" s="501"/>
      <c r="AQX19" s="501"/>
      <c r="AQY19" s="501"/>
      <c r="AQZ19" s="501"/>
      <c r="ARA19" s="501"/>
      <c r="ARB19" s="501"/>
      <c r="ARC19" s="501"/>
      <c r="ARD19" s="501"/>
      <c r="ARE19" s="501"/>
      <c r="ARF19" s="501"/>
      <c r="ARG19" s="501"/>
      <c r="ARH19" s="501"/>
      <c r="ARI19" s="501"/>
      <c r="ARJ19" s="501"/>
      <c r="ARK19" s="501"/>
      <c r="ARL19" s="501"/>
      <c r="ARM19" s="501"/>
      <c r="ARN19" s="501"/>
      <c r="ARO19" s="501"/>
      <c r="ARP19" s="501"/>
      <c r="ARQ19" s="501"/>
      <c r="ARR19" s="501"/>
      <c r="ARS19" s="501"/>
      <c r="ART19" s="501"/>
      <c r="ARU19" s="501"/>
      <c r="ARV19" s="501"/>
      <c r="ARW19" s="501"/>
      <c r="ARX19" s="501"/>
      <c r="ARY19" s="501"/>
      <c r="ARZ19" s="501"/>
      <c r="ASA19" s="501"/>
      <c r="ASB19" s="501"/>
      <c r="ASC19" s="501"/>
      <c r="ASD19" s="501"/>
      <c r="ASE19" s="501"/>
      <c r="ASF19" s="501"/>
      <c r="ASG19" s="501"/>
      <c r="ASH19" s="501"/>
      <c r="ASI19" s="501"/>
      <c r="ASJ19" s="501"/>
      <c r="ASK19" s="501"/>
      <c r="ASL19" s="501"/>
      <c r="ASM19" s="501"/>
      <c r="ASN19" s="501"/>
      <c r="ASO19" s="501"/>
      <c r="ASP19" s="501"/>
      <c r="ASQ19" s="501"/>
      <c r="ASR19" s="501"/>
      <c r="ASS19" s="501"/>
      <c r="AST19" s="501"/>
      <c r="ASU19" s="501"/>
      <c r="ASV19" s="501"/>
      <c r="ASW19" s="501"/>
      <c r="ASX19" s="501"/>
      <c r="ASY19" s="501"/>
      <c r="ASZ19" s="501"/>
      <c r="ATA19" s="501"/>
      <c r="ATB19" s="501"/>
      <c r="ATC19" s="501"/>
      <c r="ATD19" s="501"/>
      <c r="ATE19" s="501"/>
      <c r="ATF19" s="501"/>
      <c r="ATG19" s="501"/>
      <c r="ATH19" s="501"/>
      <c r="ATI19" s="501"/>
      <c r="ATJ19" s="501"/>
      <c r="ATK19" s="501"/>
      <c r="ATL19" s="501"/>
      <c r="ATM19" s="501"/>
      <c r="ATN19" s="501"/>
      <c r="ATO19" s="501"/>
      <c r="ATP19" s="501"/>
      <c r="ATQ19" s="501"/>
      <c r="ATR19" s="501"/>
      <c r="ATS19" s="501"/>
      <c r="ATT19" s="501"/>
      <c r="ATU19" s="501"/>
      <c r="ATV19" s="501"/>
      <c r="ATW19" s="501"/>
      <c r="ATX19" s="501"/>
      <c r="ATY19" s="501"/>
      <c r="ATZ19" s="501"/>
      <c r="AUA19" s="501"/>
      <c r="AUB19" s="501"/>
      <c r="AUC19" s="501"/>
      <c r="AUD19" s="501"/>
      <c r="AUE19" s="501"/>
      <c r="AUF19" s="501"/>
      <c r="AUG19" s="501"/>
      <c r="AUH19" s="501"/>
      <c r="AUI19" s="501"/>
      <c r="AUJ19" s="501"/>
      <c r="AUK19" s="501"/>
      <c r="AUL19" s="501"/>
      <c r="AUM19" s="501"/>
      <c r="AUN19" s="501"/>
      <c r="AUO19" s="501"/>
      <c r="AUP19" s="501"/>
      <c r="AUQ19" s="501"/>
      <c r="AUR19" s="501"/>
      <c r="AUS19" s="501"/>
      <c r="AUT19" s="501"/>
      <c r="AUU19" s="501"/>
      <c r="AUV19" s="501"/>
      <c r="AUW19" s="501"/>
      <c r="AUX19" s="501"/>
      <c r="AUY19" s="501"/>
      <c r="AUZ19" s="501"/>
      <c r="AVA19" s="501"/>
      <c r="AVB19" s="501"/>
      <c r="AVC19" s="501"/>
      <c r="AVD19" s="501"/>
      <c r="AVE19" s="501"/>
      <c r="AVF19" s="501"/>
      <c r="AVG19" s="501"/>
      <c r="AVH19" s="501"/>
      <c r="AVI19" s="501"/>
      <c r="AVJ19" s="501"/>
      <c r="AVK19" s="501"/>
      <c r="AVL19" s="501"/>
      <c r="AVM19" s="501"/>
      <c r="AVN19" s="501"/>
      <c r="AVO19" s="501"/>
      <c r="AVP19" s="501"/>
      <c r="AVQ19" s="501"/>
      <c r="AVR19" s="501"/>
      <c r="AVS19" s="501"/>
      <c r="AVT19" s="501"/>
      <c r="AVU19" s="501"/>
      <c r="AVV19" s="501"/>
      <c r="AVW19" s="501"/>
      <c r="AVX19" s="501"/>
      <c r="AVY19" s="501"/>
      <c r="AVZ19" s="501"/>
      <c r="AWA19" s="501"/>
      <c r="AWB19" s="501"/>
      <c r="AWC19" s="501"/>
      <c r="AWD19" s="501"/>
      <c r="AWE19" s="501"/>
      <c r="AWF19" s="501"/>
      <c r="AWG19" s="501"/>
      <c r="AWH19" s="501"/>
      <c r="AWI19" s="501"/>
      <c r="AWJ19" s="501"/>
      <c r="AWK19" s="501"/>
      <c r="AWL19" s="501"/>
      <c r="AWM19" s="501"/>
      <c r="AWN19" s="501"/>
      <c r="AWO19" s="501"/>
      <c r="AWP19" s="501"/>
      <c r="AWQ19" s="501"/>
      <c r="AWR19" s="501"/>
      <c r="AWS19" s="501"/>
      <c r="AWT19" s="501"/>
      <c r="AWU19" s="501"/>
      <c r="AWV19" s="501"/>
      <c r="AWW19" s="501"/>
      <c r="AWX19" s="501"/>
      <c r="AWY19" s="501"/>
      <c r="AWZ19" s="501"/>
      <c r="AXA19" s="501"/>
      <c r="AXB19" s="501"/>
      <c r="AXC19" s="501"/>
      <c r="AXD19" s="501"/>
      <c r="AXE19" s="501"/>
      <c r="AXF19" s="501"/>
      <c r="AXG19" s="501"/>
      <c r="AXH19" s="501"/>
      <c r="AXI19" s="501"/>
      <c r="AXJ19" s="501"/>
      <c r="AXK19" s="501"/>
      <c r="AXL19" s="501"/>
      <c r="AXM19" s="501"/>
      <c r="AXN19" s="501"/>
      <c r="AXO19" s="501"/>
      <c r="AXP19" s="501"/>
      <c r="AXQ19" s="501"/>
      <c r="AXR19" s="501"/>
      <c r="AXS19" s="501"/>
      <c r="AXT19" s="501"/>
      <c r="AXU19" s="501"/>
      <c r="AXV19" s="501"/>
      <c r="AXW19" s="501"/>
      <c r="AXX19" s="501"/>
      <c r="AXY19" s="501"/>
      <c r="AXZ19" s="501"/>
      <c r="AYA19" s="501"/>
      <c r="AYB19" s="501"/>
      <c r="AYC19" s="501"/>
      <c r="AYD19" s="501"/>
      <c r="AYE19" s="501"/>
      <c r="AYF19" s="501"/>
      <c r="AYG19" s="501"/>
      <c r="AYH19" s="501"/>
      <c r="AYI19" s="501"/>
      <c r="AYJ19" s="501"/>
      <c r="AYK19" s="501"/>
      <c r="AYL19" s="501"/>
      <c r="AYM19" s="501"/>
      <c r="AYN19" s="501"/>
      <c r="AYO19" s="501"/>
      <c r="AYP19" s="501"/>
      <c r="AYQ19" s="501"/>
      <c r="AYR19" s="501"/>
      <c r="AYS19" s="501"/>
      <c r="AYT19" s="501"/>
      <c r="AYU19" s="501"/>
      <c r="AYV19" s="501"/>
      <c r="AYW19" s="501"/>
      <c r="AYX19" s="501"/>
      <c r="AYY19" s="501"/>
      <c r="AYZ19" s="501"/>
      <c r="AZA19" s="501"/>
      <c r="AZB19" s="501"/>
      <c r="AZC19" s="501"/>
      <c r="AZD19" s="501"/>
      <c r="AZE19" s="501"/>
      <c r="AZF19" s="501"/>
      <c r="AZG19" s="501"/>
      <c r="AZH19" s="501"/>
      <c r="AZI19" s="501"/>
      <c r="AZJ19" s="501"/>
      <c r="AZK19" s="501"/>
      <c r="AZL19" s="501"/>
      <c r="AZM19" s="501"/>
      <c r="AZN19" s="501"/>
      <c r="AZO19" s="501"/>
      <c r="AZP19" s="501"/>
      <c r="AZQ19" s="501"/>
      <c r="AZR19" s="501"/>
      <c r="AZS19" s="501"/>
      <c r="AZT19" s="501"/>
      <c r="AZU19" s="501"/>
      <c r="AZV19" s="501"/>
      <c r="AZW19" s="501"/>
      <c r="AZX19" s="501"/>
      <c r="AZY19" s="501"/>
      <c r="AZZ19" s="501"/>
      <c r="BAA19" s="501"/>
      <c r="BAB19" s="501"/>
      <c r="BAC19" s="501"/>
      <c r="BAD19" s="501"/>
      <c r="BAE19" s="501"/>
      <c r="BAF19" s="501"/>
      <c r="BAG19" s="501"/>
      <c r="BAH19" s="501"/>
      <c r="BAI19" s="501"/>
      <c r="BAJ19" s="501"/>
      <c r="BAK19" s="501"/>
      <c r="BAL19" s="501"/>
      <c r="BAM19" s="501"/>
      <c r="BAN19" s="501"/>
      <c r="BAO19" s="501"/>
      <c r="BAP19" s="501"/>
      <c r="BAQ19" s="501"/>
      <c r="BAR19" s="501"/>
      <c r="BAS19" s="501"/>
      <c r="BAT19" s="501"/>
      <c r="BAU19" s="501"/>
      <c r="BAV19" s="501"/>
      <c r="BAW19" s="501"/>
      <c r="BAX19" s="501"/>
      <c r="BAY19" s="501"/>
      <c r="BAZ19" s="501"/>
      <c r="BBA19" s="501"/>
      <c r="BBB19" s="501"/>
      <c r="BBC19" s="501"/>
      <c r="BBD19" s="501"/>
      <c r="BBE19" s="501"/>
      <c r="BBF19" s="501"/>
      <c r="BBG19" s="501"/>
      <c r="BBH19" s="501"/>
      <c r="BBI19" s="501"/>
      <c r="BBJ19" s="501"/>
      <c r="BBK19" s="501"/>
      <c r="BBL19" s="501"/>
      <c r="BBM19" s="501"/>
      <c r="BBN19" s="501"/>
      <c r="BBO19" s="501"/>
      <c r="BBP19" s="501"/>
      <c r="BBQ19" s="501"/>
      <c r="BBR19" s="501"/>
      <c r="BBS19" s="501"/>
      <c r="BBT19" s="501"/>
      <c r="BBU19" s="501"/>
      <c r="BBV19" s="501"/>
      <c r="BBW19" s="501"/>
      <c r="BBX19" s="501"/>
      <c r="BBY19" s="501"/>
      <c r="BBZ19" s="501"/>
      <c r="BCA19" s="501"/>
      <c r="BCB19" s="501"/>
      <c r="BCC19" s="501"/>
      <c r="BCD19" s="501"/>
      <c r="BCE19" s="501"/>
      <c r="BCF19" s="501"/>
      <c r="BCG19" s="501"/>
      <c r="BCH19" s="501"/>
      <c r="BCI19" s="501"/>
      <c r="BCJ19" s="501"/>
      <c r="BCK19" s="501"/>
      <c r="BCL19" s="501"/>
      <c r="BCM19" s="501"/>
      <c r="BCN19" s="501"/>
      <c r="BCO19" s="501"/>
      <c r="BCP19" s="501"/>
      <c r="BCQ19" s="501"/>
      <c r="BCR19" s="501"/>
      <c r="BCS19" s="501"/>
      <c r="BCT19" s="501"/>
      <c r="BCU19" s="501"/>
      <c r="BCV19" s="501"/>
      <c r="BCW19" s="501"/>
      <c r="BCX19" s="501"/>
      <c r="BCY19" s="501"/>
      <c r="BCZ19" s="501"/>
      <c r="BDA19" s="501"/>
      <c r="BDB19" s="501"/>
      <c r="BDC19" s="501"/>
      <c r="BDD19" s="501"/>
      <c r="BDE19" s="501"/>
      <c r="BDF19" s="501"/>
      <c r="BDG19" s="501"/>
      <c r="BDH19" s="501"/>
      <c r="BDI19" s="501"/>
      <c r="BDJ19" s="501"/>
      <c r="BDK19" s="501"/>
      <c r="BDL19" s="501"/>
      <c r="BDM19" s="501"/>
      <c r="BDN19" s="501"/>
      <c r="BDO19" s="501"/>
      <c r="BDP19" s="501"/>
      <c r="BDQ19" s="501"/>
      <c r="BDR19" s="501"/>
      <c r="BDS19" s="501"/>
      <c r="BDT19" s="501"/>
      <c r="BDU19" s="501"/>
      <c r="BDV19" s="501"/>
      <c r="BDW19" s="501"/>
      <c r="BDX19" s="501"/>
      <c r="BDY19" s="501"/>
      <c r="BDZ19" s="501"/>
      <c r="BEA19" s="501"/>
      <c r="BEB19" s="501"/>
      <c r="BEC19" s="501"/>
      <c r="BED19" s="501"/>
      <c r="BEE19" s="501"/>
      <c r="BEF19" s="501"/>
      <c r="BEG19" s="501"/>
      <c r="BEH19" s="501"/>
      <c r="BEI19" s="501"/>
      <c r="BEJ19" s="501"/>
      <c r="BEK19" s="501"/>
      <c r="BEL19" s="501"/>
      <c r="BEM19" s="501"/>
      <c r="BEN19" s="501"/>
      <c r="BEO19" s="501"/>
      <c r="BEP19" s="501"/>
      <c r="BEQ19" s="501"/>
      <c r="BER19" s="501"/>
      <c r="BES19" s="501"/>
      <c r="BET19" s="501"/>
      <c r="BEU19" s="501"/>
      <c r="BEV19" s="501"/>
      <c r="BEW19" s="501"/>
      <c r="BEX19" s="501"/>
      <c r="BEY19" s="501"/>
      <c r="BEZ19" s="501"/>
      <c r="BFA19" s="501"/>
      <c r="BFB19" s="501"/>
      <c r="BFC19" s="501"/>
      <c r="BFD19" s="501"/>
      <c r="BFE19" s="501"/>
      <c r="BFF19" s="501"/>
      <c r="BFG19" s="501"/>
      <c r="BFH19" s="501"/>
      <c r="BFI19" s="501"/>
      <c r="BFJ19" s="501"/>
      <c r="BFK19" s="501"/>
      <c r="BFL19" s="501"/>
      <c r="BFM19" s="501"/>
      <c r="BFN19" s="501"/>
      <c r="BFO19" s="501"/>
      <c r="BFP19" s="501"/>
      <c r="BFQ19" s="501"/>
      <c r="BFR19" s="501"/>
      <c r="BFS19" s="501"/>
      <c r="BFT19" s="501"/>
      <c r="BFU19" s="501"/>
      <c r="BFV19" s="501"/>
      <c r="BFW19" s="501"/>
      <c r="BFX19" s="501"/>
      <c r="BFY19" s="501"/>
      <c r="BFZ19" s="501"/>
      <c r="BGA19" s="501"/>
      <c r="BGB19" s="501"/>
      <c r="BGC19" s="501"/>
      <c r="BGD19" s="501"/>
      <c r="BGE19" s="501"/>
      <c r="BGF19" s="501"/>
      <c r="BGG19" s="501"/>
      <c r="BGH19" s="501"/>
      <c r="BGI19" s="501"/>
      <c r="BGJ19" s="501"/>
      <c r="BGK19" s="501"/>
      <c r="BGL19" s="501"/>
      <c r="BGM19" s="501"/>
      <c r="BGN19" s="501"/>
      <c r="BGO19" s="501"/>
      <c r="BGP19" s="501"/>
      <c r="BGQ19" s="501"/>
      <c r="BGR19" s="501"/>
      <c r="BGS19" s="501"/>
      <c r="BGT19" s="501"/>
      <c r="BGU19" s="501"/>
      <c r="BGV19" s="501"/>
      <c r="BGW19" s="501"/>
      <c r="BGX19" s="501"/>
      <c r="BGY19" s="501"/>
      <c r="BGZ19" s="501"/>
      <c r="BHA19" s="501"/>
      <c r="BHB19" s="501"/>
      <c r="BHC19" s="501"/>
      <c r="BHD19" s="501"/>
      <c r="BHE19" s="501"/>
      <c r="BHF19" s="501"/>
      <c r="BHG19" s="501"/>
      <c r="BHH19" s="501"/>
      <c r="BHI19" s="501"/>
      <c r="BHJ19" s="501"/>
      <c r="BHK19" s="501"/>
      <c r="BHL19" s="501"/>
      <c r="BHM19" s="501"/>
      <c r="BHN19" s="501"/>
      <c r="BHO19" s="501"/>
      <c r="BHP19" s="501"/>
      <c r="BHQ19" s="501"/>
      <c r="BHR19" s="501"/>
      <c r="BHS19" s="501"/>
      <c r="BHT19" s="501"/>
      <c r="BHU19" s="501"/>
      <c r="BHV19" s="501"/>
      <c r="BHW19" s="501"/>
      <c r="BHX19" s="501"/>
      <c r="BHY19" s="501"/>
      <c r="BHZ19" s="501"/>
      <c r="BIA19" s="501"/>
      <c r="BIB19" s="501"/>
      <c r="BIC19" s="501"/>
      <c r="BID19" s="501"/>
      <c r="BIE19" s="501"/>
      <c r="BIF19" s="501"/>
      <c r="BIG19" s="501"/>
      <c r="BIH19" s="501"/>
      <c r="BII19" s="501"/>
      <c r="BIJ19" s="501"/>
      <c r="BIK19" s="501"/>
      <c r="BIL19" s="501"/>
      <c r="BIM19" s="501"/>
      <c r="BIN19" s="501"/>
      <c r="BIO19" s="501"/>
      <c r="BIP19" s="501"/>
      <c r="BIQ19" s="501"/>
      <c r="BIR19" s="501"/>
      <c r="BIS19" s="501"/>
      <c r="BIT19" s="501"/>
      <c r="BIU19" s="501"/>
      <c r="BIV19" s="501"/>
      <c r="BIW19" s="501"/>
      <c r="BIX19" s="501"/>
      <c r="BIY19" s="501"/>
      <c r="BIZ19" s="501"/>
      <c r="BJA19" s="501"/>
      <c r="BJB19" s="501"/>
      <c r="BJC19" s="501"/>
      <c r="BJD19" s="501"/>
      <c r="BJE19" s="501"/>
      <c r="BJF19" s="501"/>
      <c r="BJG19" s="501"/>
      <c r="BJH19" s="501"/>
      <c r="BJI19" s="501"/>
      <c r="BJJ19" s="501"/>
      <c r="BJK19" s="501"/>
      <c r="BJL19" s="501"/>
      <c r="BJM19" s="501"/>
      <c r="BJN19" s="501"/>
      <c r="BJO19" s="501"/>
      <c r="BJP19" s="501"/>
      <c r="BJQ19" s="501"/>
      <c r="BJR19" s="501"/>
      <c r="BJS19" s="501"/>
      <c r="BJT19" s="501"/>
      <c r="BJU19" s="501"/>
      <c r="BJV19" s="501"/>
      <c r="BJW19" s="501"/>
      <c r="BJX19" s="501"/>
      <c r="BJY19" s="501"/>
      <c r="BJZ19" s="501"/>
      <c r="BKA19" s="501"/>
      <c r="BKB19" s="501"/>
      <c r="BKC19" s="501"/>
      <c r="BKD19" s="501"/>
      <c r="BKE19" s="501"/>
      <c r="BKF19" s="501"/>
      <c r="BKG19" s="501"/>
      <c r="BKH19" s="501"/>
      <c r="BKI19" s="501"/>
      <c r="BKJ19" s="501"/>
      <c r="BKK19" s="501"/>
      <c r="BKL19" s="501"/>
      <c r="BKM19" s="501"/>
      <c r="BKN19" s="501"/>
      <c r="BKO19" s="501"/>
      <c r="BKP19" s="501"/>
      <c r="BKQ19" s="501"/>
      <c r="BKR19" s="501"/>
      <c r="BKS19" s="501"/>
      <c r="BKT19" s="501"/>
      <c r="BKU19" s="501"/>
      <c r="BKV19" s="501"/>
      <c r="BKW19" s="501"/>
      <c r="BKX19" s="501"/>
      <c r="BKY19" s="501"/>
      <c r="BKZ19" s="501"/>
      <c r="BLA19" s="501"/>
      <c r="BLB19" s="501"/>
      <c r="BLC19" s="501"/>
      <c r="BLD19" s="501"/>
      <c r="BLE19" s="501"/>
      <c r="BLF19" s="501"/>
      <c r="BLG19" s="501"/>
      <c r="BLH19" s="501"/>
      <c r="BLI19" s="501"/>
      <c r="BLJ19" s="501"/>
      <c r="BLK19" s="501"/>
      <c r="BLL19" s="501"/>
      <c r="BLM19" s="501"/>
      <c r="BLN19" s="501"/>
      <c r="BLO19" s="501"/>
      <c r="BLP19" s="501"/>
      <c r="BLQ19" s="501"/>
      <c r="BLR19" s="501"/>
      <c r="BLS19" s="501"/>
      <c r="BLT19" s="501"/>
      <c r="BLU19" s="501"/>
      <c r="BLV19" s="501"/>
      <c r="BLW19" s="501"/>
      <c r="BLX19" s="501"/>
      <c r="BLY19" s="501"/>
      <c r="BLZ19" s="501"/>
      <c r="BMA19" s="501"/>
      <c r="BMB19" s="501"/>
      <c r="BMC19" s="501"/>
      <c r="BMD19" s="501"/>
      <c r="BME19" s="501"/>
      <c r="BMF19" s="501"/>
      <c r="BMG19" s="501"/>
      <c r="BMH19" s="501"/>
      <c r="BMI19" s="501"/>
      <c r="BMJ19" s="501"/>
      <c r="BMK19" s="501"/>
      <c r="BML19" s="501"/>
      <c r="BMM19" s="501"/>
      <c r="BMN19" s="501"/>
      <c r="BMO19" s="501"/>
      <c r="BMP19" s="501"/>
      <c r="BMQ19" s="501"/>
      <c r="BMR19" s="501"/>
      <c r="BMS19" s="501"/>
      <c r="BMT19" s="501"/>
      <c r="BMU19" s="501"/>
      <c r="BMV19" s="501"/>
      <c r="BMW19" s="501"/>
      <c r="BMX19" s="501"/>
      <c r="BMY19" s="501"/>
      <c r="BMZ19" s="501"/>
      <c r="BNA19" s="501"/>
      <c r="BNB19" s="501"/>
      <c r="BNC19" s="501"/>
      <c r="BND19" s="501"/>
      <c r="BNE19" s="501"/>
      <c r="BNF19" s="501"/>
      <c r="BNG19" s="501"/>
      <c r="BNH19" s="501"/>
      <c r="BNI19" s="501"/>
      <c r="BNJ19" s="501"/>
      <c r="BNK19" s="501"/>
      <c r="BNL19" s="501"/>
      <c r="BNM19" s="501"/>
      <c r="BNN19" s="501"/>
      <c r="BNO19" s="501"/>
      <c r="BNP19" s="501"/>
      <c r="BNQ19" s="501"/>
      <c r="BNR19" s="501"/>
      <c r="BNS19" s="501"/>
      <c r="BNT19" s="501"/>
      <c r="BNU19" s="501"/>
      <c r="BNV19" s="501"/>
      <c r="BNW19" s="501"/>
      <c r="BNX19" s="501"/>
      <c r="BNY19" s="501"/>
      <c r="BNZ19" s="501"/>
      <c r="BOA19" s="501"/>
      <c r="BOB19" s="501"/>
      <c r="BOC19" s="501"/>
      <c r="BOD19" s="501"/>
      <c r="BOE19" s="501"/>
      <c r="BOF19" s="501"/>
      <c r="BOG19" s="501"/>
      <c r="BOH19" s="501"/>
      <c r="BOI19" s="501"/>
      <c r="BOJ19" s="501"/>
      <c r="BOK19" s="501"/>
      <c r="BOL19" s="501"/>
      <c r="BOM19" s="501"/>
      <c r="BON19" s="501"/>
      <c r="BOO19" s="501"/>
      <c r="BOP19" s="501"/>
      <c r="BOQ19" s="501"/>
      <c r="BOR19" s="501"/>
      <c r="BOS19" s="501"/>
      <c r="BOT19" s="501"/>
      <c r="BOU19" s="501"/>
      <c r="BOV19" s="501"/>
      <c r="BOW19" s="501"/>
      <c r="BOX19" s="501"/>
      <c r="BOY19" s="501"/>
      <c r="BOZ19" s="501"/>
      <c r="BPA19" s="501"/>
      <c r="BPB19" s="501"/>
      <c r="BPC19" s="501"/>
      <c r="BPD19" s="501"/>
      <c r="BPE19" s="501"/>
      <c r="BPF19" s="501"/>
      <c r="BPG19" s="501"/>
      <c r="BPH19" s="501"/>
      <c r="BPI19" s="501"/>
      <c r="BPJ19" s="501"/>
      <c r="BPK19" s="501"/>
      <c r="BPL19" s="501"/>
      <c r="BPM19" s="501"/>
      <c r="BPN19" s="501"/>
      <c r="BPO19" s="501"/>
      <c r="BPP19" s="501"/>
      <c r="BPQ19" s="501"/>
      <c r="BPR19" s="501"/>
      <c r="BPS19" s="501"/>
      <c r="BPT19" s="501"/>
      <c r="BPU19" s="501"/>
      <c r="BPV19" s="501"/>
      <c r="BPW19" s="501"/>
      <c r="BPX19" s="501"/>
      <c r="BPY19" s="501"/>
      <c r="BPZ19" s="501"/>
      <c r="BQA19" s="501"/>
      <c r="BQB19" s="501"/>
      <c r="BQC19" s="501"/>
      <c r="BQD19" s="501"/>
      <c r="BQE19" s="501"/>
      <c r="BQF19" s="501"/>
      <c r="BQG19" s="501"/>
      <c r="BQH19" s="501"/>
      <c r="BQI19" s="501"/>
      <c r="BQJ19" s="501"/>
      <c r="BQK19" s="501"/>
      <c r="BQL19" s="501"/>
      <c r="BQM19" s="501"/>
      <c r="BQN19" s="501"/>
      <c r="BQO19" s="501"/>
      <c r="BQP19" s="501"/>
      <c r="BQQ19" s="501"/>
      <c r="BQR19" s="501"/>
      <c r="BQS19" s="501"/>
      <c r="BQT19" s="501"/>
      <c r="BQU19" s="501"/>
      <c r="BQV19" s="501"/>
      <c r="BQW19" s="501"/>
      <c r="BQX19" s="501"/>
      <c r="BQY19" s="501"/>
      <c r="BQZ19" s="501"/>
      <c r="BRA19" s="501"/>
      <c r="BRB19" s="501"/>
      <c r="BRC19" s="501"/>
      <c r="BRD19" s="501"/>
      <c r="BRE19" s="501"/>
      <c r="BRF19" s="501"/>
      <c r="BRG19" s="501"/>
      <c r="BRH19" s="501"/>
      <c r="BRI19" s="501"/>
      <c r="BRJ19" s="501"/>
      <c r="BRK19" s="501"/>
      <c r="BRL19" s="501"/>
      <c r="BRM19" s="501"/>
      <c r="BRN19" s="501"/>
      <c r="BRO19" s="501"/>
      <c r="BRP19" s="501"/>
      <c r="BRQ19" s="501"/>
      <c r="BRR19" s="501"/>
      <c r="BRS19" s="501"/>
      <c r="BRT19" s="501"/>
      <c r="BRU19" s="501"/>
      <c r="BRV19" s="501"/>
      <c r="BRW19" s="501"/>
      <c r="BRX19" s="501"/>
      <c r="BRY19" s="501"/>
      <c r="BRZ19" s="501"/>
      <c r="BSA19" s="501"/>
      <c r="BSB19" s="501"/>
      <c r="BSC19" s="501"/>
      <c r="BSD19" s="501"/>
      <c r="BSE19" s="501"/>
      <c r="BSF19" s="501"/>
      <c r="BSG19" s="501"/>
      <c r="BSH19" s="501"/>
      <c r="BSI19" s="501"/>
      <c r="BSJ19" s="501"/>
      <c r="BSK19" s="501"/>
      <c r="BSL19" s="501"/>
      <c r="BSM19" s="501"/>
      <c r="BSN19" s="501"/>
      <c r="BSO19" s="501"/>
      <c r="BSP19" s="501"/>
      <c r="BSQ19" s="501"/>
      <c r="BSR19" s="501"/>
      <c r="BSS19" s="501"/>
      <c r="BST19" s="501"/>
      <c r="BSU19" s="501"/>
      <c r="BSV19" s="501"/>
      <c r="BSW19" s="501"/>
      <c r="BSX19" s="501"/>
      <c r="BSY19" s="501"/>
      <c r="BSZ19" s="501"/>
      <c r="BTA19" s="501"/>
      <c r="BTB19" s="501"/>
      <c r="BTC19" s="501"/>
      <c r="BTD19" s="501"/>
      <c r="BTE19" s="501"/>
      <c r="BTF19" s="501"/>
      <c r="BTG19" s="501"/>
      <c r="BTH19" s="501"/>
      <c r="BTI19" s="501"/>
      <c r="BTJ19" s="501"/>
      <c r="BTK19" s="501"/>
      <c r="BTL19" s="501"/>
      <c r="BTM19" s="501"/>
      <c r="BTN19" s="501"/>
      <c r="BTO19" s="501"/>
      <c r="BTP19" s="501"/>
      <c r="BTQ19" s="501"/>
      <c r="BTR19" s="501"/>
      <c r="BTS19" s="501"/>
      <c r="BTT19" s="501"/>
      <c r="BTU19" s="501"/>
      <c r="BTV19" s="501"/>
      <c r="BTW19" s="501"/>
      <c r="BTX19" s="501"/>
      <c r="BTY19" s="501"/>
      <c r="BTZ19" s="501"/>
      <c r="BUA19" s="501"/>
      <c r="BUB19" s="501"/>
      <c r="BUC19" s="501"/>
      <c r="BUD19" s="501"/>
      <c r="BUE19" s="501"/>
      <c r="BUF19" s="501"/>
      <c r="BUG19" s="501"/>
      <c r="BUH19" s="501"/>
      <c r="BUI19" s="501"/>
      <c r="BUJ19" s="501"/>
      <c r="BUK19" s="501"/>
      <c r="BUL19" s="501"/>
      <c r="BUM19" s="501"/>
      <c r="BUN19" s="501"/>
      <c r="BUO19" s="501"/>
      <c r="BUP19" s="501"/>
      <c r="BUQ19" s="501"/>
      <c r="BUR19" s="501"/>
      <c r="BUS19" s="501"/>
      <c r="BUT19" s="501"/>
      <c r="BUU19" s="501"/>
      <c r="BUV19" s="501"/>
      <c r="BUW19" s="501"/>
      <c r="BUX19" s="501"/>
      <c r="BUY19" s="501"/>
      <c r="BUZ19" s="501"/>
      <c r="BVA19" s="501"/>
      <c r="BVB19" s="501"/>
      <c r="BVC19" s="501"/>
      <c r="BVD19" s="501"/>
      <c r="BVE19" s="501"/>
      <c r="BVF19" s="501"/>
      <c r="BVG19" s="501"/>
      <c r="BVH19" s="501"/>
      <c r="BVI19" s="501"/>
      <c r="BVJ19" s="501"/>
      <c r="BVK19" s="501"/>
      <c r="BVL19" s="501"/>
      <c r="BVM19" s="501"/>
      <c r="BVN19" s="501"/>
      <c r="BVO19" s="501"/>
      <c r="BVP19" s="501"/>
      <c r="BVQ19" s="501"/>
      <c r="BVR19" s="501"/>
      <c r="BVS19" s="501"/>
      <c r="BVT19" s="501"/>
      <c r="BVU19" s="501"/>
      <c r="BVV19" s="501"/>
      <c r="BVW19" s="501"/>
      <c r="BVX19" s="501"/>
      <c r="BVY19" s="501"/>
      <c r="BVZ19" s="501"/>
      <c r="BWA19" s="501"/>
      <c r="BWB19" s="501"/>
      <c r="BWC19" s="501"/>
      <c r="BWD19" s="501"/>
      <c r="BWE19" s="501"/>
      <c r="BWF19" s="501"/>
      <c r="BWG19" s="501"/>
      <c r="BWH19" s="501"/>
      <c r="BWI19" s="501"/>
      <c r="BWJ19" s="501"/>
      <c r="BWK19" s="501"/>
      <c r="BWL19" s="501"/>
      <c r="BWM19" s="501"/>
      <c r="BWN19" s="501"/>
      <c r="BWO19" s="501"/>
      <c r="BWP19" s="501"/>
      <c r="BWQ19" s="501"/>
      <c r="BWR19" s="501"/>
      <c r="BWS19" s="501"/>
      <c r="BWT19" s="501"/>
      <c r="BWU19" s="501"/>
      <c r="BWV19" s="501"/>
      <c r="BWW19" s="501"/>
      <c r="BWX19" s="501"/>
      <c r="BWY19" s="501"/>
      <c r="BWZ19" s="501"/>
      <c r="BXA19" s="501"/>
      <c r="BXB19" s="501"/>
      <c r="BXC19" s="501"/>
      <c r="BXD19" s="501"/>
      <c r="BXE19" s="501"/>
      <c r="BXF19" s="501"/>
      <c r="BXG19" s="501"/>
      <c r="BXH19" s="501"/>
      <c r="BXI19" s="501"/>
      <c r="BXJ19" s="501"/>
      <c r="BXK19" s="501"/>
      <c r="BXL19" s="501"/>
      <c r="BXM19" s="501"/>
      <c r="BXN19" s="501"/>
      <c r="BXO19" s="501"/>
      <c r="BXP19" s="501"/>
      <c r="BXQ19" s="501"/>
      <c r="BXR19" s="501"/>
      <c r="BXS19" s="501"/>
      <c r="BXT19" s="501"/>
      <c r="BXU19" s="501"/>
      <c r="BXV19" s="501"/>
      <c r="BXW19" s="501"/>
      <c r="BXX19" s="501"/>
      <c r="BXY19" s="501"/>
      <c r="BXZ19" s="501"/>
      <c r="BYA19" s="501"/>
      <c r="BYB19" s="501"/>
      <c r="BYC19" s="501"/>
      <c r="BYD19" s="501"/>
      <c r="BYE19" s="501"/>
      <c r="BYF19" s="501"/>
      <c r="BYG19" s="501"/>
      <c r="BYH19" s="501"/>
      <c r="BYI19" s="501"/>
      <c r="BYJ19" s="501"/>
      <c r="BYK19" s="501"/>
      <c r="BYL19" s="501"/>
      <c r="BYM19" s="501"/>
      <c r="BYN19" s="501"/>
      <c r="BYO19" s="501"/>
      <c r="BYP19" s="501"/>
      <c r="BYQ19" s="501"/>
      <c r="BYR19" s="501"/>
      <c r="BYS19" s="501"/>
      <c r="BYT19" s="501"/>
      <c r="BYU19" s="501"/>
      <c r="BYV19" s="501"/>
      <c r="BYW19" s="501"/>
      <c r="BYX19" s="501"/>
      <c r="BYY19" s="501"/>
      <c r="BYZ19" s="501"/>
      <c r="BZA19" s="501"/>
      <c r="BZB19" s="501"/>
      <c r="BZC19" s="501"/>
      <c r="BZD19" s="501"/>
      <c r="BZE19" s="501"/>
      <c r="BZF19" s="501"/>
      <c r="BZG19" s="501"/>
      <c r="BZH19" s="501"/>
      <c r="BZI19" s="501"/>
      <c r="BZJ19" s="501"/>
      <c r="BZK19" s="501"/>
      <c r="BZL19" s="501"/>
      <c r="BZM19" s="501"/>
      <c r="BZN19" s="501"/>
      <c r="BZO19" s="501"/>
      <c r="BZP19" s="501"/>
      <c r="BZQ19" s="501"/>
      <c r="BZR19" s="501"/>
      <c r="BZS19" s="501"/>
      <c r="BZT19" s="501"/>
      <c r="BZU19" s="501"/>
      <c r="BZV19" s="501"/>
      <c r="BZW19" s="501"/>
      <c r="BZX19" s="501"/>
      <c r="BZY19" s="501"/>
      <c r="BZZ19" s="501"/>
      <c r="CAA19" s="501"/>
      <c r="CAB19" s="501"/>
      <c r="CAC19" s="501"/>
      <c r="CAD19" s="501"/>
      <c r="CAE19" s="501"/>
      <c r="CAF19" s="501"/>
      <c r="CAG19" s="501"/>
      <c r="CAH19" s="501"/>
      <c r="CAI19" s="501"/>
      <c r="CAJ19" s="501"/>
      <c r="CAK19" s="501"/>
      <c r="CAL19" s="501"/>
      <c r="CAM19" s="501"/>
      <c r="CAN19" s="501"/>
      <c r="CAO19" s="501"/>
      <c r="CAP19" s="501"/>
      <c r="CAQ19" s="501"/>
      <c r="CAR19" s="501"/>
      <c r="CAS19" s="501"/>
      <c r="CAT19" s="501"/>
      <c r="CAU19" s="501"/>
      <c r="CAV19" s="501"/>
      <c r="CAW19" s="501"/>
      <c r="CAX19" s="501"/>
      <c r="CAY19" s="501"/>
      <c r="CAZ19" s="501"/>
      <c r="CBA19" s="501"/>
      <c r="CBB19" s="501"/>
      <c r="CBC19" s="501"/>
      <c r="CBD19" s="501"/>
      <c r="CBE19" s="501"/>
      <c r="CBF19" s="501"/>
      <c r="CBG19" s="501"/>
      <c r="CBH19" s="501"/>
      <c r="CBI19" s="501"/>
      <c r="CBJ19" s="501"/>
      <c r="CBK19" s="501"/>
      <c r="CBL19" s="501"/>
      <c r="CBM19" s="501"/>
      <c r="CBN19" s="501"/>
      <c r="CBO19" s="501"/>
      <c r="CBP19" s="501"/>
      <c r="CBQ19" s="501"/>
      <c r="CBR19" s="501"/>
      <c r="CBS19" s="501"/>
      <c r="CBT19" s="501"/>
      <c r="CBU19" s="501"/>
      <c r="CBV19" s="501"/>
      <c r="CBW19" s="501"/>
      <c r="CBX19" s="501"/>
      <c r="CBY19" s="501"/>
      <c r="CBZ19" s="501"/>
      <c r="CCA19" s="501"/>
      <c r="CCB19" s="501"/>
      <c r="CCC19" s="501"/>
      <c r="CCD19" s="501"/>
      <c r="CCE19" s="501"/>
      <c r="CCF19" s="501"/>
      <c r="CCG19" s="501"/>
      <c r="CCH19" s="501"/>
      <c r="CCI19" s="501"/>
      <c r="CCJ19" s="501"/>
      <c r="CCK19" s="501"/>
      <c r="CCL19" s="501"/>
      <c r="CCM19" s="501"/>
      <c r="CCN19" s="501"/>
      <c r="CCO19" s="501"/>
      <c r="CCP19" s="501"/>
      <c r="CCQ19" s="501"/>
      <c r="CCR19" s="501"/>
      <c r="CCS19" s="501"/>
      <c r="CCT19" s="501"/>
      <c r="CCU19" s="501"/>
      <c r="CCV19" s="501"/>
      <c r="CCW19" s="501"/>
      <c r="CCX19" s="501"/>
      <c r="CCY19" s="501"/>
      <c r="CCZ19" s="501"/>
      <c r="CDA19" s="501"/>
      <c r="CDB19" s="501"/>
      <c r="CDC19" s="501"/>
      <c r="CDD19" s="501"/>
      <c r="CDE19" s="501"/>
      <c r="CDF19" s="501"/>
      <c r="CDG19" s="501"/>
      <c r="CDH19" s="501"/>
      <c r="CDI19" s="501"/>
      <c r="CDJ19" s="501"/>
      <c r="CDK19" s="501"/>
      <c r="CDL19" s="501"/>
      <c r="CDM19" s="501"/>
      <c r="CDN19" s="501"/>
      <c r="CDO19" s="501"/>
      <c r="CDP19" s="501"/>
      <c r="CDQ19" s="501"/>
      <c r="CDR19" s="501"/>
      <c r="CDS19" s="501"/>
      <c r="CDT19" s="501"/>
      <c r="CDU19" s="501"/>
      <c r="CDV19" s="501"/>
      <c r="CDW19" s="501"/>
      <c r="CDX19" s="501"/>
      <c r="CDY19" s="501"/>
      <c r="CDZ19" s="501"/>
      <c r="CEA19" s="501"/>
      <c r="CEB19" s="501"/>
      <c r="CEC19" s="501"/>
      <c r="CED19" s="501"/>
      <c r="CEE19" s="501"/>
      <c r="CEF19" s="501"/>
      <c r="CEG19" s="501"/>
      <c r="CEH19" s="501"/>
      <c r="CEI19" s="501"/>
      <c r="CEJ19" s="501"/>
      <c r="CEK19" s="501"/>
      <c r="CEL19" s="501"/>
      <c r="CEM19" s="501"/>
      <c r="CEN19" s="501"/>
      <c r="CEO19" s="501"/>
      <c r="CEP19" s="501"/>
      <c r="CEQ19" s="501"/>
      <c r="CER19" s="501"/>
      <c r="CES19" s="501"/>
      <c r="CET19" s="501"/>
      <c r="CEU19" s="501"/>
      <c r="CEV19" s="501"/>
      <c r="CEW19" s="501"/>
      <c r="CEX19" s="501"/>
      <c r="CEY19" s="501"/>
      <c r="CEZ19" s="501"/>
      <c r="CFA19" s="501"/>
      <c r="CFB19" s="501"/>
      <c r="CFC19" s="501"/>
      <c r="CFD19" s="501"/>
      <c r="CFE19" s="501"/>
      <c r="CFF19" s="501"/>
      <c r="CFG19" s="501"/>
      <c r="CFH19" s="501"/>
      <c r="CFI19" s="501"/>
      <c r="CFJ19" s="501"/>
      <c r="CFK19" s="501"/>
      <c r="CFL19" s="501"/>
      <c r="CFM19" s="501"/>
      <c r="CFN19" s="501"/>
      <c r="CFO19" s="501"/>
      <c r="CFP19" s="501"/>
      <c r="CFQ19" s="501"/>
      <c r="CFR19" s="501"/>
      <c r="CFS19" s="501"/>
      <c r="CFT19" s="501"/>
      <c r="CFU19" s="501"/>
      <c r="CFV19" s="501"/>
      <c r="CFW19" s="501"/>
      <c r="CFX19" s="501"/>
      <c r="CFY19" s="501"/>
      <c r="CFZ19" s="501"/>
      <c r="CGA19" s="501"/>
      <c r="CGB19" s="501"/>
      <c r="CGC19" s="501"/>
      <c r="CGD19" s="501"/>
      <c r="CGE19" s="501"/>
      <c r="CGF19" s="501"/>
      <c r="CGG19" s="501"/>
      <c r="CGH19" s="501"/>
      <c r="CGI19" s="501"/>
      <c r="CGJ19" s="501"/>
      <c r="CGK19" s="501"/>
      <c r="CGL19" s="501"/>
      <c r="CGM19" s="501"/>
      <c r="CGN19" s="501"/>
      <c r="CGO19" s="501"/>
      <c r="CGP19" s="501"/>
      <c r="CGQ19" s="501"/>
      <c r="CGR19" s="501"/>
      <c r="CGS19" s="501"/>
      <c r="CGT19" s="501"/>
      <c r="CGU19" s="501"/>
      <c r="CGV19" s="501"/>
      <c r="CGW19" s="501"/>
      <c r="CGX19" s="501"/>
      <c r="CGY19" s="501"/>
      <c r="CGZ19" s="501"/>
      <c r="CHA19" s="501"/>
      <c r="CHB19" s="501"/>
      <c r="CHC19" s="501"/>
      <c r="CHD19" s="501"/>
      <c r="CHE19" s="501"/>
      <c r="CHF19" s="501"/>
      <c r="CHG19" s="501"/>
      <c r="CHH19" s="501"/>
      <c r="CHI19" s="501"/>
      <c r="CHJ19" s="501"/>
      <c r="CHK19" s="501"/>
      <c r="CHL19" s="501"/>
      <c r="CHM19" s="501"/>
      <c r="CHN19" s="501"/>
      <c r="CHO19" s="501"/>
      <c r="CHP19" s="501"/>
      <c r="CHQ19" s="501"/>
      <c r="CHR19" s="501"/>
      <c r="CHS19" s="501"/>
      <c r="CHT19" s="501"/>
      <c r="CHU19" s="501"/>
      <c r="CHV19" s="501"/>
      <c r="CHW19" s="501"/>
      <c r="CHX19" s="501"/>
      <c r="CHY19" s="501"/>
      <c r="CHZ19" s="501"/>
      <c r="CIA19" s="501"/>
      <c r="CIB19" s="501"/>
      <c r="CIC19" s="501"/>
      <c r="CID19" s="501"/>
      <c r="CIE19" s="501"/>
      <c r="CIF19" s="501"/>
      <c r="CIG19" s="501"/>
      <c r="CIH19" s="501"/>
      <c r="CII19" s="501"/>
      <c r="CIJ19" s="501"/>
      <c r="CIK19" s="501"/>
      <c r="CIL19" s="501"/>
      <c r="CIM19" s="501"/>
      <c r="CIN19" s="501"/>
      <c r="CIO19" s="501"/>
      <c r="CIP19" s="501"/>
      <c r="CIQ19" s="501"/>
      <c r="CIR19" s="501"/>
      <c r="CIS19" s="501"/>
      <c r="CIT19" s="501"/>
      <c r="CIU19" s="501"/>
      <c r="CIV19" s="501"/>
      <c r="CIW19" s="501"/>
      <c r="CIX19" s="501"/>
      <c r="CIY19" s="501"/>
      <c r="CIZ19" s="501"/>
      <c r="CJA19" s="501"/>
      <c r="CJB19" s="501"/>
      <c r="CJC19" s="501"/>
      <c r="CJD19" s="501"/>
      <c r="CJE19" s="501"/>
      <c r="CJF19" s="501"/>
      <c r="CJG19" s="501"/>
      <c r="CJH19" s="501"/>
      <c r="CJI19" s="501"/>
      <c r="CJJ19" s="501"/>
      <c r="CJK19" s="501"/>
      <c r="CJL19" s="501"/>
      <c r="CJM19" s="501"/>
      <c r="CJN19" s="501"/>
      <c r="CJO19" s="501"/>
      <c r="CJP19" s="501"/>
      <c r="CJQ19" s="501"/>
      <c r="CJR19" s="501"/>
      <c r="CJS19" s="501"/>
      <c r="CJT19" s="501"/>
      <c r="CJU19" s="501"/>
      <c r="CJV19" s="501"/>
      <c r="CJW19" s="501"/>
      <c r="CJX19" s="501"/>
      <c r="CJY19" s="501"/>
      <c r="CJZ19" s="501"/>
      <c r="CKA19" s="501"/>
      <c r="CKB19" s="501"/>
      <c r="CKC19" s="501"/>
      <c r="CKD19" s="501"/>
      <c r="CKE19" s="501"/>
      <c r="CKF19" s="501"/>
      <c r="CKG19" s="501"/>
      <c r="CKH19" s="501"/>
      <c r="CKI19" s="501"/>
      <c r="CKJ19" s="501"/>
      <c r="CKK19" s="501"/>
      <c r="CKL19" s="501"/>
      <c r="CKM19" s="501"/>
      <c r="CKN19" s="501"/>
      <c r="CKO19" s="501"/>
      <c r="CKP19" s="501"/>
      <c r="CKQ19" s="501"/>
      <c r="CKR19" s="501"/>
      <c r="CKS19" s="501"/>
      <c r="CKT19" s="501"/>
      <c r="CKU19" s="501"/>
      <c r="CKV19" s="501"/>
      <c r="CKW19" s="501"/>
      <c r="CKX19" s="501"/>
      <c r="CKY19" s="501"/>
      <c r="CKZ19" s="501"/>
      <c r="CLA19" s="501"/>
      <c r="CLB19" s="501"/>
      <c r="CLC19" s="501"/>
      <c r="CLD19" s="501"/>
      <c r="CLE19" s="501"/>
      <c r="CLF19" s="501"/>
      <c r="CLG19" s="501"/>
      <c r="CLH19" s="501"/>
      <c r="CLI19" s="501"/>
      <c r="CLJ19" s="501"/>
      <c r="CLK19" s="501"/>
      <c r="CLL19" s="501"/>
      <c r="CLM19" s="501"/>
      <c r="CLN19" s="501"/>
      <c r="CLO19" s="501"/>
      <c r="CLP19" s="501"/>
      <c r="CLQ19" s="501"/>
      <c r="CLR19" s="501"/>
      <c r="CLS19" s="501"/>
      <c r="CLT19" s="501"/>
      <c r="CLU19" s="501"/>
      <c r="CLV19" s="501"/>
      <c r="CLW19" s="501"/>
      <c r="CLX19" s="501"/>
      <c r="CLY19" s="501"/>
      <c r="CLZ19" s="501"/>
      <c r="CMA19" s="501"/>
      <c r="CMB19" s="501"/>
      <c r="CMC19" s="501"/>
      <c r="CMD19" s="501"/>
      <c r="CME19" s="501"/>
      <c r="CMF19" s="501"/>
      <c r="CMG19" s="501"/>
      <c r="CMH19" s="501"/>
      <c r="CMI19" s="501"/>
      <c r="CMJ19" s="501"/>
      <c r="CMK19" s="501"/>
      <c r="CML19" s="501"/>
      <c r="CMM19" s="501"/>
      <c r="CMN19" s="501"/>
      <c r="CMO19" s="501"/>
      <c r="CMP19" s="501"/>
      <c r="CMQ19" s="501"/>
      <c r="CMR19" s="501"/>
      <c r="CMS19" s="501"/>
      <c r="CMT19" s="501"/>
      <c r="CMU19" s="501"/>
      <c r="CMV19" s="501"/>
      <c r="CMW19" s="501"/>
      <c r="CMX19" s="501"/>
      <c r="CMY19" s="501"/>
      <c r="CMZ19" s="501"/>
      <c r="CNA19" s="501"/>
      <c r="CNB19" s="501"/>
      <c r="CNC19" s="501"/>
      <c r="CND19" s="501"/>
      <c r="CNE19" s="501"/>
      <c r="CNF19" s="501"/>
      <c r="CNG19" s="501"/>
      <c r="CNH19" s="501"/>
      <c r="CNI19" s="501"/>
      <c r="CNJ19" s="501"/>
      <c r="CNK19" s="501"/>
      <c r="CNL19" s="501"/>
      <c r="CNM19" s="501"/>
      <c r="CNN19" s="501"/>
      <c r="CNO19" s="501"/>
      <c r="CNP19" s="501"/>
      <c r="CNQ19" s="501"/>
      <c r="CNR19" s="501"/>
      <c r="CNS19" s="501"/>
      <c r="CNT19" s="501"/>
      <c r="CNU19" s="501"/>
      <c r="CNV19" s="501"/>
      <c r="CNW19" s="501"/>
      <c r="CNX19" s="501"/>
      <c r="CNY19" s="501"/>
      <c r="CNZ19" s="501"/>
      <c r="COA19" s="501"/>
      <c r="COB19" s="501"/>
      <c r="COC19" s="501"/>
      <c r="COD19" s="501"/>
      <c r="COE19" s="501"/>
      <c r="COF19" s="501"/>
      <c r="COG19" s="501"/>
      <c r="COH19" s="501"/>
      <c r="COI19" s="501"/>
      <c r="COJ19" s="501"/>
      <c r="COK19" s="501"/>
      <c r="COL19" s="501"/>
      <c r="COM19" s="501"/>
      <c r="CON19" s="501"/>
      <c r="COO19" s="501"/>
      <c r="COP19" s="501"/>
      <c r="COQ19" s="501"/>
      <c r="COR19" s="501"/>
      <c r="COS19" s="501"/>
      <c r="COT19" s="501"/>
      <c r="COU19" s="501"/>
      <c r="COV19" s="501"/>
      <c r="COW19" s="501"/>
      <c r="COX19" s="501"/>
      <c r="COY19" s="501"/>
      <c r="COZ19" s="501"/>
      <c r="CPA19" s="501"/>
      <c r="CPB19" s="501"/>
      <c r="CPC19" s="501"/>
      <c r="CPD19" s="501"/>
      <c r="CPE19" s="501"/>
      <c r="CPF19" s="501"/>
      <c r="CPG19" s="501"/>
      <c r="CPH19" s="501"/>
      <c r="CPI19" s="501"/>
      <c r="CPJ19" s="501"/>
      <c r="CPK19" s="501"/>
      <c r="CPL19" s="501"/>
      <c r="CPM19" s="501"/>
      <c r="CPN19" s="501"/>
      <c r="CPO19" s="501"/>
      <c r="CPP19" s="501"/>
      <c r="CPQ19" s="501"/>
      <c r="CPR19" s="501"/>
      <c r="CPS19" s="501"/>
      <c r="CPT19" s="501"/>
      <c r="CPU19" s="501"/>
      <c r="CPV19" s="501"/>
      <c r="CPW19" s="501"/>
      <c r="CPX19" s="501"/>
      <c r="CPY19" s="501"/>
      <c r="CPZ19" s="501"/>
      <c r="CQA19" s="501"/>
      <c r="CQB19" s="501"/>
      <c r="CQC19" s="501"/>
      <c r="CQD19" s="501"/>
      <c r="CQE19" s="501"/>
      <c r="CQF19" s="501"/>
      <c r="CQG19" s="501"/>
      <c r="CQH19" s="501"/>
      <c r="CQI19" s="501"/>
      <c r="CQJ19" s="501"/>
      <c r="CQK19" s="501"/>
      <c r="CQL19" s="501"/>
      <c r="CQM19" s="501"/>
      <c r="CQN19" s="501"/>
      <c r="CQO19" s="501"/>
      <c r="CQP19" s="501"/>
      <c r="CQQ19" s="501"/>
      <c r="CQR19" s="501"/>
      <c r="CQS19" s="501"/>
      <c r="CQT19" s="501"/>
      <c r="CQU19" s="501"/>
      <c r="CQV19" s="501"/>
      <c r="CQW19" s="501"/>
      <c r="CQX19" s="501"/>
      <c r="CQY19" s="501"/>
      <c r="CQZ19" s="501"/>
      <c r="CRA19" s="501"/>
      <c r="CRB19" s="501"/>
      <c r="CRC19" s="501"/>
      <c r="CRD19" s="501"/>
      <c r="CRE19" s="501"/>
      <c r="CRF19" s="501"/>
      <c r="CRG19" s="501"/>
      <c r="CRH19" s="501"/>
      <c r="CRI19" s="501"/>
      <c r="CRJ19" s="501"/>
      <c r="CRK19" s="501"/>
      <c r="CRL19" s="501"/>
      <c r="CRM19" s="501"/>
      <c r="CRN19" s="501"/>
      <c r="CRO19" s="501"/>
      <c r="CRP19" s="501"/>
      <c r="CRQ19" s="501"/>
      <c r="CRR19" s="501"/>
      <c r="CRS19" s="501"/>
      <c r="CRT19" s="501"/>
      <c r="CRU19" s="501"/>
      <c r="CRV19" s="501"/>
      <c r="CRW19" s="501"/>
      <c r="CRX19" s="501"/>
      <c r="CRY19" s="501"/>
      <c r="CRZ19" s="501"/>
      <c r="CSA19" s="501"/>
      <c r="CSB19" s="501"/>
      <c r="CSC19" s="501"/>
      <c r="CSD19" s="501"/>
      <c r="CSE19" s="501"/>
      <c r="CSF19" s="501"/>
      <c r="CSG19" s="501"/>
      <c r="CSH19" s="501"/>
      <c r="CSI19" s="501"/>
      <c r="CSJ19" s="501"/>
      <c r="CSK19" s="501"/>
      <c r="CSL19" s="501"/>
      <c r="CSM19" s="501"/>
      <c r="CSN19" s="501"/>
      <c r="CSO19" s="501"/>
      <c r="CSP19" s="501"/>
      <c r="CSQ19" s="501"/>
      <c r="CSR19" s="501"/>
      <c r="CSS19" s="501"/>
      <c r="CST19" s="501"/>
      <c r="CSU19" s="501"/>
      <c r="CSV19" s="501"/>
      <c r="CSW19" s="501"/>
      <c r="CSX19" s="501"/>
      <c r="CSY19" s="501"/>
      <c r="CSZ19" s="501"/>
      <c r="CTA19" s="501"/>
      <c r="CTB19" s="501"/>
      <c r="CTC19" s="501"/>
      <c r="CTD19" s="501"/>
      <c r="CTE19" s="501"/>
      <c r="CTF19" s="501"/>
      <c r="CTG19" s="501"/>
      <c r="CTH19" s="501"/>
      <c r="CTI19" s="501"/>
      <c r="CTJ19" s="501"/>
      <c r="CTK19" s="501"/>
      <c r="CTL19" s="501"/>
      <c r="CTM19" s="501"/>
      <c r="CTN19" s="501"/>
      <c r="CTO19" s="501"/>
      <c r="CTP19" s="501"/>
      <c r="CTQ19" s="501"/>
      <c r="CTR19" s="501"/>
      <c r="CTS19" s="501"/>
      <c r="CTT19" s="501"/>
      <c r="CTU19" s="501"/>
      <c r="CTV19" s="501"/>
      <c r="CTW19" s="501"/>
      <c r="CTX19" s="501"/>
      <c r="CTY19" s="501"/>
      <c r="CTZ19" s="501"/>
      <c r="CUA19" s="501"/>
      <c r="CUB19" s="501"/>
      <c r="CUC19" s="501"/>
      <c r="CUD19" s="501"/>
      <c r="CUE19" s="501"/>
      <c r="CUF19" s="501"/>
      <c r="CUG19" s="501"/>
      <c r="CUH19" s="501"/>
      <c r="CUI19" s="501"/>
      <c r="CUJ19" s="501"/>
      <c r="CUK19" s="501"/>
      <c r="CUL19" s="501"/>
      <c r="CUM19" s="501"/>
      <c r="CUN19" s="501"/>
      <c r="CUO19" s="501"/>
      <c r="CUP19" s="501"/>
      <c r="CUQ19" s="501"/>
      <c r="CUR19" s="501"/>
      <c r="CUS19" s="501"/>
      <c r="CUT19" s="501"/>
      <c r="CUU19" s="501"/>
      <c r="CUV19" s="501"/>
      <c r="CUW19" s="501"/>
      <c r="CUX19" s="501"/>
      <c r="CUY19" s="501"/>
      <c r="CUZ19" s="501"/>
      <c r="CVA19" s="501"/>
      <c r="CVB19" s="501"/>
      <c r="CVC19" s="501"/>
      <c r="CVD19" s="501"/>
      <c r="CVE19" s="501"/>
      <c r="CVF19" s="501"/>
      <c r="CVG19" s="501"/>
      <c r="CVH19" s="501"/>
      <c r="CVI19" s="501"/>
      <c r="CVJ19" s="501"/>
      <c r="CVK19" s="501"/>
      <c r="CVL19" s="501"/>
      <c r="CVM19" s="501"/>
      <c r="CVN19" s="501"/>
      <c r="CVO19" s="501"/>
      <c r="CVP19" s="501"/>
      <c r="CVQ19" s="501"/>
      <c r="CVR19" s="501"/>
      <c r="CVS19" s="501"/>
      <c r="CVT19" s="501"/>
      <c r="CVU19" s="501"/>
      <c r="CVV19" s="501"/>
      <c r="CVW19" s="501"/>
      <c r="CVX19" s="501"/>
      <c r="CVY19" s="501"/>
      <c r="CVZ19" s="501"/>
      <c r="CWA19" s="501"/>
      <c r="CWB19" s="501"/>
      <c r="CWC19" s="501"/>
      <c r="CWD19" s="501"/>
      <c r="CWE19" s="501"/>
      <c r="CWF19" s="501"/>
      <c r="CWG19" s="501"/>
      <c r="CWH19" s="501"/>
      <c r="CWI19" s="501"/>
      <c r="CWJ19" s="501"/>
      <c r="CWK19" s="501"/>
      <c r="CWL19" s="501"/>
      <c r="CWM19" s="501"/>
      <c r="CWN19" s="501"/>
      <c r="CWO19" s="501"/>
      <c r="CWP19" s="501"/>
      <c r="CWQ19" s="501"/>
      <c r="CWR19" s="501"/>
      <c r="CWS19" s="501"/>
      <c r="CWT19" s="501"/>
      <c r="CWU19" s="501"/>
      <c r="CWV19" s="501"/>
      <c r="CWW19" s="501"/>
      <c r="CWX19" s="501"/>
      <c r="CWY19" s="501"/>
      <c r="CWZ19" s="501"/>
      <c r="CXA19" s="501"/>
      <c r="CXB19" s="501"/>
      <c r="CXC19" s="501"/>
      <c r="CXD19" s="501"/>
      <c r="CXE19" s="501"/>
      <c r="CXF19" s="501"/>
      <c r="CXG19" s="501"/>
      <c r="CXH19" s="501"/>
      <c r="CXI19" s="501"/>
      <c r="CXJ19" s="501"/>
      <c r="CXK19" s="501"/>
      <c r="CXL19" s="501"/>
      <c r="CXM19" s="501"/>
      <c r="CXN19" s="501"/>
      <c r="CXO19" s="501"/>
      <c r="CXP19" s="501"/>
      <c r="CXQ19" s="501"/>
      <c r="CXR19" s="501"/>
      <c r="CXS19" s="501"/>
      <c r="CXT19" s="501"/>
      <c r="CXU19" s="501"/>
      <c r="CXV19" s="501"/>
      <c r="CXW19" s="501"/>
      <c r="CXX19" s="501"/>
      <c r="CXY19" s="501"/>
      <c r="CXZ19" s="501"/>
      <c r="CYA19" s="501"/>
      <c r="CYB19" s="501"/>
      <c r="CYC19" s="501"/>
      <c r="CYD19" s="501"/>
      <c r="CYE19" s="501"/>
      <c r="CYF19" s="501"/>
      <c r="CYG19" s="501"/>
      <c r="CYH19" s="501"/>
      <c r="CYI19" s="501"/>
      <c r="CYJ19" s="501"/>
      <c r="CYK19" s="501"/>
      <c r="CYL19" s="501"/>
      <c r="CYM19" s="501"/>
      <c r="CYN19" s="501"/>
      <c r="CYO19" s="501"/>
      <c r="CYP19" s="501"/>
      <c r="CYQ19" s="501"/>
      <c r="CYR19" s="501"/>
      <c r="CYS19" s="501"/>
      <c r="CYT19" s="501"/>
      <c r="CYU19" s="501"/>
      <c r="CYV19" s="501"/>
      <c r="CYW19" s="501"/>
      <c r="CYX19" s="501"/>
      <c r="CYY19" s="501"/>
      <c r="CYZ19" s="501"/>
      <c r="CZA19" s="501"/>
      <c r="CZB19" s="501"/>
      <c r="CZC19" s="501"/>
      <c r="CZD19" s="501"/>
      <c r="CZE19" s="501"/>
      <c r="CZF19" s="501"/>
      <c r="CZG19" s="501"/>
      <c r="CZH19" s="501"/>
      <c r="CZI19" s="501"/>
      <c r="CZJ19" s="501"/>
      <c r="CZK19" s="501"/>
      <c r="CZL19" s="501"/>
      <c r="CZM19" s="501"/>
      <c r="CZN19" s="501"/>
      <c r="CZO19" s="501"/>
      <c r="CZP19" s="501"/>
      <c r="CZQ19" s="501"/>
      <c r="CZR19" s="501"/>
      <c r="CZS19" s="501"/>
      <c r="CZT19" s="501"/>
      <c r="CZU19" s="501"/>
      <c r="CZV19" s="501"/>
      <c r="CZW19" s="501"/>
      <c r="CZX19" s="501"/>
      <c r="CZY19" s="501"/>
      <c r="CZZ19" s="501"/>
      <c r="DAA19" s="501"/>
      <c r="DAB19" s="501"/>
      <c r="DAC19" s="501"/>
      <c r="DAD19" s="501"/>
      <c r="DAE19" s="501"/>
      <c r="DAF19" s="501"/>
      <c r="DAG19" s="501"/>
      <c r="DAH19" s="501"/>
      <c r="DAI19" s="501"/>
      <c r="DAJ19" s="501"/>
      <c r="DAK19" s="501"/>
      <c r="DAL19" s="501"/>
      <c r="DAM19" s="501"/>
      <c r="DAN19" s="501"/>
      <c r="DAO19" s="501"/>
      <c r="DAP19" s="501"/>
      <c r="DAQ19" s="501"/>
      <c r="DAR19" s="501"/>
      <c r="DAS19" s="501"/>
      <c r="DAT19" s="501"/>
      <c r="DAU19" s="501"/>
      <c r="DAV19" s="501"/>
      <c r="DAW19" s="501"/>
      <c r="DAX19" s="501"/>
      <c r="DAY19" s="501"/>
      <c r="DAZ19" s="501"/>
      <c r="DBA19" s="501"/>
      <c r="DBB19" s="501"/>
      <c r="DBC19" s="501"/>
      <c r="DBD19" s="501"/>
      <c r="DBE19" s="501"/>
      <c r="DBF19" s="501"/>
      <c r="DBG19" s="501"/>
      <c r="DBH19" s="501"/>
      <c r="DBI19" s="501"/>
      <c r="DBJ19" s="501"/>
      <c r="DBK19" s="501"/>
      <c r="DBL19" s="501"/>
      <c r="DBM19" s="501"/>
      <c r="DBN19" s="501"/>
      <c r="DBO19" s="501"/>
      <c r="DBP19" s="501"/>
      <c r="DBQ19" s="501"/>
      <c r="DBR19" s="501"/>
      <c r="DBS19" s="501"/>
      <c r="DBT19" s="501"/>
      <c r="DBU19" s="501"/>
      <c r="DBV19" s="501"/>
      <c r="DBW19" s="501"/>
      <c r="DBX19" s="501"/>
      <c r="DBY19" s="501"/>
      <c r="DBZ19" s="501"/>
      <c r="DCA19" s="501"/>
      <c r="DCB19" s="501"/>
      <c r="DCC19" s="501"/>
      <c r="DCD19" s="501"/>
      <c r="DCE19" s="501"/>
      <c r="DCF19" s="501"/>
      <c r="DCG19" s="501"/>
      <c r="DCH19" s="501"/>
      <c r="DCI19" s="501"/>
      <c r="DCJ19" s="501"/>
      <c r="DCK19" s="501"/>
      <c r="DCL19" s="501"/>
      <c r="DCM19" s="501"/>
      <c r="DCN19" s="501"/>
      <c r="DCO19" s="501"/>
      <c r="DCP19" s="501"/>
      <c r="DCQ19" s="501"/>
      <c r="DCR19" s="501"/>
      <c r="DCS19" s="501"/>
      <c r="DCT19" s="501"/>
      <c r="DCU19" s="501"/>
      <c r="DCV19" s="501"/>
      <c r="DCW19" s="501"/>
      <c r="DCX19" s="501"/>
      <c r="DCY19" s="501"/>
      <c r="DCZ19" s="501"/>
      <c r="DDA19" s="501"/>
      <c r="DDB19" s="501"/>
      <c r="DDC19" s="501"/>
      <c r="DDD19" s="501"/>
      <c r="DDE19" s="501"/>
      <c r="DDF19" s="501"/>
      <c r="DDG19" s="501"/>
      <c r="DDH19" s="501"/>
      <c r="DDI19" s="501"/>
      <c r="DDJ19" s="501"/>
      <c r="DDK19" s="501"/>
      <c r="DDL19" s="501"/>
      <c r="DDM19" s="501"/>
      <c r="DDN19" s="501"/>
      <c r="DDO19" s="501"/>
      <c r="DDP19" s="501"/>
      <c r="DDQ19" s="501"/>
      <c r="DDR19" s="501"/>
      <c r="DDS19" s="501"/>
      <c r="DDT19" s="501"/>
      <c r="DDU19" s="501"/>
      <c r="DDV19" s="501"/>
      <c r="DDW19" s="501"/>
      <c r="DDX19" s="501"/>
      <c r="DDY19" s="501"/>
      <c r="DDZ19" s="501"/>
      <c r="DEA19" s="501"/>
      <c r="DEB19" s="501"/>
      <c r="DEC19" s="501"/>
      <c r="DED19" s="501"/>
      <c r="DEE19" s="501"/>
      <c r="DEF19" s="501"/>
      <c r="DEG19" s="501"/>
      <c r="DEH19" s="501"/>
      <c r="DEI19" s="501"/>
      <c r="DEJ19" s="501"/>
      <c r="DEK19" s="501"/>
      <c r="DEL19" s="501"/>
      <c r="DEM19" s="501"/>
      <c r="DEN19" s="501"/>
      <c r="DEO19" s="501"/>
      <c r="DEP19" s="501"/>
      <c r="DEQ19" s="501"/>
      <c r="DER19" s="501"/>
      <c r="DES19" s="501"/>
      <c r="DET19" s="501"/>
      <c r="DEU19" s="501"/>
      <c r="DEV19" s="501"/>
      <c r="DEW19" s="501"/>
      <c r="DEX19" s="501"/>
      <c r="DEY19" s="501"/>
      <c r="DEZ19" s="501"/>
      <c r="DFA19" s="501"/>
      <c r="DFB19" s="501"/>
      <c r="DFC19" s="501"/>
      <c r="DFD19" s="501"/>
      <c r="DFE19" s="501"/>
      <c r="DFF19" s="501"/>
      <c r="DFG19" s="501"/>
      <c r="DFH19" s="501"/>
      <c r="DFI19" s="501"/>
      <c r="DFJ19" s="501"/>
      <c r="DFK19" s="501"/>
      <c r="DFL19" s="501"/>
      <c r="DFM19" s="501"/>
      <c r="DFN19" s="501"/>
      <c r="DFO19" s="501"/>
      <c r="DFP19" s="501"/>
      <c r="DFQ19" s="501"/>
      <c r="DFR19" s="501"/>
      <c r="DFS19" s="501"/>
      <c r="DFT19" s="501"/>
      <c r="DFU19" s="501"/>
      <c r="DFV19" s="501"/>
      <c r="DFW19" s="501"/>
      <c r="DFX19" s="501"/>
      <c r="DFY19" s="501"/>
      <c r="DFZ19" s="501"/>
      <c r="DGA19" s="501"/>
      <c r="DGB19" s="501"/>
      <c r="DGC19" s="501"/>
      <c r="DGD19" s="501"/>
      <c r="DGE19" s="501"/>
      <c r="DGF19" s="501"/>
      <c r="DGG19" s="501"/>
      <c r="DGH19" s="501"/>
      <c r="DGI19" s="501"/>
      <c r="DGJ19" s="501"/>
      <c r="DGK19" s="501"/>
      <c r="DGL19" s="501"/>
      <c r="DGM19" s="501"/>
      <c r="DGN19" s="501"/>
      <c r="DGO19" s="501"/>
      <c r="DGP19" s="501"/>
      <c r="DGQ19" s="501"/>
      <c r="DGR19" s="501"/>
      <c r="DGS19" s="501"/>
      <c r="DGT19" s="501"/>
      <c r="DGU19" s="501"/>
      <c r="DGV19" s="501"/>
      <c r="DGW19" s="501"/>
      <c r="DGX19" s="501"/>
      <c r="DGY19" s="501"/>
      <c r="DGZ19" s="501"/>
      <c r="DHA19" s="501"/>
      <c r="DHB19" s="501"/>
      <c r="DHC19" s="501"/>
      <c r="DHD19" s="501"/>
      <c r="DHE19" s="501"/>
      <c r="DHF19" s="501"/>
      <c r="DHG19" s="501"/>
      <c r="DHH19" s="501"/>
      <c r="DHI19" s="501"/>
      <c r="DHJ19" s="501"/>
      <c r="DHK19" s="501"/>
      <c r="DHL19" s="501"/>
      <c r="DHM19" s="501"/>
      <c r="DHN19" s="501"/>
      <c r="DHO19" s="501"/>
      <c r="DHP19" s="501"/>
      <c r="DHQ19" s="501"/>
      <c r="DHR19" s="501"/>
      <c r="DHS19" s="501"/>
      <c r="DHT19" s="501"/>
      <c r="DHU19" s="501"/>
      <c r="DHV19" s="501"/>
      <c r="DHW19" s="501"/>
      <c r="DHX19" s="501"/>
      <c r="DHY19" s="501"/>
      <c r="DHZ19" s="501"/>
      <c r="DIA19" s="501"/>
      <c r="DIB19" s="501"/>
      <c r="DIC19" s="501"/>
      <c r="DID19" s="501"/>
      <c r="DIE19" s="501"/>
      <c r="DIF19" s="501"/>
      <c r="DIG19" s="501"/>
      <c r="DIH19" s="501"/>
      <c r="DII19" s="501"/>
      <c r="DIJ19" s="501"/>
      <c r="DIK19" s="501"/>
      <c r="DIL19" s="501"/>
      <c r="DIM19" s="501"/>
      <c r="DIN19" s="501"/>
      <c r="DIO19" s="501"/>
      <c r="DIP19" s="501"/>
      <c r="DIQ19" s="501"/>
      <c r="DIR19" s="501"/>
      <c r="DIS19" s="501"/>
      <c r="DIT19" s="501"/>
      <c r="DIU19" s="501"/>
      <c r="DIV19" s="501"/>
      <c r="DIW19" s="501"/>
      <c r="DIX19" s="501"/>
      <c r="DIY19" s="501"/>
      <c r="DIZ19" s="501"/>
      <c r="DJA19" s="501"/>
      <c r="DJB19" s="501"/>
      <c r="DJC19" s="501"/>
      <c r="DJD19" s="501"/>
      <c r="DJE19" s="501"/>
      <c r="DJF19" s="501"/>
      <c r="DJG19" s="501"/>
      <c r="DJH19" s="501"/>
      <c r="DJI19" s="501"/>
      <c r="DJJ19" s="501"/>
      <c r="DJK19" s="501"/>
      <c r="DJL19" s="501"/>
      <c r="DJM19" s="501"/>
      <c r="DJN19" s="501"/>
      <c r="DJO19" s="501"/>
      <c r="DJP19" s="501"/>
      <c r="DJQ19" s="501"/>
      <c r="DJR19" s="501"/>
      <c r="DJS19" s="501"/>
      <c r="DJT19" s="501"/>
      <c r="DJU19" s="501"/>
      <c r="DJV19" s="501"/>
      <c r="DJW19" s="501"/>
      <c r="DJX19" s="501"/>
      <c r="DJY19" s="501"/>
      <c r="DJZ19" s="501"/>
      <c r="DKA19" s="501"/>
      <c r="DKB19" s="501"/>
      <c r="DKC19" s="501"/>
      <c r="DKD19" s="501"/>
      <c r="DKE19" s="501"/>
      <c r="DKF19" s="501"/>
      <c r="DKG19" s="501"/>
      <c r="DKH19" s="501"/>
      <c r="DKI19" s="501"/>
      <c r="DKJ19" s="501"/>
      <c r="DKK19" s="501"/>
      <c r="DKL19" s="501"/>
      <c r="DKM19" s="501"/>
      <c r="DKN19" s="501"/>
      <c r="DKO19" s="501"/>
      <c r="DKP19" s="501"/>
      <c r="DKQ19" s="501"/>
      <c r="DKR19" s="501"/>
      <c r="DKS19" s="501"/>
      <c r="DKT19" s="501"/>
      <c r="DKU19" s="501"/>
      <c r="DKV19" s="501"/>
      <c r="DKW19" s="501"/>
      <c r="DKX19" s="501"/>
      <c r="DKY19" s="501"/>
      <c r="DKZ19" s="501"/>
      <c r="DLA19" s="501"/>
      <c r="DLB19" s="501"/>
      <c r="DLC19" s="501"/>
      <c r="DLD19" s="501"/>
      <c r="DLE19" s="501"/>
      <c r="DLF19" s="501"/>
      <c r="DLG19" s="501"/>
      <c r="DLH19" s="501"/>
      <c r="DLI19" s="501"/>
      <c r="DLJ19" s="501"/>
      <c r="DLK19" s="501"/>
      <c r="DLL19" s="501"/>
      <c r="DLM19" s="501"/>
      <c r="DLN19" s="501"/>
      <c r="DLO19" s="501"/>
      <c r="DLP19" s="501"/>
      <c r="DLQ19" s="501"/>
      <c r="DLR19" s="501"/>
      <c r="DLS19" s="501"/>
      <c r="DLT19" s="501"/>
      <c r="DLU19" s="501"/>
      <c r="DLV19" s="501"/>
      <c r="DLW19" s="501"/>
      <c r="DLX19" s="501"/>
      <c r="DLY19" s="501"/>
      <c r="DLZ19" s="501"/>
      <c r="DMA19" s="501"/>
      <c r="DMB19" s="501"/>
      <c r="DMC19" s="501"/>
      <c r="DMD19" s="501"/>
      <c r="DME19" s="501"/>
      <c r="DMF19" s="501"/>
      <c r="DMG19" s="501"/>
      <c r="DMH19" s="501"/>
      <c r="DMI19" s="501"/>
      <c r="DMJ19" s="501"/>
      <c r="DMK19" s="501"/>
      <c r="DML19" s="501"/>
      <c r="DMM19" s="501"/>
      <c r="DMN19" s="501"/>
      <c r="DMO19" s="501"/>
      <c r="DMP19" s="501"/>
      <c r="DMQ19" s="501"/>
      <c r="DMR19" s="501"/>
      <c r="DMS19" s="501"/>
      <c r="DMT19" s="501"/>
      <c r="DMU19" s="501"/>
      <c r="DMV19" s="501"/>
      <c r="DMW19" s="501"/>
      <c r="DMX19" s="501"/>
      <c r="DMY19" s="501"/>
      <c r="DMZ19" s="501"/>
      <c r="DNA19" s="501"/>
      <c r="DNB19" s="501"/>
      <c r="DNC19" s="501"/>
      <c r="DND19" s="501"/>
      <c r="DNE19" s="501"/>
      <c r="DNF19" s="501"/>
      <c r="DNG19" s="501"/>
      <c r="DNH19" s="501"/>
      <c r="DNI19" s="501"/>
      <c r="DNJ19" s="501"/>
      <c r="DNK19" s="501"/>
      <c r="DNL19" s="501"/>
      <c r="DNM19" s="501"/>
      <c r="DNN19" s="501"/>
      <c r="DNO19" s="501"/>
      <c r="DNP19" s="501"/>
      <c r="DNQ19" s="501"/>
      <c r="DNR19" s="501"/>
      <c r="DNS19" s="501"/>
      <c r="DNT19" s="501"/>
      <c r="DNU19" s="501"/>
      <c r="DNV19" s="501"/>
      <c r="DNW19" s="501"/>
      <c r="DNX19" s="501"/>
      <c r="DNY19" s="501"/>
      <c r="DNZ19" s="501"/>
      <c r="DOA19" s="501"/>
      <c r="DOB19" s="501"/>
      <c r="DOC19" s="501"/>
      <c r="DOD19" s="501"/>
      <c r="DOE19" s="501"/>
      <c r="DOF19" s="501"/>
      <c r="DOG19" s="501"/>
      <c r="DOH19" s="501"/>
      <c r="DOI19" s="501"/>
      <c r="DOJ19" s="501"/>
      <c r="DOK19" s="501"/>
      <c r="DOL19" s="501"/>
      <c r="DOM19" s="501"/>
      <c r="DON19" s="501"/>
      <c r="DOO19" s="501"/>
      <c r="DOP19" s="501"/>
      <c r="DOQ19" s="501"/>
      <c r="DOR19" s="501"/>
      <c r="DOS19" s="501"/>
      <c r="DOT19" s="501"/>
      <c r="DOU19" s="501"/>
      <c r="DOV19" s="501"/>
      <c r="DOW19" s="501"/>
      <c r="DOX19" s="501"/>
      <c r="DOY19" s="501"/>
      <c r="DOZ19" s="501"/>
      <c r="DPA19" s="501"/>
      <c r="DPB19" s="501"/>
      <c r="DPC19" s="501"/>
      <c r="DPD19" s="501"/>
      <c r="DPE19" s="501"/>
      <c r="DPF19" s="501"/>
      <c r="DPG19" s="501"/>
      <c r="DPH19" s="501"/>
      <c r="DPI19" s="501"/>
      <c r="DPJ19" s="501"/>
      <c r="DPK19" s="501"/>
      <c r="DPL19" s="501"/>
      <c r="DPM19" s="501"/>
      <c r="DPN19" s="501"/>
      <c r="DPO19" s="501"/>
      <c r="DPP19" s="501"/>
      <c r="DPQ19" s="501"/>
      <c r="DPR19" s="501"/>
      <c r="DPS19" s="501"/>
      <c r="DPT19" s="501"/>
      <c r="DPU19" s="501"/>
      <c r="DPV19" s="501"/>
      <c r="DPW19" s="501"/>
      <c r="DPX19" s="501"/>
      <c r="DPY19" s="501"/>
      <c r="DPZ19" s="501"/>
      <c r="DQA19" s="501"/>
      <c r="DQB19" s="501"/>
      <c r="DQC19" s="501"/>
      <c r="DQD19" s="501"/>
      <c r="DQE19" s="501"/>
      <c r="DQF19" s="501"/>
      <c r="DQG19" s="501"/>
      <c r="DQH19" s="501"/>
      <c r="DQI19" s="501"/>
      <c r="DQJ19" s="501"/>
      <c r="DQK19" s="501"/>
      <c r="DQL19" s="501"/>
      <c r="DQM19" s="501"/>
      <c r="DQN19" s="501"/>
      <c r="DQO19" s="501"/>
      <c r="DQP19" s="501"/>
      <c r="DQQ19" s="501"/>
      <c r="DQR19" s="501"/>
      <c r="DQS19" s="501"/>
      <c r="DQT19" s="501"/>
      <c r="DQU19" s="501"/>
      <c r="DQV19" s="501"/>
      <c r="DQW19" s="501"/>
      <c r="DQX19" s="501"/>
      <c r="DQY19" s="501"/>
      <c r="DQZ19" s="501"/>
      <c r="DRA19" s="501"/>
      <c r="DRB19" s="501"/>
      <c r="DRC19" s="501"/>
      <c r="DRD19" s="501"/>
      <c r="DRE19" s="501"/>
      <c r="DRF19" s="501"/>
      <c r="DRG19" s="501"/>
      <c r="DRH19" s="501"/>
      <c r="DRI19" s="501"/>
      <c r="DRJ19" s="501"/>
      <c r="DRK19" s="501"/>
      <c r="DRL19" s="501"/>
      <c r="DRM19" s="501"/>
      <c r="DRN19" s="501"/>
      <c r="DRO19" s="501"/>
      <c r="DRP19" s="501"/>
      <c r="DRQ19" s="501"/>
      <c r="DRR19" s="501"/>
      <c r="DRS19" s="501"/>
      <c r="DRT19" s="501"/>
      <c r="DRU19" s="501"/>
      <c r="DRV19" s="501"/>
      <c r="DRW19" s="501"/>
      <c r="DRX19" s="501"/>
      <c r="DRY19" s="501"/>
      <c r="DRZ19" s="501"/>
      <c r="DSA19" s="501"/>
      <c r="DSB19" s="501"/>
      <c r="DSC19" s="501"/>
      <c r="DSD19" s="501"/>
      <c r="DSE19" s="501"/>
      <c r="DSF19" s="501"/>
      <c r="DSG19" s="501"/>
      <c r="DSH19" s="501"/>
      <c r="DSI19" s="501"/>
      <c r="DSJ19" s="501"/>
      <c r="DSK19" s="501"/>
      <c r="DSL19" s="501"/>
      <c r="DSM19" s="501"/>
      <c r="DSN19" s="501"/>
      <c r="DSO19" s="501"/>
      <c r="DSP19" s="501"/>
      <c r="DSQ19" s="501"/>
      <c r="DSR19" s="501"/>
      <c r="DSS19" s="501"/>
      <c r="DST19" s="501"/>
      <c r="DSU19" s="501"/>
      <c r="DSV19" s="501"/>
      <c r="DSW19" s="501"/>
      <c r="DSX19" s="501"/>
      <c r="DSY19" s="501"/>
      <c r="DSZ19" s="501"/>
      <c r="DTA19" s="501"/>
      <c r="DTB19" s="501"/>
      <c r="DTC19" s="501"/>
      <c r="DTD19" s="501"/>
      <c r="DTE19" s="501"/>
      <c r="DTF19" s="501"/>
      <c r="DTG19" s="501"/>
      <c r="DTH19" s="501"/>
      <c r="DTI19" s="501"/>
      <c r="DTJ19" s="501"/>
      <c r="DTK19" s="501"/>
      <c r="DTL19" s="501"/>
      <c r="DTM19" s="501"/>
      <c r="DTN19" s="501"/>
      <c r="DTO19" s="501"/>
      <c r="DTP19" s="501"/>
      <c r="DTQ19" s="501"/>
      <c r="DTR19" s="501"/>
      <c r="DTS19" s="501"/>
      <c r="DTT19" s="501"/>
      <c r="DTU19" s="501"/>
      <c r="DTV19" s="501"/>
      <c r="DTW19" s="501"/>
      <c r="DTX19" s="501"/>
      <c r="DTY19" s="501"/>
      <c r="DTZ19" s="501"/>
      <c r="DUA19" s="501"/>
      <c r="DUB19" s="501"/>
      <c r="DUC19" s="501"/>
      <c r="DUD19" s="501"/>
      <c r="DUE19" s="501"/>
      <c r="DUF19" s="501"/>
      <c r="DUG19" s="501"/>
      <c r="DUH19" s="501"/>
      <c r="DUI19" s="501"/>
      <c r="DUJ19" s="501"/>
      <c r="DUK19" s="501"/>
      <c r="DUL19" s="501"/>
      <c r="DUM19" s="501"/>
      <c r="DUN19" s="501"/>
      <c r="DUO19" s="501"/>
      <c r="DUP19" s="501"/>
      <c r="DUQ19" s="501"/>
      <c r="DUR19" s="501"/>
      <c r="DUS19" s="501"/>
      <c r="DUT19" s="501"/>
      <c r="DUU19" s="501"/>
      <c r="DUV19" s="501"/>
      <c r="DUW19" s="501"/>
      <c r="DUX19" s="501"/>
      <c r="DUY19" s="501"/>
      <c r="DUZ19" s="501"/>
      <c r="DVA19" s="501"/>
      <c r="DVB19" s="501"/>
      <c r="DVC19" s="501"/>
      <c r="DVD19" s="501"/>
      <c r="DVE19" s="501"/>
      <c r="DVF19" s="501"/>
      <c r="DVG19" s="501"/>
      <c r="DVH19" s="501"/>
      <c r="DVI19" s="501"/>
      <c r="DVJ19" s="501"/>
      <c r="DVK19" s="501"/>
      <c r="DVL19" s="501"/>
      <c r="DVM19" s="501"/>
      <c r="DVN19" s="501"/>
      <c r="DVO19" s="501"/>
      <c r="DVP19" s="501"/>
      <c r="DVQ19" s="501"/>
      <c r="DVR19" s="501"/>
      <c r="DVS19" s="501"/>
      <c r="DVT19" s="501"/>
      <c r="DVU19" s="501"/>
      <c r="DVV19" s="501"/>
      <c r="DVW19" s="501"/>
      <c r="DVX19" s="501"/>
      <c r="DVY19" s="501"/>
      <c r="DVZ19" s="501"/>
      <c r="DWA19" s="501"/>
      <c r="DWB19" s="501"/>
      <c r="DWC19" s="501"/>
      <c r="DWD19" s="501"/>
      <c r="DWE19" s="501"/>
      <c r="DWF19" s="501"/>
      <c r="DWG19" s="501"/>
      <c r="DWH19" s="501"/>
      <c r="DWI19" s="501"/>
      <c r="DWJ19" s="501"/>
      <c r="DWK19" s="501"/>
      <c r="DWL19" s="501"/>
      <c r="DWM19" s="501"/>
      <c r="DWN19" s="501"/>
      <c r="DWO19" s="501"/>
      <c r="DWP19" s="501"/>
      <c r="DWQ19" s="501"/>
      <c r="DWR19" s="501"/>
      <c r="DWS19" s="501"/>
      <c r="DWT19" s="501"/>
      <c r="DWU19" s="501"/>
      <c r="DWV19" s="501"/>
      <c r="DWW19" s="501"/>
      <c r="DWX19" s="501"/>
      <c r="DWY19" s="501"/>
      <c r="DWZ19" s="501"/>
      <c r="DXA19" s="501"/>
      <c r="DXB19" s="501"/>
      <c r="DXC19" s="501"/>
      <c r="DXD19" s="501"/>
      <c r="DXE19" s="501"/>
      <c r="DXF19" s="501"/>
      <c r="DXG19" s="501"/>
      <c r="DXH19" s="501"/>
      <c r="DXI19" s="501"/>
      <c r="DXJ19" s="501"/>
      <c r="DXK19" s="501"/>
      <c r="DXL19" s="501"/>
      <c r="DXM19" s="501"/>
      <c r="DXN19" s="501"/>
      <c r="DXO19" s="501"/>
      <c r="DXP19" s="501"/>
      <c r="DXQ19" s="501"/>
      <c r="DXR19" s="501"/>
      <c r="DXS19" s="501"/>
      <c r="DXT19" s="501"/>
      <c r="DXU19" s="501"/>
      <c r="DXV19" s="501"/>
      <c r="DXW19" s="501"/>
      <c r="DXX19" s="501"/>
      <c r="DXY19" s="501"/>
      <c r="DXZ19" s="501"/>
      <c r="DYA19" s="501"/>
      <c r="DYB19" s="501"/>
      <c r="DYC19" s="501"/>
      <c r="DYD19" s="501"/>
      <c r="DYE19" s="501"/>
      <c r="DYF19" s="501"/>
      <c r="DYG19" s="501"/>
      <c r="DYH19" s="501"/>
      <c r="DYI19" s="501"/>
      <c r="DYJ19" s="501"/>
      <c r="DYK19" s="501"/>
      <c r="DYL19" s="501"/>
      <c r="DYM19" s="501"/>
      <c r="DYN19" s="501"/>
      <c r="DYO19" s="501"/>
      <c r="DYP19" s="501"/>
      <c r="DYQ19" s="501"/>
      <c r="DYR19" s="501"/>
      <c r="DYS19" s="501"/>
      <c r="DYT19" s="501"/>
      <c r="DYU19" s="501"/>
      <c r="DYV19" s="501"/>
      <c r="DYW19" s="501"/>
      <c r="DYX19" s="501"/>
      <c r="DYY19" s="501"/>
      <c r="DYZ19" s="501"/>
      <c r="DZA19" s="501"/>
      <c r="DZB19" s="501"/>
      <c r="DZC19" s="501"/>
      <c r="DZD19" s="501"/>
      <c r="DZE19" s="501"/>
      <c r="DZF19" s="501"/>
      <c r="DZG19" s="501"/>
      <c r="DZH19" s="501"/>
      <c r="DZI19" s="501"/>
      <c r="DZJ19" s="501"/>
      <c r="DZK19" s="501"/>
      <c r="DZL19" s="501"/>
      <c r="DZM19" s="501"/>
      <c r="DZN19" s="501"/>
      <c r="DZO19" s="501"/>
      <c r="DZP19" s="501"/>
      <c r="DZQ19" s="501"/>
      <c r="DZR19" s="501"/>
      <c r="DZS19" s="501"/>
      <c r="DZT19" s="501"/>
      <c r="DZU19" s="501"/>
      <c r="DZV19" s="501"/>
      <c r="DZW19" s="501"/>
      <c r="DZX19" s="501"/>
      <c r="DZY19" s="501"/>
      <c r="DZZ19" s="501"/>
      <c r="EAA19" s="501"/>
      <c r="EAB19" s="501"/>
      <c r="EAC19" s="501"/>
      <c r="EAD19" s="501"/>
      <c r="EAE19" s="501"/>
      <c r="EAF19" s="501"/>
      <c r="EAG19" s="501"/>
      <c r="EAH19" s="501"/>
      <c r="EAI19" s="501"/>
      <c r="EAJ19" s="501"/>
      <c r="EAK19" s="501"/>
      <c r="EAL19" s="501"/>
      <c r="EAM19" s="501"/>
      <c r="EAN19" s="501"/>
      <c r="EAO19" s="501"/>
      <c r="EAP19" s="501"/>
      <c r="EAQ19" s="501"/>
      <c r="EAR19" s="501"/>
      <c r="EAS19" s="501"/>
      <c r="EAT19" s="501"/>
      <c r="EAU19" s="501"/>
      <c r="EAV19" s="501"/>
      <c r="EAW19" s="501"/>
      <c r="EAX19" s="501"/>
      <c r="EAY19" s="501"/>
      <c r="EAZ19" s="501"/>
      <c r="EBA19" s="501"/>
      <c r="EBB19" s="501"/>
      <c r="EBC19" s="501"/>
      <c r="EBD19" s="501"/>
      <c r="EBE19" s="501"/>
      <c r="EBF19" s="501"/>
      <c r="EBG19" s="501"/>
      <c r="EBH19" s="501"/>
      <c r="EBI19" s="501"/>
      <c r="EBJ19" s="501"/>
      <c r="EBK19" s="501"/>
      <c r="EBL19" s="501"/>
      <c r="EBM19" s="501"/>
      <c r="EBN19" s="501"/>
      <c r="EBO19" s="501"/>
      <c r="EBP19" s="501"/>
      <c r="EBQ19" s="501"/>
      <c r="EBR19" s="501"/>
      <c r="EBS19" s="501"/>
      <c r="EBT19" s="501"/>
      <c r="EBU19" s="501"/>
      <c r="EBV19" s="501"/>
      <c r="EBW19" s="501"/>
      <c r="EBX19" s="501"/>
      <c r="EBY19" s="501"/>
      <c r="EBZ19" s="501"/>
      <c r="ECA19" s="501"/>
      <c r="ECB19" s="501"/>
      <c r="ECC19" s="501"/>
      <c r="ECD19" s="501"/>
      <c r="ECE19" s="501"/>
      <c r="ECF19" s="501"/>
      <c r="ECG19" s="501"/>
      <c r="ECH19" s="501"/>
      <c r="ECI19" s="501"/>
      <c r="ECJ19" s="501"/>
      <c r="ECK19" s="501"/>
      <c r="ECL19" s="501"/>
      <c r="ECM19" s="501"/>
      <c r="ECN19" s="501"/>
      <c r="ECO19" s="501"/>
      <c r="ECP19" s="501"/>
      <c r="ECQ19" s="501"/>
      <c r="ECR19" s="501"/>
      <c r="ECS19" s="501"/>
      <c r="ECT19" s="501"/>
      <c r="ECU19" s="501"/>
      <c r="ECV19" s="501"/>
      <c r="ECW19" s="501"/>
      <c r="ECX19" s="501"/>
      <c r="ECY19" s="501"/>
      <c r="ECZ19" s="501"/>
      <c r="EDA19" s="501"/>
      <c r="EDB19" s="501"/>
      <c r="EDC19" s="501"/>
      <c r="EDD19" s="501"/>
      <c r="EDE19" s="501"/>
      <c r="EDF19" s="501"/>
      <c r="EDG19" s="501"/>
      <c r="EDH19" s="501"/>
      <c r="EDI19" s="501"/>
      <c r="EDJ19" s="501"/>
      <c r="EDK19" s="501"/>
      <c r="EDL19" s="501"/>
      <c r="EDM19" s="501"/>
      <c r="EDN19" s="501"/>
      <c r="EDO19" s="501"/>
      <c r="EDP19" s="501"/>
      <c r="EDQ19" s="501"/>
      <c r="EDR19" s="501"/>
      <c r="EDS19" s="501"/>
      <c r="EDT19" s="501"/>
      <c r="EDU19" s="501"/>
      <c r="EDV19" s="501"/>
      <c r="EDW19" s="501"/>
      <c r="EDX19" s="501"/>
      <c r="EDY19" s="501"/>
      <c r="EDZ19" s="501"/>
      <c r="EEA19" s="501"/>
      <c r="EEB19" s="501"/>
      <c r="EEC19" s="501"/>
      <c r="EED19" s="501"/>
      <c r="EEE19" s="501"/>
      <c r="EEF19" s="501"/>
      <c r="EEG19" s="501"/>
      <c r="EEH19" s="501"/>
      <c r="EEI19" s="501"/>
      <c r="EEJ19" s="501"/>
      <c r="EEK19" s="501"/>
      <c r="EEL19" s="501"/>
      <c r="EEM19" s="501"/>
      <c r="EEN19" s="501"/>
      <c r="EEO19" s="501"/>
      <c r="EEP19" s="501"/>
      <c r="EEQ19" s="501"/>
      <c r="EER19" s="501"/>
      <c r="EES19" s="501"/>
      <c r="EET19" s="501"/>
      <c r="EEU19" s="501"/>
      <c r="EEV19" s="501"/>
      <c r="EEW19" s="501"/>
      <c r="EEX19" s="501"/>
      <c r="EEY19" s="501"/>
      <c r="EEZ19" s="501"/>
      <c r="EFA19" s="501"/>
      <c r="EFB19" s="501"/>
      <c r="EFC19" s="501"/>
      <c r="EFD19" s="501"/>
      <c r="EFE19" s="501"/>
      <c r="EFF19" s="501"/>
      <c r="EFG19" s="501"/>
      <c r="EFH19" s="501"/>
      <c r="EFI19" s="501"/>
      <c r="EFJ19" s="501"/>
      <c r="EFK19" s="501"/>
      <c r="EFL19" s="501"/>
      <c r="EFM19" s="501"/>
      <c r="EFN19" s="501"/>
      <c r="EFO19" s="501"/>
      <c r="EFP19" s="501"/>
      <c r="EFQ19" s="501"/>
      <c r="EFR19" s="501"/>
      <c r="EFS19" s="501"/>
      <c r="EFT19" s="501"/>
      <c r="EFU19" s="501"/>
      <c r="EFV19" s="501"/>
      <c r="EFW19" s="501"/>
      <c r="EFX19" s="501"/>
      <c r="EFY19" s="501"/>
      <c r="EFZ19" s="501"/>
      <c r="EGA19" s="501"/>
      <c r="EGB19" s="501"/>
      <c r="EGC19" s="501"/>
      <c r="EGD19" s="501"/>
      <c r="EGE19" s="501"/>
      <c r="EGF19" s="501"/>
      <c r="EGG19" s="501"/>
      <c r="EGH19" s="501"/>
      <c r="EGI19" s="501"/>
      <c r="EGJ19" s="501"/>
      <c r="EGK19" s="501"/>
      <c r="EGL19" s="501"/>
      <c r="EGM19" s="501"/>
      <c r="EGN19" s="501"/>
      <c r="EGO19" s="501"/>
      <c r="EGP19" s="501"/>
      <c r="EGQ19" s="501"/>
      <c r="EGR19" s="501"/>
      <c r="EGS19" s="501"/>
      <c r="EGT19" s="501"/>
      <c r="EGU19" s="501"/>
      <c r="EGV19" s="501"/>
      <c r="EGW19" s="501"/>
      <c r="EGX19" s="501"/>
      <c r="EGY19" s="501"/>
      <c r="EGZ19" s="501"/>
      <c r="EHA19" s="501"/>
      <c r="EHB19" s="501"/>
      <c r="EHC19" s="501"/>
      <c r="EHD19" s="501"/>
      <c r="EHE19" s="501"/>
      <c r="EHF19" s="501"/>
      <c r="EHG19" s="501"/>
      <c r="EHH19" s="501"/>
      <c r="EHI19" s="501"/>
      <c r="EHJ19" s="501"/>
      <c r="EHK19" s="501"/>
      <c r="EHL19" s="501"/>
      <c r="EHM19" s="501"/>
      <c r="EHN19" s="501"/>
      <c r="EHO19" s="501"/>
      <c r="EHP19" s="501"/>
      <c r="EHQ19" s="501"/>
      <c r="EHR19" s="501"/>
      <c r="EHS19" s="501"/>
      <c r="EHT19" s="501"/>
      <c r="EHU19" s="501"/>
      <c r="EHV19" s="501"/>
      <c r="EHW19" s="501"/>
      <c r="EHX19" s="501"/>
      <c r="EHY19" s="501"/>
      <c r="EHZ19" s="501"/>
      <c r="EIA19" s="501"/>
      <c r="EIB19" s="501"/>
      <c r="EIC19" s="501"/>
      <c r="EID19" s="501"/>
      <c r="EIE19" s="501"/>
      <c r="EIF19" s="501"/>
      <c r="EIG19" s="501"/>
      <c r="EIH19" s="501"/>
      <c r="EII19" s="501"/>
      <c r="EIJ19" s="501"/>
      <c r="EIK19" s="501"/>
      <c r="EIL19" s="501"/>
      <c r="EIM19" s="501"/>
      <c r="EIN19" s="501"/>
      <c r="EIO19" s="501"/>
      <c r="EIP19" s="501"/>
      <c r="EIQ19" s="501"/>
      <c r="EIR19" s="501"/>
      <c r="EIS19" s="501"/>
      <c r="EIT19" s="501"/>
      <c r="EIU19" s="501"/>
      <c r="EIV19" s="501"/>
      <c r="EIW19" s="501"/>
      <c r="EIX19" s="501"/>
      <c r="EIY19" s="501"/>
      <c r="EIZ19" s="501"/>
      <c r="EJA19" s="501"/>
      <c r="EJB19" s="501"/>
      <c r="EJC19" s="501"/>
      <c r="EJD19" s="501"/>
      <c r="EJE19" s="501"/>
      <c r="EJF19" s="501"/>
      <c r="EJG19" s="501"/>
      <c r="EJH19" s="501"/>
      <c r="EJI19" s="501"/>
      <c r="EJJ19" s="501"/>
      <c r="EJK19" s="501"/>
      <c r="EJL19" s="501"/>
      <c r="EJM19" s="501"/>
      <c r="EJN19" s="501"/>
      <c r="EJO19" s="501"/>
      <c r="EJP19" s="501"/>
      <c r="EJQ19" s="501"/>
      <c r="EJR19" s="501"/>
      <c r="EJS19" s="501"/>
      <c r="EJT19" s="501"/>
      <c r="EJU19" s="501"/>
      <c r="EJV19" s="501"/>
      <c r="EJW19" s="501"/>
      <c r="EJX19" s="501"/>
      <c r="EJY19" s="501"/>
      <c r="EJZ19" s="501"/>
      <c r="EKA19" s="501"/>
      <c r="EKB19" s="501"/>
      <c r="EKC19" s="501"/>
      <c r="EKD19" s="501"/>
      <c r="EKE19" s="501"/>
      <c r="EKF19" s="501"/>
      <c r="EKG19" s="501"/>
      <c r="EKH19" s="501"/>
      <c r="EKI19" s="501"/>
      <c r="EKJ19" s="501"/>
      <c r="EKK19" s="501"/>
      <c r="EKL19" s="501"/>
      <c r="EKM19" s="501"/>
      <c r="EKN19" s="501"/>
      <c r="EKO19" s="501"/>
      <c r="EKP19" s="501"/>
      <c r="EKQ19" s="501"/>
      <c r="EKR19" s="501"/>
      <c r="EKS19" s="501"/>
      <c r="EKT19" s="501"/>
      <c r="EKU19" s="501"/>
      <c r="EKV19" s="501"/>
      <c r="EKW19" s="501"/>
      <c r="EKX19" s="501"/>
      <c r="EKY19" s="501"/>
      <c r="EKZ19" s="501"/>
      <c r="ELA19" s="501"/>
      <c r="ELB19" s="501"/>
      <c r="ELC19" s="501"/>
      <c r="ELD19" s="501"/>
      <c r="ELE19" s="501"/>
      <c r="ELF19" s="501"/>
      <c r="ELG19" s="501"/>
      <c r="ELH19" s="501"/>
      <c r="ELI19" s="501"/>
      <c r="ELJ19" s="501"/>
      <c r="ELK19" s="501"/>
      <c r="ELL19" s="501"/>
      <c r="ELM19" s="501"/>
      <c r="ELN19" s="501"/>
      <c r="ELO19" s="501"/>
      <c r="ELP19" s="501"/>
      <c r="ELQ19" s="501"/>
      <c r="ELR19" s="501"/>
      <c r="ELS19" s="501"/>
      <c r="ELT19" s="501"/>
      <c r="ELU19" s="501"/>
      <c r="ELV19" s="501"/>
      <c r="ELW19" s="501"/>
      <c r="ELX19" s="501"/>
      <c r="ELY19" s="501"/>
      <c r="ELZ19" s="501"/>
      <c r="EMA19" s="501"/>
      <c r="EMB19" s="501"/>
      <c r="EMC19" s="501"/>
      <c r="EMD19" s="501"/>
      <c r="EME19" s="501"/>
      <c r="EMF19" s="501"/>
      <c r="EMG19" s="501"/>
      <c r="EMH19" s="501"/>
      <c r="EMI19" s="501"/>
      <c r="EMJ19" s="501"/>
      <c r="EMK19" s="501"/>
      <c r="EML19" s="501"/>
      <c r="EMM19" s="501"/>
      <c r="EMN19" s="501"/>
      <c r="EMO19" s="501"/>
      <c r="EMP19" s="501"/>
      <c r="EMQ19" s="501"/>
      <c r="EMR19" s="501"/>
      <c r="EMS19" s="501"/>
      <c r="EMT19" s="501"/>
      <c r="EMU19" s="501"/>
      <c r="EMV19" s="501"/>
      <c r="EMW19" s="501"/>
      <c r="EMX19" s="501"/>
      <c r="EMY19" s="501"/>
      <c r="EMZ19" s="501"/>
      <c r="ENA19" s="501"/>
      <c r="ENB19" s="501"/>
      <c r="ENC19" s="501"/>
      <c r="END19" s="501"/>
      <c r="ENE19" s="501"/>
      <c r="ENF19" s="501"/>
      <c r="ENG19" s="501"/>
      <c r="ENH19" s="501"/>
      <c r="ENI19" s="501"/>
      <c r="ENJ19" s="501"/>
      <c r="ENK19" s="501"/>
      <c r="ENL19" s="501"/>
      <c r="ENM19" s="501"/>
      <c r="ENN19" s="501"/>
      <c r="ENO19" s="501"/>
      <c r="ENP19" s="501"/>
      <c r="ENQ19" s="501"/>
      <c r="ENR19" s="501"/>
      <c r="ENS19" s="501"/>
      <c r="ENT19" s="501"/>
      <c r="ENU19" s="501"/>
      <c r="ENV19" s="501"/>
      <c r="ENW19" s="501"/>
      <c r="ENX19" s="501"/>
      <c r="ENY19" s="501"/>
      <c r="ENZ19" s="501"/>
      <c r="EOA19" s="501"/>
      <c r="EOB19" s="501"/>
      <c r="EOC19" s="501"/>
      <c r="EOD19" s="501"/>
      <c r="EOE19" s="501"/>
      <c r="EOF19" s="501"/>
      <c r="EOG19" s="501"/>
      <c r="EOH19" s="501"/>
      <c r="EOI19" s="501"/>
      <c r="EOJ19" s="501"/>
      <c r="EOK19" s="501"/>
      <c r="EOL19" s="501"/>
      <c r="EOM19" s="501"/>
      <c r="EON19" s="501"/>
      <c r="EOO19" s="501"/>
      <c r="EOP19" s="501"/>
      <c r="EOQ19" s="501"/>
      <c r="EOR19" s="501"/>
      <c r="EOS19" s="501"/>
      <c r="EOT19" s="501"/>
      <c r="EOU19" s="501"/>
      <c r="EOV19" s="501"/>
      <c r="EOW19" s="501"/>
      <c r="EOX19" s="501"/>
      <c r="EOY19" s="501"/>
      <c r="EOZ19" s="501"/>
      <c r="EPA19" s="501"/>
      <c r="EPB19" s="501"/>
      <c r="EPC19" s="501"/>
      <c r="EPD19" s="501"/>
      <c r="EPE19" s="501"/>
      <c r="EPF19" s="501"/>
      <c r="EPG19" s="501"/>
      <c r="EPH19" s="501"/>
      <c r="EPI19" s="501"/>
      <c r="EPJ19" s="501"/>
      <c r="EPK19" s="501"/>
      <c r="EPL19" s="501"/>
      <c r="EPM19" s="501"/>
      <c r="EPN19" s="501"/>
      <c r="EPO19" s="501"/>
      <c r="EPP19" s="501"/>
      <c r="EPQ19" s="501"/>
      <c r="EPR19" s="501"/>
      <c r="EPS19" s="501"/>
      <c r="EPT19" s="501"/>
      <c r="EPU19" s="501"/>
      <c r="EPV19" s="501"/>
      <c r="EPW19" s="501"/>
      <c r="EPX19" s="501"/>
      <c r="EPY19" s="501"/>
      <c r="EPZ19" s="501"/>
      <c r="EQA19" s="501"/>
      <c r="EQB19" s="501"/>
      <c r="EQC19" s="501"/>
      <c r="EQD19" s="501"/>
      <c r="EQE19" s="501"/>
      <c r="EQF19" s="501"/>
      <c r="EQG19" s="501"/>
      <c r="EQH19" s="501"/>
      <c r="EQI19" s="501"/>
      <c r="EQJ19" s="501"/>
      <c r="EQK19" s="501"/>
      <c r="EQL19" s="501"/>
      <c r="EQM19" s="501"/>
      <c r="EQN19" s="501"/>
      <c r="EQO19" s="501"/>
      <c r="EQP19" s="501"/>
      <c r="EQQ19" s="501"/>
      <c r="EQR19" s="501"/>
      <c r="EQS19" s="501"/>
      <c r="EQT19" s="501"/>
      <c r="EQU19" s="501"/>
      <c r="EQV19" s="501"/>
      <c r="EQW19" s="501"/>
      <c r="EQX19" s="501"/>
      <c r="EQY19" s="501"/>
      <c r="EQZ19" s="501"/>
      <c r="ERA19" s="501"/>
      <c r="ERB19" s="501"/>
      <c r="ERC19" s="501"/>
      <c r="ERD19" s="501"/>
      <c r="ERE19" s="501"/>
      <c r="ERF19" s="501"/>
      <c r="ERG19" s="501"/>
      <c r="ERH19" s="501"/>
      <c r="ERI19" s="501"/>
      <c r="ERJ19" s="501"/>
      <c r="ERK19" s="501"/>
      <c r="ERL19" s="501"/>
      <c r="ERM19" s="501"/>
      <c r="ERN19" s="501"/>
      <c r="ERO19" s="501"/>
      <c r="ERP19" s="501"/>
      <c r="ERQ19" s="501"/>
      <c r="ERR19" s="501"/>
      <c r="ERS19" s="501"/>
      <c r="ERT19" s="501"/>
      <c r="ERU19" s="501"/>
      <c r="ERV19" s="501"/>
      <c r="ERW19" s="501"/>
      <c r="ERX19" s="501"/>
      <c r="ERY19" s="501"/>
      <c r="ERZ19" s="501"/>
      <c r="ESA19" s="501"/>
      <c r="ESB19" s="501"/>
      <c r="ESC19" s="501"/>
      <c r="ESD19" s="501"/>
      <c r="ESE19" s="501"/>
      <c r="ESF19" s="501"/>
      <c r="ESG19" s="501"/>
      <c r="ESH19" s="501"/>
      <c r="ESI19" s="501"/>
      <c r="ESJ19" s="501"/>
      <c r="ESK19" s="501"/>
      <c r="ESL19" s="501"/>
      <c r="ESM19" s="501"/>
      <c r="ESN19" s="501"/>
      <c r="ESO19" s="501"/>
      <c r="ESP19" s="501"/>
      <c r="ESQ19" s="501"/>
      <c r="ESR19" s="501"/>
      <c r="ESS19" s="501"/>
      <c r="EST19" s="501"/>
      <c r="ESU19" s="501"/>
      <c r="ESV19" s="501"/>
      <c r="ESW19" s="501"/>
      <c r="ESX19" s="501"/>
      <c r="ESY19" s="501"/>
      <c r="ESZ19" s="501"/>
      <c r="ETA19" s="501"/>
      <c r="ETB19" s="501"/>
      <c r="ETC19" s="501"/>
      <c r="ETD19" s="501"/>
      <c r="ETE19" s="501"/>
      <c r="ETF19" s="501"/>
      <c r="ETG19" s="501"/>
      <c r="ETH19" s="501"/>
      <c r="ETI19" s="501"/>
      <c r="ETJ19" s="501"/>
      <c r="ETK19" s="501"/>
      <c r="ETL19" s="501"/>
      <c r="ETM19" s="501"/>
      <c r="ETN19" s="501"/>
      <c r="ETO19" s="501"/>
      <c r="ETP19" s="501"/>
      <c r="ETQ19" s="501"/>
      <c r="ETR19" s="501"/>
      <c r="ETS19" s="501"/>
      <c r="ETT19" s="501"/>
      <c r="ETU19" s="501"/>
      <c r="ETV19" s="501"/>
      <c r="ETW19" s="501"/>
      <c r="ETX19" s="501"/>
      <c r="ETY19" s="501"/>
      <c r="ETZ19" s="501"/>
      <c r="EUA19" s="501"/>
      <c r="EUB19" s="501"/>
      <c r="EUC19" s="501"/>
      <c r="EUD19" s="501"/>
      <c r="EUE19" s="501"/>
      <c r="EUF19" s="501"/>
      <c r="EUG19" s="501"/>
      <c r="EUH19" s="501"/>
      <c r="EUI19" s="501"/>
      <c r="EUJ19" s="501"/>
      <c r="EUK19" s="501"/>
      <c r="EUL19" s="501"/>
      <c r="EUM19" s="501"/>
      <c r="EUN19" s="501"/>
      <c r="EUO19" s="501"/>
      <c r="EUP19" s="501"/>
      <c r="EUQ19" s="501"/>
      <c r="EUR19" s="501"/>
      <c r="EUS19" s="501"/>
      <c r="EUT19" s="501"/>
      <c r="EUU19" s="501"/>
      <c r="EUV19" s="501"/>
      <c r="EUW19" s="501"/>
      <c r="EUX19" s="501"/>
      <c r="EUY19" s="501"/>
      <c r="EUZ19" s="501"/>
      <c r="EVA19" s="501"/>
      <c r="EVB19" s="501"/>
      <c r="EVC19" s="501"/>
      <c r="EVD19" s="501"/>
      <c r="EVE19" s="501"/>
      <c r="EVF19" s="501"/>
      <c r="EVG19" s="501"/>
      <c r="EVH19" s="501"/>
      <c r="EVI19" s="501"/>
      <c r="EVJ19" s="501"/>
      <c r="EVK19" s="501"/>
      <c r="EVL19" s="501"/>
      <c r="EVM19" s="501"/>
      <c r="EVN19" s="501"/>
      <c r="EVO19" s="501"/>
      <c r="EVP19" s="501"/>
      <c r="EVQ19" s="501"/>
      <c r="EVR19" s="501"/>
      <c r="EVS19" s="501"/>
      <c r="EVT19" s="501"/>
      <c r="EVU19" s="501"/>
      <c r="EVV19" s="501"/>
      <c r="EVW19" s="501"/>
      <c r="EVX19" s="501"/>
      <c r="EVY19" s="501"/>
      <c r="EVZ19" s="501"/>
      <c r="EWA19" s="501"/>
      <c r="EWB19" s="501"/>
      <c r="EWC19" s="501"/>
      <c r="EWD19" s="501"/>
      <c r="EWE19" s="501"/>
      <c r="EWF19" s="501"/>
      <c r="EWG19" s="501"/>
      <c r="EWH19" s="501"/>
      <c r="EWI19" s="501"/>
      <c r="EWJ19" s="501"/>
      <c r="EWK19" s="501"/>
      <c r="EWL19" s="501"/>
      <c r="EWM19" s="501"/>
      <c r="EWN19" s="501"/>
      <c r="EWO19" s="501"/>
      <c r="EWP19" s="501"/>
      <c r="EWQ19" s="501"/>
      <c r="EWR19" s="501"/>
      <c r="EWS19" s="501"/>
      <c r="EWT19" s="501"/>
      <c r="EWU19" s="501"/>
      <c r="EWV19" s="501"/>
      <c r="EWW19" s="501"/>
      <c r="EWX19" s="501"/>
      <c r="EWY19" s="501"/>
      <c r="EWZ19" s="501"/>
      <c r="EXA19" s="501"/>
      <c r="EXB19" s="501"/>
      <c r="EXC19" s="501"/>
      <c r="EXD19" s="501"/>
      <c r="EXE19" s="501"/>
      <c r="EXF19" s="501"/>
      <c r="EXG19" s="501"/>
      <c r="EXH19" s="501"/>
      <c r="EXI19" s="501"/>
      <c r="EXJ19" s="501"/>
      <c r="EXK19" s="501"/>
      <c r="EXL19" s="501"/>
      <c r="EXM19" s="501"/>
      <c r="EXN19" s="501"/>
      <c r="EXO19" s="501"/>
      <c r="EXP19" s="501"/>
      <c r="EXQ19" s="501"/>
      <c r="EXR19" s="501"/>
      <c r="EXS19" s="501"/>
      <c r="EXT19" s="501"/>
      <c r="EXU19" s="501"/>
      <c r="EXV19" s="501"/>
      <c r="EXW19" s="501"/>
      <c r="EXX19" s="501"/>
      <c r="EXY19" s="501"/>
      <c r="EXZ19" s="501"/>
      <c r="EYA19" s="501"/>
      <c r="EYB19" s="501"/>
      <c r="EYC19" s="501"/>
      <c r="EYD19" s="501"/>
      <c r="EYE19" s="501"/>
      <c r="EYF19" s="501"/>
      <c r="EYG19" s="501"/>
      <c r="EYH19" s="501"/>
      <c r="EYI19" s="501"/>
      <c r="EYJ19" s="501"/>
      <c r="EYK19" s="501"/>
      <c r="EYL19" s="501"/>
      <c r="EYM19" s="501"/>
      <c r="EYN19" s="501"/>
      <c r="EYO19" s="501"/>
      <c r="EYP19" s="501"/>
      <c r="EYQ19" s="501"/>
      <c r="EYR19" s="501"/>
      <c r="EYS19" s="501"/>
      <c r="EYT19" s="501"/>
      <c r="EYU19" s="501"/>
      <c r="EYV19" s="501"/>
      <c r="EYW19" s="501"/>
      <c r="EYX19" s="501"/>
      <c r="EYY19" s="501"/>
      <c r="EYZ19" s="501"/>
      <c r="EZA19" s="501"/>
      <c r="EZB19" s="501"/>
      <c r="EZC19" s="501"/>
      <c r="EZD19" s="501"/>
      <c r="EZE19" s="501"/>
      <c r="EZF19" s="501"/>
      <c r="EZG19" s="501"/>
      <c r="EZH19" s="501"/>
      <c r="EZI19" s="501"/>
      <c r="EZJ19" s="501"/>
      <c r="EZK19" s="501"/>
      <c r="EZL19" s="501"/>
      <c r="EZM19" s="501"/>
      <c r="EZN19" s="501"/>
      <c r="EZO19" s="501"/>
      <c r="EZP19" s="501"/>
      <c r="EZQ19" s="501"/>
      <c r="EZR19" s="501"/>
      <c r="EZS19" s="501"/>
      <c r="EZT19" s="501"/>
      <c r="EZU19" s="501"/>
      <c r="EZV19" s="501"/>
      <c r="EZW19" s="501"/>
      <c r="EZX19" s="501"/>
      <c r="EZY19" s="501"/>
      <c r="EZZ19" s="501"/>
      <c r="FAA19" s="501"/>
      <c r="FAB19" s="501"/>
      <c r="FAC19" s="501"/>
      <c r="FAD19" s="501"/>
      <c r="FAE19" s="501"/>
      <c r="FAF19" s="501"/>
      <c r="FAG19" s="501"/>
      <c r="FAH19" s="501"/>
      <c r="FAI19" s="501"/>
      <c r="FAJ19" s="501"/>
      <c r="FAK19" s="501"/>
      <c r="FAL19" s="501"/>
      <c r="FAM19" s="501"/>
      <c r="FAN19" s="501"/>
      <c r="FAO19" s="501"/>
      <c r="FAP19" s="501"/>
      <c r="FAQ19" s="501"/>
      <c r="FAR19" s="501"/>
      <c r="FAS19" s="501"/>
      <c r="FAT19" s="501"/>
      <c r="FAU19" s="501"/>
      <c r="FAV19" s="501"/>
      <c r="FAW19" s="501"/>
      <c r="FAX19" s="501"/>
      <c r="FAY19" s="501"/>
      <c r="FAZ19" s="501"/>
      <c r="FBA19" s="501"/>
      <c r="FBB19" s="501"/>
      <c r="FBC19" s="501"/>
      <c r="FBD19" s="501"/>
      <c r="FBE19" s="501"/>
      <c r="FBF19" s="501"/>
      <c r="FBG19" s="501"/>
      <c r="FBH19" s="501"/>
      <c r="FBI19" s="501"/>
      <c r="FBJ19" s="501"/>
      <c r="FBK19" s="501"/>
      <c r="FBL19" s="501"/>
      <c r="FBM19" s="501"/>
      <c r="FBN19" s="501"/>
      <c r="FBO19" s="501"/>
      <c r="FBP19" s="501"/>
      <c r="FBQ19" s="501"/>
      <c r="FBR19" s="501"/>
      <c r="FBS19" s="501"/>
      <c r="FBT19" s="501"/>
      <c r="FBU19" s="501"/>
      <c r="FBV19" s="501"/>
      <c r="FBW19" s="501"/>
      <c r="FBX19" s="501"/>
      <c r="FBY19" s="501"/>
      <c r="FBZ19" s="501"/>
      <c r="FCA19" s="501"/>
      <c r="FCB19" s="501"/>
      <c r="FCC19" s="501"/>
      <c r="FCD19" s="501"/>
      <c r="FCE19" s="501"/>
      <c r="FCF19" s="501"/>
      <c r="FCG19" s="501"/>
      <c r="FCH19" s="501"/>
      <c r="FCI19" s="501"/>
      <c r="FCJ19" s="501"/>
      <c r="FCK19" s="501"/>
      <c r="FCL19" s="501"/>
      <c r="FCM19" s="501"/>
      <c r="FCN19" s="501"/>
      <c r="FCO19" s="501"/>
      <c r="FCP19" s="501"/>
      <c r="FCQ19" s="501"/>
      <c r="FCR19" s="501"/>
      <c r="FCS19" s="501"/>
      <c r="FCT19" s="501"/>
      <c r="FCU19" s="501"/>
      <c r="FCV19" s="501"/>
      <c r="FCW19" s="501"/>
      <c r="FCX19" s="501"/>
      <c r="FCY19" s="501"/>
      <c r="FCZ19" s="501"/>
      <c r="FDA19" s="501"/>
      <c r="FDB19" s="501"/>
      <c r="FDC19" s="501"/>
      <c r="FDD19" s="501"/>
      <c r="FDE19" s="501"/>
      <c r="FDF19" s="501"/>
      <c r="FDG19" s="501"/>
      <c r="FDH19" s="501"/>
      <c r="FDI19" s="501"/>
      <c r="FDJ19" s="501"/>
      <c r="FDK19" s="501"/>
      <c r="FDL19" s="501"/>
      <c r="FDM19" s="501"/>
      <c r="FDN19" s="501"/>
      <c r="FDO19" s="501"/>
      <c r="FDP19" s="501"/>
      <c r="FDQ19" s="501"/>
      <c r="FDR19" s="501"/>
      <c r="FDS19" s="501"/>
      <c r="FDT19" s="501"/>
      <c r="FDU19" s="501"/>
      <c r="FDV19" s="501"/>
      <c r="FDW19" s="501"/>
      <c r="FDX19" s="501"/>
      <c r="FDY19" s="501"/>
      <c r="FDZ19" s="501"/>
      <c r="FEA19" s="501"/>
      <c r="FEB19" s="501"/>
      <c r="FEC19" s="501"/>
      <c r="FED19" s="501"/>
      <c r="FEE19" s="501"/>
      <c r="FEF19" s="501"/>
      <c r="FEG19" s="501"/>
      <c r="FEH19" s="501"/>
      <c r="FEI19" s="501"/>
      <c r="FEJ19" s="501"/>
      <c r="FEK19" s="501"/>
      <c r="FEL19" s="501"/>
      <c r="FEM19" s="501"/>
      <c r="FEN19" s="501"/>
      <c r="FEO19" s="501"/>
      <c r="FEP19" s="501"/>
      <c r="FEQ19" s="501"/>
      <c r="FER19" s="501"/>
      <c r="FES19" s="501"/>
      <c r="FET19" s="501"/>
      <c r="FEU19" s="501"/>
      <c r="FEV19" s="501"/>
      <c r="FEW19" s="501"/>
      <c r="FEX19" s="501"/>
      <c r="FEY19" s="501"/>
      <c r="FEZ19" s="501"/>
      <c r="FFA19" s="501"/>
      <c r="FFB19" s="501"/>
      <c r="FFC19" s="501"/>
      <c r="FFD19" s="501"/>
      <c r="FFE19" s="501"/>
      <c r="FFF19" s="501"/>
      <c r="FFG19" s="501"/>
      <c r="FFH19" s="501"/>
      <c r="FFI19" s="501"/>
      <c r="FFJ19" s="501"/>
      <c r="FFK19" s="501"/>
      <c r="FFL19" s="501"/>
      <c r="FFM19" s="501"/>
      <c r="FFN19" s="501"/>
      <c r="FFO19" s="501"/>
      <c r="FFP19" s="501"/>
      <c r="FFQ19" s="501"/>
      <c r="FFR19" s="501"/>
      <c r="FFS19" s="501"/>
      <c r="FFT19" s="501"/>
      <c r="FFU19" s="501"/>
      <c r="FFV19" s="501"/>
      <c r="FFW19" s="501"/>
      <c r="FFX19" s="501"/>
      <c r="FFY19" s="501"/>
      <c r="FFZ19" s="501"/>
      <c r="FGA19" s="501"/>
      <c r="FGB19" s="501"/>
      <c r="FGC19" s="501"/>
      <c r="FGD19" s="501"/>
      <c r="FGE19" s="501"/>
      <c r="FGF19" s="501"/>
      <c r="FGG19" s="501"/>
      <c r="FGH19" s="501"/>
      <c r="FGI19" s="501"/>
      <c r="FGJ19" s="501"/>
      <c r="FGK19" s="501"/>
      <c r="FGL19" s="501"/>
      <c r="FGM19" s="501"/>
      <c r="FGN19" s="501"/>
      <c r="FGO19" s="501"/>
      <c r="FGP19" s="501"/>
      <c r="FGQ19" s="501"/>
      <c r="FGR19" s="501"/>
      <c r="FGS19" s="501"/>
      <c r="FGT19" s="501"/>
      <c r="FGU19" s="501"/>
      <c r="FGV19" s="501"/>
      <c r="FGW19" s="501"/>
      <c r="FGX19" s="501"/>
      <c r="FGY19" s="501"/>
      <c r="FGZ19" s="501"/>
      <c r="FHA19" s="501"/>
      <c r="FHB19" s="501"/>
      <c r="FHC19" s="501"/>
      <c r="FHD19" s="501"/>
      <c r="FHE19" s="501"/>
      <c r="FHF19" s="501"/>
      <c r="FHG19" s="501"/>
      <c r="FHH19" s="501"/>
      <c r="FHI19" s="501"/>
      <c r="FHJ19" s="501"/>
      <c r="FHK19" s="501"/>
      <c r="FHL19" s="501"/>
      <c r="FHM19" s="501"/>
      <c r="FHN19" s="501"/>
      <c r="FHO19" s="501"/>
      <c r="FHP19" s="501"/>
      <c r="FHQ19" s="501"/>
      <c r="FHR19" s="501"/>
      <c r="FHS19" s="501"/>
      <c r="FHT19" s="501"/>
      <c r="FHU19" s="501"/>
      <c r="FHV19" s="501"/>
      <c r="FHW19" s="501"/>
      <c r="FHX19" s="501"/>
      <c r="FHY19" s="501"/>
      <c r="FHZ19" s="501"/>
      <c r="FIA19" s="501"/>
      <c r="FIB19" s="501"/>
      <c r="FIC19" s="501"/>
      <c r="FID19" s="501"/>
      <c r="FIE19" s="501"/>
      <c r="FIF19" s="501"/>
      <c r="FIG19" s="501"/>
      <c r="FIH19" s="501"/>
      <c r="FII19" s="501"/>
      <c r="FIJ19" s="501"/>
      <c r="FIK19" s="501"/>
      <c r="FIL19" s="501"/>
      <c r="FIM19" s="501"/>
      <c r="FIN19" s="501"/>
      <c r="FIO19" s="501"/>
      <c r="FIP19" s="501"/>
      <c r="FIQ19" s="501"/>
      <c r="FIR19" s="501"/>
      <c r="FIS19" s="501"/>
      <c r="FIT19" s="501"/>
      <c r="FIU19" s="501"/>
      <c r="FIV19" s="501"/>
      <c r="FIW19" s="501"/>
      <c r="FIX19" s="501"/>
      <c r="FIY19" s="501"/>
      <c r="FIZ19" s="501"/>
      <c r="FJA19" s="501"/>
      <c r="FJB19" s="501"/>
      <c r="FJC19" s="501"/>
      <c r="FJD19" s="501"/>
      <c r="FJE19" s="501"/>
      <c r="FJF19" s="501"/>
      <c r="FJG19" s="501"/>
      <c r="FJH19" s="501"/>
      <c r="FJI19" s="501"/>
      <c r="FJJ19" s="501"/>
      <c r="FJK19" s="501"/>
      <c r="FJL19" s="501"/>
      <c r="FJM19" s="501"/>
      <c r="FJN19" s="501"/>
      <c r="FJO19" s="501"/>
      <c r="FJP19" s="501"/>
      <c r="FJQ19" s="501"/>
      <c r="FJR19" s="501"/>
      <c r="FJS19" s="501"/>
      <c r="FJT19" s="501"/>
      <c r="FJU19" s="501"/>
      <c r="FJV19" s="501"/>
      <c r="FJW19" s="501"/>
      <c r="FJX19" s="501"/>
      <c r="FJY19" s="501"/>
      <c r="FJZ19" s="501"/>
      <c r="FKA19" s="501"/>
      <c r="FKB19" s="501"/>
      <c r="FKC19" s="501"/>
      <c r="FKD19" s="501"/>
      <c r="FKE19" s="501"/>
      <c r="FKF19" s="501"/>
      <c r="FKG19" s="501"/>
      <c r="FKH19" s="501"/>
      <c r="FKI19" s="501"/>
      <c r="FKJ19" s="501"/>
      <c r="FKK19" s="501"/>
      <c r="FKL19" s="501"/>
      <c r="FKM19" s="501"/>
      <c r="FKN19" s="501"/>
      <c r="FKO19" s="501"/>
      <c r="FKP19" s="501"/>
      <c r="FKQ19" s="501"/>
      <c r="FKR19" s="501"/>
      <c r="FKS19" s="501"/>
      <c r="FKT19" s="501"/>
      <c r="FKU19" s="501"/>
      <c r="FKV19" s="501"/>
      <c r="FKW19" s="501"/>
      <c r="FKX19" s="501"/>
      <c r="FKY19" s="501"/>
      <c r="FKZ19" s="501"/>
      <c r="FLA19" s="501"/>
      <c r="FLB19" s="501"/>
      <c r="FLC19" s="501"/>
      <c r="FLD19" s="501"/>
      <c r="FLE19" s="501"/>
      <c r="FLF19" s="501"/>
      <c r="FLG19" s="501"/>
      <c r="FLH19" s="501"/>
      <c r="FLI19" s="501"/>
      <c r="FLJ19" s="501"/>
      <c r="FLK19" s="501"/>
      <c r="FLL19" s="501"/>
      <c r="FLM19" s="501"/>
      <c r="FLN19" s="501"/>
      <c r="FLO19" s="501"/>
      <c r="FLP19" s="501"/>
      <c r="FLQ19" s="501"/>
      <c r="FLR19" s="501"/>
      <c r="FLS19" s="501"/>
      <c r="FLT19" s="501"/>
      <c r="FLU19" s="501"/>
      <c r="FLV19" s="501"/>
      <c r="FLW19" s="501"/>
      <c r="FLX19" s="501"/>
      <c r="FLY19" s="501"/>
      <c r="FLZ19" s="501"/>
      <c r="FMA19" s="501"/>
      <c r="FMB19" s="501"/>
      <c r="FMC19" s="501"/>
      <c r="FMD19" s="501"/>
      <c r="FME19" s="501"/>
      <c r="FMF19" s="501"/>
      <c r="FMG19" s="501"/>
      <c r="FMH19" s="501"/>
      <c r="FMI19" s="501"/>
      <c r="FMJ19" s="501"/>
      <c r="FMK19" s="501"/>
      <c r="FML19" s="501"/>
      <c r="FMM19" s="501"/>
      <c r="FMN19" s="501"/>
      <c r="FMO19" s="501"/>
      <c r="FMP19" s="501"/>
      <c r="FMQ19" s="501"/>
      <c r="FMR19" s="501"/>
      <c r="FMS19" s="501"/>
      <c r="FMT19" s="501"/>
      <c r="FMU19" s="501"/>
      <c r="FMV19" s="501"/>
      <c r="FMW19" s="501"/>
      <c r="FMX19" s="501"/>
      <c r="FMY19" s="501"/>
      <c r="FMZ19" s="501"/>
      <c r="FNA19" s="501"/>
      <c r="FNB19" s="501"/>
      <c r="FNC19" s="501"/>
      <c r="FND19" s="501"/>
      <c r="FNE19" s="501"/>
      <c r="FNF19" s="501"/>
      <c r="FNG19" s="501"/>
      <c r="FNH19" s="501"/>
      <c r="FNI19" s="501"/>
      <c r="FNJ19" s="501"/>
      <c r="FNK19" s="501"/>
      <c r="FNL19" s="501"/>
      <c r="FNM19" s="501"/>
      <c r="FNN19" s="501"/>
      <c r="FNO19" s="501"/>
      <c r="FNP19" s="501"/>
      <c r="FNQ19" s="501"/>
      <c r="FNR19" s="501"/>
      <c r="FNS19" s="501"/>
      <c r="FNT19" s="501"/>
      <c r="FNU19" s="501"/>
      <c r="FNV19" s="501"/>
      <c r="FNW19" s="501"/>
      <c r="FNX19" s="501"/>
      <c r="FNY19" s="501"/>
      <c r="FNZ19" s="501"/>
      <c r="FOA19" s="501"/>
      <c r="FOB19" s="501"/>
      <c r="FOC19" s="501"/>
      <c r="FOD19" s="501"/>
      <c r="FOE19" s="501"/>
      <c r="FOF19" s="501"/>
      <c r="FOG19" s="501"/>
      <c r="FOH19" s="501"/>
      <c r="FOI19" s="501"/>
      <c r="FOJ19" s="501"/>
      <c r="FOK19" s="501"/>
      <c r="FOL19" s="501"/>
      <c r="FOM19" s="501"/>
      <c r="FON19" s="501"/>
      <c r="FOO19" s="501"/>
      <c r="FOP19" s="501"/>
      <c r="FOQ19" s="501"/>
      <c r="FOR19" s="501"/>
      <c r="FOS19" s="501"/>
      <c r="FOT19" s="501"/>
      <c r="FOU19" s="501"/>
      <c r="FOV19" s="501"/>
      <c r="FOW19" s="501"/>
      <c r="FOX19" s="501"/>
      <c r="FOY19" s="501"/>
      <c r="FOZ19" s="501"/>
      <c r="FPA19" s="501"/>
      <c r="FPB19" s="501"/>
      <c r="FPC19" s="501"/>
      <c r="FPD19" s="501"/>
      <c r="FPE19" s="501"/>
      <c r="FPF19" s="501"/>
      <c r="FPG19" s="501"/>
      <c r="FPH19" s="501"/>
      <c r="FPI19" s="501"/>
      <c r="FPJ19" s="501"/>
      <c r="FPK19" s="501"/>
      <c r="FPL19" s="501"/>
      <c r="FPM19" s="501"/>
      <c r="FPN19" s="501"/>
      <c r="FPO19" s="501"/>
      <c r="FPP19" s="501"/>
      <c r="FPQ19" s="501"/>
      <c r="FPR19" s="501"/>
      <c r="FPS19" s="501"/>
      <c r="FPT19" s="501"/>
      <c r="FPU19" s="501"/>
      <c r="FPV19" s="501"/>
      <c r="FPW19" s="501"/>
      <c r="FPX19" s="501"/>
      <c r="FPY19" s="501"/>
      <c r="FPZ19" s="501"/>
      <c r="FQA19" s="501"/>
      <c r="FQB19" s="501"/>
      <c r="FQC19" s="501"/>
      <c r="FQD19" s="501"/>
      <c r="FQE19" s="501"/>
      <c r="FQF19" s="501"/>
      <c r="FQG19" s="501"/>
      <c r="FQH19" s="501"/>
      <c r="FQI19" s="501"/>
      <c r="FQJ19" s="501"/>
      <c r="FQK19" s="501"/>
      <c r="FQL19" s="501"/>
      <c r="FQM19" s="501"/>
      <c r="FQN19" s="501"/>
      <c r="FQO19" s="501"/>
      <c r="FQP19" s="501"/>
      <c r="FQQ19" s="501"/>
      <c r="FQR19" s="501"/>
      <c r="FQS19" s="501"/>
      <c r="FQT19" s="501"/>
      <c r="FQU19" s="501"/>
      <c r="FQV19" s="501"/>
      <c r="FQW19" s="501"/>
      <c r="FQX19" s="501"/>
      <c r="FQY19" s="501"/>
      <c r="FQZ19" s="501"/>
      <c r="FRA19" s="501"/>
      <c r="FRB19" s="501"/>
      <c r="FRC19" s="501"/>
      <c r="FRD19" s="501"/>
      <c r="FRE19" s="501"/>
      <c r="FRF19" s="501"/>
      <c r="FRG19" s="501"/>
      <c r="FRH19" s="501"/>
      <c r="FRI19" s="501"/>
      <c r="FRJ19" s="501"/>
      <c r="FRK19" s="501"/>
      <c r="FRL19" s="501"/>
      <c r="FRM19" s="501"/>
      <c r="FRN19" s="501"/>
      <c r="FRO19" s="501"/>
      <c r="FRP19" s="501"/>
      <c r="FRQ19" s="501"/>
      <c r="FRR19" s="501"/>
      <c r="FRS19" s="501"/>
      <c r="FRT19" s="501"/>
      <c r="FRU19" s="501"/>
      <c r="FRV19" s="501"/>
      <c r="FRW19" s="501"/>
      <c r="FRX19" s="501"/>
      <c r="FRY19" s="501"/>
      <c r="FRZ19" s="501"/>
      <c r="FSA19" s="501"/>
      <c r="FSB19" s="501"/>
      <c r="FSC19" s="501"/>
      <c r="FSD19" s="501"/>
      <c r="FSE19" s="501"/>
      <c r="FSF19" s="501"/>
      <c r="FSG19" s="501"/>
      <c r="FSH19" s="501"/>
      <c r="FSI19" s="501"/>
      <c r="FSJ19" s="501"/>
      <c r="FSK19" s="501"/>
      <c r="FSL19" s="501"/>
      <c r="FSM19" s="501"/>
      <c r="FSN19" s="501"/>
      <c r="FSO19" s="501"/>
      <c r="FSP19" s="501"/>
      <c r="FSQ19" s="501"/>
      <c r="FSR19" s="501"/>
      <c r="FSS19" s="501"/>
      <c r="FST19" s="501"/>
      <c r="FSU19" s="501"/>
      <c r="FSV19" s="501"/>
      <c r="FSW19" s="501"/>
      <c r="FSX19" s="501"/>
      <c r="FSY19" s="501"/>
      <c r="FSZ19" s="501"/>
      <c r="FTA19" s="501"/>
      <c r="FTB19" s="501"/>
      <c r="FTC19" s="501"/>
      <c r="FTD19" s="501"/>
      <c r="FTE19" s="501"/>
      <c r="FTF19" s="501"/>
      <c r="FTG19" s="501"/>
      <c r="FTH19" s="501"/>
      <c r="FTI19" s="501"/>
      <c r="FTJ19" s="501"/>
      <c r="FTK19" s="501"/>
      <c r="FTL19" s="501"/>
      <c r="FTM19" s="501"/>
      <c r="FTN19" s="501"/>
      <c r="FTO19" s="501"/>
      <c r="FTP19" s="501"/>
      <c r="FTQ19" s="501"/>
      <c r="FTR19" s="501"/>
      <c r="FTS19" s="501"/>
      <c r="FTT19" s="501"/>
      <c r="FTU19" s="501"/>
      <c r="FTV19" s="501"/>
      <c r="FTW19" s="501"/>
      <c r="FTX19" s="501"/>
      <c r="FTY19" s="501"/>
      <c r="FTZ19" s="501"/>
      <c r="FUA19" s="501"/>
      <c r="FUB19" s="501"/>
      <c r="FUC19" s="501"/>
      <c r="FUD19" s="501"/>
      <c r="FUE19" s="501"/>
      <c r="FUF19" s="501"/>
      <c r="FUG19" s="501"/>
      <c r="FUH19" s="501"/>
      <c r="FUI19" s="501"/>
      <c r="FUJ19" s="501"/>
      <c r="FUK19" s="501"/>
      <c r="FUL19" s="501"/>
      <c r="FUM19" s="501"/>
      <c r="FUN19" s="501"/>
      <c r="FUO19" s="501"/>
      <c r="FUP19" s="501"/>
      <c r="FUQ19" s="501"/>
      <c r="FUR19" s="501"/>
      <c r="FUS19" s="501"/>
      <c r="FUT19" s="501"/>
      <c r="FUU19" s="501"/>
      <c r="FUV19" s="501"/>
      <c r="FUW19" s="501"/>
      <c r="FUX19" s="501"/>
      <c r="FUY19" s="501"/>
      <c r="FUZ19" s="501"/>
      <c r="FVA19" s="501"/>
      <c r="FVB19" s="501"/>
      <c r="FVC19" s="501"/>
      <c r="FVD19" s="501"/>
      <c r="FVE19" s="501"/>
      <c r="FVF19" s="501"/>
      <c r="FVG19" s="501"/>
      <c r="FVH19" s="501"/>
      <c r="FVI19" s="501"/>
      <c r="FVJ19" s="501"/>
      <c r="FVK19" s="501"/>
      <c r="FVL19" s="501"/>
      <c r="FVM19" s="501"/>
      <c r="FVN19" s="501"/>
      <c r="FVO19" s="501"/>
      <c r="FVP19" s="501"/>
      <c r="FVQ19" s="501"/>
      <c r="FVR19" s="501"/>
      <c r="FVS19" s="501"/>
      <c r="FVT19" s="501"/>
      <c r="FVU19" s="501"/>
      <c r="FVV19" s="501"/>
      <c r="FVW19" s="501"/>
      <c r="FVX19" s="501"/>
      <c r="FVY19" s="501"/>
      <c r="FVZ19" s="501"/>
      <c r="FWA19" s="501"/>
      <c r="FWB19" s="501"/>
      <c r="FWC19" s="501"/>
      <c r="FWD19" s="501"/>
      <c r="FWE19" s="501"/>
      <c r="FWF19" s="501"/>
      <c r="FWG19" s="501"/>
      <c r="FWH19" s="501"/>
      <c r="FWI19" s="501"/>
      <c r="FWJ19" s="501"/>
      <c r="FWK19" s="501"/>
      <c r="FWL19" s="501"/>
      <c r="FWM19" s="501"/>
      <c r="FWN19" s="501"/>
      <c r="FWO19" s="501"/>
      <c r="FWP19" s="501"/>
      <c r="FWQ19" s="501"/>
      <c r="FWR19" s="501"/>
      <c r="FWS19" s="501"/>
      <c r="FWT19" s="501"/>
      <c r="FWU19" s="501"/>
      <c r="FWV19" s="501"/>
      <c r="FWW19" s="501"/>
      <c r="FWX19" s="501"/>
      <c r="FWY19" s="501"/>
      <c r="FWZ19" s="501"/>
      <c r="FXA19" s="501"/>
      <c r="FXB19" s="501"/>
      <c r="FXC19" s="501"/>
      <c r="FXD19" s="501"/>
      <c r="FXE19" s="501"/>
      <c r="FXF19" s="501"/>
      <c r="FXG19" s="501"/>
      <c r="FXH19" s="501"/>
      <c r="FXI19" s="501"/>
      <c r="FXJ19" s="501"/>
      <c r="FXK19" s="501"/>
      <c r="FXL19" s="501"/>
      <c r="FXM19" s="501"/>
      <c r="FXN19" s="501"/>
      <c r="FXO19" s="501"/>
      <c r="FXP19" s="501"/>
      <c r="FXQ19" s="501"/>
      <c r="FXR19" s="501"/>
      <c r="FXS19" s="501"/>
      <c r="FXT19" s="501"/>
      <c r="FXU19" s="501"/>
      <c r="FXV19" s="501"/>
      <c r="FXW19" s="501"/>
      <c r="FXX19" s="501"/>
      <c r="FXY19" s="501"/>
      <c r="FXZ19" s="501"/>
      <c r="FYA19" s="501"/>
      <c r="FYB19" s="501"/>
      <c r="FYC19" s="501"/>
      <c r="FYD19" s="501"/>
      <c r="FYE19" s="501"/>
      <c r="FYF19" s="501"/>
      <c r="FYG19" s="501"/>
      <c r="FYH19" s="501"/>
      <c r="FYI19" s="501"/>
      <c r="FYJ19" s="501"/>
      <c r="FYK19" s="501"/>
      <c r="FYL19" s="501"/>
      <c r="FYM19" s="501"/>
      <c r="FYN19" s="501"/>
      <c r="FYO19" s="501"/>
      <c r="FYP19" s="501"/>
      <c r="FYQ19" s="501"/>
      <c r="FYR19" s="501"/>
      <c r="FYS19" s="501"/>
      <c r="FYT19" s="501"/>
      <c r="FYU19" s="501"/>
      <c r="FYV19" s="501"/>
      <c r="FYW19" s="501"/>
      <c r="FYX19" s="501"/>
      <c r="FYY19" s="501"/>
      <c r="FYZ19" s="501"/>
      <c r="FZA19" s="501"/>
      <c r="FZB19" s="501"/>
      <c r="FZC19" s="501"/>
      <c r="FZD19" s="501"/>
      <c r="FZE19" s="501"/>
      <c r="FZF19" s="501"/>
      <c r="FZG19" s="501"/>
      <c r="FZH19" s="501"/>
      <c r="FZI19" s="501"/>
      <c r="FZJ19" s="501"/>
      <c r="FZK19" s="501"/>
      <c r="FZL19" s="501"/>
      <c r="FZM19" s="501"/>
      <c r="FZN19" s="501"/>
      <c r="FZO19" s="501"/>
      <c r="FZP19" s="501"/>
      <c r="FZQ19" s="501"/>
      <c r="FZR19" s="501"/>
      <c r="FZS19" s="501"/>
      <c r="FZT19" s="501"/>
      <c r="FZU19" s="501"/>
      <c r="FZV19" s="501"/>
      <c r="FZW19" s="501"/>
      <c r="FZX19" s="501"/>
      <c r="FZY19" s="501"/>
      <c r="FZZ19" s="501"/>
      <c r="GAA19" s="501"/>
      <c r="GAB19" s="501"/>
      <c r="GAC19" s="501"/>
      <c r="GAD19" s="501"/>
      <c r="GAE19" s="501"/>
      <c r="GAF19" s="501"/>
      <c r="GAG19" s="501"/>
      <c r="GAH19" s="501"/>
      <c r="GAI19" s="501"/>
      <c r="GAJ19" s="501"/>
      <c r="GAK19" s="501"/>
      <c r="GAL19" s="501"/>
      <c r="GAM19" s="501"/>
      <c r="GAN19" s="501"/>
      <c r="GAO19" s="501"/>
      <c r="GAP19" s="501"/>
      <c r="GAQ19" s="501"/>
      <c r="GAR19" s="501"/>
      <c r="GAS19" s="501"/>
      <c r="GAT19" s="501"/>
      <c r="GAU19" s="501"/>
      <c r="GAV19" s="501"/>
      <c r="GAW19" s="501"/>
      <c r="GAX19" s="501"/>
      <c r="GAY19" s="501"/>
      <c r="GAZ19" s="501"/>
      <c r="GBA19" s="501"/>
      <c r="GBB19" s="501"/>
      <c r="GBC19" s="501"/>
      <c r="GBD19" s="501"/>
      <c r="GBE19" s="501"/>
      <c r="GBF19" s="501"/>
      <c r="GBG19" s="501"/>
      <c r="GBH19" s="501"/>
      <c r="GBI19" s="501"/>
      <c r="GBJ19" s="501"/>
      <c r="GBK19" s="501"/>
      <c r="GBL19" s="501"/>
      <c r="GBM19" s="501"/>
      <c r="GBN19" s="501"/>
      <c r="GBO19" s="501"/>
      <c r="GBP19" s="501"/>
      <c r="GBQ19" s="501"/>
      <c r="GBR19" s="501"/>
      <c r="GBS19" s="501"/>
      <c r="GBT19" s="501"/>
      <c r="GBU19" s="501"/>
      <c r="GBV19" s="501"/>
      <c r="GBW19" s="501"/>
      <c r="GBX19" s="501"/>
      <c r="GBY19" s="501"/>
      <c r="GBZ19" s="501"/>
      <c r="GCA19" s="501"/>
      <c r="GCB19" s="501"/>
      <c r="GCC19" s="501"/>
      <c r="GCD19" s="501"/>
      <c r="GCE19" s="501"/>
      <c r="GCF19" s="501"/>
      <c r="GCG19" s="501"/>
      <c r="GCH19" s="501"/>
      <c r="GCI19" s="501"/>
      <c r="GCJ19" s="501"/>
      <c r="GCK19" s="501"/>
      <c r="GCL19" s="501"/>
      <c r="GCM19" s="501"/>
      <c r="GCN19" s="501"/>
      <c r="GCO19" s="501"/>
      <c r="GCP19" s="501"/>
      <c r="GCQ19" s="501"/>
      <c r="GCR19" s="501"/>
      <c r="GCS19" s="501"/>
      <c r="GCT19" s="501"/>
      <c r="GCU19" s="501"/>
      <c r="GCV19" s="501"/>
      <c r="GCW19" s="501"/>
      <c r="GCX19" s="501"/>
      <c r="GCY19" s="501"/>
      <c r="GCZ19" s="501"/>
      <c r="GDA19" s="501"/>
      <c r="GDB19" s="501"/>
      <c r="GDC19" s="501"/>
      <c r="GDD19" s="501"/>
      <c r="GDE19" s="501"/>
      <c r="GDF19" s="501"/>
      <c r="GDG19" s="501"/>
      <c r="GDH19" s="501"/>
      <c r="GDI19" s="501"/>
      <c r="GDJ19" s="501"/>
      <c r="GDK19" s="501"/>
      <c r="GDL19" s="501"/>
      <c r="GDM19" s="501"/>
      <c r="GDN19" s="501"/>
      <c r="GDO19" s="501"/>
      <c r="GDP19" s="501"/>
      <c r="GDQ19" s="501"/>
      <c r="GDR19" s="501"/>
      <c r="GDS19" s="501"/>
      <c r="GDT19" s="501"/>
      <c r="GDU19" s="501"/>
      <c r="GDV19" s="501"/>
      <c r="GDW19" s="501"/>
      <c r="GDX19" s="501"/>
      <c r="GDY19" s="501"/>
      <c r="GDZ19" s="501"/>
      <c r="GEA19" s="501"/>
      <c r="GEB19" s="501"/>
      <c r="GEC19" s="501"/>
      <c r="GED19" s="501"/>
      <c r="GEE19" s="501"/>
      <c r="GEF19" s="501"/>
      <c r="GEG19" s="501"/>
      <c r="GEH19" s="501"/>
      <c r="GEI19" s="501"/>
      <c r="GEJ19" s="501"/>
      <c r="GEK19" s="501"/>
      <c r="GEL19" s="501"/>
      <c r="GEM19" s="501"/>
      <c r="GEN19" s="501"/>
      <c r="GEO19" s="501"/>
      <c r="GEP19" s="501"/>
      <c r="GEQ19" s="501"/>
      <c r="GER19" s="501"/>
      <c r="GES19" s="501"/>
      <c r="GET19" s="501"/>
      <c r="GEU19" s="501"/>
      <c r="GEV19" s="501"/>
      <c r="GEW19" s="501"/>
      <c r="GEX19" s="501"/>
      <c r="GEY19" s="501"/>
      <c r="GEZ19" s="501"/>
      <c r="GFA19" s="501"/>
      <c r="GFB19" s="501"/>
      <c r="GFC19" s="501"/>
      <c r="GFD19" s="501"/>
      <c r="GFE19" s="501"/>
      <c r="GFF19" s="501"/>
      <c r="GFG19" s="501"/>
      <c r="GFH19" s="501"/>
      <c r="GFI19" s="501"/>
      <c r="GFJ19" s="501"/>
      <c r="GFK19" s="501"/>
      <c r="GFL19" s="501"/>
      <c r="GFM19" s="501"/>
      <c r="GFN19" s="501"/>
      <c r="GFO19" s="501"/>
      <c r="GFP19" s="501"/>
      <c r="GFQ19" s="501"/>
      <c r="GFR19" s="501"/>
      <c r="GFS19" s="501"/>
      <c r="GFT19" s="501"/>
      <c r="GFU19" s="501"/>
      <c r="GFV19" s="501"/>
      <c r="GFW19" s="501"/>
      <c r="GFX19" s="501"/>
      <c r="GFY19" s="501"/>
      <c r="GFZ19" s="501"/>
      <c r="GGA19" s="501"/>
      <c r="GGB19" s="501"/>
      <c r="GGC19" s="501"/>
      <c r="GGD19" s="501"/>
      <c r="GGE19" s="501"/>
      <c r="GGF19" s="501"/>
      <c r="GGG19" s="501"/>
      <c r="GGH19" s="501"/>
      <c r="GGI19" s="501"/>
      <c r="GGJ19" s="501"/>
      <c r="GGK19" s="501"/>
      <c r="GGL19" s="501"/>
      <c r="GGM19" s="501"/>
      <c r="GGN19" s="501"/>
      <c r="GGO19" s="501"/>
      <c r="GGP19" s="501"/>
      <c r="GGQ19" s="501"/>
      <c r="GGR19" s="501"/>
      <c r="GGS19" s="501"/>
      <c r="GGT19" s="501"/>
      <c r="GGU19" s="501"/>
      <c r="GGV19" s="501"/>
      <c r="GGW19" s="501"/>
      <c r="GGX19" s="501"/>
      <c r="GGY19" s="501"/>
      <c r="GGZ19" s="501"/>
      <c r="GHA19" s="501"/>
      <c r="GHB19" s="501"/>
      <c r="GHC19" s="501"/>
      <c r="GHD19" s="501"/>
      <c r="GHE19" s="501"/>
      <c r="GHF19" s="501"/>
      <c r="GHG19" s="501"/>
      <c r="GHH19" s="501"/>
      <c r="GHI19" s="501"/>
      <c r="GHJ19" s="501"/>
      <c r="GHK19" s="501"/>
      <c r="GHL19" s="501"/>
      <c r="GHM19" s="501"/>
      <c r="GHN19" s="501"/>
      <c r="GHO19" s="501"/>
      <c r="GHP19" s="501"/>
      <c r="GHQ19" s="501"/>
      <c r="GHR19" s="501"/>
      <c r="GHS19" s="501"/>
      <c r="GHT19" s="501"/>
      <c r="GHU19" s="501"/>
      <c r="GHV19" s="501"/>
      <c r="GHW19" s="501"/>
      <c r="GHX19" s="501"/>
      <c r="GHY19" s="501"/>
      <c r="GHZ19" s="501"/>
      <c r="GIA19" s="501"/>
      <c r="GIB19" s="501"/>
      <c r="GIC19" s="501"/>
      <c r="GID19" s="501"/>
      <c r="GIE19" s="501"/>
      <c r="GIF19" s="501"/>
      <c r="GIG19" s="501"/>
      <c r="GIH19" s="501"/>
      <c r="GII19" s="501"/>
      <c r="GIJ19" s="501"/>
      <c r="GIK19" s="501"/>
      <c r="GIL19" s="501"/>
      <c r="GIM19" s="501"/>
      <c r="GIN19" s="501"/>
      <c r="GIO19" s="501"/>
      <c r="GIP19" s="501"/>
      <c r="GIQ19" s="501"/>
      <c r="GIR19" s="501"/>
      <c r="GIS19" s="501"/>
      <c r="GIT19" s="501"/>
      <c r="GIU19" s="501"/>
      <c r="GIV19" s="501"/>
      <c r="GIW19" s="501"/>
      <c r="GIX19" s="501"/>
      <c r="GIY19" s="501"/>
      <c r="GIZ19" s="501"/>
      <c r="GJA19" s="501"/>
      <c r="GJB19" s="501"/>
      <c r="GJC19" s="501"/>
      <c r="GJD19" s="501"/>
      <c r="GJE19" s="501"/>
      <c r="GJF19" s="501"/>
      <c r="GJG19" s="501"/>
      <c r="GJH19" s="501"/>
      <c r="GJI19" s="501"/>
      <c r="GJJ19" s="501"/>
      <c r="GJK19" s="501"/>
      <c r="GJL19" s="501"/>
      <c r="GJM19" s="501"/>
      <c r="GJN19" s="501"/>
      <c r="GJO19" s="501"/>
      <c r="GJP19" s="501"/>
      <c r="GJQ19" s="501"/>
      <c r="GJR19" s="501"/>
      <c r="GJS19" s="501"/>
      <c r="GJT19" s="501"/>
      <c r="GJU19" s="501"/>
      <c r="GJV19" s="501"/>
      <c r="GJW19" s="501"/>
      <c r="GJX19" s="501"/>
      <c r="GJY19" s="501"/>
      <c r="GJZ19" s="501"/>
      <c r="GKA19" s="501"/>
      <c r="GKB19" s="501"/>
      <c r="GKC19" s="501"/>
      <c r="GKD19" s="501"/>
      <c r="GKE19" s="501"/>
      <c r="GKF19" s="501"/>
      <c r="GKG19" s="501"/>
      <c r="GKH19" s="501"/>
      <c r="GKI19" s="501"/>
      <c r="GKJ19" s="501"/>
      <c r="GKK19" s="501"/>
      <c r="GKL19" s="501"/>
      <c r="GKM19" s="501"/>
      <c r="GKN19" s="501"/>
      <c r="GKO19" s="501"/>
      <c r="GKP19" s="501"/>
      <c r="GKQ19" s="501"/>
      <c r="GKR19" s="501"/>
      <c r="GKS19" s="501"/>
      <c r="GKT19" s="501"/>
      <c r="GKU19" s="501"/>
      <c r="GKV19" s="501"/>
      <c r="GKW19" s="501"/>
      <c r="GKX19" s="501"/>
      <c r="GKY19" s="501"/>
      <c r="GKZ19" s="501"/>
      <c r="GLA19" s="501"/>
      <c r="GLB19" s="501"/>
      <c r="GLC19" s="501"/>
      <c r="GLD19" s="501"/>
      <c r="GLE19" s="501"/>
      <c r="GLF19" s="501"/>
      <c r="GLG19" s="501"/>
      <c r="GLH19" s="501"/>
      <c r="GLI19" s="501"/>
      <c r="GLJ19" s="501"/>
      <c r="GLK19" s="501"/>
      <c r="GLL19" s="501"/>
      <c r="GLM19" s="501"/>
      <c r="GLN19" s="501"/>
      <c r="GLO19" s="501"/>
      <c r="GLP19" s="501"/>
      <c r="GLQ19" s="501"/>
      <c r="GLR19" s="501"/>
      <c r="GLS19" s="501"/>
      <c r="GLT19" s="501"/>
      <c r="GLU19" s="501"/>
      <c r="GLV19" s="501"/>
      <c r="GLW19" s="501"/>
      <c r="GLX19" s="501"/>
      <c r="GLY19" s="501"/>
      <c r="GLZ19" s="501"/>
      <c r="GMA19" s="501"/>
      <c r="GMB19" s="501"/>
      <c r="GMC19" s="501"/>
      <c r="GMD19" s="501"/>
      <c r="GME19" s="501"/>
      <c r="GMF19" s="501"/>
      <c r="GMG19" s="501"/>
      <c r="GMH19" s="501"/>
      <c r="GMI19" s="501"/>
      <c r="GMJ19" s="501"/>
      <c r="GMK19" s="501"/>
      <c r="GML19" s="501"/>
      <c r="GMM19" s="501"/>
      <c r="GMN19" s="501"/>
      <c r="GMO19" s="501"/>
      <c r="GMP19" s="501"/>
      <c r="GMQ19" s="501"/>
      <c r="GMR19" s="501"/>
      <c r="GMS19" s="501"/>
      <c r="GMT19" s="501"/>
      <c r="GMU19" s="501"/>
      <c r="GMV19" s="501"/>
      <c r="GMW19" s="501"/>
      <c r="GMX19" s="501"/>
      <c r="GMY19" s="501"/>
      <c r="GMZ19" s="501"/>
      <c r="GNA19" s="501"/>
      <c r="GNB19" s="501"/>
      <c r="GNC19" s="501"/>
      <c r="GND19" s="501"/>
      <c r="GNE19" s="501"/>
      <c r="GNF19" s="501"/>
      <c r="GNG19" s="501"/>
      <c r="GNH19" s="501"/>
      <c r="GNI19" s="501"/>
      <c r="GNJ19" s="501"/>
      <c r="GNK19" s="501"/>
      <c r="GNL19" s="501"/>
      <c r="GNM19" s="501"/>
      <c r="GNN19" s="501"/>
      <c r="GNO19" s="501"/>
      <c r="GNP19" s="501"/>
      <c r="GNQ19" s="501"/>
      <c r="GNR19" s="501"/>
      <c r="GNS19" s="501"/>
      <c r="GNT19" s="501"/>
      <c r="GNU19" s="501"/>
      <c r="GNV19" s="501"/>
      <c r="GNW19" s="501"/>
      <c r="GNX19" s="501"/>
      <c r="GNY19" s="501"/>
      <c r="GNZ19" s="501"/>
      <c r="GOA19" s="501"/>
      <c r="GOB19" s="501"/>
      <c r="GOC19" s="501"/>
      <c r="GOD19" s="501"/>
      <c r="GOE19" s="501"/>
      <c r="GOF19" s="501"/>
      <c r="GOG19" s="501"/>
      <c r="GOH19" s="501"/>
      <c r="GOI19" s="501"/>
      <c r="GOJ19" s="501"/>
      <c r="GOK19" s="501"/>
      <c r="GOL19" s="501"/>
      <c r="GOM19" s="501"/>
      <c r="GON19" s="501"/>
      <c r="GOO19" s="501"/>
      <c r="GOP19" s="501"/>
      <c r="GOQ19" s="501"/>
      <c r="GOR19" s="501"/>
      <c r="GOS19" s="501"/>
      <c r="GOT19" s="501"/>
      <c r="GOU19" s="501"/>
      <c r="GOV19" s="501"/>
      <c r="GOW19" s="501"/>
      <c r="GOX19" s="501"/>
      <c r="GOY19" s="501"/>
      <c r="GOZ19" s="501"/>
      <c r="GPA19" s="501"/>
      <c r="GPB19" s="501"/>
      <c r="GPC19" s="501"/>
      <c r="GPD19" s="501"/>
      <c r="GPE19" s="501"/>
      <c r="GPF19" s="501"/>
      <c r="GPG19" s="501"/>
      <c r="GPH19" s="501"/>
      <c r="GPI19" s="501"/>
      <c r="GPJ19" s="501"/>
      <c r="GPK19" s="501"/>
      <c r="GPL19" s="501"/>
      <c r="GPM19" s="501"/>
      <c r="GPN19" s="501"/>
      <c r="GPO19" s="501"/>
      <c r="GPP19" s="501"/>
      <c r="GPQ19" s="501"/>
      <c r="GPR19" s="501"/>
      <c r="GPS19" s="501"/>
      <c r="GPT19" s="501"/>
      <c r="GPU19" s="501"/>
      <c r="GPV19" s="501"/>
      <c r="GPW19" s="501"/>
      <c r="GPX19" s="501"/>
      <c r="GPY19" s="501"/>
      <c r="GPZ19" s="501"/>
      <c r="GQA19" s="501"/>
      <c r="GQB19" s="501"/>
      <c r="GQC19" s="501"/>
      <c r="GQD19" s="501"/>
      <c r="GQE19" s="501"/>
      <c r="GQF19" s="501"/>
      <c r="GQG19" s="501"/>
      <c r="GQH19" s="501"/>
      <c r="GQI19" s="501"/>
      <c r="GQJ19" s="501"/>
      <c r="GQK19" s="501"/>
      <c r="GQL19" s="501"/>
      <c r="GQM19" s="501"/>
      <c r="GQN19" s="501"/>
      <c r="GQO19" s="501"/>
      <c r="GQP19" s="501"/>
      <c r="GQQ19" s="501"/>
      <c r="GQR19" s="501"/>
      <c r="GQS19" s="501"/>
      <c r="GQT19" s="501"/>
      <c r="GQU19" s="501"/>
      <c r="GQV19" s="501"/>
      <c r="GQW19" s="501"/>
      <c r="GQX19" s="501"/>
      <c r="GQY19" s="501"/>
      <c r="GQZ19" s="501"/>
      <c r="GRA19" s="501"/>
      <c r="GRB19" s="501"/>
      <c r="GRC19" s="501"/>
      <c r="GRD19" s="501"/>
      <c r="GRE19" s="501"/>
      <c r="GRF19" s="501"/>
      <c r="GRG19" s="501"/>
      <c r="GRH19" s="501"/>
      <c r="GRI19" s="501"/>
      <c r="GRJ19" s="501"/>
      <c r="GRK19" s="501"/>
      <c r="GRL19" s="501"/>
      <c r="GRM19" s="501"/>
      <c r="GRN19" s="501"/>
      <c r="GRO19" s="501"/>
      <c r="GRP19" s="501"/>
      <c r="GRQ19" s="501"/>
      <c r="GRR19" s="501"/>
      <c r="GRS19" s="501"/>
      <c r="GRT19" s="501"/>
      <c r="GRU19" s="501"/>
      <c r="GRV19" s="501"/>
      <c r="GRW19" s="501"/>
      <c r="GRX19" s="501"/>
      <c r="GRY19" s="501"/>
      <c r="GRZ19" s="501"/>
      <c r="GSA19" s="501"/>
      <c r="GSB19" s="501"/>
      <c r="GSC19" s="501"/>
      <c r="GSD19" s="501"/>
      <c r="GSE19" s="501"/>
      <c r="GSF19" s="501"/>
      <c r="GSG19" s="501"/>
      <c r="GSH19" s="501"/>
      <c r="GSI19" s="501"/>
      <c r="GSJ19" s="501"/>
      <c r="GSK19" s="501"/>
      <c r="GSL19" s="501"/>
      <c r="GSM19" s="501"/>
      <c r="GSN19" s="501"/>
      <c r="GSO19" s="501"/>
      <c r="GSP19" s="501"/>
      <c r="GSQ19" s="501"/>
      <c r="GSR19" s="501"/>
      <c r="GSS19" s="501"/>
      <c r="GST19" s="501"/>
      <c r="GSU19" s="501"/>
      <c r="GSV19" s="501"/>
      <c r="GSW19" s="501"/>
      <c r="GSX19" s="501"/>
      <c r="GSY19" s="501"/>
      <c r="GSZ19" s="501"/>
      <c r="GTA19" s="501"/>
      <c r="GTB19" s="501"/>
      <c r="GTC19" s="501"/>
      <c r="GTD19" s="501"/>
      <c r="GTE19" s="501"/>
      <c r="GTF19" s="501"/>
      <c r="GTG19" s="501"/>
      <c r="GTH19" s="501"/>
      <c r="GTI19" s="501"/>
      <c r="GTJ19" s="501"/>
      <c r="GTK19" s="501"/>
      <c r="GTL19" s="501"/>
      <c r="GTM19" s="501"/>
      <c r="GTN19" s="501"/>
      <c r="GTO19" s="501"/>
      <c r="GTP19" s="501"/>
      <c r="GTQ19" s="501"/>
      <c r="GTR19" s="501"/>
      <c r="GTS19" s="501"/>
      <c r="GTT19" s="501"/>
      <c r="GTU19" s="501"/>
      <c r="GTV19" s="501"/>
      <c r="GTW19" s="501"/>
      <c r="GTX19" s="501"/>
      <c r="GTY19" s="501"/>
      <c r="GTZ19" s="501"/>
      <c r="GUA19" s="501"/>
      <c r="GUB19" s="501"/>
      <c r="GUC19" s="501"/>
      <c r="GUD19" s="501"/>
      <c r="GUE19" s="501"/>
      <c r="GUF19" s="501"/>
      <c r="GUG19" s="501"/>
      <c r="GUH19" s="501"/>
      <c r="GUI19" s="501"/>
      <c r="GUJ19" s="501"/>
      <c r="GUK19" s="501"/>
      <c r="GUL19" s="501"/>
      <c r="GUM19" s="501"/>
      <c r="GUN19" s="501"/>
      <c r="GUO19" s="501"/>
      <c r="GUP19" s="501"/>
      <c r="GUQ19" s="501"/>
      <c r="GUR19" s="501"/>
      <c r="GUS19" s="501"/>
      <c r="GUT19" s="501"/>
      <c r="GUU19" s="501"/>
      <c r="GUV19" s="501"/>
      <c r="GUW19" s="501"/>
      <c r="GUX19" s="501"/>
      <c r="GUY19" s="501"/>
      <c r="GUZ19" s="501"/>
      <c r="GVA19" s="501"/>
      <c r="GVB19" s="501"/>
      <c r="GVC19" s="501"/>
      <c r="GVD19" s="501"/>
      <c r="GVE19" s="501"/>
      <c r="GVF19" s="501"/>
      <c r="GVG19" s="501"/>
      <c r="GVH19" s="501"/>
      <c r="GVI19" s="501"/>
      <c r="GVJ19" s="501"/>
      <c r="GVK19" s="501"/>
      <c r="GVL19" s="501"/>
      <c r="GVM19" s="501"/>
      <c r="GVN19" s="501"/>
      <c r="GVO19" s="501"/>
      <c r="GVP19" s="501"/>
      <c r="GVQ19" s="501"/>
      <c r="GVR19" s="501"/>
      <c r="GVS19" s="501"/>
      <c r="GVT19" s="501"/>
      <c r="GVU19" s="501"/>
      <c r="GVV19" s="501"/>
      <c r="GVW19" s="501"/>
      <c r="GVX19" s="501"/>
      <c r="GVY19" s="501"/>
      <c r="GVZ19" s="501"/>
      <c r="GWA19" s="501"/>
      <c r="GWB19" s="501"/>
      <c r="GWC19" s="501"/>
      <c r="GWD19" s="501"/>
      <c r="GWE19" s="501"/>
      <c r="GWF19" s="501"/>
      <c r="GWG19" s="501"/>
      <c r="GWH19" s="501"/>
      <c r="GWI19" s="501"/>
      <c r="GWJ19" s="501"/>
      <c r="GWK19" s="501"/>
      <c r="GWL19" s="501"/>
      <c r="GWM19" s="501"/>
      <c r="GWN19" s="501"/>
      <c r="GWO19" s="501"/>
      <c r="GWP19" s="501"/>
      <c r="GWQ19" s="501"/>
      <c r="GWR19" s="501"/>
      <c r="GWS19" s="501"/>
      <c r="GWT19" s="501"/>
      <c r="GWU19" s="501"/>
      <c r="GWV19" s="501"/>
      <c r="GWW19" s="501"/>
      <c r="GWX19" s="501"/>
      <c r="GWY19" s="501"/>
      <c r="GWZ19" s="501"/>
      <c r="GXA19" s="501"/>
      <c r="GXB19" s="501"/>
      <c r="GXC19" s="501"/>
      <c r="GXD19" s="501"/>
      <c r="GXE19" s="501"/>
      <c r="GXF19" s="501"/>
      <c r="GXG19" s="501"/>
      <c r="GXH19" s="501"/>
      <c r="GXI19" s="501"/>
      <c r="GXJ19" s="501"/>
      <c r="GXK19" s="501"/>
      <c r="GXL19" s="501"/>
      <c r="GXM19" s="501"/>
      <c r="GXN19" s="501"/>
      <c r="GXO19" s="501"/>
      <c r="GXP19" s="501"/>
      <c r="GXQ19" s="501"/>
      <c r="GXR19" s="501"/>
      <c r="GXS19" s="501"/>
      <c r="GXT19" s="501"/>
      <c r="GXU19" s="501"/>
      <c r="GXV19" s="501"/>
      <c r="GXW19" s="501"/>
      <c r="GXX19" s="501"/>
      <c r="GXY19" s="501"/>
      <c r="GXZ19" s="501"/>
      <c r="GYA19" s="501"/>
      <c r="GYB19" s="501"/>
      <c r="GYC19" s="501"/>
      <c r="GYD19" s="501"/>
      <c r="GYE19" s="501"/>
      <c r="GYF19" s="501"/>
      <c r="GYG19" s="501"/>
      <c r="GYH19" s="501"/>
      <c r="GYI19" s="501"/>
      <c r="GYJ19" s="501"/>
      <c r="GYK19" s="501"/>
      <c r="GYL19" s="501"/>
      <c r="GYM19" s="501"/>
      <c r="GYN19" s="501"/>
      <c r="GYO19" s="501"/>
      <c r="GYP19" s="501"/>
      <c r="GYQ19" s="501"/>
      <c r="GYR19" s="501"/>
      <c r="GYS19" s="501"/>
      <c r="GYT19" s="501"/>
      <c r="GYU19" s="501"/>
      <c r="GYV19" s="501"/>
      <c r="GYW19" s="501"/>
      <c r="GYX19" s="501"/>
      <c r="GYY19" s="501"/>
      <c r="GYZ19" s="501"/>
      <c r="GZA19" s="501"/>
      <c r="GZB19" s="501"/>
      <c r="GZC19" s="501"/>
      <c r="GZD19" s="501"/>
      <c r="GZE19" s="501"/>
      <c r="GZF19" s="501"/>
      <c r="GZG19" s="501"/>
      <c r="GZH19" s="501"/>
      <c r="GZI19" s="501"/>
      <c r="GZJ19" s="501"/>
      <c r="GZK19" s="501"/>
      <c r="GZL19" s="501"/>
      <c r="GZM19" s="501"/>
      <c r="GZN19" s="501"/>
      <c r="GZO19" s="501"/>
      <c r="GZP19" s="501"/>
      <c r="GZQ19" s="501"/>
      <c r="GZR19" s="501"/>
      <c r="GZS19" s="501"/>
      <c r="GZT19" s="501"/>
      <c r="GZU19" s="501"/>
      <c r="GZV19" s="501"/>
      <c r="GZW19" s="501"/>
      <c r="GZX19" s="501"/>
      <c r="GZY19" s="501"/>
      <c r="GZZ19" s="501"/>
      <c r="HAA19" s="501"/>
      <c r="HAB19" s="501"/>
      <c r="HAC19" s="501"/>
      <c r="HAD19" s="501"/>
      <c r="HAE19" s="501"/>
      <c r="HAF19" s="501"/>
      <c r="HAG19" s="501"/>
      <c r="HAH19" s="501"/>
      <c r="HAI19" s="501"/>
      <c r="HAJ19" s="501"/>
      <c r="HAK19" s="501"/>
      <c r="HAL19" s="501"/>
      <c r="HAM19" s="501"/>
      <c r="HAN19" s="501"/>
      <c r="HAO19" s="501"/>
      <c r="HAP19" s="501"/>
      <c r="HAQ19" s="501"/>
      <c r="HAR19" s="501"/>
      <c r="HAS19" s="501"/>
      <c r="HAT19" s="501"/>
      <c r="HAU19" s="501"/>
      <c r="HAV19" s="501"/>
      <c r="HAW19" s="501"/>
      <c r="HAX19" s="501"/>
      <c r="HAY19" s="501"/>
      <c r="HAZ19" s="501"/>
      <c r="HBA19" s="501"/>
      <c r="HBB19" s="501"/>
      <c r="HBC19" s="501"/>
      <c r="HBD19" s="501"/>
      <c r="HBE19" s="501"/>
      <c r="HBF19" s="501"/>
      <c r="HBG19" s="501"/>
      <c r="HBH19" s="501"/>
      <c r="HBI19" s="501"/>
      <c r="HBJ19" s="501"/>
      <c r="HBK19" s="501"/>
      <c r="HBL19" s="501"/>
      <c r="HBM19" s="501"/>
      <c r="HBN19" s="501"/>
      <c r="HBO19" s="501"/>
      <c r="HBP19" s="501"/>
      <c r="HBQ19" s="501"/>
      <c r="HBR19" s="501"/>
      <c r="HBS19" s="501"/>
      <c r="HBT19" s="501"/>
      <c r="HBU19" s="501"/>
      <c r="HBV19" s="501"/>
      <c r="HBW19" s="501"/>
      <c r="HBX19" s="501"/>
      <c r="HBY19" s="501"/>
      <c r="HBZ19" s="501"/>
      <c r="HCA19" s="501"/>
      <c r="HCB19" s="501"/>
      <c r="HCC19" s="501"/>
      <c r="HCD19" s="501"/>
      <c r="HCE19" s="501"/>
      <c r="HCF19" s="501"/>
      <c r="HCG19" s="501"/>
      <c r="HCH19" s="501"/>
      <c r="HCI19" s="501"/>
      <c r="HCJ19" s="501"/>
      <c r="HCK19" s="501"/>
      <c r="HCL19" s="501"/>
      <c r="HCM19" s="501"/>
      <c r="HCN19" s="501"/>
      <c r="HCO19" s="501"/>
      <c r="HCP19" s="501"/>
      <c r="HCQ19" s="501"/>
      <c r="HCR19" s="501"/>
      <c r="HCS19" s="501"/>
      <c r="HCT19" s="501"/>
      <c r="HCU19" s="501"/>
      <c r="HCV19" s="501"/>
      <c r="HCW19" s="501"/>
      <c r="HCX19" s="501"/>
      <c r="HCY19" s="501"/>
      <c r="HCZ19" s="501"/>
      <c r="HDA19" s="501"/>
      <c r="HDB19" s="501"/>
      <c r="HDC19" s="501"/>
      <c r="HDD19" s="501"/>
      <c r="HDE19" s="501"/>
      <c r="HDF19" s="501"/>
      <c r="HDG19" s="501"/>
      <c r="HDH19" s="501"/>
      <c r="HDI19" s="501"/>
      <c r="HDJ19" s="501"/>
      <c r="HDK19" s="501"/>
      <c r="HDL19" s="501"/>
      <c r="HDM19" s="501"/>
      <c r="HDN19" s="501"/>
      <c r="HDO19" s="501"/>
      <c r="HDP19" s="501"/>
      <c r="HDQ19" s="501"/>
      <c r="HDR19" s="501"/>
      <c r="HDS19" s="501"/>
      <c r="HDT19" s="501"/>
      <c r="HDU19" s="501"/>
      <c r="HDV19" s="501"/>
      <c r="HDW19" s="501"/>
      <c r="HDX19" s="501"/>
      <c r="HDY19" s="501"/>
      <c r="HDZ19" s="501"/>
      <c r="HEA19" s="501"/>
      <c r="HEB19" s="501"/>
      <c r="HEC19" s="501"/>
      <c r="HED19" s="501"/>
      <c r="HEE19" s="501"/>
      <c r="HEF19" s="501"/>
      <c r="HEG19" s="501"/>
      <c r="HEH19" s="501"/>
      <c r="HEI19" s="501"/>
      <c r="HEJ19" s="501"/>
      <c r="HEK19" s="501"/>
      <c r="HEL19" s="501"/>
      <c r="HEM19" s="501"/>
      <c r="HEN19" s="501"/>
      <c r="HEO19" s="501"/>
      <c r="HEP19" s="501"/>
      <c r="HEQ19" s="501"/>
      <c r="HER19" s="501"/>
      <c r="HES19" s="501"/>
      <c r="HET19" s="501"/>
      <c r="HEU19" s="501"/>
      <c r="HEV19" s="501"/>
      <c r="HEW19" s="501"/>
      <c r="HEX19" s="501"/>
      <c r="HEY19" s="501"/>
      <c r="HEZ19" s="501"/>
      <c r="HFA19" s="501"/>
      <c r="HFB19" s="501"/>
      <c r="HFC19" s="501"/>
      <c r="HFD19" s="501"/>
      <c r="HFE19" s="501"/>
      <c r="HFF19" s="501"/>
      <c r="HFG19" s="501"/>
      <c r="HFH19" s="501"/>
      <c r="HFI19" s="501"/>
      <c r="HFJ19" s="501"/>
      <c r="HFK19" s="501"/>
      <c r="HFL19" s="501"/>
      <c r="HFM19" s="501"/>
      <c r="HFN19" s="501"/>
      <c r="HFO19" s="501"/>
      <c r="HFP19" s="501"/>
      <c r="HFQ19" s="501"/>
      <c r="HFR19" s="501"/>
      <c r="HFS19" s="501"/>
      <c r="HFT19" s="501"/>
      <c r="HFU19" s="501"/>
      <c r="HFV19" s="501"/>
      <c r="HFW19" s="501"/>
      <c r="HFX19" s="501"/>
      <c r="HFY19" s="501"/>
      <c r="HFZ19" s="501"/>
      <c r="HGA19" s="501"/>
      <c r="HGB19" s="501"/>
      <c r="HGC19" s="501"/>
      <c r="HGD19" s="501"/>
      <c r="HGE19" s="501"/>
      <c r="HGF19" s="501"/>
      <c r="HGG19" s="501"/>
      <c r="HGH19" s="501"/>
      <c r="HGI19" s="501"/>
      <c r="HGJ19" s="501"/>
      <c r="HGK19" s="501"/>
      <c r="HGL19" s="501"/>
      <c r="HGM19" s="501"/>
      <c r="HGN19" s="501"/>
      <c r="HGO19" s="501"/>
      <c r="HGP19" s="501"/>
      <c r="HGQ19" s="501"/>
      <c r="HGR19" s="501"/>
      <c r="HGS19" s="501"/>
      <c r="HGT19" s="501"/>
      <c r="HGU19" s="501"/>
      <c r="HGV19" s="501"/>
      <c r="HGW19" s="501"/>
      <c r="HGX19" s="501"/>
      <c r="HGY19" s="501"/>
      <c r="HGZ19" s="501"/>
      <c r="HHA19" s="501"/>
      <c r="HHB19" s="501"/>
      <c r="HHC19" s="501"/>
      <c r="HHD19" s="501"/>
      <c r="HHE19" s="501"/>
      <c r="HHF19" s="501"/>
      <c r="HHG19" s="501"/>
      <c r="HHH19" s="501"/>
      <c r="HHI19" s="501"/>
      <c r="HHJ19" s="501"/>
      <c r="HHK19" s="501"/>
      <c r="HHL19" s="501"/>
      <c r="HHM19" s="501"/>
      <c r="HHN19" s="501"/>
      <c r="HHO19" s="501"/>
      <c r="HHP19" s="501"/>
      <c r="HHQ19" s="501"/>
      <c r="HHR19" s="501"/>
      <c r="HHS19" s="501"/>
      <c r="HHT19" s="501"/>
      <c r="HHU19" s="501"/>
      <c r="HHV19" s="501"/>
      <c r="HHW19" s="501"/>
      <c r="HHX19" s="501"/>
      <c r="HHY19" s="501"/>
      <c r="HHZ19" s="501"/>
      <c r="HIA19" s="501"/>
      <c r="HIB19" s="501"/>
      <c r="HIC19" s="501"/>
      <c r="HID19" s="501"/>
      <c r="HIE19" s="501"/>
      <c r="HIF19" s="501"/>
      <c r="HIG19" s="501"/>
      <c r="HIH19" s="501"/>
      <c r="HII19" s="501"/>
      <c r="HIJ19" s="501"/>
      <c r="HIK19" s="501"/>
      <c r="HIL19" s="501"/>
      <c r="HIM19" s="501"/>
      <c r="HIN19" s="501"/>
      <c r="HIO19" s="501"/>
      <c r="HIP19" s="501"/>
      <c r="HIQ19" s="501"/>
      <c r="HIR19" s="501"/>
      <c r="HIS19" s="501"/>
      <c r="HIT19" s="501"/>
      <c r="HIU19" s="501"/>
      <c r="HIV19" s="501"/>
      <c r="HIW19" s="501"/>
      <c r="HIX19" s="501"/>
      <c r="HIY19" s="501"/>
      <c r="HIZ19" s="501"/>
      <c r="HJA19" s="501"/>
      <c r="HJB19" s="501"/>
      <c r="HJC19" s="501"/>
      <c r="HJD19" s="501"/>
      <c r="HJE19" s="501"/>
      <c r="HJF19" s="501"/>
      <c r="HJG19" s="501"/>
      <c r="HJH19" s="501"/>
      <c r="HJI19" s="501"/>
      <c r="HJJ19" s="501"/>
      <c r="HJK19" s="501"/>
      <c r="HJL19" s="501"/>
      <c r="HJM19" s="501"/>
      <c r="HJN19" s="501"/>
      <c r="HJO19" s="501"/>
      <c r="HJP19" s="501"/>
      <c r="HJQ19" s="501"/>
      <c r="HJR19" s="501"/>
      <c r="HJS19" s="501"/>
      <c r="HJT19" s="501"/>
      <c r="HJU19" s="501"/>
      <c r="HJV19" s="501"/>
      <c r="HJW19" s="501"/>
      <c r="HJX19" s="501"/>
      <c r="HJY19" s="501"/>
      <c r="HJZ19" s="501"/>
      <c r="HKA19" s="501"/>
      <c r="HKB19" s="501"/>
      <c r="HKC19" s="501"/>
      <c r="HKD19" s="501"/>
      <c r="HKE19" s="501"/>
      <c r="HKF19" s="501"/>
      <c r="HKG19" s="501"/>
      <c r="HKH19" s="501"/>
      <c r="HKI19" s="501"/>
      <c r="HKJ19" s="501"/>
      <c r="HKK19" s="501"/>
      <c r="HKL19" s="501"/>
      <c r="HKM19" s="501"/>
      <c r="HKN19" s="501"/>
      <c r="HKO19" s="501"/>
      <c r="HKP19" s="501"/>
      <c r="HKQ19" s="501"/>
      <c r="HKR19" s="501"/>
      <c r="HKS19" s="501"/>
      <c r="HKT19" s="501"/>
      <c r="HKU19" s="501"/>
      <c r="HKV19" s="501"/>
      <c r="HKW19" s="501"/>
      <c r="HKX19" s="501"/>
      <c r="HKY19" s="501"/>
      <c r="HKZ19" s="501"/>
      <c r="HLA19" s="501"/>
      <c r="HLB19" s="501"/>
      <c r="HLC19" s="501"/>
      <c r="HLD19" s="501"/>
      <c r="HLE19" s="501"/>
      <c r="HLF19" s="501"/>
      <c r="HLG19" s="501"/>
      <c r="HLH19" s="501"/>
      <c r="HLI19" s="501"/>
      <c r="HLJ19" s="501"/>
      <c r="HLK19" s="501"/>
      <c r="HLL19" s="501"/>
      <c r="HLM19" s="501"/>
      <c r="HLN19" s="501"/>
      <c r="HLO19" s="501"/>
      <c r="HLP19" s="501"/>
      <c r="HLQ19" s="501"/>
      <c r="HLR19" s="501"/>
      <c r="HLS19" s="501"/>
      <c r="HLT19" s="501"/>
      <c r="HLU19" s="501"/>
      <c r="HLV19" s="501"/>
      <c r="HLW19" s="501"/>
      <c r="HLX19" s="501"/>
      <c r="HLY19" s="501"/>
      <c r="HLZ19" s="501"/>
      <c r="HMA19" s="501"/>
      <c r="HMB19" s="501"/>
      <c r="HMC19" s="501"/>
      <c r="HMD19" s="501"/>
      <c r="HME19" s="501"/>
      <c r="HMF19" s="501"/>
      <c r="HMG19" s="501"/>
      <c r="HMH19" s="501"/>
      <c r="HMI19" s="501"/>
      <c r="HMJ19" s="501"/>
      <c r="HMK19" s="501"/>
      <c r="HML19" s="501"/>
      <c r="HMM19" s="501"/>
      <c r="HMN19" s="501"/>
      <c r="HMO19" s="501"/>
      <c r="HMP19" s="501"/>
      <c r="HMQ19" s="501"/>
      <c r="HMR19" s="501"/>
      <c r="HMS19" s="501"/>
      <c r="HMT19" s="501"/>
      <c r="HMU19" s="501"/>
      <c r="HMV19" s="501"/>
      <c r="HMW19" s="501"/>
      <c r="HMX19" s="501"/>
      <c r="HMY19" s="501"/>
      <c r="HMZ19" s="501"/>
      <c r="HNA19" s="501"/>
      <c r="HNB19" s="501"/>
      <c r="HNC19" s="501"/>
      <c r="HND19" s="501"/>
      <c r="HNE19" s="501"/>
      <c r="HNF19" s="501"/>
      <c r="HNG19" s="501"/>
      <c r="HNH19" s="501"/>
      <c r="HNI19" s="501"/>
      <c r="HNJ19" s="501"/>
      <c r="HNK19" s="501"/>
      <c r="HNL19" s="501"/>
      <c r="HNM19" s="501"/>
      <c r="HNN19" s="501"/>
      <c r="HNO19" s="501"/>
      <c r="HNP19" s="501"/>
      <c r="HNQ19" s="501"/>
      <c r="HNR19" s="501"/>
      <c r="HNS19" s="501"/>
      <c r="HNT19" s="501"/>
      <c r="HNU19" s="501"/>
      <c r="HNV19" s="501"/>
      <c r="HNW19" s="501"/>
      <c r="HNX19" s="501"/>
      <c r="HNY19" s="501"/>
      <c r="HNZ19" s="501"/>
      <c r="HOA19" s="501"/>
      <c r="HOB19" s="501"/>
      <c r="HOC19" s="501"/>
      <c r="HOD19" s="501"/>
      <c r="HOE19" s="501"/>
      <c r="HOF19" s="501"/>
      <c r="HOG19" s="501"/>
      <c r="HOH19" s="501"/>
      <c r="HOI19" s="501"/>
      <c r="HOJ19" s="501"/>
      <c r="HOK19" s="501"/>
      <c r="HOL19" s="501"/>
      <c r="HOM19" s="501"/>
      <c r="HON19" s="501"/>
      <c r="HOO19" s="501"/>
      <c r="HOP19" s="501"/>
      <c r="HOQ19" s="501"/>
      <c r="HOR19" s="501"/>
      <c r="HOS19" s="501"/>
      <c r="HOT19" s="501"/>
      <c r="HOU19" s="501"/>
      <c r="HOV19" s="501"/>
      <c r="HOW19" s="501"/>
      <c r="HOX19" s="501"/>
      <c r="HOY19" s="501"/>
      <c r="HOZ19" s="501"/>
      <c r="HPA19" s="501"/>
      <c r="HPB19" s="501"/>
      <c r="HPC19" s="501"/>
      <c r="HPD19" s="501"/>
      <c r="HPE19" s="501"/>
      <c r="HPF19" s="501"/>
      <c r="HPG19" s="501"/>
      <c r="HPH19" s="501"/>
      <c r="HPI19" s="501"/>
      <c r="HPJ19" s="501"/>
      <c r="HPK19" s="501"/>
      <c r="HPL19" s="501"/>
      <c r="HPM19" s="501"/>
      <c r="HPN19" s="501"/>
      <c r="HPO19" s="501"/>
      <c r="HPP19" s="501"/>
      <c r="HPQ19" s="501"/>
      <c r="HPR19" s="501"/>
      <c r="HPS19" s="501"/>
      <c r="HPT19" s="501"/>
      <c r="HPU19" s="501"/>
      <c r="HPV19" s="501"/>
      <c r="HPW19" s="501"/>
      <c r="HPX19" s="501"/>
      <c r="HPY19" s="501"/>
      <c r="HPZ19" s="501"/>
      <c r="HQA19" s="501"/>
      <c r="HQB19" s="501"/>
      <c r="HQC19" s="501"/>
      <c r="HQD19" s="501"/>
      <c r="HQE19" s="501"/>
      <c r="HQF19" s="501"/>
      <c r="HQG19" s="501"/>
      <c r="HQH19" s="501"/>
      <c r="HQI19" s="501"/>
      <c r="HQJ19" s="501"/>
      <c r="HQK19" s="501"/>
      <c r="HQL19" s="501"/>
      <c r="HQM19" s="501"/>
      <c r="HQN19" s="501"/>
      <c r="HQO19" s="501"/>
      <c r="HQP19" s="501"/>
      <c r="HQQ19" s="501"/>
      <c r="HQR19" s="501"/>
      <c r="HQS19" s="501"/>
      <c r="HQT19" s="501"/>
      <c r="HQU19" s="501"/>
      <c r="HQV19" s="501"/>
      <c r="HQW19" s="501"/>
      <c r="HQX19" s="501"/>
      <c r="HQY19" s="501"/>
      <c r="HQZ19" s="501"/>
      <c r="HRA19" s="501"/>
      <c r="HRB19" s="501"/>
      <c r="HRC19" s="501"/>
      <c r="HRD19" s="501"/>
      <c r="HRE19" s="501"/>
      <c r="HRF19" s="501"/>
      <c r="HRG19" s="501"/>
      <c r="HRH19" s="501"/>
      <c r="HRI19" s="501"/>
      <c r="HRJ19" s="501"/>
      <c r="HRK19" s="501"/>
      <c r="HRL19" s="501"/>
      <c r="HRM19" s="501"/>
      <c r="HRN19" s="501"/>
      <c r="HRO19" s="501"/>
      <c r="HRP19" s="501"/>
      <c r="HRQ19" s="501"/>
      <c r="HRR19" s="501"/>
      <c r="HRS19" s="501"/>
      <c r="HRT19" s="501"/>
      <c r="HRU19" s="501"/>
      <c r="HRV19" s="501"/>
      <c r="HRW19" s="501"/>
      <c r="HRX19" s="501"/>
      <c r="HRY19" s="501"/>
      <c r="HRZ19" s="501"/>
      <c r="HSA19" s="501"/>
      <c r="HSB19" s="501"/>
      <c r="HSC19" s="501"/>
      <c r="HSD19" s="501"/>
      <c r="HSE19" s="501"/>
      <c r="HSF19" s="501"/>
      <c r="HSG19" s="501"/>
      <c r="HSH19" s="501"/>
      <c r="HSI19" s="501"/>
      <c r="HSJ19" s="501"/>
      <c r="HSK19" s="501"/>
      <c r="HSL19" s="501"/>
      <c r="HSM19" s="501"/>
      <c r="HSN19" s="501"/>
      <c r="HSO19" s="501"/>
      <c r="HSP19" s="501"/>
      <c r="HSQ19" s="501"/>
      <c r="HSR19" s="501"/>
      <c r="HSS19" s="501"/>
      <c r="HST19" s="501"/>
      <c r="HSU19" s="501"/>
      <c r="HSV19" s="501"/>
      <c r="HSW19" s="501"/>
      <c r="HSX19" s="501"/>
      <c r="HSY19" s="501"/>
      <c r="HSZ19" s="501"/>
      <c r="HTA19" s="501"/>
      <c r="HTB19" s="501"/>
      <c r="HTC19" s="501"/>
      <c r="HTD19" s="501"/>
      <c r="HTE19" s="501"/>
      <c r="HTF19" s="501"/>
      <c r="HTG19" s="501"/>
      <c r="HTH19" s="501"/>
      <c r="HTI19" s="501"/>
      <c r="HTJ19" s="501"/>
      <c r="HTK19" s="501"/>
      <c r="HTL19" s="501"/>
      <c r="HTM19" s="501"/>
      <c r="HTN19" s="501"/>
      <c r="HTO19" s="501"/>
      <c r="HTP19" s="501"/>
      <c r="HTQ19" s="501"/>
      <c r="HTR19" s="501"/>
      <c r="HTS19" s="501"/>
      <c r="HTT19" s="501"/>
      <c r="HTU19" s="501"/>
      <c r="HTV19" s="501"/>
      <c r="HTW19" s="501"/>
      <c r="HTX19" s="501"/>
      <c r="HTY19" s="501"/>
      <c r="HTZ19" s="501"/>
      <c r="HUA19" s="501"/>
      <c r="HUB19" s="501"/>
      <c r="HUC19" s="501"/>
      <c r="HUD19" s="501"/>
      <c r="HUE19" s="501"/>
      <c r="HUF19" s="501"/>
      <c r="HUG19" s="501"/>
      <c r="HUH19" s="501"/>
      <c r="HUI19" s="501"/>
      <c r="HUJ19" s="501"/>
      <c r="HUK19" s="501"/>
      <c r="HUL19" s="501"/>
      <c r="HUM19" s="501"/>
      <c r="HUN19" s="501"/>
      <c r="HUO19" s="501"/>
      <c r="HUP19" s="501"/>
      <c r="HUQ19" s="501"/>
      <c r="HUR19" s="501"/>
      <c r="HUS19" s="501"/>
      <c r="HUT19" s="501"/>
      <c r="HUU19" s="501"/>
      <c r="HUV19" s="501"/>
      <c r="HUW19" s="501"/>
      <c r="HUX19" s="501"/>
      <c r="HUY19" s="501"/>
      <c r="HUZ19" s="501"/>
      <c r="HVA19" s="501"/>
      <c r="HVB19" s="501"/>
      <c r="HVC19" s="501"/>
      <c r="HVD19" s="501"/>
      <c r="HVE19" s="501"/>
      <c r="HVF19" s="501"/>
      <c r="HVG19" s="501"/>
      <c r="HVH19" s="501"/>
      <c r="HVI19" s="501"/>
      <c r="HVJ19" s="501"/>
      <c r="HVK19" s="501"/>
      <c r="HVL19" s="501"/>
      <c r="HVM19" s="501"/>
      <c r="HVN19" s="501"/>
      <c r="HVO19" s="501"/>
      <c r="HVP19" s="501"/>
      <c r="HVQ19" s="501"/>
      <c r="HVR19" s="501"/>
      <c r="HVS19" s="501"/>
      <c r="HVT19" s="501"/>
      <c r="HVU19" s="501"/>
      <c r="HVV19" s="501"/>
      <c r="HVW19" s="501"/>
      <c r="HVX19" s="501"/>
      <c r="HVY19" s="501"/>
      <c r="HVZ19" s="501"/>
      <c r="HWA19" s="501"/>
      <c r="HWB19" s="501"/>
      <c r="HWC19" s="501"/>
      <c r="HWD19" s="501"/>
      <c r="HWE19" s="501"/>
      <c r="HWF19" s="501"/>
      <c r="HWG19" s="501"/>
      <c r="HWH19" s="501"/>
      <c r="HWI19" s="501"/>
      <c r="HWJ19" s="501"/>
      <c r="HWK19" s="501"/>
      <c r="HWL19" s="501"/>
      <c r="HWM19" s="501"/>
      <c r="HWN19" s="501"/>
      <c r="HWO19" s="501"/>
      <c r="HWP19" s="501"/>
      <c r="HWQ19" s="501"/>
      <c r="HWR19" s="501"/>
      <c r="HWS19" s="501"/>
      <c r="HWT19" s="501"/>
      <c r="HWU19" s="501"/>
      <c r="HWV19" s="501"/>
      <c r="HWW19" s="501"/>
      <c r="HWX19" s="501"/>
      <c r="HWY19" s="501"/>
      <c r="HWZ19" s="501"/>
      <c r="HXA19" s="501"/>
      <c r="HXB19" s="501"/>
      <c r="HXC19" s="501"/>
      <c r="HXD19" s="501"/>
      <c r="HXE19" s="501"/>
      <c r="HXF19" s="501"/>
      <c r="HXG19" s="501"/>
      <c r="HXH19" s="501"/>
      <c r="HXI19" s="501"/>
      <c r="HXJ19" s="501"/>
      <c r="HXK19" s="501"/>
      <c r="HXL19" s="501"/>
      <c r="HXM19" s="501"/>
      <c r="HXN19" s="501"/>
      <c r="HXO19" s="501"/>
      <c r="HXP19" s="501"/>
      <c r="HXQ19" s="501"/>
      <c r="HXR19" s="501"/>
      <c r="HXS19" s="501"/>
      <c r="HXT19" s="501"/>
      <c r="HXU19" s="501"/>
      <c r="HXV19" s="501"/>
      <c r="HXW19" s="501"/>
      <c r="HXX19" s="501"/>
      <c r="HXY19" s="501"/>
      <c r="HXZ19" s="501"/>
      <c r="HYA19" s="501"/>
      <c r="HYB19" s="501"/>
      <c r="HYC19" s="501"/>
      <c r="HYD19" s="501"/>
      <c r="HYE19" s="501"/>
      <c r="HYF19" s="501"/>
      <c r="HYG19" s="501"/>
      <c r="HYH19" s="501"/>
      <c r="HYI19" s="501"/>
      <c r="HYJ19" s="501"/>
      <c r="HYK19" s="501"/>
      <c r="HYL19" s="501"/>
      <c r="HYM19" s="501"/>
      <c r="HYN19" s="501"/>
      <c r="HYO19" s="501"/>
      <c r="HYP19" s="501"/>
      <c r="HYQ19" s="501"/>
      <c r="HYR19" s="501"/>
      <c r="HYS19" s="501"/>
      <c r="HYT19" s="501"/>
      <c r="HYU19" s="501"/>
      <c r="HYV19" s="501"/>
      <c r="HYW19" s="501"/>
      <c r="HYX19" s="501"/>
      <c r="HYY19" s="501"/>
      <c r="HYZ19" s="501"/>
      <c r="HZA19" s="501"/>
      <c r="HZB19" s="501"/>
      <c r="HZC19" s="501"/>
      <c r="HZD19" s="501"/>
      <c r="HZE19" s="501"/>
      <c r="HZF19" s="501"/>
      <c r="HZG19" s="501"/>
      <c r="HZH19" s="501"/>
      <c r="HZI19" s="501"/>
      <c r="HZJ19" s="501"/>
      <c r="HZK19" s="501"/>
      <c r="HZL19" s="501"/>
      <c r="HZM19" s="501"/>
      <c r="HZN19" s="501"/>
      <c r="HZO19" s="501"/>
      <c r="HZP19" s="501"/>
      <c r="HZQ19" s="501"/>
      <c r="HZR19" s="501"/>
      <c r="HZS19" s="501"/>
      <c r="HZT19" s="501"/>
      <c r="HZU19" s="501"/>
      <c r="HZV19" s="501"/>
      <c r="HZW19" s="501"/>
      <c r="HZX19" s="501"/>
      <c r="HZY19" s="501"/>
      <c r="HZZ19" s="501"/>
      <c r="IAA19" s="501"/>
      <c r="IAB19" s="501"/>
      <c r="IAC19" s="501"/>
      <c r="IAD19" s="501"/>
      <c r="IAE19" s="501"/>
      <c r="IAF19" s="501"/>
      <c r="IAG19" s="501"/>
      <c r="IAH19" s="501"/>
      <c r="IAI19" s="501"/>
      <c r="IAJ19" s="501"/>
      <c r="IAK19" s="501"/>
      <c r="IAL19" s="501"/>
      <c r="IAM19" s="501"/>
      <c r="IAN19" s="501"/>
      <c r="IAO19" s="501"/>
      <c r="IAP19" s="501"/>
      <c r="IAQ19" s="501"/>
      <c r="IAR19" s="501"/>
      <c r="IAS19" s="501"/>
      <c r="IAT19" s="501"/>
      <c r="IAU19" s="501"/>
      <c r="IAV19" s="501"/>
      <c r="IAW19" s="501"/>
      <c r="IAX19" s="501"/>
      <c r="IAY19" s="501"/>
      <c r="IAZ19" s="501"/>
      <c r="IBA19" s="501"/>
      <c r="IBB19" s="501"/>
      <c r="IBC19" s="501"/>
      <c r="IBD19" s="501"/>
      <c r="IBE19" s="501"/>
      <c r="IBF19" s="501"/>
      <c r="IBG19" s="501"/>
      <c r="IBH19" s="501"/>
      <c r="IBI19" s="501"/>
      <c r="IBJ19" s="501"/>
      <c r="IBK19" s="501"/>
      <c r="IBL19" s="501"/>
      <c r="IBM19" s="501"/>
      <c r="IBN19" s="501"/>
      <c r="IBO19" s="501"/>
      <c r="IBP19" s="501"/>
      <c r="IBQ19" s="501"/>
      <c r="IBR19" s="501"/>
      <c r="IBS19" s="501"/>
      <c r="IBT19" s="501"/>
      <c r="IBU19" s="501"/>
      <c r="IBV19" s="501"/>
      <c r="IBW19" s="501"/>
      <c r="IBX19" s="501"/>
      <c r="IBY19" s="501"/>
      <c r="IBZ19" s="501"/>
      <c r="ICA19" s="501"/>
      <c r="ICB19" s="501"/>
      <c r="ICC19" s="501"/>
      <c r="ICD19" s="501"/>
      <c r="ICE19" s="501"/>
      <c r="ICF19" s="501"/>
      <c r="ICG19" s="501"/>
      <c r="ICH19" s="501"/>
      <c r="ICI19" s="501"/>
      <c r="ICJ19" s="501"/>
      <c r="ICK19" s="501"/>
      <c r="ICL19" s="501"/>
      <c r="ICM19" s="501"/>
      <c r="ICN19" s="501"/>
      <c r="ICO19" s="501"/>
      <c r="ICP19" s="501"/>
      <c r="ICQ19" s="501"/>
      <c r="ICR19" s="501"/>
      <c r="ICS19" s="501"/>
      <c r="ICT19" s="501"/>
      <c r="ICU19" s="501"/>
      <c r="ICV19" s="501"/>
      <c r="ICW19" s="501"/>
      <c r="ICX19" s="501"/>
      <c r="ICY19" s="501"/>
      <c r="ICZ19" s="501"/>
      <c r="IDA19" s="501"/>
      <c r="IDB19" s="501"/>
      <c r="IDC19" s="501"/>
      <c r="IDD19" s="501"/>
      <c r="IDE19" s="501"/>
      <c r="IDF19" s="501"/>
      <c r="IDG19" s="501"/>
      <c r="IDH19" s="501"/>
      <c r="IDI19" s="501"/>
      <c r="IDJ19" s="501"/>
      <c r="IDK19" s="501"/>
      <c r="IDL19" s="501"/>
      <c r="IDM19" s="501"/>
      <c r="IDN19" s="501"/>
      <c r="IDO19" s="501"/>
      <c r="IDP19" s="501"/>
      <c r="IDQ19" s="501"/>
      <c r="IDR19" s="501"/>
      <c r="IDS19" s="501"/>
      <c r="IDT19" s="501"/>
      <c r="IDU19" s="501"/>
      <c r="IDV19" s="501"/>
      <c r="IDW19" s="501"/>
      <c r="IDX19" s="501"/>
      <c r="IDY19" s="501"/>
      <c r="IDZ19" s="501"/>
      <c r="IEA19" s="501"/>
      <c r="IEB19" s="501"/>
      <c r="IEC19" s="501"/>
      <c r="IED19" s="501"/>
      <c r="IEE19" s="501"/>
      <c r="IEF19" s="501"/>
      <c r="IEG19" s="501"/>
      <c r="IEH19" s="501"/>
      <c r="IEI19" s="501"/>
      <c r="IEJ19" s="501"/>
      <c r="IEK19" s="501"/>
      <c r="IEL19" s="501"/>
      <c r="IEM19" s="501"/>
      <c r="IEN19" s="501"/>
      <c r="IEO19" s="501"/>
      <c r="IEP19" s="501"/>
      <c r="IEQ19" s="501"/>
      <c r="IER19" s="501"/>
      <c r="IES19" s="501"/>
      <c r="IET19" s="501"/>
      <c r="IEU19" s="501"/>
      <c r="IEV19" s="501"/>
      <c r="IEW19" s="501"/>
      <c r="IEX19" s="501"/>
      <c r="IEY19" s="501"/>
      <c r="IEZ19" s="501"/>
      <c r="IFA19" s="501"/>
      <c r="IFB19" s="501"/>
      <c r="IFC19" s="501"/>
      <c r="IFD19" s="501"/>
      <c r="IFE19" s="501"/>
      <c r="IFF19" s="501"/>
      <c r="IFG19" s="501"/>
      <c r="IFH19" s="501"/>
      <c r="IFI19" s="501"/>
      <c r="IFJ19" s="501"/>
      <c r="IFK19" s="501"/>
      <c r="IFL19" s="501"/>
      <c r="IFM19" s="501"/>
      <c r="IFN19" s="501"/>
      <c r="IFO19" s="501"/>
      <c r="IFP19" s="501"/>
      <c r="IFQ19" s="501"/>
      <c r="IFR19" s="501"/>
      <c r="IFS19" s="501"/>
      <c r="IFT19" s="501"/>
      <c r="IFU19" s="501"/>
      <c r="IFV19" s="501"/>
      <c r="IFW19" s="501"/>
      <c r="IFX19" s="501"/>
      <c r="IFY19" s="501"/>
      <c r="IFZ19" s="501"/>
      <c r="IGA19" s="501"/>
      <c r="IGB19" s="501"/>
      <c r="IGC19" s="501"/>
      <c r="IGD19" s="501"/>
      <c r="IGE19" s="501"/>
      <c r="IGF19" s="501"/>
      <c r="IGG19" s="501"/>
      <c r="IGH19" s="501"/>
      <c r="IGI19" s="501"/>
      <c r="IGJ19" s="501"/>
      <c r="IGK19" s="501"/>
      <c r="IGL19" s="501"/>
      <c r="IGM19" s="501"/>
      <c r="IGN19" s="501"/>
      <c r="IGO19" s="501"/>
      <c r="IGP19" s="501"/>
      <c r="IGQ19" s="501"/>
      <c r="IGR19" s="501"/>
      <c r="IGS19" s="501"/>
      <c r="IGT19" s="501"/>
      <c r="IGU19" s="501"/>
      <c r="IGV19" s="501"/>
      <c r="IGW19" s="501"/>
      <c r="IGX19" s="501"/>
      <c r="IGY19" s="501"/>
      <c r="IGZ19" s="501"/>
      <c r="IHA19" s="501"/>
      <c r="IHB19" s="501"/>
      <c r="IHC19" s="501"/>
      <c r="IHD19" s="501"/>
      <c r="IHE19" s="501"/>
      <c r="IHF19" s="501"/>
      <c r="IHG19" s="501"/>
      <c r="IHH19" s="501"/>
      <c r="IHI19" s="501"/>
      <c r="IHJ19" s="501"/>
      <c r="IHK19" s="501"/>
      <c r="IHL19" s="501"/>
      <c r="IHM19" s="501"/>
      <c r="IHN19" s="501"/>
      <c r="IHO19" s="501"/>
      <c r="IHP19" s="501"/>
      <c r="IHQ19" s="501"/>
      <c r="IHR19" s="501"/>
      <c r="IHS19" s="501"/>
      <c r="IHT19" s="501"/>
      <c r="IHU19" s="501"/>
      <c r="IHV19" s="501"/>
      <c r="IHW19" s="501"/>
      <c r="IHX19" s="501"/>
      <c r="IHY19" s="501"/>
      <c r="IHZ19" s="501"/>
      <c r="IIA19" s="501"/>
      <c r="IIB19" s="501"/>
      <c r="IIC19" s="501"/>
      <c r="IID19" s="501"/>
      <c r="IIE19" s="501"/>
      <c r="IIF19" s="501"/>
      <c r="IIG19" s="501"/>
      <c r="IIH19" s="501"/>
      <c r="III19" s="501"/>
      <c r="IIJ19" s="501"/>
      <c r="IIK19" s="501"/>
      <c r="IIL19" s="501"/>
      <c r="IIM19" s="501"/>
      <c r="IIN19" s="501"/>
      <c r="IIO19" s="501"/>
      <c r="IIP19" s="501"/>
      <c r="IIQ19" s="501"/>
      <c r="IIR19" s="501"/>
      <c r="IIS19" s="501"/>
      <c r="IIT19" s="501"/>
      <c r="IIU19" s="501"/>
      <c r="IIV19" s="501"/>
      <c r="IIW19" s="501"/>
      <c r="IIX19" s="501"/>
      <c r="IIY19" s="501"/>
      <c r="IIZ19" s="501"/>
      <c r="IJA19" s="501"/>
      <c r="IJB19" s="501"/>
      <c r="IJC19" s="501"/>
      <c r="IJD19" s="501"/>
      <c r="IJE19" s="501"/>
      <c r="IJF19" s="501"/>
      <c r="IJG19" s="501"/>
      <c r="IJH19" s="501"/>
      <c r="IJI19" s="501"/>
      <c r="IJJ19" s="501"/>
      <c r="IJK19" s="501"/>
      <c r="IJL19" s="501"/>
      <c r="IJM19" s="501"/>
      <c r="IJN19" s="501"/>
      <c r="IJO19" s="501"/>
      <c r="IJP19" s="501"/>
      <c r="IJQ19" s="501"/>
      <c r="IJR19" s="501"/>
      <c r="IJS19" s="501"/>
      <c r="IJT19" s="501"/>
      <c r="IJU19" s="501"/>
      <c r="IJV19" s="501"/>
      <c r="IJW19" s="501"/>
      <c r="IJX19" s="501"/>
      <c r="IJY19" s="501"/>
      <c r="IJZ19" s="501"/>
      <c r="IKA19" s="501"/>
      <c r="IKB19" s="501"/>
      <c r="IKC19" s="501"/>
      <c r="IKD19" s="501"/>
      <c r="IKE19" s="501"/>
      <c r="IKF19" s="501"/>
      <c r="IKG19" s="501"/>
      <c r="IKH19" s="501"/>
      <c r="IKI19" s="501"/>
      <c r="IKJ19" s="501"/>
      <c r="IKK19" s="501"/>
      <c r="IKL19" s="501"/>
      <c r="IKM19" s="501"/>
      <c r="IKN19" s="501"/>
      <c r="IKO19" s="501"/>
      <c r="IKP19" s="501"/>
      <c r="IKQ19" s="501"/>
      <c r="IKR19" s="501"/>
      <c r="IKS19" s="501"/>
      <c r="IKT19" s="501"/>
      <c r="IKU19" s="501"/>
      <c r="IKV19" s="501"/>
      <c r="IKW19" s="501"/>
      <c r="IKX19" s="501"/>
      <c r="IKY19" s="501"/>
      <c r="IKZ19" s="501"/>
      <c r="ILA19" s="501"/>
      <c r="ILB19" s="501"/>
      <c r="ILC19" s="501"/>
      <c r="ILD19" s="501"/>
      <c r="ILE19" s="501"/>
      <c r="ILF19" s="501"/>
      <c r="ILG19" s="501"/>
      <c r="ILH19" s="501"/>
      <c r="ILI19" s="501"/>
      <c r="ILJ19" s="501"/>
      <c r="ILK19" s="501"/>
      <c r="ILL19" s="501"/>
      <c r="ILM19" s="501"/>
      <c r="ILN19" s="501"/>
      <c r="ILO19" s="501"/>
      <c r="ILP19" s="501"/>
      <c r="ILQ19" s="501"/>
      <c r="ILR19" s="501"/>
      <c r="ILS19" s="501"/>
      <c r="ILT19" s="501"/>
      <c r="ILU19" s="501"/>
      <c r="ILV19" s="501"/>
      <c r="ILW19" s="501"/>
      <c r="ILX19" s="501"/>
      <c r="ILY19" s="501"/>
      <c r="ILZ19" s="501"/>
      <c r="IMA19" s="501"/>
      <c r="IMB19" s="501"/>
      <c r="IMC19" s="501"/>
      <c r="IMD19" s="501"/>
      <c r="IME19" s="501"/>
      <c r="IMF19" s="501"/>
      <c r="IMG19" s="501"/>
      <c r="IMH19" s="501"/>
      <c r="IMI19" s="501"/>
      <c r="IMJ19" s="501"/>
      <c r="IMK19" s="501"/>
      <c r="IML19" s="501"/>
      <c r="IMM19" s="501"/>
      <c r="IMN19" s="501"/>
      <c r="IMO19" s="501"/>
      <c r="IMP19" s="501"/>
      <c r="IMQ19" s="501"/>
      <c r="IMR19" s="501"/>
      <c r="IMS19" s="501"/>
      <c r="IMT19" s="501"/>
      <c r="IMU19" s="501"/>
      <c r="IMV19" s="501"/>
      <c r="IMW19" s="501"/>
      <c r="IMX19" s="501"/>
      <c r="IMY19" s="501"/>
      <c r="IMZ19" s="501"/>
      <c r="INA19" s="501"/>
      <c r="INB19" s="501"/>
      <c r="INC19" s="501"/>
      <c r="IND19" s="501"/>
      <c r="INE19" s="501"/>
      <c r="INF19" s="501"/>
      <c r="ING19" s="501"/>
      <c r="INH19" s="501"/>
      <c r="INI19" s="501"/>
      <c r="INJ19" s="501"/>
      <c r="INK19" s="501"/>
      <c r="INL19" s="501"/>
      <c r="INM19" s="501"/>
      <c r="INN19" s="501"/>
      <c r="INO19" s="501"/>
      <c r="INP19" s="501"/>
      <c r="INQ19" s="501"/>
      <c r="INR19" s="501"/>
      <c r="INS19" s="501"/>
      <c r="INT19" s="501"/>
      <c r="INU19" s="501"/>
      <c r="INV19" s="501"/>
      <c r="INW19" s="501"/>
      <c r="INX19" s="501"/>
      <c r="INY19" s="501"/>
      <c r="INZ19" s="501"/>
      <c r="IOA19" s="501"/>
      <c r="IOB19" s="501"/>
      <c r="IOC19" s="501"/>
      <c r="IOD19" s="501"/>
      <c r="IOE19" s="501"/>
      <c r="IOF19" s="501"/>
      <c r="IOG19" s="501"/>
      <c r="IOH19" s="501"/>
      <c r="IOI19" s="501"/>
      <c r="IOJ19" s="501"/>
      <c r="IOK19" s="501"/>
      <c r="IOL19" s="501"/>
      <c r="IOM19" s="501"/>
      <c r="ION19" s="501"/>
      <c r="IOO19" s="501"/>
      <c r="IOP19" s="501"/>
      <c r="IOQ19" s="501"/>
      <c r="IOR19" s="501"/>
      <c r="IOS19" s="501"/>
      <c r="IOT19" s="501"/>
      <c r="IOU19" s="501"/>
      <c r="IOV19" s="501"/>
      <c r="IOW19" s="501"/>
      <c r="IOX19" s="501"/>
      <c r="IOY19" s="501"/>
      <c r="IOZ19" s="501"/>
      <c r="IPA19" s="501"/>
      <c r="IPB19" s="501"/>
      <c r="IPC19" s="501"/>
      <c r="IPD19" s="501"/>
      <c r="IPE19" s="501"/>
      <c r="IPF19" s="501"/>
      <c r="IPG19" s="501"/>
      <c r="IPH19" s="501"/>
      <c r="IPI19" s="501"/>
      <c r="IPJ19" s="501"/>
      <c r="IPK19" s="501"/>
      <c r="IPL19" s="501"/>
      <c r="IPM19" s="501"/>
      <c r="IPN19" s="501"/>
      <c r="IPO19" s="501"/>
      <c r="IPP19" s="501"/>
      <c r="IPQ19" s="501"/>
      <c r="IPR19" s="501"/>
      <c r="IPS19" s="501"/>
      <c r="IPT19" s="501"/>
      <c r="IPU19" s="501"/>
      <c r="IPV19" s="501"/>
      <c r="IPW19" s="501"/>
      <c r="IPX19" s="501"/>
      <c r="IPY19" s="501"/>
      <c r="IPZ19" s="501"/>
      <c r="IQA19" s="501"/>
      <c r="IQB19" s="501"/>
      <c r="IQC19" s="501"/>
      <c r="IQD19" s="501"/>
      <c r="IQE19" s="501"/>
      <c r="IQF19" s="501"/>
      <c r="IQG19" s="501"/>
      <c r="IQH19" s="501"/>
      <c r="IQI19" s="501"/>
      <c r="IQJ19" s="501"/>
      <c r="IQK19" s="501"/>
      <c r="IQL19" s="501"/>
      <c r="IQM19" s="501"/>
      <c r="IQN19" s="501"/>
      <c r="IQO19" s="501"/>
      <c r="IQP19" s="501"/>
      <c r="IQQ19" s="501"/>
      <c r="IQR19" s="501"/>
      <c r="IQS19" s="501"/>
      <c r="IQT19" s="501"/>
      <c r="IQU19" s="501"/>
      <c r="IQV19" s="501"/>
      <c r="IQW19" s="501"/>
      <c r="IQX19" s="501"/>
      <c r="IQY19" s="501"/>
      <c r="IQZ19" s="501"/>
      <c r="IRA19" s="501"/>
      <c r="IRB19" s="501"/>
      <c r="IRC19" s="501"/>
      <c r="IRD19" s="501"/>
      <c r="IRE19" s="501"/>
      <c r="IRF19" s="501"/>
      <c r="IRG19" s="501"/>
      <c r="IRH19" s="501"/>
      <c r="IRI19" s="501"/>
      <c r="IRJ19" s="501"/>
      <c r="IRK19" s="501"/>
      <c r="IRL19" s="501"/>
      <c r="IRM19" s="501"/>
      <c r="IRN19" s="501"/>
      <c r="IRO19" s="501"/>
      <c r="IRP19" s="501"/>
      <c r="IRQ19" s="501"/>
      <c r="IRR19" s="501"/>
      <c r="IRS19" s="501"/>
      <c r="IRT19" s="501"/>
      <c r="IRU19" s="501"/>
      <c r="IRV19" s="501"/>
      <c r="IRW19" s="501"/>
      <c r="IRX19" s="501"/>
      <c r="IRY19" s="501"/>
      <c r="IRZ19" s="501"/>
      <c r="ISA19" s="501"/>
      <c r="ISB19" s="501"/>
      <c r="ISC19" s="501"/>
      <c r="ISD19" s="501"/>
      <c r="ISE19" s="501"/>
      <c r="ISF19" s="501"/>
      <c r="ISG19" s="501"/>
      <c r="ISH19" s="501"/>
      <c r="ISI19" s="501"/>
      <c r="ISJ19" s="501"/>
      <c r="ISK19" s="501"/>
      <c r="ISL19" s="501"/>
      <c r="ISM19" s="501"/>
      <c r="ISN19" s="501"/>
      <c r="ISO19" s="501"/>
      <c r="ISP19" s="501"/>
      <c r="ISQ19" s="501"/>
      <c r="ISR19" s="501"/>
      <c r="ISS19" s="501"/>
      <c r="IST19" s="501"/>
      <c r="ISU19" s="501"/>
      <c r="ISV19" s="501"/>
      <c r="ISW19" s="501"/>
      <c r="ISX19" s="501"/>
      <c r="ISY19" s="501"/>
      <c r="ISZ19" s="501"/>
      <c r="ITA19" s="501"/>
      <c r="ITB19" s="501"/>
      <c r="ITC19" s="501"/>
      <c r="ITD19" s="501"/>
      <c r="ITE19" s="501"/>
      <c r="ITF19" s="501"/>
      <c r="ITG19" s="501"/>
      <c r="ITH19" s="501"/>
      <c r="ITI19" s="501"/>
      <c r="ITJ19" s="501"/>
      <c r="ITK19" s="501"/>
      <c r="ITL19" s="501"/>
      <c r="ITM19" s="501"/>
      <c r="ITN19" s="501"/>
      <c r="ITO19" s="501"/>
      <c r="ITP19" s="501"/>
      <c r="ITQ19" s="501"/>
      <c r="ITR19" s="501"/>
      <c r="ITS19" s="501"/>
      <c r="ITT19" s="501"/>
      <c r="ITU19" s="501"/>
      <c r="ITV19" s="501"/>
      <c r="ITW19" s="501"/>
      <c r="ITX19" s="501"/>
      <c r="ITY19" s="501"/>
      <c r="ITZ19" s="501"/>
      <c r="IUA19" s="501"/>
      <c r="IUB19" s="501"/>
      <c r="IUC19" s="501"/>
      <c r="IUD19" s="501"/>
      <c r="IUE19" s="501"/>
      <c r="IUF19" s="501"/>
      <c r="IUG19" s="501"/>
      <c r="IUH19" s="501"/>
      <c r="IUI19" s="501"/>
      <c r="IUJ19" s="501"/>
      <c r="IUK19" s="501"/>
      <c r="IUL19" s="501"/>
      <c r="IUM19" s="501"/>
      <c r="IUN19" s="501"/>
      <c r="IUO19" s="501"/>
      <c r="IUP19" s="501"/>
      <c r="IUQ19" s="501"/>
      <c r="IUR19" s="501"/>
      <c r="IUS19" s="501"/>
      <c r="IUT19" s="501"/>
      <c r="IUU19" s="501"/>
      <c r="IUV19" s="501"/>
      <c r="IUW19" s="501"/>
      <c r="IUX19" s="501"/>
      <c r="IUY19" s="501"/>
      <c r="IUZ19" s="501"/>
      <c r="IVA19" s="501"/>
      <c r="IVB19" s="501"/>
      <c r="IVC19" s="501"/>
      <c r="IVD19" s="501"/>
      <c r="IVE19" s="501"/>
      <c r="IVF19" s="501"/>
      <c r="IVG19" s="501"/>
      <c r="IVH19" s="501"/>
      <c r="IVI19" s="501"/>
      <c r="IVJ19" s="501"/>
      <c r="IVK19" s="501"/>
      <c r="IVL19" s="501"/>
      <c r="IVM19" s="501"/>
      <c r="IVN19" s="501"/>
      <c r="IVO19" s="501"/>
      <c r="IVP19" s="501"/>
      <c r="IVQ19" s="501"/>
      <c r="IVR19" s="501"/>
      <c r="IVS19" s="501"/>
      <c r="IVT19" s="501"/>
      <c r="IVU19" s="501"/>
      <c r="IVV19" s="501"/>
      <c r="IVW19" s="501"/>
      <c r="IVX19" s="501"/>
      <c r="IVY19" s="501"/>
      <c r="IVZ19" s="501"/>
      <c r="IWA19" s="501"/>
      <c r="IWB19" s="501"/>
      <c r="IWC19" s="501"/>
      <c r="IWD19" s="501"/>
      <c r="IWE19" s="501"/>
      <c r="IWF19" s="501"/>
      <c r="IWG19" s="501"/>
      <c r="IWH19" s="501"/>
      <c r="IWI19" s="501"/>
      <c r="IWJ19" s="501"/>
      <c r="IWK19" s="501"/>
      <c r="IWL19" s="501"/>
      <c r="IWM19" s="501"/>
      <c r="IWN19" s="501"/>
      <c r="IWO19" s="501"/>
      <c r="IWP19" s="501"/>
      <c r="IWQ19" s="501"/>
      <c r="IWR19" s="501"/>
      <c r="IWS19" s="501"/>
      <c r="IWT19" s="501"/>
      <c r="IWU19" s="501"/>
      <c r="IWV19" s="501"/>
      <c r="IWW19" s="501"/>
      <c r="IWX19" s="501"/>
      <c r="IWY19" s="501"/>
      <c r="IWZ19" s="501"/>
      <c r="IXA19" s="501"/>
      <c r="IXB19" s="501"/>
      <c r="IXC19" s="501"/>
      <c r="IXD19" s="501"/>
      <c r="IXE19" s="501"/>
      <c r="IXF19" s="501"/>
      <c r="IXG19" s="501"/>
      <c r="IXH19" s="501"/>
      <c r="IXI19" s="501"/>
      <c r="IXJ19" s="501"/>
      <c r="IXK19" s="501"/>
      <c r="IXL19" s="501"/>
      <c r="IXM19" s="501"/>
      <c r="IXN19" s="501"/>
      <c r="IXO19" s="501"/>
      <c r="IXP19" s="501"/>
      <c r="IXQ19" s="501"/>
      <c r="IXR19" s="501"/>
      <c r="IXS19" s="501"/>
      <c r="IXT19" s="501"/>
      <c r="IXU19" s="501"/>
      <c r="IXV19" s="501"/>
      <c r="IXW19" s="501"/>
      <c r="IXX19" s="501"/>
      <c r="IXY19" s="501"/>
      <c r="IXZ19" s="501"/>
      <c r="IYA19" s="501"/>
      <c r="IYB19" s="501"/>
      <c r="IYC19" s="501"/>
      <c r="IYD19" s="501"/>
      <c r="IYE19" s="501"/>
      <c r="IYF19" s="501"/>
      <c r="IYG19" s="501"/>
      <c r="IYH19" s="501"/>
      <c r="IYI19" s="501"/>
      <c r="IYJ19" s="501"/>
      <c r="IYK19" s="501"/>
      <c r="IYL19" s="501"/>
      <c r="IYM19" s="501"/>
      <c r="IYN19" s="501"/>
      <c r="IYO19" s="501"/>
      <c r="IYP19" s="501"/>
      <c r="IYQ19" s="501"/>
      <c r="IYR19" s="501"/>
      <c r="IYS19" s="501"/>
      <c r="IYT19" s="501"/>
      <c r="IYU19" s="501"/>
      <c r="IYV19" s="501"/>
      <c r="IYW19" s="501"/>
      <c r="IYX19" s="501"/>
      <c r="IYY19" s="501"/>
      <c r="IYZ19" s="501"/>
      <c r="IZA19" s="501"/>
      <c r="IZB19" s="501"/>
      <c r="IZC19" s="501"/>
      <c r="IZD19" s="501"/>
      <c r="IZE19" s="501"/>
      <c r="IZF19" s="501"/>
      <c r="IZG19" s="501"/>
      <c r="IZH19" s="501"/>
      <c r="IZI19" s="501"/>
      <c r="IZJ19" s="501"/>
      <c r="IZK19" s="501"/>
      <c r="IZL19" s="501"/>
      <c r="IZM19" s="501"/>
      <c r="IZN19" s="501"/>
      <c r="IZO19" s="501"/>
      <c r="IZP19" s="501"/>
      <c r="IZQ19" s="501"/>
      <c r="IZR19" s="501"/>
      <c r="IZS19" s="501"/>
      <c r="IZT19" s="501"/>
      <c r="IZU19" s="501"/>
      <c r="IZV19" s="501"/>
      <c r="IZW19" s="501"/>
      <c r="IZX19" s="501"/>
      <c r="IZY19" s="501"/>
      <c r="IZZ19" s="501"/>
      <c r="JAA19" s="501"/>
      <c r="JAB19" s="501"/>
      <c r="JAC19" s="501"/>
      <c r="JAD19" s="501"/>
      <c r="JAE19" s="501"/>
      <c r="JAF19" s="501"/>
      <c r="JAG19" s="501"/>
      <c r="JAH19" s="501"/>
      <c r="JAI19" s="501"/>
      <c r="JAJ19" s="501"/>
      <c r="JAK19" s="501"/>
      <c r="JAL19" s="501"/>
      <c r="JAM19" s="501"/>
      <c r="JAN19" s="501"/>
      <c r="JAO19" s="501"/>
      <c r="JAP19" s="501"/>
      <c r="JAQ19" s="501"/>
      <c r="JAR19" s="501"/>
      <c r="JAS19" s="501"/>
      <c r="JAT19" s="501"/>
      <c r="JAU19" s="501"/>
      <c r="JAV19" s="501"/>
      <c r="JAW19" s="501"/>
      <c r="JAX19" s="501"/>
      <c r="JAY19" s="501"/>
      <c r="JAZ19" s="501"/>
      <c r="JBA19" s="501"/>
      <c r="JBB19" s="501"/>
      <c r="JBC19" s="501"/>
      <c r="JBD19" s="501"/>
      <c r="JBE19" s="501"/>
      <c r="JBF19" s="501"/>
      <c r="JBG19" s="501"/>
      <c r="JBH19" s="501"/>
      <c r="JBI19" s="501"/>
      <c r="JBJ19" s="501"/>
      <c r="JBK19" s="501"/>
      <c r="JBL19" s="501"/>
      <c r="JBM19" s="501"/>
      <c r="JBN19" s="501"/>
      <c r="JBO19" s="501"/>
      <c r="JBP19" s="501"/>
      <c r="JBQ19" s="501"/>
      <c r="JBR19" s="501"/>
      <c r="JBS19" s="501"/>
      <c r="JBT19" s="501"/>
      <c r="JBU19" s="501"/>
      <c r="JBV19" s="501"/>
      <c r="JBW19" s="501"/>
      <c r="JBX19" s="501"/>
      <c r="JBY19" s="501"/>
      <c r="JBZ19" s="501"/>
      <c r="JCA19" s="501"/>
      <c r="JCB19" s="501"/>
      <c r="JCC19" s="501"/>
      <c r="JCD19" s="501"/>
      <c r="JCE19" s="501"/>
      <c r="JCF19" s="501"/>
      <c r="JCG19" s="501"/>
      <c r="JCH19" s="501"/>
      <c r="JCI19" s="501"/>
      <c r="JCJ19" s="501"/>
      <c r="JCK19" s="501"/>
      <c r="JCL19" s="501"/>
      <c r="JCM19" s="501"/>
      <c r="JCN19" s="501"/>
      <c r="JCO19" s="501"/>
      <c r="JCP19" s="501"/>
      <c r="JCQ19" s="501"/>
      <c r="JCR19" s="501"/>
      <c r="JCS19" s="501"/>
      <c r="JCT19" s="501"/>
      <c r="JCU19" s="501"/>
      <c r="JCV19" s="501"/>
      <c r="JCW19" s="501"/>
      <c r="JCX19" s="501"/>
      <c r="JCY19" s="501"/>
      <c r="JCZ19" s="501"/>
      <c r="JDA19" s="501"/>
      <c r="JDB19" s="501"/>
      <c r="JDC19" s="501"/>
      <c r="JDD19" s="501"/>
      <c r="JDE19" s="501"/>
      <c r="JDF19" s="501"/>
      <c r="JDG19" s="501"/>
      <c r="JDH19" s="501"/>
      <c r="JDI19" s="501"/>
      <c r="JDJ19" s="501"/>
      <c r="JDK19" s="501"/>
      <c r="JDL19" s="501"/>
      <c r="JDM19" s="501"/>
      <c r="JDN19" s="501"/>
      <c r="JDO19" s="501"/>
      <c r="JDP19" s="501"/>
      <c r="JDQ19" s="501"/>
      <c r="JDR19" s="501"/>
      <c r="JDS19" s="501"/>
      <c r="JDT19" s="501"/>
      <c r="JDU19" s="501"/>
      <c r="JDV19" s="501"/>
      <c r="JDW19" s="501"/>
      <c r="JDX19" s="501"/>
      <c r="JDY19" s="501"/>
      <c r="JDZ19" s="501"/>
      <c r="JEA19" s="501"/>
      <c r="JEB19" s="501"/>
      <c r="JEC19" s="501"/>
      <c r="JED19" s="501"/>
      <c r="JEE19" s="501"/>
      <c r="JEF19" s="501"/>
      <c r="JEG19" s="501"/>
      <c r="JEH19" s="501"/>
      <c r="JEI19" s="501"/>
      <c r="JEJ19" s="501"/>
      <c r="JEK19" s="501"/>
      <c r="JEL19" s="501"/>
      <c r="JEM19" s="501"/>
      <c r="JEN19" s="501"/>
      <c r="JEO19" s="501"/>
      <c r="JEP19" s="501"/>
      <c r="JEQ19" s="501"/>
      <c r="JER19" s="501"/>
      <c r="JES19" s="501"/>
      <c r="JET19" s="501"/>
      <c r="JEU19" s="501"/>
      <c r="JEV19" s="501"/>
      <c r="JEW19" s="501"/>
      <c r="JEX19" s="501"/>
      <c r="JEY19" s="501"/>
      <c r="JEZ19" s="501"/>
      <c r="JFA19" s="501"/>
      <c r="JFB19" s="501"/>
      <c r="JFC19" s="501"/>
      <c r="JFD19" s="501"/>
      <c r="JFE19" s="501"/>
      <c r="JFF19" s="501"/>
      <c r="JFG19" s="501"/>
      <c r="JFH19" s="501"/>
      <c r="JFI19" s="501"/>
      <c r="JFJ19" s="501"/>
      <c r="JFK19" s="501"/>
      <c r="JFL19" s="501"/>
      <c r="JFM19" s="501"/>
      <c r="JFN19" s="501"/>
      <c r="JFO19" s="501"/>
      <c r="JFP19" s="501"/>
      <c r="JFQ19" s="501"/>
      <c r="JFR19" s="501"/>
      <c r="JFS19" s="501"/>
      <c r="JFT19" s="501"/>
      <c r="JFU19" s="501"/>
      <c r="JFV19" s="501"/>
      <c r="JFW19" s="501"/>
      <c r="JFX19" s="501"/>
      <c r="JFY19" s="501"/>
      <c r="JFZ19" s="501"/>
      <c r="JGA19" s="501"/>
      <c r="JGB19" s="501"/>
      <c r="JGC19" s="501"/>
      <c r="JGD19" s="501"/>
      <c r="JGE19" s="501"/>
      <c r="JGF19" s="501"/>
      <c r="JGG19" s="501"/>
      <c r="JGH19" s="501"/>
      <c r="JGI19" s="501"/>
      <c r="JGJ19" s="501"/>
      <c r="JGK19" s="501"/>
      <c r="JGL19" s="501"/>
      <c r="JGM19" s="501"/>
      <c r="JGN19" s="501"/>
      <c r="JGO19" s="501"/>
      <c r="JGP19" s="501"/>
      <c r="JGQ19" s="501"/>
      <c r="JGR19" s="501"/>
      <c r="JGS19" s="501"/>
      <c r="JGT19" s="501"/>
      <c r="JGU19" s="501"/>
      <c r="JGV19" s="501"/>
      <c r="JGW19" s="501"/>
      <c r="JGX19" s="501"/>
      <c r="JGY19" s="501"/>
      <c r="JGZ19" s="501"/>
      <c r="JHA19" s="501"/>
      <c r="JHB19" s="501"/>
      <c r="JHC19" s="501"/>
      <c r="JHD19" s="501"/>
      <c r="JHE19" s="501"/>
      <c r="JHF19" s="501"/>
      <c r="JHG19" s="501"/>
      <c r="JHH19" s="501"/>
      <c r="JHI19" s="501"/>
      <c r="JHJ19" s="501"/>
      <c r="JHK19" s="501"/>
      <c r="JHL19" s="501"/>
      <c r="JHM19" s="501"/>
      <c r="JHN19" s="501"/>
      <c r="JHO19" s="501"/>
      <c r="JHP19" s="501"/>
      <c r="JHQ19" s="501"/>
      <c r="JHR19" s="501"/>
      <c r="JHS19" s="501"/>
      <c r="JHT19" s="501"/>
      <c r="JHU19" s="501"/>
      <c r="JHV19" s="501"/>
      <c r="JHW19" s="501"/>
      <c r="JHX19" s="501"/>
      <c r="JHY19" s="501"/>
      <c r="JHZ19" s="501"/>
      <c r="JIA19" s="501"/>
      <c r="JIB19" s="501"/>
      <c r="JIC19" s="501"/>
      <c r="JID19" s="501"/>
      <c r="JIE19" s="501"/>
      <c r="JIF19" s="501"/>
      <c r="JIG19" s="501"/>
      <c r="JIH19" s="501"/>
      <c r="JII19" s="501"/>
      <c r="JIJ19" s="501"/>
      <c r="JIK19" s="501"/>
      <c r="JIL19" s="501"/>
      <c r="JIM19" s="501"/>
      <c r="JIN19" s="501"/>
      <c r="JIO19" s="501"/>
      <c r="JIP19" s="501"/>
      <c r="JIQ19" s="501"/>
      <c r="JIR19" s="501"/>
      <c r="JIS19" s="501"/>
      <c r="JIT19" s="501"/>
      <c r="JIU19" s="501"/>
      <c r="JIV19" s="501"/>
      <c r="JIW19" s="501"/>
      <c r="JIX19" s="501"/>
      <c r="JIY19" s="501"/>
      <c r="JIZ19" s="501"/>
      <c r="JJA19" s="501"/>
      <c r="JJB19" s="501"/>
      <c r="JJC19" s="501"/>
      <c r="JJD19" s="501"/>
      <c r="JJE19" s="501"/>
      <c r="JJF19" s="501"/>
      <c r="JJG19" s="501"/>
      <c r="JJH19" s="501"/>
      <c r="JJI19" s="501"/>
      <c r="JJJ19" s="501"/>
      <c r="JJK19" s="501"/>
      <c r="JJL19" s="501"/>
      <c r="JJM19" s="501"/>
      <c r="JJN19" s="501"/>
      <c r="JJO19" s="501"/>
      <c r="JJP19" s="501"/>
      <c r="JJQ19" s="501"/>
      <c r="JJR19" s="501"/>
      <c r="JJS19" s="501"/>
      <c r="JJT19" s="501"/>
      <c r="JJU19" s="501"/>
      <c r="JJV19" s="501"/>
      <c r="JJW19" s="501"/>
      <c r="JJX19" s="501"/>
      <c r="JJY19" s="501"/>
      <c r="JJZ19" s="501"/>
      <c r="JKA19" s="501"/>
      <c r="JKB19" s="501"/>
      <c r="JKC19" s="501"/>
      <c r="JKD19" s="501"/>
      <c r="JKE19" s="501"/>
      <c r="JKF19" s="501"/>
      <c r="JKG19" s="501"/>
      <c r="JKH19" s="501"/>
      <c r="JKI19" s="501"/>
      <c r="JKJ19" s="501"/>
      <c r="JKK19" s="501"/>
      <c r="JKL19" s="501"/>
      <c r="JKM19" s="501"/>
      <c r="JKN19" s="501"/>
      <c r="JKO19" s="501"/>
      <c r="JKP19" s="501"/>
      <c r="JKQ19" s="501"/>
      <c r="JKR19" s="501"/>
      <c r="JKS19" s="501"/>
      <c r="JKT19" s="501"/>
      <c r="JKU19" s="501"/>
      <c r="JKV19" s="501"/>
      <c r="JKW19" s="501"/>
      <c r="JKX19" s="501"/>
      <c r="JKY19" s="501"/>
      <c r="JKZ19" s="501"/>
      <c r="JLA19" s="501"/>
      <c r="JLB19" s="501"/>
      <c r="JLC19" s="501"/>
      <c r="JLD19" s="501"/>
      <c r="JLE19" s="501"/>
      <c r="JLF19" s="501"/>
      <c r="JLG19" s="501"/>
      <c r="JLH19" s="501"/>
      <c r="JLI19" s="501"/>
      <c r="JLJ19" s="501"/>
      <c r="JLK19" s="501"/>
      <c r="JLL19" s="501"/>
      <c r="JLM19" s="501"/>
      <c r="JLN19" s="501"/>
      <c r="JLO19" s="501"/>
      <c r="JLP19" s="501"/>
      <c r="JLQ19" s="501"/>
      <c r="JLR19" s="501"/>
      <c r="JLS19" s="501"/>
      <c r="JLT19" s="501"/>
      <c r="JLU19" s="501"/>
      <c r="JLV19" s="501"/>
      <c r="JLW19" s="501"/>
      <c r="JLX19" s="501"/>
      <c r="JLY19" s="501"/>
      <c r="JLZ19" s="501"/>
      <c r="JMA19" s="501"/>
      <c r="JMB19" s="501"/>
      <c r="JMC19" s="501"/>
      <c r="JMD19" s="501"/>
      <c r="JME19" s="501"/>
      <c r="JMF19" s="501"/>
      <c r="JMG19" s="501"/>
      <c r="JMH19" s="501"/>
      <c r="JMI19" s="501"/>
      <c r="JMJ19" s="501"/>
      <c r="JMK19" s="501"/>
      <c r="JML19" s="501"/>
      <c r="JMM19" s="501"/>
      <c r="JMN19" s="501"/>
      <c r="JMO19" s="501"/>
      <c r="JMP19" s="501"/>
      <c r="JMQ19" s="501"/>
      <c r="JMR19" s="501"/>
      <c r="JMS19" s="501"/>
      <c r="JMT19" s="501"/>
      <c r="JMU19" s="501"/>
      <c r="JMV19" s="501"/>
      <c r="JMW19" s="501"/>
      <c r="JMX19" s="501"/>
      <c r="JMY19" s="501"/>
      <c r="JMZ19" s="501"/>
      <c r="JNA19" s="501"/>
      <c r="JNB19" s="501"/>
      <c r="JNC19" s="501"/>
      <c r="JND19" s="501"/>
      <c r="JNE19" s="501"/>
      <c r="JNF19" s="501"/>
      <c r="JNG19" s="501"/>
      <c r="JNH19" s="501"/>
      <c r="JNI19" s="501"/>
      <c r="JNJ19" s="501"/>
      <c r="JNK19" s="501"/>
      <c r="JNL19" s="501"/>
      <c r="JNM19" s="501"/>
      <c r="JNN19" s="501"/>
      <c r="JNO19" s="501"/>
      <c r="JNP19" s="501"/>
      <c r="JNQ19" s="501"/>
      <c r="JNR19" s="501"/>
      <c r="JNS19" s="501"/>
      <c r="JNT19" s="501"/>
      <c r="JNU19" s="501"/>
      <c r="JNV19" s="501"/>
      <c r="JNW19" s="501"/>
      <c r="JNX19" s="501"/>
      <c r="JNY19" s="501"/>
      <c r="JNZ19" s="501"/>
      <c r="JOA19" s="501"/>
      <c r="JOB19" s="501"/>
      <c r="JOC19" s="501"/>
      <c r="JOD19" s="501"/>
      <c r="JOE19" s="501"/>
      <c r="JOF19" s="501"/>
      <c r="JOG19" s="501"/>
      <c r="JOH19" s="501"/>
      <c r="JOI19" s="501"/>
      <c r="JOJ19" s="501"/>
      <c r="JOK19" s="501"/>
      <c r="JOL19" s="501"/>
      <c r="JOM19" s="501"/>
      <c r="JON19" s="501"/>
      <c r="JOO19" s="501"/>
      <c r="JOP19" s="501"/>
      <c r="JOQ19" s="501"/>
      <c r="JOR19" s="501"/>
      <c r="JOS19" s="501"/>
      <c r="JOT19" s="501"/>
      <c r="JOU19" s="501"/>
      <c r="JOV19" s="501"/>
      <c r="JOW19" s="501"/>
      <c r="JOX19" s="501"/>
      <c r="JOY19" s="501"/>
      <c r="JOZ19" s="501"/>
      <c r="JPA19" s="501"/>
      <c r="JPB19" s="501"/>
      <c r="JPC19" s="501"/>
      <c r="JPD19" s="501"/>
      <c r="JPE19" s="501"/>
      <c r="JPF19" s="501"/>
      <c r="JPG19" s="501"/>
      <c r="JPH19" s="501"/>
      <c r="JPI19" s="501"/>
      <c r="JPJ19" s="501"/>
      <c r="JPK19" s="501"/>
      <c r="JPL19" s="501"/>
      <c r="JPM19" s="501"/>
      <c r="JPN19" s="501"/>
      <c r="JPO19" s="501"/>
      <c r="JPP19" s="501"/>
      <c r="JPQ19" s="501"/>
      <c r="JPR19" s="501"/>
      <c r="JPS19" s="501"/>
      <c r="JPT19" s="501"/>
      <c r="JPU19" s="501"/>
      <c r="JPV19" s="501"/>
      <c r="JPW19" s="501"/>
      <c r="JPX19" s="501"/>
      <c r="JPY19" s="501"/>
      <c r="JPZ19" s="501"/>
      <c r="JQA19" s="501"/>
      <c r="JQB19" s="501"/>
      <c r="JQC19" s="501"/>
      <c r="JQD19" s="501"/>
      <c r="JQE19" s="501"/>
      <c r="JQF19" s="501"/>
      <c r="JQG19" s="501"/>
      <c r="JQH19" s="501"/>
      <c r="JQI19" s="501"/>
      <c r="JQJ19" s="501"/>
      <c r="JQK19" s="501"/>
      <c r="JQL19" s="501"/>
      <c r="JQM19" s="501"/>
      <c r="JQN19" s="501"/>
      <c r="JQO19" s="501"/>
      <c r="JQP19" s="501"/>
      <c r="JQQ19" s="501"/>
      <c r="JQR19" s="501"/>
      <c r="JQS19" s="501"/>
      <c r="JQT19" s="501"/>
      <c r="JQU19" s="501"/>
      <c r="JQV19" s="501"/>
      <c r="JQW19" s="501"/>
      <c r="JQX19" s="501"/>
      <c r="JQY19" s="501"/>
      <c r="JQZ19" s="501"/>
      <c r="JRA19" s="501"/>
      <c r="JRB19" s="501"/>
      <c r="JRC19" s="501"/>
      <c r="JRD19" s="501"/>
      <c r="JRE19" s="501"/>
      <c r="JRF19" s="501"/>
      <c r="JRG19" s="501"/>
      <c r="JRH19" s="501"/>
      <c r="JRI19" s="501"/>
      <c r="JRJ19" s="501"/>
      <c r="JRK19" s="501"/>
      <c r="JRL19" s="501"/>
      <c r="JRM19" s="501"/>
      <c r="JRN19" s="501"/>
      <c r="JRO19" s="501"/>
      <c r="JRP19" s="501"/>
      <c r="JRQ19" s="501"/>
      <c r="JRR19" s="501"/>
      <c r="JRS19" s="501"/>
      <c r="JRT19" s="501"/>
      <c r="JRU19" s="501"/>
      <c r="JRV19" s="501"/>
      <c r="JRW19" s="501"/>
      <c r="JRX19" s="501"/>
      <c r="JRY19" s="501"/>
      <c r="JRZ19" s="501"/>
      <c r="JSA19" s="501"/>
      <c r="JSB19" s="501"/>
      <c r="JSC19" s="501"/>
      <c r="JSD19" s="501"/>
      <c r="JSE19" s="501"/>
      <c r="JSF19" s="501"/>
      <c r="JSG19" s="501"/>
      <c r="JSH19" s="501"/>
      <c r="JSI19" s="501"/>
      <c r="JSJ19" s="501"/>
      <c r="JSK19" s="501"/>
      <c r="JSL19" s="501"/>
      <c r="JSM19" s="501"/>
      <c r="JSN19" s="501"/>
      <c r="JSO19" s="501"/>
      <c r="JSP19" s="501"/>
      <c r="JSQ19" s="501"/>
      <c r="JSR19" s="501"/>
      <c r="JSS19" s="501"/>
      <c r="JST19" s="501"/>
      <c r="JSU19" s="501"/>
      <c r="JSV19" s="501"/>
      <c r="JSW19" s="501"/>
      <c r="JSX19" s="501"/>
      <c r="JSY19" s="501"/>
      <c r="JSZ19" s="501"/>
      <c r="JTA19" s="501"/>
      <c r="JTB19" s="501"/>
      <c r="JTC19" s="501"/>
      <c r="JTD19" s="501"/>
      <c r="JTE19" s="501"/>
      <c r="JTF19" s="501"/>
      <c r="JTG19" s="501"/>
      <c r="JTH19" s="501"/>
      <c r="JTI19" s="501"/>
      <c r="JTJ19" s="501"/>
      <c r="JTK19" s="501"/>
      <c r="JTL19" s="501"/>
      <c r="JTM19" s="501"/>
      <c r="JTN19" s="501"/>
      <c r="JTO19" s="501"/>
      <c r="JTP19" s="501"/>
      <c r="JTQ19" s="501"/>
      <c r="JTR19" s="501"/>
      <c r="JTS19" s="501"/>
      <c r="JTT19" s="501"/>
      <c r="JTU19" s="501"/>
      <c r="JTV19" s="501"/>
      <c r="JTW19" s="501"/>
      <c r="JTX19" s="501"/>
      <c r="JTY19" s="501"/>
      <c r="JTZ19" s="501"/>
      <c r="JUA19" s="501"/>
      <c r="JUB19" s="501"/>
      <c r="JUC19" s="501"/>
      <c r="JUD19" s="501"/>
      <c r="JUE19" s="501"/>
      <c r="JUF19" s="501"/>
      <c r="JUG19" s="501"/>
      <c r="JUH19" s="501"/>
      <c r="JUI19" s="501"/>
      <c r="JUJ19" s="501"/>
      <c r="JUK19" s="501"/>
      <c r="JUL19" s="501"/>
      <c r="JUM19" s="501"/>
      <c r="JUN19" s="501"/>
      <c r="JUO19" s="501"/>
      <c r="JUP19" s="501"/>
      <c r="JUQ19" s="501"/>
      <c r="JUR19" s="501"/>
      <c r="JUS19" s="501"/>
      <c r="JUT19" s="501"/>
      <c r="JUU19" s="501"/>
      <c r="JUV19" s="501"/>
      <c r="JUW19" s="501"/>
      <c r="JUX19" s="501"/>
      <c r="JUY19" s="501"/>
      <c r="JUZ19" s="501"/>
      <c r="JVA19" s="501"/>
      <c r="JVB19" s="501"/>
      <c r="JVC19" s="501"/>
      <c r="JVD19" s="501"/>
      <c r="JVE19" s="501"/>
      <c r="JVF19" s="501"/>
      <c r="JVG19" s="501"/>
      <c r="JVH19" s="501"/>
      <c r="JVI19" s="501"/>
      <c r="JVJ19" s="501"/>
      <c r="JVK19" s="501"/>
      <c r="JVL19" s="501"/>
      <c r="JVM19" s="501"/>
      <c r="JVN19" s="501"/>
      <c r="JVO19" s="501"/>
      <c r="JVP19" s="501"/>
      <c r="JVQ19" s="501"/>
      <c r="JVR19" s="501"/>
      <c r="JVS19" s="501"/>
      <c r="JVT19" s="501"/>
      <c r="JVU19" s="501"/>
      <c r="JVV19" s="501"/>
      <c r="JVW19" s="501"/>
      <c r="JVX19" s="501"/>
      <c r="JVY19" s="501"/>
      <c r="JVZ19" s="501"/>
      <c r="JWA19" s="501"/>
      <c r="JWB19" s="501"/>
      <c r="JWC19" s="501"/>
      <c r="JWD19" s="501"/>
      <c r="JWE19" s="501"/>
      <c r="JWF19" s="501"/>
      <c r="JWG19" s="501"/>
      <c r="JWH19" s="501"/>
      <c r="JWI19" s="501"/>
      <c r="JWJ19" s="501"/>
      <c r="JWK19" s="501"/>
      <c r="JWL19" s="501"/>
      <c r="JWM19" s="501"/>
      <c r="JWN19" s="501"/>
      <c r="JWO19" s="501"/>
      <c r="JWP19" s="501"/>
      <c r="JWQ19" s="501"/>
      <c r="JWR19" s="501"/>
      <c r="JWS19" s="501"/>
      <c r="JWT19" s="501"/>
      <c r="JWU19" s="501"/>
      <c r="JWV19" s="501"/>
      <c r="JWW19" s="501"/>
      <c r="JWX19" s="501"/>
      <c r="JWY19" s="501"/>
      <c r="JWZ19" s="501"/>
      <c r="JXA19" s="501"/>
      <c r="JXB19" s="501"/>
      <c r="JXC19" s="501"/>
      <c r="JXD19" s="501"/>
      <c r="JXE19" s="501"/>
      <c r="JXF19" s="501"/>
      <c r="JXG19" s="501"/>
      <c r="JXH19" s="501"/>
      <c r="JXI19" s="501"/>
      <c r="JXJ19" s="501"/>
      <c r="JXK19" s="501"/>
      <c r="JXL19" s="501"/>
      <c r="JXM19" s="501"/>
      <c r="JXN19" s="501"/>
      <c r="JXO19" s="501"/>
      <c r="JXP19" s="501"/>
      <c r="JXQ19" s="501"/>
      <c r="JXR19" s="501"/>
      <c r="JXS19" s="501"/>
      <c r="JXT19" s="501"/>
      <c r="JXU19" s="501"/>
      <c r="JXV19" s="501"/>
      <c r="JXW19" s="501"/>
      <c r="JXX19" s="501"/>
      <c r="JXY19" s="501"/>
      <c r="JXZ19" s="501"/>
      <c r="JYA19" s="501"/>
      <c r="JYB19" s="501"/>
      <c r="JYC19" s="501"/>
      <c r="JYD19" s="501"/>
      <c r="JYE19" s="501"/>
      <c r="JYF19" s="501"/>
      <c r="JYG19" s="501"/>
      <c r="JYH19" s="501"/>
      <c r="JYI19" s="501"/>
      <c r="JYJ19" s="501"/>
      <c r="JYK19" s="501"/>
      <c r="JYL19" s="501"/>
      <c r="JYM19" s="501"/>
      <c r="JYN19" s="501"/>
      <c r="JYO19" s="501"/>
      <c r="JYP19" s="501"/>
      <c r="JYQ19" s="501"/>
      <c r="JYR19" s="501"/>
      <c r="JYS19" s="501"/>
      <c r="JYT19" s="501"/>
      <c r="JYU19" s="501"/>
      <c r="JYV19" s="501"/>
      <c r="JYW19" s="501"/>
      <c r="JYX19" s="501"/>
      <c r="JYY19" s="501"/>
      <c r="JYZ19" s="501"/>
      <c r="JZA19" s="501"/>
      <c r="JZB19" s="501"/>
      <c r="JZC19" s="501"/>
      <c r="JZD19" s="501"/>
      <c r="JZE19" s="501"/>
      <c r="JZF19" s="501"/>
      <c r="JZG19" s="501"/>
      <c r="JZH19" s="501"/>
      <c r="JZI19" s="501"/>
      <c r="JZJ19" s="501"/>
      <c r="JZK19" s="501"/>
      <c r="JZL19" s="501"/>
      <c r="JZM19" s="501"/>
      <c r="JZN19" s="501"/>
      <c r="JZO19" s="501"/>
      <c r="JZP19" s="501"/>
      <c r="JZQ19" s="501"/>
      <c r="JZR19" s="501"/>
      <c r="JZS19" s="501"/>
      <c r="JZT19" s="501"/>
      <c r="JZU19" s="501"/>
      <c r="JZV19" s="501"/>
      <c r="JZW19" s="501"/>
      <c r="JZX19" s="501"/>
      <c r="JZY19" s="501"/>
      <c r="JZZ19" s="501"/>
      <c r="KAA19" s="501"/>
      <c r="KAB19" s="501"/>
      <c r="KAC19" s="501"/>
      <c r="KAD19" s="501"/>
      <c r="KAE19" s="501"/>
      <c r="KAF19" s="501"/>
      <c r="KAG19" s="501"/>
      <c r="KAH19" s="501"/>
      <c r="KAI19" s="501"/>
      <c r="KAJ19" s="501"/>
      <c r="KAK19" s="501"/>
      <c r="KAL19" s="501"/>
      <c r="KAM19" s="501"/>
      <c r="KAN19" s="501"/>
      <c r="KAO19" s="501"/>
      <c r="KAP19" s="501"/>
      <c r="KAQ19" s="501"/>
      <c r="KAR19" s="501"/>
      <c r="KAS19" s="501"/>
      <c r="KAT19" s="501"/>
      <c r="KAU19" s="501"/>
      <c r="KAV19" s="501"/>
      <c r="KAW19" s="501"/>
      <c r="KAX19" s="501"/>
      <c r="KAY19" s="501"/>
      <c r="KAZ19" s="501"/>
      <c r="KBA19" s="501"/>
      <c r="KBB19" s="501"/>
      <c r="KBC19" s="501"/>
      <c r="KBD19" s="501"/>
      <c r="KBE19" s="501"/>
      <c r="KBF19" s="501"/>
      <c r="KBG19" s="501"/>
      <c r="KBH19" s="501"/>
      <c r="KBI19" s="501"/>
      <c r="KBJ19" s="501"/>
      <c r="KBK19" s="501"/>
      <c r="KBL19" s="501"/>
      <c r="KBM19" s="501"/>
      <c r="KBN19" s="501"/>
      <c r="KBO19" s="501"/>
      <c r="KBP19" s="501"/>
      <c r="KBQ19" s="501"/>
      <c r="KBR19" s="501"/>
      <c r="KBS19" s="501"/>
      <c r="KBT19" s="501"/>
      <c r="KBU19" s="501"/>
      <c r="KBV19" s="501"/>
      <c r="KBW19" s="501"/>
      <c r="KBX19" s="501"/>
      <c r="KBY19" s="501"/>
      <c r="KBZ19" s="501"/>
      <c r="KCA19" s="501"/>
      <c r="KCB19" s="501"/>
      <c r="KCC19" s="501"/>
      <c r="KCD19" s="501"/>
      <c r="KCE19" s="501"/>
      <c r="KCF19" s="501"/>
      <c r="KCG19" s="501"/>
      <c r="KCH19" s="501"/>
      <c r="KCI19" s="501"/>
      <c r="KCJ19" s="501"/>
      <c r="KCK19" s="501"/>
      <c r="KCL19" s="501"/>
      <c r="KCM19" s="501"/>
      <c r="KCN19" s="501"/>
      <c r="KCO19" s="501"/>
      <c r="KCP19" s="501"/>
      <c r="KCQ19" s="501"/>
      <c r="KCR19" s="501"/>
      <c r="KCS19" s="501"/>
      <c r="KCT19" s="501"/>
      <c r="KCU19" s="501"/>
      <c r="KCV19" s="501"/>
      <c r="KCW19" s="501"/>
      <c r="KCX19" s="501"/>
      <c r="KCY19" s="501"/>
      <c r="KCZ19" s="501"/>
      <c r="KDA19" s="501"/>
      <c r="KDB19" s="501"/>
      <c r="KDC19" s="501"/>
      <c r="KDD19" s="501"/>
      <c r="KDE19" s="501"/>
      <c r="KDF19" s="501"/>
      <c r="KDG19" s="501"/>
      <c r="KDH19" s="501"/>
      <c r="KDI19" s="501"/>
      <c r="KDJ19" s="501"/>
      <c r="KDK19" s="501"/>
      <c r="KDL19" s="501"/>
      <c r="KDM19" s="501"/>
      <c r="KDN19" s="501"/>
      <c r="KDO19" s="501"/>
      <c r="KDP19" s="501"/>
      <c r="KDQ19" s="501"/>
      <c r="KDR19" s="501"/>
      <c r="KDS19" s="501"/>
      <c r="KDT19" s="501"/>
      <c r="KDU19" s="501"/>
      <c r="KDV19" s="501"/>
      <c r="KDW19" s="501"/>
      <c r="KDX19" s="501"/>
      <c r="KDY19" s="501"/>
      <c r="KDZ19" s="501"/>
      <c r="KEA19" s="501"/>
      <c r="KEB19" s="501"/>
      <c r="KEC19" s="501"/>
      <c r="KED19" s="501"/>
      <c r="KEE19" s="501"/>
      <c r="KEF19" s="501"/>
      <c r="KEG19" s="501"/>
      <c r="KEH19" s="501"/>
      <c r="KEI19" s="501"/>
      <c r="KEJ19" s="501"/>
      <c r="KEK19" s="501"/>
      <c r="KEL19" s="501"/>
      <c r="KEM19" s="501"/>
      <c r="KEN19" s="501"/>
      <c r="KEO19" s="501"/>
      <c r="KEP19" s="501"/>
      <c r="KEQ19" s="501"/>
      <c r="KER19" s="501"/>
      <c r="KES19" s="501"/>
      <c r="KET19" s="501"/>
      <c r="KEU19" s="501"/>
      <c r="KEV19" s="501"/>
      <c r="KEW19" s="501"/>
      <c r="KEX19" s="501"/>
      <c r="KEY19" s="501"/>
      <c r="KEZ19" s="501"/>
      <c r="KFA19" s="501"/>
      <c r="KFB19" s="501"/>
      <c r="KFC19" s="501"/>
      <c r="KFD19" s="501"/>
      <c r="KFE19" s="501"/>
      <c r="KFF19" s="501"/>
      <c r="KFG19" s="501"/>
      <c r="KFH19" s="501"/>
      <c r="KFI19" s="501"/>
      <c r="KFJ19" s="501"/>
      <c r="KFK19" s="501"/>
      <c r="KFL19" s="501"/>
      <c r="KFM19" s="501"/>
      <c r="KFN19" s="501"/>
      <c r="KFO19" s="501"/>
      <c r="KFP19" s="501"/>
      <c r="KFQ19" s="501"/>
      <c r="KFR19" s="501"/>
      <c r="KFS19" s="501"/>
      <c r="KFT19" s="501"/>
      <c r="KFU19" s="501"/>
      <c r="KFV19" s="501"/>
      <c r="KFW19" s="501"/>
      <c r="KFX19" s="501"/>
      <c r="KFY19" s="501"/>
      <c r="KFZ19" s="501"/>
      <c r="KGA19" s="501"/>
      <c r="KGB19" s="501"/>
      <c r="KGC19" s="501"/>
      <c r="KGD19" s="501"/>
      <c r="KGE19" s="501"/>
      <c r="KGF19" s="501"/>
      <c r="KGG19" s="501"/>
      <c r="KGH19" s="501"/>
      <c r="KGI19" s="501"/>
      <c r="KGJ19" s="501"/>
      <c r="KGK19" s="501"/>
      <c r="KGL19" s="501"/>
      <c r="KGM19" s="501"/>
      <c r="KGN19" s="501"/>
      <c r="KGO19" s="501"/>
      <c r="KGP19" s="501"/>
      <c r="KGQ19" s="501"/>
      <c r="KGR19" s="501"/>
      <c r="KGS19" s="501"/>
      <c r="KGT19" s="501"/>
      <c r="KGU19" s="501"/>
      <c r="KGV19" s="501"/>
      <c r="KGW19" s="501"/>
      <c r="KGX19" s="501"/>
      <c r="KGY19" s="501"/>
      <c r="KGZ19" s="501"/>
      <c r="KHA19" s="501"/>
      <c r="KHB19" s="501"/>
      <c r="KHC19" s="501"/>
      <c r="KHD19" s="501"/>
      <c r="KHE19" s="501"/>
      <c r="KHF19" s="501"/>
      <c r="KHG19" s="501"/>
      <c r="KHH19" s="501"/>
      <c r="KHI19" s="501"/>
      <c r="KHJ19" s="501"/>
      <c r="KHK19" s="501"/>
      <c r="KHL19" s="501"/>
      <c r="KHM19" s="501"/>
      <c r="KHN19" s="501"/>
      <c r="KHO19" s="501"/>
      <c r="KHP19" s="501"/>
      <c r="KHQ19" s="501"/>
      <c r="KHR19" s="501"/>
      <c r="KHS19" s="501"/>
      <c r="KHT19" s="501"/>
      <c r="KHU19" s="501"/>
      <c r="KHV19" s="501"/>
      <c r="KHW19" s="501"/>
      <c r="KHX19" s="501"/>
      <c r="KHY19" s="501"/>
      <c r="KHZ19" s="501"/>
      <c r="KIA19" s="501"/>
      <c r="KIB19" s="501"/>
      <c r="KIC19" s="501"/>
      <c r="KID19" s="501"/>
      <c r="KIE19" s="501"/>
      <c r="KIF19" s="501"/>
      <c r="KIG19" s="501"/>
      <c r="KIH19" s="501"/>
      <c r="KII19" s="501"/>
      <c r="KIJ19" s="501"/>
      <c r="KIK19" s="501"/>
      <c r="KIL19" s="501"/>
      <c r="KIM19" s="501"/>
      <c r="KIN19" s="501"/>
      <c r="KIO19" s="501"/>
      <c r="KIP19" s="501"/>
      <c r="KIQ19" s="501"/>
      <c r="KIR19" s="501"/>
      <c r="KIS19" s="501"/>
      <c r="KIT19" s="501"/>
      <c r="KIU19" s="501"/>
      <c r="KIV19" s="501"/>
      <c r="KIW19" s="501"/>
      <c r="KIX19" s="501"/>
      <c r="KIY19" s="501"/>
      <c r="KIZ19" s="501"/>
      <c r="KJA19" s="501"/>
      <c r="KJB19" s="501"/>
      <c r="KJC19" s="501"/>
      <c r="KJD19" s="501"/>
      <c r="KJE19" s="501"/>
      <c r="KJF19" s="501"/>
      <c r="KJG19" s="501"/>
      <c r="KJH19" s="501"/>
      <c r="KJI19" s="501"/>
      <c r="KJJ19" s="501"/>
      <c r="KJK19" s="501"/>
      <c r="KJL19" s="501"/>
      <c r="KJM19" s="501"/>
      <c r="KJN19" s="501"/>
      <c r="KJO19" s="501"/>
      <c r="KJP19" s="501"/>
      <c r="KJQ19" s="501"/>
      <c r="KJR19" s="501"/>
      <c r="KJS19" s="501"/>
      <c r="KJT19" s="501"/>
      <c r="KJU19" s="501"/>
      <c r="KJV19" s="501"/>
      <c r="KJW19" s="501"/>
      <c r="KJX19" s="501"/>
      <c r="KJY19" s="501"/>
      <c r="KJZ19" s="501"/>
      <c r="KKA19" s="501"/>
      <c r="KKB19" s="501"/>
      <c r="KKC19" s="501"/>
      <c r="KKD19" s="501"/>
      <c r="KKE19" s="501"/>
      <c r="KKF19" s="501"/>
      <c r="KKG19" s="501"/>
      <c r="KKH19" s="501"/>
      <c r="KKI19" s="501"/>
      <c r="KKJ19" s="501"/>
      <c r="KKK19" s="501"/>
      <c r="KKL19" s="501"/>
      <c r="KKM19" s="501"/>
      <c r="KKN19" s="501"/>
      <c r="KKO19" s="501"/>
      <c r="KKP19" s="501"/>
      <c r="KKQ19" s="501"/>
      <c r="KKR19" s="501"/>
      <c r="KKS19" s="501"/>
      <c r="KKT19" s="501"/>
      <c r="KKU19" s="501"/>
      <c r="KKV19" s="501"/>
      <c r="KKW19" s="501"/>
      <c r="KKX19" s="501"/>
      <c r="KKY19" s="501"/>
      <c r="KKZ19" s="501"/>
      <c r="KLA19" s="501"/>
      <c r="KLB19" s="501"/>
      <c r="KLC19" s="501"/>
      <c r="KLD19" s="501"/>
      <c r="KLE19" s="501"/>
      <c r="KLF19" s="501"/>
      <c r="KLG19" s="501"/>
      <c r="KLH19" s="501"/>
      <c r="KLI19" s="501"/>
      <c r="KLJ19" s="501"/>
      <c r="KLK19" s="501"/>
      <c r="KLL19" s="501"/>
      <c r="KLM19" s="501"/>
      <c r="KLN19" s="501"/>
      <c r="KLO19" s="501"/>
      <c r="KLP19" s="501"/>
      <c r="KLQ19" s="501"/>
      <c r="KLR19" s="501"/>
      <c r="KLS19" s="501"/>
      <c r="KLT19" s="501"/>
      <c r="KLU19" s="501"/>
      <c r="KLV19" s="501"/>
      <c r="KLW19" s="501"/>
      <c r="KLX19" s="501"/>
      <c r="KLY19" s="501"/>
      <c r="KLZ19" s="501"/>
      <c r="KMA19" s="501"/>
      <c r="KMB19" s="501"/>
      <c r="KMC19" s="501"/>
      <c r="KMD19" s="501"/>
      <c r="KME19" s="501"/>
      <c r="KMF19" s="501"/>
      <c r="KMG19" s="501"/>
      <c r="KMH19" s="501"/>
      <c r="KMI19" s="501"/>
      <c r="KMJ19" s="501"/>
      <c r="KMK19" s="501"/>
      <c r="KML19" s="501"/>
      <c r="KMM19" s="501"/>
      <c r="KMN19" s="501"/>
      <c r="KMO19" s="501"/>
      <c r="KMP19" s="501"/>
      <c r="KMQ19" s="501"/>
      <c r="KMR19" s="501"/>
      <c r="KMS19" s="501"/>
      <c r="KMT19" s="501"/>
      <c r="KMU19" s="501"/>
      <c r="KMV19" s="501"/>
      <c r="KMW19" s="501"/>
      <c r="KMX19" s="501"/>
      <c r="KMY19" s="501"/>
      <c r="KMZ19" s="501"/>
      <c r="KNA19" s="501"/>
      <c r="KNB19" s="501"/>
      <c r="KNC19" s="501"/>
      <c r="KND19" s="501"/>
      <c r="KNE19" s="501"/>
      <c r="KNF19" s="501"/>
      <c r="KNG19" s="501"/>
      <c r="KNH19" s="501"/>
      <c r="KNI19" s="501"/>
      <c r="KNJ19" s="501"/>
      <c r="KNK19" s="501"/>
      <c r="KNL19" s="501"/>
      <c r="KNM19" s="501"/>
      <c r="KNN19" s="501"/>
      <c r="KNO19" s="501"/>
      <c r="KNP19" s="501"/>
      <c r="KNQ19" s="501"/>
      <c r="KNR19" s="501"/>
      <c r="KNS19" s="501"/>
      <c r="KNT19" s="501"/>
      <c r="KNU19" s="501"/>
      <c r="KNV19" s="501"/>
      <c r="KNW19" s="501"/>
      <c r="KNX19" s="501"/>
      <c r="KNY19" s="501"/>
      <c r="KNZ19" s="501"/>
      <c r="KOA19" s="501"/>
      <c r="KOB19" s="501"/>
      <c r="KOC19" s="501"/>
      <c r="KOD19" s="501"/>
      <c r="KOE19" s="501"/>
      <c r="KOF19" s="501"/>
      <c r="KOG19" s="501"/>
      <c r="KOH19" s="501"/>
      <c r="KOI19" s="501"/>
      <c r="KOJ19" s="501"/>
      <c r="KOK19" s="501"/>
      <c r="KOL19" s="501"/>
      <c r="KOM19" s="501"/>
      <c r="KON19" s="501"/>
      <c r="KOO19" s="501"/>
      <c r="KOP19" s="501"/>
      <c r="KOQ19" s="501"/>
      <c r="KOR19" s="501"/>
      <c r="KOS19" s="501"/>
      <c r="KOT19" s="501"/>
      <c r="KOU19" s="501"/>
      <c r="KOV19" s="501"/>
      <c r="KOW19" s="501"/>
      <c r="KOX19" s="501"/>
      <c r="KOY19" s="501"/>
      <c r="KOZ19" s="501"/>
      <c r="KPA19" s="501"/>
      <c r="KPB19" s="501"/>
      <c r="KPC19" s="501"/>
      <c r="KPD19" s="501"/>
      <c r="KPE19" s="501"/>
      <c r="KPF19" s="501"/>
      <c r="KPG19" s="501"/>
      <c r="KPH19" s="501"/>
      <c r="KPI19" s="501"/>
      <c r="KPJ19" s="501"/>
      <c r="KPK19" s="501"/>
      <c r="KPL19" s="501"/>
      <c r="KPM19" s="501"/>
      <c r="KPN19" s="501"/>
      <c r="KPO19" s="501"/>
      <c r="KPP19" s="501"/>
      <c r="KPQ19" s="501"/>
      <c r="KPR19" s="501"/>
      <c r="KPS19" s="501"/>
      <c r="KPT19" s="501"/>
      <c r="KPU19" s="501"/>
      <c r="KPV19" s="501"/>
      <c r="KPW19" s="501"/>
      <c r="KPX19" s="501"/>
      <c r="KPY19" s="501"/>
      <c r="KPZ19" s="501"/>
      <c r="KQA19" s="501"/>
      <c r="KQB19" s="501"/>
      <c r="KQC19" s="501"/>
      <c r="KQD19" s="501"/>
      <c r="KQE19" s="501"/>
      <c r="KQF19" s="501"/>
      <c r="KQG19" s="501"/>
      <c r="KQH19" s="501"/>
      <c r="KQI19" s="501"/>
      <c r="KQJ19" s="501"/>
      <c r="KQK19" s="501"/>
      <c r="KQL19" s="501"/>
      <c r="KQM19" s="501"/>
      <c r="KQN19" s="501"/>
      <c r="KQO19" s="501"/>
      <c r="KQP19" s="501"/>
      <c r="KQQ19" s="501"/>
      <c r="KQR19" s="501"/>
      <c r="KQS19" s="501"/>
      <c r="KQT19" s="501"/>
      <c r="KQU19" s="501"/>
      <c r="KQV19" s="501"/>
      <c r="KQW19" s="501"/>
      <c r="KQX19" s="501"/>
      <c r="KQY19" s="501"/>
      <c r="KQZ19" s="501"/>
      <c r="KRA19" s="501"/>
      <c r="KRB19" s="501"/>
      <c r="KRC19" s="501"/>
      <c r="KRD19" s="501"/>
      <c r="KRE19" s="501"/>
      <c r="KRF19" s="501"/>
      <c r="KRG19" s="501"/>
      <c r="KRH19" s="501"/>
      <c r="KRI19" s="501"/>
      <c r="KRJ19" s="501"/>
      <c r="KRK19" s="501"/>
      <c r="KRL19" s="501"/>
      <c r="KRM19" s="501"/>
      <c r="KRN19" s="501"/>
      <c r="KRO19" s="501"/>
      <c r="KRP19" s="501"/>
      <c r="KRQ19" s="501"/>
      <c r="KRR19" s="501"/>
      <c r="KRS19" s="501"/>
      <c r="KRT19" s="501"/>
      <c r="KRU19" s="501"/>
      <c r="KRV19" s="501"/>
      <c r="KRW19" s="501"/>
      <c r="KRX19" s="501"/>
      <c r="KRY19" s="501"/>
      <c r="KRZ19" s="501"/>
      <c r="KSA19" s="501"/>
      <c r="KSB19" s="501"/>
      <c r="KSC19" s="501"/>
      <c r="KSD19" s="501"/>
      <c r="KSE19" s="501"/>
      <c r="KSF19" s="501"/>
      <c r="KSG19" s="501"/>
      <c r="KSH19" s="501"/>
      <c r="KSI19" s="501"/>
      <c r="KSJ19" s="501"/>
      <c r="KSK19" s="501"/>
      <c r="KSL19" s="501"/>
      <c r="KSM19" s="501"/>
      <c r="KSN19" s="501"/>
      <c r="KSO19" s="501"/>
      <c r="KSP19" s="501"/>
      <c r="KSQ19" s="501"/>
      <c r="KSR19" s="501"/>
      <c r="KSS19" s="501"/>
      <c r="KST19" s="501"/>
      <c r="KSU19" s="501"/>
      <c r="KSV19" s="501"/>
      <c r="KSW19" s="501"/>
      <c r="KSX19" s="501"/>
      <c r="KSY19" s="501"/>
      <c r="KSZ19" s="501"/>
      <c r="KTA19" s="501"/>
      <c r="KTB19" s="501"/>
      <c r="KTC19" s="501"/>
      <c r="KTD19" s="501"/>
      <c r="KTE19" s="501"/>
      <c r="KTF19" s="501"/>
      <c r="KTG19" s="501"/>
      <c r="KTH19" s="501"/>
      <c r="KTI19" s="501"/>
      <c r="KTJ19" s="501"/>
      <c r="KTK19" s="501"/>
      <c r="KTL19" s="501"/>
      <c r="KTM19" s="501"/>
      <c r="KTN19" s="501"/>
      <c r="KTO19" s="501"/>
      <c r="KTP19" s="501"/>
      <c r="KTQ19" s="501"/>
      <c r="KTR19" s="501"/>
      <c r="KTS19" s="501"/>
      <c r="KTT19" s="501"/>
      <c r="KTU19" s="501"/>
      <c r="KTV19" s="501"/>
      <c r="KTW19" s="501"/>
      <c r="KTX19" s="501"/>
      <c r="KTY19" s="501"/>
      <c r="KTZ19" s="501"/>
      <c r="KUA19" s="501"/>
      <c r="KUB19" s="501"/>
      <c r="KUC19" s="501"/>
      <c r="KUD19" s="501"/>
      <c r="KUE19" s="501"/>
      <c r="KUF19" s="501"/>
      <c r="KUG19" s="501"/>
      <c r="KUH19" s="501"/>
      <c r="KUI19" s="501"/>
      <c r="KUJ19" s="501"/>
      <c r="KUK19" s="501"/>
      <c r="KUL19" s="501"/>
      <c r="KUM19" s="501"/>
      <c r="KUN19" s="501"/>
      <c r="KUO19" s="501"/>
      <c r="KUP19" s="501"/>
      <c r="KUQ19" s="501"/>
      <c r="KUR19" s="501"/>
      <c r="KUS19" s="501"/>
      <c r="KUT19" s="501"/>
      <c r="KUU19" s="501"/>
      <c r="KUV19" s="501"/>
      <c r="KUW19" s="501"/>
      <c r="KUX19" s="501"/>
      <c r="KUY19" s="501"/>
      <c r="KUZ19" s="501"/>
      <c r="KVA19" s="501"/>
      <c r="KVB19" s="501"/>
      <c r="KVC19" s="501"/>
      <c r="KVD19" s="501"/>
      <c r="KVE19" s="501"/>
      <c r="KVF19" s="501"/>
      <c r="KVG19" s="501"/>
      <c r="KVH19" s="501"/>
      <c r="KVI19" s="501"/>
      <c r="KVJ19" s="501"/>
      <c r="KVK19" s="501"/>
      <c r="KVL19" s="501"/>
      <c r="KVM19" s="501"/>
      <c r="KVN19" s="501"/>
      <c r="KVO19" s="501"/>
      <c r="KVP19" s="501"/>
      <c r="KVQ19" s="501"/>
      <c r="KVR19" s="501"/>
      <c r="KVS19" s="501"/>
      <c r="KVT19" s="501"/>
      <c r="KVU19" s="501"/>
      <c r="KVV19" s="501"/>
      <c r="KVW19" s="501"/>
      <c r="KVX19" s="501"/>
      <c r="KVY19" s="501"/>
      <c r="KVZ19" s="501"/>
      <c r="KWA19" s="501"/>
      <c r="KWB19" s="501"/>
      <c r="KWC19" s="501"/>
      <c r="KWD19" s="501"/>
      <c r="KWE19" s="501"/>
      <c r="KWF19" s="501"/>
      <c r="KWG19" s="501"/>
      <c r="KWH19" s="501"/>
      <c r="KWI19" s="501"/>
      <c r="KWJ19" s="501"/>
      <c r="KWK19" s="501"/>
      <c r="KWL19" s="501"/>
      <c r="KWM19" s="501"/>
      <c r="KWN19" s="501"/>
      <c r="KWO19" s="501"/>
      <c r="KWP19" s="501"/>
      <c r="KWQ19" s="501"/>
      <c r="KWR19" s="501"/>
      <c r="KWS19" s="501"/>
      <c r="KWT19" s="501"/>
      <c r="KWU19" s="501"/>
      <c r="KWV19" s="501"/>
      <c r="KWW19" s="501"/>
      <c r="KWX19" s="501"/>
      <c r="KWY19" s="501"/>
      <c r="KWZ19" s="501"/>
      <c r="KXA19" s="501"/>
      <c r="KXB19" s="501"/>
      <c r="KXC19" s="501"/>
      <c r="KXD19" s="501"/>
      <c r="KXE19" s="501"/>
      <c r="KXF19" s="501"/>
      <c r="KXG19" s="501"/>
      <c r="KXH19" s="501"/>
      <c r="KXI19" s="501"/>
      <c r="KXJ19" s="501"/>
      <c r="KXK19" s="501"/>
      <c r="KXL19" s="501"/>
      <c r="KXM19" s="501"/>
      <c r="KXN19" s="501"/>
      <c r="KXO19" s="501"/>
      <c r="KXP19" s="501"/>
      <c r="KXQ19" s="501"/>
      <c r="KXR19" s="501"/>
      <c r="KXS19" s="501"/>
      <c r="KXT19" s="501"/>
      <c r="KXU19" s="501"/>
      <c r="KXV19" s="501"/>
      <c r="KXW19" s="501"/>
      <c r="KXX19" s="501"/>
      <c r="KXY19" s="501"/>
      <c r="KXZ19" s="501"/>
      <c r="KYA19" s="501"/>
      <c r="KYB19" s="501"/>
      <c r="KYC19" s="501"/>
      <c r="KYD19" s="501"/>
      <c r="KYE19" s="501"/>
      <c r="KYF19" s="501"/>
      <c r="KYG19" s="501"/>
      <c r="KYH19" s="501"/>
      <c r="KYI19" s="501"/>
      <c r="KYJ19" s="501"/>
      <c r="KYK19" s="501"/>
      <c r="KYL19" s="501"/>
      <c r="KYM19" s="501"/>
      <c r="KYN19" s="501"/>
      <c r="KYO19" s="501"/>
      <c r="KYP19" s="501"/>
      <c r="KYQ19" s="501"/>
      <c r="KYR19" s="501"/>
      <c r="KYS19" s="501"/>
      <c r="KYT19" s="501"/>
      <c r="KYU19" s="501"/>
      <c r="KYV19" s="501"/>
      <c r="KYW19" s="501"/>
      <c r="KYX19" s="501"/>
      <c r="KYY19" s="501"/>
      <c r="KYZ19" s="501"/>
      <c r="KZA19" s="501"/>
      <c r="KZB19" s="501"/>
      <c r="KZC19" s="501"/>
      <c r="KZD19" s="501"/>
      <c r="KZE19" s="501"/>
      <c r="KZF19" s="501"/>
      <c r="KZG19" s="501"/>
      <c r="KZH19" s="501"/>
      <c r="KZI19" s="501"/>
      <c r="KZJ19" s="501"/>
      <c r="KZK19" s="501"/>
      <c r="KZL19" s="501"/>
      <c r="KZM19" s="501"/>
      <c r="KZN19" s="501"/>
      <c r="KZO19" s="501"/>
      <c r="KZP19" s="501"/>
      <c r="KZQ19" s="501"/>
      <c r="KZR19" s="501"/>
      <c r="KZS19" s="501"/>
      <c r="KZT19" s="501"/>
      <c r="KZU19" s="501"/>
      <c r="KZV19" s="501"/>
      <c r="KZW19" s="501"/>
      <c r="KZX19" s="501"/>
      <c r="KZY19" s="501"/>
      <c r="KZZ19" s="501"/>
      <c r="LAA19" s="501"/>
      <c r="LAB19" s="501"/>
      <c r="LAC19" s="501"/>
      <c r="LAD19" s="501"/>
      <c r="LAE19" s="501"/>
      <c r="LAF19" s="501"/>
      <c r="LAG19" s="501"/>
      <c r="LAH19" s="501"/>
      <c r="LAI19" s="501"/>
      <c r="LAJ19" s="501"/>
      <c r="LAK19" s="501"/>
      <c r="LAL19" s="501"/>
      <c r="LAM19" s="501"/>
      <c r="LAN19" s="501"/>
      <c r="LAO19" s="501"/>
      <c r="LAP19" s="501"/>
      <c r="LAQ19" s="501"/>
      <c r="LAR19" s="501"/>
      <c r="LAS19" s="501"/>
      <c r="LAT19" s="501"/>
      <c r="LAU19" s="501"/>
      <c r="LAV19" s="501"/>
      <c r="LAW19" s="501"/>
      <c r="LAX19" s="501"/>
      <c r="LAY19" s="501"/>
      <c r="LAZ19" s="501"/>
      <c r="LBA19" s="501"/>
      <c r="LBB19" s="501"/>
      <c r="LBC19" s="501"/>
      <c r="LBD19" s="501"/>
      <c r="LBE19" s="501"/>
      <c r="LBF19" s="501"/>
      <c r="LBG19" s="501"/>
      <c r="LBH19" s="501"/>
      <c r="LBI19" s="501"/>
      <c r="LBJ19" s="501"/>
      <c r="LBK19" s="501"/>
      <c r="LBL19" s="501"/>
      <c r="LBM19" s="501"/>
      <c r="LBN19" s="501"/>
      <c r="LBO19" s="501"/>
      <c r="LBP19" s="501"/>
      <c r="LBQ19" s="501"/>
      <c r="LBR19" s="501"/>
      <c r="LBS19" s="501"/>
      <c r="LBT19" s="501"/>
      <c r="LBU19" s="501"/>
      <c r="LBV19" s="501"/>
      <c r="LBW19" s="501"/>
      <c r="LBX19" s="501"/>
      <c r="LBY19" s="501"/>
      <c r="LBZ19" s="501"/>
      <c r="LCA19" s="501"/>
      <c r="LCB19" s="501"/>
      <c r="LCC19" s="501"/>
      <c r="LCD19" s="501"/>
      <c r="LCE19" s="501"/>
      <c r="LCF19" s="501"/>
      <c r="LCG19" s="501"/>
      <c r="LCH19" s="501"/>
      <c r="LCI19" s="501"/>
      <c r="LCJ19" s="501"/>
      <c r="LCK19" s="501"/>
      <c r="LCL19" s="501"/>
      <c r="LCM19" s="501"/>
      <c r="LCN19" s="501"/>
      <c r="LCO19" s="501"/>
      <c r="LCP19" s="501"/>
      <c r="LCQ19" s="501"/>
      <c r="LCR19" s="501"/>
      <c r="LCS19" s="501"/>
      <c r="LCT19" s="501"/>
      <c r="LCU19" s="501"/>
      <c r="LCV19" s="501"/>
      <c r="LCW19" s="501"/>
      <c r="LCX19" s="501"/>
      <c r="LCY19" s="501"/>
      <c r="LCZ19" s="501"/>
      <c r="LDA19" s="501"/>
      <c r="LDB19" s="501"/>
      <c r="LDC19" s="501"/>
      <c r="LDD19" s="501"/>
      <c r="LDE19" s="501"/>
      <c r="LDF19" s="501"/>
      <c r="LDG19" s="501"/>
      <c r="LDH19" s="501"/>
      <c r="LDI19" s="501"/>
      <c r="LDJ19" s="501"/>
      <c r="LDK19" s="501"/>
      <c r="LDL19" s="501"/>
      <c r="LDM19" s="501"/>
      <c r="LDN19" s="501"/>
      <c r="LDO19" s="501"/>
      <c r="LDP19" s="501"/>
      <c r="LDQ19" s="501"/>
      <c r="LDR19" s="501"/>
      <c r="LDS19" s="501"/>
      <c r="LDT19" s="501"/>
      <c r="LDU19" s="501"/>
      <c r="LDV19" s="501"/>
      <c r="LDW19" s="501"/>
      <c r="LDX19" s="501"/>
      <c r="LDY19" s="501"/>
      <c r="LDZ19" s="501"/>
      <c r="LEA19" s="501"/>
      <c r="LEB19" s="501"/>
      <c r="LEC19" s="501"/>
      <c r="LED19" s="501"/>
      <c r="LEE19" s="501"/>
      <c r="LEF19" s="501"/>
      <c r="LEG19" s="501"/>
      <c r="LEH19" s="501"/>
      <c r="LEI19" s="501"/>
      <c r="LEJ19" s="501"/>
      <c r="LEK19" s="501"/>
      <c r="LEL19" s="501"/>
      <c r="LEM19" s="501"/>
      <c r="LEN19" s="501"/>
      <c r="LEO19" s="501"/>
      <c r="LEP19" s="501"/>
      <c r="LEQ19" s="501"/>
      <c r="LER19" s="501"/>
      <c r="LES19" s="501"/>
      <c r="LET19" s="501"/>
      <c r="LEU19" s="501"/>
      <c r="LEV19" s="501"/>
      <c r="LEW19" s="501"/>
      <c r="LEX19" s="501"/>
      <c r="LEY19" s="501"/>
      <c r="LEZ19" s="501"/>
      <c r="LFA19" s="501"/>
      <c r="LFB19" s="501"/>
      <c r="LFC19" s="501"/>
      <c r="LFD19" s="501"/>
      <c r="LFE19" s="501"/>
      <c r="LFF19" s="501"/>
      <c r="LFG19" s="501"/>
      <c r="LFH19" s="501"/>
      <c r="LFI19" s="501"/>
      <c r="LFJ19" s="501"/>
      <c r="LFK19" s="501"/>
      <c r="LFL19" s="501"/>
      <c r="LFM19" s="501"/>
      <c r="LFN19" s="501"/>
      <c r="LFO19" s="501"/>
      <c r="LFP19" s="501"/>
      <c r="LFQ19" s="501"/>
      <c r="LFR19" s="501"/>
      <c r="LFS19" s="501"/>
      <c r="LFT19" s="501"/>
      <c r="LFU19" s="501"/>
      <c r="LFV19" s="501"/>
      <c r="LFW19" s="501"/>
      <c r="LFX19" s="501"/>
      <c r="LFY19" s="501"/>
      <c r="LFZ19" s="501"/>
      <c r="LGA19" s="501"/>
      <c r="LGB19" s="501"/>
      <c r="LGC19" s="501"/>
      <c r="LGD19" s="501"/>
      <c r="LGE19" s="501"/>
      <c r="LGF19" s="501"/>
      <c r="LGG19" s="501"/>
      <c r="LGH19" s="501"/>
      <c r="LGI19" s="501"/>
      <c r="LGJ19" s="501"/>
      <c r="LGK19" s="501"/>
      <c r="LGL19" s="501"/>
      <c r="LGM19" s="501"/>
      <c r="LGN19" s="501"/>
      <c r="LGO19" s="501"/>
      <c r="LGP19" s="501"/>
      <c r="LGQ19" s="501"/>
      <c r="LGR19" s="501"/>
      <c r="LGS19" s="501"/>
      <c r="LGT19" s="501"/>
      <c r="LGU19" s="501"/>
      <c r="LGV19" s="501"/>
      <c r="LGW19" s="501"/>
      <c r="LGX19" s="501"/>
      <c r="LGY19" s="501"/>
      <c r="LGZ19" s="501"/>
      <c r="LHA19" s="501"/>
      <c r="LHB19" s="501"/>
      <c r="LHC19" s="501"/>
      <c r="LHD19" s="501"/>
      <c r="LHE19" s="501"/>
      <c r="LHF19" s="501"/>
      <c r="LHG19" s="501"/>
      <c r="LHH19" s="501"/>
      <c r="LHI19" s="501"/>
      <c r="LHJ19" s="501"/>
      <c r="LHK19" s="501"/>
      <c r="LHL19" s="501"/>
      <c r="LHM19" s="501"/>
      <c r="LHN19" s="501"/>
      <c r="LHO19" s="501"/>
      <c r="LHP19" s="501"/>
      <c r="LHQ19" s="501"/>
      <c r="LHR19" s="501"/>
      <c r="LHS19" s="501"/>
      <c r="LHT19" s="501"/>
      <c r="LHU19" s="501"/>
      <c r="LHV19" s="501"/>
      <c r="LHW19" s="501"/>
      <c r="LHX19" s="501"/>
      <c r="LHY19" s="501"/>
      <c r="LHZ19" s="501"/>
      <c r="LIA19" s="501"/>
      <c r="LIB19" s="501"/>
      <c r="LIC19" s="501"/>
      <c r="LID19" s="501"/>
      <c r="LIE19" s="501"/>
      <c r="LIF19" s="501"/>
      <c r="LIG19" s="501"/>
      <c r="LIH19" s="501"/>
      <c r="LII19" s="501"/>
      <c r="LIJ19" s="501"/>
      <c r="LIK19" s="501"/>
      <c r="LIL19" s="501"/>
      <c r="LIM19" s="501"/>
      <c r="LIN19" s="501"/>
      <c r="LIO19" s="501"/>
      <c r="LIP19" s="501"/>
      <c r="LIQ19" s="501"/>
      <c r="LIR19" s="501"/>
      <c r="LIS19" s="501"/>
      <c r="LIT19" s="501"/>
      <c r="LIU19" s="501"/>
      <c r="LIV19" s="501"/>
      <c r="LIW19" s="501"/>
      <c r="LIX19" s="501"/>
      <c r="LIY19" s="501"/>
      <c r="LIZ19" s="501"/>
      <c r="LJA19" s="501"/>
      <c r="LJB19" s="501"/>
      <c r="LJC19" s="501"/>
      <c r="LJD19" s="501"/>
      <c r="LJE19" s="501"/>
      <c r="LJF19" s="501"/>
      <c r="LJG19" s="501"/>
      <c r="LJH19" s="501"/>
      <c r="LJI19" s="501"/>
      <c r="LJJ19" s="501"/>
      <c r="LJK19" s="501"/>
      <c r="LJL19" s="501"/>
      <c r="LJM19" s="501"/>
      <c r="LJN19" s="501"/>
      <c r="LJO19" s="501"/>
      <c r="LJP19" s="501"/>
      <c r="LJQ19" s="501"/>
      <c r="LJR19" s="501"/>
      <c r="LJS19" s="501"/>
      <c r="LJT19" s="501"/>
      <c r="LJU19" s="501"/>
      <c r="LJV19" s="501"/>
      <c r="LJW19" s="501"/>
      <c r="LJX19" s="501"/>
      <c r="LJY19" s="501"/>
      <c r="LJZ19" s="501"/>
      <c r="LKA19" s="501"/>
      <c r="LKB19" s="501"/>
      <c r="LKC19" s="501"/>
      <c r="LKD19" s="501"/>
      <c r="LKE19" s="501"/>
      <c r="LKF19" s="501"/>
      <c r="LKG19" s="501"/>
      <c r="LKH19" s="501"/>
      <c r="LKI19" s="501"/>
      <c r="LKJ19" s="501"/>
      <c r="LKK19" s="501"/>
      <c r="LKL19" s="501"/>
      <c r="LKM19" s="501"/>
      <c r="LKN19" s="501"/>
      <c r="LKO19" s="501"/>
      <c r="LKP19" s="501"/>
      <c r="LKQ19" s="501"/>
      <c r="LKR19" s="501"/>
      <c r="LKS19" s="501"/>
      <c r="LKT19" s="501"/>
      <c r="LKU19" s="501"/>
      <c r="LKV19" s="501"/>
      <c r="LKW19" s="501"/>
      <c r="LKX19" s="501"/>
      <c r="LKY19" s="501"/>
      <c r="LKZ19" s="501"/>
      <c r="LLA19" s="501"/>
      <c r="LLB19" s="501"/>
      <c r="LLC19" s="501"/>
      <c r="LLD19" s="501"/>
      <c r="LLE19" s="501"/>
      <c r="LLF19" s="501"/>
      <c r="LLG19" s="501"/>
      <c r="LLH19" s="501"/>
      <c r="LLI19" s="501"/>
      <c r="LLJ19" s="501"/>
      <c r="LLK19" s="501"/>
      <c r="LLL19" s="501"/>
      <c r="LLM19" s="501"/>
      <c r="LLN19" s="501"/>
      <c r="LLO19" s="501"/>
      <c r="LLP19" s="501"/>
      <c r="LLQ19" s="501"/>
      <c r="LLR19" s="501"/>
      <c r="LLS19" s="501"/>
      <c r="LLT19" s="501"/>
      <c r="LLU19" s="501"/>
      <c r="LLV19" s="501"/>
      <c r="LLW19" s="501"/>
      <c r="LLX19" s="501"/>
      <c r="LLY19" s="501"/>
      <c r="LLZ19" s="501"/>
      <c r="LMA19" s="501"/>
      <c r="LMB19" s="501"/>
      <c r="LMC19" s="501"/>
      <c r="LMD19" s="501"/>
      <c r="LME19" s="501"/>
      <c r="LMF19" s="501"/>
      <c r="LMG19" s="501"/>
      <c r="LMH19" s="501"/>
      <c r="LMI19" s="501"/>
      <c r="LMJ19" s="501"/>
      <c r="LMK19" s="501"/>
      <c r="LML19" s="501"/>
      <c r="LMM19" s="501"/>
      <c r="LMN19" s="501"/>
      <c r="LMO19" s="501"/>
      <c r="LMP19" s="501"/>
      <c r="LMQ19" s="501"/>
      <c r="LMR19" s="501"/>
      <c r="LMS19" s="501"/>
      <c r="LMT19" s="501"/>
      <c r="LMU19" s="501"/>
      <c r="LMV19" s="501"/>
      <c r="LMW19" s="501"/>
      <c r="LMX19" s="501"/>
      <c r="LMY19" s="501"/>
      <c r="LMZ19" s="501"/>
      <c r="LNA19" s="501"/>
      <c r="LNB19" s="501"/>
      <c r="LNC19" s="501"/>
      <c r="LND19" s="501"/>
      <c r="LNE19" s="501"/>
      <c r="LNF19" s="501"/>
      <c r="LNG19" s="501"/>
      <c r="LNH19" s="501"/>
      <c r="LNI19" s="501"/>
      <c r="LNJ19" s="501"/>
      <c r="LNK19" s="501"/>
      <c r="LNL19" s="501"/>
      <c r="LNM19" s="501"/>
      <c r="LNN19" s="501"/>
      <c r="LNO19" s="501"/>
      <c r="LNP19" s="501"/>
      <c r="LNQ19" s="501"/>
      <c r="LNR19" s="501"/>
      <c r="LNS19" s="501"/>
      <c r="LNT19" s="501"/>
      <c r="LNU19" s="501"/>
      <c r="LNV19" s="501"/>
      <c r="LNW19" s="501"/>
      <c r="LNX19" s="501"/>
      <c r="LNY19" s="501"/>
      <c r="LNZ19" s="501"/>
      <c r="LOA19" s="501"/>
      <c r="LOB19" s="501"/>
      <c r="LOC19" s="501"/>
      <c r="LOD19" s="501"/>
      <c r="LOE19" s="501"/>
      <c r="LOF19" s="501"/>
      <c r="LOG19" s="501"/>
      <c r="LOH19" s="501"/>
      <c r="LOI19" s="501"/>
      <c r="LOJ19" s="501"/>
      <c r="LOK19" s="501"/>
      <c r="LOL19" s="501"/>
      <c r="LOM19" s="501"/>
      <c r="LON19" s="501"/>
      <c r="LOO19" s="501"/>
      <c r="LOP19" s="501"/>
      <c r="LOQ19" s="501"/>
      <c r="LOR19" s="501"/>
      <c r="LOS19" s="501"/>
      <c r="LOT19" s="501"/>
      <c r="LOU19" s="501"/>
      <c r="LOV19" s="501"/>
      <c r="LOW19" s="501"/>
      <c r="LOX19" s="501"/>
      <c r="LOY19" s="501"/>
      <c r="LOZ19" s="501"/>
      <c r="LPA19" s="501"/>
      <c r="LPB19" s="501"/>
      <c r="LPC19" s="501"/>
      <c r="LPD19" s="501"/>
      <c r="LPE19" s="501"/>
      <c r="LPF19" s="501"/>
      <c r="LPG19" s="501"/>
      <c r="LPH19" s="501"/>
      <c r="LPI19" s="501"/>
      <c r="LPJ19" s="501"/>
      <c r="LPK19" s="501"/>
      <c r="LPL19" s="501"/>
      <c r="LPM19" s="501"/>
      <c r="LPN19" s="501"/>
      <c r="LPO19" s="501"/>
      <c r="LPP19" s="501"/>
      <c r="LPQ19" s="501"/>
      <c r="LPR19" s="501"/>
      <c r="LPS19" s="501"/>
      <c r="LPT19" s="501"/>
      <c r="LPU19" s="501"/>
      <c r="LPV19" s="501"/>
      <c r="LPW19" s="501"/>
      <c r="LPX19" s="501"/>
      <c r="LPY19" s="501"/>
      <c r="LPZ19" s="501"/>
      <c r="LQA19" s="501"/>
      <c r="LQB19" s="501"/>
      <c r="LQC19" s="501"/>
      <c r="LQD19" s="501"/>
      <c r="LQE19" s="501"/>
      <c r="LQF19" s="501"/>
      <c r="LQG19" s="501"/>
      <c r="LQH19" s="501"/>
      <c r="LQI19" s="501"/>
      <c r="LQJ19" s="501"/>
      <c r="LQK19" s="501"/>
      <c r="LQL19" s="501"/>
      <c r="LQM19" s="501"/>
      <c r="LQN19" s="501"/>
      <c r="LQO19" s="501"/>
      <c r="LQP19" s="501"/>
      <c r="LQQ19" s="501"/>
      <c r="LQR19" s="501"/>
      <c r="LQS19" s="501"/>
      <c r="LQT19" s="501"/>
      <c r="LQU19" s="501"/>
      <c r="LQV19" s="501"/>
      <c r="LQW19" s="501"/>
      <c r="LQX19" s="501"/>
      <c r="LQY19" s="501"/>
      <c r="LQZ19" s="501"/>
      <c r="LRA19" s="501"/>
      <c r="LRB19" s="501"/>
      <c r="LRC19" s="501"/>
      <c r="LRD19" s="501"/>
      <c r="LRE19" s="501"/>
      <c r="LRF19" s="501"/>
      <c r="LRG19" s="501"/>
      <c r="LRH19" s="501"/>
      <c r="LRI19" s="501"/>
      <c r="LRJ19" s="501"/>
      <c r="LRK19" s="501"/>
      <c r="LRL19" s="501"/>
      <c r="LRM19" s="501"/>
      <c r="LRN19" s="501"/>
      <c r="LRO19" s="501"/>
      <c r="LRP19" s="501"/>
      <c r="LRQ19" s="501"/>
      <c r="LRR19" s="501"/>
      <c r="LRS19" s="501"/>
      <c r="LRT19" s="501"/>
      <c r="LRU19" s="501"/>
      <c r="LRV19" s="501"/>
      <c r="LRW19" s="501"/>
      <c r="LRX19" s="501"/>
      <c r="LRY19" s="501"/>
      <c r="LRZ19" s="501"/>
      <c r="LSA19" s="501"/>
      <c r="LSB19" s="501"/>
      <c r="LSC19" s="501"/>
      <c r="LSD19" s="501"/>
      <c r="LSE19" s="501"/>
      <c r="LSF19" s="501"/>
      <c r="LSG19" s="501"/>
      <c r="LSH19" s="501"/>
      <c r="LSI19" s="501"/>
      <c r="LSJ19" s="501"/>
      <c r="LSK19" s="501"/>
      <c r="LSL19" s="501"/>
      <c r="LSM19" s="501"/>
      <c r="LSN19" s="501"/>
      <c r="LSO19" s="501"/>
      <c r="LSP19" s="501"/>
      <c r="LSQ19" s="501"/>
      <c r="LSR19" s="501"/>
      <c r="LSS19" s="501"/>
      <c r="LST19" s="501"/>
      <c r="LSU19" s="501"/>
      <c r="LSV19" s="501"/>
      <c r="LSW19" s="501"/>
      <c r="LSX19" s="501"/>
      <c r="LSY19" s="501"/>
      <c r="LSZ19" s="501"/>
      <c r="LTA19" s="501"/>
      <c r="LTB19" s="501"/>
      <c r="LTC19" s="501"/>
      <c r="LTD19" s="501"/>
      <c r="LTE19" s="501"/>
      <c r="LTF19" s="501"/>
      <c r="LTG19" s="501"/>
      <c r="LTH19" s="501"/>
      <c r="LTI19" s="501"/>
      <c r="LTJ19" s="501"/>
      <c r="LTK19" s="501"/>
      <c r="LTL19" s="501"/>
      <c r="LTM19" s="501"/>
      <c r="LTN19" s="501"/>
      <c r="LTO19" s="501"/>
      <c r="LTP19" s="501"/>
      <c r="LTQ19" s="501"/>
      <c r="LTR19" s="501"/>
      <c r="LTS19" s="501"/>
      <c r="LTT19" s="501"/>
      <c r="LTU19" s="501"/>
      <c r="LTV19" s="501"/>
      <c r="LTW19" s="501"/>
      <c r="LTX19" s="501"/>
      <c r="LTY19" s="501"/>
      <c r="LTZ19" s="501"/>
      <c r="LUA19" s="501"/>
      <c r="LUB19" s="501"/>
      <c r="LUC19" s="501"/>
      <c r="LUD19" s="501"/>
      <c r="LUE19" s="501"/>
      <c r="LUF19" s="501"/>
      <c r="LUG19" s="501"/>
      <c r="LUH19" s="501"/>
      <c r="LUI19" s="501"/>
      <c r="LUJ19" s="501"/>
      <c r="LUK19" s="501"/>
      <c r="LUL19" s="501"/>
      <c r="LUM19" s="501"/>
      <c r="LUN19" s="501"/>
      <c r="LUO19" s="501"/>
      <c r="LUP19" s="501"/>
      <c r="LUQ19" s="501"/>
      <c r="LUR19" s="501"/>
      <c r="LUS19" s="501"/>
      <c r="LUT19" s="501"/>
      <c r="LUU19" s="501"/>
      <c r="LUV19" s="501"/>
      <c r="LUW19" s="501"/>
      <c r="LUX19" s="501"/>
      <c r="LUY19" s="501"/>
      <c r="LUZ19" s="501"/>
      <c r="LVA19" s="501"/>
      <c r="LVB19" s="501"/>
      <c r="LVC19" s="501"/>
      <c r="LVD19" s="501"/>
      <c r="LVE19" s="501"/>
      <c r="LVF19" s="501"/>
      <c r="LVG19" s="501"/>
      <c r="LVH19" s="501"/>
      <c r="LVI19" s="501"/>
      <c r="LVJ19" s="501"/>
      <c r="LVK19" s="501"/>
      <c r="LVL19" s="501"/>
      <c r="LVM19" s="501"/>
      <c r="LVN19" s="501"/>
      <c r="LVO19" s="501"/>
      <c r="LVP19" s="501"/>
      <c r="LVQ19" s="501"/>
      <c r="LVR19" s="501"/>
      <c r="LVS19" s="501"/>
      <c r="LVT19" s="501"/>
      <c r="LVU19" s="501"/>
      <c r="LVV19" s="501"/>
      <c r="LVW19" s="501"/>
      <c r="LVX19" s="501"/>
      <c r="LVY19" s="501"/>
      <c r="LVZ19" s="501"/>
      <c r="LWA19" s="501"/>
      <c r="LWB19" s="501"/>
      <c r="LWC19" s="501"/>
      <c r="LWD19" s="501"/>
      <c r="LWE19" s="501"/>
      <c r="LWF19" s="501"/>
      <c r="LWG19" s="501"/>
      <c r="LWH19" s="501"/>
      <c r="LWI19" s="501"/>
      <c r="LWJ19" s="501"/>
      <c r="LWK19" s="501"/>
      <c r="LWL19" s="501"/>
      <c r="LWM19" s="501"/>
      <c r="LWN19" s="501"/>
      <c r="LWO19" s="501"/>
      <c r="LWP19" s="501"/>
      <c r="LWQ19" s="501"/>
      <c r="LWR19" s="501"/>
      <c r="LWS19" s="501"/>
      <c r="LWT19" s="501"/>
      <c r="LWU19" s="501"/>
      <c r="LWV19" s="501"/>
      <c r="LWW19" s="501"/>
      <c r="LWX19" s="501"/>
      <c r="LWY19" s="501"/>
      <c r="LWZ19" s="501"/>
      <c r="LXA19" s="501"/>
      <c r="LXB19" s="501"/>
      <c r="LXC19" s="501"/>
      <c r="LXD19" s="501"/>
      <c r="LXE19" s="501"/>
      <c r="LXF19" s="501"/>
      <c r="LXG19" s="501"/>
      <c r="LXH19" s="501"/>
      <c r="LXI19" s="501"/>
      <c r="LXJ19" s="501"/>
      <c r="LXK19" s="501"/>
      <c r="LXL19" s="501"/>
      <c r="LXM19" s="501"/>
      <c r="LXN19" s="501"/>
      <c r="LXO19" s="501"/>
      <c r="LXP19" s="501"/>
      <c r="LXQ19" s="501"/>
      <c r="LXR19" s="501"/>
      <c r="LXS19" s="501"/>
      <c r="LXT19" s="501"/>
      <c r="LXU19" s="501"/>
      <c r="LXV19" s="501"/>
      <c r="LXW19" s="501"/>
      <c r="LXX19" s="501"/>
      <c r="LXY19" s="501"/>
      <c r="LXZ19" s="501"/>
      <c r="LYA19" s="501"/>
      <c r="LYB19" s="501"/>
      <c r="LYC19" s="501"/>
      <c r="LYD19" s="501"/>
      <c r="LYE19" s="501"/>
      <c r="LYF19" s="501"/>
      <c r="LYG19" s="501"/>
      <c r="LYH19" s="501"/>
      <c r="LYI19" s="501"/>
      <c r="LYJ19" s="501"/>
      <c r="LYK19" s="501"/>
      <c r="LYL19" s="501"/>
      <c r="LYM19" s="501"/>
      <c r="LYN19" s="501"/>
      <c r="LYO19" s="501"/>
      <c r="LYP19" s="501"/>
      <c r="LYQ19" s="501"/>
      <c r="LYR19" s="501"/>
      <c r="LYS19" s="501"/>
      <c r="LYT19" s="501"/>
      <c r="LYU19" s="501"/>
      <c r="LYV19" s="501"/>
      <c r="LYW19" s="501"/>
      <c r="LYX19" s="501"/>
      <c r="LYY19" s="501"/>
      <c r="LYZ19" s="501"/>
      <c r="LZA19" s="501"/>
      <c r="LZB19" s="501"/>
      <c r="LZC19" s="501"/>
      <c r="LZD19" s="501"/>
      <c r="LZE19" s="501"/>
      <c r="LZF19" s="501"/>
      <c r="LZG19" s="501"/>
      <c r="LZH19" s="501"/>
      <c r="LZI19" s="501"/>
      <c r="LZJ19" s="501"/>
      <c r="LZK19" s="501"/>
      <c r="LZL19" s="501"/>
      <c r="LZM19" s="501"/>
      <c r="LZN19" s="501"/>
      <c r="LZO19" s="501"/>
      <c r="LZP19" s="501"/>
      <c r="LZQ19" s="501"/>
      <c r="LZR19" s="501"/>
      <c r="LZS19" s="501"/>
      <c r="LZT19" s="501"/>
      <c r="LZU19" s="501"/>
      <c r="LZV19" s="501"/>
      <c r="LZW19" s="501"/>
      <c r="LZX19" s="501"/>
      <c r="LZY19" s="501"/>
      <c r="LZZ19" s="501"/>
      <c r="MAA19" s="501"/>
      <c r="MAB19" s="501"/>
      <c r="MAC19" s="501"/>
      <c r="MAD19" s="501"/>
      <c r="MAE19" s="501"/>
      <c r="MAF19" s="501"/>
      <c r="MAG19" s="501"/>
      <c r="MAH19" s="501"/>
      <c r="MAI19" s="501"/>
      <c r="MAJ19" s="501"/>
      <c r="MAK19" s="501"/>
      <c r="MAL19" s="501"/>
      <c r="MAM19" s="501"/>
      <c r="MAN19" s="501"/>
      <c r="MAO19" s="501"/>
      <c r="MAP19" s="501"/>
      <c r="MAQ19" s="501"/>
      <c r="MAR19" s="501"/>
      <c r="MAS19" s="501"/>
      <c r="MAT19" s="501"/>
      <c r="MAU19" s="501"/>
      <c r="MAV19" s="501"/>
      <c r="MAW19" s="501"/>
      <c r="MAX19" s="501"/>
      <c r="MAY19" s="501"/>
      <c r="MAZ19" s="501"/>
      <c r="MBA19" s="501"/>
      <c r="MBB19" s="501"/>
      <c r="MBC19" s="501"/>
      <c r="MBD19" s="501"/>
      <c r="MBE19" s="501"/>
      <c r="MBF19" s="501"/>
      <c r="MBG19" s="501"/>
      <c r="MBH19" s="501"/>
      <c r="MBI19" s="501"/>
      <c r="MBJ19" s="501"/>
      <c r="MBK19" s="501"/>
      <c r="MBL19" s="501"/>
      <c r="MBM19" s="501"/>
      <c r="MBN19" s="501"/>
      <c r="MBO19" s="501"/>
      <c r="MBP19" s="501"/>
      <c r="MBQ19" s="501"/>
      <c r="MBR19" s="501"/>
      <c r="MBS19" s="501"/>
      <c r="MBT19" s="501"/>
      <c r="MBU19" s="501"/>
      <c r="MBV19" s="501"/>
      <c r="MBW19" s="501"/>
      <c r="MBX19" s="501"/>
      <c r="MBY19" s="501"/>
      <c r="MBZ19" s="501"/>
      <c r="MCA19" s="501"/>
      <c r="MCB19" s="501"/>
      <c r="MCC19" s="501"/>
      <c r="MCD19" s="501"/>
      <c r="MCE19" s="501"/>
      <c r="MCF19" s="501"/>
      <c r="MCG19" s="501"/>
      <c r="MCH19" s="501"/>
      <c r="MCI19" s="501"/>
      <c r="MCJ19" s="501"/>
      <c r="MCK19" s="501"/>
      <c r="MCL19" s="501"/>
      <c r="MCM19" s="501"/>
      <c r="MCN19" s="501"/>
      <c r="MCO19" s="501"/>
      <c r="MCP19" s="501"/>
      <c r="MCQ19" s="501"/>
      <c r="MCR19" s="501"/>
      <c r="MCS19" s="501"/>
      <c r="MCT19" s="501"/>
      <c r="MCU19" s="501"/>
      <c r="MCV19" s="501"/>
      <c r="MCW19" s="501"/>
      <c r="MCX19" s="501"/>
      <c r="MCY19" s="501"/>
      <c r="MCZ19" s="501"/>
      <c r="MDA19" s="501"/>
      <c r="MDB19" s="501"/>
      <c r="MDC19" s="501"/>
      <c r="MDD19" s="501"/>
      <c r="MDE19" s="501"/>
      <c r="MDF19" s="501"/>
      <c r="MDG19" s="501"/>
      <c r="MDH19" s="501"/>
      <c r="MDI19" s="501"/>
      <c r="MDJ19" s="501"/>
      <c r="MDK19" s="501"/>
      <c r="MDL19" s="501"/>
      <c r="MDM19" s="501"/>
      <c r="MDN19" s="501"/>
      <c r="MDO19" s="501"/>
      <c r="MDP19" s="501"/>
      <c r="MDQ19" s="501"/>
      <c r="MDR19" s="501"/>
      <c r="MDS19" s="501"/>
      <c r="MDT19" s="501"/>
      <c r="MDU19" s="501"/>
      <c r="MDV19" s="501"/>
      <c r="MDW19" s="501"/>
      <c r="MDX19" s="501"/>
      <c r="MDY19" s="501"/>
      <c r="MDZ19" s="501"/>
      <c r="MEA19" s="501"/>
      <c r="MEB19" s="501"/>
      <c r="MEC19" s="501"/>
      <c r="MED19" s="501"/>
      <c r="MEE19" s="501"/>
      <c r="MEF19" s="501"/>
      <c r="MEG19" s="501"/>
      <c r="MEH19" s="501"/>
      <c r="MEI19" s="501"/>
      <c r="MEJ19" s="501"/>
      <c r="MEK19" s="501"/>
      <c r="MEL19" s="501"/>
      <c r="MEM19" s="501"/>
      <c r="MEN19" s="501"/>
      <c r="MEO19" s="501"/>
      <c r="MEP19" s="501"/>
      <c r="MEQ19" s="501"/>
      <c r="MER19" s="501"/>
      <c r="MES19" s="501"/>
      <c r="MET19" s="501"/>
      <c r="MEU19" s="501"/>
      <c r="MEV19" s="501"/>
      <c r="MEW19" s="501"/>
      <c r="MEX19" s="501"/>
      <c r="MEY19" s="501"/>
      <c r="MEZ19" s="501"/>
      <c r="MFA19" s="501"/>
      <c r="MFB19" s="501"/>
      <c r="MFC19" s="501"/>
      <c r="MFD19" s="501"/>
      <c r="MFE19" s="501"/>
      <c r="MFF19" s="501"/>
      <c r="MFG19" s="501"/>
      <c r="MFH19" s="501"/>
      <c r="MFI19" s="501"/>
      <c r="MFJ19" s="501"/>
      <c r="MFK19" s="501"/>
      <c r="MFL19" s="501"/>
      <c r="MFM19" s="501"/>
      <c r="MFN19" s="501"/>
      <c r="MFO19" s="501"/>
      <c r="MFP19" s="501"/>
      <c r="MFQ19" s="501"/>
      <c r="MFR19" s="501"/>
      <c r="MFS19" s="501"/>
      <c r="MFT19" s="501"/>
      <c r="MFU19" s="501"/>
      <c r="MFV19" s="501"/>
      <c r="MFW19" s="501"/>
      <c r="MFX19" s="501"/>
      <c r="MFY19" s="501"/>
      <c r="MFZ19" s="501"/>
      <c r="MGA19" s="501"/>
      <c r="MGB19" s="501"/>
      <c r="MGC19" s="501"/>
      <c r="MGD19" s="501"/>
      <c r="MGE19" s="501"/>
      <c r="MGF19" s="501"/>
      <c r="MGG19" s="501"/>
      <c r="MGH19" s="501"/>
      <c r="MGI19" s="501"/>
      <c r="MGJ19" s="501"/>
      <c r="MGK19" s="501"/>
      <c r="MGL19" s="501"/>
      <c r="MGM19" s="501"/>
      <c r="MGN19" s="501"/>
      <c r="MGO19" s="501"/>
      <c r="MGP19" s="501"/>
      <c r="MGQ19" s="501"/>
      <c r="MGR19" s="501"/>
      <c r="MGS19" s="501"/>
      <c r="MGT19" s="501"/>
      <c r="MGU19" s="501"/>
      <c r="MGV19" s="501"/>
      <c r="MGW19" s="501"/>
      <c r="MGX19" s="501"/>
      <c r="MGY19" s="501"/>
      <c r="MGZ19" s="501"/>
      <c r="MHA19" s="501"/>
      <c r="MHB19" s="501"/>
      <c r="MHC19" s="501"/>
      <c r="MHD19" s="501"/>
      <c r="MHE19" s="501"/>
      <c r="MHF19" s="501"/>
      <c r="MHG19" s="501"/>
      <c r="MHH19" s="501"/>
      <c r="MHI19" s="501"/>
      <c r="MHJ19" s="501"/>
      <c r="MHK19" s="501"/>
      <c r="MHL19" s="501"/>
      <c r="MHM19" s="501"/>
      <c r="MHN19" s="501"/>
      <c r="MHO19" s="501"/>
      <c r="MHP19" s="501"/>
      <c r="MHQ19" s="501"/>
      <c r="MHR19" s="501"/>
      <c r="MHS19" s="501"/>
      <c r="MHT19" s="501"/>
      <c r="MHU19" s="501"/>
      <c r="MHV19" s="501"/>
      <c r="MHW19" s="501"/>
      <c r="MHX19" s="501"/>
      <c r="MHY19" s="501"/>
      <c r="MHZ19" s="501"/>
      <c r="MIA19" s="501"/>
      <c r="MIB19" s="501"/>
      <c r="MIC19" s="501"/>
      <c r="MID19" s="501"/>
      <c r="MIE19" s="501"/>
      <c r="MIF19" s="501"/>
      <c r="MIG19" s="501"/>
      <c r="MIH19" s="501"/>
      <c r="MII19" s="501"/>
      <c r="MIJ19" s="501"/>
      <c r="MIK19" s="501"/>
      <c r="MIL19" s="501"/>
      <c r="MIM19" s="501"/>
      <c r="MIN19" s="501"/>
      <c r="MIO19" s="501"/>
      <c r="MIP19" s="501"/>
      <c r="MIQ19" s="501"/>
      <c r="MIR19" s="501"/>
      <c r="MIS19" s="501"/>
      <c r="MIT19" s="501"/>
      <c r="MIU19" s="501"/>
      <c r="MIV19" s="501"/>
      <c r="MIW19" s="501"/>
      <c r="MIX19" s="501"/>
      <c r="MIY19" s="501"/>
      <c r="MIZ19" s="501"/>
      <c r="MJA19" s="501"/>
      <c r="MJB19" s="501"/>
      <c r="MJC19" s="501"/>
      <c r="MJD19" s="501"/>
      <c r="MJE19" s="501"/>
      <c r="MJF19" s="501"/>
      <c r="MJG19" s="501"/>
      <c r="MJH19" s="501"/>
      <c r="MJI19" s="501"/>
      <c r="MJJ19" s="501"/>
      <c r="MJK19" s="501"/>
      <c r="MJL19" s="501"/>
      <c r="MJM19" s="501"/>
      <c r="MJN19" s="501"/>
      <c r="MJO19" s="501"/>
      <c r="MJP19" s="501"/>
      <c r="MJQ19" s="501"/>
      <c r="MJR19" s="501"/>
      <c r="MJS19" s="501"/>
      <c r="MJT19" s="501"/>
      <c r="MJU19" s="501"/>
      <c r="MJV19" s="501"/>
      <c r="MJW19" s="501"/>
      <c r="MJX19" s="501"/>
      <c r="MJY19" s="501"/>
      <c r="MJZ19" s="501"/>
      <c r="MKA19" s="501"/>
      <c r="MKB19" s="501"/>
      <c r="MKC19" s="501"/>
      <c r="MKD19" s="501"/>
      <c r="MKE19" s="501"/>
      <c r="MKF19" s="501"/>
      <c r="MKG19" s="501"/>
      <c r="MKH19" s="501"/>
      <c r="MKI19" s="501"/>
      <c r="MKJ19" s="501"/>
      <c r="MKK19" s="501"/>
      <c r="MKL19" s="501"/>
      <c r="MKM19" s="501"/>
      <c r="MKN19" s="501"/>
      <c r="MKO19" s="501"/>
      <c r="MKP19" s="501"/>
      <c r="MKQ19" s="501"/>
      <c r="MKR19" s="501"/>
      <c r="MKS19" s="501"/>
      <c r="MKT19" s="501"/>
      <c r="MKU19" s="501"/>
      <c r="MKV19" s="501"/>
      <c r="MKW19" s="501"/>
      <c r="MKX19" s="501"/>
      <c r="MKY19" s="501"/>
      <c r="MKZ19" s="501"/>
      <c r="MLA19" s="501"/>
      <c r="MLB19" s="501"/>
      <c r="MLC19" s="501"/>
      <c r="MLD19" s="501"/>
      <c r="MLE19" s="501"/>
      <c r="MLF19" s="501"/>
      <c r="MLG19" s="501"/>
      <c r="MLH19" s="501"/>
      <c r="MLI19" s="501"/>
      <c r="MLJ19" s="501"/>
      <c r="MLK19" s="501"/>
      <c r="MLL19" s="501"/>
      <c r="MLM19" s="501"/>
      <c r="MLN19" s="501"/>
      <c r="MLO19" s="501"/>
      <c r="MLP19" s="501"/>
      <c r="MLQ19" s="501"/>
      <c r="MLR19" s="501"/>
      <c r="MLS19" s="501"/>
      <c r="MLT19" s="501"/>
      <c r="MLU19" s="501"/>
      <c r="MLV19" s="501"/>
      <c r="MLW19" s="501"/>
      <c r="MLX19" s="501"/>
      <c r="MLY19" s="501"/>
      <c r="MLZ19" s="501"/>
      <c r="MMA19" s="501"/>
      <c r="MMB19" s="501"/>
      <c r="MMC19" s="501"/>
      <c r="MMD19" s="501"/>
      <c r="MME19" s="501"/>
      <c r="MMF19" s="501"/>
      <c r="MMG19" s="501"/>
      <c r="MMH19" s="501"/>
      <c r="MMI19" s="501"/>
      <c r="MMJ19" s="501"/>
      <c r="MMK19" s="501"/>
      <c r="MML19" s="501"/>
      <c r="MMM19" s="501"/>
      <c r="MMN19" s="501"/>
      <c r="MMO19" s="501"/>
      <c r="MMP19" s="501"/>
      <c r="MMQ19" s="501"/>
      <c r="MMR19" s="501"/>
      <c r="MMS19" s="501"/>
      <c r="MMT19" s="501"/>
      <c r="MMU19" s="501"/>
      <c r="MMV19" s="501"/>
      <c r="MMW19" s="501"/>
      <c r="MMX19" s="501"/>
      <c r="MMY19" s="501"/>
      <c r="MMZ19" s="501"/>
      <c r="MNA19" s="501"/>
      <c r="MNB19" s="501"/>
      <c r="MNC19" s="501"/>
      <c r="MND19" s="501"/>
      <c r="MNE19" s="501"/>
      <c r="MNF19" s="501"/>
      <c r="MNG19" s="501"/>
      <c r="MNH19" s="501"/>
      <c r="MNI19" s="501"/>
      <c r="MNJ19" s="501"/>
      <c r="MNK19" s="501"/>
      <c r="MNL19" s="501"/>
      <c r="MNM19" s="501"/>
      <c r="MNN19" s="501"/>
      <c r="MNO19" s="501"/>
      <c r="MNP19" s="501"/>
      <c r="MNQ19" s="501"/>
      <c r="MNR19" s="501"/>
      <c r="MNS19" s="501"/>
      <c r="MNT19" s="501"/>
      <c r="MNU19" s="501"/>
      <c r="MNV19" s="501"/>
      <c r="MNW19" s="501"/>
      <c r="MNX19" s="501"/>
      <c r="MNY19" s="501"/>
      <c r="MNZ19" s="501"/>
      <c r="MOA19" s="501"/>
      <c r="MOB19" s="501"/>
      <c r="MOC19" s="501"/>
      <c r="MOD19" s="501"/>
      <c r="MOE19" s="501"/>
      <c r="MOF19" s="501"/>
      <c r="MOG19" s="501"/>
      <c r="MOH19" s="501"/>
      <c r="MOI19" s="501"/>
      <c r="MOJ19" s="501"/>
      <c r="MOK19" s="501"/>
      <c r="MOL19" s="501"/>
      <c r="MOM19" s="501"/>
      <c r="MON19" s="501"/>
      <c r="MOO19" s="501"/>
      <c r="MOP19" s="501"/>
      <c r="MOQ19" s="501"/>
      <c r="MOR19" s="501"/>
      <c r="MOS19" s="501"/>
      <c r="MOT19" s="501"/>
      <c r="MOU19" s="501"/>
      <c r="MOV19" s="501"/>
      <c r="MOW19" s="501"/>
      <c r="MOX19" s="501"/>
      <c r="MOY19" s="501"/>
      <c r="MOZ19" s="501"/>
      <c r="MPA19" s="501"/>
      <c r="MPB19" s="501"/>
      <c r="MPC19" s="501"/>
      <c r="MPD19" s="501"/>
      <c r="MPE19" s="501"/>
      <c r="MPF19" s="501"/>
      <c r="MPG19" s="501"/>
      <c r="MPH19" s="501"/>
      <c r="MPI19" s="501"/>
      <c r="MPJ19" s="501"/>
      <c r="MPK19" s="501"/>
      <c r="MPL19" s="501"/>
      <c r="MPM19" s="501"/>
      <c r="MPN19" s="501"/>
      <c r="MPO19" s="501"/>
      <c r="MPP19" s="501"/>
      <c r="MPQ19" s="501"/>
      <c r="MPR19" s="501"/>
      <c r="MPS19" s="501"/>
      <c r="MPT19" s="501"/>
      <c r="MPU19" s="501"/>
      <c r="MPV19" s="501"/>
      <c r="MPW19" s="501"/>
      <c r="MPX19" s="501"/>
      <c r="MPY19" s="501"/>
      <c r="MPZ19" s="501"/>
      <c r="MQA19" s="501"/>
      <c r="MQB19" s="501"/>
      <c r="MQC19" s="501"/>
      <c r="MQD19" s="501"/>
      <c r="MQE19" s="501"/>
      <c r="MQF19" s="501"/>
      <c r="MQG19" s="501"/>
      <c r="MQH19" s="501"/>
      <c r="MQI19" s="501"/>
      <c r="MQJ19" s="501"/>
      <c r="MQK19" s="501"/>
      <c r="MQL19" s="501"/>
      <c r="MQM19" s="501"/>
      <c r="MQN19" s="501"/>
      <c r="MQO19" s="501"/>
      <c r="MQP19" s="501"/>
      <c r="MQQ19" s="501"/>
      <c r="MQR19" s="501"/>
      <c r="MQS19" s="501"/>
      <c r="MQT19" s="501"/>
      <c r="MQU19" s="501"/>
      <c r="MQV19" s="501"/>
      <c r="MQW19" s="501"/>
      <c r="MQX19" s="501"/>
      <c r="MQY19" s="501"/>
      <c r="MQZ19" s="501"/>
      <c r="MRA19" s="501"/>
      <c r="MRB19" s="501"/>
      <c r="MRC19" s="501"/>
      <c r="MRD19" s="501"/>
      <c r="MRE19" s="501"/>
      <c r="MRF19" s="501"/>
      <c r="MRG19" s="501"/>
      <c r="MRH19" s="501"/>
      <c r="MRI19" s="501"/>
      <c r="MRJ19" s="501"/>
      <c r="MRK19" s="501"/>
      <c r="MRL19" s="501"/>
      <c r="MRM19" s="501"/>
      <c r="MRN19" s="501"/>
      <c r="MRO19" s="501"/>
      <c r="MRP19" s="501"/>
      <c r="MRQ19" s="501"/>
      <c r="MRR19" s="501"/>
      <c r="MRS19" s="501"/>
      <c r="MRT19" s="501"/>
      <c r="MRU19" s="501"/>
      <c r="MRV19" s="501"/>
      <c r="MRW19" s="501"/>
      <c r="MRX19" s="501"/>
      <c r="MRY19" s="501"/>
      <c r="MRZ19" s="501"/>
      <c r="MSA19" s="501"/>
      <c r="MSB19" s="501"/>
      <c r="MSC19" s="501"/>
      <c r="MSD19" s="501"/>
      <c r="MSE19" s="501"/>
      <c r="MSF19" s="501"/>
      <c r="MSG19" s="501"/>
      <c r="MSH19" s="501"/>
      <c r="MSI19" s="501"/>
      <c r="MSJ19" s="501"/>
      <c r="MSK19" s="501"/>
      <c r="MSL19" s="501"/>
      <c r="MSM19" s="501"/>
      <c r="MSN19" s="501"/>
      <c r="MSO19" s="501"/>
      <c r="MSP19" s="501"/>
      <c r="MSQ19" s="501"/>
      <c r="MSR19" s="501"/>
      <c r="MSS19" s="501"/>
      <c r="MST19" s="501"/>
      <c r="MSU19" s="501"/>
      <c r="MSV19" s="501"/>
      <c r="MSW19" s="501"/>
      <c r="MSX19" s="501"/>
      <c r="MSY19" s="501"/>
      <c r="MSZ19" s="501"/>
      <c r="MTA19" s="501"/>
      <c r="MTB19" s="501"/>
      <c r="MTC19" s="501"/>
      <c r="MTD19" s="501"/>
      <c r="MTE19" s="501"/>
      <c r="MTF19" s="501"/>
      <c r="MTG19" s="501"/>
      <c r="MTH19" s="501"/>
      <c r="MTI19" s="501"/>
      <c r="MTJ19" s="501"/>
      <c r="MTK19" s="501"/>
      <c r="MTL19" s="501"/>
      <c r="MTM19" s="501"/>
      <c r="MTN19" s="501"/>
      <c r="MTO19" s="501"/>
      <c r="MTP19" s="501"/>
      <c r="MTQ19" s="501"/>
      <c r="MTR19" s="501"/>
      <c r="MTS19" s="501"/>
      <c r="MTT19" s="501"/>
      <c r="MTU19" s="501"/>
      <c r="MTV19" s="501"/>
      <c r="MTW19" s="501"/>
      <c r="MTX19" s="501"/>
      <c r="MTY19" s="501"/>
      <c r="MTZ19" s="501"/>
      <c r="MUA19" s="501"/>
      <c r="MUB19" s="501"/>
      <c r="MUC19" s="501"/>
      <c r="MUD19" s="501"/>
      <c r="MUE19" s="501"/>
      <c r="MUF19" s="501"/>
      <c r="MUG19" s="501"/>
      <c r="MUH19" s="501"/>
      <c r="MUI19" s="501"/>
      <c r="MUJ19" s="501"/>
      <c r="MUK19" s="501"/>
      <c r="MUL19" s="501"/>
      <c r="MUM19" s="501"/>
      <c r="MUN19" s="501"/>
      <c r="MUO19" s="501"/>
      <c r="MUP19" s="501"/>
      <c r="MUQ19" s="501"/>
      <c r="MUR19" s="501"/>
      <c r="MUS19" s="501"/>
      <c r="MUT19" s="501"/>
      <c r="MUU19" s="501"/>
      <c r="MUV19" s="501"/>
      <c r="MUW19" s="501"/>
      <c r="MUX19" s="501"/>
      <c r="MUY19" s="501"/>
      <c r="MUZ19" s="501"/>
      <c r="MVA19" s="501"/>
      <c r="MVB19" s="501"/>
      <c r="MVC19" s="501"/>
      <c r="MVD19" s="501"/>
      <c r="MVE19" s="501"/>
      <c r="MVF19" s="501"/>
      <c r="MVG19" s="501"/>
      <c r="MVH19" s="501"/>
      <c r="MVI19" s="501"/>
      <c r="MVJ19" s="501"/>
      <c r="MVK19" s="501"/>
      <c r="MVL19" s="501"/>
      <c r="MVM19" s="501"/>
      <c r="MVN19" s="501"/>
      <c r="MVO19" s="501"/>
      <c r="MVP19" s="501"/>
      <c r="MVQ19" s="501"/>
      <c r="MVR19" s="501"/>
      <c r="MVS19" s="501"/>
      <c r="MVT19" s="501"/>
      <c r="MVU19" s="501"/>
      <c r="MVV19" s="501"/>
      <c r="MVW19" s="501"/>
      <c r="MVX19" s="501"/>
      <c r="MVY19" s="501"/>
      <c r="MVZ19" s="501"/>
      <c r="MWA19" s="501"/>
      <c r="MWB19" s="501"/>
      <c r="MWC19" s="501"/>
      <c r="MWD19" s="501"/>
      <c r="MWE19" s="501"/>
      <c r="MWF19" s="501"/>
      <c r="MWG19" s="501"/>
      <c r="MWH19" s="501"/>
      <c r="MWI19" s="501"/>
      <c r="MWJ19" s="501"/>
      <c r="MWK19" s="501"/>
      <c r="MWL19" s="501"/>
      <c r="MWM19" s="501"/>
      <c r="MWN19" s="501"/>
      <c r="MWO19" s="501"/>
      <c r="MWP19" s="501"/>
      <c r="MWQ19" s="501"/>
      <c r="MWR19" s="501"/>
      <c r="MWS19" s="501"/>
      <c r="MWT19" s="501"/>
      <c r="MWU19" s="501"/>
      <c r="MWV19" s="501"/>
      <c r="MWW19" s="501"/>
      <c r="MWX19" s="501"/>
      <c r="MWY19" s="501"/>
      <c r="MWZ19" s="501"/>
      <c r="MXA19" s="501"/>
      <c r="MXB19" s="501"/>
      <c r="MXC19" s="501"/>
      <c r="MXD19" s="501"/>
      <c r="MXE19" s="501"/>
      <c r="MXF19" s="501"/>
      <c r="MXG19" s="501"/>
      <c r="MXH19" s="501"/>
      <c r="MXI19" s="501"/>
      <c r="MXJ19" s="501"/>
      <c r="MXK19" s="501"/>
      <c r="MXL19" s="501"/>
      <c r="MXM19" s="501"/>
      <c r="MXN19" s="501"/>
      <c r="MXO19" s="501"/>
      <c r="MXP19" s="501"/>
      <c r="MXQ19" s="501"/>
      <c r="MXR19" s="501"/>
      <c r="MXS19" s="501"/>
      <c r="MXT19" s="501"/>
      <c r="MXU19" s="501"/>
      <c r="MXV19" s="501"/>
      <c r="MXW19" s="501"/>
      <c r="MXX19" s="501"/>
      <c r="MXY19" s="501"/>
      <c r="MXZ19" s="501"/>
      <c r="MYA19" s="501"/>
      <c r="MYB19" s="501"/>
      <c r="MYC19" s="501"/>
      <c r="MYD19" s="501"/>
      <c r="MYE19" s="501"/>
      <c r="MYF19" s="501"/>
      <c r="MYG19" s="501"/>
      <c r="MYH19" s="501"/>
      <c r="MYI19" s="501"/>
      <c r="MYJ19" s="501"/>
      <c r="MYK19" s="501"/>
      <c r="MYL19" s="501"/>
      <c r="MYM19" s="501"/>
      <c r="MYN19" s="501"/>
      <c r="MYO19" s="501"/>
      <c r="MYP19" s="501"/>
      <c r="MYQ19" s="501"/>
      <c r="MYR19" s="501"/>
      <c r="MYS19" s="501"/>
      <c r="MYT19" s="501"/>
      <c r="MYU19" s="501"/>
      <c r="MYV19" s="501"/>
      <c r="MYW19" s="501"/>
      <c r="MYX19" s="501"/>
      <c r="MYY19" s="501"/>
      <c r="MYZ19" s="501"/>
      <c r="MZA19" s="501"/>
      <c r="MZB19" s="501"/>
      <c r="MZC19" s="501"/>
      <c r="MZD19" s="501"/>
      <c r="MZE19" s="501"/>
      <c r="MZF19" s="501"/>
      <c r="MZG19" s="501"/>
      <c r="MZH19" s="501"/>
      <c r="MZI19" s="501"/>
      <c r="MZJ19" s="501"/>
      <c r="MZK19" s="501"/>
      <c r="MZL19" s="501"/>
      <c r="MZM19" s="501"/>
      <c r="MZN19" s="501"/>
      <c r="MZO19" s="501"/>
      <c r="MZP19" s="501"/>
      <c r="MZQ19" s="501"/>
      <c r="MZR19" s="501"/>
      <c r="MZS19" s="501"/>
      <c r="MZT19" s="501"/>
      <c r="MZU19" s="501"/>
      <c r="MZV19" s="501"/>
      <c r="MZW19" s="501"/>
      <c r="MZX19" s="501"/>
      <c r="MZY19" s="501"/>
      <c r="MZZ19" s="501"/>
      <c r="NAA19" s="501"/>
      <c r="NAB19" s="501"/>
      <c r="NAC19" s="501"/>
      <c r="NAD19" s="501"/>
      <c r="NAE19" s="501"/>
      <c r="NAF19" s="501"/>
      <c r="NAG19" s="501"/>
      <c r="NAH19" s="501"/>
      <c r="NAI19" s="501"/>
      <c r="NAJ19" s="501"/>
      <c r="NAK19" s="501"/>
      <c r="NAL19" s="501"/>
      <c r="NAM19" s="501"/>
      <c r="NAN19" s="501"/>
      <c r="NAO19" s="501"/>
      <c r="NAP19" s="501"/>
      <c r="NAQ19" s="501"/>
      <c r="NAR19" s="501"/>
      <c r="NAS19" s="501"/>
      <c r="NAT19" s="501"/>
      <c r="NAU19" s="501"/>
      <c r="NAV19" s="501"/>
      <c r="NAW19" s="501"/>
      <c r="NAX19" s="501"/>
      <c r="NAY19" s="501"/>
      <c r="NAZ19" s="501"/>
      <c r="NBA19" s="501"/>
      <c r="NBB19" s="501"/>
      <c r="NBC19" s="501"/>
      <c r="NBD19" s="501"/>
      <c r="NBE19" s="501"/>
      <c r="NBF19" s="501"/>
      <c r="NBG19" s="501"/>
      <c r="NBH19" s="501"/>
      <c r="NBI19" s="501"/>
      <c r="NBJ19" s="501"/>
      <c r="NBK19" s="501"/>
      <c r="NBL19" s="501"/>
      <c r="NBM19" s="501"/>
      <c r="NBN19" s="501"/>
      <c r="NBO19" s="501"/>
      <c r="NBP19" s="501"/>
      <c r="NBQ19" s="501"/>
      <c r="NBR19" s="501"/>
      <c r="NBS19" s="501"/>
      <c r="NBT19" s="501"/>
      <c r="NBU19" s="501"/>
      <c r="NBV19" s="501"/>
      <c r="NBW19" s="501"/>
      <c r="NBX19" s="501"/>
      <c r="NBY19" s="501"/>
      <c r="NBZ19" s="501"/>
      <c r="NCA19" s="501"/>
      <c r="NCB19" s="501"/>
      <c r="NCC19" s="501"/>
      <c r="NCD19" s="501"/>
      <c r="NCE19" s="501"/>
      <c r="NCF19" s="501"/>
      <c r="NCG19" s="501"/>
      <c r="NCH19" s="501"/>
      <c r="NCI19" s="501"/>
      <c r="NCJ19" s="501"/>
      <c r="NCK19" s="501"/>
      <c r="NCL19" s="501"/>
      <c r="NCM19" s="501"/>
      <c r="NCN19" s="501"/>
      <c r="NCO19" s="501"/>
      <c r="NCP19" s="501"/>
      <c r="NCQ19" s="501"/>
      <c r="NCR19" s="501"/>
      <c r="NCS19" s="501"/>
      <c r="NCT19" s="501"/>
      <c r="NCU19" s="501"/>
      <c r="NCV19" s="501"/>
      <c r="NCW19" s="501"/>
      <c r="NCX19" s="501"/>
      <c r="NCY19" s="501"/>
      <c r="NCZ19" s="501"/>
      <c r="NDA19" s="501"/>
      <c r="NDB19" s="501"/>
      <c r="NDC19" s="501"/>
      <c r="NDD19" s="501"/>
      <c r="NDE19" s="501"/>
      <c r="NDF19" s="501"/>
      <c r="NDG19" s="501"/>
      <c r="NDH19" s="501"/>
      <c r="NDI19" s="501"/>
      <c r="NDJ19" s="501"/>
      <c r="NDK19" s="501"/>
      <c r="NDL19" s="501"/>
      <c r="NDM19" s="501"/>
      <c r="NDN19" s="501"/>
      <c r="NDO19" s="501"/>
      <c r="NDP19" s="501"/>
      <c r="NDQ19" s="501"/>
      <c r="NDR19" s="501"/>
      <c r="NDS19" s="501"/>
      <c r="NDT19" s="501"/>
      <c r="NDU19" s="501"/>
      <c r="NDV19" s="501"/>
      <c r="NDW19" s="501"/>
      <c r="NDX19" s="501"/>
      <c r="NDY19" s="501"/>
      <c r="NDZ19" s="501"/>
      <c r="NEA19" s="501"/>
      <c r="NEB19" s="501"/>
      <c r="NEC19" s="501"/>
      <c r="NED19" s="501"/>
      <c r="NEE19" s="501"/>
      <c r="NEF19" s="501"/>
      <c r="NEG19" s="501"/>
      <c r="NEH19" s="501"/>
      <c r="NEI19" s="501"/>
      <c r="NEJ19" s="501"/>
      <c r="NEK19" s="501"/>
      <c r="NEL19" s="501"/>
      <c r="NEM19" s="501"/>
      <c r="NEN19" s="501"/>
      <c r="NEO19" s="501"/>
      <c r="NEP19" s="501"/>
      <c r="NEQ19" s="501"/>
      <c r="NER19" s="501"/>
      <c r="NES19" s="501"/>
      <c r="NET19" s="501"/>
      <c r="NEU19" s="501"/>
      <c r="NEV19" s="501"/>
      <c r="NEW19" s="501"/>
      <c r="NEX19" s="501"/>
      <c r="NEY19" s="501"/>
      <c r="NEZ19" s="501"/>
      <c r="NFA19" s="501"/>
      <c r="NFB19" s="501"/>
      <c r="NFC19" s="501"/>
      <c r="NFD19" s="501"/>
      <c r="NFE19" s="501"/>
      <c r="NFF19" s="501"/>
      <c r="NFG19" s="501"/>
      <c r="NFH19" s="501"/>
      <c r="NFI19" s="501"/>
      <c r="NFJ19" s="501"/>
      <c r="NFK19" s="501"/>
      <c r="NFL19" s="501"/>
      <c r="NFM19" s="501"/>
      <c r="NFN19" s="501"/>
      <c r="NFO19" s="501"/>
      <c r="NFP19" s="501"/>
      <c r="NFQ19" s="501"/>
      <c r="NFR19" s="501"/>
      <c r="NFS19" s="501"/>
      <c r="NFT19" s="501"/>
      <c r="NFU19" s="501"/>
      <c r="NFV19" s="501"/>
      <c r="NFW19" s="501"/>
      <c r="NFX19" s="501"/>
      <c r="NFY19" s="501"/>
      <c r="NFZ19" s="501"/>
      <c r="NGA19" s="501"/>
      <c r="NGB19" s="501"/>
      <c r="NGC19" s="501"/>
      <c r="NGD19" s="501"/>
      <c r="NGE19" s="501"/>
      <c r="NGF19" s="501"/>
      <c r="NGG19" s="501"/>
      <c r="NGH19" s="501"/>
      <c r="NGI19" s="501"/>
      <c r="NGJ19" s="501"/>
      <c r="NGK19" s="501"/>
      <c r="NGL19" s="501"/>
      <c r="NGM19" s="501"/>
      <c r="NGN19" s="501"/>
      <c r="NGO19" s="501"/>
      <c r="NGP19" s="501"/>
      <c r="NGQ19" s="501"/>
      <c r="NGR19" s="501"/>
      <c r="NGS19" s="501"/>
      <c r="NGT19" s="501"/>
      <c r="NGU19" s="501"/>
      <c r="NGV19" s="501"/>
      <c r="NGW19" s="501"/>
      <c r="NGX19" s="501"/>
      <c r="NGY19" s="501"/>
      <c r="NGZ19" s="501"/>
      <c r="NHA19" s="501"/>
      <c r="NHB19" s="501"/>
      <c r="NHC19" s="501"/>
      <c r="NHD19" s="501"/>
      <c r="NHE19" s="501"/>
      <c r="NHF19" s="501"/>
      <c r="NHG19" s="501"/>
      <c r="NHH19" s="501"/>
      <c r="NHI19" s="501"/>
      <c r="NHJ19" s="501"/>
      <c r="NHK19" s="501"/>
      <c r="NHL19" s="501"/>
      <c r="NHM19" s="501"/>
      <c r="NHN19" s="501"/>
      <c r="NHO19" s="501"/>
      <c r="NHP19" s="501"/>
      <c r="NHQ19" s="501"/>
      <c r="NHR19" s="501"/>
      <c r="NHS19" s="501"/>
      <c r="NHT19" s="501"/>
      <c r="NHU19" s="501"/>
      <c r="NHV19" s="501"/>
      <c r="NHW19" s="501"/>
      <c r="NHX19" s="501"/>
      <c r="NHY19" s="501"/>
      <c r="NHZ19" s="501"/>
      <c r="NIA19" s="501"/>
      <c r="NIB19" s="501"/>
      <c r="NIC19" s="501"/>
      <c r="NID19" s="501"/>
      <c r="NIE19" s="501"/>
      <c r="NIF19" s="501"/>
      <c r="NIG19" s="501"/>
      <c r="NIH19" s="501"/>
      <c r="NII19" s="501"/>
      <c r="NIJ19" s="501"/>
      <c r="NIK19" s="501"/>
      <c r="NIL19" s="501"/>
      <c r="NIM19" s="501"/>
      <c r="NIN19" s="501"/>
      <c r="NIO19" s="501"/>
      <c r="NIP19" s="501"/>
      <c r="NIQ19" s="501"/>
      <c r="NIR19" s="501"/>
      <c r="NIS19" s="501"/>
      <c r="NIT19" s="501"/>
      <c r="NIU19" s="501"/>
      <c r="NIV19" s="501"/>
      <c r="NIW19" s="501"/>
      <c r="NIX19" s="501"/>
      <c r="NIY19" s="501"/>
      <c r="NIZ19" s="501"/>
      <c r="NJA19" s="501"/>
      <c r="NJB19" s="501"/>
      <c r="NJC19" s="501"/>
      <c r="NJD19" s="501"/>
      <c r="NJE19" s="501"/>
      <c r="NJF19" s="501"/>
      <c r="NJG19" s="501"/>
      <c r="NJH19" s="501"/>
      <c r="NJI19" s="501"/>
      <c r="NJJ19" s="501"/>
      <c r="NJK19" s="501"/>
      <c r="NJL19" s="501"/>
      <c r="NJM19" s="501"/>
      <c r="NJN19" s="501"/>
      <c r="NJO19" s="501"/>
      <c r="NJP19" s="501"/>
      <c r="NJQ19" s="501"/>
      <c r="NJR19" s="501"/>
      <c r="NJS19" s="501"/>
      <c r="NJT19" s="501"/>
      <c r="NJU19" s="501"/>
      <c r="NJV19" s="501"/>
      <c r="NJW19" s="501"/>
      <c r="NJX19" s="501"/>
      <c r="NJY19" s="501"/>
      <c r="NJZ19" s="501"/>
      <c r="NKA19" s="501"/>
      <c r="NKB19" s="501"/>
      <c r="NKC19" s="501"/>
      <c r="NKD19" s="501"/>
      <c r="NKE19" s="501"/>
      <c r="NKF19" s="501"/>
      <c r="NKG19" s="501"/>
      <c r="NKH19" s="501"/>
      <c r="NKI19" s="501"/>
      <c r="NKJ19" s="501"/>
      <c r="NKK19" s="501"/>
      <c r="NKL19" s="501"/>
      <c r="NKM19" s="501"/>
      <c r="NKN19" s="501"/>
      <c r="NKO19" s="501"/>
      <c r="NKP19" s="501"/>
      <c r="NKQ19" s="501"/>
      <c r="NKR19" s="501"/>
      <c r="NKS19" s="501"/>
      <c r="NKT19" s="501"/>
      <c r="NKU19" s="501"/>
      <c r="NKV19" s="501"/>
      <c r="NKW19" s="501"/>
      <c r="NKX19" s="501"/>
      <c r="NKY19" s="501"/>
      <c r="NKZ19" s="501"/>
      <c r="NLA19" s="501"/>
      <c r="NLB19" s="501"/>
      <c r="NLC19" s="501"/>
      <c r="NLD19" s="501"/>
      <c r="NLE19" s="501"/>
      <c r="NLF19" s="501"/>
      <c r="NLG19" s="501"/>
      <c r="NLH19" s="501"/>
      <c r="NLI19" s="501"/>
      <c r="NLJ19" s="501"/>
      <c r="NLK19" s="501"/>
      <c r="NLL19" s="501"/>
      <c r="NLM19" s="501"/>
      <c r="NLN19" s="501"/>
      <c r="NLO19" s="501"/>
      <c r="NLP19" s="501"/>
      <c r="NLQ19" s="501"/>
      <c r="NLR19" s="501"/>
      <c r="NLS19" s="501"/>
      <c r="NLT19" s="501"/>
      <c r="NLU19" s="501"/>
      <c r="NLV19" s="501"/>
      <c r="NLW19" s="501"/>
      <c r="NLX19" s="501"/>
      <c r="NLY19" s="501"/>
      <c r="NLZ19" s="501"/>
      <c r="NMA19" s="501"/>
      <c r="NMB19" s="501"/>
      <c r="NMC19" s="501"/>
      <c r="NMD19" s="501"/>
      <c r="NME19" s="501"/>
      <c r="NMF19" s="501"/>
      <c r="NMG19" s="501"/>
      <c r="NMH19" s="501"/>
      <c r="NMI19" s="501"/>
      <c r="NMJ19" s="501"/>
      <c r="NMK19" s="501"/>
      <c r="NML19" s="501"/>
      <c r="NMM19" s="501"/>
      <c r="NMN19" s="501"/>
      <c r="NMO19" s="501"/>
      <c r="NMP19" s="501"/>
      <c r="NMQ19" s="501"/>
      <c r="NMR19" s="501"/>
      <c r="NMS19" s="501"/>
      <c r="NMT19" s="501"/>
      <c r="NMU19" s="501"/>
      <c r="NMV19" s="501"/>
      <c r="NMW19" s="501"/>
      <c r="NMX19" s="501"/>
      <c r="NMY19" s="501"/>
      <c r="NMZ19" s="501"/>
      <c r="NNA19" s="501"/>
      <c r="NNB19" s="501"/>
      <c r="NNC19" s="501"/>
      <c r="NND19" s="501"/>
      <c r="NNE19" s="501"/>
      <c r="NNF19" s="501"/>
      <c r="NNG19" s="501"/>
      <c r="NNH19" s="501"/>
      <c r="NNI19" s="501"/>
      <c r="NNJ19" s="501"/>
      <c r="NNK19" s="501"/>
      <c r="NNL19" s="501"/>
      <c r="NNM19" s="501"/>
      <c r="NNN19" s="501"/>
      <c r="NNO19" s="501"/>
      <c r="NNP19" s="501"/>
      <c r="NNQ19" s="501"/>
      <c r="NNR19" s="501"/>
      <c r="NNS19" s="501"/>
      <c r="NNT19" s="501"/>
      <c r="NNU19" s="501"/>
      <c r="NNV19" s="501"/>
      <c r="NNW19" s="501"/>
      <c r="NNX19" s="501"/>
      <c r="NNY19" s="501"/>
      <c r="NNZ19" s="501"/>
      <c r="NOA19" s="501"/>
      <c r="NOB19" s="501"/>
      <c r="NOC19" s="501"/>
      <c r="NOD19" s="501"/>
      <c r="NOE19" s="501"/>
      <c r="NOF19" s="501"/>
      <c r="NOG19" s="501"/>
      <c r="NOH19" s="501"/>
      <c r="NOI19" s="501"/>
      <c r="NOJ19" s="501"/>
      <c r="NOK19" s="501"/>
      <c r="NOL19" s="501"/>
      <c r="NOM19" s="501"/>
      <c r="NON19" s="501"/>
      <c r="NOO19" s="501"/>
      <c r="NOP19" s="501"/>
      <c r="NOQ19" s="501"/>
      <c r="NOR19" s="501"/>
      <c r="NOS19" s="501"/>
      <c r="NOT19" s="501"/>
      <c r="NOU19" s="501"/>
      <c r="NOV19" s="501"/>
      <c r="NOW19" s="501"/>
      <c r="NOX19" s="501"/>
      <c r="NOY19" s="501"/>
      <c r="NOZ19" s="501"/>
      <c r="NPA19" s="501"/>
      <c r="NPB19" s="501"/>
      <c r="NPC19" s="501"/>
      <c r="NPD19" s="501"/>
      <c r="NPE19" s="501"/>
      <c r="NPF19" s="501"/>
      <c r="NPG19" s="501"/>
      <c r="NPH19" s="501"/>
      <c r="NPI19" s="501"/>
      <c r="NPJ19" s="501"/>
      <c r="NPK19" s="501"/>
      <c r="NPL19" s="501"/>
      <c r="NPM19" s="501"/>
      <c r="NPN19" s="501"/>
      <c r="NPO19" s="501"/>
      <c r="NPP19" s="501"/>
      <c r="NPQ19" s="501"/>
      <c r="NPR19" s="501"/>
      <c r="NPS19" s="501"/>
      <c r="NPT19" s="501"/>
      <c r="NPU19" s="501"/>
      <c r="NPV19" s="501"/>
      <c r="NPW19" s="501"/>
      <c r="NPX19" s="501"/>
      <c r="NPY19" s="501"/>
      <c r="NPZ19" s="501"/>
      <c r="NQA19" s="501"/>
      <c r="NQB19" s="501"/>
      <c r="NQC19" s="501"/>
      <c r="NQD19" s="501"/>
      <c r="NQE19" s="501"/>
      <c r="NQF19" s="501"/>
      <c r="NQG19" s="501"/>
      <c r="NQH19" s="501"/>
      <c r="NQI19" s="501"/>
      <c r="NQJ19" s="501"/>
      <c r="NQK19" s="501"/>
      <c r="NQL19" s="501"/>
      <c r="NQM19" s="501"/>
      <c r="NQN19" s="501"/>
      <c r="NQO19" s="501"/>
      <c r="NQP19" s="501"/>
      <c r="NQQ19" s="501"/>
      <c r="NQR19" s="501"/>
      <c r="NQS19" s="501"/>
      <c r="NQT19" s="501"/>
      <c r="NQU19" s="501"/>
      <c r="NQV19" s="501"/>
      <c r="NQW19" s="501"/>
      <c r="NQX19" s="501"/>
      <c r="NQY19" s="501"/>
      <c r="NQZ19" s="501"/>
      <c r="NRA19" s="501"/>
      <c r="NRB19" s="501"/>
      <c r="NRC19" s="501"/>
      <c r="NRD19" s="501"/>
      <c r="NRE19" s="501"/>
      <c r="NRF19" s="501"/>
      <c r="NRG19" s="501"/>
      <c r="NRH19" s="501"/>
      <c r="NRI19" s="501"/>
      <c r="NRJ19" s="501"/>
      <c r="NRK19" s="501"/>
      <c r="NRL19" s="501"/>
      <c r="NRM19" s="501"/>
      <c r="NRN19" s="501"/>
      <c r="NRO19" s="501"/>
      <c r="NRP19" s="501"/>
      <c r="NRQ19" s="501"/>
      <c r="NRR19" s="501"/>
      <c r="NRS19" s="501"/>
      <c r="NRT19" s="501"/>
      <c r="NRU19" s="501"/>
      <c r="NRV19" s="501"/>
      <c r="NRW19" s="501"/>
      <c r="NRX19" s="501"/>
      <c r="NRY19" s="501"/>
      <c r="NRZ19" s="501"/>
      <c r="NSA19" s="501"/>
      <c r="NSB19" s="501"/>
      <c r="NSC19" s="501"/>
      <c r="NSD19" s="501"/>
      <c r="NSE19" s="501"/>
      <c r="NSF19" s="501"/>
      <c r="NSG19" s="501"/>
      <c r="NSH19" s="501"/>
      <c r="NSI19" s="501"/>
      <c r="NSJ19" s="501"/>
      <c r="NSK19" s="501"/>
      <c r="NSL19" s="501"/>
      <c r="NSM19" s="501"/>
      <c r="NSN19" s="501"/>
      <c r="NSO19" s="501"/>
      <c r="NSP19" s="501"/>
      <c r="NSQ19" s="501"/>
      <c r="NSR19" s="501"/>
      <c r="NSS19" s="501"/>
      <c r="NST19" s="501"/>
      <c r="NSU19" s="501"/>
      <c r="NSV19" s="501"/>
      <c r="NSW19" s="501"/>
      <c r="NSX19" s="501"/>
      <c r="NSY19" s="501"/>
      <c r="NSZ19" s="501"/>
      <c r="NTA19" s="501"/>
      <c r="NTB19" s="501"/>
      <c r="NTC19" s="501"/>
      <c r="NTD19" s="501"/>
      <c r="NTE19" s="501"/>
      <c r="NTF19" s="501"/>
      <c r="NTG19" s="501"/>
      <c r="NTH19" s="501"/>
      <c r="NTI19" s="501"/>
      <c r="NTJ19" s="501"/>
      <c r="NTK19" s="501"/>
      <c r="NTL19" s="501"/>
      <c r="NTM19" s="501"/>
      <c r="NTN19" s="501"/>
      <c r="NTO19" s="501"/>
      <c r="NTP19" s="501"/>
      <c r="NTQ19" s="501"/>
      <c r="NTR19" s="501"/>
      <c r="NTS19" s="501"/>
      <c r="NTT19" s="501"/>
      <c r="NTU19" s="501"/>
      <c r="NTV19" s="501"/>
      <c r="NTW19" s="501"/>
      <c r="NTX19" s="501"/>
      <c r="NTY19" s="501"/>
      <c r="NTZ19" s="501"/>
      <c r="NUA19" s="501"/>
      <c r="NUB19" s="501"/>
      <c r="NUC19" s="501"/>
      <c r="NUD19" s="501"/>
      <c r="NUE19" s="501"/>
      <c r="NUF19" s="501"/>
      <c r="NUG19" s="501"/>
      <c r="NUH19" s="501"/>
      <c r="NUI19" s="501"/>
      <c r="NUJ19" s="501"/>
      <c r="NUK19" s="501"/>
      <c r="NUL19" s="501"/>
      <c r="NUM19" s="501"/>
      <c r="NUN19" s="501"/>
      <c r="NUO19" s="501"/>
      <c r="NUP19" s="501"/>
      <c r="NUQ19" s="501"/>
      <c r="NUR19" s="501"/>
      <c r="NUS19" s="501"/>
      <c r="NUT19" s="501"/>
      <c r="NUU19" s="501"/>
      <c r="NUV19" s="501"/>
      <c r="NUW19" s="501"/>
      <c r="NUX19" s="501"/>
      <c r="NUY19" s="501"/>
      <c r="NUZ19" s="501"/>
      <c r="NVA19" s="501"/>
      <c r="NVB19" s="501"/>
      <c r="NVC19" s="501"/>
      <c r="NVD19" s="501"/>
      <c r="NVE19" s="501"/>
      <c r="NVF19" s="501"/>
      <c r="NVG19" s="501"/>
      <c r="NVH19" s="501"/>
      <c r="NVI19" s="501"/>
      <c r="NVJ19" s="501"/>
      <c r="NVK19" s="501"/>
      <c r="NVL19" s="501"/>
      <c r="NVM19" s="501"/>
      <c r="NVN19" s="501"/>
      <c r="NVO19" s="501"/>
      <c r="NVP19" s="501"/>
      <c r="NVQ19" s="501"/>
      <c r="NVR19" s="501"/>
      <c r="NVS19" s="501"/>
      <c r="NVT19" s="501"/>
      <c r="NVU19" s="501"/>
      <c r="NVV19" s="501"/>
      <c r="NVW19" s="501"/>
      <c r="NVX19" s="501"/>
      <c r="NVY19" s="501"/>
      <c r="NVZ19" s="501"/>
      <c r="NWA19" s="501"/>
      <c r="NWB19" s="501"/>
      <c r="NWC19" s="501"/>
      <c r="NWD19" s="501"/>
      <c r="NWE19" s="501"/>
      <c r="NWF19" s="501"/>
      <c r="NWG19" s="501"/>
      <c r="NWH19" s="501"/>
      <c r="NWI19" s="501"/>
      <c r="NWJ19" s="501"/>
      <c r="NWK19" s="501"/>
      <c r="NWL19" s="501"/>
      <c r="NWM19" s="501"/>
      <c r="NWN19" s="501"/>
      <c r="NWO19" s="501"/>
      <c r="NWP19" s="501"/>
      <c r="NWQ19" s="501"/>
      <c r="NWR19" s="501"/>
      <c r="NWS19" s="501"/>
      <c r="NWT19" s="501"/>
      <c r="NWU19" s="501"/>
      <c r="NWV19" s="501"/>
      <c r="NWW19" s="501"/>
      <c r="NWX19" s="501"/>
      <c r="NWY19" s="501"/>
      <c r="NWZ19" s="501"/>
      <c r="NXA19" s="501"/>
      <c r="NXB19" s="501"/>
      <c r="NXC19" s="501"/>
      <c r="NXD19" s="501"/>
      <c r="NXE19" s="501"/>
      <c r="NXF19" s="501"/>
      <c r="NXG19" s="501"/>
      <c r="NXH19" s="501"/>
      <c r="NXI19" s="501"/>
      <c r="NXJ19" s="501"/>
      <c r="NXK19" s="501"/>
      <c r="NXL19" s="501"/>
      <c r="NXM19" s="501"/>
      <c r="NXN19" s="501"/>
      <c r="NXO19" s="501"/>
      <c r="NXP19" s="501"/>
      <c r="NXQ19" s="501"/>
      <c r="NXR19" s="501"/>
      <c r="NXS19" s="501"/>
      <c r="NXT19" s="501"/>
      <c r="NXU19" s="501"/>
      <c r="NXV19" s="501"/>
      <c r="NXW19" s="501"/>
      <c r="NXX19" s="501"/>
      <c r="NXY19" s="501"/>
      <c r="NXZ19" s="501"/>
      <c r="NYA19" s="501"/>
      <c r="NYB19" s="501"/>
      <c r="NYC19" s="501"/>
      <c r="NYD19" s="501"/>
      <c r="NYE19" s="501"/>
      <c r="NYF19" s="501"/>
      <c r="NYG19" s="501"/>
      <c r="NYH19" s="501"/>
      <c r="NYI19" s="501"/>
      <c r="NYJ19" s="501"/>
      <c r="NYK19" s="501"/>
      <c r="NYL19" s="501"/>
      <c r="NYM19" s="501"/>
      <c r="NYN19" s="501"/>
      <c r="NYO19" s="501"/>
      <c r="NYP19" s="501"/>
      <c r="NYQ19" s="501"/>
      <c r="NYR19" s="501"/>
      <c r="NYS19" s="501"/>
      <c r="NYT19" s="501"/>
      <c r="NYU19" s="501"/>
      <c r="NYV19" s="501"/>
      <c r="NYW19" s="501"/>
      <c r="NYX19" s="501"/>
      <c r="NYY19" s="501"/>
      <c r="NYZ19" s="501"/>
      <c r="NZA19" s="501"/>
      <c r="NZB19" s="501"/>
      <c r="NZC19" s="501"/>
      <c r="NZD19" s="501"/>
      <c r="NZE19" s="501"/>
      <c r="NZF19" s="501"/>
      <c r="NZG19" s="501"/>
      <c r="NZH19" s="501"/>
      <c r="NZI19" s="501"/>
      <c r="NZJ19" s="501"/>
      <c r="NZK19" s="501"/>
      <c r="NZL19" s="501"/>
      <c r="NZM19" s="501"/>
      <c r="NZN19" s="501"/>
      <c r="NZO19" s="501"/>
      <c r="NZP19" s="501"/>
      <c r="NZQ19" s="501"/>
      <c r="NZR19" s="501"/>
      <c r="NZS19" s="501"/>
      <c r="NZT19" s="501"/>
      <c r="NZU19" s="501"/>
      <c r="NZV19" s="501"/>
      <c r="NZW19" s="501"/>
      <c r="NZX19" s="501"/>
      <c r="NZY19" s="501"/>
      <c r="NZZ19" s="501"/>
      <c r="OAA19" s="501"/>
      <c r="OAB19" s="501"/>
      <c r="OAC19" s="501"/>
      <c r="OAD19" s="501"/>
      <c r="OAE19" s="501"/>
      <c r="OAF19" s="501"/>
      <c r="OAG19" s="501"/>
      <c r="OAH19" s="501"/>
      <c r="OAI19" s="501"/>
      <c r="OAJ19" s="501"/>
      <c r="OAK19" s="501"/>
      <c r="OAL19" s="501"/>
      <c r="OAM19" s="501"/>
      <c r="OAN19" s="501"/>
      <c r="OAO19" s="501"/>
      <c r="OAP19" s="501"/>
      <c r="OAQ19" s="501"/>
      <c r="OAR19" s="501"/>
      <c r="OAS19" s="501"/>
      <c r="OAT19" s="501"/>
      <c r="OAU19" s="501"/>
      <c r="OAV19" s="501"/>
      <c r="OAW19" s="501"/>
      <c r="OAX19" s="501"/>
      <c r="OAY19" s="501"/>
      <c r="OAZ19" s="501"/>
      <c r="OBA19" s="501"/>
      <c r="OBB19" s="501"/>
      <c r="OBC19" s="501"/>
      <c r="OBD19" s="501"/>
      <c r="OBE19" s="501"/>
      <c r="OBF19" s="501"/>
      <c r="OBG19" s="501"/>
      <c r="OBH19" s="501"/>
      <c r="OBI19" s="501"/>
      <c r="OBJ19" s="501"/>
      <c r="OBK19" s="501"/>
      <c r="OBL19" s="501"/>
      <c r="OBM19" s="501"/>
      <c r="OBN19" s="501"/>
      <c r="OBO19" s="501"/>
      <c r="OBP19" s="501"/>
      <c r="OBQ19" s="501"/>
      <c r="OBR19" s="501"/>
      <c r="OBS19" s="501"/>
      <c r="OBT19" s="501"/>
      <c r="OBU19" s="501"/>
      <c r="OBV19" s="501"/>
      <c r="OBW19" s="501"/>
      <c r="OBX19" s="501"/>
      <c r="OBY19" s="501"/>
      <c r="OBZ19" s="501"/>
      <c r="OCA19" s="501"/>
      <c r="OCB19" s="501"/>
      <c r="OCC19" s="501"/>
      <c r="OCD19" s="501"/>
      <c r="OCE19" s="501"/>
      <c r="OCF19" s="501"/>
      <c r="OCG19" s="501"/>
      <c r="OCH19" s="501"/>
      <c r="OCI19" s="501"/>
      <c r="OCJ19" s="501"/>
      <c r="OCK19" s="501"/>
      <c r="OCL19" s="501"/>
      <c r="OCM19" s="501"/>
      <c r="OCN19" s="501"/>
      <c r="OCO19" s="501"/>
      <c r="OCP19" s="501"/>
      <c r="OCQ19" s="501"/>
      <c r="OCR19" s="501"/>
      <c r="OCS19" s="501"/>
      <c r="OCT19" s="501"/>
      <c r="OCU19" s="501"/>
      <c r="OCV19" s="501"/>
      <c r="OCW19" s="501"/>
      <c r="OCX19" s="501"/>
      <c r="OCY19" s="501"/>
      <c r="OCZ19" s="501"/>
      <c r="ODA19" s="501"/>
      <c r="ODB19" s="501"/>
      <c r="ODC19" s="501"/>
      <c r="ODD19" s="501"/>
      <c r="ODE19" s="501"/>
      <c r="ODF19" s="501"/>
      <c r="ODG19" s="501"/>
      <c r="ODH19" s="501"/>
      <c r="ODI19" s="501"/>
      <c r="ODJ19" s="501"/>
      <c r="ODK19" s="501"/>
      <c r="ODL19" s="501"/>
      <c r="ODM19" s="501"/>
      <c r="ODN19" s="501"/>
      <c r="ODO19" s="501"/>
      <c r="ODP19" s="501"/>
      <c r="ODQ19" s="501"/>
      <c r="ODR19" s="501"/>
      <c r="ODS19" s="501"/>
      <c r="ODT19" s="501"/>
      <c r="ODU19" s="501"/>
      <c r="ODV19" s="501"/>
      <c r="ODW19" s="501"/>
      <c r="ODX19" s="501"/>
      <c r="ODY19" s="501"/>
      <c r="ODZ19" s="501"/>
      <c r="OEA19" s="501"/>
      <c r="OEB19" s="501"/>
      <c r="OEC19" s="501"/>
      <c r="OED19" s="501"/>
      <c r="OEE19" s="501"/>
      <c r="OEF19" s="501"/>
      <c r="OEG19" s="501"/>
      <c r="OEH19" s="501"/>
      <c r="OEI19" s="501"/>
      <c r="OEJ19" s="501"/>
      <c r="OEK19" s="501"/>
      <c r="OEL19" s="501"/>
      <c r="OEM19" s="501"/>
      <c r="OEN19" s="501"/>
      <c r="OEO19" s="501"/>
      <c r="OEP19" s="501"/>
      <c r="OEQ19" s="501"/>
      <c r="OER19" s="501"/>
      <c r="OES19" s="501"/>
      <c r="OET19" s="501"/>
      <c r="OEU19" s="501"/>
      <c r="OEV19" s="501"/>
      <c r="OEW19" s="501"/>
      <c r="OEX19" s="501"/>
      <c r="OEY19" s="501"/>
      <c r="OEZ19" s="501"/>
      <c r="OFA19" s="501"/>
      <c r="OFB19" s="501"/>
      <c r="OFC19" s="501"/>
      <c r="OFD19" s="501"/>
      <c r="OFE19" s="501"/>
      <c r="OFF19" s="501"/>
      <c r="OFG19" s="501"/>
      <c r="OFH19" s="501"/>
      <c r="OFI19" s="501"/>
      <c r="OFJ19" s="501"/>
      <c r="OFK19" s="501"/>
      <c r="OFL19" s="501"/>
      <c r="OFM19" s="501"/>
      <c r="OFN19" s="501"/>
      <c r="OFO19" s="501"/>
      <c r="OFP19" s="501"/>
      <c r="OFQ19" s="501"/>
      <c r="OFR19" s="501"/>
      <c r="OFS19" s="501"/>
      <c r="OFT19" s="501"/>
      <c r="OFU19" s="501"/>
      <c r="OFV19" s="501"/>
      <c r="OFW19" s="501"/>
      <c r="OFX19" s="501"/>
      <c r="OFY19" s="501"/>
      <c r="OFZ19" s="501"/>
      <c r="OGA19" s="501"/>
      <c r="OGB19" s="501"/>
      <c r="OGC19" s="501"/>
      <c r="OGD19" s="501"/>
      <c r="OGE19" s="501"/>
      <c r="OGF19" s="501"/>
      <c r="OGG19" s="501"/>
      <c r="OGH19" s="501"/>
      <c r="OGI19" s="501"/>
      <c r="OGJ19" s="501"/>
      <c r="OGK19" s="501"/>
      <c r="OGL19" s="501"/>
      <c r="OGM19" s="501"/>
      <c r="OGN19" s="501"/>
      <c r="OGO19" s="501"/>
      <c r="OGP19" s="501"/>
      <c r="OGQ19" s="501"/>
      <c r="OGR19" s="501"/>
      <c r="OGS19" s="501"/>
      <c r="OGT19" s="501"/>
      <c r="OGU19" s="501"/>
      <c r="OGV19" s="501"/>
      <c r="OGW19" s="501"/>
      <c r="OGX19" s="501"/>
      <c r="OGY19" s="501"/>
      <c r="OGZ19" s="501"/>
      <c r="OHA19" s="501"/>
      <c r="OHB19" s="501"/>
      <c r="OHC19" s="501"/>
      <c r="OHD19" s="501"/>
      <c r="OHE19" s="501"/>
      <c r="OHF19" s="501"/>
      <c r="OHG19" s="501"/>
      <c r="OHH19" s="501"/>
      <c r="OHI19" s="501"/>
      <c r="OHJ19" s="501"/>
      <c r="OHK19" s="501"/>
      <c r="OHL19" s="501"/>
      <c r="OHM19" s="501"/>
      <c r="OHN19" s="501"/>
      <c r="OHO19" s="501"/>
      <c r="OHP19" s="501"/>
      <c r="OHQ19" s="501"/>
      <c r="OHR19" s="501"/>
      <c r="OHS19" s="501"/>
      <c r="OHT19" s="501"/>
      <c r="OHU19" s="501"/>
      <c r="OHV19" s="501"/>
      <c r="OHW19" s="501"/>
      <c r="OHX19" s="501"/>
      <c r="OHY19" s="501"/>
      <c r="OHZ19" s="501"/>
      <c r="OIA19" s="501"/>
      <c r="OIB19" s="501"/>
      <c r="OIC19" s="501"/>
      <c r="OID19" s="501"/>
      <c r="OIE19" s="501"/>
      <c r="OIF19" s="501"/>
      <c r="OIG19" s="501"/>
      <c r="OIH19" s="501"/>
      <c r="OII19" s="501"/>
      <c r="OIJ19" s="501"/>
      <c r="OIK19" s="501"/>
      <c r="OIL19" s="501"/>
      <c r="OIM19" s="501"/>
      <c r="OIN19" s="501"/>
      <c r="OIO19" s="501"/>
      <c r="OIP19" s="501"/>
      <c r="OIQ19" s="501"/>
      <c r="OIR19" s="501"/>
      <c r="OIS19" s="501"/>
      <c r="OIT19" s="501"/>
      <c r="OIU19" s="501"/>
      <c r="OIV19" s="501"/>
      <c r="OIW19" s="501"/>
      <c r="OIX19" s="501"/>
      <c r="OIY19" s="501"/>
      <c r="OIZ19" s="501"/>
      <c r="OJA19" s="501"/>
      <c r="OJB19" s="501"/>
      <c r="OJC19" s="501"/>
      <c r="OJD19" s="501"/>
      <c r="OJE19" s="501"/>
      <c r="OJF19" s="501"/>
      <c r="OJG19" s="501"/>
      <c r="OJH19" s="501"/>
      <c r="OJI19" s="501"/>
      <c r="OJJ19" s="501"/>
      <c r="OJK19" s="501"/>
      <c r="OJL19" s="501"/>
      <c r="OJM19" s="501"/>
      <c r="OJN19" s="501"/>
      <c r="OJO19" s="501"/>
      <c r="OJP19" s="501"/>
      <c r="OJQ19" s="501"/>
      <c r="OJR19" s="501"/>
      <c r="OJS19" s="501"/>
      <c r="OJT19" s="501"/>
      <c r="OJU19" s="501"/>
      <c r="OJV19" s="501"/>
      <c r="OJW19" s="501"/>
      <c r="OJX19" s="501"/>
      <c r="OJY19" s="501"/>
      <c r="OJZ19" s="501"/>
      <c r="OKA19" s="501"/>
      <c r="OKB19" s="501"/>
      <c r="OKC19" s="501"/>
      <c r="OKD19" s="501"/>
      <c r="OKE19" s="501"/>
      <c r="OKF19" s="501"/>
      <c r="OKG19" s="501"/>
      <c r="OKH19" s="501"/>
      <c r="OKI19" s="501"/>
      <c r="OKJ19" s="501"/>
      <c r="OKK19" s="501"/>
      <c r="OKL19" s="501"/>
      <c r="OKM19" s="501"/>
      <c r="OKN19" s="501"/>
      <c r="OKO19" s="501"/>
      <c r="OKP19" s="501"/>
      <c r="OKQ19" s="501"/>
      <c r="OKR19" s="501"/>
      <c r="OKS19" s="501"/>
      <c r="OKT19" s="501"/>
      <c r="OKU19" s="501"/>
      <c r="OKV19" s="501"/>
      <c r="OKW19" s="501"/>
      <c r="OKX19" s="501"/>
      <c r="OKY19" s="501"/>
      <c r="OKZ19" s="501"/>
      <c r="OLA19" s="501"/>
      <c r="OLB19" s="501"/>
      <c r="OLC19" s="501"/>
      <c r="OLD19" s="501"/>
      <c r="OLE19" s="501"/>
      <c r="OLF19" s="501"/>
      <c r="OLG19" s="501"/>
      <c r="OLH19" s="501"/>
      <c r="OLI19" s="501"/>
      <c r="OLJ19" s="501"/>
      <c r="OLK19" s="501"/>
      <c r="OLL19" s="501"/>
      <c r="OLM19" s="501"/>
      <c r="OLN19" s="501"/>
      <c r="OLO19" s="501"/>
      <c r="OLP19" s="501"/>
      <c r="OLQ19" s="501"/>
      <c r="OLR19" s="501"/>
      <c r="OLS19" s="501"/>
      <c r="OLT19" s="501"/>
      <c r="OLU19" s="501"/>
      <c r="OLV19" s="501"/>
      <c r="OLW19" s="501"/>
      <c r="OLX19" s="501"/>
      <c r="OLY19" s="501"/>
      <c r="OLZ19" s="501"/>
      <c r="OMA19" s="501"/>
      <c r="OMB19" s="501"/>
      <c r="OMC19" s="501"/>
      <c r="OMD19" s="501"/>
      <c r="OME19" s="501"/>
      <c r="OMF19" s="501"/>
      <c r="OMG19" s="501"/>
      <c r="OMH19" s="501"/>
      <c r="OMI19" s="501"/>
      <c r="OMJ19" s="501"/>
      <c r="OMK19" s="501"/>
      <c r="OML19" s="501"/>
      <c r="OMM19" s="501"/>
      <c r="OMN19" s="501"/>
      <c r="OMO19" s="501"/>
      <c r="OMP19" s="501"/>
      <c r="OMQ19" s="501"/>
      <c r="OMR19" s="501"/>
      <c r="OMS19" s="501"/>
      <c r="OMT19" s="501"/>
      <c r="OMU19" s="501"/>
      <c r="OMV19" s="501"/>
      <c r="OMW19" s="501"/>
      <c r="OMX19" s="501"/>
      <c r="OMY19" s="501"/>
      <c r="OMZ19" s="501"/>
      <c r="ONA19" s="501"/>
      <c r="ONB19" s="501"/>
      <c r="ONC19" s="501"/>
      <c r="OND19" s="501"/>
      <c r="ONE19" s="501"/>
      <c r="ONF19" s="501"/>
      <c r="ONG19" s="501"/>
      <c r="ONH19" s="501"/>
      <c r="ONI19" s="501"/>
      <c r="ONJ19" s="501"/>
      <c r="ONK19" s="501"/>
      <c r="ONL19" s="501"/>
      <c r="ONM19" s="501"/>
      <c r="ONN19" s="501"/>
      <c r="ONO19" s="501"/>
      <c r="ONP19" s="501"/>
      <c r="ONQ19" s="501"/>
      <c r="ONR19" s="501"/>
      <c r="ONS19" s="501"/>
      <c r="ONT19" s="501"/>
      <c r="ONU19" s="501"/>
      <c r="ONV19" s="501"/>
      <c r="ONW19" s="501"/>
      <c r="ONX19" s="501"/>
      <c r="ONY19" s="501"/>
      <c r="ONZ19" s="501"/>
      <c r="OOA19" s="501"/>
      <c r="OOB19" s="501"/>
      <c r="OOC19" s="501"/>
      <c r="OOD19" s="501"/>
      <c r="OOE19" s="501"/>
      <c r="OOF19" s="501"/>
      <c r="OOG19" s="501"/>
      <c r="OOH19" s="501"/>
      <c r="OOI19" s="501"/>
      <c r="OOJ19" s="501"/>
      <c r="OOK19" s="501"/>
      <c r="OOL19" s="501"/>
      <c r="OOM19" s="501"/>
      <c r="OON19" s="501"/>
      <c r="OOO19" s="501"/>
      <c r="OOP19" s="501"/>
      <c r="OOQ19" s="501"/>
      <c r="OOR19" s="501"/>
      <c r="OOS19" s="501"/>
      <c r="OOT19" s="501"/>
      <c r="OOU19" s="501"/>
      <c r="OOV19" s="501"/>
      <c r="OOW19" s="501"/>
      <c r="OOX19" s="501"/>
      <c r="OOY19" s="501"/>
      <c r="OOZ19" s="501"/>
      <c r="OPA19" s="501"/>
      <c r="OPB19" s="501"/>
      <c r="OPC19" s="501"/>
      <c r="OPD19" s="501"/>
      <c r="OPE19" s="501"/>
      <c r="OPF19" s="501"/>
      <c r="OPG19" s="501"/>
      <c r="OPH19" s="501"/>
      <c r="OPI19" s="501"/>
      <c r="OPJ19" s="501"/>
      <c r="OPK19" s="501"/>
      <c r="OPL19" s="501"/>
      <c r="OPM19" s="501"/>
      <c r="OPN19" s="501"/>
      <c r="OPO19" s="501"/>
      <c r="OPP19" s="501"/>
      <c r="OPQ19" s="501"/>
      <c r="OPR19" s="501"/>
      <c r="OPS19" s="501"/>
      <c r="OPT19" s="501"/>
      <c r="OPU19" s="501"/>
      <c r="OPV19" s="501"/>
      <c r="OPW19" s="501"/>
      <c r="OPX19" s="501"/>
      <c r="OPY19" s="501"/>
      <c r="OPZ19" s="501"/>
      <c r="OQA19" s="501"/>
      <c r="OQB19" s="501"/>
      <c r="OQC19" s="501"/>
      <c r="OQD19" s="501"/>
      <c r="OQE19" s="501"/>
      <c r="OQF19" s="501"/>
      <c r="OQG19" s="501"/>
      <c r="OQH19" s="501"/>
      <c r="OQI19" s="501"/>
      <c r="OQJ19" s="501"/>
      <c r="OQK19" s="501"/>
      <c r="OQL19" s="501"/>
      <c r="OQM19" s="501"/>
      <c r="OQN19" s="501"/>
      <c r="OQO19" s="501"/>
      <c r="OQP19" s="501"/>
      <c r="OQQ19" s="501"/>
      <c r="OQR19" s="501"/>
      <c r="OQS19" s="501"/>
      <c r="OQT19" s="501"/>
      <c r="OQU19" s="501"/>
      <c r="OQV19" s="501"/>
      <c r="OQW19" s="501"/>
      <c r="OQX19" s="501"/>
      <c r="OQY19" s="501"/>
      <c r="OQZ19" s="501"/>
      <c r="ORA19" s="501"/>
      <c r="ORB19" s="501"/>
      <c r="ORC19" s="501"/>
      <c r="ORD19" s="501"/>
      <c r="ORE19" s="501"/>
      <c r="ORF19" s="501"/>
      <c r="ORG19" s="501"/>
      <c r="ORH19" s="501"/>
      <c r="ORI19" s="501"/>
      <c r="ORJ19" s="501"/>
      <c r="ORK19" s="501"/>
      <c r="ORL19" s="501"/>
      <c r="ORM19" s="501"/>
      <c r="ORN19" s="501"/>
      <c r="ORO19" s="501"/>
      <c r="ORP19" s="501"/>
      <c r="ORQ19" s="501"/>
      <c r="ORR19" s="501"/>
      <c r="ORS19" s="501"/>
      <c r="ORT19" s="501"/>
      <c r="ORU19" s="501"/>
      <c r="ORV19" s="501"/>
      <c r="ORW19" s="501"/>
      <c r="ORX19" s="501"/>
      <c r="ORY19" s="501"/>
      <c r="ORZ19" s="501"/>
      <c r="OSA19" s="501"/>
      <c r="OSB19" s="501"/>
      <c r="OSC19" s="501"/>
      <c r="OSD19" s="501"/>
      <c r="OSE19" s="501"/>
      <c r="OSF19" s="501"/>
      <c r="OSG19" s="501"/>
      <c r="OSH19" s="501"/>
      <c r="OSI19" s="501"/>
      <c r="OSJ19" s="501"/>
      <c r="OSK19" s="501"/>
      <c r="OSL19" s="501"/>
      <c r="OSM19" s="501"/>
      <c r="OSN19" s="501"/>
      <c r="OSO19" s="501"/>
      <c r="OSP19" s="501"/>
      <c r="OSQ19" s="501"/>
      <c r="OSR19" s="501"/>
      <c r="OSS19" s="501"/>
      <c r="OST19" s="501"/>
      <c r="OSU19" s="501"/>
      <c r="OSV19" s="501"/>
      <c r="OSW19" s="501"/>
      <c r="OSX19" s="501"/>
      <c r="OSY19" s="501"/>
      <c r="OSZ19" s="501"/>
      <c r="OTA19" s="501"/>
      <c r="OTB19" s="501"/>
      <c r="OTC19" s="501"/>
      <c r="OTD19" s="501"/>
      <c r="OTE19" s="501"/>
      <c r="OTF19" s="501"/>
      <c r="OTG19" s="501"/>
      <c r="OTH19" s="501"/>
      <c r="OTI19" s="501"/>
      <c r="OTJ19" s="501"/>
      <c r="OTK19" s="501"/>
      <c r="OTL19" s="501"/>
      <c r="OTM19" s="501"/>
      <c r="OTN19" s="501"/>
      <c r="OTO19" s="501"/>
      <c r="OTP19" s="501"/>
      <c r="OTQ19" s="501"/>
      <c r="OTR19" s="501"/>
      <c r="OTS19" s="501"/>
      <c r="OTT19" s="501"/>
      <c r="OTU19" s="501"/>
      <c r="OTV19" s="501"/>
      <c r="OTW19" s="501"/>
      <c r="OTX19" s="501"/>
      <c r="OTY19" s="501"/>
      <c r="OTZ19" s="501"/>
      <c r="OUA19" s="501"/>
      <c r="OUB19" s="501"/>
      <c r="OUC19" s="501"/>
      <c r="OUD19" s="501"/>
      <c r="OUE19" s="501"/>
      <c r="OUF19" s="501"/>
      <c r="OUG19" s="501"/>
      <c r="OUH19" s="501"/>
      <c r="OUI19" s="501"/>
      <c r="OUJ19" s="501"/>
      <c r="OUK19" s="501"/>
      <c r="OUL19" s="501"/>
      <c r="OUM19" s="501"/>
      <c r="OUN19" s="501"/>
      <c r="OUO19" s="501"/>
      <c r="OUP19" s="501"/>
      <c r="OUQ19" s="501"/>
      <c r="OUR19" s="501"/>
      <c r="OUS19" s="501"/>
      <c r="OUT19" s="501"/>
      <c r="OUU19" s="501"/>
      <c r="OUV19" s="501"/>
      <c r="OUW19" s="501"/>
      <c r="OUX19" s="501"/>
      <c r="OUY19" s="501"/>
      <c r="OUZ19" s="501"/>
      <c r="OVA19" s="501"/>
      <c r="OVB19" s="501"/>
      <c r="OVC19" s="501"/>
      <c r="OVD19" s="501"/>
      <c r="OVE19" s="501"/>
      <c r="OVF19" s="501"/>
      <c r="OVG19" s="501"/>
      <c r="OVH19" s="501"/>
      <c r="OVI19" s="501"/>
      <c r="OVJ19" s="501"/>
      <c r="OVK19" s="501"/>
      <c r="OVL19" s="501"/>
      <c r="OVM19" s="501"/>
      <c r="OVN19" s="501"/>
      <c r="OVO19" s="501"/>
      <c r="OVP19" s="501"/>
      <c r="OVQ19" s="501"/>
      <c r="OVR19" s="501"/>
      <c r="OVS19" s="501"/>
      <c r="OVT19" s="501"/>
      <c r="OVU19" s="501"/>
      <c r="OVV19" s="501"/>
      <c r="OVW19" s="501"/>
      <c r="OVX19" s="501"/>
      <c r="OVY19" s="501"/>
      <c r="OVZ19" s="501"/>
      <c r="OWA19" s="501"/>
      <c r="OWB19" s="501"/>
      <c r="OWC19" s="501"/>
      <c r="OWD19" s="501"/>
      <c r="OWE19" s="501"/>
      <c r="OWF19" s="501"/>
      <c r="OWG19" s="501"/>
      <c r="OWH19" s="501"/>
      <c r="OWI19" s="501"/>
      <c r="OWJ19" s="501"/>
      <c r="OWK19" s="501"/>
      <c r="OWL19" s="501"/>
      <c r="OWM19" s="501"/>
      <c r="OWN19" s="501"/>
      <c r="OWO19" s="501"/>
      <c r="OWP19" s="501"/>
      <c r="OWQ19" s="501"/>
      <c r="OWR19" s="501"/>
      <c r="OWS19" s="501"/>
      <c r="OWT19" s="501"/>
      <c r="OWU19" s="501"/>
      <c r="OWV19" s="501"/>
      <c r="OWW19" s="501"/>
      <c r="OWX19" s="501"/>
      <c r="OWY19" s="501"/>
      <c r="OWZ19" s="501"/>
      <c r="OXA19" s="501"/>
      <c r="OXB19" s="501"/>
      <c r="OXC19" s="501"/>
      <c r="OXD19" s="501"/>
      <c r="OXE19" s="501"/>
      <c r="OXF19" s="501"/>
      <c r="OXG19" s="501"/>
      <c r="OXH19" s="501"/>
      <c r="OXI19" s="501"/>
      <c r="OXJ19" s="501"/>
      <c r="OXK19" s="501"/>
      <c r="OXL19" s="501"/>
      <c r="OXM19" s="501"/>
      <c r="OXN19" s="501"/>
      <c r="OXO19" s="501"/>
      <c r="OXP19" s="501"/>
      <c r="OXQ19" s="501"/>
      <c r="OXR19" s="501"/>
      <c r="OXS19" s="501"/>
      <c r="OXT19" s="501"/>
      <c r="OXU19" s="501"/>
      <c r="OXV19" s="501"/>
      <c r="OXW19" s="501"/>
      <c r="OXX19" s="501"/>
      <c r="OXY19" s="501"/>
      <c r="OXZ19" s="501"/>
      <c r="OYA19" s="501"/>
      <c r="OYB19" s="501"/>
      <c r="OYC19" s="501"/>
      <c r="OYD19" s="501"/>
      <c r="OYE19" s="501"/>
      <c r="OYF19" s="501"/>
      <c r="OYG19" s="501"/>
      <c r="OYH19" s="501"/>
      <c r="OYI19" s="501"/>
      <c r="OYJ19" s="501"/>
      <c r="OYK19" s="501"/>
      <c r="OYL19" s="501"/>
      <c r="OYM19" s="501"/>
      <c r="OYN19" s="501"/>
      <c r="OYO19" s="501"/>
      <c r="OYP19" s="501"/>
      <c r="OYQ19" s="501"/>
      <c r="OYR19" s="501"/>
      <c r="OYS19" s="501"/>
      <c r="OYT19" s="501"/>
      <c r="OYU19" s="501"/>
      <c r="OYV19" s="501"/>
      <c r="OYW19" s="501"/>
      <c r="OYX19" s="501"/>
      <c r="OYY19" s="501"/>
      <c r="OYZ19" s="501"/>
      <c r="OZA19" s="501"/>
      <c r="OZB19" s="501"/>
      <c r="OZC19" s="501"/>
      <c r="OZD19" s="501"/>
      <c r="OZE19" s="501"/>
      <c r="OZF19" s="501"/>
      <c r="OZG19" s="501"/>
      <c r="OZH19" s="501"/>
      <c r="OZI19" s="501"/>
      <c r="OZJ19" s="501"/>
      <c r="OZK19" s="501"/>
      <c r="OZL19" s="501"/>
      <c r="OZM19" s="501"/>
      <c r="OZN19" s="501"/>
      <c r="OZO19" s="501"/>
      <c r="OZP19" s="501"/>
      <c r="OZQ19" s="501"/>
      <c r="OZR19" s="501"/>
      <c r="OZS19" s="501"/>
      <c r="OZT19" s="501"/>
      <c r="OZU19" s="501"/>
      <c r="OZV19" s="501"/>
      <c r="OZW19" s="501"/>
      <c r="OZX19" s="501"/>
      <c r="OZY19" s="501"/>
      <c r="OZZ19" s="501"/>
      <c r="PAA19" s="501"/>
      <c r="PAB19" s="501"/>
      <c r="PAC19" s="501"/>
      <c r="PAD19" s="501"/>
      <c r="PAE19" s="501"/>
      <c r="PAF19" s="501"/>
      <c r="PAG19" s="501"/>
      <c r="PAH19" s="501"/>
      <c r="PAI19" s="501"/>
      <c r="PAJ19" s="501"/>
      <c r="PAK19" s="501"/>
      <c r="PAL19" s="501"/>
      <c r="PAM19" s="501"/>
      <c r="PAN19" s="501"/>
      <c r="PAO19" s="501"/>
      <c r="PAP19" s="501"/>
      <c r="PAQ19" s="501"/>
      <c r="PAR19" s="501"/>
      <c r="PAS19" s="501"/>
      <c r="PAT19" s="501"/>
      <c r="PAU19" s="501"/>
      <c r="PAV19" s="501"/>
      <c r="PAW19" s="501"/>
      <c r="PAX19" s="501"/>
      <c r="PAY19" s="501"/>
      <c r="PAZ19" s="501"/>
      <c r="PBA19" s="501"/>
      <c r="PBB19" s="501"/>
      <c r="PBC19" s="501"/>
      <c r="PBD19" s="501"/>
      <c r="PBE19" s="501"/>
      <c r="PBF19" s="501"/>
      <c r="PBG19" s="501"/>
      <c r="PBH19" s="501"/>
      <c r="PBI19" s="501"/>
      <c r="PBJ19" s="501"/>
      <c r="PBK19" s="501"/>
      <c r="PBL19" s="501"/>
      <c r="PBM19" s="501"/>
      <c r="PBN19" s="501"/>
      <c r="PBO19" s="501"/>
      <c r="PBP19" s="501"/>
      <c r="PBQ19" s="501"/>
      <c r="PBR19" s="501"/>
      <c r="PBS19" s="501"/>
      <c r="PBT19" s="501"/>
      <c r="PBU19" s="501"/>
      <c r="PBV19" s="501"/>
      <c r="PBW19" s="501"/>
      <c r="PBX19" s="501"/>
      <c r="PBY19" s="501"/>
      <c r="PBZ19" s="501"/>
      <c r="PCA19" s="501"/>
      <c r="PCB19" s="501"/>
      <c r="PCC19" s="501"/>
      <c r="PCD19" s="501"/>
      <c r="PCE19" s="501"/>
      <c r="PCF19" s="501"/>
      <c r="PCG19" s="501"/>
      <c r="PCH19" s="501"/>
      <c r="PCI19" s="501"/>
      <c r="PCJ19" s="501"/>
      <c r="PCK19" s="501"/>
      <c r="PCL19" s="501"/>
      <c r="PCM19" s="501"/>
      <c r="PCN19" s="501"/>
      <c r="PCO19" s="501"/>
      <c r="PCP19" s="501"/>
      <c r="PCQ19" s="501"/>
      <c r="PCR19" s="501"/>
      <c r="PCS19" s="501"/>
      <c r="PCT19" s="501"/>
      <c r="PCU19" s="501"/>
      <c r="PCV19" s="501"/>
      <c r="PCW19" s="501"/>
      <c r="PCX19" s="501"/>
      <c r="PCY19" s="501"/>
      <c r="PCZ19" s="501"/>
      <c r="PDA19" s="501"/>
      <c r="PDB19" s="501"/>
      <c r="PDC19" s="501"/>
      <c r="PDD19" s="501"/>
      <c r="PDE19" s="501"/>
      <c r="PDF19" s="501"/>
      <c r="PDG19" s="501"/>
      <c r="PDH19" s="501"/>
      <c r="PDI19" s="501"/>
      <c r="PDJ19" s="501"/>
      <c r="PDK19" s="501"/>
      <c r="PDL19" s="501"/>
      <c r="PDM19" s="501"/>
      <c r="PDN19" s="501"/>
      <c r="PDO19" s="501"/>
      <c r="PDP19" s="501"/>
      <c r="PDQ19" s="501"/>
      <c r="PDR19" s="501"/>
      <c r="PDS19" s="501"/>
      <c r="PDT19" s="501"/>
      <c r="PDU19" s="501"/>
      <c r="PDV19" s="501"/>
      <c r="PDW19" s="501"/>
      <c r="PDX19" s="501"/>
      <c r="PDY19" s="501"/>
      <c r="PDZ19" s="501"/>
      <c r="PEA19" s="501"/>
      <c r="PEB19" s="501"/>
      <c r="PEC19" s="501"/>
      <c r="PED19" s="501"/>
      <c r="PEE19" s="501"/>
      <c r="PEF19" s="501"/>
      <c r="PEG19" s="501"/>
      <c r="PEH19" s="501"/>
      <c r="PEI19" s="501"/>
      <c r="PEJ19" s="501"/>
      <c r="PEK19" s="501"/>
      <c r="PEL19" s="501"/>
      <c r="PEM19" s="501"/>
      <c r="PEN19" s="501"/>
      <c r="PEO19" s="501"/>
      <c r="PEP19" s="501"/>
      <c r="PEQ19" s="501"/>
      <c r="PER19" s="501"/>
      <c r="PES19" s="501"/>
      <c r="PET19" s="501"/>
      <c r="PEU19" s="501"/>
      <c r="PEV19" s="501"/>
      <c r="PEW19" s="501"/>
      <c r="PEX19" s="501"/>
      <c r="PEY19" s="501"/>
      <c r="PEZ19" s="501"/>
      <c r="PFA19" s="501"/>
      <c r="PFB19" s="501"/>
      <c r="PFC19" s="501"/>
      <c r="PFD19" s="501"/>
      <c r="PFE19" s="501"/>
      <c r="PFF19" s="501"/>
      <c r="PFG19" s="501"/>
      <c r="PFH19" s="501"/>
      <c r="PFI19" s="501"/>
      <c r="PFJ19" s="501"/>
      <c r="PFK19" s="501"/>
      <c r="PFL19" s="501"/>
      <c r="PFM19" s="501"/>
      <c r="PFN19" s="501"/>
      <c r="PFO19" s="501"/>
      <c r="PFP19" s="501"/>
      <c r="PFQ19" s="501"/>
      <c r="PFR19" s="501"/>
      <c r="PFS19" s="501"/>
      <c r="PFT19" s="501"/>
      <c r="PFU19" s="501"/>
      <c r="PFV19" s="501"/>
      <c r="PFW19" s="501"/>
      <c r="PFX19" s="501"/>
      <c r="PFY19" s="501"/>
      <c r="PFZ19" s="501"/>
      <c r="PGA19" s="501"/>
      <c r="PGB19" s="501"/>
      <c r="PGC19" s="501"/>
      <c r="PGD19" s="501"/>
      <c r="PGE19" s="501"/>
      <c r="PGF19" s="501"/>
      <c r="PGG19" s="501"/>
      <c r="PGH19" s="501"/>
      <c r="PGI19" s="501"/>
      <c r="PGJ19" s="501"/>
      <c r="PGK19" s="501"/>
      <c r="PGL19" s="501"/>
      <c r="PGM19" s="501"/>
      <c r="PGN19" s="501"/>
      <c r="PGO19" s="501"/>
      <c r="PGP19" s="501"/>
      <c r="PGQ19" s="501"/>
      <c r="PGR19" s="501"/>
      <c r="PGS19" s="501"/>
      <c r="PGT19" s="501"/>
      <c r="PGU19" s="501"/>
      <c r="PGV19" s="501"/>
      <c r="PGW19" s="501"/>
      <c r="PGX19" s="501"/>
      <c r="PGY19" s="501"/>
      <c r="PGZ19" s="501"/>
      <c r="PHA19" s="501"/>
      <c r="PHB19" s="501"/>
      <c r="PHC19" s="501"/>
      <c r="PHD19" s="501"/>
      <c r="PHE19" s="501"/>
      <c r="PHF19" s="501"/>
      <c r="PHG19" s="501"/>
      <c r="PHH19" s="501"/>
      <c r="PHI19" s="501"/>
      <c r="PHJ19" s="501"/>
      <c r="PHK19" s="501"/>
      <c r="PHL19" s="501"/>
      <c r="PHM19" s="501"/>
      <c r="PHN19" s="501"/>
      <c r="PHO19" s="501"/>
      <c r="PHP19" s="501"/>
      <c r="PHQ19" s="501"/>
      <c r="PHR19" s="501"/>
      <c r="PHS19" s="501"/>
      <c r="PHT19" s="501"/>
      <c r="PHU19" s="501"/>
      <c r="PHV19" s="501"/>
      <c r="PHW19" s="501"/>
      <c r="PHX19" s="501"/>
      <c r="PHY19" s="501"/>
      <c r="PHZ19" s="501"/>
      <c r="PIA19" s="501"/>
      <c r="PIB19" s="501"/>
      <c r="PIC19" s="501"/>
      <c r="PID19" s="501"/>
      <c r="PIE19" s="501"/>
      <c r="PIF19" s="501"/>
      <c r="PIG19" s="501"/>
      <c r="PIH19" s="501"/>
      <c r="PII19" s="501"/>
      <c r="PIJ19" s="501"/>
      <c r="PIK19" s="501"/>
      <c r="PIL19" s="501"/>
      <c r="PIM19" s="501"/>
      <c r="PIN19" s="501"/>
      <c r="PIO19" s="501"/>
      <c r="PIP19" s="501"/>
      <c r="PIQ19" s="501"/>
      <c r="PIR19" s="501"/>
      <c r="PIS19" s="501"/>
      <c r="PIT19" s="501"/>
      <c r="PIU19" s="501"/>
      <c r="PIV19" s="501"/>
      <c r="PIW19" s="501"/>
      <c r="PIX19" s="501"/>
      <c r="PIY19" s="501"/>
      <c r="PIZ19" s="501"/>
      <c r="PJA19" s="501"/>
      <c r="PJB19" s="501"/>
      <c r="PJC19" s="501"/>
      <c r="PJD19" s="501"/>
      <c r="PJE19" s="501"/>
      <c r="PJF19" s="501"/>
      <c r="PJG19" s="501"/>
      <c r="PJH19" s="501"/>
      <c r="PJI19" s="501"/>
      <c r="PJJ19" s="501"/>
      <c r="PJK19" s="501"/>
      <c r="PJL19" s="501"/>
      <c r="PJM19" s="501"/>
      <c r="PJN19" s="501"/>
      <c r="PJO19" s="501"/>
      <c r="PJP19" s="501"/>
      <c r="PJQ19" s="501"/>
      <c r="PJR19" s="501"/>
      <c r="PJS19" s="501"/>
      <c r="PJT19" s="501"/>
      <c r="PJU19" s="501"/>
      <c r="PJV19" s="501"/>
      <c r="PJW19" s="501"/>
      <c r="PJX19" s="501"/>
      <c r="PJY19" s="501"/>
      <c r="PJZ19" s="501"/>
      <c r="PKA19" s="501"/>
      <c r="PKB19" s="501"/>
      <c r="PKC19" s="501"/>
      <c r="PKD19" s="501"/>
      <c r="PKE19" s="501"/>
      <c r="PKF19" s="501"/>
      <c r="PKG19" s="501"/>
      <c r="PKH19" s="501"/>
      <c r="PKI19" s="501"/>
      <c r="PKJ19" s="501"/>
      <c r="PKK19" s="501"/>
      <c r="PKL19" s="501"/>
      <c r="PKM19" s="501"/>
      <c r="PKN19" s="501"/>
      <c r="PKO19" s="501"/>
      <c r="PKP19" s="501"/>
      <c r="PKQ19" s="501"/>
      <c r="PKR19" s="501"/>
      <c r="PKS19" s="501"/>
      <c r="PKT19" s="501"/>
      <c r="PKU19" s="501"/>
      <c r="PKV19" s="501"/>
      <c r="PKW19" s="501"/>
      <c r="PKX19" s="501"/>
      <c r="PKY19" s="501"/>
      <c r="PKZ19" s="501"/>
      <c r="PLA19" s="501"/>
      <c r="PLB19" s="501"/>
      <c r="PLC19" s="501"/>
      <c r="PLD19" s="501"/>
      <c r="PLE19" s="501"/>
      <c r="PLF19" s="501"/>
      <c r="PLG19" s="501"/>
      <c r="PLH19" s="501"/>
      <c r="PLI19" s="501"/>
      <c r="PLJ19" s="501"/>
      <c r="PLK19" s="501"/>
      <c r="PLL19" s="501"/>
      <c r="PLM19" s="501"/>
      <c r="PLN19" s="501"/>
      <c r="PLO19" s="501"/>
      <c r="PLP19" s="501"/>
      <c r="PLQ19" s="501"/>
      <c r="PLR19" s="501"/>
      <c r="PLS19" s="501"/>
      <c r="PLT19" s="501"/>
      <c r="PLU19" s="501"/>
      <c r="PLV19" s="501"/>
      <c r="PLW19" s="501"/>
      <c r="PLX19" s="501"/>
      <c r="PLY19" s="501"/>
      <c r="PLZ19" s="501"/>
      <c r="PMA19" s="501"/>
      <c r="PMB19" s="501"/>
      <c r="PMC19" s="501"/>
      <c r="PMD19" s="501"/>
      <c r="PME19" s="501"/>
      <c r="PMF19" s="501"/>
      <c r="PMG19" s="501"/>
      <c r="PMH19" s="501"/>
      <c r="PMI19" s="501"/>
      <c r="PMJ19" s="501"/>
      <c r="PMK19" s="501"/>
      <c r="PML19" s="501"/>
      <c r="PMM19" s="501"/>
      <c r="PMN19" s="501"/>
      <c r="PMO19" s="501"/>
      <c r="PMP19" s="501"/>
      <c r="PMQ19" s="501"/>
      <c r="PMR19" s="501"/>
      <c r="PMS19" s="501"/>
      <c r="PMT19" s="501"/>
      <c r="PMU19" s="501"/>
      <c r="PMV19" s="501"/>
      <c r="PMW19" s="501"/>
      <c r="PMX19" s="501"/>
      <c r="PMY19" s="501"/>
      <c r="PMZ19" s="501"/>
      <c r="PNA19" s="501"/>
      <c r="PNB19" s="501"/>
      <c r="PNC19" s="501"/>
      <c r="PND19" s="501"/>
      <c r="PNE19" s="501"/>
      <c r="PNF19" s="501"/>
      <c r="PNG19" s="501"/>
      <c r="PNH19" s="501"/>
      <c r="PNI19" s="501"/>
      <c r="PNJ19" s="501"/>
      <c r="PNK19" s="501"/>
      <c r="PNL19" s="501"/>
      <c r="PNM19" s="501"/>
      <c r="PNN19" s="501"/>
      <c r="PNO19" s="501"/>
      <c r="PNP19" s="501"/>
      <c r="PNQ19" s="501"/>
      <c r="PNR19" s="501"/>
      <c r="PNS19" s="501"/>
      <c r="PNT19" s="501"/>
      <c r="PNU19" s="501"/>
      <c r="PNV19" s="501"/>
      <c r="PNW19" s="501"/>
      <c r="PNX19" s="501"/>
      <c r="PNY19" s="501"/>
      <c r="PNZ19" s="501"/>
      <c r="POA19" s="501"/>
      <c r="POB19" s="501"/>
      <c r="POC19" s="501"/>
      <c r="POD19" s="501"/>
      <c r="POE19" s="501"/>
      <c r="POF19" s="501"/>
      <c r="POG19" s="501"/>
      <c r="POH19" s="501"/>
      <c r="POI19" s="501"/>
      <c r="POJ19" s="501"/>
      <c r="POK19" s="501"/>
      <c r="POL19" s="501"/>
      <c r="POM19" s="501"/>
      <c r="PON19" s="501"/>
      <c r="POO19" s="501"/>
      <c r="POP19" s="501"/>
      <c r="POQ19" s="501"/>
      <c r="POR19" s="501"/>
      <c r="POS19" s="501"/>
      <c r="POT19" s="501"/>
      <c r="POU19" s="501"/>
      <c r="POV19" s="501"/>
      <c r="POW19" s="501"/>
      <c r="POX19" s="501"/>
      <c r="POY19" s="501"/>
      <c r="POZ19" s="501"/>
      <c r="PPA19" s="501"/>
      <c r="PPB19" s="501"/>
      <c r="PPC19" s="501"/>
      <c r="PPD19" s="501"/>
      <c r="PPE19" s="501"/>
      <c r="PPF19" s="501"/>
      <c r="PPG19" s="501"/>
      <c r="PPH19" s="501"/>
      <c r="PPI19" s="501"/>
      <c r="PPJ19" s="501"/>
      <c r="PPK19" s="501"/>
      <c r="PPL19" s="501"/>
      <c r="PPM19" s="501"/>
      <c r="PPN19" s="501"/>
      <c r="PPO19" s="501"/>
      <c r="PPP19" s="501"/>
      <c r="PPQ19" s="501"/>
      <c r="PPR19" s="501"/>
      <c r="PPS19" s="501"/>
      <c r="PPT19" s="501"/>
      <c r="PPU19" s="501"/>
      <c r="PPV19" s="501"/>
      <c r="PPW19" s="501"/>
      <c r="PPX19" s="501"/>
      <c r="PPY19" s="501"/>
      <c r="PPZ19" s="501"/>
      <c r="PQA19" s="501"/>
      <c r="PQB19" s="501"/>
      <c r="PQC19" s="501"/>
      <c r="PQD19" s="501"/>
      <c r="PQE19" s="501"/>
      <c r="PQF19" s="501"/>
      <c r="PQG19" s="501"/>
      <c r="PQH19" s="501"/>
      <c r="PQI19" s="501"/>
      <c r="PQJ19" s="501"/>
      <c r="PQK19" s="501"/>
      <c r="PQL19" s="501"/>
      <c r="PQM19" s="501"/>
      <c r="PQN19" s="501"/>
      <c r="PQO19" s="501"/>
      <c r="PQP19" s="501"/>
      <c r="PQQ19" s="501"/>
      <c r="PQR19" s="501"/>
      <c r="PQS19" s="501"/>
      <c r="PQT19" s="501"/>
      <c r="PQU19" s="501"/>
      <c r="PQV19" s="501"/>
      <c r="PQW19" s="501"/>
      <c r="PQX19" s="501"/>
      <c r="PQY19" s="501"/>
      <c r="PQZ19" s="501"/>
      <c r="PRA19" s="501"/>
      <c r="PRB19" s="501"/>
      <c r="PRC19" s="501"/>
      <c r="PRD19" s="501"/>
      <c r="PRE19" s="501"/>
      <c r="PRF19" s="501"/>
      <c r="PRG19" s="501"/>
      <c r="PRH19" s="501"/>
      <c r="PRI19" s="501"/>
      <c r="PRJ19" s="501"/>
      <c r="PRK19" s="501"/>
      <c r="PRL19" s="501"/>
      <c r="PRM19" s="501"/>
      <c r="PRN19" s="501"/>
      <c r="PRO19" s="501"/>
      <c r="PRP19" s="501"/>
      <c r="PRQ19" s="501"/>
      <c r="PRR19" s="501"/>
      <c r="PRS19" s="501"/>
      <c r="PRT19" s="501"/>
      <c r="PRU19" s="501"/>
      <c r="PRV19" s="501"/>
      <c r="PRW19" s="501"/>
      <c r="PRX19" s="501"/>
      <c r="PRY19" s="501"/>
      <c r="PRZ19" s="501"/>
      <c r="PSA19" s="501"/>
      <c r="PSB19" s="501"/>
      <c r="PSC19" s="501"/>
      <c r="PSD19" s="501"/>
      <c r="PSE19" s="501"/>
      <c r="PSF19" s="501"/>
      <c r="PSG19" s="501"/>
      <c r="PSH19" s="501"/>
      <c r="PSI19" s="501"/>
      <c r="PSJ19" s="501"/>
      <c r="PSK19" s="501"/>
      <c r="PSL19" s="501"/>
      <c r="PSM19" s="501"/>
      <c r="PSN19" s="501"/>
      <c r="PSO19" s="501"/>
      <c r="PSP19" s="501"/>
      <c r="PSQ19" s="501"/>
      <c r="PSR19" s="501"/>
      <c r="PSS19" s="501"/>
      <c r="PST19" s="501"/>
      <c r="PSU19" s="501"/>
      <c r="PSV19" s="501"/>
      <c r="PSW19" s="501"/>
      <c r="PSX19" s="501"/>
      <c r="PSY19" s="501"/>
      <c r="PSZ19" s="501"/>
      <c r="PTA19" s="501"/>
      <c r="PTB19" s="501"/>
      <c r="PTC19" s="501"/>
      <c r="PTD19" s="501"/>
      <c r="PTE19" s="501"/>
      <c r="PTF19" s="501"/>
      <c r="PTG19" s="501"/>
      <c r="PTH19" s="501"/>
      <c r="PTI19" s="501"/>
      <c r="PTJ19" s="501"/>
      <c r="PTK19" s="501"/>
      <c r="PTL19" s="501"/>
      <c r="PTM19" s="501"/>
      <c r="PTN19" s="501"/>
      <c r="PTO19" s="501"/>
      <c r="PTP19" s="501"/>
      <c r="PTQ19" s="501"/>
      <c r="PTR19" s="501"/>
      <c r="PTS19" s="501"/>
      <c r="PTT19" s="501"/>
      <c r="PTU19" s="501"/>
      <c r="PTV19" s="501"/>
      <c r="PTW19" s="501"/>
      <c r="PTX19" s="501"/>
      <c r="PTY19" s="501"/>
      <c r="PTZ19" s="501"/>
      <c r="PUA19" s="501"/>
      <c r="PUB19" s="501"/>
      <c r="PUC19" s="501"/>
      <c r="PUD19" s="501"/>
      <c r="PUE19" s="501"/>
      <c r="PUF19" s="501"/>
      <c r="PUG19" s="501"/>
      <c r="PUH19" s="501"/>
      <c r="PUI19" s="501"/>
      <c r="PUJ19" s="501"/>
      <c r="PUK19" s="501"/>
      <c r="PUL19" s="501"/>
      <c r="PUM19" s="501"/>
      <c r="PUN19" s="501"/>
      <c r="PUO19" s="501"/>
      <c r="PUP19" s="501"/>
      <c r="PUQ19" s="501"/>
      <c r="PUR19" s="501"/>
      <c r="PUS19" s="501"/>
      <c r="PUT19" s="501"/>
      <c r="PUU19" s="501"/>
      <c r="PUV19" s="501"/>
      <c r="PUW19" s="501"/>
      <c r="PUX19" s="501"/>
      <c r="PUY19" s="501"/>
      <c r="PUZ19" s="501"/>
      <c r="PVA19" s="501"/>
      <c r="PVB19" s="501"/>
      <c r="PVC19" s="501"/>
      <c r="PVD19" s="501"/>
      <c r="PVE19" s="501"/>
      <c r="PVF19" s="501"/>
      <c r="PVG19" s="501"/>
      <c r="PVH19" s="501"/>
      <c r="PVI19" s="501"/>
      <c r="PVJ19" s="501"/>
      <c r="PVK19" s="501"/>
      <c r="PVL19" s="501"/>
      <c r="PVM19" s="501"/>
      <c r="PVN19" s="501"/>
      <c r="PVO19" s="501"/>
      <c r="PVP19" s="501"/>
      <c r="PVQ19" s="501"/>
      <c r="PVR19" s="501"/>
      <c r="PVS19" s="501"/>
      <c r="PVT19" s="501"/>
      <c r="PVU19" s="501"/>
      <c r="PVV19" s="501"/>
      <c r="PVW19" s="501"/>
      <c r="PVX19" s="501"/>
      <c r="PVY19" s="501"/>
      <c r="PVZ19" s="501"/>
      <c r="PWA19" s="501"/>
      <c r="PWB19" s="501"/>
      <c r="PWC19" s="501"/>
      <c r="PWD19" s="501"/>
      <c r="PWE19" s="501"/>
      <c r="PWF19" s="501"/>
      <c r="PWG19" s="501"/>
      <c r="PWH19" s="501"/>
      <c r="PWI19" s="501"/>
      <c r="PWJ19" s="501"/>
      <c r="PWK19" s="501"/>
      <c r="PWL19" s="501"/>
      <c r="PWM19" s="501"/>
      <c r="PWN19" s="501"/>
      <c r="PWO19" s="501"/>
      <c r="PWP19" s="501"/>
      <c r="PWQ19" s="501"/>
      <c r="PWR19" s="501"/>
      <c r="PWS19" s="501"/>
      <c r="PWT19" s="501"/>
      <c r="PWU19" s="501"/>
      <c r="PWV19" s="501"/>
      <c r="PWW19" s="501"/>
      <c r="PWX19" s="501"/>
      <c r="PWY19" s="501"/>
      <c r="PWZ19" s="501"/>
      <c r="PXA19" s="501"/>
      <c r="PXB19" s="501"/>
      <c r="PXC19" s="501"/>
      <c r="PXD19" s="501"/>
      <c r="PXE19" s="501"/>
      <c r="PXF19" s="501"/>
      <c r="PXG19" s="501"/>
      <c r="PXH19" s="501"/>
      <c r="PXI19" s="501"/>
      <c r="PXJ19" s="501"/>
      <c r="PXK19" s="501"/>
      <c r="PXL19" s="501"/>
      <c r="PXM19" s="501"/>
      <c r="PXN19" s="501"/>
      <c r="PXO19" s="501"/>
      <c r="PXP19" s="501"/>
      <c r="PXQ19" s="501"/>
      <c r="PXR19" s="501"/>
      <c r="PXS19" s="501"/>
      <c r="PXT19" s="501"/>
      <c r="PXU19" s="501"/>
      <c r="PXV19" s="501"/>
      <c r="PXW19" s="501"/>
      <c r="PXX19" s="501"/>
      <c r="PXY19" s="501"/>
      <c r="PXZ19" s="501"/>
      <c r="PYA19" s="501"/>
      <c r="PYB19" s="501"/>
      <c r="PYC19" s="501"/>
      <c r="PYD19" s="501"/>
      <c r="PYE19" s="501"/>
      <c r="PYF19" s="501"/>
      <c r="PYG19" s="501"/>
      <c r="PYH19" s="501"/>
      <c r="PYI19" s="501"/>
      <c r="PYJ19" s="501"/>
      <c r="PYK19" s="501"/>
      <c r="PYL19" s="501"/>
      <c r="PYM19" s="501"/>
      <c r="PYN19" s="501"/>
      <c r="PYO19" s="501"/>
      <c r="PYP19" s="501"/>
      <c r="PYQ19" s="501"/>
      <c r="PYR19" s="501"/>
      <c r="PYS19" s="501"/>
      <c r="PYT19" s="501"/>
      <c r="PYU19" s="501"/>
      <c r="PYV19" s="501"/>
      <c r="PYW19" s="501"/>
      <c r="PYX19" s="501"/>
      <c r="PYY19" s="501"/>
      <c r="PYZ19" s="501"/>
      <c r="PZA19" s="501"/>
      <c r="PZB19" s="501"/>
      <c r="PZC19" s="501"/>
      <c r="PZD19" s="501"/>
      <c r="PZE19" s="501"/>
      <c r="PZF19" s="501"/>
      <c r="PZG19" s="501"/>
      <c r="PZH19" s="501"/>
      <c r="PZI19" s="501"/>
      <c r="PZJ19" s="501"/>
      <c r="PZK19" s="501"/>
      <c r="PZL19" s="501"/>
      <c r="PZM19" s="501"/>
      <c r="PZN19" s="501"/>
      <c r="PZO19" s="501"/>
      <c r="PZP19" s="501"/>
      <c r="PZQ19" s="501"/>
      <c r="PZR19" s="501"/>
      <c r="PZS19" s="501"/>
      <c r="PZT19" s="501"/>
      <c r="PZU19" s="501"/>
      <c r="PZV19" s="501"/>
      <c r="PZW19" s="501"/>
      <c r="PZX19" s="501"/>
      <c r="PZY19" s="501"/>
      <c r="PZZ19" s="501"/>
      <c r="QAA19" s="501"/>
      <c r="QAB19" s="501"/>
      <c r="QAC19" s="501"/>
      <c r="QAD19" s="501"/>
      <c r="QAE19" s="501"/>
      <c r="QAF19" s="501"/>
      <c r="QAG19" s="501"/>
      <c r="QAH19" s="501"/>
      <c r="QAI19" s="501"/>
      <c r="QAJ19" s="501"/>
      <c r="QAK19" s="501"/>
      <c r="QAL19" s="501"/>
      <c r="QAM19" s="501"/>
      <c r="QAN19" s="501"/>
      <c r="QAO19" s="501"/>
      <c r="QAP19" s="501"/>
      <c r="QAQ19" s="501"/>
      <c r="QAR19" s="501"/>
      <c r="QAS19" s="501"/>
      <c r="QAT19" s="501"/>
      <c r="QAU19" s="501"/>
      <c r="QAV19" s="501"/>
      <c r="QAW19" s="501"/>
      <c r="QAX19" s="501"/>
      <c r="QAY19" s="501"/>
      <c r="QAZ19" s="501"/>
      <c r="QBA19" s="501"/>
      <c r="QBB19" s="501"/>
      <c r="QBC19" s="501"/>
      <c r="QBD19" s="501"/>
      <c r="QBE19" s="501"/>
      <c r="QBF19" s="501"/>
      <c r="QBG19" s="501"/>
      <c r="QBH19" s="501"/>
      <c r="QBI19" s="501"/>
      <c r="QBJ19" s="501"/>
      <c r="QBK19" s="501"/>
      <c r="QBL19" s="501"/>
      <c r="QBM19" s="501"/>
      <c r="QBN19" s="501"/>
      <c r="QBO19" s="501"/>
      <c r="QBP19" s="501"/>
      <c r="QBQ19" s="501"/>
      <c r="QBR19" s="501"/>
      <c r="QBS19" s="501"/>
      <c r="QBT19" s="501"/>
      <c r="QBU19" s="501"/>
      <c r="QBV19" s="501"/>
      <c r="QBW19" s="501"/>
      <c r="QBX19" s="501"/>
      <c r="QBY19" s="501"/>
      <c r="QBZ19" s="501"/>
      <c r="QCA19" s="501"/>
      <c r="QCB19" s="501"/>
      <c r="QCC19" s="501"/>
      <c r="QCD19" s="501"/>
      <c r="QCE19" s="501"/>
      <c r="QCF19" s="501"/>
      <c r="QCG19" s="501"/>
      <c r="QCH19" s="501"/>
      <c r="QCI19" s="501"/>
      <c r="QCJ19" s="501"/>
      <c r="QCK19" s="501"/>
      <c r="QCL19" s="501"/>
      <c r="QCM19" s="501"/>
      <c r="QCN19" s="501"/>
      <c r="QCO19" s="501"/>
      <c r="QCP19" s="501"/>
      <c r="QCQ19" s="501"/>
      <c r="QCR19" s="501"/>
      <c r="QCS19" s="501"/>
      <c r="QCT19" s="501"/>
      <c r="QCU19" s="501"/>
      <c r="QCV19" s="501"/>
      <c r="QCW19" s="501"/>
      <c r="QCX19" s="501"/>
      <c r="QCY19" s="501"/>
      <c r="QCZ19" s="501"/>
      <c r="QDA19" s="501"/>
      <c r="QDB19" s="501"/>
      <c r="QDC19" s="501"/>
      <c r="QDD19" s="501"/>
      <c r="QDE19" s="501"/>
      <c r="QDF19" s="501"/>
      <c r="QDG19" s="501"/>
      <c r="QDH19" s="501"/>
      <c r="QDI19" s="501"/>
      <c r="QDJ19" s="501"/>
      <c r="QDK19" s="501"/>
      <c r="QDL19" s="501"/>
      <c r="QDM19" s="501"/>
      <c r="QDN19" s="501"/>
      <c r="QDO19" s="501"/>
      <c r="QDP19" s="501"/>
      <c r="QDQ19" s="501"/>
      <c r="QDR19" s="501"/>
      <c r="QDS19" s="501"/>
      <c r="QDT19" s="501"/>
      <c r="QDU19" s="501"/>
      <c r="QDV19" s="501"/>
      <c r="QDW19" s="501"/>
      <c r="QDX19" s="501"/>
      <c r="QDY19" s="501"/>
      <c r="QDZ19" s="501"/>
      <c r="QEA19" s="501"/>
      <c r="QEB19" s="501"/>
      <c r="QEC19" s="501"/>
      <c r="QED19" s="501"/>
      <c r="QEE19" s="501"/>
      <c r="QEF19" s="501"/>
      <c r="QEG19" s="501"/>
      <c r="QEH19" s="501"/>
      <c r="QEI19" s="501"/>
      <c r="QEJ19" s="501"/>
      <c r="QEK19" s="501"/>
      <c r="QEL19" s="501"/>
      <c r="QEM19" s="501"/>
      <c r="QEN19" s="501"/>
      <c r="QEO19" s="501"/>
      <c r="QEP19" s="501"/>
      <c r="QEQ19" s="501"/>
      <c r="QER19" s="501"/>
      <c r="QES19" s="501"/>
      <c r="QET19" s="501"/>
      <c r="QEU19" s="501"/>
      <c r="QEV19" s="501"/>
      <c r="QEW19" s="501"/>
      <c r="QEX19" s="501"/>
      <c r="QEY19" s="501"/>
      <c r="QEZ19" s="501"/>
      <c r="QFA19" s="501"/>
      <c r="QFB19" s="501"/>
      <c r="QFC19" s="501"/>
      <c r="QFD19" s="501"/>
      <c r="QFE19" s="501"/>
      <c r="QFF19" s="501"/>
      <c r="QFG19" s="501"/>
      <c r="QFH19" s="501"/>
      <c r="QFI19" s="501"/>
      <c r="QFJ19" s="501"/>
      <c r="QFK19" s="501"/>
      <c r="QFL19" s="501"/>
      <c r="QFM19" s="501"/>
      <c r="QFN19" s="501"/>
      <c r="QFO19" s="501"/>
      <c r="QFP19" s="501"/>
      <c r="QFQ19" s="501"/>
      <c r="QFR19" s="501"/>
      <c r="QFS19" s="501"/>
      <c r="QFT19" s="501"/>
      <c r="QFU19" s="501"/>
      <c r="QFV19" s="501"/>
      <c r="QFW19" s="501"/>
      <c r="QFX19" s="501"/>
      <c r="QFY19" s="501"/>
      <c r="QFZ19" s="501"/>
      <c r="QGA19" s="501"/>
      <c r="QGB19" s="501"/>
      <c r="QGC19" s="501"/>
      <c r="QGD19" s="501"/>
      <c r="QGE19" s="501"/>
      <c r="QGF19" s="501"/>
      <c r="QGG19" s="501"/>
      <c r="QGH19" s="501"/>
      <c r="QGI19" s="501"/>
      <c r="QGJ19" s="501"/>
      <c r="QGK19" s="501"/>
      <c r="QGL19" s="501"/>
      <c r="QGM19" s="501"/>
      <c r="QGN19" s="501"/>
      <c r="QGO19" s="501"/>
      <c r="QGP19" s="501"/>
      <c r="QGQ19" s="501"/>
      <c r="QGR19" s="501"/>
      <c r="QGS19" s="501"/>
      <c r="QGT19" s="501"/>
      <c r="QGU19" s="501"/>
      <c r="QGV19" s="501"/>
      <c r="QGW19" s="501"/>
      <c r="QGX19" s="501"/>
      <c r="QGY19" s="501"/>
      <c r="QGZ19" s="501"/>
      <c r="QHA19" s="501"/>
      <c r="QHB19" s="501"/>
      <c r="QHC19" s="501"/>
      <c r="QHD19" s="501"/>
      <c r="QHE19" s="501"/>
      <c r="QHF19" s="501"/>
      <c r="QHG19" s="501"/>
      <c r="QHH19" s="501"/>
      <c r="QHI19" s="501"/>
      <c r="QHJ19" s="501"/>
      <c r="QHK19" s="501"/>
      <c r="QHL19" s="501"/>
      <c r="QHM19" s="501"/>
      <c r="QHN19" s="501"/>
      <c r="QHO19" s="501"/>
      <c r="QHP19" s="501"/>
      <c r="QHQ19" s="501"/>
      <c r="QHR19" s="501"/>
      <c r="QHS19" s="501"/>
      <c r="QHT19" s="501"/>
      <c r="QHU19" s="501"/>
      <c r="QHV19" s="501"/>
      <c r="QHW19" s="501"/>
      <c r="QHX19" s="501"/>
      <c r="QHY19" s="501"/>
      <c r="QHZ19" s="501"/>
      <c r="QIA19" s="501"/>
      <c r="QIB19" s="501"/>
      <c r="QIC19" s="501"/>
      <c r="QID19" s="501"/>
      <c r="QIE19" s="501"/>
      <c r="QIF19" s="501"/>
      <c r="QIG19" s="501"/>
      <c r="QIH19" s="501"/>
      <c r="QII19" s="501"/>
      <c r="QIJ19" s="501"/>
      <c r="QIK19" s="501"/>
      <c r="QIL19" s="501"/>
      <c r="QIM19" s="501"/>
      <c r="QIN19" s="501"/>
      <c r="QIO19" s="501"/>
      <c r="QIP19" s="501"/>
      <c r="QIQ19" s="501"/>
      <c r="QIR19" s="501"/>
      <c r="QIS19" s="501"/>
      <c r="QIT19" s="501"/>
      <c r="QIU19" s="501"/>
      <c r="QIV19" s="501"/>
      <c r="QIW19" s="501"/>
      <c r="QIX19" s="501"/>
      <c r="QIY19" s="501"/>
      <c r="QIZ19" s="501"/>
      <c r="QJA19" s="501"/>
      <c r="QJB19" s="501"/>
      <c r="QJC19" s="501"/>
      <c r="QJD19" s="501"/>
      <c r="QJE19" s="501"/>
      <c r="QJF19" s="501"/>
      <c r="QJG19" s="501"/>
      <c r="QJH19" s="501"/>
      <c r="QJI19" s="501"/>
      <c r="QJJ19" s="501"/>
      <c r="QJK19" s="501"/>
      <c r="QJL19" s="501"/>
      <c r="QJM19" s="501"/>
      <c r="QJN19" s="501"/>
      <c r="QJO19" s="501"/>
      <c r="QJP19" s="501"/>
      <c r="QJQ19" s="501"/>
      <c r="QJR19" s="501"/>
      <c r="QJS19" s="501"/>
      <c r="QJT19" s="501"/>
      <c r="QJU19" s="501"/>
      <c r="QJV19" s="501"/>
      <c r="QJW19" s="501"/>
      <c r="QJX19" s="501"/>
      <c r="QJY19" s="501"/>
      <c r="QJZ19" s="501"/>
      <c r="QKA19" s="501"/>
      <c r="QKB19" s="501"/>
      <c r="QKC19" s="501"/>
      <c r="QKD19" s="501"/>
      <c r="QKE19" s="501"/>
      <c r="QKF19" s="501"/>
      <c r="QKG19" s="501"/>
      <c r="QKH19" s="501"/>
      <c r="QKI19" s="501"/>
      <c r="QKJ19" s="501"/>
      <c r="QKK19" s="501"/>
      <c r="QKL19" s="501"/>
      <c r="QKM19" s="501"/>
      <c r="QKN19" s="501"/>
      <c r="QKO19" s="501"/>
      <c r="QKP19" s="501"/>
      <c r="QKQ19" s="501"/>
      <c r="QKR19" s="501"/>
      <c r="QKS19" s="501"/>
      <c r="QKT19" s="501"/>
      <c r="QKU19" s="501"/>
      <c r="QKV19" s="501"/>
      <c r="QKW19" s="501"/>
      <c r="QKX19" s="501"/>
      <c r="QKY19" s="501"/>
      <c r="QKZ19" s="501"/>
      <c r="QLA19" s="501"/>
      <c r="QLB19" s="501"/>
      <c r="QLC19" s="501"/>
      <c r="QLD19" s="501"/>
      <c r="QLE19" s="501"/>
      <c r="QLF19" s="501"/>
      <c r="QLG19" s="501"/>
      <c r="QLH19" s="501"/>
      <c r="QLI19" s="501"/>
      <c r="QLJ19" s="501"/>
      <c r="QLK19" s="501"/>
      <c r="QLL19" s="501"/>
      <c r="QLM19" s="501"/>
      <c r="QLN19" s="501"/>
      <c r="QLO19" s="501"/>
      <c r="QLP19" s="501"/>
      <c r="QLQ19" s="501"/>
      <c r="QLR19" s="501"/>
      <c r="QLS19" s="501"/>
      <c r="QLT19" s="501"/>
      <c r="QLU19" s="501"/>
      <c r="QLV19" s="501"/>
      <c r="QLW19" s="501"/>
      <c r="QLX19" s="501"/>
      <c r="QLY19" s="501"/>
      <c r="QLZ19" s="501"/>
      <c r="QMA19" s="501"/>
      <c r="QMB19" s="501"/>
      <c r="QMC19" s="501"/>
      <c r="QMD19" s="501"/>
      <c r="QME19" s="501"/>
      <c r="QMF19" s="501"/>
      <c r="QMG19" s="501"/>
      <c r="QMH19" s="501"/>
      <c r="QMI19" s="501"/>
      <c r="QMJ19" s="501"/>
      <c r="QMK19" s="501"/>
      <c r="QML19" s="501"/>
      <c r="QMM19" s="501"/>
      <c r="QMN19" s="501"/>
      <c r="QMO19" s="501"/>
      <c r="QMP19" s="501"/>
      <c r="QMQ19" s="501"/>
      <c r="QMR19" s="501"/>
      <c r="QMS19" s="501"/>
      <c r="QMT19" s="501"/>
      <c r="QMU19" s="501"/>
      <c r="QMV19" s="501"/>
      <c r="QMW19" s="501"/>
      <c r="QMX19" s="501"/>
      <c r="QMY19" s="501"/>
      <c r="QMZ19" s="501"/>
      <c r="QNA19" s="501"/>
      <c r="QNB19" s="501"/>
      <c r="QNC19" s="501"/>
      <c r="QND19" s="501"/>
      <c r="QNE19" s="501"/>
      <c r="QNF19" s="501"/>
      <c r="QNG19" s="501"/>
      <c r="QNH19" s="501"/>
      <c r="QNI19" s="501"/>
      <c r="QNJ19" s="501"/>
      <c r="QNK19" s="501"/>
      <c r="QNL19" s="501"/>
      <c r="QNM19" s="501"/>
      <c r="QNN19" s="501"/>
      <c r="QNO19" s="501"/>
      <c r="QNP19" s="501"/>
      <c r="QNQ19" s="501"/>
      <c r="QNR19" s="501"/>
      <c r="QNS19" s="501"/>
      <c r="QNT19" s="501"/>
      <c r="QNU19" s="501"/>
      <c r="QNV19" s="501"/>
      <c r="QNW19" s="501"/>
      <c r="QNX19" s="501"/>
      <c r="QNY19" s="501"/>
      <c r="QNZ19" s="501"/>
      <c r="QOA19" s="501"/>
      <c r="QOB19" s="501"/>
      <c r="QOC19" s="501"/>
      <c r="QOD19" s="501"/>
      <c r="QOE19" s="501"/>
      <c r="QOF19" s="501"/>
      <c r="QOG19" s="501"/>
      <c r="QOH19" s="501"/>
      <c r="QOI19" s="501"/>
      <c r="QOJ19" s="501"/>
      <c r="QOK19" s="501"/>
      <c r="QOL19" s="501"/>
      <c r="QOM19" s="501"/>
      <c r="QON19" s="501"/>
      <c r="QOO19" s="501"/>
      <c r="QOP19" s="501"/>
      <c r="QOQ19" s="501"/>
      <c r="QOR19" s="501"/>
      <c r="QOS19" s="501"/>
      <c r="QOT19" s="501"/>
      <c r="QOU19" s="501"/>
      <c r="QOV19" s="501"/>
      <c r="QOW19" s="501"/>
      <c r="QOX19" s="501"/>
      <c r="QOY19" s="501"/>
      <c r="QOZ19" s="501"/>
      <c r="QPA19" s="501"/>
      <c r="QPB19" s="501"/>
      <c r="QPC19" s="501"/>
      <c r="QPD19" s="501"/>
      <c r="QPE19" s="501"/>
      <c r="QPF19" s="501"/>
      <c r="QPG19" s="501"/>
      <c r="QPH19" s="501"/>
      <c r="QPI19" s="501"/>
      <c r="QPJ19" s="501"/>
      <c r="QPK19" s="501"/>
      <c r="QPL19" s="501"/>
      <c r="QPM19" s="501"/>
      <c r="QPN19" s="501"/>
      <c r="QPO19" s="501"/>
      <c r="QPP19" s="501"/>
      <c r="QPQ19" s="501"/>
      <c r="QPR19" s="501"/>
      <c r="QPS19" s="501"/>
      <c r="QPT19" s="501"/>
      <c r="QPU19" s="501"/>
      <c r="QPV19" s="501"/>
      <c r="QPW19" s="501"/>
      <c r="QPX19" s="501"/>
      <c r="QPY19" s="501"/>
      <c r="QPZ19" s="501"/>
      <c r="QQA19" s="501"/>
      <c r="QQB19" s="501"/>
      <c r="QQC19" s="501"/>
      <c r="QQD19" s="501"/>
      <c r="QQE19" s="501"/>
      <c r="QQF19" s="501"/>
      <c r="QQG19" s="501"/>
      <c r="QQH19" s="501"/>
      <c r="QQI19" s="501"/>
      <c r="QQJ19" s="501"/>
      <c r="QQK19" s="501"/>
      <c r="QQL19" s="501"/>
      <c r="QQM19" s="501"/>
      <c r="QQN19" s="501"/>
      <c r="QQO19" s="501"/>
      <c r="QQP19" s="501"/>
      <c r="QQQ19" s="501"/>
      <c r="QQR19" s="501"/>
      <c r="QQS19" s="501"/>
      <c r="QQT19" s="501"/>
      <c r="QQU19" s="501"/>
      <c r="QQV19" s="501"/>
      <c r="QQW19" s="501"/>
      <c r="QQX19" s="501"/>
      <c r="QQY19" s="501"/>
      <c r="QQZ19" s="501"/>
      <c r="QRA19" s="501"/>
      <c r="QRB19" s="501"/>
      <c r="QRC19" s="501"/>
      <c r="QRD19" s="501"/>
      <c r="QRE19" s="501"/>
      <c r="QRF19" s="501"/>
      <c r="QRG19" s="501"/>
      <c r="QRH19" s="501"/>
      <c r="QRI19" s="501"/>
      <c r="QRJ19" s="501"/>
      <c r="QRK19" s="501"/>
      <c r="QRL19" s="501"/>
      <c r="QRM19" s="501"/>
      <c r="QRN19" s="501"/>
      <c r="QRO19" s="501"/>
      <c r="QRP19" s="501"/>
      <c r="QRQ19" s="501"/>
      <c r="QRR19" s="501"/>
      <c r="QRS19" s="501"/>
      <c r="QRT19" s="501"/>
      <c r="QRU19" s="501"/>
      <c r="QRV19" s="501"/>
      <c r="QRW19" s="501"/>
      <c r="QRX19" s="501"/>
      <c r="QRY19" s="501"/>
      <c r="QRZ19" s="501"/>
      <c r="QSA19" s="501"/>
      <c r="QSB19" s="501"/>
      <c r="QSC19" s="501"/>
      <c r="QSD19" s="501"/>
      <c r="QSE19" s="501"/>
      <c r="QSF19" s="501"/>
      <c r="QSG19" s="501"/>
      <c r="QSH19" s="501"/>
      <c r="QSI19" s="501"/>
      <c r="QSJ19" s="501"/>
      <c r="QSK19" s="501"/>
      <c r="QSL19" s="501"/>
      <c r="QSM19" s="501"/>
      <c r="QSN19" s="501"/>
      <c r="QSO19" s="501"/>
      <c r="QSP19" s="501"/>
      <c r="QSQ19" s="501"/>
      <c r="QSR19" s="501"/>
      <c r="QSS19" s="501"/>
      <c r="QST19" s="501"/>
      <c r="QSU19" s="501"/>
      <c r="QSV19" s="501"/>
      <c r="QSW19" s="501"/>
      <c r="QSX19" s="501"/>
      <c r="QSY19" s="501"/>
      <c r="QSZ19" s="501"/>
      <c r="QTA19" s="501"/>
      <c r="QTB19" s="501"/>
      <c r="QTC19" s="501"/>
      <c r="QTD19" s="501"/>
      <c r="QTE19" s="501"/>
      <c r="QTF19" s="501"/>
      <c r="QTG19" s="501"/>
      <c r="QTH19" s="501"/>
      <c r="QTI19" s="501"/>
      <c r="QTJ19" s="501"/>
      <c r="QTK19" s="501"/>
      <c r="QTL19" s="501"/>
      <c r="QTM19" s="501"/>
      <c r="QTN19" s="501"/>
      <c r="QTO19" s="501"/>
      <c r="QTP19" s="501"/>
      <c r="QTQ19" s="501"/>
      <c r="QTR19" s="501"/>
      <c r="QTS19" s="501"/>
      <c r="QTT19" s="501"/>
      <c r="QTU19" s="501"/>
      <c r="QTV19" s="501"/>
      <c r="QTW19" s="501"/>
      <c r="QTX19" s="501"/>
      <c r="QTY19" s="501"/>
      <c r="QTZ19" s="501"/>
      <c r="QUA19" s="501"/>
      <c r="QUB19" s="501"/>
      <c r="QUC19" s="501"/>
      <c r="QUD19" s="501"/>
      <c r="QUE19" s="501"/>
      <c r="QUF19" s="501"/>
      <c r="QUG19" s="501"/>
      <c r="QUH19" s="501"/>
      <c r="QUI19" s="501"/>
      <c r="QUJ19" s="501"/>
      <c r="QUK19" s="501"/>
      <c r="QUL19" s="501"/>
      <c r="QUM19" s="501"/>
      <c r="QUN19" s="501"/>
      <c r="QUO19" s="501"/>
      <c r="QUP19" s="501"/>
      <c r="QUQ19" s="501"/>
      <c r="QUR19" s="501"/>
      <c r="QUS19" s="501"/>
      <c r="QUT19" s="501"/>
      <c r="QUU19" s="501"/>
      <c r="QUV19" s="501"/>
      <c r="QUW19" s="501"/>
      <c r="QUX19" s="501"/>
      <c r="QUY19" s="501"/>
      <c r="QUZ19" s="501"/>
      <c r="QVA19" s="501"/>
      <c r="QVB19" s="501"/>
      <c r="QVC19" s="501"/>
      <c r="QVD19" s="501"/>
      <c r="QVE19" s="501"/>
      <c r="QVF19" s="501"/>
      <c r="QVG19" s="501"/>
      <c r="QVH19" s="501"/>
      <c r="QVI19" s="501"/>
      <c r="QVJ19" s="501"/>
      <c r="QVK19" s="501"/>
      <c r="QVL19" s="501"/>
      <c r="QVM19" s="501"/>
      <c r="QVN19" s="501"/>
      <c r="QVO19" s="501"/>
      <c r="QVP19" s="501"/>
      <c r="QVQ19" s="501"/>
      <c r="QVR19" s="501"/>
      <c r="QVS19" s="501"/>
      <c r="QVT19" s="501"/>
      <c r="QVU19" s="501"/>
      <c r="QVV19" s="501"/>
      <c r="QVW19" s="501"/>
      <c r="QVX19" s="501"/>
      <c r="QVY19" s="501"/>
      <c r="QVZ19" s="501"/>
      <c r="QWA19" s="501"/>
      <c r="QWB19" s="501"/>
      <c r="QWC19" s="501"/>
      <c r="QWD19" s="501"/>
      <c r="QWE19" s="501"/>
      <c r="QWF19" s="501"/>
      <c r="QWG19" s="501"/>
      <c r="QWH19" s="501"/>
      <c r="QWI19" s="501"/>
      <c r="QWJ19" s="501"/>
      <c r="QWK19" s="501"/>
      <c r="QWL19" s="501"/>
      <c r="QWM19" s="501"/>
      <c r="QWN19" s="501"/>
      <c r="QWO19" s="501"/>
      <c r="QWP19" s="501"/>
      <c r="QWQ19" s="501"/>
      <c r="QWR19" s="501"/>
      <c r="QWS19" s="501"/>
      <c r="QWT19" s="501"/>
      <c r="QWU19" s="501"/>
      <c r="QWV19" s="501"/>
      <c r="QWW19" s="501"/>
      <c r="QWX19" s="501"/>
      <c r="QWY19" s="501"/>
      <c r="QWZ19" s="501"/>
      <c r="QXA19" s="501"/>
      <c r="QXB19" s="501"/>
      <c r="QXC19" s="501"/>
      <c r="QXD19" s="501"/>
      <c r="QXE19" s="501"/>
      <c r="QXF19" s="501"/>
      <c r="QXG19" s="501"/>
      <c r="QXH19" s="501"/>
      <c r="QXI19" s="501"/>
      <c r="QXJ19" s="501"/>
      <c r="QXK19" s="501"/>
      <c r="QXL19" s="501"/>
      <c r="QXM19" s="501"/>
      <c r="QXN19" s="501"/>
      <c r="QXO19" s="501"/>
      <c r="QXP19" s="501"/>
      <c r="QXQ19" s="501"/>
      <c r="QXR19" s="501"/>
      <c r="QXS19" s="501"/>
      <c r="QXT19" s="501"/>
      <c r="QXU19" s="501"/>
      <c r="QXV19" s="501"/>
      <c r="QXW19" s="501"/>
      <c r="QXX19" s="501"/>
      <c r="QXY19" s="501"/>
      <c r="QXZ19" s="501"/>
      <c r="QYA19" s="501"/>
      <c r="QYB19" s="501"/>
      <c r="QYC19" s="501"/>
      <c r="QYD19" s="501"/>
      <c r="QYE19" s="501"/>
      <c r="QYF19" s="501"/>
      <c r="QYG19" s="501"/>
      <c r="QYH19" s="501"/>
      <c r="QYI19" s="501"/>
      <c r="QYJ19" s="501"/>
      <c r="QYK19" s="501"/>
      <c r="QYL19" s="501"/>
      <c r="QYM19" s="501"/>
      <c r="QYN19" s="501"/>
      <c r="QYO19" s="501"/>
      <c r="QYP19" s="501"/>
      <c r="QYQ19" s="501"/>
      <c r="QYR19" s="501"/>
      <c r="QYS19" s="501"/>
      <c r="QYT19" s="501"/>
      <c r="QYU19" s="501"/>
      <c r="QYV19" s="501"/>
      <c r="QYW19" s="501"/>
      <c r="QYX19" s="501"/>
      <c r="QYY19" s="501"/>
      <c r="QYZ19" s="501"/>
      <c r="QZA19" s="501"/>
      <c r="QZB19" s="501"/>
      <c r="QZC19" s="501"/>
      <c r="QZD19" s="501"/>
      <c r="QZE19" s="501"/>
      <c r="QZF19" s="501"/>
      <c r="QZG19" s="501"/>
      <c r="QZH19" s="501"/>
      <c r="QZI19" s="501"/>
      <c r="QZJ19" s="501"/>
      <c r="QZK19" s="501"/>
      <c r="QZL19" s="501"/>
      <c r="QZM19" s="501"/>
      <c r="QZN19" s="501"/>
      <c r="QZO19" s="501"/>
      <c r="QZP19" s="501"/>
      <c r="QZQ19" s="501"/>
      <c r="QZR19" s="501"/>
      <c r="QZS19" s="501"/>
      <c r="QZT19" s="501"/>
      <c r="QZU19" s="501"/>
      <c r="QZV19" s="501"/>
      <c r="QZW19" s="501"/>
      <c r="QZX19" s="501"/>
      <c r="QZY19" s="501"/>
      <c r="QZZ19" s="501"/>
      <c r="RAA19" s="501"/>
      <c r="RAB19" s="501"/>
      <c r="RAC19" s="501"/>
      <c r="RAD19" s="501"/>
      <c r="RAE19" s="501"/>
      <c r="RAF19" s="501"/>
      <c r="RAG19" s="501"/>
      <c r="RAH19" s="501"/>
      <c r="RAI19" s="501"/>
      <c r="RAJ19" s="501"/>
      <c r="RAK19" s="501"/>
      <c r="RAL19" s="501"/>
      <c r="RAM19" s="501"/>
      <c r="RAN19" s="501"/>
      <c r="RAO19" s="501"/>
      <c r="RAP19" s="501"/>
      <c r="RAQ19" s="501"/>
      <c r="RAR19" s="501"/>
      <c r="RAS19" s="501"/>
      <c r="RAT19" s="501"/>
      <c r="RAU19" s="501"/>
      <c r="RAV19" s="501"/>
      <c r="RAW19" s="501"/>
      <c r="RAX19" s="501"/>
      <c r="RAY19" s="501"/>
      <c r="RAZ19" s="501"/>
      <c r="RBA19" s="501"/>
      <c r="RBB19" s="501"/>
      <c r="RBC19" s="501"/>
      <c r="RBD19" s="501"/>
      <c r="RBE19" s="501"/>
      <c r="RBF19" s="501"/>
      <c r="RBG19" s="501"/>
      <c r="RBH19" s="501"/>
      <c r="RBI19" s="501"/>
      <c r="RBJ19" s="501"/>
      <c r="RBK19" s="501"/>
      <c r="RBL19" s="501"/>
      <c r="RBM19" s="501"/>
      <c r="RBN19" s="501"/>
      <c r="RBO19" s="501"/>
      <c r="RBP19" s="501"/>
      <c r="RBQ19" s="501"/>
      <c r="RBR19" s="501"/>
      <c r="RBS19" s="501"/>
      <c r="RBT19" s="501"/>
      <c r="RBU19" s="501"/>
      <c r="RBV19" s="501"/>
      <c r="RBW19" s="501"/>
      <c r="RBX19" s="501"/>
      <c r="RBY19" s="501"/>
      <c r="RBZ19" s="501"/>
      <c r="RCA19" s="501"/>
      <c r="RCB19" s="501"/>
      <c r="RCC19" s="501"/>
      <c r="RCD19" s="501"/>
      <c r="RCE19" s="501"/>
      <c r="RCF19" s="501"/>
      <c r="RCG19" s="501"/>
      <c r="RCH19" s="501"/>
      <c r="RCI19" s="501"/>
      <c r="RCJ19" s="501"/>
      <c r="RCK19" s="501"/>
      <c r="RCL19" s="501"/>
      <c r="RCM19" s="501"/>
      <c r="RCN19" s="501"/>
      <c r="RCO19" s="501"/>
      <c r="RCP19" s="501"/>
      <c r="RCQ19" s="501"/>
      <c r="RCR19" s="501"/>
      <c r="RCS19" s="501"/>
      <c r="RCT19" s="501"/>
      <c r="RCU19" s="501"/>
      <c r="RCV19" s="501"/>
      <c r="RCW19" s="501"/>
      <c r="RCX19" s="501"/>
      <c r="RCY19" s="501"/>
      <c r="RCZ19" s="501"/>
      <c r="RDA19" s="501"/>
      <c r="RDB19" s="501"/>
      <c r="RDC19" s="501"/>
      <c r="RDD19" s="501"/>
      <c r="RDE19" s="501"/>
      <c r="RDF19" s="501"/>
      <c r="RDG19" s="501"/>
      <c r="RDH19" s="501"/>
      <c r="RDI19" s="501"/>
      <c r="RDJ19" s="501"/>
      <c r="RDK19" s="501"/>
      <c r="RDL19" s="501"/>
      <c r="RDM19" s="501"/>
      <c r="RDN19" s="501"/>
      <c r="RDO19" s="501"/>
      <c r="RDP19" s="501"/>
      <c r="RDQ19" s="501"/>
      <c r="RDR19" s="501"/>
      <c r="RDS19" s="501"/>
      <c r="RDT19" s="501"/>
      <c r="RDU19" s="501"/>
      <c r="RDV19" s="501"/>
      <c r="RDW19" s="501"/>
      <c r="RDX19" s="501"/>
      <c r="RDY19" s="501"/>
      <c r="RDZ19" s="501"/>
      <c r="REA19" s="501"/>
      <c r="REB19" s="501"/>
      <c r="REC19" s="501"/>
      <c r="RED19" s="501"/>
      <c r="REE19" s="501"/>
      <c r="REF19" s="501"/>
      <c r="REG19" s="501"/>
      <c r="REH19" s="501"/>
      <c r="REI19" s="501"/>
      <c r="REJ19" s="501"/>
      <c r="REK19" s="501"/>
      <c r="REL19" s="501"/>
      <c r="REM19" s="501"/>
      <c r="REN19" s="501"/>
      <c r="REO19" s="501"/>
      <c r="REP19" s="501"/>
      <c r="REQ19" s="501"/>
      <c r="RER19" s="501"/>
      <c r="RES19" s="501"/>
      <c r="RET19" s="501"/>
      <c r="REU19" s="501"/>
      <c r="REV19" s="501"/>
      <c r="REW19" s="501"/>
      <c r="REX19" s="501"/>
      <c r="REY19" s="501"/>
      <c r="REZ19" s="501"/>
      <c r="RFA19" s="501"/>
      <c r="RFB19" s="501"/>
      <c r="RFC19" s="501"/>
      <c r="RFD19" s="501"/>
      <c r="RFE19" s="501"/>
      <c r="RFF19" s="501"/>
      <c r="RFG19" s="501"/>
      <c r="RFH19" s="501"/>
      <c r="RFI19" s="501"/>
      <c r="RFJ19" s="501"/>
      <c r="RFK19" s="501"/>
      <c r="RFL19" s="501"/>
      <c r="RFM19" s="501"/>
      <c r="RFN19" s="501"/>
      <c r="RFO19" s="501"/>
      <c r="RFP19" s="501"/>
      <c r="RFQ19" s="501"/>
      <c r="RFR19" s="501"/>
      <c r="RFS19" s="501"/>
      <c r="RFT19" s="501"/>
      <c r="RFU19" s="501"/>
      <c r="RFV19" s="501"/>
      <c r="RFW19" s="501"/>
      <c r="RFX19" s="501"/>
      <c r="RFY19" s="501"/>
      <c r="RFZ19" s="501"/>
      <c r="RGA19" s="501"/>
      <c r="RGB19" s="501"/>
      <c r="RGC19" s="501"/>
      <c r="RGD19" s="501"/>
      <c r="RGE19" s="501"/>
      <c r="RGF19" s="501"/>
      <c r="RGG19" s="501"/>
      <c r="RGH19" s="501"/>
      <c r="RGI19" s="501"/>
      <c r="RGJ19" s="501"/>
      <c r="RGK19" s="501"/>
      <c r="RGL19" s="501"/>
      <c r="RGM19" s="501"/>
      <c r="RGN19" s="501"/>
      <c r="RGO19" s="501"/>
      <c r="RGP19" s="501"/>
      <c r="RGQ19" s="501"/>
      <c r="RGR19" s="501"/>
      <c r="RGS19" s="501"/>
      <c r="RGT19" s="501"/>
      <c r="RGU19" s="501"/>
      <c r="RGV19" s="501"/>
      <c r="RGW19" s="501"/>
      <c r="RGX19" s="501"/>
      <c r="RGY19" s="501"/>
      <c r="RGZ19" s="501"/>
      <c r="RHA19" s="501"/>
      <c r="RHB19" s="501"/>
      <c r="RHC19" s="501"/>
      <c r="RHD19" s="501"/>
      <c r="RHE19" s="501"/>
      <c r="RHF19" s="501"/>
      <c r="RHG19" s="501"/>
      <c r="RHH19" s="501"/>
      <c r="RHI19" s="501"/>
      <c r="RHJ19" s="501"/>
      <c r="RHK19" s="501"/>
      <c r="RHL19" s="501"/>
      <c r="RHM19" s="501"/>
      <c r="RHN19" s="501"/>
      <c r="RHO19" s="501"/>
      <c r="RHP19" s="501"/>
      <c r="RHQ19" s="501"/>
      <c r="RHR19" s="501"/>
      <c r="RHS19" s="501"/>
      <c r="RHT19" s="501"/>
      <c r="RHU19" s="501"/>
      <c r="RHV19" s="501"/>
      <c r="RHW19" s="501"/>
      <c r="RHX19" s="501"/>
      <c r="RHY19" s="501"/>
      <c r="RHZ19" s="501"/>
      <c r="RIA19" s="501"/>
      <c r="RIB19" s="501"/>
      <c r="RIC19" s="501"/>
      <c r="RID19" s="501"/>
      <c r="RIE19" s="501"/>
      <c r="RIF19" s="501"/>
      <c r="RIG19" s="501"/>
      <c r="RIH19" s="501"/>
      <c r="RII19" s="501"/>
      <c r="RIJ19" s="501"/>
      <c r="RIK19" s="501"/>
      <c r="RIL19" s="501"/>
      <c r="RIM19" s="501"/>
      <c r="RIN19" s="501"/>
      <c r="RIO19" s="501"/>
      <c r="RIP19" s="501"/>
      <c r="RIQ19" s="501"/>
      <c r="RIR19" s="501"/>
      <c r="RIS19" s="501"/>
      <c r="RIT19" s="501"/>
      <c r="RIU19" s="501"/>
      <c r="RIV19" s="501"/>
      <c r="RIW19" s="501"/>
      <c r="RIX19" s="501"/>
      <c r="RIY19" s="501"/>
      <c r="RIZ19" s="501"/>
      <c r="RJA19" s="501"/>
      <c r="RJB19" s="501"/>
      <c r="RJC19" s="501"/>
      <c r="RJD19" s="501"/>
      <c r="RJE19" s="501"/>
      <c r="RJF19" s="501"/>
      <c r="RJG19" s="501"/>
      <c r="RJH19" s="501"/>
      <c r="RJI19" s="501"/>
      <c r="RJJ19" s="501"/>
      <c r="RJK19" s="501"/>
      <c r="RJL19" s="501"/>
      <c r="RJM19" s="501"/>
      <c r="RJN19" s="501"/>
      <c r="RJO19" s="501"/>
      <c r="RJP19" s="501"/>
      <c r="RJQ19" s="501"/>
      <c r="RJR19" s="501"/>
      <c r="RJS19" s="501"/>
      <c r="RJT19" s="501"/>
      <c r="RJU19" s="501"/>
      <c r="RJV19" s="501"/>
      <c r="RJW19" s="501"/>
      <c r="RJX19" s="501"/>
      <c r="RJY19" s="501"/>
      <c r="RJZ19" s="501"/>
      <c r="RKA19" s="501"/>
      <c r="RKB19" s="501"/>
      <c r="RKC19" s="501"/>
      <c r="RKD19" s="501"/>
      <c r="RKE19" s="501"/>
      <c r="RKF19" s="501"/>
      <c r="RKG19" s="501"/>
      <c r="RKH19" s="501"/>
      <c r="RKI19" s="501"/>
      <c r="RKJ19" s="501"/>
      <c r="RKK19" s="501"/>
      <c r="RKL19" s="501"/>
      <c r="RKM19" s="501"/>
      <c r="RKN19" s="501"/>
      <c r="RKO19" s="501"/>
      <c r="RKP19" s="501"/>
      <c r="RKQ19" s="501"/>
      <c r="RKR19" s="501"/>
      <c r="RKS19" s="501"/>
      <c r="RKT19" s="501"/>
      <c r="RKU19" s="501"/>
      <c r="RKV19" s="501"/>
      <c r="RKW19" s="501"/>
      <c r="RKX19" s="501"/>
      <c r="RKY19" s="501"/>
      <c r="RKZ19" s="501"/>
      <c r="RLA19" s="501"/>
      <c r="RLB19" s="501"/>
      <c r="RLC19" s="501"/>
      <c r="RLD19" s="501"/>
      <c r="RLE19" s="501"/>
      <c r="RLF19" s="501"/>
      <c r="RLG19" s="501"/>
      <c r="RLH19" s="501"/>
      <c r="RLI19" s="501"/>
      <c r="RLJ19" s="501"/>
      <c r="RLK19" s="501"/>
      <c r="RLL19" s="501"/>
      <c r="RLM19" s="501"/>
      <c r="RLN19" s="501"/>
      <c r="RLO19" s="501"/>
      <c r="RLP19" s="501"/>
      <c r="RLQ19" s="501"/>
      <c r="RLR19" s="501"/>
      <c r="RLS19" s="501"/>
      <c r="RLT19" s="501"/>
      <c r="RLU19" s="501"/>
      <c r="RLV19" s="501"/>
      <c r="RLW19" s="501"/>
      <c r="RLX19" s="501"/>
      <c r="RLY19" s="501"/>
      <c r="RLZ19" s="501"/>
      <c r="RMA19" s="501"/>
      <c r="RMB19" s="501"/>
      <c r="RMC19" s="501"/>
      <c r="RMD19" s="501"/>
      <c r="RME19" s="501"/>
      <c r="RMF19" s="501"/>
      <c r="RMG19" s="501"/>
      <c r="RMH19" s="501"/>
      <c r="RMI19" s="501"/>
      <c r="RMJ19" s="501"/>
      <c r="RMK19" s="501"/>
      <c r="RML19" s="501"/>
      <c r="RMM19" s="501"/>
      <c r="RMN19" s="501"/>
      <c r="RMO19" s="501"/>
      <c r="RMP19" s="501"/>
      <c r="RMQ19" s="501"/>
      <c r="RMR19" s="501"/>
      <c r="RMS19" s="501"/>
      <c r="RMT19" s="501"/>
      <c r="RMU19" s="501"/>
      <c r="RMV19" s="501"/>
      <c r="RMW19" s="501"/>
      <c r="RMX19" s="501"/>
      <c r="RMY19" s="501"/>
      <c r="RMZ19" s="501"/>
      <c r="RNA19" s="501"/>
      <c r="RNB19" s="501"/>
      <c r="RNC19" s="501"/>
      <c r="RND19" s="501"/>
      <c r="RNE19" s="501"/>
      <c r="RNF19" s="501"/>
      <c r="RNG19" s="501"/>
      <c r="RNH19" s="501"/>
      <c r="RNI19" s="501"/>
      <c r="RNJ19" s="501"/>
      <c r="RNK19" s="501"/>
      <c r="RNL19" s="501"/>
      <c r="RNM19" s="501"/>
      <c r="RNN19" s="501"/>
      <c r="RNO19" s="501"/>
      <c r="RNP19" s="501"/>
      <c r="RNQ19" s="501"/>
      <c r="RNR19" s="501"/>
      <c r="RNS19" s="501"/>
      <c r="RNT19" s="501"/>
      <c r="RNU19" s="501"/>
      <c r="RNV19" s="501"/>
      <c r="RNW19" s="501"/>
      <c r="RNX19" s="501"/>
      <c r="RNY19" s="501"/>
      <c r="RNZ19" s="501"/>
      <c r="ROA19" s="501"/>
      <c r="ROB19" s="501"/>
      <c r="ROC19" s="501"/>
      <c r="ROD19" s="501"/>
      <c r="ROE19" s="501"/>
      <c r="ROF19" s="501"/>
      <c r="ROG19" s="501"/>
      <c r="ROH19" s="501"/>
      <c r="ROI19" s="501"/>
      <c r="ROJ19" s="501"/>
      <c r="ROK19" s="501"/>
      <c r="ROL19" s="501"/>
      <c r="ROM19" s="501"/>
      <c r="RON19" s="501"/>
      <c r="ROO19" s="501"/>
      <c r="ROP19" s="501"/>
      <c r="ROQ19" s="501"/>
      <c r="ROR19" s="501"/>
      <c r="ROS19" s="501"/>
      <c r="ROT19" s="501"/>
      <c r="ROU19" s="501"/>
      <c r="ROV19" s="501"/>
      <c r="ROW19" s="501"/>
      <c r="ROX19" s="501"/>
      <c r="ROY19" s="501"/>
      <c r="ROZ19" s="501"/>
      <c r="RPA19" s="501"/>
      <c r="RPB19" s="501"/>
      <c r="RPC19" s="501"/>
      <c r="RPD19" s="501"/>
      <c r="RPE19" s="501"/>
      <c r="RPF19" s="501"/>
      <c r="RPG19" s="501"/>
      <c r="RPH19" s="501"/>
      <c r="RPI19" s="501"/>
      <c r="RPJ19" s="501"/>
      <c r="RPK19" s="501"/>
      <c r="RPL19" s="501"/>
      <c r="RPM19" s="501"/>
      <c r="RPN19" s="501"/>
      <c r="RPO19" s="501"/>
      <c r="RPP19" s="501"/>
      <c r="RPQ19" s="501"/>
      <c r="RPR19" s="501"/>
      <c r="RPS19" s="501"/>
      <c r="RPT19" s="501"/>
      <c r="RPU19" s="501"/>
      <c r="RPV19" s="501"/>
      <c r="RPW19" s="501"/>
      <c r="RPX19" s="501"/>
      <c r="RPY19" s="501"/>
      <c r="RPZ19" s="501"/>
      <c r="RQA19" s="501"/>
      <c r="RQB19" s="501"/>
      <c r="RQC19" s="501"/>
      <c r="RQD19" s="501"/>
      <c r="RQE19" s="501"/>
      <c r="RQF19" s="501"/>
      <c r="RQG19" s="501"/>
      <c r="RQH19" s="501"/>
      <c r="RQI19" s="501"/>
      <c r="RQJ19" s="501"/>
      <c r="RQK19" s="501"/>
      <c r="RQL19" s="501"/>
      <c r="RQM19" s="501"/>
      <c r="RQN19" s="501"/>
      <c r="RQO19" s="501"/>
      <c r="RQP19" s="501"/>
      <c r="RQQ19" s="501"/>
      <c r="RQR19" s="501"/>
      <c r="RQS19" s="501"/>
      <c r="RQT19" s="501"/>
      <c r="RQU19" s="501"/>
      <c r="RQV19" s="501"/>
      <c r="RQW19" s="501"/>
      <c r="RQX19" s="501"/>
      <c r="RQY19" s="501"/>
      <c r="RQZ19" s="501"/>
      <c r="RRA19" s="501"/>
      <c r="RRB19" s="501"/>
      <c r="RRC19" s="501"/>
      <c r="RRD19" s="501"/>
      <c r="RRE19" s="501"/>
      <c r="RRF19" s="501"/>
      <c r="RRG19" s="501"/>
      <c r="RRH19" s="501"/>
      <c r="RRI19" s="501"/>
      <c r="RRJ19" s="501"/>
      <c r="RRK19" s="501"/>
      <c r="RRL19" s="501"/>
      <c r="RRM19" s="501"/>
      <c r="RRN19" s="501"/>
      <c r="RRO19" s="501"/>
      <c r="RRP19" s="501"/>
      <c r="RRQ19" s="501"/>
      <c r="RRR19" s="501"/>
      <c r="RRS19" s="501"/>
      <c r="RRT19" s="501"/>
      <c r="RRU19" s="501"/>
      <c r="RRV19" s="501"/>
      <c r="RRW19" s="501"/>
      <c r="RRX19" s="501"/>
      <c r="RRY19" s="501"/>
      <c r="RRZ19" s="501"/>
      <c r="RSA19" s="501"/>
      <c r="RSB19" s="501"/>
      <c r="RSC19" s="501"/>
      <c r="RSD19" s="501"/>
      <c r="RSE19" s="501"/>
      <c r="RSF19" s="501"/>
      <c r="RSG19" s="501"/>
      <c r="RSH19" s="501"/>
      <c r="RSI19" s="501"/>
      <c r="RSJ19" s="501"/>
      <c r="RSK19" s="501"/>
      <c r="RSL19" s="501"/>
      <c r="RSM19" s="501"/>
      <c r="RSN19" s="501"/>
      <c r="RSO19" s="501"/>
      <c r="RSP19" s="501"/>
      <c r="RSQ19" s="501"/>
      <c r="RSR19" s="501"/>
      <c r="RSS19" s="501"/>
      <c r="RST19" s="501"/>
      <c r="RSU19" s="501"/>
      <c r="RSV19" s="501"/>
      <c r="RSW19" s="501"/>
      <c r="RSX19" s="501"/>
      <c r="RSY19" s="501"/>
      <c r="RSZ19" s="501"/>
      <c r="RTA19" s="501"/>
      <c r="RTB19" s="501"/>
      <c r="RTC19" s="501"/>
      <c r="RTD19" s="501"/>
      <c r="RTE19" s="501"/>
      <c r="RTF19" s="501"/>
      <c r="RTG19" s="501"/>
      <c r="RTH19" s="501"/>
      <c r="RTI19" s="501"/>
      <c r="RTJ19" s="501"/>
      <c r="RTK19" s="501"/>
      <c r="RTL19" s="501"/>
      <c r="RTM19" s="501"/>
      <c r="RTN19" s="501"/>
      <c r="RTO19" s="501"/>
      <c r="RTP19" s="501"/>
      <c r="RTQ19" s="501"/>
      <c r="RTR19" s="501"/>
      <c r="RTS19" s="501"/>
      <c r="RTT19" s="501"/>
      <c r="RTU19" s="501"/>
      <c r="RTV19" s="501"/>
      <c r="RTW19" s="501"/>
      <c r="RTX19" s="501"/>
      <c r="RTY19" s="501"/>
      <c r="RTZ19" s="501"/>
      <c r="RUA19" s="501"/>
      <c r="RUB19" s="501"/>
      <c r="RUC19" s="501"/>
      <c r="RUD19" s="501"/>
      <c r="RUE19" s="501"/>
      <c r="RUF19" s="501"/>
      <c r="RUG19" s="501"/>
      <c r="RUH19" s="501"/>
      <c r="RUI19" s="501"/>
      <c r="RUJ19" s="501"/>
      <c r="RUK19" s="501"/>
      <c r="RUL19" s="501"/>
      <c r="RUM19" s="501"/>
      <c r="RUN19" s="501"/>
      <c r="RUO19" s="501"/>
      <c r="RUP19" s="501"/>
      <c r="RUQ19" s="501"/>
      <c r="RUR19" s="501"/>
      <c r="RUS19" s="501"/>
      <c r="RUT19" s="501"/>
      <c r="RUU19" s="501"/>
      <c r="RUV19" s="501"/>
      <c r="RUW19" s="501"/>
      <c r="RUX19" s="501"/>
      <c r="RUY19" s="501"/>
      <c r="RUZ19" s="501"/>
      <c r="RVA19" s="501"/>
      <c r="RVB19" s="501"/>
      <c r="RVC19" s="501"/>
      <c r="RVD19" s="501"/>
      <c r="RVE19" s="501"/>
      <c r="RVF19" s="501"/>
      <c r="RVG19" s="501"/>
      <c r="RVH19" s="501"/>
      <c r="RVI19" s="501"/>
      <c r="RVJ19" s="501"/>
      <c r="RVK19" s="501"/>
      <c r="RVL19" s="501"/>
      <c r="RVM19" s="501"/>
      <c r="RVN19" s="501"/>
      <c r="RVO19" s="501"/>
      <c r="RVP19" s="501"/>
      <c r="RVQ19" s="501"/>
      <c r="RVR19" s="501"/>
      <c r="RVS19" s="501"/>
      <c r="RVT19" s="501"/>
      <c r="RVU19" s="501"/>
      <c r="RVV19" s="501"/>
      <c r="RVW19" s="501"/>
      <c r="RVX19" s="501"/>
      <c r="RVY19" s="501"/>
      <c r="RVZ19" s="501"/>
      <c r="RWA19" s="501"/>
      <c r="RWB19" s="501"/>
      <c r="RWC19" s="501"/>
      <c r="RWD19" s="501"/>
      <c r="RWE19" s="501"/>
      <c r="RWF19" s="501"/>
      <c r="RWG19" s="501"/>
      <c r="RWH19" s="501"/>
      <c r="RWI19" s="501"/>
      <c r="RWJ19" s="501"/>
      <c r="RWK19" s="501"/>
      <c r="RWL19" s="501"/>
      <c r="RWM19" s="501"/>
      <c r="RWN19" s="501"/>
      <c r="RWO19" s="501"/>
      <c r="RWP19" s="501"/>
      <c r="RWQ19" s="501"/>
      <c r="RWR19" s="501"/>
      <c r="RWS19" s="501"/>
      <c r="RWT19" s="501"/>
      <c r="RWU19" s="501"/>
      <c r="RWV19" s="501"/>
      <c r="RWW19" s="501"/>
      <c r="RWX19" s="501"/>
      <c r="RWY19" s="501"/>
      <c r="RWZ19" s="501"/>
      <c r="RXA19" s="501"/>
      <c r="RXB19" s="501"/>
      <c r="RXC19" s="501"/>
      <c r="RXD19" s="501"/>
      <c r="RXE19" s="501"/>
      <c r="RXF19" s="501"/>
      <c r="RXG19" s="501"/>
      <c r="RXH19" s="501"/>
      <c r="RXI19" s="501"/>
      <c r="RXJ19" s="501"/>
      <c r="RXK19" s="501"/>
      <c r="RXL19" s="501"/>
      <c r="RXM19" s="501"/>
      <c r="RXN19" s="501"/>
      <c r="RXO19" s="501"/>
      <c r="RXP19" s="501"/>
      <c r="RXQ19" s="501"/>
      <c r="RXR19" s="501"/>
      <c r="RXS19" s="501"/>
      <c r="RXT19" s="501"/>
      <c r="RXU19" s="501"/>
      <c r="RXV19" s="501"/>
      <c r="RXW19" s="501"/>
      <c r="RXX19" s="501"/>
      <c r="RXY19" s="501"/>
      <c r="RXZ19" s="501"/>
      <c r="RYA19" s="501"/>
      <c r="RYB19" s="501"/>
      <c r="RYC19" s="501"/>
      <c r="RYD19" s="501"/>
      <c r="RYE19" s="501"/>
      <c r="RYF19" s="501"/>
      <c r="RYG19" s="501"/>
      <c r="RYH19" s="501"/>
      <c r="RYI19" s="501"/>
      <c r="RYJ19" s="501"/>
      <c r="RYK19" s="501"/>
      <c r="RYL19" s="501"/>
      <c r="RYM19" s="501"/>
      <c r="RYN19" s="501"/>
      <c r="RYO19" s="501"/>
      <c r="RYP19" s="501"/>
      <c r="RYQ19" s="501"/>
      <c r="RYR19" s="501"/>
      <c r="RYS19" s="501"/>
      <c r="RYT19" s="501"/>
      <c r="RYU19" s="501"/>
      <c r="RYV19" s="501"/>
      <c r="RYW19" s="501"/>
      <c r="RYX19" s="501"/>
      <c r="RYY19" s="501"/>
      <c r="RYZ19" s="501"/>
      <c r="RZA19" s="501"/>
      <c r="RZB19" s="501"/>
      <c r="RZC19" s="501"/>
      <c r="RZD19" s="501"/>
      <c r="RZE19" s="501"/>
      <c r="RZF19" s="501"/>
      <c r="RZG19" s="501"/>
      <c r="RZH19" s="501"/>
      <c r="RZI19" s="501"/>
      <c r="RZJ19" s="501"/>
      <c r="RZK19" s="501"/>
      <c r="RZL19" s="501"/>
      <c r="RZM19" s="501"/>
      <c r="RZN19" s="501"/>
      <c r="RZO19" s="501"/>
      <c r="RZP19" s="501"/>
      <c r="RZQ19" s="501"/>
      <c r="RZR19" s="501"/>
      <c r="RZS19" s="501"/>
      <c r="RZT19" s="501"/>
      <c r="RZU19" s="501"/>
      <c r="RZV19" s="501"/>
      <c r="RZW19" s="501"/>
      <c r="RZX19" s="501"/>
      <c r="RZY19" s="501"/>
      <c r="RZZ19" s="501"/>
      <c r="SAA19" s="501"/>
      <c r="SAB19" s="501"/>
      <c r="SAC19" s="501"/>
      <c r="SAD19" s="501"/>
      <c r="SAE19" s="501"/>
      <c r="SAF19" s="501"/>
      <c r="SAG19" s="501"/>
      <c r="SAH19" s="501"/>
      <c r="SAI19" s="501"/>
      <c r="SAJ19" s="501"/>
      <c r="SAK19" s="501"/>
      <c r="SAL19" s="501"/>
      <c r="SAM19" s="501"/>
      <c r="SAN19" s="501"/>
      <c r="SAO19" s="501"/>
      <c r="SAP19" s="501"/>
      <c r="SAQ19" s="501"/>
      <c r="SAR19" s="501"/>
      <c r="SAS19" s="501"/>
      <c r="SAT19" s="501"/>
      <c r="SAU19" s="501"/>
      <c r="SAV19" s="501"/>
      <c r="SAW19" s="501"/>
      <c r="SAX19" s="501"/>
      <c r="SAY19" s="501"/>
      <c r="SAZ19" s="501"/>
      <c r="SBA19" s="501"/>
      <c r="SBB19" s="501"/>
      <c r="SBC19" s="501"/>
      <c r="SBD19" s="501"/>
      <c r="SBE19" s="501"/>
      <c r="SBF19" s="501"/>
      <c r="SBG19" s="501"/>
      <c r="SBH19" s="501"/>
      <c r="SBI19" s="501"/>
      <c r="SBJ19" s="501"/>
      <c r="SBK19" s="501"/>
      <c r="SBL19" s="501"/>
      <c r="SBM19" s="501"/>
      <c r="SBN19" s="501"/>
      <c r="SBO19" s="501"/>
      <c r="SBP19" s="501"/>
      <c r="SBQ19" s="501"/>
      <c r="SBR19" s="501"/>
      <c r="SBS19" s="501"/>
      <c r="SBT19" s="501"/>
      <c r="SBU19" s="501"/>
      <c r="SBV19" s="501"/>
      <c r="SBW19" s="501"/>
      <c r="SBX19" s="501"/>
      <c r="SBY19" s="501"/>
      <c r="SBZ19" s="501"/>
      <c r="SCA19" s="501"/>
      <c r="SCB19" s="501"/>
      <c r="SCC19" s="501"/>
      <c r="SCD19" s="501"/>
      <c r="SCE19" s="501"/>
      <c r="SCF19" s="501"/>
      <c r="SCG19" s="501"/>
      <c r="SCH19" s="501"/>
      <c r="SCI19" s="501"/>
      <c r="SCJ19" s="501"/>
      <c r="SCK19" s="501"/>
      <c r="SCL19" s="501"/>
      <c r="SCM19" s="501"/>
      <c r="SCN19" s="501"/>
      <c r="SCO19" s="501"/>
      <c r="SCP19" s="501"/>
      <c r="SCQ19" s="501"/>
      <c r="SCR19" s="501"/>
      <c r="SCS19" s="501"/>
      <c r="SCT19" s="501"/>
      <c r="SCU19" s="501"/>
      <c r="SCV19" s="501"/>
      <c r="SCW19" s="501"/>
      <c r="SCX19" s="501"/>
      <c r="SCY19" s="501"/>
      <c r="SCZ19" s="501"/>
      <c r="SDA19" s="501"/>
      <c r="SDB19" s="501"/>
      <c r="SDC19" s="501"/>
      <c r="SDD19" s="501"/>
      <c r="SDE19" s="501"/>
      <c r="SDF19" s="501"/>
      <c r="SDG19" s="501"/>
      <c r="SDH19" s="501"/>
      <c r="SDI19" s="501"/>
      <c r="SDJ19" s="501"/>
      <c r="SDK19" s="501"/>
      <c r="SDL19" s="501"/>
      <c r="SDM19" s="501"/>
      <c r="SDN19" s="501"/>
      <c r="SDO19" s="501"/>
      <c r="SDP19" s="501"/>
      <c r="SDQ19" s="501"/>
      <c r="SDR19" s="501"/>
      <c r="SDS19" s="501"/>
      <c r="SDT19" s="501"/>
      <c r="SDU19" s="501"/>
      <c r="SDV19" s="501"/>
      <c r="SDW19" s="501"/>
      <c r="SDX19" s="501"/>
      <c r="SDY19" s="501"/>
      <c r="SDZ19" s="501"/>
      <c r="SEA19" s="501"/>
      <c r="SEB19" s="501"/>
      <c r="SEC19" s="501"/>
      <c r="SED19" s="501"/>
      <c r="SEE19" s="501"/>
      <c r="SEF19" s="501"/>
      <c r="SEG19" s="501"/>
      <c r="SEH19" s="501"/>
      <c r="SEI19" s="501"/>
      <c r="SEJ19" s="501"/>
      <c r="SEK19" s="501"/>
      <c r="SEL19" s="501"/>
      <c r="SEM19" s="501"/>
      <c r="SEN19" s="501"/>
      <c r="SEO19" s="501"/>
      <c r="SEP19" s="501"/>
      <c r="SEQ19" s="501"/>
      <c r="SER19" s="501"/>
      <c r="SES19" s="501"/>
      <c r="SET19" s="501"/>
      <c r="SEU19" s="501"/>
      <c r="SEV19" s="501"/>
      <c r="SEW19" s="501"/>
      <c r="SEX19" s="501"/>
      <c r="SEY19" s="501"/>
      <c r="SEZ19" s="501"/>
      <c r="SFA19" s="501"/>
      <c r="SFB19" s="501"/>
      <c r="SFC19" s="501"/>
      <c r="SFD19" s="501"/>
      <c r="SFE19" s="501"/>
      <c r="SFF19" s="501"/>
      <c r="SFG19" s="501"/>
      <c r="SFH19" s="501"/>
      <c r="SFI19" s="501"/>
      <c r="SFJ19" s="501"/>
      <c r="SFK19" s="501"/>
      <c r="SFL19" s="501"/>
      <c r="SFM19" s="501"/>
      <c r="SFN19" s="501"/>
      <c r="SFO19" s="501"/>
      <c r="SFP19" s="501"/>
      <c r="SFQ19" s="501"/>
      <c r="SFR19" s="501"/>
      <c r="SFS19" s="501"/>
      <c r="SFT19" s="501"/>
      <c r="SFU19" s="501"/>
      <c r="SFV19" s="501"/>
      <c r="SFW19" s="501"/>
      <c r="SFX19" s="501"/>
      <c r="SFY19" s="501"/>
      <c r="SFZ19" s="501"/>
      <c r="SGA19" s="501"/>
      <c r="SGB19" s="501"/>
      <c r="SGC19" s="501"/>
      <c r="SGD19" s="501"/>
      <c r="SGE19" s="501"/>
      <c r="SGF19" s="501"/>
      <c r="SGG19" s="501"/>
      <c r="SGH19" s="501"/>
      <c r="SGI19" s="501"/>
      <c r="SGJ19" s="501"/>
      <c r="SGK19" s="501"/>
      <c r="SGL19" s="501"/>
      <c r="SGM19" s="501"/>
      <c r="SGN19" s="501"/>
      <c r="SGO19" s="501"/>
      <c r="SGP19" s="501"/>
      <c r="SGQ19" s="501"/>
      <c r="SGR19" s="501"/>
      <c r="SGS19" s="501"/>
      <c r="SGT19" s="501"/>
      <c r="SGU19" s="501"/>
      <c r="SGV19" s="501"/>
      <c r="SGW19" s="501"/>
      <c r="SGX19" s="501"/>
      <c r="SGY19" s="501"/>
      <c r="SGZ19" s="501"/>
      <c r="SHA19" s="501"/>
      <c r="SHB19" s="501"/>
      <c r="SHC19" s="501"/>
      <c r="SHD19" s="501"/>
      <c r="SHE19" s="501"/>
      <c r="SHF19" s="501"/>
      <c r="SHG19" s="501"/>
      <c r="SHH19" s="501"/>
      <c r="SHI19" s="501"/>
      <c r="SHJ19" s="501"/>
      <c r="SHK19" s="501"/>
      <c r="SHL19" s="501"/>
      <c r="SHM19" s="501"/>
      <c r="SHN19" s="501"/>
      <c r="SHO19" s="501"/>
      <c r="SHP19" s="501"/>
      <c r="SHQ19" s="501"/>
      <c r="SHR19" s="501"/>
      <c r="SHS19" s="501"/>
      <c r="SHT19" s="501"/>
      <c r="SHU19" s="501"/>
      <c r="SHV19" s="501"/>
      <c r="SHW19" s="501"/>
      <c r="SHX19" s="501"/>
      <c r="SHY19" s="501"/>
      <c r="SHZ19" s="501"/>
      <c r="SIA19" s="501"/>
      <c r="SIB19" s="501"/>
      <c r="SIC19" s="501"/>
      <c r="SID19" s="501"/>
      <c r="SIE19" s="501"/>
      <c r="SIF19" s="501"/>
      <c r="SIG19" s="501"/>
      <c r="SIH19" s="501"/>
      <c r="SII19" s="501"/>
      <c r="SIJ19" s="501"/>
      <c r="SIK19" s="501"/>
      <c r="SIL19" s="501"/>
      <c r="SIM19" s="501"/>
      <c r="SIN19" s="501"/>
      <c r="SIO19" s="501"/>
      <c r="SIP19" s="501"/>
      <c r="SIQ19" s="501"/>
      <c r="SIR19" s="501"/>
      <c r="SIS19" s="501"/>
      <c r="SIT19" s="501"/>
      <c r="SIU19" s="501"/>
      <c r="SIV19" s="501"/>
      <c r="SIW19" s="501"/>
      <c r="SIX19" s="501"/>
      <c r="SIY19" s="501"/>
      <c r="SIZ19" s="501"/>
      <c r="SJA19" s="501"/>
      <c r="SJB19" s="501"/>
      <c r="SJC19" s="501"/>
      <c r="SJD19" s="501"/>
      <c r="SJE19" s="501"/>
      <c r="SJF19" s="501"/>
      <c r="SJG19" s="501"/>
      <c r="SJH19" s="501"/>
      <c r="SJI19" s="501"/>
      <c r="SJJ19" s="501"/>
      <c r="SJK19" s="501"/>
      <c r="SJL19" s="501"/>
      <c r="SJM19" s="501"/>
      <c r="SJN19" s="501"/>
      <c r="SJO19" s="501"/>
      <c r="SJP19" s="501"/>
      <c r="SJQ19" s="501"/>
      <c r="SJR19" s="501"/>
      <c r="SJS19" s="501"/>
      <c r="SJT19" s="501"/>
      <c r="SJU19" s="501"/>
      <c r="SJV19" s="501"/>
      <c r="SJW19" s="501"/>
      <c r="SJX19" s="501"/>
      <c r="SJY19" s="501"/>
      <c r="SJZ19" s="501"/>
      <c r="SKA19" s="501"/>
      <c r="SKB19" s="501"/>
      <c r="SKC19" s="501"/>
      <c r="SKD19" s="501"/>
      <c r="SKE19" s="501"/>
      <c r="SKF19" s="501"/>
      <c r="SKG19" s="501"/>
      <c r="SKH19" s="501"/>
      <c r="SKI19" s="501"/>
      <c r="SKJ19" s="501"/>
      <c r="SKK19" s="501"/>
      <c r="SKL19" s="501"/>
      <c r="SKM19" s="501"/>
      <c r="SKN19" s="501"/>
      <c r="SKO19" s="501"/>
      <c r="SKP19" s="501"/>
      <c r="SKQ19" s="501"/>
      <c r="SKR19" s="501"/>
      <c r="SKS19" s="501"/>
      <c r="SKT19" s="501"/>
      <c r="SKU19" s="501"/>
      <c r="SKV19" s="501"/>
      <c r="SKW19" s="501"/>
      <c r="SKX19" s="501"/>
      <c r="SKY19" s="501"/>
      <c r="SKZ19" s="501"/>
      <c r="SLA19" s="501"/>
      <c r="SLB19" s="501"/>
      <c r="SLC19" s="501"/>
      <c r="SLD19" s="501"/>
      <c r="SLE19" s="501"/>
      <c r="SLF19" s="501"/>
      <c r="SLG19" s="501"/>
      <c r="SLH19" s="501"/>
      <c r="SLI19" s="501"/>
      <c r="SLJ19" s="501"/>
      <c r="SLK19" s="501"/>
      <c r="SLL19" s="501"/>
      <c r="SLM19" s="501"/>
      <c r="SLN19" s="501"/>
      <c r="SLO19" s="501"/>
      <c r="SLP19" s="501"/>
      <c r="SLQ19" s="501"/>
      <c r="SLR19" s="501"/>
      <c r="SLS19" s="501"/>
      <c r="SLT19" s="501"/>
      <c r="SLU19" s="501"/>
      <c r="SLV19" s="501"/>
      <c r="SLW19" s="501"/>
      <c r="SLX19" s="501"/>
      <c r="SLY19" s="501"/>
      <c r="SLZ19" s="501"/>
      <c r="SMA19" s="501"/>
      <c r="SMB19" s="501"/>
      <c r="SMC19" s="501"/>
      <c r="SMD19" s="501"/>
      <c r="SME19" s="501"/>
      <c r="SMF19" s="501"/>
      <c r="SMG19" s="501"/>
      <c r="SMH19" s="501"/>
      <c r="SMI19" s="501"/>
      <c r="SMJ19" s="501"/>
      <c r="SMK19" s="501"/>
      <c r="SML19" s="501"/>
      <c r="SMM19" s="501"/>
      <c r="SMN19" s="501"/>
      <c r="SMO19" s="501"/>
      <c r="SMP19" s="501"/>
      <c r="SMQ19" s="501"/>
      <c r="SMR19" s="501"/>
      <c r="SMS19" s="501"/>
      <c r="SMT19" s="501"/>
      <c r="SMU19" s="501"/>
      <c r="SMV19" s="501"/>
      <c r="SMW19" s="501"/>
      <c r="SMX19" s="501"/>
      <c r="SMY19" s="501"/>
      <c r="SMZ19" s="501"/>
      <c r="SNA19" s="501"/>
      <c r="SNB19" s="501"/>
      <c r="SNC19" s="501"/>
      <c r="SND19" s="501"/>
      <c r="SNE19" s="501"/>
      <c r="SNF19" s="501"/>
      <c r="SNG19" s="501"/>
      <c r="SNH19" s="501"/>
      <c r="SNI19" s="501"/>
      <c r="SNJ19" s="501"/>
      <c r="SNK19" s="501"/>
      <c r="SNL19" s="501"/>
      <c r="SNM19" s="501"/>
      <c r="SNN19" s="501"/>
      <c r="SNO19" s="501"/>
      <c r="SNP19" s="501"/>
      <c r="SNQ19" s="501"/>
      <c r="SNR19" s="501"/>
      <c r="SNS19" s="501"/>
      <c r="SNT19" s="501"/>
      <c r="SNU19" s="501"/>
      <c r="SNV19" s="501"/>
      <c r="SNW19" s="501"/>
      <c r="SNX19" s="501"/>
      <c r="SNY19" s="501"/>
      <c r="SNZ19" s="501"/>
      <c r="SOA19" s="501"/>
      <c r="SOB19" s="501"/>
      <c r="SOC19" s="501"/>
      <c r="SOD19" s="501"/>
      <c r="SOE19" s="501"/>
      <c r="SOF19" s="501"/>
      <c r="SOG19" s="501"/>
      <c r="SOH19" s="501"/>
      <c r="SOI19" s="501"/>
      <c r="SOJ19" s="501"/>
      <c r="SOK19" s="501"/>
      <c r="SOL19" s="501"/>
      <c r="SOM19" s="501"/>
      <c r="SON19" s="501"/>
      <c r="SOO19" s="501"/>
      <c r="SOP19" s="501"/>
      <c r="SOQ19" s="501"/>
      <c r="SOR19" s="501"/>
      <c r="SOS19" s="501"/>
      <c r="SOT19" s="501"/>
      <c r="SOU19" s="501"/>
      <c r="SOV19" s="501"/>
      <c r="SOW19" s="501"/>
      <c r="SOX19" s="501"/>
      <c r="SOY19" s="501"/>
      <c r="SOZ19" s="501"/>
      <c r="SPA19" s="501"/>
      <c r="SPB19" s="501"/>
      <c r="SPC19" s="501"/>
      <c r="SPD19" s="501"/>
      <c r="SPE19" s="501"/>
      <c r="SPF19" s="501"/>
      <c r="SPG19" s="501"/>
      <c r="SPH19" s="501"/>
      <c r="SPI19" s="501"/>
      <c r="SPJ19" s="501"/>
      <c r="SPK19" s="501"/>
      <c r="SPL19" s="501"/>
      <c r="SPM19" s="501"/>
      <c r="SPN19" s="501"/>
      <c r="SPO19" s="501"/>
      <c r="SPP19" s="501"/>
      <c r="SPQ19" s="501"/>
      <c r="SPR19" s="501"/>
      <c r="SPS19" s="501"/>
      <c r="SPT19" s="501"/>
      <c r="SPU19" s="501"/>
      <c r="SPV19" s="501"/>
      <c r="SPW19" s="501"/>
      <c r="SPX19" s="501"/>
      <c r="SPY19" s="501"/>
      <c r="SPZ19" s="501"/>
      <c r="SQA19" s="501"/>
      <c r="SQB19" s="501"/>
      <c r="SQC19" s="501"/>
      <c r="SQD19" s="501"/>
      <c r="SQE19" s="501"/>
      <c r="SQF19" s="501"/>
      <c r="SQG19" s="501"/>
      <c r="SQH19" s="501"/>
      <c r="SQI19" s="501"/>
      <c r="SQJ19" s="501"/>
      <c r="SQK19" s="501"/>
      <c r="SQL19" s="501"/>
      <c r="SQM19" s="501"/>
      <c r="SQN19" s="501"/>
      <c r="SQO19" s="501"/>
      <c r="SQP19" s="501"/>
      <c r="SQQ19" s="501"/>
      <c r="SQR19" s="501"/>
      <c r="SQS19" s="501"/>
      <c r="SQT19" s="501"/>
      <c r="SQU19" s="501"/>
      <c r="SQV19" s="501"/>
      <c r="SQW19" s="501"/>
      <c r="SQX19" s="501"/>
      <c r="SQY19" s="501"/>
      <c r="SQZ19" s="501"/>
      <c r="SRA19" s="501"/>
      <c r="SRB19" s="501"/>
      <c r="SRC19" s="501"/>
      <c r="SRD19" s="501"/>
      <c r="SRE19" s="501"/>
      <c r="SRF19" s="501"/>
      <c r="SRG19" s="501"/>
      <c r="SRH19" s="501"/>
      <c r="SRI19" s="501"/>
      <c r="SRJ19" s="501"/>
      <c r="SRK19" s="501"/>
      <c r="SRL19" s="501"/>
      <c r="SRM19" s="501"/>
      <c r="SRN19" s="501"/>
      <c r="SRO19" s="501"/>
      <c r="SRP19" s="501"/>
      <c r="SRQ19" s="501"/>
      <c r="SRR19" s="501"/>
      <c r="SRS19" s="501"/>
      <c r="SRT19" s="501"/>
      <c r="SRU19" s="501"/>
      <c r="SRV19" s="501"/>
      <c r="SRW19" s="501"/>
      <c r="SRX19" s="501"/>
      <c r="SRY19" s="501"/>
      <c r="SRZ19" s="501"/>
      <c r="SSA19" s="501"/>
      <c r="SSB19" s="501"/>
      <c r="SSC19" s="501"/>
      <c r="SSD19" s="501"/>
      <c r="SSE19" s="501"/>
      <c r="SSF19" s="501"/>
      <c r="SSG19" s="501"/>
      <c r="SSH19" s="501"/>
      <c r="SSI19" s="501"/>
      <c r="SSJ19" s="501"/>
      <c r="SSK19" s="501"/>
      <c r="SSL19" s="501"/>
      <c r="SSM19" s="501"/>
      <c r="SSN19" s="501"/>
      <c r="SSO19" s="501"/>
      <c r="SSP19" s="501"/>
      <c r="SSQ19" s="501"/>
      <c r="SSR19" s="501"/>
      <c r="SSS19" s="501"/>
      <c r="SST19" s="501"/>
      <c r="SSU19" s="501"/>
      <c r="SSV19" s="501"/>
      <c r="SSW19" s="501"/>
      <c r="SSX19" s="501"/>
      <c r="SSY19" s="501"/>
      <c r="SSZ19" s="501"/>
      <c r="STA19" s="501"/>
      <c r="STB19" s="501"/>
      <c r="STC19" s="501"/>
      <c r="STD19" s="501"/>
      <c r="STE19" s="501"/>
      <c r="STF19" s="501"/>
      <c r="STG19" s="501"/>
      <c r="STH19" s="501"/>
      <c r="STI19" s="501"/>
      <c r="STJ19" s="501"/>
      <c r="STK19" s="501"/>
      <c r="STL19" s="501"/>
      <c r="STM19" s="501"/>
      <c r="STN19" s="501"/>
      <c r="STO19" s="501"/>
      <c r="STP19" s="501"/>
      <c r="STQ19" s="501"/>
      <c r="STR19" s="501"/>
      <c r="STS19" s="501"/>
      <c r="STT19" s="501"/>
      <c r="STU19" s="501"/>
      <c r="STV19" s="501"/>
      <c r="STW19" s="501"/>
      <c r="STX19" s="501"/>
      <c r="STY19" s="501"/>
      <c r="STZ19" s="501"/>
      <c r="SUA19" s="501"/>
      <c r="SUB19" s="501"/>
      <c r="SUC19" s="501"/>
      <c r="SUD19" s="501"/>
      <c r="SUE19" s="501"/>
      <c r="SUF19" s="501"/>
      <c r="SUG19" s="501"/>
      <c r="SUH19" s="501"/>
      <c r="SUI19" s="501"/>
      <c r="SUJ19" s="501"/>
      <c r="SUK19" s="501"/>
      <c r="SUL19" s="501"/>
      <c r="SUM19" s="501"/>
      <c r="SUN19" s="501"/>
      <c r="SUO19" s="501"/>
      <c r="SUP19" s="501"/>
      <c r="SUQ19" s="501"/>
      <c r="SUR19" s="501"/>
      <c r="SUS19" s="501"/>
      <c r="SUT19" s="501"/>
      <c r="SUU19" s="501"/>
      <c r="SUV19" s="501"/>
      <c r="SUW19" s="501"/>
      <c r="SUX19" s="501"/>
      <c r="SUY19" s="501"/>
      <c r="SUZ19" s="501"/>
      <c r="SVA19" s="501"/>
      <c r="SVB19" s="501"/>
      <c r="SVC19" s="501"/>
      <c r="SVD19" s="501"/>
      <c r="SVE19" s="501"/>
      <c r="SVF19" s="501"/>
      <c r="SVG19" s="501"/>
      <c r="SVH19" s="501"/>
      <c r="SVI19" s="501"/>
      <c r="SVJ19" s="501"/>
      <c r="SVK19" s="501"/>
      <c r="SVL19" s="501"/>
      <c r="SVM19" s="501"/>
      <c r="SVN19" s="501"/>
      <c r="SVO19" s="501"/>
      <c r="SVP19" s="501"/>
      <c r="SVQ19" s="501"/>
      <c r="SVR19" s="501"/>
      <c r="SVS19" s="501"/>
      <c r="SVT19" s="501"/>
      <c r="SVU19" s="501"/>
      <c r="SVV19" s="501"/>
      <c r="SVW19" s="501"/>
      <c r="SVX19" s="501"/>
      <c r="SVY19" s="501"/>
      <c r="SVZ19" s="501"/>
      <c r="SWA19" s="501"/>
      <c r="SWB19" s="501"/>
      <c r="SWC19" s="501"/>
      <c r="SWD19" s="501"/>
      <c r="SWE19" s="501"/>
      <c r="SWF19" s="501"/>
      <c r="SWG19" s="501"/>
      <c r="SWH19" s="501"/>
      <c r="SWI19" s="501"/>
      <c r="SWJ19" s="501"/>
      <c r="SWK19" s="501"/>
      <c r="SWL19" s="501"/>
      <c r="SWM19" s="501"/>
      <c r="SWN19" s="501"/>
      <c r="SWO19" s="501"/>
      <c r="SWP19" s="501"/>
      <c r="SWQ19" s="501"/>
      <c r="SWR19" s="501"/>
      <c r="SWS19" s="501"/>
      <c r="SWT19" s="501"/>
      <c r="SWU19" s="501"/>
      <c r="SWV19" s="501"/>
      <c r="SWW19" s="501"/>
      <c r="SWX19" s="501"/>
      <c r="SWY19" s="501"/>
      <c r="SWZ19" s="501"/>
      <c r="SXA19" s="501"/>
      <c r="SXB19" s="501"/>
      <c r="SXC19" s="501"/>
      <c r="SXD19" s="501"/>
      <c r="SXE19" s="501"/>
      <c r="SXF19" s="501"/>
      <c r="SXG19" s="501"/>
      <c r="SXH19" s="501"/>
      <c r="SXI19" s="501"/>
      <c r="SXJ19" s="501"/>
      <c r="SXK19" s="501"/>
      <c r="SXL19" s="501"/>
      <c r="SXM19" s="501"/>
      <c r="SXN19" s="501"/>
      <c r="SXO19" s="501"/>
      <c r="SXP19" s="501"/>
      <c r="SXQ19" s="501"/>
      <c r="SXR19" s="501"/>
      <c r="SXS19" s="501"/>
      <c r="SXT19" s="501"/>
      <c r="SXU19" s="501"/>
      <c r="SXV19" s="501"/>
      <c r="SXW19" s="501"/>
      <c r="SXX19" s="501"/>
      <c r="SXY19" s="501"/>
      <c r="SXZ19" s="501"/>
      <c r="SYA19" s="501"/>
      <c r="SYB19" s="501"/>
      <c r="SYC19" s="501"/>
      <c r="SYD19" s="501"/>
      <c r="SYE19" s="501"/>
      <c r="SYF19" s="501"/>
      <c r="SYG19" s="501"/>
      <c r="SYH19" s="501"/>
      <c r="SYI19" s="501"/>
      <c r="SYJ19" s="501"/>
      <c r="SYK19" s="501"/>
      <c r="SYL19" s="501"/>
      <c r="SYM19" s="501"/>
      <c r="SYN19" s="501"/>
      <c r="SYO19" s="501"/>
      <c r="SYP19" s="501"/>
      <c r="SYQ19" s="501"/>
      <c r="SYR19" s="501"/>
      <c r="SYS19" s="501"/>
      <c r="SYT19" s="501"/>
      <c r="SYU19" s="501"/>
      <c r="SYV19" s="501"/>
      <c r="SYW19" s="501"/>
      <c r="SYX19" s="501"/>
      <c r="SYY19" s="501"/>
      <c r="SYZ19" s="501"/>
      <c r="SZA19" s="501"/>
      <c r="SZB19" s="501"/>
      <c r="SZC19" s="501"/>
      <c r="SZD19" s="501"/>
      <c r="SZE19" s="501"/>
      <c r="SZF19" s="501"/>
      <c r="SZG19" s="501"/>
      <c r="SZH19" s="501"/>
      <c r="SZI19" s="501"/>
      <c r="SZJ19" s="501"/>
      <c r="SZK19" s="501"/>
      <c r="SZL19" s="501"/>
      <c r="SZM19" s="501"/>
      <c r="SZN19" s="501"/>
      <c r="SZO19" s="501"/>
      <c r="SZP19" s="501"/>
      <c r="SZQ19" s="501"/>
      <c r="SZR19" s="501"/>
      <c r="SZS19" s="501"/>
      <c r="SZT19" s="501"/>
      <c r="SZU19" s="501"/>
      <c r="SZV19" s="501"/>
      <c r="SZW19" s="501"/>
      <c r="SZX19" s="501"/>
      <c r="SZY19" s="501"/>
      <c r="SZZ19" s="501"/>
      <c r="TAA19" s="501"/>
      <c r="TAB19" s="501"/>
      <c r="TAC19" s="501"/>
      <c r="TAD19" s="501"/>
      <c r="TAE19" s="501"/>
      <c r="TAF19" s="501"/>
      <c r="TAG19" s="501"/>
      <c r="TAH19" s="501"/>
      <c r="TAI19" s="501"/>
      <c r="TAJ19" s="501"/>
      <c r="TAK19" s="501"/>
      <c r="TAL19" s="501"/>
      <c r="TAM19" s="501"/>
      <c r="TAN19" s="501"/>
      <c r="TAO19" s="501"/>
      <c r="TAP19" s="501"/>
      <c r="TAQ19" s="501"/>
      <c r="TAR19" s="501"/>
      <c r="TAS19" s="501"/>
      <c r="TAT19" s="501"/>
      <c r="TAU19" s="501"/>
      <c r="TAV19" s="501"/>
      <c r="TAW19" s="501"/>
      <c r="TAX19" s="501"/>
      <c r="TAY19" s="501"/>
      <c r="TAZ19" s="501"/>
      <c r="TBA19" s="501"/>
      <c r="TBB19" s="501"/>
      <c r="TBC19" s="501"/>
      <c r="TBD19" s="501"/>
      <c r="TBE19" s="501"/>
      <c r="TBF19" s="501"/>
      <c r="TBG19" s="501"/>
      <c r="TBH19" s="501"/>
      <c r="TBI19" s="501"/>
      <c r="TBJ19" s="501"/>
      <c r="TBK19" s="501"/>
      <c r="TBL19" s="501"/>
      <c r="TBM19" s="501"/>
      <c r="TBN19" s="501"/>
      <c r="TBO19" s="501"/>
      <c r="TBP19" s="501"/>
      <c r="TBQ19" s="501"/>
      <c r="TBR19" s="501"/>
      <c r="TBS19" s="501"/>
      <c r="TBT19" s="501"/>
      <c r="TBU19" s="501"/>
      <c r="TBV19" s="501"/>
      <c r="TBW19" s="501"/>
      <c r="TBX19" s="501"/>
      <c r="TBY19" s="501"/>
      <c r="TBZ19" s="501"/>
      <c r="TCA19" s="501"/>
      <c r="TCB19" s="501"/>
      <c r="TCC19" s="501"/>
      <c r="TCD19" s="501"/>
      <c r="TCE19" s="501"/>
      <c r="TCF19" s="501"/>
      <c r="TCG19" s="501"/>
      <c r="TCH19" s="501"/>
      <c r="TCI19" s="501"/>
      <c r="TCJ19" s="501"/>
      <c r="TCK19" s="501"/>
      <c r="TCL19" s="501"/>
      <c r="TCM19" s="501"/>
      <c r="TCN19" s="501"/>
      <c r="TCO19" s="501"/>
      <c r="TCP19" s="501"/>
      <c r="TCQ19" s="501"/>
      <c r="TCR19" s="501"/>
      <c r="TCS19" s="501"/>
      <c r="TCT19" s="501"/>
      <c r="TCU19" s="501"/>
      <c r="TCV19" s="501"/>
      <c r="TCW19" s="501"/>
      <c r="TCX19" s="501"/>
      <c r="TCY19" s="501"/>
      <c r="TCZ19" s="501"/>
      <c r="TDA19" s="501"/>
      <c r="TDB19" s="501"/>
      <c r="TDC19" s="501"/>
      <c r="TDD19" s="501"/>
      <c r="TDE19" s="501"/>
      <c r="TDF19" s="501"/>
      <c r="TDG19" s="501"/>
      <c r="TDH19" s="501"/>
      <c r="TDI19" s="501"/>
      <c r="TDJ19" s="501"/>
      <c r="TDK19" s="501"/>
      <c r="TDL19" s="501"/>
      <c r="TDM19" s="501"/>
      <c r="TDN19" s="501"/>
      <c r="TDO19" s="501"/>
      <c r="TDP19" s="501"/>
      <c r="TDQ19" s="501"/>
      <c r="TDR19" s="501"/>
      <c r="TDS19" s="501"/>
      <c r="TDT19" s="501"/>
      <c r="TDU19" s="501"/>
      <c r="TDV19" s="501"/>
      <c r="TDW19" s="501"/>
      <c r="TDX19" s="501"/>
      <c r="TDY19" s="501"/>
      <c r="TDZ19" s="501"/>
      <c r="TEA19" s="501"/>
      <c r="TEB19" s="501"/>
      <c r="TEC19" s="501"/>
      <c r="TED19" s="501"/>
      <c r="TEE19" s="501"/>
      <c r="TEF19" s="501"/>
      <c r="TEG19" s="501"/>
      <c r="TEH19" s="501"/>
      <c r="TEI19" s="501"/>
      <c r="TEJ19" s="501"/>
      <c r="TEK19" s="501"/>
      <c r="TEL19" s="501"/>
      <c r="TEM19" s="501"/>
      <c r="TEN19" s="501"/>
      <c r="TEO19" s="501"/>
      <c r="TEP19" s="501"/>
      <c r="TEQ19" s="501"/>
      <c r="TER19" s="501"/>
      <c r="TES19" s="501"/>
      <c r="TET19" s="501"/>
      <c r="TEU19" s="501"/>
      <c r="TEV19" s="501"/>
      <c r="TEW19" s="501"/>
      <c r="TEX19" s="501"/>
      <c r="TEY19" s="501"/>
      <c r="TEZ19" s="501"/>
      <c r="TFA19" s="501"/>
      <c r="TFB19" s="501"/>
      <c r="TFC19" s="501"/>
      <c r="TFD19" s="501"/>
      <c r="TFE19" s="501"/>
      <c r="TFF19" s="501"/>
      <c r="TFG19" s="501"/>
      <c r="TFH19" s="501"/>
      <c r="TFI19" s="501"/>
      <c r="TFJ19" s="501"/>
      <c r="TFK19" s="501"/>
      <c r="TFL19" s="501"/>
      <c r="TFM19" s="501"/>
      <c r="TFN19" s="501"/>
      <c r="TFO19" s="501"/>
      <c r="TFP19" s="501"/>
      <c r="TFQ19" s="501"/>
      <c r="TFR19" s="501"/>
      <c r="TFS19" s="501"/>
      <c r="TFT19" s="501"/>
      <c r="TFU19" s="501"/>
      <c r="TFV19" s="501"/>
      <c r="TFW19" s="501"/>
      <c r="TFX19" s="501"/>
      <c r="TFY19" s="501"/>
      <c r="TFZ19" s="501"/>
      <c r="TGA19" s="501"/>
      <c r="TGB19" s="501"/>
      <c r="TGC19" s="501"/>
      <c r="TGD19" s="501"/>
      <c r="TGE19" s="501"/>
      <c r="TGF19" s="501"/>
      <c r="TGG19" s="501"/>
      <c r="TGH19" s="501"/>
      <c r="TGI19" s="501"/>
      <c r="TGJ19" s="501"/>
      <c r="TGK19" s="501"/>
      <c r="TGL19" s="501"/>
      <c r="TGM19" s="501"/>
      <c r="TGN19" s="501"/>
      <c r="TGO19" s="501"/>
      <c r="TGP19" s="501"/>
      <c r="TGQ19" s="501"/>
      <c r="TGR19" s="501"/>
      <c r="TGS19" s="501"/>
      <c r="TGT19" s="501"/>
      <c r="TGU19" s="501"/>
      <c r="TGV19" s="501"/>
      <c r="TGW19" s="501"/>
      <c r="TGX19" s="501"/>
      <c r="TGY19" s="501"/>
      <c r="TGZ19" s="501"/>
      <c r="THA19" s="501"/>
      <c r="THB19" s="501"/>
      <c r="THC19" s="501"/>
      <c r="THD19" s="501"/>
      <c r="THE19" s="501"/>
      <c r="THF19" s="501"/>
      <c r="THG19" s="501"/>
      <c r="THH19" s="501"/>
      <c r="THI19" s="501"/>
      <c r="THJ19" s="501"/>
      <c r="THK19" s="501"/>
      <c r="THL19" s="501"/>
      <c r="THM19" s="501"/>
      <c r="THN19" s="501"/>
      <c r="THO19" s="501"/>
      <c r="THP19" s="501"/>
      <c r="THQ19" s="501"/>
      <c r="THR19" s="501"/>
      <c r="THS19" s="501"/>
      <c r="THT19" s="501"/>
      <c r="THU19" s="501"/>
      <c r="THV19" s="501"/>
      <c r="THW19" s="501"/>
      <c r="THX19" s="501"/>
      <c r="THY19" s="501"/>
      <c r="THZ19" s="501"/>
      <c r="TIA19" s="501"/>
      <c r="TIB19" s="501"/>
      <c r="TIC19" s="501"/>
      <c r="TID19" s="501"/>
      <c r="TIE19" s="501"/>
      <c r="TIF19" s="501"/>
      <c r="TIG19" s="501"/>
      <c r="TIH19" s="501"/>
      <c r="TII19" s="501"/>
      <c r="TIJ19" s="501"/>
      <c r="TIK19" s="501"/>
      <c r="TIL19" s="501"/>
      <c r="TIM19" s="501"/>
      <c r="TIN19" s="501"/>
      <c r="TIO19" s="501"/>
      <c r="TIP19" s="501"/>
      <c r="TIQ19" s="501"/>
      <c r="TIR19" s="501"/>
      <c r="TIS19" s="501"/>
      <c r="TIT19" s="501"/>
      <c r="TIU19" s="501"/>
      <c r="TIV19" s="501"/>
      <c r="TIW19" s="501"/>
      <c r="TIX19" s="501"/>
      <c r="TIY19" s="501"/>
      <c r="TIZ19" s="501"/>
      <c r="TJA19" s="501"/>
      <c r="TJB19" s="501"/>
      <c r="TJC19" s="501"/>
      <c r="TJD19" s="501"/>
      <c r="TJE19" s="501"/>
      <c r="TJF19" s="501"/>
      <c r="TJG19" s="501"/>
      <c r="TJH19" s="501"/>
      <c r="TJI19" s="501"/>
      <c r="TJJ19" s="501"/>
      <c r="TJK19" s="501"/>
      <c r="TJL19" s="501"/>
      <c r="TJM19" s="501"/>
      <c r="TJN19" s="501"/>
      <c r="TJO19" s="501"/>
      <c r="TJP19" s="501"/>
      <c r="TJQ19" s="501"/>
      <c r="TJR19" s="501"/>
      <c r="TJS19" s="501"/>
      <c r="TJT19" s="501"/>
      <c r="TJU19" s="501"/>
      <c r="TJV19" s="501"/>
      <c r="TJW19" s="501"/>
      <c r="TJX19" s="501"/>
      <c r="TJY19" s="501"/>
      <c r="TJZ19" s="501"/>
      <c r="TKA19" s="501"/>
      <c r="TKB19" s="501"/>
      <c r="TKC19" s="501"/>
      <c r="TKD19" s="501"/>
      <c r="TKE19" s="501"/>
      <c r="TKF19" s="501"/>
      <c r="TKG19" s="501"/>
      <c r="TKH19" s="501"/>
      <c r="TKI19" s="501"/>
      <c r="TKJ19" s="501"/>
      <c r="TKK19" s="501"/>
      <c r="TKL19" s="501"/>
      <c r="TKM19" s="501"/>
      <c r="TKN19" s="501"/>
      <c r="TKO19" s="501"/>
      <c r="TKP19" s="501"/>
      <c r="TKQ19" s="501"/>
      <c r="TKR19" s="501"/>
      <c r="TKS19" s="501"/>
      <c r="TKT19" s="501"/>
      <c r="TKU19" s="501"/>
      <c r="TKV19" s="501"/>
      <c r="TKW19" s="501"/>
      <c r="TKX19" s="501"/>
      <c r="TKY19" s="501"/>
      <c r="TKZ19" s="501"/>
      <c r="TLA19" s="501"/>
      <c r="TLB19" s="501"/>
      <c r="TLC19" s="501"/>
      <c r="TLD19" s="501"/>
      <c r="TLE19" s="501"/>
      <c r="TLF19" s="501"/>
      <c r="TLG19" s="501"/>
      <c r="TLH19" s="501"/>
      <c r="TLI19" s="501"/>
      <c r="TLJ19" s="501"/>
      <c r="TLK19" s="501"/>
      <c r="TLL19" s="501"/>
      <c r="TLM19" s="501"/>
      <c r="TLN19" s="501"/>
      <c r="TLO19" s="501"/>
      <c r="TLP19" s="501"/>
      <c r="TLQ19" s="501"/>
      <c r="TLR19" s="501"/>
      <c r="TLS19" s="501"/>
      <c r="TLT19" s="501"/>
      <c r="TLU19" s="501"/>
      <c r="TLV19" s="501"/>
      <c r="TLW19" s="501"/>
      <c r="TLX19" s="501"/>
      <c r="TLY19" s="501"/>
      <c r="TLZ19" s="501"/>
      <c r="TMA19" s="501"/>
      <c r="TMB19" s="501"/>
      <c r="TMC19" s="501"/>
      <c r="TMD19" s="501"/>
      <c r="TME19" s="501"/>
      <c r="TMF19" s="501"/>
      <c r="TMG19" s="501"/>
      <c r="TMH19" s="501"/>
      <c r="TMI19" s="501"/>
      <c r="TMJ19" s="501"/>
      <c r="TMK19" s="501"/>
      <c r="TML19" s="501"/>
      <c r="TMM19" s="501"/>
      <c r="TMN19" s="501"/>
      <c r="TMO19" s="501"/>
      <c r="TMP19" s="501"/>
      <c r="TMQ19" s="501"/>
      <c r="TMR19" s="501"/>
      <c r="TMS19" s="501"/>
      <c r="TMT19" s="501"/>
      <c r="TMU19" s="501"/>
      <c r="TMV19" s="501"/>
      <c r="TMW19" s="501"/>
      <c r="TMX19" s="501"/>
      <c r="TMY19" s="501"/>
      <c r="TMZ19" s="501"/>
      <c r="TNA19" s="501"/>
      <c r="TNB19" s="501"/>
      <c r="TNC19" s="501"/>
      <c r="TND19" s="501"/>
      <c r="TNE19" s="501"/>
      <c r="TNF19" s="501"/>
      <c r="TNG19" s="501"/>
      <c r="TNH19" s="501"/>
      <c r="TNI19" s="501"/>
      <c r="TNJ19" s="501"/>
      <c r="TNK19" s="501"/>
      <c r="TNL19" s="501"/>
      <c r="TNM19" s="501"/>
      <c r="TNN19" s="501"/>
      <c r="TNO19" s="501"/>
      <c r="TNP19" s="501"/>
      <c r="TNQ19" s="501"/>
      <c r="TNR19" s="501"/>
      <c r="TNS19" s="501"/>
      <c r="TNT19" s="501"/>
      <c r="TNU19" s="501"/>
      <c r="TNV19" s="501"/>
      <c r="TNW19" s="501"/>
      <c r="TNX19" s="501"/>
      <c r="TNY19" s="501"/>
      <c r="TNZ19" s="501"/>
      <c r="TOA19" s="501"/>
      <c r="TOB19" s="501"/>
      <c r="TOC19" s="501"/>
      <c r="TOD19" s="501"/>
      <c r="TOE19" s="501"/>
      <c r="TOF19" s="501"/>
      <c r="TOG19" s="501"/>
      <c r="TOH19" s="501"/>
      <c r="TOI19" s="501"/>
      <c r="TOJ19" s="501"/>
      <c r="TOK19" s="501"/>
      <c r="TOL19" s="501"/>
      <c r="TOM19" s="501"/>
      <c r="TON19" s="501"/>
      <c r="TOO19" s="501"/>
      <c r="TOP19" s="501"/>
      <c r="TOQ19" s="501"/>
      <c r="TOR19" s="501"/>
      <c r="TOS19" s="501"/>
      <c r="TOT19" s="501"/>
      <c r="TOU19" s="501"/>
      <c r="TOV19" s="501"/>
      <c r="TOW19" s="501"/>
      <c r="TOX19" s="501"/>
      <c r="TOY19" s="501"/>
      <c r="TOZ19" s="501"/>
      <c r="TPA19" s="501"/>
      <c r="TPB19" s="501"/>
      <c r="TPC19" s="501"/>
      <c r="TPD19" s="501"/>
      <c r="TPE19" s="501"/>
      <c r="TPF19" s="501"/>
      <c r="TPG19" s="501"/>
      <c r="TPH19" s="501"/>
      <c r="TPI19" s="501"/>
      <c r="TPJ19" s="501"/>
      <c r="TPK19" s="501"/>
      <c r="TPL19" s="501"/>
      <c r="TPM19" s="501"/>
      <c r="TPN19" s="501"/>
      <c r="TPO19" s="501"/>
      <c r="TPP19" s="501"/>
      <c r="TPQ19" s="501"/>
      <c r="TPR19" s="501"/>
      <c r="TPS19" s="501"/>
      <c r="TPT19" s="501"/>
      <c r="TPU19" s="501"/>
      <c r="TPV19" s="501"/>
      <c r="TPW19" s="501"/>
      <c r="TPX19" s="501"/>
      <c r="TPY19" s="501"/>
      <c r="TPZ19" s="501"/>
      <c r="TQA19" s="501"/>
      <c r="TQB19" s="501"/>
      <c r="TQC19" s="501"/>
      <c r="TQD19" s="501"/>
      <c r="TQE19" s="501"/>
      <c r="TQF19" s="501"/>
      <c r="TQG19" s="501"/>
      <c r="TQH19" s="501"/>
      <c r="TQI19" s="501"/>
      <c r="TQJ19" s="501"/>
      <c r="TQK19" s="501"/>
      <c r="TQL19" s="501"/>
      <c r="TQM19" s="501"/>
      <c r="TQN19" s="501"/>
      <c r="TQO19" s="501"/>
      <c r="TQP19" s="501"/>
      <c r="TQQ19" s="501"/>
      <c r="TQR19" s="501"/>
      <c r="TQS19" s="501"/>
      <c r="TQT19" s="501"/>
      <c r="TQU19" s="501"/>
      <c r="TQV19" s="501"/>
      <c r="TQW19" s="501"/>
      <c r="TQX19" s="501"/>
      <c r="TQY19" s="501"/>
      <c r="TQZ19" s="501"/>
      <c r="TRA19" s="501"/>
      <c r="TRB19" s="501"/>
      <c r="TRC19" s="501"/>
      <c r="TRD19" s="501"/>
      <c r="TRE19" s="501"/>
      <c r="TRF19" s="501"/>
      <c r="TRG19" s="501"/>
      <c r="TRH19" s="501"/>
      <c r="TRI19" s="501"/>
      <c r="TRJ19" s="501"/>
      <c r="TRK19" s="501"/>
      <c r="TRL19" s="501"/>
      <c r="TRM19" s="501"/>
      <c r="TRN19" s="501"/>
      <c r="TRO19" s="501"/>
      <c r="TRP19" s="501"/>
      <c r="TRQ19" s="501"/>
      <c r="TRR19" s="501"/>
      <c r="TRS19" s="501"/>
      <c r="TRT19" s="501"/>
      <c r="TRU19" s="501"/>
      <c r="TRV19" s="501"/>
      <c r="TRW19" s="501"/>
      <c r="TRX19" s="501"/>
      <c r="TRY19" s="501"/>
      <c r="TRZ19" s="501"/>
      <c r="TSA19" s="501"/>
      <c r="TSB19" s="501"/>
      <c r="TSC19" s="501"/>
      <c r="TSD19" s="501"/>
      <c r="TSE19" s="501"/>
      <c r="TSF19" s="501"/>
      <c r="TSG19" s="501"/>
      <c r="TSH19" s="501"/>
      <c r="TSI19" s="501"/>
      <c r="TSJ19" s="501"/>
      <c r="TSK19" s="501"/>
      <c r="TSL19" s="501"/>
      <c r="TSM19" s="501"/>
      <c r="TSN19" s="501"/>
      <c r="TSO19" s="501"/>
      <c r="TSP19" s="501"/>
      <c r="TSQ19" s="501"/>
      <c r="TSR19" s="501"/>
      <c r="TSS19" s="501"/>
      <c r="TST19" s="501"/>
      <c r="TSU19" s="501"/>
      <c r="TSV19" s="501"/>
      <c r="TSW19" s="501"/>
      <c r="TSX19" s="501"/>
      <c r="TSY19" s="501"/>
      <c r="TSZ19" s="501"/>
      <c r="TTA19" s="501"/>
      <c r="TTB19" s="501"/>
      <c r="TTC19" s="501"/>
      <c r="TTD19" s="501"/>
      <c r="TTE19" s="501"/>
      <c r="TTF19" s="501"/>
      <c r="TTG19" s="501"/>
      <c r="TTH19" s="501"/>
      <c r="TTI19" s="501"/>
      <c r="TTJ19" s="501"/>
      <c r="TTK19" s="501"/>
      <c r="TTL19" s="501"/>
      <c r="TTM19" s="501"/>
      <c r="TTN19" s="501"/>
      <c r="TTO19" s="501"/>
      <c r="TTP19" s="501"/>
      <c r="TTQ19" s="501"/>
      <c r="TTR19" s="501"/>
      <c r="TTS19" s="501"/>
      <c r="TTT19" s="501"/>
      <c r="TTU19" s="501"/>
      <c r="TTV19" s="501"/>
      <c r="TTW19" s="501"/>
      <c r="TTX19" s="501"/>
      <c r="TTY19" s="501"/>
      <c r="TTZ19" s="501"/>
      <c r="TUA19" s="501"/>
      <c r="TUB19" s="501"/>
      <c r="TUC19" s="501"/>
      <c r="TUD19" s="501"/>
      <c r="TUE19" s="501"/>
      <c r="TUF19" s="501"/>
      <c r="TUG19" s="501"/>
      <c r="TUH19" s="501"/>
      <c r="TUI19" s="501"/>
      <c r="TUJ19" s="501"/>
      <c r="TUK19" s="501"/>
      <c r="TUL19" s="501"/>
      <c r="TUM19" s="501"/>
      <c r="TUN19" s="501"/>
      <c r="TUO19" s="501"/>
      <c r="TUP19" s="501"/>
      <c r="TUQ19" s="501"/>
      <c r="TUR19" s="501"/>
      <c r="TUS19" s="501"/>
      <c r="TUT19" s="501"/>
      <c r="TUU19" s="501"/>
      <c r="TUV19" s="501"/>
      <c r="TUW19" s="501"/>
      <c r="TUX19" s="501"/>
      <c r="TUY19" s="501"/>
      <c r="TUZ19" s="501"/>
      <c r="TVA19" s="501"/>
      <c r="TVB19" s="501"/>
      <c r="TVC19" s="501"/>
      <c r="TVD19" s="501"/>
      <c r="TVE19" s="501"/>
      <c r="TVF19" s="501"/>
      <c r="TVG19" s="501"/>
      <c r="TVH19" s="501"/>
      <c r="TVI19" s="501"/>
      <c r="TVJ19" s="501"/>
      <c r="TVK19" s="501"/>
      <c r="TVL19" s="501"/>
      <c r="TVM19" s="501"/>
      <c r="TVN19" s="501"/>
      <c r="TVO19" s="501"/>
      <c r="TVP19" s="501"/>
      <c r="TVQ19" s="501"/>
      <c r="TVR19" s="501"/>
      <c r="TVS19" s="501"/>
      <c r="TVT19" s="501"/>
      <c r="TVU19" s="501"/>
      <c r="TVV19" s="501"/>
      <c r="TVW19" s="501"/>
      <c r="TVX19" s="501"/>
      <c r="TVY19" s="501"/>
      <c r="TVZ19" s="501"/>
      <c r="TWA19" s="501"/>
      <c r="TWB19" s="501"/>
      <c r="TWC19" s="501"/>
      <c r="TWD19" s="501"/>
      <c r="TWE19" s="501"/>
      <c r="TWF19" s="501"/>
      <c r="TWG19" s="501"/>
      <c r="TWH19" s="501"/>
      <c r="TWI19" s="501"/>
      <c r="TWJ19" s="501"/>
      <c r="TWK19" s="501"/>
      <c r="TWL19" s="501"/>
      <c r="TWM19" s="501"/>
      <c r="TWN19" s="501"/>
      <c r="TWO19" s="501"/>
      <c r="TWP19" s="501"/>
      <c r="TWQ19" s="501"/>
      <c r="TWR19" s="501"/>
      <c r="TWS19" s="501"/>
      <c r="TWT19" s="501"/>
      <c r="TWU19" s="501"/>
      <c r="TWV19" s="501"/>
      <c r="TWW19" s="501"/>
      <c r="TWX19" s="501"/>
      <c r="TWY19" s="501"/>
      <c r="TWZ19" s="501"/>
      <c r="TXA19" s="501"/>
      <c r="TXB19" s="501"/>
      <c r="TXC19" s="501"/>
      <c r="TXD19" s="501"/>
      <c r="TXE19" s="501"/>
      <c r="TXF19" s="501"/>
      <c r="TXG19" s="501"/>
      <c r="TXH19" s="501"/>
      <c r="TXI19" s="501"/>
      <c r="TXJ19" s="501"/>
      <c r="TXK19" s="501"/>
      <c r="TXL19" s="501"/>
      <c r="TXM19" s="501"/>
      <c r="TXN19" s="501"/>
      <c r="TXO19" s="501"/>
      <c r="TXP19" s="501"/>
      <c r="TXQ19" s="501"/>
      <c r="TXR19" s="501"/>
      <c r="TXS19" s="501"/>
      <c r="TXT19" s="501"/>
      <c r="TXU19" s="501"/>
      <c r="TXV19" s="501"/>
      <c r="TXW19" s="501"/>
      <c r="TXX19" s="501"/>
      <c r="TXY19" s="501"/>
      <c r="TXZ19" s="501"/>
      <c r="TYA19" s="501"/>
      <c r="TYB19" s="501"/>
      <c r="TYC19" s="501"/>
      <c r="TYD19" s="501"/>
      <c r="TYE19" s="501"/>
      <c r="TYF19" s="501"/>
      <c r="TYG19" s="501"/>
      <c r="TYH19" s="501"/>
      <c r="TYI19" s="501"/>
      <c r="TYJ19" s="501"/>
      <c r="TYK19" s="501"/>
      <c r="TYL19" s="501"/>
      <c r="TYM19" s="501"/>
      <c r="TYN19" s="501"/>
      <c r="TYO19" s="501"/>
      <c r="TYP19" s="501"/>
      <c r="TYQ19" s="501"/>
      <c r="TYR19" s="501"/>
      <c r="TYS19" s="501"/>
      <c r="TYT19" s="501"/>
      <c r="TYU19" s="501"/>
      <c r="TYV19" s="501"/>
      <c r="TYW19" s="501"/>
      <c r="TYX19" s="501"/>
      <c r="TYY19" s="501"/>
      <c r="TYZ19" s="501"/>
      <c r="TZA19" s="501"/>
      <c r="TZB19" s="501"/>
      <c r="TZC19" s="501"/>
      <c r="TZD19" s="501"/>
      <c r="TZE19" s="501"/>
      <c r="TZF19" s="501"/>
      <c r="TZG19" s="501"/>
      <c r="TZH19" s="501"/>
      <c r="TZI19" s="501"/>
      <c r="TZJ19" s="501"/>
      <c r="TZK19" s="501"/>
      <c r="TZL19" s="501"/>
      <c r="TZM19" s="501"/>
      <c r="TZN19" s="501"/>
      <c r="TZO19" s="501"/>
      <c r="TZP19" s="501"/>
      <c r="TZQ19" s="501"/>
      <c r="TZR19" s="501"/>
      <c r="TZS19" s="501"/>
      <c r="TZT19" s="501"/>
      <c r="TZU19" s="501"/>
      <c r="TZV19" s="501"/>
      <c r="TZW19" s="501"/>
      <c r="TZX19" s="501"/>
      <c r="TZY19" s="501"/>
      <c r="TZZ19" s="501"/>
      <c r="UAA19" s="501"/>
      <c r="UAB19" s="501"/>
      <c r="UAC19" s="501"/>
      <c r="UAD19" s="501"/>
      <c r="UAE19" s="501"/>
      <c r="UAF19" s="501"/>
      <c r="UAG19" s="501"/>
      <c r="UAH19" s="501"/>
      <c r="UAI19" s="501"/>
      <c r="UAJ19" s="501"/>
      <c r="UAK19" s="501"/>
      <c r="UAL19" s="501"/>
      <c r="UAM19" s="501"/>
      <c r="UAN19" s="501"/>
      <c r="UAO19" s="501"/>
      <c r="UAP19" s="501"/>
      <c r="UAQ19" s="501"/>
      <c r="UAR19" s="501"/>
      <c r="UAS19" s="501"/>
      <c r="UAT19" s="501"/>
      <c r="UAU19" s="501"/>
      <c r="UAV19" s="501"/>
      <c r="UAW19" s="501"/>
      <c r="UAX19" s="501"/>
      <c r="UAY19" s="501"/>
      <c r="UAZ19" s="501"/>
      <c r="UBA19" s="501"/>
      <c r="UBB19" s="501"/>
      <c r="UBC19" s="501"/>
      <c r="UBD19" s="501"/>
      <c r="UBE19" s="501"/>
      <c r="UBF19" s="501"/>
      <c r="UBG19" s="501"/>
      <c r="UBH19" s="501"/>
      <c r="UBI19" s="501"/>
      <c r="UBJ19" s="501"/>
      <c r="UBK19" s="501"/>
      <c r="UBL19" s="501"/>
      <c r="UBM19" s="501"/>
      <c r="UBN19" s="501"/>
      <c r="UBO19" s="501"/>
      <c r="UBP19" s="501"/>
      <c r="UBQ19" s="501"/>
      <c r="UBR19" s="501"/>
      <c r="UBS19" s="501"/>
      <c r="UBT19" s="501"/>
      <c r="UBU19" s="501"/>
      <c r="UBV19" s="501"/>
      <c r="UBW19" s="501"/>
      <c r="UBX19" s="501"/>
      <c r="UBY19" s="501"/>
      <c r="UBZ19" s="501"/>
      <c r="UCA19" s="501"/>
      <c r="UCB19" s="501"/>
      <c r="UCC19" s="501"/>
      <c r="UCD19" s="501"/>
      <c r="UCE19" s="501"/>
      <c r="UCF19" s="501"/>
      <c r="UCG19" s="501"/>
      <c r="UCH19" s="501"/>
      <c r="UCI19" s="501"/>
      <c r="UCJ19" s="501"/>
      <c r="UCK19" s="501"/>
      <c r="UCL19" s="501"/>
      <c r="UCM19" s="501"/>
      <c r="UCN19" s="501"/>
      <c r="UCO19" s="501"/>
      <c r="UCP19" s="501"/>
      <c r="UCQ19" s="501"/>
      <c r="UCR19" s="501"/>
      <c r="UCS19" s="501"/>
      <c r="UCT19" s="501"/>
      <c r="UCU19" s="501"/>
      <c r="UCV19" s="501"/>
      <c r="UCW19" s="501"/>
      <c r="UCX19" s="501"/>
      <c r="UCY19" s="501"/>
      <c r="UCZ19" s="501"/>
      <c r="UDA19" s="501"/>
      <c r="UDB19" s="501"/>
      <c r="UDC19" s="501"/>
      <c r="UDD19" s="501"/>
      <c r="UDE19" s="501"/>
      <c r="UDF19" s="501"/>
      <c r="UDG19" s="501"/>
      <c r="UDH19" s="501"/>
      <c r="UDI19" s="501"/>
      <c r="UDJ19" s="501"/>
      <c r="UDK19" s="501"/>
      <c r="UDL19" s="501"/>
      <c r="UDM19" s="501"/>
      <c r="UDN19" s="501"/>
      <c r="UDO19" s="501"/>
      <c r="UDP19" s="501"/>
      <c r="UDQ19" s="501"/>
      <c r="UDR19" s="501"/>
      <c r="UDS19" s="501"/>
      <c r="UDT19" s="501"/>
      <c r="UDU19" s="501"/>
      <c r="UDV19" s="501"/>
      <c r="UDW19" s="501"/>
      <c r="UDX19" s="501"/>
      <c r="UDY19" s="501"/>
      <c r="UDZ19" s="501"/>
      <c r="UEA19" s="501"/>
      <c r="UEB19" s="501"/>
      <c r="UEC19" s="501"/>
      <c r="UED19" s="501"/>
      <c r="UEE19" s="501"/>
      <c r="UEF19" s="501"/>
      <c r="UEG19" s="501"/>
      <c r="UEH19" s="501"/>
      <c r="UEI19" s="501"/>
      <c r="UEJ19" s="501"/>
      <c r="UEK19" s="501"/>
      <c r="UEL19" s="501"/>
      <c r="UEM19" s="501"/>
      <c r="UEN19" s="501"/>
      <c r="UEO19" s="501"/>
      <c r="UEP19" s="501"/>
      <c r="UEQ19" s="501"/>
      <c r="UER19" s="501"/>
      <c r="UES19" s="501"/>
      <c r="UET19" s="501"/>
      <c r="UEU19" s="501"/>
      <c r="UEV19" s="501"/>
      <c r="UEW19" s="501"/>
      <c r="UEX19" s="501"/>
      <c r="UEY19" s="501"/>
      <c r="UEZ19" s="501"/>
      <c r="UFA19" s="501"/>
      <c r="UFB19" s="501"/>
      <c r="UFC19" s="501"/>
      <c r="UFD19" s="501"/>
      <c r="UFE19" s="501"/>
      <c r="UFF19" s="501"/>
      <c r="UFG19" s="501"/>
      <c r="UFH19" s="501"/>
      <c r="UFI19" s="501"/>
      <c r="UFJ19" s="501"/>
      <c r="UFK19" s="501"/>
      <c r="UFL19" s="501"/>
      <c r="UFM19" s="501"/>
      <c r="UFN19" s="501"/>
      <c r="UFO19" s="501"/>
      <c r="UFP19" s="501"/>
      <c r="UFQ19" s="501"/>
      <c r="UFR19" s="501"/>
      <c r="UFS19" s="501"/>
      <c r="UFT19" s="501"/>
      <c r="UFU19" s="501"/>
      <c r="UFV19" s="501"/>
      <c r="UFW19" s="501"/>
      <c r="UFX19" s="501"/>
      <c r="UFY19" s="501"/>
      <c r="UFZ19" s="501"/>
      <c r="UGA19" s="501"/>
      <c r="UGB19" s="501"/>
      <c r="UGC19" s="501"/>
      <c r="UGD19" s="501"/>
      <c r="UGE19" s="501"/>
      <c r="UGF19" s="501"/>
      <c r="UGG19" s="501"/>
      <c r="UGH19" s="501"/>
      <c r="UGI19" s="501"/>
      <c r="UGJ19" s="501"/>
      <c r="UGK19" s="501"/>
      <c r="UGL19" s="501"/>
      <c r="UGM19" s="501"/>
      <c r="UGN19" s="501"/>
      <c r="UGO19" s="501"/>
      <c r="UGP19" s="501"/>
      <c r="UGQ19" s="501"/>
      <c r="UGR19" s="501"/>
      <c r="UGS19" s="501"/>
      <c r="UGT19" s="501"/>
      <c r="UGU19" s="501"/>
      <c r="UGV19" s="501"/>
      <c r="UGW19" s="501"/>
      <c r="UGX19" s="501"/>
      <c r="UGY19" s="501"/>
      <c r="UGZ19" s="501"/>
      <c r="UHA19" s="501"/>
      <c r="UHB19" s="501"/>
      <c r="UHC19" s="501"/>
      <c r="UHD19" s="501"/>
      <c r="UHE19" s="501"/>
      <c r="UHF19" s="501"/>
      <c r="UHG19" s="501"/>
      <c r="UHH19" s="501"/>
      <c r="UHI19" s="501"/>
      <c r="UHJ19" s="501"/>
      <c r="UHK19" s="501"/>
      <c r="UHL19" s="501"/>
      <c r="UHM19" s="501"/>
      <c r="UHN19" s="501"/>
      <c r="UHO19" s="501"/>
      <c r="UHP19" s="501"/>
      <c r="UHQ19" s="501"/>
      <c r="UHR19" s="501"/>
      <c r="UHS19" s="501"/>
      <c r="UHT19" s="501"/>
      <c r="UHU19" s="501"/>
      <c r="UHV19" s="501"/>
      <c r="UHW19" s="501"/>
      <c r="UHX19" s="501"/>
      <c r="UHY19" s="501"/>
      <c r="UHZ19" s="501"/>
      <c r="UIA19" s="501"/>
      <c r="UIB19" s="501"/>
      <c r="UIC19" s="501"/>
      <c r="UID19" s="501"/>
      <c r="UIE19" s="501"/>
      <c r="UIF19" s="501"/>
      <c r="UIG19" s="501"/>
      <c r="UIH19" s="501"/>
      <c r="UII19" s="501"/>
      <c r="UIJ19" s="501"/>
      <c r="UIK19" s="501"/>
      <c r="UIL19" s="501"/>
      <c r="UIM19" s="501"/>
      <c r="UIN19" s="501"/>
      <c r="UIO19" s="501"/>
      <c r="UIP19" s="501"/>
      <c r="UIQ19" s="501"/>
      <c r="UIR19" s="501"/>
      <c r="UIS19" s="501"/>
      <c r="UIT19" s="501"/>
      <c r="UIU19" s="501"/>
      <c r="UIV19" s="501"/>
      <c r="UIW19" s="501"/>
      <c r="UIX19" s="501"/>
      <c r="UIY19" s="501"/>
      <c r="UIZ19" s="501"/>
      <c r="UJA19" s="501"/>
      <c r="UJB19" s="501"/>
      <c r="UJC19" s="501"/>
      <c r="UJD19" s="501"/>
      <c r="UJE19" s="501"/>
      <c r="UJF19" s="501"/>
      <c r="UJG19" s="501"/>
      <c r="UJH19" s="501"/>
      <c r="UJI19" s="501"/>
      <c r="UJJ19" s="501"/>
      <c r="UJK19" s="501"/>
      <c r="UJL19" s="501"/>
      <c r="UJM19" s="501"/>
      <c r="UJN19" s="501"/>
      <c r="UJO19" s="501"/>
      <c r="UJP19" s="501"/>
      <c r="UJQ19" s="501"/>
      <c r="UJR19" s="501"/>
      <c r="UJS19" s="501"/>
      <c r="UJT19" s="501"/>
      <c r="UJU19" s="501"/>
      <c r="UJV19" s="501"/>
      <c r="UJW19" s="501"/>
      <c r="UJX19" s="501"/>
      <c r="UJY19" s="501"/>
      <c r="UJZ19" s="501"/>
      <c r="UKA19" s="501"/>
      <c r="UKB19" s="501"/>
      <c r="UKC19" s="501"/>
      <c r="UKD19" s="501"/>
      <c r="UKE19" s="501"/>
      <c r="UKF19" s="501"/>
      <c r="UKG19" s="501"/>
      <c r="UKH19" s="501"/>
      <c r="UKI19" s="501"/>
      <c r="UKJ19" s="501"/>
      <c r="UKK19" s="501"/>
      <c r="UKL19" s="501"/>
      <c r="UKM19" s="501"/>
      <c r="UKN19" s="501"/>
      <c r="UKO19" s="501"/>
      <c r="UKP19" s="501"/>
      <c r="UKQ19" s="501"/>
      <c r="UKR19" s="501"/>
      <c r="UKS19" s="501"/>
      <c r="UKT19" s="501"/>
      <c r="UKU19" s="501"/>
      <c r="UKV19" s="501"/>
      <c r="UKW19" s="501"/>
      <c r="UKX19" s="501"/>
      <c r="UKY19" s="501"/>
      <c r="UKZ19" s="501"/>
      <c r="ULA19" s="501"/>
      <c r="ULB19" s="501"/>
      <c r="ULC19" s="501"/>
      <c r="ULD19" s="501"/>
      <c r="ULE19" s="501"/>
      <c r="ULF19" s="501"/>
      <c r="ULG19" s="501"/>
      <c r="ULH19" s="501"/>
      <c r="ULI19" s="501"/>
      <c r="ULJ19" s="501"/>
      <c r="ULK19" s="501"/>
      <c r="ULL19" s="501"/>
      <c r="ULM19" s="501"/>
      <c r="ULN19" s="501"/>
      <c r="ULO19" s="501"/>
      <c r="ULP19" s="501"/>
      <c r="ULQ19" s="501"/>
      <c r="ULR19" s="501"/>
      <c r="ULS19" s="501"/>
      <c r="ULT19" s="501"/>
      <c r="ULU19" s="501"/>
      <c r="ULV19" s="501"/>
      <c r="ULW19" s="501"/>
      <c r="ULX19" s="501"/>
      <c r="ULY19" s="501"/>
      <c r="ULZ19" s="501"/>
      <c r="UMA19" s="501"/>
      <c r="UMB19" s="501"/>
      <c r="UMC19" s="501"/>
      <c r="UMD19" s="501"/>
      <c r="UME19" s="501"/>
      <c r="UMF19" s="501"/>
      <c r="UMG19" s="501"/>
      <c r="UMH19" s="501"/>
      <c r="UMI19" s="501"/>
      <c r="UMJ19" s="501"/>
      <c r="UMK19" s="501"/>
      <c r="UML19" s="501"/>
      <c r="UMM19" s="501"/>
      <c r="UMN19" s="501"/>
      <c r="UMO19" s="501"/>
      <c r="UMP19" s="501"/>
      <c r="UMQ19" s="501"/>
      <c r="UMR19" s="501"/>
      <c r="UMS19" s="501"/>
      <c r="UMT19" s="501"/>
      <c r="UMU19" s="501"/>
      <c r="UMV19" s="501"/>
      <c r="UMW19" s="501"/>
      <c r="UMX19" s="501"/>
      <c r="UMY19" s="501"/>
      <c r="UMZ19" s="501"/>
      <c r="UNA19" s="501"/>
      <c r="UNB19" s="501"/>
      <c r="UNC19" s="501"/>
      <c r="UND19" s="501"/>
      <c r="UNE19" s="501"/>
      <c r="UNF19" s="501"/>
      <c r="UNG19" s="501"/>
      <c r="UNH19" s="501"/>
      <c r="UNI19" s="501"/>
      <c r="UNJ19" s="501"/>
      <c r="UNK19" s="501"/>
      <c r="UNL19" s="501"/>
      <c r="UNM19" s="501"/>
      <c r="UNN19" s="501"/>
      <c r="UNO19" s="501"/>
      <c r="UNP19" s="501"/>
      <c r="UNQ19" s="501"/>
      <c r="UNR19" s="501"/>
      <c r="UNS19" s="501"/>
      <c r="UNT19" s="501"/>
      <c r="UNU19" s="501"/>
      <c r="UNV19" s="501"/>
      <c r="UNW19" s="501"/>
      <c r="UNX19" s="501"/>
      <c r="UNY19" s="501"/>
      <c r="UNZ19" s="501"/>
      <c r="UOA19" s="501"/>
      <c r="UOB19" s="501"/>
      <c r="UOC19" s="501"/>
      <c r="UOD19" s="501"/>
      <c r="UOE19" s="501"/>
      <c r="UOF19" s="501"/>
      <c r="UOG19" s="501"/>
      <c r="UOH19" s="501"/>
      <c r="UOI19" s="501"/>
      <c r="UOJ19" s="501"/>
      <c r="UOK19" s="501"/>
      <c r="UOL19" s="501"/>
      <c r="UOM19" s="501"/>
      <c r="UON19" s="501"/>
      <c r="UOO19" s="501"/>
      <c r="UOP19" s="501"/>
      <c r="UOQ19" s="501"/>
      <c r="UOR19" s="501"/>
      <c r="UOS19" s="501"/>
      <c r="UOT19" s="501"/>
      <c r="UOU19" s="501"/>
      <c r="UOV19" s="501"/>
      <c r="UOW19" s="501"/>
      <c r="UOX19" s="501"/>
      <c r="UOY19" s="501"/>
      <c r="UOZ19" s="501"/>
      <c r="UPA19" s="501"/>
      <c r="UPB19" s="501"/>
      <c r="UPC19" s="501"/>
      <c r="UPD19" s="501"/>
      <c r="UPE19" s="501"/>
      <c r="UPF19" s="501"/>
      <c r="UPG19" s="501"/>
      <c r="UPH19" s="501"/>
      <c r="UPI19" s="501"/>
      <c r="UPJ19" s="501"/>
      <c r="UPK19" s="501"/>
      <c r="UPL19" s="501"/>
      <c r="UPM19" s="501"/>
      <c r="UPN19" s="501"/>
      <c r="UPO19" s="501"/>
      <c r="UPP19" s="501"/>
      <c r="UPQ19" s="501"/>
      <c r="UPR19" s="501"/>
      <c r="UPS19" s="501"/>
      <c r="UPT19" s="501"/>
      <c r="UPU19" s="501"/>
      <c r="UPV19" s="501"/>
      <c r="UPW19" s="501"/>
      <c r="UPX19" s="501"/>
      <c r="UPY19" s="501"/>
      <c r="UPZ19" s="501"/>
      <c r="UQA19" s="501"/>
      <c r="UQB19" s="501"/>
      <c r="UQC19" s="501"/>
      <c r="UQD19" s="501"/>
      <c r="UQE19" s="501"/>
      <c r="UQF19" s="501"/>
      <c r="UQG19" s="501"/>
      <c r="UQH19" s="501"/>
      <c r="UQI19" s="501"/>
      <c r="UQJ19" s="501"/>
      <c r="UQK19" s="501"/>
      <c r="UQL19" s="501"/>
      <c r="UQM19" s="501"/>
      <c r="UQN19" s="501"/>
      <c r="UQO19" s="501"/>
      <c r="UQP19" s="501"/>
      <c r="UQQ19" s="501"/>
      <c r="UQR19" s="501"/>
      <c r="UQS19" s="501"/>
      <c r="UQT19" s="501"/>
      <c r="UQU19" s="501"/>
      <c r="UQV19" s="501"/>
      <c r="UQW19" s="501"/>
      <c r="UQX19" s="501"/>
      <c r="UQY19" s="501"/>
      <c r="UQZ19" s="501"/>
      <c r="URA19" s="501"/>
      <c r="URB19" s="501"/>
      <c r="URC19" s="501"/>
      <c r="URD19" s="501"/>
      <c r="URE19" s="501"/>
      <c r="URF19" s="501"/>
      <c r="URG19" s="501"/>
      <c r="URH19" s="501"/>
      <c r="URI19" s="501"/>
      <c r="URJ19" s="501"/>
      <c r="URK19" s="501"/>
      <c r="URL19" s="501"/>
      <c r="URM19" s="501"/>
      <c r="URN19" s="501"/>
      <c r="URO19" s="501"/>
      <c r="URP19" s="501"/>
      <c r="URQ19" s="501"/>
      <c r="URR19" s="501"/>
      <c r="URS19" s="501"/>
      <c r="URT19" s="501"/>
      <c r="URU19" s="501"/>
      <c r="URV19" s="501"/>
      <c r="URW19" s="501"/>
      <c r="URX19" s="501"/>
      <c r="URY19" s="501"/>
      <c r="URZ19" s="501"/>
      <c r="USA19" s="501"/>
      <c r="USB19" s="501"/>
      <c r="USC19" s="501"/>
      <c r="USD19" s="501"/>
      <c r="USE19" s="501"/>
      <c r="USF19" s="501"/>
      <c r="USG19" s="501"/>
      <c r="USH19" s="501"/>
      <c r="USI19" s="501"/>
      <c r="USJ19" s="501"/>
      <c r="USK19" s="501"/>
      <c r="USL19" s="501"/>
      <c r="USM19" s="501"/>
      <c r="USN19" s="501"/>
      <c r="USO19" s="501"/>
      <c r="USP19" s="501"/>
      <c r="USQ19" s="501"/>
      <c r="USR19" s="501"/>
      <c r="USS19" s="501"/>
      <c r="UST19" s="501"/>
      <c r="USU19" s="501"/>
      <c r="USV19" s="501"/>
      <c r="USW19" s="501"/>
      <c r="USX19" s="501"/>
      <c r="USY19" s="501"/>
      <c r="USZ19" s="501"/>
      <c r="UTA19" s="501"/>
      <c r="UTB19" s="501"/>
      <c r="UTC19" s="501"/>
      <c r="UTD19" s="501"/>
      <c r="UTE19" s="501"/>
      <c r="UTF19" s="501"/>
      <c r="UTG19" s="501"/>
      <c r="UTH19" s="501"/>
      <c r="UTI19" s="501"/>
      <c r="UTJ19" s="501"/>
      <c r="UTK19" s="501"/>
      <c r="UTL19" s="501"/>
      <c r="UTM19" s="501"/>
      <c r="UTN19" s="501"/>
      <c r="UTO19" s="501"/>
      <c r="UTP19" s="501"/>
      <c r="UTQ19" s="501"/>
      <c r="UTR19" s="501"/>
      <c r="UTS19" s="501"/>
      <c r="UTT19" s="501"/>
      <c r="UTU19" s="501"/>
      <c r="UTV19" s="501"/>
      <c r="UTW19" s="501"/>
      <c r="UTX19" s="501"/>
      <c r="UTY19" s="501"/>
      <c r="UTZ19" s="501"/>
      <c r="UUA19" s="501"/>
      <c r="UUB19" s="501"/>
      <c r="UUC19" s="501"/>
      <c r="UUD19" s="501"/>
      <c r="UUE19" s="501"/>
      <c r="UUF19" s="501"/>
      <c r="UUG19" s="501"/>
      <c r="UUH19" s="501"/>
      <c r="UUI19" s="501"/>
      <c r="UUJ19" s="501"/>
      <c r="UUK19" s="501"/>
      <c r="UUL19" s="501"/>
      <c r="UUM19" s="501"/>
      <c r="UUN19" s="501"/>
      <c r="UUO19" s="501"/>
      <c r="UUP19" s="501"/>
      <c r="UUQ19" s="501"/>
      <c r="UUR19" s="501"/>
      <c r="UUS19" s="501"/>
      <c r="UUT19" s="501"/>
      <c r="UUU19" s="501"/>
      <c r="UUV19" s="501"/>
      <c r="UUW19" s="501"/>
      <c r="UUX19" s="501"/>
      <c r="UUY19" s="501"/>
      <c r="UUZ19" s="501"/>
      <c r="UVA19" s="501"/>
      <c r="UVB19" s="501"/>
      <c r="UVC19" s="501"/>
      <c r="UVD19" s="501"/>
      <c r="UVE19" s="501"/>
      <c r="UVF19" s="501"/>
      <c r="UVG19" s="501"/>
      <c r="UVH19" s="501"/>
      <c r="UVI19" s="501"/>
      <c r="UVJ19" s="501"/>
      <c r="UVK19" s="501"/>
      <c r="UVL19" s="501"/>
      <c r="UVM19" s="501"/>
      <c r="UVN19" s="501"/>
      <c r="UVO19" s="501"/>
      <c r="UVP19" s="501"/>
      <c r="UVQ19" s="501"/>
      <c r="UVR19" s="501"/>
      <c r="UVS19" s="501"/>
      <c r="UVT19" s="501"/>
      <c r="UVU19" s="501"/>
      <c r="UVV19" s="501"/>
      <c r="UVW19" s="501"/>
      <c r="UVX19" s="501"/>
      <c r="UVY19" s="501"/>
      <c r="UVZ19" s="501"/>
      <c r="UWA19" s="501"/>
      <c r="UWB19" s="501"/>
      <c r="UWC19" s="501"/>
      <c r="UWD19" s="501"/>
      <c r="UWE19" s="501"/>
      <c r="UWF19" s="501"/>
      <c r="UWG19" s="501"/>
      <c r="UWH19" s="501"/>
      <c r="UWI19" s="501"/>
      <c r="UWJ19" s="501"/>
      <c r="UWK19" s="501"/>
      <c r="UWL19" s="501"/>
      <c r="UWM19" s="501"/>
      <c r="UWN19" s="501"/>
      <c r="UWO19" s="501"/>
      <c r="UWP19" s="501"/>
      <c r="UWQ19" s="501"/>
      <c r="UWR19" s="501"/>
      <c r="UWS19" s="501"/>
      <c r="UWT19" s="501"/>
      <c r="UWU19" s="501"/>
      <c r="UWV19" s="501"/>
      <c r="UWW19" s="501"/>
      <c r="UWX19" s="501"/>
      <c r="UWY19" s="501"/>
      <c r="UWZ19" s="501"/>
      <c r="UXA19" s="501"/>
      <c r="UXB19" s="501"/>
      <c r="UXC19" s="501"/>
      <c r="UXD19" s="501"/>
      <c r="UXE19" s="501"/>
      <c r="UXF19" s="501"/>
      <c r="UXG19" s="501"/>
      <c r="UXH19" s="501"/>
      <c r="UXI19" s="501"/>
      <c r="UXJ19" s="501"/>
      <c r="UXK19" s="501"/>
      <c r="UXL19" s="501"/>
      <c r="UXM19" s="501"/>
      <c r="UXN19" s="501"/>
      <c r="UXO19" s="501"/>
      <c r="UXP19" s="501"/>
      <c r="UXQ19" s="501"/>
      <c r="UXR19" s="501"/>
      <c r="UXS19" s="501"/>
      <c r="UXT19" s="501"/>
      <c r="UXU19" s="501"/>
      <c r="UXV19" s="501"/>
      <c r="UXW19" s="501"/>
      <c r="UXX19" s="501"/>
      <c r="UXY19" s="501"/>
      <c r="UXZ19" s="501"/>
      <c r="UYA19" s="501"/>
      <c r="UYB19" s="501"/>
      <c r="UYC19" s="501"/>
      <c r="UYD19" s="501"/>
      <c r="UYE19" s="501"/>
      <c r="UYF19" s="501"/>
      <c r="UYG19" s="501"/>
      <c r="UYH19" s="501"/>
      <c r="UYI19" s="501"/>
      <c r="UYJ19" s="501"/>
      <c r="UYK19" s="501"/>
      <c r="UYL19" s="501"/>
      <c r="UYM19" s="501"/>
      <c r="UYN19" s="501"/>
      <c r="UYO19" s="501"/>
      <c r="UYP19" s="501"/>
      <c r="UYQ19" s="501"/>
      <c r="UYR19" s="501"/>
      <c r="UYS19" s="501"/>
      <c r="UYT19" s="501"/>
      <c r="UYU19" s="501"/>
      <c r="UYV19" s="501"/>
      <c r="UYW19" s="501"/>
      <c r="UYX19" s="501"/>
      <c r="UYY19" s="501"/>
      <c r="UYZ19" s="501"/>
      <c r="UZA19" s="501"/>
      <c r="UZB19" s="501"/>
      <c r="UZC19" s="501"/>
      <c r="UZD19" s="501"/>
      <c r="UZE19" s="501"/>
      <c r="UZF19" s="501"/>
      <c r="UZG19" s="501"/>
      <c r="UZH19" s="501"/>
      <c r="UZI19" s="501"/>
      <c r="UZJ19" s="501"/>
      <c r="UZK19" s="501"/>
      <c r="UZL19" s="501"/>
      <c r="UZM19" s="501"/>
      <c r="UZN19" s="501"/>
      <c r="UZO19" s="501"/>
      <c r="UZP19" s="501"/>
      <c r="UZQ19" s="501"/>
      <c r="UZR19" s="501"/>
      <c r="UZS19" s="501"/>
      <c r="UZT19" s="501"/>
      <c r="UZU19" s="501"/>
      <c r="UZV19" s="501"/>
      <c r="UZW19" s="501"/>
      <c r="UZX19" s="501"/>
      <c r="UZY19" s="501"/>
      <c r="UZZ19" s="501"/>
      <c r="VAA19" s="501"/>
      <c r="VAB19" s="501"/>
      <c r="VAC19" s="501"/>
      <c r="VAD19" s="501"/>
      <c r="VAE19" s="501"/>
      <c r="VAF19" s="501"/>
      <c r="VAG19" s="501"/>
      <c r="VAH19" s="501"/>
      <c r="VAI19" s="501"/>
      <c r="VAJ19" s="501"/>
      <c r="VAK19" s="501"/>
      <c r="VAL19" s="501"/>
      <c r="VAM19" s="501"/>
      <c r="VAN19" s="501"/>
      <c r="VAO19" s="501"/>
      <c r="VAP19" s="501"/>
      <c r="VAQ19" s="501"/>
      <c r="VAR19" s="501"/>
      <c r="VAS19" s="501"/>
      <c r="VAT19" s="501"/>
      <c r="VAU19" s="501"/>
      <c r="VAV19" s="501"/>
      <c r="VAW19" s="501"/>
      <c r="VAX19" s="501"/>
      <c r="VAY19" s="501"/>
      <c r="VAZ19" s="501"/>
      <c r="VBA19" s="501"/>
      <c r="VBB19" s="501"/>
      <c r="VBC19" s="501"/>
      <c r="VBD19" s="501"/>
      <c r="VBE19" s="501"/>
      <c r="VBF19" s="501"/>
      <c r="VBG19" s="501"/>
      <c r="VBH19" s="501"/>
      <c r="VBI19" s="501"/>
      <c r="VBJ19" s="501"/>
      <c r="VBK19" s="501"/>
      <c r="VBL19" s="501"/>
      <c r="VBM19" s="501"/>
      <c r="VBN19" s="501"/>
      <c r="VBO19" s="501"/>
      <c r="VBP19" s="501"/>
      <c r="VBQ19" s="501"/>
      <c r="VBR19" s="501"/>
      <c r="VBS19" s="501"/>
      <c r="VBT19" s="501"/>
      <c r="VBU19" s="501"/>
      <c r="VBV19" s="501"/>
      <c r="VBW19" s="501"/>
      <c r="VBX19" s="501"/>
      <c r="VBY19" s="501"/>
      <c r="VBZ19" s="501"/>
      <c r="VCA19" s="501"/>
      <c r="VCB19" s="501"/>
      <c r="VCC19" s="501"/>
      <c r="VCD19" s="501"/>
      <c r="VCE19" s="501"/>
      <c r="VCF19" s="501"/>
      <c r="VCG19" s="501"/>
      <c r="VCH19" s="501"/>
      <c r="VCI19" s="501"/>
      <c r="VCJ19" s="501"/>
      <c r="VCK19" s="501"/>
      <c r="VCL19" s="501"/>
      <c r="VCM19" s="501"/>
      <c r="VCN19" s="501"/>
      <c r="VCO19" s="501"/>
      <c r="VCP19" s="501"/>
      <c r="VCQ19" s="501"/>
      <c r="VCR19" s="501"/>
      <c r="VCS19" s="501"/>
      <c r="VCT19" s="501"/>
      <c r="VCU19" s="501"/>
      <c r="VCV19" s="501"/>
      <c r="VCW19" s="501"/>
      <c r="VCX19" s="501"/>
      <c r="VCY19" s="501"/>
      <c r="VCZ19" s="501"/>
      <c r="VDA19" s="501"/>
      <c r="VDB19" s="501"/>
      <c r="VDC19" s="501"/>
      <c r="VDD19" s="501"/>
      <c r="VDE19" s="501"/>
      <c r="VDF19" s="501"/>
      <c r="VDG19" s="501"/>
      <c r="VDH19" s="501"/>
      <c r="VDI19" s="501"/>
      <c r="VDJ19" s="501"/>
      <c r="VDK19" s="501"/>
      <c r="VDL19" s="501"/>
      <c r="VDM19" s="501"/>
      <c r="VDN19" s="501"/>
      <c r="VDO19" s="501"/>
      <c r="VDP19" s="501"/>
      <c r="VDQ19" s="501"/>
      <c r="VDR19" s="501"/>
      <c r="VDS19" s="501"/>
      <c r="VDT19" s="501"/>
      <c r="VDU19" s="501"/>
      <c r="VDV19" s="501"/>
      <c r="VDW19" s="501"/>
      <c r="VDX19" s="501"/>
      <c r="VDY19" s="501"/>
      <c r="VDZ19" s="501"/>
      <c r="VEA19" s="501"/>
      <c r="VEB19" s="501"/>
      <c r="VEC19" s="501"/>
      <c r="VED19" s="501"/>
      <c r="VEE19" s="501"/>
      <c r="VEF19" s="501"/>
      <c r="VEG19" s="501"/>
      <c r="VEH19" s="501"/>
      <c r="VEI19" s="501"/>
      <c r="VEJ19" s="501"/>
      <c r="VEK19" s="501"/>
      <c r="VEL19" s="501"/>
      <c r="VEM19" s="501"/>
      <c r="VEN19" s="501"/>
      <c r="VEO19" s="501"/>
      <c r="VEP19" s="501"/>
      <c r="VEQ19" s="501"/>
      <c r="VER19" s="501"/>
      <c r="VES19" s="501"/>
      <c r="VET19" s="501"/>
      <c r="VEU19" s="501"/>
      <c r="VEV19" s="501"/>
      <c r="VEW19" s="501"/>
      <c r="VEX19" s="501"/>
      <c r="VEY19" s="501"/>
      <c r="VEZ19" s="501"/>
      <c r="VFA19" s="501"/>
      <c r="VFB19" s="501"/>
      <c r="VFC19" s="501"/>
      <c r="VFD19" s="501"/>
      <c r="VFE19" s="501"/>
      <c r="VFF19" s="501"/>
      <c r="VFG19" s="501"/>
      <c r="VFH19" s="501"/>
      <c r="VFI19" s="501"/>
      <c r="VFJ19" s="501"/>
      <c r="VFK19" s="501"/>
      <c r="VFL19" s="501"/>
      <c r="VFM19" s="501"/>
      <c r="VFN19" s="501"/>
      <c r="VFO19" s="501"/>
      <c r="VFP19" s="501"/>
      <c r="VFQ19" s="501"/>
      <c r="VFR19" s="501"/>
      <c r="VFS19" s="501"/>
      <c r="VFT19" s="501"/>
      <c r="VFU19" s="501"/>
      <c r="VFV19" s="501"/>
      <c r="VFW19" s="501"/>
      <c r="VFX19" s="501"/>
      <c r="VFY19" s="501"/>
      <c r="VFZ19" s="501"/>
      <c r="VGA19" s="501"/>
      <c r="VGB19" s="501"/>
      <c r="VGC19" s="501"/>
      <c r="VGD19" s="501"/>
      <c r="VGE19" s="501"/>
      <c r="VGF19" s="501"/>
      <c r="VGG19" s="501"/>
      <c r="VGH19" s="501"/>
      <c r="VGI19" s="501"/>
      <c r="VGJ19" s="501"/>
      <c r="VGK19" s="501"/>
      <c r="VGL19" s="501"/>
      <c r="VGM19" s="501"/>
      <c r="VGN19" s="501"/>
      <c r="VGO19" s="501"/>
      <c r="VGP19" s="501"/>
      <c r="VGQ19" s="501"/>
      <c r="VGR19" s="501"/>
      <c r="VGS19" s="501"/>
      <c r="VGT19" s="501"/>
      <c r="VGU19" s="501"/>
      <c r="VGV19" s="501"/>
      <c r="VGW19" s="501"/>
      <c r="VGX19" s="501"/>
      <c r="VGY19" s="501"/>
      <c r="VGZ19" s="501"/>
      <c r="VHA19" s="501"/>
      <c r="VHB19" s="501"/>
      <c r="VHC19" s="501"/>
      <c r="VHD19" s="501"/>
      <c r="VHE19" s="501"/>
      <c r="VHF19" s="501"/>
      <c r="VHG19" s="501"/>
      <c r="VHH19" s="501"/>
      <c r="VHI19" s="501"/>
      <c r="VHJ19" s="501"/>
      <c r="VHK19" s="501"/>
      <c r="VHL19" s="501"/>
      <c r="VHM19" s="501"/>
      <c r="VHN19" s="501"/>
      <c r="VHO19" s="501"/>
      <c r="VHP19" s="501"/>
      <c r="VHQ19" s="501"/>
      <c r="VHR19" s="501"/>
      <c r="VHS19" s="501"/>
      <c r="VHT19" s="501"/>
      <c r="VHU19" s="501"/>
      <c r="VHV19" s="501"/>
      <c r="VHW19" s="501"/>
      <c r="VHX19" s="501"/>
      <c r="VHY19" s="501"/>
      <c r="VHZ19" s="501"/>
      <c r="VIA19" s="501"/>
      <c r="VIB19" s="501"/>
      <c r="VIC19" s="501"/>
      <c r="VID19" s="501"/>
      <c r="VIE19" s="501"/>
      <c r="VIF19" s="501"/>
      <c r="VIG19" s="501"/>
      <c r="VIH19" s="501"/>
      <c r="VII19" s="501"/>
      <c r="VIJ19" s="501"/>
      <c r="VIK19" s="501"/>
      <c r="VIL19" s="501"/>
      <c r="VIM19" s="501"/>
      <c r="VIN19" s="501"/>
      <c r="VIO19" s="501"/>
      <c r="VIP19" s="501"/>
      <c r="VIQ19" s="501"/>
      <c r="VIR19" s="501"/>
      <c r="VIS19" s="501"/>
      <c r="VIT19" s="501"/>
      <c r="VIU19" s="501"/>
      <c r="VIV19" s="501"/>
      <c r="VIW19" s="501"/>
      <c r="VIX19" s="501"/>
      <c r="VIY19" s="501"/>
      <c r="VIZ19" s="501"/>
      <c r="VJA19" s="501"/>
      <c r="VJB19" s="501"/>
      <c r="VJC19" s="501"/>
      <c r="VJD19" s="501"/>
      <c r="VJE19" s="501"/>
      <c r="VJF19" s="501"/>
      <c r="VJG19" s="501"/>
      <c r="VJH19" s="501"/>
      <c r="VJI19" s="501"/>
      <c r="VJJ19" s="501"/>
      <c r="VJK19" s="501"/>
      <c r="VJL19" s="501"/>
      <c r="VJM19" s="501"/>
      <c r="VJN19" s="501"/>
      <c r="VJO19" s="501"/>
      <c r="VJP19" s="501"/>
      <c r="VJQ19" s="501"/>
      <c r="VJR19" s="501"/>
      <c r="VJS19" s="501"/>
      <c r="VJT19" s="501"/>
      <c r="VJU19" s="501"/>
      <c r="VJV19" s="501"/>
      <c r="VJW19" s="501"/>
      <c r="VJX19" s="501"/>
      <c r="VJY19" s="501"/>
      <c r="VJZ19" s="501"/>
      <c r="VKA19" s="501"/>
      <c r="VKB19" s="501"/>
      <c r="VKC19" s="501"/>
      <c r="VKD19" s="501"/>
      <c r="VKE19" s="501"/>
      <c r="VKF19" s="501"/>
      <c r="VKG19" s="501"/>
      <c r="VKH19" s="501"/>
      <c r="VKI19" s="501"/>
      <c r="VKJ19" s="501"/>
      <c r="VKK19" s="501"/>
      <c r="VKL19" s="501"/>
      <c r="VKM19" s="501"/>
      <c r="VKN19" s="501"/>
      <c r="VKO19" s="501"/>
      <c r="VKP19" s="501"/>
      <c r="VKQ19" s="501"/>
      <c r="VKR19" s="501"/>
      <c r="VKS19" s="501"/>
      <c r="VKT19" s="501"/>
      <c r="VKU19" s="501"/>
      <c r="VKV19" s="501"/>
      <c r="VKW19" s="501"/>
      <c r="VKX19" s="501"/>
      <c r="VKY19" s="501"/>
      <c r="VKZ19" s="501"/>
      <c r="VLA19" s="501"/>
      <c r="VLB19" s="501"/>
      <c r="VLC19" s="501"/>
      <c r="VLD19" s="501"/>
      <c r="VLE19" s="501"/>
      <c r="VLF19" s="501"/>
      <c r="VLG19" s="501"/>
      <c r="VLH19" s="501"/>
      <c r="VLI19" s="501"/>
      <c r="VLJ19" s="501"/>
      <c r="VLK19" s="501"/>
      <c r="VLL19" s="501"/>
      <c r="VLM19" s="501"/>
      <c r="VLN19" s="501"/>
      <c r="VLO19" s="501"/>
      <c r="VLP19" s="501"/>
      <c r="VLQ19" s="501"/>
      <c r="VLR19" s="501"/>
      <c r="VLS19" s="501"/>
      <c r="VLT19" s="501"/>
      <c r="VLU19" s="501"/>
      <c r="VLV19" s="501"/>
      <c r="VLW19" s="501"/>
      <c r="VLX19" s="501"/>
      <c r="VLY19" s="501"/>
      <c r="VLZ19" s="501"/>
      <c r="VMA19" s="501"/>
      <c r="VMB19" s="501"/>
      <c r="VMC19" s="501"/>
      <c r="VMD19" s="501"/>
      <c r="VME19" s="501"/>
      <c r="VMF19" s="501"/>
      <c r="VMG19" s="501"/>
      <c r="VMH19" s="501"/>
      <c r="VMI19" s="501"/>
      <c r="VMJ19" s="501"/>
      <c r="VMK19" s="501"/>
      <c r="VML19" s="501"/>
      <c r="VMM19" s="501"/>
      <c r="VMN19" s="501"/>
      <c r="VMO19" s="501"/>
      <c r="VMP19" s="501"/>
      <c r="VMQ19" s="501"/>
      <c r="VMR19" s="501"/>
      <c r="VMS19" s="501"/>
      <c r="VMT19" s="501"/>
      <c r="VMU19" s="501"/>
      <c r="VMV19" s="501"/>
      <c r="VMW19" s="501"/>
      <c r="VMX19" s="501"/>
      <c r="VMY19" s="501"/>
      <c r="VMZ19" s="501"/>
      <c r="VNA19" s="501"/>
      <c r="VNB19" s="501"/>
      <c r="VNC19" s="501"/>
      <c r="VND19" s="501"/>
      <c r="VNE19" s="501"/>
      <c r="VNF19" s="501"/>
      <c r="VNG19" s="501"/>
      <c r="VNH19" s="501"/>
      <c r="VNI19" s="501"/>
      <c r="VNJ19" s="501"/>
      <c r="VNK19" s="501"/>
      <c r="VNL19" s="501"/>
      <c r="VNM19" s="501"/>
      <c r="VNN19" s="501"/>
      <c r="VNO19" s="501"/>
      <c r="VNP19" s="501"/>
      <c r="VNQ19" s="501"/>
      <c r="VNR19" s="501"/>
      <c r="VNS19" s="501"/>
      <c r="VNT19" s="501"/>
      <c r="VNU19" s="501"/>
      <c r="VNV19" s="501"/>
      <c r="VNW19" s="501"/>
      <c r="VNX19" s="501"/>
      <c r="VNY19" s="501"/>
      <c r="VNZ19" s="501"/>
      <c r="VOA19" s="501"/>
      <c r="VOB19" s="501"/>
      <c r="VOC19" s="501"/>
      <c r="VOD19" s="501"/>
      <c r="VOE19" s="501"/>
      <c r="VOF19" s="501"/>
      <c r="VOG19" s="501"/>
      <c r="VOH19" s="501"/>
      <c r="VOI19" s="501"/>
      <c r="VOJ19" s="501"/>
      <c r="VOK19" s="501"/>
      <c r="VOL19" s="501"/>
      <c r="VOM19" s="501"/>
      <c r="VON19" s="501"/>
      <c r="VOO19" s="501"/>
      <c r="VOP19" s="501"/>
      <c r="VOQ19" s="501"/>
      <c r="VOR19" s="501"/>
      <c r="VOS19" s="501"/>
      <c r="VOT19" s="501"/>
      <c r="VOU19" s="501"/>
      <c r="VOV19" s="501"/>
      <c r="VOW19" s="501"/>
      <c r="VOX19" s="501"/>
      <c r="VOY19" s="501"/>
      <c r="VOZ19" s="501"/>
      <c r="VPA19" s="501"/>
      <c r="VPB19" s="501"/>
      <c r="VPC19" s="501"/>
      <c r="VPD19" s="501"/>
      <c r="VPE19" s="501"/>
      <c r="VPF19" s="501"/>
      <c r="VPG19" s="501"/>
      <c r="VPH19" s="501"/>
      <c r="VPI19" s="501"/>
      <c r="VPJ19" s="501"/>
      <c r="VPK19" s="501"/>
      <c r="VPL19" s="501"/>
      <c r="VPM19" s="501"/>
      <c r="VPN19" s="501"/>
      <c r="VPO19" s="501"/>
      <c r="VPP19" s="501"/>
      <c r="VPQ19" s="501"/>
      <c r="VPR19" s="501"/>
      <c r="VPS19" s="501"/>
      <c r="VPT19" s="501"/>
      <c r="VPU19" s="501"/>
      <c r="VPV19" s="501"/>
      <c r="VPW19" s="501"/>
      <c r="VPX19" s="501"/>
      <c r="VPY19" s="501"/>
      <c r="VPZ19" s="501"/>
      <c r="VQA19" s="501"/>
      <c r="VQB19" s="501"/>
      <c r="VQC19" s="501"/>
      <c r="VQD19" s="501"/>
      <c r="VQE19" s="501"/>
      <c r="VQF19" s="501"/>
      <c r="VQG19" s="501"/>
      <c r="VQH19" s="501"/>
      <c r="VQI19" s="501"/>
      <c r="VQJ19" s="501"/>
      <c r="VQK19" s="501"/>
      <c r="VQL19" s="501"/>
      <c r="VQM19" s="501"/>
      <c r="VQN19" s="501"/>
      <c r="VQO19" s="501"/>
      <c r="VQP19" s="501"/>
      <c r="VQQ19" s="501"/>
      <c r="VQR19" s="501"/>
      <c r="VQS19" s="501"/>
      <c r="VQT19" s="501"/>
      <c r="VQU19" s="501"/>
      <c r="VQV19" s="501"/>
      <c r="VQW19" s="501"/>
      <c r="VQX19" s="501"/>
      <c r="VQY19" s="501"/>
      <c r="VQZ19" s="501"/>
      <c r="VRA19" s="501"/>
      <c r="VRB19" s="501"/>
      <c r="VRC19" s="501"/>
      <c r="VRD19" s="501"/>
      <c r="VRE19" s="501"/>
      <c r="VRF19" s="501"/>
      <c r="VRG19" s="501"/>
      <c r="VRH19" s="501"/>
      <c r="VRI19" s="501"/>
      <c r="VRJ19" s="501"/>
      <c r="VRK19" s="501"/>
      <c r="VRL19" s="501"/>
      <c r="VRM19" s="501"/>
      <c r="VRN19" s="501"/>
      <c r="VRO19" s="501"/>
      <c r="VRP19" s="501"/>
      <c r="VRQ19" s="501"/>
      <c r="VRR19" s="501"/>
      <c r="VRS19" s="501"/>
      <c r="VRT19" s="501"/>
      <c r="VRU19" s="501"/>
      <c r="VRV19" s="501"/>
      <c r="VRW19" s="501"/>
      <c r="VRX19" s="501"/>
      <c r="VRY19" s="501"/>
      <c r="VRZ19" s="501"/>
      <c r="VSA19" s="501"/>
      <c r="VSB19" s="501"/>
      <c r="VSC19" s="501"/>
      <c r="VSD19" s="501"/>
      <c r="VSE19" s="501"/>
      <c r="VSF19" s="501"/>
      <c r="VSG19" s="501"/>
      <c r="VSH19" s="501"/>
      <c r="VSI19" s="501"/>
      <c r="VSJ19" s="501"/>
      <c r="VSK19" s="501"/>
      <c r="VSL19" s="501"/>
      <c r="VSM19" s="501"/>
      <c r="VSN19" s="501"/>
      <c r="VSO19" s="501"/>
      <c r="VSP19" s="501"/>
      <c r="VSQ19" s="501"/>
      <c r="VSR19" s="501"/>
      <c r="VSS19" s="501"/>
      <c r="VST19" s="501"/>
      <c r="VSU19" s="501"/>
      <c r="VSV19" s="501"/>
      <c r="VSW19" s="501"/>
      <c r="VSX19" s="501"/>
      <c r="VSY19" s="501"/>
      <c r="VSZ19" s="501"/>
      <c r="VTA19" s="501"/>
      <c r="VTB19" s="501"/>
      <c r="VTC19" s="501"/>
      <c r="VTD19" s="501"/>
      <c r="VTE19" s="501"/>
      <c r="VTF19" s="501"/>
      <c r="VTG19" s="501"/>
      <c r="VTH19" s="501"/>
      <c r="VTI19" s="501"/>
      <c r="VTJ19" s="501"/>
      <c r="VTK19" s="501"/>
      <c r="VTL19" s="501"/>
      <c r="VTM19" s="501"/>
      <c r="VTN19" s="501"/>
      <c r="VTO19" s="501"/>
      <c r="VTP19" s="501"/>
      <c r="VTQ19" s="501"/>
      <c r="VTR19" s="501"/>
      <c r="VTS19" s="501"/>
      <c r="VTT19" s="501"/>
      <c r="VTU19" s="501"/>
      <c r="VTV19" s="501"/>
      <c r="VTW19" s="501"/>
      <c r="VTX19" s="501"/>
      <c r="VTY19" s="501"/>
      <c r="VTZ19" s="501"/>
      <c r="VUA19" s="501"/>
      <c r="VUB19" s="501"/>
      <c r="VUC19" s="501"/>
      <c r="VUD19" s="501"/>
      <c r="VUE19" s="501"/>
      <c r="VUF19" s="501"/>
      <c r="VUG19" s="501"/>
      <c r="VUH19" s="501"/>
      <c r="VUI19" s="501"/>
      <c r="VUJ19" s="501"/>
      <c r="VUK19" s="501"/>
      <c r="VUL19" s="501"/>
      <c r="VUM19" s="501"/>
      <c r="VUN19" s="501"/>
      <c r="VUO19" s="501"/>
      <c r="VUP19" s="501"/>
      <c r="VUQ19" s="501"/>
      <c r="VUR19" s="501"/>
      <c r="VUS19" s="501"/>
      <c r="VUT19" s="501"/>
      <c r="VUU19" s="501"/>
      <c r="VUV19" s="501"/>
      <c r="VUW19" s="501"/>
      <c r="VUX19" s="501"/>
      <c r="VUY19" s="501"/>
      <c r="VUZ19" s="501"/>
      <c r="VVA19" s="501"/>
      <c r="VVB19" s="501"/>
      <c r="VVC19" s="501"/>
      <c r="VVD19" s="501"/>
      <c r="VVE19" s="501"/>
      <c r="VVF19" s="501"/>
      <c r="VVG19" s="501"/>
      <c r="VVH19" s="501"/>
      <c r="VVI19" s="501"/>
      <c r="VVJ19" s="501"/>
      <c r="VVK19" s="501"/>
      <c r="VVL19" s="501"/>
      <c r="VVM19" s="501"/>
      <c r="VVN19" s="501"/>
      <c r="VVO19" s="501"/>
      <c r="VVP19" s="501"/>
      <c r="VVQ19" s="501"/>
      <c r="VVR19" s="501"/>
      <c r="VVS19" s="501"/>
      <c r="VVT19" s="501"/>
      <c r="VVU19" s="501"/>
      <c r="VVV19" s="501"/>
      <c r="VVW19" s="501"/>
      <c r="VVX19" s="501"/>
      <c r="VVY19" s="501"/>
      <c r="VVZ19" s="501"/>
      <c r="VWA19" s="501"/>
      <c r="VWB19" s="501"/>
      <c r="VWC19" s="501"/>
      <c r="VWD19" s="501"/>
      <c r="VWE19" s="501"/>
      <c r="VWF19" s="501"/>
      <c r="VWG19" s="501"/>
      <c r="VWH19" s="501"/>
      <c r="VWI19" s="501"/>
      <c r="VWJ19" s="501"/>
      <c r="VWK19" s="501"/>
      <c r="VWL19" s="501"/>
      <c r="VWM19" s="501"/>
      <c r="VWN19" s="501"/>
      <c r="VWO19" s="501"/>
      <c r="VWP19" s="501"/>
      <c r="VWQ19" s="501"/>
      <c r="VWR19" s="501"/>
      <c r="VWS19" s="501"/>
      <c r="VWT19" s="501"/>
      <c r="VWU19" s="501"/>
      <c r="VWV19" s="501"/>
      <c r="VWW19" s="501"/>
      <c r="VWX19" s="501"/>
      <c r="VWY19" s="501"/>
      <c r="VWZ19" s="501"/>
      <c r="VXA19" s="501"/>
      <c r="VXB19" s="501"/>
      <c r="VXC19" s="501"/>
      <c r="VXD19" s="501"/>
      <c r="VXE19" s="501"/>
      <c r="VXF19" s="501"/>
      <c r="VXG19" s="501"/>
      <c r="VXH19" s="501"/>
      <c r="VXI19" s="501"/>
      <c r="VXJ19" s="501"/>
      <c r="VXK19" s="501"/>
      <c r="VXL19" s="501"/>
      <c r="VXM19" s="501"/>
      <c r="VXN19" s="501"/>
      <c r="VXO19" s="501"/>
      <c r="VXP19" s="501"/>
      <c r="VXQ19" s="501"/>
      <c r="VXR19" s="501"/>
      <c r="VXS19" s="501"/>
      <c r="VXT19" s="501"/>
      <c r="VXU19" s="501"/>
      <c r="VXV19" s="501"/>
      <c r="VXW19" s="501"/>
      <c r="VXX19" s="501"/>
      <c r="VXY19" s="501"/>
      <c r="VXZ19" s="501"/>
      <c r="VYA19" s="501"/>
      <c r="VYB19" s="501"/>
      <c r="VYC19" s="501"/>
      <c r="VYD19" s="501"/>
      <c r="VYE19" s="501"/>
      <c r="VYF19" s="501"/>
      <c r="VYG19" s="501"/>
      <c r="VYH19" s="501"/>
      <c r="VYI19" s="501"/>
      <c r="VYJ19" s="501"/>
      <c r="VYK19" s="501"/>
      <c r="VYL19" s="501"/>
      <c r="VYM19" s="501"/>
      <c r="VYN19" s="501"/>
      <c r="VYO19" s="501"/>
      <c r="VYP19" s="501"/>
      <c r="VYQ19" s="501"/>
      <c r="VYR19" s="501"/>
      <c r="VYS19" s="501"/>
      <c r="VYT19" s="501"/>
      <c r="VYU19" s="501"/>
      <c r="VYV19" s="501"/>
      <c r="VYW19" s="501"/>
      <c r="VYX19" s="501"/>
      <c r="VYY19" s="501"/>
      <c r="VYZ19" s="501"/>
      <c r="VZA19" s="501"/>
      <c r="VZB19" s="501"/>
      <c r="VZC19" s="501"/>
      <c r="VZD19" s="501"/>
      <c r="VZE19" s="501"/>
      <c r="VZF19" s="501"/>
      <c r="VZG19" s="501"/>
      <c r="VZH19" s="501"/>
      <c r="VZI19" s="501"/>
      <c r="VZJ19" s="501"/>
      <c r="VZK19" s="501"/>
      <c r="VZL19" s="501"/>
      <c r="VZM19" s="501"/>
      <c r="VZN19" s="501"/>
      <c r="VZO19" s="501"/>
      <c r="VZP19" s="501"/>
      <c r="VZQ19" s="501"/>
      <c r="VZR19" s="501"/>
      <c r="VZS19" s="501"/>
      <c r="VZT19" s="501"/>
      <c r="VZU19" s="501"/>
      <c r="VZV19" s="501"/>
      <c r="VZW19" s="501"/>
      <c r="VZX19" s="501"/>
      <c r="VZY19" s="501"/>
      <c r="VZZ19" s="501"/>
      <c r="WAA19" s="501"/>
      <c r="WAB19" s="501"/>
      <c r="WAC19" s="501"/>
      <c r="WAD19" s="501"/>
      <c r="WAE19" s="501"/>
      <c r="WAF19" s="501"/>
      <c r="WAG19" s="501"/>
      <c r="WAH19" s="501"/>
      <c r="WAI19" s="501"/>
      <c r="WAJ19" s="501"/>
      <c r="WAK19" s="501"/>
      <c r="WAL19" s="501"/>
      <c r="WAM19" s="501"/>
      <c r="WAN19" s="501"/>
      <c r="WAO19" s="501"/>
      <c r="WAP19" s="501"/>
      <c r="WAQ19" s="501"/>
      <c r="WAR19" s="501"/>
      <c r="WAS19" s="501"/>
      <c r="WAT19" s="501"/>
      <c r="WAU19" s="501"/>
      <c r="WAV19" s="501"/>
      <c r="WAW19" s="501"/>
      <c r="WAX19" s="501"/>
      <c r="WAY19" s="501"/>
      <c r="WAZ19" s="501"/>
      <c r="WBA19" s="501"/>
      <c r="WBB19" s="501"/>
      <c r="WBC19" s="501"/>
      <c r="WBD19" s="501"/>
      <c r="WBE19" s="501"/>
      <c r="WBF19" s="501"/>
      <c r="WBG19" s="501"/>
      <c r="WBH19" s="501"/>
      <c r="WBI19" s="501"/>
      <c r="WBJ19" s="501"/>
      <c r="WBK19" s="501"/>
      <c r="WBL19" s="501"/>
      <c r="WBM19" s="501"/>
      <c r="WBN19" s="501"/>
      <c r="WBO19" s="501"/>
      <c r="WBP19" s="501"/>
      <c r="WBQ19" s="501"/>
      <c r="WBR19" s="501"/>
      <c r="WBS19" s="501"/>
      <c r="WBT19" s="501"/>
      <c r="WBU19" s="501"/>
      <c r="WBV19" s="501"/>
      <c r="WBW19" s="501"/>
      <c r="WBX19" s="501"/>
      <c r="WBY19" s="501"/>
      <c r="WBZ19" s="501"/>
      <c r="WCA19" s="501"/>
      <c r="WCB19" s="501"/>
      <c r="WCC19" s="501"/>
      <c r="WCD19" s="501"/>
      <c r="WCE19" s="501"/>
      <c r="WCF19" s="501"/>
      <c r="WCG19" s="501"/>
      <c r="WCH19" s="501"/>
      <c r="WCI19" s="501"/>
      <c r="WCJ19" s="501"/>
      <c r="WCK19" s="501"/>
      <c r="WCL19" s="501"/>
      <c r="WCM19" s="501"/>
      <c r="WCN19" s="501"/>
      <c r="WCO19" s="501"/>
      <c r="WCP19" s="501"/>
      <c r="WCQ19" s="501"/>
      <c r="WCR19" s="501"/>
      <c r="WCS19" s="501"/>
      <c r="WCT19" s="501"/>
      <c r="WCU19" s="501"/>
      <c r="WCV19" s="501"/>
      <c r="WCW19" s="501"/>
      <c r="WCX19" s="501"/>
      <c r="WCY19" s="501"/>
      <c r="WCZ19" s="501"/>
      <c r="WDA19" s="501"/>
      <c r="WDB19" s="501"/>
      <c r="WDC19" s="501"/>
      <c r="WDD19" s="501"/>
      <c r="WDE19" s="501"/>
      <c r="WDF19" s="501"/>
      <c r="WDG19" s="501"/>
      <c r="WDH19" s="501"/>
      <c r="WDI19" s="501"/>
      <c r="WDJ19" s="501"/>
      <c r="WDK19" s="501"/>
      <c r="WDL19" s="501"/>
      <c r="WDM19" s="501"/>
      <c r="WDN19" s="501"/>
      <c r="WDO19" s="501"/>
      <c r="WDP19" s="501"/>
      <c r="WDQ19" s="501"/>
      <c r="WDR19" s="501"/>
      <c r="WDS19" s="501"/>
      <c r="WDT19" s="501"/>
      <c r="WDU19" s="501"/>
      <c r="WDV19" s="501"/>
      <c r="WDW19" s="501"/>
      <c r="WDX19" s="501"/>
      <c r="WDY19" s="501"/>
      <c r="WDZ19" s="501"/>
      <c r="WEA19" s="501"/>
      <c r="WEB19" s="501"/>
      <c r="WEC19" s="501"/>
      <c r="WED19" s="501"/>
      <c r="WEE19" s="501"/>
      <c r="WEF19" s="501"/>
      <c r="WEG19" s="501"/>
      <c r="WEH19" s="501"/>
      <c r="WEI19" s="501"/>
      <c r="WEJ19" s="501"/>
      <c r="WEK19" s="501"/>
      <c r="WEL19" s="501"/>
      <c r="WEM19" s="501"/>
      <c r="WEN19" s="501"/>
      <c r="WEO19" s="501"/>
      <c r="WEP19" s="501"/>
      <c r="WEQ19" s="501"/>
      <c r="WER19" s="501"/>
      <c r="WES19" s="501"/>
      <c r="WET19" s="501"/>
      <c r="WEU19" s="501"/>
      <c r="WEV19" s="501"/>
      <c r="WEW19" s="501"/>
      <c r="WEX19" s="501"/>
      <c r="WEY19" s="501"/>
      <c r="WEZ19" s="501"/>
      <c r="WFA19" s="501"/>
      <c r="WFB19" s="501"/>
      <c r="WFC19" s="501"/>
      <c r="WFD19" s="501"/>
      <c r="WFE19" s="501"/>
      <c r="WFF19" s="501"/>
      <c r="WFG19" s="501"/>
      <c r="WFH19" s="501"/>
      <c r="WFI19" s="501"/>
      <c r="WFJ19" s="501"/>
      <c r="WFK19" s="501"/>
      <c r="WFL19" s="501"/>
      <c r="WFM19" s="501"/>
      <c r="WFN19" s="501"/>
      <c r="WFO19" s="501"/>
      <c r="WFP19" s="501"/>
      <c r="WFQ19" s="501"/>
      <c r="WFR19" s="501"/>
      <c r="WFS19" s="501"/>
      <c r="WFT19" s="501"/>
      <c r="WFU19" s="501"/>
      <c r="WFV19" s="501"/>
      <c r="WFW19" s="501"/>
      <c r="WFX19" s="501"/>
      <c r="WFY19" s="501"/>
      <c r="WFZ19" s="501"/>
      <c r="WGA19" s="501"/>
      <c r="WGB19" s="501"/>
      <c r="WGC19" s="501"/>
      <c r="WGD19" s="501"/>
      <c r="WGE19" s="501"/>
      <c r="WGF19" s="501"/>
      <c r="WGG19" s="501"/>
      <c r="WGH19" s="501"/>
      <c r="WGI19" s="501"/>
      <c r="WGJ19" s="501"/>
      <c r="WGK19" s="501"/>
      <c r="WGL19" s="501"/>
      <c r="WGM19" s="501"/>
      <c r="WGN19" s="501"/>
      <c r="WGO19" s="501"/>
      <c r="WGP19" s="501"/>
      <c r="WGQ19" s="501"/>
      <c r="WGR19" s="501"/>
      <c r="WGS19" s="501"/>
      <c r="WGT19" s="501"/>
      <c r="WGU19" s="501"/>
      <c r="WGV19" s="501"/>
      <c r="WGW19" s="501"/>
      <c r="WGX19" s="501"/>
      <c r="WGY19" s="501"/>
      <c r="WGZ19" s="501"/>
      <c r="WHA19" s="501"/>
      <c r="WHB19" s="501"/>
      <c r="WHC19" s="501"/>
      <c r="WHD19" s="501"/>
      <c r="WHE19" s="501"/>
      <c r="WHF19" s="501"/>
      <c r="WHG19" s="501"/>
      <c r="WHH19" s="501"/>
      <c r="WHI19" s="501"/>
      <c r="WHJ19" s="501"/>
      <c r="WHK19" s="501"/>
      <c r="WHL19" s="501"/>
      <c r="WHM19" s="501"/>
      <c r="WHN19" s="501"/>
      <c r="WHO19" s="501"/>
      <c r="WHP19" s="501"/>
      <c r="WHQ19" s="501"/>
      <c r="WHR19" s="501"/>
      <c r="WHS19" s="501"/>
      <c r="WHT19" s="501"/>
      <c r="WHU19" s="501"/>
      <c r="WHV19" s="501"/>
      <c r="WHW19" s="501"/>
      <c r="WHX19" s="501"/>
      <c r="WHY19" s="501"/>
      <c r="WHZ19" s="501"/>
      <c r="WIA19" s="501"/>
      <c r="WIB19" s="501"/>
      <c r="WIC19" s="501"/>
      <c r="WID19" s="501"/>
      <c r="WIE19" s="501"/>
      <c r="WIF19" s="501"/>
      <c r="WIG19" s="501"/>
      <c r="WIH19" s="501"/>
      <c r="WII19" s="501"/>
      <c r="WIJ19" s="501"/>
      <c r="WIK19" s="501"/>
      <c r="WIL19" s="501"/>
      <c r="WIM19" s="501"/>
      <c r="WIN19" s="501"/>
      <c r="WIO19" s="501"/>
      <c r="WIP19" s="501"/>
      <c r="WIQ19" s="501"/>
      <c r="WIR19" s="501"/>
      <c r="WIS19" s="501"/>
      <c r="WIT19" s="501"/>
      <c r="WIU19" s="501"/>
      <c r="WIV19" s="501"/>
      <c r="WIW19" s="501"/>
      <c r="WIX19" s="501"/>
      <c r="WIY19" s="501"/>
      <c r="WIZ19" s="501"/>
      <c r="WJA19" s="501"/>
      <c r="WJB19" s="501"/>
      <c r="WJC19" s="501"/>
      <c r="WJD19" s="501"/>
      <c r="WJE19" s="501"/>
      <c r="WJF19" s="501"/>
      <c r="WJG19" s="501"/>
      <c r="WJH19" s="501"/>
      <c r="WJI19" s="501"/>
      <c r="WJJ19" s="501"/>
      <c r="WJK19" s="501"/>
      <c r="WJL19" s="501"/>
      <c r="WJM19" s="501"/>
      <c r="WJN19" s="501"/>
      <c r="WJO19" s="501"/>
      <c r="WJP19" s="501"/>
      <c r="WJQ19" s="501"/>
      <c r="WJR19" s="501"/>
      <c r="WJS19" s="501"/>
      <c r="WJT19" s="501"/>
      <c r="WJU19" s="501"/>
      <c r="WJV19" s="501"/>
      <c r="WJW19" s="501"/>
      <c r="WJX19" s="501"/>
      <c r="WJY19" s="501"/>
      <c r="WJZ19" s="501"/>
      <c r="WKA19" s="501"/>
      <c r="WKB19" s="501"/>
      <c r="WKC19" s="501"/>
      <c r="WKD19" s="501"/>
      <c r="WKE19" s="501"/>
      <c r="WKF19" s="501"/>
      <c r="WKG19" s="501"/>
      <c r="WKH19" s="501"/>
      <c r="WKI19" s="501"/>
      <c r="WKJ19" s="501"/>
      <c r="WKK19" s="501"/>
      <c r="WKL19" s="501"/>
      <c r="WKM19" s="501"/>
      <c r="WKN19" s="501"/>
      <c r="WKO19" s="501"/>
      <c r="WKP19" s="501"/>
      <c r="WKQ19" s="501"/>
      <c r="WKR19" s="501"/>
      <c r="WKS19" s="501"/>
      <c r="WKT19" s="501"/>
      <c r="WKU19" s="501"/>
      <c r="WKV19" s="501"/>
      <c r="WKW19" s="501"/>
      <c r="WKX19" s="501"/>
      <c r="WKY19" s="501"/>
      <c r="WKZ19" s="501"/>
      <c r="WLA19" s="501"/>
      <c r="WLB19" s="501"/>
      <c r="WLC19" s="501"/>
      <c r="WLD19" s="501"/>
      <c r="WLE19" s="501"/>
      <c r="WLF19" s="501"/>
      <c r="WLG19" s="501"/>
      <c r="WLH19" s="501"/>
      <c r="WLI19" s="501"/>
      <c r="WLJ19" s="501"/>
      <c r="WLK19" s="501"/>
      <c r="WLL19" s="501"/>
      <c r="WLM19" s="501"/>
      <c r="WLN19" s="501"/>
      <c r="WLO19" s="501"/>
      <c r="WLP19" s="501"/>
      <c r="WLQ19" s="501"/>
      <c r="WLR19" s="501"/>
      <c r="WLS19" s="501"/>
      <c r="WLT19" s="501"/>
      <c r="WLU19" s="501"/>
      <c r="WLV19" s="501"/>
      <c r="WLW19" s="501"/>
      <c r="WLX19" s="501"/>
      <c r="WLY19" s="501"/>
      <c r="WLZ19" s="501"/>
      <c r="WMA19" s="501"/>
      <c r="WMB19" s="501"/>
      <c r="WMC19" s="501"/>
      <c r="WMD19" s="501"/>
      <c r="WME19" s="501"/>
      <c r="WMF19" s="501"/>
      <c r="WMG19" s="501"/>
      <c r="WMH19" s="501"/>
      <c r="WMI19" s="501"/>
      <c r="WMJ19" s="501"/>
      <c r="WMK19" s="501"/>
      <c r="WML19" s="501"/>
      <c r="WMM19" s="501"/>
      <c r="WMN19" s="501"/>
      <c r="WMO19" s="501"/>
      <c r="WMP19" s="501"/>
      <c r="WMQ19" s="501"/>
      <c r="WMR19" s="501"/>
      <c r="WMS19" s="501"/>
      <c r="WMT19" s="501"/>
      <c r="WMU19" s="501"/>
      <c r="WMV19" s="501"/>
      <c r="WMW19" s="501"/>
      <c r="WMX19" s="501"/>
      <c r="WMY19" s="501"/>
      <c r="WMZ19" s="501"/>
      <c r="WNA19" s="501"/>
      <c r="WNB19" s="501"/>
      <c r="WNC19" s="501"/>
      <c r="WND19" s="501"/>
      <c r="WNE19" s="501"/>
      <c r="WNF19" s="501"/>
      <c r="WNG19" s="501"/>
      <c r="WNH19" s="501"/>
      <c r="WNI19" s="501"/>
      <c r="WNJ19" s="501"/>
      <c r="WNK19" s="501"/>
      <c r="WNL19" s="501"/>
      <c r="WNM19" s="501"/>
      <c r="WNN19" s="501"/>
      <c r="WNO19" s="501"/>
      <c r="WNP19" s="501"/>
      <c r="WNQ19" s="501"/>
      <c r="WNR19" s="501"/>
      <c r="WNS19" s="501"/>
      <c r="WNT19" s="501"/>
      <c r="WNU19" s="501"/>
      <c r="WNV19" s="501"/>
      <c r="WNW19" s="501"/>
      <c r="WNX19" s="501"/>
      <c r="WNY19" s="501"/>
      <c r="WNZ19" s="501"/>
      <c r="WOA19" s="501"/>
      <c r="WOB19" s="501"/>
      <c r="WOC19" s="501"/>
      <c r="WOD19" s="501"/>
      <c r="WOE19" s="501"/>
      <c r="WOF19" s="501"/>
      <c r="WOG19" s="501"/>
      <c r="WOH19" s="501"/>
      <c r="WOI19" s="501"/>
      <c r="WOJ19" s="501"/>
      <c r="WOK19" s="501"/>
      <c r="WOL19" s="501"/>
      <c r="WOM19" s="501"/>
      <c r="WON19" s="501"/>
      <c r="WOO19" s="501"/>
      <c r="WOP19" s="501"/>
      <c r="WOQ19" s="501"/>
      <c r="WOR19" s="501"/>
      <c r="WOS19" s="501"/>
      <c r="WOT19" s="501"/>
      <c r="WOU19" s="501"/>
      <c r="WOV19" s="501"/>
      <c r="WOW19" s="501"/>
      <c r="WOX19" s="501"/>
      <c r="WOY19" s="501"/>
      <c r="WOZ19" s="501"/>
      <c r="WPA19" s="501"/>
      <c r="WPB19" s="501"/>
      <c r="WPC19" s="501"/>
      <c r="WPD19" s="501"/>
      <c r="WPE19" s="501"/>
      <c r="WPF19" s="501"/>
      <c r="WPG19" s="501"/>
      <c r="WPH19" s="501"/>
      <c r="WPI19" s="501"/>
      <c r="WPJ19" s="501"/>
      <c r="WPK19" s="501"/>
      <c r="WPL19" s="501"/>
      <c r="WPM19" s="501"/>
      <c r="WPN19" s="501"/>
      <c r="WPO19" s="501"/>
      <c r="WPP19" s="501"/>
      <c r="WPQ19" s="501"/>
      <c r="WPR19" s="501"/>
      <c r="WPS19" s="501"/>
      <c r="WPT19" s="501"/>
      <c r="WPU19" s="501"/>
      <c r="WPV19" s="501"/>
      <c r="WPW19" s="501"/>
      <c r="WPX19" s="501"/>
      <c r="WPY19" s="501"/>
      <c r="WPZ19" s="501"/>
      <c r="WQA19" s="501"/>
      <c r="WQB19" s="501"/>
      <c r="WQC19" s="501"/>
      <c r="WQD19" s="501"/>
      <c r="WQE19" s="501"/>
      <c r="WQF19" s="501"/>
      <c r="WQG19" s="501"/>
      <c r="WQH19" s="501"/>
      <c r="WQI19" s="501"/>
      <c r="WQJ19" s="501"/>
      <c r="WQK19" s="501"/>
      <c r="WQL19" s="501"/>
      <c r="WQM19" s="501"/>
      <c r="WQN19" s="501"/>
      <c r="WQO19" s="501"/>
      <c r="WQP19" s="501"/>
      <c r="WQQ19" s="501"/>
      <c r="WQR19" s="501"/>
      <c r="WQS19" s="501"/>
      <c r="WQT19" s="501"/>
      <c r="WQU19" s="501"/>
      <c r="WQV19" s="501"/>
      <c r="WQW19" s="501"/>
      <c r="WQX19" s="501"/>
      <c r="WQY19" s="501"/>
      <c r="WQZ19" s="501"/>
      <c r="WRA19" s="501"/>
      <c r="WRB19" s="501"/>
      <c r="WRC19" s="501"/>
      <c r="WRD19" s="501"/>
      <c r="WRE19" s="501"/>
      <c r="WRF19" s="501"/>
      <c r="WRG19" s="501"/>
      <c r="WRH19" s="501"/>
      <c r="WRI19" s="501"/>
      <c r="WRJ19" s="501"/>
      <c r="WRK19" s="501"/>
      <c r="WRL19" s="501"/>
      <c r="WRM19" s="501"/>
      <c r="WRN19" s="501"/>
      <c r="WRO19" s="501"/>
      <c r="WRP19" s="501"/>
      <c r="WRQ19" s="501"/>
      <c r="WRR19" s="501"/>
      <c r="WRS19" s="501"/>
      <c r="WRT19" s="501"/>
      <c r="WRU19" s="501"/>
      <c r="WRV19" s="501"/>
      <c r="WRW19" s="501"/>
      <c r="WRX19" s="501"/>
      <c r="WRY19" s="501"/>
      <c r="WRZ19" s="501"/>
      <c r="WSA19" s="501"/>
      <c r="WSB19" s="501"/>
      <c r="WSC19" s="501"/>
      <c r="WSD19" s="501"/>
      <c r="WSE19" s="501"/>
      <c r="WSF19" s="501"/>
      <c r="WSG19" s="501"/>
      <c r="WSH19" s="501"/>
      <c r="WSI19" s="501"/>
      <c r="WSJ19" s="501"/>
      <c r="WSK19" s="501"/>
      <c r="WSL19" s="501"/>
      <c r="WSM19" s="501"/>
      <c r="WSN19" s="501"/>
      <c r="WSO19" s="501"/>
      <c r="WSP19" s="501"/>
      <c r="WSQ19" s="501"/>
      <c r="WSR19" s="501"/>
      <c r="WSS19" s="501"/>
      <c r="WST19" s="501"/>
      <c r="WSU19" s="501"/>
      <c r="WSV19" s="501"/>
      <c r="WSW19" s="501"/>
      <c r="WSX19" s="501"/>
      <c r="WSY19" s="501"/>
      <c r="WSZ19" s="501"/>
      <c r="WTA19" s="501"/>
      <c r="WTB19" s="501"/>
      <c r="WTC19" s="501"/>
      <c r="WTD19" s="501"/>
      <c r="WTE19" s="501"/>
      <c r="WTF19" s="501"/>
      <c r="WTG19" s="501"/>
      <c r="WTH19" s="501"/>
      <c r="WTI19" s="501"/>
      <c r="WTJ19" s="501"/>
      <c r="WTK19" s="501"/>
      <c r="WTL19" s="501"/>
      <c r="WTM19" s="501"/>
      <c r="WTN19" s="501"/>
      <c r="WTO19" s="501"/>
      <c r="WTP19" s="501"/>
      <c r="WTQ19" s="501"/>
      <c r="WTR19" s="501"/>
      <c r="WTS19" s="501"/>
      <c r="WTT19" s="501"/>
      <c r="WTU19" s="501"/>
      <c r="WTV19" s="501"/>
      <c r="WTW19" s="501"/>
      <c r="WTX19" s="501"/>
      <c r="WTY19" s="501"/>
      <c r="WTZ19" s="501"/>
      <c r="WUA19" s="501"/>
      <c r="WUB19" s="501"/>
      <c r="WUC19" s="501"/>
      <c r="WUD19" s="501"/>
      <c r="WUE19" s="501"/>
      <c r="WUF19" s="501"/>
      <c r="WUG19" s="501"/>
      <c r="WUH19" s="501"/>
      <c r="WUI19" s="501"/>
      <c r="WUJ19" s="501"/>
      <c r="WUK19" s="501"/>
      <c r="WUL19" s="501"/>
      <c r="WUM19" s="501"/>
      <c r="WUN19" s="501"/>
      <c r="WUO19" s="501"/>
      <c r="WUP19" s="501"/>
      <c r="WUQ19" s="501"/>
      <c r="WUR19" s="501"/>
      <c r="WUS19" s="501"/>
      <c r="WUT19" s="501"/>
      <c r="WUU19" s="501"/>
      <c r="WUV19" s="501"/>
      <c r="WUW19" s="501"/>
      <c r="WUX19" s="501"/>
      <c r="WUY19" s="501"/>
      <c r="WUZ19" s="501"/>
      <c r="WVA19" s="501"/>
      <c r="WVB19" s="501"/>
      <c r="WVC19" s="501"/>
      <c r="WVD19" s="501"/>
      <c r="WVE19" s="501"/>
      <c r="WVF19" s="501"/>
      <c r="WVG19" s="501"/>
      <c r="WVH19" s="501"/>
      <c r="WVI19" s="501"/>
      <c r="WVJ19" s="501"/>
      <c r="WVK19" s="501"/>
      <c r="WVL19" s="501"/>
      <c r="WVM19" s="501"/>
      <c r="WVN19" s="501"/>
      <c r="WVO19" s="501"/>
      <c r="WVP19" s="501"/>
      <c r="WVQ19" s="501"/>
      <c r="WVR19" s="501"/>
      <c r="WVS19" s="501"/>
      <c r="WVT19" s="501"/>
      <c r="WVU19" s="501"/>
      <c r="WVV19" s="501"/>
      <c r="WVW19" s="501"/>
      <c r="WVX19" s="501"/>
      <c r="WVY19" s="501"/>
      <c r="WVZ19" s="501"/>
      <c r="WWA19" s="501"/>
      <c r="WWB19" s="501"/>
      <c r="WWC19" s="501"/>
      <c r="WWD19" s="501"/>
      <c r="WWE19" s="501"/>
      <c r="WWF19" s="501"/>
      <c r="WWG19" s="501"/>
      <c r="WWH19" s="501"/>
      <c r="WWI19" s="501"/>
      <c r="WWJ19" s="501"/>
      <c r="WWK19" s="501"/>
      <c r="WWL19" s="501"/>
      <c r="WWM19" s="501"/>
      <c r="WWN19" s="501"/>
      <c r="WWO19" s="501"/>
      <c r="WWP19" s="501"/>
      <c r="WWQ19" s="501"/>
      <c r="WWR19" s="501"/>
      <c r="WWS19" s="501"/>
      <c r="WWT19" s="501"/>
      <c r="WWU19" s="501"/>
      <c r="WWV19" s="501"/>
      <c r="WWW19" s="501"/>
      <c r="WWX19" s="501"/>
      <c r="WWY19" s="501"/>
      <c r="WWZ19" s="501"/>
      <c r="WXA19" s="501"/>
      <c r="WXB19" s="501"/>
      <c r="WXC19" s="501"/>
      <c r="WXD19" s="501"/>
      <c r="WXE19" s="501"/>
      <c r="WXF19" s="501"/>
      <c r="WXG19" s="501"/>
      <c r="WXH19" s="501"/>
      <c r="WXI19" s="501"/>
      <c r="WXJ19" s="501"/>
      <c r="WXK19" s="501"/>
      <c r="WXL19" s="501"/>
      <c r="WXM19" s="501"/>
      <c r="WXN19" s="501"/>
      <c r="WXO19" s="501"/>
      <c r="WXP19" s="501"/>
      <c r="WXQ19" s="501"/>
      <c r="WXR19" s="501"/>
      <c r="WXS19" s="501"/>
      <c r="WXT19" s="501"/>
      <c r="WXU19" s="501"/>
      <c r="WXV19" s="501"/>
      <c r="WXW19" s="501"/>
      <c r="WXX19" s="501"/>
      <c r="WXY19" s="501"/>
      <c r="WXZ19" s="501"/>
      <c r="WYA19" s="501"/>
      <c r="WYB19" s="501"/>
      <c r="WYC19" s="501"/>
      <c r="WYD19" s="501"/>
      <c r="WYE19" s="501"/>
      <c r="WYF19" s="501"/>
      <c r="WYG19" s="501"/>
      <c r="WYH19" s="501"/>
      <c r="WYI19" s="501"/>
      <c r="WYJ19" s="501"/>
      <c r="WYK19" s="501"/>
      <c r="WYL19" s="501"/>
      <c r="WYM19" s="501"/>
      <c r="WYN19" s="501"/>
      <c r="WYO19" s="501"/>
      <c r="WYP19" s="501"/>
      <c r="WYQ19" s="501"/>
      <c r="WYR19" s="501"/>
      <c r="WYS19" s="501"/>
      <c r="WYT19" s="501"/>
      <c r="WYU19" s="501"/>
      <c r="WYV19" s="501"/>
      <c r="WYW19" s="501"/>
      <c r="WYX19" s="501"/>
      <c r="WYY19" s="501"/>
      <c r="WYZ19" s="501"/>
      <c r="WZA19" s="501"/>
      <c r="WZB19" s="501"/>
      <c r="WZC19" s="501"/>
      <c r="WZD19" s="501"/>
      <c r="WZE19" s="501"/>
      <c r="WZF19" s="501"/>
      <c r="WZG19" s="501"/>
      <c r="WZH19" s="501"/>
      <c r="WZI19" s="501"/>
      <c r="WZJ19" s="501"/>
      <c r="WZK19" s="501"/>
      <c r="WZL19" s="501"/>
      <c r="WZM19" s="501"/>
      <c r="WZN19" s="501"/>
      <c r="WZO19" s="501"/>
      <c r="WZP19" s="501"/>
      <c r="WZQ19" s="501"/>
      <c r="WZR19" s="501"/>
      <c r="WZS19" s="501"/>
      <c r="WZT19" s="501"/>
      <c r="WZU19" s="501"/>
      <c r="WZV19" s="501"/>
      <c r="WZW19" s="501"/>
      <c r="WZX19" s="501"/>
      <c r="WZY19" s="501"/>
      <c r="WZZ19" s="501"/>
      <c r="XAA19" s="501"/>
      <c r="XAB19" s="501"/>
      <c r="XAC19" s="501"/>
      <c r="XAD19" s="501"/>
      <c r="XAE19" s="501"/>
      <c r="XAF19" s="501"/>
      <c r="XAG19" s="501"/>
      <c r="XAH19" s="501"/>
      <c r="XAI19" s="501"/>
      <c r="XAJ19" s="501"/>
      <c r="XAK19" s="501"/>
      <c r="XAL19" s="501"/>
      <c r="XAM19" s="501"/>
      <c r="XAN19" s="501"/>
      <c r="XAO19" s="501"/>
      <c r="XAP19" s="501"/>
      <c r="XAQ19" s="501"/>
      <c r="XAR19" s="501"/>
      <c r="XAS19" s="501"/>
      <c r="XAT19" s="501"/>
      <c r="XAU19" s="501"/>
      <c r="XAV19" s="501"/>
      <c r="XAW19" s="501"/>
      <c r="XAX19" s="501"/>
      <c r="XAY19" s="501"/>
      <c r="XAZ19" s="501"/>
      <c r="XBA19" s="501"/>
      <c r="XBB19" s="501"/>
      <c r="XBC19" s="501"/>
      <c r="XBD19" s="501"/>
      <c r="XBE19" s="501"/>
      <c r="XBF19" s="501"/>
      <c r="XBG19" s="501"/>
      <c r="XBH19" s="501"/>
      <c r="XBI19" s="501"/>
      <c r="XBJ19" s="501"/>
      <c r="XBK19" s="501"/>
      <c r="XBL19" s="501"/>
      <c r="XBM19" s="501"/>
      <c r="XBN19" s="501"/>
      <c r="XBO19" s="501"/>
      <c r="XBP19" s="501"/>
      <c r="XBQ19" s="501"/>
      <c r="XBR19" s="501"/>
      <c r="XBS19" s="501"/>
      <c r="XBT19" s="501"/>
      <c r="XBU19" s="501"/>
      <c r="XBV19" s="501"/>
      <c r="XBW19" s="501"/>
      <c r="XBX19" s="501"/>
      <c r="XBY19" s="501"/>
      <c r="XBZ19" s="501"/>
      <c r="XCA19" s="501"/>
      <c r="XCB19" s="501"/>
      <c r="XCC19" s="501"/>
      <c r="XCD19" s="501"/>
      <c r="XCE19" s="501"/>
    </row>
    <row r="20" spans="1:16307" s="26" customFormat="1" x14ac:dyDescent="0.2"/>
    <row r="21" spans="1:16307" s="26" customFormat="1" x14ac:dyDescent="0.2">
      <c r="A21" s="2256" t="s">
        <v>904</v>
      </c>
      <c r="B21" s="2257"/>
      <c r="C21" s="2257"/>
      <c r="D21" s="2257"/>
      <c r="E21" s="2257"/>
      <c r="F21" s="2257"/>
      <c r="G21" s="2257"/>
      <c r="H21" s="2257"/>
      <c r="I21" s="2257"/>
      <c r="J21" s="2257"/>
      <c r="K21" s="2257"/>
      <c r="L21" s="2257"/>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c r="AN21" s="2257"/>
      <c r="AO21" s="2257"/>
      <c r="AP21" s="2257"/>
      <c r="AQ21" s="2257"/>
      <c r="AR21" s="2257"/>
      <c r="AS21" s="2257"/>
      <c r="AT21" s="2257"/>
      <c r="AU21" s="2257"/>
      <c r="AV21" s="2257"/>
      <c r="AW21" s="2257"/>
      <c r="AX21" s="2257"/>
      <c r="AY21" s="2258"/>
    </row>
    <row r="22" spans="1:16307" s="26" customFormat="1" x14ac:dyDescent="0.2">
      <c r="A22" s="824" t="s">
        <v>654</v>
      </c>
      <c r="B22" s="825" t="s">
        <v>655</v>
      </c>
      <c r="C22" s="826">
        <v>40360</v>
      </c>
      <c r="D22" s="826">
        <v>40391</v>
      </c>
      <c r="E22" s="826">
        <v>40422</v>
      </c>
      <c r="F22" s="826">
        <v>40452</v>
      </c>
      <c r="G22" s="826">
        <v>40483</v>
      </c>
      <c r="H22" s="826">
        <v>40513</v>
      </c>
      <c r="I22" s="826">
        <v>40544</v>
      </c>
      <c r="J22" s="826">
        <v>40575</v>
      </c>
      <c r="K22" s="826">
        <v>40603</v>
      </c>
      <c r="L22" s="826">
        <v>40634</v>
      </c>
      <c r="M22" s="826">
        <v>40664</v>
      </c>
      <c r="N22" s="826">
        <v>40695</v>
      </c>
      <c r="O22" s="826">
        <v>40725</v>
      </c>
      <c r="P22" s="826">
        <v>40756</v>
      </c>
      <c r="Q22" s="826">
        <v>40787</v>
      </c>
      <c r="R22" s="826">
        <v>40817</v>
      </c>
      <c r="S22" s="826">
        <v>40848</v>
      </c>
      <c r="T22" s="826">
        <v>40878</v>
      </c>
      <c r="U22" s="826">
        <v>40909</v>
      </c>
      <c r="V22" s="826">
        <v>40940</v>
      </c>
      <c r="W22" s="826">
        <v>40969</v>
      </c>
      <c r="X22" s="826">
        <v>41000</v>
      </c>
      <c r="Y22" s="826">
        <v>41030</v>
      </c>
      <c r="Z22" s="826">
        <v>41061</v>
      </c>
      <c r="AA22" s="826">
        <v>41091</v>
      </c>
      <c r="AB22" s="826">
        <v>41122</v>
      </c>
      <c r="AC22" s="826">
        <v>41153</v>
      </c>
      <c r="AD22" s="826">
        <v>41183</v>
      </c>
      <c r="AE22" s="826">
        <v>41214</v>
      </c>
      <c r="AF22" s="826">
        <v>41244</v>
      </c>
      <c r="AG22" s="826">
        <v>41275</v>
      </c>
      <c r="AH22" s="826">
        <v>41306</v>
      </c>
      <c r="AI22" s="826">
        <v>41334</v>
      </c>
      <c r="AJ22" s="826">
        <v>41365</v>
      </c>
      <c r="AK22" s="826">
        <v>41395</v>
      </c>
      <c r="AL22" s="826">
        <v>41426</v>
      </c>
      <c r="AM22" s="826">
        <v>41456</v>
      </c>
      <c r="AN22" s="826">
        <v>41487</v>
      </c>
      <c r="AO22" s="826">
        <v>41518</v>
      </c>
      <c r="AP22" s="826">
        <v>41548</v>
      </c>
      <c r="AQ22" s="826">
        <v>41579</v>
      </c>
      <c r="AR22" s="826">
        <v>41609</v>
      </c>
      <c r="AS22" s="826">
        <v>41640</v>
      </c>
      <c r="AT22" s="826">
        <v>41671</v>
      </c>
      <c r="AU22" s="826">
        <v>41699</v>
      </c>
      <c r="AV22" s="826">
        <v>41730</v>
      </c>
      <c r="AW22" s="826">
        <v>41760</v>
      </c>
      <c r="AX22" s="826">
        <v>41791</v>
      </c>
      <c r="AY22" s="826">
        <v>41821</v>
      </c>
    </row>
    <row r="23" spans="1:16307" s="500" customFormat="1" x14ac:dyDescent="0.2">
      <c r="A23" s="827" t="s">
        <v>889</v>
      </c>
      <c r="B23" s="828" t="s">
        <v>905</v>
      </c>
      <c r="C23" s="829">
        <v>227000</v>
      </c>
      <c r="D23" s="829">
        <v>183000</v>
      </c>
      <c r="E23" s="829">
        <v>225000</v>
      </c>
      <c r="F23" s="829">
        <v>344000</v>
      </c>
      <c r="G23" s="829">
        <v>215000</v>
      </c>
      <c r="H23" s="829">
        <v>164000</v>
      </c>
      <c r="I23" s="829">
        <v>101000</v>
      </c>
      <c r="J23" s="829">
        <v>391000</v>
      </c>
      <c r="K23" s="829">
        <v>303000</v>
      </c>
      <c r="L23" s="829">
        <v>172000</v>
      </c>
      <c r="M23" s="829">
        <v>150000</v>
      </c>
      <c r="N23" s="829">
        <v>200400</v>
      </c>
      <c r="O23" s="829">
        <v>209000</v>
      </c>
      <c r="P23" s="829">
        <v>258000</v>
      </c>
      <c r="Q23" s="829">
        <v>385000</v>
      </c>
      <c r="R23" s="829">
        <v>387000</v>
      </c>
      <c r="S23" s="829">
        <v>287000</v>
      </c>
      <c r="T23" s="829">
        <v>151000</v>
      </c>
      <c r="U23" s="829">
        <v>196000</v>
      </c>
      <c r="V23" s="829">
        <v>287000</v>
      </c>
      <c r="W23" s="829">
        <v>294000</v>
      </c>
      <c r="X23" s="829">
        <v>310000</v>
      </c>
      <c r="Y23" s="829">
        <v>145000</v>
      </c>
      <c r="Z23" s="829">
        <v>210000</v>
      </c>
      <c r="AA23" s="829">
        <v>278000</v>
      </c>
      <c r="AB23" s="829">
        <v>501000</v>
      </c>
      <c r="AC23" s="829">
        <v>459000</v>
      </c>
      <c r="AD23" s="829">
        <v>439000</v>
      </c>
      <c r="AE23" s="829">
        <v>368000</v>
      </c>
      <c r="AF23" s="829">
        <v>227000</v>
      </c>
      <c r="AG23" s="829">
        <v>500000</v>
      </c>
      <c r="AH23" s="829">
        <v>275000</v>
      </c>
      <c r="AI23" s="829">
        <v>181000</v>
      </c>
      <c r="AJ23" s="829">
        <v>279000</v>
      </c>
      <c r="AK23" s="829">
        <v>200000</v>
      </c>
      <c r="AL23" s="829">
        <v>219000</v>
      </c>
      <c r="AM23" s="829">
        <v>244000</v>
      </c>
      <c r="AN23" s="829">
        <v>333000</v>
      </c>
      <c r="AO23" s="829">
        <v>427000</v>
      </c>
      <c r="AP23" s="829">
        <v>475900</v>
      </c>
      <c r="AQ23" s="829">
        <v>456359</v>
      </c>
      <c r="AR23" s="829">
        <v>390001</v>
      </c>
      <c r="AS23" s="829">
        <v>507000</v>
      </c>
      <c r="AT23" s="829">
        <v>540918</v>
      </c>
      <c r="AU23" s="829">
        <v>183918</v>
      </c>
      <c r="AV23" s="829">
        <v>228589</v>
      </c>
      <c r="AW23" s="829">
        <v>211785</v>
      </c>
      <c r="AX23" s="829">
        <v>332555.45900000003</v>
      </c>
      <c r="AY23" s="829">
        <v>156555</v>
      </c>
    </row>
    <row r="24" spans="1:16307" s="500" customFormat="1" ht="12.75" customHeight="1" x14ac:dyDescent="0.2">
      <c r="A24" s="830">
        <v>315</v>
      </c>
      <c r="B24" s="831" t="s">
        <v>906</v>
      </c>
      <c r="C24" s="832">
        <v>20000</v>
      </c>
      <c r="D24" s="832">
        <v>83000</v>
      </c>
      <c r="E24" s="832">
        <v>139000</v>
      </c>
      <c r="F24" s="832">
        <v>174000</v>
      </c>
      <c r="G24" s="832">
        <v>119000</v>
      </c>
      <c r="H24" s="832">
        <v>108000</v>
      </c>
      <c r="I24" s="832">
        <v>53000</v>
      </c>
      <c r="J24" s="832">
        <v>231000</v>
      </c>
      <c r="K24" s="832">
        <v>190000</v>
      </c>
      <c r="L24" s="832">
        <v>54000</v>
      </c>
      <c r="M24" s="832">
        <v>27000</v>
      </c>
      <c r="N24" s="832">
        <v>6000</v>
      </c>
      <c r="O24" s="832">
        <v>12000</v>
      </c>
      <c r="P24" s="832">
        <v>81000</v>
      </c>
      <c r="Q24" s="832">
        <v>174000</v>
      </c>
      <c r="R24" s="832">
        <v>147000</v>
      </c>
      <c r="S24" s="832">
        <v>146000</v>
      </c>
      <c r="T24" s="832">
        <v>93000</v>
      </c>
      <c r="U24" s="832">
        <v>112000</v>
      </c>
      <c r="V24" s="832">
        <v>196000</v>
      </c>
      <c r="W24" s="832">
        <v>164000</v>
      </c>
      <c r="X24" s="832">
        <v>158000</v>
      </c>
      <c r="Y24" s="832">
        <v>65000</v>
      </c>
      <c r="Z24" s="832">
        <v>18000</v>
      </c>
      <c r="AA24" s="832">
        <v>27000</v>
      </c>
      <c r="AB24" s="832">
        <v>114000</v>
      </c>
      <c r="AC24" s="832">
        <v>166000</v>
      </c>
      <c r="AD24" s="832">
        <v>176000</v>
      </c>
      <c r="AE24" s="832">
        <v>172000</v>
      </c>
      <c r="AF24" s="832">
        <v>77000</v>
      </c>
      <c r="AG24" s="832">
        <v>129000</v>
      </c>
      <c r="AH24" s="832">
        <v>170000</v>
      </c>
      <c r="AI24" s="832">
        <v>133000</v>
      </c>
      <c r="AJ24" s="832">
        <v>167000</v>
      </c>
      <c r="AK24" s="832">
        <v>113000</v>
      </c>
      <c r="AL24" s="832">
        <v>86000</v>
      </c>
      <c r="AM24" s="832">
        <v>150000</v>
      </c>
      <c r="AN24" s="832">
        <v>128000</v>
      </c>
      <c r="AO24" s="832">
        <v>190000</v>
      </c>
      <c r="AP24" s="832">
        <v>224300</v>
      </c>
      <c r="AQ24" s="832">
        <v>173473</v>
      </c>
      <c r="AR24" s="832">
        <v>80000</v>
      </c>
      <c r="AS24" s="832">
        <v>185000</v>
      </c>
      <c r="AT24" s="832">
        <v>190346</v>
      </c>
      <c r="AU24" s="832">
        <v>140346</v>
      </c>
      <c r="AV24" s="832">
        <v>186283</v>
      </c>
      <c r="AW24" s="832">
        <v>77895</v>
      </c>
      <c r="AX24" s="832">
        <v>33085.172999999995</v>
      </c>
      <c r="AY24" s="832">
        <v>78085</v>
      </c>
    </row>
    <row r="25" spans="1:16307" s="500" customFormat="1" ht="12.75" customHeight="1" x14ac:dyDescent="0.2">
      <c r="A25" s="830" t="s">
        <v>892</v>
      </c>
      <c r="B25" s="831" t="s">
        <v>907</v>
      </c>
      <c r="C25" s="832">
        <v>0</v>
      </c>
      <c r="D25" s="832">
        <v>0</v>
      </c>
      <c r="E25" s="832">
        <v>0</v>
      </c>
      <c r="F25" s="832">
        <v>0</v>
      </c>
      <c r="G25" s="832">
        <v>0</v>
      </c>
      <c r="H25" s="832">
        <v>0</v>
      </c>
      <c r="I25" s="832">
        <v>0</v>
      </c>
      <c r="J25" s="832">
        <v>0</v>
      </c>
      <c r="K25" s="832">
        <v>0</v>
      </c>
      <c r="L25" s="832">
        <v>0</v>
      </c>
      <c r="M25" s="832">
        <v>0</v>
      </c>
      <c r="N25" s="832">
        <v>0</v>
      </c>
      <c r="O25" s="832">
        <v>0</v>
      </c>
      <c r="P25" s="832">
        <v>0</v>
      </c>
      <c r="Q25" s="832">
        <v>0</v>
      </c>
      <c r="R25" s="832">
        <v>0</v>
      </c>
      <c r="S25" s="832">
        <v>0</v>
      </c>
      <c r="T25" s="832">
        <v>0</v>
      </c>
      <c r="U25" s="832">
        <v>0</v>
      </c>
      <c r="V25" s="832">
        <v>0</v>
      </c>
      <c r="W25" s="832">
        <v>0</v>
      </c>
      <c r="X25" s="832">
        <v>0</v>
      </c>
      <c r="Y25" s="832">
        <v>0</v>
      </c>
      <c r="Z25" s="832">
        <v>5992</v>
      </c>
      <c r="AA25" s="832">
        <v>32528</v>
      </c>
      <c r="AB25" s="832">
        <v>100152</v>
      </c>
      <c r="AC25" s="832">
        <v>205440</v>
      </c>
      <c r="AD25" s="832">
        <v>208008</v>
      </c>
      <c r="AE25" s="832">
        <v>197736</v>
      </c>
      <c r="AF25" s="832">
        <v>89880</v>
      </c>
      <c r="AG25" s="832">
        <v>160072</v>
      </c>
      <c r="AH25" s="832">
        <v>212288</v>
      </c>
      <c r="AI25" s="832">
        <v>172056</v>
      </c>
      <c r="AJ25" s="832">
        <v>219136</v>
      </c>
      <c r="AK25" s="832">
        <v>77896</v>
      </c>
      <c r="AL25" s="832">
        <v>11128</v>
      </c>
      <c r="AM25" s="832">
        <v>11128</v>
      </c>
      <c r="AN25" s="832">
        <v>139528</v>
      </c>
      <c r="AO25" s="832">
        <v>218280</v>
      </c>
      <c r="AP25" s="832">
        <v>274768</v>
      </c>
      <c r="AQ25" s="832">
        <v>222064</v>
      </c>
      <c r="AR25" s="832">
        <v>95872</v>
      </c>
      <c r="AS25" s="832">
        <v>182328</v>
      </c>
      <c r="AT25" s="832">
        <v>224152</v>
      </c>
      <c r="AU25" s="832">
        <v>172792</v>
      </c>
      <c r="AV25" s="832">
        <v>245264</v>
      </c>
      <c r="AW25" s="832">
        <v>117648</v>
      </c>
      <c r="AX25" s="832">
        <v>78184.368000000002</v>
      </c>
      <c r="AY25" s="832">
        <v>95304</v>
      </c>
    </row>
    <row r="26" spans="1:16307" s="501" customFormat="1" x14ac:dyDescent="0.2">
      <c r="A26" s="833" t="s">
        <v>889</v>
      </c>
      <c r="B26" s="834" t="s">
        <v>908</v>
      </c>
      <c r="C26" s="835">
        <v>2093.02</v>
      </c>
      <c r="D26" s="835">
        <v>1370.77</v>
      </c>
      <c r="E26" s="835">
        <v>1567.19</v>
      </c>
      <c r="F26" s="835">
        <v>2355.1999999999998</v>
      </c>
      <c r="G26" s="835">
        <v>1751.58</v>
      </c>
      <c r="H26" s="835">
        <v>1112.4000000000001</v>
      </c>
      <c r="I26" s="835">
        <v>702.31999999999994</v>
      </c>
      <c r="J26" s="835">
        <v>2027.6100000000001</v>
      </c>
      <c r="K26" s="835">
        <v>1806.48</v>
      </c>
      <c r="L26" s="835">
        <v>1939.76</v>
      </c>
      <c r="M26" s="835">
        <v>1447.9500000000003</v>
      </c>
      <c r="N26" s="835">
        <v>1348.3600000000001</v>
      </c>
      <c r="O26" s="835">
        <v>1842.05</v>
      </c>
      <c r="P26" s="835">
        <v>1678.25</v>
      </c>
      <c r="Q26" s="835">
        <v>2296</v>
      </c>
      <c r="R26" s="835">
        <v>3225.7000000000003</v>
      </c>
      <c r="S26" s="835">
        <v>3158.8</v>
      </c>
      <c r="T26" s="835">
        <v>2030.4</v>
      </c>
      <c r="U26" s="835">
        <v>1351.5</v>
      </c>
      <c r="V26" s="835">
        <v>1658.65</v>
      </c>
      <c r="W26" s="835">
        <v>2290.3000000000002</v>
      </c>
      <c r="X26" s="835">
        <v>3059.25</v>
      </c>
      <c r="Y26" s="835">
        <v>2194.5</v>
      </c>
      <c r="Z26" s="835">
        <v>2112</v>
      </c>
      <c r="AA26" s="835">
        <v>1325.3</v>
      </c>
      <c r="AB26" s="835">
        <v>2441.1</v>
      </c>
      <c r="AC26" s="835">
        <v>4465.2</v>
      </c>
      <c r="AD26" s="835">
        <v>3722.6</v>
      </c>
      <c r="AE26" s="835">
        <v>3126.7</v>
      </c>
      <c r="AF26" s="835">
        <v>2551.6999999999998</v>
      </c>
      <c r="AG26" s="835">
        <v>2913.5</v>
      </c>
      <c r="AH26" s="835">
        <v>2847</v>
      </c>
      <c r="AI26" s="835">
        <v>2453.6999999999998</v>
      </c>
      <c r="AJ26" s="835">
        <v>2472.6</v>
      </c>
      <c r="AK26" s="835">
        <v>3117.5</v>
      </c>
      <c r="AL26" s="835">
        <v>2551.5</v>
      </c>
      <c r="AM26" s="835">
        <v>3401.1000000000004</v>
      </c>
      <c r="AN26" s="835">
        <v>3105.9</v>
      </c>
      <c r="AO26" s="835">
        <v>3993.7</v>
      </c>
      <c r="AP26" s="835">
        <v>4651.87</v>
      </c>
      <c r="AQ26" s="835">
        <v>5036.2026999999998</v>
      </c>
      <c r="AR26" s="835">
        <v>5584.5</v>
      </c>
      <c r="AS26" s="835">
        <v>5330.1</v>
      </c>
      <c r="AT26" s="835">
        <v>6721.4669999999996</v>
      </c>
      <c r="AU26" s="835">
        <v>3878.9670000000001</v>
      </c>
      <c r="AV26" s="835">
        <v>2495.0340000000001</v>
      </c>
      <c r="AW26" s="835">
        <v>2707.6379999999999</v>
      </c>
      <c r="AX26" s="835">
        <v>4023.6185000000005</v>
      </c>
      <c r="AY26" s="835">
        <v>2575.6530000000002</v>
      </c>
      <c r="AZ26" s="500"/>
      <c r="BA26" s="500"/>
      <c r="BB26" s="500"/>
      <c r="BC26" s="500"/>
      <c r="BD26" s="500"/>
      <c r="BE26" s="500"/>
      <c r="BF26" s="500"/>
      <c r="BG26" s="500"/>
      <c r="BH26" s="500"/>
      <c r="BI26" s="500"/>
      <c r="BJ26" s="500"/>
      <c r="BK26" s="500"/>
      <c r="BL26" s="500"/>
      <c r="BM26" s="500"/>
      <c r="BN26" s="500"/>
      <c r="BO26" s="500"/>
      <c r="BP26" s="500"/>
      <c r="BQ26" s="500"/>
      <c r="BR26" s="500"/>
      <c r="BS26" s="500"/>
      <c r="BT26" s="500"/>
      <c r="BU26" s="500"/>
      <c r="BV26" s="500"/>
      <c r="BW26" s="500"/>
      <c r="BX26" s="500"/>
      <c r="BY26" s="500"/>
      <c r="BZ26" s="500"/>
      <c r="CA26" s="500"/>
      <c r="CB26" s="500"/>
      <c r="CC26" s="500"/>
      <c r="CD26" s="500"/>
      <c r="CE26" s="500"/>
      <c r="CF26" s="500"/>
      <c r="CG26" s="500"/>
      <c r="CH26" s="500"/>
      <c r="CI26" s="500"/>
      <c r="CJ26" s="500"/>
      <c r="CK26" s="500"/>
      <c r="CL26" s="500"/>
      <c r="CM26" s="500"/>
      <c r="CN26" s="500"/>
      <c r="CO26" s="500"/>
      <c r="CP26" s="500"/>
      <c r="CQ26" s="500"/>
      <c r="CR26" s="500"/>
      <c r="CS26" s="500"/>
      <c r="CT26" s="500"/>
      <c r="CU26" s="500"/>
      <c r="CV26" s="500"/>
      <c r="CW26" s="500"/>
      <c r="CX26" s="500"/>
      <c r="CY26" s="500"/>
      <c r="CZ26" s="500"/>
      <c r="DA26" s="500"/>
      <c r="DB26" s="500"/>
      <c r="DC26" s="500"/>
      <c r="DD26" s="500"/>
      <c r="DE26" s="500"/>
      <c r="DF26" s="500"/>
      <c r="DG26" s="500"/>
      <c r="DH26" s="500"/>
      <c r="DI26" s="500"/>
      <c r="DJ26" s="500"/>
      <c r="DK26" s="500"/>
      <c r="DL26" s="500"/>
      <c r="DM26" s="500"/>
      <c r="DN26" s="500"/>
      <c r="DO26" s="500"/>
      <c r="DP26" s="500"/>
      <c r="DQ26" s="500"/>
      <c r="DR26" s="500"/>
      <c r="DS26" s="500"/>
      <c r="DT26" s="500"/>
      <c r="DU26" s="500"/>
      <c r="DV26" s="500"/>
      <c r="DW26" s="500"/>
      <c r="DX26" s="500"/>
      <c r="DY26" s="500"/>
      <c r="DZ26" s="500"/>
      <c r="EA26" s="500"/>
      <c r="EB26" s="500"/>
      <c r="EC26" s="500"/>
      <c r="ED26" s="500"/>
      <c r="EE26" s="500"/>
      <c r="EF26" s="500"/>
      <c r="EG26" s="500"/>
      <c r="EH26" s="500"/>
      <c r="EI26" s="500"/>
      <c r="EJ26" s="500"/>
      <c r="EK26" s="500"/>
      <c r="EL26" s="500"/>
      <c r="EM26" s="500"/>
      <c r="EN26" s="500"/>
      <c r="EO26" s="500"/>
      <c r="EP26" s="500"/>
      <c r="EQ26" s="500"/>
      <c r="ER26" s="500"/>
      <c r="ES26" s="500"/>
      <c r="ET26" s="500"/>
      <c r="EU26" s="500"/>
      <c r="EV26" s="500"/>
      <c r="EW26" s="500"/>
      <c r="EX26" s="500"/>
      <c r="EY26" s="500"/>
      <c r="EZ26" s="500"/>
      <c r="FA26" s="500"/>
      <c r="FB26" s="500"/>
      <c r="FC26" s="500"/>
      <c r="FD26" s="500"/>
      <c r="FE26" s="500"/>
      <c r="FF26" s="500"/>
      <c r="FG26" s="500"/>
      <c r="FH26" s="500"/>
      <c r="FI26" s="500"/>
      <c r="FJ26" s="500"/>
      <c r="FK26" s="500"/>
      <c r="FL26" s="500"/>
      <c r="FM26" s="500"/>
      <c r="FN26" s="500"/>
      <c r="FO26" s="500"/>
      <c r="FP26" s="500"/>
      <c r="FQ26" s="500"/>
      <c r="FR26" s="500"/>
      <c r="FS26" s="500"/>
      <c r="FT26" s="500"/>
      <c r="FU26" s="500"/>
      <c r="FV26" s="500"/>
      <c r="FW26" s="500"/>
      <c r="FX26" s="500"/>
      <c r="FY26" s="500"/>
      <c r="FZ26" s="500"/>
      <c r="GA26" s="500"/>
      <c r="GB26" s="500"/>
      <c r="GC26" s="500"/>
      <c r="GD26" s="500"/>
      <c r="GE26" s="500"/>
      <c r="GF26" s="500"/>
      <c r="GG26" s="500"/>
      <c r="GH26" s="500"/>
      <c r="GI26" s="500"/>
      <c r="GJ26" s="500"/>
      <c r="GK26" s="500"/>
      <c r="GL26" s="500"/>
      <c r="GM26" s="500"/>
      <c r="GN26" s="500"/>
      <c r="GO26" s="500"/>
      <c r="GP26" s="500"/>
      <c r="GQ26" s="500"/>
      <c r="GR26" s="500"/>
      <c r="GS26" s="500"/>
      <c r="GT26" s="500"/>
      <c r="GU26" s="500"/>
      <c r="GV26" s="500"/>
      <c r="GW26" s="500"/>
      <c r="GX26" s="500"/>
      <c r="GY26" s="500"/>
      <c r="GZ26" s="500"/>
      <c r="HA26" s="500"/>
      <c r="HB26" s="500"/>
      <c r="HC26" s="500"/>
      <c r="HD26" s="500"/>
      <c r="HE26" s="500"/>
      <c r="HF26" s="500"/>
      <c r="HG26" s="500"/>
      <c r="HH26" s="500"/>
      <c r="HI26" s="500"/>
      <c r="HJ26" s="500"/>
      <c r="HK26" s="500"/>
      <c r="HL26" s="500"/>
      <c r="HM26" s="500"/>
      <c r="HN26" s="500"/>
      <c r="HO26" s="500"/>
      <c r="HP26" s="500"/>
      <c r="HQ26" s="500"/>
      <c r="HR26" s="500"/>
      <c r="HS26" s="500"/>
      <c r="HT26" s="500"/>
      <c r="HU26" s="500"/>
      <c r="HV26" s="500"/>
      <c r="HW26" s="500"/>
      <c r="HX26" s="500"/>
      <c r="HY26" s="500"/>
      <c r="HZ26" s="500"/>
      <c r="IA26" s="500"/>
      <c r="IB26" s="500"/>
      <c r="IC26" s="500"/>
      <c r="ID26" s="500"/>
      <c r="IE26" s="500"/>
      <c r="IF26" s="500"/>
      <c r="IG26" s="500"/>
      <c r="IH26" s="500"/>
      <c r="II26" s="500"/>
      <c r="IJ26" s="500"/>
      <c r="IK26" s="500"/>
      <c r="IL26" s="500"/>
      <c r="IM26" s="500"/>
      <c r="IN26" s="500"/>
      <c r="IO26" s="500"/>
      <c r="IP26" s="500"/>
      <c r="IQ26" s="500"/>
      <c r="IR26" s="500"/>
      <c r="IS26" s="500"/>
      <c r="IT26" s="500"/>
      <c r="IU26" s="500"/>
      <c r="IV26" s="500"/>
      <c r="IW26" s="500"/>
      <c r="IX26" s="500"/>
      <c r="IY26" s="500"/>
      <c r="IZ26" s="500"/>
      <c r="JA26" s="500"/>
      <c r="JB26" s="500"/>
      <c r="JC26" s="500"/>
      <c r="JD26" s="500"/>
      <c r="JE26" s="500"/>
      <c r="JF26" s="500"/>
      <c r="JG26" s="500"/>
      <c r="JH26" s="500"/>
      <c r="JI26" s="500"/>
      <c r="JJ26" s="500"/>
      <c r="JK26" s="500"/>
      <c r="JL26" s="500"/>
      <c r="JM26" s="500"/>
      <c r="JN26" s="500"/>
      <c r="JO26" s="500"/>
      <c r="JP26" s="500"/>
      <c r="JQ26" s="500"/>
      <c r="JR26" s="500"/>
      <c r="JS26" s="500"/>
      <c r="JT26" s="500"/>
      <c r="JU26" s="500"/>
      <c r="JV26" s="500"/>
      <c r="JW26" s="500"/>
      <c r="JX26" s="500"/>
      <c r="JY26" s="500"/>
      <c r="JZ26" s="500"/>
      <c r="KA26" s="500"/>
      <c r="KB26" s="500"/>
      <c r="KC26" s="500"/>
      <c r="KD26" s="500"/>
      <c r="KE26" s="500"/>
      <c r="KF26" s="500"/>
      <c r="KG26" s="500"/>
      <c r="KH26" s="500"/>
      <c r="KI26" s="500"/>
      <c r="KJ26" s="500"/>
      <c r="KK26" s="500"/>
      <c r="KL26" s="500"/>
      <c r="KM26" s="500"/>
      <c r="KN26" s="500"/>
      <c r="KO26" s="500"/>
      <c r="KP26" s="500"/>
      <c r="KQ26" s="500"/>
      <c r="KR26" s="500"/>
      <c r="KS26" s="500"/>
      <c r="KT26" s="500"/>
      <c r="KU26" s="500"/>
      <c r="KV26" s="500"/>
      <c r="KW26" s="500"/>
      <c r="KX26" s="500"/>
      <c r="KY26" s="500"/>
      <c r="KZ26" s="500"/>
      <c r="LA26" s="500"/>
      <c r="LB26" s="500"/>
      <c r="LC26" s="500"/>
      <c r="LD26" s="500"/>
      <c r="LE26" s="500"/>
      <c r="LF26" s="500"/>
      <c r="LG26" s="500"/>
      <c r="LH26" s="500"/>
      <c r="LI26" s="500"/>
      <c r="LJ26" s="500"/>
      <c r="LK26" s="500"/>
      <c r="LL26" s="500"/>
      <c r="LM26" s="500"/>
      <c r="LN26" s="500"/>
      <c r="LO26" s="500"/>
      <c r="LP26" s="500"/>
      <c r="LQ26" s="500"/>
      <c r="LR26" s="500"/>
      <c r="LS26" s="500"/>
      <c r="LT26" s="500"/>
      <c r="LU26" s="500"/>
      <c r="LV26" s="500"/>
      <c r="LW26" s="500"/>
      <c r="LX26" s="500"/>
      <c r="LY26" s="500"/>
      <c r="LZ26" s="500"/>
      <c r="MA26" s="500"/>
      <c r="MB26" s="500"/>
      <c r="MC26" s="500"/>
      <c r="MD26" s="500"/>
      <c r="ME26" s="500"/>
      <c r="MF26" s="500"/>
      <c r="MG26" s="500"/>
      <c r="MH26" s="500"/>
      <c r="MI26" s="500"/>
      <c r="MJ26" s="500"/>
      <c r="MK26" s="500"/>
      <c r="ML26" s="500"/>
      <c r="MM26" s="500"/>
      <c r="MN26" s="500"/>
      <c r="MO26" s="500"/>
      <c r="MP26" s="500"/>
      <c r="MQ26" s="500"/>
      <c r="MR26" s="500"/>
      <c r="MS26" s="500"/>
      <c r="MT26" s="500"/>
      <c r="MU26" s="500"/>
      <c r="MV26" s="500"/>
      <c r="MW26" s="500"/>
      <c r="MX26" s="500"/>
      <c r="MY26" s="500"/>
      <c r="MZ26" s="500"/>
      <c r="NA26" s="500"/>
      <c r="NB26" s="500"/>
      <c r="NC26" s="500"/>
      <c r="ND26" s="500"/>
      <c r="NE26" s="500"/>
      <c r="NF26" s="500"/>
      <c r="NG26" s="500"/>
      <c r="NH26" s="500"/>
      <c r="NI26" s="500"/>
      <c r="NJ26" s="500"/>
      <c r="NK26" s="500"/>
      <c r="NL26" s="500"/>
      <c r="NM26" s="500"/>
      <c r="NN26" s="500"/>
      <c r="NO26" s="500"/>
      <c r="NP26" s="500"/>
      <c r="NQ26" s="500"/>
      <c r="NR26" s="500"/>
      <c r="NS26" s="500"/>
      <c r="NT26" s="500"/>
      <c r="NU26" s="500"/>
      <c r="NV26" s="500"/>
      <c r="NW26" s="500"/>
      <c r="NX26" s="500"/>
      <c r="NY26" s="500"/>
      <c r="NZ26" s="500"/>
      <c r="OA26" s="500"/>
      <c r="OB26" s="500"/>
      <c r="OC26" s="500"/>
      <c r="OD26" s="500"/>
      <c r="OE26" s="500"/>
      <c r="OF26" s="500"/>
      <c r="OG26" s="500"/>
      <c r="OH26" s="500"/>
      <c r="OI26" s="500"/>
      <c r="OJ26" s="500"/>
      <c r="OK26" s="500"/>
      <c r="OL26" s="500"/>
      <c r="OM26" s="500"/>
      <c r="ON26" s="500"/>
      <c r="OO26" s="500"/>
      <c r="OP26" s="500"/>
      <c r="OQ26" s="500"/>
      <c r="OR26" s="500"/>
      <c r="OS26" s="500"/>
      <c r="OT26" s="500"/>
      <c r="OU26" s="500"/>
      <c r="OV26" s="500"/>
      <c r="OW26" s="500"/>
      <c r="OX26" s="500"/>
      <c r="OY26" s="500"/>
      <c r="OZ26" s="500"/>
      <c r="PA26" s="500"/>
      <c r="PB26" s="500"/>
      <c r="PC26" s="500"/>
      <c r="PD26" s="500"/>
      <c r="PE26" s="500"/>
      <c r="PF26" s="500"/>
      <c r="PG26" s="500"/>
      <c r="PH26" s="500"/>
      <c r="PI26" s="500"/>
      <c r="PJ26" s="500"/>
      <c r="PK26" s="500"/>
      <c r="PL26" s="500"/>
      <c r="PM26" s="500"/>
      <c r="PN26" s="500"/>
      <c r="PO26" s="500"/>
      <c r="PP26" s="500"/>
      <c r="PQ26" s="500"/>
      <c r="PR26" s="500"/>
      <c r="PS26" s="500"/>
      <c r="PT26" s="500"/>
      <c r="PU26" s="500"/>
      <c r="PV26" s="500"/>
      <c r="PW26" s="500"/>
      <c r="PX26" s="500"/>
      <c r="PY26" s="500"/>
      <c r="PZ26" s="500"/>
      <c r="QA26" s="500"/>
      <c r="QB26" s="500"/>
      <c r="QC26" s="500"/>
      <c r="QD26" s="500"/>
      <c r="QE26" s="500"/>
      <c r="QF26" s="500"/>
      <c r="QG26" s="500"/>
      <c r="QH26" s="500"/>
      <c r="QI26" s="500"/>
      <c r="QJ26" s="500"/>
      <c r="QK26" s="500"/>
      <c r="QL26" s="500"/>
      <c r="QM26" s="500"/>
      <c r="QN26" s="500"/>
      <c r="QO26" s="500"/>
      <c r="QP26" s="500"/>
      <c r="QQ26" s="500"/>
      <c r="QR26" s="500"/>
      <c r="QS26" s="500"/>
      <c r="QT26" s="500"/>
      <c r="QU26" s="500"/>
      <c r="QV26" s="500"/>
      <c r="QW26" s="500"/>
      <c r="QX26" s="500"/>
      <c r="QY26" s="500"/>
      <c r="QZ26" s="500"/>
      <c r="RA26" s="500"/>
      <c r="RB26" s="500"/>
      <c r="RC26" s="500"/>
      <c r="RD26" s="500"/>
      <c r="RE26" s="500"/>
      <c r="RF26" s="500"/>
      <c r="RG26" s="500"/>
      <c r="RH26" s="500"/>
      <c r="RI26" s="500"/>
      <c r="RJ26" s="500"/>
      <c r="RK26" s="500"/>
      <c r="RL26" s="500"/>
      <c r="RM26" s="500"/>
      <c r="RN26" s="500"/>
      <c r="RO26" s="500"/>
      <c r="RP26" s="500"/>
      <c r="RQ26" s="500"/>
      <c r="RR26" s="500"/>
      <c r="RS26" s="500"/>
      <c r="RT26" s="500"/>
      <c r="RU26" s="500"/>
      <c r="RV26" s="500"/>
      <c r="RW26" s="500"/>
      <c r="RX26" s="500"/>
      <c r="RY26" s="500"/>
      <c r="RZ26" s="500"/>
      <c r="SA26" s="500"/>
      <c r="SB26" s="500"/>
      <c r="SC26" s="500"/>
      <c r="SD26" s="500"/>
      <c r="SE26" s="500"/>
      <c r="SF26" s="500"/>
      <c r="SG26" s="500"/>
      <c r="SH26" s="500"/>
      <c r="SI26" s="500"/>
      <c r="SJ26" s="500"/>
      <c r="SK26" s="500"/>
      <c r="SL26" s="500"/>
      <c r="SM26" s="500"/>
      <c r="SN26" s="500"/>
      <c r="SO26" s="500"/>
      <c r="SP26" s="500"/>
      <c r="SQ26" s="500"/>
      <c r="SR26" s="500"/>
      <c r="SS26" s="500"/>
      <c r="ST26" s="500"/>
      <c r="SU26" s="500"/>
      <c r="SV26" s="500"/>
      <c r="SW26" s="500"/>
      <c r="SX26" s="500"/>
      <c r="SY26" s="500"/>
      <c r="SZ26" s="500"/>
      <c r="TA26" s="500"/>
      <c r="TB26" s="500"/>
      <c r="TC26" s="500"/>
      <c r="TD26" s="500"/>
      <c r="TE26" s="500"/>
      <c r="TF26" s="500"/>
      <c r="TG26" s="500"/>
      <c r="TH26" s="500"/>
      <c r="TI26" s="500"/>
      <c r="TJ26" s="500"/>
      <c r="TK26" s="500"/>
      <c r="TL26" s="500"/>
      <c r="TM26" s="500"/>
      <c r="TN26" s="500"/>
      <c r="TO26" s="500"/>
      <c r="TP26" s="500"/>
      <c r="TQ26" s="500"/>
      <c r="TR26" s="500"/>
      <c r="TS26" s="500"/>
      <c r="TT26" s="500"/>
      <c r="TU26" s="500"/>
      <c r="TV26" s="500"/>
      <c r="TW26" s="500"/>
      <c r="TX26" s="500"/>
      <c r="TY26" s="500"/>
      <c r="TZ26" s="500"/>
      <c r="UA26" s="500"/>
      <c r="UB26" s="500"/>
      <c r="UC26" s="500"/>
      <c r="UD26" s="500"/>
      <c r="UE26" s="500"/>
      <c r="UF26" s="500"/>
      <c r="UG26" s="500"/>
      <c r="UH26" s="500"/>
      <c r="UI26" s="500"/>
      <c r="UJ26" s="500"/>
      <c r="UK26" s="500"/>
      <c r="UL26" s="500"/>
      <c r="UM26" s="500"/>
      <c r="UN26" s="500"/>
      <c r="UO26" s="500"/>
      <c r="UP26" s="500"/>
      <c r="UQ26" s="500"/>
      <c r="UR26" s="500"/>
      <c r="US26" s="500"/>
      <c r="UT26" s="500"/>
      <c r="UU26" s="500"/>
      <c r="UV26" s="500"/>
      <c r="UW26" s="500"/>
      <c r="UX26" s="500"/>
      <c r="UY26" s="500"/>
      <c r="UZ26" s="500"/>
      <c r="VA26" s="500"/>
      <c r="VB26" s="500"/>
      <c r="VC26" s="500"/>
      <c r="VD26" s="500"/>
      <c r="VE26" s="500"/>
      <c r="VF26" s="500"/>
      <c r="VG26" s="500"/>
      <c r="VH26" s="500"/>
      <c r="VI26" s="500"/>
      <c r="VJ26" s="500"/>
      <c r="VK26" s="500"/>
      <c r="VL26" s="500"/>
      <c r="VM26" s="500"/>
      <c r="VN26" s="500"/>
      <c r="VO26" s="500"/>
      <c r="VP26" s="500"/>
      <c r="VQ26" s="500"/>
      <c r="VR26" s="500"/>
      <c r="VS26" s="500"/>
      <c r="VT26" s="500"/>
      <c r="VU26" s="500"/>
      <c r="VV26" s="500"/>
      <c r="VW26" s="500"/>
      <c r="VX26" s="500"/>
      <c r="VY26" s="500"/>
      <c r="VZ26" s="500"/>
      <c r="WA26" s="500"/>
      <c r="WB26" s="500"/>
      <c r="WC26" s="500"/>
      <c r="WD26" s="500"/>
      <c r="WE26" s="500"/>
      <c r="WF26" s="500"/>
      <c r="WG26" s="500"/>
      <c r="WH26" s="500"/>
      <c r="WI26" s="500"/>
      <c r="WJ26" s="500"/>
      <c r="WK26" s="500"/>
      <c r="WL26" s="500"/>
      <c r="WM26" s="500"/>
      <c r="WN26" s="500"/>
      <c r="WO26" s="500"/>
      <c r="WP26" s="500"/>
      <c r="WQ26" s="500"/>
      <c r="WR26" s="500"/>
      <c r="WS26" s="500"/>
      <c r="WT26" s="500"/>
      <c r="WU26" s="500"/>
      <c r="WV26" s="500"/>
      <c r="WW26" s="500"/>
      <c r="WX26" s="500"/>
      <c r="WY26" s="500"/>
      <c r="WZ26" s="500"/>
      <c r="XA26" s="500"/>
      <c r="XB26" s="500"/>
      <c r="XC26" s="500"/>
      <c r="XD26" s="500"/>
      <c r="XE26" s="500"/>
      <c r="XF26" s="500"/>
      <c r="XG26" s="500"/>
      <c r="XH26" s="500"/>
      <c r="XI26" s="500"/>
      <c r="XJ26" s="500"/>
      <c r="XK26" s="500"/>
      <c r="XL26" s="500"/>
      <c r="XM26" s="500"/>
      <c r="XN26" s="500"/>
      <c r="XO26" s="500"/>
      <c r="XP26" s="500"/>
      <c r="XQ26" s="500"/>
      <c r="XR26" s="500"/>
      <c r="XS26" s="500"/>
      <c r="XT26" s="500"/>
      <c r="XU26" s="500"/>
      <c r="XV26" s="500"/>
      <c r="XW26" s="500"/>
      <c r="XX26" s="500"/>
      <c r="XY26" s="500"/>
      <c r="XZ26" s="500"/>
      <c r="YA26" s="500"/>
      <c r="YB26" s="500"/>
      <c r="YC26" s="500"/>
      <c r="YD26" s="500"/>
      <c r="YE26" s="500"/>
      <c r="YF26" s="500"/>
      <c r="YG26" s="500"/>
      <c r="YH26" s="500"/>
      <c r="YI26" s="500"/>
      <c r="YJ26" s="500"/>
      <c r="YK26" s="500"/>
      <c r="YL26" s="500"/>
      <c r="YM26" s="500"/>
      <c r="YN26" s="500"/>
      <c r="YO26" s="500"/>
      <c r="YP26" s="500"/>
      <c r="YQ26" s="500"/>
      <c r="YR26" s="500"/>
      <c r="YS26" s="500"/>
      <c r="YT26" s="500"/>
      <c r="YU26" s="500"/>
      <c r="YV26" s="500"/>
      <c r="YW26" s="500"/>
      <c r="YX26" s="500"/>
      <c r="YY26" s="500"/>
      <c r="YZ26" s="500"/>
      <c r="ZA26" s="500"/>
      <c r="ZB26" s="500"/>
      <c r="ZC26" s="500"/>
      <c r="ZD26" s="500"/>
      <c r="ZE26" s="500"/>
      <c r="ZF26" s="500"/>
      <c r="ZG26" s="500"/>
      <c r="ZH26" s="500"/>
      <c r="ZI26" s="500"/>
      <c r="ZJ26" s="500"/>
      <c r="ZK26" s="500"/>
      <c r="ZL26" s="500"/>
      <c r="ZM26" s="500"/>
      <c r="ZN26" s="500"/>
      <c r="ZO26" s="500"/>
      <c r="ZP26" s="500"/>
      <c r="ZQ26" s="500"/>
      <c r="ZR26" s="500"/>
      <c r="ZS26" s="500"/>
      <c r="ZT26" s="500"/>
      <c r="ZU26" s="500"/>
      <c r="ZV26" s="500"/>
      <c r="ZW26" s="500"/>
      <c r="ZX26" s="500"/>
      <c r="ZY26" s="500"/>
      <c r="ZZ26" s="500"/>
      <c r="AAA26" s="500"/>
      <c r="AAB26" s="500"/>
      <c r="AAC26" s="500"/>
      <c r="AAD26" s="500"/>
      <c r="AAE26" s="500"/>
      <c r="AAF26" s="500"/>
      <c r="AAG26" s="500"/>
      <c r="AAH26" s="500"/>
      <c r="AAI26" s="500"/>
      <c r="AAJ26" s="500"/>
      <c r="AAK26" s="500"/>
      <c r="AAL26" s="500"/>
      <c r="AAM26" s="500"/>
      <c r="AAN26" s="500"/>
      <c r="AAO26" s="500"/>
      <c r="AAP26" s="500"/>
      <c r="AAQ26" s="500"/>
      <c r="AAR26" s="500"/>
      <c r="AAS26" s="500"/>
      <c r="AAT26" s="500"/>
      <c r="AAU26" s="500"/>
      <c r="AAV26" s="500"/>
      <c r="AAW26" s="500"/>
      <c r="AAX26" s="500"/>
      <c r="AAY26" s="500"/>
      <c r="AAZ26" s="500"/>
      <c r="ABA26" s="500"/>
      <c r="ABB26" s="500"/>
      <c r="ABC26" s="500"/>
      <c r="ABD26" s="500"/>
      <c r="ABE26" s="500"/>
      <c r="ABF26" s="500"/>
      <c r="ABG26" s="500"/>
      <c r="ABH26" s="500"/>
      <c r="ABI26" s="500"/>
      <c r="ABJ26" s="500"/>
      <c r="ABK26" s="500"/>
      <c r="ABL26" s="500"/>
      <c r="ABM26" s="500"/>
      <c r="ABN26" s="500"/>
      <c r="ABO26" s="500"/>
      <c r="ABP26" s="500"/>
      <c r="ABQ26" s="500"/>
      <c r="ABR26" s="500"/>
      <c r="ABS26" s="500"/>
      <c r="ABT26" s="500"/>
      <c r="ABU26" s="500"/>
      <c r="ABV26" s="500"/>
      <c r="ABW26" s="500"/>
      <c r="ABX26" s="500"/>
      <c r="ABY26" s="500"/>
      <c r="ABZ26" s="500"/>
      <c r="ACA26" s="500"/>
      <c r="ACB26" s="500"/>
      <c r="ACC26" s="500"/>
      <c r="ACD26" s="500"/>
      <c r="ACE26" s="500"/>
      <c r="ACF26" s="500"/>
      <c r="ACG26" s="500"/>
      <c r="ACH26" s="500"/>
      <c r="ACI26" s="500"/>
      <c r="ACJ26" s="500"/>
      <c r="ACK26" s="500"/>
      <c r="ACL26" s="500"/>
      <c r="ACM26" s="500"/>
      <c r="ACN26" s="500"/>
      <c r="ACO26" s="500"/>
      <c r="ACP26" s="500"/>
      <c r="ACQ26" s="500"/>
      <c r="ACR26" s="500"/>
      <c r="ACS26" s="500"/>
      <c r="ACT26" s="500"/>
      <c r="ACU26" s="500"/>
      <c r="ACV26" s="500"/>
      <c r="ACW26" s="500"/>
      <c r="ACX26" s="500"/>
      <c r="ACY26" s="500"/>
      <c r="ACZ26" s="500"/>
      <c r="ADA26" s="500"/>
      <c r="ADB26" s="500"/>
      <c r="ADC26" s="500"/>
      <c r="ADD26" s="500"/>
      <c r="ADE26" s="500"/>
      <c r="ADF26" s="500"/>
      <c r="ADG26" s="500"/>
      <c r="ADH26" s="500"/>
      <c r="ADI26" s="500"/>
      <c r="ADJ26" s="500"/>
      <c r="ADK26" s="500"/>
      <c r="ADL26" s="500"/>
      <c r="ADM26" s="500"/>
      <c r="ADN26" s="500"/>
      <c r="ADO26" s="500"/>
      <c r="ADP26" s="500"/>
      <c r="ADQ26" s="500"/>
      <c r="ADR26" s="500"/>
      <c r="ADS26" s="500"/>
      <c r="ADT26" s="500"/>
      <c r="ADU26" s="500"/>
      <c r="ADV26" s="500"/>
      <c r="ADW26" s="500"/>
      <c r="ADX26" s="500"/>
      <c r="ADY26" s="500"/>
      <c r="ADZ26" s="500"/>
      <c r="AEA26" s="500"/>
      <c r="AEB26" s="500"/>
      <c r="AEC26" s="500"/>
      <c r="AED26" s="500"/>
      <c r="AEE26" s="500"/>
      <c r="AEF26" s="500"/>
      <c r="AEG26" s="500"/>
      <c r="AEH26" s="500"/>
      <c r="AEI26" s="500"/>
      <c r="AEJ26" s="500"/>
      <c r="AEK26" s="500"/>
      <c r="AEL26" s="500"/>
      <c r="AEM26" s="500"/>
      <c r="AEN26" s="500"/>
      <c r="AEO26" s="500"/>
      <c r="AEP26" s="500"/>
      <c r="AEQ26" s="500"/>
      <c r="AER26" s="500"/>
      <c r="AES26" s="500"/>
      <c r="AET26" s="500"/>
      <c r="AEU26" s="500"/>
      <c r="AEV26" s="500"/>
      <c r="AEW26" s="500"/>
      <c r="AEX26" s="500"/>
      <c r="AEY26" s="500"/>
      <c r="AEZ26" s="500"/>
      <c r="AFA26" s="500"/>
      <c r="AFB26" s="500"/>
      <c r="AFC26" s="500"/>
      <c r="AFD26" s="500"/>
      <c r="AFE26" s="500"/>
      <c r="AFF26" s="500"/>
      <c r="AFG26" s="500"/>
      <c r="AFH26" s="500"/>
      <c r="AFI26" s="500"/>
      <c r="AFJ26" s="500"/>
      <c r="AFK26" s="500"/>
      <c r="AFL26" s="500"/>
      <c r="AFM26" s="500"/>
      <c r="AFN26" s="500"/>
      <c r="AFO26" s="500"/>
      <c r="AFP26" s="500"/>
      <c r="AFQ26" s="500"/>
      <c r="AFR26" s="500"/>
      <c r="AFS26" s="500"/>
      <c r="AFT26" s="500"/>
      <c r="AFU26" s="500"/>
      <c r="AFV26" s="500"/>
      <c r="AFW26" s="500"/>
      <c r="AFX26" s="500"/>
      <c r="AFY26" s="500"/>
      <c r="AFZ26" s="500"/>
      <c r="AGA26" s="500"/>
      <c r="AGB26" s="500"/>
      <c r="AGC26" s="500"/>
      <c r="AGD26" s="500"/>
      <c r="AGE26" s="500"/>
      <c r="AGF26" s="500"/>
      <c r="AGG26" s="500"/>
      <c r="AGH26" s="500"/>
      <c r="AGI26" s="500"/>
      <c r="AGJ26" s="500"/>
      <c r="AGK26" s="500"/>
      <c r="AGL26" s="500"/>
      <c r="AGM26" s="500"/>
      <c r="AGN26" s="500"/>
      <c r="AGO26" s="500"/>
      <c r="AGP26" s="500"/>
      <c r="AGQ26" s="500"/>
      <c r="AGR26" s="500"/>
      <c r="AGS26" s="500"/>
      <c r="AGT26" s="500"/>
      <c r="AGU26" s="500"/>
      <c r="AGV26" s="500"/>
      <c r="AGW26" s="500"/>
      <c r="AGX26" s="500"/>
      <c r="AGY26" s="500"/>
      <c r="AGZ26" s="500"/>
      <c r="AHA26" s="500"/>
      <c r="AHB26" s="500"/>
      <c r="AHC26" s="500"/>
      <c r="AHD26" s="500"/>
      <c r="AHE26" s="500"/>
      <c r="AHF26" s="500"/>
      <c r="AHG26" s="500"/>
      <c r="AHH26" s="500"/>
      <c r="AHI26" s="500"/>
      <c r="AHJ26" s="500"/>
      <c r="AHK26" s="500"/>
      <c r="AHL26" s="500"/>
      <c r="AHM26" s="500"/>
      <c r="AHN26" s="500"/>
      <c r="AHO26" s="500"/>
      <c r="AHP26" s="500"/>
      <c r="AHQ26" s="500"/>
      <c r="AHR26" s="500"/>
      <c r="AHS26" s="500"/>
      <c r="AHT26" s="500"/>
      <c r="AHU26" s="500"/>
      <c r="AHV26" s="500"/>
      <c r="AHW26" s="500"/>
      <c r="AHX26" s="500"/>
      <c r="AHY26" s="500"/>
      <c r="AHZ26" s="500"/>
      <c r="AIA26" s="500"/>
      <c r="AIB26" s="500"/>
      <c r="AIC26" s="500"/>
      <c r="AID26" s="500"/>
      <c r="AIE26" s="500"/>
      <c r="AIF26" s="500"/>
      <c r="AIG26" s="500"/>
      <c r="AIH26" s="500"/>
      <c r="AII26" s="500"/>
      <c r="AIJ26" s="500"/>
      <c r="AIK26" s="500"/>
      <c r="AIL26" s="500"/>
      <c r="AIM26" s="500"/>
      <c r="AIN26" s="500"/>
      <c r="AIO26" s="500"/>
      <c r="AIP26" s="500"/>
      <c r="AIQ26" s="500"/>
      <c r="AIR26" s="500"/>
      <c r="AIS26" s="500"/>
      <c r="AIT26" s="500"/>
      <c r="AIU26" s="500"/>
      <c r="AIV26" s="500"/>
      <c r="AIW26" s="500"/>
      <c r="AIX26" s="500"/>
      <c r="AIY26" s="500"/>
      <c r="AIZ26" s="500"/>
      <c r="AJA26" s="500"/>
      <c r="AJB26" s="500"/>
      <c r="AJC26" s="500"/>
      <c r="AJD26" s="500"/>
      <c r="AJE26" s="500"/>
      <c r="AJF26" s="500"/>
      <c r="AJG26" s="500"/>
      <c r="AJH26" s="500"/>
      <c r="AJI26" s="500"/>
      <c r="AJJ26" s="500"/>
      <c r="AJK26" s="500"/>
      <c r="AJL26" s="500"/>
      <c r="AJM26" s="500"/>
      <c r="AJN26" s="500"/>
      <c r="AJO26" s="500"/>
      <c r="AJP26" s="500"/>
      <c r="AJQ26" s="500"/>
      <c r="AJR26" s="500"/>
      <c r="AJS26" s="500"/>
      <c r="AJT26" s="500"/>
      <c r="AJU26" s="500"/>
      <c r="AJV26" s="500"/>
      <c r="AJW26" s="500"/>
      <c r="AJX26" s="500"/>
      <c r="AJY26" s="500"/>
      <c r="AJZ26" s="500"/>
      <c r="AKA26" s="500"/>
      <c r="AKB26" s="500"/>
      <c r="AKC26" s="500"/>
      <c r="AKD26" s="500"/>
      <c r="AKE26" s="500"/>
      <c r="AKF26" s="500"/>
      <c r="AKG26" s="500"/>
      <c r="AKH26" s="500"/>
      <c r="AKI26" s="500"/>
      <c r="AKJ26" s="500"/>
      <c r="AKK26" s="500"/>
      <c r="AKL26" s="500"/>
      <c r="AKM26" s="500"/>
      <c r="AKN26" s="500"/>
      <c r="AKO26" s="500"/>
      <c r="AKP26" s="500"/>
      <c r="AKQ26" s="500"/>
      <c r="AKR26" s="500"/>
      <c r="AKS26" s="500"/>
      <c r="AKT26" s="500"/>
      <c r="AKU26" s="500"/>
      <c r="AKV26" s="500"/>
      <c r="AKW26" s="500"/>
      <c r="AKX26" s="500"/>
      <c r="AKY26" s="500"/>
      <c r="AKZ26" s="500"/>
      <c r="ALA26" s="500"/>
      <c r="ALB26" s="500"/>
      <c r="ALC26" s="500"/>
      <c r="ALD26" s="500"/>
      <c r="ALE26" s="500"/>
      <c r="ALF26" s="500"/>
      <c r="ALG26" s="500"/>
      <c r="ALH26" s="500"/>
      <c r="ALI26" s="500"/>
      <c r="ALJ26" s="500"/>
      <c r="ALK26" s="500"/>
      <c r="ALL26" s="500"/>
      <c r="ALM26" s="500"/>
      <c r="ALN26" s="500"/>
      <c r="ALO26" s="500"/>
      <c r="ALP26" s="500"/>
      <c r="ALQ26" s="500"/>
      <c r="ALR26" s="500"/>
      <c r="ALS26" s="500"/>
      <c r="ALT26" s="500"/>
      <c r="ALU26" s="500"/>
      <c r="ALV26" s="500"/>
      <c r="ALW26" s="500"/>
      <c r="ALX26" s="500"/>
      <c r="ALY26" s="500"/>
      <c r="ALZ26" s="500"/>
      <c r="AMA26" s="500"/>
      <c r="AMB26" s="500"/>
      <c r="AMC26" s="500"/>
      <c r="AMD26" s="500"/>
      <c r="AME26" s="500"/>
      <c r="AMF26" s="500"/>
      <c r="AMG26" s="500"/>
      <c r="AMH26" s="500"/>
      <c r="AMI26" s="500"/>
      <c r="AMJ26" s="500"/>
      <c r="AMK26" s="500"/>
      <c r="AML26" s="500"/>
      <c r="AMM26" s="500"/>
      <c r="AMN26" s="500"/>
      <c r="AMO26" s="500"/>
      <c r="AMP26" s="500"/>
      <c r="AMQ26" s="500"/>
      <c r="AMR26" s="500"/>
      <c r="AMS26" s="500"/>
      <c r="AMT26" s="500"/>
      <c r="AMU26" s="500"/>
      <c r="AMV26" s="500"/>
      <c r="AMW26" s="500"/>
      <c r="AMX26" s="500"/>
      <c r="AMY26" s="500"/>
      <c r="AMZ26" s="500"/>
      <c r="ANA26" s="500"/>
      <c r="ANB26" s="500"/>
      <c r="ANC26" s="500"/>
      <c r="AND26" s="500"/>
      <c r="ANE26" s="500"/>
      <c r="ANF26" s="500"/>
      <c r="ANG26" s="500"/>
      <c r="ANH26" s="500"/>
      <c r="ANI26" s="500"/>
      <c r="ANJ26" s="500"/>
      <c r="ANK26" s="500"/>
      <c r="ANL26" s="500"/>
      <c r="ANM26" s="500"/>
      <c r="ANN26" s="500"/>
      <c r="ANO26" s="500"/>
      <c r="ANP26" s="500"/>
      <c r="ANQ26" s="500"/>
      <c r="ANR26" s="500"/>
      <c r="ANS26" s="500"/>
      <c r="ANT26" s="500"/>
      <c r="ANU26" s="500"/>
      <c r="ANV26" s="500"/>
      <c r="ANW26" s="500"/>
      <c r="ANX26" s="500"/>
      <c r="ANY26" s="500"/>
      <c r="ANZ26" s="500"/>
      <c r="AOA26" s="500"/>
      <c r="AOB26" s="500"/>
      <c r="AOC26" s="500"/>
      <c r="AOD26" s="500"/>
      <c r="AOE26" s="500"/>
      <c r="AOF26" s="500"/>
      <c r="AOG26" s="500"/>
      <c r="AOH26" s="500"/>
      <c r="AOI26" s="500"/>
      <c r="AOJ26" s="500"/>
      <c r="AOK26" s="500"/>
      <c r="AOL26" s="500"/>
      <c r="AOM26" s="500"/>
      <c r="AON26" s="500"/>
      <c r="AOO26" s="500"/>
      <c r="AOP26" s="500"/>
      <c r="AOQ26" s="500"/>
      <c r="AOR26" s="500"/>
      <c r="AOS26" s="500"/>
      <c r="AOT26" s="500"/>
      <c r="AOU26" s="500"/>
      <c r="AOV26" s="500"/>
      <c r="AOW26" s="500"/>
      <c r="AOX26" s="500"/>
      <c r="AOY26" s="500"/>
      <c r="AOZ26" s="500"/>
      <c r="APA26" s="500"/>
      <c r="APB26" s="500"/>
      <c r="APC26" s="500"/>
      <c r="APD26" s="500"/>
      <c r="APE26" s="500"/>
      <c r="APF26" s="500"/>
      <c r="APG26" s="500"/>
      <c r="APH26" s="500"/>
      <c r="API26" s="500"/>
      <c r="APJ26" s="500"/>
      <c r="APK26" s="500"/>
      <c r="APL26" s="500"/>
      <c r="APM26" s="500"/>
      <c r="APN26" s="500"/>
      <c r="APO26" s="500"/>
      <c r="APP26" s="500"/>
      <c r="APQ26" s="500"/>
      <c r="APR26" s="500"/>
      <c r="APS26" s="500"/>
      <c r="APT26" s="500"/>
      <c r="APU26" s="500"/>
      <c r="APV26" s="500"/>
      <c r="APW26" s="500"/>
      <c r="APX26" s="500"/>
      <c r="APY26" s="500"/>
      <c r="APZ26" s="500"/>
      <c r="AQA26" s="500"/>
      <c r="AQB26" s="500"/>
      <c r="AQC26" s="500"/>
      <c r="AQD26" s="500"/>
      <c r="AQE26" s="500"/>
      <c r="AQF26" s="500"/>
      <c r="AQG26" s="500"/>
      <c r="AQH26" s="500"/>
      <c r="AQI26" s="500"/>
      <c r="AQJ26" s="500"/>
      <c r="AQK26" s="500"/>
      <c r="AQL26" s="500"/>
      <c r="AQM26" s="500"/>
      <c r="AQN26" s="500"/>
      <c r="AQO26" s="500"/>
      <c r="AQP26" s="500"/>
      <c r="AQQ26" s="500"/>
      <c r="AQR26" s="500"/>
      <c r="AQS26" s="500"/>
      <c r="AQT26" s="500"/>
      <c r="AQU26" s="500"/>
      <c r="AQV26" s="500"/>
      <c r="AQW26" s="500"/>
      <c r="AQX26" s="500"/>
      <c r="AQY26" s="500"/>
      <c r="AQZ26" s="500"/>
      <c r="ARA26" s="500"/>
      <c r="ARB26" s="500"/>
      <c r="ARC26" s="500"/>
      <c r="ARD26" s="500"/>
      <c r="ARE26" s="500"/>
      <c r="ARF26" s="500"/>
      <c r="ARG26" s="500"/>
      <c r="ARH26" s="500"/>
      <c r="ARI26" s="500"/>
      <c r="ARJ26" s="500"/>
      <c r="ARK26" s="500"/>
      <c r="ARL26" s="500"/>
      <c r="ARM26" s="500"/>
      <c r="ARN26" s="500"/>
      <c r="ARO26" s="500"/>
      <c r="ARP26" s="500"/>
      <c r="ARQ26" s="500"/>
      <c r="ARR26" s="500"/>
      <c r="ARS26" s="500"/>
      <c r="ART26" s="500"/>
      <c r="ARU26" s="500"/>
      <c r="ARV26" s="500"/>
      <c r="ARW26" s="500"/>
      <c r="ARX26" s="500"/>
      <c r="ARY26" s="500"/>
      <c r="ARZ26" s="500"/>
      <c r="ASA26" s="500"/>
      <c r="ASB26" s="500"/>
      <c r="ASC26" s="500"/>
      <c r="ASD26" s="500"/>
      <c r="ASE26" s="500"/>
      <c r="ASF26" s="500"/>
      <c r="ASG26" s="500"/>
      <c r="ASH26" s="500"/>
      <c r="ASI26" s="500"/>
      <c r="ASJ26" s="500"/>
      <c r="ASK26" s="500"/>
      <c r="ASL26" s="500"/>
      <c r="ASM26" s="500"/>
      <c r="ASN26" s="500"/>
      <c r="ASO26" s="500"/>
      <c r="ASP26" s="500"/>
      <c r="ASQ26" s="500"/>
      <c r="ASR26" s="500"/>
      <c r="ASS26" s="500"/>
      <c r="AST26" s="500"/>
      <c r="ASU26" s="500"/>
      <c r="ASV26" s="500"/>
      <c r="ASW26" s="500"/>
      <c r="ASX26" s="500"/>
      <c r="ASY26" s="500"/>
      <c r="ASZ26" s="500"/>
      <c r="ATA26" s="500"/>
      <c r="ATB26" s="500"/>
      <c r="ATC26" s="500"/>
      <c r="ATD26" s="500"/>
      <c r="ATE26" s="500"/>
      <c r="ATF26" s="500"/>
      <c r="ATG26" s="500"/>
      <c r="ATH26" s="500"/>
      <c r="ATI26" s="500"/>
      <c r="ATJ26" s="500"/>
      <c r="ATK26" s="500"/>
      <c r="ATL26" s="500"/>
      <c r="ATM26" s="500"/>
      <c r="ATN26" s="500"/>
      <c r="ATO26" s="500"/>
      <c r="ATP26" s="500"/>
      <c r="ATQ26" s="500"/>
      <c r="ATR26" s="500"/>
      <c r="ATS26" s="500"/>
      <c r="ATT26" s="500"/>
      <c r="ATU26" s="500"/>
      <c r="ATV26" s="500"/>
      <c r="ATW26" s="500"/>
      <c r="ATX26" s="500"/>
      <c r="ATY26" s="500"/>
      <c r="ATZ26" s="500"/>
      <c r="AUA26" s="500"/>
      <c r="AUB26" s="500"/>
      <c r="AUC26" s="500"/>
      <c r="AUD26" s="500"/>
      <c r="AUE26" s="500"/>
      <c r="AUF26" s="500"/>
      <c r="AUG26" s="500"/>
      <c r="AUH26" s="500"/>
      <c r="AUI26" s="500"/>
      <c r="AUJ26" s="500"/>
      <c r="AUK26" s="500"/>
      <c r="AUL26" s="500"/>
      <c r="AUM26" s="500"/>
      <c r="AUN26" s="500"/>
      <c r="AUO26" s="500"/>
      <c r="AUP26" s="500"/>
      <c r="AUQ26" s="500"/>
      <c r="AUR26" s="500"/>
      <c r="AUS26" s="500"/>
      <c r="AUT26" s="500"/>
      <c r="AUU26" s="500"/>
      <c r="AUV26" s="500"/>
      <c r="AUW26" s="500"/>
      <c r="AUX26" s="500"/>
      <c r="AUY26" s="500"/>
      <c r="AUZ26" s="500"/>
      <c r="AVA26" s="500"/>
      <c r="AVB26" s="500"/>
      <c r="AVC26" s="500"/>
      <c r="AVD26" s="500"/>
      <c r="AVE26" s="500"/>
      <c r="AVF26" s="500"/>
      <c r="AVG26" s="500"/>
      <c r="AVH26" s="500"/>
      <c r="AVI26" s="500"/>
      <c r="AVJ26" s="500"/>
      <c r="AVK26" s="500"/>
      <c r="AVL26" s="500"/>
      <c r="AVM26" s="500"/>
      <c r="AVN26" s="500"/>
      <c r="AVO26" s="500"/>
      <c r="AVP26" s="500"/>
      <c r="AVQ26" s="500"/>
      <c r="AVR26" s="500"/>
      <c r="AVS26" s="500"/>
      <c r="AVT26" s="500"/>
      <c r="AVU26" s="500"/>
      <c r="AVV26" s="500"/>
      <c r="AVW26" s="500"/>
      <c r="AVX26" s="500"/>
      <c r="AVY26" s="500"/>
      <c r="AVZ26" s="500"/>
      <c r="AWA26" s="500"/>
      <c r="AWB26" s="500"/>
      <c r="AWC26" s="500"/>
      <c r="AWD26" s="500"/>
      <c r="AWE26" s="500"/>
      <c r="AWF26" s="500"/>
      <c r="AWG26" s="500"/>
      <c r="AWH26" s="500"/>
      <c r="AWI26" s="500"/>
      <c r="AWJ26" s="500"/>
      <c r="AWK26" s="500"/>
      <c r="AWL26" s="500"/>
      <c r="AWM26" s="500"/>
      <c r="AWN26" s="500"/>
      <c r="AWO26" s="500"/>
      <c r="AWP26" s="500"/>
      <c r="AWQ26" s="500"/>
      <c r="AWR26" s="500"/>
      <c r="AWS26" s="500"/>
      <c r="AWT26" s="500"/>
      <c r="AWU26" s="500"/>
      <c r="AWV26" s="500"/>
      <c r="AWW26" s="500"/>
      <c r="AWX26" s="500"/>
      <c r="AWY26" s="500"/>
      <c r="AWZ26" s="500"/>
      <c r="AXA26" s="500"/>
      <c r="AXB26" s="500"/>
      <c r="AXC26" s="500"/>
      <c r="AXD26" s="500"/>
      <c r="AXE26" s="500"/>
      <c r="AXF26" s="500"/>
      <c r="AXG26" s="500"/>
      <c r="AXH26" s="500"/>
      <c r="AXI26" s="500"/>
      <c r="AXJ26" s="500"/>
      <c r="AXK26" s="500"/>
      <c r="AXL26" s="500"/>
      <c r="AXM26" s="500"/>
      <c r="AXN26" s="500"/>
      <c r="AXO26" s="500"/>
      <c r="AXP26" s="500"/>
      <c r="AXQ26" s="500"/>
      <c r="AXR26" s="500"/>
      <c r="AXS26" s="500"/>
      <c r="AXT26" s="500"/>
      <c r="AXU26" s="500"/>
      <c r="AXV26" s="500"/>
      <c r="AXW26" s="500"/>
      <c r="AXX26" s="500"/>
      <c r="AXY26" s="500"/>
      <c r="AXZ26" s="500"/>
      <c r="AYA26" s="500"/>
      <c r="AYB26" s="500"/>
      <c r="AYC26" s="500"/>
      <c r="AYD26" s="500"/>
      <c r="AYE26" s="500"/>
      <c r="AYF26" s="500"/>
      <c r="AYG26" s="500"/>
      <c r="AYH26" s="500"/>
      <c r="AYI26" s="500"/>
      <c r="AYJ26" s="500"/>
      <c r="AYK26" s="500"/>
      <c r="AYL26" s="500"/>
      <c r="AYM26" s="500"/>
      <c r="AYN26" s="500"/>
      <c r="AYO26" s="500"/>
      <c r="AYP26" s="500"/>
      <c r="AYQ26" s="500"/>
      <c r="AYR26" s="500"/>
      <c r="AYS26" s="500"/>
      <c r="AYT26" s="500"/>
      <c r="AYU26" s="500"/>
      <c r="AYV26" s="500"/>
      <c r="AYW26" s="500"/>
      <c r="AYX26" s="500"/>
      <c r="AYY26" s="500"/>
      <c r="AYZ26" s="500"/>
      <c r="AZA26" s="500"/>
      <c r="AZB26" s="500"/>
      <c r="AZC26" s="500"/>
      <c r="AZD26" s="500"/>
      <c r="AZE26" s="500"/>
      <c r="AZF26" s="500"/>
      <c r="AZG26" s="500"/>
      <c r="AZH26" s="500"/>
      <c r="AZI26" s="500"/>
      <c r="AZJ26" s="500"/>
      <c r="AZK26" s="500"/>
      <c r="AZL26" s="500"/>
      <c r="AZM26" s="500"/>
      <c r="AZN26" s="500"/>
      <c r="AZO26" s="500"/>
      <c r="AZP26" s="500"/>
      <c r="AZQ26" s="500"/>
      <c r="AZR26" s="500"/>
      <c r="AZS26" s="500"/>
      <c r="AZT26" s="500"/>
      <c r="AZU26" s="500"/>
      <c r="AZV26" s="500"/>
      <c r="AZW26" s="500"/>
      <c r="AZX26" s="500"/>
      <c r="AZY26" s="500"/>
      <c r="AZZ26" s="500"/>
      <c r="BAA26" s="500"/>
      <c r="BAB26" s="500"/>
      <c r="BAC26" s="500"/>
      <c r="BAD26" s="500"/>
      <c r="BAE26" s="500"/>
      <c r="BAF26" s="500"/>
      <c r="BAG26" s="500"/>
      <c r="BAH26" s="500"/>
      <c r="BAI26" s="500"/>
      <c r="BAJ26" s="500"/>
      <c r="BAK26" s="500"/>
      <c r="BAL26" s="500"/>
      <c r="BAM26" s="500"/>
      <c r="BAN26" s="500"/>
      <c r="BAO26" s="500"/>
      <c r="BAP26" s="500"/>
      <c r="BAQ26" s="500"/>
      <c r="BAR26" s="500"/>
      <c r="BAS26" s="500"/>
      <c r="BAT26" s="500"/>
      <c r="BAU26" s="500"/>
      <c r="BAV26" s="500"/>
      <c r="BAW26" s="500"/>
      <c r="BAX26" s="500"/>
      <c r="BAY26" s="500"/>
      <c r="BAZ26" s="500"/>
      <c r="BBA26" s="500"/>
      <c r="BBB26" s="500"/>
      <c r="BBC26" s="500"/>
      <c r="BBD26" s="500"/>
      <c r="BBE26" s="500"/>
      <c r="BBF26" s="500"/>
      <c r="BBG26" s="500"/>
      <c r="BBH26" s="500"/>
      <c r="BBI26" s="500"/>
      <c r="BBJ26" s="500"/>
      <c r="BBK26" s="500"/>
      <c r="BBL26" s="500"/>
      <c r="BBM26" s="500"/>
      <c r="BBN26" s="500"/>
      <c r="BBO26" s="500"/>
      <c r="BBP26" s="500"/>
      <c r="BBQ26" s="500"/>
      <c r="BBR26" s="500"/>
      <c r="BBS26" s="500"/>
      <c r="BBT26" s="500"/>
      <c r="BBU26" s="500"/>
      <c r="BBV26" s="500"/>
      <c r="BBW26" s="500"/>
      <c r="BBX26" s="500"/>
      <c r="BBY26" s="500"/>
      <c r="BBZ26" s="500"/>
      <c r="BCA26" s="500"/>
      <c r="BCB26" s="500"/>
      <c r="BCC26" s="500"/>
      <c r="BCD26" s="500"/>
      <c r="BCE26" s="500"/>
      <c r="BCF26" s="500"/>
      <c r="BCG26" s="500"/>
      <c r="BCH26" s="500"/>
      <c r="BCI26" s="500"/>
      <c r="BCJ26" s="500"/>
      <c r="BCK26" s="500"/>
      <c r="BCL26" s="500"/>
      <c r="BCM26" s="500"/>
      <c r="BCN26" s="500"/>
      <c r="BCO26" s="500"/>
      <c r="BCP26" s="500"/>
      <c r="BCQ26" s="500"/>
      <c r="BCR26" s="500"/>
      <c r="BCS26" s="500"/>
      <c r="BCT26" s="500"/>
      <c r="BCU26" s="500"/>
      <c r="BCV26" s="500"/>
      <c r="BCW26" s="500"/>
      <c r="BCX26" s="500"/>
      <c r="BCY26" s="500"/>
      <c r="BCZ26" s="500"/>
      <c r="BDA26" s="500"/>
      <c r="BDB26" s="500"/>
      <c r="BDC26" s="500"/>
      <c r="BDD26" s="500"/>
      <c r="BDE26" s="500"/>
      <c r="BDF26" s="500"/>
      <c r="BDG26" s="500"/>
      <c r="BDH26" s="500"/>
      <c r="BDI26" s="500"/>
      <c r="BDJ26" s="500"/>
      <c r="BDK26" s="500"/>
      <c r="BDL26" s="500"/>
      <c r="BDM26" s="500"/>
      <c r="BDN26" s="500"/>
      <c r="BDO26" s="500"/>
      <c r="BDP26" s="500"/>
      <c r="BDQ26" s="500"/>
      <c r="BDR26" s="500"/>
      <c r="BDS26" s="500"/>
      <c r="BDT26" s="500"/>
      <c r="BDU26" s="500"/>
      <c r="BDV26" s="500"/>
      <c r="BDW26" s="500"/>
      <c r="BDX26" s="500"/>
      <c r="BDY26" s="500"/>
      <c r="BDZ26" s="500"/>
      <c r="BEA26" s="500"/>
      <c r="BEB26" s="500"/>
      <c r="BEC26" s="500"/>
      <c r="BED26" s="500"/>
      <c r="BEE26" s="500"/>
      <c r="BEF26" s="500"/>
      <c r="BEG26" s="500"/>
      <c r="BEH26" s="500"/>
      <c r="BEI26" s="500"/>
      <c r="BEJ26" s="500"/>
      <c r="BEK26" s="500"/>
      <c r="BEL26" s="500"/>
      <c r="BEM26" s="500"/>
      <c r="BEN26" s="500"/>
      <c r="BEO26" s="500"/>
      <c r="BEP26" s="500"/>
      <c r="BEQ26" s="500"/>
      <c r="BER26" s="500"/>
      <c r="BES26" s="500"/>
      <c r="BET26" s="500"/>
      <c r="BEU26" s="500"/>
      <c r="BEV26" s="500"/>
      <c r="BEW26" s="500"/>
      <c r="BEX26" s="500"/>
      <c r="BEY26" s="500"/>
      <c r="BEZ26" s="500"/>
      <c r="BFA26" s="500"/>
      <c r="BFB26" s="500"/>
      <c r="BFC26" s="500"/>
      <c r="BFD26" s="500"/>
      <c r="BFE26" s="500"/>
      <c r="BFF26" s="500"/>
      <c r="BFG26" s="500"/>
      <c r="BFH26" s="500"/>
      <c r="BFI26" s="500"/>
      <c r="BFJ26" s="500"/>
      <c r="BFK26" s="500"/>
      <c r="BFL26" s="500"/>
      <c r="BFM26" s="500"/>
      <c r="BFN26" s="500"/>
      <c r="BFO26" s="500"/>
      <c r="BFP26" s="500"/>
      <c r="BFQ26" s="500"/>
      <c r="BFR26" s="500"/>
      <c r="BFS26" s="500"/>
      <c r="BFT26" s="500"/>
      <c r="BFU26" s="500"/>
      <c r="BFV26" s="500"/>
      <c r="BFW26" s="500"/>
      <c r="BFX26" s="500"/>
      <c r="BFY26" s="500"/>
      <c r="BFZ26" s="500"/>
      <c r="BGA26" s="500"/>
      <c r="BGB26" s="500"/>
      <c r="BGC26" s="500"/>
      <c r="BGD26" s="500"/>
      <c r="BGE26" s="500"/>
      <c r="BGF26" s="500"/>
      <c r="BGG26" s="500"/>
      <c r="BGH26" s="500"/>
      <c r="BGI26" s="500"/>
      <c r="BGJ26" s="500"/>
      <c r="BGK26" s="500"/>
      <c r="BGL26" s="500"/>
      <c r="BGM26" s="500"/>
      <c r="BGN26" s="500"/>
      <c r="BGO26" s="500"/>
      <c r="BGP26" s="500"/>
      <c r="BGQ26" s="500"/>
      <c r="BGR26" s="500"/>
      <c r="BGS26" s="500"/>
      <c r="BGT26" s="500"/>
      <c r="BGU26" s="500"/>
      <c r="BGV26" s="500"/>
      <c r="BGW26" s="500"/>
      <c r="BGX26" s="500"/>
      <c r="BGY26" s="500"/>
      <c r="BGZ26" s="500"/>
      <c r="BHA26" s="500"/>
      <c r="BHB26" s="500"/>
      <c r="BHC26" s="500"/>
      <c r="BHD26" s="500"/>
      <c r="BHE26" s="500"/>
      <c r="BHF26" s="500"/>
      <c r="BHG26" s="500"/>
      <c r="BHH26" s="500"/>
      <c r="BHI26" s="500"/>
      <c r="BHJ26" s="500"/>
      <c r="BHK26" s="500"/>
      <c r="BHL26" s="500"/>
      <c r="BHM26" s="500"/>
      <c r="BHN26" s="500"/>
      <c r="BHO26" s="500"/>
      <c r="BHP26" s="500"/>
      <c r="BHQ26" s="500"/>
      <c r="BHR26" s="500"/>
      <c r="BHS26" s="500"/>
      <c r="BHT26" s="500"/>
      <c r="BHU26" s="500"/>
      <c r="BHV26" s="500"/>
      <c r="BHW26" s="500"/>
      <c r="BHX26" s="500"/>
      <c r="BHY26" s="500"/>
      <c r="BHZ26" s="500"/>
      <c r="BIA26" s="500"/>
      <c r="BIB26" s="500"/>
      <c r="BIC26" s="500"/>
      <c r="BID26" s="500"/>
      <c r="BIE26" s="500"/>
      <c r="BIF26" s="500"/>
      <c r="BIG26" s="500"/>
      <c r="BIH26" s="500"/>
      <c r="BII26" s="500"/>
      <c r="BIJ26" s="500"/>
      <c r="BIK26" s="500"/>
      <c r="BIL26" s="500"/>
      <c r="BIM26" s="500"/>
      <c r="BIN26" s="500"/>
      <c r="BIO26" s="500"/>
      <c r="BIP26" s="500"/>
      <c r="BIQ26" s="500"/>
      <c r="BIR26" s="500"/>
      <c r="BIS26" s="500"/>
      <c r="BIT26" s="500"/>
      <c r="BIU26" s="500"/>
      <c r="BIV26" s="500"/>
      <c r="BIW26" s="500"/>
      <c r="BIX26" s="500"/>
      <c r="BIY26" s="500"/>
      <c r="BIZ26" s="500"/>
      <c r="BJA26" s="500"/>
      <c r="BJB26" s="500"/>
      <c r="BJC26" s="500"/>
      <c r="BJD26" s="500"/>
      <c r="BJE26" s="500"/>
      <c r="BJF26" s="500"/>
      <c r="BJG26" s="500"/>
      <c r="BJH26" s="500"/>
      <c r="BJI26" s="500"/>
      <c r="BJJ26" s="500"/>
      <c r="BJK26" s="500"/>
      <c r="BJL26" s="500"/>
      <c r="BJM26" s="500"/>
      <c r="BJN26" s="500"/>
      <c r="BJO26" s="500"/>
      <c r="BJP26" s="500"/>
      <c r="BJQ26" s="500"/>
      <c r="BJR26" s="500"/>
      <c r="BJS26" s="500"/>
      <c r="BJT26" s="500"/>
      <c r="BJU26" s="500"/>
      <c r="BJV26" s="500"/>
      <c r="BJW26" s="500"/>
      <c r="BJX26" s="500"/>
      <c r="BJY26" s="500"/>
      <c r="BJZ26" s="500"/>
      <c r="BKA26" s="500"/>
      <c r="BKB26" s="500"/>
      <c r="BKC26" s="500"/>
      <c r="BKD26" s="500"/>
      <c r="BKE26" s="500"/>
      <c r="BKF26" s="500"/>
      <c r="BKG26" s="500"/>
      <c r="BKH26" s="500"/>
      <c r="BKI26" s="500"/>
      <c r="BKJ26" s="500"/>
      <c r="BKK26" s="500"/>
      <c r="BKL26" s="500"/>
      <c r="BKM26" s="500"/>
      <c r="BKN26" s="500"/>
      <c r="BKO26" s="500"/>
      <c r="BKP26" s="500"/>
      <c r="BKQ26" s="500"/>
      <c r="BKR26" s="500"/>
      <c r="BKS26" s="500"/>
      <c r="BKT26" s="500"/>
      <c r="BKU26" s="500"/>
      <c r="BKV26" s="500"/>
      <c r="BKW26" s="500"/>
      <c r="BKX26" s="500"/>
      <c r="BKY26" s="500"/>
      <c r="BKZ26" s="500"/>
      <c r="BLA26" s="500"/>
      <c r="BLB26" s="500"/>
      <c r="BLC26" s="500"/>
      <c r="BLD26" s="500"/>
      <c r="BLE26" s="500"/>
      <c r="BLF26" s="500"/>
      <c r="BLG26" s="500"/>
      <c r="BLH26" s="500"/>
      <c r="BLI26" s="500"/>
      <c r="BLJ26" s="500"/>
      <c r="BLK26" s="500"/>
      <c r="BLL26" s="500"/>
      <c r="BLM26" s="500"/>
      <c r="BLN26" s="500"/>
      <c r="BLO26" s="500"/>
      <c r="BLP26" s="500"/>
      <c r="BLQ26" s="500"/>
      <c r="BLR26" s="500"/>
      <c r="BLS26" s="500"/>
      <c r="BLT26" s="500"/>
      <c r="BLU26" s="500"/>
      <c r="BLV26" s="500"/>
      <c r="BLW26" s="500"/>
      <c r="BLX26" s="500"/>
      <c r="BLY26" s="500"/>
      <c r="BLZ26" s="500"/>
      <c r="BMA26" s="500"/>
      <c r="BMB26" s="500"/>
      <c r="BMC26" s="500"/>
      <c r="BMD26" s="500"/>
      <c r="BME26" s="500"/>
      <c r="BMF26" s="500"/>
      <c r="BMG26" s="500"/>
      <c r="BMH26" s="500"/>
      <c r="BMI26" s="500"/>
      <c r="BMJ26" s="500"/>
      <c r="BMK26" s="500"/>
      <c r="BML26" s="500"/>
      <c r="BMM26" s="500"/>
      <c r="BMN26" s="500"/>
      <c r="BMO26" s="500"/>
      <c r="BMP26" s="500"/>
      <c r="BMQ26" s="500"/>
      <c r="BMR26" s="500"/>
      <c r="BMS26" s="500"/>
      <c r="BMT26" s="500"/>
      <c r="BMU26" s="500"/>
      <c r="BMV26" s="500"/>
      <c r="BMW26" s="500"/>
      <c r="BMX26" s="500"/>
      <c r="BMY26" s="500"/>
      <c r="BMZ26" s="500"/>
      <c r="BNA26" s="500"/>
      <c r="BNB26" s="500"/>
      <c r="BNC26" s="500"/>
      <c r="BND26" s="500"/>
      <c r="BNE26" s="500"/>
      <c r="BNF26" s="500"/>
      <c r="BNG26" s="500"/>
      <c r="BNH26" s="500"/>
      <c r="BNI26" s="500"/>
      <c r="BNJ26" s="500"/>
      <c r="BNK26" s="500"/>
      <c r="BNL26" s="500"/>
      <c r="BNM26" s="500"/>
      <c r="BNN26" s="500"/>
      <c r="BNO26" s="500"/>
      <c r="BNP26" s="500"/>
      <c r="BNQ26" s="500"/>
      <c r="BNR26" s="500"/>
      <c r="BNS26" s="500"/>
      <c r="BNT26" s="500"/>
      <c r="BNU26" s="500"/>
      <c r="BNV26" s="500"/>
      <c r="BNW26" s="500"/>
      <c r="BNX26" s="500"/>
      <c r="BNY26" s="500"/>
      <c r="BNZ26" s="500"/>
      <c r="BOA26" s="500"/>
      <c r="BOB26" s="500"/>
      <c r="BOC26" s="500"/>
      <c r="BOD26" s="500"/>
      <c r="BOE26" s="500"/>
      <c r="BOF26" s="500"/>
      <c r="BOG26" s="500"/>
      <c r="BOH26" s="500"/>
      <c r="BOI26" s="500"/>
      <c r="BOJ26" s="500"/>
      <c r="BOK26" s="500"/>
      <c r="BOL26" s="500"/>
      <c r="BOM26" s="500"/>
      <c r="BON26" s="500"/>
      <c r="BOO26" s="500"/>
      <c r="BOP26" s="500"/>
      <c r="BOQ26" s="500"/>
      <c r="BOR26" s="500"/>
      <c r="BOS26" s="500"/>
      <c r="BOT26" s="500"/>
      <c r="BOU26" s="500"/>
      <c r="BOV26" s="500"/>
      <c r="BOW26" s="500"/>
      <c r="BOX26" s="500"/>
      <c r="BOY26" s="500"/>
      <c r="BOZ26" s="500"/>
      <c r="BPA26" s="500"/>
      <c r="BPB26" s="500"/>
      <c r="BPC26" s="500"/>
      <c r="BPD26" s="500"/>
      <c r="BPE26" s="500"/>
      <c r="BPF26" s="500"/>
      <c r="BPG26" s="500"/>
      <c r="BPH26" s="500"/>
      <c r="BPI26" s="500"/>
      <c r="BPJ26" s="500"/>
      <c r="BPK26" s="500"/>
      <c r="BPL26" s="500"/>
      <c r="BPM26" s="500"/>
      <c r="BPN26" s="500"/>
      <c r="BPO26" s="500"/>
      <c r="BPP26" s="500"/>
      <c r="BPQ26" s="500"/>
      <c r="BPR26" s="500"/>
      <c r="BPS26" s="500"/>
      <c r="BPT26" s="500"/>
      <c r="BPU26" s="500"/>
      <c r="BPV26" s="500"/>
      <c r="BPW26" s="500"/>
      <c r="BPX26" s="500"/>
      <c r="BPY26" s="500"/>
      <c r="BPZ26" s="500"/>
      <c r="BQA26" s="500"/>
      <c r="BQB26" s="500"/>
      <c r="BQC26" s="500"/>
      <c r="BQD26" s="500"/>
      <c r="BQE26" s="500"/>
      <c r="BQF26" s="500"/>
      <c r="BQG26" s="500"/>
      <c r="BQH26" s="500"/>
      <c r="BQI26" s="500"/>
      <c r="BQJ26" s="500"/>
      <c r="BQK26" s="500"/>
      <c r="BQL26" s="500"/>
      <c r="BQM26" s="500"/>
      <c r="BQN26" s="500"/>
      <c r="BQO26" s="500"/>
      <c r="BQP26" s="500"/>
      <c r="BQQ26" s="500"/>
      <c r="BQR26" s="500"/>
      <c r="BQS26" s="500"/>
      <c r="BQT26" s="500"/>
      <c r="BQU26" s="500"/>
      <c r="BQV26" s="500"/>
      <c r="BQW26" s="500"/>
      <c r="BQX26" s="500"/>
      <c r="BQY26" s="500"/>
      <c r="BQZ26" s="500"/>
      <c r="BRA26" s="500"/>
      <c r="BRB26" s="500"/>
      <c r="BRC26" s="500"/>
      <c r="BRD26" s="500"/>
      <c r="BRE26" s="500"/>
      <c r="BRF26" s="500"/>
      <c r="BRG26" s="500"/>
      <c r="BRH26" s="500"/>
      <c r="BRI26" s="500"/>
      <c r="BRJ26" s="500"/>
      <c r="BRK26" s="500"/>
      <c r="BRL26" s="500"/>
      <c r="BRM26" s="500"/>
      <c r="BRN26" s="500"/>
      <c r="BRO26" s="500"/>
      <c r="BRP26" s="500"/>
      <c r="BRQ26" s="500"/>
      <c r="BRR26" s="500"/>
      <c r="BRS26" s="500"/>
      <c r="BRT26" s="500"/>
      <c r="BRU26" s="500"/>
      <c r="BRV26" s="500"/>
      <c r="BRW26" s="500"/>
      <c r="BRX26" s="500"/>
      <c r="BRY26" s="500"/>
      <c r="BRZ26" s="500"/>
      <c r="BSA26" s="500"/>
      <c r="BSB26" s="500"/>
      <c r="BSC26" s="500"/>
      <c r="BSD26" s="500"/>
      <c r="BSE26" s="500"/>
      <c r="BSF26" s="500"/>
      <c r="BSG26" s="500"/>
      <c r="BSH26" s="500"/>
      <c r="BSI26" s="500"/>
      <c r="BSJ26" s="500"/>
      <c r="BSK26" s="500"/>
      <c r="BSL26" s="500"/>
      <c r="BSM26" s="500"/>
      <c r="BSN26" s="500"/>
      <c r="BSO26" s="500"/>
      <c r="BSP26" s="500"/>
      <c r="BSQ26" s="500"/>
      <c r="BSR26" s="500"/>
      <c r="BSS26" s="500"/>
      <c r="BST26" s="500"/>
      <c r="BSU26" s="500"/>
      <c r="BSV26" s="500"/>
      <c r="BSW26" s="500"/>
      <c r="BSX26" s="500"/>
      <c r="BSY26" s="500"/>
      <c r="BSZ26" s="500"/>
      <c r="BTA26" s="500"/>
      <c r="BTB26" s="500"/>
      <c r="BTC26" s="500"/>
      <c r="BTD26" s="500"/>
      <c r="BTE26" s="500"/>
      <c r="BTF26" s="500"/>
      <c r="BTG26" s="500"/>
      <c r="BTH26" s="500"/>
      <c r="BTI26" s="500"/>
      <c r="BTJ26" s="500"/>
      <c r="BTK26" s="500"/>
      <c r="BTL26" s="500"/>
      <c r="BTM26" s="500"/>
      <c r="BTN26" s="500"/>
      <c r="BTO26" s="500"/>
      <c r="BTP26" s="500"/>
      <c r="BTQ26" s="500"/>
      <c r="BTR26" s="500"/>
      <c r="BTS26" s="500"/>
      <c r="BTT26" s="500"/>
      <c r="BTU26" s="500"/>
      <c r="BTV26" s="500"/>
      <c r="BTW26" s="500"/>
      <c r="BTX26" s="500"/>
      <c r="BTY26" s="500"/>
      <c r="BTZ26" s="500"/>
      <c r="BUA26" s="500"/>
      <c r="BUB26" s="500"/>
      <c r="BUC26" s="500"/>
      <c r="BUD26" s="500"/>
      <c r="BUE26" s="500"/>
      <c r="BUF26" s="500"/>
      <c r="BUG26" s="500"/>
      <c r="BUH26" s="500"/>
      <c r="BUI26" s="500"/>
      <c r="BUJ26" s="500"/>
      <c r="BUK26" s="500"/>
      <c r="BUL26" s="500"/>
      <c r="BUM26" s="500"/>
      <c r="BUN26" s="500"/>
      <c r="BUO26" s="500"/>
      <c r="BUP26" s="500"/>
      <c r="BUQ26" s="500"/>
      <c r="BUR26" s="500"/>
      <c r="BUS26" s="500"/>
      <c r="BUT26" s="500"/>
      <c r="BUU26" s="500"/>
      <c r="BUV26" s="500"/>
      <c r="BUW26" s="500"/>
      <c r="BUX26" s="500"/>
      <c r="BUY26" s="500"/>
      <c r="BUZ26" s="500"/>
      <c r="BVA26" s="500"/>
      <c r="BVB26" s="500"/>
      <c r="BVC26" s="500"/>
      <c r="BVD26" s="500"/>
      <c r="BVE26" s="500"/>
      <c r="BVF26" s="500"/>
      <c r="BVG26" s="500"/>
      <c r="BVH26" s="500"/>
      <c r="BVI26" s="500"/>
      <c r="BVJ26" s="500"/>
      <c r="BVK26" s="500"/>
      <c r="BVL26" s="500"/>
      <c r="BVM26" s="500"/>
      <c r="BVN26" s="500"/>
      <c r="BVO26" s="500"/>
      <c r="BVP26" s="500"/>
      <c r="BVQ26" s="500"/>
      <c r="BVR26" s="500"/>
      <c r="BVS26" s="500"/>
      <c r="BVT26" s="500"/>
      <c r="BVU26" s="500"/>
      <c r="BVV26" s="500"/>
      <c r="BVW26" s="500"/>
      <c r="BVX26" s="500"/>
      <c r="BVY26" s="500"/>
      <c r="BVZ26" s="500"/>
      <c r="BWA26" s="500"/>
      <c r="BWB26" s="500"/>
      <c r="BWC26" s="500"/>
      <c r="BWD26" s="500"/>
      <c r="BWE26" s="500"/>
      <c r="BWF26" s="500"/>
      <c r="BWG26" s="500"/>
      <c r="BWH26" s="500"/>
      <c r="BWI26" s="500"/>
      <c r="BWJ26" s="500"/>
      <c r="BWK26" s="500"/>
      <c r="BWL26" s="500"/>
      <c r="BWM26" s="500"/>
      <c r="BWN26" s="500"/>
      <c r="BWO26" s="500"/>
      <c r="BWP26" s="500"/>
      <c r="BWQ26" s="500"/>
      <c r="BWR26" s="500"/>
      <c r="BWS26" s="500"/>
      <c r="BWT26" s="500"/>
      <c r="BWU26" s="500"/>
      <c r="BWV26" s="500"/>
      <c r="BWW26" s="500"/>
      <c r="BWX26" s="500"/>
      <c r="BWY26" s="500"/>
      <c r="BWZ26" s="500"/>
      <c r="BXA26" s="500"/>
      <c r="BXB26" s="500"/>
      <c r="BXC26" s="500"/>
      <c r="BXD26" s="500"/>
      <c r="BXE26" s="500"/>
      <c r="BXF26" s="500"/>
      <c r="BXG26" s="500"/>
      <c r="BXH26" s="500"/>
      <c r="BXI26" s="500"/>
      <c r="BXJ26" s="500"/>
      <c r="BXK26" s="500"/>
      <c r="BXL26" s="500"/>
      <c r="BXM26" s="500"/>
      <c r="BXN26" s="500"/>
      <c r="BXO26" s="500"/>
      <c r="BXP26" s="500"/>
      <c r="BXQ26" s="500"/>
      <c r="BXR26" s="500"/>
      <c r="BXS26" s="500"/>
      <c r="BXT26" s="500"/>
      <c r="BXU26" s="500"/>
      <c r="BXV26" s="500"/>
      <c r="BXW26" s="500"/>
      <c r="BXX26" s="500"/>
      <c r="BXY26" s="500"/>
      <c r="BXZ26" s="500"/>
      <c r="BYA26" s="500"/>
      <c r="BYB26" s="500"/>
      <c r="BYC26" s="500"/>
      <c r="BYD26" s="500"/>
      <c r="BYE26" s="500"/>
      <c r="BYF26" s="500"/>
      <c r="BYG26" s="500"/>
      <c r="BYH26" s="500"/>
      <c r="BYI26" s="500"/>
      <c r="BYJ26" s="500"/>
      <c r="BYK26" s="500"/>
      <c r="BYL26" s="500"/>
      <c r="BYM26" s="500"/>
      <c r="BYN26" s="500"/>
      <c r="BYO26" s="500"/>
      <c r="BYP26" s="500"/>
      <c r="BYQ26" s="500"/>
      <c r="BYR26" s="500"/>
      <c r="BYS26" s="500"/>
      <c r="BYT26" s="500"/>
      <c r="BYU26" s="500"/>
      <c r="BYV26" s="500"/>
      <c r="BYW26" s="500"/>
      <c r="BYX26" s="500"/>
      <c r="BYY26" s="500"/>
      <c r="BYZ26" s="500"/>
      <c r="BZA26" s="500"/>
      <c r="BZB26" s="500"/>
      <c r="BZC26" s="500"/>
      <c r="BZD26" s="500"/>
      <c r="BZE26" s="500"/>
      <c r="BZF26" s="500"/>
      <c r="BZG26" s="500"/>
      <c r="BZH26" s="500"/>
      <c r="BZI26" s="500"/>
      <c r="BZJ26" s="500"/>
      <c r="BZK26" s="500"/>
      <c r="BZL26" s="500"/>
      <c r="BZM26" s="500"/>
      <c r="BZN26" s="500"/>
      <c r="BZO26" s="500"/>
      <c r="BZP26" s="500"/>
      <c r="BZQ26" s="500"/>
      <c r="BZR26" s="500"/>
      <c r="BZS26" s="500"/>
      <c r="BZT26" s="500"/>
      <c r="BZU26" s="500"/>
      <c r="BZV26" s="500"/>
      <c r="BZW26" s="500"/>
      <c r="BZX26" s="500"/>
      <c r="BZY26" s="500"/>
      <c r="BZZ26" s="500"/>
      <c r="CAA26" s="500"/>
      <c r="CAB26" s="500"/>
      <c r="CAC26" s="500"/>
      <c r="CAD26" s="500"/>
      <c r="CAE26" s="500"/>
      <c r="CAF26" s="500"/>
      <c r="CAG26" s="500"/>
      <c r="CAH26" s="500"/>
      <c r="CAI26" s="500"/>
      <c r="CAJ26" s="500"/>
      <c r="CAK26" s="500"/>
      <c r="CAL26" s="500"/>
      <c r="CAM26" s="500"/>
      <c r="CAN26" s="500"/>
      <c r="CAO26" s="500"/>
      <c r="CAP26" s="500"/>
      <c r="CAQ26" s="500"/>
      <c r="CAR26" s="500"/>
      <c r="CAS26" s="500"/>
      <c r="CAT26" s="500"/>
      <c r="CAU26" s="500"/>
      <c r="CAV26" s="500"/>
      <c r="CAW26" s="500"/>
      <c r="CAX26" s="500"/>
      <c r="CAY26" s="500"/>
      <c r="CAZ26" s="500"/>
      <c r="CBA26" s="500"/>
      <c r="CBB26" s="500"/>
      <c r="CBC26" s="500"/>
      <c r="CBD26" s="500"/>
      <c r="CBE26" s="500"/>
      <c r="CBF26" s="500"/>
      <c r="CBG26" s="500"/>
      <c r="CBH26" s="500"/>
      <c r="CBI26" s="500"/>
      <c r="CBJ26" s="500"/>
      <c r="CBK26" s="500"/>
      <c r="CBL26" s="500"/>
      <c r="CBM26" s="500"/>
      <c r="CBN26" s="500"/>
      <c r="CBO26" s="500"/>
      <c r="CBP26" s="500"/>
      <c r="CBQ26" s="500"/>
      <c r="CBR26" s="500"/>
      <c r="CBS26" s="500"/>
      <c r="CBT26" s="500"/>
      <c r="CBU26" s="500"/>
      <c r="CBV26" s="500"/>
      <c r="CBW26" s="500"/>
      <c r="CBX26" s="500"/>
      <c r="CBY26" s="500"/>
      <c r="CBZ26" s="500"/>
      <c r="CCA26" s="500"/>
      <c r="CCB26" s="500"/>
      <c r="CCC26" s="500"/>
      <c r="CCD26" s="500"/>
      <c r="CCE26" s="500"/>
      <c r="CCF26" s="500"/>
      <c r="CCG26" s="500"/>
      <c r="CCH26" s="500"/>
      <c r="CCI26" s="500"/>
      <c r="CCJ26" s="500"/>
      <c r="CCK26" s="500"/>
      <c r="CCL26" s="500"/>
      <c r="CCM26" s="500"/>
      <c r="CCN26" s="500"/>
      <c r="CCO26" s="500"/>
      <c r="CCP26" s="500"/>
      <c r="CCQ26" s="500"/>
      <c r="CCR26" s="500"/>
      <c r="CCS26" s="500"/>
      <c r="CCT26" s="500"/>
      <c r="CCU26" s="500"/>
      <c r="CCV26" s="500"/>
      <c r="CCW26" s="500"/>
      <c r="CCX26" s="500"/>
      <c r="CCY26" s="500"/>
      <c r="CCZ26" s="500"/>
      <c r="CDA26" s="500"/>
      <c r="CDB26" s="500"/>
      <c r="CDC26" s="500"/>
      <c r="CDD26" s="500"/>
      <c r="CDE26" s="500"/>
      <c r="CDF26" s="500"/>
      <c r="CDG26" s="500"/>
      <c r="CDH26" s="500"/>
      <c r="CDI26" s="500"/>
      <c r="CDJ26" s="500"/>
      <c r="CDK26" s="500"/>
      <c r="CDL26" s="500"/>
      <c r="CDM26" s="500"/>
      <c r="CDN26" s="500"/>
      <c r="CDO26" s="500"/>
      <c r="CDP26" s="500"/>
      <c r="CDQ26" s="500"/>
      <c r="CDR26" s="500"/>
      <c r="CDS26" s="500"/>
      <c r="CDT26" s="500"/>
      <c r="CDU26" s="500"/>
      <c r="CDV26" s="500"/>
      <c r="CDW26" s="500"/>
      <c r="CDX26" s="500"/>
      <c r="CDY26" s="500"/>
      <c r="CDZ26" s="500"/>
      <c r="CEA26" s="500"/>
      <c r="CEB26" s="500"/>
      <c r="CEC26" s="500"/>
      <c r="CED26" s="500"/>
      <c r="CEE26" s="500"/>
      <c r="CEF26" s="500"/>
      <c r="CEG26" s="500"/>
      <c r="CEH26" s="500"/>
      <c r="CEI26" s="500"/>
      <c r="CEJ26" s="500"/>
      <c r="CEK26" s="500"/>
      <c r="CEL26" s="500"/>
      <c r="CEM26" s="500"/>
      <c r="CEN26" s="500"/>
      <c r="CEO26" s="500"/>
      <c r="CEP26" s="500"/>
      <c r="CEQ26" s="500"/>
      <c r="CER26" s="500"/>
      <c r="CES26" s="500"/>
      <c r="CET26" s="500"/>
      <c r="CEU26" s="500"/>
      <c r="CEV26" s="500"/>
      <c r="CEW26" s="500"/>
      <c r="CEX26" s="500"/>
      <c r="CEY26" s="500"/>
      <c r="CEZ26" s="500"/>
      <c r="CFA26" s="500"/>
      <c r="CFB26" s="500"/>
      <c r="CFC26" s="500"/>
      <c r="CFD26" s="500"/>
      <c r="CFE26" s="500"/>
      <c r="CFF26" s="500"/>
      <c r="CFG26" s="500"/>
      <c r="CFH26" s="500"/>
      <c r="CFI26" s="500"/>
      <c r="CFJ26" s="500"/>
      <c r="CFK26" s="500"/>
      <c r="CFL26" s="500"/>
      <c r="CFM26" s="500"/>
      <c r="CFN26" s="500"/>
      <c r="CFO26" s="500"/>
      <c r="CFP26" s="500"/>
      <c r="CFQ26" s="500"/>
      <c r="CFR26" s="500"/>
      <c r="CFS26" s="500"/>
      <c r="CFT26" s="500"/>
      <c r="CFU26" s="500"/>
      <c r="CFV26" s="500"/>
      <c r="CFW26" s="500"/>
      <c r="CFX26" s="500"/>
      <c r="CFY26" s="500"/>
      <c r="CFZ26" s="500"/>
      <c r="CGA26" s="500"/>
      <c r="CGB26" s="500"/>
      <c r="CGC26" s="500"/>
      <c r="CGD26" s="500"/>
      <c r="CGE26" s="500"/>
      <c r="CGF26" s="500"/>
      <c r="CGG26" s="500"/>
      <c r="CGH26" s="500"/>
      <c r="CGI26" s="500"/>
      <c r="CGJ26" s="500"/>
      <c r="CGK26" s="500"/>
      <c r="CGL26" s="500"/>
      <c r="CGM26" s="500"/>
      <c r="CGN26" s="500"/>
      <c r="CGO26" s="500"/>
      <c r="CGP26" s="500"/>
      <c r="CGQ26" s="500"/>
      <c r="CGR26" s="500"/>
      <c r="CGS26" s="500"/>
      <c r="CGT26" s="500"/>
      <c r="CGU26" s="500"/>
      <c r="CGV26" s="500"/>
      <c r="CGW26" s="500"/>
      <c r="CGX26" s="500"/>
      <c r="CGY26" s="500"/>
      <c r="CGZ26" s="500"/>
      <c r="CHA26" s="500"/>
      <c r="CHB26" s="500"/>
      <c r="CHC26" s="500"/>
      <c r="CHD26" s="500"/>
      <c r="CHE26" s="500"/>
      <c r="CHF26" s="500"/>
      <c r="CHG26" s="500"/>
      <c r="CHH26" s="500"/>
      <c r="CHI26" s="500"/>
      <c r="CHJ26" s="500"/>
      <c r="CHK26" s="500"/>
      <c r="CHL26" s="500"/>
      <c r="CHM26" s="500"/>
      <c r="CHN26" s="500"/>
      <c r="CHO26" s="500"/>
      <c r="CHP26" s="500"/>
      <c r="CHQ26" s="500"/>
      <c r="CHR26" s="500"/>
      <c r="CHS26" s="500"/>
      <c r="CHT26" s="500"/>
      <c r="CHU26" s="500"/>
      <c r="CHV26" s="500"/>
      <c r="CHW26" s="500"/>
      <c r="CHX26" s="500"/>
      <c r="CHY26" s="500"/>
      <c r="CHZ26" s="500"/>
      <c r="CIA26" s="500"/>
      <c r="CIB26" s="500"/>
      <c r="CIC26" s="500"/>
      <c r="CID26" s="500"/>
      <c r="CIE26" s="500"/>
      <c r="CIF26" s="500"/>
      <c r="CIG26" s="500"/>
      <c r="CIH26" s="500"/>
      <c r="CII26" s="500"/>
      <c r="CIJ26" s="500"/>
      <c r="CIK26" s="500"/>
      <c r="CIL26" s="500"/>
      <c r="CIM26" s="500"/>
      <c r="CIN26" s="500"/>
      <c r="CIO26" s="500"/>
      <c r="CIP26" s="500"/>
      <c r="CIQ26" s="500"/>
      <c r="CIR26" s="500"/>
      <c r="CIS26" s="500"/>
      <c r="CIT26" s="500"/>
      <c r="CIU26" s="500"/>
      <c r="CIV26" s="500"/>
      <c r="CIW26" s="500"/>
      <c r="CIX26" s="500"/>
      <c r="CIY26" s="500"/>
      <c r="CIZ26" s="500"/>
      <c r="CJA26" s="500"/>
      <c r="CJB26" s="500"/>
      <c r="CJC26" s="500"/>
      <c r="CJD26" s="500"/>
      <c r="CJE26" s="500"/>
      <c r="CJF26" s="500"/>
      <c r="CJG26" s="500"/>
      <c r="CJH26" s="500"/>
      <c r="CJI26" s="500"/>
      <c r="CJJ26" s="500"/>
      <c r="CJK26" s="500"/>
      <c r="CJL26" s="500"/>
      <c r="CJM26" s="500"/>
      <c r="CJN26" s="500"/>
      <c r="CJO26" s="500"/>
      <c r="CJP26" s="500"/>
      <c r="CJQ26" s="500"/>
      <c r="CJR26" s="500"/>
      <c r="CJS26" s="500"/>
      <c r="CJT26" s="500"/>
      <c r="CJU26" s="500"/>
      <c r="CJV26" s="500"/>
      <c r="CJW26" s="500"/>
      <c r="CJX26" s="500"/>
      <c r="CJY26" s="500"/>
      <c r="CJZ26" s="500"/>
      <c r="CKA26" s="500"/>
      <c r="CKB26" s="500"/>
      <c r="CKC26" s="500"/>
      <c r="CKD26" s="500"/>
      <c r="CKE26" s="500"/>
      <c r="CKF26" s="500"/>
      <c r="CKG26" s="500"/>
      <c r="CKH26" s="500"/>
      <c r="CKI26" s="500"/>
      <c r="CKJ26" s="500"/>
      <c r="CKK26" s="500"/>
      <c r="CKL26" s="500"/>
      <c r="CKM26" s="500"/>
      <c r="CKN26" s="500"/>
      <c r="CKO26" s="500"/>
      <c r="CKP26" s="500"/>
      <c r="CKQ26" s="500"/>
      <c r="CKR26" s="500"/>
      <c r="CKS26" s="500"/>
      <c r="CKT26" s="500"/>
      <c r="CKU26" s="500"/>
      <c r="CKV26" s="500"/>
      <c r="CKW26" s="500"/>
      <c r="CKX26" s="500"/>
      <c r="CKY26" s="500"/>
      <c r="CKZ26" s="500"/>
      <c r="CLA26" s="500"/>
      <c r="CLB26" s="500"/>
      <c r="CLC26" s="500"/>
      <c r="CLD26" s="500"/>
      <c r="CLE26" s="500"/>
      <c r="CLF26" s="500"/>
      <c r="CLG26" s="500"/>
      <c r="CLH26" s="500"/>
      <c r="CLI26" s="500"/>
      <c r="CLJ26" s="500"/>
      <c r="CLK26" s="500"/>
      <c r="CLL26" s="500"/>
      <c r="CLM26" s="500"/>
      <c r="CLN26" s="500"/>
      <c r="CLO26" s="500"/>
      <c r="CLP26" s="500"/>
      <c r="CLQ26" s="500"/>
      <c r="CLR26" s="500"/>
      <c r="CLS26" s="500"/>
      <c r="CLT26" s="500"/>
      <c r="CLU26" s="500"/>
      <c r="CLV26" s="500"/>
      <c r="CLW26" s="500"/>
      <c r="CLX26" s="500"/>
      <c r="CLY26" s="500"/>
      <c r="CLZ26" s="500"/>
      <c r="CMA26" s="500"/>
      <c r="CMB26" s="500"/>
      <c r="CMC26" s="500"/>
      <c r="CMD26" s="500"/>
      <c r="CME26" s="500"/>
      <c r="CMF26" s="500"/>
      <c r="CMG26" s="500"/>
      <c r="CMH26" s="500"/>
      <c r="CMI26" s="500"/>
      <c r="CMJ26" s="500"/>
      <c r="CMK26" s="500"/>
      <c r="CML26" s="500"/>
      <c r="CMM26" s="500"/>
      <c r="CMN26" s="500"/>
      <c r="CMO26" s="500"/>
      <c r="CMP26" s="500"/>
      <c r="CMQ26" s="500"/>
      <c r="CMR26" s="500"/>
      <c r="CMS26" s="500"/>
      <c r="CMT26" s="500"/>
      <c r="CMU26" s="500"/>
      <c r="CMV26" s="500"/>
      <c r="CMW26" s="500"/>
      <c r="CMX26" s="500"/>
      <c r="CMY26" s="500"/>
      <c r="CMZ26" s="500"/>
      <c r="CNA26" s="500"/>
      <c r="CNB26" s="500"/>
      <c r="CNC26" s="500"/>
      <c r="CND26" s="500"/>
      <c r="CNE26" s="500"/>
      <c r="CNF26" s="500"/>
      <c r="CNG26" s="500"/>
      <c r="CNH26" s="500"/>
      <c r="CNI26" s="500"/>
      <c r="CNJ26" s="500"/>
      <c r="CNK26" s="500"/>
      <c r="CNL26" s="500"/>
      <c r="CNM26" s="500"/>
      <c r="CNN26" s="500"/>
      <c r="CNO26" s="500"/>
      <c r="CNP26" s="500"/>
      <c r="CNQ26" s="500"/>
      <c r="CNR26" s="500"/>
      <c r="CNS26" s="500"/>
      <c r="CNT26" s="500"/>
      <c r="CNU26" s="500"/>
      <c r="CNV26" s="500"/>
      <c r="CNW26" s="500"/>
      <c r="CNX26" s="500"/>
      <c r="CNY26" s="500"/>
      <c r="CNZ26" s="500"/>
      <c r="COA26" s="500"/>
      <c r="COB26" s="500"/>
      <c r="COC26" s="500"/>
      <c r="COD26" s="500"/>
      <c r="COE26" s="500"/>
      <c r="COF26" s="500"/>
      <c r="COG26" s="500"/>
      <c r="COH26" s="500"/>
      <c r="COI26" s="500"/>
      <c r="COJ26" s="500"/>
      <c r="COK26" s="500"/>
      <c r="COL26" s="500"/>
      <c r="COM26" s="500"/>
      <c r="CON26" s="500"/>
      <c r="COO26" s="500"/>
      <c r="COP26" s="500"/>
      <c r="COQ26" s="500"/>
      <c r="COR26" s="500"/>
      <c r="COS26" s="500"/>
      <c r="COT26" s="500"/>
      <c r="COU26" s="500"/>
      <c r="COV26" s="500"/>
      <c r="COW26" s="500"/>
      <c r="COX26" s="500"/>
      <c r="COY26" s="500"/>
      <c r="COZ26" s="500"/>
      <c r="CPA26" s="500"/>
      <c r="CPB26" s="500"/>
      <c r="CPC26" s="500"/>
      <c r="CPD26" s="500"/>
      <c r="CPE26" s="500"/>
      <c r="CPF26" s="500"/>
      <c r="CPG26" s="500"/>
      <c r="CPH26" s="500"/>
      <c r="CPI26" s="500"/>
      <c r="CPJ26" s="500"/>
      <c r="CPK26" s="500"/>
      <c r="CPL26" s="500"/>
      <c r="CPM26" s="500"/>
      <c r="CPN26" s="500"/>
      <c r="CPO26" s="500"/>
      <c r="CPP26" s="500"/>
      <c r="CPQ26" s="500"/>
      <c r="CPR26" s="500"/>
      <c r="CPS26" s="500"/>
      <c r="CPT26" s="500"/>
      <c r="CPU26" s="500"/>
      <c r="CPV26" s="500"/>
      <c r="CPW26" s="500"/>
      <c r="CPX26" s="500"/>
      <c r="CPY26" s="500"/>
      <c r="CPZ26" s="500"/>
      <c r="CQA26" s="500"/>
      <c r="CQB26" s="500"/>
      <c r="CQC26" s="500"/>
      <c r="CQD26" s="500"/>
      <c r="CQE26" s="500"/>
      <c r="CQF26" s="500"/>
      <c r="CQG26" s="500"/>
      <c r="CQH26" s="500"/>
      <c r="CQI26" s="500"/>
      <c r="CQJ26" s="500"/>
      <c r="CQK26" s="500"/>
      <c r="CQL26" s="500"/>
      <c r="CQM26" s="500"/>
      <c r="CQN26" s="500"/>
      <c r="CQO26" s="500"/>
      <c r="CQP26" s="500"/>
      <c r="CQQ26" s="500"/>
      <c r="CQR26" s="500"/>
      <c r="CQS26" s="500"/>
      <c r="CQT26" s="500"/>
      <c r="CQU26" s="500"/>
      <c r="CQV26" s="500"/>
      <c r="CQW26" s="500"/>
      <c r="CQX26" s="500"/>
      <c r="CQY26" s="500"/>
      <c r="CQZ26" s="500"/>
      <c r="CRA26" s="500"/>
      <c r="CRB26" s="500"/>
      <c r="CRC26" s="500"/>
      <c r="CRD26" s="500"/>
      <c r="CRE26" s="500"/>
      <c r="CRF26" s="500"/>
      <c r="CRG26" s="500"/>
      <c r="CRH26" s="500"/>
      <c r="CRI26" s="500"/>
      <c r="CRJ26" s="500"/>
      <c r="CRK26" s="500"/>
      <c r="CRL26" s="500"/>
      <c r="CRM26" s="500"/>
      <c r="CRN26" s="500"/>
      <c r="CRO26" s="500"/>
      <c r="CRP26" s="500"/>
      <c r="CRQ26" s="500"/>
      <c r="CRR26" s="500"/>
      <c r="CRS26" s="500"/>
      <c r="CRT26" s="500"/>
      <c r="CRU26" s="500"/>
      <c r="CRV26" s="500"/>
      <c r="CRW26" s="500"/>
      <c r="CRX26" s="500"/>
      <c r="CRY26" s="500"/>
      <c r="CRZ26" s="500"/>
      <c r="CSA26" s="500"/>
      <c r="CSB26" s="500"/>
      <c r="CSC26" s="500"/>
      <c r="CSD26" s="500"/>
      <c r="CSE26" s="500"/>
      <c r="CSF26" s="500"/>
      <c r="CSG26" s="500"/>
      <c r="CSH26" s="500"/>
      <c r="CSI26" s="500"/>
      <c r="CSJ26" s="500"/>
      <c r="CSK26" s="500"/>
      <c r="CSL26" s="500"/>
      <c r="CSM26" s="500"/>
      <c r="CSN26" s="500"/>
      <c r="CSO26" s="500"/>
      <c r="CSP26" s="500"/>
      <c r="CSQ26" s="500"/>
      <c r="CSR26" s="500"/>
      <c r="CSS26" s="500"/>
      <c r="CST26" s="500"/>
      <c r="CSU26" s="500"/>
      <c r="CSV26" s="500"/>
      <c r="CSW26" s="500"/>
      <c r="CSX26" s="500"/>
      <c r="CSY26" s="500"/>
      <c r="CSZ26" s="500"/>
      <c r="CTA26" s="500"/>
      <c r="CTB26" s="500"/>
      <c r="CTC26" s="500"/>
      <c r="CTD26" s="500"/>
      <c r="CTE26" s="500"/>
      <c r="CTF26" s="500"/>
      <c r="CTG26" s="500"/>
      <c r="CTH26" s="500"/>
      <c r="CTI26" s="500"/>
      <c r="CTJ26" s="500"/>
      <c r="CTK26" s="500"/>
      <c r="CTL26" s="500"/>
      <c r="CTM26" s="500"/>
      <c r="CTN26" s="500"/>
      <c r="CTO26" s="500"/>
      <c r="CTP26" s="500"/>
      <c r="CTQ26" s="500"/>
      <c r="CTR26" s="500"/>
      <c r="CTS26" s="500"/>
      <c r="CTT26" s="500"/>
      <c r="CTU26" s="500"/>
      <c r="CTV26" s="500"/>
      <c r="CTW26" s="500"/>
      <c r="CTX26" s="500"/>
      <c r="CTY26" s="500"/>
      <c r="CTZ26" s="500"/>
      <c r="CUA26" s="500"/>
      <c r="CUB26" s="500"/>
      <c r="CUC26" s="500"/>
      <c r="CUD26" s="500"/>
      <c r="CUE26" s="500"/>
      <c r="CUF26" s="500"/>
      <c r="CUG26" s="500"/>
      <c r="CUH26" s="500"/>
      <c r="CUI26" s="500"/>
      <c r="CUJ26" s="500"/>
      <c r="CUK26" s="500"/>
      <c r="CUL26" s="500"/>
      <c r="CUM26" s="500"/>
      <c r="CUN26" s="500"/>
      <c r="CUO26" s="500"/>
      <c r="CUP26" s="500"/>
      <c r="CUQ26" s="500"/>
      <c r="CUR26" s="500"/>
      <c r="CUS26" s="500"/>
      <c r="CUT26" s="500"/>
      <c r="CUU26" s="500"/>
      <c r="CUV26" s="500"/>
      <c r="CUW26" s="500"/>
      <c r="CUX26" s="500"/>
      <c r="CUY26" s="500"/>
      <c r="CUZ26" s="500"/>
      <c r="CVA26" s="500"/>
      <c r="CVB26" s="500"/>
      <c r="CVC26" s="500"/>
      <c r="CVD26" s="500"/>
      <c r="CVE26" s="500"/>
      <c r="CVF26" s="500"/>
      <c r="CVG26" s="500"/>
      <c r="CVH26" s="500"/>
      <c r="CVI26" s="500"/>
      <c r="CVJ26" s="500"/>
      <c r="CVK26" s="500"/>
      <c r="CVL26" s="500"/>
      <c r="CVM26" s="500"/>
      <c r="CVN26" s="500"/>
      <c r="CVO26" s="500"/>
      <c r="CVP26" s="500"/>
      <c r="CVQ26" s="500"/>
      <c r="CVR26" s="500"/>
      <c r="CVS26" s="500"/>
      <c r="CVT26" s="500"/>
      <c r="CVU26" s="500"/>
      <c r="CVV26" s="500"/>
      <c r="CVW26" s="500"/>
      <c r="CVX26" s="500"/>
      <c r="CVY26" s="500"/>
      <c r="CVZ26" s="500"/>
      <c r="CWA26" s="500"/>
      <c r="CWB26" s="500"/>
      <c r="CWC26" s="500"/>
      <c r="CWD26" s="500"/>
      <c r="CWE26" s="500"/>
      <c r="CWF26" s="500"/>
      <c r="CWG26" s="500"/>
      <c r="CWH26" s="500"/>
      <c r="CWI26" s="500"/>
      <c r="CWJ26" s="500"/>
      <c r="CWK26" s="500"/>
      <c r="CWL26" s="500"/>
      <c r="CWM26" s="500"/>
      <c r="CWN26" s="500"/>
      <c r="CWO26" s="500"/>
      <c r="CWP26" s="500"/>
      <c r="CWQ26" s="500"/>
      <c r="CWR26" s="500"/>
      <c r="CWS26" s="500"/>
      <c r="CWT26" s="500"/>
      <c r="CWU26" s="500"/>
      <c r="CWV26" s="500"/>
      <c r="CWW26" s="500"/>
      <c r="CWX26" s="500"/>
      <c r="CWY26" s="500"/>
      <c r="CWZ26" s="500"/>
      <c r="CXA26" s="500"/>
      <c r="CXB26" s="500"/>
      <c r="CXC26" s="500"/>
      <c r="CXD26" s="500"/>
      <c r="CXE26" s="500"/>
      <c r="CXF26" s="500"/>
      <c r="CXG26" s="500"/>
      <c r="CXH26" s="500"/>
      <c r="CXI26" s="500"/>
      <c r="CXJ26" s="500"/>
      <c r="CXK26" s="500"/>
      <c r="CXL26" s="500"/>
      <c r="CXM26" s="500"/>
      <c r="CXN26" s="500"/>
      <c r="CXO26" s="500"/>
      <c r="CXP26" s="500"/>
      <c r="CXQ26" s="500"/>
      <c r="CXR26" s="500"/>
      <c r="CXS26" s="500"/>
      <c r="CXT26" s="500"/>
      <c r="CXU26" s="500"/>
      <c r="CXV26" s="500"/>
      <c r="CXW26" s="500"/>
      <c r="CXX26" s="500"/>
      <c r="CXY26" s="500"/>
      <c r="CXZ26" s="500"/>
      <c r="CYA26" s="500"/>
      <c r="CYB26" s="500"/>
      <c r="CYC26" s="500"/>
      <c r="CYD26" s="500"/>
      <c r="CYE26" s="500"/>
      <c r="CYF26" s="500"/>
      <c r="CYG26" s="500"/>
      <c r="CYH26" s="500"/>
      <c r="CYI26" s="500"/>
      <c r="CYJ26" s="500"/>
      <c r="CYK26" s="500"/>
      <c r="CYL26" s="500"/>
      <c r="CYM26" s="500"/>
      <c r="CYN26" s="500"/>
      <c r="CYO26" s="500"/>
      <c r="CYP26" s="500"/>
      <c r="CYQ26" s="500"/>
      <c r="CYR26" s="500"/>
      <c r="CYS26" s="500"/>
      <c r="CYT26" s="500"/>
      <c r="CYU26" s="500"/>
      <c r="CYV26" s="500"/>
      <c r="CYW26" s="500"/>
      <c r="CYX26" s="500"/>
      <c r="CYY26" s="500"/>
      <c r="CYZ26" s="500"/>
      <c r="CZA26" s="500"/>
      <c r="CZB26" s="500"/>
      <c r="CZC26" s="500"/>
      <c r="CZD26" s="500"/>
      <c r="CZE26" s="500"/>
      <c r="CZF26" s="500"/>
      <c r="CZG26" s="500"/>
      <c r="CZH26" s="500"/>
      <c r="CZI26" s="500"/>
      <c r="CZJ26" s="500"/>
      <c r="CZK26" s="500"/>
      <c r="CZL26" s="500"/>
      <c r="CZM26" s="500"/>
      <c r="CZN26" s="500"/>
      <c r="CZO26" s="500"/>
      <c r="CZP26" s="500"/>
      <c r="CZQ26" s="500"/>
      <c r="CZR26" s="500"/>
      <c r="CZS26" s="500"/>
      <c r="CZT26" s="500"/>
      <c r="CZU26" s="500"/>
      <c r="CZV26" s="500"/>
      <c r="CZW26" s="500"/>
      <c r="CZX26" s="500"/>
      <c r="CZY26" s="500"/>
      <c r="CZZ26" s="500"/>
      <c r="DAA26" s="500"/>
      <c r="DAB26" s="500"/>
      <c r="DAC26" s="500"/>
      <c r="DAD26" s="500"/>
      <c r="DAE26" s="500"/>
      <c r="DAF26" s="500"/>
      <c r="DAG26" s="500"/>
      <c r="DAH26" s="500"/>
      <c r="DAI26" s="500"/>
      <c r="DAJ26" s="500"/>
      <c r="DAK26" s="500"/>
      <c r="DAL26" s="500"/>
      <c r="DAM26" s="500"/>
      <c r="DAN26" s="500"/>
      <c r="DAO26" s="500"/>
      <c r="DAP26" s="500"/>
      <c r="DAQ26" s="500"/>
      <c r="DAR26" s="500"/>
      <c r="DAS26" s="500"/>
      <c r="DAT26" s="500"/>
      <c r="DAU26" s="500"/>
      <c r="DAV26" s="500"/>
      <c r="DAW26" s="500"/>
      <c r="DAX26" s="500"/>
      <c r="DAY26" s="500"/>
      <c r="DAZ26" s="500"/>
      <c r="DBA26" s="500"/>
      <c r="DBB26" s="500"/>
      <c r="DBC26" s="500"/>
      <c r="DBD26" s="500"/>
      <c r="DBE26" s="500"/>
      <c r="DBF26" s="500"/>
      <c r="DBG26" s="500"/>
      <c r="DBH26" s="500"/>
      <c r="DBI26" s="500"/>
      <c r="DBJ26" s="500"/>
      <c r="DBK26" s="500"/>
      <c r="DBL26" s="500"/>
      <c r="DBM26" s="500"/>
      <c r="DBN26" s="500"/>
      <c r="DBO26" s="500"/>
      <c r="DBP26" s="500"/>
      <c r="DBQ26" s="500"/>
      <c r="DBR26" s="500"/>
      <c r="DBS26" s="500"/>
      <c r="DBT26" s="500"/>
      <c r="DBU26" s="500"/>
      <c r="DBV26" s="500"/>
      <c r="DBW26" s="500"/>
      <c r="DBX26" s="500"/>
      <c r="DBY26" s="500"/>
      <c r="DBZ26" s="500"/>
      <c r="DCA26" s="500"/>
      <c r="DCB26" s="500"/>
      <c r="DCC26" s="500"/>
      <c r="DCD26" s="500"/>
      <c r="DCE26" s="500"/>
      <c r="DCF26" s="500"/>
      <c r="DCG26" s="500"/>
      <c r="DCH26" s="500"/>
      <c r="DCI26" s="500"/>
      <c r="DCJ26" s="500"/>
      <c r="DCK26" s="500"/>
      <c r="DCL26" s="500"/>
      <c r="DCM26" s="500"/>
      <c r="DCN26" s="500"/>
      <c r="DCO26" s="500"/>
      <c r="DCP26" s="500"/>
      <c r="DCQ26" s="500"/>
      <c r="DCR26" s="500"/>
      <c r="DCS26" s="500"/>
      <c r="DCT26" s="500"/>
      <c r="DCU26" s="500"/>
      <c r="DCV26" s="500"/>
      <c r="DCW26" s="500"/>
      <c r="DCX26" s="500"/>
      <c r="DCY26" s="500"/>
      <c r="DCZ26" s="500"/>
      <c r="DDA26" s="500"/>
      <c r="DDB26" s="500"/>
      <c r="DDC26" s="500"/>
      <c r="DDD26" s="500"/>
      <c r="DDE26" s="500"/>
      <c r="DDF26" s="500"/>
      <c r="DDG26" s="500"/>
      <c r="DDH26" s="500"/>
      <c r="DDI26" s="500"/>
      <c r="DDJ26" s="500"/>
      <c r="DDK26" s="500"/>
      <c r="DDL26" s="500"/>
      <c r="DDM26" s="500"/>
      <c r="DDN26" s="500"/>
      <c r="DDO26" s="500"/>
      <c r="DDP26" s="500"/>
      <c r="DDQ26" s="500"/>
      <c r="DDR26" s="500"/>
      <c r="DDS26" s="500"/>
      <c r="DDT26" s="500"/>
      <c r="DDU26" s="500"/>
      <c r="DDV26" s="500"/>
      <c r="DDW26" s="500"/>
      <c r="DDX26" s="500"/>
      <c r="DDY26" s="500"/>
      <c r="DDZ26" s="500"/>
      <c r="DEA26" s="500"/>
      <c r="DEB26" s="500"/>
      <c r="DEC26" s="500"/>
      <c r="DED26" s="500"/>
      <c r="DEE26" s="500"/>
      <c r="DEF26" s="500"/>
      <c r="DEG26" s="500"/>
      <c r="DEH26" s="500"/>
      <c r="DEI26" s="500"/>
      <c r="DEJ26" s="500"/>
      <c r="DEK26" s="500"/>
      <c r="DEL26" s="500"/>
      <c r="DEM26" s="500"/>
      <c r="DEN26" s="500"/>
      <c r="DEO26" s="500"/>
      <c r="DEP26" s="500"/>
      <c r="DEQ26" s="500"/>
      <c r="DER26" s="500"/>
      <c r="DES26" s="500"/>
      <c r="DET26" s="500"/>
      <c r="DEU26" s="500"/>
      <c r="DEV26" s="500"/>
      <c r="DEW26" s="500"/>
      <c r="DEX26" s="500"/>
      <c r="DEY26" s="500"/>
      <c r="DEZ26" s="500"/>
      <c r="DFA26" s="500"/>
      <c r="DFB26" s="500"/>
      <c r="DFC26" s="500"/>
      <c r="DFD26" s="500"/>
      <c r="DFE26" s="500"/>
      <c r="DFF26" s="500"/>
      <c r="DFG26" s="500"/>
      <c r="DFH26" s="500"/>
      <c r="DFI26" s="500"/>
      <c r="DFJ26" s="500"/>
      <c r="DFK26" s="500"/>
      <c r="DFL26" s="500"/>
      <c r="DFM26" s="500"/>
      <c r="DFN26" s="500"/>
      <c r="DFO26" s="500"/>
      <c r="DFP26" s="500"/>
      <c r="DFQ26" s="500"/>
      <c r="DFR26" s="500"/>
      <c r="DFS26" s="500"/>
      <c r="DFT26" s="500"/>
      <c r="DFU26" s="500"/>
      <c r="DFV26" s="500"/>
      <c r="DFW26" s="500"/>
      <c r="DFX26" s="500"/>
      <c r="DFY26" s="500"/>
      <c r="DFZ26" s="500"/>
      <c r="DGA26" s="500"/>
      <c r="DGB26" s="500"/>
      <c r="DGC26" s="500"/>
      <c r="DGD26" s="500"/>
      <c r="DGE26" s="500"/>
      <c r="DGF26" s="500"/>
      <c r="DGG26" s="500"/>
      <c r="DGH26" s="500"/>
      <c r="DGI26" s="500"/>
      <c r="DGJ26" s="500"/>
      <c r="DGK26" s="500"/>
      <c r="DGL26" s="500"/>
      <c r="DGM26" s="500"/>
      <c r="DGN26" s="500"/>
      <c r="DGO26" s="500"/>
      <c r="DGP26" s="500"/>
      <c r="DGQ26" s="500"/>
      <c r="DGR26" s="500"/>
      <c r="DGS26" s="500"/>
      <c r="DGT26" s="500"/>
      <c r="DGU26" s="500"/>
      <c r="DGV26" s="500"/>
      <c r="DGW26" s="500"/>
      <c r="DGX26" s="500"/>
      <c r="DGY26" s="500"/>
      <c r="DGZ26" s="500"/>
      <c r="DHA26" s="500"/>
      <c r="DHB26" s="500"/>
      <c r="DHC26" s="500"/>
      <c r="DHD26" s="500"/>
      <c r="DHE26" s="500"/>
      <c r="DHF26" s="500"/>
      <c r="DHG26" s="500"/>
      <c r="DHH26" s="500"/>
      <c r="DHI26" s="500"/>
      <c r="DHJ26" s="500"/>
      <c r="DHK26" s="500"/>
      <c r="DHL26" s="500"/>
      <c r="DHM26" s="500"/>
      <c r="DHN26" s="500"/>
      <c r="DHO26" s="500"/>
      <c r="DHP26" s="500"/>
      <c r="DHQ26" s="500"/>
      <c r="DHR26" s="500"/>
      <c r="DHS26" s="500"/>
      <c r="DHT26" s="500"/>
      <c r="DHU26" s="500"/>
      <c r="DHV26" s="500"/>
      <c r="DHW26" s="500"/>
      <c r="DHX26" s="500"/>
      <c r="DHY26" s="500"/>
      <c r="DHZ26" s="500"/>
      <c r="DIA26" s="500"/>
      <c r="DIB26" s="500"/>
      <c r="DIC26" s="500"/>
      <c r="DID26" s="500"/>
      <c r="DIE26" s="500"/>
      <c r="DIF26" s="500"/>
      <c r="DIG26" s="500"/>
      <c r="DIH26" s="500"/>
      <c r="DII26" s="500"/>
      <c r="DIJ26" s="500"/>
      <c r="DIK26" s="500"/>
      <c r="DIL26" s="500"/>
      <c r="DIM26" s="500"/>
      <c r="DIN26" s="500"/>
      <c r="DIO26" s="500"/>
      <c r="DIP26" s="500"/>
      <c r="DIQ26" s="500"/>
      <c r="DIR26" s="500"/>
      <c r="DIS26" s="500"/>
      <c r="DIT26" s="500"/>
      <c r="DIU26" s="500"/>
      <c r="DIV26" s="500"/>
      <c r="DIW26" s="500"/>
      <c r="DIX26" s="500"/>
      <c r="DIY26" s="500"/>
      <c r="DIZ26" s="500"/>
      <c r="DJA26" s="500"/>
      <c r="DJB26" s="500"/>
      <c r="DJC26" s="500"/>
      <c r="DJD26" s="500"/>
      <c r="DJE26" s="500"/>
      <c r="DJF26" s="500"/>
      <c r="DJG26" s="500"/>
      <c r="DJH26" s="500"/>
      <c r="DJI26" s="500"/>
      <c r="DJJ26" s="500"/>
      <c r="DJK26" s="500"/>
      <c r="DJL26" s="500"/>
      <c r="DJM26" s="500"/>
      <c r="DJN26" s="500"/>
      <c r="DJO26" s="500"/>
      <c r="DJP26" s="500"/>
      <c r="DJQ26" s="500"/>
      <c r="DJR26" s="500"/>
      <c r="DJS26" s="500"/>
      <c r="DJT26" s="500"/>
      <c r="DJU26" s="500"/>
      <c r="DJV26" s="500"/>
      <c r="DJW26" s="500"/>
      <c r="DJX26" s="500"/>
      <c r="DJY26" s="500"/>
      <c r="DJZ26" s="500"/>
      <c r="DKA26" s="500"/>
      <c r="DKB26" s="500"/>
      <c r="DKC26" s="500"/>
      <c r="DKD26" s="500"/>
      <c r="DKE26" s="500"/>
      <c r="DKF26" s="500"/>
      <c r="DKG26" s="500"/>
      <c r="DKH26" s="500"/>
      <c r="DKI26" s="500"/>
      <c r="DKJ26" s="500"/>
      <c r="DKK26" s="500"/>
      <c r="DKL26" s="500"/>
      <c r="DKM26" s="500"/>
      <c r="DKN26" s="500"/>
      <c r="DKO26" s="500"/>
      <c r="DKP26" s="500"/>
      <c r="DKQ26" s="500"/>
      <c r="DKR26" s="500"/>
      <c r="DKS26" s="500"/>
      <c r="DKT26" s="500"/>
      <c r="DKU26" s="500"/>
      <c r="DKV26" s="500"/>
      <c r="DKW26" s="500"/>
      <c r="DKX26" s="500"/>
      <c r="DKY26" s="500"/>
      <c r="DKZ26" s="500"/>
      <c r="DLA26" s="500"/>
      <c r="DLB26" s="500"/>
      <c r="DLC26" s="500"/>
      <c r="DLD26" s="500"/>
      <c r="DLE26" s="500"/>
      <c r="DLF26" s="500"/>
      <c r="DLG26" s="500"/>
      <c r="DLH26" s="500"/>
      <c r="DLI26" s="500"/>
      <c r="DLJ26" s="500"/>
      <c r="DLK26" s="500"/>
      <c r="DLL26" s="500"/>
      <c r="DLM26" s="500"/>
      <c r="DLN26" s="500"/>
      <c r="DLO26" s="500"/>
      <c r="DLP26" s="500"/>
      <c r="DLQ26" s="500"/>
      <c r="DLR26" s="500"/>
      <c r="DLS26" s="500"/>
      <c r="DLT26" s="500"/>
      <c r="DLU26" s="500"/>
      <c r="DLV26" s="500"/>
      <c r="DLW26" s="500"/>
      <c r="DLX26" s="500"/>
      <c r="DLY26" s="500"/>
      <c r="DLZ26" s="500"/>
      <c r="DMA26" s="500"/>
      <c r="DMB26" s="500"/>
      <c r="DMC26" s="500"/>
      <c r="DMD26" s="500"/>
      <c r="DME26" s="500"/>
      <c r="DMF26" s="500"/>
      <c r="DMG26" s="500"/>
      <c r="DMH26" s="500"/>
      <c r="DMI26" s="500"/>
      <c r="DMJ26" s="500"/>
      <c r="DMK26" s="500"/>
      <c r="DML26" s="500"/>
      <c r="DMM26" s="500"/>
      <c r="DMN26" s="500"/>
      <c r="DMO26" s="500"/>
      <c r="DMP26" s="500"/>
      <c r="DMQ26" s="500"/>
      <c r="DMR26" s="500"/>
      <c r="DMS26" s="500"/>
      <c r="DMT26" s="500"/>
      <c r="DMU26" s="500"/>
      <c r="DMV26" s="500"/>
      <c r="DMW26" s="500"/>
      <c r="DMX26" s="500"/>
      <c r="DMY26" s="500"/>
      <c r="DMZ26" s="500"/>
      <c r="DNA26" s="500"/>
      <c r="DNB26" s="500"/>
      <c r="DNC26" s="500"/>
      <c r="DND26" s="500"/>
      <c r="DNE26" s="500"/>
      <c r="DNF26" s="500"/>
      <c r="DNG26" s="500"/>
      <c r="DNH26" s="500"/>
      <c r="DNI26" s="500"/>
      <c r="DNJ26" s="500"/>
      <c r="DNK26" s="500"/>
      <c r="DNL26" s="500"/>
      <c r="DNM26" s="500"/>
      <c r="DNN26" s="500"/>
      <c r="DNO26" s="500"/>
      <c r="DNP26" s="500"/>
      <c r="DNQ26" s="500"/>
      <c r="DNR26" s="500"/>
      <c r="DNS26" s="500"/>
      <c r="DNT26" s="500"/>
      <c r="DNU26" s="500"/>
      <c r="DNV26" s="500"/>
      <c r="DNW26" s="500"/>
      <c r="DNX26" s="500"/>
      <c r="DNY26" s="500"/>
      <c r="DNZ26" s="500"/>
      <c r="DOA26" s="500"/>
      <c r="DOB26" s="500"/>
      <c r="DOC26" s="500"/>
      <c r="DOD26" s="500"/>
      <c r="DOE26" s="500"/>
      <c r="DOF26" s="500"/>
      <c r="DOG26" s="500"/>
      <c r="DOH26" s="500"/>
      <c r="DOI26" s="500"/>
      <c r="DOJ26" s="500"/>
      <c r="DOK26" s="500"/>
      <c r="DOL26" s="500"/>
      <c r="DOM26" s="500"/>
      <c r="DON26" s="500"/>
      <c r="DOO26" s="500"/>
      <c r="DOP26" s="500"/>
      <c r="DOQ26" s="500"/>
      <c r="DOR26" s="500"/>
      <c r="DOS26" s="500"/>
      <c r="DOT26" s="500"/>
      <c r="DOU26" s="500"/>
      <c r="DOV26" s="500"/>
      <c r="DOW26" s="500"/>
      <c r="DOX26" s="500"/>
      <c r="DOY26" s="500"/>
      <c r="DOZ26" s="500"/>
      <c r="DPA26" s="500"/>
      <c r="DPB26" s="500"/>
      <c r="DPC26" s="500"/>
      <c r="DPD26" s="500"/>
      <c r="DPE26" s="500"/>
      <c r="DPF26" s="500"/>
      <c r="DPG26" s="500"/>
      <c r="DPH26" s="500"/>
      <c r="DPI26" s="500"/>
      <c r="DPJ26" s="500"/>
      <c r="DPK26" s="500"/>
      <c r="DPL26" s="500"/>
      <c r="DPM26" s="500"/>
      <c r="DPN26" s="500"/>
      <c r="DPO26" s="500"/>
      <c r="DPP26" s="500"/>
      <c r="DPQ26" s="500"/>
      <c r="DPR26" s="500"/>
      <c r="DPS26" s="500"/>
      <c r="DPT26" s="500"/>
      <c r="DPU26" s="500"/>
      <c r="DPV26" s="500"/>
      <c r="DPW26" s="500"/>
      <c r="DPX26" s="500"/>
      <c r="DPY26" s="500"/>
      <c r="DPZ26" s="500"/>
      <c r="DQA26" s="500"/>
      <c r="DQB26" s="500"/>
      <c r="DQC26" s="500"/>
      <c r="DQD26" s="500"/>
      <c r="DQE26" s="500"/>
      <c r="DQF26" s="500"/>
      <c r="DQG26" s="500"/>
      <c r="DQH26" s="500"/>
      <c r="DQI26" s="500"/>
      <c r="DQJ26" s="500"/>
      <c r="DQK26" s="500"/>
      <c r="DQL26" s="500"/>
      <c r="DQM26" s="500"/>
      <c r="DQN26" s="500"/>
      <c r="DQO26" s="500"/>
      <c r="DQP26" s="500"/>
      <c r="DQQ26" s="500"/>
      <c r="DQR26" s="500"/>
      <c r="DQS26" s="500"/>
      <c r="DQT26" s="500"/>
      <c r="DQU26" s="500"/>
      <c r="DQV26" s="500"/>
      <c r="DQW26" s="500"/>
      <c r="DQX26" s="500"/>
      <c r="DQY26" s="500"/>
      <c r="DQZ26" s="500"/>
      <c r="DRA26" s="500"/>
      <c r="DRB26" s="500"/>
      <c r="DRC26" s="500"/>
      <c r="DRD26" s="500"/>
      <c r="DRE26" s="500"/>
      <c r="DRF26" s="500"/>
      <c r="DRG26" s="500"/>
      <c r="DRH26" s="500"/>
      <c r="DRI26" s="500"/>
      <c r="DRJ26" s="500"/>
      <c r="DRK26" s="500"/>
      <c r="DRL26" s="500"/>
      <c r="DRM26" s="500"/>
      <c r="DRN26" s="500"/>
      <c r="DRO26" s="500"/>
      <c r="DRP26" s="500"/>
      <c r="DRQ26" s="500"/>
      <c r="DRR26" s="500"/>
      <c r="DRS26" s="500"/>
      <c r="DRT26" s="500"/>
      <c r="DRU26" s="500"/>
      <c r="DRV26" s="500"/>
      <c r="DRW26" s="500"/>
      <c r="DRX26" s="500"/>
      <c r="DRY26" s="500"/>
      <c r="DRZ26" s="500"/>
      <c r="DSA26" s="500"/>
      <c r="DSB26" s="500"/>
      <c r="DSC26" s="500"/>
      <c r="DSD26" s="500"/>
      <c r="DSE26" s="500"/>
      <c r="DSF26" s="500"/>
      <c r="DSG26" s="500"/>
      <c r="DSH26" s="500"/>
      <c r="DSI26" s="500"/>
      <c r="DSJ26" s="500"/>
      <c r="DSK26" s="500"/>
      <c r="DSL26" s="500"/>
      <c r="DSM26" s="500"/>
      <c r="DSN26" s="500"/>
      <c r="DSO26" s="500"/>
      <c r="DSP26" s="500"/>
      <c r="DSQ26" s="500"/>
      <c r="DSR26" s="500"/>
      <c r="DSS26" s="500"/>
      <c r="DST26" s="500"/>
      <c r="DSU26" s="500"/>
      <c r="DSV26" s="500"/>
      <c r="DSW26" s="500"/>
      <c r="DSX26" s="500"/>
      <c r="DSY26" s="500"/>
      <c r="DSZ26" s="500"/>
      <c r="DTA26" s="500"/>
      <c r="DTB26" s="500"/>
      <c r="DTC26" s="500"/>
      <c r="DTD26" s="500"/>
      <c r="DTE26" s="500"/>
      <c r="DTF26" s="500"/>
      <c r="DTG26" s="500"/>
      <c r="DTH26" s="500"/>
      <c r="DTI26" s="500"/>
      <c r="DTJ26" s="500"/>
      <c r="DTK26" s="500"/>
      <c r="DTL26" s="500"/>
      <c r="DTM26" s="500"/>
      <c r="DTN26" s="500"/>
      <c r="DTO26" s="500"/>
      <c r="DTP26" s="500"/>
      <c r="DTQ26" s="500"/>
      <c r="DTR26" s="500"/>
      <c r="DTS26" s="500"/>
      <c r="DTT26" s="500"/>
      <c r="DTU26" s="500"/>
      <c r="DTV26" s="500"/>
      <c r="DTW26" s="500"/>
      <c r="DTX26" s="500"/>
      <c r="DTY26" s="500"/>
      <c r="DTZ26" s="500"/>
      <c r="DUA26" s="500"/>
      <c r="DUB26" s="500"/>
      <c r="DUC26" s="500"/>
      <c r="DUD26" s="500"/>
      <c r="DUE26" s="500"/>
      <c r="DUF26" s="500"/>
      <c r="DUG26" s="500"/>
      <c r="DUH26" s="500"/>
      <c r="DUI26" s="500"/>
      <c r="DUJ26" s="500"/>
      <c r="DUK26" s="500"/>
      <c r="DUL26" s="500"/>
      <c r="DUM26" s="500"/>
      <c r="DUN26" s="500"/>
      <c r="DUO26" s="500"/>
      <c r="DUP26" s="500"/>
      <c r="DUQ26" s="500"/>
      <c r="DUR26" s="500"/>
      <c r="DUS26" s="500"/>
      <c r="DUT26" s="500"/>
      <c r="DUU26" s="500"/>
      <c r="DUV26" s="500"/>
      <c r="DUW26" s="500"/>
      <c r="DUX26" s="500"/>
      <c r="DUY26" s="500"/>
      <c r="DUZ26" s="500"/>
      <c r="DVA26" s="500"/>
      <c r="DVB26" s="500"/>
      <c r="DVC26" s="500"/>
      <c r="DVD26" s="500"/>
      <c r="DVE26" s="500"/>
      <c r="DVF26" s="500"/>
      <c r="DVG26" s="500"/>
      <c r="DVH26" s="500"/>
      <c r="DVI26" s="500"/>
      <c r="DVJ26" s="500"/>
      <c r="DVK26" s="500"/>
      <c r="DVL26" s="500"/>
      <c r="DVM26" s="500"/>
      <c r="DVN26" s="500"/>
      <c r="DVO26" s="500"/>
      <c r="DVP26" s="500"/>
      <c r="DVQ26" s="500"/>
      <c r="DVR26" s="500"/>
      <c r="DVS26" s="500"/>
      <c r="DVT26" s="500"/>
      <c r="DVU26" s="500"/>
      <c r="DVV26" s="500"/>
      <c r="DVW26" s="500"/>
      <c r="DVX26" s="500"/>
      <c r="DVY26" s="500"/>
      <c r="DVZ26" s="500"/>
      <c r="DWA26" s="500"/>
      <c r="DWB26" s="500"/>
      <c r="DWC26" s="500"/>
      <c r="DWD26" s="500"/>
      <c r="DWE26" s="500"/>
      <c r="DWF26" s="500"/>
      <c r="DWG26" s="500"/>
      <c r="DWH26" s="500"/>
      <c r="DWI26" s="500"/>
      <c r="DWJ26" s="500"/>
      <c r="DWK26" s="500"/>
      <c r="DWL26" s="500"/>
      <c r="DWM26" s="500"/>
      <c r="DWN26" s="500"/>
      <c r="DWO26" s="500"/>
      <c r="DWP26" s="500"/>
      <c r="DWQ26" s="500"/>
      <c r="DWR26" s="500"/>
      <c r="DWS26" s="500"/>
      <c r="DWT26" s="500"/>
      <c r="DWU26" s="500"/>
      <c r="DWV26" s="500"/>
      <c r="DWW26" s="500"/>
      <c r="DWX26" s="500"/>
      <c r="DWY26" s="500"/>
      <c r="DWZ26" s="500"/>
      <c r="DXA26" s="500"/>
      <c r="DXB26" s="500"/>
      <c r="DXC26" s="500"/>
      <c r="DXD26" s="500"/>
      <c r="DXE26" s="500"/>
      <c r="DXF26" s="500"/>
      <c r="DXG26" s="500"/>
      <c r="DXH26" s="500"/>
      <c r="DXI26" s="500"/>
      <c r="DXJ26" s="500"/>
      <c r="DXK26" s="500"/>
      <c r="DXL26" s="500"/>
      <c r="DXM26" s="500"/>
      <c r="DXN26" s="500"/>
      <c r="DXO26" s="500"/>
      <c r="DXP26" s="500"/>
      <c r="DXQ26" s="500"/>
      <c r="DXR26" s="500"/>
      <c r="DXS26" s="500"/>
      <c r="DXT26" s="500"/>
      <c r="DXU26" s="500"/>
      <c r="DXV26" s="500"/>
      <c r="DXW26" s="500"/>
      <c r="DXX26" s="500"/>
      <c r="DXY26" s="500"/>
      <c r="DXZ26" s="500"/>
      <c r="DYA26" s="500"/>
      <c r="DYB26" s="500"/>
      <c r="DYC26" s="500"/>
      <c r="DYD26" s="500"/>
      <c r="DYE26" s="500"/>
      <c r="DYF26" s="500"/>
      <c r="DYG26" s="500"/>
      <c r="DYH26" s="500"/>
      <c r="DYI26" s="500"/>
      <c r="DYJ26" s="500"/>
      <c r="DYK26" s="500"/>
      <c r="DYL26" s="500"/>
      <c r="DYM26" s="500"/>
      <c r="DYN26" s="500"/>
      <c r="DYO26" s="500"/>
      <c r="DYP26" s="500"/>
      <c r="DYQ26" s="500"/>
      <c r="DYR26" s="500"/>
      <c r="DYS26" s="500"/>
      <c r="DYT26" s="500"/>
      <c r="DYU26" s="500"/>
      <c r="DYV26" s="500"/>
      <c r="DYW26" s="500"/>
      <c r="DYX26" s="500"/>
      <c r="DYY26" s="500"/>
      <c r="DYZ26" s="500"/>
      <c r="DZA26" s="500"/>
      <c r="DZB26" s="500"/>
      <c r="DZC26" s="500"/>
      <c r="DZD26" s="500"/>
      <c r="DZE26" s="500"/>
      <c r="DZF26" s="500"/>
      <c r="DZG26" s="500"/>
      <c r="DZH26" s="500"/>
      <c r="DZI26" s="500"/>
      <c r="DZJ26" s="500"/>
      <c r="DZK26" s="500"/>
      <c r="DZL26" s="500"/>
      <c r="DZM26" s="500"/>
      <c r="DZN26" s="500"/>
      <c r="DZO26" s="500"/>
      <c r="DZP26" s="500"/>
      <c r="DZQ26" s="500"/>
      <c r="DZR26" s="500"/>
      <c r="DZS26" s="500"/>
      <c r="DZT26" s="500"/>
      <c r="DZU26" s="500"/>
      <c r="DZV26" s="500"/>
      <c r="DZW26" s="500"/>
      <c r="DZX26" s="500"/>
      <c r="DZY26" s="500"/>
      <c r="DZZ26" s="500"/>
      <c r="EAA26" s="500"/>
      <c r="EAB26" s="500"/>
      <c r="EAC26" s="500"/>
      <c r="EAD26" s="500"/>
      <c r="EAE26" s="500"/>
      <c r="EAF26" s="500"/>
      <c r="EAG26" s="500"/>
      <c r="EAH26" s="500"/>
      <c r="EAI26" s="500"/>
      <c r="EAJ26" s="500"/>
      <c r="EAK26" s="500"/>
      <c r="EAL26" s="500"/>
      <c r="EAM26" s="500"/>
      <c r="EAN26" s="500"/>
      <c r="EAO26" s="500"/>
      <c r="EAP26" s="500"/>
      <c r="EAQ26" s="500"/>
      <c r="EAR26" s="500"/>
      <c r="EAS26" s="500"/>
      <c r="EAT26" s="500"/>
      <c r="EAU26" s="500"/>
      <c r="EAV26" s="500"/>
      <c r="EAW26" s="500"/>
      <c r="EAX26" s="500"/>
      <c r="EAY26" s="500"/>
      <c r="EAZ26" s="500"/>
      <c r="EBA26" s="500"/>
      <c r="EBB26" s="500"/>
      <c r="EBC26" s="500"/>
      <c r="EBD26" s="500"/>
      <c r="EBE26" s="500"/>
      <c r="EBF26" s="500"/>
      <c r="EBG26" s="500"/>
      <c r="EBH26" s="500"/>
      <c r="EBI26" s="500"/>
      <c r="EBJ26" s="500"/>
      <c r="EBK26" s="500"/>
      <c r="EBL26" s="500"/>
      <c r="EBM26" s="500"/>
      <c r="EBN26" s="500"/>
      <c r="EBO26" s="500"/>
      <c r="EBP26" s="500"/>
      <c r="EBQ26" s="500"/>
      <c r="EBR26" s="500"/>
      <c r="EBS26" s="500"/>
      <c r="EBT26" s="500"/>
      <c r="EBU26" s="500"/>
      <c r="EBV26" s="500"/>
      <c r="EBW26" s="500"/>
      <c r="EBX26" s="500"/>
      <c r="EBY26" s="500"/>
      <c r="EBZ26" s="500"/>
      <c r="ECA26" s="500"/>
      <c r="ECB26" s="500"/>
      <c r="ECC26" s="500"/>
      <c r="ECD26" s="500"/>
      <c r="ECE26" s="500"/>
      <c r="ECF26" s="500"/>
      <c r="ECG26" s="500"/>
      <c r="ECH26" s="500"/>
      <c r="ECI26" s="500"/>
      <c r="ECJ26" s="500"/>
      <c r="ECK26" s="500"/>
      <c r="ECL26" s="500"/>
      <c r="ECM26" s="500"/>
      <c r="ECN26" s="500"/>
      <c r="ECO26" s="500"/>
      <c r="ECP26" s="500"/>
      <c r="ECQ26" s="500"/>
      <c r="ECR26" s="500"/>
      <c r="ECS26" s="500"/>
      <c r="ECT26" s="500"/>
      <c r="ECU26" s="500"/>
      <c r="ECV26" s="500"/>
      <c r="ECW26" s="500"/>
      <c r="ECX26" s="500"/>
      <c r="ECY26" s="500"/>
      <c r="ECZ26" s="500"/>
      <c r="EDA26" s="500"/>
      <c r="EDB26" s="500"/>
      <c r="EDC26" s="500"/>
      <c r="EDD26" s="500"/>
      <c r="EDE26" s="500"/>
      <c r="EDF26" s="500"/>
      <c r="EDG26" s="500"/>
      <c r="EDH26" s="500"/>
      <c r="EDI26" s="500"/>
      <c r="EDJ26" s="500"/>
      <c r="EDK26" s="500"/>
      <c r="EDL26" s="500"/>
      <c r="EDM26" s="500"/>
      <c r="EDN26" s="500"/>
      <c r="EDO26" s="500"/>
      <c r="EDP26" s="500"/>
      <c r="EDQ26" s="500"/>
      <c r="EDR26" s="500"/>
      <c r="EDS26" s="500"/>
      <c r="EDT26" s="500"/>
      <c r="EDU26" s="500"/>
      <c r="EDV26" s="500"/>
      <c r="EDW26" s="500"/>
      <c r="EDX26" s="500"/>
      <c r="EDY26" s="500"/>
      <c r="EDZ26" s="500"/>
      <c r="EEA26" s="500"/>
      <c r="EEB26" s="500"/>
      <c r="EEC26" s="500"/>
      <c r="EED26" s="500"/>
      <c r="EEE26" s="500"/>
      <c r="EEF26" s="500"/>
      <c r="EEG26" s="500"/>
      <c r="EEH26" s="500"/>
      <c r="EEI26" s="500"/>
      <c r="EEJ26" s="500"/>
      <c r="EEK26" s="500"/>
      <c r="EEL26" s="500"/>
      <c r="EEM26" s="500"/>
      <c r="EEN26" s="500"/>
      <c r="EEO26" s="500"/>
      <c r="EEP26" s="500"/>
      <c r="EEQ26" s="500"/>
      <c r="EER26" s="500"/>
      <c r="EES26" s="500"/>
      <c r="EET26" s="500"/>
      <c r="EEU26" s="500"/>
      <c r="EEV26" s="500"/>
      <c r="EEW26" s="500"/>
      <c r="EEX26" s="500"/>
      <c r="EEY26" s="500"/>
      <c r="EEZ26" s="500"/>
      <c r="EFA26" s="500"/>
      <c r="EFB26" s="500"/>
      <c r="EFC26" s="500"/>
      <c r="EFD26" s="500"/>
      <c r="EFE26" s="500"/>
      <c r="EFF26" s="500"/>
      <c r="EFG26" s="500"/>
      <c r="EFH26" s="500"/>
      <c r="EFI26" s="500"/>
      <c r="EFJ26" s="500"/>
      <c r="EFK26" s="500"/>
      <c r="EFL26" s="500"/>
      <c r="EFM26" s="500"/>
      <c r="EFN26" s="500"/>
      <c r="EFO26" s="500"/>
      <c r="EFP26" s="500"/>
      <c r="EFQ26" s="500"/>
      <c r="EFR26" s="500"/>
      <c r="EFS26" s="500"/>
      <c r="EFT26" s="500"/>
      <c r="EFU26" s="500"/>
      <c r="EFV26" s="500"/>
      <c r="EFW26" s="500"/>
      <c r="EFX26" s="500"/>
      <c r="EFY26" s="500"/>
      <c r="EFZ26" s="500"/>
      <c r="EGA26" s="500"/>
      <c r="EGB26" s="500"/>
      <c r="EGC26" s="500"/>
      <c r="EGD26" s="500"/>
      <c r="EGE26" s="500"/>
      <c r="EGF26" s="500"/>
      <c r="EGG26" s="500"/>
      <c r="EGH26" s="500"/>
      <c r="EGI26" s="500"/>
      <c r="EGJ26" s="500"/>
      <c r="EGK26" s="500"/>
      <c r="EGL26" s="500"/>
      <c r="EGM26" s="500"/>
      <c r="EGN26" s="500"/>
      <c r="EGO26" s="500"/>
      <c r="EGP26" s="500"/>
      <c r="EGQ26" s="500"/>
      <c r="EGR26" s="500"/>
      <c r="EGS26" s="500"/>
      <c r="EGT26" s="500"/>
      <c r="EGU26" s="500"/>
      <c r="EGV26" s="500"/>
      <c r="EGW26" s="500"/>
      <c r="EGX26" s="500"/>
      <c r="EGY26" s="500"/>
      <c r="EGZ26" s="500"/>
      <c r="EHA26" s="500"/>
      <c r="EHB26" s="500"/>
      <c r="EHC26" s="500"/>
      <c r="EHD26" s="500"/>
      <c r="EHE26" s="500"/>
      <c r="EHF26" s="500"/>
      <c r="EHG26" s="500"/>
      <c r="EHH26" s="500"/>
      <c r="EHI26" s="500"/>
      <c r="EHJ26" s="500"/>
      <c r="EHK26" s="500"/>
      <c r="EHL26" s="500"/>
      <c r="EHM26" s="500"/>
      <c r="EHN26" s="500"/>
      <c r="EHO26" s="500"/>
      <c r="EHP26" s="500"/>
      <c r="EHQ26" s="500"/>
      <c r="EHR26" s="500"/>
      <c r="EHS26" s="500"/>
      <c r="EHT26" s="500"/>
      <c r="EHU26" s="500"/>
      <c r="EHV26" s="500"/>
      <c r="EHW26" s="500"/>
      <c r="EHX26" s="500"/>
      <c r="EHY26" s="500"/>
      <c r="EHZ26" s="500"/>
      <c r="EIA26" s="500"/>
      <c r="EIB26" s="500"/>
      <c r="EIC26" s="500"/>
      <c r="EID26" s="500"/>
      <c r="EIE26" s="500"/>
      <c r="EIF26" s="500"/>
      <c r="EIG26" s="500"/>
      <c r="EIH26" s="500"/>
      <c r="EII26" s="500"/>
      <c r="EIJ26" s="500"/>
      <c r="EIK26" s="500"/>
      <c r="EIL26" s="500"/>
      <c r="EIM26" s="500"/>
      <c r="EIN26" s="500"/>
      <c r="EIO26" s="500"/>
      <c r="EIP26" s="500"/>
      <c r="EIQ26" s="500"/>
      <c r="EIR26" s="500"/>
      <c r="EIS26" s="500"/>
      <c r="EIT26" s="500"/>
      <c r="EIU26" s="500"/>
      <c r="EIV26" s="500"/>
      <c r="EIW26" s="500"/>
      <c r="EIX26" s="500"/>
      <c r="EIY26" s="500"/>
      <c r="EIZ26" s="500"/>
      <c r="EJA26" s="500"/>
      <c r="EJB26" s="500"/>
      <c r="EJC26" s="500"/>
      <c r="EJD26" s="500"/>
      <c r="EJE26" s="500"/>
      <c r="EJF26" s="500"/>
      <c r="EJG26" s="500"/>
      <c r="EJH26" s="500"/>
      <c r="EJI26" s="500"/>
      <c r="EJJ26" s="500"/>
      <c r="EJK26" s="500"/>
      <c r="EJL26" s="500"/>
      <c r="EJM26" s="500"/>
      <c r="EJN26" s="500"/>
      <c r="EJO26" s="500"/>
      <c r="EJP26" s="500"/>
      <c r="EJQ26" s="500"/>
      <c r="EJR26" s="500"/>
      <c r="EJS26" s="500"/>
      <c r="EJT26" s="500"/>
      <c r="EJU26" s="500"/>
      <c r="EJV26" s="500"/>
      <c r="EJW26" s="500"/>
      <c r="EJX26" s="500"/>
      <c r="EJY26" s="500"/>
      <c r="EJZ26" s="500"/>
      <c r="EKA26" s="500"/>
      <c r="EKB26" s="500"/>
      <c r="EKC26" s="500"/>
      <c r="EKD26" s="500"/>
      <c r="EKE26" s="500"/>
      <c r="EKF26" s="500"/>
      <c r="EKG26" s="500"/>
      <c r="EKH26" s="500"/>
      <c r="EKI26" s="500"/>
      <c r="EKJ26" s="500"/>
      <c r="EKK26" s="500"/>
      <c r="EKL26" s="500"/>
      <c r="EKM26" s="500"/>
      <c r="EKN26" s="500"/>
      <c r="EKO26" s="500"/>
      <c r="EKP26" s="500"/>
      <c r="EKQ26" s="500"/>
      <c r="EKR26" s="500"/>
      <c r="EKS26" s="500"/>
      <c r="EKT26" s="500"/>
      <c r="EKU26" s="500"/>
      <c r="EKV26" s="500"/>
      <c r="EKW26" s="500"/>
      <c r="EKX26" s="500"/>
      <c r="EKY26" s="500"/>
      <c r="EKZ26" s="500"/>
      <c r="ELA26" s="500"/>
      <c r="ELB26" s="500"/>
      <c r="ELC26" s="500"/>
      <c r="ELD26" s="500"/>
      <c r="ELE26" s="500"/>
      <c r="ELF26" s="500"/>
      <c r="ELG26" s="500"/>
      <c r="ELH26" s="500"/>
      <c r="ELI26" s="500"/>
      <c r="ELJ26" s="500"/>
      <c r="ELK26" s="500"/>
      <c r="ELL26" s="500"/>
      <c r="ELM26" s="500"/>
      <c r="ELN26" s="500"/>
      <c r="ELO26" s="500"/>
      <c r="ELP26" s="500"/>
      <c r="ELQ26" s="500"/>
      <c r="ELR26" s="500"/>
      <c r="ELS26" s="500"/>
      <c r="ELT26" s="500"/>
      <c r="ELU26" s="500"/>
      <c r="ELV26" s="500"/>
      <c r="ELW26" s="500"/>
      <c r="ELX26" s="500"/>
      <c r="ELY26" s="500"/>
      <c r="ELZ26" s="500"/>
      <c r="EMA26" s="500"/>
      <c r="EMB26" s="500"/>
      <c r="EMC26" s="500"/>
      <c r="EMD26" s="500"/>
      <c r="EME26" s="500"/>
      <c r="EMF26" s="500"/>
      <c r="EMG26" s="500"/>
      <c r="EMH26" s="500"/>
      <c r="EMI26" s="500"/>
      <c r="EMJ26" s="500"/>
      <c r="EMK26" s="500"/>
      <c r="EML26" s="500"/>
      <c r="EMM26" s="500"/>
      <c r="EMN26" s="500"/>
      <c r="EMO26" s="500"/>
      <c r="EMP26" s="500"/>
      <c r="EMQ26" s="500"/>
      <c r="EMR26" s="500"/>
      <c r="EMS26" s="500"/>
      <c r="EMT26" s="500"/>
      <c r="EMU26" s="500"/>
      <c r="EMV26" s="500"/>
      <c r="EMW26" s="500"/>
      <c r="EMX26" s="500"/>
      <c r="EMY26" s="500"/>
      <c r="EMZ26" s="500"/>
      <c r="ENA26" s="500"/>
      <c r="ENB26" s="500"/>
      <c r="ENC26" s="500"/>
      <c r="END26" s="500"/>
      <c r="ENE26" s="500"/>
      <c r="ENF26" s="500"/>
      <c r="ENG26" s="500"/>
      <c r="ENH26" s="500"/>
      <c r="ENI26" s="500"/>
      <c r="ENJ26" s="500"/>
      <c r="ENK26" s="500"/>
      <c r="ENL26" s="500"/>
      <c r="ENM26" s="500"/>
      <c r="ENN26" s="500"/>
      <c r="ENO26" s="500"/>
      <c r="ENP26" s="500"/>
      <c r="ENQ26" s="500"/>
      <c r="ENR26" s="500"/>
      <c r="ENS26" s="500"/>
      <c r="ENT26" s="500"/>
      <c r="ENU26" s="500"/>
      <c r="ENV26" s="500"/>
      <c r="ENW26" s="500"/>
      <c r="ENX26" s="500"/>
      <c r="ENY26" s="500"/>
      <c r="ENZ26" s="500"/>
      <c r="EOA26" s="500"/>
      <c r="EOB26" s="500"/>
      <c r="EOC26" s="500"/>
      <c r="EOD26" s="500"/>
      <c r="EOE26" s="500"/>
      <c r="EOF26" s="500"/>
      <c r="EOG26" s="500"/>
      <c r="EOH26" s="500"/>
      <c r="EOI26" s="500"/>
      <c r="EOJ26" s="500"/>
      <c r="EOK26" s="500"/>
      <c r="EOL26" s="500"/>
      <c r="EOM26" s="500"/>
      <c r="EON26" s="500"/>
      <c r="EOO26" s="500"/>
      <c r="EOP26" s="500"/>
      <c r="EOQ26" s="500"/>
      <c r="EOR26" s="500"/>
      <c r="EOS26" s="500"/>
      <c r="EOT26" s="500"/>
      <c r="EOU26" s="500"/>
      <c r="EOV26" s="500"/>
      <c r="EOW26" s="500"/>
      <c r="EOX26" s="500"/>
      <c r="EOY26" s="500"/>
      <c r="EOZ26" s="500"/>
      <c r="EPA26" s="500"/>
      <c r="EPB26" s="500"/>
      <c r="EPC26" s="500"/>
      <c r="EPD26" s="500"/>
      <c r="EPE26" s="500"/>
      <c r="EPF26" s="500"/>
      <c r="EPG26" s="500"/>
      <c r="EPH26" s="500"/>
      <c r="EPI26" s="500"/>
      <c r="EPJ26" s="500"/>
      <c r="EPK26" s="500"/>
      <c r="EPL26" s="500"/>
      <c r="EPM26" s="500"/>
      <c r="EPN26" s="500"/>
      <c r="EPO26" s="500"/>
      <c r="EPP26" s="500"/>
      <c r="EPQ26" s="500"/>
      <c r="EPR26" s="500"/>
      <c r="EPS26" s="500"/>
      <c r="EPT26" s="500"/>
      <c r="EPU26" s="500"/>
      <c r="EPV26" s="500"/>
      <c r="EPW26" s="500"/>
      <c r="EPX26" s="500"/>
      <c r="EPY26" s="500"/>
      <c r="EPZ26" s="500"/>
      <c r="EQA26" s="500"/>
      <c r="EQB26" s="500"/>
      <c r="EQC26" s="500"/>
      <c r="EQD26" s="500"/>
      <c r="EQE26" s="500"/>
      <c r="EQF26" s="500"/>
      <c r="EQG26" s="500"/>
      <c r="EQH26" s="500"/>
      <c r="EQI26" s="500"/>
      <c r="EQJ26" s="500"/>
      <c r="EQK26" s="500"/>
      <c r="EQL26" s="500"/>
      <c r="EQM26" s="500"/>
      <c r="EQN26" s="500"/>
      <c r="EQO26" s="500"/>
      <c r="EQP26" s="500"/>
      <c r="EQQ26" s="500"/>
      <c r="EQR26" s="500"/>
      <c r="EQS26" s="500"/>
      <c r="EQT26" s="500"/>
      <c r="EQU26" s="500"/>
      <c r="EQV26" s="500"/>
      <c r="EQW26" s="500"/>
      <c r="EQX26" s="500"/>
      <c r="EQY26" s="500"/>
      <c r="EQZ26" s="500"/>
      <c r="ERA26" s="500"/>
      <c r="ERB26" s="500"/>
      <c r="ERC26" s="500"/>
      <c r="ERD26" s="500"/>
      <c r="ERE26" s="500"/>
      <c r="ERF26" s="500"/>
      <c r="ERG26" s="500"/>
      <c r="ERH26" s="500"/>
      <c r="ERI26" s="500"/>
      <c r="ERJ26" s="500"/>
      <c r="ERK26" s="500"/>
      <c r="ERL26" s="500"/>
      <c r="ERM26" s="500"/>
      <c r="ERN26" s="500"/>
      <c r="ERO26" s="500"/>
      <c r="ERP26" s="500"/>
      <c r="ERQ26" s="500"/>
      <c r="ERR26" s="500"/>
      <c r="ERS26" s="500"/>
      <c r="ERT26" s="500"/>
      <c r="ERU26" s="500"/>
      <c r="ERV26" s="500"/>
      <c r="ERW26" s="500"/>
      <c r="ERX26" s="500"/>
      <c r="ERY26" s="500"/>
      <c r="ERZ26" s="500"/>
      <c r="ESA26" s="500"/>
      <c r="ESB26" s="500"/>
      <c r="ESC26" s="500"/>
      <c r="ESD26" s="500"/>
      <c r="ESE26" s="500"/>
      <c r="ESF26" s="500"/>
      <c r="ESG26" s="500"/>
      <c r="ESH26" s="500"/>
      <c r="ESI26" s="500"/>
      <c r="ESJ26" s="500"/>
      <c r="ESK26" s="500"/>
      <c r="ESL26" s="500"/>
      <c r="ESM26" s="500"/>
      <c r="ESN26" s="500"/>
      <c r="ESO26" s="500"/>
      <c r="ESP26" s="500"/>
      <c r="ESQ26" s="500"/>
      <c r="ESR26" s="500"/>
      <c r="ESS26" s="500"/>
      <c r="EST26" s="500"/>
      <c r="ESU26" s="500"/>
      <c r="ESV26" s="500"/>
      <c r="ESW26" s="500"/>
      <c r="ESX26" s="500"/>
      <c r="ESY26" s="500"/>
      <c r="ESZ26" s="500"/>
      <c r="ETA26" s="500"/>
      <c r="ETB26" s="500"/>
      <c r="ETC26" s="500"/>
      <c r="ETD26" s="500"/>
      <c r="ETE26" s="500"/>
      <c r="ETF26" s="500"/>
      <c r="ETG26" s="500"/>
      <c r="ETH26" s="500"/>
      <c r="ETI26" s="500"/>
      <c r="ETJ26" s="500"/>
      <c r="ETK26" s="500"/>
      <c r="ETL26" s="500"/>
      <c r="ETM26" s="500"/>
      <c r="ETN26" s="500"/>
      <c r="ETO26" s="500"/>
      <c r="ETP26" s="500"/>
      <c r="ETQ26" s="500"/>
      <c r="ETR26" s="500"/>
      <c r="ETS26" s="500"/>
      <c r="ETT26" s="500"/>
      <c r="ETU26" s="500"/>
      <c r="ETV26" s="500"/>
      <c r="ETW26" s="500"/>
      <c r="ETX26" s="500"/>
      <c r="ETY26" s="500"/>
      <c r="ETZ26" s="500"/>
      <c r="EUA26" s="500"/>
      <c r="EUB26" s="500"/>
      <c r="EUC26" s="500"/>
      <c r="EUD26" s="500"/>
      <c r="EUE26" s="500"/>
      <c r="EUF26" s="500"/>
      <c r="EUG26" s="500"/>
      <c r="EUH26" s="500"/>
      <c r="EUI26" s="500"/>
      <c r="EUJ26" s="500"/>
      <c r="EUK26" s="500"/>
      <c r="EUL26" s="500"/>
      <c r="EUM26" s="500"/>
      <c r="EUN26" s="500"/>
      <c r="EUO26" s="500"/>
      <c r="EUP26" s="500"/>
      <c r="EUQ26" s="500"/>
      <c r="EUR26" s="500"/>
      <c r="EUS26" s="500"/>
      <c r="EUT26" s="500"/>
      <c r="EUU26" s="500"/>
      <c r="EUV26" s="500"/>
      <c r="EUW26" s="500"/>
      <c r="EUX26" s="500"/>
      <c r="EUY26" s="500"/>
      <c r="EUZ26" s="500"/>
      <c r="EVA26" s="500"/>
      <c r="EVB26" s="500"/>
      <c r="EVC26" s="500"/>
      <c r="EVD26" s="500"/>
      <c r="EVE26" s="500"/>
      <c r="EVF26" s="500"/>
      <c r="EVG26" s="500"/>
      <c r="EVH26" s="500"/>
      <c r="EVI26" s="500"/>
      <c r="EVJ26" s="500"/>
      <c r="EVK26" s="500"/>
      <c r="EVL26" s="500"/>
      <c r="EVM26" s="500"/>
      <c r="EVN26" s="500"/>
      <c r="EVO26" s="500"/>
      <c r="EVP26" s="500"/>
      <c r="EVQ26" s="500"/>
      <c r="EVR26" s="500"/>
      <c r="EVS26" s="500"/>
      <c r="EVT26" s="500"/>
      <c r="EVU26" s="500"/>
      <c r="EVV26" s="500"/>
      <c r="EVW26" s="500"/>
      <c r="EVX26" s="500"/>
      <c r="EVY26" s="500"/>
      <c r="EVZ26" s="500"/>
      <c r="EWA26" s="500"/>
      <c r="EWB26" s="500"/>
      <c r="EWC26" s="500"/>
      <c r="EWD26" s="500"/>
      <c r="EWE26" s="500"/>
      <c r="EWF26" s="500"/>
      <c r="EWG26" s="500"/>
      <c r="EWH26" s="500"/>
      <c r="EWI26" s="500"/>
      <c r="EWJ26" s="500"/>
      <c r="EWK26" s="500"/>
      <c r="EWL26" s="500"/>
      <c r="EWM26" s="500"/>
      <c r="EWN26" s="500"/>
      <c r="EWO26" s="500"/>
      <c r="EWP26" s="500"/>
      <c r="EWQ26" s="500"/>
      <c r="EWR26" s="500"/>
      <c r="EWS26" s="500"/>
      <c r="EWT26" s="500"/>
      <c r="EWU26" s="500"/>
      <c r="EWV26" s="500"/>
      <c r="EWW26" s="500"/>
      <c r="EWX26" s="500"/>
      <c r="EWY26" s="500"/>
      <c r="EWZ26" s="500"/>
      <c r="EXA26" s="500"/>
      <c r="EXB26" s="500"/>
      <c r="EXC26" s="500"/>
      <c r="EXD26" s="500"/>
      <c r="EXE26" s="500"/>
      <c r="EXF26" s="500"/>
      <c r="EXG26" s="500"/>
      <c r="EXH26" s="500"/>
      <c r="EXI26" s="500"/>
      <c r="EXJ26" s="500"/>
      <c r="EXK26" s="500"/>
      <c r="EXL26" s="500"/>
      <c r="EXM26" s="500"/>
      <c r="EXN26" s="500"/>
      <c r="EXO26" s="500"/>
      <c r="EXP26" s="500"/>
      <c r="EXQ26" s="500"/>
      <c r="EXR26" s="500"/>
      <c r="EXS26" s="500"/>
      <c r="EXT26" s="500"/>
      <c r="EXU26" s="500"/>
      <c r="EXV26" s="500"/>
      <c r="EXW26" s="500"/>
      <c r="EXX26" s="500"/>
      <c r="EXY26" s="500"/>
      <c r="EXZ26" s="500"/>
      <c r="EYA26" s="500"/>
      <c r="EYB26" s="500"/>
      <c r="EYC26" s="500"/>
      <c r="EYD26" s="500"/>
      <c r="EYE26" s="500"/>
      <c r="EYF26" s="500"/>
      <c r="EYG26" s="500"/>
      <c r="EYH26" s="500"/>
      <c r="EYI26" s="500"/>
      <c r="EYJ26" s="500"/>
      <c r="EYK26" s="500"/>
      <c r="EYL26" s="500"/>
      <c r="EYM26" s="500"/>
      <c r="EYN26" s="500"/>
      <c r="EYO26" s="500"/>
      <c r="EYP26" s="500"/>
      <c r="EYQ26" s="500"/>
      <c r="EYR26" s="500"/>
      <c r="EYS26" s="500"/>
      <c r="EYT26" s="500"/>
      <c r="EYU26" s="500"/>
      <c r="EYV26" s="500"/>
      <c r="EYW26" s="500"/>
      <c r="EYX26" s="500"/>
      <c r="EYY26" s="500"/>
      <c r="EYZ26" s="500"/>
      <c r="EZA26" s="500"/>
      <c r="EZB26" s="500"/>
      <c r="EZC26" s="500"/>
      <c r="EZD26" s="500"/>
      <c r="EZE26" s="500"/>
      <c r="EZF26" s="500"/>
      <c r="EZG26" s="500"/>
      <c r="EZH26" s="500"/>
      <c r="EZI26" s="500"/>
      <c r="EZJ26" s="500"/>
      <c r="EZK26" s="500"/>
      <c r="EZL26" s="500"/>
      <c r="EZM26" s="500"/>
      <c r="EZN26" s="500"/>
      <c r="EZO26" s="500"/>
      <c r="EZP26" s="500"/>
      <c r="EZQ26" s="500"/>
      <c r="EZR26" s="500"/>
      <c r="EZS26" s="500"/>
      <c r="EZT26" s="500"/>
      <c r="EZU26" s="500"/>
      <c r="EZV26" s="500"/>
      <c r="EZW26" s="500"/>
      <c r="EZX26" s="500"/>
      <c r="EZY26" s="500"/>
      <c r="EZZ26" s="500"/>
      <c r="FAA26" s="500"/>
      <c r="FAB26" s="500"/>
      <c r="FAC26" s="500"/>
      <c r="FAD26" s="500"/>
      <c r="FAE26" s="500"/>
      <c r="FAF26" s="500"/>
      <c r="FAG26" s="500"/>
      <c r="FAH26" s="500"/>
      <c r="FAI26" s="500"/>
      <c r="FAJ26" s="500"/>
      <c r="FAK26" s="500"/>
      <c r="FAL26" s="500"/>
      <c r="FAM26" s="500"/>
      <c r="FAN26" s="500"/>
      <c r="FAO26" s="500"/>
      <c r="FAP26" s="500"/>
      <c r="FAQ26" s="500"/>
      <c r="FAR26" s="500"/>
      <c r="FAS26" s="500"/>
      <c r="FAT26" s="500"/>
      <c r="FAU26" s="500"/>
      <c r="FAV26" s="500"/>
      <c r="FAW26" s="500"/>
      <c r="FAX26" s="500"/>
      <c r="FAY26" s="500"/>
      <c r="FAZ26" s="500"/>
      <c r="FBA26" s="500"/>
      <c r="FBB26" s="500"/>
      <c r="FBC26" s="500"/>
      <c r="FBD26" s="500"/>
      <c r="FBE26" s="500"/>
      <c r="FBF26" s="500"/>
      <c r="FBG26" s="500"/>
      <c r="FBH26" s="500"/>
      <c r="FBI26" s="500"/>
      <c r="FBJ26" s="500"/>
      <c r="FBK26" s="500"/>
      <c r="FBL26" s="500"/>
      <c r="FBM26" s="500"/>
      <c r="FBN26" s="500"/>
      <c r="FBO26" s="500"/>
      <c r="FBP26" s="500"/>
      <c r="FBQ26" s="500"/>
      <c r="FBR26" s="500"/>
      <c r="FBS26" s="500"/>
      <c r="FBT26" s="500"/>
      <c r="FBU26" s="500"/>
      <c r="FBV26" s="500"/>
      <c r="FBW26" s="500"/>
      <c r="FBX26" s="500"/>
      <c r="FBY26" s="500"/>
      <c r="FBZ26" s="500"/>
      <c r="FCA26" s="500"/>
      <c r="FCB26" s="500"/>
      <c r="FCC26" s="500"/>
      <c r="FCD26" s="500"/>
      <c r="FCE26" s="500"/>
      <c r="FCF26" s="500"/>
      <c r="FCG26" s="500"/>
      <c r="FCH26" s="500"/>
      <c r="FCI26" s="500"/>
      <c r="FCJ26" s="500"/>
      <c r="FCK26" s="500"/>
      <c r="FCL26" s="500"/>
      <c r="FCM26" s="500"/>
      <c r="FCN26" s="500"/>
      <c r="FCO26" s="500"/>
      <c r="FCP26" s="500"/>
      <c r="FCQ26" s="500"/>
      <c r="FCR26" s="500"/>
      <c r="FCS26" s="500"/>
      <c r="FCT26" s="500"/>
      <c r="FCU26" s="500"/>
      <c r="FCV26" s="500"/>
      <c r="FCW26" s="500"/>
      <c r="FCX26" s="500"/>
      <c r="FCY26" s="500"/>
      <c r="FCZ26" s="500"/>
      <c r="FDA26" s="500"/>
      <c r="FDB26" s="500"/>
      <c r="FDC26" s="500"/>
      <c r="FDD26" s="500"/>
      <c r="FDE26" s="500"/>
      <c r="FDF26" s="500"/>
      <c r="FDG26" s="500"/>
      <c r="FDH26" s="500"/>
      <c r="FDI26" s="500"/>
      <c r="FDJ26" s="500"/>
      <c r="FDK26" s="500"/>
      <c r="FDL26" s="500"/>
      <c r="FDM26" s="500"/>
      <c r="FDN26" s="500"/>
      <c r="FDO26" s="500"/>
      <c r="FDP26" s="500"/>
      <c r="FDQ26" s="500"/>
      <c r="FDR26" s="500"/>
      <c r="FDS26" s="500"/>
      <c r="FDT26" s="500"/>
      <c r="FDU26" s="500"/>
      <c r="FDV26" s="500"/>
      <c r="FDW26" s="500"/>
      <c r="FDX26" s="500"/>
      <c r="FDY26" s="500"/>
      <c r="FDZ26" s="500"/>
      <c r="FEA26" s="500"/>
      <c r="FEB26" s="500"/>
      <c r="FEC26" s="500"/>
      <c r="FED26" s="500"/>
      <c r="FEE26" s="500"/>
      <c r="FEF26" s="500"/>
      <c r="FEG26" s="500"/>
      <c r="FEH26" s="500"/>
      <c r="FEI26" s="500"/>
      <c r="FEJ26" s="500"/>
      <c r="FEK26" s="500"/>
      <c r="FEL26" s="500"/>
      <c r="FEM26" s="500"/>
      <c r="FEN26" s="500"/>
      <c r="FEO26" s="500"/>
      <c r="FEP26" s="500"/>
      <c r="FEQ26" s="500"/>
      <c r="FER26" s="500"/>
      <c r="FES26" s="500"/>
      <c r="FET26" s="500"/>
      <c r="FEU26" s="500"/>
      <c r="FEV26" s="500"/>
      <c r="FEW26" s="500"/>
      <c r="FEX26" s="500"/>
      <c r="FEY26" s="500"/>
      <c r="FEZ26" s="500"/>
      <c r="FFA26" s="500"/>
      <c r="FFB26" s="500"/>
      <c r="FFC26" s="500"/>
      <c r="FFD26" s="500"/>
      <c r="FFE26" s="500"/>
      <c r="FFF26" s="500"/>
      <c r="FFG26" s="500"/>
      <c r="FFH26" s="500"/>
      <c r="FFI26" s="500"/>
      <c r="FFJ26" s="500"/>
      <c r="FFK26" s="500"/>
      <c r="FFL26" s="500"/>
      <c r="FFM26" s="500"/>
      <c r="FFN26" s="500"/>
      <c r="FFO26" s="500"/>
      <c r="FFP26" s="500"/>
      <c r="FFQ26" s="500"/>
      <c r="FFR26" s="500"/>
      <c r="FFS26" s="500"/>
      <c r="FFT26" s="500"/>
      <c r="FFU26" s="500"/>
      <c r="FFV26" s="500"/>
      <c r="FFW26" s="500"/>
      <c r="FFX26" s="500"/>
      <c r="FFY26" s="500"/>
      <c r="FFZ26" s="500"/>
      <c r="FGA26" s="500"/>
      <c r="FGB26" s="500"/>
      <c r="FGC26" s="500"/>
      <c r="FGD26" s="500"/>
      <c r="FGE26" s="500"/>
      <c r="FGF26" s="500"/>
      <c r="FGG26" s="500"/>
      <c r="FGH26" s="500"/>
      <c r="FGI26" s="500"/>
      <c r="FGJ26" s="500"/>
      <c r="FGK26" s="500"/>
      <c r="FGL26" s="500"/>
      <c r="FGM26" s="500"/>
      <c r="FGN26" s="500"/>
      <c r="FGO26" s="500"/>
      <c r="FGP26" s="500"/>
      <c r="FGQ26" s="500"/>
      <c r="FGR26" s="500"/>
      <c r="FGS26" s="500"/>
      <c r="FGT26" s="500"/>
      <c r="FGU26" s="500"/>
      <c r="FGV26" s="500"/>
      <c r="FGW26" s="500"/>
      <c r="FGX26" s="500"/>
      <c r="FGY26" s="500"/>
      <c r="FGZ26" s="500"/>
      <c r="FHA26" s="500"/>
      <c r="FHB26" s="500"/>
      <c r="FHC26" s="500"/>
      <c r="FHD26" s="500"/>
      <c r="FHE26" s="500"/>
      <c r="FHF26" s="500"/>
      <c r="FHG26" s="500"/>
      <c r="FHH26" s="500"/>
      <c r="FHI26" s="500"/>
      <c r="FHJ26" s="500"/>
      <c r="FHK26" s="500"/>
      <c r="FHL26" s="500"/>
      <c r="FHM26" s="500"/>
      <c r="FHN26" s="500"/>
      <c r="FHO26" s="500"/>
      <c r="FHP26" s="500"/>
      <c r="FHQ26" s="500"/>
      <c r="FHR26" s="500"/>
      <c r="FHS26" s="500"/>
      <c r="FHT26" s="500"/>
      <c r="FHU26" s="500"/>
      <c r="FHV26" s="500"/>
      <c r="FHW26" s="500"/>
      <c r="FHX26" s="500"/>
      <c r="FHY26" s="500"/>
      <c r="FHZ26" s="500"/>
      <c r="FIA26" s="500"/>
      <c r="FIB26" s="500"/>
      <c r="FIC26" s="500"/>
      <c r="FID26" s="500"/>
      <c r="FIE26" s="500"/>
      <c r="FIF26" s="500"/>
      <c r="FIG26" s="500"/>
      <c r="FIH26" s="500"/>
      <c r="FII26" s="500"/>
      <c r="FIJ26" s="500"/>
      <c r="FIK26" s="500"/>
      <c r="FIL26" s="500"/>
      <c r="FIM26" s="500"/>
      <c r="FIN26" s="500"/>
      <c r="FIO26" s="500"/>
      <c r="FIP26" s="500"/>
      <c r="FIQ26" s="500"/>
      <c r="FIR26" s="500"/>
      <c r="FIS26" s="500"/>
      <c r="FIT26" s="500"/>
      <c r="FIU26" s="500"/>
      <c r="FIV26" s="500"/>
      <c r="FIW26" s="500"/>
      <c r="FIX26" s="500"/>
      <c r="FIY26" s="500"/>
      <c r="FIZ26" s="500"/>
      <c r="FJA26" s="500"/>
      <c r="FJB26" s="500"/>
      <c r="FJC26" s="500"/>
      <c r="FJD26" s="500"/>
      <c r="FJE26" s="500"/>
      <c r="FJF26" s="500"/>
      <c r="FJG26" s="500"/>
      <c r="FJH26" s="500"/>
      <c r="FJI26" s="500"/>
      <c r="FJJ26" s="500"/>
      <c r="FJK26" s="500"/>
      <c r="FJL26" s="500"/>
      <c r="FJM26" s="500"/>
      <c r="FJN26" s="500"/>
      <c r="FJO26" s="500"/>
      <c r="FJP26" s="500"/>
      <c r="FJQ26" s="500"/>
      <c r="FJR26" s="500"/>
      <c r="FJS26" s="500"/>
      <c r="FJT26" s="500"/>
      <c r="FJU26" s="500"/>
      <c r="FJV26" s="500"/>
      <c r="FJW26" s="500"/>
      <c r="FJX26" s="500"/>
      <c r="FJY26" s="500"/>
      <c r="FJZ26" s="500"/>
      <c r="FKA26" s="500"/>
      <c r="FKB26" s="500"/>
      <c r="FKC26" s="500"/>
      <c r="FKD26" s="500"/>
      <c r="FKE26" s="500"/>
      <c r="FKF26" s="500"/>
      <c r="FKG26" s="500"/>
      <c r="FKH26" s="500"/>
      <c r="FKI26" s="500"/>
      <c r="FKJ26" s="500"/>
      <c r="FKK26" s="500"/>
      <c r="FKL26" s="500"/>
      <c r="FKM26" s="500"/>
      <c r="FKN26" s="500"/>
      <c r="FKO26" s="500"/>
      <c r="FKP26" s="500"/>
      <c r="FKQ26" s="500"/>
      <c r="FKR26" s="500"/>
      <c r="FKS26" s="500"/>
      <c r="FKT26" s="500"/>
      <c r="FKU26" s="500"/>
      <c r="FKV26" s="500"/>
      <c r="FKW26" s="500"/>
      <c r="FKX26" s="500"/>
      <c r="FKY26" s="500"/>
      <c r="FKZ26" s="500"/>
      <c r="FLA26" s="500"/>
      <c r="FLB26" s="500"/>
      <c r="FLC26" s="500"/>
      <c r="FLD26" s="500"/>
      <c r="FLE26" s="500"/>
      <c r="FLF26" s="500"/>
      <c r="FLG26" s="500"/>
      <c r="FLH26" s="500"/>
      <c r="FLI26" s="500"/>
      <c r="FLJ26" s="500"/>
      <c r="FLK26" s="500"/>
      <c r="FLL26" s="500"/>
      <c r="FLM26" s="500"/>
      <c r="FLN26" s="500"/>
      <c r="FLO26" s="500"/>
      <c r="FLP26" s="500"/>
      <c r="FLQ26" s="500"/>
      <c r="FLR26" s="500"/>
      <c r="FLS26" s="500"/>
      <c r="FLT26" s="500"/>
      <c r="FLU26" s="500"/>
      <c r="FLV26" s="500"/>
      <c r="FLW26" s="500"/>
      <c r="FLX26" s="500"/>
      <c r="FLY26" s="500"/>
      <c r="FLZ26" s="500"/>
      <c r="FMA26" s="500"/>
      <c r="FMB26" s="500"/>
      <c r="FMC26" s="500"/>
      <c r="FMD26" s="500"/>
      <c r="FME26" s="500"/>
      <c r="FMF26" s="500"/>
      <c r="FMG26" s="500"/>
      <c r="FMH26" s="500"/>
      <c r="FMI26" s="500"/>
      <c r="FMJ26" s="500"/>
      <c r="FMK26" s="500"/>
      <c r="FML26" s="500"/>
      <c r="FMM26" s="500"/>
      <c r="FMN26" s="500"/>
      <c r="FMO26" s="500"/>
      <c r="FMP26" s="500"/>
      <c r="FMQ26" s="500"/>
      <c r="FMR26" s="500"/>
      <c r="FMS26" s="500"/>
      <c r="FMT26" s="500"/>
      <c r="FMU26" s="500"/>
      <c r="FMV26" s="500"/>
      <c r="FMW26" s="500"/>
      <c r="FMX26" s="500"/>
      <c r="FMY26" s="500"/>
      <c r="FMZ26" s="500"/>
      <c r="FNA26" s="500"/>
      <c r="FNB26" s="500"/>
      <c r="FNC26" s="500"/>
      <c r="FND26" s="500"/>
      <c r="FNE26" s="500"/>
      <c r="FNF26" s="500"/>
      <c r="FNG26" s="500"/>
      <c r="FNH26" s="500"/>
      <c r="FNI26" s="500"/>
      <c r="FNJ26" s="500"/>
      <c r="FNK26" s="500"/>
      <c r="FNL26" s="500"/>
      <c r="FNM26" s="500"/>
      <c r="FNN26" s="500"/>
      <c r="FNO26" s="500"/>
      <c r="FNP26" s="500"/>
      <c r="FNQ26" s="500"/>
      <c r="FNR26" s="500"/>
      <c r="FNS26" s="500"/>
      <c r="FNT26" s="500"/>
      <c r="FNU26" s="500"/>
      <c r="FNV26" s="500"/>
      <c r="FNW26" s="500"/>
      <c r="FNX26" s="500"/>
      <c r="FNY26" s="500"/>
      <c r="FNZ26" s="500"/>
      <c r="FOA26" s="500"/>
      <c r="FOB26" s="500"/>
      <c r="FOC26" s="500"/>
      <c r="FOD26" s="500"/>
      <c r="FOE26" s="500"/>
      <c r="FOF26" s="500"/>
      <c r="FOG26" s="500"/>
      <c r="FOH26" s="500"/>
      <c r="FOI26" s="500"/>
      <c r="FOJ26" s="500"/>
      <c r="FOK26" s="500"/>
      <c r="FOL26" s="500"/>
      <c r="FOM26" s="500"/>
      <c r="FON26" s="500"/>
      <c r="FOO26" s="500"/>
      <c r="FOP26" s="500"/>
      <c r="FOQ26" s="500"/>
      <c r="FOR26" s="500"/>
      <c r="FOS26" s="500"/>
      <c r="FOT26" s="500"/>
      <c r="FOU26" s="500"/>
      <c r="FOV26" s="500"/>
      <c r="FOW26" s="500"/>
      <c r="FOX26" s="500"/>
      <c r="FOY26" s="500"/>
      <c r="FOZ26" s="500"/>
      <c r="FPA26" s="500"/>
      <c r="FPB26" s="500"/>
      <c r="FPC26" s="500"/>
      <c r="FPD26" s="500"/>
      <c r="FPE26" s="500"/>
      <c r="FPF26" s="500"/>
      <c r="FPG26" s="500"/>
      <c r="FPH26" s="500"/>
      <c r="FPI26" s="500"/>
      <c r="FPJ26" s="500"/>
      <c r="FPK26" s="500"/>
      <c r="FPL26" s="500"/>
      <c r="FPM26" s="500"/>
      <c r="FPN26" s="500"/>
      <c r="FPO26" s="500"/>
      <c r="FPP26" s="500"/>
      <c r="FPQ26" s="500"/>
      <c r="FPR26" s="500"/>
      <c r="FPS26" s="500"/>
      <c r="FPT26" s="500"/>
      <c r="FPU26" s="500"/>
      <c r="FPV26" s="500"/>
      <c r="FPW26" s="500"/>
      <c r="FPX26" s="500"/>
      <c r="FPY26" s="500"/>
      <c r="FPZ26" s="500"/>
      <c r="FQA26" s="500"/>
      <c r="FQB26" s="500"/>
      <c r="FQC26" s="500"/>
      <c r="FQD26" s="500"/>
      <c r="FQE26" s="500"/>
      <c r="FQF26" s="500"/>
      <c r="FQG26" s="500"/>
      <c r="FQH26" s="500"/>
      <c r="FQI26" s="500"/>
      <c r="FQJ26" s="500"/>
      <c r="FQK26" s="500"/>
      <c r="FQL26" s="500"/>
      <c r="FQM26" s="500"/>
      <c r="FQN26" s="500"/>
      <c r="FQO26" s="500"/>
      <c r="FQP26" s="500"/>
      <c r="FQQ26" s="500"/>
      <c r="FQR26" s="500"/>
      <c r="FQS26" s="500"/>
      <c r="FQT26" s="500"/>
      <c r="FQU26" s="500"/>
      <c r="FQV26" s="500"/>
      <c r="FQW26" s="500"/>
      <c r="FQX26" s="500"/>
      <c r="FQY26" s="500"/>
      <c r="FQZ26" s="500"/>
      <c r="FRA26" s="500"/>
      <c r="FRB26" s="500"/>
      <c r="FRC26" s="500"/>
      <c r="FRD26" s="500"/>
      <c r="FRE26" s="500"/>
      <c r="FRF26" s="500"/>
      <c r="FRG26" s="500"/>
      <c r="FRH26" s="500"/>
      <c r="FRI26" s="500"/>
      <c r="FRJ26" s="500"/>
      <c r="FRK26" s="500"/>
      <c r="FRL26" s="500"/>
      <c r="FRM26" s="500"/>
      <c r="FRN26" s="500"/>
      <c r="FRO26" s="500"/>
      <c r="FRP26" s="500"/>
      <c r="FRQ26" s="500"/>
      <c r="FRR26" s="500"/>
      <c r="FRS26" s="500"/>
      <c r="FRT26" s="500"/>
      <c r="FRU26" s="500"/>
      <c r="FRV26" s="500"/>
      <c r="FRW26" s="500"/>
      <c r="FRX26" s="500"/>
      <c r="FRY26" s="500"/>
      <c r="FRZ26" s="500"/>
      <c r="FSA26" s="500"/>
      <c r="FSB26" s="500"/>
      <c r="FSC26" s="500"/>
      <c r="FSD26" s="500"/>
      <c r="FSE26" s="500"/>
      <c r="FSF26" s="500"/>
      <c r="FSG26" s="500"/>
      <c r="FSH26" s="500"/>
      <c r="FSI26" s="500"/>
      <c r="FSJ26" s="500"/>
      <c r="FSK26" s="500"/>
      <c r="FSL26" s="500"/>
      <c r="FSM26" s="500"/>
      <c r="FSN26" s="500"/>
      <c r="FSO26" s="500"/>
      <c r="FSP26" s="500"/>
      <c r="FSQ26" s="500"/>
      <c r="FSR26" s="500"/>
      <c r="FSS26" s="500"/>
      <c r="FST26" s="500"/>
      <c r="FSU26" s="500"/>
      <c r="FSV26" s="500"/>
      <c r="FSW26" s="500"/>
      <c r="FSX26" s="500"/>
      <c r="FSY26" s="500"/>
      <c r="FSZ26" s="500"/>
      <c r="FTA26" s="500"/>
      <c r="FTB26" s="500"/>
      <c r="FTC26" s="500"/>
      <c r="FTD26" s="500"/>
      <c r="FTE26" s="500"/>
      <c r="FTF26" s="500"/>
      <c r="FTG26" s="500"/>
      <c r="FTH26" s="500"/>
      <c r="FTI26" s="500"/>
      <c r="FTJ26" s="500"/>
      <c r="FTK26" s="500"/>
      <c r="FTL26" s="500"/>
      <c r="FTM26" s="500"/>
      <c r="FTN26" s="500"/>
      <c r="FTO26" s="500"/>
      <c r="FTP26" s="500"/>
      <c r="FTQ26" s="500"/>
      <c r="FTR26" s="500"/>
      <c r="FTS26" s="500"/>
      <c r="FTT26" s="500"/>
      <c r="FTU26" s="500"/>
      <c r="FTV26" s="500"/>
      <c r="FTW26" s="500"/>
      <c r="FTX26" s="500"/>
      <c r="FTY26" s="500"/>
      <c r="FTZ26" s="500"/>
      <c r="FUA26" s="500"/>
      <c r="FUB26" s="500"/>
      <c r="FUC26" s="500"/>
      <c r="FUD26" s="500"/>
      <c r="FUE26" s="500"/>
      <c r="FUF26" s="500"/>
      <c r="FUG26" s="500"/>
      <c r="FUH26" s="500"/>
      <c r="FUI26" s="500"/>
      <c r="FUJ26" s="500"/>
      <c r="FUK26" s="500"/>
      <c r="FUL26" s="500"/>
      <c r="FUM26" s="500"/>
      <c r="FUN26" s="500"/>
      <c r="FUO26" s="500"/>
      <c r="FUP26" s="500"/>
      <c r="FUQ26" s="500"/>
      <c r="FUR26" s="500"/>
      <c r="FUS26" s="500"/>
      <c r="FUT26" s="500"/>
      <c r="FUU26" s="500"/>
      <c r="FUV26" s="500"/>
      <c r="FUW26" s="500"/>
      <c r="FUX26" s="500"/>
      <c r="FUY26" s="500"/>
      <c r="FUZ26" s="500"/>
      <c r="FVA26" s="500"/>
      <c r="FVB26" s="500"/>
      <c r="FVC26" s="500"/>
      <c r="FVD26" s="500"/>
      <c r="FVE26" s="500"/>
      <c r="FVF26" s="500"/>
      <c r="FVG26" s="500"/>
      <c r="FVH26" s="500"/>
      <c r="FVI26" s="500"/>
      <c r="FVJ26" s="500"/>
      <c r="FVK26" s="500"/>
      <c r="FVL26" s="500"/>
      <c r="FVM26" s="500"/>
      <c r="FVN26" s="500"/>
      <c r="FVO26" s="500"/>
      <c r="FVP26" s="500"/>
      <c r="FVQ26" s="500"/>
      <c r="FVR26" s="500"/>
      <c r="FVS26" s="500"/>
      <c r="FVT26" s="500"/>
      <c r="FVU26" s="500"/>
      <c r="FVV26" s="500"/>
      <c r="FVW26" s="500"/>
      <c r="FVX26" s="500"/>
      <c r="FVY26" s="500"/>
      <c r="FVZ26" s="500"/>
      <c r="FWA26" s="500"/>
      <c r="FWB26" s="500"/>
      <c r="FWC26" s="500"/>
      <c r="FWD26" s="500"/>
      <c r="FWE26" s="500"/>
      <c r="FWF26" s="500"/>
      <c r="FWG26" s="500"/>
      <c r="FWH26" s="500"/>
      <c r="FWI26" s="500"/>
      <c r="FWJ26" s="500"/>
      <c r="FWK26" s="500"/>
      <c r="FWL26" s="500"/>
      <c r="FWM26" s="500"/>
      <c r="FWN26" s="500"/>
      <c r="FWO26" s="500"/>
      <c r="FWP26" s="500"/>
      <c r="FWQ26" s="500"/>
      <c r="FWR26" s="500"/>
      <c r="FWS26" s="500"/>
      <c r="FWT26" s="500"/>
      <c r="FWU26" s="500"/>
      <c r="FWV26" s="500"/>
      <c r="FWW26" s="500"/>
      <c r="FWX26" s="500"/>
      <c r="FWY26" s="500"/>
      <c r="FWZ26" s="500"/>
      <c r="FXA26" s="500"/>
      <c r="FXB26" s="500"/>
      <c r="FXC26" s="500"/>
      <c r="FXD26" s="500"/>
      <c r="FXE26" s="500"/>
      <c r="FXF26" s="500"/>
      <c r="FXG26" s="500"/>
      <c r="FXH26" s="500"/>
      <c r="FXI26" s="500"/>
      <c r="FXJ26" s="500"/>
      <c r="FXK26" s="500"/>
      <c r="FXL26" s="500"/>
      <c r="FXM26" s="500"/>
      <c r="FXN26" s="500"/>
      <c r="FXO26" s="500"/>
      <c r="FXP26" s="500"/>
      <c r="FXQ26" s="500"/>
      <c r="FXR26" s="500"/>
      <c r="FXS26" s="500"/>
      <c r="FXT26" s="500"/>
      <c r="FXU26" s="500"/>
      <c r="FXV26" s="500"/>
      <c r="FXW26" s="500"/>
      <c r="FXX26" s="500"/>
      <c r="FXY26" s="500"/>
      <c r="FXZ26" s="500"/>
      <c r="FYA26" s="500"/>
      <c r="FYB26" s="500"/>
      <c r="FYC26" s="500"/>
      <c r="FYD26" s="500"/>
      <c r="FYE26" s="500"/>
      <c r="FYF26" s="500"/>
      <c r="FYG26" s="500"/>
      <c r="FYH26" s="500"/>
      <c r="FYI26" s="500"/>
      <c r="FYJ26" s="500"/>
      <c r="FYK26" s="500"/>
      <c r="FYL26" s="500"/>
      <c r="FYM26" s="500"/>
      <c r="FYN26" s="500"/>
      <c r="FYO26" s="500"/>
      <c r="FYP26" s="500"/>
      <c r="FYQ26" s="500"/>
      <c r="FYR26" s="500"/>
      <c r="FYS26" s="500"/>
      <c r="FYT26" s="500"/>
      <c r="FYU26" s="500"/>
      <c r="FYV26" s="500"/>
      <c r="FYW26" s="500"/>
      <c r="FYX26" s="500"/>
      <c r="FYY26" s="500"/>
      <c r="FYZ26" s="500"/>
      <c r="FZA26" s="500"/>
      <c r="FZB26" s="500"/>
      <c r="FZC26" s="500"/>
      <c r="FZD26" s="500"/>
      <c r="FZE26" s="500"/>
      <c r="FZF26" s="500"/>
      <c r="FZG26" s="500"/>
      <c r="FZH26" s="500"/>
      <c r="FZI26" s="500"/>
      <c r="FZJ26" s="500"/>
      <c r="FZK26" s="500"/>
      <c r="FZL26" s="500"/>
      <c r="FZM26" s="500"/>
      <c r="FZN26" s="500"/>
      <c r="FZO26" s="500"/>
      <c r="FZP26" s="500"/>
      <c r="FZQ26" s="500"/>
      <c r="FZR26" s="500"/>
      <c r="FZS26" s="500"/>
      <c r="FZT26" s="500"/>
      <c r="FZU26" s="500"/>
      <c r="FZV26" s="500"/>
      <c r="FZW26" s="500"/>
      <c r="FZX26" s="500"/>
      <c r="FZY26" s="500"/>
      <c r="FZZ26" s="500"/>
      <c r="GAA26" s="500"/>
      <c r="GAB26" s="500"/>
      <c r="GAC26" s="500"/>
      <c r="GAD26" s="500"/>
      <c r="GAE26" s="500"/>
      <c r="GAF26" s="500"/>
      <c r="GAG26" s="500"/>
      <c r="GAH26" s="500"/>
      <c r="GAI26" s="500"/>
      <c r="GAJ26" s="500"/>
      <c r="GAK26" s="500"/>
      <c r="GAL26" s="500"/>
      <c r="GAM26" s="500"/>
      <c r="GAN26" s="500"/>
      <c r="GAO26" s="500"/>
      <c r="GAP26" s="500"/>
      <c r="GAQ26" s="500"/>
      <c r="GAR26" s="500"/>
      <c r="GAS26" s="500"/>
      <c r="GAT26" s="500"/>
      <c r="GAU26" s="500"/>
      <c r="GAV26" s="500"/>
      <c r="GAW26" s="500"/>
      <c r="GAX26" s="500"/>
      <c r="GAY26" s="500"/>
      <c r="GAZ26" s="500"/>
      <c r="GBA26" s="500"/>
      <c r="GBB26" s="500"/>
      <c r="GBC26" s="500"/>
      <c r="GBD26" s="500"/>
      <c r="GBE26" s="500"/>
      <c r="GBF26" s="500"/>
      <c r="GBG26" s="500"/>
      <c r="GBH26" s="500"/>
      <c r="GBI26" s="500"/>
      <c r="GBJ26" s="500"/>
      <c r="GBK26" s="500"/>
      <c r="GBL26" s="500"/>
      <c r="GBM26" s="500"/>
      <c r="GBN26" s="500"/>
      <c r="GBO26" s="500"/>
      <c r="GBP26" s="500"/>
      <c r="GBQ26" s="500"/>
      <c r="GBR26" s="500"/>
      <c r="GBS26" s="500"/>
      <c r="GBT26" s="500"/>
      <c r="GBU26" s="500"/>
      <c r="GBV26" s="500"/>
      <c r="GBW26" s="500"/>
      <c r="GBX26" s="500"/>
      <c r="GBY26" s="500"/>
      <c r="GBZ26" s="500"/>
      <c r="GCA26" s="500"/>
      <c r="GCB26" s="500"/>
      <c r="GCC26" s="500"/>
      <c r="GCD26" s="500"/>
      <c r="GCE26" s="500"/>
      <c r="GCF26" s="500"/>
      <c r="GCG26" s="500"/>
      <c r="GCH26" s="500"/>
      <c r="GCI26" s="500"/>
      <c r="GCJ26" s="500"/>
      <c r="GCK26" s="500"/>
      <c r="GCL26" s="500"/>
      <c r="GCM26" s="500"/>
      <c r="GCN26" s="500"/>
      <c r="GCO26" s="500"/>
      <c r="GCP26" s="500"/>
      <c r="GCQ26" s="500"/>
      <c r="GCR26" s="500"/>
      <c r="GCS26" s="500"/>
      <c r="GCT26" s="500"/>
      <c r="GCU26" s="500"/>
      <c r="GCV26" s="500"/>
      <c r="GCW26" s="500"/>
      <c r="GCX26" s="500"/>
      <c r="GCY26" s="500"/>
      <c r="GCZ26" s="500"/>
      <c r="GDA26" s="500"/>
      <c r="GDB26" s="500"/>
      <c r="GDC26" s="500"/>
      <c r="GDD26" s="500"/>
      <c r="GDE26" s="500"/>
      <c r="GDF26" s="500"/>
      <c r="GDG26" s="500"/>
      <c r="GDH26" s="500"/>
      <c r="GDI26" s="500"/>
      <c r="GDJ26" s="500"/>
      <c r="GDK26" s="500"/>
      <c r="GDL26" s="500"/>
      <c r="GDM26" s="500"/>
      <c r="GDN26" s="500"/>
      <c r="GDO26" s="500"/>
      <c r="GDP26" s="500"/>
      <c r="GDQ26" s="500"/>
      <c r="GDR26" s="500"/>
      <c r="GDS26" s="500"/>
      <c r="GDT26" s="500"/>
      <c r="GDU26" s="500"/>
      <c r="GDV26" s="500"/>
      <c r="GDW26" s="500"/>
      <c r="GDX26" s="500"/>
      <c r="GDY26" s="500"/>
      <c r="GDZ26" s="500"/>
      <c r="GEA26" s="500"/>
      <c r="GEB26" s="500"/>
      <c r="GEC26" s="500"/>
      <c r="GED26" s="500"/>
      <c r="GEE26" s="500"/>
      <c r="GEF26" s="500"/>
      <c r="GEG26" s="500"/>
      <c r="GEH26" s="500"/>
      <c r="GEI26" s="500"/>
      <c r="GEJ26" s="500"/>
      <c r="GEK26" s="500"/>
      <c r="GEL26" s="500"/>
      <c r="GEM26" s="500"/>
      <c r="GEN26" s="500"/>
      <c r="GEO26" s="500"/>
      <c r="GEP26" s="500"/>
      <c r="GEQ26" s="500"/>
      <c r="GER26" s="500"/>
      <c r="GES26" s="500"/>
      <c r="GET26" s="500"/>
      <c r="GEU26" s="500"/>
      <c r="GEV26" s="500"/>
      <c r="GEW26" s="500"/>
      <c r="GEX26" s="500"/>
      <c r="GEY26" s="500"/>
      <c r="GEZ26" s="500"/>
      <c r="GFA26" s="500"/>
      <c r="GFB26" s="500"/>
      <c r="GFC26" s="500"/>
      <c r="GFD26" s="500"/>
      <c r="GFE26" s="500"/>
      <c r="GFF26" s="500"/>
      <c r="GFG26" s="500"/>
      <c r="GFH26" s="500"/>
      <c r="GFI26" s="500"/>
      <c r="GFJ26" s="500"/>
      <c r="GFK26" s="500"/>
      <c r="GFL26" s="500"/>
      <c r="GFM26" s="500"/>
      <c r="GFN26" s="500"/>
      <c r="GFO26" s="500"/>
      <c r="GFP26" s="500"/>
      <c r="GFQ26" s="500"/>
      <c r="GFR26" s="500"/>
      <c r="GFS26" s="500"/>
      <c r="GFT26" s="500"/>
      <c r="GFU26" s="500"/>
      <c r="GFV26" s="500"/>
      <c r="GFW26" s="500"/>
      <c r="GFX26" s="500"/>
      <c r="GFY26" s="500"/>
      <c r="GFZ26" s="500"/>
      <c r="GGA26" s="500"/>
      <c r="GGB26" s="500"/>
      <c r="GGC26" s="500"/>
      <c r="GGD26" s="500"/>
      <c r="GGE26" s="500"/>
      <c r="GGF26" s="500"/>
      <c r="GGG26" s="500"/>
      <c r="GGH26" s="500"/>
      <c r="GGI26" s="500"/>
      <c r="GGJ26" s="500"/>
      <c r="GGK26" s="500"/>
      <c r="GGL26" s="500"/>
      <c r="GGM26" s="500"/>
      <c r="GGN26" s="500"/>
      <c r="GGO26" s="500"/>
      <c r="GGP26" s="500"/>
      <c r="GGQ26" s="500"/>
      <c r="GGR26" s="500"/>
      <c r="GGS26" s="500"/>
      <c r="GGT26" s="500"/>
      <c r="GGU26" s="500"/>
      <c r="GGV26" s="500"/>
      <c r="GGW26" s="500"/>
      <c r="GGX26" s="500"/>
      <c r="GGY26" s="500"/>
      <c r="GGZ26" s="500"/>
      <c r="GHA26" s="500"/>
      <c r="GHB26" s="500"/>
      <c r="GHC26" s="500"/>
      <c r="GHD26" s="500"/>
      <c r="GHE26" s="500"/>
      <c r="GHF26" s="500"/>
      <c r="GHG26" s="500"/>
      <c r="GHH26" s="500"/>
      <c r="GHI26" s="500"/>
      <c r="GHJ26" s="500"/>
      <c r="GHK26" s="500"/>
      <c r="GHL26" s="500"/>
      <c r="GHM26" s="500"/>
      <c r="GHN26" s="500"/>
      <c r="GHO26" s="500"/>
      <c r="GHP26" s="500"/>
      <c r="GHQ26" s="500"/>
      <c r="GHR26" s="500"/>
      <c r="GHS26" s="500"/>
      <c r="GHT26" s="500"/>
      <c r="GHU26" s="500"/>
      <c r="GHV26" s="500"/>
      <c r="GHW26" s="500"/>
      <c r="GHX26" s="500"/>
      <c r="GHY26" s="500"/>
      <c r="GHZ26" s="500"/>
      <c r="GIA26" s="500"/>
      <c r="GIB26" s="500"/>
      <c r="GIC26" s="500"/>
      <c r="GID26" s="500"/>
      <c r="GIE26" s="500"/>
      <c r="GIF26" s="500"/>
      <c r="GIG26" s="500"/>
      <c r="GIH26" s="500"/>
      <c r="GII26" s="500"/>
      <c r="GIJ26" s="500"/>
      <c r="GIK26" s="500"/>
      <c r="GIL26" s="500"/>
      <c r="GIM26" s="500"/>
      <c r="GIN26" s="500"/>
      <c r="GIO26" s="500"/>
      <c r="GIP26" s="500"/>
      <c r="GIQ26" s="500"/>
      <c r="GIR26" s="500"/>
      <c r="GIS26" s="500"/>
      <c r="GIT26" s="500"/>
      <c r="GIU26" s="500"/>
      <c r="GIV26" s="500"/>
      <c r="GIW26" s="500"/>
      <c r="GIX26" s="500"/>
      <c r="GIY26" s="500"/>
      <c r="GIZ26" s="500"/>
      <c r="GJA26" s="500"/>
      <c r="GJB26" s="500"/>
      <c r="GJC26" s="500"/>
      <c r="GJD26" s="500"/>
      <c r="GJE26" s="500"/>
      <c r="GJF26" s="500"/>
      <c r="GJG26" s="500"/>
      <c r="GJH26" s="500"/>
      <c r="GJI26" s="500"/>
      <c r="GJJ26" s="500"/>
      <c r="GJK26" s="500"/>
      <c r="GJL26" s="500"/>
      <c r="GJM26" s="500"/>
      <c r="GJN26" s="500"/>
      <c r="GJO26" s="500"/>
      <c r="GJP26" s="500"/>
      <c r="GJQ26" s="500"/>
      <c r="GJR26" s="500"/>
      <c r="GJS26" s="500"/>
      <c r="GJT26" s="500"/>
      <c r="GJU26" s="500"/>
      <c r="GJV26" s="500"/>
      <c r="GJW26" s="500"/>
      <c r="GJX26" s="500"/>
      <c r="GJY26" s="500"/>
      <c r="GJZ26" s="500"/>
      <c r="GKA26" s="500"/>
      <c r="GKB26" s="500"/>
      <c r="GKC26" s="500"/>
      <c r="GKD26" s="500"/>
      <c r="GKE26" s="500"/>
      <c r="GKF26" s="500"/>
      <c r="GKG26" s="500"/>
      <c r="GKH26" s="500"/>
      <c r="GKI26" s="500"/>
      <c r="GKJ26" s="500"/>
      <c r="GKK26" s="500"/>
      <c r="GKL26" s="500"/>
      <c r="GKM26" s="500"/>
      <c r="GKN26" s="500"/>
      <c r="GKO26" s="500"/>
      <c r="GKP26" s="500"/>
      <c r="GKQ26" s="500"/>
      <c r="GKR26" s="500"/>
      <c r="GKS26" s="500"/>
      <c r="GKT26" s="500"/>
      <c r="GKU26" s="500"/>
      <c r="GKV26" s="500"/>
      <c r="GKW26" s="500"/>
      <c r="GKX26" s="500"/>
      <c r="GKY26" s="500"/>
      <c r="GKZ26" s="500"/>
      <c r="GLA26" s="500"/>
      <c r="GLB26" s="500"/>
      <c r="GLC26" s="500"/>
      <c r="GLD26" s="500"/>
      <c r="GLE26" s="500"/>
      <c r="GLF26" s="500"/>
      <c r="GLG26" s="500"/>
      <c r="GLH26" s="500"/>
      <c r="GLI26" s="500"/>
      <c r="GLJ26" s="500"/>
      <c r="GLK26" s="500"/>
      <c r="GLL26" s="500"/>
      <c r="GLM26" s="500"/>
      <c r="GLN26" s="500"/>
      <c r="GLO26" s="500"/>
      <c r="GLP26" s="500"/>
      <c r="GLQ26" s="500"/>
      <c r="GLR26" s="500"/>
      <c r="GLS26" s="500"/>
      <c r="GLT26" s="500"/>
      <c r="GLU26" s="500"/>
      <c r="GLV26" s="500"/>
      <c r="GLW26" s="500"/>
      <c r="GLX26" s="500"/>
      <c r="GLY26" s="500"/>
      <c r="GLZ26" s="500"/>
      <c r="GMA26" s="500"/>
      <c r="GMB26" s="500"/>
      <c r="GMC26" s="500"/>
      <c r="GMD26" s="500"/>
      <c r="GME26" s="500"/>
      <c r="GMF26" s="500"/>
      <c r="GMG26" s="500"/>
      <c r="GMH26" s="500"/>
      <c r="GMI26" s="500"/>
      <c r="GMJ26" s="500"/>
      <c r="GMK26" s="500"/>
      <c r="GML26" s="500"/>
      <c r="GMM26" s="500"/>
      <c r="GMN26" s="500"/>
      <c r="GMO26" s="500"/>
      <c r="GMP26" s="500"/>
      <c r="GMQ26" s="500"/>
      <c r="GMR26" s="500"/>
      <c r="GMS26" s="500"/>
      <c r="GMT26" s="500"/>
      <c r="GMU26" s="500"/>
      <c r="GMV26" s="500"/>
      <c r="GMW26" s="500"/>
      <c r="GMX26" s="500"/>
      <c r="GMY26" s="500"/>
      <c r="GMZ26" s="500"/>
      <c r="GNA26" s="500"/>
      <c r="GNB26" s="500"/>
      <c r="GNC26" s="500"/>
      <c r="GND26" s="500"/>
      <c r="GNE26" s="500"/>
      <c r="GNF26" s="500"/>
      <c r="GNG26" s="500"/>
      <c r="GNH26" s="500"/>
      <c r="GNI26" s="500"/>
      <c r="GNJ26" s="500"/>
      <c r="GNK26" s="500"/>
      <c r="GNL26" s="500"/>
      <c r="GNM26" s="500"/>
      <c r="GNN26" s="500"/>
      <c r="GNO26" s="500"/>
      <c r="GNP26" s="500"/>
      <c r="GNQ26" s="500"/>
      <c r="GNR26" s="500"/>
      <c r="GNS26" s="500"/>
      <c r="GNT26" s="500"/>
      <c r="GNU26" s="500"/>
      <c r="GNV26" s="500"/>
      <c r="GNW26" s="500"/>
      <c r="GNX26" s="500"/>
      <c r="GNY26" s="500"/>
      <c r="GNZ26" s="500"/>
      <c r="GOA26" s="500"/>
      <c r="GOB26" s="500"/>
      <c r="GOC26" s="500"/>
      <c r="GOD26" s="500"/>
      <c r="GOE26" s="500"/>
      <c r="GOF26" s="500"/>
      <c r="GOG26" s="500"/>
      <c r="GOH26" s="500"/>
      <c r="GOI26" s="500"/>
      <c r="GOJ26" s="500"/>
      <c r="GOK26" s="500"/>
      <c r="GOL26" s="500"/>
      <c r="GOM26" s="500"/>
      <c r="GON26" s="500"/>
      <c r="GOO26" s="500"/>
      <c r="GOP26" s="500"/>
      <c r="GOQ26" s="500"/>
      <c r="GOR26" s="500"/>
      <c r="GOS26" s="500"/>
      <c r="GOT26" s="500"/>
      <c r="GOU26" s="500"/>
      <c r="GOV26" s="500"/>
      <c r="GOW26" s="500"/>
      <c r="GOX26" s="500"/>
      <c r="GOY26" s="500"/>
      <c r="GOZ26" s="500"/>
      <c r="GPA26" s="500"/>
      <c r="GPB26" s="500"/>
      <c r="GPC26" s="500"/>
      <c r="GPD26" s="500"/>
      <c r="GPE26" s="500"/>
      <c r="GPF26" s="500"/>
      <c r="GPG26" s="500"/>
      <c r="GPH26" s="500"/>
      <c r="GPI26" s="500"/>
      <c r="GPJ26" s="500"/>
      <c r="GPK26" s="500"/>
      <c r="GPL26" s="500"/>
      <c r="GPM26" s="500"/>
      <c r="GPN26" s="500"/>
      <c r="GPO26" s="500"/>
      <c r="GPP26" s="500"/>
      <c r="GPQ26" s="500"/>
      <c r="GPR26" s="500"/>
      <c r="GPS26" s="500"/>
      <c r="GPT26" s="500"/>
      <c r="GPU26" s="500"/>
      <c r="GPV26" s="500"/>
      <c r="GPW26" s="500"/>
      <c r="GPX26" s="500"/>
      <c r="GPY26" s="500"/>
      <c r="GPZ26" s="500"/>
      <c r="GQA26" s="500"/>
      <c r="GQB26" s="500"/>
      <c r="GQC26" s="500"/>
      <c r="GQD26" s="500"/>
      <c r="GQE26" s="500"/>
      <c r="GQF26" s="500"/>
      <c r="GQG26" s="500"/>
      <c r="GQH26" s="500"/>
      <c r="GQI26" s="500"/>
      <c r="GQJ26" s="500"/>
      <c r="GQK26" s="500"/>
      <c r="GQL26" s="500"/>
      <c r="GQM26" s="500"/>
      <c r="GQN26" s="500"/>
      <c r="GQO26" s="500"/>
      <c r="GQP26" s="500"/>
      <c r="GQQ26" s="500"/>
      <c r="GQR26" s="500"/>
      <c r="GQS26" s="500"/>
      <c r="GQT26" s="500"/>
      <c r="GQU26" s="500"/>
      <c r="GQV26" s="500"/>
      <c r="GQW26" s="500"/>
      <c r="GQX26" s="500"/>
      <c r="GQY26" s="500"/>
      <c r="GQZ26" s="500"/>
      <c r="GRA26" s="500"/>
      <c r="GRB26" s="500"/>
      <c r="GRC26" s="500"/>
      <c r="GRD26" s="500"/>
      <c r="GRE26" s="500"/>
      <c r="GRF26" s="500"/>
      <c r="GRG26" s="500"/>
      <c r="GRH26" s="500"/>
      <c r="GRI26" s="500"/>
      <c r="GRJ26" s="500"/>
      <c r="GRK26" s="500"/>
      <c r="GRL26" s="500"/>
      <c r="GRM26" s="500"/>
      <c r="GRN26" s="500"/>
      <c r="GRO26" s="500"/>
      <c r="GRP26" s="500"/>
      <c r="GRQ26" s="500"/>
      <c r="GRR26" s="500"/>
      <c r="GRS26" s="500"/>
      <c r="GRT26" s="500"/>
      <c r="GRU26" s="500"/>
      <c r="GRV26" s="500"/>
      <c r="GRW26" s="500"/>
      <c r="GRX26" s="500"/>
      <c r="GRY26" s="500"/>
      <c r="GRZ26" s="500"/>
      <c r="GSA26" s="500"/>
      <c r="GSB26" s="500"/>
      <c r="GSC26" s="500"/>
      <c r="GSD26" s="500"/>
      <c r="GSE26" s="500"/>
      <c r="GSF26" s="500"/>
      <c r="GSG26" s="500"/>
      <c r="GSH26" s="500"/>
      <c r="GSI26" s="500"/>
      <c r="GSJ26" s="500"/>
      <c r="GSK26" s="500"/>
      <c r="GSL26" s="500"/>
      <c r="GSM26" s="500"/>
      <c r="GSN26" s="500"/>
      <c r="GSO26" s="500"/>
      <c r="GSP26" s="500"/>
      <c r="GSQ26" s="500"/>
      <c r="GSR26" s="500"/>
      <c r="GSS26" s="500"/>
      <c r="GST26" s="500"/>
      <c r="GSU26" s="500"/>
      <c r="GSV26" s="500"/>
      <c r="GSW26" s="500"/>
      <c r="GSX26" s="500"/>
      <c r="GSY26" s="500"/>
      <c r="GSZ26" s="500"/>
      <c r="GTA26" s="500"/>
      <c r="GTB26" s="500"/>
      <c r="GTC26" s="500"/>
      <c r="GTD26" s="500"/>
      <c r="GTE26" s="500"/>
      <c r="GTF26" s="500"/>
      <c r="GTG26" s="500"/>
      <c r="GTH26" s="500"/>
      <c r="GTI26" s="500"/>
      <c r="GTJ26" s="500"/>
      <c r="GTK26" s="500"/>
      <c r="GTL26" s="500"/>
      <c r="GTM26" s="500"/>
      <c r="GTN26" s="500"/>
      <c r="GTO26" s="500"/>
      <c r="GTP26" s="500"/>
      <c r="GTQ26" s="500"/>
      <c r="GTR26" s="500"/>
      <c r="GTS26" s="500"/>
      <c r="GTT26" s="500"/>
      <c r="GTU26" s="500"/>
      <c r="GTV26" s="500"/>
      <c r="GTW26" s="500"/>
      <c r="GTX26" s="500"/>
      <c r="GTY26" s="500"/>
      <c r="GTZ26" s="500"/>
      <c r="GUA26" s="500"/>
      <c r="GUB26" s="500"/>
      <c r="GUC26" s="500"/>
      <c r="GUD26" s="500"/>
      <c r="GUE26" s="500"/>
      <c r="GUF26" s="500"/>
      <c r="GUG26" s="500"/>
      <c r="GUH26" s="500"/>
      <c r="GUI26" s="500"/>
      <c r="GUJ26" s="500"/>
      <c r="GUK26" s="500"/>
      <c r="GUL26" s="500"/>
      <c r="GUM26" s="500"/>
      <c r="GUN26" s="500"/>
      <c r="GUO26" s="500"/>
      <c r="GUP26" s="500"/>
      <c r="GUQ26" s="500"/>
      <c r="GUR26" s="500"/>
      <c r="GUS26" s="500"/>
      <c r="GUT26" s="500"/>
      <c r="GUU26" s="500"/>
      <c r="GUV26" s="500"/>
      <c r="GUW26" s="500"/>
      <c r="GUX26" s="500"/>
      <c r="GUY26" s="500"/>
      <c r="GUZ26" s="500"/>
      <c r="GVA26" s="500"/>
      <c r="GVB26" s="500"/>
      <c r="GVC26" s="500"/>
      <c r="GVD26" s="500"/>
      <c r="GVE26" s="500"/>
      <c r="GVF26" s="500"/>
      <c r="GVG26" s="500"/>
      <c r="GVH26" s="500"/>
      <c r="GVI26" s="500"/>
      <c r="GVJ26" s="500"/>
      <c r="GVK26" s="500"/>
      <c r="GVL26" s="500"/>
      <c r="GVM26" s="500"/>
      <c r="GVN26" s="500"/>
      <c r="GVO26" s="500"/>
      <c r="GVP26" s="500"/>
      <c r="GVQ26" s="500"/>
      <c r="GVR26" s="500"/>
      <c r="GVS26" s="500"/>
      <c r="GVT26" s="500"/>
      <c r="GVU26" s="500"/>
      <c r="GVV26" s="500"/>
      <c r="GVW26" s="500"/>
      <c r="GVX26" s="500"/>
      <c r="GVY26" s="500"/>
      <c r="GVZ26" s="500"/>
      <c r="GWA26" s="500"/>
      <c r="GWB26" s="500"/>
      <c r="GWC26" s="500"/>
      <c r="GWD26" s="500"/>
      <c r="GWE26" s="500"/>
      <c r="GWF26" s="500"/>
      <c r="GWG26" s="500"/>
      <c r="GWH26" s="500"/>
      <c r="GWI26" s="500"/>
      <c r="GWJ26" s="500"/>
      <c r="GWK26" s="500"/>
      <c r="GWL26" s="500"/>
      <c r="GWM26" s="500"/>
      <c r="GWN26" s="500"/>
      <c r="GWO26" s="500"/>
      <c r="GWP26" s="500"/>
      <c r="GWQ26" s="500"/>
      <c r="GWR26" s="500"/>
      <c r="GWS26" s="500"/>
      <c r="GWT26" s="500"/>
      <c r="GWU26" s="500"/>
      <c r="GWV26" s="500"/>
      <c r="GWW26" s="500"/>
      <c r="GWX26" s="500"/>
      <c r="GWY26" s="500"/>
      <c r="GWZ26" s="500"/>
      <c r="GXA26" s="500"/>
      <c r="GXB26" s="500"/>
      <c r="GXC26" s="500"/>
      <c r="GXD26" s="500"/>
      <c r="GXE26" s="500"/>
      <c r="GXF26" s="500"/>
      <c r="GXG26" s="500"/>
      <c r="GXH26" s="500"/>
      <c r="GXI26" s="500"/>
      <c r="GXJ26" s="500"/>
      <c r="GXK26" s="500"/>
      <c r="GXL26" s="500"/>
      <c r="GXM26" s="500"/>
      <c r="GXN26" s="500"/>
      <c r="GXO26" s="500"/>
      <c r="GXP26" s="500"/>
      <c r="GXQ26" s="500"/>
      <c r="GXR26" s="500"/>
      <c r="GXS26" s="500"/>
      <c r="GXT26" s="500"/>
      <c r="GXU26" s="500"/>
      <c r="GXV26" s="500"/>
      <c r="GXW26" s="500"/>
      <c r="GXX26" s="500"/>
      <c r="GXY26" s="500"/>
      <c r="GXZ26" s="500"/>
      <c r="GYA26" s="500"/>
      <c r="GYB26" s="500"/>
      <c r="GYC26" s="500"/>
      <c r="GYD26" s="500"/>
      <c r="GYE26" s="500"/>
      <c r="GYF26" s="500"/>
      <c r="GYG26" s="500"/>
      <c r="GYH26" s="500"/>
      <c r="GYI26" s="500"/>
      <c r="GYJ26" s="500"/>
      <c r="GYK26" s="500"/>
      <c r="GYL26" s="500"/>
      <c r="GYM26" s="500"/>
      <c r="GYN26" s="500"/>
      <c r="GYO26" s="500"/>
      <c r="GYP26" s="500"/>
      <c r="GYQ26" s="500"/>
      <c r="GYR26" s="500"/>
      <c r="GYS26" s="500"/>
      <c r="GYT26" s="500"/>
      <c r="GYU26" s="500"/>
      <c r="GYV26" s="500"/>
      <c r="GYW26" s="500"/>
      <c r="GYX26" s="500"/>
      <c r="GYY26" s="500"/>
      <c r="GYZ26" s="500"/>
      <c r="GZA26" s="500"/>
      <c r="GZB26" s="500"/>
      <c r="GZC26" s="500"/>
      <c r="GZD26" s="500"/>
      <c r="GZE26" s="500"/>
      <c r="GZF26" s="500"/>
      <c r="GZG26" s="500"/>
      <c r="GZH26" s="500"/>
      <c r="GZI26" s="500"/>
      <c r="GZJ26" s="500"/>
      <c r="GZK26" s="500"/>
      <c r="GZL26" s="500"/>
      <c r="GZM26" s="500"/>
      <c r="GZN26" s="500"/>
      <c r="GZO26" s="500"/>
      <c r="GZP26" s="500"/>
      <c r="GZQ26" s="500"/>
      <c r="GZR26" s="500"/>
      <c r="GZS26" s="500"/>
      <c r="GZT26" s="500"/>
      <c r="GZU26" s="500"/>
      <c r="GZV26" s="500"/>
      <c r="GZW26" s="500"/>
      <c r="GZX26" s="500"/>
      <c r="GZY26" s="500"/>
      <c r="GZZ26" s="500"/>
      <c r="HAA26" s="500"/>
      <c r="HAB26" s="500"/>
      <c r="HAC26" s="500"/>
      <c r="HAD26" s="500"/>
      <c r="HAE26" s="500"/>
      <c r="HAF26" s="500"/>
      <c r="HAG26" s="500"/>
      <c r="HAH26" s="500"/>
      <c r="HAI26" s="500"/>
      <c r="HAJ26" s="500"/>
      <c r="HAK26" s="500"/>
      <c r="HAL26" s="500"/>
      <c r="HAM26" s="500"/>
      <c r="HAN26" s="500"/>
      <c r="HAO26" s="500"/>
      <c r="HAP26" s="500"/>
      <c r="HAQ26" s="500"/>
      <c r="HAR26" s="500"/>
      <c r="HAS26" s="500"/>
      <c r="HAT26" s="500"/>
      <c r="HAU26" s="500"/>
      <c r="HAV26" s="500"/>
      <c r="HAW26" s="500"/>
      <c r="HAX26" s="500"/>
      <c r="HAY26" s="500"/>
      <c r="HAZ26" s="500"/>
      <c r="HBA26" s="500"/>
      <c r="HBB26" s="500"/>
      <c r="HBC26" s="500"/>
      <c r="HBD26" s="500"/>
      <c r="HBE26" s="500"/>
      <c r="HBF26" s="500"/>
      <c r="HBG26" s="500"/>
      <c r="HBH26" s="500"/>
      <c r="HBI26" s="500"/>
      <c r="HBJ26" s="500"/>
      <c r="HBK26" s="500"/>
      <c r="HBL26" s="500"/>
      <c r="HBM26" s="500"/>
      <c r="HBN26" s="500"/>
      <c r="HBO26" s="500"/>
      <c r="HBP26" s="500"/>
      <c r="HBQ26" s="500"/>
      <c r="HBR26" s="500"/>
      <c r="HBS26" s="500"/>
      <c r="HBT26" s="500"/>
      <c r="HBU26" s="500"/>
      <c r="HBV26" s="500"/>
      <c r="HBW26" s="500"/>
      <c r="HBX26" s="500"/>
      <c r="HBY26" s="500"/>
      <c r="HBZ26" s="500"/>
      <c r="HCA26" s="500"/>
      <c r="HCB26" s="500"/>
      <c r="HCC26" s="500"/>
      <c r="HCD26" s="500"/>
      <c r="HCE26" s="500"/>
      <c r="HCF26" s="500"/>
      <c r="HCG26" s="500"/>
      <c r="HCH26" s="500"/>
      <c r="HCI26" s="500"/>
      <c r="HCJ26" s="500"/>
      <c r="HCK26" s="500"/>
      <c r="HCL26" s="500"/>
      <c r="HCM26" s="500"/>
      <c r="HCN26" s="500"/>
      <c r="HCO26" s="500"/>
      <c r="HCP26" s="500"/>
      <c r="HCQ26" s="500"/>
      <c r="HCR26" s="500"/>
      <c r="HCS26" s="500"/>
      <c r="HCT26" s="500"/>
      <c r="HCU26" s="500"/>
      <c r="HCV26" s="500"/>
      <c r="HCW26" s="500"/>
      <c r="HCX26" s="500"/>
      <c r="HCY26" s="500"/>
      <c r="HCZ26" s="500"/>
      <c r="HDA26" s="500"/>
      <c r="HDB26" s="500"/>
      <c r="HDC26" s="500"/>
      <c r="HDD26" s="500"/>
      <c r="HDE26" s="500"/>
      <c r="HDF26" s="500"/>
      <c r="HDG26" s="500"/>
      <c r="HDH26" s="500"/>
      <c r="HDI26" s="500"/>
      <c r="HDJ26" s="500"/>
      <c r="HDK26" s="500"/>
      <c r="HDL26" s="500"/>
      <c r="HDM26" s="500"/>
      <c r="HDN26" s="500"/>
      <c r="HDO26" s="500"/>
      <c r="HDP26" s="500"/>
      <c r="HDQ26" s="500"/>
      <c r="HDR26" s="500"/>
      <c r="HDS26" s="500"/>
      <c r="HDT26" s="500"/>
      <c r="HDU26" s="500"/>
      <c r="HDV26" s="500"/>
      <c r="HDW26" s="500"/>
      <c r="HDX26" s="500"/>
      <c r="HDY26" s="500"/>
      <c r="HDZ26" s="500"/>
      <c r="HEA26" s="500"/>
      <c r="HEB26" s="500"/>
      <c r="HEC26" s="500"/>
      <c r="HED26" s="500"/>
      <c r="HEE26" s="500"/>
      <c r="HEF26" s="500"/>
      <c r="HEG26" s="500"/>
      <c r="HEH26" s="500"/>
      <c r="HEI26" s="500"/>
      <c r="HEJ26" s="500"/>
      <c r="HEK26" s="500"/>
      <c r="HEL26" s="500"/>
      <c r="HEM26" s="500"/>
      <c r="HEN26" s="500"/>
      <c r="HEO26" s="500"/>
      <c r="HEP26" s="500"/>
      <c r="HEQ26" s="500"/>
      <c r="HER26" s="500"/>
      <c r="HES26" s="500"/>
      <c r="HET26" s="500"/>
      <c r="HEU26" s="500"/>
      <c r="HEV26" s="500"/>
      <c r="HEW26" s="500"/>
      <c r="HEX26" s="500"/>
      <c r="HEY26" s="500"/>
      <c r="HEZ26" s="500"/>
      <c r="HFA26" s="500"/>
      <c r="HFB26" s="500"/>
      <c r="HFC26" s="500"/>
      <c r="HFD26" s="500"/>
      <c r="HFE26" s="500"/>
      <c r="HFF26" s="500"/>
      <c r="HFG26" s="500"/>
      <c r="HFH26" s="500"/>
      <c r="HFI26" s="500"/>
      <c r="HFJ26" s="500"/>
      <c r="HFK26" s="500"/>
      <c r="HFL26" s="500"/>
      <c r="HFM26" s="500"/>
      <c r="HFN26" s="500"/>
      <c r="HFO26" s="500"/>
      <c r="HFP26" s="500"/>
      <c r="HFQ26" s="500"/>
      <c r="HFR26" s="500"/>
      <c r="HFS26" s="500"/>
      <c r="HFT26" s="500"/>
      <c r="HFU26" s="500"/>
      <c r="HFV26" s="500"/>
      <c r="HFW26" s="500"/>
      <c r="HFX26" s="500"/>
      <c r="HFY26" s="500"/>
      <c r="HFZ26" s="500"/>
      <c r="HGA26" s="500"/>
      <c r="HGB26" s="500"/>
      <c r="HGC26" s="500"/>
      <c r="HGD26" s="500"/>
      <c r="HGE26" s="500"/>
      <c r="HGF26" s="500"/>
      <c r="HGG26" s="500"/>
      <c r="HGH26" s="500"/>
      <c r="HGI26" s="500"/>
      <c r="HGJ26" s="500"/>
      <c r="HGK26" s="500"/>
      <c r="HGL26" s="500"/>
      <c r="HGM26" s="500"/>
      <c r="HGN26" s="500"/>
      <c r="HGO26" s="500"/>
      <c r="HGP26" s="500"/>
      <c r="HGQ26" s="500"/>
      <c r="HGR26" s="500"/>
      <c r="HGS26" s="500"/>
      <c r="HGT26" s="500"/>
      <c r="HGU26" s="500"/>
      <c r="HGV26" s="500"/>
      <c r="HGW26" s="500"/>
      <c r="HGX26" s="500"/>
      <c r="HGY26" s="500"/>
      <c r="HGZ26" s="500"/>
      <c r="HHA26" s="500"/>
      <c r="HHB26" s="500"/>
      <c r="HHC26" s="500"/>
      <c r="HHD26" s="500"/>
      <c r="HHE26" s="500"/>
      <c r="HHF26" s="500"/>
      <c r="HHG26" s="500"/>
      <c r="HHH26" s="500"/>
      <c r="HHI26" s="500"/>
      <c r="HHJ26" s="500"/>
      <c r="HHK26" s="500"/>
      <c r="HHL26" s="500"/>
      <c r="HHM26" s="500"/>
      <c r="HHN26" s="500"/>
      <c r="HHO26" s="500"/>
      <c r="HHP26" s="500"/>
      <c r="HHQ26" s="500"/>
      <c r="HHR26" s="500"/>
      <c r="HHS26" s="500"/>
      <c r="HHT26" s="500"/>
      <c r="HHU26" s="500"/>
      <c r="HHV26" s="500"/>
      <c r="HHW26" s="500"/>
      <c r="HHX26" s="500"/>
      <c r="HHY26" s="500"/>
      <c r="HHZ26" s="500"/>
      <c r="HIA26" s="500"/>
      <c r="HIB26" s="500"/>
      <c r="HIC26" s="500"/>
      <c r="HID26" s="500"/>
      <c r="HIE26" s="500"/>
      <c r="HIF26" s="500"/>
      <c r="HIG26" s="500"/>
      <c r="HIH26" s="500"/>
      <c r="HII26" s="500"/>
      <c r="HIJ26" s="500"/>
      <c r="HIK26" s="500"/>
      <c r="HIL26" s="500"/>
      <c r="HIM26" s="500"/>
      <c r="HIN26" s="500"/>
      <c r="HIO26" s="500"/>
      <c r="HIP26" s="500"/>
      <c r="HIQ26" s="500"/>
      <c r="HIR26" s="500"/>
      <c r="HIS26" s="500"/>
      <c r="HIT26" s="500"/>
      <c r="HIU26" s="500"/>
      <c r="HIV26" s="500"/>
      <c r="HIW26" s="500"/>
      <c r="HIX26" s="500"/>
      <c r="HIY26" s="500"/>
      <c r="HIZ26" s="500"/>
      <c r="HJA26" s="500"/>
      <c r="HJB26" s="500"/>
      <c r="HJC26" s="500"/>
      <c r="HJD26" s="500"/>
      <c r="HJE26" s="500"/>
      <c r="HJF26" s="500"/>
      <c r="HJG26" s="500"/>
      <c r="HJH26" s="500"/>
      <c r="HJI26" s="500"/>
      <c r="HJJ26" s="500"/>
      <c r="HJK26" s="500"/>
      <c r="HJL26" s="500"/>
      <c r="HJM26" s="500"/>
      <c r="HJN26" s="500"/>
      <c r="HJO26" s="500"/>
      <c r="HJP26" s="500"/>
      <c r="HJQ26" s="500"/>
      <c r="HJR26" s="500"/>
      <c r="HJS26" s="500"/>
      <c r="HJT26" s="500"/>
      <c r="HJU26" s="500"/>
      <c r="HJV26" s="500"/>
      <c r="HJW26" s="500"/>
      <c r="HJX26" s="500"/>
      <c r="HJY26" s="500"/>
      <c r="HJZ26" s="500"/>
      <c r="HKA26" s="500"/>
      <c r="HKB26" s="500"/>
      <c r="HKC26" s="500"/>
      <c r="HKD26" s="500"/>
      <c r="HKE26" s="500"/>
      <c r="HKF26" s="500"/>
      <c r="HKG26" s="500"/>
      <c r="HKH26" s="500"/>
      <c r="HKI26" s="500"/>
      <c r="HKJ26" s="500"/>
      <c r="HKK26" s="500"/>
      <c r="HKL26" s="500"/>
      <c r="HKM26" s="500"/>
      <c r="HKN26" s="500"/>
      <c r="HKO26" s="500"/>
      <c r="HKP26" s="500"/>
      <c r="HKQ26" s="500"/>
      <c r="HKR26" s="500"/>
      <c r="HKS26" s="500"/>
      <c r="HKT26" s="500"/>
      <c r="HKU26" s="500"/>
      <c r="HKV26" s="500"/>
      <c r="HKW26" s="500"/>
      <c r="HKX26" s="500"/>
      <c r="HKY26" s="500"/>
      <c r="HKZ26" s="500"/>
      <c r="HLA26" s="500"/>
      <c r="HLB26" s="500"/>
      <c r="HLC26" s="500"/>
      <c r="HLD26" s="500"/>
      <c r="HLE26" s="500"/>
      <c r="HLF26" s="500"/>
      <c r="HLG26" s="500"/>
      <c r="HLH26" s="500"/>
      <c r="HLI26" s="500"/>
      <c r="HLJ26" s="500"/>
      <c r="HLK26" s="500"/>
      <c r="HLL26" s="500"/>
      <c r="HLM26" s="500"/>
      <c r="HLN26" s="500"/>
      <c r="HLO26" s="500"/>
      <c r="HLP26" s="500"/>
      <c r="HLQ26" s="500"/>
      <c r="HLR26" s="500"/>
      <c r="HLS26" s="500"/>
      <c r="HLT26" s="500"/>
      <c r="HLU26" s="500"/>
      <c r="HLV26" s="500"/>
      <c r="HLW26" s="500"/>
      <c r="HLX26" s="500"/>
      <c r="HLY26" s="500"/>
      <c r="HLZ26" s="500"/>
      <c r="HMA26" s="500"/>
      <c r="HMB26" s="500"/>
      <c r="HMC26" s="500"/>
      <c r="HMD26" s="500"/>
      <c r="HME26" s="500"/>
      <c r="HMF26" s="500"/>
      <c r="HMG26" s="500"/>
      <c r="HMH26" s="500"/>
      <c r="HMI26" s="500"/>
      <c r="HMJ26" s="500"/>
      <c r="HMK26" s="500"/>
      <c r="HML26" s="500"/>
      <c r="HMM26" s="500"/>
      <c r="HMN26" s="500"/>
      <c r="HMO26" s="500"/>
      <c r="HMP26" s="500"/>
      <c r="HMQ26" s="500"/>
      <c r="HMR26" s="500"/>
      <c r="HMS26" s="500"/>
      <c r="HMT26" s="500"/>
      <c r="HMU26" s="500"/>
      <c r="HMV26" s="500"/>
      <c r="HMW26" s="500"/>
      <c r="HMX26" s="500"/>
      <c r="HMY26" s="500"/>
      <c r="HMZ26" s="500"/>
      <c r="HNA26" s="500"/>
      <c r="HNB26" s="500"/>
      <c r="HNC26" s="500"/>
      <c r="HND26" s="500"/>
      <c r="HNE26" s="500"/>
      <c r="HNF26" s="500"/>
      <c r="HNG26" s="500"/>
      <c r="HNH26" s="500"/>
      <c r="HNI26" s="500"/>
      <c r="HNJ26" s="500"/>
      <c r="HNK26" s="500"/>
      <c r="HNL26" s="500"/>
      <c r="HNM26" s="500"/>
      <c r="HNN26" s="500"/>
      <c r="HNO26" s="500"/>
      <c r="HNP26" s="500"/>
      <c r="HNQ26" s="500"/>
      <c r="HNR26" s="500"/>
      <c r="HNS26" s="500"/>
      <c r="HNT26" s="500"/>
      <c r="HNU26" s="500"/>
      <c r="HNV26" s="500"/>
      <c r="HNW26" s="500"/>
      <c r="HNX26" s="500"/>
      <c r="HNY26" s="500"/>
      <c r="HNZ26" s="500"/>
      <c r="HOA26" s="500"/>
      <c r="HOB26" s="500"/>
      <c r="HOC26" s="500"/>
      <c r="HOD26" s="500"/>
      <c r="HOE26" s="500"/>
      <c r="HOF26" s="500"/>
      <c r="HOG26" s="500"/>
      <c r="HOH26" s="500"/>
      <c r="HOI26" s="500"/>
      <c r="HOJ26" s="500"/>
      <c r="HOK26" s="500"/>
      <c r="HOL26" s="500"/>
      <c r="HOM26" s="500"/>
      <c r="HON26" s="500"/>
      <c r="HOO26" s="500"/>
      <c r="HOP26" s="500"/>
      <c r="HOQ26" s="500"/>
      <c r="HOR26" s="500"/>
      <c r="HOS26" s="500"/>
      <c r="HOT26" s="500"/>
      <c r="HOU26" s="500"/>
      <c r="HOV26" s="500"/>
      <c r="HOW26" s="500"/>
      <c r="HOX26" s="500"/>
      <c r="HOY26" s="500"/>
      <c r="HOZ26" s="500"/>
      <c r="HPA26" s="500"/>
      <c r="HPB26" s="500"/>
      <c r="HPC26" s="500"/>
      <c r="HPD26" s="500"/>
      <c r="HPE26" s="500"/>
      <c r="HPF26" s="500"/>
      <c r="HPG26" s="500"/>
      <c r="HPH26" s="500"/>
      <c r="HPI26" s="500"/>
      <c r="HPJ26" s="500"/>
      <c r="HPK26" s="500"/>
      <c r="HPL26" s="500"/>
      <c r="HPM26" s="500"/>
      <c r="HPN26" s="500"/>
      <c r="HPO26" s="500"/>
      <c r="HPP26" s="500"/>
      <c r="HPQ26" s="500"/>
      <c r="HPR26" s="500"/>
      <c r="HPS26" s="500"/>
      <c r="HPT26" s="500"/>
      <c r="HPU26" s="500"/>
      <c r="HPV26" s="500"/>
      <c r="HPW26" s="500"/>
      <c r="HPX26" s="500"/>
      <c r="HPY26" s="500"/>
      <c r="HPZ26" s="500"/>
      <c r="HQA26" s="500"/>
      <c r="HQB26" s="500"/>
      <c r="HQC26" s="500"/>
      <c r="HQD26" s="500"/>
      <c r="HQE26" s="500"/>
      <c r="HQF26" s="500"/>
      <c r="HQG26" s="500"/>
      <c r="HQH26" s="500"/>
      <c r="HQI26" s="500"/>
      <c r="HQJ26" s="500"/>
      <c r="HQK26" s="500"/>
      <c r="HQL26" s="500"/>
      <c r="HQM26" s="500"/>
      <c r="HQN26" s="500"/>
      <c r="HQO26" s="500"/>
      <c r="HQP26" s="500"/>
      <c r="HQQ26" s="500"/>
      <c r="HQR26" s="500"/>
      <c r="HQS26" s="500"/>
      <c r="HQT26" s="500"/>
      <c r="HQU26" s="500"/>
      <c r="HQV26" s="500"/>
      <c r="HQW26" s="500"/>
      <c r="HQX26" s="500"/>
      <c r="HQY26" s="500"/>
      <c r="HQZ26" s="500"/>
      <c r="HRA26" s="500"/>
      <c r="HRB26" s="500"/>
      <c r="HRC26" s="500"/>
      <c r="HRD26" s="500"/>
      <c r="HRE26" s="500"/>
      <c r="HRF26" s="500"/>
      <c r="HRG26" s="500"/>
      <c r="HRH26" s="500"/>
      <c r="HRI26" s="500"/>
      <c r="HRJ26" s="500"/>
      <c r="HRK26" s="500"/>
      <c r="HRL26" s="500"/>
      <c r="HRM26" s="500"/>
      <c r="HRN26" s="500"/>
      <c r="HRO26" s="500"/>
      <c r="HRP26" s="500"/>
      <c r="HRQ26" s="500"/>
      <c r="HRR26" s="500"/>
      <c r="HRS26" s="500"/>
      <c r="HRT26" s="500"/>
      <c r="HRU26" s="500"/>
      <c r="HRV26" s="500"/>
      <c r="HRW26" s="500"/>
      <c r="HRX26" s="500"/>
      <c r="HRY26" s="500"/>
      <c r="HRZ26" s="500"/>
      <c r="HSA26" s="500"/>
      <c r="HSB26" s="500"/>
      <c r="HSC26" s="500"/>
      <c r="HSD26" s="500"/>
      <c r="HSE26" s="500"/>
      <c r="HSF26" s="500"/>
      <c r="HSG26" s="500"/>
      <c r="HSH26" s="500"/>
      <c r="HSI26" s="500"/>
      <c r="HSJ26" s="500"/>
      <c r="HSK26" s="500"/>
      <c r="HSL26" s="500"/>
      <c r="HSM26" s="500"/>
      <c r="HSN26" s="500"/>
      <c r="HSO26" s="500"/>
      <c r="HSP26" s="500"/>
      <c r="HSQ26" s="500"/>
      <c r="HSR26" s="500"/>
      <c r="HSS26" s="500"/>
      <c r="HST26" s="500"/>
      <c r="HSU26" s="500"/>
      <c r="HSV26" s="500"/>
      <c r="HSW26" s="500"/>
      <c r="HSX26" s="500"/>
      <c r="HSY26" s="500"/>
      <c r="HSZ26" s="500"/>
      <c r="HTA26" s="500"/>
      <c r="HTB26" s="500"/>
      <c r="HTC26" s="500"/>
      <c r="HTD26" s="500"/>
      <c r="HTE26" s="500"/>
      <c r="HTF26" s="500"/>
      <c r="HTG26" s="500"/>
      <c r="HTH26" s="500"/>
      <c r="HTI26" s="500"/>
      <c r="HTJ26" s="500"/>
      <c r="HTK26" s="500"/>
      <c r="HTL26" s="500"/>
      <c r="HTM26" s="500"/>
      <c r="HTN26" s="500"/>
      <c r="HTO26" s="500"/>
      <c r="HTP26" s="500"/>
      <c r="HTQ26" s="500"/>
      <c r="HTR26" s="500"/>
      <c r="HTS26" s="500"/>
      <c r="HTT26" s="500"/>
      <c r="HTU26" s="500"/>
      <c r="HTV26" s="500"/>
      <c r="HTW26" s="500"/>
      <c r="HTX26" s="500"/>
      <c r="HTY26" s="500"/>
      <c r="HTZ26" s="500"/>
      <c r="HUA26" s="500"/>
      <c r="HUB26" s="500"/>
      <c r="HUC26" s="500"/>
      <c r="HUD26" s="500"/>
      <c r="HUE26" s="500"/>
      <c r="HUF26" s="500"/>
      <c r="HUG26" s="500"/>
      <c r="HUH26" s="500"/>
      <c r="HUI26" s="500"/>
      <c r="HUJ26" s="500"/>
      <c r="HUK26" s="500"/>
      <c r="HUL26" s="500"/>
      <c r="HUM26" s="500"/>
      <c r="HUN26" s="500"/>
      <c r="HUO26" s="500"/>
      <c r="HUP26" s="500"/>
      <c r="HUQ26" s="500"/>
      <c r="HUR26" s="500"/>
      <c r="HUS26" s="500"/>
      <c r="HUT26" s="500"/>
      <c r="HUU26" s="500"/>
      <c r="HUV26" s="500"/>
      <c r="HUW26" s="500"/>
      <c r="HUX26" s="500"/>
      <c r="HUY26" s="500"/>
      <c r="HUZ26" s="500"/>
      <c r="HVA26" s="500"/>
      <c r="HVB26" s="500"/>
      <c r="HVC26" s="500"/>
      <c r="HVD26" s="500"/>
      <c r="HVE26" s="500"/>
      <c r="HVF26" s="500"/>
      <c r="HVG26" s="500"/>
      <c r="HVH26" s="500"/>
      <c r="HVI26" s="500"/>
      <c r="HVJ26" s="500"/>
      <c r="HVK26" s="500"/>
      <c r="HVL26" s="500"/>
      <c r="HVM26" s="500"/>
      <c r="HVN26" s="500"/>
      <c r="HVO26" s="500"/>
      <c r="HVP26" s="500"/>
      <c r="HVQ26" s="500"/>
      <c r="HVR26" s="500"/>
      <c r="HVS26" s="500"/>
      <c r="HVT26" s="500"/>
      <c r="HVU26" s="500"/>
      <c r="HVV26" s="500"/>
      <c r="HVW26" s="500"/>
      <c r="HVX26" s="500"/>
      <c r="HVY26" s="500"/>
      <c r="HVZ26" s="500"/>
      <c r="HWA26" s="500"/>
      <c r="HWB26" s="500"/>
      <c r="HWC26" s="500"/>
      <c r="HWD26" s="500"/>
      <c r="HWE26" s="500"/>
      <c r="HWF26" s="500"/>
      <c r="HWG26" s="500"/>
      <c r="HWH26" s="500"/>
      <c r="HWI26" s="500"/>
      <c r="HWJ26" s="500"/>
      <c r="HWK26" s="500"/>
      <c r="HWL26" s="500"/>
      <c r="HWM26" s="500"/>
      <c r="HWN26" s="500"/>
      <c r="HWO26" s="500"/>
      <c r="HWP26" s="500"/>
      <c r="HWQ26" s="500"/>
      <c r="HWR26" s="500"/>
      <c r="HWS26" s="500"/>
      <c r="HWT26" s="500"/>
      <c r="HWU26" s="500"/>
      <c r="HWV26" s="500"/>
      <c r="HWW26" s="500"/>
      <c r="HWX26" s="500"/>
      <c r="HWY26" s="500"/>
      <c r="HWZ26" s="500"/>
      <c r="HXA26" s="500"/>
      <c r="HXB26" s="500"/>
      <c r="HXC26" s="500"/>
      <c r="HXD26" s="500"/>
      <c r="HXE26" s="500"/>
      <c r="HXF26" s="500"/>
      <c r="HXG26" s="500"/>
      <c r="HXH26" s="500"/>
      <c r="HXI26" s="500"/>
      <c r="HXJ26" s="500"/>
      <c r="HXK26" s="500"/>
      <c r="HXL26" s="500"/>
      <c r="HXM26" s="500"/>
      <c r="HXN26" s="500"/>
      <c r="HXO26" s="500"/>
      <c r="HXP26" s="500"/>
      <c r="HXQ26" s="500"/>
      <c r="HXR26" s="500"/>
      <c r="HXS26" s="500"/>
      <c r="HXT26" s="500"/>
      <c r="HXU26" s="500"/>
      <c r="HXV26" s="500"/>
      <c r="HXW26" s="500"/>
      <c r="HXX26" s="500"/>
      <c r="HXY26" s="500"/>
      <c r="HXZ26" s="500"/>
      <c r="HYA26" s="500"/>
      <c r="HYB26" s="500"/>
      <c r="HYC26" s="500"/>
      <c r="HYD26" s="500"/>
      <c r="HYE26" s="500"/>
      <c r="HYF26" s="500"/>
      <c r="HYG26" s="500"/>
      <c r="HYH26" s="500"/>
      <c r="HYI26" s="500"/>
      <c r="HYJ26" s="500"/>
      <c r="HYK26" s="500"/>
      <c r="HYL26" s="500"/>
      <c r="HYM26" s="500"/>
      <c r="HYN26" s="500"/>
      <c r="HYO26" s="500"/>
      <c r="HYP26" s="500"/>
      <c r="HYQ26" s="500"/>
      <c r="HYR26" s="500"/>
      <c r="HYS26" s="500"/>
      <c r="HYT26" s="500"/>
      <c r="HYU26" s="500"/>
      <c r="HYV26" s="500"/>
      <c r="HYW26" s="500"/>
      <c r="HYX26" s="500"/>
      <c r="HYY26" s="500"/>
      <c r="HYZ26" s="500"/>
      <c r="HZA26" s="500"/>
      <c r="HZB26" s="500"/>
      <c r="HZC26" s="500"/>
      <c r="HZD26" s="500"/>
      <c r="HZE26" s="500"/>
      <c r="HZF26" s="500"/>
      <c r="HZG26" s="500"/>
      <c r="HZH26" s="500"/>
      <c r="HZI26" s="500"/>
      <c r="HZJ26" s="500"/>
      <c r="HZK26" s="500"/>
      <c r="HZL26" s="500"/>
      <c r="HZM26" s="500"/>
      <c r="HZN26" s="500"/>
      <c r="HZO26" s="500"/>
      <c r="HZP26" s="500"/>
      <c r="HZQ26" s="500"/>
      <c r="HZR26" s="500"/>
      <c r="HZS26" s="500"/>
      <c r="HZT26" s="500"/>
      <c r="HZU26" s="500"/>
      <c r="HZV26" s="500"/>
      <c r="HZW26" s="500"/>
      <c r="HZX26" s="500"/>
      <c r="HZY26" s="500"/>
      <c r="HZZ26" s="500"/>
      <c r="IAA26" s="500"/>
      <c r="IAB26" s="500"/>
      <c r="IAC26" s="500"/>
      <c r="IAD26" s="500"/>
      <c r="IAE26" s="500"/>
      <c r="IAF26" s="500"/>
      <c r="IAG26" s="500"/>
      <c r="IAH26" s="500"/>
      <c r="IAI26" s="500"/>
      <c r="IAJ26" s="500"/>
      <c r="IAK26" s="500"/>
      <c r="IAL26" s="500"/>
      <c r="IAM26" s="500"/>
      <c r="IAN26" s="500"/>
      <c r="IAO26" s="500"/>
      <c r="IAP26" s="500"/>
      <c r="IAQ26" s="500"/>
      <c r="IAR26" s="500"/>
      <c r="IAS26" s="500"/>
      <c r="IAT26" s="500"/>
      <c r="IAU26" s="500"/>
      <c r="IAV26" s="500"/>
      <c r="IAW26" s="500"/>
      <c r="IAX26" s="500"/>
      <c r="IAY26" s="500"/>
      <c r="IAZ26" s="500"/>
      <c r="IBA26" s="500"/>
      <c r="IBB26" s="500"/>
      <c r="IBC26" s="500"/>
      <c r="IBD26" s="500"/>
      <c r="IBE26" s="500"/>
      <c r="IBF26" s="500"/>
      <c r="IBG26" s="500"/>
      <c r="IBH26" s="500"/>
      <c r="IBI26" s="500"/>
      <c r="IBJ26" s="500"/>
      <c r="IBK26" s="500"/>
      <c r="IBL26" s="500"/>
      <c r="IBM26" s="500"/>
      <c r="IBN26" s="500"/>
      <c r="IBO26" s="500"/>
      <c r="IBP26" s="500"/>
      <c r="IBQ26" s="500"/>
      <c r="IBR26" s="500"/>
      <c r="IBS26" s="500"/>
      <c r="IBT26" s="500"/>
      <c r="IBU26" s="500"/>
      <c r="IBV26" s="500"/>
      <c r="IBW26" s="500"/>
      <c r="IBX26" s="500"/>
      <c r="IBY26" s="500"/>
      <c r="IBZ26" s="500"/>
      <c r="ICA26" s="500"/>
      <c r="ICB26" s="500"/>
      <c r="ICC26" s="500"/>
      <c r="ICD26" s="500"/>
      <c r="ICE26" s="500"/>
      <c r="ICF26" s="500"/>
      <c r="ICG26" s="500"/>
      <c r="ICH26" s="500"/>
      <c r="ICI26" s="500"/>
      <c r="ICJ26" s="500"/>
      <c r="ICK26" s="500"/>
      <c r="ICL26" s="500"/>
      <c r="ICM26" s="500"/>
      <c r="ICN26" s="500"/>
      <c r="ICO26" s="500"/>
      <c r="ICP26" s="500"/>
      <c r="ICQ26" s="500"/>
      <c r="ICR26" s="500"/>
      <c r="ICS26" s="500"/>
      <c r="ICT26" s="500"/>
      <c r="ICU26" s="500"/>
      <c r="ICV26" s="500"/>
      <c r="ICW26" s="500"/>
      <c r="ICX26" s="500"/>
      <c r="ICY26" s="500"/>
      <c r="ICZ26" s="500"/>
      <c r="IDA26" s="500"/>
      <c r="IDB26" s="500"/>
      <c r="IDC26" s="500"/>
      <c r="IDD26" s="500"/>
      <c r="IDE26" s="500"/>
      <c r="IDF26" s="500"/>
      <c r="IDG26" s="500"/>
      <c r="IDH26" s="500"/>
      <c r="IDI26" s="500"/>
      <c r="IDJ26" s="500"/>
      <c r="IDK26" s="500"/>
      <c r="IDL26" s="500"/>
      <c r="IDM26" s="500"/>
      <c r="IDN26" s="500"/>
      <c r="IDO26" s="500"/>
      <c r="IDP26" s="500"/>
      <c r="IDQ26" s="500"/>
      <c r="IDR26" s="500"/>
      <c r="IDS26" s="500"/>
      <c r="IDT26" s="500"/>
      <c r="IDU26" s="500"/>
      <c r="IDV26" s="500"/>
      <c r="IDW26" s="500"/>
      <c r="IDX26" s="500"/>
      <c r="IDY26" s="500"/>
      <c r="IDZ26" s="500"/>
      <c r="IEA26" s="500"/>
      <c r="IEB26" s="500"/>
      <c r="IEC26" s="500"/>
      <c r="IED26" s="500"/>
      <c r="IEE26" s="500"/>
      <c r="IEF26" s="500"/>
      <c r="IEG26" s="500"/>
      <c r="IEH26" s="500"/>
      <c r="IEI26" s="500"/>
      <c r="IEJ26" s="500"/>
      <c r="IEK26" s="500"/>
      <c r="IEL26" s="500"/>
      <c r="IEM26" s="500"/>
      <c r="IEN26" s="500"/>
      <c r="IEO26" s="500"/>
      <c r="IEP26" s="500"/>
      <c r="IEQ26" s="500"/>
      <c r="IER26" s="500"/>
      <c r="IES26" s="500"/>
      <c r="IET26" s="500"/>
      <c r="IEU26" s="500"/>
      <c r="IEV26" s="500"/>
      <c r="IEW26" s="500"/>
      <c r="IEX26" s="500"/>
      <c r="IEY26" s="500"/>
      <c r="IEZ26" s="500"/>
      <c r="IFA26" s="500"/>
      <c r="IFB26" s="500"/>
      <c r="IFC26" s="500"/>
      <c r="IFD26" s="500"/>
      <c r="IFE26" s="500"/>
      <c r="IFF26" s="500"/>
      <c r="IFG26" s="500"/>
      <c r="IFH26" s="500"/>
      <c r="IFI26" s="500"/>
      <c r="IFJ26" s="500"/>
      <c r="IFK26" s="500"/>
      <c r="IFL26" s="500"/>
      <c r="IFM26" s="500"/>
      <c r="IFN26" s="500"/>
      <c r="IFO26" s="500"/>
      <c r="IFP26" s="500"/>
      <c r="IFQ26" s="500"/>
      <c r="IFR26" s="500"/>
      <c r="IFS26" s="500"/>
      <c r="IFT26" s="500"/>
      <c r="IFU26" s="500"/>
      <c r="IFV26" s="500"/>
      <c r="IFW26" s="500"/>
      <c r="IFX26" s="500"/>
      <c r="IFY26" s="500"/>
      <c r="IFZ26" s="500"/>
      <c r="IGA26" s="500"/>
      <c r="IGB26" s="500"/>
      <c r="IGC26" s="500"/>
      <c r="IGD26" s="500"/>
      <c r="IGE26" s="500"/>
      <c r="IGF26" s="500"/>
      <c r="IGG26" s="500"/>
      <c r="IGH26" s="500"/>
      <c r="IGI26" s="500"/>
      <c r="IGJ26" s="500"/>
      <c r="IGK26" s="500"/>
      <c r="IGL26" s="500"/>
      <c r="IGM26" s="500"/>
      <c r="IGN26" s="500"/>
      <c r="IGO26" s="500"/>
      <c r="IGP26" s="500"/>
      <c r="IGQ26" s="500"/>
      <c r="IGR26" s="500"/>
      <c r="IGS26" s="500"/>
      <c r="IGT26" s="500"/>
      <c r="IGU26" s="500"/>
      <c r="IGV26" s="500"/>
      <c r="IGW26" s="500"/>
      <c r="IGX26" s="500"/>
      <c r="IGY26" s="500"/>
      <c r="IGZ26" s="500"/>
      <c r="IHA26" s="500"/>
      <c r="IHB26" s="500"/>
      <c r="IHC26" s="500"/>
      <c r="IHD26" s="500"/>
      <c r="IHE26" s="500"/>
      <c r="IHF26" s="500"/>
      <c r="IHG26" s="500"/>
      <c r="IHH26" s="500"/>
      <c r="IHI26" s="500"/>
      <c r="IHJ26" s="500"/>
      <c r="IHK26" s="500"/>
      <c r="IHL26" s="500"/>
      <c r="IHM26" s="500"/>
      <c r="IHN26" s="500"/>
      <c r="IHO26" s="500"/>
      <c r="IHP26" s="500"/>
      <c r="IHQ26" s="500"/>
      <c r="IHR26" s="500"/>
      <c r="IHS26" s="500"/>
      <c r="IHT26" s="500"/>
      <c r="IHU26" s="500"/>
      <c r="IHV26" s="500"/>
      <c r="IHW26" s="500"/>
      <c r="IHX26" s="500"/>
      <c r="IHY26" s="500"/>
      <c r="IHZ26" s="500"/>
      <c r="IIA26" s="500"/>
      <c r="IIB26" s="500"/>
      <c r="IIC26" s="500"/>
      <c r="IID26" s="500"/>
      <c r="IIE26" s="500"/>
      <c r="IIF26" s="500"/>
      <c r="IIG26" s="500"/>
      <c r="IIH26" s="500"/>
      <c r="III26" s="500"/>
      <c r="IIJ26" s="500"/>
      <c r="IIK26" s="500"/>
      <c r="IIL26" s="500"/>
      <c r="IIM26" s="500"/>
      <c r="IIN26" s="500"/>
      <c r="IIO26" s="500"/>
      <c r="IIP26" s="500"/>
      <c r="IIQ26" s="500"/>
      <c r="IIR26" s="500"/>
      <c r="IIS26" s="500"/>
      <c r="IIT26" s="500"/>
      <c r="IIU26" s="500"/>
      <c r="IIV26" s="500"/>
      <c r="IIW26" s="500"/>
      <c r="IIX26" s="500"/>
      <c r="IIY26" s="500"/>
      <c r="IIZ26" s="500"/>
      <c r="IJA26" s="500"/>
      <c r="IJB26" s="500"/>
      <c r="IJC26" s="500"/>
      <c r="IJD26" s="500"/>
      <c r="IJE26" s="500"/>
      <c r="IJF26" s="500"/>
      <c r="IJG26" s="500"/>
      <c r="IJH26" s="500"/>
      <c r="IJI26" s="500"/>
      <c r="IJJ26" s="500"/>
      <c r="IJK26" s="500"/>
      <c r="IJL26" s="500"/>
      <c r="IJM26" s="500"/>
      <c r="IJN26" s="500"/>
      <c r="IJO26" s="500"/>
      <c r="IJP26" s="500"/>
      <c r="IJQ26" s="500"/>
      <c r="IJR26" s="500"/>
      <c r="IJS26" s="500"/>
      <c r="IJT26" s="500"/>
      <c r="IJU26" s="500"/>
      <c r="IJV26" s="500"/>
      <c r="IJW26" s="500"/>
      <c r="IJX26" s="500"/>
      <c r="IJY26" s="500"/>
      <c r="IJZ26" s="500"/>
      <c r="IKA26" s="500"/>
      <c r="IKB26" s="500"/>
      <c r="IKC26" s="500"/>
      <c r="IKD26" s="500"/>
      <c r="IKE26" s="500"/>
      <c r="IKF26" s="500"/>
      <c r="IKG26" s="500"/>
      <c r="IKH26" s="500"/>
      <c r="IKI26" s="500"/>
      <c r="IKJ26" s="500"/>
      <c r="IKK26" s="500"/>
      <c r="IKL26" s="500"/>
      <c r="IKM26" s="500"/>
      <c r="IKN26" s="500"/>
      <c r="IKO26" s="500"/>
      <c r="IKP26" s="500"/>
      <c r="IKQ26" s="500"/>
      <c r="IKR26" s="500"/>
      <c r="IKS26" s="500"/>
      <c r="IKT26" s="500"/>
      <c r="IKU26" s="500"/>
      <c r="IKV26" s="500"/>
      <c r="IKW26" s="500"/>
      <c r="IKX26" s="500"/>
      <c r="IKY26" s="500"/>
      <c r="IKZ26" s="500"/>
      <c r="ILA26" s="500"/>
      <c r="ILB26" s="500"/>
      <c r="ILC26" s="500"/>
      <c r="ILD26" s="500"/>
      <c r="ILE26" s="500"/>
      <c r="ILF26" s="500"/>
      <c r="ILG26" s="500"/>
      <c r="ILH26" s="500"/>
      <c r="ILI26" s="500"/>
      <c r="ILJ26" s="500"/>
      <c r="ILK26" s="500"/>
      <c r="ILL26" s="500"/>
      <c r="ILM26" s="500"/>
      <c r="ILN26" s="500"/>
      <c r="ILO26" s="500"/>
      <c r="ILP26" s="500"/>
      <c r="ILQ26" s="500"/>
      <c r="ILR26" s="500"/>
      <c r="ILS26" s="500"/>
      <c r="ILT26" s="500"/>
      <c r="ILU26" s="500"/>
      <c r="ILV26" s="500"/>
      <c r="ILW26" s="500"/>
      <c r="ILX26" s="500"/>
      <c r="ILY26" s="500"/>
      <c r="ILZ26" s="500"/>
      <c r="IMA26" s="500"/>
      <c r="IMB26" s="500"/>
      <c r="IMC26" s="500"/>
      <c r="IMD26" s="500"/>
      <c r="IME26" s="500"/>
      <c r="IMF26" s="500"/>
      <c r="IMG26" s="500"/>
      <c r="IMH26" s="500"/>
      <c r="IMI26" s="500"/>
      <c r="IMJ26" s="500"/>
      <c r="IMK26" s="500"/>
      <c r="IML26" s="500"/>
      <c r="IMM26" s="500"/>
      <c r="IMN26" s="500"/>
      <c r="IMO26" s="500"/>
      <c r="IMP26" s="500"/>
      <c r="IMQ26" s="500"/>
      <c r="IMR26" s="500"/>
      <c r="IMS26" s="500"/>
      <c r="IMT26" s="500"/>
      <c r="IMU26" s="500"/>
      <c r="IMV26" s="500"/>
      <c r="IMW26" s="500"/>
      <c r="IMX26" s="500"/>
      <c r="IMY26" s="500"/>
      <c r="IMZ26" s="500"/>
      <c r="INA26" s="500"/>
      <c r="INB26" s="500"/>
      <c r="INC26" s="500"/>
      <c r="IND26" s="500"/>
      <c r="INE26" s="500"/>
      <c r="INF26" s="500"/>
      <c r="ING26" s="500"/>
      <c r="INH26" s="500"/>
      <c r="INI26" s="500"/>
      <c r="INJ26" s="500"/>
      <c r="INK26" s="500"/>
      <c r="INL26" s="500"/>
      <c r="INM26" s="500"/>
      <c r="INN26" s="500"/>
      <c r="INO26" s="500"/>
      <c r="INP26" s="500"/>
      <c r="INQ26" s="500"/>
      <c r="INR26" s="500"/>
      <c r="INS26" s="500"/>
      <c r="INT26" s="500"/>
      <c r="INU26" s="500"/>
      <c r="INV26" s="500"/>
      <c r="INW26" s="500"/>
      <c r="INX26" s="500"/>
      <c r="INY26" s="500"/>
      <c r="INZ26" s="500"/>
      <c r="IOA26" s="500"/>
      <c r="IOB26" s="500"/>
      <c r="IOC26" s="500"/>
      <c r="IOD26" s="500"/>
      <c r="IOE26" s="500"/>
      <c r="IOF26" s="500"/>
      <c r="IOG26" s="500"/>
      <c r="IOH26" s="500"/>
      <c r="IOI26" s="500"/>
      <c r="IOJ26" s="500"/>
      <c r="IOK26" s="500"/>
      <c r="IOL26" s="500"/>
      <c r="IOM26" s="500"/>
      <c r="ION26" s="500"/>
      <c r="IOO26" s="500"/>
      <c r="IOP26" s="500"/>
      <c r="IOQ26" s="500"/>
      <c r="IOR26" s="500"/>
      <c r="IOS26" s="500"/>
      <c r="IOT26" s="500"/>
      <c r="IOU26" s="500"/>
      <c r="IOV26" s="500"/>
      <c r="IOW26" s="500"/>
      <c r="IOX26" s="500"/>
      <c r="IOY26" s="500"/>
      <c r="IOZ26" s="500"/>
      <c r="IPA26" s="500"/>
      <c r="IPB26" s="500"/>
      <c r="IPC26" s="500"/>
      <c r="IPD26" s="500"/>
      <c r="IPE26" s="500"/>
      <c r="IPF26" s="500"/>
      <c r="IPG26" s="500"/>
      <c r="IPH26" s="500"/>
      <c r="IPI26" s="500"/>
      <c r="IPJ26" s="500"/>
      <c r="IPK26" s="500"/>
      <c r="IPL26" s="500"/>
      <c r="IPM26" s="500"/>
      <c r="IPN26" s="500"/>
      <c r="IPO26" s="500"/>
      <c r="IPP26" s="500"/>
      <c r="IPQ26" s="500"/>
      <c r="IPR26" s="500"/>
      <c r="IPS26" s="500"/>
      <c r="IPT26" s="500"/>
      <c r="IPU26" s="500"/>
      <c r="IPV26" s="500"/>
      <c r="IPW26" s="500"/>
      <c r="IPX26" s="500"/>
      <c r="IPY26" s="500"/>
      <c r="IPZ26" s="500"/>
      <c r="IQA26" s="500"/>
      <c r="IQB26" s="500"/>
      <c r="IQC26" s="500"/>
      <c r="IQD26" s="500"/>
      <c r="IQE26" s="500"/>
      <c r="IQF26" s="500"/>
      <c r="IQG26" s="500"/>
      <c r="IQH26" s="500"/>
      <c r="IQI26" s="500"/>
      <c r="IQJ26" s="500"/>
      <c r="IQK26" s="500"/>
      <c r="IQL26" s="500"/>
      <c r="IQM26" s="500"/>
      <c r="IQN26" s="500"/>
      <c r="IQO26" s="500"/>
      <c r="IQP26" s="500"/>
      <c r="IQQ26" s="500"/>
      <c r="IQR26" s="500"/>
      <c r="IQS26" s="500"/>
      <c r="IQT26" s="500"/>
      <c r="IQU26" s="500"/>
      <c r="IQV26" s="500"/>
      <c r="IQW26" s="500"/>
      <c r="IQX26" s="500"/>
      <c r="IQY26" s="500"/>
      <c r="IQZ26" s="500"/>
      <c r="IRA26" s="500"/>
      <c r="IRB26" s="500"/>
      <c r="IRC26" s="500"/>
      <c r="IRD26" s="500"/>
      <c r="IRE26" s="500"/>
      <c r="IRF26" s="500"/>
      <c r="IRG26" s="500"/>
      <c r="IRH26" s="500"/>
      <c r="IRI26" s="500"/>
      <c r="IRJ26" s="500"/>
      <c r="IRK26" s="500"/>
      <c r="IRL26" s="500"/>
      <c r="IRM26" s="500"/>
      <c r="IRN26" s="500"/>
      <c r="IRO26" s="500"/>
      <c r="IRP26" s="500"/>
      <c r="IRQ26" s="500"/>
      <c r="IRR26" s="500"/>
      <c r="IRS26" s="500"/>
      <c r="IRT26" s="500"/>
      <c r="IRU26" s="500"/>
      <c r="IRV26" s="500"/>
      <c r="IRW26" s="500"/>
      <c r="IRX26" s="500"/>
      <c r="IRY26" s="500"/>
      <c r="IRZ26" s="500"/>
      <c r="ISA26" s="500"/>
      <c r="ISB26" s="500"/>
      <c r="ISC26" s="500"/>
      <c r="ISD26" s="500"/>
      <c r="ISE26" s="500"/>
      <c r="ISF26" s="500"/>
      <c r="ISG26" s="500"/>
      <c r="ISH26" s="500"/>
      <c r="ISI26" s="500"/>
      <c r="ISJ26" s="500"/>
      <c r="ISK26" s="500"/>
      <c r="ISL26" s="500"/>
      <c r="ISM26" s="500"/>
      <c r="ISN26" s="500"/>
      <c r="ISO26" s="500"/>
      <c r="ISP26" s="500"/>
      <c r="ISQ26" s="500"/>
      <c r="ISR26" s="500"/>
      <c r="ISS26" s="500"/>
      <c r="IST26" s="500"/>
      <c r="ISU26" s="500"/>
      <c r="ISV26" s="500"/>
      <c r="ISW26" s="500"/>
      <c r="ISX26" s="500"/>
      <c r="ISY26" s="500"/>
      <c r="ISZ26" s="500"/>
      <c r="ITA26" s="500"/>
      <c r="ITB26" s="500"/>
      <c r="ITC26" s="500"/>
      <c r="ITD26" s="500"/>
      <c r="ITE26" s="500"/>
      <c r="ITF26" s="500"/>
      <c r="ITG26" s="500"/>
      <c r="ITH26" s="500"/>
      <c r="ITI26" s="500"/>
      <c r="ITJ26" s="500"/>
      <c r="ITK26" s="500"/>
      <c r="ITL26" s="500"/>
      <c r="ITM26" s="500"/>
      <c r="ITN26" s="500"/>
      <c r="ITO26" s="500"/>
      <c r="ITP26" s="500"/>
      <c r="ITQ26" s="500"/>
      <c r="ITR26" s="500"/>
      <c r="ITS26" s="500"/>
      <c r="ITT26" s="500"/>
      <c r="ITU26" s="500"/>
      <c r="ITV26" s="500"/>
      <c r="ITW26" s="500"/>
      <c r="ITX26" s="500"/>
      <c r="ITY26" s="500"/>
      <c r="ITZ26" s="500"/>
      <c r="IUA26" s="500"/>
      <c r="IUB26" s="500"/>
      <c r="IUC26" s="500"/>
      <c r="IUD26" s="500"/>
      <c r="IUE26" s="500"/>
      <c r="IUF26" s="500"/>
      <c r="IUG26" s="500"/>
      <c r="IUH26" s="500"/>
      <c r="IUI26" s="500"/>
      <c r="IUJ26" s="500"/>
      <c r="IUK26" s="500"/>
      <c r="IUL26" s="500"/>
      <c r="IUM26" s="500"/>
      <c r="IUN26" s="500"/>
      <c r="IUO26" s="500"/>
      <c r="IUP26" s="500"/>
      <c r="IUQ26" s="500"/>
      <c r="IUR26" s="500"/>
      <c r="IUS26" s="500"/>
      <c r="IUT26" s="500"/>
      <c r="IUU26" s="500"/>
      <c r="IUV26" s="500"/>
      <c r="IUW26" s="500"/>
      <c r="IUX26" s="500"/>
      <c r="IUY26" s="500"/>
      <c r="IUZ26" s="500"/>
      <c r="IVA26" s="500"/>
      <c r="IVB26" s="500"/>
      <c r="IVC26" s="500"/>
      <c r="IVD26" s="500"/>
      <c r="IVE26" s="500"/>
      <c r="IVF26" s="500"/>
      <c r="IVG26" s="500"/>
      <c r="IVH26" s="500"/>
      <c r="IVI26" s="500"/>
      <c r="IVJ26" s="500"/>
      <c r="IVK26" s="500"/>
      <c r="IVL26" s="500"/>
      <c r="IVM26" s="500"/>
      <c r="IVN26" s="500"/>
      <c r="IVO26" s="500"/>
      <c r="IVP26" s="500"/>
      <c r="IVQ26" s="500"/>
      <c r="IVR26" s="500"/>
      <c r="IVS26" s="500"/>
      <c r="IVT26" s="500"/>
      <c r="IVU26" s="500"/>
      <c r="IVV26" s="500"/>
      <c r="IVW26" s="500"/>
      <c r="IVX26" s="500"/>
      <c r="IVY26" s="500"/>
      <c r="IVZ26" s="500"/>
      <c r="IWA26" s="500"/>
      <c r="IWB26" s="500"/>
      <c r="IWC26" s="500"/>
      <c r="IWD26" s="500"/>
      <c r="IWE26" s="500"/>
      <c r="IWF26" s="500"/>
      <c r="IWG26" s="500"/>
      <c r="IWH26" s="500"/>
      <c r="IWI26" s="500"/>
      <c r="IWJ26" s="500"/>
      <c r="IWK26" s="500"/>
      <c r="IWL26" s="500"/>
      <c r="IWM26" s="500"/>
      <c r="IWN26" s="500"/>
      <c r="IWO26" s="500"/>
      <c r="IWP26" s="500"/>
      <c r="IWQ26" s="500"/>
      <c r="IWR26" s="500"/>
      <c r="IWS26" s="500"/>
      <c r="IWT26" s="500"/>
      <c r="IWU26" s="500"/>
      <c r="IWV26" s="500"/>
      <c r="IWW26" s="500"/>
      <c r="IWX26" s="500"/>
      <c r="IWY26" s="500"/>
      <c r="IWZ26" s="500"/>
      <c r="IXA26" s="500"/>
      <c r="IXB26" s="500"/>
      <c r="IXC26" s="500"/>
      <c r="IXD26" s="500"/>
      <c r="IXE26" s="500"/>
      <c r="IXF26" s="500"/>
      <c r="IXG26" s="500"/>
      <c r="IXH26" s="500"/>
      <c r="IXI26" s="500"/>
      <c r="IXJ26" s="500"/>
      <c r="IXK26" s="500"/>
      <c r="IXL26" s="500"/>
      <c r="IXM26" s="500"/>
      <c r="IXN26" s="500"/>
      <c r="IXO26" s="500"/>
      <c r="IXP26" s="500"/>
      <c r="IXQ26" s="500"/>
      <c r="IXR26" s="500"/>
      <c r="IXS26" s="500"/>
      <c r="IXT26" s="500"/>
      <c r="IXU26" s="500"/>
      <c r="IXV26" s="500"/>
      <c r="IXW26" s="500"/>
      <c r="IXX26" s="500"/>
      <c r="IXY26" s="500"/>
      <c r="IXZ26" s="500"/>
      <c r="IYA26" s="500"/>
      <c r="IYB26" s="500"/>
      <c r="IYC26" s="500"/>
      <c r="IYD26" s="500"/>
      <c r="IYE26" s="500"/>
      <c r="IYF26" s="500"/>
      <c r="IYG26" s="500"/>
      <c r="IYH26" s="500"/>
      <c r="IYI26" s="500"/>
      <c r="IYJ26" s="500"/>
      <c r="IYK26" s="500"/>
      <c r="IYL26" s="500"/>
      <c r="IYM26" s="500"/>
      <c r="IYN26" s="500"/>
      <c r="IYO26" s="500"/>
      <c r="IYP26" s="500"/>
      <c r="IYQ26" s="500"/>
      <c r="IYR26" s="500"/>
      <c r="IYS26" s="500"/>
      <c r="IYT26" s="500"/>
      <c r="IYU26" s="500"/>
      <c r="IYV26" s="500"/>
      <c r="IYW26" s="500"/>
      <c r="IYX26" s="500"/>
      <c r="IYY26" s="500"/>
      <c r="IYZ26" s="500"/>
      <c r="IZA26" s="500"/>
      <c r="IZB26" s="500"/>
      <c r="IZC26" s="500"/>
      <c r="IZD26" s="500"/>
      <c r="IZE26" s="500"/>
      <c r="IZF26" s="500"/>
      <c r="IZG26" s="500"/>
      <c r="IZH26" s="500"/>
      <c r="IZI26" s="500"/>
      <c r="IZJ26" s="500"/>
      <c r="IZK26" s="500"/>
      <c r="IZL26" s="500"/>
      <c r="IZM26" s="500"/>
      <c r="IZN26" s="500"/>
      <c r="IZO26" s="500"/>
      <c r="IZP26" s="500"/>
      <c r="IZQ26" s="500"/>
      <c r="IZR26" s="500"/>
      <c r="IZS26" s="500"/>
      <c r="IZT26" s="500"/>
      <c r="IZU26" s="500"/>
      <c r="IZV26" s="500"/>
      <c r="IZW26" s="500"/>
      <c r="IZX26" s="500"/>
      <c r="IZY26" s="500"/>
      <c r="IZZ26" s="500"/>
      <c r="JAA26" s="500"/>
      <c r="JAB26" s="500"/>
      <c r="JAC26" s="500"/>
      <c r="JAD26" s="500"/>
      <c r="JAE26" s="500"/>
      <c r="JAF26" s="500"/>
      <c r="JAG26" s="500"/>
      <c r="JAH26" s="500"/>
      <c r="JAI26" s="500"/>
      <c r="JAJ26" s="500"/>
      <c r="JAK26" s="500"/>
      <c r="JAL26" s="500"/>
      <c r="JAM26" s="500"/>
      <c r="JAN26" s="500"/>
      <c r="JAO26" s="500"/>
      <c r="JAP26" s="500"/>
      <c r="JAQ26" s="500"/>
      <c r="JAR26" s="500"/>
      <c r="JAS26" s="500"/>
      <c r="JAT26" s="500"/>
      <c r="JAU26" s="500"/>
      <c r="JAV26" s="500"/>
      <c r="JAW26" s="500"/>
      <c r="JAX26" s="500"/>
      <c r="JAY26" s="500"/>
      <c r="JAZ26" s="500"/>
      <c r="JBA26" s="500"/>
      <c r="JBB26" s="500"/>
      <c r="JBC26" s="500"/>
      <c r="JBD26" s="500"/>
      <c r="JBE26" s="500"/>
      <c r="JBF26" s="500"/>
      <c r="JBG26" s="500"/>
      <c r="JBH26" s="500"/>
      <c r="JBI26" s="500"/>
      <c r="JBJ26" s="500"/>
      <c r="JBK26" s="500"/>
      <c r="JBL26" s="500"/>
      <c r="JBM26" s="500"/>
      <c r="JBN26" s="500"/>
      <c r="JBO26" s="500"/>
      <c r="JBP26" s="500"/>
      <c r="JBQ26" s="500"/>
      <c r="JBR26" s="500"/>
      <c r="JBS26" s="500"/>
      <c r="JBT26" s="500"/>
      <c r="JBU26" s="500"/>
      <c r="JBV26" s="500"/>
      <c r="JBW26" s="500"/>
      <c r="JBX26" s="500"/>
      <c r="JBY26" s="500"/>
      <c r="JBZ26" s="500"/>
      <c r="JCA26" s="500"/>
      <c r="JCB26" s="500"/>
      <c r="JCC26" s="500"/>
      <c r="JCD26" s="500"/>
      <c r="JCE26" s="500"/>
      <c r="JCF26" s="500"/>
      <c r="JCG26" s="500"/>
      <c r="JCH26" s="500"/>
      <c r="JCI26" s="500"/>
      <c r="JCJ26" s="500"/>
      <c r="JCK26" s="500"/>
      <c r="JCL26" s="500"/>
      <c r="JCM26" s="500"/>
      <c r="JCN26" s="500"/>
      <c r="JCO26" s="500"/>
      <c r="JCP26" s="500"/>
      <c r="JCQ26" s="500"/>
      <c r="JCR26" s="500"/>
      <c r="JCS26" s="500"/>
      <c r="JCT26" s="500"/>
      <c r="JCU26" s="500"/>
      <c r="JCV26" s="500"/>
      <c r="JCW26" s="500"/>
      <c r="JCX26" s="500"/>
      <c r="JCY26" s="500"/>
      <c r="JCZ26" s="500"/>
      <c r="JDA26" s="500"/>
      <c r="JDB26" s="500"/>
      <c r="JDC26" s="500"/>
      <c r="JDD26" s="500"/>
      <c r="JDE26" s="500"/>
      <c r="JDF26" s="500"/>
      <c r="JDG26" s="500"/>
      <c r="JDH26" s="500"/>
      <c r="JDI26" s="500"/>
      <c r="JDJ26" s="500"/>
      <c r="JDK26" s="500"/>
      <c r="JDL26" s="500"/>
      <c r="JDM26" s="500"/>
      <c r="JDN26" s="500"/>
      <c r="JDO26" s="500"/>
      <c r="JDP26" s="500"/>
      <c r="JDQ26" s="500"/>
      <c r="JDR26" s="500"/>
      <c r="JDS26" s="500"/>
      <c r="JDT26" s="500"/>
      <c r="JDU26" s="500"/>
      <c r="JDV26" s="500"/>
      <c r="JDW26" s="500"/>
      <c r="JDX26" s="500"/>
      <c r="JDY26" s="500"/>
      <c r="JDZ26" s="500"/>
      <c r="JEA26" s="500"/>
      <c r="JEB26" s="500"/>
      <c r="JEC26" s="500"/>
      <c r="JED26" s="500"/>
      <c r="JEE26" s="500"/>
      <c r="JEF26" s="500"/>
      <c r="JEG26" s="500"/>
      <c r="JEH26" s="500"/>
      <c r="JEI26" s="500"/>
      <c r="JEJ26" s="500"/>
      <c r="JEK26" s="500"/>
      <c r="JEL26" s="500"/>
      <c r="JEM26" s="500"/>
      <c r="JEN26" s="500"/>
      <c r="JEO26" s="500"/>
      <c r="JEP26" s="500"/>
      <c r="JEQ26" s="500"/>
      <c r="JER26" s="500"/>
      <c r="JES26" s="500"/>
      <c r="JET26" s="500"/>
      <c r="JEU26" s="500"/>
      <c r="JEV26" s="500"/>
      <c r="JEW26" s="500"/>
      <c r="JEX26" s="500"/>
      <c r="JEY26" s="500"/>
      <c r="JEZ26" s="500"/>
      <c r="JFA26" s="500"/>
      <c r="JFB26" s="500"/>
      <c r="JFC26" s="500"/>
      <c r="JFD26" s="500"/>
      <c r="JFE26" s="500"/>
      <c r="JFF26" s="500"/>
      <c r="JFG26" s="500"/>
      <c r="JFH26" s="500"/>
      <c r="JFI26" s="500"/>
      <c r="JFJ26" s="500"/>
      <c r="JFK26" s="500"/>
      <c r="JFL26" s="500"/>
      <c r="JFM26" s="500"/>
      <c r="JFN26" s="500"/>
      <c r="JFO26" s="500"/>
      <c r="JFP26" s="500"/>
      <c r="JFQ26" s="500"/>
      <c r="JFR26" s="500"/>
      <c r="JFS26" s="500"/>
      <c r="JFT26" s="500"/>
      <c r="JFU26" s="500"/>
      <c r="JFV26" s="500"/>
      <c r="JFW26" s="500"/>
      <c r="JFX26" s="500"/>
      <c r="JFY26" s="500"/>
      <c r="JFZ26" s="500"/>
      <c r="JGA26" s="500"/>
      <c r="JGB26" s="500"/>
      <c r="JGC26" s="500"/>
      <c r="JGD26" s="500"/>
      <c r="JGE26" s="500"/>
      <c r="JGF26" s="500"/>
      <c r="JGG26" s="500"/>
      <c r="JGH26" s="500"/>
      <c r="JGI26" s="500"/>
      <c r="JGJ26" s="500"/>
      <c r="JGK26" s="500"/>
      <c r="JGL26" s="500"/>
      <c r="JGM26" s="500"/>
      <c r="JGN26" s="500"/>
      <c r="JGO26" s="500"/>
      <c r="JGP26" s="500"/>
      <c r="JGQ26" s="500"/>
      <c r="JGR26" s="500"/>
      <c r="JGS26" s="500"/>
      <c r="JGT26" s="500"/>
      <c r="JGU26" s="500"/>
      <c r="JGV26" s="500"/>
      <c r="JGW26" s="500"/>
      <c r="JGX26" s="500"/>
      <c r="JGY26" s="500"/>
      <c r="JGZ26" s="500"/>
      <c r="JHA26" s="500"/>
      <c r="JHB26" s="500"/>
      <c r="JHC26" s="500"/>
      <c r="JHD26" s="500"/>
      <c r="JHE26" s="500"/>
      <c r="JHF26" s="500"/>
      <c r="JHG26" s="500"/>
      <c r="JHH26" s="500"/>
      <c r="JHI26" s="500"/>
      <c r="JHJ26" s="500"/>
      <c r="JHK26" s="500"/>
      <c r="JHL26" s="500"/>
      <c r="JHM26" s="500"/>
      <c r="JHN26" s="500"/>
      <c r="JHO26" s="500"/>
      <c r="JHP26" s="500"/>
      <c r="JHQ26" s="500"/>
      <c r="JHR26" s="500"/>
      <c r="JHS26" s="500"/>
      <c r="JHT26" s="500"/>
      <c r="JHU26" s="500"/>
      <c r="JHV26" s="500"/>
      <c r="JHW26" s="500"/>
      <c r="JHX26" s="500"/>
      <c r="JHY26" s="500"/>
      <c r="JHZ26" s="500"/>
      <c r="JIA26" s="500"/>
      <c r="JIB26" s="500"/>
      <c r="JIC26" s="500"/>
      <c r="JID26" s="500"/>
      <c r="JIE26" s="500"/>
      <c r="JIF26" s="500"/>
      <c r="JIG26" s="500"/>
      <c r="JIH26" s="500"/>
      <c r="JII26" s="500"/>
      <c r="JIJ26" s="500"/>
      <c r="JIK26" s="500"/>
      <c r="JIL26" s="500"/>
      <c r="JIM26" s="500"/>
      <c r="JIN26" s="500"/>
      <c r="JIO26" s="500"/>
      <c r="JIP26" s="500"/>
      <c r="JIQ26" s="500"/>
      <c r="JIR26" s="500"/>
      <c r="JIS26" s="500"/>
      <c r="JIT26" s="500"/>
      <c r="JIU26" s="500"/>
      <c r="JIV26" s="500"/>
      <c r="JIW26" s="500"/>
      <c r="JIX26" s="500"/>
      <c r="JIY26" s="500"/>
      <c r="JIZ26" s="500"/>
      <c r="JJA26" s="500"/>
      <c r="JJB26" s="500"/>
      <c r="JJC26" s="500"/>
      <c r="JJD26" s="500"/>
      <c r="JJE26" s="500"/>
      <c r="JJF26" s="500"/>
      <c r="JJG26" s="500"/>
      <c r="JJH26" s="500"/>
      <c r="JJI26" s="500"/>
      <c r="JJJ26" s="500"/>
      <c r="JJK26" s="500"/>
      <c r="JJL26" s="500"/>
      <c r="JJM26" s="500"/>
      <c r="JJN26" s="500"/>
      <c r="JJO26" s="500"/>
      <c r="JJP26" s="500"/>
      <c r="JJQ26" s="500"/>
      <c r="JJR26" s="500"/>
      <c r="JJS26" s="500"/>
      <c r="JJT26" s="500"/>
      <c r="JJU26" s="500"/>
      <c r="JJV26" s="500"/>
      <c r="JJW26" s="500"/>
      <c r="JJX26" s="500"/>
      <c r="JJY26" s="500"/>
      <c r="JJZ26" s="500"/>
      <c r="JKA26" s="500"/>
      <c r="JKB26" s="500"/>
      <c r="JKC26" s="500"/>
      <c r="JKD26" s="500"/>
      <c r="JKE26" s="500"/>
      <c r="JKF26" s="500"/>
      <c r="JKG26" s="500"/>
      <c r="JKH26" s="500"/>
      <c r="JKI26" s="500"/>
      <c r="JKJ26" s="500"/>
      <c r="JKK26" s="500"/>
      <c r="JKL26" s="500"/>
      <c r="JKM26" s="500"/>
      <c r="JKN26" s="500"/>
      <c r="JKO26" s="500"/>
      <c r="JKP26" s="500"/>
      <c r="JKQ26" s="500"/>
      <c r="JKR26" s="500"/>
      <c r="JKS26" s="500"/>
      <c r="JKT26" s="500"/>
      <c r="JKU26" s="500"/>
      <c r="JKV26" s="500"/>
      <c r="JKW26" s="500"/>
      <c r="JKX26" s="500"/>
      <c r="JKY26" s="500"/>
      <c r="JKZ26" s="500"/>
      <c r="JLA26" s="500"/>
      <c r="JLB26" s="500"/>
      <c r="JLC26" s="500"/>
      <c r="JLD26" s="500"/>
      <c r="JLE26" s="500"/>
      <c r="JLF26" s="500"/>
      <c r="JLG26" s="500"/>
      <c r="JLH26" s="500"/>
      <c r="JLI26" s="500"/>
      <c r="JLJ26" s="500"/>
      <c r="JLK26" s="500"/>
      <c r="JLL26" s="500"/>
      <c r="JLM26" s="500"/>
      <c r="JLN26" s="500"/>
      <c r="JLO26" s="500"/>
      <c r="JLP26" s="500"/>
      <c r="JLQ26" s="500"/>
      <c r="JLR26" s="500"/>
      <c r="JLS26" s="500"/>
      <c r="JLT26" s="500"/>
      <c r="JLU26" s="500"/>
      <c r="JLV26" s="500"/>
      <c r="JLW26" s="500"/>
      <c r="JLX26" s="500"/>
      <c r="JLY26" s="500"/>
      <c r="JLZ26" s="500"/>
      <c r="JMA26" s="500"/>
      <c r="JMB26" s="500"/>
      <c r="JMC26" s="500"/>
      <c r="JMD26" s="500"/>
      <c r="JME26" s="500"/>
      <c r="JMF26" s="500"/>
      <c r="JMG26" s="500"/>
      <c r="JMH26" s="500"/>
      <c r="JMI26" s="500"/>
      <c r="JMJ26" s="500"/>
      <c r="JMK26" s="500"/>
      <c r="JML26" s="500"/>
      <c r="JMM26" s="500"/>
      <c r="JMN26" s="500"/>
      <c r="JMO26" s="500"/>
      <c r="JMP26" s="500"/>
      <c r="JMQ26" s="500"/>
      <c r="JMR26" s="500"/>
      <c r="JMS26" s="500"/>
      <c r="JMT26" s="500"/>
      <c r="JMU26" s="500"/>
      <c r="JMV26" s="500"/>
      <c r="JMW26" s="500"/>
      <c r="JMX26" s="500"/>
      <c r="JMY26" s="500"/>
      <c r="JMZ26" s="500"/>
      <c r="JNA26" s="500"/>
      <c r="JNB26" s="500"/>
      <c r="JNC26" s="500"/>
      <c r="JND26" s="500"/>
      <c r="JNE26" s="500"/>
      <c r="JNF26" s="500"/>
      <c r="JNG26" s="500"/>
      <c r="JNH26" s="500"/>
      <c r="JNI26" s="500"/>
      <c r="JNJ26" s="500"/>
      <c r="JNK26" s="500"/>
      <c r="JNL26" s="500"/>
      <c r="JNM26" s="500"/>
      <c r="JNN26" s="500"/>
      <c r="JNO26" s="500"/>
      <c r="JNP26" s="500"/>
      <c r="JNQ26" s="500"/>
      <c r="JNR26" s="500"/>
      <c r="JNS26" s="500"/>
      <c r="JNT26" s="500"/>
      <c r="JNU26" s="500"/>
      <c r="JNV26" s="500"/>
      <c r="JNW26" s="500"/>
      <c r="JNX26" s="500"/>
      <c r="JNY26" s="500"/>
      <c r="JNZ26" s="500"/>
      <c r="JOA26" s="500"/>
      <c r="JOB26" s="500"/>
      <c r="JOC26" s="500"/>
      <c r="JOD26" s="500"/>
      <c r="JOE26" s="500"/>
      <c r="JOF26" s="500"/>
      <c r="JOG26" s="500"/>
      <c r="JOH26" s="500"/>
      <c r="JOI26" s="500"/>
      <c r="JOJ26" s="500"/>
      <c r="JOK26" s="500"/>
      <c r="JOL26" s="500"/>
      <c r="JOM26" s="500"/>
      <c r="JON26" s="500"/>
      <c r="JOO26" s="500"/>
      <c r="JOP26" s="500"/>
      <c r="JOQ26" s="500"/>
      <c r="JOR26" s="500"/>
      <c r="JOS26" s="500"/>
      <c r="JOT26" s="500"/>
      <c r="JOU26" s="500"/>
      <c r="JOV26" s="500"/>
      <c r="JOW26" s="500"/>
      <c r="JOX26" s="500"/>
      <c r="JOY26" s="500"/>
      <c r="JOZ26" s="500"/>
      <c r="JPA26" s="500"/>
      <c r="JPB26" s="500"/>
      <c r="JPC26" s="500"/>
      <c r="JPD26" s="500"/>
      <c r="JPE26" s="500"/>
      <c r="JPF26" s="500"/>
      <c r="JPG26" s="500"/>
      <c r="JPH26" s="500"/>
      <c r="JPI26" s="500"/>
      <c r="JPJ26" s="500"/>
      <c r="JPK26" s="500"/>
      <c r="JPL26" s="500"/>
      <c r="JPM26" s="500"/>
      <c r="JPN26" s="500"/>
      <c r="JPO26" s="500"/>
      <c r="JPP26" s="500"/>
      <c r="JPQ26" s="500"/>
      <c r="JPR26" s="500"/>
      <c r="JPS26" s="500"/>
      <c r="JPT26" s="500"/>
      <c r="JPU26" s="500"/>
      <c r="JPV26" s="500"/>
      <c r="JPW26" s="500"/>
      <c r="JPX26" s="500"/>
      <c r="JPY26" s="500"/>
      <c r="JPZ26" s="500"/>
      <c r="JQA26" s="500"/>
      <c r="JQB26" s="500"/>
      <c r="JQC26" s="500"/>
      <c r="JQD26" s="500"/>
      <c r="JQE26" s="500"/>
      <c r="JQF26" s="500"/>
      <c r="JQG26" s="500"/>
      <c r="JQH26" s="500"/>
      <c r="JQI26" s="500"/>
      <c r="JQJ26" s="500"/>
      <c r="JQK26" s="500"/>
      <c r="JQL26" s="500"/>
      <c r="JQM26" s="500"/>
      <c r="JQN26" s="500"/>
      <c r="JQO26" s="500"/>
      <c r="JQP26" s="500"/>
      <c r="JQQ26" s="500"/>
      <c r="JQR26" s="500"/>
      <c r="JQS26" s="500"/>
      <c r="JQT26" s="500"/>
      <c r="JQU26" s="500"/>
      <c r="JQV26" s="500"/>
      <c r="JQW26" s="500"/>
      <c r="JQX26" s="500"/>
      <c r="JQY26" s="500"/>
      <c r="JQZ26" s="500"/>
      <c r="JRA26" s="500"/>
      <c r="JRB26" s="500"/>
      <c r="JRC26" s="500"/>
      <c r="JRD26" s="500"/>
      <c r="JRE26" s="500"/>
      <c r="JRF26" s="500"/>
      <c r="JRG26" s="500"/>
      <c r="JRH26" s="500"/>
      <c r="JRI26" s="500"/>
      <c r="JRJ26" s="500"/>
      <c r="JRK26" s="500"/>
      <c r="JRL26" s="500"/>
      <c r="JRM26" s="500"/>
      <c r="JRN26" s="500"/>
      <c r="JRO26" s="500"/>
      <c r="JRP26" s="500"/>
      <c r="JRQ26" s="500"/>
      <c r="JRR26" s="500"/>
      <c r="JRS26" s="500"/>
      <c r="JRT26" s="500"/>
      <c r="JRU26" s="500"/>
      <c r="JRV26" s="500"/>
      <c r="JRW26" s="500"/>
      <c r="JRX26" s="500"/>
      <c r="JRY26" s="500"/>
      <c r="JRZ26" s="500"/>
      <c r="JSA26" s="500"/>
      <c r="JSB26" s="500"/>
      <c r="JSC26" s="500"/>
      <c r="JSD26" s="500"/>
      <c r="JSE26" s="500"/>
      <c r="JSF26" s="500"/>
      <c r="JSG26" s="500"/>
      <c r="JSH26" s="500"/>
      <c r="JSI26" s="500"/>
      <c r="JSJ26" s="500"/>
      <c r="JSK26" s="500"/>
      <c r="JSL26" s="500"/>
      <c r="JSM26" s="500"/>
      <c r="JSN26" s="500"/>
      <c r="JSO26" s="500"/>
      <c r="JSP26" s="500"/>
      <c r="JSQ26" s="500"/>
      <c r="JSR26" s="500"/>
      <c r="JSS26" s="500"/>
      <c r="JST26" s="500"/>
      <c r="JSU26" s="500"/>
      <c r="JSV26" s="500"/>
      <c r="JSW26" s="500"/>
      <c r="JSX26" s="500"/>
      <c r="JSY26" s="500"/>
      <c r="JSZ26" s="500"/>
      <c r="JTA26" s="500"/>
      <c r="JTB26" s="500"/>
      <c r="JTC26" s="500"/>
      <c r="JTD26" s="500"/>
      <c r="JTE26" s="500"/>
      <c r="JTF26" s="500"/>
      <c r="JTG26" s="500"/>
      <c r="JTH26" s="500"/>
      <c r="JTI26" s="500"/>
      <c r="JTJ26" s="500"/>
      <c r="JTK26" s="500"/>
      <c r="JTL26" s="500"/>
      <c r="JTM26" s="500"/>
      <c r="JTN26" s="500"/>
      <c r="JTO26" s="500"/>
      <c r="JTP26" s="500"/>
      <c r="JTQ26" s="500"/>
      <c r="JTR26" s="500"/>
      <c r="JTS26" s="500"/>
      <c r="JTT26" s="500"/>
      <c r="JTU26" s="500"/>
      <c r="JTV26" s="500"/>
      <c r="JTW26" s="500"/>
      <c r="JTX26" s="500"/>
      <c r="JTY26" s="500"/>
      <c r="JTZ26" s="500"/>
      <c r="JUA26" s="500"/>
      <c r="JUB26" s="500"/>
      <c r="JUC26" s="500"/>
      <c r="JUD26" s="500"/>
      <c r="JUE26" s="500"/>
      <c r="JUF26" s="500"/>
      <c r="JUG26" s="500"/>
      <c r="JUH26" s="500"/>
      <c r="JUI26" s="500"/>
      <c r="JUJ26" s="500"/>
      <c r="JUK26" s="500"/>
      <c r="JUL26" s="500"/>
      <c r="JUM26" s="500"/>
      <c r="JUN26" s="500"/>
      <c r="JUO26" s="500"/>
      <c r="JUP26" s="500"/>
      <c r="JUQ26" s="500"/>
      <c r="JUR26" s="500"/>
      <c r="JUS26" s="500"/>
      <c r="JUT26" s="500"/>
      <c r="JUU26" s="500"/>
      <c r="JUV26" s="500"/>
      <c r="JUW26" s="500"/>
      <c r="JUX26" s="500"/>
      <c r="JUY26" s="500"/>
      <c r="JUZ26" s="500"/>
      <c r="JVA26" s="500"/>
      <c r="JVB26" s="500"/>
      <c r="JVC26" s="500"/>
      <c r="JVD26" s="500"/>
      <c r="JVE26" s="500"/>
      <c r="JVF26" s="500"/>
      <c r="JVG26" s="500"/>
      <c r="JVH26" s="500"/>
      <c r="JVI26" s="500"/>
      <c r="JVJ26" s="500"/>
      <c r="JVK26" s="500"/>
      <c r="JVL26" s="500"/>
      <c r="JVM26" s="500"/>
      <c r="JVN26" s="500"/>
      <c r="JVO26" s="500"/>
      <c r="JVP26" s="500"/>
      <c r="JVQ26" s="500"/>
      <c r="JVR26" s="500"/>
      <c r="JVS26" s="500"/>
      <c r="JVT26" s="500"/>
      <c r="JVU26" s="500"/>
      <c r="JVV26" s="500"/>
      <c r="JVW26" s="500"/>
      <c r="JVX26" s="500"/>
      <c r="JVY26" s="500"/>
      <c r="JVZ26" s="500"/>
      <c r="JWA26" s="500"/>
      <c r="JWB26" s="500"/>
      <c r="JWC26" s="500"/>
      <c r="JWD26" s="500"/>
      <c r="JWE26" s="500"/>
      <c r="JWF26" s="500"/>
      <c r="JWG26" s="500"/>
      <c r="JWH26" s="500"/>
      <c r="JWI26" s="500"/>
      <c r="JWJ26" s="500"/>
      <c r="JWK26" s="500"/>
      <c r="JWL26" s="500"/>
      <c r="JWM26" s="500"/>
      <c r="JWN26" s="500"/>
      <c r="JWO26" s="500"/>
      <c r="JWP26" s="500"/>
      <c r="JWQ26" s="500"/>
      <c r="JWR26" s="500"/>
      <c r="JWS26" s="500"/>
      <c r="JWT26" s="500"/>
      <c r="JWU26" s="500"/>
      <c r="JWV26" s="500"/>
      <c r="JWW26" s="500"/>
      <c r="JWX26" s="500"/>
      <c r="JWY26" s="500"/>
      <c r="JWZ26" s="500"/>
      <c r="JXA26" s="500"/>
      <c r="JXB26" s="500"/>
      <c r="JXC26" s="500"/>
      <c r="JXD26" s="500"/>
      <c r="JXE26" s="500"/>
      <c r="JXF26" s="500"/>
      <c r="JXG26" s="500"/>
      <c r="JXH26" s="500"/>
      <c r="JXI26" s="500"/>
      <c r="JXJ26" s="500"/>
      <c r="JXK26" s="500"/>
      <c r="JXL26" s="500"/>
      <c r="JXM26" s="500"/>
      <c r="JXN26" s="500"/>
      <c r="JXO26" s="500"/>
      <c r="JXP26" s="500"/>
      <c r="JXQ26" s="500"/>
      <c r="JXR26" s="500"/>
      <c r="JXS26" s="500"/>
      <c r="JXT26" s="500"/>
      <c r="JXU26" s="500"/>
      <c r="JXV26" s="500"/>
      <c r="JXW26" s="500"/>
      <c r="JXX26" s="500"/>
      <c r="JXY26" s="500"/>
      <c r="JXZ26" s="500"/>
      <c r="JYA26" s="500"/>
      <c r="JYB26" s="500"/>
      <c r="JYC26" s="500"/>
      <c r="JYD26" s="500"/>
      <c r="JYE26" s="500"/>
      <c r="JYF26" s="500"/>
      <c r="JYG26" s="500"/>
      <c r="JYH26" s="500"/>
      <c r="JYI26" s="500"/>
      <c r="JYJ26" s="500"/>
      <c r="JYK26" s="500"/>
      <c r="JYL26" s="500"/>
      <c r="JYM26" s="500"/>
      <c r="JYN26" s="500"/>
      <c r="JYO26" s="500"/>
      <c r="JYP26" s="500"/>
      <c r="JYQ26" s="500"/>
      <c r="JYR26" s="500"/>
      <c r="JYS26" s="500"/>
      <c r="JYT26" s="500"/>
      <c r="JYU26" s="500"/>
      <c r="JYV26" s="500"/>
      <c r="JYW26" s="500"/>
      <c r="JYX26" s="500"/>
      <c r="JYY26" s="500"/>
      <c r="JYZ26" s="500"/>
      <c r="JZA26" s="500"/>
      <c r="JZB26" s="500"/>
      <c r="JZC26" s="500"/>
      <c r="JZD26" s="500"/>
      <c r="JZE26" s="500"/>
      <c r="JZF26" s="500"/>
      <c r="JZG26" s="500"/>
      <c r="JZH26" s="500"/>
      <c r="JZI26" s="500"/>
      <c r="JZJ26" s="500"/>
      <c r="JZK26" s="500"/>
      <c r="JZL26" s="500"/>
      <c r="JZM26" s="500"/>
      <c r="JZN26" s="500"/>
      <c r="JZO26" s="500"/>
      <c r="JZP26" s="500"/>
      <c r="JZQ26" s="500"/>
      <c r="JZR26" s="500"/>
      <c r="JZS26" s="500"/>
      <c r="JZT26" s="500"/>
      <c r="JZU26" s="500"/>
      <c r="JZV26" s="500"/>
      <c r="JZW26" s="500"/>
      <c r="JZX26" s="500"/>
      <c r="JZY26" s="500"/>
      <c r="JZZ26" s="500"/>
      <c r="KAA26" s="500"/>
      <c r="KAB26" s="500"/>
      <c r="KAC26" s="500"/>
      <c r="KAD26" s="500"/>
      <c r="KAE26" s="500"/>
      <c r="KAF26" s="500"/>
      <c r="KAG26" s="500"/>
      <c r="KAH26" s="500"/>
      <c r="KAI26" s="500"/>
      <c r="KAJ26" s="500"/>
      <c r="KAK26" s="500"/>
      <c r="KAL26" s="500"/>
      <c r="KAM26" s="500"/>
      <c r="KAN26" s="500"/>
      <c r="KAO26" s="500"/>
      <c r="KAP26" s="500"/>
      <c r="KAQ26" s="500"/>
      <c r="KAR26" s="500"/>
      <c r="KAS26" s="500"/>
      <c r="KAT26" s="500"/>
      <c r="KAU26" s="500"/>
      <c r="KAV26" s="500"/>
      <c r="KAW26" s="500"/>
      <c r="KAX26" s="500"/>
      <c r="KAY26" s="500"/>
      <c r="KAZ26" s="500"/>
      <c r="KBA26" s="500"/>
      <c r="KBB26" s="500"/>
      <c r="KBC26" s="500"/>
      <c r="KBD26" s="500"/>
      <c r="KBE26" s="500"/>
      <c r="KBF26" s="500"/>
      <c r="KBG26" s="500"/>
      <c r="KBH26" s="500"/>
      <c r="KBI26" s="500"/>
      <c r="KBJ26" s="500"/>
      <c r="KBK26" s="500"/>
      <c r="KBL26" s="500"/>
      <c r="KBM26" s="500"/>
      <c r="KBN26" s="500"/>
      <c r="KBO26" s="500"/>
      <c r="KBP26" s="500"/>
      <c r="KBQ26" s="500"/>
      <c r="KBR26" s="500"/>
      <c r="KBS26" s="500"/>
      <c r="KBT26" s="500"/>
      <c r="KBU26" s="500"/>
      <c r="KBV26" s="500"/>
      <c r="KBW26" s="500"/>
      <c r="KBX26" s="500"/>
      <c r="KBY26" s="500"/>
      <c r="KBZ26" s="500"/>
      <c r="KCA26" s="500"/>
      <c r="KCB26" s="500"/>
      <c r="KCC26" s="500"/>
      <c r="KCD26" s="500"/>
      <c r="KCE26" s="500"/>
      <c r="KCF26" s="500"/>
      <c r="KCG26" s="500"/>
      <c r="KCH26" s="500"/>
      <c r="KCI26" s="500"/>
      <c r="KCJ26" s="500"/>
      <c r="KCK26" s="500"/>
      <c r="KCL26" s="500"/>
      <c r="KCM26" s="500"/>
      <c r="KCN26" s="500"/>
      <c r="KCO26" s="500"/>
      <c r="KCP26" s="500"/>
      <c r="KCQ26" s="500"/>
      <c r="KCR26" s="500"/>
      <c r="KCS26" s="500"/>
      <c r="KCT26" s="500"/>
      <c r="KCU26" s="500"/>
      <c r="KCV26" s="500"/>
      <c r="KCW26" s="500"/>
      <c r="KCX26" s="500"/>
      <c r="KCY26" s="500"/>
      <c r="KCZ26" s="500"/>
      <c r="KDA26" s="500"/>
      <c r="KDB26" s="500"/>
      <c r="KDC26" s="500"/>
      <c r="KDD26" s="500"/>
      <c r="KDE26" s="500"/>
      <c r="KDF26" s="500"/>
      <c r="KDG26" s="500"/>
      <c r="KDH26" s="500"/>
      <c r="KDI26" s="500"/>
      <c r="KDJ26" s="500"/>
      <c r="KDK26" s="500"/>
      <c r="KDL26" s="500"/>
      <c r="KDM26" s="500"/>
      <c r="KDN26" s="500"/>
      <c r="KDO26" s="500"/>
      <c r="KDP26" s="500"/>
      <c r="KDQ26" s="500"/>
      <c r="KDR26" s="500"/>
      <c r="KDS26" s="500"/>
      <c r="KDT26" s="500"/>
      <c r="KDU26" s="500"/>
      <c r="KDV26" s="500"/>
      <c r="KDW26" s="500"/>
      <c r="KDX26" s="500"/>
      <c r="KDY26" s="500"/>
      <c r="KDZ26" s="500"/>
      <c r="KEA26" s="500"/>
      <c r="KEB26" s="500"/>
      <c r="KEC26" s="500"/>
      <c r="KED26" s="500"/>
      <c r="KEE26" s="500"/>
      <c r="KEF26" s="500"/>
      <c r="KEG26" s="500"/>
      <c r="KEH26" s="500"/>
      <c r="KEI26" s="500"/>
      <c r="KEJ26" s="500"/>
      <c r="KEK26" s="500"/>
      <c r="KEL26" s="500"/>
      <c r="KEM26" s="500"/>
      <c r="KEN26" s="500"/>
      <c r="KEO26" s="500"/>
      <c r="KEP26" s="500"/>
      <c r="KEQ26" s="500"/>
      <c r="KER26" s="500"/>
      <c r="KES26" s="500"/>
      <c r="KET26" s="500"/>
      <c r="KEU26" s="500"/>
      <c r="KEV26" s="500"/>
      <c r="KEW26" s="500"/>
      <c r="KEX26" s="500"/>
      <c r="KEY26" s="500"/>
      <c r="KEZ26" s="500"/>
      <c r="KFA26" s="500"/>
      <c r="KFB26" s="500"/>
      <c r="KFC26" s="500"/>
      <c r="KFD26" s="500"/>
      <c r="KFE26" s="500"/>
      <c r="KFF26" s="500"/>
      <c r="KFG26" s="500"/>
      <c r="KFH26" s="500"/>
      <c r="KFI26" s="500"/>
      <c r="KFJ26" s="500"/>
      <c r="KFK26" s="500"/>
      <c r="KFL26" s="500"/>
      <c r="KFM26" s="500"/>
      <c r="KFN26" s="500"/>
      <c r="KFO26" s="500"/>
      <c r="KFP26" s="500"/>
      <c r="KFQ26" s="500"/>
      <c r="KFR26" s="500"/>
      <c r="KFS26" s="500"/>
      <c r="KFT26" s="500"/>
      <c r="KFU26" s="500"/>
      <c r="KFV26" s="500"/>
      <c r="KFW26" s="500"/>
      <c r="KFX26" s="500"/>
      <c r="KFY26" s="500"/>
      <c r="KFZ26" s="500"/>
      <c r="KGA26" s="500"/>
      <c r="KGB26" s="500"/>
      <c r="KGC26" s="500"/>
      <c r="KGD26" s="500"/>
      <c r="KGE26" s="500"/>
      <c r="KGF26" s="500"/>
      <c r="KGG26" s="500"/>
      <c r="KGH26" s="500"/>
      <c r="KGI26" s="500"/>
      <c r="KGJ26" s="500"/>
      <c r="KGK26" s="500"/>
      <c r="KGL26" s="500"/>
      <c r="KGM26" s="500"/>
      <c r="KGN26" s="500"/>
      <c r="KGO26" s="500"/>
      <c r="KGP26" s="500"/>
      <c r="KGQ26" s="500"/>
      <c r="KGR26" s="500"/>
      <c r="KGS26" s="500"/>
      <c r="KGT26" s="500"/>
      <c r="KGU26" s="500"/>
      <c r="KGV26" s="500"/>
      <c r="KGW26" s="500"/>
      <c r="KGX26" s="500"/>
      <c r="KGY26" s="500"/>
      <c r="KGZ26" s="500"/>
      <c r="KHA26" s="500"/>
      <c r="KHB26" s="500"/>
      <c r="KHC26" s="500"/>
      <c r="KHD26" s="500"/>
      <c r="KHE26" s="500"/>
      <c r="KHF26" s="500"/>
      <c r="KHG26" s="500"/>
      <c r="KHH26" s="500"/>
      <c r="KHI26" s="500"/>
      <c r="KHJ26" s="500"/>
      <c r="KHK26" s="500"/>
      <c r="KHL26" s="500"/>
      <c r="KHM26" s="500"/>
      <c r="KHN26" s="500"/>
      <c r="KHO26" s="500"/>
      <c r="KHP26" s="500"/>
      <c r="KHQ26" s="500"/>
      <c r="KHR26" s="500"/>
      <c r="KHS26" s="500"/>
      <c r="KHT26" s="500"/>
      <c r="KHU26" s="500"/>
      <c r="KHV26" s="500"/>
      <c r="KHW26" s="500"/>
      <c r="KHX26" s="500"/>
      <c r="KHY26" s="500"/>
      <c r="KHZ26" s="500"/>
      <c r="KIA26" s="500"/>
      <c r="KIB26" s="500"/>
      <c r="KIC26" s="500"/>
      <c r="KID26" s="500"/>
      <c r="KIE26" s="500"/>
      <c r="KIF26" s="500"/>
      <c r="KIG26" s="500"/>
      <c r="KIH26" s="500"/>
      <c r="KII26" s="500"/>
      <c r="KIJ26" s="500"/>
      <c r="KIK26" s="500"/>
      <c r="KIL26" s="500"/>
      <c r="KIM26" s="500"/>
      <c r="KIN26" s="500"/>
      <c r="KIO26" s="500"/>
      <c r="KIP26" s="500"/>
      <c r="KIQ26" s="500"/>
      <c r="KIR26" s="500"/>
      <c r="KIS26" s="500"/>
      <c r="KIT26" s="500"/>
      <c r="KIU26" s="500"/>
      <c r="KIV26" s="500"/>
      <c r="KIW26" s="500"/>
      <c r="KIX26" s="500"/>
      <c r="KIY26" s="500"/>
      <c r="KIZ26" s="500"/>
      <c r="KJA26" s="500"/>
      <c r="KJB26" s="500"/>
      <c r="KJC26" s="500"/>
      <c r="KJD26" s="500"/>
      <c r="KJE26" s="500"/>
      <c r="KJF26" s="500"/>
      <c r="KJG26" s="500"/>
      <c r="KJH26" s="500"/>
      <c r="KJI26" s="500"/>
      <c r="KJJ26" s="500"/>
      <c r="KJK26" s="500"/>
      <c r="KJL26" s="500"/>
      <c r="KJM26" s="500"/>
      <c r="KJN26" s="500"/>
      <c r="KJO26" s="500"/>
      <c r="KJP26" s="500"/>
      <c r="KJQ26" s="500"/>
      <c r="KJR26" s="500"/>
      <c r="KJS26" s="500"/>
      <c r="KJT26" s="500"/>
      <c r="KJU26" s="500"/>
      <c r="KJV26" s="500"/>
      <c r="KJW26" s="500"/>
      <c r="KJX26" s="500"/>
      <c r="KJY26" s="500"/>
      <c r="KJZ26" s="500"/>
      <c r="KKA26" s="500"/>
      <c r="KKB26" s="500"/>
      <c r="KKC26" s="500"/>
      <c r="KKD26" s="500"/>
      <c r="KKE26" s="500"/>
      <c r="KKF26" s="500"/>
      <c r="KKG26" s="500"/>
      <c r="KKH26" s="500"/>
      <c r="KKI26" s="500"/>
      <c r="KKJ26" s="500"/>
      <c r="KKK26" s="500"/>
      <c r="KKL26" s="500"/>
      <c r="KKM26" s="500"/>
      <c r="KKN26" s="500"/>
      <c r="KKO26" s="500"/>
      <c r="KKP26" s="500"/>
      <c r="KKQ26" s="500"/>
      <c r="KKR26" s="500"/>
      <c r="KKS26" s="500"/>
      <c r="KKT26" s="500"/>
      <c r="KKU26" s="500"/>
      <c r="KKV26" s="500"/>
      <c r="KKW26" s="500"/>
      <c r="KKX26" s="500"/>
      <c r="KKY26" s="500"/>
      <c r="KKZ26" s="500"/>
      <c r="KLA26" s="500"/>
      <c r="KLB26" s="500"/>
      <c r="KLC26" s="500"/>
      <c r="KLD26" s="500"/>
      <c r="KLE26" s="500"/>
      <c r="KLF26" s="500"/>
      <c r="KLG26" s="500"/>
      <c r="KLH26" s="500"/>
      <c r="KLI26" s="500"/>
      <c r="KLJ26" s="500"/>
      <c r="KLK26" s="500"/>
      <c r="KLL26" s="500"/>
      <c r="KLM26" s="500"/>
      <c r="KLN26" s="500"/>
      <c r="KLO26" s="500"/>
      <c r="KLP26" s="500"/>
      <c r="KLQ26" s="500"/>
      <c r="KLR26" s="500"/>
      <c r="KLS26" s="500"/>
      <c r="KLT26" s="500"/>
      <c r="KLU26" s="500"/>
      <c r="KLV26" s="500"/>
      <c r="KLW26" s="500"/>
      <c r="KLX26" s="500"/>
      <c r="KLY26" s="500"/>
      <c r="KLZ26" s="500"/>
      <c r="KMA26" s="500"/>
      <c r="KMB26" s="500"/>
      <c r="KMC26" s="500"/>
      <c r="KMD26" s="500"/>
      <c r="KME26" s="500"/>
      <c r="KMF26" s="500"/>
      <c r="KMG26" s="500"/>
      <c r="KMH26" s="500"/>
      <c r="KMI26" s="500"/>
      <c r="KMJ26" s="500"/>
      <c r="KMK26" s="500"/>
      <c r="KML26" s="500"/>
      <c r="KMM26" s="500"/>
      <c r="KMN26" s="500"/>
      <c r="KMO26" s="500"/>
      <c r="KMP26" s="500"/>
      <c r="KMQ26" s="500"/>
      <c r="KMR26" s="500"/>
      <c r="KMS26" s="500"/>
      <c r="KMT26" s="500"/>
      <c r="KMU26" s="500"/>
      <c r="KMV26" s="500"/>
      <c r="KMW26" s="500"/>
      <c r="KMX26" s="500"/>
      <c r="KMY26" s="500"/>
      <c r="KMZ26" s="500"/>
      <c r="KNA26" s="500"/>
      <c r="KNB26" s="500"/>
      <c r="KNC26" s="500"/>
      <c r="KND26" s="500"/>
      <c r="KNE26" s="500"/>
      <c r="KNF26" s="500"/>
      <c r="KNG26" s="500"/>
      <c r="KNH26" s="500"/>
      <c r="KNI26" s="500"/>
      <c r="KNJ26" s="500"/>
      <c r="KNK26" s="500"/>
      <c r="KNL26" s="500"/>
      <c r="KNM26" s="500"/>
      <c r="KNN26" s="500"/>
      <c r="KNO26" s="500"/>
      <c r="KNP26" s="500"/>
      <c r="KNQ26" s="500"/>
      <c r="KNR26" s="500"/>
      <c r="KNS26" s="500"/>
      <c r="KNT26" s="500"/>
      <c r="KNU26" s="500"/>
      <c r="KNV26" s="500"/>
      <c r="KNW26" s="500"/>
      <c r="KNX26" s="500"/>
      <c r="KNY26" s="500"/>
      <c r="KNZ26" s="500"/>
      <c r="KOA26" s="500"/>
      <c r="KOB26" s="500"/>
      <c r="KOC26" s="500"/>
      <c r="KOD26" s="500"/>
      <c r="KOE26" s="500"/>
      <c r="KOF26" s="500"/>
      <c r="KOG26" s="500"/>
      <c r="KOH26" s="500"/>
      <c r="KOI26" s="500"/>
      <c r="KOJ26" s="500"/>
      <c r="KOK26" s="500"/>
      <c r="KOL26" s="500"/>
      <c r="KOM26" s="500"/>
      <c r="KON26" s="500"/>
      <c r="KOO26" s="500"/>
      <c r="KOP26" s="500"/>
      <c r="KOQ26" s="500"/>
      <c r="KOR26" s="500"/>
      <c r="KOS26" s="500"/>
      <c r="KOT26" s="500"/>
      <c r="KOU26" s="500"/>
      <c r="KOV26" s="500"/>
      <c r="KOW26" s="500"/>
      <c r="KOX26" s="500"/>
      <c r="KOY26" s="500"/>
      <c r="KOZ26" s="500"/>
      <c r="KPA26" s="500"/>
      <c r="KPB26" s="500"/>
      <c r="KPC26" s="500"/>
      <c r="KPD26" s="500"/>
      <c r="KPE26" s="500"/>
      <c r="KPF26" s="500"/>
      <c r="KPG26" s="500"/>
      <c r="KPH26" s="500"/>
      <c r="KPI26" s="500"/>
      <c r="KPJ26" s="500"/>
      <c r="KPK26" s="500"/>
      <c r="KPL26" s="500"/>
      <c r="KPM26" s="500"/>
      <c r="KPN26" s="500"/>
      <c r="KPO26" s="500"/>
      <c r="KPP26" s="500"/>
      <c r="KPQ26" s="500"/>
      <c r="KPR26" s="500"/>
      <c r="KPS26" s="500"/>
      <c r="KPT26" s="500"/>
      <c r="KPU26" s="500"/>
      <c r="KPV26" s="500"/>
      <c r="KPW26" s="500"/>
      <c r="KPX26" s="500"/>
      <c r="KPY26" s="500"/>
      <c r="KPZ26" s="500"/>
      <c r="KQA26" s="500"/>
      <c r="KQB26" s="500"/>
      <c r="KQC26" s="500"/>
      <c r="KQD26" s="500"/>
      <c r="KQE26" s="500"/>
      <c r="KQF26" s="500"/>
      <c r="KQG26" s="500"/>
      <c r="KQH26" s="500"/>
      <c r="KQI26" s="500"/>
      <c r="KQJ26" s="500"/>
      <c r="KQK26" s="500"/>
      <c r="KQL26" s="500"/>
      <c r="KQM26" s="500"/>
      <c r="KQN26" s="500"/>
      <c r="KQO26" s="500"/>
      <c r="KQP26" s="500"/>
      <c r="KQQ26" s="500"/>
      <c r="KQR26" s="500"/>
      <c r="KQS26" s="500"/>
      <c r="KQT26" s="500"/>
      <c r="KQU26" s="500"/>
      <c r="KQV26" s="500"/>
      <c r="KQW26" s="500"/>
      <c r="KQX26" s="500"/>
      <c r="KQY26" s="500"/>
      <c r="KQZ26" s="500"/>
      <c r="KRA26" s="500"/>
      <c r="KRB26" s="500"/>
      <c r="KRC26" s="500"/>
      <c r="KRD26" s="500"/>
      <c r="KRE26" s="500"/>
      <c r="KRF26" s="500"/>
      <c r="KRG26" s="500"/>
      <c r="KRH26" s="500"/>
      <c r="KRI26" s="500"/>
      <c r="KRJ26" s="500"/>
      <c r="KRK26" s="500"/>
      <c r="KRL26" s="500"/>
      <c r="KRM26" s="500"/>
      <c r="KRN26" s="500"/>
      <c r="KRO26" s="500"/>
      <c r="KRP26" s="500"/>
      <c r="KRQ26" s="500"/>
      <c r="KRR26" s="500"/>
      <c r="KRS26" s="500"/>
      <c r="KRT26" s="500"/>
      <c r="KRU26" s="500"/>
      <c r="KRV26" s="500"/>
      <c r="KRW26" s="500"/>
      <c r="KRX26" s="500"/>
      <c r="KRY26" s="500"/>
      <c r="KRZ26" s="500"/>
      <c r="KSA26" s="500"/>
      <c r="KSB26" s="500"/>
      <c r="KSC26" s="500"/>
      <c r="KSD26" s="500"/>
      <c r="KSE26" s="500"/>
      <c r="KSF26" s="500"/>
      <c r="KSG26" s="500"/>
      <c r="KSH26" s="500"/>
      <c r="KSI26" s="500"/>
      <c r="KSJ26" s="500"/>
      <c r="KSK26" s="500"/>
      <c r="KSL26" s="500"/>
      <c r="KSM26" s="500"/>
      <c r="KSN26" s="500"/>
      <c r="KSO26" s="500"/>
      <c r="KSP26" s="500"/>
      <c r="KSQ26" s="500"/>
      <c r="KSR26" s="500"/>
      <c r="KSS26" s="500"/>
      <c r="KST26" s="500"/>
      <c r="KSU26" s="500"/>
      <c r="KSV26" s="500"/>
      <c r="KSW26" s="500"/>
      <c r="KSX26" s="500"/>
      <c r="KSY26" s="500"/>
      <c r="KSZ26" s="500"/>
      <c r="KTA26" s="500"/>
      <c r="KTB26" s="500"/>
      <c r="KTC26" s="500"/>
      <c r="KTD26" s="500"/>
      <c r="KTE26" s="500"/>
      <c r="KTF26" s="500"/>
      <c r="KTG26" s="500"/>
      <c r="KTH26" s="500"/>
      <c r="KTI26" s="500"/>
      <c r="KTJ26" s="500"/>
      <c r="KTK26" s="500"/>
      <c r="KTL26" s="500"/>
      <c r="KTM26" s="500"/>
      <c r="KTN26" s="500"/>
      <c r="KTO26" s="500"/>
      <c r="KTP26" s="500"/>
      <c r="KTQ26" s="500"/>
      <c r="KTR26" s="500"/>
      <c r="KTS26" s="500"/>
      <c r="KTT26" s="500"/>
      <c r="KTU26" s="500"/>
      <c r="KTV26" s="500"/>
      <c r="KTW26" s="500"/>
      <c r="KTX26" s="500"/>
      <c r="KTY26" s="500"/>
      <c r="KTZ26" s="500"/>
      <c r="KUA26" s="500"/>
      <c r="KUB26" s="500"/>
      <c r="KUC26" s="500"/>
      <c r="KUD26" s="500"/>
      <c r="KUE26" s="500"/>
      <c r="KUF26" s="500"/>
      <c r="KUG26" s="500"/>
      <c r="KUH26" s="500"/>
      <c r="KUI26" s="500"/>
      <c r="KUJ26" s="500"/>
      <c r="KUK26" s="500"/>
      <c r="KUL26" s="500"/>
      <c r="KUM26" s="500"/>
      <c r="KUN26" s="500"/>
      <c r="KUO26" s="500"/>
      <c r="KUP26" s="500"/>
      <c r="KUQ26" s="500"/>
      <c r="KUR26" s="500"/>
      <c r="KUS26" s="500"/>
      <c r="KUT26" s="500"/>
      <c r="KUU26" s="500"/>
      <c r="KUV26" s="500"/>
      <c r="KUW26" s="500"/>
      <c r="KUX26" s="500"/>
      <c r="KUY26" s="500"/>
      <c r="KUZ26" s="500"/>
      <c r="KVA26" s="500"/>
      <c r="KVB26" s="500"/>
      <c r="KVC26" s="500"/>
      <c r="KVD26" s="500"/>
      <c r="KVE26" s="500"/>
      <c r="KVF26" s="500"/>
      <c r="KVG26" s="500"/>
      <c r="KVH26" s="500"/>
      <c r="KVI26" s="500"/>
      <c r="KVJ26" s="500"/>
      <c r="KVK26" s="500"/>
      <c r="KVL26" s="500"/>
      <c r="KVM26" s="500"/>
      <c r="KVN26" s="500"/>
      <c r="KVO26" s="500"/>
      <c r="KVP26" s="500"/>
      <c r="KVQ26" s="500"/>
      <c r="KVR26" s="500"/>
      <c r="KVS26" s="500"/>
      <c r="KVT26" s="500"/>
      <c r="KVU26" s="500"/>
      <c r="KVV26" s="500"/>
      <c r="KVW26" s="500"/>
      <c r="KVX26" s="500"/>
      <c r="KVY26" s="500"/>
      <c r="KVZ26" s="500"/>
      <c r="KWA26" s="500"/>
      <c r="KWB26" s="500"/>
      <c r="KWC26" s="500"/>
      <c r="KWD26" s="500"/>
      <c r="KWE26" s="500"/>
      <c r="KWF26" s="500"/>
      <c r="KWG26" s="500"/>
      <c r="KWH26" s="500"/>
      <c r="KWI26" s="500"/>
      <c r="KWJ26" s="500"/>
      <c r="KWK26" s="500"/>
      <c r="KWL26" s="500"/>
      <c r="KWM26" s="500"/>
      <c r="KWN26" s="500"/>
      <c r="KWO26" s="500"/>
      <c r="KWP26" s="500"/>
      <c r="KWQ26" s="500"/>
      <c r="KWR26" s="500"/>
      <c r="KWS26" s="500"/>
      <c r="KWT26" s="500"/>
      <c r="KWU26" s="500"/>
      <c r="KWV26" s="500"/>
      <c r="KWW26" s="500"/>
      <c r="KWX26" s="500"/>
      <c r="KWY26" s="500"/>
      <c r="KWZ26" s="500"/>
      <c r="KXA26" s="500"/>
      <c r="KXB26" s="500"/>
      <c r="KXC26" s="500"/>
      <c r="KXD26" s="500"/>
      <c r="KXE26" s="500"/>
      <c r="KXF26" s="500"/>
      <c r="KXG26" s="500"/>
      <c r="KXH26" s="500"/>
      <c r="KXI26" s="500"/>
      <c r="KXJ26" s="500"/>
      <c r="KXK26" s="500"/>
      <c r="KXL26" s="500"/>
      <c r="KXM26" s="500"/>
      <c r="KXN26" s="500"/>
      <c r="KXO26" s="500"/>
      <c r="KXP26" s="500"/>
      <c r="KXQ26" s="500"/>
      <c r="KXR26" s="500"/>
      <c r="KXS26" s="500"/>
      <c r="KXT26" s="500"/>
      <c r="KXU26" s="500"/>
      <c r="KXV26" s="500"/>
      <c r="KXW26" s="500"/>
      <c r="KXX26" s="500"/>
      <c r="KXY26" s="500"/>
      <c r="KXZ26" s="500"/>
      <c r="KYA26" s="500"/>
      <c r="KYB26" s="500"/>
      <c r="KYC26" s="500"/>
      <c r="KYD26" s="500"/>
      <c r="KYE26" s="500"/>
      <c r="KYF26" s="500"/>
      <c r="KYG26" s="500"/>
      <c r="KYH26" s="500"/>
      <c r="KYI26" s="500"/>
      <c r="KYJ26" s="500"/>
      <c r="KYK26" s="500"/>
      <c r="KYL26" s="500"/>
      <c r="KYM26" s="500"/>
      <c r="KYN26" s="500"/>
      <c r="KYO26" s="500"/>
      <c r="KYP26" s="500"/>
      <c r="KYQ26" s="500"/>
      <c r="KYR26" s="500"/>
      <c r="KYS26" s="500"/>
      <c r="KYT26" s="500"/>
      <c r="KYU26" s="500"/>
      <c r="KYV26" s="500"/>
      <c r="KYW26" s="500"/>
      <c r="KYX26" s="500"/>
      <c r="KYY26" s="500"/>
      <c r="KYZ26" s="500"/>
      <c r="KZA26" s="500"/>
      <c r="KZB26" s="500"/>
      <c r="KZC26" s="500"/>
      <c r="KZD26" s="500"/>
      <c r="KZE26" s="500"/>
      <c r="KZF26" s="500"/>
      <c r="KZG26" s="500"/>
      <c r="KZH26" s="500"/>
      <c r="KZI26" s="500"/>
      <c r="KZJ26" s="500"/>
      <c r="KZK26" s="500"/>
      <c r="KZL26" s="500"/>
      <c r="KZM26" s="500"/>
      <c r="KZN26" s="500"/>
      <c r="KZO26" s="500"/>
      <c r="KZP26" s="500"/>
      <c r="KZQ26" s="500"/>
      <c r="KZR26" s="500"/>
      <c r="KZS26" s="500"/>
      <c r="KZT26" s="500"/>
      <c r="KZU26" s="500"/>
      <c r="KZV26" s="500"/>
      <c r="KZW26" s="500"/>
      <c r="KZX26" s="500"/>
      <c r="KZY26" s="500"/>
      <c r="KZZ26" s="500"/>
      <c r="LAA26" s="500"/>
      <c r="LAB26" s="500"/>
      <c r="LAC26" s="500"/>
      <c r="LAD26" s="500"/>
      <c r="LAE26" s="500"/>
      <c r="LAF26" s="500"/>
      <c r="LAG26" s="500"/>
      <c r="LAH26" s="500"/>
      <c r="LAI26" s="500"/>
      <c r="LAJ26" s="500"/>
      <c r="LAK26" s="500"/>
      <c r="LAL26" s="500"/>
      <c r="LAM26" s="500"/>
      <c r="LAN26" s="500"/>
      <c r="LAO26" s="500"/>
      <c r="LAP26" s="500"/>
      <c r="LAQ26" s="500"/>
      <c r="LAR26" s="500"/>
      <c r="LAS26" s="500"/>
      <c r="LAT26" s="500"/>
      <c r="LAU26" s="500"/>
      <c r="LAV26" s="500"/>
      <c r="LAW26" s="500"/>
      <c r="LAX26" s="500"/>
      <c r="LAY26" s="500"/>
      <c r="LAZ26" s="500"/>
      <c r="LBA26" s="500"/>
      <c r="LBB26" s="500"/>
      <c r="LBC26" s="500"/>
      <c r="LBD26" s="500"/>
      <c r="LBE26" s="500"/>
      <c r="LBF26" s="500"/>
      <c r="LBG26" s="500"/>
      <c r="LBH26" s="500"/>
      <c r="LBI26" s="500"/>
      <c r="LBJ26" s="500"/>
      <c r="LBK26" s="500"/>
      <c r="LBL26" s="500"/>
      <c r="LBM26" s="500"/>
      <c r="LBN26" s="500"/>
      <c r="LBO26" s="500"/>
      <c r="LBP26" s="500"/>
      <c r="LBQ26" s="500"/>
      <c r="LBR26" s="500"/>
      <c r="LBS26" s="500"/>
      <c r="LBT26" s="500"/>
      <c r="LBU26" s="500"/>
      <c r="LBV26" s="500"/>
      <c r="LBW26" s="500"/>
      <c r="LBX26" s="500"/>
      <c r="LBY26" s="500"/>
      <c r="LBZ26" s="500"/>
      <c r="LCA26" s="500"/>
      <c r="LCB26" s="500"/>
      <c r="LCC26" s="500"/>
      <c r="LCD26" s="500"/>
      <c r="LCE26" s="500"/>
      <c r="LCF26" s="500"/>
      <c r="LCG26" s="500"/>
      <c r="LCH26" s="500"/>
      <c r="LCI26" s="500"/>
      <c r="LCJ26" s="500"/>
      <c r="LCK26" s="500"/>
      <c r="LCL26" s="500"/>
      <c r="LCM26" s="500"/>
      <c r="LCN26" s="500"/>
      <c r="LCO26" s="500"/>
      <c r="LCP26" s="500"/>
      <c r="LCQ26" s="500"/>
      <c r="LCR26" s="500"/>
      <c r="LCS26" s="500"/>
      <c r="LCT26" s="500"/>
      <c r="LCU26" s="500"/>
      <c r="LCV26" s="500"/>
      <c r="LCW26" s="500"/>
      <c r="LCX26" s="500"/>
      <c r="LCY26" s="500"/>
      <c r="LCZ26" s="500"/>
      <c r="LDA26" s="500"/>
      <c r="LDB26" s="500"/>
      <c r="LDC26" s="500"/>
      <c r="LDD26" s="500"/>
      <c r="LDE26" s="500"/>
      <c r="LDF26" s="500"/>
      <c r="LDG26" s="500"/>
      <c r="LDH26" s="500"/>
      <c r="LDI26" s="500"/>
      <c r="LDJ26" s="500"/>
      <c r="LDK26" s="500"/>
      <c r="LDL26" s="500"/>
      <c r="LDM26" s="500"/>
      <c r="LDN26" s="500"/>
      <c r="LDO26" s="500"/>
      <c r="LDP26" s="500"/>
      <c r="LDQ26" s="500"/>
      <c r="LDR26" s="500"/>
      <c r="LDS26" s="500"/>
      <c r="LDT26" s="500"/>
      <c r="LDU26" s="500"/>
      <c r="LDV26" s="500"/>
      <c r="LDW26" s="500"/>
      <c r="LDX26" s="500"/>
      <c r="LDY26" s="500"/>
      <c r="LDZ26" s="500"/>
      <c r="LEA26" s="500"/>
      <c r="LEB26" s="500"/>
      <c r="LEC26" s="500"/>
      <c r="LED26" s="500"/>
      <c r="LEE26" s="500"/>
      <c r="LEF26" s="500"/>
      <c r="LEG26" s="500"/>
      <c r="LEH26" s="500"/>
      <c r="LEI26" s="500"/>
      <c r="LEJ26" s="500"/>
      <c r="LEK26" s="500"/>
      <c r="LEL26" s="500"/>
      <c r="LEM26" s="500"/>
      <c r="LEN26" s="500"/>
      <c r="LEO26" s="500"/>
      <c r="LEP26" s="500"/>
      <c r="LEQ26" s="500"/>
      <c r="LER26" s="500"/>
      <c r="LES26" s="500"/>
      <c r="LET26" s="500"/>
      <c r="LEU26" s="500"/>
      <c r="LEV26" s="500"/>
      <c r="LEW26" s="500"/>
      <c r="LEX26" s="500"/>
      <c r="LEY26" s="500"/>
      <c r="LEZ26" s="500"/>
      <c r="LFA26" s="500"/>
      <c r="LFB26" s="500"/>
      <c r="LFC26" s="500"/>
      <c r="LFD26" s="500"/>
      <c r="LFE26" s="500"/>
      <c r="LFF26" s="500"/>
      <c r="LFG26" s="500"/>
      <c r="LFH26" s="500"/>
      <c r="LFI26" s="500"/>
      <c r="LFJ26" s="500"/>
      <c r="LFK26" s="500"/>
      <c r="LFL26" s="500"/>
      <c r="LFM26" s="500"/>
      <c r="LFN26" s="500"/>
      <c r="LFO26" s="500"/>
      <c r="LFP26" s="500"/>
      <c r="LFQ26" s="500"/>
      <c r="LFR26" s="500"/>
      <c r="LFS26" s="500"/>
      <c r="LFT26" s="500"/>
      <c r="LFU26" s="500"/>
      <c r="LFV26" s="500"/>
      <c r="LFW26" s="500"/>
      <c r="LFX26" s="500"/>
      <c r="LFY26" s="500"/>
      <c r="LFZ26" s="500"/>
      <c r="LGA26" s="500"/>
      <c r="LGB26" s="500"/>
      <c r="LGC26" s="500"/>
      <c r="LGD26" s="500"/>
      <c r="LGE26" s="500"/>
      <c r="LGF26" s="500"/>
      <c r="LGG26" s="500"/>
      <c r="LGH26" s="500"/>
      <c r="LGI26" s="500"/>
      <c r="LGJ26" s="500"/>
      <c r="LGK26" s="500"/>
      <c r="LGL26" s="500"/>
      <c r="LGM26" s="500"/>
      <c r="LGN26" s="500"/>
      <c r="LGO26" s="500"/>
      <c r="LGP26" s="500"/>
      <c r="LGQ26" s="500"/>
      <c r="LGR26" s="500"/>
      <c r="LGS26" s="500"/>
      <c r="LGT26" s="500"/>
      <c r="LGU26" s="500"/>
      <c r="LGV26" s="500"/>
      <c r="LGW26" s="500"/>
      <c r="LGX26" s="500"/>
      <c r="LGY26" s="500"/>
      <c r="LGZ26" s="500"/>
      <c r="LHA26" s="500"/>
      <c r="LHB26" s="500"/>
      <c r="LHC26" s="500"/>
      <c r="LHD26" s="500"/>
      <c r="LHE26" s="500"/>
      <c r="LHF26" s="500"/>
      <c r="LHG26" s="500"/>
      <c r="LHH26" s="500"/>
      <c r="LHI26" s="500"/>
      <c r="LHJ26" s="500"/>
      <c r="LHK26" s="500"/>
      <c r="LHL26" s="500"/>
      <c r="LHM26" s="500"/>
      <c r="LHN26" s="500"/>
      <c r="LHO26" s="500"/>
      <c r="LHP26" s="500"/>
      <c r="LHQ26" s="500"/>
      <c r="LHR26" s="500"/>
      <c r="LHS26" s="500"/>
      <c r="LHT26" s="500"/>
      <c r="LHU26" s="500"/>
      <c r="LHV26" s="500"/>
      <c r="LHW26" s="500"/>
      <c r="LHX26" s="500"/>
      <c r="LHY26" s="500"/>
      <c r="LHZ26" s="500"/>
      <c r="LIA26" s="500"/>
      <c r="LIB26" s="500"/>
      <c r="LIC26" s="500"/>
      <c r="LID26" s="500"/>
      <c r="LIE26" s="500"/>
      <c r="LIF26" s="500"/>
      <c r="LIG26" s="500"/>
      <c r="LIH26" s="500"/>
      <c r="LII26" s="500"/>
      <c r="LIJ26" s="500"/>
      <c r="LIK26" s="500"/>
      <c r="LIL26" s="500"/>
      <c r="LIM26" s="500"/>
      <c r="LIN26" s="500"/>
      <c r="LIO26" s="500"/>
      <c r="LIP26" s="500"/>
      <c r="LIQ26" s="500"/>
      <c r="LIR26" s="500"/>
      <c r="LIS26" s="500"/>
      <c r="LIT26" s="500"/>
      <c r="LIU26" s="500"/>
      <c r="LIV26" s="500"/>
      <c r="LIW26" s="500"/>
      <c r="LIX26" s="500"/>
      <c r="LIY26" s="500"/>
      <c r="LIZ26" s="500"/>
      <c r="LJA26" s="500"/>
      <c r="LJB26" s="500"/>
      <c r="LJC26" s="500"/>
      <c r="LJD26" s="500"/>
      <c r="LJE26" s="500"/>
      <c r="LJF26" s="500"/>
      <c r="LJG26" s="500"/>
      <c r="LJH26" s="500"/>
      <c r="LJI26" s="500"/>
      <c r="LJJ26" s="500"/>
      <c r="LJK26" s="500"/>
      <c r="LJL26" s="500"/>
      <c r="LJM26" s="500"/>
      <c r="LJN26" s="500"/>
      <c r="LJO26" s="500"/>
      <c r="LJP26" s="500"/>
      <c r="LJQ26" s="500"/>
      <c r="LJR26" s="500"/>
      <c r="LJS26" s="500"/>
      <c r="LJT26" s="500"/>
      <c r="LJU26" s="500"/>
      <c r="LJV26" s="500"/>
      <c r="LJW26" s="500"/>
      <c r="LJX26" s="500"/>
      <c r="LJY26" s="500"/>
      <c r="LJZ26" s="500"/>
      <c r="LKA26" s="500"/>
      <c r="LKB26" s="500"/>
      <c r="LKC26" s="500"/>
      <c r="LKD26" s="500"/>
      <c r="LKE26" s="500"/>
      <c r="LKF26" s="500"/>
      <c r="LKG26" s="500"/>
      <c r="LKH26" s="500"/>
      <c r="LKI26" s="500"/>
      <c r="LKJ26" s="500"/>
      <c r="LKK26" s="500"/>
      <c r="LKL26" s="500"/>
      <c r="LKM26" s="500"/>
      <c r="LKN26" s="500"/>
      <c r="LKO26" s="500"/>
      <c r="LKP26" s="500"/>
      <c r="LKQ26" s="500"/>
      <c r="LKR26" s="500"/>
      <c r="LKS26" s="500"/>
      <c r="LKT26" s="500"/>
      <c r="LKU26" s="500"/>
      <c r="LKV26" s="500"/>
      <c r="LKW26" s="500"/>
      <c r="LKX26" s="500"/>
      <c r="LKY26" s="500"/>
      <c r="LKZ26" s="500"/>
      <c r="LLA26" s="500"/>
      <c r="LLB26" s="500"/>
      <c r="LLC26" s="500"/>
      <c r="LLD26" s="500"/>
      <c r="LLE26" s="500"/>
      <c r="LLF26" s="500"/>
      <c r="LLG26" s="500"/>
      <c r="LLH26" s="500"/>
      <c r="LLI26" s="500"/>
      <c r="LLJ26" s="500"/>
      <c r="LLK26" s="500"/>
      <c r="LLL26" s="500"/>
      <c r="LLM26" s="500"/>
      <c r="LLN26" s="500"/>
      <c r="LLO26" s="500"/>
      <c r="LLP26" s="500"/>
      <c r="LLQ26" s="500"/>
      <c r="LLR26" s="500"/>
      <c r="LLS26" s="500"/>
      <c r="LLT26" s="500"/>
      <c r="LLU26" s="500"/>
      <c r="LLV26" s="500"/>
      <c r="LLW26" s="500"/>
      <c r="LLX26" s="500"/>
      <c r="LLY26" s="500"/>
      <c r="LLZ26" s="500"/>
      <c r="LMA26" s="500"/>
      <c r="LMB26" s="500"/>
      <c r="LMC26" s="500"/>
      <c r="LMD26" s="500"/>
      <c r="LME26" s="500"/>
      <c r="LMF26" s="500"/>
      <c r="LMG26" s="500"/>
      <c r="LMH26" s="500"/>
      <c r="LMI26" s="500"/>
      <c r="LMJ26" s="500"/>
      <c r="LMK26" s="500"/>
      <c r="LML26" s="500"/>
      <c r="LMM26" s="500"/>
      <c r="LMN26" s="500"/>
      <c r="LMO26" s="500"/>
      <c r="LMP26" s="500"/>
      <c r="LMQ26" s="500"/>
      <c r="LMR26" s="500"/>
      <c r="LMS26" s="500"/>
      <c r="LMT26" s="500"/>
      <c r="LMU26" s="500"/>
      <c r="LMV26" s="500"/>
      <c r="LMW26" s="500"/>
      <c r="LMX26" s="500"/>
      <c r="LMY26" s="500"/>
      <c r="LMZ26" s="500"/>
      <c r="LNA26" s="500"/>
      <c r="LNB26" s="500"/>
      <c r="LNC26" s="500"/>
      <c r="LND26" s="500"/>
      <c r="LNE26" s="500"/>
      <c r="LNF26" s="500"/>
      <c r="LNG26" s="500"/>
      <c r="LNH26" s="500"/>
      <c r="LNI26" s="500"/>
      <c r="LNJ26" s="500"/>
      <c r="LNK26" s="500"/>
      <c r="LNL26" s="500"/>
      <c r="LNM26" s="500"/>
      <c r="LNN26" s="500"/>
      <c r="LNO26" s="500"/>
      <c r="LNP26" s="500"/>
      <c r="LNQ26" s="500"/>
      <c r="LNR26" s="500"/>
      <c r="LNS26" s="500"/>
      <c r="LNT26" s="500"/>
      <c r="LNU26" s="500"/>
      <c r="LNV26" s="500"/>
      <c r="LNW26" s="500"/>
      <c r="LNX26" s="500"/>
      <c r="LNY26" s="500"/>
      <c r="LNZ26" s="500"/>
      <c r="LOA26" s="500"/>
      <c r="LOB26" s="500"/>
      <c r="LOC26" s="500"/>
      <c r="LOD26" s="500"/>
      <c r="LOE26" s="500"/>
      <c r="LOF26" s="500"/>
      <c r="LOG26" s="500"/>
      <c r="LOH26" s="500"/>
      <c r="LOI26" s="500"/>
      <c r="LOJ26" s="500"/>
      <c r="LOK26" s="500"/>
      <c r="LOL26" s="500"/>
      <c r="LOM26" s="500"/>
      <c r="LON26" s="500"/>
      <c r="LOO26" s="500"/>
      <c r="LOP26" s="500"/>
      <c r="LOQ26" s="500"/>
      <c r="LOR26" s="500"/>
      <c r="LOS26" s="500"/>
      <c r="LOT26" s="500"/>
      <c r="LOU26" s="500"/>
      <c r="LOV26" s="500"/>
      <c r="LOW26" s="500"/>
      <c r="LOX26" s="500"/>
      <c r="LOY26" s="500"/>
      <c r="LOZ26" s="500"/>
      <c r="LPA26" s="500"/>
      <c r="LPB26" s="500"/>
      <c r="LPC26" s="500"/>
      <c r="LPD26" s="500"/>
      <c r="LPE26" s="500"/>
      <c r="LPF26" s="500"/>
      <c r="LPG26" s="500"/>
      <c r="LPH26" s="500"/>
      <c r="LPI26" s="500"/>
      <c r="LPJ26" s="500"/>
      <c r="LPK26" s="500"/>
      <c r="LPL26" s="500"/>
      <c r="LPM26" s="500"/>
      <c r="LPN26" s="500"/>
      <c r="LPO26" s="500"/>
      <c r="LPP26" s="500"/>
      <c r="LPQ26" s="500"/>
      <c r="LPR26" s="500"/>
      <c r="LPS26" s="500"/>
      <c r="LPT26" s="500"/>
      <c r="LPU26" s="500"/>
      <c r="LPV26" s="500"/>
      <c r="LPW26" s="500"/>
      <c r="LPX26" s="500"/>
      <c r="LPY26" s="500"/>
      <c r="LPZ26" s="500"/>
      <c r="LQA26" s="500"/>
      <c r="LQB26" s="500"/>
      <c r="LQC26" s="500"/>
      <c r="LQD26" s="500"/>
      <c r="LQE26" s="500"/>
      <c r="LQF26" s="500"/>
      <c r="LQG26" s="500"/>
      <c r="LQH26" s="500"/>
      <c r="LQI26" s="500"/>
      <c r="LQJ26" s="500"/>
      <c r="LQK26" s="500"/>
      <c r="LQL26" s="500"/>
      <c r="LQM26" s="500"/>
      <c r="LQN26" s="500"/>
      <c r="LQO26" s="500"/>
      <c r="LQP26" s="500"/>
      <c r="LQQ26" s="500"/>
      <c r="LQR26" s="500"/>
      <c r="LQS26" s="500"/>
      <c r="LQT26" s="500"/>
      <c r="LQU26" s="500"/>
      <c r="LQV26" s="500"/>
      <c r="LQW26" s="500"/>
      <c r="LQX26" s="500"/>
      <c r="LQY26" s="500"/>
      <c r="LQZ26" s="500"/>
      <c r="LRA26" s="500"/>
      <c r="LRB26" s="500"/>
      <c r="LRC26" s="500"/>
      <c r="LRD26" s="500"/>
      <c r="LRE26" s="500"/>
      <c r="LRF26" s="500"/>
      <c r="LRG26" s="500"/>
      <c r="LRH26" s="500"/>
      <c r="LRI26" s="500"/>
      <c r="LRJ26" s="500"/>
      <c r="LRK26" s="500"/>
      <c r="LRL26" s="500"/>
      <c r="LRM26" s="500"/>
      <c r="LRN26" s="500"/>
      <c r="LRO26" s="500"/>
      <c r="LRP26" s="500"/>
      <c r="LRQ26" s="500"/>
      <c r="LRR26" s="500"/>
      <c r="LRS26" s="500"/>
      <c r="LRT26" s="500"/>
      <c r="LRU26" s="500"/>
      <c r="LRV26" s="500"/>
      <c r="LRW26" s="500"/>
      <c r="LRX26" s="500"/>
      <c r="LRY26" s="500"/>
      <c r="LRZ26" s="500"/>
      <c r="LSA26" s="500"/>
      <c r="LSB26" s="500"/>
      <c r="LSC26" s="500"/>
      <c r="LSD26" s="500"/>
      <c r="LSE26" s="500"/>
      <c r="LSF26" s="500"/>
      <c r="LSG26" s="500"/>
      <c r="LSH26" s="500"/>
      <c r="LSI26" s="500"/>
      <c r="LSJ26" s="500"/>
      <c r="LSK26" s="500"/>
      <c r="LSL26" s="500"/>
      <c r="LSM26" s="500"/>
      <c r="LSN26" s="500"/>
      <c r="LSO26" s="500"/>
      <c r="LSP26" s="500"/>
      <c r="LSQ26" s="500"/>
      <c r="LSR26" s="500"/>
      <c r="LSS26" s="500"/>
      <c r="LST26" s="500"/>
      <c r="LSU26" s="500"/>
      <c r="LSV26" s="500"/>
      <c r="LSW26" s="500"/>
      <c r="LSX26" s="500"/>
      <c r="LSY26" s="500"/>
      <c r="LSZ26" s="500"/>
      <c r="LTA26" s="500"/>
      <c r="LTB26" s="500"/>
      <c r="LTC26" s="500"/>
      <c r="LTD26" s="500"/>
      <c r="LTE26" s="500"/>
      <c r="LTF26" s="500"/>
      <c r="LTG26" s="500"/>
      <c r="LTH26" s="500"/>
      <c r="LTI26" s="500"/>
      <c r="LTJ26" s="500"/>
      <c r="LTK26" s="500"/>
      <c r="LTL26" s="500"/>
      <c r="LTM26" s="500"/>
      <c r="LTN26" s="500"/>
      <c r="LTO26" s="500"/>
      <c r="LTP26" s="500"/>
      <c r="LTQ26" s="500"/>
      <c r="LTR26" s="500"/>
      <c r="LTS26" s="500"/>
      <c r="LTT26" s="500"/>
      <c r="LTU26" s="500"/>
      <c r="LTV26" s="500"/>
      <c r="LTW26" s="500"/>
      <c r="LTX26" s="500"/>
      <c r="LTY26" s="500"/>
      <c r="LTZ26" s="500"/>
      <c r="LUA26" s="500"/>
      <c r="LUB26" s="500"/>
      <c r="LUC26" s="500"/>
      <c r="LUD26" s="500"/>
      <c r="LUE26" s="500"/>
      <c r="LUF26" s="500"/>
      <c r="LUG26" s="500"/>
      <c r="LUH26" s="500"/>
      <c r="LUI26" s="500"/>
      <c r="LUJ26" s="500"/>
      <c r="LUK26" s="500"/>
      <c r="LUL26" s="500"/>
      <c r="LUM26" s="500"/>
      <c r="LUN26" s="500"/>
      <c r="LUO26" s="500"/>
      <c r="LUP26" s="500"/>
      <c r="LUQ26" s="500"/>
      <c r="LUR26" s="500"/>
      <c r="LUS26" s="500"/>
      <c r="LUT26" s="500"/>
      <c r="LUU26" s="500"/>
      <c r="LUV26" s="500"/>
      <c r="LUW26" s="500"/>
      <c r="LUX26" s="500"/>
      <c r="LUY26" s="500"/>
      <c r="LUZ26" s="500"/>
      <c r="LVA26" s="500"/>
      <c r="LVB26" s="500"/>
      <c r="LVC26" s="500"/>
      <c r="LVD26" s="500"/>
      <c r="LVE26" s="500"/>
      <c r="LVF26" s="500"/>
      <c r="LVG26" s="500"/>
      <c r="LVH26" s="500"/>
      <c r="LVI26" s="500"/>
      <c r="LVJ26" s="500"/>
      <c r="LVK26" s="500"/>
      <c r="LVL26" s="500"/>
      <c r="LVM26" s="500"/>
      <c r="LVN26" s="500"/>
      <c r="LVO26" s="500"/>
      <c r="LVP26" s="500"/>
      <c r="LVQ26" s="500"/>
      <c r="LVR26" s="500"/>
      <c r="LVS26" s="500"/>
      <c r="LVT26" s="500"/>
      <c r="LVU26" s="500"/>
      <c r="LVV26" s="500"/>
      <c r="LVW26" s="500"/>
      <c r="LVX26" s="500"/>
      <c r="LVY26" s="500"/>
      <c r="LVZ26" s="500"/>
      <c r="LWA26" s="500"/>
      <c r="LWB26" s="500"/>
      <c r="LWC26" s="500"/>
      <c r="LWD26" s="500"/>
      <c r="LWE26" s="500"/>
      <c r="LWF26" s="500"/>
      <c r="LWG26" s="500"/>
      <c r="LWH26" s="500"/>
      <c r="LWI26" s="500"/>
      <c r="LWJ26" s="500"/>
      <c r="LWK26" s="500"/>
      <c r="LWL26" s="500"/>
      <c r="LWM26" s="500"/>
      <c r="LWN26" s="500"/>
      <c r="LWO26" s="500"/>
      <c r="LWP26" s="500"/>
      <c r="LWQ26" s="500"/>
      <c r="LWR26" s="500"/>
      <c r="LWS26" s="500"/>
      <c r="LWT26" s="500"/>
      <c r="LWU26" s="500"/>
      <c r="LWV26" s="500"/>
      <c r="LWW26" s="500"/>
      <c r="LWX26" s="500"/>
      <c r="LWY26" s="500"/>
      <c r="LWZ26" s="500"/>
      <c r="LXA26" s="500"/>
      <c r="LXB26" s="500"/>
      <c r="LXC26" s="500"/>
      <c r="LXD26" s="500"/>
      <c r="LXE26" s="500"/>
      <c r="LXF26" s="500"/>
      <c r="LXG26" s="500"/>
      <c r="LXH26" s="500"/>
      <c r="LXI26" s="500"/>
      <c r="LXJ26" s="500"/>
      <c r="LXK26" s="500"/>
      <c r="LXL26" s="500"/>
      <c r="LXM26" s="500"/>
      <c r="LXN26" s="500"/>
      <c r="LXO26" s="500"/>
      <c r="LXP26" s="500"/>
      <c r="LXQ26" s="500"/>
      <c r="LXR26" s="500"/>
      <c r="LXS26" s="500"/>
      <c r="LXT26" s="500"/>
      <c r="LXU26" s="500"/>
      <c r="LXV26" s="500"/>
      <c r="LXW26" s="500"/>
      <c r="LXX26" s="500"/>
      <c r="LXY26" s="500"/>
      <c r="LXZ26" s="500"/>
      <c r="LYA26" s="500"/>
      <c r="LYB26" s="500"/>
      <c r="LYC26" s="500"/>
      <c r="LYD26" s="500"/>
      <c r="LYE26" s="500"/>
      <c r="LYF26" s="500"/>
      <c r="LYG26" s="500"/>
      <c r="LYH26" s="500"/>
      <c r="LYI26" s="500"/>
      <c r="LYJ26" s="500"/>
      <c r="LYK26" s="500"/>
      <c r="LYL26" s="500"/>
      <c r="LYM26" s="500"/>
      <c r="LYN26" s="500"/>
      <c r="LYO26" s="500"/>
      <c r="LYP26" s="500"/>
      <c r="LYQ26" s="500"/>
      <c r="LYR26" s="500"/>
      <c r="LYS26" s="500"/>
      <c r="LYT26" s="500"/>
      <c r="LYU26" s="500"/>
      <c r="LYV26" s="500"/>
      <c r="LYW26" s="500"/>
      <c r="LYX26" s="500"/>
      <c r="LYY26" s="500"/>
      <c r="LYZ26" s="500"/>
      <c r="LZA26" s="500"/>
      <c r="LZB26" s="500"/>
      <c r="LZC26" s="500"/>
      <c r="LZD26" s="500"/>
      <c r="LZE26" s="500"/>
      <c r="LZF26" s="500"/>
      <c r="LZG26" s="500"/>
      <c r="LZH26" s="500"/>
      <c r="LZI26" s="500"/>
      <c r="LZJ26" s="500"/>
      <c r="LZK26" s="500"/>
      <c r="LZL26" s="500"/>
      <c r="LZM26" s="500"/>
      <c r="LZN26" s="500"/>
      <c r="LZO26" s="500"/>
      <c r="LZP26" s="500"/>
      <c r="LZQ26" s="500"/>
      <c r="LZR26" s="500"/>
      <c r="LZS26" s="500"/>
      <c r="LZT26" s="500"/>
      <c r="LZU26" s="500"/>
      <c r="LZV26" s="500"/>
      <c r="LZW26" s="500"/>
      <c r="LZX26" s="500"/>
      <c r="LZY26" s="500"/>
      <c r="LZZ26" s="500"/>
      <c r="MAA26" s="500"/>
      <c r="MAB26" s="500"/>
      <c r="MAC26" s="500"/>
      <c r="MAD26" s="500"/>
      <c r="MAE26" s="500"/>
      <c r="MAF26" s="500"/>
      <c r="MAG26" s="500"/>
      <c r="MAH26" s="500"/>
      <c r="MAI26" s="500"/>
      <c r="MAJ26" s="500"/>
      <c r="MAK26" s="500"/>
      <c r="MAL26" s="500"/>
      <c r="MAM26" s="500"/>
      <c r="MAN26" s="500"/>
      <c r="MAO26" s="500"/>
      <c r="MAP26" s="500"/>
      <c r="MAQ26" s="500"/>
      <c r="MAR26" s="500"/>
      <c r="MAS26" s="500"/>
      <c r="MAT26" s="500"/>
      <c r="MAU26" s="500"/>
      <c r="MAV26" s="500"/>
      <c r="MAW26" s="500"/>
      <c r="MAX26" s="500"/>
      <c r="MAY26" s="500"/>
      <c r="MAZ26" s="500"/>
      <c r="MBA26" s="500"/>
      <c r="MBB26" s="500"/>
      <c r="MBC26" s="500"/>
      <c r="MBD26" s="500"/>
      <c r="MBE26" s="500"/>
      <c r="MBF26" s="500"/>
      <c r="MBG26" s="500"/>
      <c r="MBH26" s="500"/>
      <c r="MBI26" s="500"/>
      <c r="MBJ26" s="500"/>
      <c r="MBK26" s="500"/>
      <c r="MBL26" s="500"/>
      <c r="MBM26" s="500"/>
      <c r="MBN26" s="500"/>
      <c r="MBO26" s="500"/>
      <c r="MBP26" s="500"/>
      <c r="MBQ26" s="500"/>
      <c r="MBR26" s="500"/>
      <c r="MBS26" s="500"/>
      <c r="MBT26" s="500"/>
      <c r="MBU26" s="500"/>
      <c r="MBV26" s="500"/>
      <c r="MBW26" s="500"/>
      <c r="MBX26" s="500"/>
      <c r="MBY26" s="500"/>
      <c r="MBZ26" s="500"/>
      <c r="MCA26" s="500"/>
      <c r="MCB26" s="500"/>
      <c r="MCC26" s="500"/>
      <c r="MCD26" s="500"/>
      <c r="MCE26" s="500"/>
      <c r="MCF26" s="500"/>
      <c r="MCG26" s="500"/>
      <c r="MCH26" s="500"/>
      <c r="MCI26" s="500"/>
      <c r="MCJ26" s="500"/>
      <c r="MCK26" s="500"/>
      <c r="MCL26" s="500"/>
      <c r="MCM26" s="500"/>
      <c r="MCN26" s="500"/>
      <c r="MCO26" s="500"/>
      <c r="MCP26" s="500"/>
      <c r="MCQ26" s="500"/>
      <c r="MCR26" s="500"/>
      <c r="MCS26" s="500"/>
      <c r="MCT26" s="500"/>
      <c r="MCU26" s="500"/>
      <c r="MCV26" s="500"/>
      <c r="MCW26" s="500"/>
      <c r="MCX26" s="500"/>
      <c r="MCY26" s="500"/>
      <c r="MCZ26" s="500"/>
      <c r="MDA26" s="500"/>
      <c r="MDB26" s="500"/>
      <c r="MDC26" s="500"/>
      <c r="MDD26" s="500"/>
      <c r="MDE26" s="500"/>
      <c r="MDF26" s="500"/>
      <c r="MDG26" s="500"/>
      <c r="MDH26" s="500"/>
      <c r="MDI26" s="500"/>
      <c r="MDJ26" s="500"/>
      <c r="MDK26" s="500"/>
      <c r="MDL26" s="500"/>
      <c r="MDM26" s="500"/>
      <c r="MDN26" s="500"/>
      <c r="MDO26" s="500"/>
      <c r="MDP26" s="500"/>
      <c r="MDQ26" s="500"/>
      <c r="MDR26" s="500"/>
      <c r="MDS26" s="500"/>
      <c r="MDT26" s="500"/>
      <c r="MDU26" s="500"/>
      <c r="MDV26" s="500"/>
      <c r="MDW26" s="500"/>
      <c r="MDX26" s="500"/>
      <c r="MDY26" s="500"/>
      <c r="MDZ26" s="500"/>
      <c r="MEA26" s="500"/>
      <c r="MEB26" s="500"/>
      <c r="MEC26" s="500"/>
      <c r="MED26" s="500"/>
      <c r="MEE26" s="500"/>
      <c r="MEF26" s="500"/>
      <c r="MEG26" s="500"/>
      <c r="MEH26" s="500"/>
      <c r="MEI26" s="500"/>
      <c r="MEJ26" s="500"/>
      <c r="MEK26" s="500"/>
      <c r="MEL26" s="500"/>
      <c r="MEM26" s="500"/>
      <c r="MEN26" s="500"/>
      <c r="MEO26" s="500"/>
      <c r="MEP26" s="500"/>
      <c r="MEQ26" s="500"/>
      <c r="MER26" s="500"/>
      <c r="MES26" s="500"/>
      <c r="MET26" s="500"/>
      <c r="MEU26" s="500"/>
      <c r="MEV26" s="500"/>
      <c r="MEW26" s="500"/>
      <c r="MEX26" s="500"/>
      <c r="MEY26" s="500"/>
      <c r="MEZ26" s="500"/>
      <c r="MFA26" s="500"/>
      <c r="MFB26" s="500"/>
      <c r="MFC26" s="500"/>
      <c r="MFD26" s="500"/>
      <c r="MFE26" s="500"/>
      <c r="MFF26" s="500"/>
      <c r="MFG26" s="500"/>
      <c r="MFH26" s="500"/>
      <c r="MFI26" s="500"/>
      <c r="MFJ26" s="500"/>
      <c r="MFK26" s="500"/>
      <c r="MFL26" s="500"/>
      <c r="MFM26" s="500"/>
      <c r="MFN26" s="500"/>
      <c r="MFO26" s="500"/>
      <c r="MFP26" s="500"/>
      <c r="MFQ26" s="500"/>
      <c r="MFR26" s="500"/>
      <c r="MFS26" s="500"/>
      <c r="MFT26" s="500"/>
      <c r="MFU26" s="500"/>
      <c r="MFV26" s="500"/>
      <c r="MFW26" s="500"/>
      <c r="MFX26" s="500"/>
      <c r="MFY26" s="500"/>
      <c r="MFZ26" s="500"/>
      <c r="MGA26" s="500"/>
      <c r="MGB26" s="500"/>
      <c r="MGC26" s="500"/>
      <c r="MGD26" s="500"/>
      <c r="MGE26" s="500"/>
      <c r="MGF26" s="500"/>
      <c r="MGG26" s="500"/>
      <c r="MGH26" s="500"/>
      <c r="MGI26" s="500"/>
      <c r="MGJ26" s="500"/>
      <c r="MGK26" s="500"/>
      <c r="MGL26" s="500"/>
      <c r="MGM26" s="500"/>
      <c r="MGN26" s="500"/>
      <c r="MGO26" s="500"/>
      <c r="MGP26" s="500"/>
      <c r="MGQ26" s="500"/>
      <c r="MGR26" s="500"/>
      <c r="MGS26" s="500"/>
      <c r="MGT26" s="500"/>
      <c r="MGU26" s="500"/>
      <c r="MGV26" s="500"/>
      <c r="MGW26" s="500"/>
      <c r="MGX26" s="500"/>
      <c r="MGY26" s="500"/>
      <c r="MGZ26" s="500"/>
      <c r="MHA26" s="500"/>
      <c r="MHB26" s="500"/>
      <c r="MHC26" s="500"/>
      <c r="MHD26" s="500"/>
      <c r="MHE26" s="500"/>
      <c r="MHF26" s="500"/>
      <c r="MHG26" s="500"/>
      <c r="MHH26" s="500"/>
      <c r="MHI26" s="500"/>
      <c r="MHJ26" s="500"/>
      <c r="MHK26" s="500"/>
      <c r="MHL26" s="500"/>
      <c r="MHM26" s="500"/>
      <c r="MHN26" s="500"/>
      <c r="MHO26" s="500"/>
      <c r="MHP26" s="500"/>
      <c r="MHQ26" s="500"/>
      <c r="MHR26" s="500"/>
      <c r="MHS26" s="500"/>
      <c r="MHT26" s="500"/>
      <c r="MHU26" s="500"/>
      <c r="MHV26" s="500"/>
      <c r="MHW26" s="500"/>
      <c r="MHX26" s="500"/>
      <c r="MHY26" s="500"/>
      <c r="MHZ26" s="500"/>
      <c r="MIA26" s="500"/>
      <c r="MIB26" s="500"/>
      <c r="MIC26" s="500"/>
      <c r="MID26" s="500"/>
      <c r="MIE26" s="500"/>
      <c r="MIF26" s="500"/>
      <c r="MIG26" s="500"/>
      <c r="MIH26" s="500"/>
      <c r="MII26" s="500"/>
      <c r="MIJ26" s="500"/>
      <c r="MIK26" s="500"/>
      <c r="MIL26" s="500"/>
      <c r="MIM26" s="500"/>
      <c r="MIN26" s="500"/>
      <c r="MIO26" s="500"/>
      <c r="MIP26" s="500"/>
      <c r="MIQ26" s="500"/>
      <c r="MIR26" s="500"/>
      <c r="MIS26" s="500"/>
      <c r="MIT26" s="500"/>
      <c r="MIU26" s="500"/>
      <c r="MIV26" s="500"/>
      <c r="MIW26" s="500"/>
      <c r="MIX26" s="500"/>
      <c r="MIY26" s="500"/>
      <c r="MIZ26" s="500"/>
      <c r="MJA26" s="500"/>
      <c r="MJB26" s="500"/>
      <c r="MJC26" s="500"/>
      <c r="MJD26" s="500"/>
      <c r="MJE26" s="500"/>
      <c r="MJF26" s="500"/>
      <c r="MJG26" s="500"/>
      <c r="MJH26" s="500"/>
      <c r="MJI26" s="500"/>
      <c r="MJJ26" s="500"/>
      <c r="MJK26" s="500"/>
      <c r="MJL26" s="500"/>
      <c r="MJM26" s="500"/>
      <c r="MJN26" s="500"/>
      <c r="MJO26" s="500"/>
      <c r="MJP26" s="500"/>
      <c r="MJQ26" s="500"/>
      <c r="MJR26" s="500"/>
      <c r="MJS26" s="500"/>
      <c r="MJT26" s="500"/>
      <c r="MJU26" s="500"/>
      <c r="MJV26" s="500"/>
      <c r="MJW26" s="500"/>
      <c r="MJX26" s="500"/>
      <c r="MJY26" s="500"/>
      <c r="MJZ26" s="500"/>
      <c r="MKA26" s="500"/>
      <c r="MKB26" s="500"/>
      <c r="MKC26" s="500"/>
      <c r="MKD26" s="500"/>
      <c r="MKE26" s="500"/>
      <c r="MKF26" s="500"/>
      <c r="MKG26" s="500"/>
      <c r="MKH26" s="500"/>
      <c r="MKI26" s="500"/>
      <c r="MKJ26" s="500"/>
      <c r="MKK26" s="500"/>
      <c r="MKL26" s="500"/>
      <c r="MKM26" s="500"/>
      <c r="MKN26" s="500"/>
      <c r="MKO26" s="500"/>
      <c r="MKP26" s="500"/>
      <c r="MKQ26" s="500"/>
      <c r="MKR26" s="500"/>
      <c r="MKS26" s="500"/>
      <c r="MKT26" s="500"/>
      <c r="MKU26" s="500"/>
      <c r="MKV26" s="500"/>
      <c r="MKW26" s="500"/>
      <c r="MKX26" s="500"/>
      <c r="MKY26" s="500"/>
      <c r="MKZ26" s="500"/>
      <c r="MLA26" s="500"/>
      <c r="MLB26" s="500"/>
      <c r="MLC26" s="500"/>
      <c r="MLD26" s="500"/>
      <c r="MLE26" s="500"/>
      <c r="MLF26" s="500"/>
      <c r="MLG26" s="500"/>
      <c r="MLH26" s="500"/>
      <c r="MLI26" s="500"/>
      <c r="MLJ26" s="500"/>
      <c r="MLK26" s="500"/>
      <c r="MLL26" s="500"/>
      <c r="MLM26" s="500"/>
      <c r="MLN26" s="500"/>
      <c r="MLO26" s="500"/>
      <c r="MLP26" s="500"/>
      <c r="MLQ26" s="500"/>
      <c r="MLR26" s="500"/>
      <c r="MLS26" s="500"/>
      <c r="MLT26" s="500"/>
      <c r="MLU26" s="500"/>
      <c r="MLV26" s="500"/>
      <c r="MLW26" s="500"/>
      <c r="MLX26" s="500"/>
      <c r="MLY26" s="500"/>
      <c r="MLZ26" s="500"/>
      <c r="MMA26" s="500"/>
      <c r="MMB26" s="500"/>
      <c r="MMC26" s="500"/>
      <c r="MMD26" s="500"/>
      <c r="MME26" s="500"/>
      <c r="MMF26" s="500"/>
      <c r="MMG26" s="500"/>
      <c r="MMH26" s="500"/>
      <c r="MMI26" s="500"/>
      <c r="MMJ26" s="500"/>
      <c r="MMK26" s="500"/>
      <c r="MML26" s="500"/>
      <c r="MMM26" s="500"/>
      <c r="MMN26" s="500"/>
      <c r="MMO26" s="500"/>
      <c r="MMP26" s="500"/>
      <c r="MMQ26" s="500"/>
      <c r="MMR26" s="500"/>
      <c r="MMS26" s="500"/>
      <c r="MMT26" s="500"/>
      <c r="MMU26" s="500"/>
      <c r="MMV26" s="500"/>
      <c r="MMW26" s="500"/>
      <c r="MMX26" s="500"/>
      <c r="MMY26" s="500"/>
      <c r="MMZ26" s="500"/>
      <c r="MNA26" s="500"/>
      <c r="MNB26" s="500"/>
      <c r="MNC26" s="500"/>
      <c r="MND26" s="500"/>
      <c r="MNE26" s="500"/>
      <c r="MNF26" s="500"/>
      <c r="MNG26" s="500"/>
      <c r="MNH26" s="500"/>
      <c r="MNI26" s="500"/>
      <c r="MNJ26" s="500"/>
      <c r="MNK26" s="500"/>
      <c r="MNL26" s="500"/>
      <c r="MNM26" s="500"/>
      <c r="MNN26" s="500"/>
      <c r="MNO26" s="500"/>
      <c r="MNP26" s="500"/>
      <c r="MNQ26" s="500"/>
      <c r="MNR26" s="500"/>
      <c r="MNS26" s="500"/>
      <c r="MNT26" s="500"/>
      <c r="MNU26" s="500"/>
      <c r="MNV26" s="500"/>
      <c r="MNW26" s="500"/>
      <c r="MNX26" s="500"/>
      <c r="MNY26" s="500"/>
      <c r="MNZ26" s="500"/>
      <c r="MOA26" s="500"/>
      <c r="MOB26" s="500"/>
      <c r="MOC26" s="500"/>
      <c r="MOD26" s="500"/>
      <c r="MOE26" s="500"/>
      <c r="MOF26" s="500"/>
      <c r="MOG26" s="500"/>
      <c r="MOH26" s="500"/>
      <c r="MOI26" s="500"/>
      <c r="MOJ26" s="500"/>
      <c r="MOK26" s="500"/>
      <c r="MOL26" s="500"/>
      <c r="MOM26" s="500"/>
      <c r="MON26" s="500"/>
      <c r="MOO26" s="500"/>
      <c r="MOP26" s="500"/>
      <c r="MOQ26" s="500"/>
      <c r="MOR26" s="500"/>
      <c r="MOS26" s="500"/>
      <c r="MOT26" s="500"/>
      <c r="MOU26" s="500"/>
      <c r="MOV26" s="500"/>
      <c r="MOW26" s="500"/>
      <c r="MOX26" s="500"/>
      <c r="MOY26" s="500"/>
      <c r="MOZ26" s="500"/>
      <c r="MPA26" s="500"/>
      <c r="MPB26" s="500"/>
      <c r="MPC26" s="500"/>
      <c r="MPD26" s="500"/>
      <c r="MPE26" s="500"/>
      <c r="MPF26" s="500"/>
      <c r="MPG26" s="500"/>
      <c r="MPH26" s="500"/>
      <c r="MPI26" s="500"/>
      <c r="MPJ26" s="500"/>
      <c r="MPK26" s="500"/>
      <c r="MPL26" s="500"/>
      <c r="MPM26" s="500"/>
      <c r="MPN26" s="500"/>
      <c r="MPO26" s="500"/>
      <c r="MPP26" s="500"/>
      <c r="MPQ26" s="500"/>
      <c r="MPR26" s="500"/>
      <c r="MPS26" s="500"/>
      <c r="MPT26" s="500"/>
      <c r="MPU26" s="500"/>
      <c r="MPV26" s="500"/>
      <c r="MPW26" s="500"/>
      <c r="MPX26" s="500"/>
      <c r="MPY26" s="500"/>
      <c r="MPZ26" s="500"/>
      <c r="MQA26" s="500"/>
      <c r="MQB26" s="500"/>
      <c r="MQC26" s="500"/>
      <c r="MQD26" s="500"/>
      <c r="MQE26" s="500"/>
      <c r="MQF26" s="500"/>
      <c r="MQG26" s="500"/>
      <c r="MQH26" s="500"/>
      <c r="MQI26" s="500"/>
      <c r="MQJ26" s="500"/>
      <c r="MQK26" s="500"/>
      <c r="MQL26" s="500"/>
      <c r="MQM26" s="500"/>
      <c r="MQN26" s="500"/>
      <c r="MQO26" s="500"/>
      <c r="MQP26" s="500"/>
      <c r="MQQ26" s="500"/>
      <c r="MQR26" s="500"/>
      <c r="MQS26" s="500"/>
      <c r="MQT26" s="500"/>
      <c r="MQU26" s="500"/>
      <c r="MQV26" s="500"/>
      <c r="MQW26" s="500"/>
      <c r="MQX26" s="500"/>
      <c r="MQY26" s="500"/>
      <c r="MQZ26" s="500"/>
      <c r="MRA26" s="500"/>
      <c r="MRB26" s="500"/>
      <c r="MRC26" s="500"/>
      <c r="MRD26" s="500"/>
      <c r="MRE26" s="500"/>
      <c r="MRF26" s="500"/>
      <c r="MRG26" s="500"/>
      <c r="MRH26" s="500"/>
      <c r="MRI26" s="500"/>
      <c r="MRJ26" s="500"/>
      <c r="MRK26" s="500"/>
      <c r="MRL26" s="500"/>
      <c r="MRM26" s="500"/>
      <c r="MRN26" s="500"/>
      <c r="MRO26" s="500"/>
      <c r="MRP26" s="500"/>
      <c r="MRQ26" s="500"/>
      <c r="MRR26" s="500"/>
      <c r="MRS26" s="500"/>
      <c r="MRT26" s="500"/>
      <c r="MRU26" s="500"/>
      <c r="MRV26" s="500"/>
      <c r="MRW26" s="500"/>
      <c r="MRX26" s="500"/>
      <c r="MRY26" s="500"/>
      <c r="MRZ26" s="500"/>
      <c r="MSA26" s="500"/>
      <c r="MSB26" s="500"/>
      <c r="MSC26" s="500"/>
      <c r="MSD26" s="500"/>
      <c r="MSE26" s="500"/>
      <c r="MSF26" s="500"/>
      <c r="MSG26" s="500"/>
      <c r="MSH26" s="500"/>
      <c r="MSI26" s="500"/>
      <c r="MSJ26" s="500"/>
      <c r="MSK26" s="500"/>
      <c r="MSL26" s="500"/>
      <c r="MSM26" s="500"/>
      <c r="MSN26" s="500"/>
      <c r="MSO26" s="500"/>
      <c r="MSP26" s="500"/>
      <c r="MSQ26" s="500"/>
      <c r="MSR26" s="500"/>
      <c r="MSS26" s="500"/>
      <c r="MST26" s="500"/>
      <c r="MSU26" s="500"/>
      <c r="MSV26" s="500"/>
      <c r="MSW26" s="500"/>
      <c r="MSX26" s="500"/>
      <c r="MSY26" s="500"/>
      <c r="MSZ26" s="500"/>
      <c r="MTA26" s="500"/>
      <c r="MTB26" s="500"/>
      <c r="MTC26" s="500"/>
      <c r="MTD26" s="500"/>
      <c r="MTE26" s="500"/>
      <c r="MTF26" s="500"/>
      <c r="MTG26" s="500"/>
      <c r="MTH26" s="500"/>
      <c r="MTI26" s="500"/>
      <c r="MTJ26" s="500"/>
      <c r="MTK26" s="500"/>
      <c r="MTL26" s="500"/>
      <c r="MTM26" s="500"/>
      <c r="MTN26" s="500"/>
      <c r="MTO26" s="500"/>
      <c r="MTP26" s="500"/>
      <c r="MTQ26" s="500"/>
      <c r="MTR26" s="500"/>
      <c r="MTS26" s="500"/>
      <c r="MTT26" s="500"/>
      <c r="MTU26" s="500"/>
      <c r="MTV26" s="500"/>
      <c r="MTW26" s="500"/>
      <c r="MTX26" s="500"/>
      <c r="MTY26" s="500"/>
      <c r="MTZ26" s="500"/>
      <c r="MUA26" s="500"/>
      <c r="MUB26" s="500"/>
      <c r="MUC26" s="500"/>
      <c r="MUD26" s="500"/>
      <c r="MUE26" s="500"/>
      <c r="MUF26" s="500"/>
      <c r="MUG26" s="500"/>
      <c r="MUH26" s="500"/>
      <c r="MUI26" s="500"/>
      <c r="MUJ26" s="500"/>
      <c r="MUK26" s="500"/>
      <c r="MUL26" s="500"/>
      <c r="MUM26" s="500"/>
      <c r="MUN26" s="500"/>
      <c r="MUO26" s="500"/>
      <c r="MUP26" s="500"/>
      <c r="MUQ26" s="500"/>
      <c r="MUR26" s="500"/>
      <c r="MUS26" s="500"/>
      <c r="MUT26" s="500"/>
      <c r="MUU26" s="500"/>
      <c r="MUV26" s="500"/>
      <c r="MUW26" s="500"/>
      <c r="MUX26" s="500"/>
      <c r="MUY26" s="500"/>
      <c r="MUZ26" s="500"/>
      <c r="MVA26" s="500"/>
      <c r="MVB26" s="500"/>
      <c r="MVC26" s="500"/>
      <c r="MVD26" s="500"/>
      <c r="MVE26" s="500"/>
      <c r="MVF26" s="500"/>
      <c r="MVG26" s="500"/>
      <c r="MVH26" s="500"/>
      <c r="MVI26" s="500"/>
      <c r="MVJ26" s="500"/>
      <c r="MVK26" s="500"/>
      <c r="MVL26" s="500"/>
      <c r="MVM26" s="500"/>
      <c r="MVN26" s="500"/>
      <c r="MVO26" s="500"/>
      <c r="MVP26" s="500"/>
      <c r="MVQ26" s="500"/>
      <c r="MVR26" s="500"/>
      <c r="MVS26" s="500"/>
      <c r="MVT26" s="500"/>
      <c r="MVU26" s="500"/>
      <c r="MVV26" s="500"/>
      <c r="MVW26" s="500"/>
      <c r="MVX26" s="500"/>
      <c r="MVY26" s="500"/>
      <c r="MVZ26" s="500"/>
      <c r="MWA26" s="500"/>
      <c r="MWB26" s="500"/>
      <c r="MWC26" s="500"/>
      <c r="MWD26" s="500"/>
      <c r="MWE26" s="500"/>
      <c r="MWF26" s="500"/>
      <c r="MWG26" s="500"/>
      <c r="MWH26" s="500"/>
      <c r="MWI26" s="500"/>
      <c r="MWJ26" s="500"/>
      <c r="MWK26" s="500"/>
      <c r="MWL26" s="500"/>
      <c r="MWM26" s="500"/>
      <c r="MWN26" s="500"/>
      <c r="MWO26" s="500"/>
      <c r="MWP26" s="500"/>
      <c r="MWQ26" s="500"/>
      <c r="MWR26" s="500"/>
      <c r="MWS26" s="500"/>
      <c r="MWT26" s="500"/>
      <c r="MWU26" s="500"/>
      <c r="MWV26" s="500"/>
      <c r="MWW26" s="500"/>
      <c r="MWX26" s="500"/>
      <c r="MWY26" s="500"/>
      <c r="MWZ26" s="500"/>
      <c r="MXA26" s="500"/>
      <c r="MXB26" s="500"/>
      <c r="MXC26" s="500"/>
      <c r="MXD26" s="500"/>
      <c r="MXE26" s="500"/>
      <c r="MXF26" s="500"/>
      <c r="MXG26" s="500"/>
      <c r="MXH26" s="500"/>
      <c r="MXI26" s="500"/>
      <c r="MXJ26" s="500"/>
      <c r="MXK26" s="500"/>
      <c r="MXL26" s="500"/>
      <c r="MXM26" s="500"/>
      <c r="MXN26" s="500"/>
      <c r="MXO26" s="500"/>
      <c r="MXP26" s="500"/>
      <c r="MXQ26" s="500"/>
      <c r="MXR26" s="500"/>
      <c r="MXS26" s="500"/>
      <c r="MXT26" s="500"/>
      <c r="MXU26" s="500"/>
      <c r="MXV26" s="500"/>
      <c r="MXW26" s="500"/>
      <c r="MXX26" s="500"/>
      <c r="MXY26" s="500"/>
      <c r="MXZ26" s="500"/>
      <c r="MYA26" s="500"/>
      <c r="MYB26" s="500"/>
      <c r="MYC26" s="500"/>
      <c r="MYD26" s="500"/>
      <c r="MYE26" s="500"/>
      <c r="MYF26" s="500"/>
      <c r="MYG26" s="500"/>
      <c r="MYH26" s="500"/>
      <c r="MYI26" s="500"/>
      <c r="MYJ26" s="500"/>
      <c r="MYK26" s="500"/>
      <c r="MYL26" s="500"/>
      <c r="MYM26" s="500"/>
      <c r="MYN26" s="500"/>
      <c r="MYO26" s="500"/>
      <c r="MYP26" s="500"/>
      <c r="MYQ26" s="500"/>
      <c r="MYR26" s="500"/>
      <c r="MYS26" s="500"/>
      <c r="MYT26" s="500"/>
      <c r="MYU26" s="500"/>
      <c r="MYV26" s="500"/>
      <c r="MYW26" s="500"/>
      <c r="MYX26" s="500"/>
      <c r="MYY26" s="500"/>
      <c r="MYZ26" s="500"/>
      <c r="MZA26" s="500"/>
      <c r="MZB26" s="500"/>
      <c r="MZC26" s="500"/>
      <c r="MZD26" s="500"/>
      <c r="MZE26" s="500"/>
      <c r="MZF26" s="500"/>
      <c r="MZG26" s="500"/>
      <c r="MZH26" s="500"/>
      <c r="MZI26" s="500"/>
      <c r="MZJ26" s="500"/>
      <c r="MZK26" s="500"/>
      <c r="MZL26" s="500"/>
      <c r="MZM26" s="500"/>
      <c r="MZN26" s="500"/>
      <c r="MZO26" s="500"/>
      <c r="MZP26" s="500"/>
      <c r="MZQ26" s="500"/>
      <c r="MZR26" s="500"/>
      <c r="MZS26" s="500"/>
      <c r="MZT26" s="500"/>
      <c r="MZU26" s="500"/>
      <c r="MZV26" s="500"/>
      <c r="MZW26" s="500"/>
      <c r="MZX26" s="500"/>
      <c r="MZY26" s="500"/>
      <c r="MZZ26" s="500"/>
      <c r="NAA26" s="500"/>
      <c r="NAB26" s="500"/>
      <c r="NAC26" s="500"/>
      <c r="NAD26" s="500"/>
      <c r="NAE26" s="500"/>
      <c r="NAF26" s="500"/>
      <c r="NAG26" s="500"/>
      <c r="NAH26" s="500"/>
      <c r="NAI26" s="500"/>
      <c r="NAJ26" s="500"/>
      <c r="NAK26" s="500"/>
      <c r="NAL26" s="500"/>
      <c r="NAM26" s="500"/>
      <c r="NAN26" s="500"/>
      <c r="NAO26" s="500"/>
      <c r="NAP26" s="500"/>
      <c r="NAQ26" s="500"/>
      <c r="NAR26" s="500"/>
      <c r="NAS26" s="500"/>
      <c r="NAT26" s="500"/>
      <c r="NAU26" s="500"/>
      <c r="NAV26" s="500"/>
      <c r="NAW26" s="500"/>
      <c r="NAX26" s="500"/>
      <c r="NAY26" s="500"/>
      <c r="NAZ26" s="500"/>
      <c r="NBA26" s="500"/>
      <c r="NBB26" s="500"/>
      <c r="NBC26" s="500"/>
      <c r="NBD26" s="500"/>
      <c r="NBE26" s="500"/>
      <c r="NBF26" s="500"/>
      <c r="NBG26" s="500"/>
      <c r="NBH26" s="500"/>
      <c r="NBI26" s="500"/>
      <c r="NBJ26" s="500"/>
      <c r="NBK26" s="500"/>
      <c r="NBL26" s="500"/>
      <c r="NBM26" s="500"/>
      <c r="NBN26" s="500"/>
      <c r="NBO26" s="500"/>
      <c r="NBP26" s="500"/>
      <c r="NBQ26" s="500"/>
      <c r="NBR26" s="500"/>
      <c r="NBS26" s="500"/>
      <c r="NBT26" s="500"/>
      <c r="NBU26" s="500"/>
      <c r="NBV26" s="500"/>
      <c r="NBW26" s="500"/>
      <c r="NBX26" s="500"/>
      <c r="NBY26" s="500"/>
      <c r="NBZ26" s="500"/>
      <c r="NCA26" s="500"/>
      <c r="NCB26" s="500"/>
      <c r="NCC26" s="500"/>
      <c r="NCD26" s="500"/>
      <c r="NCE26" s="500"/>
      <c r="NCF26" s="500"/>
      <c r="NCG26" s="500"/>
      <c r="NCH26" s="500"/>
      <c r="NCI26" s="500"/>
      <c r="NCJ26" s="500"/>
      <c r="NCK26" s="500"/>
      <c r="NCL26" s="500"/>
      <c r="NCM26" s="500"/>
      <c r="NCN26" s="500"/>
      <c r="NCO26" s="500"/>
      <c r="NCP26" s="500"/>
      <c r="NCQ26" s="500"/>
      <c r="NCR26" s="500"/>
      <c r="NCS26" s="500"/>
      <c r="NCT26" s="500"/>
      <c r="NCU26" s="500"/>
      <c r="NCV26" s="500"/>
      <c r="NCW26" s="500"/>
      <c r="NCX26" s="500"/>
      <c r="NCY26" s="500"/>
      <c r="NCZ26" s="500"/>
      <c r="NDA26" s="500"/>
      <c r="NDB26" s="500"/>
      <c r="NDC26" s="500"/>
      <c r="NDD26" s="500"/>
      <c r="NDE26" s="500"/>
      <c r="NDF26" s="500"/>
      <c r="NDG26" s="500"/>
      <c r="NDH26" s="500"/>
      <c r="NDI26" s="500"/>
      <c r="NDJ26" s="500"/>
      <c r="NDK26" s="500"/>
      <c r="NDL26" s="500"/>
      <c r="NDM26" s="500"/>
      <c r="NDN26" s="500"/>
      <c r="NDO26" s="500"/>
      <c r="NDP26" s="500"/>
      <c r="NDQ26" s="500"/>
      <c r="NDR26" s="500"/>
      <c r="NDS26" s="500"/>
      <c r="NDT26" s="500"/>
      <c r="NDU26" s="500"/>
      <c r="NDV26" s="500"/>
      <c r="NDW26" s="500"/>
      <c r="NDX26" s="500"/>
      <c r="NDY26" s="500"/>
      <c r="NDZ26" s="500"/>
      <c r="NEA26" s="500"/>
      <c r="NEB26" s="500"/>
      <c r="NEC26" s="500"/>
      <c r="NED26" s="500"/>
      <c r="NEE26" s="500"/>
      <c r="NEF26" s="500"/>
      <c r="NEG26" s="500"/>
      <c r="NEH26" s="500"/>
      <c r="NEI26" s="500"/>
      <c r="NEJ26" s="500"/>
      <c r="NEK26" s="500"/>
      <c r="NEL26" s="500"/>
      <c r="NEM26" s="500"/>
      <c r="NEN26" s="500"/>
      <c r="NEO26" s="500"/>
      <c r="NEP26" s="500"/>
      <c r="NEQ26" s="500"/>
      <c r="NER26" s="500"/>
      <c r="NES26" s="500"/>
      <c r="NET26" s="500"/>
      <c r="NEU26" s="500"/>
      <c r="NEV26" s="500"/>
      <c r="NEW26" s="500"/>
      <c r="NEX26" s="500"/>
      <c r="NEY26" s="500"/>
      <c r="NEZ26" s="500"/>
      <c r="NFA26" s="500"/>
      <c r="NFB26" s="500"/>
      <c r="NFC26" s="500"/>
      <c r="NFD26" s="500"/>
      <c r="NFE26" s="500"/>
      <c r="NFF26" s="500"/>
      <c r="NFG26" s="500"/>
      <c r="NFH26" s="500"/>
      <c r="NFI26" s="500"/>
      <c r="NFJ26" s="500"/>
      <c r="NFK26" s="500"/>
      <c r="NFL26" s="500"/>
      <c r="NFM26" s="500"/>
      <c r="NFN26" s="500"/>
      <c r="NFO26" s="500"/>
      <c r="NFP26" s="500"/>
      <c r="NFQ26" s="500"/>
      <c r="NFR26" s="500"/>
      <c r="NFS26" s="500"/>
      <c r="NFT26" s="500"/>
      <c r="NFU26" s="500"/>
      <c r="NFV26" s="500"/>
      <c r="NFW26" s="500"/>
      <c r="NFX26" s="500"/>
      <c r="NFY26" s="500"/>
      <c r="NFZ26" s="500"/>
      <c r="NGA26" s="500"/>
      <c r="NGB26" s="500"/>
      <c r="NGC26" s="500"/>
      <c r="NGD26" s="500"/>
      <c r="NGE26" s="500"/>
      <c r="NGF26" s="500"/>
      <c r="NGG26" s="500"/>
      <c r="NGH26" s="500"/>
      <c r="NGI26" s="500"/>
      <c r="NGJ26" s="500"/>
      <c r="NGK26" s="500"/>
      <c r="NGL26" s="500"/>
      <c r="NGM26" s="500"/>
      <c r="NGN26" s="500"/>
      <c r="NGO26" s="500"/>
      <c r="NGP26" s="500"/>
      <c r="NGQ26" s="500"/>
      <c r="NGR26" s="500"/>
      <c r="NGS26" s="500"/>
      <c r="NGT26" s="500"/>
      <c r="NGU26" s="500"/>
      <c r="NGV26" s="500"/>
      <c r="NGW26" s="500"/>
      <c r="NGX26" s="500"/>
      <c r="NGY26" s="500"/>
      <c r="NGZ26" s="500"/>
      <c r="NHA26" s="500"/>
      <c r="NHB26" s="500"/>
      <c r="NHC26" s="500"/>
      <c r="NHD26" s="500"/>
      <c r="NHE26" s="500"/>
      <c r="NHF26" s="500"/>
      <c r="NHG26" s="500"/>
      <c r="NHH26" s="500"/>
      <c r="NHI26" s="500"/>
      <c r="NHJ26" s="500"/>
      <c r="NHK26" s="500"/>
      <c r="NHL26" s="500"/>
      <c r="NHM26" s="500"/>
      <c r="NHN26" s="500"/>
      <c r="NHO26" s="500"/>
      <c r="NHP26" s="500"/>
      <c r="NHQ26" s="500"/>
      <c r="NHR26" s="500"/>
      <c r="NHS26" s="500"/>
      <c r="NHT26" s="500"/>
      <c r="NHU26" s="500"/>
      <c r="NHV26" s="500"/>
      <c r="NHW26" s="500"/>
      <c r="NHX26" s="500"/>
      <c r="NHY26" s="500"/>
      <c r="NHZ26" s="500"/>
      <c r="NIA26" s="500"/>
      <c r="NIB26" s="500"/>
      <c r="NIC26" s="500"/>
      <c r="NID26" s="500"/>
      <c r="NIE26" s="500"/>
      <c r="NIF26" s="500"/>
      <c r="NIG26" s="500"/>
      <c r="NIH26" s="500"/>
      <c r="NII26" s="500"/>
      <c r="NIJ26" s="500"/>
      <c r="NIK26" s="500"/>
      <c r="NIL26" s="500"/>
      <c r="NIM26" s="500"/>
      <c r="NIN26" s="500"/>
      <c r="NIO26" s="500"/>
      <c r="NIP26" s="500"/>
      <c r="NIQ26" s="500"/>
      <c r="NIR26" s="500"/>
      <c r="NIS26" s="500"/>
      <c r="NIT26" s="500"/>
      <c r="NIU26" s="500"/>
      <c r="NIV26" s="500"/>
      <c r="NIW26" s="500"/>
      <c r="NIX26" s="500"/>
      <c r="NIY26" s="500"/>
      <c r="NIZ26" s="500"/>
      <c r="NJA26" s="500"/>
      <c r="NJB26" s="500"/>
      <c r="NJC26" s="500"/>
      <c r="NJD26" s="500"/>
      <c r="NJE26" s="500"/>
      <c r="NJF26" s="500"/>
      <c r="NJG26" s="500"/>
      <c r="NJH26" s="500"/>
      <c r="NJI26" s="500"/>
      <c r="NJJ26" s="500"/>
      <c r="NJK26" s="500"/>
      <c r="NJL26" s="500"/>
      <c r="NJM26" s="500"/>
      <c r="NJN26" s="500"/>
      <c r="NJO26" s="500"/>
      <c r="NJP26" s="500"/>
      <c r="NJQ26" s="500"/>
      <c r="NJR26" s="500"/>
      <c r="NJS26" s="500"/>
      <c r="NJT26" s="500"/>
      <c r="NJU26" s="500"/>
      <c r="NJV26" s="500"/>
      <c r="NJW26" s="500"/>
      <c r="NJX26" s="500"/>
      <c r="NJY26" s="500"/>
      <c r="NJZ26" s="500"/>
      <c r="NKA26" s="500"/>
      <c r="NKB26" s="500"/>
      <c r="NKC26" s="500"/>
      <c r="NKD26" s="500"/>
      <c r="NKE26" s="500"/>
      <c r="NKF26" s="500"/>
      <c r="NKG26" s="500"/>
      <c r="NKH26" s="500"/>
      <c r="NKI26" s="500"/>
      <c r="NKJ26" s="500"/>
      <c r="NKK26" s="500"/>
      <c r="NKL26" s="500"/>
      <c r="NKM26" s="500"/>
      <c r="NKN26" s="500"/>
      <c r="NKO26" s="500"/>
      <c r="NKP26" s="500"/>
      <c r="NKQ26" s="500"/>
      <c r="NKR26" s="500"/>
      <c r="NKS26" s="500"/>
      <c r="NKT26" s="500"/>
      <c r="NKU26" s="500"/>
      <c r="NKV26" s="500"/>
      <c r="NKW26" s="500"/>
      <c r="NKX26" s="500"/>
      <c r="NKY26" s="500"/>
      <c r="NKZ26" s="500"/>
      <c r="NLA26" s="500"/>
      <c r="NLB26" s="500"/>
      <c r="NLC26" s="500"/>
      <c r="NLD26" s="500"/>
      <c r="NLE26" s="500"/>
      <c r="NLF26" s="500"/>
      <c r="NLG26" s="500"/>
      <c r="NLH26" s="500"/>
      <c r="NLI26" s="500"/>
      <c r="NLJ26" s="500"/>
      <c r="NLK26" s="500"/>
      <c r="NLL26" s="500"/>
      <c r="NLM26" s="500"/>
      <c r="NLN26" s="500"/>
      <c r="NLO26" s="500"/>
      <c r="NLP26" s="500"/>
      <c r="NLQ26" s="500"/>
      <c r="NLR26" s="500"/>
      <c r="NLS26" s="500"/>
      <c r="NLT26" s="500"/>
      <c r="NLU26" s="500"/>
      <c r="NLV26" s="500"/>
      <c r="NLW26" s="500"/>
      <c r="NLX26" s="500"/>
      <c r="NLY26" s="500"/>
      <c r="NLZ26" s="500"/>
      <c r="NMA26" s="500"/>
      <c r="NMB26" s="500"/>
      <c r="NMC26" s="500"/>
      <c r="NMD26" s="500"/>
      <c r="NME26" s="500"/>
      <c r="NMF26" s="500"/>
      <c r="NMG26" s="500"/>
      <c r="NMH26" s="500"/>
      <c r="NMI26" s="500"/>
      <c r="NMJ26" s="500"/>
      <c r="NMK26" s="500"/>
      <c r="NML26" s="500"/>
      <c r="NMM26" s="500"/>
      <c r="NMN26" s="500"/>
      <c r="NMO26" s="500"/>
      <c r="NMP26" s="500"/>
      <c r="NMQ26" s="500"/>
      <c r="NMR26" s="500"/>
      <c r="NMS26" s="500"/>
      <c r="NMT26" s="500"/>
      <c r="NMU26" s="500"/>
      <c r="NMV26" s="500"/>
      <c r="NMW26" s="500"/>
      <c r="NMX26" s="500"/>
      <c r="NMY26" s="500"/>
      <c r="NMZ26" s="500"/>
      <c r="NNA26" s="500"/>
      <c r="NNB26" s="500"/>
      <c r="NNC26" s="500"/>
      <c r="NND26" s="500"/>
      <c r="NNE26" s="500"/>
      <c r="NNF26" s="500"/>
      <c r="NNG26" s="500"/>
      <c r="NNH26" s="500"/>
      <c r="NNI26" s="500"/>
      <c r="NNJ26" s="500"/>
      <c r="NNK26" s="500"/>
      <c r="NNL26" s="500"/>
      <c r="NNM26" s="500"/>
      <c r="NNN26" s="500"/>
      <c r="NNO26" s="500"/>
      <c r="NNP26" s="500"/>
      <c r="NNQ26" s="500"/>
      <c r="NNR26" s="500"/>
      <c r="NNS26" s="500"/>
      <c r="NNT26" s="500"/>
      <c r="NNU26" s="500"/>
      <c r="NNV26" s="500"/>
      <c r="NNW26" s="500"/>
      <c r="NNX26" s="500"/>
      <c r="NNY26" s="500"/>
      <c r="NNZ26" s="500"/>
      <c r="NOA26" s="500"/>
      <c r="NOB26" s="500"/>
      <c r="NOC26" s="500"/>
      <c r="NOD26" s="500"/>
      <c r="NOE26" s="500"/>
      <c r="NOF26" s="500"/>
      <c r="NOG26" s="500"/>
      <c r="NOH26" s="500"/>
      <c r="NOI26" s="500"/>
      <c r="NOJ26" s="500"/>
      <c r="NOK26" s="500"/>
      <c r="NOL26" s="500"/>
      <c r="NOM26" s="500"/>
      <c r="NON26" s="500"/>
      <c r="NOO26" s="500"/>
      <c r="NOP26" s="500"/>
      <c r="NOQ26" s="500"/>
      <c r="NOR26" s="500"/>
      <c r="NOS26" s="500"/>
      <c r="NOT26" s="500"/>
      <c r="NOU26" s="500"/>
      <c r="NOV26" s="500"/>
      <c r="NOW26" s="500"/>
      <c r="NOX26" s="500"/>
      <c r="NOY26" s="500"/>
      <c r="NOZ26" s="500"/>
      <c r="NPA26" s="500"/>
      <c r="NPB26" s="500"/>
      <c r="NPC26" s="500"/>
      <c r="NPD26" s="500"/>
      <c r="NPE26" s="500"/>
      <c r="NPF26" s="500"/>
      <c r="NPG26" s="500"/>
      <c r="NPH26" s="500"/>
      <c r="NPI26" s="500"/>
      <c r="NPJ26" s="500"/>
      <c r="NPK26" s="500"/>
      <c r="NPL26" s="500"/>
      <c r="NPM26" s="500"/>
      <c r="NPN26" s="500"/>
      <c r="NPO26" s="500"/>
      <c r="NPP26" s="500"/>
      <c r="NPQ26" s="500"/>
      <c r="NPR26" s="500"/>
      <c r="NPS26" s="500"/>
      <c r="NPT26" s="500"/>
      <c r="NPU26" s="500"/>
      <c r="NPV26" s="500"/>
      <c r="NPW26" s="500"/>
      <c r="NPX26" s="500"/>
      <c r="NPY26" s="500"/>
      <c r="NPZ26" s="500"/>
      <c r="NQA26" s="500"/>
      <c r="NQB26" s="500"/>
      <c r="NQC26" s="500"/>
      <c r="NQD26" s="500"/>
      <c r="NQE26" s="500"/>
      <c r="NQF26" s="500"/>
      <c r="NQG26" s="500"/>
      <c r="NQH26" s="500"/>
      <c r="NQI26" s="500"/>
      <c r="NQJ26" s="500"/>
      <c r="NQK26" s="500"/>
      <c r="NQL26" s="500"/>
      <c r="NQM26" s="500"/>
      <c r="NQN26" s="500"/>
      <c r="NQO26" s="500"/>
      <c r="NQP26" s="500"/>
      <c r="NQQ26" s="500"/>
      <c r="NQR26" s="500"/>
      <c r="NQS26" s="500"/>
      <c r="NQT26" s="500"/>
      <c r="NQU26" s="500"/>
      <c r="NQV26" s="500"/>
      <c r="NQW26" s="500"/>
      <c r="NQX26" s="500"/>
      <c r="NQY26" s="500"/>
      <c r="NQZ26" s="500"/>
      <c r="NRA26" s="500"/>
      <c r="NRB26" s="500"/>
      <c r="NRC26" s="500"/>
      <c r="NRD26" s="500"/>
      <c r="NRE26" s="500"/>
      <c r="NRF26" s="500"/>
      <c r="NRG26" s="500"/>
      <c r="NRH26" s="500"/>
      <c r="NRI26" s="500"/>
      <c r="NRJ26" s="500"/>
      <c r="NRK26" s="500"/>
      <c r="NRL26" s="500"/>
      <c r="NRM26" s="500"/>
      <c r="NRN26" s="500"/>
      <c r="NRO26" s="500"/>
      <c r="NRP26" s="500"/>
      <c r="NRQ26" s="500"/>
      <c r="NRR26" s="500"/>
      <c r="NRS26" s="500"/>
      <c r="NRT26" s="500"/>
      <c r="NRU26" s="500"/>
      <c r="NRV26" s="500"/>
      <c r="NRW26" s="500"/>
      <c r="NRX26" s="500"/>
      <c r="NRY26" s="500"/>
      <c r="NRZ26" s="500"/>
      <c r="NSA26" s="500"/>
      <c r="NSB26" s="500"/>
      <c r="NSC26" s="500"/>
      <c r="NSD26" s="500"/>
      <c r="NSE26" s="500"/>
      <c r="NSF26" s="500"/>
      <c r="NSG26" s="500"/>
      <c r="NSH26" s="500"/>
      <c r="NSI26" s="500"/>
      <c r="NSJ26" s="500"/>
      <c r="NSK26" s="500"/>
      <c r="NSL26" s="500"/>
      <c r="NSM26" s="500"/>
      <c r="NSN26" s="500"/>
      <c r="NSO26" s="500"/>
      <c r="NSP26" s="500"/>
      <c r="NSQ26" s="500"/>
      <c r="NSR26" s="500"/>
      <c r="NSS26" s="500"/>
      <c r="NST26" s="500"/>
      <c r="NSU26" s="500"/>
      <c r="NSV26" s="500"/>
      <c r="NSW26" s="500"/>
      <c r="NSX26" s="500"/>
      <c r="NSY26" s="500"/>
      <c r="NSZ26" s="500"/>
      <c r="NTA26" s="500"/>
      <c r="NTB26" s="500"/>
      <c r="NTC26" s="500"/>
      <c r="NTD26" s="500"/>
      <c r="NTE26" s="500"/>
      <c r="NTF26" s="500"/>
      <c r="NTG26" s="500"/>
      <c r="NTH26" s="500"/>
      <c r="NTI26" s="500"/>
      <c r="NTJ26" s="500"/>
      <c r="NTK26" s="500"/>
      <c r="NTL26" s="500"/>
      <c r="NTM26" s="500"/>
      <c r="NTN26" s="500"/>
      <c r="NTO26" s="500"/>
      <c r="NTP26" s="500"/>
      <c r="NTQ26" s="500"/>
      <c r="NTR26" s="500"/>
      <c r="NTS26" s="500"/>
      <c r="NTT26" s="500"/>
      <c r="NTU26" s="500"/>
      <c r="NTV26" s="500"/>
      <c r="NTW26" s="500"/>
      <c r="NTX26" s="500"/>
      <c r="NTY26" s="500"/>
      <c r="NTZ26" s="500"/>
      <c r="NUA26" s="500"/>
      <c r="NUB26" s="500"/>
      <c r="NUC26" s="500"/>
      <c r="NUD26" s="500"/>
      <c r="NUE26" s="500"/>
      <c r="NUF26" s="500"/>
      <c r="NUG26" s="500"/>
      <c r="NUH26" s="500"/>
      <c r="NUI26" s="500"/>
      <c r="NUJ26" s="500"/>
      <c r="NUK26" s="500"/>
      <c r="NUL26" s="500"/>
      <c r="NUM26" s="500"/>
      <c r="NUN26" s="500"/>
      <c r="NUO26" s="500"/>
      <c r="NUP26" s="500"/>
      <c r="NUQ26" s="500"/>
      <c r="NUR26" s="500"/>
      <c r="NUS26" s="500"/>
      <c r="NUT26" s="500"/>
      <c r="NUU26" s="500"/>
      <c r="NUV26" s="500"/>
      <c r="NUW26" s="500"/>
      <c r="NUX26" s="500"/>
      <c r="NUY26" s="500"/>
      <c r="NUZ26" s="500"/>
      <c r="NVA26" s="500"/>
      <c r="NVB26" s="500"/>
      <c r="NVC26" s="500"/>
      <c r="NVD26" s="500"/>
      <c r="NVE26" s="500"/>
      <c r="NVF26" s="500"/>
      <c r="NVG26" s="500"/>
      <c r="NVH26" s="500"/>
      <c r="NVI26" s="500"/>
      <c r="NVJ26" s="500"/>
      <c r="NVK26" s="500"/>
      <c r="NVL26" s="500"/>
      <c r="NVM26" s="500"/>
      <c r="NVN26" s="500"/>
      <c r="NVO26" s="500"/>
      <c r="NVP26" s="500"/>
      <c r="NVQ26" s="500"/>
      <c r="NVR26" s="500"/>
      <c r="NVS26" s="500"/>
      <c r="NVT26" s="500"/>
      <c r="NVU26" s="500"/>
      <c r="NVV26" s="500"/>
      <c r="NVW26" s="500"/>
      <c r="NVX26" s="500"/>
      <c r="NVY26" s="500"/>
      <c r="NVZ26" s="500"/>
      <c r="NWA26" s="500"/>
      <c r="NWB26" s="500"/>
      <c r="NWC26" s="500"/>
      <c r="NWD26" s="500"/>
      <c r="NWE26" s="500"/>
      <c r="NWF26" s="500"/>
      <c r="NWG26" s="500"/>
      <c r="NWH26" s="500"/>
      <c r="NWI26" s="500"/>
      <c r="NWJ26" s="500"/>
      <c r="NWK26" s="500"/>
      <c r="NWL26" s="500"/>
      <c r="NWM26" s="500"/>
      <c r="NWN26" s="500"/>
      <c r="NWO26" s="500"/>
      <c r="NWP26" s="500"/>
      <c r="NWQ26" s="500"/>
      <c r="NWR26" s="500"/>
      <c r="NWS26" s="500"/>
      <c r="NWT26" s="500"/>
      <c r="NWU26" s="500"/>
      <c r="NWV26" s="500"/>
      <c r="NWW26" s="500"/>
      <c r="NWX26" s="500"/>
      <c r="NWY26" s="500"/>
      <c r="NWZ26" s="500"/>
      <c r="NXA26" s="500"/>
      <c r="NXB26" s="500"/>
      <c r="NXC26" s="500"/>
      <c r="NXD26" s="500"/>
      <c r="NXE26" s="500"/>
      <c r="NXF26" s="500"/>
      <c r="NXG26" s="500"/>
      <c r="NXH26" s="500"/>
      <c r="NXI26" s="500"/>
      <c r="NXJ26" s="500"/>
      <c r="NXK26" s="500"/>
      <c r="NXL26" s="500"/>
      <c r="NXM26" s="500"/>
      <c r="NXN26" s="500"/>
      <c r="NXO26" s="500"/>
      <c r="NXP26" s="500"/>
      <c r="NXQ26" s="500"/>
      <c r="NXR26" s="500"/>
      <c r="NXS26" s="500"/>
      <c r="NXT26" s="500"/>
      <c r="NXU26" s="500"/>
      <c r="NXV26" s="500"/>
      <c r="NXW26" s="500"/>
      <c r="NXX26" s="500"/>
      <c r="NXY26" s="500"/>
      <c r="NXZ26" s="500"/>
      <c r="NYA26" s="500"/>
      <c r="NYB26" s="500"/>
      <c r="NYC26" s="500"/>
      <c r="NYD26" s="500"/>
      <c r="NYE26" s="500"/>
      <c r="NYF26" s="500"/>
      <c r="NYG26" s="500"/>
      <c r="NYH26" s="500"/>
      <c r="NYI26" s="500"/>
      <c r="NYJ26" s="500"/>
      <c r="NYK26" s="500"/>
      <c r="NYL26" s="500"/>
      <c r="NYM26" s="500"/>
      <c r="NYN26" s="500"/>
      <c r="NYO26" s="500"/>
      <c r="NYP26" s="500"/>
      <c r="NYQ26" s="500"/>
      <c r="NYR26" s="500"/>
      <c r="NYS26" s="500"/>
      <c r="NYT26" s="500"/>
      <c r="NYU26" s="500"/>
      <c r="NYV26" s="500"/>
      <c r="NYW26" s="500"/>
      <c r="NYX26" s="500"/>
      <c r="NYY26" s="500"/>
      <c r="NYZ26" s="500"/>
      <c r="NZA26" s="500"/>
      <c r="NZB26" s="500"/>
      <c r="NZC26" s="500"/>
      <c r="NZD26" s="500"/>
      <c r="NZE26" s="500"/>
      <c r="NZF26" s="500"/>
      <c r="NZG26" s="500"/>
      <c r="NZH26" s="500"/>
      <c r="NZI26" s="500"/>
      <c r="NZJ26" s="500"/>
      <c r="NZK26" s="500"/>
      <c r="NZL26" s="500"/>
      <c r="NZM26" s="500"/>
      <c r="NZN26" s="500"/>
      <c r="NZO26" s="500"/>
      <c r="NZP26" s="500"/>
      <c r="NZQ26" s="500"/>
      <c r="NZR26" s="500"/>
      <c r="NZS26" s="500"/>
      <c r="NZT26" s="500"/>
      <c r="NZU26" s="500"/>
      <c r="NZV26" s="500"/>
      <c r="NZW26" s="500"/>
      <c r="NZX26" s="500"/>
      <c r="NZY26" s="500"/>
      <c r="NZZ26" s="500"/>
      <c r="OAA26" s="500"/>
      <c r="OAB26" s="500"/>
      <c r="OAC26" s="500"/>
      <c r="OAD26" s="500"/>
      <c r="OAE26" s="500"/>
      <c r="OAF26" s="500"/>
      <c r="OAG26" s="500"/>
      <c r="OAH26" s="500"/>
      <c r="OAI26" s="500"/>
      <c r="OAJ26" s="500"/>
      <c r="OAK26" s="500"/>
      <c r="OAL26" s="500"/>
      <c r="OAM26" s="500"/>
      <c r="OAN26" s="500"/>
      <c r="OAO26" s="500"/>
      <c r="OAP26" s="500"/>
      <c r="OAQ26" s="500"/>
      <c r="OAR26" s="500"/>
      <c r="OAS26" s="500"/>
      <c r="OAT26" s="500"/>
      <c r="OAU26" s="500"/>
      <c r="OAV26" s="500"/>
      <c r="OAW26" s="500"/>
      <c r="OAX26" s="500"/>
      <c r="OAY26" s="500"/>
      <c r="OAZ26" s="500"/>
      <c r="OBA26" s="500"/>
      <c r="OBB26" s="500"/>
      <c r="OBC26" s="500"/>
      <c r="OBD26" s="500"/>
      <c r="OBE26" s="500"/>
      <c r="OBF26" s="500"/>
      <c r="OBG26" s="500"/>
      <c r="OBH26" s="500"/>
      <c r="OBI26" s="500"/>
      <c r="OBJ26" s="500"/>
      <c r="OBK26" s="500"/>
      <c r="OBL26" s="500"/>
      <c r="OBM26" s="500"/>
      <c r="OBN26" s="500"/>
      <c r="OBO26" s="500"/>
      <c r="OBP26" s="500"/>
      <c r="OBQ26" s="500"/>
      <c r="OBR26" s="500"/>
      <c r="OBS26" s="500"/>
      <c r="OBT26" s="500"/>
      <c r="OBU26" s="500"/>
      <c r="OBV26" s="500"/>
      <c r="OBW26" s="500"/>
      <c r="OBX26" s="500"/>
      <c r="OBY26" s="500"/>
      <c r="OBZ26" s="500"/>
      <c r="OCA26" s="500"/>
      <c r="OCB26" s="500"/>
      <c r="OCC26" s="500"/>
      <c r="OCD26" s="500"/>
      <c r="OCE26" s="500"/>
      <c r="OCF26" s="500"/>
      <c r="OCG26" s="500"/>
      <c r="OCH26" s="500"/>
      <c r="OCI26" s="500"/>
      <c r="OCJ26" s="500"/>
      <c r="OCK26" s="500"/>
      <c r="OCL26" s="500"/>
      <c r="OCM26" s="500"/>
      <c r="OCN26" s="500"/>
      <c r="OCO26" s="500"/>
      <c r="OCP26" s="500"/>
      <c r="OCQ26" s="500"/>
      <c r="OCR26" s="500"/>
      <c r="OCS26" s="500"/>
      <c r="OCT26" s="500"/>
      <c r="OCU26" s="500"/>
      <c r="OCV26" s="500"/>
      <c r="OCW26" s="500"/>
      <c r="OCX26" s="500"/>
      <c r="OCY26" s="500"/>
      <c r="OCZ26" s="500"/>
      <c r="ODA26" s="500"/>
      <c r="ODB26" s="500"/>
      <c r="ODC26" s="500"/>
      <c r="ODD26" s="500"/>
      <c r="ODE26" s="500"/>
      <c r="ODF26" s="500"/>
      <c r="ODG26" s="500"/>
      <c r="ODH26" s="500"/>
      <c r="ODI26" s="500"/>
      <c r="ODJ26" s="500"/>
      <c r="ODK26" s="500"/>
      <c r="ODL26" s="500"/>
      <c r="ODM26" s="500"/>
      <c r="ODN26" s="500"/>
      <c r="ODO26" s="500"/>
      <c r="ODP26" s="500"/>
      <c r="ODQ26" s="500"/>
      <c r="ODR26" s="500"/>
      <c r="ODS26" s="500"/>
      <c r="ODT26" s="500"/>
      <c r="ODU26" s="500"/>
      <c r="ODV26" s="500"/>
      <c r="ODW26" s="500"/>
      <c r="ODX26" s="500"/>
      <c r="ODY26" s="500"/>
      <c r="ODZ26" s="500"/>
      <c r="OEA26" s="500"/>
      <c r="OEB26" s="500"/>
      <c r="OEC26" s="500"/>
      <c r="OED26" s="500"/>
      <c r="OEE26" s="500"/>
      <c r="OEF26" s="500"/>
      <c r="OEG26" s="500"/>
      <c r="OEH26" s="500"/>
      <c r="OEI26" s="500"/>
      <c r="OEJ26" s="500"/>
      <c r="OEK26" s="500"/>
      <c r="OEL26" s="500"/>
      <c r="OEM26" s="500"/>
      <c r="OEN26" s="500"/>
      <c r="OEO26" s="500"/>
      <c r="OEP26" s="500"/>
      <c r="OEQ26" s="500"/>
      <c r="OER26" s="500"/>
      <c r="OES26" s="500"/>
      <c r="OET26" s="500"/>
      <c r="OEU26" s="500"/>
      <c r="OEV26" s="500"/>
      <c r="OEW26" s="500"/>
      <c r="OEX26" s="500"/>
      <c r="OEY26" s="500"/>
      <c r="OEZ26" s="500"/>
      <c r="OFA26" s="500"/>
      <c r="OFB26" s="500"/>
      <c r="OFC26" s="500"/>
      <c r="OFD26" s="500"/>
      <c r="OFE26" s="500"/>
      <c r="OFF26" s="500"/>
      <c r="OFG26" s="500"/>
      <c r="OFH26" s="500"/>
      <c r="OFI26" s="500"/>
      <c r="OFJ26" s="500"/>
      <c r="OFK26" s="500"/>
      <c r="OFL26" s="500"/>
      <c r="OFM26" s="500"/>
      <c r="OFN26" s="500"/>
      <c r="OFO26" s="500"/>
      <c r="OFP26" s="500"/>
      <c r="OFQ26" s="500"/>
      <c r="OFR26" s="500"/>
      <c r="OFS26" s="500"/>
      <c r="OFT26" s="500"/>
      <c r="OFU26" s="500"/>
      <c r="OFV26" s="500"/>
      <c r="OFW26" s="500"/>
      <c r="OFX26" s="500"/>
      <c r="OFY26" s="500"/>
      <c r="OFZ26" s="500"/>
      <c r="OGA26" s="500"/>
      <c r="OGB26" s="500"/>
      <c r="OGC26" s="500"/>
      <c r="OGD26" s="500"/>
      <c r="OGE26" s="500"/>
      <c r="OGF26" s="500"/>
      <c r="OGG26" s="500"/>
      <c r="OGH26" s="500"/>
      <c r="OGI26" s="500"/>
      <c r="OGJ26" s="500"/>
      <c r="OGK26" s="500"/>
      <c r="OGL26" s="500"/>
      <c r="OGM26" s="500"/>
      <c r="OGN26" s="500"/>
      <c r="OGO26" s="500"/>
      <c r="OGP26" s="500"/>
      <c r="OGQ26" s="500"/>
      <c r="OGR26" s="500"/>
      <c r="OGS26" s="500"/>
      <c r="OGT26" s="500"/>
      <c r="OGU26" s="500"/>
      <c r="OGV26" s="500"/>
      <c r="OGW26" s="500"/>
      <c r="OGX26" s="500"/>
      <c r="OGY26" s="500"/>
      <c r="OGZ26" s="500"/>
      <c r="OHA26" s="500"/>
      <c r="OHB26" s="500"/>
      <c r="OHC26" s="500"/>
      <c r="OHD26" s="500"/>
      <c r="OHE26" s="500"/>
      <c r="OHF26" s="500"/>
      <c r="OHG26" s="500"/>
      <c r="OHH26" s="500"/>
      <c r="OHI26" s="500"/>
      <c r="OHJ26" s="500"/>
      <c r="OHK26" s="500"/>
      <c r="OHL26" s="500"/>
      <c r="OHM26" s="500"/>
      <c r="OHN26" s="500"/>
      <c r="OHO26" s="500"/>
      <c r="OHP26" s="500"/>
      <c r="OHQ26" s="500"/>
      <c r="OHR26" s="500"/>
      <c r="OHS26" s="500"/>
      <c r="OHT26" s="500"/>
      <c r="OHU26" s="500"/>
      <c r="OHV26" s="500"/>
      <c r="OHW26" s="500"/>
      <c r="OHX26" s="500"/>
      <c r="OHY26" s="500"/>
      <c r="OHZ26" s="500"/>
      <c r="OIA26" s="500"/>
      <c r="OIB26" s="500"/>
      <c r="OIC26" s="500"/>
      <c r="OID26" s="500"/>
      <c r="OIE26" s="500"/>
      <c r="OIF26" s="500"/>
      <c r="OIG26" s="500"/>
      <c r="OIH26" s="500"/>
      <c r="OII26" s="500"/>
      <c r="OIJ26" s="500"/>
      <c r="OIK26" s="500"/>
      <c r="OIL26" s="500"/>
      <c r="OIM26" s="500"/>
      <c r="OIN26" s="500"/>
      <c r="OIO26" s="500"/>
      <c r="OIP26" s="500"/>
      <c r="OIQ26" s="500"/>
      <c r="OIR26" s="500"/>
      <c r="OIS26" s="500"/>
      <c r="OIT26" s="500"/>
      <c r="OIU26" s="500"/>
      <c r="OIV26" s="500"/>
      <c r="OIW26" s="500"/>
      <c r="OIX26" s="500"/>
      <c r="OIY26" s="500"/>
      <c r="OIZ26" s="500"/>
      <c r="OJA26" s="500"/>
      <c r="OJB26" s="500"/>
      <c r="OJC26" s="500"/>
      <c r="OJD26" s="500"/>
      <c r="OJE26" s="500"/>
      <c r="OJF26" s="500"/>
      <c r="OJG26" s="500"/>
      <c r="OJH26" s="500"/>
      <c r="OJI26" s="500"/>
      <c r="OJJ26" s="500"/>
      <c r="OJK26" s="500"/>
      <c r="OJL26" s="500"/>
      <c r="OJM26" s="500"/>
      <c r="OJN26" s="500"/>
      <c r="OJO26" s="500"/>
      <c r="OJP26" s="500"/>
      <c r="OJQ26" s="500"/>
      <c r="OJR26" s="500"/>
      <c r="OJS26" s="500"/>
      <c r="OJT26" s="500"/>
      <c r="OJU26" s="500"/>
      <c r="OJV26" s="500"/>
      <c r="OJW26" s="500"/>
      <c r="OJX26" s="500"/>
      <c r="OJY26" s="500"/>
      <c r="OJZ26" s="500"/>
      <c r="OKA26" s="500"/>
      <c r="OKB26" s="500"/>
      <c r="OKC26" s="500"/>
      <c r="OKD26" s="500"/>
      <c r="OKE26" s="500"/>
      <c r="OKF26" s="500"/>
      <c r="OKG26" s="500"/>
      <c r="OKH26" s="500"/>
      <c r="OKI26" s="500"/>
      <c r="OKJ26" s="500"/>
      <c r="OKK26" s="500"/>
      <c r="OKL26" s="500"/>
      <c r="OKM26" s="500"/>
      <c r="OKN26" s="500"/>
      <c r="OKO26" s="500"/>
      <c r="OKP26" s="500"/>
      <c r="OKQ26" s="500"/>
      <c r="OKR26" s="500"/>
      <c r="OKS26" s="500"/>
      <c r="OKT26" s="500"/>
      <c r="OKU26" s="500"/>
      <c r="OKV26" s="500"/>
      <c r="OKW26" s="500"/>
      <c r="OKX26" s="500"/>
      <c r="OKY26" s="500"/>
      <c r="OKZ26" s="500"/>
      <c r="OLA26" s="500"/>
      <c r="OLB26" s="500"/>
      <c r="OLC26" s="500"/>
      <c r="OLD26" s="500"/>
      <c r="OLE26" s="500"/>
      <c r="OLF26" s="500"/>
      <c r="OLG26" s="500"/>
      <c r="OLH26" s="500"/>
      <c r="OLI26" s="500"/>
      <c r="OLJ26" s="500"/>
      <c r="OLK26" s="500"/>
      <c r="OLL26" s="500"/>
      <c r="OLM26" s="500"/>
      <c r="OLN26" s="500"/>
      <c r="OLO26" s="500"/>
      <c r="OLP26" s="500"/>
      <c r="OLQ26" s="500"/>
      <c r="OLR26" s="500"/>
      <c r="OLS26" s="500"/>
      <c r="OLT26" s="500"/>
      <c r="OLU26" s="500"/>
      <c r="OLV26" s="500"/>
      <c r="OLW26" s="500"/>
      <c r="OLX26" s="500"/>
      <c r="OLY26" s="500"/>
      <c r="OLZ26" s="500"/>
      <c r="OMA26" s="500"/>
      <c r="OMB26" s="500"/>
      <c r="OMC26" s="500"/>
      <c r="OMD26" s="500"/>
      <c r="OME26" s="500"/>
      <c r="OMF26" s="500"/>
      <c r="OMG26" s="500"/>
      <c r="OMH26" s="500"/>
      <c r="OMI26" s="500"/>
      <c r="OMJ26" s="500"/>
      <c r="OMK26" s="500"/>
      <c r="OML26" s="500"/>
      <c r="OMM26" s="500"/>
      <c r="OMN26" s="500"/>
      <c r="OMO26" s="500"/>
      <c r="OMP26" s="500"/>
      <c r="OMQ26" s="500"/>
      <c r="OMR26" s="500"/>
      <c r="OMS26" s="500"/>
      <c r="OMT26" s="500"/>
      <c r="OMU26" s="500"/>
      <c r="OMV26" s="500"/>
      <c r="OMW26" s="500"/>
      <c r="OMX26" s="500"/>
      <c r="OMY26" s="500"/>
      <c r="OMZ26" s="500"/>
      <c r="ONA26" s="500"/>
      <c r="ONB26" s="500"/>
      <c r="ONC26" s="500"/>
      <c r="OND26" s="500"/>
      <c r="ONE26" s="500"/>
      <c r="ONF26" s="500"/>
      <c r="ONG26" s="500"/>
      <c r="ONH26" s="500"/>
      <c r="ONI26" s="500"/>
      <c r="ONJ26" s="500"/>
      <c r="ONK26" s="500"/>
      <c r="ONL26" s="500"/>
      <c r="ONM26" s="500"/>
      <c r="ONN26" s="500"/>
      <c r="ONO26" s="500"/>
      <c r="ONP26" s="500"/>
      <c r="ONQ26" s="500"/>
      <c r="ONR26" s="500"/>
      <c r="ONS26" s="500"/>
      <c r="ONT26" s="500"/>
      <c r="ONU26" s="500"/>
      <c r="ONV26" s="500"/>
      <c r="ONW26" s="500"/>
      <c r="ONX26" s="500"/>
      <c r="ONY26" s="500"/>
      <c r="ONZ26" s="500"/>
      <c r="OOA26" s="500"/>
      <c r="OOB26" s="500"/>
      <c r="OOC26" s="500"/>
      <c r="OOD26" s="500"/>
      <c r="OOE26" s="500"/>
      <c r="OOF26" s="500"/>
      <c r="OOG26" s="500"/>
      <c r="OOH26" s="500"/>
      <c r="OOI26" s="500"/>
      <c r="OOJ26" s="500"/>
      <c r="OOK26" s="500"/>
      <c r="OOL26" s="500"/>
      <c r="OOM26" s="500"/>
      <c r="OON26" s="500"/>
      <c r="OOO26" s="500"/>
      <c r="OOP26" s="500"/>
      <c r="OOQ26" s="500"/>
      <c r="OOR26" s="500"/>
      <c r="OOS26" s="500"/>
      <c r="OOT26" s="500"/>
      <c r="OOU26" s="500"/>
      <c r="OOV26" s="500"/>
      <c r="OOW26" s="500"/>
      <c r="OOX26" s="500"/>
      <c r="OOY26" s="500"/>
      <c r="OOZ26" s="500"/>
      <c r="OPA26" s="500"/>
      <c r="OPB26" s="500"/>
      <c r="OPC26" s="500"/>
      <c r="OPD26" s="500"/>
      <c r="OPE26" s="500"/>
      <c r="OPF26" s="500"/>
      <c r="OPG26" s="500"/>
      <c r="OPH26" s="500"/>
      <c r="OPI26" s="500"/>
      <c r="OPJ26" s="500"/>
      <c r="OPK26" s="500"/>
      <c r="OPL26" s="500"/>
      <c r="OPM26" s="500"/>
      <c r="OPN26" s="500"/>
      <c r="OPO26" s="500"/>
      <c r="OPP26" s="500"/>
      <c r="OPQ26" s="500"/>
      <c r="OPR26" s="500"/>
      <c r="OPS26" s="500"/>
      <c r="OPT26" s="500"/>
      <c r="OPU26" s="500"/>
      <c r="OPV26" s="500"/>
      <c r="OPW26" s="500"/>
      <c r="OPX26" s="500"/>
      <c r="OPY26" s="500"/>
      <c r="OPZ26" s="500"/>
      <c r="OQA26" s="500"/>
      <c r="OQB26" s="500"/>
      <c r="OQC26" s="500"/>
      <c r="OQD26" s="500"/>
      <c r="OQE26" s="500"/>
      <c r="OQF26" s="500"/>
      <c r="OQG26" s="500"/>
      <c r="OQH26" s="500"/>
      <c r="OQI26" s="500"/>
      <c r="OQJ26" s="500"/>
      <c r="OQK26" s="500"/>
      <c r="OQL26" s="500"/>
      <c r="OQM26" s="500"/>
      <c r="OQN26" s="500"/>
      <c r="OQO26" s="500"/>
      <c r="OQP26" s="500"/>
      <c r="OQQ26" s="500"/>
      <c r="OQR26" s="500"/>
      <c r="OQS26" s="500"/>
      <c r="OQT26" s="500"/>
      <c r="OQU26" s="500"/>
      <c r="OQV26" s="500"/>
      <c r="OQW26" s="500"/>
      <c r="OQX26" s="500"/>
      <c r="OQY26" s="500"/>
      <c r="OQZ26" s="500"/>
      <c r="ORA26" s="500"/>
      <c r="ORB26" s="500"/>
      <c r="ORC26" s="500"/>
      <c r="ORD26" s="500"/>
      <c r="ORE26" s="500"/>
      <c r="ORF26" s="500"/>
      <c r="ORG26" s="500"/>
      <c r="ORH26" s="500"/>
      <c r="ORI26" s="500"/>
      <c r="ORJ26" s="500"/>
      <c r="ORK26" s="500"/>
      <c r="ORL26" s="500"/>
      <c r="ORM26" s="500"/>
      <c r="ORN26" s="500"/>
      <c r="ORO26" s="500"/>
      <c r="ORP26" s="500"/>
      <c r="ORQ26" s="500"/>
      <c r="ORR26" s="500"/>
      <c r="ORS26" s="500"/>
      <c r="ORT26" s="500"/>
      <c r="ORU26" s="500"/>
      <c r="ORV26" s="500"/>
      <c r="ORW26" s="500"/>
      <c r="ORX26" s="500"/>
      <c r="ORY26" s="500"/>
      <c r="ORZ26" s="500"/>
      <c r="OSA26" s="500"/>
      <c r="OSB26" s="500"/>
      <c r="OSC26" s="500"/>
      <c r="OSD26" s="500"/>
      <c r="OSE26" s="500"/>
      <c r="OSF26" s="500"/>
      <c r="OSG26" s="500"/>
      <c r="OSH26" s="500"/>
      <c r="OSI26" s="500"/>
      <c r="OSJ26" s="500"/>
      <c r="OSK26" s="500"/>
      <c r="OSL26" s="500"/>
      <c r="OSM26" s="500"/>
      <c r="OSN26" s="500"/>
      <c r="OSO26" s="500"/>
      <c r="OSP26" s="500"/>
      <c r="OSQ26" s="500"/>
      <c r="OSR26" s="500"/>
      <c r="OSS26" s="500"/>
      <c r="OST26" s="500"/>
      <c r="OSU26" s="500"/>
      <c r="OSV26" s="500"/>
      <c r="OSW26" s="500"/>
      <c r="OSX26" s="500"/>
      <c r="OSY26" s="500"/>
      <c r="OSZ26" s="500"/>
      <c r="OTA26" s="500"/>
      <c r="OTB26" s="500"/>
      <c r="OTC26" s="500"/>
      <c r="OTD26" s="500"/>
      <c r="OTE26" s="500"/>
      <c r="OTF26" s="500"/>
      <c r="OTG26" s="500"/>
      <c r="OTH26" s="500"/>
      <c r="OTI26" s="500"/>
      <c r="OTJ26" s="500"/>
      <c r="OTK26" s="500"/>
      <c r="OTL26" s="500"/>
      <c r="OTM26" s="500"/>
      <c r="OTN26" s="500"/>
      <c r="OTO26" s="500"/>
      <c r="OTP26" s="500"/>
      <c r="OTQ26" s="500"/>
      <c r="OTR26" s="500"/>
      <c r="OTS26" s="500"/>
      <c r="OTT26" s="500"/>
      <c r="OTU26" s="500"/>
      <c r="OTV26" s="500"/>
      <c r="OTW26" s="500"/>
      <c r="OTX26" s="500"/>
      <c r="OTY26" s="500"/>
      <c r="OTZ26" s="500"/>
      <c r="OUA26" s="500"/>
      <c r="OUB26" s="500"/>
      <c r="OUC26" s="500"/>
      <c r="OUD26" s="500"/>
      <c r="OUE26" s="500"/>
      <c r="OUF26" s="500"/>
      <c r="OUG26" s="500"/>
      <c r="OUH26" s="500"/>
      <c r="OUI26" s="500"/>
      <c r="OUJ26" s="500"/>
      <c r="OUK26" s="500"/>
      <c r="OUL26" s="500"/>
      <c r="OUM26" s="500"/>
      <c r="OUN26" s="500"/>
      <c r="OUO26" s="500"/>
      <c r="OUP26" s="500"/>
      <c r="OUQ26" s="500"/>
      <c r="OUR26" s="500"/>
      <c r="OUS26" s="500"/>
      <c r="OUT26" s="500"/>
      <c r="OUU26" s="500"/>
      <c r="OUV26" s="500"/>
      <c r="OUW26" s="500"/>
      <c r="OUX26" s="500"/>
      <c r="OUY26" s="500"/>
      <c r="OUZ26" s="500"/>
      <c r="OVA26" s="500"/>
      <c r="OVB26" s="500"/>
      <c r="OVC26" s="500"/>
      <c r="OVD26" s="500"/>
      <c r="OVE26" s="500"/>
      <c r="OVF26" s="500"/>
      <c r="OVG26" s="500"/>
      <c r="OVH26" s="500"/>
      <c r="OVI26" s="500"/>
      <c r="OVJ26" s="500"/>
      <c r="OVK26" s="500"/>
      <c r="OVL26" s="500"/>
      <c r="OVM26" s="500"/>
      <c r="OVN26" s="500"/>
      <c r="OVO26" s="500"/>
      <c r="OVP26" s="500"/>
      <c r="OVQ26" s="500"/>
      <c r="OVR26" s="500"/>
      <c r="OVS26" s="500"/>
      <c r="OVT26" s="500"/>
      <c r="OVU26" s="500"/>
      <c r="OVV26" s="500"/>
      <c r="OVW26" s="500"/>
      <c r="OVX26" s="500"/>
      <c r="OVY26" s="500"/>
      <c r="OVZ26" s="500"/>
      <c r="OWA26" s="500"/>
      <c r="OWB26" s="500"/>
      <c r="OWC26" s="500"/>
      <c r="OWD26" s="500"/>
      <c r="OWE26" s="500"/>
      <c r="OWF26" s="500"/>
      <c r="OWG26" s="500"/>
      <c r="OWH26" s="500"/>
      <c r="OWI26" s="500"/>
      <c r="OWJ26" s="500"/>
      <c r="OWK26" s="500"/>
      <c r="OWL26" s="500"/>
      <c r="OWM26" s="500"/>
      <c r="OWN26" s="500"/>
      <c r="OWO26" s="500"/>
      <c r="OWP26" s="500"/>
      <c r="OWQ26" s="500"/>
      <c r="OWR26" s="500"/>
      <c r="OWS26" s="500"/>
      <c r="OWT26" s="500"/>
      <c r="OWU26" s="500"/>
      <c r="OWV26" s="500"/>
      <c r="OWW26" s="500"/>
      <c r="OWX26" s="500"/>
      <c r="OWY26" s="500"/>
      <c r="OWZ26" s="500"/>
      <c r="OXA26" s="500"/>
      <c r="OXB26" s="500"/>
      <c r="OXC26" s="500"/>
      <c r="OXD26" s="500"/>
      <c r="OXE26" s="500"/>
      <c r="OXF26" s="500"/>
      <c r="OXG26" s="500"/>
      <c r="OXH26" s="500"/>
      <c r="OXI26" s="500"/>
      <c r="OXJ26" s="500"/>
      <c r="OXK26" s="500"/>
      <c r="OXL26" s="500"/>
      <c r="OXM26" s="500"/>
      <c r="OXN26" s="500"/>
      <c r="OXO26" s="500"/>
      <c r="OXP26" s="500"/>
      <c r="OXQ26" s="500"/>
      <c r="OXR26" s="500"/>
      <c r="OXS26" s="500"/>
      <c r="OXT26" s="500"/>
      <c r="OXU26" s="500"/>
      <c r="OXV26" s="500"/>
      <c r="OXW26" s="500"/>
      <c r="OXX26" s="500"/>
      <c r="OXY26" s="500"/>
      <c r="OXZ26" s="500"/>
      <c r="OYA26" s="500"/>
      <c r="OYB26" s="500"/>
      <c r="OYC26" s="500"/>
      <c r="OYD26" s="500"/>
      <c r="OYE26" s="500"/>
      <c r="OYF26" s="500"/>
      <c r="OYG26" s="500"/>
      <c r="OYH26" s="500"/>
      <c r="OYI26" s="500"/>
      <c r="OYJ26" s="500"/>
      <c r="OYK26" s="500"/>
      <c r="OYL26" s="500"/>
      <c r="OYM26" s="500"/>
      <c r="OYN26" s="500"/>
      <c r="OYO26" s="500"/>
      <c r="OYP26" s="500"/>
      <c r="OYQ26" s="500"/>
      <c r="OYR26" s="500"/>
      <c r="OYS26" s="500"/>
      <c r="OYT26" s="500"/>
      <c r="OYU26" s="500"/>
      <c r="OYV26" s="500"/>
      <c r="OYW26" s="500"/>
      <c r="OYX26" s="500"/>
      <c r="OYY26" s="500"/>
      <c r="OYZ26" s="500"/>
      <c r="OZA26" s="500"/>
      <c r="OZB26" s="500"/>
      <c r="OZC26" s="500"/>
      <c r="OZD26" s="500"/>
      <c r="OZE26" s="500"/>
      <c r="OZF26" s="500"/>
      <c r="OZG26" s="500"/>
      <c r="OZH26" s="500"/>
      <c r="OZI26" s="500"/>
      <c r="OZJ26" s="500"/>
      <c r="OZK26" s="500"/>
      <c r="OZL26" s="500"/>
      <c r="OZM26" s="500"/>
      <c r="OZN26" s="500"/>
      <c r="OZO26" s="500"/>
      <c r="OZP26" s="500"/>
      <c r="OZQ26" s="500"/>
      <c r="OZR26" s="500"/>
      <c r="OZS26" s="500"/>
      <c r="OZT26" s="500"/>
      <c r="OZU26" s="500"/>
      <c r="OZV26" s="500"/>
      <c r="OZW26" s="500"/>
      <c r="OZX26" s="500"/>
      <c r="OZY26" s="500"/>
      <c r="OZZ26" s="500"/>
      <c r="PAA26" s="500"/>
      <c r="PAB26" s="500"/>
      <c r="PAC26" s="500"/>
      <c r="PAD26" s="500"/>
      <c r="PAE26" s="500"/>
      <c r="PAF26" s="500"/>
      <c r="PAG26" s="500"/>
      <c r="PAH26" s="500"/>
      <c r="PAI26" s="500"/>
      <c r="PAJ26" s="500"/>
      <c r="PAK26" s="500"/>
      <c r="PAL26" s="500"/>
      <c r="PAM26" s="500"/>
      <c r="PAN26" s="500"/>
      <c r="PAO26" s="500"/>
      <c r="PAP26" s="500"/>
      <c r="PAQ26" s="500"/>
      <c r="PAR26" s="500"/>
      <c r="PAS26" s="500"/>
      <c r="PAT26" s="500"/>
      <c r="PAU26" s="500"/>
      <c r="PAV26" s="500"/>
      <c r="PAW26" s="500"/>
      <c r="PAX26" s="500"/>
      <c r="PAY26" s="500"/>
      <c r="PAZ26" s="500"/>
      <c r="PBA26" s="500"/>
      <c r="PBB26" s="500"/>
      <c r="PBC26" s="500"/>
      <c r="PBD26" s="500"/>
      <c r="PBE26" s="500"/>
      <c r="PBF26" s="500"/>
      <c r="PBG26" s="500"/>
      <c r="PBH26" s="500"/>
      <c r="PBI26" s="500"/>
      <c r="PBJ26" s="500"/>
      <c r="PBK26" s="500"/>
      <c r="PBL26" s="500"/>
      <c r="PBM26" s="500"/>
      <c r="PBN26" s="500"/>
      <c r="PBO26" s="500"/>
      <c r="PBP26" s="500"/>
      <c r="PBQ26" s="500"/>
      <c r="PBR26" s="500"/>
      <c r="PBS26" s="500"/>
      <c r="PBT26" s="500"/>
      <c r="PBU26" s="500"/>
      <c r="PBV26" s="500"/>
      <c r="PBW26" s="500"/>
      <c r="PBX26" s="500"/>
      <c r="PBY26" s="500"/>
      <c r="PBZ26" s="500"/>
      <c r="PCA26" s="500"/>
      <c r="PCB26" s="500"/>
      <c r="PCC26" s="500"/>
      <c r="PCD26" s="500"/>
      <c r="PCE26" s="500"/>
      <c r="PCF26" s="500"/>
      <c r="PCG26" s="500"/>
      <c r="PCH26" s="500"/>
      <c r="PCI26" s="500"/>
      <c r="PCJ26" s="500"/>
      <c r="PCK26" s="500"/>
      <c r="PCL26" s="500"/>
      <c r="PCM26" s="500"/>
      <c r="PCN26" s="500"/>
      <c r="PCO26" s="500"/>
      <c r="PCP26" s="500"/>
      <c r="PCQ26" s="500"/>
      <c r="PCR26" s="500"/>
      <c r="PCS26" s="500"/>
      <c r="PCT26" s="500"/>
      <c r="PCU26" s="500"/>
      <c r="PCV26" s="500"/>
      <c r="PCW26" s="500"/>
      <c r="PCX26" s="500"/>
      <c r="PCY26" s="500"/>
      <c r="PCZ26" s="500"/>
      <c r="PDA26" s="500"/>
      <c r="PDB26" s="500"/>
      <c r="PDC26" s="500"/>
      <c r="PDD26" s="500"/>
      <c r="PDE26" s="500"/>
      <c r="PDF26" s="500"/>
      <c r="PDG26" s="500"/>
      <c r="PDH26" s="500"/>
      <c r="PDI26" s="500"/>
      <c r="PDJ26" s="500"/>
      <c r="PDK26" s="500"/>
      <c r="PDL26" s="500"/>
      <c r="PDM26" s="500"/>
      <c r="PDN26" s="500"/>
      <c r="PDO26" s="500"/>
      <c r="PDP26" s="500"/>
      <c r="PDQ26" s="500"/>
      <c r="PDR26" s="500"/>
      <c r="PDS26" s="500"/>
      <c r="PDT26" s="500"/>
      <c r="PDU26" s="500"/>
      <c r="PDV26" s="500"/>
      <c r="PDW26" s="500"/>
      <c r="PDX26" s="500"/>
      <c r="PDY26" s="500"/>
      <c r="PDZ26" s="500"/>
      <c r="PEA26" s="500"/>
      <c r="PEB26" s="500"/>
      <c r="PEC26" s="500"/>
      <c r="PED26" s="500"/>
      <c r="PEE26" s="500"/>
      <c r="PEF26" s="500"/>
      <c r="PEG26" s="500"/>
      <c r="PEH26" s="500"/>
      <c r="PEI26" s="500"/>
      <c r="PEJ26" s="500"/>
      <c r="PEK26" s="500"/>
      <c r="PEL26" s="500"/>
      <c r="PEM26" s="500"/>
      <c r="PEN26" s="500"/>
      <c r="PEO26" s="500"/>
      <c r="PEP26" s="500"/>
      <c r="PEQ26" s="500"/>
      <c r="PER26" s="500"/>
      <c r="PES26" s="500"/>
      <c r="PET26" s="500"/>
      <c r="PEU26" s="500"/>
      <c r="PEV26" s="500"/>
      <c r="PEW26" s="500"/>
      <c r="PEX26" s="500"/>
      <c r="PEY26" s="500"/>
      <c r="PEZ26" s="500"/>
      <c r="PFA26" s="500"/>
      <c r="PFB26" s="500"/>
      <c r="PFC26" s="500"/>
      <c r="PFD26" s="500"/>
      <c r="PFE26" s="500"/>
      <c r="PFF26" s="500"/>
      <c r="PFG26" s="500"/>
      <c r="PFH26" s="500"/>
      <c r="PFI26" s="500"/>
      <c r="PFJ26" s="500"/>
      <c r="PFK26" s="500"/>
      <c r="PFL26" s="500"/>
      <c r="PFM26" s="500"/>
      <c r="PFN26" s="500"/>
      <c r="PFO26" s="500"/>
      <c r="PFP26" s="500"/>
      <c r="PFQ26" s="500"/>
      <c r="PFR26" s="500"/>
      <c r="PFS26" s="500"/>
      <c r="PFT26" s="500"/>
      <c r="PFU26" s="500"/>
      <c r="PFV26" s="500"/>
      <c r="PFW26" s="500"/>
      <c r="PFX26" s="500"/>
      <c r="PFY26" s="500"/>
      <c r="PFZ26" s="500"/>
      <c r="PGA26" s="500"/>
      <c r="PGB26" s="500"/>
      <c r="PGC26" s="500"/>
      <c r="PGD26" s="500"/>
      <c r="PGE26" s="500"/>
      <c r="PGF26" s="500"/>
      <c r="PGG26" s="500"/>
      <c r="PGH26" s="500"/>
      <c r="PGI26" s="500"/>
      <c r="PGJ26" s="500"/>
      <c r="PGK26" s="500"/>
      <c r="PGL26" s="500"/>
      <c r="PGM26" s="500"/>
      <c r="PGN26" s="500"/>
      <c r="PGO26" s="500"/>
      <c r="PGP26" s="500"/>
      <c r="PGQ26" s="500"/>
      <c r="PGR26" s="500"/>
      <c r="PGS26" s="500"/>
      <c r="PGT26" s="500"/>
      <c r="PGU26" s="500"/>
      <c r="PGV26" s="500"/>
      <c r="PGW26" s="500"/>
      <c r="PGX26" s="500"/>
      <c r="PGY26" s="500"/>
      <c r="PGZ26" s="500"/>
      <c r="PHA26" s="500"/>
      <c r="PHB26" s="500"/>
      <c r="PHC26" s="500"/>
      <c r="PHD26" s="500"/>
      <c r="PHE26" s="500"/>
      <c r="PHF26" s="500"/>
      <c r="PHG26" s="500"/>
      <c r="PHH26" s="500"/>
      <c r="PHI26" s="500"/>
      <c r="PHJ26" s="500"/>
      <c r="PHK26" s="500"/>
      <c r="PHL26" s="500"/>
      <c r="PHM26" s="500"/>
      <c r="PHN26" s="500"/>
      <c r="PHO26" s="500"/>
      <c r="PHP26" s="500"/>
      <c r="PHQ26" s="500"/>
      <c r="PHR26" s="500"/>
      <c r="PHS26" s="500"/>
      <c r="PHT26" s="500"/>
      <c r="PHU26" s="500"/>
      <c r="PHV26" s="500"/>
      <c r="PHW26" s="500"/>
      <c r="PHX26" s="500"/>
      <c r="PHY26" s="500"/>
      <c r="PHZ26" s="500"/>
      <c r="PIA26" s="500"/>
      <c r="PIB26" s="500"/>
      <c r="PIC26" s="500"/>
      <c r="PID26" s="500"/>
      <c r="PIE26" s="500"/>
      <c r="PIF26" s="500"/>
      <c r="PIG26" s="500"/>
      <c r="PIH26" s="500"/>
      <c r="PII26" s="500"/>
      <c r="PIJ26" s="500"/>
      <c r="PIK26" s="500"/>
      <c r="PIL26" s="500"/>
      <c r="PIM26" s="500"/>
      <c r="PIN26" s="500"/>
      <c r="PIO26" s="500"/>
      <c r="PIP26" s="500"/>
      <c r="PIQ26" s="500"/>
      <c r="PIR26" s="500"/>
      <c r="PIS26" s="500"/>
      <c r="PIT26" s="500"/>
      <c r="PIU26" s="500"/>
      <c r="PIV26" s="500"/>
      <c r="PIW26" s="500"/>
      <c r="PIX26" s="500"/>
      <c r="PIY26" s="500"/>
      <c r="PIZ26" s="500"/>
      <c r="PJA26" s="500"/>
      <c r="PJB26" s="500"/>
      <c r="PJC26" s="500"/>
      <c r="PJD26" s="500"/>
      <c r="PJE26" s="500"/>
      <c r="PJF26" s="500"/>
      <c r="PJG26" s="500"/>
      <c r="PJH26" s="500"/>
      <c r="PJI26" s="500"/>
      <c r="PJJ26" s="500"/>
      <c r="PJK26" s="500"/>
      <c r="PJL26" s="500"/>
      <c r="PJM26" s="500"/>
      <c r="PJN26" s="500"/>
      <c r="PJO26" s="500"/>
      <c r="PJP26" s="500"/>
      <c r="PJQ26" s="500"/>
      <c r="PJR26" s="500"/>
      <c r="PJS26" s="500"/>
      <c r="PJT26" s="500"/>
      <c r="PJU26" s="500"/>
      <c r="PJV26" s="500"/>
      <c r="PJW26" s="500"/>
      <c r="PJX26" s="500"/>
      <c r="PJY26" s="500"/>
      <c r="PJZ26" s="500"/>
      <c r="PKA26" s="500"/>
      <c r="PKB26" s="500"/>
      <c r="PKC26" s="500"/>
      <c r="PKD26" s="500"/>
      <c r="PKE26" s="500"/>
      <c r="PKF26" s="500"/>
      <c r="PKG26" s="500"/>
      <c r="PKH26" s="500"/>
      <c r="PKI26" s="500"/>
      <c r="PKJ26" s="500"/>
      <c r="PKK26" s="500"/>
      <c r="PKL26" s="500"/>
      <c r="PKM26" s="500"/>
      <c r="PKN26" s="500"/>
      <c r="PKO26" s="500"/>
      <c r="PKP26" s="500"/>
      <c r="PKQ26" s="500"/>
      <c r="PKR26" s="500"/>
      <c r="PKS26" s="500"/>
      <c r="PKT26" s="500"/>
      <c r="PKU26" s="500"/>
      <c r="PKV26" s="500"/>
      <c r="PKW26" s="500"/>
      <c r="PKX26" s="500"/>
      <c r="PKY26" s="500"/>
      <c r="PKZ26" s="500"/>
      <c r="PLA26" s="500"/>
      <c r="PLB26" s="500"/>
      <c r="PLC26" s="500"/>
      <c r="PLD26" s="500"/>
      <c r="PLE26" s="500"/>
      <c r="PLF26" s="500"/>
      <c r="PLG26" s="500"/>
      <c r="PLH26" s="500"/>
      <c r="PLI26" s="500"/>
      <c r="PLJ26" s="500"/>
      <c r="PLK26" s="500"/>
      <c r="PLL26" s="500"/>
      <c r="PLM26" s="500"/>
      <c r="PLN26" s="500"/>
      <c r="PLO26" s="500"/>
      <c r="PLP26" s="500"/>
      <c r="PLQ26" s="500"/>
      <c r="PLR26" s="500"/>
      <c r="PLS26" s="500"/>
      <c r="PLT26" s="500"/>
      <c r="PLU26" s="500"/>
      <c r="PLV26" s="500"/>
      <c r="PLW26" s="500"/>
      <c r="PLX26" s="500"/>
      <c r="PLY26" s="500"/>
      <c r="PLZ26" s="500"/>
      <c r="PMA26" s="500"/>
      <c r="PMB26" s="500"/>
      <c r="PMC26" s="500"/>
      <c r="PMD26" s="500"/>
      <c r="PME26" s="500"/>
      <c r="PMF26" s="500"/>
      <c r="PMG26" s="500"/>
      <c r="PMH26" s="500"/>
      <c r="PMI26" s="500"/>
      <c r="PMJ26" s="500"/>
      <c r="PMK26" s="500"/>
      <c r="PML26" s="500"/>
      <c r="PMM26" s="500"/>
      <c r="PMN26" s="500"/>
      <c r="PMO26" s="500"/>
      <c r="PMP26" s="500"/>
      <c r="PMQ26" s="500"/>
      <c r="PMR26" s="500"/>
      <c r="PMS26" s="500"/>
      <c r="PMT26" s="500"/>
      <c r="PMU26" s="500"/>
      <c r="PMV26" s="500"/>
      <c r="PMW26" s="500"/>
      <c r="PMX26" s="500"/>
      <c r="PMY26" s="500"/>
      <c r="PMZ26" s="500"/>
      <c r="PNA26" s="500"/>
      <c r="PNB26" s="500"/>
      <c r="PNC26" s="500"/>
      <c r="PND26" s="500"/>
      <c r="PNE26" s="500"/>
      <c r="PNF26" s="500"/>
      <c r="PNG26" s="500"/>
      <c r="PNH26" s="500"/>
      <c r="PNI26" s="500"/>
      <c r="PNJ26" s="500"/>
      <c r="PNK26" s="500"/>
      <c r="PNL26" s="500"/>
      <c r="PNM26" s="500"/>
      <c r="PNN26" s="500"/>
      <c r="PNO26" s="500"/>
      <c r="PNP26" s="500"/>
      <c r="PNQ26" s="500"/>
      <c r="PNR26" s="500"/>
      <c r="PNS26" s="500"/>
      <c r="PNT26" s="500"/>
      <c r="PNU26" s="500"/>
      <c r="PNV26" s="500"/>
      <c r="PNW26" s="500"/>
      <c r="PNX26" s="500"/>
      <c r="PNY26" s="500"/>
      <c r="PNZ26" s="500"/>
      <c r="POA26" s="500"/>
      <c r="POB26" s="500"/>
      <c r="POC26" s="500"/>
      <c r="POD26" s="500"/>
      <c r="POE26" s="500"/>
      <c r="POF26" s="500"/>
      <c r="POG26" s="500"/>
      <c r="POH26" s="500"/>
      <c r="POI26" s="500"/>
      <c r="POJ26" s="500"/>
      <c r="POK26" s="500"/>
      <c r="POL26" s="500"/>
      <c r="POM26" s="500"/>
      <c r="PON26" s="500"/>
      <c r="POO26" s="500"/>
      <c r="POP26" s="500"/>
      <c r="POQ26" s="500"/>
      <c r="POR26" s="500"/>
      <c r="POS26" s="500"/>
      <c r="POT26" s="500"/>
      <c r="POU26" s="500"/>
      <c r="POV26" s="500"/>
      <c r="POW26" s="500"/>
      <c r="POX26" s="500"/>
      <c r="POY26" s="500"/>
      <c r="POZ26" s="500"/>
      <c r="PPA26" s="500"/>
      <c r="PPB26" s="500"/>
      <c r="PPC26" s="500"/>
      <c r="PPD26" s="500"/>
      <c r="PPE26" s="500"/>
      <c r="PPF26" s="500"/>
      <c r="PPG26" s="500"/>
      <c r="PPH26" s="500"/>
      <c r="PPI26" s="500"/>
      <c r="PPJ26" s="500"/>
      <c r="PPK26" s="500"/>
      <c r="PPL26" s="500"/>
      <c r="PPM26" s="500"/>
      <c r="PPN26" s="500"/>
      <c r="PPO26" s="500"/>
      <c r="PPP26" s="500"/>
      <c r="PPQ26" s="500"/>
      <c r="PPR26" s="500"/>
      <c r="PPS26" s="500"/>
      <c r="PPT26" s="500"/>
      <c r="PPU26" s="500"/>
      <c r="PPV26" s="500"/>
      <c r="PPW26" s="500"/>
      <c r="PPX26" s="500"/>
      <c r="PPY26" s="500"/>
      <c r="PPZ26" s="500"/>
      <c r="PQA26" s="500"/>
      <c r="PQB26" s="500"/>
      <c r="PQC26" s="500"/>
      <c r="PQD26" s="500"/>
      <c r="PQE26" s="500"/>
      <c r="PQF26" s="500"/>
      <c r="PQG26" s="500"/>
      <c r="PQH26" s="500"/>
      <c r="PQI26" s="500"/>
      <c r="PQJ26" s="500"/>
      <c r="PQK26" s="500"/>
      <c r="PQL26" s="500"/>
      <c r="PQM26" s="500"/>
      <c r="PQN26" s="500"/>
      <c r="PQO26" s="500"/>
      <c r="PQP26" s="500"/>
      <c r="PQQ26" s="500"/>
      <c r="PQR26" s="500"/>
      <c r="PQS26" s="500"/>
      <c r="PQT26" s="500"/>
      <c r="PQU26" s="500"/>
      <c r="PQV26" s="500"/>
      <c r="PQW26" s="500"/>
      <c r="PQX26" s="500"/>
      <c r="PQY26" s="500"/>
      <c r="PQZ26" s="500"/>
      <c r="PRA26" s="500"/>
      <c r="PRB26" s="500"/>
      <c r="PRC26" s="500"/>
      <c r="PRD26" s="500"/>
      <c r="PRE26" s="500"/>
      <c r="PRF26" s="500"/>
      <c r="PRG26" s="500"/>
      <c r="PRH26" s="500"/>
      <c r="PRI26" s="500"/>
      <c r="PRJ26" s="500"/>
      <c r="PRK26" s="500"/>
      <c r="PRL26" s="500"/>
      <c r="PRM26" s="500"/>
      <c r="PRN26" s="500"/>
      <c r="PRO26" s="500"/>
      <c r="PRP26" s="500"/>
      <c r="PRQ26" s="500"/>
      <c r="PRR26" s="500"/>
      <c r="PRS26" s="500"/>
      <c r="PRT26" s="500"/>
      <c r="PRU26" s="500"/>
      <c r="PRV26" s="500"/>
      <c r="PRW26" s="500"/>
      <c r="PRX26" s="500"/>
      <c r="PRY26" s="500"/>
      <c r="PRZ26" s="500"/>
      <c r="PSA26" s="500"/>
      <c r="PSB26" s="500"/>
      <c r="PSC26" s="500"/>
      <c r="PSD26" s="500"/>
      <c r="PSE26" s="500"/>
      <c r="PSF26" s="500"/>
      <c r="PSG26" s="500"/>
      <c r="PSH26" s="500"/>
      <c r="PSI26" s="500"/>
      <c r="PSJ26" s="500"/>
      <c r="PSK26" s="500"/>
      <c r="PSL26" s="500"/>
      <c r="PSM26" s="500"/>
      <c r="PSN26" s="500"/>
      <c r="PSO26" s="500"/>
      <c r="PSP26" s="500"/>
      <c r="PSQ26" s="500"/>
      <c r="PSR26" s="500"/>
      <c r="PSS26" s="500"/>
      <c r="PST26" s="500"/>
      <c r="PSU26" s="500"/>
      <c r="PSV26" s="500"/>
      <c r="PSW26" s="500"/>
      <c r="PSX26" s="500"/>
      <c r="PSY26" s="500"/>
      <c r="PSZ26" s="500"/>
      <c r="PTA26" s="500"/>
      <c r="PTB26" s="500"/>
      <c r="PTC26" s="500"/>
      <c r="PTD26" s="500"/>
      <c r="PTE26" s="500"/>
      <c r="PTF26" s="500"/>
      <c r="PTG26" s="500"/>
      <c r="PTH26" s="500"/>
      <c r="PTI26" s="500"/>
      <c r="PTJ26" s="500"/>
      <c r="PTK26" s="500"/>
      <c r="PTL26" s="500"/>
      <c r="PTM26" s="500"/>
      <c r="PTN26" s="500"/>
      <c r="PTO26" s="500"/>
      <c r="PTP26" s="500"/>
      <c r="PTQ26" s="500"/>
      <c r="PTR26" s="500"/>
      <c r="PTS26" s="500"/>
      <c r="PTT26" s="500"/>
      <c r="PTU26" s="500"/>
      <c r="PTV26" s="500"/>
      <c r="PTW26" s="500"/>
      <c r="PTX26" s="500"/>
      <c r="PTY26" s="500"/>
      <c r="PTZ26" s="500"/>
      <c r="PUA26" s="500"/>
      <c r="PUB26" s="500"/>
      <c r="PUC26" s="500"/>
      <c r="PUD26" s="500"/>
      <c r="PUE26" s="500"/>
      <c r="PUF26" s="500"/>
      <c r="PUG26" s="500"/>
      <c r="PUH26" s="500"/>
      <c r="PUI26" s="500"/>
      <c r="PUJ26" s="500"/>
      <c r="PUK26" s="500"/>
      <c r="PUL26" s="500"/>
      <c r="PUM26" s="500"/>
      <c r="PUN26" s="500"/>
      <c r="PUO26" s="500"/>
      <c r="PUP26" s="500"/>
      <c r="PUQ26" s="500"/>
      <c r="PUR26" s="500"/>
      <c r="PUS26" s="500"/>
      <c r="PUT26" s="500"/>
      <c r="PUU26" s="500"/>
      <c r="PUV26" s="500"/>
      <c r="PUW26" s="500"/>
      <c r="PUX26" s="500"/>
      <c r="PUY26" s="500"/>
      <c r="PUZ26" s="500"/>
      <c r="PVA26" s="500"/>
      <c r="PVB26" s="500"/>
      <c r="PVC26" s="500"/>
      <c r="PVD26" s="500"/>
      <c r="PVE26" s="500"/>
      <c r="PVF26" s="500"/>
      <c r="PVG26" s="500"/>
      <c r="PVH26" s="500"/>
      <c r="PVI26" s="500"/>
      <c r="PVJ26" s="500"/>
      <c r="PVK26" s="500"/>
      <c r="PVL26" s="500"/>
      <c r="PVM26" s="500"/>
      <c r="PVN26" s="500"/>
      <c r="PVO26" s="500"/>
      <c r="PVP26" s="500"/>
      <c r="PVQ26" s="500"/>
      <c r="PVR26" s="500"/>
      <c r="PVS26" s="500"/>
      <c r="PVT26" s="500"/>
      <c r="PVU26" s="500"/>
      <c r="PVV26" s="500"/>
      <c r="PVW26" s="500"/>
      <c r="PVX26" s="500"/>
      <c r="PVY26" s="500"/>
      <c r="PVZ26" s="500"/>
      <c r="PWA26" s="500"/>
      <c r="PWB26" s="500"/>
      <c r="PWC26" s="500"/>
      <c r="PWD26" s="500"/>
      <c r="PWE26" s="500"/>
      <c r="PWF26" s="500"/>
      <c r="PWG26" s="500"/>
      <c r="PWH26" s="500"/>
      <c r="PWI26" s="500"/>
      <c r="PWJ26" s="500"/>
      <c r="PWK26" s="500"/>
      <c r="PWL26" s="500"/>
      <c r="PWM26" s="500"/>
      <c r="PWN26" s="500"/>
      <c r="PWO26" s="500"/>
      <c r="PWP26" s="500"/>
      <c r="PWQ26" s="500"/>
      <c r="PWR26" s="500"/>
      <c r="PWS26" s="500"/>
      <c r="PWT26" s="500"/>
      <c r="PWU26" s="500"/>
      <c r="PWV26" s="500"/>
      <c r="PWW26" s="500"/>
      <c r="PWX26" s="500"/>
      <c r="PWY26" s="500"/>
      <c r="PWZ26" s="500"/>
      <c r="PXA26" s="500"/>
      <c r="PXB26" s="500"/>
      <c r="PXC26" s="500"/>
      <c r="PXD26" s="500"/>
      <c r="PXE26" s="500"/>
      <c r="PXF26" s="500"/>
      <c r="PXG26" s="500"/>
      <c r="PXH26" s="500"/>
      <c r="PXI26" s="500"/>
      <c r="PXJ26" s="500"/>
      <c r="PXK26" s="500"/>
      <c r="PXL26" s="500"/>
      <c r="PXM26" s="500"/>
      <c r="PXN26" s="500"/>
      <c r="PXO26" s="500"/>
      <c r="PXP26" s="500"/>
      <c r="PXQ26" s="500"/>
      <c r="PXR26" s="500"/>
      <c r="PXS26" s="500"/>
      <c r="PXT26" s="500"/>
      <c r="PXU26" s="500"/>
      <c r="PXV26" s="500"/>
      <c r="PXW26" s="500"/>
      <c r="PXX26" s="500"/>
      <c r="PXY26" s="500"/>
      <c r="PXZ26" s="500"/>
      <c r="PYA26" s="500"/>
      <c r="PYB26" s="500"/>
      <c r="PYC26" s="500"/>
      <c r="PYD26" s="500"/>
      <c r="PYE26" s="500"/>
      <c r="PYF26" s="500"/>
      <c r="PYG26" s="500"/>
      <c r="PYH26" s="500"/>
      <c r="PYI26" s="500"/>
      <c r="PYJ26" s="500"/>
      <c r="PYK26" s="500"/>
      <c r="PYL26" s="500"/>
      <c r="PYM26" s="500"/>
      <c r="PYN26" s="500"/>
      <c r="PYO26" s="500"/>
      <c r="PYP26" s="500"/>
      <c r="PYQ26" s="500"/>
      <c r="PYR26" s="500"/>
      <c r="PYS26" s="500"/>
      <c r="PYT26" s="500"/>
      <c r="PYU26" s="500"/>
      <c r="PYV26" s="500"/>
      <c r="PYW26" s="500"/>
      <c r="PYX26" s="500"/>
      <c r="PYY26" s="500"/>
      <c r="PYZ26" s="500"/>
      <c r="PZA26" s="500"/>
      <c r="PZB26" s="500"/>
      <c r="PZC26" s="500"/>
      <c r="PZD26" s="500"/>
      <c r="PZE26" s="500"/>
      <c r="PZF26" s="500"/>
      <c r="PZG26" s="500"/>
      <c r="PZH26" s="500"/>
      <c r="PZI26" s="500"/>
      <c r="PZJ26" s="500"/>
      <c r="PZK26" s="500"/>
      <c r="PZL26" s="500"/>
      <c r="PZM26" s="500"/>
      <c r="PZN26" s="500"/>
      <c r="PZO26" s="500"/>
      <c r="PZP26" s="500"/>
      <c r="PZQ26" s="500"/>
      <c r="PZR26" s="500"/>
      <c r="PZS26" s="500"/>
      <c r="PZT26" s="500"/>
      <c r="PZU26" s="500"/>
      <c r="PZV26" s="500"/>
      <c r="PZW26" s="500"/>
      <c r="PZX26" s="500"/>
      <c r="PZY26" s="500"/>
      <c r="PZZ26" s="500"/>
      <c r="QAA26" s="500"/>
      <c r="QAB26" s="500"/>
      <c r="QAC26" s="500"/>
      <c r="QAD26" s="500"/>
      <c r="QAE26" s="500"/>
      <c r="QAF26" s="500"/>
      <c r="QAG26" s="500"/>
      <c r="QAH26" s="500"/>
      <c r="QAI26" s="500"/>
      <c r="QAJ26" s="500"/>
      <c r="QAK26" s="500"/>
      <c r="QAL26" s="500"/>
      <c r="QAM26" s="500"/>
      <c r="QAN26" s="500"/>
      <c r="QAO26" s="500"/>
      <c r="QAP26" s="500"/>
      <c r="QAQ26" s="500"/>
      <c r="QAR26" s="500"/>
      <c r="QAS26" s="500"/>
      <c r="QAT26" s="500"/>
      <c r="QAU26" s="500"/>
      <c r="QAV26" s="500"/>
      <c r="QAW26" s="500"/>
      <c r="QAX26" s="500"/>
      <c r="QAY26" s="500"/>
      <c r="QAZ26" s="500"/>
      <c r="QBA26" s="500"/>
      <c r="QBB26" s="500"/>
      <c r="QBC26" s="500"/>
      <c r="QBD26" s="500"/>
      <c r="QBE26" s="500"/>
      <c r="QBF26" s="500"/>
      <c r="QBG26" s="500"/>
      <c r="QBH26" s="500"/>
      <c r="QBI26" s="500"/>
      <c r="QBJ26" s="500"/>
      <c r="QBK26" s="500"/>
      <c r="QBL26" s="500"/>
      <c r="QBM26" s="500"/>
      <c r="QBN26" s="500"/>
      <c r="QBO26" s="500"/>
      <c r="QBP26" s="500"/>
      <c r="QBQ26" s="500"/>
      <c r="QBR26" s="500"/>
      <c r="QBS26" s="500"/>
      <c r="QBT26" s="500"/>
      <c r="QBU26" s="500"/>
      <c r="QBV26" s="500"/>
      <c r="QBW26" s="500"/>
      <c r="QBX26" s="500"/>
      <c r="QBY26" s="500"/>
      <c r="QBZ26" s="500"/>
      <c r="QCA26" s="500"/>
      <c r="QCB26" s="500"/>
      <c r="QCC26" s="500"/>
      <c r="QCD26" s="500"/>
      <c r="QCE26" s="500"/>
      <c r="QCF26" s="500"/>
      <c r="QCG26" s="500"/>
      <c r="QCH26" s="500"/>
      <c r="QCI26" s="500"/>
      <c r="QCJ26" s="500"/>
      <c r="QCK26" s="500"/>
      <c r="QCL26" s="500"/>
      <c r="QCM26" s="500"/>
      <c r="QCN26" s="500"/>
      <c r="QCO26" s="500"/>
      <c r="QCP26" s="500"/>
      <c r="QCQ26" s="500"/>
      <c r="QCR26" s="500"/>
      <c r="QCS26" s="500"/>
      <c r="QCT26" s="500"/>
      <c r="QCU26" s="500"/>
      <c r="QCV26" s="500"/>
      <c r="QCW26" s="500"/>
      <c r="QCX26" s="500"/>
      <c r="QCY26" s="500"/>
      <c r="QCZ26" s="500"/>
      <c r="QDA26" s="500"/>
      <c r="QDB26" s="500"/>
      <c r="QDC26" s="500"/>
      <c r="QDD26" s="500"/>
      <c r="QDE26" s="500"/>
      <c r="QDF26" s="500"/>
      <c r="QDG26" s="500"/>
      <c r="QDH26" s="500"/>
      <c r="QDI26" s="500"/>
      <c r="QDJ26" s="500"/>
      <c r="QDK26" s="500"/>
      <c r="QDL26" s="500"/>
      <c r="QDM26" s="500"/>
      <c r="QDN26" s="500"/>
      <c r="QDO26" s="500"/>
      <c r="QDP26" s="500"/>
      <c r="QDQ26" s="500"/>
      <c r="QDR26" s="500"/>
      <c r="QDS26" s="500"/>
      <c r="QDT26" s="500"/>
      <c r="QDU26" s="500"/>
      <c r="QDV26" s="500"/>
      <c r="QDW26" s="500"/>
      <c r="QDX26" s="500"/>
      <c r="QDY26" s="500"/>
      <c r="QDZ26" s="500"/>
      <c r="QEA26" s="500"/>
      <c r="QEB26" s="500"/>
      <c r="QEC26" s="500"/>
      <c r="QED26" s="500"/>
      <c r="QEE26" s="500"/>
      <c r="QEF26" s="500"/>
      <c r="QEG26" s="500"/>
      <c r="QEH26" s="500"/>
      <c r="QEI26" s="500"/>
      <c r="QEJ26" s="500"/>
      <c r="QEK26" s="500"/>
      <c r="QEL26" s="500"/>
      <c r="QEM26" s="500"/>
      <c r="QEN26" s="500"/>
      <c r="QEO26" s="500"/>
      <c r="QEP26" s="500"/>
      <c r="QEQ26" s="500"/>
      <c r="QER26" s="500"/>
      <c r="QES26" s="500"/>
      <c r="QET26" s="500"/>
      <c r="QEU26" s="500"/>
      <c r="QEV26" s="500"/>
      <c r="QEW26" s="500"/>
      <c r="QEX26" s="500"/>
      <c r="QEY26" s="500"/>
      <c r="QEZ26" s="500"/>
      <c r="QFA26" s="500"/>
      <c r="QFB26" s="500"/>
      <c r="QFC26" s="500"/>
      <c r="QFD26" s="500"/>
      <c r="QFE26" s="500"/>
      <c r="QFF26" s="500"/>
      <c r="QFG26" s="500"/>
      <c r="QFH26" s="500"/>
      <c r="QFI26" s="500"/>
      <c r="QFJ26" s="500"/>
      <c r="QFK26" s="500"/>
      <c r="QFL26" s="500"/>
      <c r="QFM26" s="500"/>
      <c r="QFN26" s="500"/>
      <c r="QFO26" s="500"/>
      <c r="QFP26" s="500"/>
      <c r="QFQ26" s="500"/>
      <c r="QFR26" s="500"/>
      <c r="QFS26" s="500"/>
      <c r="QFT26" s="500"/>
      <c r="QFU26" s="500"/>
      <c r="QFV26" s="500"/>
      <c r="QFW26" s="500"/>
      <c r="QFX26" s="500"/>
      <c r="QFY26" s="500"/>
      <c r="QFZ26" s="500"/>
      <c r="QGA26" s="500"/>
      <c r="QGB26" s="500"/>
      <c r="QGC26" s="500"/>
      <c r="QGD26" s="500"/>
      <c r="QGE26" s="500"/>
      <c r="QGF26" s="500"/>
      <c r="QGG26" s="500"/>
      <c r="QGH26" s="500"/>
      <c r="QGI26" s="500"/>
      <c r="QGJ26" s="500"/>
      <c r="QGK26" s="500"/>
      <c r="QGL26" s="500"/>
      <c r="QGM26" s="500"/>
      <c r="QGN26" s="500"/>
      <c r="QGO26" s="500"/>
      <c r="QGP26" s="500"/>
      <c r="QGQ26" s="500"/>
      <c r="QGR26" s="500"/>
      <c r="QGS26" s="500"/>
      <c r="QGT26" s="500"/>
      <c r="QGU26" s="500"/>
      <c r="QGV26" s="500"/>
      <c r="QGW26" s="500"/>
      <c r="QGX26" s="500"/>
      <c r="QGY26" s="500"/>
      <c r="QGZ26" s="500"/>
      <c r="QHA26" s="500"/>
      <c r="QHB26" s="500"/>
      <c r="QHC26" s="500"/>
      <c r="QHD26" s="500"/>
      <c r="QHE26" s="500"/>
      <c r="QHF26" s="500"/>
      <c r="QHG26" s="500"/>
      <c r="QHH26" s="500"/>
      <c r="QHI26" s="500"/>
      <c r="QHJ26" s="500"/>
      <c r="QHK26" s="500"/>
      <c r="QHL26" s="500"/>
      <c r="QHM26" s="500"/>
      <c r="QHN26" s="500"/>
      <c r="QHO26" s="500"/>
      <c r="QHP26" s="500"/>
      <c r="QHQ26" s="500"/>
      <c r="QHR26" s="500"/>
      <c r="QHS26" s="500"/>
      <c r="QHT26" s="500"/>
      <c r="QHU26" s="500"/>
      <c r="QHV26" s="500"/>
      <c r="QHW26" s="500"/>
      <c r="QHX26" s="500"/>
      <c r="QHY26" s="500"/>
      <c r="QHZ26" s="500"/>
      <c r="QIA26" s="500"/>
      <c r="QIB26" s="500"/>
      <c r="QIC26" s="500"/>
      <c r="QID26" s="500"/>
      <c r="QIE26" s="500"/>
      <c r="QIF26" s="500"/>
      <c r="QIG26" s="500"/>
      <c r="QIH26" s="500"/>
      <c r="QII26" s="500"/>
      <c r="QIJ26" s="500"/>
      <c r="QIK26" s="500"/>
      <c r="QIL26" s="500"/>
      <c r="QIM26" s="500"/>
      <c r="QIN26" s="500"/>
      <c r="QIO26" s="500"/>
      <c r="QIP26" s="500"/>
      <c r="QIQ26" s="500"/>
      <c r="QIR26" s="500"/>
      <c r="QIS26" s="500"/>
      <c r="QIT26" s="500"/>
      <c r="QIU26" s="500"/>
      <c r="QIV26" s="500"/>
      <c r="QIW26" s="500"/>
      <c r="QIX26" s="500"/>
      <c r="QIY26" s="500"/>
      <c r="QIZ26" s="500"/>
      <c r="QJA26" s="500"/>
      <c r="QJB26" s="500"/>
      <c r="QJC26" s="500"/>
      <c r="QJD26" s="500"/>
      <c r="QJE26" s="500"/>
      <c r="QJF26" s="500"/>
      <c r="QJG26" s="500"/>
      <c r="QJH26" s="500"/>
      <c r="QJI26" s="500"/>
      <c r="QJJ26" s="500"/>
      <c r="QJK26" s="500"/>
      <c r="QJL26" s="500"/>
      <c r="QJM26" s="500"/>
      <c r="QJN26" s="500"/>
      <c r="QJO26" s="500"/>
      <c r="QJP26" s="500"/>
      <c r="QJQ26" s="500"/>
      <c r="QJR26" s="500"/>
      <c r="QJS26" s="500"/>
      <c r="QJT26" s="500"/>
      <c r="QJU26" s="500"/>
      <c r="QJV26" s="500"/>
      <c r="QJW26" s="500"/>
      <c r="QJX26" s="500"/>
      <c r="QJY26" s="500"/>
      <c r="QJZ26" s="500"/>
      <c r="QKA26" s="500"/>
      <c r="QKB26" s="500"/>
      <c r="QKC26" s="500"/>
      <c r="QKD26" s="500"/>
      <c r="QKE26" s="500"/>
      <c r="QKF26" s="500"/>
      <c r="QKG26" s="500"/>
      <c r="QKH26" s="500"/>
      <c r="QKI26" s="500"/>
      <c r="QKJ26" s="500"/>
      <c r="QKK26" s="500"/>
      <c r="QKL26" s="500"/>
      <c r="QKM26" s="500"/>
      <c r="QKN26" s="500"/>
      <c r="QKO26" s="500"/>
      <c r="QKP26" s="500"/>
      <c r="QKQ26" s="500"/>
      <c r="QKR26" s="500"/>
      <c r="QKS26" s="500"/>
      <c r="QKT26" s="500"/>
      <c r="QKU26" s="500"/>
      <c r="QKV26" s="500"/>
      <c r="QKW26" s="500"/>
      <c r="QKX26" s="500"/>
      <c r="QKY26" s="500"/>
      <c r="QKZ26" s="500"/>
      <c r="QLA26" s="500"/>
      <c r="QLB26" s="500"/>
      <c r="QLC26" s="500"/>
      <c r="QLD26" s="500"/>
      <c r="QLE26" s="500"/>
      <c r="QLF26" s="500"/>
      <c r="QLG26" s="500"/>
      <c r="QLH26" s="500"/>
      <c r="QLI26" s="500"/>
      <c r="QLJ26" s="500"/>
      <c r="QLK26" s="500"/>
      <c r="QLL26" s="500"/>
      <c r="QLM26" s="500"/>
      <c r="QLN26" s="500"/>
      <c r="QLO26" s="500"/>
      <c r="QLP26" s="500"/>
      <c r="QLQ26" s="500"/>
      <c r="QLR26" s="500"/>
      <c r="QLS26" s="500"/>
      <c r="QLT26" s="500"/>
      <c r="QLU26" s="500"/>
      <c r="QLV26" s="500"/>
      <c r="QLW26" s="500"/>
      <c r="QLX26" s="500"/>
      <c r="QLY26" s="500"/>
      <c r="QLZ26" s="500"/>
      <c r="QMA26" s="500"/>
      <c r="QMB26" s="500"/>
      <c r="QMC26" s="500"/>
      <c r="QMD26" s="500"/>
      <c r="QME26" s="500"/>
      <c r="QMF26" s="500"/>
      <c r="QMG26" s="500"/>
      <c r="QMH26" s="500"/>
      <c r="QMI26" s="500"/>
      <c r="QMJ26" s="500"/>
      <c r="QMK26" s="500"/>
      <c r="QML26" s="500"/>
      <c r="QMM26" s="500"/>
      <c r="QMN26" s="500"/>
      <c r="QMO26" s="500"/>
      <c r="QMP26" s="500"/>
      <c r="QMQ26" s="500"/>
      <c r="QMR26" s="500"/>
      <c r="QMS26" s="500"/>
      <c r="QMT26" s="500"/>
      <c r="QMU26" s="500"/>
      <c r="QMV26" s="500"/>
      <c r="QMW26" s="500"/>
      <c r="QMX26" s="500"/>
      <c r="QMY26" s="500"/>
      <c r="QMZ26" s="500"/>
      <c r="QNA26" s="500"/>
      <c r="QNB26" s="500"/>
      <c r="QNC26" s="500"/>
      <c r="QND26" s="500"/>
      <c r="QNE26" s="500"/>
      <c r="QNF26" s="500"/>
      <c r="QNG26" s="500"/>
      <c r="QNH26" s="500"/>
      <c r="QNI26" s="500"/>
      <c r="QNJ26" s="500"/>
      <c r="QNK26" s="500"/>
      <c r="QNL26" s="500"/>
      <c r="QNM26" s="500"/>
      <c r="QNN26" s="500"/>
      <c r="QNO26" s="500"/>
      <c r="QNP26" s="500"/>
      <c r="QNQ26" s="500"/>
      <c r="QNR26" s="500"/>
      <c r="QNS26" s="500"/>
      <c r="QNT26" s="500"/>
      <c r="QNU26" s="500"/>
      <c r="QNV26" s="500"/>
      <c r="QNW26" s="500"/>
      <c r="QNX26" s="500"/>
      <c r="QNY26" s="500"/>
      <c r="QNZ26" s="500"/>
      <c r="QOA26" s="500"/>
      <c r="QOB26" s="500"/>
      <c r="QOC26" s="500"/>
      <c r="QOD26" s="500"/>
      <c r="QOE26" s="500"/>
      <c r="QOF26" s="500"/>
      <c r="QOG26" s="500"/>
      <c r="QOH26" s="500"/>
      <c r="QOI26" s="500"/>
      <c r="QOJ26" s="500"/>
      <c r="QOK26" s="500"/>
      <c r="QOL26" s="500"/>
      <c r="QOM26" s="500"/>
      <c r="QON26" s="500"/>
      <c r="QOO26" s="500"/>
      <c r="QOP26" s="500"/>
      <c r="QOQ26" s="500"/>
      <c r="QOR26" s="500"/>
      <c r="QOS26" s="500"/>
      <c r="QOT26" s="500"/>
      <c r="QOU26" s="500"/>
      <c r="QOV26" s="500"/>
      <c r="QOW26" s="500"/>
      <c r="QOX26" s="500"/>
      <c r="QOY26" s="500"/>
      <c r="QOZ26" s="500"/>
      <c r="QPA26" s="500"/>
      <c r="QPB26" s="500"/>
      <c r="QPC26" s="500"/>
      <c r="QPD26" s="500"/>
      <c r="QPE26" s="500"/>
      <c r="QPF26" s="500"/>
      <c r="QPG26" s="500"/>
      <c r="QPH26" s="500"/>
      <c r="QPI26" s="500"/>
      <c r="QPJ26" s="500"/>
      <c r="QPK26" s="500"/>
      <c r="QPL26" s="500"/>
      <c r="QPM26" s="500"/>
      <c r="QPN26" s="500"/>
      <c r="QPO26" s="500"/>
      <c r="QPP26" s="500"/>
      <c r="QPQ26" s="500"/>
      <c r="QPR26" s="500"/>
      <c r="QPS26" s="500"/>
      <c r="QPT26" s="500"/>
      <c r="QPU26" s="500"/>
      <c r="QPV26" s="500"/>
      <c r="QPW26" s="500"/>
      <c r="QPX26" s="500"/>
      <c r="QPY26" s="500"/>
      <c r="QPZ26" s="500"/>
      <c r="QQA26" s="500"/>
      <c r="QQB26" s="500"/>
      <c r="QQC26" s="500"/>
      <c r="QQD26" s="500"/>
      <c r="QQE26" s="500"/>
      <c r="QQF26" s="500"/>
      <c r="QQG26" s="500"/>
      <c r="QQH26" s="500"/>
      <c r="QQI26" s="500"/>
      <c r="QQJ26" s="500"/>
      <c r="QQK26" s="500"/>
      <c r="QQL26" s="500"/>
      <c r="QQM26" s="500"/>
      <c r="QQN26" s="500"/>
      <c r="QQO26" s="500"/>
      <c r="QQP26" s="500"/>
      <c r="QQQ26" s="500"/>
      <c r="QQR26" s="500"/>
      <c r="QQS26" s="500"/>
      <c r="QQT26" s="500"/>
      <c r="QQU26" s="500"/>
      <c r="QQV26" s="500"/>
      <c r="QQW26" s="500"/>
      <c r="QQX26" s="500"/>
      <c r="QQY26" s="500"/>
      <c r="QQZ26" s="500"/>
      <c r="QRA26" s="500"/>
      <c r="QRB26" s="500"/>
      <c r="QRC26" s="500"/>
      <c r="QRD26" s="500"/>
      <c r="QRE26" s="500"/>
      <c r="QRF26" s="500"/>
      <c r="QRG26" s="500"/>
      <c r="QRH26" s="500"/>
      <c r="QRI26" s="500"/>
      <c r="QRJ26" s="500"/>
      <c r="QRK26" s="500"/>
      <c r="QRL26" s="500"/>
      <c r="QRM26" s="500"/>
      <c r="QRN26" s="500"/>
      <c r="QRO26" s="500"/>
      <c r="QRP26" s="500"/>
      <c r="QRQ26" s="500"/>
      <c r="QRR26" s="500"/>
      <c r="QRS26" s="500"/>
      <c r="QRT26" s="500"/>
      <c r="QRU26" s="500"/>
      <c r="QRV26" s="500"/>
      <c r="QRW26" s="500"/>
      <c r="QRX26" s="500"/>
      <c r="QRY26" s="500"/>
      <c r="QRZ26" s="500"/>
      <c r="QSA26" s="500"/>
      <c r="QSB26" s="500"/>
      <c r="QSC26" s="500"/>
      <c r="QSD26" s="500"/>
      <c r="QSE26" s="500"/>
      <c r="QSF26" s="500"/>
      <c r="QSG26" s="500"/>
      <c r="QSH26" s="500"/>
      <c r="QSI26" s="500"/>
      <c r="QSJ26" s="500"/>
      <c r="QSK26" s="500"/>
      <c r="QSL26" s="500"/>
      <c r="QSM26" s="500"/>
      <c r="QSN26" s="500"/>
      <c r="QSO26" s="500"/>
      <c r="QSP26" s="500"/>
      <c r="QSQ26" s="500"/>
      <c r="QSR26" s="500"/>
      <c r="QSS26" s="500"/>
      <c r="QST26" s="500"/>
      <c r="QSU26" s="500"/>
      <c r="QSV26" s="500"/>
      <c r="QSW26" s="500"/>
      <c r="QSX26" s="500"/>
      <c r="QSY26" s="500"/>
      <c r="QSZ26" s="500"/>
      <c r="QTA26" s="500"/>
      <c r="QTB26" s="500"/>
      <c r="QTC26" s="500"/>
      <c r="QTD26" s="500"/>
      <c r="QTE26" s="500"/>
      <c r="QTF26" s="500"/>
      <c r="QTG26" s="500"/>
      <c r="QTH26" s="500"/>
      <c r="QTI26" s="500"/>
      <c r="QTJ26" s="500"/>
      <c r="QTK26" s="500"/>
      <c r="QTL26" s="500"/>
      <c r="QTM26" s="500"/>
      <c r="QTN26" s="500"/>
      <c r="QTO26" s="500"/>
      <c r="QTP26" s="500"/>
      <c r="QTQ26" s="500"/>
      <c r="QTR26" s="500"/>
      <c r="QTS26" s="500"/>
      <c r="QTT26" s="500"/>
      <c r="QTU26" s="500"/>
      <c r="QTV26" s="500"/>
      <c r="QTW26" s="500"/>
      <c r="QTX26" s="500"/>
      <c r="QTY26" s="500"/>
      <c r="QTZ26" s="500"/>
      <c r="QUA26" s="500"/>
      <c r="QUB26" s="500"/>
      <c r="QUC26" s="500"/>
      <c r="QUD26" s="500"/>
      <c r="QUE26" s="500"/>
      <c r="QUF26" s="500"/>
      <c r="QUG26" s="500"/>
      <c r="QUH26" s="500"/>
      <c r="QUI26" s="500"/>
      <c r="QUJ26" s="500"/>
      <c r="QUK26" s="500"/>
      <c r="QUL26" s="500"/>
      <c r="QUM26" s="500"/>
      <c r="QUN26" s="500"/>
      <c r="QUO26" s="500"/>
      <c r="QUP26" s="500"/>
      <c r="QUQ26" s="500"/>
      <c r="QUR26" s="500"/>
      <c r="QUS26" s="500"/>
      <c r="QUT26" s="500"/>
      <c r="QUU26" s="500"/>
      <c r="QUV26" s="500"/>
      <c r="QUW26" s="500"/>
      <c r="QUX26" s="500"/>
      <c r="QUY26" s="500"/>
      <c r="QUZ26" s="500"/>
      <c r="QVA26" s="500"/>
      <c r="QVB26" s="500"/>
      <c r="QVC26" s="500"/>
      <c r="QVD26" s="500"/>
      <c r="QVE26" s="500"/>
      <c r="QVF26" s="500"/>
      <c r="QVG26" s="500"/>
      <c r="QVH26" s="500"/>
      <c r="QVI26" s="500"/>
      <c r="QVJ26" s="500"/>
      <c r="QVK26" s="500"/>
      <c r="QVL26" s="500"/>
      <c r="QVM26" s="500"/>
      <c r="QVN26" s="500"/>
      <c r="QVO26" s="500"/>
      <c r="QVP26" s="500"/>
      <c r="QVQ26" s="500"/>
      <c r="QVR26" s="500"/>
      <c r="QVS26" s="500"/>
      <c r="QVT26" s="500"/>
      <c r="QVU26" s="500"/>
      <c r="QVV26" s="500"/>
      <c r="QVW26" s="500"/>
      <c r="QVX26" s="500"/>
      <c r="QVY26" s="500"/>
      <c r="QVZ26" s="500"/>
      <c r="QWA26" s="500"/>
      <c r="QWB26" s="500"/>
      <c r="QWC26" s="500"/>
      <c r="QWD26" s="500"/>
      <c r="QWE26" s="500"/>
      <c r="QWF26" s="500"/>
      <c r="QWG26" s="500"/>
      <c r="QWH26" s="500"/>
      <c r="QWI26" s="500"/>
      <c r="QWJ26" s="500"/>
      <c r="QWK26" s="500"/>
      <c r="QWL26" s="500"/>
      <c r="QWM26" s="500"/>
      <c r="QWN26" s="500"/>
      <c r="QWO26" s="500"/>
      <c r="QWP26" s="500"/>
      <c r="QWQ26" s="500"/>
      <c r="QWR26" s="500"/>
      <c r="QWS26" s="500"/>
      <c r="QWT26" s="500"/>
      <c r="QWU26" s="500"/>
      <c r="QWV26" s="500"/>
      <c r="QWW26" s="500"/>
      <c r="QWX26" s="500"/>
      <c r="QWY26" s="500"/>
      <c r="QWZ26" s="500"/>
      <c r="QXA26" s="500"/>
      <c r="QXB26" s="500"/>
      <c r="QXC26" s="500"/>
      <c r="QXD26" s="500"/>
      <c r="QXE26" s="500"/>
      <c r="QXF26" s="500"/>
      <c r="QXG26" s="500"/>
      <c r="QXH26" s="500"/>
      <c r="QXI26" s="500"/>
      <c r="QXJ26" s="500"/>
      <c r="QXK26" s="500"/>
      <c r="QXL26" s="500"/>
      <c r="QXM26" s="500"/>
      <c r="QXN26" s="500"/>
      <c r="QXO26" s="500"/>
      <c r="QXP26" s="500"/>
      <c r="QXQ26" s="500"/>
      <c r="QXR26" s="500"/>
      <c r="QXS26" s="500"/>
      <c r="QXT26" s="500"/>
      <c r="QXU26" s="500"/>
      <c r="QXV26" s="500"/>
      <c r="QXW26" s="500"/>
      <c r="QXX26" s="500"/>
      <c r="QXY26" s="500"/>
      <c r="QXZ26" s="500"/>
      <c r="QYA26" s="500"/>
      <c r="QYB26" s="500"/>
      <c r="QYC26" s="500"/>
      <c r="QYD26" s="500"/>
      <c r="QYE26" s="500"/>
      <c r="QYF26" s="500"/>
      <c r="QYG26" s="500"/>
      <c r="QYH26" s="500"/>
      <c r="QYI26" s="500"/>
      <c r="QYJ26" s="500"/>
      <c r="QYK26" s="500"/>
      <c r="QYL26" s="500"/>
      <c r="QYM26" s="500"/>
      <c r="QYN26" s="500"/>
      <c r="QYO26" s="500"/>
      <c r="QYP26" s="500"/>
      <c r="QYQ26" s="500"/>
      <c r="QYR26" s="500"/>
      <c r="QYS26" s="500"/>
      <c r="QYT26" s="500"/>
      <c r="QYU26" s="500"/>
      <c r="QYV26" s="500"/>
      <c r="QYW26" s="500"/>
      <c r="QYX26" s="500"/>
      <c r="QYY26" s="500"/>
      <c r="QYZ26" s="500"/>
      <c r="QZA26" s="500"/>
      <c r="QZB26" s="500"/>
      <c r="QZC26" s="500"/>
      <c r="QZD26" s="500"/>
      <c r="QZE26" s="500"/>
      <c r="QZF26" s="500"/>
      <c r="QZG26" s="500"/>
      <c r="QZH26" s="500"/>
      <c r="QZI26" s="500"/>
      <c r="QZJ26" s="500"/>
      <c r="QZK26" s="500"/>
      <c r="QZL26" s="500"/>
      <c r="QZM26" s="500"/>
      <c r="QZN26" s="500"/>
      <c r="QZO26" s="500"/>
      <c r="QZP26" s="500"/>
      <c r="QZQ26" s="500"/>
      <c r="QZR26" s="500"/>
      <c r="QZS26" s="500"/>
      <c r="QZT26" s="500"/>
      <c r="QZU26" s="500"/>
      <c r="QZV26" s="500"/>
      <c r="QZW26" s="500"/>
      <c r="QZX26" s="500"/>
      <c r="QZY26" s="500"/>
      <c r="QZZ26" s="500"/>
      <c r="RAA26" s="500"/>
      <c r="RAB26" s="500"/>
      <c r="RAC26" s="500"/>
      <c r="RAD26" s="500"/>
      <c r="RAE26" s="500"/>
      <c r="RAF26" s="500"/>
      <c r="RAG26" s="500"/>
      <c r="RAH26" s="500"/>
      <c r="RAI26" s="500"/>
      <c r="RAJ26" s="500"/>
      <c r="RAK26" s="500"/>
      <c r="RAL26" s="500"/>
      <c r="RAM26" s="500"/>
      <c r="RAN26" s="500"/>
      <c r="RAO26" s="500"/>
      <c r="RAP26" s="500"/>
      <c r="RAQ26" s="500"/>
      <c r="RAR26" s="500"/>
      <c r="RAS26" s="500"/>
      <c r="RAT26" s="500"/>
      <c r="RAU26" s="500"/>
      <c r="RAV26" s="500"/>
      <c r="RAW26" s="500"/>
      <c r="RAX26" s="500"/>
      <c r="RAY26" s="500"/>
      <c r="RAZ26" s="500"/>
      <c r="RBA26" s="500"/>
      <c r="RBB26" s="500"/>
      <c r="RBC26" s="500"/>
      <c r="RBD26" s="500"/>
      <c r="RBE26" s="500"/>
      <c r="RBF26" s="500"/>
      <c r="RBG26" s="500"/>
      <c r="RBH26" s="500"/>
      <c r="RBI26" s="500"/>
      <c r="RBJ26" s="500"/>
      <c r="RBK26" s="500"/>
      <c r="RBL26" s="500"/>
      <c r="RBM26" s="500"/>
      <c r="RBN26" s="500"/>
      <c r="RBO26" s="500"/>
      <c r="RBP26" s="500"/>
      <c r="RBQ26" s="500"/>
      <c r="RBR26" s="500"/>
      <c r="RBS26" s="500"/>
      <c r="RBT26" s="500"/>
      <c r="RBU26" s="500"/>
      <c r="RBV26" s="500"/>
      <c r="RBW26" s="500"/>
      <c r="RBX26" s="500"/>
      <c r="RBY26" s="500"/>
      <c r="RBZ26" s="500"/>
      <c r="RCA26" s="500"/>
      <c r="RCB26" s="500"/>
      <c r="RCC26" s="500"/>
      <c r="RCD26" s="500"/>
      <c r="RCE26" s="500"/>
      <c r="RCF26" s="500"/>
      <c r="RCG26" s="500"/>
      <c r="RCH26" s="500"/>
      <c r="RCI26" s="500"/>
      <c r="RCJ26" s="500"/>
      <c r="RCK26" s="500"/>
      <c r="RCL26" s="500"/>
      <c r="RCM26" s="500"/>
      <c r="RCN26" s="500"/>
      <c r="RCO26" s="500"/>
      <c r="RCP26" s="500"/>
      <c r="RCQ26" s="500"/>
      <c r="RCR26" s="500"/>
      <c r="RCS26" s="500"/>
      <c r="RCT26" s="500"/>
      <c r="RCU26" s="500"/>
      <c r="RCV26" s="500"/>
      <c r="RCW26" s="500"/>
      <c r="RCX26" s="500"/>
      <c r="RCY26" s="500"/>
      <c r="RCZ26" s="500"/>
      <c r="RDA26" s="500"/>
      <c r="RDB26" s="500"/>
      <c r="RDC26" s="500"/>
      <c r="RDD26" s="500"/>
      <c r="RDE26" s="500"/>
      <c r="RDF26" s="500"/>
      <c r="RDG26" s="500"/>
      <c r="RDH26" s="500"/>
      <c r="RDI26" s="500"/>
      <c r="RDJ26" s="500"/>
      <c r="RDK26" s="500"/>
      <c r="RDL26" s="500"/>
      <c r="RDM26" s="500"/>
      <c r="RDN26" s="500"/>
      <c r="RDO26" s="500"/>
      <c r="RDP26" s="500"/>
      <c r="RDQ26" s="500"/>
      <c r="RDR26" s="500"/>
      <c r="RDS26" s="500"/>
      <c r="RDT26" s="500"/>
      <c r="RDU26" s="500"/>
      <c r="RDV26" s="500"/>
      <c r="RDW26" s="500"/>
      <c r="RDX26" s="500"/>
      <c r="RDY26" s="500"/>
      <c r="RDZ26" s="500"/>
      <c r="REA26" s="500"/>
      <c r="REB26" s="500"/>
      <c r="REC26" s="500"/>
      <c r="RED26" s="500"/>
      <c r="REE26" s="500"/>
      <c r="REF26" s="500"/>
      <c r="REG26" s="500"/>
      <c r="REH26" s="500"/>
      <c r="REI26" s="500"/>
      <c r="REJ26" s="500"/>
      <c r="REK26" s="500"/>
      <c r="REL26" s="500"/>
      <c r="REM26" s="500"/>
      <c r="REN26" s="500"/>
      <c r="REO26" s="500"/>
      <c r="REP26" s="500"/>
      <c r="REQ26" s="500"/>
      <c r="RER26" s="500"/>
      <c r="RES26" s="500"/>
      <c r="RET26" s="500"/>
      <c r="REU26" s="500"/>
      <c r="REV26" s="500"/>
      <c r="REW26" s="500"/>
      <c r="REX26" s="500"/>
      <c r="REY26" s="500"/>
      <c r="REZ26" s="500"/>
      <c r="RFA26" s="500"/>
      <c r="RFB26" s="500"/>
      <c r="RFC26" s="500"/>
      <c r="RFD26" s="500"/>
      <c r="RFE26" s="500"/>
      <c r="RFF26" s="500"/>
      <c r="RFG26" s="500"/>
      <c r="RFH26" s="500"/>
      <c r="RFI26" s="500"/>
      <c r="RFJ26" s="500"/>
      <c r="RFK26" s="500"/>
      <c r="RFL26" s="500"/>
      <c r="RFM26" s="500"/>
      <c r="RFN26" s="500"/>
      <c r="RFO26" s="500"/>
      <c r="RFP26" s="500"/>
      <c r="RFQ26" s="500"/>
      <c r="RFR26" s="500"/>
      <c r="RFS26" s="500"/>
      <c r="RFT26" s="500"/>
      <c r="RFU26" s="500"/>
      <c r="RFV26" s="500"/>
      <c r="RFW26" s="500"/>
      <c r="RFX26" s="500"/>
      <c r="RFY26" s="500"/>
      <c r="RFZ26" s="500"/>
      <c r="RGA26" s="500"/>
      <c r="RGB26" s="500"/>
      <c r="RGC26" s="500"/>
      <c r="RGD26" s="500"/>
      <c r="RGE26" s="500"/>
      <c r="RGF26" s="500"/>
      <c r="RGG26" s="500"/>
      <c r="RGH26" s="500"/>
      <c r="RGI26" s="500"/>
      <c r="RGJ26" s="500"/>
      <c r="RGK26" s="500"/>
      <c r="RGL26" s="500"/>
      <c r="RGM26" s="500"/>
      <c r="RGN26" s="500"/>
      <c r="RGO26" s="500"/>
      <c r="RGP26" s="500"/>
      <c r="RGQ26" s="500"/>
      <c r="RGR26" s="500"/>
      <c r="RGS26" s="500"/>
      <c r="RGT26" s="500"/>
      <c r="RGU26" s="500"/>
      <c r="RGV26" s="500"/>
      <c r="RGW26" s="500"/>
      <c r="RGX26" s="500"/>
      <c r="RGY26" s="500"/>
      <c r="RGZ26" s="500"/>
      <c r="RHA26" s="500"/>
      <c r="RHB26" s="500"/>
      <c r="RHC26" s="500"/>
      <c r="RHD26" s="500"/>
      <c r="RHE26" s="500"/>
      <c r="RHF26" s="500"/>
      <c r="RHG26" s="500"/>
      <c r="RHH26" s="500"/>
      <c r="RHI26" s="500"/>
      <c r="RHJ26" s="500"/>
      <c r="RHK26" s="500"/>
      <c r="RHL26" s="500"/>
      <c r="RHM26" s="500"/>
      <c r="RHN26" s="500"/>
      <c r="RHO26" s="500"/>
      <c r="RHP26" s="500"/>
      <c r="RHQ26" s="500"/>
      <c r="RHR26" s="500"/>
      <c r="RHS26" s="500"/>
      <c r="RHT26" s="500"/>
      <c r="RHU26" s="500"/>
      <c r="RHV26" s="500"/>
      <c r="RHW26" s="500"/>
      <c r="RHX26" s="500"/>
      <c r="RHY26" s="500"/>
      <c r="RHZ26" s="500"/>
      <c r="RIA26" s="500"/>
      <c r="RIB26" s="500"/>
      <c r="RIC26" s="500"/>
      <c r="RID26" s="500"/>
      <c r="RIE26" s="500"/>
      <c r="RIF26" s="500"/>
      <c r="RIG26" s="500"/>
      <c r="RIH26" s="500"/>
      <c r="RII26" s="500"/>
      <c r="RIJ26" s="500"/>
      <c r="RIK26" s="500"/>
      <c r="RIL26" s="500"/>
      <c r="RIM26" s="500"/>
      <c r="RIN26" s="500"/>
      <c r="RIO26" s="500"/>
      <c r="RIP26" s="500"/>
      <c r="RIQ26" s="500"/>
      <c r="RIR26" s="500"/>
      <c r="RIS26" s="500"/>
      <c r="RIT26" s="500"/>
      <c r="RIU26" s="500"/>
      <c r="RIV26" s="500"/>
      <c r="RIW26" s="500"/>
      <c r="RIX26" s="500"/>
      <c r="RIY26" s="500"/>
      <c r="RIZ26" s="500"/>
      <c r="RJA26" s="500"/>
      <c r="RJB26" s="500"/>
      <c r="RJC26" s="500"/>
      <c r="RJD26" s="500"/>
      <c r="RJE26" s="500"/>
      <c r="RJF26" s="500"/>
      <c r="RJG26" s="500"/>
      <c r="RJH26" s="500"/>
      <c r="RJI26" s="500"/>
      <c r="RJJ26" s="500"/>
      <c r="RJK26" s="500"/>
      <c r="RJL26" s="500"/>
      <c r="RJM26" s="500"/>
      <c r="RJN26" s="500"/>
      <c r="RJO26" s="500"/>
      <c r="RJP26" s="500"/>
      <c r="RJQ26" s="500"/>
      <c r="RJR26" s="500"/>
      <c r="RJS26" s="500"/>
      <c r="RJT26" s="500"/>
      <c r="RJU26" s="500"/>
      <c r="RJV26" s="500"/>
      <c r="RJW26" s="500"/>
      <c r="RJX26" s="500"/>
      <c r="RJY26" s="500"/>
      <c r="RJZ26" s="500"/>
      <c r="RKA26" s="500"/>
      <c r="RKB26" s="500"/>
      <c r="RKC26" s="500"/>
      <c r="RKD26" s="500"/>
      <c r="RKE26" s="500"/>
      <c r="RKF26" s="500"/>
      <c r="RKG26" s="500"/>
      <c r="RKH26" s="500"/>
      <c r="RKI26" s="500"/>
      <c r="RKJ26" s="500"/>
      <c r="RKK26" s="500"/>
      <c r="RKL26" s="500"/>
      <c r="RKM26" s="500"/>
      <c r="RKN26" s="500"/>
      <c r="RKO26" s="500"/>
      <c r="RKP26" s="500"/>
      <c r="RKQ26" s="500"/>
      <c r="RKR26" s="500"/>
      <c r="RKS26" s="500"/>
      <c r="RKT26" s="500"/>
      <c r="RKU26" s="500"/>
      <c r="RKV26" s="500"/>
      <c r="RKW26" s="500"/>
      <c r="RKX26" s="500"/>
      <c r="RKY26" s="500"/>
      <c r="RKZ26" s="500"/>
      <c r="RLA26" s="500"/>
      <c r="RLB26" s="500"/>
      <c r="RLC26" s="500"/>
      <c r="RLD26" s="500"/>
      <c r="RLE26" s="500"/>
      <c r="RLF26" s="500"/>
      <c r="RLG26" s="500"/>
      <c r="RLH26" s="500"/>
      <c r="RLI26" s="500"/>
      <c r="RLJ26" s="500"/>
      <c r="RLK26" s="500"/>
      <c r="RLL26" s="500"/>
      <c r="RLM26" s="500"/>
      <c r="RLN26" s="500"/>
      <c r="RLO26" s="500"/>
      <c r="RLP26" s="500"/>
      <c r="RLQ26" s="500"/>
      <c r="RLR26" s="500"/>
      <c r="RLS26" s="500"/>
      <c r="RLT26" s="500"/>
      <c r="RLU26" s="500"/>
      <c r="RLV26" s="500"/>
      <c r="RLW26" s="500"/>
      <c r="RLX26" s="500"/>
      <c r="RLY26" s="500"/>
      <c r="RLZ26" s="500"/>
      <c r="RMA26" s="500"/>
      <c r="RMB26" s="500"/>
      <c r="RMC26" s="500"/>
      <c r="RMD26" s="500"/>
      <c r="RME26" s="500"/>
      <c r="RMF26" s="500"/>
      <c r="RMG26" s="500"/>
      <c r="RMH26" s="500"/>
      <c r="RMI26" s="500"/>
      <c r="RMJ26" s="500"/>
      <c r="RMK26" s="500"/>
      <c r="RML26" s="500"/>
      <c r="RMM26" s="500"/>
      <c r="RMN26" s="500"/>
      <c r="RMO26" s="500"/>
      <c r="RMP26" s="500"/>
      <c r="RMQ26" s="500"/>
      <c r="RMR26" s="500"/>
      <c r="RMS26" s="500"/>
      <c r="RMT26" s="500"/>
      <c r="RMU26" s="500"/>
      <c r="RMV26" s="500"/>
      <c r="RMW26" s="500"/>
      <c r="RMX26" s="500"/>
      <c r="RMY26" s="500"/>
      <c r="RMZ26" s="500"/>
      <c r="RNA26" s="500"/>
      <c r="RNB26" s="500"/>
      <c r="RNC26" s="500"/>
      <c r="RND26" s="500"/>
      <c r="RNE26" s="500"/>
      <c r="RNF26" s="500"/>
      <c r="RNG26" s="500"/>
      <c r="RNH26" s="500"/>
      <c r="RNI26" s="500"/>
      <c r="RNJ26" s="500"/>
      <c r="RNK26" s="500"/>
      <c r="RNL26" s="500"/>
      <c r="RNM26" s="500"/>
      <c r="RNN26" s="500"/>
      <c r="RNO26" s="500"/>
      <c r="RNP26" s="500"/>
      <c r="RNQ26" s="500"/>
      <c r="RNR26" s="500"/>
      <c r="RNS26" s="500"/>
      <c r="RNT26" s="500"/>
      <c r="RNU26" s="500"/>
      <c r="RNV26" s="500"/>
      <c r="RNW26" s="500"/>
      <c r="RNX26" s="500"/>
      <c r="RNY26" s="500"/>
      <c r="RNZ26" s="500"/>
      <c r="ROA26" s="500"/>
      <c r="ROB26" s="500"/>
      <c r="ROC26" s="500"/>
      <c r="ROD26" s="500"/>
      <c r="ROE26" s="500"/>
      <c r="ROF26" s="500"/>
      <c r="ROG26" s="500"/>
      <c r="ROH26" s="500"/>
      <c r="ROI26" s="500"/>
      <c r="ROJ26" s="500"/>
      <c r="ROK26" s="500"/>
      <c r="ROL26" s="500"/>
      <c r="ROM26" s="500"/>
      <c r="RON26" s="500"/>
      <c r="ROO26" s="500"/>
      <c r="ROP26" s="500"/>
      <c r="ROQ26" s="500"/>
      <c r="ROR26" s="500"/>
      <c r="ROS26" s="500"/>
      <c r="ROT26" s="500"/>
      <c r="ROU26" s="500"/>
      <c r="ROV26" s="500"/>
      <c r="ROW26" s="500"/>
      <c r="ROX26" s="500"/>
      <c r="ROY26" s="500"/>
      <c r="ROZ26" s="500"/>
      <c r="RPA26" s="500"/>
      <c r="RPB26" s="500"/>
      <c r="RPC26" s="500"/>
      <c r="RPD26" s="500"/>
      <c r="RPE26" s="500"/>
      <c r="RPF26" s="500"/>
      <c r="RPG26" s="500"/>
      <c r="RPH26" s="500"/>
      <c r="RPI26" s="500"/>
      <c r="RPJ26" s="500"/>
      <c r="RPK26" s="500"/>
      <c r="RPL26" s="500"/>
      <c r="RPM26" s="500"/>
      <c r="RPN26" s="500"/>
      <c r="RPO26" s="500"/>
      <c r="RPP26" s="500"/>
      <c r="RPQ26" s="500"/>
      <c r="RPR26" s="500"/>
      <c r="RPS26" s="500"/>
      <c r="RPT26" s="500"/>
      <c r="RPU26" s="500"/>
      <c r="RPV26" s="500"/>
      <c r="RPW26" s="500"/>
      <c r="RPX26" s="500"/>
      <c r="RPY26" s="500"/>
      <c r="RPZ26" s="500"/>
      <c r="RQA26" s="500"/>
      <c r="RQB26" s="500"/>
      <c r="RQC26" s="500"/>
      <c r="RQD26" s="500"/>
      <c r="RQE26" s="500"/>
      <c r="RQF26" s="500"/>
      <c r="RQG26" s="500"/>
      <c r="RQH26" s="500"/>
      <c r="RQI26" s="500"/>
      <c r="RQJ26" s="500"/>
      <c r="RQK26" s="500"/>
      <c r="RQL26" s="500"/>
      <c r="RQM26" s="500"/>
      <c r="RQN26" s="500"/>
      <c r="RQO26" s="500"/>
      <c r="RQP26" s="500"/>
      <c r="RQQ26" s="500"/>
      <c r="RQR26" s="500"/>
      <c r="RQS26" s="500"/>
      <c r="RQT26" s="500"/>
      <c r="RQU26" s="500"/>
      <c r="RQV26" s="500"/>
      <c r="RQW26" s="500"/>
      <c r="RQX26" s="500"/>
      <c r="RQY26" s="500"/>
      <c r="RQZ26" s="500"/>
      <c r="RRA26" s="500"/>
      <c r="RRB26" s="500"/>
      <c r="RRC26" s="500"/>
      <c r="RRD26" s="500"/>
      <c r="RRE26" s="500"/>
      <c r="RRF26" s="500"/>
      <c r="RRG26" s="500"/>
      <c r="RRH26" s="500"/>
      <c r="RRI26" s="500"/>
      <c r="RRJ26" s="500"/>
      <c r="RRK26" s="500"/>
      <c r="RRL26" s="500"/>
      <c r="RRM26" s="500"/>
      <c r="RRN26" s="500"/>
      <c r="RRO26" s="500"/>
      <c r="RRP26" s="500"/>
      <c r="RRQ26" s="500"/>
      <c r="RRR26" s="500"/>
      <c r="RRS26" s="500"/>
      <c r="RRT26" s="500"/>
      <c r="RRU26" s="500"/>
      <c r="RRV26" s="500"/>
      <c r="RRW26" s="500"/>
      <c r="RRX26" s="500"/>
      <c r="RRY26" s="500"/>
      <c r="RRZ26" s="500"/>
      <c r="RSA26" s="500"/>
      <c r="RSB26" s="500"/>
      <c r="RSC26" s="500"/>
      <c r="RSD26" s="500"/>
      <c r="RSE26" s="500"/>
      <c r="RSF26" s="500"/>
      <c r="RSG26" s="500"/>
      <c r="RSH26" s="500"/>
      <c r="RSI26" s="500"/>
      <c r="RSJ26" s="500"/>
      <c r="RSK26" s="500"/>
      <c r="RSL26" s="500"/>
      <c r="RSM26" s="500"/>
      <c r="RSN26" s="500"/>
      <c r="RSO26" s="500"/>
      <c r="RSP26" s="500"/>
      <c r="RSQ26" s="500"/>
      <c r="RSR26" s="500"/>
      <c r="RSS26" s="500"/>
      <c r="RST26" s="500"/>
      <c r="RSU26" s="500"/>
      <c r="RSV26" s="500"/>
      <c r="RSW26" s="500"/>
      <c r="RSX26" s="500"/>
      <c r="RSY26" s="500"/>
      <c r="RSZ26" s="500"/>
      <c r="RTA26" s="500"/>
      <c r="RTB26" s="500"/>
      <c r="RTC26" s="500"/>
      <c r="RTD26" s="500"/>
      <c r="RTE26" s="500"/>
      <c r="RTF26" s="500"/>
      <c r="RTG26" s="500"/>
      <c r="RTH26" s="500"/>
      <c r="RTI26" s="500"/>
      <c r="RTJ26" s="500"/>
      <c r="RTK26" s="500"/>
      <c r="RTL26" s="500"/>
      <c r="RTM26" s="500"/>
      <c r="RTN26" s="500"/>
      <c r="RTO26" s="500"/>
      <c r="RTP26" s="500"/>
      <c r="RTQ26" s="500"/>
      <c r="RTR26" s="500"/>
      <c r="RTS26" s="500"/>
      <c r="RTT26" s="500"/>
      <c r="RTU26" s="500"/>
      <c r="RTV26" s="500"/>
      <c r="RTW26" s="500"/>
      <c r="RTX26" s="500"/>
      <c r="RTY26" s="500"/>
      <c r="RTZ26" s="500"/>
      <c r="RUA26" s="500"/>
      <c r="RUB26" s="500"/>
      <c r="RUC26" s="500"/>
      <c r="RUD26" s="500"/>
      <c r="RUE26" s="500"/>
      <c r="RUF26" s="500"/>
      <c r="RUG26" s="500"/>
      <c r="RUH26" s="500"/>
      <c r="RUI26" s="500"/>
      <c r="RUJ26" s="500"/>
      <c r="RUK26" s="500"/>
      <c r="RUL26" s="500"/>
      <c r="RUM26" s="500"/>
      <c r="RUN26" s="500"/>
      <c r="RUO26" s="500"/>
      <c r="RUP26" s="500"/>
      <c r="RUQ26" s="500"/>
      <c r="RUR26" s="500"/>
      <c r="RUS26" s="500"/>
      <c r="RUT26" s="500"/>
      <c r="RUU26" s="500"/>
      <c r="RUV26" s="500"/>
      <c r="RUW26" s="500"/>
      <c r="RUX26" s="500"/>
      <c r="RUY26" s="500"/>
      <c r="RUZ26" s="500"/>
      <c r="RVA26" s="500"/>
      <c r="RVB26" s="500"/>
      <c r="RVC26" s="500"/>
      <c r="RVD26" s="500"/>
      <c r="RVE26" s="500"/>
      <c r="RVF26" s="500"/>
      <c r="RVG26" s="500"/>
      <c r="RVH26" s="500"/>
      <c r="RVI26" s="500"/>
      <c r="RVJ26" s="500"/>
      <c r="RVK26" s="500"/>
      <c r="RVL26" s="500"/>
      <c r="RVM26" s="500"/>
      <c r="RVN26" s="500"/>
      <c r="RVO26" s="500"/>
      <c r="RVP26" s="500"/>
      <c r="RVQ26" s="500"/>
      <c r="RVR26" s="500"/>
      <c r="RVS26" s="500"/>
      <c r="RVT26" s="500"/>
      <c r="RVU26" s="500"/>
      <c r="RVV26" s="500"/>
      <c r="RVW26" s="500"/>
      <c r="RVX26" s="500"/>
      <c r="RVY26" s="500"/>
      <c r="RVZ26" s="500"/>
      <c r="RWA26" s="500"/>
      <c r="RWB26" s="500"/>
      <c r="RWC26" s="500"/>
      <c r="RWD26" s="500"/>
      <c r="RWE26" s="500"/>
      <c r="RWF26" s="500"/>
      <c r="RWG26" s="500"/>
      <c r="RWH26" s="500"/>
      <c r="RWI26" s="500"/>
      <c r="RWJ26" s="500"/>
      <c r="RWK26" s="500"/>
      <c r="RWL26" s="500"/>
      <c r="RWM26" s="500"/>
      <c r="RWN26" s="500"/>
      <c r="RWO26" s="500"/>
      <c r="RWP26" s="500"/>
      <c r="RWQ26" s="500"/>
      <c r="RWR26" s="500"/>
      <c r="RWS26" s="500"/>
      <c r="RWT26" s="500"/>
      <c r="RWU26" s="500"/>
      <c r="RWV26" s="500"/>
      <c r="RWW26" s="500"/>
      <c r="RWX26" s="500"/>
      <c r="RWY26" s="500"/>
      <c r="RWZ26" s="500"/>
      <c r="RXA26" s="500"/>
      <c r="RXB26" s="500"/>
      <c r="RXC26" s="500"/>
      <c r="RXD26" s="500"/>
      <c r="RXE26" s="500"/>
      <c r="RXF26" s="500"/>
      <c r="RXG26" s="500"/>
      <c r="RXH26" s="500"/>
      <c r="RXI26" s="500"/>
      <c r="RXJ26" s="500"/>
      <c r="RXK26" s="500"/>
      <c r="RXL26" s="500"/>
      <c r="RXM26" s="500"/>
      <c r="RXN26" s="500"/>
      <c r="RXO26" s="500"/>
      <c r="RXP26" s="500"/>
      <c r="RXQ26" s="500"/>
      <c r="RXR26" s="500"/>
      <c r="RXS26" s="500"/>
      <c r="RXT26" s="500"/>
      <c r="RXU26" s="500"/>
      <c r="RXV26" s="500"/>
      <c r="RXW26" s="500"/>
      <c r="RXX26" s="500"/>
      <c r="RXY26" s="500"/>
      <c r="RXZ26" s="500"/>
      <c r="RYA26" s="500"/>
      <c r="RYB26" s="500"/>
      <c r="RYC26" s="500"/>
      <c r="RYD26" s="500"/>
      <c r="RYE26" s="500"/>
      <c r="RYF26" s="500"/>
      <c r="RYG26" s="500"/>
      <c r="RYH26" s="500"/>
      <c r="RYI26" s="500"/>
      <c r="RYJ26" s="500"/>
      <c r="RYK26" s="500"/>
      <c r="RYL26" s="500"/>
      <c r="RYM26" s="500"/>
      <c r="RYN26" s="500"/>
      <c r="RYO26" s="500"/>
      <c r="RYP26" s="500"/>
      <c r="RYQ26" s="500"/>
      <c r="RYR26" s="500"/>
      <c r="RYS26" s="500"/>
      <c r="RYT26" s="500"/>
      <c r="RYU26" s="500"/>
      <c r="RYV26" s="500"/>
      <c r="RYW26" s="500"/>
      <c r="RYX26" s="500"/>
      <c r="RYY26" s="500"/>
      <c r="RYZ26" s="500"/>
      <c r="RZA26" s="500"/>
      <c r="RZB26" s="500"/>
      <c r="RZC26" s="500"/>
      <c r="RZD26" s="500"/>
      <c r="RZE26" s="500"/>
      <c r="RZF26" s="500"/>
      <c r="RZG26" s="500"/>
      <c r="RZH26" s="500"/>
      <c r="RZI26" s="500"/>
      <c r="RZJ26" s="500"/>
      <c r="RZK26" s="500"/>
      <c r="RZL26" s="500"/>
      <c r="RZM26" s="500"/>
      <c r="RZN26" s="500"/>
      <c r="RZO26" s="500"/>
      <c r="RZP26" s="500"/>
      <c r="RZQ26" s="500"/>
      <c r="RZR26" s="500"/>
      <c r="RZS26" s="500"/>
      <c r="RZT26" s="500"/>
      <c r="RZU26" s="500"/>
      <c r="RZV26" s="500"/>
      <c r="RZW26" s="500"/>
      <c r="RZX26" s="500"/>
      <c r="RZY26" s="500"/>
      <c r="RZZ26" s="500"/>
      <c r="SAA26" s="500"/>
      <c r="SAB26" s="500"/>
      <c r="SAC26" s="500"/>
      <c r="SAD26" s="500"/>
      <c r="SAE26" s="500"/>
      <c r="SAF26" s="500"/>
      <c r="SAG26" s="500"/>
      <c r="SAH26" s="500"/>
      <c r="SAI26" s="500"/>
      <c r="SAJ26" s="500"/>
      <c r="SAK26" s="500"/>
      <c r="SAL26" s="500"/>
      <c r="SAM26" s="500"/>
      <c r="SAN26" s="500"/>
      <c r="SAO26" s="500"/>
      <c r="SAP26" s="500"/>
      <c r="SAQ26" s="500"/>
      <c r="SAR26" s="500"/>
      <c r="SAS26" s="500"/>
      <c r="SAT26" s="500"/>
      <c r="SAU26" s="500"/>
      <c r="SAV26" s="500"/>
      <c r="SAW26" s="500"/>
      <c r="SAX26" s="500"/>
      <c r="SAY26" s="500"/>
      <c r="SAZ26" s="500"/>
      <c r="SBA26" s="500"/>
      <c r="SBB26" s="500"/>
      <c r="SBC26" s="500"/>
      <c r="SBD26" s="500"/>
      <c r="SBE26" s="500"/>
      <c r="SBF26" s="500"/>
      <c r="SBG26" s="500"/>
      <c r="SBH26" s="500"/>
      <c r="SBI26" s="500"/>
      <c r="SBJ26" s="500"/>
      <c r="SBK26" s="500"/>
      <c r="SBL26" s="500"/>
      <c r="SBM26" s="500"/>
      <c r="SBN26" s="500"/>
      <c r="SBO26" s="500"/>
      <c r="SBP26" s="500"/>
      <c r="SBQ26" s="500"/>
      <c r="SBR26" s="500"/>
      <c r="SBS26" s="500"/>
      <c r="SBT26" s="500"/>
      <c r="SBU26" s="500"/>
      <c r="SBV26" s="500"/>
      <c r="SBW26" s="500"/>
      <c r="SBX26" s="500"/>
      <c r="SBY26" s="500"/>
      <c r="SBZ26" s="500"/>
      <c r="SCA26" s="500"/>
      <c r="SCB26" s="500"/>
      <c r="SCC26" s="500"/>
      <c r="SCD26" s="500"/>
      <c r="SCE26" s="500"/>
      <c r="SCF26" s="500"/>
      <c r="SCG26" s="500"/>
      <c r="SCH26" s="500"/>
      <c r="SCI26" s="500"/>
      <c r="SCJ26" s="500"/>
      <c r="SCK26" s="500"/>
      <c r="SCL26" s="500"/>
      <c r="SCM26" s="500"/>
      <c r="SCN26" s="500"/>
      <c r="SCO26" s="500"/>
      <c r="SCP26" s="500"/>
      <c r="SCQ26" s="500"/>
      <c r="SCR26" s="500"/>
      <c r="SCS26" s="500"/>
      <c r="SCT26" s="500"/>
      <c r="SCU26" s="500"/>
      <c r="SCV26" s="500"/>
      <c r="SCW26" s="500"/>
      <c r="SCX26" s="500"/>
      <c r="SCY26" s="500"/>
      <c r="SCZ26" s="500"/>
      <c r="SDA26" s="500"/>
      <c r="SDB26" s="500"/>
      <c r="SDC26" s="500"/>
      <c r="SDD26" s="500"/>
      <c r="SDE26" s="500"/>
      <c r="SDF26" s="500"/>
      <c r="SDG26" s="500"/>
      <c r="SDH26" s="500"/>
      <c r="SDI26" s="500"/>
      <c r="SDJ26" s="500"/>
      <c r="SDK26" s="500"/>
      <c r="SDL26" s="500"/>
      <c r="SDM26" s="500"/>
      <c r="SDN26" s="500"/>
      <c r="SDO26" s="500"/>
      <c r="SDP26" s="500"/>
      <c r="SDQ26" s="500"/>
      <c r="SDR26" s="500"/>
      <c r="SDS26" s="500"/>
      <c r="SDT26" s="500"/>
      <c r="SDU26" s="500"/>
      <c r="SDV26" s="500"/>
      <c r="SDW26" s="500"/>
      <c r="SDX26" s="500"/>
      <c r="SDY26" s="500"/>
      <c r="SDZ26" s="500"/>
      <c r="SEA26" s="500"/>
      <c r="SEB26" s="500"/>
      <c r="SEC26" s="500"/>
      <c r="SED26" s="500"/>
      <c r="SEE26" s="500"/>
      <c r="SEF26" s="500"/>
      <c r="SEG26" s="500"/>
      <c r="SEH26" s="500"/>
      <c r="SEI26" s="500"/>
      <c r="SEJ26" s="500"/>
      <c r="SEK26" s="500"/>
      <c r="SEL26" s="500"/>
      <c r="SEM26" s="500"/>
      <c r="SEN26" s="500"/>
      <c r="SEO26" s="500"/>
      <c r="SEP26" s="500"/>
      <c r="SEQ26" s="500"/>
      <c r="SER26" s="500"/>
      <c r="SES26" s="500"/>
      <c r="SET26" s="500"/>
      <c r="SEU26" s="500"/>
      <c r="SEV26" s="500"/>
      <c r="SEW26" s="500"/>
      <c r="SEX26" s="500"/>
      <c r="SEY26" s="500"/>
      <c r="SEZ26" s="500"/>
      <c r="SFA26" s="500"/>
      <c r="SFB26" s="500"/>
      <c r="SFC26" s="500"/>
      <c r="SFD26" s="500"/>
      <c r="SFE26" s="500"/>
      <c r="SFF26" s="500"/>
      <c r="SFG26" s="500"/>
      <c r="SFH26" s="500"/>
      <c r="SFI26" s="500"/>
      <c r="SFJ26" s="500"/>
      <c r="SFK26" s="500"/>
      <c r="SFL26" s="500"/>
      <c r="SFM26" s="500"/>
      <c r="SFN26" s="500"/>
      <c r="SFO26" s="500"/>
      <c r="SFP26" s="500"/>
      <c r="SFQ26" s="500"/>
      <c r="SFR26" s="500"/>
      <c r="SFS26" s="500"/>
      <c r="SFT26" s="500"/>
      <c r="SFU26" s="500"/>
      <c r="SFV26" s="500"/>
      <c r="SFW26" s="500"/>
      <c r="SFX26" s="500"/>
      <c r="SFY26" s="500"/>
      <c r="SFZ26" s="500"/>
      <c r="SGA26" s="500"/>
      <c r="SGB26" s="500"/>
      <c r="SGC26" s="500"/>
      <c r="SGD26" s="500"/>
      <c r="SGE26" s="500"/>
      <c r="SGF26" s="500"/>
      <c r="SGG26" s="500"/>
      <c r="SGH26" s="500"/>
      <c r="SGI26" s="500"/>
      <c r="SGJ26" s="500"/>
      <c r="SGK26" s="500"/>
      <c r="SGL26" s="500"/>
      <c r="SGM26" s="500"/>
      <c r="SGN26" s="500"/>
      <c r="SGO26" s="500"/>
      <c r="SGP26" s="500"/>
      <c r="SGQ26" s="500"/>
      <c r="SGR26" s="500"/>
      <c r="SGS26" s="500"/>
      <c r="SGT26" s="500"/>
      <c r="SGU26" s="500"/>
      <c r="SGV26" s="500"/>
      <c r="SGW26" s="500"/>
      <c r="SGX26" s="500"/>
      <c r="SGY26" s="500"/>
      <c r="SGZ26" s="500"/>
      <c r="SHA26" s="500"/>
      <c r="SHB26" s="500"/>
      <c r="SHC26" s="500"/>
      <c r="SHD26" s="500"/>
      <c r="SHE26" s="500"/>
      <c r="SHF26" s="500"/>
      <c r="SHG26" s="500"/>
      <c r="SHH26" s="500"/>
      <c r="SHI26" s="500"/>
      <c r="SHJ26" s="500"/>
      <c r="SHK26" s="500"/>
      <c r="SHL26" s="500"/>
      <c r="SHM26" s="500"/>
      <c r="SHN26" s="500"/>
      <c r="SHO26" s="500"/>
      <c r="SHP26" s="500"/>
      <c r="SHQ26" s="500"/>
      <c r="SHR26" s="500"/>
      <c r="SHS26" s="500"/>
      <c r="SHT26" s="500"/>
      <c r="SHU26" s="500"/>
      <c r="SHV26" s="500"/>
      <c r="SHW26" s="500"/>
      <c r="SHX26" s="500"/>
      <c r="SHY26" s="500"/>
      <c r="SHZ26" s="500"/>
      <c r="SIA26" s="500"/>
      <c r="SIB26" s="500"/>
      <c r="SIC26" s="500"/>
      <c r="SID26" s="500"/>
      <c r="SIE26" s="500"/>
      <c r="SIF26" s="500"/>
      <c r="SIG26" s="500"/>
      <c r="SIH26" s="500"/>
      <c r="SII26" s="500"/>
      <c r="SIJ26" s="500"/>
      <c r="SIK26" s="500"/>
      <c r="SIL26" s="500"/>
      <c r="SIM26" s="500"/>
      <c r="SIN26" s="500"/>
      <c r="SIO26" s="500"/>
      <c r="SIP26" s="500"/>
      <c r="SIQ26" s="500"/>
      <c r="SIR26" s="500"/>
      <c r="SIS26" s="500"/>
      <c r="SIT26" s="500"/>
      <c r="SIU26" s="500"/>
      <c r="SIV26" s="500"/>
      <c r="SIW26" s="500"/>
      <c r="SIX26" s="500"/>
      <c r="SIY26" s="500"/>
      <c r="SIZ26" s="500"/>
      <c r="SJA26" s="500"/>
      <c r="SJB26" s="500"/>
      <c r="SJC26" s="500"/>
      <c r="SJD26" s="500"/>
      <c r="SJE26" s="500"/>
      <c r="SJF26" s="500"/>
      <c r="SJG26" s="500"/>
      <c r="SJH26" s="500"/>
      <c r="SJI26" s="500"/>
      <c r="SJJ26" s="500"/>
      <c r="SJK26" s="500"/>
      <c r="SJL26" s="500"/>
      <c r="SJM26" s="500"/>
      <c r="SJN26" s="500"/>
      <c r="SJO26" s="500"/>
      <c r="SJP26" s="500"/>
      <c r="SJQ26" s="500"/>
      <c r="SJR26" s="500"/>
      <c r="SJS26" s="500"/>
      <c r="SJT26" s="500"/>
      <c r="SJU26" s="500"/>
      <c r="SJV26" s="500"/>
      <c r="SJW26" s="500"/>
      <c r="SJX26" s="500"/>
      <c r="SJY26" s="500"/>
      <c r="SJZ26" s="500"/>
      <c r="SKA26" s="500"/>
      <c r="SKB26" s="500"/>
      <c r="SKC26" s="500"/>
      <c r="SKD26" s="500"/>
      <c r="SKE26" s="500"/>
      <c r="SKF26" s="500"/>
      <c r="SKG26" s="500"/>
      <c r="SKH26" s="500"/>
      <c r="SKI26" s="500"/>
      <c r="SKJ26" s="500"/>
      <c r="SKK26" s="500"/>
      <c r="SKL26" s="500"/>
      <c r="SKM26" s="500"/>
      <c r="SKN26" s="500"/>
      <c r="SKO26" s="500"/>
      <c r="SKP26" s="500"/>
      <c r="SKQ26" s="500"/>
      <c r="SKR26" s="500"/>
      <c r="SKS26" s="500"/>
      <c r="SKT26" s="500"/>
      <c r="SKU26" s="500"/>
      <c r="SKV26" s="500"/>
      <c r="SKW26" s="500"/>
      <c r="SKX26" s="500"/>
      <c r="SKY26" s="500"/>
      <c r="SKZ26" s="500"/>
      <c r="SLA26" s="500"/>
      <c r="SLB26" s="500"/>
      <c r="SLC26" s="500"/>
      <c r="SLD26" s="500"/>
      <c r="SLE26" s="500"/>
      <c r="SLF26" s="500"/>
      <c r="SLG26" s="500"/>
      <c r="SLH26" s="500"/>
      <c r="SLI26" s="500"/>
      <c r="SLJ26" s="500"/>
      <c r="SLK26" s="500"/>
      <c r="SLL26" s="500"/>
      <c r="SLM26" s="500"/>
      <c r="SLN26" s="500"/>
      <c r="SLO26" s="500"/>
      <c r="SLP26" s="500"/>
      <c r="SLQ26" s="500"/>
      <c r="SLR26" s="500"/>
      <c r="SLS26" s="500"/>
      <c r="SLT26" s="500"/>
      <c r="SLU26" s="500"/>
      <c r="SLV26" s="500"/>
      <c r="SLW26" s="500"/>
      <c r="SLX26" s="500"/>
      <c r="SLY26" s="500"/>
      <c r="SLZ26" s="500"/>
      <c r="SMA26" s="500"/>
      <c r="SMB26" s="500"/>
      <c r="SMC26" s="500"/>
      <c r="SMD26" s="500"/>
      <c r="SME26" s="500"/>
      <c r="SMF26" s="500"/>
      <c r="SMG26" s="500"/>
      <c r="SMH26" s="500"/>
      <c r="SMI26" s="500"/>
      <c r="SMJ26" s="500"/>
      <c r="SMK26" s="500"/>
      <c r="SML26" s="500"/>
      <c r="SMM26" s="500"/>
      <c r="SMN26" s="500"/>
      <c r="SMO26" s="500"/>
      <c r="SMP26" s="500"/>
      <c r="SMQ26" s="500"/>
      <c r="SMR26" s="500"/>
      <c r="SMS26" s="500"/>
      <c r="SMT26" s="500"/>
      <c r="SMU26" s="500"/>
      <c r="SMV26" s="500"/>
      <c r="SMW26" s="500"/>
      <c r="SMX26" s="500"/>
      <c r="SMY26" s="500"/>
      <c r="SMZ26" s="500"/>
      <c r="SNA26" s="500"/>
      <c r="SNB26" s="500"/>
      <c r="SNC26" s="500"/>
      <c r="SND26" s="500"/>
      <c r="SNE26" s="500"/>
      <c r="SNF26" s="500"/>
      <c r="SNG26" s="500"/>
      <c r="SNH26" s="500"/>
      <c r="SNI26" s="500"/>
      <c r="SNJ26" s="500"/>
      <c r="SNK26" s="500"/>
      <c r="SNL26" s="500"/>
      <c r="SNM26" s="500"/>
      <c r="SNN26" s="500"/>
      <c r="SNO26" s="500"/>
      <c r="SNP26" s="500"/>
      <c r="SNQ26" s="500"/>
      <c r="SNR26" s="500"/>
      <c r="SNS26" s="500"/>
      <c r="SNT26" s="500"/>
      <c r="SNU26" s="500"/>
      <c r="SNV26" s="500"/>
      <c r="SNW26" s="500"/>
      <c r="SNX26" s="500"/>
      <c r="SNY26" s="500"/>
      <c r="SNZ26" s="500"/>
      <c r="SOA26" s="500"/>
      <c r="SOB26" s="500"/>
      <c r="SOC26" s="500"/>
      <c r="SOD26" s="500"/>
      <c r="SOE26" s="500"/>
      <c r="SOF26" s="500"/>
      <c r="SOG26" s="500"/>
      <c r="SOH26" s="500"/>
      <c r="SOI26" s="500"/>
      <c r="SOJ26" s="500"/>
      <c r="SOK26" s="500"/>
      <c r="SOL26" s="500"/>
      <c r="SOM26" s="500"/>
      <c r="SON26" s="500"/>
      <c r="SOO26" s="500"/>
      <c r="SOP26" s="500"/>
      <c r="SOQ26" s="500"/>
      <c r="SOR26" s="500"/>
      <c r="SOS26" s="500"/>
      <c r="SOT26" s="500"/>
      <c r="SOU26" s="500"/>
      <c r="SOV26" s="500"/>
      <c r="SOW26" s="500"/>
      <c r="SOX26" s="500"/>
      <c r="SOY26" s="500"/>
      <c r="SOZ26" s="500"/>
      <c r="SPA26" s="500"/>
      <c r="SPB26" s="500"/>
      <c r="SPC26" s="500"/>
      <c r="SPD26" s="500"/>
      <c r="SPE26" s="500"/>
      <c r="SPF26" s="500"/>
      <c r="SPG26" s="500"/>
      <c r="SPH26" s="500"/>
      <c r="SPI26" s="500"/>
      <c r="SPJ26" s="500"/>
      <c r="SPK26" s="500"/>
      <c r="SPL26" s="500"/>
      <c r="SPM26" s="500"/>
      <c r="SPN26" s="500"/>
      <c r="SPO26" s="500"/>
      <c r="SPP26" s="500"/>
      <c r="SPQ26" s="500"/>
      <c r="SPR26" s="500"/>
      <c r="SPS26" s="500"/>
      <c r="SPT26" s="500"/>
      <c r="SPU26" s="500"/>
      <c r="SPV26" s="500"/>
      <c r="SPW26" s="500"/>
      <c r="SPX26" s="500"/>
      <c r="SPY26" s="500"/>
      <c r="SPZ26" s="500"/>
      <c r="SQA26" s="500"/>
      <c r="SQB26" s="500"/>
      <c r="SQC26" s="500"/>
      <c r="SQD26" s="500"/>
      <c r="SQE26" s="500"/>
      <c r="SQF26" s="500"/>
      <c r="SQG26" s="500"/>
      <c r="SQH26" s="500"/>
      <c r="SQI26" s="500"/>
      <c r="SQJ26" s="500"/>
      <c r="SQK26" s="500"/>
      <c r="SQL26" s="500"/>
      <c r="SQM26" s="500"/>
      <c r="SQN26" s="500"/>
      <c r="SQO26" s="500"/>
      <c r="SQP26" s="500"/>
      <c r="SQQ26" s="500"/>
      <c r="SQR26" s="500"/>
      <c r="SQS26" s="500"/>
      <c r="SQT26" s="500"/>
      <c r="SQU26" s="500"/>
      <c r="SQV26" s="500"/>
      <c r="SQW26" s="500"/>
      <c r="SQX26" s="500"/>
      <c r="SQY26" s="500"/>
      <c r="SQZ26" s="500"/>
      <c r="SRA26" s="500"/>
      <c r="SRB26" s="500"/>
      <c r="SRC26" s="500"/>
      <c r="SRD26" s="500"/>
      <c r="SRE26" s="500"/>
      <c r="SRF26" s="500"/>
      <c r="SRG26" s="500"/>
      <c r="SRH26" s="500"/>
      <c r="SRI26" s="500"/>
      <c r="SRJ26" s="500"/>
      <c r="SRK26" s="500"/>
      <c r="SRL26" s="500"/>
      <c r="SRM26" s="500"/>
      <c r="SRN26" s="500"/>
      <c r="SRO26" s="500"/>
      <c r="SRP26" s="500"/>
      <c r="SRQ26" s="500"/>
      <c r="SRR26" s="500"/>
      <c r="SRS26" s="500"/>
      <c r="SRT26" s="500"/>
      <c r="SRU26" s="500"/>
      <c r="SRV26" s="500"/>
      <c r="SRW26" s="500"/>
      <c r="SRX26" s="500"/>
      <c r="SRY26" s="500"/>
      <c r="SRZ26" s="500"/>
      <c r="SSA26" s="500"/>
      <c r="SSB26" s="500"/>
      <c r="SSC26" s="500"/>
      <c r="SSD26" s="500"/>
      <c r="SSE26" s="500"/>
      <c r="SSF26" s="500"/>
      <c r="SSG26" s="500"/>
      <c r="SSH26" s="500"/>
      <c r="SSI26" s="500"/>
      <c r="SSJ26" s="500"/>
      <c r="SSK26" s="500"/>
      <c r="SSL26" s="500"/>
      <c r="SSM26" s="500"/>
      <c r="SSN26" s="500"/>
      <c r="SSO26" s="500"/>
      <c r="SSP26" s="500"/>
      <c r="SSQ26" s="500"/>
      <c r="SSR26" s="500"/>
      <c r="SSS26" s="500"/>
      <c r="SST26" s="500"/>
      <c r="SSU26" s="500"/>
      <c r="SSV26" s="500"/>
      <c r="SSW26" s="500"/>
      <c r="SSX26" s="500"/>
      <c r="SSY26" s="500"/>
      <c r="SSZ26" s="500"/>
      <c r="STA26" s="500"/>
      <c r="STB26" s="500"/>
      <c r="STC26" s="500"/>
      <c r="STD26" s="500"/>
      <c r="STE26" s="500"/>
      <c r="STF26" s="500"/>
      <c r="STG26" s="500"/>
      <c r="STH26" s="500"/>
      <c r="STI26" s="500"/>
      <c r="STJ26" s="500"/>
      <c r="STK26" s="500"/>
      <c r="STL26" s="500"/>
      <c r="STM26" s="500"/>
      <c r="STN26" s="500"/>
      <c r="STO26" s="500"/>
      <c r="STP26" s="500"/>
      <c r="STQ26" s="500"/>
      <c r="STR26" s="500"/>
      <c r="STS26" s="500"/>
      <c r="STT26" s="500"/>
      <c r="STU26" s="500"/>
      <c r="STV26" s="500"/>
      <c r="STW26" s="500"/>
      <c r="STX26" s="500"/>
      <c r="STY26" s="500"/>
      <c r="STZ26" s="500"/>
      <c r="SUA26" s="500"/>
      <c r="SUB26" s="500"/>
      <c r="SUC26" s="500"/>
      <c r="SUD26" s="500"/>
      <c r="SUE26" s="500"/>
      <c r="SUF26" s="500"/>
      <c r="SUG26" s="500"/>
      <c r="SUH26" s="500"/>
      <c r="SUI26" s="500"/>
      <c r="SUJ26" s="500"/>
      <c r="SUK26" s="500"/>
      <c r="SUL26" s="500"/>
      <c r="SUM26" s="500"/>
      <c r="SUN26" s="500"/>
      <c r="SUO26" s="500"/>
      <c r="SUP26" s="500"/>
      <c r="SUQ26" s="500"/>
      <c r="SUR26" s="500"/>
      <c r="SUS26" s="500"/>
      <c r="SUT26" s="500"/>
      <c r="SUU26" s="500"/>
      <c r="SUV26" s="500"/>
      <c r="SUW26" s="500"/>
      <c r="SUX26" s="500"/>
      <c r="SUY26" s="500"/>
      <c r="SUZ26" s="500"/>
      <c r="SVA26" s="500"/>
      <c r="SVB26" s="500"/>
      <c r="SVC26" s="500"/>
      <c r="SVD26" s="500"/>
      <c r="SVE26" s="500"/>
      <c r="SVF26" s="500"/>
      <c r="SVG26" s="500"/>
      <c r="SVH26" s="500"/>
      <c r="SVI26" s="500"/>
      <c r="SVJ26" s="500"/>
      <c r="SVK26" s="500"/>
      <c r="SVL26" s="500"/>
      <c r="SVM26" s="500"/>
      <c r="SVN26" s="500"/>
      <c r="SVO26" s="500"/>
      <c r="SVP26" s="500"/>
      <c r="SVQ26" s="500"/>
      <c r="SVR26" s="500"/>
      <c r="SVS26" s="500"/>
      <c r="SVT26" s="500"/>
      <c r="SVU26" s="500"/>
      <c r="SVV26" s="500"/>
      <c r="SVW26" s="500"/>
      <c r="SVX26" s="500"/>
      <c r="SVY26" s="500"/>
      <c r="SVZ26" s="500"/>
      <c r="SWA26" s="500"/>
      <c r="SWB26" s="500"/>
      <c r="SWC26" s="500"/>
      <c r="SWD26" s="500"/>
      <c r="SWE26" s="500"/>
      <c r="SWF26" s="500"/>
      <c r="SWG26" s="500"/>
      <c r="SWH26" s="500"/>
      <c r="SWI26" s="500"/>
      <c r="SWJ26" s="500"/>
      <c r="SWK26" s="500"/>
      <c r="SWL26" s="500"/>
      <c r="SWM26" s="500"/>
      <c r="SWN26" s="500"/>
      <c r="SWO26" s="500"/>
      <c r="SWP26" s="500"/>
      <c r="SWQ26" s="500"/>
      <c r="SWR26" s="500"/>
      <c r="SWS26" s="500"/>
      <c r="SWT26" s="500"/>
      <c r="SWU26" s="500"/>
      <c r="SWV26" s="500"/>
      <c r="SWW26" s="500"/>
      <c r="SWX26" s="500"/>
      <c r="SWY26" s="500"/>
      <c r="SWZ26" s="500"/>
      <c r="SXA26" s="500"/>
      <c r="SXB26" s="500"/>
      <c r="SXC26" s="500"/>
      <c r="SXD26" s="500"/>
      <c r="SXE26" s="500"/>
      <c r="SXF26" s="500"/>
      <c r="SXG26" s="500"/>
      <c r="SXH26" s="500"/>
      <c r="SXI26" s="500"/>
      <c r="SXJ26" s="500"/>
      <c r="SXK26" s="500"/>
      <c r="SXL26" s="500"/>
      <c r="SXM26" s="500"/>
      <c r="SXN26" s="500"/>
      <c r="SXO26" s="500"/>
      <c r="SXP26" s="500"/>
      <c r="SXQ26" s="500"/>
      <c r="SXR26" s="500"/>
      <c r="SXS26" s="500"/>
      <c r="SXT26" s="500"/>
      <c r="SXU26" s="500"/>
      <c r="SXV26" s="500"/>
      <c r="SXW26" s="500"/>
      <c r="SXX26" s="500"/>
      <c r="SXY26" s="500"/>
      <c r="SXZ26" s="500"/>
      <c r="SYA26" s="500"/>
      <c r="SYB26" s="500"/>
      <c r="SYC26" s="500"/>
      <c r="SYD26" s="500"/>
      <c r="SYE26" s="500"/>
      <c r="SYF26" s="500"/>
      <c r="SYG26" s="500"/>
      <c r="SYH26" s="500"/>
      <c r="SYI26" s="500"/>
      <c r="SYJ26" s="500"/>
      <c r="SYK26" s="500"/>
      <c r="SYL26" s="500"/>
      <c r="SYM26" s="500"/>
      <c r="SYN26" s="500"/>
      <c r="SYO26" s="500"/>
      <c r="SYP26" s="500"/>
      <c r="SYQ26" s="500"/>
      <c r="SYR26" s="500"/>
      <c r="SYS26" s="500"/>
      <c r="SYT26" s="500"/>
      <c r="SYU26" s="500"/>
      <c r="SYV26" s="500"/>
      <c r="SYW26" s="500"/>
      <c r="SYX26" s="500"/>
      <c r="SYY26" s="500"/>
      <c r="SYZ26" s="500"/>
      <c r="SZA26" s="500"/>
      <c r="SZB26" s="500"/>
      <c r="SZC26" s="500"/>
      <c r="SZD26" s="500"/>
      <c r="SZE26" s="500"/>
      <c r="SZF26" s="500"/>
      <c r="SZG26" s="500"/>
      <c r="SZH26" s="500"/>
      <c r="SZI26" s="500"/>
      <c r="SZJ26" s="500"/>
      <c r="SZK26" s="500"/>
      <c r="SZL26" s="500"/>
      <c r="SZM26" s="500"/>
      <c r="SZN26" s="500"/>
      <c r="SZO26" s="500"/>
      <c r="SZP26" s="500"/>
      <c r="SZQ26" s="500"/>
      <c r="SZR26" s="500"/>
      <c r="SZS26" s="500"/>
      <c r="SZT26" s="500"/>
      <c r="SZU26" s="500"/>
      <c r="SZV26" s="500"/>
      <c r="SZW26" s="500"/>
      <c r="SZX26" s="500"/>
      <c r="SZY26" s="500"/>
      <c r="SZZ26" s="500"/>
      <c r="TAA26" s="500"/>
      <c r="TAB26" s="500"/>
      <c r="TAC26" s="500"/>
      <c r="TAD26" s="500"/>
      <c r="TAE26" s="500"/>
      <c r="TAF26" s="500"/>
      <c r="TAG26" s="500"/>
      <c r="TAH26" s="500"/>
      <c r="TAI26" s="500"/>
      <c r="TAJ26" s="500"/>
      <c r="TAK26" s="500"/>
      <c r="TAL26" s="500"/>
      <c r="TAM26" s="500"/>
      <c r="TAN26" s="500"/>
      <c r="TAO26" s="500"/>
      <c r="TAP26" s="500"/>
      <c r="TAQ26" s="500"/>
      <c r="TAR26" s="500"/>
      <c r="TAS26" s="500"/>
      <c r="TAT26" s="500"/>
      <c r="TAU26" s="500"/>
      <c r="TAV26" s="500"/>
      <c r="TAW26" s="500"/>
      <c r="TAX26" s="500"/>
      <c r="TAY26" s="500"/>
      <c r="TAZ26" s="500"/>
      <c r="TBA26" s="500"/>
      <c r="TBB26" s="500"/>
      <c r="TBC26" s="500"/>
      <c r="TBD26" s="500"/>
      <c r="TBE26" s="500"/>
      <c r="TBF26" s="500"/>
      <c r="TBG26" s="500"/>
      <c r="TBH26" s="500"/>
      <c r="TBI26" s="500"/>
      <c r="TBJ26" s="500"/>
      <c r="TBK26" s="500"/>
      <c r="TBL26" s="500"/>
      <c r="TBM26" s="500"/>
      <c r="TBN26" s="500"/>
      <c r="TBO26" s="500"/>
      <c r="TBP26" s="500"/>
      <c r="TBQ26" s="500"/>
      <c r="TBR26" s="500"/>
      <c r="TBS26" s="500"/>
      <c r="TBT26" s="500"/>
      <c r="TBU26" s="500"/>
      <c r="TBV26" s="500"/>
      <c r="TBW26" s="500"/>
      <c r="TBX26" s="500"/>
      <c r="TBY26" s="500"/>
      <c r="TBZ26" s="500"/>
      <c r="TCA26" s="500"/>
      <c r="TCB26" s="500"/>
      <c r="TCC26" s="500"/>
      <c r="TCD26" s="500"/>
      <c r="TCE26" s="500"/>
      <c r="TCF26" s="500"/>
      <c r="TCG26" s="500"/>
      <c r="TCH26" s="500"/>
      <c r="TCI26" s="500"/>
      <c r="TCJ26" s="500"/>
      <c r="TCK26" s="500"/>
      <c r="TCL26" s="500"/>
      <c r="TCM26" s="500"/>
      <c r="TCN26" s="500"/>
      <c r="TCO26" s="500"/>
      <c r="TCP26" s="500"/>
      <c r="TCQ26" s="500"/>
      <c r="TCR26" s="500"/>
      <c r="TCS26" s="500"/>
      <c r="TCT26" s="500"/>
      <c r="TCU26" s="500"/>
      <c r="TCV26" s="500"/>
      <c r="TCW26" s="500"/>
      <c r="TCX26" s="500"/>
      <c r="TCY26" s="500"/>
      <c r="TCZ26" s="500"/>
      <c r="TDA26" s="500"/>
      <c r="TDB26" s="500"/>
      <c r="TDC26" s="500"/>
      <c r="TDD26" s="500"/>
      <c r="TDE26" s="500"/>
      <c r="TDF26" s="500"/>
      <c r="TDG26" s="500"/>
      <c r="TDH26" s="500"/>
      <c r="TDI26" s="500"/>
      <c r="TDJ26" s="500"/>
      <c r="TDK26" s="500"/>
      <c r="TDL26" s="500"/>
      <c r="TDM26" s="500"/>
      <c r="TDN26" s="500"/>
      <c r="TDO26" s="500"/>
      <c r="TDP26" s="500"/>
      <c r="TDQ26" s="500"/>
      <c r="TDR26" s="500"/>
      <c r="TDS26" s="500"/>
      <c r="TDT26" s="500"/>
      <c r="TDU26" s="500"/>
      <c r="TDV26" s="500"/>
      <c r="TDW26" s="500"/>
      <c r="TDX26" s="500"/>
      <c r="TDY26" s="500"/>
      <c r="TDZ26" s="500"/>
      <c r="TEA26" s="500"/>
      <c r="TEB26" s="500"/>
      <c r="TEC26" s="500"/>
      <c r="TED26" s="500"/>
      <c r="TEE26" s="500"/>
      <c r="TEF26" s="500"/>
      <c r="TEG26" s="500"/>
      <c r="TEH26" s="500"/>
      <c r="TEI26" s="500"/>
      <c r="TEJ26" s="500"/>
      <c r="TEK26" s="500"/>
      <c r="TEL26" s="500"/>
      <c r="TEM26" s="500"/>
      <c r="TEN26" s="500"/>
      <c r="TEO26" s="500"/>
      <c r="TEP26" s="500"/>
      <c r="TEQ26" s="500"/>
      <c r="TER26" s="500"/>
      <c r="TES26" s="500"/>
      <c r="TET26" s="500"/>
      <c r="TEU26" s="500"/>
      <c r="TEV26" s="500"/>
      <c r="TEW26" s="500"/>
      <c r="TEX26" s="500"/>
      <c r="TEY26" s="500"/>
      <c r="TEZ26" s="500"/>
      <c r="TFA26" s="500"/>
      <c r="TFB26" s="500"/>
      <c r="TFC26" s="500"/>
      <c r="TFD26" s="500"/>
      <c r="TFE26" s="500"/>
      <c r="TFF26" s="500"/>
      <c r="TFG26" s="500"/>
      <c r="TFH26" s="500"/>
      <c r="TFI26" s="500"/>
      <c r="TFJ26" s="500"/>
      <c r="TFK26" s="500"/>
      <c r="TFL26" s="500"/>
      <c r="TFM26" s="500"/>
      <c r="TFN26" s="500"/>
      <c r="TFO26" s="500"/>
      <c r="TFP26" s="500"/>
      <c r="TFQ26" s="500"/>
      <c r="TFR26" s="500"/>
      <c r="TFS26" s="500"/>
      <c r="TFT26" s="500"/>
      <c r="TFU26" s="500"/>
      <c r="TFV26" s="500"/>
      <c r="TFW26" s="500"/>
      <c r="TFX26" s="500"/>
      <c r="TFY26" s="500"/>
      <c r="TFZ26" s="500"/>
      <c r="TGA26" s="500"/>
      <c r="TGB26" s="500"/>
      <c r="TGC26" s="500"/>
      <c r="TGD26" s="500"/>
      <c r="TGE26" s="500"/>
      <c r="TGF26" s="500"/>
      <c r="TGG26" s="500"/>
      <c r="TGH26" s="500"/>
      <c r="TGI26" s="500"/>
      <c r="TGJ26" s="500"/>
      <c r="TGK26" s="500"/>
      <c r="TGL26" s="500"/>
      <c r="TGM26" s="500"/>
      <c r="TGN26" s="500"/>
      <c r="TGO26" s="500"/>
      <c r="TGP26" s="500"/>
      <c r="TGQ26" s="500"/>
      <c r="TGR26" s="500"/>
      <c r="TGS26" s="500"/>
      <c r="TGT26" s="500"/>
      <c r="TGU26" s="500"/>
      <c r="TGV26" s="500"/>
      <c r="TGW26" s="500"/>
      <c r="TGX26" s="500"/>
      <c r="TGY26" s="500"/>
      <c r="TGZ26" s="500"/>
      <c r="THA26" s="500"/>
      <c r="THB26" s="500"/>
      <c r="THC26" s="500"/>
      <c r="THD26" s="500"/>
      <c r="THE26" s="500"/>
      <c r="THF26" s="500"/>
      <c r="THG26" s="500"/>
      <c r="THH26" s="500"/>
      <c r="THI26" s="500"/>
      <c r="THJ26" s="500"/>
      <c r="THK26" s="500"/>
      <c r="THL26" s="500"/>
      <c r="THM26" s="500"/>
      <c r="THN26" s="500"/>
      <c r="THO26" s="500"/>
      <c r="THP26" s="500"/>
      <c r="THQ26" s="500"/>
      <c r="THR26" s="500"/>
      <c r="THS26" s="500"/>
      <c r="THT26" s="500"/>
      <c r="THU26" s="500"/>
      <c r="THV26" s="500"/>
      <c r="THW26" s="500"/>
      <c r="THX26" s="500"/>
      <c r="THY26" s="500"/>
      <c r="THZ26" s="500"/>
      <c r="TIA26" s="500"/>
      <c r="TIB26" s="500"/>
      <c r="TIC26" s="500"/>
      <c r="TID26" s="500"/>
      <c r="TIE26" s="500"/>
      <c r="TIF26" s="500"/>
      <c r="TIG26" s="500"/>
      <c r="TIH26" s="500"/>
      <c r="TII26" s="500"/>
      <c r="TIJ26" s="500"/>
      <c r="TIK26" s="500"/>
      <c r="TIL26" s="500"/>
      <c r="TIM26" s="500"/>
      <c r="TIN26" s="500"/>
      <c r="TIO26" s="500"/>
      <c r="TIP26" s="500"/>
      <c r="TIQ26" s="500"/>
      <c r="TIR26" s="500"/>
      <c r="TIS26" s="500"/>
      <c r="TIT26" s="500"/>
      <c r="TIU26" s="500"/>
      <c r="TIV26" s="500"/>
      <c r="TIW26" s="500"/>
      <c r="TIX26" s="500"/>
      <c r="TIY26" s="500"/>
      <c r="TIZ26" s="500"/>
      <c r="TJA26" s="500"/>
      <c r="TJB26" s="500"/>
      <c r="TJC26" s="500"/>
      <c r="TJD26" s="500"/>
      <c r="TJE26" s="500"/>
      <c r="TJF26" s="500"/>
      <c r="TJG26" s="500"/>
      <c r="TJH26" s="500"/>
      <c r="TJI26" s="500"/>
      <c r="TJJ26" s="500"/>
      <c r="TJK26" s="500"/>
      <c r="TJL26" s="500"/>
      <c r="TJM26" s="500"/>
      <c r="TJN26" s="500"/>
      <c r="TJO26" s="500"/>
      <c r="TJP26" s="500"/>
      <c r="TJQ26" s="500"/>
      <c r="TJR26" s="500"/>
      <c r="TJS26" s="500"/>
      <c r="TJT26" s="500"/>
      <c r="TJU26" s="500"/>
      <c r="TJV26" s="500"/>
      <c r="TJW26" s="500"/>
      <c r="TJX26" s="500"/>
      <c r="TJY26" s="500"/>
      <c r="TJZ26" s="500"/>
      <c r="TKA26" s="500"/>
      <c r="TKB26" s="500"/>
      <c r="TKC26" s="500"/>
      <c r="TKD26" s="500"/>
      <c r="TKE26" s="500"/>
      <c r="TKF26" s="500"/>
      <c r="TKG26" s="500"/>
      <c r="TKH26" s="500"/>
      <c r="TKI26" s="500"/>
      <c r="TKJ26" s="500"/>
      <c r="TKK26" s="500"/>
      <c r="TKL26" s="500"/>
      <c r="TKM26" s="500"/>
      <c r="TKN26" s="500"/>
      <c r="TKO26" s="500"/>
      <c r="TKP26" s="500"/>
      <c r="TKQ26" s="500"/>
      <c r="TKR26" s="500"/>
      <c r="TKS26" s="500"/>
      <c r="TKT26" s="500"/>
      <c r="TKU26" s="500"/>
      <c r="TKV26" s="500"/>
      <c r="TKW26" s="500"/>
      <c r="TKX26" s="500"/>
      <c r="TKY26" s="500"/>
      <c r="TKZ26" s="500"/>
      <c r="TLA26" s="500"/>
      <c r="TLB26" s="500"/>
      <c r="TLC26" s="500"/>
      <c r="TLD26" s="500"/>
      <c r="TLE26" s="500"/>
      <c r="TLF26" s="500"/>
      <c r="TLG26" s="500"/>
      <c r="TLH26" s="500"/>
      <c r="TLI26" s="500"/>
      <c r="TLJ26" s="500"/>
      <c r="TLK26" s="500"/>
      <c r="TLL26" s="500"/>
      <c r="TLM26" s="500"/>
      <c r="TLN26" s="500"/>
      <c r="TLO26" s="500"/>
      <c r="TLP26" s="500"/>
      <c r="TLQ26" s="500"/>
      <c r="TLR26" s="500"/>
      <c r="TLS26" s="500"/>
      <c r="TLT26" s="500"/>
      <c r="TLU26" s="500"/>
      <c r="TLV26" s="500"/>
      <c r="TLW26" s="500"/>
      <c r="TLX26" s="500"/>
      <c r="TLY26" s="500"/>
      <c r="TLZ26" s="500"/>
      <c r="TMA26" s="500"/>
      <c r="TMB26" s="500"/>
      <c r="TMC26" s="500"/>
      <c r="TMD26" s="500"/>
      <c r="TME26" s="500"/>
      <c r="TMF26" s="500"/>
      <c r="TMG26" s="500"/>
      <c r="TMH26" s="500"/>
      <c r="TMI26" s="500"/>
      <c r="TMJ26" s="500"/>
      <c r="TMK26" s="500"/>
      <c r="TML26" s="500"/>
      <c r="TMM26" s="500"/>
      <c r="TMN26" s="500"/>
      <c r="TMO26" s="500"/>
      <c r="TMP26" s="500"/>
      <c r="TMQ26" s="500"/>
      <c r="TMR26" s="500"/>
      <c r="TMS26" s="500"/>
      <c r="TMT26" s="500"/>
      <c r="TMU26" s="500"/>
      <c r="TMV26" s="500"/>
      <c r="TMW26" s="500"/>
      <c r="TMX26" s="500"/>
      <c r="TMY26" s="500"/>
      <c r="TMZ26" s="500"/>
      <c r="TNA26" s="500"/>
      <c r="TNB26" s="500"/>
      <c r="TNC26" s="500"/>
      <c r="TND26" s="500"/>
      <c r="TNE26" s="500"/>
      <c r="TNF26" s="500"/>
      <c r="TNG26" s="500"/>
      <c r="TNH26" s="500"/>
      <c r="TNI26" s="500"/>
      <c r="TNJ26" s="500"/>
      <c r="TNK26" s="500"/>
      <c r="TNL26" s="500"/>
      <c r="TNM26" s="500"/>
      <c r="TNN26" s="500"/>
      <c r="TNO26" s="500"/>
      <c r="TNP26" s="500"/>
      <c r="TNQ26" s="500"/>
      <c r="TNR26" s="500"/>
      <c r="TNS26" s="500"/>
      <c r="TNT26" s="500"/>
      <c r="TNU26" s="500"/>
      <c r="TNV26" s="500"/>
      <c r="TNW26" s="500"/>
      <c r="TNX26" s="500"/>
      <c r="TNY26" s="500"/>
      <c r="TNZ26" s="500"/>
      <c r="TOA26" s="500"/>
      <c r="TOB26" s="500"/>
      <c r="TOC26" s="500"/>
      <c r="TOD26" s="500"/>
      <c r="TOE26" s="500"/>
      <c r="TOF26" s="500"/>
      <c r="TOG26" s="500"/>
      <c r="TOH26" s="500"/>
      <c r="TOI26" s="500"/>
      <c r="TOJ26" s="500"/>
      <c r="TOK26" s="500"/>
      <c r="TOL26" s="500"/>
      <c r="TOM26" s="500"/>
      <c r="TON26" s="500"/>
      <c r="TOO26" s="500"/>
      <c r="TOP26" s="500"/>
      <c r="TOQ26" s="500"/>
      <c r="TOR26" s="500"/>
      <c r="TOS26" s="500"/>
      <c r="TOT26" s="500"/>
      <c r="TOU26" s="500"/>
      <c r="TOV26" s="500"/>
      <c r="TOW26" s="500"/>
      <c r="TOX26" s="500"/>
      <c r="TOY26" s="500"/>
      <c r="TOZ26" s="500"/>
      <c r="TPA26" s="500"/>
      <c r="TPB26" s="500"/>
      <c r="TPC26" s="500"/>
      <c r="TPD26" s="500"/>
      <c r="TPE26" s="500"/>
      <c r="TPF26" s="500"/>
      <c r="TPG26" s="500"/>
      <c r="TPH26" s="500"/>
      <c r="TPI26" s="500"/>
      <c r="TPJ26" s="500"/>
      <c r="TPK26" s="500"/>
      <c r="TPL26" s="500"/>
      <c r="TPM26" s="500"/>
      <c r="TPN26" s="500"/>
      <c r="TPO26" s="500"/>
      <c r="TPP26" s="500"/>
      <c r="TPQ26" s="500"/>
      <c r="TPR26" s="500"/>
      <c r="TPS26" s="500"/>
      <c r="TPT26" s="500"/>
      <c r="TPU26" s="500"/>
      <c r="TPV26" s="500"/>
      <c r="TPW26" s="500"/>
      <c r="TPX26" s="500"/>
      <c r="TPY26" s="500"/>
      <c r="TPZ26" s="500"/>
      <c r="TQA26" s="500"/>
      <c r="TQB26" s="500"/>
      <c r="TQC26" s="500"/>
      <c r="TQD26" s="500"/>
      <c r="TQE26" s="500"/>
      <c r="TQF26" s="500"/>
      <c r="TQG26" s="500"/>
      <c r="TQH26" s="500"/>
      <c r="TQI26" s="500"/>
      <c r="TQJ26" s="500"/>
      <c r="TQK26" s="500"/>
      <c r="TQL26" s="500"/>
      <c r="TQM26" s="500"/>
      <c r="TQN26" s="500"/>
      <c r="TQO26" s="500"/>
      <c r="TQP26" s="500"/>
      <c r="TQQ26" s="500"/>
      <c r="TQR26" s="500"/>
      <c r="TQS26" s="500"/>
      <c r="TQT26" s="500"/>
      <c r="TQU26" s="500"/>
      <c r="TQV26" s="500"/>
      <c r="TQW26" s="500"/>
      <c r="TQX26" s="500"/>
      <c r="TQY26" s="500"/>
      <c r="TQZ26" s="500"/>
      <c r="TRA26" s="500"/>
      <c r="TRB26" s="500"/>
      <c r="TRC26" s="500"/>
      <c r="TRD26" s="500"/>
      <c r="TRE26" s="500"/>
      <c r="TRF26" s="500"/>
      <c r="TRG26" s="500"/>
      <c r="TRH26" s="500"/>
      <c r="TRI26" s="500"/>
      <c r="TRJ26" s="500"/>
      <c r="TRK26" s="500"/>
      <c r="TRL26" s="500"/>
      <c r="TRM26" s="500"/>
      <c r="TRN26" s="500"/>
      <c r="TRO26" s="500"/>
      <c r="TRP26" s="500"/>
      <c r="TRQ26" s="500"/>
      <c r="TRR26" s="500"/>
      <c r="TRS26" s="500"/>
      <c r="TRT26" s="500"/>
      <c r="TRU26" s="500"/>
      <c r="TRV26" s="500"/>
      <c r="TRW26" s="500"/>
      <c r="TRX26" s="500"/>
      <c r="TRY26" s="500"/>
      <c r="TRZ26" s="500"/>
      <c r="TSA26" s="500"/>
      <c r="TSB26" s="500"/>
      <c r="TSC26" s="500"/>
      <c r="TSD26" s="500"/>
      <c r="TSE26" s="500"/>
      <c r="TSF26" s="500"/>
      <c r="TSG26" s="500"/>
      <c r="TSH26" s="500"/>
      <c r="TSI26" s="500"/>
      <c r="TSJ26" s="500"/>
      <c r="TSK26" s="500"/>
      <c r="TSL26" s="500"/>
      <c r="TSM26" s="500"/>
      <c r="TSN26" s="500"/>
      <c r="TSO26" s="500"/>
      <c r="TSP26" s="500"/>
      <c r="TSQ26" s="500"/>
      <c r="TSR26" s="500"/>
      <c r="TSS26" s="500"/>
      <c r="TST26" s="500"/>
      <c r="TSU26" s="500"/>
      <c r="TSV26" s="500"/>
      <c r="TSW26" s="500"/>
      <c r="TSX26" s="500"/>
      <c r="TSY26" s="500"/>
      <c r="TSZ26" s="500"/>
      <c r="TTA26" s="500"/>
      <c r="TTB26" s="500"/>
      <c r="TTC26" s="500"/>
      <c r="TTD26" s="500"/>
      <c r="TTE26" s="500"/>
      <c r="TTF26" s="500"/>
      <c r="TTG26" s="500"/>
      <c r="TTH26" s="500"/>
      <c r="TTI26" s="500"/>
      <c r="TTJ26" s="500"/>
      <c r="TTK26" s="500"/>
      <c r="TTL26" s="500"/>
      <c r="TTM26" s="500"/>
      <c r="TTN26" s="500"/>
      <c r="TTO26" s="500"/>
      <c r="TTP26" s="500"/>
      <c r="TTQ26" s="500"/>
      <c r="TTR26" s="500"/>
      <c r="TTS26" s="500"/>
      <c r="TTT26" s="500"/>
      <c r="TTU26" s="500"/>
      <c r="TTV26" s="500"/>
      <c r="TTW26" s="500"/>
      <c r="TTX26" s="500"/>
      <c r="TTY26" s="500"/>
      <c r="TTZ26" s="500"/>
      <c r="TUA26" s="500"/>
      <c r="TUB26" s="500"/>
      <c r="TUC26" s="500"/>
      <c r="TUD26" s="500"/>
      <c r="TUE26" s="500"/>
      <c r="TUF26" s="500"/>
      <c r="TUG26" s="500"/>
      <c r="TUH26" s="500"/>
      <c r="TUI26" s="500"/>
      <c r="TUJ26" s="500"/>
      <c r="TUK26" s="500"/>
      <c r="TUL26" s="500"/>
      <c r="TUM26" s="500"/>
      <c r="TUN26" s="500"/>
      <c r="TUO26" s="500"/>
      <c r="TUP26" s="500"/>
      <c r="TUQ26" s="500"/>
      <c r="TUR26" s="500"/>
      <c r="TUS26" s="500"/>
      <c r="TUT26" s="500"/>
      <c r="TUU26" s="500"/>
      <c r="TUV26" s="500"/>
      <c r="TUW26" s="500"/>
      <c r="TUX26" s="500"/>
      <c r="TUY26" s="500"/>
      <c r="TUZ26" s="500"/>
      <c r="TVA26" s="500"/>
      <c r="TVB26" s="500"/>
      <c r="TVC26" s="500"/>
      <c r="TVD26" s="500"/>
      <c r="TVE26" s="500"/>
      <c r="TVF26" s="500"/>
      <c r="TVG26" s="500"/>
      <c r="TVH26" s="500"/>
      <c r="TVI26" s="500"/>
      <c r="TVJ26" s="500"/>
      <c r="TVK26" s="500"/>
      <c r="TVL26" s="500"/>
      <c r="TVM26" s="500"/>
      <c r="TVN26" s="500"/>
      <c r="TVO26" s="500"/>
      <c r="TVP26" s="500"/>
      <c r="TVQ26" s="500"/>
      <c r="TVR26" s="500"/>
      <c r="TVS26" s="500"/>
      <c r="TVT26" s="500"/>
      <c r="TVU26" s="500"/>
      <c r="TVV26" s="500"/>
      <c r="TVW26" s="500"/>
      <c r="TVX26" s="500"/>
      <c r="TVY26" s="500"/>
      <c r="TVZ26" s="500"/>
      <c r="TWA26" s="500"/>
      <c r="TWB26" s="500"/>
      <c r="TWC26" s="500"/>
      <c r="TWD26" s="500"/>
      <c r="TWE26" s="500"/>
      <c r="TWF26" s="500"/>
      <c r="TWG26" s="500"/>
      <c r="TWH26" s="500"/>
      <c r="TWI26" s="500"/>
      <c r="TWJ26" s="500"/>
      <c r="TWK26" s="500"/>
      <c r="TWL26" s="500"/>
      <c r="TWM26" s="500"/>
      <c r="TWN26" s="500"/>
      <c r="TWO26" s="500"/>
      <c r="TWP26" s="500"/>
      <c r="TWQ26" s="500"/>
      <c r="TWR26" s="500"/>
      <c r="TWS26" s="500"/>
      <c r="TWT26" s="500"/>
      <c r="TWU26" s="500"/>
      <c r="TWV26" s="500"/>
      <c r="TWW26" s="500"/>
      <c r="TWX26" s="500"/>
      <c r="TWY26" s="500"/>
      <c r="TWZ26" s="500"/>
      <c r="TXA26" s="500"/>
      <c r="TXB26" s="500"/>
      <c r="TXC26" s="500"/>
      <c r="TXD26" s="500"/>
      <c r="TXE26" s="500"/>
      <c r="TXF26" s="500"/>
      <c r="TXG26" s="500"/>
      <c r="TXH26" s="500"/>
      <c r="TXI26" s="500"/>
      <c r="TXJ26" s="500"/>
      <c r="TXK26" s="500"/>
      <c r="TXL26" s="500"/>
      <c r="TXM26" s="500"/>
      <c r="TXN26" s="500"/>
      <c r="TXO26" s="500"/>
      <c r="TXP26" s="500"/>
      <c r="TXQ26" s="500"/>
      <c r="TXR26" s="500"/>
      <c r="TXS26" s="500"/>
      <c r="TXT26" s="500"/>
      <c r="TXU26" s="500"/>
      <c r="TXV26" s="500"/>
      <c r="TXW26" s="500"/>
      <c r="TXX26" s="500"/>
      <c r="TXY26" s="500"/>
      <c r="TXZ26" s="500"/>
      <c r="TYA26" s="500"/>
      <c r="TYB26" s="500"/>
      <c r="TYC26" s="500"/>
      <c r="TYD26" s="500"/>
      <c r="TYE26" s="500"/>
      <c r="TYF26" s="500"/>
      <c r="TYG26" s="500"/>
      <c r="TYH26" s="500"/>
      <c r="TYI26" s="500"/>
      <c r="TYJ26" s="500"/>
      <c r="TYK26" s="500"/>
      <c r="TYL26" s="500"/>
      <c r="TYM26" s="500"/>
      <c r="TYN26" s="500"/>
      <c r="TYO26" s="500"/>
      <c r="TYP26" s="500"/>
      <c r="TYQ26" s="500"/>
      <c r="TYR26" s="500"/>
      <c r="TYS26" s="500"/>
      <c r="TYT26" s="500"/>
      <c r="TYU26" s="500"/>
      <c r="TYV26" s="500"/>
      <c r="TYW26" s="500"/>
      <c r="TYX26" s="500"/>
      <c r="TYY26" s="500"/>
      <c r="TYZ26" s="500"/>
      <c r="TZA26" s="500"/>
      <c r="TZB26" s="500"/>
      <c r="TZC26" s="500"/>
      <c r="TZD26" s="500"/>
      <c r="TZE26" s="500"/>
      <c r="TZF26" s="500"/>
      <c r="TZG26" s="500"/>
      <c r="TZH26" s="500"/>
      <c r="TZI26" s="500"/>
      <c r="TZJ26" s="500"/>
      <c r="TZK26" s="500"/>
      <c r="TZL26" s="500"/>
      <c r="TZM26" s="500"/>
      <c r="TZN26" s="500"/>
      <c r="TZO26" s="500"/>
      <c r="TZP26" s="500"/>
      <c r="TZQ26" s="500"/>
      <c r="TZR26" s="500"/>
      <c r="TZS26" s="500"/>
      <c r="TZT26" s="500"/>
      <c r="TZU26" s="500"/>
      <c r="TZV26" s="500"/>
      <c r="TZW26" s="500"/>
      <c r="TZX26" s="500"/>
      <c r="TZY26" s="500"/>
      <c r="TZZ26" s="500"/>
      <c r="UAA26" s="500"/>
      <c r="UAB26" s="500"/>
      <c r="UAC26" s="500"/>
      <c r="UAD26" s="500"/>
      <c r="UAE26" s="500"/>
      <c r="UAF26" s="500"/>
      <c r="UAG26" s="500"/>
      <c r="UAH26" s="500"/>
      <c r="UAI26" s="500"/>
      <c r="UAJ26" s="500"/>
      <c r="UAK26" s="500"/>
      <c r="UAL26" s="500"/>
      <c r="UAM26" s="500"/>
      <c r="UAN26" s="500"/>
      <c r="UAO26" s="500"/>
      <c r="UAP26" s="500"/>
      <c r="UAQ26" s="500"/>
      <c r="UAR26" s="500"/>
      <c r="UAS26" s="500"/>
      <c r="UAT26" s="500"/>
      <c r="UAU26" s="500"/>
      <c r="UAV26" s="500"/>
      <c r="UAW26" s="500"/>
      <c r="UAX26" s="500"/>
      <c r="UAY26" s="500"/>
      <c r="UAZ26" s="500"/>
      <c r="UBA26" s="500"/>
      <c r="UBB26" s="500"/>
      <c r="UBC26" s="500"/>
      <c r="UBD26" s="500"/>
      <c r="UBE26" s="500"/>
      <c r="UBF26" s="500"/>
      <c r="UBG26" s="500"/>
      <c r="UBH26" s="500"/>
      <c r="UBI26" s="500"/>
      <c r="UBJ26" s="500"/>
      <c r="UBK26" s="500"/>
      <c r="UBL26" s="500"/>
      <c r="UBM26" s="500"/>
      <c r="UBN26" s="500"/>
      <c r="UBO26" s="500"/>
      <c r="UBP26" s="500"/>
      <c r="UBQ26" s="500"/>
      <c r="UBR26" s="500"/>
      <c r="UBS26" s="500"/>
      <c r="UBT26" s="500"/>
      <c r="UBU26" s="500"/>
      <c r="UBV26" s="500"/>
      <c r="UBW26" s="500"/>
      <c r="UBX26" s="500"/>
      <c r="UBY26" s="500"/>
      <c r="UBZ26" s="500"/>
      <c r="UCA26" s="500"/>
      <c r="UCB26" s="500"/>
      <c r="UCC26" s="500"/>
      <c r="UCD26" s="500"/>
      <c r="UCE26" s="500"/>
      <c r="UCF26" s="500"/>
      <c r="UCG26" s="500"/>
      <c r="UCH26" s="500"/>
      <c r="UCI26" s="500"/>
      <c r="UCJ26" s="500"/>
      <c r="UCK26" s="500"/>
      <c r="UCL26" s="500"/>
      <c r="UCM26" s="500"/>
      <c r="UCN26" s="500"/>
      <c r="UCO26" s="500"/>
      <c r="UCP26" s="500"/>
      <c r="UCQ26" s="500"/>
      <c r="UCR26" s="500"/>
      <c r="UCS26" s="500"/>
      <c r="UCT26" s="500"/>
      <c r="UCU26" s="500"/>
      <c r="UCV26" s="500"/>
      <c r="UCW26" s="500"/>
      <c r="UCX26" s="500"/>
      <c r="UCY26" s="500"/>
      <c r="UCZ26" s="500"/>
      <c r="UDA26" s="500"/>
      <c r="UDB26" s="500"/>
      <c r="UDC26" s="500"/>
      <c r="UDD26" s="500"/>
      <c r="UDE26" s="500"/>
      <c r="UDF26" s="500"/>
      <c r="UDG26" s="500"/>
      <c r="UDH26" s="500"/>
      <c r="UDI26" s="500"/>
      <c r="UDJ26" s="500"/>
      <c r="UDK26" s="500"/>
      <c r="UDL26" s="500"/>
      <c r="UDM26" s="500"/>
      <c r="UDN26" s="500"/>
      <c r="UDO26" s="500"/>
      <c r="UDP26" s="500"/>
      <c r="UDQ26" s="500"/>
      <c r="UDR26" s="500"/>
      <c r="UDS26" s="500"/>
      <c r="UDT26" s="500"/>
      <c r="UDU26" s="500"/>
      <c r="UDV26" s="500"/>
      <c r="UDW26" s="500"/>
      <c r="UDX26" s="500"/>
      <c r="UDY26" s="500"/>
      <c r="UDZ26" s="500"/>
      <c r="UEA26" s="500"/>
      <c r="UEB26" s="500"/>
      <c r="UEC26" s="500"/>
      <c r="UED26" s="500"/>
      <c r="UEE26" s="500"/>
      <c r="UEF26" s="500"/>
      <c r="UEG26" s="500"/>
      <c r="UEH26" s="500"/>
      <c r="UEI26" s="500"/>
      <c r="UEJ26" s="500"/>
      <c r="UEK26" s="500"/>
      <c r="UEL26" s="500"/>
      <c r="UEM26" s="500"/>
      <c r="UEN26" s="500"/>
      <c r="UEO26" s="500"/>
      <c r="UEP26" s="500"/>
      <c r="UEQ26" s="500"/>
      <c r="UER26" s="500"/>
      <c r="UES26" s="500"/>
      <c r="UET26" s="500"/>
      <c r="UEU26" s="500"/>
      <c r="UEV26" s="500"/>
      <c r="UEW26" s="500"/>
      <c r="UEX26" s="500"/>
      <c r="UEY26" s="500"/>
      <c r="UEZ26" s="500"/>
      <c r="UFA26" s="500"/>
      <c r="UFB26" s="500"/>
      <c r="UFC26" s="500"/>
      <c r="UFD26" s="500"/>
      <c r="UFE26" s="500"/>
      <c r="UFF26" s="500"/>
      <c r="UFG26" s="500"/>
      <c r="UFH26" s="500"/>
      <c r="UFI26" s="500"/>
      <c r="UFJ26" s="500"/>
      <c r="UFK26" s="500"/>
      <c r="UFL26" s="500"/>
      <c r="UFM26" s="500"/>
      <c r="UFN26" s="500"/>
      <c r="UFO26" s="500"/>
      <c r="UFP26" s="500"/>
      <c r="UFQ26" s="500"/>
      <c r="UFR26" s="500"/>
      <c r="UFS26" s="500"/>
      <c r="UFT26" s="500"/>
      <c r="UFU26" s="500"/>
      <c r="UFV26" s="500"/>
      <c r="UFW26" s="500"/>
      <c r="UFX26" s="500"/>
      <c r="UFY26" s="500"/>
      <c r="UFZ26" s="500"/>
      <c r="UGA26" s="500"/>
      <c r="UGB26" s="500"/>
      <c r="UGC26" s="500"/>
      <c r="UGD26" s="500"/>
      <c r="UGE26" s="500"/>
      <c r="UGF26" s="500"/>
      <c r="UGG26" s="500"/>
      <c r="UGH26" s="500"/>
      <c r="UGI26" s="500"/>
      <c r="UGJ26" s="500"/>
      <c r="UGK26" s="500"/>
      <c r="UGL26" s="500"/>
      <c r="UGM26" s="500"/>
      <c r="UGN26" s="500"/>
      <c r="UGO26" s="500"/>
      <c r="UGP26" s="500"/>
      <c r="UGQ26" s="500"/>
      <c r="UGR26" s="500"/>
      <c r="UGS26" s="500"/>
      <c r="UGT26" s="500"/>
      <c r="UGU26" s="500"/>
      <c r="UGV26" s="500"/>
      <c r="UGW26" s="500"/>
      <c r="UGX26" s="500"/>
      <c r="UGY26" s="500"/>
      <c r="UGZ26" s="500"/>
      <c r="UHA26" s="500"/>
      <c r="UHB26" s="500"/>
      <c r="UHC26" s="500"/>
      <c r="UHD26" s="500"/>
      <c r="UHE26" s="500"/>
      <c r="UHF26" s="500"/>
      <c r="UHG26" s="500"/>
      <c r="UHH26" s="500"/>
      <c r="UHI26" s="500"/>
      <c r="UHJ26" s="500"/>
      <c r="UHK26" s="500"/>
      <c r="UHL26" s="500"/>
      <c r="UHM26" s="500"/>
      <c r="UHN26" s="500"/>
      <c r="UHO26" s="500"/>
      <c r="UHP26" s="500"/>
      <c r="UHQ26" s="500"/>
      <c r="UHR26" s="500"/>
      <c r="UHS26" s="500"/>
      <c r="UHT26" s="500"/>
      <c r="UHU26" s="500"/>
      <c r="UHV26" s="500"/>
      <c r="UHW26" s="500"/>
      <c r="UHX26" s="500"/>
      <c r="UHY26" s="500"/>
      <c r="UHZ26" s="500"/>
      <c r="UIA26" s="500"/>
      <c r="UIB26" s="500"/>
      <c r="UIC26" s="500"/>
      <c r="UID26" s="500"/>
      <c r="UIE26" s="500"/>
      <c r="UIF26" s="500"/>
      <c r="UIG26" s="500"/>
      <c r="UIH26" s="500"/>
      <c r="UII26" s="500"/>
      <c r="UIJ26" s="500"/>
      <c r="UIK26" s="500"/>
      <c r="UIL26" s="500"/>
      <c r="UIM26" s="500"/>
      <c r="UIN26" s="500"/>
      <c r="UIO26" s="500"/>
      <c r="UIP26" s="500"/>
      <c r="UIQ26" s="500"/>
      <c r="UIR26" s="500"/>
      <c r="UIS26" s="500"/>
      <c r="UIT26" s="500"/>
      <c r="UIU26" s="500"/>
      <c r="UIV26" s="500"/>
      <c r="UIW26" s="500"/>
      <c r="UIX26" s="500"/>
      <c r="UIY26" s="500"/>
      <c r="UIZ26" s="500"/>
      <c r="UJA26" s="500"/>
      <c r="UJB26" s="500"/>
      <c r="UJC26" s="500"/>
      <c r="UJD26" s="500"/>
      <c r="UJE26" s="500"/>
      <c r="UJF26" s="500"/>
      <c r="UJG26" s="500"/>
      <c r="UJH26" s="500"/>
      <c r="UJI26" s="500"/>
      <c r="UJJ26" s="500"/>
      <c r="UJK26" s="500"/>
      <c r="UJL26" s="500"/>
      <c r="UJM26" s="500"/>
      <c r="UJN26" s="500"/>
      <c r="UJO26" s="500"/>
      <c r="UJP26" s="500"/>
      <c r="UJQ26" s="500"/>
      <c r="UJR26" s="500"/>
      <c r="UJS26" s="500"/>
      <c r="UJT26" s="500"/>
      <c r="UJU26" s="500"/>
      <c r="UJV26" s="500"/>
      <c r="UJW26" s="500"/>
      <c r="UJX26" s="500"/>
      <c r="UJY26" s="500"/>
      <c r="UJZ26" s="500"/>
      <c r="UKA26" s="500"/>
      <c r="UKB26" s="500"/>
      <c r="UKC26" s="500"/>
      <c r="UKD26" s="500"/>
      <c r="UKE26" s="500"/>
      <c r="UKF26" s="500"/>
      <c r="UKG26" s="500"/>
      <c r="UKH26" s="500"/>
      <c r="UKI26" s="500"/>
      <c r="UKJ26" s="500"/>
      <c r="UKK26" s="500"/>
      <c r="UKL26" s="500"/>
      <c r="UKM26" s="500"/>
      <c r="UKN26" s="500"/>
      <c r="UKO26" s="500"/>
      <c r="UKP26" s="500"/>
      <c r="UKQ26" s="500"/>
      <c r="UKR26" s="500"/>
      <c r="UKS26" s="500"/>
      <c r="UKT26" s="500"/>
      <c r="UKU26" s="500"/>
      <c r="UKV26" s="500"/>
      <c r="UKW26" s="500"/>
      <c r="UKX26" s="500"/>
      <c r="UKY26" s="500"/>
      <c r="UKZ26" s="500"/>
      <c r="ULA26" s="500"/>
      <c r="ULB26" s="500"/>
      <c r="ULC26" s="500"/>
      <c r="ULD26" s="500"/>
      <c r="ULE26" s="500"/>
      <c r="ULF26" s="500"/>
      <c r="ULG26" s="500"/>
      <c r="ULH26" s="500"/>
      <c r="ULI26" s="500"/>
      <c r="ULJ26" s="500"/>
      <c r="ULK26" s="500"/>
      <c r="ULL26" s="500"/>
      <c r="ULM26" s="500"/>
      <c r="ULN26" s="500"/>
      <c r="ULO26" s="500"/>
      <c r="ULP26" s="500"/>
      <c r="ULQ26" s="500"/>
      <c r="ULR26" s="500"/>
      <c r="ULS26" s="500"/>
      <c r="ULT26" s="500"/>
      <c r="ULU26" s="500"/>
      <c r="ULV26" s="500"/>
      <c r="ULW26" s="500"/>
      <c r="ULX26" s="500"/>
      <c r="ULY26" s="500"/>
      <c r="ULZ26" s="500"/>
      <c r="UMA26" s="500"/>
      <c r="UMB26" s="500"/>
      <c r="UMC26" s="500"/>
      <c r="UMD26" s="500"/>
      <c r="UME26" s="500"/>
      <c r="UMF26" s="500"/>
      <c r="UMG26" s="500"/>
      <c r="UMH26" s="500"/>
      <c r="UMI26" s="500"/>
      <c r="UMJ26" s="500"/>
      <c r="UMK26" s="500"/>
      <c r="UML26" s="500"/>
      <c r="UMM26" s="500"/>
      <c r="UMN26" s="500"/>
      <c r="UMO26" s="500"/>
      <c r="UMP26" s="500"/>
      <c r="UMQ26" s="500"/>
      <c r="UMR26" s="500"/>
      <c r="UMS26" s="500"/>
      <c r="UMT26" s="500"/>
      <c r="UMU26" s="500"/>
      <c r="UMV26" s="500"/>
      <c r="UMW26" s="500"/>
      <c r="UMX26" s="500"/>
      <c r="UMY26" s="500"/>
      <c r="UMZ26" s="500"/>
      <c r="UNA26" s="500"/>
      <c r="UNB26" s="500"/>
      <c r="UNC26" s="500"/>
      <c r="UND26" s="500"/>
      <c r="UNE26" s="500"/>
      <c r="UNF26" s="500"/>
      <c r="UNG26" s="500"/>
      <c r="UNH26" s="500"/>
      <c r="UNI26" s="500"/>
      <c r="UNJ26" s="500"/>
      <c r="UNK26" s="500"/>
      <c r="UNL26" s="500"/>
      <c r="UNM26" s="500"/>
      <c r="UNN26" s="500"/>
      <c r="UNO26" s="500"/>
      <c r="UNP26" s="500"/>
      <c r="UNQ26" s="500"/>
      <c r="UNR26" s="500"/>
      <c r="UNS26" s="500"/>
      <c r="UNT26" s="500"/>
      <c r="UNU26" s="500"/>
      <c r="UNV26" s="500"/>
      <c r="UNW26" s="500"/>
      <c r="UNX26" s="500"/>
      <c r="UNY26" s="500"/>
      <c r="UNZ26" s="500"/>
      <c r="UOA26" s="500"/>
      <c r="UOB26" s="500"/>
      <c r="UOC26" s="500"/>
      <c r="UOD26" s="500"/>
      <c r="UOE26" s="500"/>
      <c r="UOF26" s="500"/>
      <c r="UOG26" s="500"/>
      <c r="UOH26" s="500"/>
      <c r="UOI26" s="500"/>
      <c r="UOJ26" s="500"/>
      <c r="UOK26" s="500"/>
      <c r="UOL26" s="500"/>
      <c r="UOM26" s="500"/>
      <c r="UON26" s="500"/>
      <c r="UOO26" s="500"/>
      <c r="UOP26" s="500"/>
      <c r="UOQ26" s="500"/>
      <c r="UOR26" s="500"/>
      <c r="UOS26" s="500"/>
      <c r="UOT26" s="500"/>
      <c r="UOU26" s="500"/>
      <c r="UOV26" s="500"/>
      <c r="UOW26" s="500"/>
      <c r="UOX26" s="500"/>
      <c r="UOY26" s="500"/>
      <c r="UOZ26" s="500"/>
      <c r="UPA26" s="500"/>
      <c r="UPB26" s="500"/>
      <c r="UPC26" s="500"/>
      <c r="UPD26" s="500"/>
      <c r="UPE26" s="500"/>
      <c r="UPF26" s="500"/>
      <c r="UPG26" s="500"/>
      <c r="UPH26" s="500"/>
      <c r="UPI26" s="500"/>
      <c r="UPJ26" s="500"/>
      <c r="UPK26" s="500"/>
      <c r="UPL26" s="500"/>
      <c r="UPM26" s="500"/>
      <c r="UPN26" s="500"/>
      <c r="UPO26" s="500"/>
      <c r="UPP26" s="500"/>
      <c r="UPQ26" s="500"/>
      <c r="UPR26" s="500"/>
      <c r="UPS26" s="500"/>
      <c r="UPT26" s="500"/>
      <c r="UPU26" s="500"/>
      <c r="UPV26" s="500"/>
      <c r="UPW26" s="500"/>
      <c r="UPX26" s="500"/>
      <c r="UPY26" s="500"/>
      <c r="UPZ26" s="500"/>
      <c r="UQA26" s="500"/>
      <c r="UQB26" s="500"/>
      <c r="UQC26" s="500"/>
      <c r="UQD26" s="500"/>
      <c r="UQE26" s="500"/>
      <c r="UQF26" s="500"/>
      <c r="UQG26" s="500"/>
      <c r="UQH26" s="500"/>
      <c r="UQI26" s="500"/>
      <c r="UQJ26" s="500"/>
      <c r="UQK26" s="500"/>
      <c r="UQL26" s="500"/>
      <c r="UQM26" s="500"/>
      <c r="UQN26" s="500"/>
      <c r="UQO26" s="500"/>
      <c r="UQP26" s="500"/>
      <c r="UQQ26" s="500"/>
      <c r="UQR26" s="500"/>
      <c r="UQS26" s="500"/>
      <c r="UQT26" s="500"/>
      <c r="UQU26" s="500"/>
      <c r="UQV26" s="500"/>
      <c r="UQW26" s="500"/>
      <c r="UQX26" s="500"/>
      <c r="UQY26" s="500"/>
      <c r="UQZ26" s="500"/>
      <c r="URA26" s="500"/>
      <c r="URB26" s="500"/>
      <c r="URC26" s="500"/>
      <c r="URD26" s="500"/>
      <c r="URE26" s="500"/>
      <c r="URF26" s="500"/>
      <c r="URG26" s="500"/>
      <c r="URH26" s="500"/>
      <c r="URI26" s="500"/>
      <c r="URJ26" s="500"/>
      <c r="URK26" s="500"/>
      <c r="URL26" s="500"/>
      <c r="URM26" s="500"/>
      <c r="URN26" s="500"/>
      <c r="URO26" s="500"/>
      <c r="URP26" s="500"/>
      <c r="URQ26" s="500"/>
      <c r="URR26" s="500"/>
      <c r="URS26" s="500"/>
      <c r="URT26" s="500"/>
      <c r="URU26" s="500"/>
      <c r="URV26" s="500"/>
      <c r="URW26" s="500"/>
      <c r="URX26" s="500"/>
      <c r="URY26" s="500"/>
      <c r="URZ26" s="500"/>
      <c r="USA26" s="500"/>
      <c r="USB26" s="500"/>
      <c r="USC26" s="500"/>
      <c r="USD26" s="500"/>
      <c r="USE26" s="500"/>
      <c r="USF26" s="500"/>
      <c r="USG26" s="500"/>
      <c r="USH26" s="500"/>
      <c r="USI26" s="500"/>
      <c r="USJ26" s="500"/>
      <c r="USK26" s="500"/>
      <c r="USL26" s="500"/>
      <c r="USM26" s="500"/>
      <c r="USN26" s="500"/>
      <c r="USO26" s="500"/>
      <c r="USP26" s="500"/>
      <c r="USQ26" s="500"/>
      <c r="USR26" s="500"/>
      <c r="USS26" s="500"/>
      <c r="UST26" s="500"/>
      <c r="USU26" s="500"/>
      <c r="USV26" s="500"/>
      <c r="USW26" s="500"/>
      <c r="USX26" s="500"/>
      <c r="USY26" s="500"/>
      <c r="USZ26" s="500"/>
      <c r="UTA26" s="500"/>
      <c r="UTB26" s="500"/>
      <c r="UTC26" s="500"/>
      <c r="UTD26" s="500"/>
      <c r="UTE26" s="500"/>
      <c r="UTF26" s="500"/>
      <c r="UTG26" s="500"/>
      <c r="UTH26" s="500"/>
      <c r="UTI26" s="500"/>
      <c r="UTJ26" s="500"/>
      <c r="UTK26" s="500"/>
      <c r="UTL26" s="500"/>
      <c r="UTM26" s="500"/>
      <c r="UTN26" s="500"/>
      <c r="UTO26" s="500"/>
      <c r="UTP26" s="500"/>
      <c r="UTQ26" s="500"/>
      <c r="UTR26" s="500"/>
      <c r="UTS26" s="500"/>
      <c r="UTT26" s="500"/>
      <c r="UTU26" s="500"/>
      <c r="UTV26" s="500"/>
      <c r="UTW26" s="500"/>
      <c r="UTX26" s="500"/>
      <c r="UTY26" s="500"/>
      <c r="UTZ26" s="500"/>
      <c r="UUA26" s="500"/>
      <c r="UUB26" s="500"/>
      <c r="UUC26" s="500"/>
      <c r="UUD26" s="500"/>
      <c r="UUE26" s="500"/>
      <c r="UUF26" s="500"/>
      <c r="UUG26" s="500"/>
      <c r="UUH26" s="500"/>
      <c r="UUI26" s="500"/>
      <c r="UUJ26" s="500"/>
      <c r="UUK26" s="500"/>
      <c r="UUL26" s="500"/>
      <c r="UUM26" s="500"/>
      <c r="UUN26" s="500"/>
      <c r="UUO26" s="500"/>
      <c r="UUP26" s="500"/>
      <c r="UUQ26" s="500"/>
      <c r="UUR26" s="500"/>
      <c r="UUS26" s="500"/>
      <c r="UUT26" s="500"/>
      <c r="UUU26" s="500"/>
      <c r="UUV26" s="500"/>
      <c r="UUW26" s="500"/>
      <c r="UUX26" s="500"/>
      <c r="UUY26" s="500"/>
      <c r="UUZ26" s="500"/>
      <c r="UVA26" s="500"/>
      <c r="UVB26" s="500"/>
      <c r="UVC26" s="500"/>
      <c r="UVD26" s="500"/>
      <c r="UVE26" s="500"/>
      <c r="UVF26" s="500"/>
      <c r="UVG26" s="500"/>
      <c r="UVH26" s="500"/>
      <c r="UVI26" s="500"/>
      <c r="UVJ26" s="500"/>
      <c r="UVK26" s="500"/>
      <c r="UVL26" s="500"/>
      <c r="UVM26" s="500"/>
      <c r="UVN26" s="500"/>
      <c r="UVO26" s="500"/>
      <c r="UVP26" s="500"/>
      <c r="UVQ26" s="500"/>
      <c r="UVR26" s="500"/>
      <c r="UVS26" s="500"/>
      <c r="UVT26" s="500"/>
      <c r="UVU26" s="500"/>
      <c r="UVV26" s="500"/>
      <c r="UVW26" s="500"/>
      <c r="UVX26" s="500"/>
      <c r="UVY26" s="500"/>
      <c r="UVZ26" s="500"/>
      <c r="UWA26" s="500"/>
      <c r="UWB26" s="500"/>
      <c r="UWC26" s="500"/>
      <c r="UWD26" s="500"/>
      <c r="UWE26" s="500"/>
      <c r="UWF26" s="500"/>
      <c r="UWG26" s="500"/>
      <c r="UWH26" s="500"/>
      <c r="UWI26" s="500"/>
      <c r="UWJ26" s="500"/>
      <c r="UWK26" s="500"/>
      <c r="UWL26" s="500"/>
      <c r="UWM26" s="500"/>
      <c r="UWN26" s="500"/>
      <c r="UWO26" s="500"/>
      <c r="UWP26" s="500"/>
      <c r="UWQ26" s="500"/>
      <c r="UWR26" s="500"/>
      <c r="UWS26" s="500"/>
      <c r="UWT26" s="500"/>
      <c r="UWU26" s="500"/>
      <c r="UWV26" s="500"/>
      <c r="UWW26" s="500"/>
      <c r="UWX26" s="500"/>
      <c r="UWY26" s="500"/>
      <c r="UWZ26" s="500"/>
      <c r="UXA26" s="500"/>
      <c r="UXB26" s="500"/>
      <c r="UXC26" s="500"/>
      <c r="UXD26" s="500"/>
      <c r="UXE26" s="500"/>
      <c r="UXF26" s="500"/>
      <c r="UXG26" s="500"/>
      <c r="UXH26" s="500"/>
      <c r="UXI26" s="500"/>
      <c r="UXJ26" s="500"/>
      <c r="UXK26" s="500"/>
      <c r="UXL26" s="500"/>
      <c r="UXM26" s="500"/>
      <c r="UXN26" s="500"/>
      <c r="UXO26" s="500"/>
      <c r="UXP26" s="500"/>
      <c r="UXQ26" s="500"/>
      <c r="UXR26" s="500"/>
      <c r="UXS26" s="500"/>
      <c r="UXT26" s="500"/>
      <c r="UXU26" s="500"/>
      <c r="UXV26" s="500"/>
      <c r="UXW26" s="500"/>
      <c r="UXX26" s="500"/>
      <c r="UXY26" s="500"/>
      <c r="UXZ26" s="500"/>
      <c r="UYA26" s="500"/>
      <c r="UYB26" s="500"/>
      <c r="UYC26" s="500"/>
      <c r="UYD26" s="500"/>
      <c r="UYE26" s="500"/>
      <c r="UYF26" s="500"/>
      <c r="UYG26" s="500"/>
      <c r="UYH26" s="500"/>
      <c r="UYI26" s="500"/>
      <c r="UYJ26" s="500"/>
      <c r="UYK26" s="500"/>
      <c r="UYL26" s="500"/>
      <c r="UYM26" s="500"/>
      <c r="UYN26" s="500"/>
      <c r="UYO26" s="500"/>
      <c r="UYP26" s="500"/>
      <c r="UYQ26" s="500"/>
      <c r="UYR26" s="500"/>
      <c r="UYS26" s="500"/>
      <c r="UYT26" s="500"/>
      <c r="UYU26" s="500"/>
      <c r="UYV26" s="500"/>
      <c r="UYW26" s="500"/>
      <c r="UYX26" s="500"/>
      <c r="UYY26" s="500"/>
      <c r="UYZ26" s="500"/>
      <c r="UZA26" s="500"/>
      <c r="UZB26" s="500"/>
      <c r="UZC26" s="500"/>
      <c r="UZD26" s="500"/>
      <c r="UZE26" s="500"/>
      <c r="UZF26" s="500"/>
      <c r="UZG26" s="500"/>
      <c r="UZH26" s="500"/>
      <c r="UZI26" s="500"/>
      <c r="UZJ26" s="500"/>
      <c r="UZK26" s="500"/>
      <c r="UZL26" s="500"/>
      <c r="UZM26" s="500"/>
      <c r="UZN26" s="500"/>
      <c r="UZO26" s="500"/>
      <c r="UZP26" s="500"/>
      <c r="UZQ26" s="500"/>
      <c r="UZR26" s="500"/>
      <c r="UZS26" s="500"/>
      <c r="UZT26" s="500"/>
      <c r="UZU26" s="500"/>
      <c r="UZV26" s="500"/>
      <c r="UZW26" s="500"/>
      <c r="UZX26" s="500"/>
      <c r="UZY26" s="500"/>
      <c r="UZZ26" s="500"/>
      <c r="VAA26" s="500"/>
      <c r="VAB26" s="500"/>
      <c r="VAC26" s="500"/>
      <c r="VAD26" s="500"/>
      <c r="VAE26" s="500"/>
      <c r="VAF26" s="500"/>
      <c r="VAG26" s="500"/>
      <c r="VAH26" s="500"/>
      <c r="VAI26" s="500"/>
      <c r="VAJ26" s="500"/>
      <c r="VAK26" s="500"/>
      <c r="VAL26" s="500"/>
      <c r="VAM26" s="500"/>
      <c r="VAN26" s="500"/>
      <c r="VAO26" s="500"/>
      <c r="VAP26" s="500"/>
      <c r="VAQ26" s="500"/>
      <c r="VAR26" s="500"/>
      <c r="VAS26" s="500"/>
      <c r="VAT26" s="500"/>
      <c r="VAU26" s="500"/>
      <c r="VAV26" s="500"/>
      <c r="VAW26" s="500"/>
      <c r="VAX26" s="500"/>
      <c r="VAY26" s="500"/>
      <c r="VAZ26" s="500"/>
      <c r="VBA26" s="500"/>
      <c r="VBB26" s="500"/>
      <c r="VBC26" s="500"/>
      <c r="VBD26" s="500"/>
      <c r="VBE26" s="500"/>
      <c r="VBF26" s="500"/>
      <c r="VBG26" s="500"/>
      <c r="VBH26" s="500"/>
      <c r="VBI26" s="500"/>
      <c r="VBJ26" s="500"/>
      <c r="VBK26" s="500"/>
      <c r="VBL26" s="500"/>
      <c r="VBM26" s="500"/>
      <c r="VBN26" s="500"/>
      <c r="VBO26" s="500"/>
      <c r="VBP26" s="500"/>
      <c r="VBQ26" s="500"/>
      <c r="VBR26" s="500"/>
      <c r="VBS26" s="500"/>
      <c r="VBT26" s="500"/>
      <c r="VBU26" s="500"/>
      <c r="VBV26" s="500"/>
      <c r="VBW26" s="500"/>
      <c r="VBX26" s="500"/>
      <c r="VBY26" s="500"/>
      <c r="VBZ26" s="500"/>
      <c r="VCA26" s="500"/>
      <c r="VCB26" s="500"/>
      <c r="VCC26" s="500"/>
      <c r="VCD26" s="500"/>
      <c r="VCE26" s="500"/>
      <c r="VCF26" s="500"/>
      <c r="VCG26" s="500"/>
      <c r="VCH26" s="500"/>
      <c r="VCI26" s="500"/>
      <c r="VCJ26" s="500"/>
      <c r="VCK26" s="500"/>
      <c r="VCL26" s="500"/>
      <c r="VCM26" s="500"/>
      <c r="VCN26" s="500"/>
      <c r="VCO26" s="500"/>
      <c r="VCP26" s="500"/>
      <c r="VCQ26" s="500"/>
      <c r="VCR26" s="500"/>
      <c r="VCS26" s="500"/>
      <c r="VCT26" s="500"/>
      <c r="VCU26" s="500"/>
      <c r="VCV26" s="500"/>
      <c r="VCW26" s="500"/>
      <c r="VCX26" s="500"/>
      <c r="VCY26" s="500"/>
      <c r="VCZ26" s="500"/>
      <c r="VDA26" s="500"/>
      <c r="VDB26" s="500"/>
      <c r="VDC26" s="500"/>
      <c r="VDD26" s="500"/>
      <c r="VDE26" s="500"/>
      <c r="VDF26" s="500"/>
      <c r="VDG26" s="500"/>
      <c r="VDH26" s="500"/>
      <c r="VDI26" s="500"/>
      <c r="VDJ26" s="500"/>
      <c r="VDK26" s="500"/>
      <c r="VDL26" s="500"/>
      <c r="VDM26" s="500"/>
      <c r="VDN26" s="500"/>
      <c r="VDO26" s="500"/>
      <c r="VDP26" s="500"/>
      <c r="VDQ26" s="500"/>
      <c r="VDR26" s="500"/>
      <c r="VDS26" s="500"/>
      <c r="VDT26" s="500"/>
      <c r="VDU26" s="500"/>
      <c r="VDV26" s="500"/>
      <c r="VDW26" s="500"/>
      <c r="VDX26" s="500"/>
      <c r="VDY26" s="500"/>
      <c r="VDZ26" s="500"/>
      <c r="VEA26" s="500"/>
      <c r="VEB26" s="500"/>
      <c r="VEC26" s="500"/>
      <c r="VED26" s="500"/>
      <c r="VEE26" s="500"/>
      <c r="VEF26" s="500"/>
      <c r="VEG26" s="500"/>
      <c r="VEH26" s="500"/>
      <c r="VEI26" s="500"/>
      <c r="VEJ26" s="500"/>
      <c r="VEK26" s="500"/>
      <c r="VEL26" s="500"/>
      <c r="VEM26" s="500"/>
      <c r="VEN26" s="500"/>
      <c r="VEO26" s="500"/>
      <c r="VEP26" s="500"/>
      <c r="VEQ26" s="500"/>
      <c r="VER26" s="500"/>
      <c r="VES26" s="500"/>
      <c r="VET26" s="500"/>
      <c r="VEU26" s="500"/>
      <c r="VEV26" s="500"/>
      <c r="VEW26" s="500"/>
      <c r="VEX26" s="500"/>
      <c r="VEY26" s="500"/>
      <c r="VEZ26" s="500"/>
      <c r="VFA26" s="500"/>
      <c r="VFB26" s="500"/>
      <c r="VFC26" s="500"/>
      <c r="VFD26" s="500"/>
      <c r="VFE26" s="500"/>
      <c r="VFF26" s="500"/>
      <c r="VFG26" s="500"/>
      <c r="VFH26" s="500"/>
      <c r="VFI26" s="500"/>
      <c r="VFJ26" s="500"/>
      <c r="VFK26" s="500"/>
      <c r="VFL26" s="500"/>
      <c r="VFM26" s="500"/>
      <c r="VFN26" s="500"/>
      <c r="VFO26" s="500"/>
      <c r="VFP26" s="500"/>
      <c r="VFQ26" s="500"/>
      <c r="VFR26" s="500"/>
      <c r="VFS26" s="500"/>
      <c r="VFT26" s="500"/>
      <c r="VFU26" s="500"/>
      <c r="VFV26" s="500"/>
      <c r="VFW26" s="500"/>
      <c r="VFX26" s="500"/>
      <c r="VFY26" s="500"/>
      <c r="VFZ26" s="500"/>
      <c r="VGA26" s="500"/>
      <c r="VGB26" s="500"/>
      <c r="VGC26" s="500"/>
      <c r="VGD26" s="500"/>
      <c r="VGE26" s="500"/>
      <c r="VGF26" s="500"/>
      <c r="VGG26" s="500"/>
      <c r="VGH26" s="500"/>
      <c r="VGI26" s="500"/>
      <c r="VGJ26" s="500"/>
      <c r="VGK26" s="500"/>
      <c r="VGL26" s="500"/>
      <c r="VGM26" s="500"/>
      <c r="VGN26" s="500"/>
      <c r="VGO26" s="500"/>
      <c r="VGP26" s="500"/>
      <c r="VGQ26" s="500"/>
      <c r="VGR26" s="500"/>
      <c r="VGS26" s="500"/>
      <c r="VGT26" s="500"/>
      <c r="VGU26" s="500"/>
      <c r="VGV26" s="500"/>
      <c r="VGW26" s="500"/>
      <c r="VGX26" s="500"/>
      <c r="VGY26" s="500"/>
      <c r="VGZ26" s="500"/>
      <c r="VHA26" s="500"/>
      <c r="VHB26" s="500"/>
      <c r="VHC26" s="500"/>
      <c r="VHD26" s="500"/>
      <c r="VHE26" s="500"/>
      <c r="VHF26" s="500"/>
      <c r="VHG26" s="500"/>
      <c r="VHH26" s="500"/>
      <c r="VHI26" s="500"/>
      <c r="VHJ26" s="500"/>
      <c r="VHK26" s="500"/>
      <c r="VHL26" s="500"/>
      <c r="VHM26" s="500"/>
      <c r="VHN26" s="500"/>
      <c r="VHO26" s="500"/>
      <c r="VHP26" s="500"/>
      <c r="VHQ26" s="500"/>
      <c r="VHR26" s="500"/>
      <c r="VHS26" s="500"/>
      <c r="VHT26" s="500"/>
      <c r="VHU26" s="500"/>
      <c r="VHV26" s="500"/>
      <c r="VHW26" s="500"/>
      <c r="VHX26" s="500"/>
      <c r="VHY26" s="500"/>
      <c r="VHZ26" s="500"/>
      <c r="VIA26" s="500"/>
      <c r="VIB26" s="500"/>
      <c r="VIC26" s="500"/>
      <c r="VID26" s="500"/>
      <c r="VIE26" s="500"/>
      <c r="VIF26" s="500"/>
      <c r="VIG26" s="500"/>
      <c r="VIH26" s="500"/>
      <c r="VII26" s="500"/>
      <c r="VIJ26" s="500"/>
      <c r="VIK26" s="500"/>
      <c r="VIL26" s="500"/>
      <c r="VIM26" s="500"/>
      <c r="VIN26" s="500"/>
      <c r="VIO26" s="500"/>
      <c r="VIP26" s="500"/>
      <c r="VIQ26" s="500"/>
      <c r="VIR26" s="500"/>
      <c r="VIS26" s="500"/>
      <c r="VIT26" s="500"/>
      <c r="VIU26" s="500"/>
      <c r="VIV26" s="500"/>
      <c r="VIW26" s="500"/>
      <c r="VIX26" s="500"/>
      <c r="VIY26" s="500"/>
      <c r="VIZ26" s="500"/>
      <c r="VJA26" s="500"/>
      <c r="VJB26" s="500"/>
      <c r="VJC26" s="500"/>
      <c r="VJD26" s="500"/>
      <c r="VJE26" s="500"/>
      <c r="VJF26" s="500"/>
      <c r="VJG26" s="500"/>
      <c r="VJH26" s="500"/>
      <c r="VJI26" s="500"/>
      <c r="VJJ26" s="500"/>
      <c r="VJK26" s="500"/>
      <c r="VJL26" s="500"/>
      <c r="VJM26" s="500"/>
      <c r="VJN26" s="500"/>
      <c r="VJO26" s="500"/>
      <c r="VJP26" s="500"/>
      <c r="VJQ26" s="500"/>
      <c r="VJR26" s="500"/>
      <c r="VJS26" s="500"/>
      <c r="VJT26" s="500"/>
      <c r="VJU26" s="500"/>
      <c r="VJV26" s="500"/>
      <c r="VJW26" s="500"/>
      <c r="VJX26" s="500"/>
      <c r="VJY26" s="500"/>
      <c r="VJZ26" s="500"/>
      <c r="VKA26" s="500"/>
      <c r="VKB26" s="500"/>
      <c r="VKC26" s="500"/>
      <c r="VKD26" s="500"/>
      <c r="VKE26" s="500"/>
      <c r="VKF26" s="500"/>
      <c r="VKG26" s="500"/>
      <c r="VKH26" s="500"/>
      <c r="VKI26" s="500"/>
      <c r="VKJ26" s="500"/>
      <c r="VKK26" s="500"/>
      <c r="VKL26" s="500"/>
      <c r="VKM26" s="500"/>
      <c r="VKN26" s="500"/>
      <c r="VKO26" s="500"/>
      <c r="VKP26" s="500"/>
      <c r="VKQ26" s="500"/>
      <c r="VKR26" s="500"/>
      <c r="VKS26" s="500"/>
      <c r="VKT26" s="500"/>
      <c r="VKU26" s="500"/>
      <c r="VKV26" s="500"/>
      <c r="VKW26" s="500"/>
      <c r="VKX26" s="500"/>
      <c r="VKY26" s="500"/>
      <c r="VKZ26" s="500"/>
      <c r="VLA26" s="500"/>
      <c r="VLB26" s="500"/>
      <c r="VLC26" s="500"/>
      <c r="VLD26" s="500"/>
      <c r="VLE26" s="500"/>
      <c r="VLF26" s="500"/>
      <c r="VLG26" s="500"/>
      <c r="VLH26" s="500"/>
      <c r="VLI26" s="500"/>
      <c r="VLJ26" s="500"/>
      <c r="VLK26" s="500"/>
      <c r="VLL26" s="500"/>
      <c r="VLM26" s="500"/>
      <c r="VLN26" s="500"/>
      <c r="VLO26" s="500"/>
      <c r="VLP26" s="500"/>
      <c r="VLQ26" s="500"/>
      <c r="VLR26" s="500"/>
      <c r="VLS26" s="500"/>
      <c r="VLT26" s="500"/>
      <c r="VLU26" s="500"/>
      <c r="VLV26" s="500"/>
      <c r="VLW26" s="500"/>
      <c r="VLX26" s="500"/>
      <c r="VLY26" s="500"/>
      <c r="VLZ26" s="500"/>
      <c r="VMA26" s="500"/>
      <c r="VMB26" s="500"/>
      <c r="VMC26" s="500"/>
      <c r="VMD26" s="500"/>
      <c r="VME26" s="500"/>
      <c r="VMF26" s="500"/>
      <c r="VMG26" s="500"/>
      <c r="VMH26" s="500"/>
      <c r="VMI26" s="500"/>
      <c r="VMJ26" s="500"/>
      <c r="VMK26" s="500"/>
      <c r="VML26" s="500"/>
      <c r="VMM26" s="500"/>
      <c r="VMN26" s="500"/>
      <c r="VMO26" s="500"/>
      <c r="VMP26" s="500"/>
      <c r="VMQ26" s="500"/>
      <c r="VMR26" s="500"/>
      <c r="VMS26" s="500"/>
      <c r="VMT26" s="500"/>
      <c r="VMU26" s="500"/>
      <c r="VMV26" s="500"/>
      <c r="VMW26" s="500"/>
      <c r="VMX26" s="500"/>
      <c r="VMY26" s="500"/>
      <c r="VMZ26" s="500"/>
      <c r="VNA26" s="500"/>
      <c r="VNB26" s="500"/>
      <c r="VNC26" s="500"/>
      <c r="VND26" s="500"/>
      <c r="VNE26" s="500"/>
      <c r="VNF26" s="500"/>
      <c r="VNG26" s="500"/>
      <c r="VNH26" s="500"/>
      <c r="VNI26" s="500"/>
      <c r="VNJ26" s="500"/>
      <c r="VNK26" s="500"/>
      <c r="VNL26" s="500"/>
      <c r="VNM26" s="500"/>
      <c r="VNN26" s="500"/>
      <c r="VNO26" s="500"/>
      <c r="VNP26" s="500"/>
      <c r="VNQ26" s="500"/>
      <c r="VNR26" s="500"/>
      <c r="VNS26" s="500"/>
      <c r="VNT26" s="500"/>
      <c r="VNU26" s="500"/>
      <c r="VNV26" s="500"/>
      <c r="VNW26" s="500"/>
      <c r="VNX26" s="500"/>
      <c r="VNY26" s="500"/>
      <c r="VNZ26" s="500"/>
      <c r="VOA26" s="500"/>
      <c r="VOB26" s="500"/>
      <c r="VOC26" s="500"/>
      <c r="VOD26" s="500"/>
      <c r="VOE26" s="500"/>
      <c r="VOF26" s="500"/>
      <c r="VOG26" s="500"/>
      <c r="VOH26" s="500"/>
      <c r="VOI26" s="500"/>
      <c r="VOJ26" s="500"/>
      <c r="VOK26" s="500"/>
      <c r="VOL26" s="500"/>
      <c r="VOM26" s="500"/>
      <c r="VON26" s="500"/>
      <c r="VOO26" s="500"/>
      <c r="VOP26" s="500"/>
      <c r="VOQ26" s="500"/>
      <c r="VOR26" s="500"/>
      <c r="VOS26" s="500"/>
      <c r="VOT26" s="500"/>
      <c r="VOU26" s="500"/>
      <c r="VOV26" s="500"/>
      <c r="VOW26" s="500"/>
      <c r="VOX26" s="500"/>
      <c r="VOY26" s="500"/>
      <c r="VOZ26" s="500"/>
      <c r="VPA26" s="500"/>
      <c r="VPB26" s="500"/>
      <c r="VPC26" s="500"/>
      <c r="VPD26" s="500"/>
      <c r="VPE26" s="500"/>
      <c r="VPF26" s="500"/>
      <c r="VPG26" s="500"/>
      <c r="VPH26" s="500"/>
      <c r="VPI26" s="500"/>
      <c r="VPJ26" s="500"/>
      <c r="VPK26" s="500"/>
      <c r="VPL26" s="500"/>
      <c r="VPM26" s="500"/>
      <c r="VPN26" s="500"/>
      <c r="VPO26" s="500"/>
      <c r="VPP26" s="500"/>
      <c r="VPQ26" s="500"/>
      <c r="VPR26" s="500"/>
      <c r="VPS26" s="500"/>
      <c r="VPT26" s="500"/>
      <c r="VPU26" s="500"/>
      <c r="VPV26" s="500"/>
      <c r="VPW26" s="500"/>
      <c r="VPX26" s="500"/>
      <c r="VPY26" s="500"/>
      <c r="VPZ26" s="500"/>
      <c r="VQA26" s="500"/>
      <c r="VQB26" s="500"/>
      <c r="VQC26" s="500"/>
      <c r="VQD26" s="500"/>
      <c r="VQE26" s="500"/>
      <c r="VQF26" s="500"/>
      <c r="VQG26" s="500"/>
      <c r="VQH26" s="500"/>
      <c r="VQI26" s="500"/>
      <c r="VQJ26" s="500"/>
      <c r="VQK26" s="500"/>
      <c r="VQL26" s="500"/>
      <c r="VQM26" s="500"/>
      <c r="VQN26" s="500"/>
      <c r="VQO26" s="500"/>
      <c r="VQP26" s="500"/>
      <c r="VQQ26" s="500"/>
      <c r="VQR26" s="500"/>
      <c r="VQS26" s="500"/>
      <c r="VQT26" s="500"/>
      <c r="VQU26" s="500"/>
      <c r="VQV26" s="500"/>
      <c r="VQW26" s="500"/>
      <c r="VQX26" s="500"/>
      <c r="VQY26" s="500"/>
      <c r="VQZ26" s="500"/>
      <c r="VRA26" s="500"/>
      <c r="VRB26" s="500"/>
      <c r="VRC26" s="500"/>
      <c r="VRD26" s="500"/>
      <c r="VRE26" s="500"/>
      <c r="VRF26" s="500"/>
      <c r="VRG26" s="500"/>
      <c r="VRH26" s="500"/>
      <c r="VRI26" s="500"/>
      <c r="VRJ26" s="500"/>
      <c r="VRK26" s="500"/>
      <c r="VRL26" s="500"/>
      <c r="VRM26" s="500"/>
      <c r="VRN26" s="500"/>
      <c r="VRO26" s="500"/>
      <c r="VRP26" s="500"/>
      <c r="VRQ26" s="500"/>
      <c r="VRR26" s="500"/>
      <c r="VRS26" s="500"/>
      <c r="VRT26" s="500"/>
      <c r="VRU26" s="500"/>
      <c r="VRV26" s="500"/>
      <c r="VRW26" s="500"/>
      <c r="VRX26" s="500"/>
      <c r="VRY26" s="500"/>
      <c r="VRZ26" s="500"/>
      <c r="VSA26" s="500"/>
      <c r="VSB26" s="500"/>
      <c r="VSC26" s="500"/>
      <c r="VSD26" s="500"/>
      <c r="VSE26" s="500"/>
      <c r="VSF26" s="500"/>
      <c r="VSG26" s="500"/>
      <c r="VSH26" s="500"/>
      <c r="VSI26" s="500"/>
      <c r="VSJ26" s="500"/>
      <c r="VSK26" s="500"/>
      <c r="VSL26" s="500"/>
      <c r="VSM26" s="500"/>
      <c r="VSN26" s="500"/>
      <c r="VSO26" s="500"/>
      <c r="VSP26" s="500"/>
      <c r="VSQ26" s="500"/>
      <c r="VSR26" s="500"/>
      <c r="VSS26" s="500"/>
      <c r="VST26" s="500"/>
      <c r="VSU26" s="500"/>
      <c r="VSV26" s="500"/>
      <c r="VSW26" s="500"/>
      <c r="VSX26" s="500"/>
      <c r="VSY26" s="500"/>
      <c r="VSZ26" s="500"/>
      <c r="VTA26" s="500"/>
      <c r="VTB26" s="500"/>
      <c r="VTC26" s="500"/>
      <c r="VTD26" s="500"/>
      <c r="VTE26" s="500"/>
      <c r="VTF26" s="500"/>
      <c r="VTG26" s="500"/>
      <c r="VTH26" s="500"/>
      <c r="VTI26" s="500"/>
      <c r="VTJ26" s="500"/>
      <c r="VTK26" s="500"/>
      <c r="VTL26" s="500"/>
      <c r="VTM26" s="500"/>
      <c r="VTN26" s="500"/>
      <c r="VTO26" s="500"/>
      <c r="VTP26" s="500"/>
      <c r="VTQ26" s="500"/>
      <c r="VTR26" s="500"/>
      <c r="VTS26" s="500"/>
      <c r="VTT26" s="500"/>
      <c r="VTU26" s="500"/>
      <c r="VTV26" s="500"/>
      <c r="VTW26" s="500"/>
      <c r="VTX26" s="500"/>
      <c r="VTY26" s="500"/>
      <c r="VTZ26" s="500"/>
      <c r="VUA26" s="500"/>
      <c r="VUB26" s="500"/>
      <c r="VUC26" s="500"/>
      <c r="VUD26" s="500"/>
      <c r="VUE26" s="500"/>
      <c r="VUF26" s="500"/>
      <c r="VUG26" s="500"/>
      <c r="VUH26" s="500"/>
      <c r="VUI26" s="500"/>
      <c r="VUJ26" s="500"/>
      <c r="VUK26" s="500"/>
      <c r="VUL26" s="500"/>
      <c r="VUM26" s="500"/>
      <c r="VUN26" s="500"/>
      <c r="VUO26" s="500"/>
      <c r="VUP26" s="500"/>
      <c r="VUQ26" s="500"/>
      <c r="VUR26" s="500"/>
      <c r="VUS26" s="500"/>
      <c r="VUT26" s="500"/>
      <c r="VUU26" s="500"/>
      <c r="VUV26" s="500"/>
      <c r="VUW26" s="500"/>
      <c r="VUX26" s="500"/>
      <c r="VUY26" s="500"/>
      <c r="VUZ26" s="500"/>
      <c r="VVA26" s="500"/>
      <c r="VVB26" s="500"/>
      <c r="VVC26" s="500"/>
      <c r="VVD26" s="500"/>
      <c r="VVE26" s="500"/>
      <c r="VVF26" s="500"/>
      <c r="VVG26" s="500"/>
      <c r="VVH26" s="500"/>
      <c r="VVI26" s="500"/>
      <c r="VVJ26" s="500"/>
      <c r="VVK26" s="500"/>
      <c r="VVL26" s="500"/>
      <c r="VVM26" s="500"/>
      <c r="VVN26" s="500"/>
      <c r="VVO26" s="500"/>
      <c r="VVP26" s="500"/>
      <c r="VVQ26" s="500"/>
      <c r="VVR26" s="500"/>
      <c r="VVS26" s="500"/>
      <c r="VVT26" s="500"/>
      <c r="VVU26" s="500"/>
      <c r="VVV26" s="500"/>
      <c r="VVW26" s="500"/>
      <c r="VVX26" s="500"/>
      <c r="VVY26" s="500"/>
      <c r="VVZ26" s="500"/>
      <c r="VWA26" s="500"/>
      <c r="VWB26" s="500"/>
      <c r="VWC26" s="500"/>
      <c r="VWD26" s="500"/>
      <c r="VWE26" s="500"/>
      <c r="VWF26" s="500"/>
      <c r="VWG26" s="500"/>
      <c r="VWH26" s="500"/>
      <c r="VWI26" s="500"/>
      <c r="VWJ26" s="500"/>
      <c r="VWK26" s="500"/>
      <c r="VWL26" s="500"/>
      <c r="VWM26" s="500"/>
      <c r="VWN26" s="500"/>
      <c r="VWO26" s="500"/>
      <c r="VWP26" s="500"/>
      <c r="VWQ26" s="500"/>
      <c r="VWR26" s="500"/>
      <c r="VWS26" s="500"/>
      <c r="VWT26" s="500"/>
      <c r="VWU26" s="500"/>
      <c r="VWV26" s="500"/>
      <c r="VWW26" s="500"/>
      <c r="VWX26" s="500"/>
      <c r="VWY26" s="500"/>
      <c r="VWZ26" s="500"/>
      <c r="VXA26" s="500"/>
      <c r="VXB26" s="500"/>
      <c r="VXC26" s="500"/>
      <c r="VXD26" s="500"/>
      <c r="VXE26" s="500"/>
      <c r="VXF26" s="500"/>
      <c r="VXG26" s="500"/>
      <c r="VXH26" s="500"/>
      <c r="VXI26" s="500"/>
      <c r="VXJ26" s="500"/>
      <c r="VXK26" s="500"/>
      <c r="VXL26" s="500"/>
      <c r="VXM26" s="500"/>
      <c r="VXN26" s="500"/>
      <c r="VXO26" s="500"/>
      <c r="VXP26" s="500"/>
      <c r="VXQ26" s="500"/>
      <c r="VXR26" s="500"/>
      <c r="VXS26" s="500"/>
      <c r="VXT26" s="500"/>
      <c r="VXU26" s="500"/>
      <c r="VXV26" s="500"/>
      <c r="VXW26" s="500"/>
      <c r="VXX26" s="500"/>
      <c r="VXY26" s="500"/>
      <c r="VXZ26" s="500"/>
      <c r="VYA26" s="500"/>
      <c r="VYB26" s="500"/>
      <c r="VYC26" s="500"/>
      <c r="VYD26" s="500"/>
      <c r="VYE26" s="500"/>
      <c r="VYF26" s="500"/>
      <c r="VYG26" s="500"/>
      <c r="VYH26" s="500"/>
      <c r="VYI26" s="500"/>
      <c r="VYJ26" s="500"/>
      <c r="VYK26" s="500"/>
      <c r="VYL26" s="500"/>
      <c r="VYM26" s="500"/>
      <c r="VYN26" s="500"/>
      <c r="VYO26" s="500"/>
      <c r="VYP26" s="500"/>
      <c r="VYQ26" s="500"/>
      <c r="VYR26" s="500"/>
      <c r="VYS26" s="500"/>
      <c r="VYT26" s="500"/>
      <c r="VYU26" s="500"/>
      <c r="VYV26" s="500"/>
      <c r="VYW26" s="500"/>
      <c r="VYX26" s="500"/>
      <c r="VYY26" s="500"/>
      <c r="VYZ26" s="500"/>
      <c r="VZA26" s="500"/>
      <c r="VZB26" s="500"/>
      <c r="VZC26" s="500"/>
      <c r="VZD26" s="500"/>
      <c r="VZE26" s="500"/>
      <c r="VZF26" s="500"/>
      <c r="VZG26" s="500"/>
      <c r="VZH26" s="500"/>
      <c r="VZI26" s="500"/>
      <c r="VZJ26" s="500"/>
      <c r="VZK26" s="500"/>
      <c r="VZL26" s="500"/>
      <c r="VZM26" s="500"/>
      <c r="VZN26" s="500"/>
      <c r="VZO26" s="500"/>
      <c r="VZP26" s="500"/>
      <c r="VZQ26" s="500"/>
      <c r="VZR26" s="500"/>
      <c r="VZS26" s="500"/>
      <c r="VZT26" s="500"/>
      <c r="VZU26" s="500"/>
      <c r="VZV26" s="500"/>
      <c r="VZW26" s="500"/>
      <c r="VZX26" s="500"/>
      <c r="VZY26" s="500"/>
      <c r="VZZ26" s="500"/>
      <c r="WAA26" s="500"/>
      <c r="WAB26" s="500"/>
      <c r="WAC26" s="500"/>
      <c r="WAD26" s="500"/>
      <c r="WAE26" s="500"/>
      <c r="WAF26" s="500"/>
      <c r="WAG26" s="500"/>
      <c r="WAH26" s="500"/>
      <c r="WAI26" s="500"/>
      <c r="WAJ26" s="500"/>
      <c r="WAK26" s="500"/>
      <c r="WAL26" s="500"/>
      <c r="WAM26" s="500"/>
      <c r="WAN26" s="500"/>
      <c r="WAO26" s="500"/>
      <c r="WAP26" s="500"/>
      <c r="WAQ26" s="500"/>
      <c r="WAR26" s="500"/>
      <c r="WAS26" s="500"/>
      <c r="WAT26" s="500"/>
      <c r="WAU26" s="500"/>
      <c r="WAV26" s="500"/>
      <c r="WAW26" s="500"/>
      <c r="WAX26" s="500"/>
      <c r="WAY26" s="500"/>
      <c r="WAZ26" s="500"/>
      <c r="WBA26" s="500"/>
      <c r="WBB26" s="500"/>
      <c r="WBC26" s="500"/>
      <c r="WBD26" s="500"/>
      <c r="WBE26" s="500"/>
      <c r="WBF26" s="500"/>
      <c r="WBG26" s="500"/>
      <c r="WBH26" s="500"/>
      <c r="WBI26" s="500"/>
      <c r="WBJ26" s="500"/>
      <c r="WBK26" s="500"/>
      <c r="WBL26" s="500"/>
      <c r="WBM26" s="500"/>
      <c r="WBN26" s="500"/>
      <c r="WBO26" s="500"/>
      <c r="WBP26" s="500"/>
      <c r="WBQ26" s="500"/>
      <c r="WBR26" s="500"/>
      <c r="WBS26" s="500"/>
      <c r="WBT26" s="500"/>
      <c r="WBU26" s="500"/>
      <c r="WBV26" s="500"/>
      <c r="WBW26" s="500"/>
      <c r="WBX26" s="500"/>
      <c r="WBY26" s="500"/>
      <c r="WBZ26" s="500"/>
      <c r="WCA26" s="500"/>
      <c r="WCB26" s="500"/>
      <c r="WCC26" s="500"/>
      <c r="WCD26" s="500"/>
      <c r="WCE26" s="500"/>
      <c r="WCF26" s="500"/>
      <c r="WCG26" s="500"/>
      <c r="WCH26" s="500"/>
      <c r="WCI26" s="500"/>
      <c r="WCJ26" s="500"/>
      <c r="WCK26" s="500"/>
      <c r="WCL26" s="500"/>
      <c r="WCM26" s="500"/>
      <c r="WCN26" s="500"/>
      <c r="WCO26" s="500"/>
      <c r="WCP26" s="500"/>
      <c r="WCQ26" s="500"/>
      <c r="WCR26" s="500"/>
      <c r="WCS26" s="500"/>
      <c r="WCT26" s="500"/>
      <c r="WCU26" s="500"/>
      <c r="WCV26" s="500"/>
      <c r="WCW26" s="500"/>
      <c r="WCX26" s="500"/>
      <c r="WCY26" s="500"/>
      <c r="WCZ26" s="500"/>
      <c r="WDA26" s="500"/>
      <c r="WDB26" s="500"/>
      <c r="WDC26" s="500"/>
      <c r="WDD26" s="500"/>
      <c r="WDE26" s="500"/>
      <c r="WDF26" s="500"/>
      <c r="WDG26" s="500"/>
      <c r="WDH26" s="500"/>
      <c r="WDI26" s="500"/>
      <c r="WDJ26" s="500"/>
      <c r="WDK26" s="500"/>
      <c r="WDL26" s="500"/>
      <c r="WDM26" s="500"/>
      <c r="WDN26" s="500"/>
      <c r="WDO26" s="500"/>
      <c r="WDP26" s="500"/>
      <c r="WDQ26" s="500"/>
      <c r="WDR26" s="500"/>
      <c r="WDS26" s="500"/>
      <c r="WDT26" s="500"/>
      <c r="WDU26" s="500"/>
      <c r="WDV26" s="500"/>
      <c r="WDW26" s="500"/>
      <c r="WDX26" s="500"/>
      <c r="WDY26" s="500"/>
      <c r="WDZ26" s="500"/>
      <c r="WEA26" s="500"/>
      <c r="WEB26" s="500"/>
      <c r="WEC26" s="500"/>
      <c r="WED26" s="500"/>
      <c r="WEE26" s="500"/>
      <c r="WEF26" s="500"/>
      <c r="WEG26" s="500"/>
      <c r="WEH26" s="500"/>
      <c r="WEI26" s="500"/>
      <c r="WEJ26" s="500"/>
      <c r="WEK26" s="500"/>
      <c r="WEL26" s="500"/>
      <c r="WEM26" s="500"/>
      <c r="WEN26" s="500"/>
      <c r="WEO26" s="500"/>
      <c r="WEP26" s="500"/>
      <c r="WEQ26" s="500"/>
      <c r="WER26" s="500"/>
      <c r="WES26" s="500"/>
      <c r="WET26" s="500"/>
      <c r="WEU26" s="500"/>
      <c r="WEV26" s="500"/>
      <c r="WEW26" s="500"/>
      <c r="WEX26" s="500"/>
      <c r="WEY26" s="500"/>
      <c r="WEZ26" s="500"/>
      <c r="WFA26" s="500"/>
      <c r="WFB26" s="500"/>
      <c r="WFC26" s="500"/>
      <c r="WFD26" s="500"/>
      <c r="WFE26" s="500"/>
      <c r="WFF26" s="500"/>
      <c r="WFG26" s="500"/>
      <c r="WFH26" s="500"/>
      <c r="WFI26" s="500"/>
      <c r="WFJ26" s="500"/>
      <c r="WFK26" s="500"/>
      <c r="WFL26" s="500"/>
      <c r="WFM26" s="500"/>
      <c r="WFN26" s="500"/>
      <c r="WFO26" s="500"/>
      <c r="WFP26" s="500"/>
      <c r="WFQ26" s="500"/>
      <c r="WFR26" s="500"/>
      <c r="WFS26" s="500"/>
      <c r="WFT26" s="500"/>
      <c r="WFU26" s="500"/>
      <c r="WFV26" s="500"/>
      <c r="WFW26" s="500"/>
      <c r="WFX26" s="500"/>
      <c r="WFY26" s="500"/>
      <c r="WFZ26" s="500"/>
      <c r="WGA26" s="500"/>
      <c r="WGB26" s="500"/>
      <c r="WGC26" s="500"/>
      <c r="WGD26" s="500"/>
      <c r="WGE26" s="500"/>
      <c r="WGF26" s="500"/>
      <c r="WGG26" s="500"/>
      <c r="WGH26" s="500"/>
      <c r="WGI26" s="500"/>
      <c r="WGJ26" s="500"/>
      <c r="WGK26" s="500"/>
      <c r="WGL26" s="500"/>
      <c r="WGM26" s="500"/>
      <c r="WGN26" s="500"/>
      <c r="WGO26" s="500"/>
      <c r="WGP26" s="500"/>
      <c r="WGQ26" s="500"/>
      <c r="WGR26" s="500"/>
      <c r="WGS26" s="500"/>
      <c r="WGT26" s="500"/>
      <c r="WGU26" s="500"/>
      <c r="WGV26" s="500"/>
      <c r="WGW26" s="500"/>
      <c r="WGX26" s="500"/>
      <c r="WGY26" s="500"/>
      <c r="WGZ26" s="500"/>
      <c r="WHA26" s="500"/>
      <c r="WHB26" s="500"/>
      <c r="WHC26" s="500"/>
      <c r="WHD26" s="500"/>
      <c r="WHE26" s="500"/>
      <c r="WHF26" s="500"/>
      <c r="WHG26" s="500"/>
      <c r="WHH26" s="500"/>
      <c r="WHI26" s="500"/>
      <c r="WHJ26" s="500"/>
      <c r="WHK26" s="500"/>
      <c r="WHL26" s="500"/>
      <c r="WHM26" s="500"/>
      <c r="WHN26" s="500"/>
      <c r="WHO26" s="500"/>
      <c r="WHP26" s="500"/>
      <c r="WHQ26" s="500"/>
      <c r="WHR26" s="500"/>
      <c r="WHS26" s="500"/>
      <c r="WHT26" s="500"/>
      <c r="WHU26" s="500"/>
      <c r="WHV26" s="500"/>
      <c r="WHW26" s="500"/>
      <c r="WHX26" s="500"/>
      <c r="WHY26" s="500"/>
      <c r="WHZ26" s="500"/>
      <c r="WIA26" s="500"/>
      <c r="WIB26" s="500"/>
      <c r="WIC26" s="500"/>
      <c r="WID26" s="500"/>
      <c r="WIE26" s="500"/>
      <c r="WIF26" s="500"/>
      <c r="WIG26" s="500"/>
      <c r="WIH26" s="500"/>
      <c r="WII26" s="500"/>
      <c r="WIJ26" s="500"/>
      <c r="WIK26" s="500"/>
      <c r="WIL26" s="500"/>
      <c r="WIM26" s="500"/>
      <c r="WIN26" s="500"/>
      <c r="WIO26" s="500"/>
      <c r="WIP26" s="500"/>
      <c r="WIQ26" s="500"/>
      <c r="WIR26" s="500"/>
      <c r="WIS26" s="500"/>
      <c r="WIT26" s="500"/>
      <c r="WIU26" s="500"/>
      <c r="WIV26" s="500"/>
      <c r="WIW26" s="500"/>
      <c r="WIX26" s="500"/>
      <c r="WIY26" s="500"/>
      <c r="WIZ26" s="500"/>
      <c r="WJA26" s="500"/>
      <c r="WJB26" s="500"/>
      <c r="WJC26" s="500"/>
      <c r="WJD26" s="500"/>
      <c r="WJE26" s="500"/>
      <c r="WJF26" s="500"/>
      <c r="WJG26" s="500"/>
      <c r="WJH26" s="500"/>
      <c r="WJI26" s="500"/>
      <c r="WJJ26" s="500"/>
      <c r="WJK26" s="500"/>
      <c r="WJL26" s="500"/>
      <c r="WJM26" s="500"/>
      <c r="WJN26" s="500"/>
      <c r="WJO26" s="500"/>
      <c r="WJP26" s="500"/>
      <c r="WJQ26" s="500"/>
      <c r="WJR26" s="500"/>
      <c r="WJS26" s="500"/>
      <c r="WJT26" s="500"/>
      <c r="WJU26" s="500"/>
      <c r="WJV26" s="500"/>
      <c r="WJW26" s="500"/>
      <c r="WJX26" s="500"/>
      <c r="WJY26" s="500"/>
      <c r="WJZ26" s="500"/>
      <c r="WKA26" s="500"/>
      <c r="WKB26" s="500"/>
      <c r="WKC26" s="500"/>
      <c r="WKD26" s="500"/>
      <c r="WKE26" s="500"/>
      <c r="WKF26" s="500"/>
      <c r="WKG26" s="500"/>
      <c r="WKH26" s="500"/>
      <c r="WKI26" s="500"/>
      <c r="WKJ26" s="500"/>
      <c r="WKK26" s="500"/>
      <c r="WKL26" s="500"/>
      <c r="WKM26" s="500"/>
      <c r="WKN26" s="500"/>
      <c r="WKO26" s="500"/>
      <c r="WKP26" s="500"/>
      <c r="WKQ26" s="500"/>
      <c r="WKR26" s="500"/>
      <c r="WKS26" s="500"/>
      <c r="WKT26" s="500"/>
      <c r="WKU26" s="500"/>
      <c r="WKV26" s="500"/>
      <c r="WKW26" s="500"/>
      <c r="WKX26" s="500"/>
      <c r="WKY26" s="500"/>
      <c r="WKZ26" s="500"/>
      <c r="WLA26" s="500"/>
      <c r="WLB26" s="500"/>
      <c r="WLC26" s="500"/>
      <c r="WLD26" s="500"/>
      <c r="WLE26" s="500"/>
      <c r="WLF26" s="500"/>
      <c r="WLG26" s="500"/>
      <c r="WLH26" s="500"/>
      <c r="WLI26" s="500"/>
      <c r="WLJ26" s="500"/>
      <c r="WLK26" s="500"/>
      <c r="WLL26" s="500"/>
      <c r="WLM26" s="500"/>
      <c r="WLN26" s="500"/>
      <c r="WLO26" s="500"/>
      <c r="WLP26" s="500"/>
      <c r="WLQ26" s="500"/>
      <c r="WLR26" s="500"/>
      <c r="WLS26" s="500"/>
      <c r="WLT26" s="500"/>
      <c r="WLU26" s="500"/>
      <c r="WLV26" s="500"/>
      <c r="WLW26" s="500"/>
      <c r="WLX26" s="500"/>
      <c r="WLY26" s="500"/>
      <c r="WLZ26" s="500"/>
      <c r="WMA26" s="500"/>
      <c r="WMB26" s="500"/>
      <c r="WMC26" s="500"/>
      <c r="WMD26" s="500"/>
      <c r="WME26" s="500"/>
      <c r="WMF26" s="500"/>
      <c r="WMG26" s="500"/>
      <c r="WMH26" s="500"/>
      <c r="WMI26" s="500"/>
      <c r="WMJ26" s="500"/>
      <c r="WMK26" s="500"/>
      <c r="WML26" s="500"/>
      <c r="WMM26" s="500"/>
      <c r="WMN26" s="500"/>
      <c r="WMO26" s="500"/>
      <c r="WMP26" s="500"/>
      <c r="WMQ26" s="500"/>
      <c r="WMR26" s="500"/>
      <c r="WMS26" s="500"/>
      <c r="WMT26" s="500"/>
      <c r="WMU26" s="500"/>
      <c r="WMV26" s="500"/>
      <c r="WMW26" s="500"/>
      <c r="WMX26" s="500"/>
      <c r="WMY26" s="500"/>
      <c r="WMZ26" s="500"/>
      <c r="WNA26" s="500"/>
      <c r="WNB26" s="500"/>
      <c r="WNC26" s="500"/>
      <c r="WND26" s="500"/>
      <c r="WNE26" s="500"/>
      <c r="WNF26" s="500"/>
      <c r="WNG26" s="500"/>
      <c r="WNH26" s="500"/>
      <c r="WNI26" s="500"/>
      <c r="WNJ26" s="500"/>
      <c r="WNK26" s="500"/>
      <c r="WNL26" s="500"/>
      <c r="WNM26" s="500"/>
      <c r="WNN26" s="500"/>
      <c r="WNO26" s="500"/>
      <c r="WNP26" s="500"/>
      <c r="WNQ26" s="500"/>
      <c r="WNR26" s="500"/>
      <c r="WNS26" s="500"/>
      <c r="WNT26" s="500"/>
      <c r="WNU26" s="500"/>
      <c r="WNV26" s="500"/>
      <c r="WNW26" s="500"/>
      <c r="WNX26" s="500"/>
      <c r="WNY26" s="500"/>
      <c r="WNZ26" s="500"/>
      <c r="WOA26" s="500"/>
      <c r="WOB26" s="500"/>
      <c r="WOC26" s="500"/>
      <c r="WOD26" s="500"/>
      <c r="WOE26" s="500"/>
      <c r="WOF26" s="500"/>
      <c r="WOG26" s="500"/>
      <c r="WOH26" s="500"/>
      <c r="WOI26" s="500"/>
      <c r="WOJ26" s="500"/>
      <c r="WOK26" s="500"/>
      <c r="WOL26" s="500"/>
      <c r="WOM26" s="500"/>
      <c r="WON26" s="500"/>
      <c r="WOO26" s="500"/>
      <c r="WOP26" s="500"/>
      <c r="WOQ26" s="500"/>
      <c r="WOR26" s="500"/>
      <c r="WOS26" s="500"/>
      <c r="WOT26" s="500"/>
      <c r="WOU26" s="500"/>
      <c r="WOV26" s="500"/>
      <c r="WOW26" s="500"/>
      <c r="WOX26" s="500"/>
      <c r="WOY26" s="500"/>
      <c r="WOZ26" s="500"/>
      <c r="WPA26" s="500"/>
      <c r="WPB26" s="500"/>
      <c r="WPC26" s="500"/>
      <c r="WPD26" s="500"/>
      <c r="WPE26" s="500"/>
      <c r="WPF26" s="500"/>
      <c r="WPG26" s="500"/>
      <c r="WPH26" s="500"/>
      <c r="WPI26" s="500"/>
      <c r="WPJ26" s="500"/>
      <c r="WPK26" s="500"/>
      <c r="WPL26" s="500"/>
      <c r="WPM26" s="500"/>
      <c r="WPN26" s="500"/>
      <c r="WPO26" s="500"/>
      <c r="WPP26" s="500"/>
      <c r="WPQ26" s="500"/>
      <c r="WPR26" s="500"/>
      <c r="WPS26" s="500"/>
      <c r="WPT26" s="500"/>
      <c r="WPU26" s="500"/>
      <c r="WPV26" s="500"/>
      <c r="WPW26" s="500"/>
      <c r="WPX26" s="500"/>
      <c r="WPY26" s="500"/>
      <c r="WPZ26" s="500"/>
      <c r="WQA26" s="500"/>
      <c r="WQB26" s="500"/>
      <c r="WQC26" s="500"/>
      <c r="WQD26" s="500"/>
      <c r="WQE26" s="500"/>
      <c r="WQF26" s="500"/>
      <c r="WQG26" s="500"/>
      <c r="WQH26" s="500"/>
      <c r="WQI26" s="500"/>
      <c r="WQJ26" s="500"/>
      <c r="WQK26" s="500"/>
      <c r="WQL26" s="500"/>
      <c r="WQM26" s="500"/>
      <c r="WQN26" s="500"/>
      <c r="WQO26" s="500"/>
      <c r="WQP26" s="500"/>
      <c r="WQQ26" s="500"/>
      <c r="WQR26" s="500"/>
      <c r="WQS26" s="500"/>
      <c r="WQT26" s="500"/>
      <c r="WQU26" s="500"/>
      <c r="WQV26" s="500"/>
      <c r="WQW26" s="500"/>
      <c r="WQX26" s="500"/>
      <c r="WQY26" s="500"/>
      <c r="WQZ26" s="500"/>
      <c r="WRA26" s="500"/>
      <c r="WRB26" s="500"/>
      <c r="WRC26" s="500"/>
      <c r="WRD26" s="500"/>
      <c r="WRE26" s="500"/>
      <c r="WRF26" s="500"/>
      <c r="WRG26" s="500"/>
      <c r="WRH26" s="500"/>
      <c r="WRI26" s="500"/>
      <c r="WRJ26" s="500"/>
      <c r="WRK26" s="500"/>
      <c r="WRL26" s="500"/>
      <c r="WRM26" s="500"/>
      <c r="WRN26" s="500"/>
      <c r="WRO26" s="500"/>
      <c r="WRP26" s="500"/>
      <c r="WRQ26" s="500"/>
      <c r="WRR26" s="500"/>
      <c r="WRS26" s="500"/>
      <c r="WRT26" s="500"/>
      <c r="WRU26" s="500"/>
      <c r="WRV26" s="500"/>
      <c r="WRW26" s="500"/>
      <c r="WRX26" s="500"/>
      <c r="WRY26" s="500"/>
      <c r="WRZ26" s="500"/>
      <c r="WSA26" s="500"/>
      <c r="WSB26" s="500"/>
      <c r="WSC26" s="500"/>
      <c r="WSD26" s="500"/>
      <c r="WSE26" s="500"/>
      <c r="WSF26" s="500"/>
      <c r="WSG26" s="500"/>
      <c r="WSH26" s="500"/>
      <c r="WSI26" s="500"/>
      <c r="WSJ26" s="500"/>
      <c r="WSK26" s="500"/>
      <c r="WSL26" s="500"/>
      <c r="WSM26" s="500"/>
      <c r="WSN26" s="500"/>
      <c r="WSO26" s="500"/>
      <c r="WSP26" s="500"/>
      <c r="WSQ26" s="500"/>
      <c r="WSR26" s="500"/>
      <c r="WSS26" s="500"/>
      <c r="WST26" s="500"/>
      <c r="WSU26" s="500"/>
      <c r="WSV26" s="500"/>
      <c r="WSW26" s="500"/>
      <c r="WSX26" s="500"/>
      <c r="WSY26" s="500"/>
      <c r="WSZ26" s="500"/>
      <c r="WTA26" s="500"/>
      <c r="WTB26" s="500"/>
      <c r="WTC26" s="500"/>
      <c r="WTD26" s="500"/>
      <c r="WTE26" s="500"/>
      <c r="WTF26" s="500"/>
      <c r="WTG26" s="500"/>
      <c r="WTH26" s="500"/>
      <c r="WTI26" s="500"/>
      <c r="WTJ26" s="500"/>
      <c r="WTK26" s="500"/>
      <c r="WTL26" s="500"/>
      <c r="WTM26" s="500"/>
      <c r="WTN26" s="500"/>
      <c r="WTO26" s="500"/>
      <c r="WTP26" s="500"/>
      <c r="WTQ26" s="500"/>
      <c r="WTR26" s="500"/>
      <c r="WTS26" s="500"/>
      <c r="WTT26" s="500"/>
      <c r="WTU26" s="500"/>
      <c r="WTV26" s="500"/>
      <c r="WTW26" s="500"/>
      <c r="WTX26" s="500"/>
      <c r="WTY26" s="500"/>
      <c r="WTZ26" s="500"/>
      <c r="WUA26" s="500"/>
      <c r="WUB26" s="500"/>
      <c r="WUC26" s="500"/>
      <c r="WUD26" s="500"/>
      <c r="WUE26" s="500"/>
      <c r="WUF26" s="500"/>
      <c r="WUG26" s="500"/>
      <c r="WUH26" s="500"/>
      <c r="WUI26" s="500"/>
      <c r="WUJ26" s="500"/>
      <c r="WUK26" s="500"/>
      <c r="WUL26" s="500"/>
      <c r="WUM26" s="500"/>
      <c r="WUN26" s="500"/>
      <c r="WUO26" s="500"/>
      <c r="WUP26" s="500"/>
      <c r="WUQ26" s="500"/>
      <c r="WUR26" s="500"/>
      <c r="WUS26" s="500"/>
      <c r="WUT26" s="500"/>
      <c r="WUU26" s="500"/>
      <c r="WUV26" s="500"/>
      <c r="WUW26" s="500"/>
      <c r="WUX26" s="500"/>
      <c r="WUY26" s="500"/>
      <c r="WUZ26" s="500"/>
      <c r="WVA26" s="500"/>
      <c r="WVB26" s="500"/>
      <c r="WVC26" s="500"/>
      <c r="WVD26" s="500"/>
      <c r="WVE26" s="500"/>
      <c r="WVF26" s="500"/>
      <c r="WVG26" s="500"/>
      <c r="WVH26" s="500"/>
      <c r="WVI26" s="500"/>
      <c r="WVJ26" s="500"/>
      <c r="WVK26" s="500"/>
      <c r="WVL26" s="500"/>
      <c r="WVM26" s="500"/>
      <c r="WVN26" s="500"/>
      <c r="WVO26" s="500"/>
      <c r="WVP26" s="500"/>
      <c r="WVQ26" s="500"/>
      <c r="WVR26" s="500"/>
      <c r="WVS26" s="500"/>
      <c r="WVT26" s="500"/>
      <c r="WVU26" s="500"/>
      <c r="WVV26" s="500"/>
      <c r="WVW26" s="500"/>
      <c r="WVX26" s="500"/>
      <c r="WVY26" s="500"/>
      <c r="WVZ26" s="500"/>
      <c r="WWA26" s="500"/>
      <c r="WWB26" s="500"/>
      <c r="WWC26" s="500"/>
      <c r="WWD26" s="500"/>
      <c r="WWE26" s="500"/>
      <c r="WWF26" s="500"/>
      <c r="WWG26" s="500"/>
      <c r="WWH26" s="500"/>
      <c r="WWI26" s="500"/>
      <c r="WWJ26" s="500"/>
      <c r="WWK26" s="500"/>
      <c r="WWL26" s="500"/>
      <c r="WWM26" s="500"/>
      <c r="WWN26" s="500"/>
      <c r="WWO26" s="500"/>
      <c r="WWP26" s="500"/>
      <c r="WWQ26" s="500"/>
      <c r="WWR26" s="500"/>
      <c r="WWS26" s="500"/>
      <c r="WWT26" s="500"/>
      <c r="WWU26" s="500"/>
      <c r="WWV26" s="500"/>
      <c r="WWW26" s="500"/>
      <c r="WWX26" s="500"/>
      <c r="WWY26" s="500"/>
      <c r="WWZ26" s="500"/>
      <c r="WXA26" s="500"/>
      <c r="WXB26" s="500"/>
      <c r="WXC26" s="500"/>
      <c r="WXD26" s="500"/>
      <c r="WXE26" s="500"/>
      <c r="WXF26" s="500"/>
      <c r="WXG26" s="500"/>
      <c r="WXH26" s="500"/>
      <c r="WXI26" s="500"/>
      <c r="WXJ26" s="500"/>
      <c r="WXK26" s="500"/>
      <c r="WXL26" s="500"/>
      <c r="WXM26" s="500"/>
      <c r="WXN26" s="500"/>
      <c r="WXO26" s="500"/>
      <c r="WXP26" s="500"/>
      <c r="WXQ26" s="500"/>
      <c r="WXR26" s="500"/>
      <c r="WXS26" s="500"/>
      <c r="WXT26" s="500"/>
      <c r="WXU26" s="500"/>
      <c r="WXV26" s="500"/>
      <c r="WXW26" s="500"/>
      <c r="WXX26" s="500"/>
      <c r="WXY26" s="500"/>
      <c r="WXZ26" s="500"/>
      <c r="WYA26" s="500"/>
      <c r="WYB26" s="500"/>
      <c r="WYC26" s="500"/>
      <c r="WYD26" s="500"/>
      <c r="WYE26" s="500"/>
      <c r="WYF26" s="500"/>
      <c r="WYG26" s="500"/>
      <c r="WYH26" s="500"/>
      <c r="WYI26" s="500"/>
      <c r="WYJ26" s="500"/>
      <c r="WYK26" s="500"/>
      <c r="WYL26" s="500"/>
      <c r="WYM26" s="500"/>
      <c r="WYN26" s="500"/>
      <c r="WYO26" s="500"/>
      <c r="WYP26" s="500"/>
      <c r="WYQ26" s="500"/>
      <c r="WYR26" s="500"/>
      <c r="WYS26" s="500"/>
      <c r="WYT26" s="500"/>
      <c r="WYU26" s="500"/>
      <c r="WYV26" s="500"/>
      <c r="WYW26" s="500"/>
      <c r="WYX26" s="500"/>
      <c r="WYY26" s="500"/>
      <c r="WYZ26" s="500"/>
      <c r="WZA26" s="500"/>
      <c r="WZB26" s="500"/>
      <c r="WZC26" s="500"/>
      <c r="WZD26" s="500"/>
      <c r="WZE26" s="500"/>
      <c r="WZF26" s="500"/>
      <c r="WZG26" s="500"/>
      <c r="WZH26" s="500"/>
      <c r="WZI26" s="500"/>
      <c r="WZJ26" s="500"/>
      <c r="WZK26" s="500"/>
      <c r="WZL26" s="500"/>
      <c r="WZM26" s="500"/>
      <c r="WZN26" s="500"/>
      <c r="WZO26" s="500"/>
      <c r="WZP26" s="500"/>
      <c r="WZQ26" s="500"/>
      <c r="WZR26" s="500"/>
      <c r="WZS26" s="500"/>
      <c r="WZT26" s="500"/>
      <c r="WZU26" s="500"/>
      <c r="WZV26" s="500"/>
      <c r="WZW26" s="500"/>
      <c r="WZX26" s="500"/>
      <c r="WZY26" s="500"/>
      <c r="WZZ26" s="500"/>
      <c r="XAA26" s="500"/>
      <c r="XAB26" s="500"/>
      <c r="XAC26" s="500"/>
      <c r="XAD26" s="500"/>
      <c r="XAE26" s="500"/>
      <c r="XAF26" s="500"/>
      <c r="XAG26" s="500"/>
      <c r="XAH26" s="500"/>
      <c r="XAI26" s="500"/>
      <c r="XAJ26" s="500"/>
      <c r="XAK26" s="500"/>
      <c r="XAL26" s="500"/>
      <c r="XAM26" s="500"/>
      <c r="XAN26" s="500"/>
      <c r="XAO26" s="500"/>
      <c r="XAP26" s="500"/>
      <c r="XAQ26" s="500"/>
      <c r="XAR26" s="500"/>
      <c r="XAS26" s="500"/>
      <c r="XAT26" s="500"/>
      <c r="XAU26" s="500"/>
      <c r="XAV26" s="500"/>
      <c r="XAW26" s="500"/>
      <c r="XAX26" s="500"/>
      <c r="XAY26" s="500"/>
      <c r="XAZ26" s="500"/>
      <c r="XBA26" s="500"/>
      <c r="XBB26" s="500"/>
      <c r="XBC26" s="500"/>
      <c r="XBD26" s="500"/>
      <c r="XBE26" s="500"/>
      <c r="XBF26" s="500"/>
      <c r="XBG26" s="500"/>
      <c r="XBH26" s="500"/>
      <c r="XBI26" s="500"/>
      <c r="XBJ26" s="500"/>
      <c r="XBK26" s="500"/>
      <c r="XBL26" s="500"/>
      <c r="XBM26" s="500"/>
      <c r="XBN26" s="500"/>
      <c r="XBO26" s="500"/>
      <c r="XBP26" s="500"/>
      <c r="XBQ26" s="500"/>
      <c r="XBR26" s="500"/>
      <c r="XBS26" s="500"/>
      <c r="XBT26" s="500"/>
      <c r="XBU26" s="500"/>
      <c r="XBV26" s="500"/>
      <c r="XBW26" s="500"/>
      <c r="XBX26" s="500"/>
      <c r="XBY26" s="500"/>
      <c r="XBZ26" s="500"/>
      <c r="XCA26" s="500"/>
      <c r="XCB26" s="500"/>
      <c r="XCC26" s="500"/>
      <c r="XCD26" s="500"/>
      <c r="XCE26" s="500"/>
    </row>
    <row r="27" spans="1:16307" s="500" customFormat="1" x14ac:dyDescent="0.2">
      <c r="A27" s="833">
        <v>315</v>
      </c>
      <c r="B27" s="834" t="s">
        <v>909</v>
      </c>
      <c r="C27" s="835">
        <v>91.64</v>
      </c>
      <c r="D27" s="835">
        <v>273.77</v>
      </c>
      <c r="E27" s="835">
        <v>1081.3800000000001</v>
      </c>
      <c r="F27" s="835">
        <v>1295.1600000000001</v>
      </c>
      <c r="G27" s="835">
        <v>1062.99</v>
      </c>
      <c r="H27" s="835">
        <v>859.46</v>
      </c>
      <c r="I27" s="835">
        <v>529.02</v>
      </c>
      <c r="J27" s="835">
        <v>1387.37</v>
      </c>
      <c r="K27" s="835">
        <v>1148.25</v>
      </c>
      <c r="L27" s="835">
        <v>1097.17</v>
      </c>
      <c r="M27" s="835">
        <v>662.24</v>
      </c>
      <c r="N27" s="835">
        <v>199.4</v>
      </c>
      <c r="O27" s="835">
        <v>114.9</v>
      </c>
      <c r="P27" s="835">
        <v>301.5</v>
      </c>
      <c r="Q27" s="835">
        <v>861.15</v>
      </c>
      <c r="R27" s="835">
        <v>1559.7</v>
      </c>
      <c r="S27" s="835">
        <v>1444.65</v>
      </c>
      <c r="T27" s="835">
        <v>1232.2</v>
      </c>
      <c r="U27" s="835">
        <v>1012.75</v>
      </c>
      <c r="V27" s="835">
        <v>1203.2</v>
      </c>
      <c r="W27" s="835">
        <v>1681.8</v>
      </c>
      <c r="X27" s="835">
        <v>1794.6</v>
      </c>
      <c r="Y27" s="835">
        <v>1224.5</v>
      </c>
      <c r="Z27" s="835">
        <v>535.15</v>
      </c>
      <c r="AA27" s="835">
        <v>221.45</v>
      </c>
      <c r="AB27" s="835">
        <v>602.15</v>
      </c>
      <c r="AC27" s="835">
        <v>1095.55</v>
      </c>
      <c r="AD27" s="835">
        <v>1536.15</v>
      </c>
      <c r="AE27" s="835">
        <v>1584.55</v>
      </c>
      <c r="AF27" s="835">
        <v>1415.95</v>
      </c>
      <c r="AG27" s="835">
        <v>969.05</v>
      </c>
      <c r="AH27" s="835">
        <v>1568.75</v>
      </c>
      <c r="AI27" s="835">
        <v>1608.35</v>
      </c>
      <c r="AJ27" s="835">
        <v>1646.05</v>
      </c>
      <c r="AK27" s="835">
        <v>1822.75</v>
      </c>
      <c r="AL27" s="835">
        <v>1223.75</v>
      </c>
      <c r="AM27" s="835">
        <v>1805.75</v>
      </c>
      <c r="AN27" s="835">
        <v>1544.15</v>
      </c>
      <c r="AO27" s="835">
        <v>1671.75</v>
      </c>
      <c r="AP27" s="835">
        <v>2134.2399999999998</v>
      </c>
      <c r="AQ27" s="835">
        <v>2191.1569</v>
      </c>
      <c r="AR27" s="835">
        <v>1597.75</v>
      </c>
      <c r="AS27" s="835">
        <v>1582.75</v>
      </c>
      <c r="AT27" s="835">
        <v>2376.9989999999998</v>
      </c>
      <c r="AU27" s="835">
        <v>2081.9989999999998</v>
      </c>
      <c r="AV27" s="835">
        <v>1987.4480000000001</v>
      </c>
      <c r="AW27" s="835">
        <v>1603.4360000000001</v>
      </c>
      <c r="AX27" s="835">
        <v>599.41949999999997</v>
      </c>
      <c r="AY27" s="835">
        <v>440.44100000000003</v>
      </c>
    </row>
    <row r="28" spans="1:16307" s="500" customFormat="1" x14ac:dyDescent="0.2">
      <c r="A28" s="833" t="s">
        <v>892</v>
      </c>
      <c r="B28" s="834" t="s">
        <v>910</v>
      </c>
      <c r="C28" s="835">
        <v>0</v>
      </c>
      <c r="D28" s="835">
        <v>0</v>
      </c>
      <c r="E28" s="835">
        <v>0</v>
      </c>
      <c r="F28" s="835">
        <v>0</v>
      </c>
      <c r="G28" s="835">
        <v>0</v>
      </c>
      <c r="H28" s="835">
        <v>0</v>
      </c>
      <c r="I28" s="835">
        <v>0</v>
      </c>
      <c r="J28" s="835">
        <v>0</v>
      </c>
      <c r="K28" s="835">
        <v>0</v>
      </c>
      <c r="L28" s="835">
        <v>0</v>
      </c>
      <c r="M28" s="835">
        <v>0</v>
      </c>
      <c r="N28" s="835">
        <v>0</v>
      </c>
      <c r="O28" s="835">
        <v>0</v>
      </c>
      <c r="P28" s="835">
        <v>0</v>
      </c>
      <c r="Q28" s="835">
        <v>0</v>
      </c>
      <c r="R28" s="835">
        <v>0</v>
      </c>
      <c r="S28" s="835">
        <v>0</v>
      </c>
      <c r="T28" s="835">
        <v>0</v>
      </c>
      <c r="U28" s="835">
        <v>0</v>
      </c>
      <c r="V28" s="835">
        <v>0</v>
      </c>
      <c r="W28" s="835">
        <v>0</v>
      </c>
      <c r="X28" s="835">
        <v>0</v>
      </c>
      <c r="Y28" s="835">
        <v>0</v>
      </c>
      <c r="Z28" s="835">
        <v>43.74</v>
      </c>
      <c r="AA28" s="835">
        <v>100.84</v>
      </c>
      <c r="AB28" s="835">
        <v>2320.58</v>
      </c>
      <c r="AC28" s="835">
        <v>6556.74</v>
      </c>
      <c r="AD28" s="835">
        <v>603.22</v>
      </c>
      <c r="AE28" s="835">
        <v>573.42999999999995</v>
      </c>
      <c r="AF28" s="835">
        <v>413.45</v>
      </c>
      <c r="AG28" s="835">
        <v>592.27</v>
      </c>
      <c r="AH28" s="835">
        <v>955.3</v>
      </c>
      <c r="AI28" s="835">
        <v>722.64</v>
      </c>
      <c r="AJ28" s="835">
        <v>1604.6999999999998</v>
      </c>
      <c r="AK28" s="835">
        <v>1894.11</v>
      </c>
      <c r="AL28" s="835">
        <v>568.16999999999996</v>
      </c>
      <c r="AM28" s="835">
        <v>194.27</v>
      </c>
      <c r="AN28" s="835">
        <v>770.52</v>
      </c>
      <c r="AO28" s="835">
        <v>1875.2800000000002</v>
      </c>
      <c r="AP28" s="835">
        <v>2525.21</v>
      </c>
      <c r="AQ28" s="835">
        <v>2638.7703999999999</v>
      </c>
      <c r="AR28" s="835">
        <v>1900.79</v>
      </c>
      <c r="AS28" s="835">
        <v>1666.76</v>
      </c>
      <c r="AT28" s="835">
        <v>2584.9740000000002</v>
      </c>
      <c r="AU28" s="835">
        <v>2497.6640000000002</v>
      </c>
      <c r="AV28" s="835">
        <v>2537.9479999999999</v>
      </c>
      <c r="AW28" s="835">
        <v>2148.846</v>
      </c>
      <c r="AX28" s="835">
        <v>1009.8219999999999</v>
      </c>
      <c r="AY28" s="835">
        <v>633.346</v>
      </c>
      <c r="AZ28" s="501"/>
      <c r="BA28" s="501"/>
      <c r="BB28" s="501"/>
      <c r="BC28" s="501"/>
      <c r="BD28" s="501"/>
      <c r="BE28" s="501"/>
      <c r="BF28" s="501"/>
      <c r="BG28" s="501"/>
      <c r="BH28" s="501"/>
      <c r="BI28" s="501"/>
      <c r="BJ28" s="501"/>
      <c r="BK28" s="501"/>
      <c r="BL28" s="501"/>
      <c r="BM28" s="501"/>
      <c r="BN28" s="501"/>
      <c r="BO28" s="501"/>
      <c r="BP28" s="501"/>
      <c r="BQ28" s="501"/>
      <c r="BR28" s="501"/>
      <c r="BS28" s="501"/>
      <c r="BT28" s="501"/>
      <c r="BU28" s="501"/>
      <c r="BV28" s="501"/>
      <c r="BW28" s="501"/>
      <c r="BX28" s="501"/>
      <c r="BY28" s="501"/>
      <c r="BZ28" s="501"/>
      <c r="CA28" s="501"/>
      <c r="CB28" s="501"/>
      <c r="CC28" s="501"/>
      <c r="CD28" s="501"/>
      <c r="CE28" s="501"/>
      <c r="CF28" s="501"/>
      <c r="CG28" s="501"/>
      <c r="CH28" s="501"/>
      <c r="CI28" s="501"/>
      <c r="CJ28" s="501"/>
      <c r="CK28" s="501"/>
      <c r="CL28" s="501"/>
      <c r="CM28" s="501"/>
      <c r="CN28" s="501"/>
      <c r="CO28" s="501"/>
      <c r="CP28" s="501"/>
      <c r="CQ28" s="501"/>
      <c r="CR28" s="501"/>
      <c r="CS28" s="501"/>
      <c r="CT28" s="501"/>
      <c r="CU28" s="501"/>
      <c r="CV28" s="501"/>
      <c r="CW28" s="501"/>
      <c r="CX28" s="501"/>
      <c r="CY28" s="501"/>
      <c r="CZ28" s="501"/>
      <c r="DA28" s="501"/>
      <c r="DB28" s="501"/>
      <c r="DC28" s="501"/>
      <c r="DD28" s="501"/>
      <c r="DE28" s="501"/>
      <c r="DF28" s="501"/>
      <c r="DG28" s="501"/>
      <c r="DH28" s="501"/>
      <c r="DI28" s="501"/>
      <c r="DJ28" s="501"/>
      <c r="DK28" s="501"/>
      <c r="DL28" s="501"/>
      <c r="DM28" s="501"/>
      <c r="DN28" s="501"/>
      <c r="DO28" s="501"/>
      <c r="DP28" s="501"/>
      <c r="DQ28" s="501"/>
      <c r="DR28" s="501"/>
      <c r="DS28" s="501"/>
      <c r="DT28" s="501"/>
      <c r="DU28" s="501"/>
      <c r="DV28" s="501"/>
      <c r="DW28" s="501"/>
      <c r="DX28" s="501"/>
      <c r="DY28" s="501"/>
      <c r="DZ28" s="501"/>
      <c r="EA28" s="501"/>
      <c r="EB28" s="501"/>
      <c r="EC28" s="501"/>
      <c r="ED28" s="501"/>
      <c r="EE28" s="501"/>
      <c r="EF28" s="501"/>
      <c r="EG28" s="501"/>
      <c r="EH28" s="501"/>
      <c r="EI28" s="501"/>
      <c r="EJ28" s="501"/>
      <c r="EK28" s="501"/>
      <c r="EL28" s="501"/>
      <c r="EM28" s="501"/>
      <c r="EN28" s="501"/>
      <c r="EO28" s="501"/>
      <c r="EP28" s="501"/>
      <c r="EQ28" s="501"/>
      <c r="ER28" s="501"/>
      <c r="ES28" s="501"/>
      <c r="ET28" s="501"/>
      <c r="EU28" s="501"/>
      <c r="EV28" s="501"/>
      <c r="EW28" s="501"/>
      <c r="EX28" s="501"/>
      <c r="EY28" s="501"/>
      <c r="EZ28" s="501"/>
      <c r="FA28" s="501"/>
      <c r="FB28" s="501"/>
      <c r="FC28" s="501"/>
      <c r="FD28" s="501"/>
      <c r="FE28" s="501"/>
      <c r="FF28" s="501"/>
      <c r="FG28" s="501"/>
      <c r="FH28" s="501"/>
      <c r="FI28" s="501"/>
      <c r="FJ28" s="501"/>
      <c r="FK28" s="501"/>
      <c r="FL28" s="501"/>
      <c r="FM28" s="501"/>
      <c r="FN28" s="501"/>
      <c r="FO28" s="501"/>
      <c r="FP28" s="501"/>
      <c r="FQ28" s="501"/>
      <c r="FR28" s="501"/>
      <c r="FS28" s="501"/>
      <c r="FT28" s="501"/>
      <c r="FU28" s="501"/>
      <c r="FV28" s="501"/>
      <c r="FW28" s="501"/>
      <c r="FX28" s="501"/>
      <c r="FY28" s="501"/>
      <c r="FZ28" s="501"/>
      <c r="GA28" s="501"/>
      <c r="GB28" s="501"/>
      <c r="GC28" s="501"/>
      <c r="GD28" s="501"/>
      <c r="GE28" s="501"/>
      <c r="GF28" s="501"/>
      <c r="GG28" s="501"/>
      <c r="GH28" s="501"/>
      <c r="GI28" s="501"/>
      <c r="GJ28" s="501"/>
      <c r="GK28" s="501"/>
      <c r="GL28" s="501"/>
      <c r="GM28" s="501"/>
      <c r="GN28" s="501"/>
      <c r="GO28" s="501"/>
      <c r="GP28" s="501"/>
      <c r="GQ28" s="501"/>
      <c r="GR28" s="501"/>
      <c r="GS28" s="501"/>
      <c r="GT28" s="501"/>
      <c r="GU28" s="501"/>
      <c r="GV28" s="501"/>
      <c r="GW28" s="501"/>
      <c r="GX28" s="501"/>
      <c r="GY28" s="501"/>
      <c r="GZ28" s="501"/>
      <c r="HA28" s="501"/>
      <c r="HB28" s="501"/>
      <c r="HC28" s="501"/>
      <c r="HD28" s="501"/>
      <c r="HE28" s="501"/>
      <c r="HF28" s="501"/>
      <c r="HG28" s="501"/>
      <c r="HH28" s="501"/>
      <c r="HI28" s="501"/>
      <c r="HJ28" s="501"/>
      <c r="HK28" s="501"/>
      <c r="HL28" s="501"/>
      <c r="HM28" s="501"/>
      <c r="HN28" s="501"/>
      <c r="HO28" s="501"/>
      <c r="HP28" s="501"/>
      <c r="HQ28" s="501"/>
      <c r="HR28" s="501"/>
      <c r="HS28" s="501"/>
      <c r="HT28" s="501"/>
      <c r="HU28" s="501"/>
      <c r="HV28" s="501"/>
      <c r="HW28" s="501"/>
      <c r="HX28" s="501"/>
      <c r="HY28" s="501"/>
      <c r="HZ28" s="501"/>
      <c r="IA28" s="501"/>
      <c r="IB28" s="501"/>
      <c r="IC28" s="501"/>
      <c r="ID28" s="501"/>
      <c r="IE28" s="501"/>
      <c r="IF28" s="501"/>
      <c r="IG28" s="501"/>
      <c r="IH28" s="501"/>
      <c r="II28" s="501"/>
      <c r="IJ28" s="501"/>
      <c r="IK28" s="501"/>
      <c r="IL28" s="501"/>
      <c r="IM28" s="501"/>
      <c r="IN28" s="501"/>
      <c r="IO28" s="501"/>
      <c r="IP28" s="501"/>
      <c r="IQ28" s="501"/>
      <c r="IR28" s="501"/>
      <c r="IS28" s="501"/>
      <c r="IT28" s="501"/>
      <c r="IU28" s="501"/>
      <c r="IV28" s="501"/>
      <c r="IW28" s="501"/>
      <c r="IX28" s="501"/>
      <c r="IY28" s="501"/>
      <c r="IZ28" s="501"/>
      <c r="JA28" s="501"/>
      <c r="JB28" s="501"/>
      <c r="JC28" s="501"/>
      <c r="JD28" s="501"/>
      <c r="JE28" s="501"/>
      <c r="JF28" s="501"/>
      <c r="JG28" s="501"/>
      <c r="JH28" s="501"/>
      <c r="JI28" s="501"/>
      <c r="JJ28" s="501"/>
      <c r="JK28" s="501"/>
      <c r="JL28" s="501"/>
      <c r="JM28" s="501"/>
      <c r="JN28" s="501"/>
      <c r="JO28" s="501"/>
      <c r="JP28" s="501"/>
      <c r="JQ28" s="501"/>
      <c r="JR28" s="501"/>
      <c r="JS28" s="501"/>
      <c r="JT28" s="501"/>
      <c r="JU28" s="501"/>
      <c r="JV28" s="501"/>
      <c r="JW28" s="501"/>
      <c r="JX28" s="501"/>
      <c r="JY28" s="501"/>
      <c r="JZ28" s="501"/>
      <c r="KA28" s="501"/>
      <c r="KB28" s="501"/>
      <c r="KC28" s="501"/>
      <c r="KD28" s="501"/>
      <c r="KE28" s="501"/>
      <c r="KF28" s="501"/>
      <c r="KG28" s="501"/>
      <c r="KH28" s="501"/>
      <c r="KI28" s="501"/>
      <c r="KJ28" s="501"/>
      <c r="KK28" s="501"/>
      <c r="KL28" s="501"/>
      <c r="KM28" s="501"/>
      <c r="KN28" s="501"/>
      <c r="KO28" s="501"/>
      <c r="KP28" s="501"/>
      <c r="KQ28" s="501"/>
      <c r="KR28" s="501"/>
      <c r="KS28" s="501"/>
      <c r="KT28" s="501"/>
      <c r="KU28" s="501"/>
      <c r="KV28" s="501"/>
      <c r="KW28" s="501"/>
      <c r="KX28" s="501"/>
      <c r="KY28" s="501"/>
      <c r="KZ28" s="501"/>
      <c r="LA28" s="501"/>
      <c r="LB28" s="501"/>
      <c r="LC28" s="501"/>
      <c r="LD28" s="501"/>
      <c r="LE28" s="501"/>
      <c r="LF28" s="501"/>
      <c r="LG28" s="501"/>
      <c r="LH28" s="501"/>
      <c r="LI28" s="501"/>
      <c r="LJ28" s="501"/>
      <c r="LK28" s="501"/>
      <c r="LL28" s="501"/>
      <c r="LM28" s="501"/>
      <c r="LN28" s="501"/>
      <c r="LO28" s="501"/>
      <c r="LP28" s="501"/>
      <c r="LQ28" s="501"/>
      <c r="LR28" s="501"/>
      <c r="LS28" s="501"/>
      <c r="LT28" s="501"/>
      <c r="LU28" s="501"/>
      <c r="LV28" s="501"/>
      <c r="LW28" s="501"/>
      <c r="LX28" s="501"/>
      <c r="LY28" s="501"/>
      <c r="LZ28" s="501"/>
      <c r="MA28" s="501"/>
      <c r="MB28" s="501"/>
      <c r="MC28" s="501"/>
      <c r="MD28" s="501"/>
      <c r="ME28" s="501"/>
      <c r="MF28" s="501"/>
      <c r="MG28" s="501"/>
      <c r="MH28" s="501"/>
      <c r="MI28" s="501"/>
      <c r="MJ28" s="501"/>
      <c r="MK28" s="501"/>
      <c r="ML28" s="501"/>
      <c r="MM28" s="501"/>
      <c r="MN28" s="501"/>
      <c r="MO28" s="501"/>
      <c r="MP28" s="501"/>
      <c r="MQ28" s="501"/>
      <c r="MR28" s="501"/>
      <c r="MS28" s="501"/>
      <c r="MT28" s="501"/>
      <c r="MU28" s="501"/>
      <c r="MV28" s="501"/>
      <c r="MW28" s="501"/>
      <c r="MX28" s="501"/>
      <c r="MY28" s="501"/>
      <c r="MZ28" s="501"/>
      <c r="NA28" s="501"/>
      <c r="NB28" s="501"/>
      <c r="NC28" s="501"/>
      <c r="ND28" s="501"/>
      <c r="NE28" s="501"/>
      <c r="NF28" s="501"/>
      <c r="NG28" s="501"/>
      <c r="NH28" s="501"/>
      <c r="NI28" s="501"/>
      <c r="NJ28" s="501"/>
      <c r="NK28" s="501"/>
      <c r="NL28" s="501"/>
      <c r="NM28" s="501"/>
      <c r="NN28" s="501"/>
      <c r="NO28" s="501"/>
      <c r="NP28" s="501"/>
      <c r="NQ28" s="501"/>
      <c r="NR28" s="501"/>
      <c r="NS28" s="501"/>
      <c r="NT28" s="501"/>
      <c r="NU28" s="501"/>
      <c r="NV28" s="501"/>
      <c r="NW28" s="501"/>
      <c r="NX28" s="501"/>
      <c r="NY28" s="501"/>
      <c r="NZ28" s="501"/>
      <c r="OA28" s="501"/>
      <c r="OB28" s="501"/>
      <c r="OC28" s="501"/>
      <c r="OD28" s="501"/>
      <c r="OE28" s="501"/>
      <c r="OF28" s="501"/>
      <c r="OG28" s="501"/>
      <c r="OH28" s="501"/>
      <c r="OI28" s="501"/>
      <c r="OJ28" s="501"/>
      <c r="OK28" s="501"/>
      <c r="OL28" s="501"/>
      <c r="OM28" s="501"/>
      <c r="ON28" s="501"/>
      <c r="OO28" s="501"/>
      <c r="OP28" s="501"/>
      <c r="OQ28" s="501"/>
      <c r="OR28" s="501"/>
      <c r="OS28" s="501"/>
      <c r="OT28" s="501"/>
      <c r="OU28" s="501"/>
      <c r="OV28" s="501"/>
      <c r="OW28" s="501"/>
      <c r="OX28" s="501"/>
      <c r="OY28" s="501"/>
      <c r="OZ28" s="501"/>
      <c r="PA28" s="501"/>
      <c r="PB28" s="501"/>
      <c r="PC28" s="501"/>
      <c r="PD28" s="501"/>
      <c r="PE28" s="501"/>
      <c r="PF28" s="501"/>
      <c r="PG28" s="501"/>
      <c r="PH28" s="501"/>
      <c r="PI28" s="501"/>
      <c r="PJ28" s="501"/>
      <c r="PK28" s="501"/>
      <c r="PL28" s="501"/>
      <c r="PM28" s="501"/>
      <c r="PN28" s="501"/>
      <c r="PO28" s="501"/>
      <c r="PP28" s="501"/>
      <c r="PQ28" s="501"/>
      <c r="PR28" s="501"/>
      <c r="PS28" s="501"/>
      <c r="PT28" s="501"/>
      <c r="PU28" s="501"/>
      <c r="PV28" s="501"/>
      <c r="PW28" s="501"/>
      <c r="PX28" s="501"/>
      <c r="PY28" s="501"/>
      <c r="PZ28" s="501"/>
      <c r="QA28" s="501"/>
      <c r="QB28" s="501"/>
      <c r="QC28" s="501"/>
      <c r="QD28" s="501"/>
      <c r="QE28" s="501"/>
      <c r="QF28" s="501"/>
      <c r="QG28" s="501"/>
      <c r="QH28" s="501"/>
      <c r="QI28" s="501"/>
      <c r="QJ28" s="501"/>
      <c r="QK28" s="501"/>
      <c r="QL28" s="501"/>
      <c r="QM28" s="501"/>
      <c r="QN28" s="501"/>
      <c r="QO28" s="501"/>
      <c r="QP28" s="501"/>
      <c r="QQ28" s="501"/>
      <c r="QR28" s="501"/>
      <c r="QS28" s="501"/>
      <c r="QT28" s="501"/>
      <c r="QU28" s="501"/>
      <c r="QV28" s="501"/>
      <c r="QW28" s="501"/>
      <c r="QX28" s="501"/>
      <c r="QY28" s="501"/>
      <c r="QZ28" s="501"/>
      <c r="RA28" s="501"/>
      <c r="RB28" s="501"/>
      <c r="RC28" s="501"/>
      <c r="RD28" s="501"/>
      <c r="RE28" s="501"/>
      <c r="RF28" s="501"/>
      <c r="RG28" s="501"/>
      <c r="RH28" s="501"/>
      <c r="RI28" s="501"/>
      <c r="RJ28" s="501"/>
      <c r="RK28" s="501"/>
      <c r="RL28" s="501"/>
      <c r="RM28" s="501"/>
      <c r="RN28" s="501"/>
      <c r="RO28" s="501"/>
      <c r="RP28" s="501"/>
      <c r="RQ28" s="501"/>
      <c r="RR28" s="501"/>
      <c r="RS28" s="501"/>
      <c r="RT28" s="501"/>
      <c r="RU28" s="501"/>
      <c r="RV28" s="501"/>
      <c r="RW28" s="501"/>
      <c r="RX28" s="501"/>
      <c r="RY28" s="501"/>
      <c r="RZ28" s="501"/>
      <c r="SA28" s="501"/>
      <c r="SB28" s="501"/>
      <c r="SC28" s="501"/>
      <c r="SD28" s="501"/>
      <c r="SE28" s="501"/>
      <c r="SF28" s="501"/>
      <c r="SG28" s="501"/>
      <c r="SH28" s="501"/>
      <c r="SI28" s="501"/>
      <c r="SJ28" s="501"/>
      <c r="SK28" s="501"/>
      <c r="SL28" s="501"/>
      <c r="SM28" s="501"/>
      <c r="SN28" s="501"/>
      <c r="SO28" s="501"/>
      <c r="SP28" s="501"/>
      <c r="SQ28" s="501"/>
      <c r="SR28" s="501"/>
      <c r="SS28" s="501"/>
      <c r="ST28" s="501"/>
      <c r="SU28" s="501"/>
      <c r="SV28" s="501"/>
      <c r="SW28" s="501"/>
      <c r="SX28" s="501"/>
      <c r="SY28" s="501"/>
      <c r="SZ28" s="501"/>
      <c r="TA28" s="501"/>
      <c r="TB28" s="501"/>
      <c r="TC28" s="501"/>
      <c r="TD28" s="501"/>
      <c r="TE28" s="501"/>
      <c r="TF28" s="501"/>
      <c r="TG28" s="501"/>
      <c r="TH28" s="501"/>
      <c r="TI28" s="501"/>
      <c r="TJ28" s="501"/>
      <c r="TK28" s="501"/>
      <c r="TL28" s="501"/>
      <c r="TM28" s="501"/>
      <c r="TN28" s="501"/>
      <c r="TO28" s="501"/>
      <c r="TP28" s="501"/>
      <c r="TQ28" s="501"/>
      <c r="TR28" s="501"/>
      <c r="TS28" s="501"/>
      <c r="TT28" s="501"/>
      <c r="TU28" s="501"/>
      <c r="TV28" s="501"/>
      <c r="TW28" s="501"/>
      <c r="TX28" s="501"/>
      <c r="TY28" s="501"/>
      <c r="TZ28" s="501"/>
      <c r="UA28" s="501"/>
      <c r="UB28" s="501"/>
      <c r="UC28" s="501"/>
      <c r="UD28" s="501"/>
      <c r="UE28" s="501"/>
      <c r="UF28" s="501"/>
      <c r="UG28" s="501"/>
      <c r="UH28" s="501"/>
      <c r="UI28" s="501"/>
      <c r="UJ28" s="501"/>
      <c r="UK28" s="501"/>
      <c r="UL28" s="501"/>
      <c r="UM28" s="501"/>
      <c r="UN28" s="501"/>
      <c r="UO28" s="501"/>
      <c r="UP28" s="501"/>
      <c r="UQ28" s="501"/>
      <c r="UR28" s="501"/>
      <c r="US28" s="501"/>
      <c r="UT28" s="501"/>
      <c r="UU28" s="501"/>
      <c r="UV28" s="501"/>
      <c r="UW28" s="501"/>
      <c r="UX28" s="501"/>
      <c r="UY28" s="501"/>
      <c r="UZ28" s="501"/>
      <c r="VA28" s="501"/>
      <c r="VB28" s="501"/>
      <c r="VC28" s="501"/>
      <c r="VD28" s="501"/>
      <c r="VE28" s="501"/>
      <c r="VF28" s="501"/>
      <c r="VG28" s="501"/>
      <c r="VH28" s="501"/>
      <c r="VI28" s="501"/>
      <c r="VJ28" s="501"/>
      <c r="VK28" s="501"/>
      <c r="VL28" s="501"/>
      <c r="VM28" s="501"/>
      <c r="VN28" s="501"/>
      <c r="VO28" s="501"/>
      <c r="VP28" s="501"/>
      <c r="VQ28" s="501"/>
      <c r="VR28" s="501"/>
      <c r="VS28" s="501"/>
      <c r="VT28" s="501"/>
      <c r="VU28" s="501"/>
      <c r="VV28" s="501"/>
      <c r="VW28" s="501"/>
      <c r="VX28" s="501"/>
      <c r="VY28" s="501"/>
      <c r="VZ28" s="501"/>
      <c r="WA28" s="501"/>
      <c r="WB28" s="501"/>
      <c r="WC28" s="501"/>
      <c r="WD28" s="501"/>
      <c r="WE28" s="501"/>
      <c r="WF28" s="501"/>
      <c r="WG28" s="501"/>
      <c r="WH28" s="501"/>
      <c r="WI28" s="501"/>
      <c r="WJ28" s="501"/>
      <c r="WK28" s="501"/>
      <c r="WL28" s="501"/>
      <c r="WM28" s="501"/>
      <c r="WN28" s="501"/>
      <c r="WO28" s="501"/>
      <c r="WP28" s="501"/>
      <c r="WQ28" s="501"/>
      <c r="WR28" s="501"/>
      <c r="WS28" s="501"/>
      <c r="WT28" s="501"/>
      <c r="WU28" s="501"/>
      <c r="WV28" s="501"/>
      <c r="WW28" s="501"/>
      <c r="WX28" s="501"/>
      <c r="WY28" s="501"/>
      <c r="WZ28" s="501"/>
      <c r="XA28" s="501"/>
      <c r="XB28" s="501"/>
      <c r="XC28" s="501"/>
      <c r="XD28" s="501"/>
      <c r="XE28" s="501"/>
      <c r="XF28" s="501"/>
      <c r="XG28" s="501"/>
      <c r="XH28" s="501"/>
      <c r="XI28" s="501"/>
      <c r="XJ28" s="501"/>
      <c r="XK28" s="501"/>
      <c r="XL28" s="501"/>
      <c r="XM28" s="501"/>
      <c r="XN28" s="501"/>
      <c r="XO28" s="501"/>
      <c r="XP28" s="501"/>
      <c r="XQ28" s="501"/>
      <c r="XR28" s="501"/>
      <c r="XS28" s="501"/>
      <c r="XT28" s="501"/>
      <c r="XU28" s="501"/>
      <c r="XV28" s="501"/>
      <c r="XW28" s="501"/>
      <c r="XX28" s="501"/>
      <c r="XY28" s="501"/>
      <c r="XZ28" s="501"/>
      <c r="YA28" s="501"/>
      <c r="YB28" s="501"/>
      <c r="YC28" s="501"/>
      <c r="YD28" s="501"/>
      <c r="YE28" s="501"/>
      <c r="YF28" s="501"/>
      <c r="YG28" s="501"/>
      <c r="YH28" s="501"/>
      <c r="YI28" s="501"/>
      <c r="YJ28" s="501"/>
      <c r="YK28" s="501"/>
      <c r="YL28" s="501"/>
      <c r="YM28" s="501"/>
      <c r="YN28" s="501"/>
      <c r="YO28" s="501"/>
      <c r="YP28" s="501"/>
      <c r="YQ28" s="501"/>
      <c r="YR28" s="501"/>
      <c r="YS28" s="501"/>
      <c r="YT28" s="501"/>
      <c r="YU28" s="501"/>
      <c r="YV28" s="501"/>
      <c r="YW28" s="501"/>
      <c r="YX28" s="501"/>
      <c r="YY28" s="501"/>
      <c r="YZ28" s="501"/>
      <c r="ZA28" s="501"/>
      <c r="ZB28" s="501"/>
      <c r="ZC28" s="501"/>
      <c r="ZD28" s="501"/>
      <c r="ZE28" s="501"/>
      <c r="ZF28" s="501"/>
      <c r="ZG28" s="501"/>
      <c r="ZH28" s="501"/>
      <c r="ZI28" s="501"/>
      <c r="ZJ28" s="501"/>
      <c r="ZK28" s="501"/>
      <c r="ZL28" s="501"/>
      <c r="ZM28" s="501"/>
      <c r="ZN28" s="501"/>
      <c r="ZO28" s="501"/>
      <c r="ZP28" s="501"/>
      <c r="ZQ28" s="501"/>
      <c r="ZR28" s="501"/>
      <c r="ZS28" s="501"/>
      <c r="ZT28" s="501"/>
      <c r="ZU28" s="501"/>
      <c r="ZV28" s="501"/>
      <c r="ZW28" s="501"/>
      <c r="ZX28" s="501"/>
      <c r="ZY28" s="501"/>
      <c r="ZZ28" s="501"/>
      <c r="AAA28" s="501"/>
      <c r="AAB28" s="501"/>
      <c r="AAC28" s="501"/>
      <c r="AAD28" s="501"/>
      <c r="AAE28" s="501"/>
      <c r="AAF28" s="501"/>
      <c r="AAG28" s="501"/>
      <c r="AAH28" s="501"/>
      <c r="AAI28" s="501"/>
      <c r="AAJ28" s="501"/>
      <c r="AAK28" s="501"/>
      <c r="AAL28" s="501"/>
      <c r="AAM28" s="501"/>
      <c r="AAN28" s="501"/>
      <c r="AAO28" s="501"/>
      <c r="AAP28" s="501"/>
      <c r="AAQ28" s="501"/>
      <c r="AAR28" s="501"/>
      <c r="AAS28" s="501"/>
      <c r="AAT28" s="501"/>
      <c r="AAU28" s="501"/>
      <c r="AAV28" s="501"/>
      <c r="AAW28" s="501"/>
      <c r="AAX28" s="501"/>
      <c r="AAY28" s="501"/>
      <c r="AAZ28" s="501"/>
      <c r="ABA28" s="501"/>
      <c r="ABB28" s="501"/>
      <c r="ABC28" s="501"/>
      <c r="ABD28" s="501"/>
      <c r="ABE28" s="501"/>
      <c r="ABF28" s="501"/>
      <c r="ABG28" s="501"/>
      <c r="ABH28" s="501"/>
      <c r="ABI28" s="501"/>
      <c r="ABJ28" s="501"/>
      <c r="ABK28" s="501"/>
      <c r="ABL28" s="501"/>
      <c r="ABM28" s="501"/>
      <c r="ABN28" s="501"/>
      <c r="ABO28" s="501"/>
      <c r="ABP28" s="501"/>
      <c r="ABQ28" s="501"/>
      <c r="ABR28" s="501"/>
      <c r="ABS28" s="501"/>
      <c r="ABT28" s="501"/>
      <c r="ABU28" s="501"/>
      <c r="ABV28" s="501"/>
      <c r="ABW28" s="501"/>
      <c r="ABX28" s="501"/>
      <c r="ABY28" s="501"/>
      <c r="ABZ28" s="501"/>
      <c r="ACA28" s="501"/>
      <c r="ACB28" s="501"/>
      <c r="ACC28" s="501"/>
      <c r="ACD28" s="501"/>
      <c r="ACE28" s="501"/>
      <c r="ACF28" s="501"/>
      <c r="ACG28" s="501"/>
      <c r="ACH28" s="501"/>
      <c r="ACI28" s="501"/>
      <c r="ACJ28" s="501"/>
      <c r="ACK28" s="501"/>
      <c r="ACL28" s="501"/>
      <c r="ACM28" s="501"/>
      <c r="ACN28" s="501"/>
      <c r="ACO28" s="501"/>
      <c r="ACP28" s="501"/>
      <c r="ACQ28" s="501"/>
      <c r="ACR28" s="501"/>
      <c r="ACS28" s="501"/>
      <c r="ACT28" s="501"/>
      <c r="ACU28" s="501"/>
      <c r="ACV28" s="501"/>
      <c r="ACW28" s="501"/>
      <c r="ACX28" s="501"/>
      <c r="ACY28" s="501"/>
      <c r="ACZ28" s="501"/>
      <c r="ADA28" s="501"/>
      <c r="ADB28" s="501"/>
      <c r="ADC28" s="501"/>
      <c r="ADD28" s="501"/>
      <c r="ADE28" s="501"/>
      <c r="ADF28" s="501"/>
      <c r="ADG28" s="501"/>
      <c r="ADH28" s="501"/>
      <c r="ADI28" s="501"/>
      <c r="ADJ28" s="501"/>
      <c r="ADK28" s="501"/>
      <c r="ADL28" s="501"/>
      <c r="ADM28" s="501"/>
      <c r="ADN28" s="501"/>
      <c r="ADO28" s="501"/>
      <c r="ADP28" s="501"/>
      <c r="ADQ28" s="501"/>
      <c r="ADR28" s="501"/>
      <c r="ADS28" s="501"/>
      <c r="ADT28" s="501"/>
      <c r="ADU28" s="501"/>
      <c r="ADV28" s="501"/>
      <c r="ADW28" s="501"/>
      <c r="ADX28" s="501"/>
      <c r="ADY28" s="501"/>
      <c r="ADZ28" s="501"/>
      <c r="AEA28" s="501"/>
      <c r="AEB28" s="501"/>
      <c r="AEC28" s="501"/>
      <c r="AED28" s="501"/>
      <c r="AEE28" s="501"/>
      <c r="AEF28" s="501"/>
      <c r="AEG28" s="501"/>
      <c r="AEH28" s="501"/>
      <c r="AEI28" s="501"/>
      <c r="AEJ28" s="501"/>
      <c r="AEK28" s="501"/>
      <c r="AEL28" s="501"/>
      <c r="AEM28" s="501"/>
      <c r="AEN28" s="501"/>
      <c r="AEO28" s="501"/>
      <c r="AEP28" s="501"/>
      <c r="AEQ28" s="501"/>
      <c r="AER28" s="501"/>
      <c r="AES28" s="501"/>
      <c r="AET28" s="501"/>
      <c r="AEU28" s="501"/>
      <c r="AEV28" s="501"/>
      <c r="AEW28" s="501"/>
      <c r="AEX28" s="501"/>
      <c r="AEY28" s="501"/>
      <c r="AEZ28" s="501"/>
      <c r="AFA28" s="501"/>
      <c r="AFB28" s="501"/>
      <c r="AFC28" s="501"/>
      <c r="AFD28" s="501"/>
      <c r="AFE28" s="501"/>
      <c r="AFF28" s="501"/>
      <c r="AFG28" s="501"/>
      <c r="AFH28" s="501"/>
      <c r="AFI28" s="501"/>
      <c r="AFJ28" s="501"/>
      <c r="AFK28" s="501"/>
      <c r="AFL28" s="501"/>
      <c r="AFM28" s="501"/>
      <c r="AFN28" s="501"/>
      <c r="AFO28" s="501"/>
      <c r="AFP28" s="501"/>
      <c r="AFQ28" s="501"/>
      <c r="AFR28" s="501"/>
      <c r="AFS28" s="501"/>
      <c r="AFT28" s="501"/>
      <c r="AFU28" s="501"/>
      <c r="AFV28" s="501"/>
      <c r="AFW28" s="501"/>
      <c r="AFX28" s="501"/>
      <c r="AFY28" s="501"/>
      <c r="AFZ28" s="501"/>
      <c r="AGA28" s="501"/>
      <c r="AGB28" s="501"/>
      <c r="AGC28" s="501"/>
      <c r="AGD28" s="501"/>
      <c r="AGE28" s="501"/>
      <c r="AGF28" s="501"/>
      <c r="AGG28" s="501"/>
      <c r="AGH28" s="501"/>
      <c r="AGI28" s="501"/>
      <c r="AGJ28" s="501"/>
      <c r="AGK28" s="501"/>
      <c r="AGL28" s="501"/>
      <c r="AGM28" s="501"/>
      <c r="AGN28" s="501"/>
      <c r="AGO28" s="501"/>
      <c r="AGP28" s="501"/>
      <c r="AGQ28" s="501"/>
      <c r="AGR28" s="501"/>
      <c r="AGS28" s="501"/>
      <c r="AGT28" s="501"/>
      <c r="AGU28" s="501"/>
      <c r="AGV28" s="501"/>
      <c r="AGW28" s="501"/>
      <c r="AGX28" s="501"/>
      <c r="AGY28" s="501"/>
      <c r="AGZ28" s="501"/>
      <c r="AHA28" s="501"/>
      <c r="AHB28" s="501"/>
      <c r="AHC28" s="501"/>
      <c r="AHD28" s="501"/>
      <c r="AHE28" s="501"/>
      <c r="AHF28" s="501"/>
      <c r="AHG28" s="501"/>
      <c r="AHH28" s="501"/>
      <c r="AHI28" s="501"/>
      <c r="AHJ28" s="501"/>
      <c r="AHK28" s="501"/>
      <c r="AHL28" s="501"/>
      <c r="AHM28" s="501"/>
      <c r="AHN28" s="501"/>
      <c r="AHO28" s="501"/>
      <c r="AHP28" s="501"/>
      <c r="AHQ28" s="501"/>
      <c r="AHR28" s="501"/>
      <c r="AHS28" s="501"/>
      <c r="AHT28" s="501"/>
      <c r="AHU28" s="501"/>
      <c r="AHV28" s="501"/>
      <c r="AHW28" s="501"/>
      <c r="AHX28" s="501"/>
      <c r="AHY28" s="501"/>
      <c r="AHZ28" s="501"/>
      <c r="AIA28" s="501"/>
      <c r="AIB28" s="501"/>
      <c r="AIC28" s="501"/>
      <c r="AID28" s="501"/>
      <c r="AIE28" s="501"/>
      <c r="AIF28" s="501"/>
      <c r="AIG28" s="501"/>
      <c r="AIH28" s="501"/>
      <c r="AII28" s="501"/>
      <c r="AIJ28" s="501"/>
      <c r="AIK28" s="501"/>
      <c r="AIL28" s="501"/>
      <c r="AIM28" s="501"/>
      <c r="AIN28" s="501"/>
      <c r="AIO28" s="501"/>
      <c r="AIP28" s="501"/>
      <c r="AIQ28" s="501"/>
      <c r="AIR28" s="501"/>
      <c r="AIS28" s="501"/>
      <c r="AIT28" s="501"/>
      <c r="AIU28" s="501"/>
      <c r="AIV28" s="501"/>
      <c r="AIW28" s="501"/>
      <c r="AIX28" s="501"/>
      <c r="AIY28" s="501"/>
      <c r="AIZ28" s="501"/>
      <c r="AJA28" s="501"/>
      <c r="AJB28" s="501"/>
      <c r="AJC28" s="501"/>
      <c r="AJD28" s="501"/>
      <c r="AJE28" s="501"/>
      <c r="AJF28" s="501"/>
      <c r="AJG28" s="501"/>
      <c r="AJH28" s="501"/>
      <c r="AJI28" s="501"/>
      <c r="AJJ28" s="501"/>
      <c r="AJK28" s="501"/>
      <c r="AJL28" s="501"/>
      <c r="AJM28" s="501"/>
      <c r="AJN28" s="501"/>
      <c r="AJO28" s="501"/>
      <c r="AJP28" s="501"/>
      <c r="AJQ28" s="501"/>
      <c r="AJR28" s="501"/>
      <c r="AJS28" s="501"/>
      <c r="AJT28" s="501"/>
      <c r="AJU28" s="501"/>
      <c r="AJV28" s="501"/>
      <c r="AJW28" s="501"/>
      <c r="AJX28" s="501"/>
      <c r="AJY28" s="501"/>
      <c r="AJZ28" s="501"/>
      <c r="AKA28" s="501"/>
      <c r="AKB28" s="501"/>
      <c r="AKC28" s="501"/>
      <c r="AKD28" s="501"/>
      <c r="AKE28" s="501"/>
      <c r="AKF28" s="501"/>
      <c r="AKG28" s="501"/>
      <c r="AKH28" s="501"/>
      <c r="AKI28" s="501"/>
      <c r="AKJ28" s="501"/>
      <c r="AKK28" s="501"/>
      <c r="AKL28" s="501"/>
      <c r="AKM28" s="501"/>
      <c r="AKN28" s="501"/>
      <c r="AKO28" s="501"/>
      <c r="AKP28" s="501"/>
      <c r="AKQ28" s="501"/>
      <c r="AKR28" s="501"/>
      <c r="AKS28" s="501"/>
      <c r="AKT28" s="501"/>
      <c r="AKU28" s="501"/>
      <c r="AKV28" s="501"/>
      <c r="AKW28" s="501"/>
      <c r="AKX28" s="501"/>
      <c r="AKY28" s="501"/>
      <c r="AKZ28" s="501"/>
      <c r="ALA28" s="501"/>
      <c r="ALB28" s="501"/>
      <c r="ALC28" s="501"/>
      <c r="ALD28" s="501"/>
      <c r="ALE28" s="501"/>
      <c r="ALF28" s="501"/>
      <c r="ALG28" s="501"/>
      <c r="ALH28" s="501"/>
      <c r="ALI28" s="501"/>
      <c r="ALJ28" s="501"/>
      <c r="ALK28" s="501"/>
      <c r="ALL28" s="501"/>
      <c r="ALM28" s="501"/>
      <c r="ALN28" s="501"/>
      <c r="ALO28" s="501"/>
      <c r="ALP28" s="501"/>
      <c r="ALQ28" s="501"/>
      <c r="ALR28" s="501"/>
      <c r="ALS28" s="501"/>
      <c r="ALT28" s="501"/>
      <c r="ALU28" s="501"/>
      <c r="ALV28" s="501"/>
      <c r="ALW28" s="501"/>
      <c r="ALX28" s="501"/>
      <c r="ALY28" s="501"/>
      <c r="ALZ28" s="501"/>
      <c r="AMA28" s="501"/>
      <c r="AMB28" s="501"/>
      <c r="AMC28" s="501"/>
      <c r="AMD28" s="501"/>
      <c r="AME28" s="501"/>
      <c r="AMF28" s="501"/>
      <c r="AMG28" s="501"/>
      <c r="AMH28" s="501"/>
      <c r="AMI28" s="501"/>
      <c r="AMJ28" s="501"/>
      <c r="AMK28" s="501"/>
      <c r="AML28" s="501"/>
      <c r="AMM28" s="501"/>
      <c r="AMN28" s="501"/>
      <c r="AMO28" s="501"/>
      <c r="AMP28" s="501"/>
      <c r="AMQ28" s="501"/>
      <c r="AMR28" s="501"/>
      <c r="AMS28" s="501"/>
      <c r="AMT28" s="501"/>
      <c r="AMU28" s="501"/>
      <c r="AMV28" s="501"/>
      <c r="AMW28" s="501"/>
      <c r="AMX28" s="501"/>
      <c r="AMY28" s="501"/>
      <c r="AMZ28" s="501"/>
      <c r="ANA28" s="501"/>
      <c r="ANB28" s="501"/>
      <c r="ANC28" s="501"/>
      <c r="AND28" s="501"/>
      <c r="ANE28" s="501"/>
      <c r="ANF28" s="501"/>
      <c r="ANG28" s="501"/>
      <c r="ANH28" s="501"/>
      <c r="ANI28" s="501"/>
      <c r="ANJ28" s="501"/>
      <c r="ANK28" s="501"/>
      <c r="ANL28" s="501"/>
      <c r="ANM28" s="501"/>
      <c r="ANN28" s="501"/>
      <c r="ANO28" s="501"/>
      <c r="ANP28" s="501"/>
      <c r="ANQ28" s="501"/>
      <c r="ANR28" s="501"/>
      <c r="ANS28" s="501"/>
      <c r="ANT28" s="501"/>
      <c r="ANU28" s="501"/>
      <c r="ANV28" s="501"/>
      <c r="ANW28" s="501"/>
      <c r="ANX28" s="501"/>
      <c r="ANY28" s="501"/>
      <c r="ANZ28" s="501"/>
      <c r="AOA28" s="501"/>
      <c r="AOB28" s="501"/>
      <c r="AOC28" s="501"/>
      <c r="AOD28" s="501"/>
      <c r="AOE28" s="501"/>
      <c r="AOF28" s="501"/>
      <c r="AOG28" s="501"/>
      <c r="AOH28" s="501"/>
      <c r="AOI28" s="501"/>
      <c r="AOJ28" s="501"/>
      <c r="AOK28" s="501"/>
      <c r="AOL28" s="501"/>
      <c r="AOM28" s="501"/>
      <c r="AON28" s="501"/>
      <c r="AOO28" s="501"/>
      <c r="AOP28" s="501"/>
      <c r="AOQ28" s="501"/>
      <c r="AOR28" s="501"/>
      <c r="AOS28" s="501"/>
      <c r="AOT28" s="501"/>
      <c r="AOU28" s="501"/>
      <c r="AOV28" s="501"/>
      <c r="AOW28" s="501"/>
      <c r="AOX28" s="501"/>
      <c r="AOY28" s="501"/>
      <c r="AOZ28" s="501"/>
      <c r="APA28" s="501"/>
      <c r="APB28" s="501"/>
      <c r="APC28" s="501"/>
      <c r="APD28" s="501"/>
      <c r="APE28" s="501"/>
      <c r="APF28" s="501"/>
      <c r="APG28" s="501"/>
      <c r="APH28" s="501"/>
      <c r="API28" s="501"/>
      <c r="APJ28" s="501"/>
      <c r="APK28" s="501"/>
      <c r="APL28" s="501"/>
      <c r="APM28" s="501"/>
      <c r="APN28" s="501"/>
      <c r="APO28" s="501"/>
      <c r="APP28" s="501"/>
      <c r="APQ28" s="501"/>
      <c r="APR28" s="501"/>
      <c r="APS28" s="501"/>
      <c r="APT28" s="501"/>
      <c r="APU28" s="501"/>
      <c r="APV28" s="501"/>
      <c r="APW28" s="501"/>
      <c r="APX28" s="501"/>
      <c r="APY28" s="501"/>
      <c r="APZ28" s="501"/>
      <c r="AQA28" s="501"/>
      <c r="AQB28" s="501"/>
      <c r="AQC28" s="501"/>
      <c r="AQD28" s="501"/>
      <c r="AQE28" s="501"/>
      <c r="AQF28" s="501"/>
      <c r="AQG28" s="501"/>
      <c r="AQH28" s="501"/>
      <c r="AQI28" s="501"/>
      <c r="AQJ28" s="501"/>
      <c r="AQK28" s="501"/>
      <c r="AQL28" s="501"/>
      <c r="AQM28" s="501"/>
      <c r="AQN28" s="501"/>
      <c r="AQO28" s="501"/>
      <c r="AQP28" s="501"/>
      <c r="AQQ28" s="501"/>
      <c r="AQR28" s="501"/>
      <c r="AQS28" s="501"/>
      <c r="AQT28" s="501"/>
      <c r="AQU28" s="501"/>
      <c r="AQV28" s="501"/>
      <c r="AQW28" s="501"/>
      <c r="AQX28" s="501"/>
      <c r="AQY28" s="501"/>
      <c r="AQZ28" s="501"/>
      <c r="ARA28" s="501"/>
      <c r="ARB28" s="501"/>
      <c r="ARC28" s="501"/>
      <c r="ARD28" s="501"/>
      <c r="ARE28" s="501"/>
      <c r="ARF28" s="501"/>
      <c r="ARG28" s="501"/>
      <c r="ARH28" s="501"/>
      <c r="ARI28" s="501"/>
      <c r="ARJ28" s="501"/>
      <c r="ARK28" s="501"/>
      <c r="ARL28" s="501"/>
      <c r="ARM28" s="501"/>
      <c r="ARN28" s="501"/>
      <c r="ARO28" s="501"/>
      <c r="ARP28" s="501"/>
      <c r="ARQ28" s="501"/>
      <c r="ARR28" s="501"/>
      <c r="ARS28" s="501"/>
      <c r="ART28" s="501"/>
      <c r="ARU28" s="501"/>
      <c r="ARV28" s="501"/>
      <c r="ARW28" s="501"/>
      <c r="ARX28" s="501"/>
      <c r="ARY28" s="501"/>
      <c r="ARZ28" s="501"/>
      <c r="ASA28" s="501"/>
      <c r="ASB28" s="501"/>
      <c r="ASC28" s="501"/>
      <c r="ASD28" s="501"/>
      <c r="ASE28" s="501"/>
      <c r="ASF28" s="501"/>
      <c r="ASG28" s="501"/>
      <c r="ASH28" s="501"/>
      <c r="ASI28" s="501"/>
      <c r="ASJ28" s="501"/>
      <c r="ASK28" s="501"/>
      <c r="ASL28" s="501"/>
      <c r="ASM28" s="501"/>
      <c r="ASN28" s="501"/>
      <c r="ASO28" s="501"/>
      <c r="ASP28" s="501"/>
      <c r="ASQ28" s="501"/>
      <c r="ASR28" s="501"/>
      <c r="ASS28" s="501"/>
      <c r="AST28" s="501"/>
      <c r="ASU28" s="501"/>
      <c r="ASV28" s="501"/>
      <c r="ASW28" s="501"/>
      <c r="ASX28" s="501"/>
      <c r="ASY28" s="501"/>
      <c r="ASZ28" s="501"/>
      <c r="ATA28" s="501"/>
      <c r="ATB28" s="501"/>
      <c r="ATC28" s="501"/>
      <c r="ATD28" s="501"/>
      <c r="ATE28" s="501"/>
      <c r="ATF28" s="501"/>
      <c r="ATG28" s="501"/>
      <c r="ATH28" s="501"/>
      <c r="ATI28" s="501"/>
      <c r="ATJ28" s="501"/>
      <c r="ATK28" s="501"/>
      <c r="ATL28" s="501"/>
      <c r="ATM28" s="501"/>
      <c r="ATN28" s="501"/>
      <c r="ATO28" s="501"/>
      <c r="ATP28" s="501"/>
      <c r="ATQ28" s="501"/>
      <c r="ATR28" s="501"/>
      <c r="ATS28" s="501"/>
      <c r="ATT28" s="501"/>
      <c r="ATU28" s="501"/>
      <c r="ATV28" s="501"/>
      <c r="ATW28" s="501"/>
      <c r="ATX28" s="501"/>
      <c r="ATY28" s="501"/>
      <c r="ATZ28" s="501"/>
      <c r="AUA28" s="501"/>
      <c r="AUB28" s="501"/>
      <c r="AUC28" s="501"/>
      <c r="AUD28" s="501"/>
      <c r="AUE28" s="501"/>
      <c r="AUF28" s="501"/>
      <c r="AUG28" s="501"/>
      <c r="AUH28" s="501"/>
      <c r="AUI28" s="501"/>
      <c r="AUJ28" s="501"/>
      <c r="AUK28" s="501"/>
      <c r="AUL28" s="501"/>
      <c r="AUM28" s="501"/>
      <c r="AUN28" s="501"/>
      <c r="AUO28" s="501"/>
      <c r="AUP28" s="501"/>
      <c r="AUQ28" s="501"/>
      <c r="AUR28" s="501"/>
      <c r="AUS28" s="501"/>
      <c r="AUT28" s="501"/>
      <c r="AUU28" s="501"/>
      <c r="AUV28" s="501"/>
      <c r="AUW28" s="501"/>
      <c r="AUX28" s="501"/>
      <c r="AUY28" s="501"/>
      <c r="AUZ28" s="501"/>
      <c r="AVA28" s="501"/>
      <c r="AVB28" s="501"/>
      <c r="AVC28" s="501"/>
      <c r="AVD28" s="501"/>
      <c r="AVE28" s="501"/>
      <c r="AVF28" s="501"/>
      <c r="AVG28" s="501"/>
      <c r="AVH28" s="501"/>
      <c r="AVI28" s="501"/>
      <c r="AVJ28" s="501"/>
      <c r="AVK28" s="501"/>
      <c r="AVL28" s="501"/>
      <c r="AVM28" s="501"/>
      <c r="AVN28" s="501"/>
      <c r="AVO28" s="501"/>
      <c r="AVP28" s="501"/>
      <c r="AVQ28" s="501"/>
      <c r="AVR28" s="501"/>
      <c r="AVS28" s="501"/>
      <c r="AVT28" s="501"/>
      <c r="AVU28" s="501"/>
      <c r="AVV28" s="501"/>
      <c r="AVW28" s="501"/>
      <c r="AVX28" s="501"/>
      <c r="AVY28" s="501"/>
      <c r="AVZ28" s="501"/>
      <c r="AWA28" s="501"/>
      <c r="AWB28" s="501"/>
      <c r="AWC28" s="501"/>
      <c r="AWD28" s="501"/>
      <c r="AWE28" s="501"/>
      <c r="AWF28" s="501"/>
      <c r="AWG28" s="501"/>
      <c r="AWH28" s="501"/>
      <c r="AWI28" s="501"/>
      <c r="AWJ28" s="501"/>
      <c r="AWK28" s="501"/>
      <c r="AWL28" s="501"/>
      <c r="AWM28" s="501"/>
      <c r="AWN28" s="501"/>
      <c r="AWO28" s="501"/>
      <c r="AWP28" s="501"/>
      <c r="AWQ28" s="501"/>
      <c r="AWR28" s="501"/>
      <c r="AWS28" s="501"/>
      <c r="AWT28" s="501"/>
      <c r="AWU28" s="501"/>
      <c r="AWV28" s="501"/>
      <c r="AWW28" s="501"/>
      <c r="AWX28" s="501"/>
      <c r="AWY28" s="501"/>
      <c r="AWZ28" s="501"/>
      <c r="AXA28" s="501"/>
      <c r="AXB28" s="501"/>
      <c r="AXC28" s="501"/>
      <c r="AXD28" s="501"/>
      <c r="AXE28" s="501"/>
      <c r="AXF28" s="501"/>
      <c r="AXG28" s="501"/>
      <c r="AXH28" s="501"/>
      <c r="AXI28" s="501"/>
      <c r="AXJ28" s="501"/>
      <c r="AXK28" s="501"/>
      <c r="AXL28" s="501"/>
      <c r="AXM28" s="501"/>
      <c r="AXN28" s="501"/>
      <c r="AXO28" s="501"/>
      <c r="AXP28" s="501"/>
      <c r="AXQ28" s="501"/>
      <c r="AXR28" s="501"/>
      <c r="AXS28" s="501"/>
      <c r="AXT28" s="501"/>
      <c r="AXU28" s="501"/>
      <c r="AXV28" s="501"/>
      <c r="AXW28" s="501"/>
      <c r="AXX28" s="501"/>
      <c r="AXY28" s="501"/>
      <c r="AXZ28" s="501"/>
      <c r="AYA28" s="501"/>
      <c r="AYB28" s="501"/>
      <c r="AYC28" s="501"/>
      <c r="AYD28" s="501"/>
      <c r="AYE28" s="501"/>
      <c r="AYF28" s="501"/>
      <c r="AYG28" s="501"/>
      <c r="AYH28" s="501"/>
      <c r="AYI28" s="501"/>
      <c r="AYJ28" s="501"/>
      <c r="AYK28" s="501"/>
      <c r="AYL28" s="501"/>
      <c r="AYM28" s="501"/>
      <c r="AYN28" s="501"/>
      <c r="AYO28" s="501"/>
      <c r="AYP28" s="501"/>
      <c r="AYQ28" s="501"/>
      <c r="AYR28" s="501"/>
      <c r="AYS28" s="501"/>
      <c r="AYT28" s="501"/>
      <c r="AYU28" s="501"/>
      <c r="AYV28" s="501"/>
      <c r="AYW28" s="501"/>
      <c r="AYX28" s="501"/>
      <c r="AYY28" s="501"/>
      <c r="AYZ28" s="501"/>
      <c r="AZA28" s="501"/>
      <c r="AZB28" s="501"/>
      <c r="AZC28" s="501"/>
      <c r="AZD28" s="501"/>
      <c r="AZE28" s="501"/>
      <c r="AZF28" s="501"/>
      <c r="AZG28" s="501"/>
      <c r="AZH28" s="501"/>
      <c r="AZI28" s="501"/>
      <c r="AZJ28" s="501"/>
      <c r="AZK28" s="501"/>
      <c r="AZL28" s="501"/>
      <c r="AZM28" s="501"/>
      <c r="AZN28" s="501"/>
      <c r="AZO28" s="501"/>
      <c r="AZP28" s="501"/>
      <c r="AZQ28" s="501"/>
      <c r="AZR28" s="501"/>
      <c r="AZS28" s="501"/>
      <c r="AZT28" s="501"/>
      <c r="AZU28" s="501"/>
      <c r="AZV28" s="501"/>
      <c r="AZW28" s="501"/>
      <c r="AZX28" s="501"/>
      <c r="AZY28" s="501"/>
      <c r="AZZ28" s="501"/>
      <c r="BAA28" s="501"/>
      <c r="BAB28" s="501"/>
      <c r="BAC28" s="501"/>
      <c r="BAD28" s="501"/>
      <c r="BAE28" s="501"/>
      <c r="BAF28" s="501"/>
      <c r="BAG28" s="501"/>
      <c r="BAH28" s="501"/>
      <c r="BAI28" s="501"/>
      <c r="BAJ28" s="501"/>
      <c r="BAK28" s="501"/>
      <c r="BAL28" s="501"/>
      <c r="BAM28" s="501"/>
      <c r="BAN28" s="501"/>
      <c r="BAO28" s="501"/>
      <c r="BAP28" s="501"/>
      <c r="BAQ28" s="501"/>
      <c r="BAR28" s="501"/>
      <c r="BAS28" s="501"/>
      <c r="BAT28" s="501"/>
      <c r="BAU28" s="501"/>
      <c r="BAV28" s="501"/>
      <c r="BAW28" s="501"/>
      <c r="BAX28" s="501"/>
      <c r="BAY28" s="501"/>
      <c r="BAZ28" s="501"/>
      <c r="BBA28" s="501"/>
      <c r="BBB28" s="501"/>
      <c r="BBC28" s="501"/>
      <c r="BBD28" s="501"/>
      <c r="BBE28" s="501"/>
      <c r="BBF28" s="501"/>
      <c r="BBG28" s="501"/>
      <c r="BBH28" s="501"/>
      <c r="BBI28" s="501"/>
      <c r="BBJ28" s="501"/>
      <c r="BBK28" s="501"/>
      <c r="BBL28" s="501"/>
      <c r="BBM28" s="501"/>
      <c r="BBN28" s="501"/>
      <c r="BBO28" s="501"/>
      <c r="BBP28" s="501"/>
      <c r="BBQ28" s="501"/>
      <c r="BBR28" s="501"/>
      <c r="BBS28" s="501"/>
      <c r="BBT28" s="501"/>
      <c r="BBU28" s="501"/>
      <c r="BBV28" s="501"/>
      <c r="BBW28" s="501"/>
      <c r="BBX28" s="501"/>
      <c r="BBY28" s="501"/>
      <c r="BBZ28" s="501"/>
      <c r="BCA28" s="501"/>
      <c r="BCB28" s="501"/>
      <c r="BCC28" s="501"/>
      <c r="BCD28" s="501"/>
      <c r="BCE28" s="501"/>
      <c r="BCF28" s="501"/>
      <c r="BCG28" s="501"/>
      <c r="BCH28" s="501"/>
      <c r="BCI28" s="501"/>
      <c r="BCJ28" s="501"/>
      <c r="BCK28" s="501"/>
      <c r="BCL28" s="501"/>
      <c r="BCM28" s="501"/>
      <c r="BCN28" s="501"/>
      <c r="BCO28" s="501"/>
      <c r="BCP28" s="501"/>
      <c r="BCQ28" s="501"/>
      <c r="BCR28" s="501"/>
      <c r="BCS28" s="501"/>
      <c r="BCT28" s="501"/>
      <c r="BCU28" s="501"/>
      <c r="BCV28" s="501"/>
      <c r="BCW28" s="501"/>
      <c r="BCX28" s="501"/>
      <c r="BCY28" s="501"/>
      <c r="BCZ28" s="501"/>
      <c r="BDA28" s="501"/>
      <c r="BDB28" s="501"/>
      <c r="BDC28" s="501"/>
      <c r="BDD28" s="501"/>
      <c r="BDE28" s="501"/>
      <c r="BDF28" s="501"/>
      <c r="BDG28" s="501"/>
      <c r="BDH28" s="501"/>
      <c r="BDI28" s="501"/>
      <c r="BDJ28" s="501"/>
      <c r="BDK28" s="501"/>
      <c r="BDL28" s="501"/>
      <c r="BDM28" s="501"/>
      <c r="BDN28" s="501"/>
      <c r="BDO28" s="501"/>
      <c r="BDP28" s="501"/>
      <c r="BDQ28" s="501"/>
      <c r="BDR28" s="501"/>
      <c r="BDS28" s="501"/>
      <c r="BDT28" s="501"/>
      <c r="BDU28" s="501"/>
      <c r="BDV28" s="501"/>
      <c r="BDW28" s="501"/>
      <c r="BDX28" s="501"/>
      <c r="BDY28" s="501"/>
      <c r="BDZ28" s="501"/>
      <c r="BEA28" s="501"/>
      <c r="BEB28" s="501"/>
      <c r="BEC28" s="501"/>
      <c r="BED28" s="501"/>
      <c r="BEE28" s="501"/>
      <c r="BEF28" s="501"/>
      <c r="BEG28" s="501"/>
      <c r="BEH28" s="501"/>
      <c r="BEI28" s="501"/>
      <c r="BEJ28" s="501"/>
      <c r="BEK28" s="501"/>
      <c r="BEL28" s="501"/>
      <c r="BEM28" s="501"/>
      <c r="BEN28" s="501"/>
      <c r="BEO28" s="501"/>
      <c r="BEP28" s="501"/>
      <c r="BEQ28" s="501"/>
      <c r="BER28" s="501"/>
      <c r="BES28" s="501"/>
      <c r="BET28" s="501"/>
      <c r="BEU28" s="501"/>
      <c r="BEV28" s="501"/>
      <c r="BEW28" s="501"/>
      <c r="BEX28" s="501"/>
      <c r="BEY28" s="501"/>
      <c r="BEZ28" s="501"/>
      <c r="BFA28" s="501"/>
      <c r="BFB28" s="501"/>
      <c r="BFC28" s="501"/>
      <c r="BFD28" s="501"/>
      <c r="BFE28" s="501"/>
      <c r="BFF28" s="501"/>
      <c r="BFG28" s="501"/>
      <c r="BFH28" s="501"/>
      <c r="BFI28" s="501"/>
      <c r="BFJ28" s="501"/>
      <c r="BFK28" s="501"/>
      <c r="BFL28" s="501"/>
      <c r="BFM28" s="501"/>
      <c r="BFN28" s="501"/>
      <c r="BFO28" s="501"/>
      <c r="BFP28" s="501"/>
      <c r="BFQ28" s="501"/>
      <c r="BFR28" s="501"/>
      <c r="BFS28" s="501"/>
      <c r="BFT28" s="501"/>
      <c r="BFU28" s="501"/>
      <c r="BFV28" s="501"/>
      <c r="BFW28" s="501"/>
      <c r="BFX28" s="501"/>
      <c r="BFY28" s="501"/>
      <c r="BFZ28" s="501"/>
      <c r="BGA28" s="501"/>
      <c r="BGB28" s="501"/>
      <c r="BGC28" s="501"/>
      <c r="BGD28" s="501"/>
      <c r="BGE28" s="501"/>
      <c r="BGF28" s="501"/>
      <c r="BGG28" s="501"/>
      <c r="BGH28" s="501"/>
      <c r="BGI28" s="501"/>
      <c r="BGJ28" s="501"/>
      <c r="BGK28" s="501"/>
      <c r="BGL28" s="501"/>
      <c r="BGM28" s="501"/>
      <c r="BGN28" s="501"/>
      <c r="BGO28" s="501"/>
      <c r="BGP28" s="501"/>
      <c r="BGQ28" s="501"/>
      <c r="BGR28" s="501"/>
      <c r="BGS28" s="501"/>
      <c r="BGT28" s="501"/>
      <c r="BGU28" s="501"/>
      <c r="BGV28" s="501"/>
      <c r="BGW28" s="501"/>
      <c r="BGX28" s="501"/>
      <c r="BGY28" s="501"/>
      <c r="BGZ28" s="501"/>
      <c r="BHA28" s="501"/>
      <c r="BHB28" s="501"/>
      <c r="BHC28" s="501"/>
      <c r="BHD28" s="501"/>
      <c r="BHE28" s="501"/>
      <c r="BHF28" s="501"/>
      <c r="BHG28" s="501"/>
      <c r="BHH28" s="501"/>
      <c r="BHI28" s="501"/>
      <c r="BHJ28" s="501"/>
      <c r="BHK28" s="501"/>
      <c r="BHL28" s="501"/>
      <c r="BHM28" s="501"/>
      <c r="BHN28" s="501"/>
      <c r="BHO28" s="501"/>
      <c r="BHP28" s="501"/>
      <c r="BHQ28" s="501"/>
      <c r="BHR28" s="501"/>
      <c r="BHS28" s="501"/>
      <c r="BHT28" s="501"/>
      <c r="BHU28" s="501"/>
      <c r="BHV28" s="501"/>
      <c r="BHW28" s="501"/>
      <c r="BHX28" s="501"/>
      <c r="BHY28" s="501"/>
      <c r="BHZ28" s="501"/>
      <c r="BIA28" s="501"/>
      <c r="BIB28" s="501"/>
      <c r="BIC28" s="501"/>
      <c r="BID28" s="501"/>
      <c r="BIE28" s="501"/>
      <c r="BIF28" s="501"/>
      <c r="BIG28" s="501"/>
      <c r="BIH28" s="501"/>
      <c r="BII28" s="501"/>
      <c r="BIJ28" s="501"/>
      <c r="BIK28" s="501"/>
      <c r="BIL28" s="501"/>
      <c r="BIM28" s="501"/>
      <c r="BIN28" s="501"/>
      <c r="BIO28" s="501"/>
      <c r="BIP28" s="501"/>
      <c r="BIQ28" s="501"/>
      <c r="BIR28" s="501"/>
      <c r="BIS28" s="501"/>
      <c r="BIT28" s="501"/>
      <c r="BIU28" s="501"/>
      <c r="BIV28" s="501"/>
      <c r="BIW28" s="501"/>
      <c r="BIX28" s="501"/>
      <c r="BIY28" s="501"/>
      <c r="BIZ28" s="501"/>
      <c r="BJA28" s="501"/>
      <c r="BJB28" s="501"/>
      <c r="BJC28" s="501"/>
      <c r="BJD28" s="501"/>
      <c r="BJE28" s="501"/>
      <c r="BJF28" s="501"/>
      <c r="BJG28" s="501"/>
      <c r="BJH28" s="501"/>
      <c r="BJI28" s="501"/>
      <c r="BJJ28" s="501"/>
      <c r="BJK28" s="501"/>
      <c r="BJL28" s="501"/>
      <c r="BJM28" s="501"/>
      <c r="BJN28" s="501"/>
      <c r="BJO28" s="501"/>
      <c r="BJP28" s="501"/>
      <c r="BJQ28" s="501"/>
      <c r="BJR28" s="501"/>
      <c r="BJS28" s="501"/>
      <c r="BJT28" s="501"/>
      <c r="BJU28" s="501"/>
      <c r="BJV28" s="501"/>
      <c r="BJW28" s="501"/>
      <c r="BJX28" s="501"/>
      <c r="BJY28" s="501"/>
      <c r="BJZ28" s="501"/>
      <c r="BKA28" s="501"/>
      <c r="BKB28" s="501"/>
      <c r="BKC28" s="501"/>
      <c r="BKD28" s="501"/>
      <c r="BKE28" s="501"/>
      <c r="BKF28" s="501"/>
      <c r="BKG28" s="501"/>
      <c r="BKH28" s="501"/>
      <c r="BKI28" s="501"/>
      <c r="BKJ28" s="501"/>
      <c r="BKK28" s="501"/>
      <c r="BKL28" s="501"/>
      <c r="BKM28" s="501"/>
      <c r="BKN28" s="501"/>
      <c r="BKO28" s="501"/>
      <c r="BKP28" s="501"/>
      <c r="BKQ28" s="501"/>
      <c r="BKR28" s="501"/>
      <c r="BKS28" s="501"/>
      <c r="BKT28" s="501"/>
      <c r="BKU28" s="501"/>
      <c r="BKV28" s="501"/>
      <c r="BKW28" s="501"/>
      <c r="BKX28" s="501"/>
      <c r="BKY28" s="501"/>
      <c r="BKZ28" s="501"/>
      <c r="BLA28" s="501"/>
      <c r="BLB28" s="501"/>
      <c r="BLC28" s="501"/>
      <c r="BLD28" s="501"/>
      <c r="BLE28" s="501"/>
      <c r="BLF28" s="501"/>
      <c r="BLG28" s="501"/>
      <c r="BLH28" s="501"/>
      <c r="BLI28" s="501"/>
      <c r="BLJ28" s="501"/>
      <c r="BLK28" s="501"/>
      <c r="BLL28" s="501"/>
      <c r="BLM28" s="501"/>
      <c r="BLN28" s="501"/>
      <c r="BLO28" s="501"/>
      <c r="BLP28" s="501"/>
      <c r="BLQ28" s="501"/>
      <c r="BLR28" s="501"/>
      <c r="BLS28" s="501"/>
      <c r="BLT28" s="501"/>
      <c r="BLU28" s="501"/>
      <c r="BLV28" s="501"/>
      <c r="BLW28" s="501"/>
      <c r="BLX28" s="501"/>
      <c r="BLY28" s="501"/>
      <c r="BLZ28" s="501"/>
      <c r="BMA28" s="501"/>
      <c r="BMB28" s="501"/>
      <c r="BMC28" s="501"/>
      <c r="BMD28" s="501"/>
      <c r="BME28" s="501"/>
      <c r="BMF28" s="501"/>
      <c r="BMG28" s="501"/>
      <c r="BMH28" s="501"/>
      <c r="BMI28" s="501"/>
      <c r="BMJ28" s="501"/>
      <c r="BMK28" s="501"/>
      <c r="BML28" s="501"/>
      <c r="BMM28" s="501"/>
      <c r="BMN28" s="501"/>
      <c r="BMO28" s="501"/>
      <c r="BMP28" s="501"/>
      <c r="BMQ28" s="501"/>
      <c r="BMR28" s="501"/>
      <c r="BMS28" s="501"/>
      <c r="BMT28" s="501"/>
      <c r="BMU28" s="501"/>
      <c r="BMV28" s="501"/>
      <c r="BMW28" s="501"/>
      <c r="BMX28" s="501"/>
      <c r="BMY28" s="501"/>
      <c r="BMZ28" s="501"/>
      <c r="BNA28" s="501"/>
      <c r="BNB28" s="501"/>
      <c r="BNC28" s="501"/>
      <c r="BND28" s="501"/>
      <c r="BNE28" s="501"/>
      <c r="BNF28" s="501"/>
      <c r="BNG28" s="501"/>
      <c r="BNH28" s="501"/>
      <c r="BNI28" s="501"/>
      <c r="BNJ28" s="501"/>
      <c r="BNK28" s="501"/>
      <c r="BNL28" s="501"/>
      <c r="BNM28" s="501"/>
      <c r="BNN28" s="501"/>
      <c r="BNO28" s="501"/>
      <c r="BNP28" s="501"/>
      <c r="BNQ28" s="501"/>
      <c r="BNR28" s="501"/>
      <c r="BNS28" s="501"/>
      <c r="BNT28" s="501"/>
      <c r="BNU28" s="501"/>
      <c r="BNV28" s="501"/>
      <c r="BNW28" s="501"/>
      <c r="BNX28" s="501"/>
      <c r="BNY28" s="501"/>
      <c r="BNZ28" s="501"/>
      <c r="BOA28" s="501"/>
      <c r="BOB28" s="501"/>
      <c r="BOC28" s="501"/>
      <c r="BOD28" s="501"/>
      <c r="BOE28" s="501"/>
      <c r="BOF28" s="501"/>
      <c r="BOG28" s="501"/>
      <c r="BOH28" s="501"/>
      <c r="BOI28" s="501"/>
      <c r="BOJ28" s="501"/>
      <c r="BOK28" s="501"/>
      <c r="BOL28" s="501"/>
      <c r="BOM28" s="501"/>
      <c r="BON28" s="501"/>
      <c r="BOO28" s="501"/>
      <c r="BOP28" s="501"/>
      <c r="BOQ28" s="501"/>
      <c r="BOR28" s="501"/>
      <c r="BOS28" s="501"/>
      <c r="BOT28" s="501"/>
      <c r="BOU28" s="501"/>
      <c r="BOV28" s="501"/>
      <c r="BOW28" s="501"/>
      <c r="BOX28" s="501"/>
      <c r="BOY28" s="501"/>
      <c r="BOZ28" s="501"/>
      <c r="BPA28" s="501"/>
      <c r="BPB28" s="501"/>
      <c r="BPC28" s="501"/>
      <c r="BPD28" s="501"/>
      <c r="BPE28" s="501"/>
      <c r="BPF28" s="501"/>
      <c r="BPG28" s="501"/>
      <c r="BPH28" s="501"/>
      <c r="BPI28" s="501"/>
      <c r="BPJ28" s="501"/>
      <c r="BPK28" s="501"/>
      <c r="BPL28" s="501"/>
      <c r="BPM28" s="501"/>
      <c r="BPN28" s="501"/>
      <c r="BPO28" s="501"/>
      <c r="BPP28" s="501"/>
      <c r="BPQ28" s="501"/>
      <c r="BPR28" s="501"/>
      <c r="BPS28" s="501"/>
      <c r="BPT28" s="501"/>
      <c r="BPU28" s="501"/>
      <c r="BPV28" s="501"/>
      <c r="BPW28" s="501"/>
      <c r="BPX28" s="501"/>
      <c r="BPY28" s="501"/>
      <c r="BPZ28" s="501"/>
      <c r="BQA28" s="501"/>
      <c r="BQB28" s="501"/>
      <c r="BQC28" s="501"/>
      <c r="BQD28" s="501"/>
      <c r="BQE28" s="501"/>
      <c r="BQF28" s="501"/>
      <c r="BQG28" s="501"/>
      <c r="BQH28" s="501"/>
      <c r="BQI28" s="501"/>
      <c r="BQJ28" s="501"/>
      <c r="BQK28" s="501"/>
      <c r="BQL28" s="501"/>
      <c r="BQM28" s="501"/>
      <c r="BQN28" s="501"/>
      <c r="BQO28" s="501"/>
      <c r="BQP28" s="501"/>
      <c r="BQQ28" s="501"/>
      <c r="BQR28" s="501"/>
      <c r="BQS28" s="501"/>
      <c r="BQT28" s="501"/>
      <c r="BQU28" s="501"/>
      <c r="BQV28" s="501"/>
      <c r="BQW28" s="501"/>
      <c r="BQX28" s="501"/>
      <c r="BQY28" s="501"/>
      <c r="BQZ28" s="501"/>
      <c r="BRA28" s="501"/>
      <c r="BRB28" s="501"/>
      <c r="BRC28" s="501"/>
      <c r="BRD28" s="501"/>
      <c r="BRE28" s="501"/>
      <c r="BRF28" s="501"/>
      <c r="BRG28" s="501"/>
      <c r="BRH28" s="501"/>
      <c r="BRI28" s="501"/>
      <c r="BRJ28" s="501"/>
      <c r="BRK28" s="501"/>
      <c r="BRL28" s="501"/>
      <c r="BRM28" s="501"/>
      <c r="BRN28" s="501"/>
      <c r="BRO28" s="501"/>
      <c r="BRP28" s="501"/>
      <c r="BRQ28" s="501"/>
      <c r="BRR28" s="501"/>
      <c r="BRS28" s="501"/>
      <c r="BRT28" s="501"/>
      <c r="BRU28" s="501"/>
      <c r="BRV28" s="501"/>
      <c r="BRW28" s="501"/>
      <c r="BRX28" s="501"/>
      <c r="BRY28" s="501"/>
      <c r="BRZ28" s="501"/>
      <c r="BSA28" s="501"/>
      <c r="BSB28" s="501"/>
      <c r="BSC28" s="501"/>
      <c r="BSD28" s="501"/>
      <c r="BSE28" s="501"/>
      <c r="BSF28" s="501"/>
      <c r="BSG28" s="501"/>
      <c r="BSH28" s="501"/>
      <c r="BSI28" s="501"/>
      <c r="BSJ28" s="501"/>
      <c r="BSK28" s="501"/>
      <c r="BSL28" s="501"/>
      <c r="BSM28" s="501"/>
      <c r="BSN28" s="501"/>
      <c r="BSO28" s="501"/>
      <c r="BSP28" s="501"/>
      <c r="BSQ28" s="501"/>
      <c r="BSR28" s="501"/>
      <c r="BSS28" s="501"/>
      <c r="BST28" s="501"/>
      <c r="BSU28" s="501"/>
      <c r="BSV28" s="501"/>
      <c r="BSW28" s="501"/>
      <c r="BSX28" s="501"/>
      <c r="BSY28" s="501"/>
      <c r="BSZ28" s="501"/>
      <c r="BTA28" s="501"/>
      <c r="BTB28" s="501"/>
      <c r="BTC28" s="501"/>
      <c r="BTD28" s="501"/>
      <c r="BTE28" s="501"/>
      <c r="BTF28" s="501"/>
      <c r="BTG28" s="501"/>
      <c r="BTH28" s="501"/>
      <c r="BTI28" s="501"/>
      <c r="BTJ28" s="501"/>
      <c r="BTK28" s="501"/>
      <c r="BTL28" s="501"/>
      <c r="BTM28" s="501"/>
      <c r="BTN28" s="501"/>
      <c r="BTO28" s="501"/>
      <c r="BTP28" s="501"/>
      <c r="BTQ28" s="501"/>
      <c r="BTR28" s="501"/>
      <c r="BTS28" s="501"/>
      <c r="BTT28" s="501"/>
      <c r="BTU28" s="501"/>
      <c r="BTV28" s="501"/>
      <c r="BTW28" s="501"/>
      <c r="BTX28" s="501"/>
      <c r="BTY28" s="501"/>
      <c r="BTZ28" s="501"/>
      <c r="BUA28" s="501"/>
      <c r="BUB28" s="501"/>
      <c r="BUC28" s="501"/>
      <c r="BUD28" s="501"/>
      <c r="BUE28" s="501"/>
      <c r="BUF28" s="501"/>
      <c r="BUG28" s="501"/>
      <c r="BUH28" s="501"/>
      <c r="BUI28" s="501"/>
      <c r="BUJ28" s="501"/>
      <c r="BUK28" s="501"/>
      <c r="BUL28" s="501"/>
      <c r="BUM28" s="501"/>
      <c r="BUN28" s="501"/>
      <c r="BUO28" s="501"/>
      <c r="BUP28" s="501"/>
      <c r="BUQ28" s="501"/>
      <c r="BUR28" s="501"/>
      <c r="BUS28" s="501"/>
      <c r="BUT28" s="501"/>
      <c r="BUU28" s="501"/>
      <c r="BUV28" s="501"/>
      <c r="BUW28" s="501"/>
      <c r="BUX28" s="501"/>
      <c r="BUY28" s="501"/>
      <c r="BUZ28" s="501"/>
      <c r="BVA28" s="501"/>
      <c r="BVB28" s="501"/>
      <c r="BVC28" s="501"/>
      <c r="BVD28" s="501"/>
      <c r="BVE28" s="501"/>
      <c r="BVF28" s="501"/>
      <c r="BVG28" s="501"/>
      <c r="BVH28" s="501"/>
      <c r="BVI28" s="501"/>
      <c r="BVJ28" s="501"/>
      <c r="BVK28" s="501"/>
      <c r="BVL28" s="501"/>
      <c r="BVM28" s="501"/>
      <c r="BVN28" s="501"/>
      <c r="BVO28" s="501"/>
      <c r="BVP28" s="501"/>
      <c r="BVQ28" s="501"/>
      <c r="BVR28" s="501"/>
      <c r="BVS28" s="501"/>
      <c r="BVT28" s="501"/>
      <c r="BVU28" s="501"/>
      <c r="BVV28" s="501"/>
      <c r="BVW28" s="501"/>
      <c r="BVX28" s="501"/>
      <c r="BVY28" s="501"/>
      <c r="BVZ28" s="501"/>
      <c r="BWA28" s="501"/>
      <c r="BWB28" s="501"/>
      <c r="BWC28" s="501"/>
      <c r="BWD28" s="501"/>
      <c r="BWE28" s="501"/>
      <c r="BWF28" s="501"/>
      <c r="BWG28" s="501"/>
      <c r="BWH28" s="501"/>
      <c r="BWI28" s="501"/>
      <c r="BWJ28" s="501"/>
      <c r="BWK28" s="501"/>
      <c r="BWL28" s="501"/>
      <c r="BWM28" s="501"/>
      <c r="BWN28" s="501"/>
      <c r="BWO28" s="501"/>
      <c r="BWP28" s="501"/>
      <c r="BWQ28" s="501"/>
      <c r="BWR28" s="501"/>
      <c r="BWS28" s="501"/>
      <c r="BWT28" s="501"/>
      <c r="BWU28" s="501"/>
      <c r="BWV28" s="501"/>
      <c r="BWW28" s="501"/>
      <c r="BWX28" s="501"/>
      <c r="BWY28" s="501"/>
      <c r="BWZ28" s="501"/>
      <c r="BXA28" s="501"/>
      <c r="BXB28" s="501"/>
      <c r="BXC28" s="501"/>
      <c r="BXD28" s="501"/>
      <c r="BXE28" s="501"/>
      <c r="BXF28" s="501"/>
      <c r="BXG28" s="501"/>
      <c r="BXH28" s="501"/>
      <c r="BXI28" s="501"/>
      <c r="BXJ28" s="501"/>
      <c r="BXK28" s="501"/>
      <c r="BXL28" s="501"/>
      <c r="BXM28" s="501"/>
      <c r="BXN28" s="501"/>
      <c r="BXO28" s="501"/>
      <c r="BXP28" s="501"/>
      <c r="BXQ28" s="501"/>
      <c r="BXR28" s="501"/>
      <c r="BXS28" s="501"/>
      <c r="BXT28" s="501"/>
      <c r="BXU28" s="501"/>
      <c r="BXV28" s="501"/>
      <c r="BXW28" s="501"/>
      <c r="BXX28" s="501"/>
      <c r="BXY28" s="501"/>
      <c r="BXZ28" s="501"/>
      <c r="BYA28" s="501"/>
      <c r="BYB28" s="501"/>
      <c r="BYC28" s="501"/>
      <c r="BYD28" s="501"/>
      <c r="BYE28" s="501"/>
      <c r="BYF28" s="501"/>
      <c r="BYG28" s="501"/>
      <c r="BYH28" s="501"/>
      <c r="BYI28" s="501"/>
      <c r="BYJ28" s="501"/>
      <c r="BYK28" s="501"/>
      <c r="BYL28" s="501"/>
      <c r="BYM28" s="501"/>
      <c r="BYN28" s="501"/>
      <c r="BYO28" s="501"/>
      <c r="BYP28" s="501"/>
      <c r="BYQ28" s="501"/>
      <c r="BYR28" s="501"/>
      <c r="BYS28" s="501"/>
      <c r="BYT28" s="501"/>
      <c r="BYU28" s="501"/>
      <c r="BYV28" s="501"/>
      <c r="BYW28" s="501"/>
      <c r="BYX28" s="501"/>
      <c r="BYY28" s="501"/>
      <c r="BYZ28" s="501"/>
      <c r="BZA28" s="501"/>
      <c r="BZB28" s="501"/>
      <c r="BZC28" s="501"/>
      <c r="BZD28" s="501"/>
      <c r="BZE28" s="501"/>
      <c r="BZF28" s="501"/>
      <c r="BZG28" s="501"/>
      <c r="BZH28" s="501"/>
      <c r="BZI28" s="501"/>
      <c r="BZJ28" s="501"/>
      <c r="BZK28" s="501"/>
      <c r="BZL28" s="501"/>
      <c r="BZM28" s="501"/>
      <c r="BZN28" s="501"/>
      <c r="BZO28" s="501"/>
      <c r="BZP28" s="501"/>
      <c r="BZQ28" s="501"/>
      <c r="BZR28" s="501"/>
      <c r="BZS28" s="501"/>
      <c r="BZT28" s="501"/>
      <c r="BZU28" s="501"/>
      <c r="BZV28" s="501"/>
      <c r="BZW28" s="501"/>
      <c r="BZX28" s="501"/>
      <c r="BZY28" s="501"/>
      <c r="BZZ28" s="501"/>
      <c r="CAA28" s="501"/>
      <c r="CAB28" s="501"/>
      <c r="CAC28" s="501"/>
      <c r="CAD28" s="501"/>
      <c r="CAE28" s="501"/>
      <c r="CAF28" s="501"/>
      <c r="CAG28" s="501"/>
      <c r="CAH28" s="501"/>
      <c r="CAI28" s="501"/>
      <c r="CAJ28" s="501"/>
      <c r="CAK28" s="501"/>
      <c r="CAL28" s="501"/>
      <c r="CAM28" s="501"/>
      <c r="CAN28" s="501"/>
      <c r="CAO28" s="501"/>
      <c r="CAP28" s="501"/>
      <c r="CAQ28" s="501"/>
      <c r="CAR28" s="501"/>
      <c r="CAS28" s="501"/>
      <c r="CAT28" s="501"/>
      <c r="CAU28" s="501"/>
      <c r="CAV28" s="501"/>
      <c r="CAW28" s="501"/>
      <c r="CAX28" s="501"/>
      <c r="CAY28" s="501"/>
      <c r="CAZ28" s="501"/>
      <c r="CBA28" s="501"/>
      <c r="CBB28" s="501"/>
      <c r="CBC28" s="501"/>
      <c r="CBD28" s="501"/>
      <c r="CBE28" s="501"/>
      <c r="CBF28" s="501"/>
      <c r="CBG28" s="501"/>
      <c r="CBH28" s="501"/>
      <c r="CBI28" s="501"/>
      <c r="CBJ28" s="501"/>
      <c r="CBK28" s="501"/>
      <c r="CBL28" s="501"/>
      <c r="CBM28" s="501"/>
      <c r="CBN28" s="501"/>
      <c r="CBO28" s="501"/>
      <c r="CBP28" s="501"/>
      <c r="CBQ28" s="501"/>
      <c r="CBR28" s="501"/>
      <c r="CBS28" s="501"/>
      <c r="CBT28" s="501"/>
      <c r="CBU28" s="501"/>
      <c r="CBV28" s="501"/>
      <c r="CBW28" s="501"/>
      <c r="CBX28" s="501"/>
      <c r="CBY28" s="501"/>
      <c r="CBZ28" s="501"/>
      <c r="CCA28" s="501"/>
      <c r="CCB28" s="501"/>
      <c r="CCC28" s="501"/>
      <c r="CCD28" s="501"/>
      <c r="CCE28" s="501"/>
      <c r="CCF28" s="501"/>
      <c r="CCG28" s="501"/>
      <c r="CCH28" s="501"/>
      <c r="CCI28" s="501"/>
      <c r="CCJ28" s="501"/>
      <c r="CCK28" s="501"/>
      <c r="CCL28" s="501"/>
      <c r="CCM28" s="501"/>
      <c r="CCN28" s="501"/>
      <c r="CCO28" s="501"/>
      <c r="CCP28" s="501"/>
      <c r="CCQ28" s="501"/>
      <c r="CCR28" s="501"/>
      <c r="CCS28" s="501"/>
      <c r="CCT28" s="501"/>
      <c r="CCU28" s="501"/>
      <c r="CCV28" s="501"/>
      <c r="CCW28" s="501"/>
      <c r="CCX28" s="501"/>
      <c r="CCY28" s="501"/>
      <c r="CCZ28" s="501"/>
      <c r="CDA28" s="501"/>
      <c r="CDB28" s="501"/>
      <c r="CDC28" s="501"/>
      <c r="CDD28" s="501"/>
      <c r="CDE28" s="501"/>
      <c r="CDF28" s="501"/>
      <c r="CDG28" s="501"/>
      <c r="CDH28" s="501"/>
      <c r="CDI28" s="501"/>
      <c r="CDJ28" s="501"/>
      <c r="CDK28" s="501"/>
      <c r="CDL28" s="501"/>
      <c r="CDM28" s="501"/>
      <c r="CDN28" s="501"/>
      <c r="CDO28" s="501"/>
      <c r="CDP28" s="501"/>
      <c r="CDQ28" s="501"/>
      <c r="CDR28" s="501"/>
      <c r="CDS28" s="501"/>
      <c r="CDT28" s="501"/>
      <c r="CDU28" s="501"/>
      <c r="CDV28" s="501"/>
      <c r="CDW28" s="501"/>
      <c r="CDX28" s="501"/>
      <c r="CDY28" s="501"/>
      <c r="CDZ28" s="501"/>
      <c r="CEA28" s="501"/>
      <c r="CEB28" s="501"/>
      <c r="CEC28" s="501"/>
      <c r="CED28" s="501"/>
      <c r="CEE28" s="501"/>
      <c r="CEF28" s="501"/>
      <c r="CEG28" s="501"/>
      <c r="CEH28" s="501"/>
      <c r="CEI28" s="501"/>
      <c r="CEJ28" s="501"/>
      <c r="CEK28" s="501"/>
      <c r="CEL28" s="501"/>
      <c r="CEM28" s="501"/>
      <c r="CEN28" s="501"/>
      <c r="CEO28" s="501"/>
      <c r="CEP28" s="501"/>
      <c r="CEQ28" s="501"/>
      <c r="CER28" s="501"/>
      <c r="CES28" s="501"/>
      <c r="CET28" s="501"/>
      <c r="CEU28" s="501"/>
      <c r="CEV28" s="501"/>
      <c r="CEW28" s="501"/>
      <c r="CEX28" s="501"/>
      <c r="CEY28" s="501"/>
      <c r="CEZ28" s="501"/>
      <c r="CFA28" s="501"/>
      <c r="CFB28" s="501"/>
      <c r="CFC28" s="501"/>
      <c r="CFD28" s="501"/>
      <c r="CFE28" s="501"/>
      <c r="CFF28" s="501"/>
      <c r="CFG28" s="501"/>
      <c r="CFH28" s="501"/>
      <c r="CFI28" s="501"/>
      <c r="CFJ28" s="501"/>
      <c r="CFK28" s="501"/>
      <c r="CFL28" s="501"/>
      <c r="CFM28" s="501"/>
      <c r="CFN28" s="501"/>
      <c r="CFO28" s="501"/>
      <c r="CFP28" s="501"/>
      <c r="CFQ28" s="501"/>
      <c r="CFR28" s="501"/>
      <c r="CFS28" s="501"/>
      <c r="CFT28" s="501"/>
      <c r="CFU28" s="501"/>
      <c r="CFV28" s="501"/>
      <c r="CFW28" s="501"/>
      <c r="CFX28" s="501"/>
      <c r="CFY28" s="501"/>
      <c r="CFZ28" s="501"/>
      <c r="CGA28" s="501"/>
      <c r="CGB28" s="501"/>
      <c r="CGC28" s="501"/>
      <c r="CGD28" s="501"/>
      <c r="CGE28" s="501"/>
      <c r="CGF28" s="501"/>
      <c r="CGG28" s="501"/>
      <c r="CGH28" s="501"/>
      <c r="CGI28" s="501"/>
      <c r="CGJ28" s="501"/>
      <c r="CGK28" s="501"/>
      <c r="CGL28" s="501"/>
      <c r="CGM28" s="501"/>
      <c r="CGN28" s="501"/>
      <c r="CGO28" s="501"/>
      <c r="CGP28" s="501"/>
      <c r="CGQ28" s="501"/>
      <c r="CGR28" s="501"/>
      <c r="CGS28" s="501"/>
      <c r="CGT28" s="501"/>
      <c r="CGU28" s="501"/>
      <c r="CGV28" s="501"/>
      <c r="CGW28" s="501"/>
      <c r="CGX28" s="501"/>
      <c r="CGY28" s="501"/>
      <c r="CGZ28" s="501"/>
      <c r="CHA28" s="501"/>
      <c r="CHB28" s="501"/>
      <c r="CHC28" s="501"/>
      <c r="CHD28" s="501"/>
      <c r="CHE28" s="501"/>
      <c r="CHF28" s="501"/>
      <c r="CHG28" s="501"/>
      <c r="CHH28" s="501"/>
      <c r="CHI28" s="501"/>
      <c r="CHJ28" s="501"/>
      <c r="CHK28" s="501"/>
      <c r="CHL28" s="501"/>
      <c r="CHM28" s="501"/>
      <c r="CHN28" s="501"/>
      <c r="CHO28" s="501"/>
      <c r="CHP28" s="501"/>
      <c r="CHQ28" s="501"/>
      <c r="CHR28" s="501"/>
      <c r="CHS28" s="501"/>
      <c r="CHT28" s="501"/>
      <c r="CHU28" s="501"/>
      <c r="CHV28" s="501"/>
      <c r="CHW28" s="501"/>
      <c r="CHX28" s="501"/>
      <c r="CHY28" s="501"/>
      <c r="CHZ28" s="501"/>
      <c r="CIA28" s="501"/>
      <c r="CIB28" s="501"/>
      <c r="CIC28" s="501"/>
      <c r="CID28" s="501"/>
      <c r="CIE28" s="501"/>
      <c r="CIF28" s="501"/>
      <c r="CIG28" s="501"/>
      <c r="CIH28" s="501"/>
      <c r="CII28" s="501"/>
      <c r="CIJ28" s="501"/>
      <c r="CIK28" s="501"/>
      <c r="CIL28" s="501"/>
      <c r="CIM28" s="501"/>
      <c r="CIN28" s="501"/>
      <c r="CIO28" s="501"/>
      <c r="CIP28" s="501"/>
      <c r="CIQ28" s="501"/>
      <c r="CIR28" s="501"/>
      <c r="CIS28" s="501"/>
      <c r="CIT28" s="501"/>
      <c r="CIU28" s="501"/>
      <c r="CIV28" s="501"/>
      <c r="CIW28" s="501"/>
      <c r="CIX28" s="501"/>
      <c r="CIY28" s="501"/>
      <c r="CIZ28" s="501"/>
      <c r="CJA28" s="501"/>
      <c r="CJB28" s="501"/>
      <c r="CJC28" s="501"/>
      <c r="CJD28" s="501"/>
      <c r="CJE28" s="501"/>
      <c r="CJF28" s="501"/>
      <c r="CJG28" s="501"/>
      <c r="CJH28" s="501"/>
      <c r="CJI28" s="501"/>
      <c r="CJJ28" s="501"/>
      <c r="CJK28" s="501"/>
      <c r="CJL28" s="501"/>
      <c r="CJM28" s="501"/>
      <c r="CJN28" s="501"/>
      <c r="CJO28" s="501"/>
      <c r="CJP28" s="501"/>
      <c r="CJQ28" s="501"/>
      <c r="CJR28" s="501"/>
      <c r="CJS28" s="501"/>
      <c r="CJT28" s="501"/>
      <c r="CJU28" s="501"/>
      <c r="CJV28" s="501"/>
      <c r="CJW28" s="501"/>
      <c r="CJX28" s="501"/>
      <c r="CJY28" s="501"/>
      <c r="CJZ28" s="501"/>
      <c r="CKA28" s="501"/>
      <c r="CKB28" s="501"/>
      <c r="CKC28" s="501"/>
      <c r="CKD28" s="501"/>
      <c r="CKE28" s="501"/>
      <c r="CKF28" s="501"/>
      <c r="CKG28" s="501"/>
      <c r="CKH28" s="501"/>
      <c r="CKI28" s="501"/>
      <c r="CKJ28" s="501"/>
      <c r="CKK28" s="501"/>
      <c r="CKL28" s="501"/>
      <c r="CKM28" s="501"/>
      <c r="CKN28" s="501"/>
      <c r="CKO28" s="501"/>
      <c r="CKP28" s="501"/>
      <c r="CKQ28" s="501"/>
      <c r="CKR28" s="501"/>
      <c r="CKS28" s="501"/>
      <c r="CKT28" s="501"/>
      <c r="CKU28" s="501"/>
      <c r="CKV28" s="501"/>
      <c r="CKW28" s="501"/>
      <c r="CKX28" s="501"/>
      <c r="CKY28" s="501"/>
      <c r="CKZ28" s="501"/>
      <c r="CLA28" s="501"/>
      <c r="CLB28" s="501"/>
      <c r="CLC28" s="501"/>
      <c r="CLD28" s="501"/>
      <c r="CLE28" s="501"/>
      <c r="CLF28" s="501"/>
      <c r="CLG28" s="501"/>
      <c r="CLH28" s="501"/>
      <c r="CLI28" s="501"/>
      <c r="CLJ28" s="501"/>
      <c r="CLK28" s="501"/>
      <c r="CLL28" s="501"/>
      <c r="CLM28" s="501"/>
      <c r="CLN28" s="501"/>
      <c r="CLO28" s="501"/>
      <c r="CLP28" s="501"/>
      <c r="CLQ28" s="501"/>
      <c r="CLR28" s="501"/>
      <c r="CLS28" s="501"/>
      <c r="CLT28" s="501"/>
      <c r="CLU28" s="501"/>
      <c r="CLV28" s="501"/>
      <c r="CLW28" s="501"/>
      <c r="CLX28" s="501"/>
      <c r="CLY28" s="501"/>
      <c r="CLZ28" s="501"/>
      <c r="CMA28" s="501"/>
      <c r="CMB28" s="501"/>
      <c r="CMC28" s="501"/>
      <c r="CMD28" s="501"/>
      <c r="CME28" s="501"/>
      <c r="CMF28" s="501"/>
      <c r="CMG28" s="501"/>
      <c r="CMH28" s="501"/>
      <c r="CMI28" s="501"/>
      <c r="CMJ28" s="501"/>
      <c r="CMK28" s="501"/>
      <c r="CML28" s="501"/>
      <c r="CMM28" s="501"/>
      <c r="CMN28" s="501"/>
      <c r="CMO28" s="501"/>
      <c r="CMP28" s="501"/>
      <c r="CMQ28" s="501"/>
      <c r="CMR28" s="501"/>
      <c r="CMS28" s="501"/>
      <c r="CMT28" s="501"/>
      <c r="CMU28" s="501"/>
      <c r="CMV28" s="501"/>
      <c r="CMW28" s="501"/>
      <c r="CMX28" s="501"/>
      <c r="CMY28" s="501"/>
      <c r="CMZ28" s="501"/>
      <c r="CNA28" s="501"/>
      <c r="CNB28" s="501"/>
      <c r="CNC28" s="501"/>
      <c r="CND28" s="501"/>
      <c r="CNE28" s="501"/>
      <c r="CNF28" s="501"/>
      <c r="CNG28" s="501"/>
      <c r="CNH28" s="501"/>
      <c r="CNI28" s="501"/>
      <c r="CNJ28" s="501"/>
      <c r="CNK28" s="501"/>
      <c r="CNL28" s="501"/>
      <c r="CNM28" s="501"/>
      <c r="CNN28" s="501"/>
      <c r="CNO28" s="501"/>
      <c r="CNP28" s="501"/>
      <c r="CNQ28" s="501"/>
      <c r="CNR28" s="501"/>
      <c r="CNS28" s="501"/>
      <c r="CNT28" s="501"/>
      <c r="CNU28" s="501"/>
      <c r="CNV28" s="501"/>
      <c r="CNW28" s="501"/>
      <c r="CNX28" s="501"/>
      <c r="CNY28" s="501"/>
      <c r="CNZ28" s="501"/>
      <c r="COA28" s="501"/>
      <c r="COB28" s="501"/>
      <c r="COC28" s="501"/>
      <c r="COD28" s="501"/>
      <c r="COE28" s="501"/>
      <c r="COF28" s="501"/>
      <c r="COG28" s="501"/>
      <c r="COH28" s="501"/>
      <c r="COI28" s="501"/>
      <c r="COJ28" s="501"/>
      <c r="COK28" s="501"/>
      <c r="COL28" s="501"/>
      <c r="COM28" s="501"/>
      <c r="CON28" s="501"/>
      <c r="COO28" s="501"/>
      <c r="COP28" s="501"/>
      <c r="COQ28" s="501"/>
      <c r="COR28" s="501"/>
      <c r="COS28" s="501"/>
      <c r="COT28" s="501"/>
      <c r="COU28" s="501"/>
      <c r="COV28" s="501"/>
      <c r="COW28" s="501"/>
      <c r="COX28" s="501"/>
      <c r="COY28" s="501"/>
      <c r="COZ28" s="501"/>
      <c r="CPA28" s="501"/>
      <c r="CPB28" s="501"/>
      <c r="CPC28" s="501"/>
      <c r="CPD28" s="501"/>
      <c r="CPE28" s="501"/>
      <c r="CPF28" s="501"/>
      <c r="CPG28" s="501"/>
      <c r="CPH28" s="501"/>
      <c r="CPI28" s="501"/>
      <c r="CPJ28" s="501"/>
      <c r="CPK28" s="501"/>
      <c r="CPL28" s="501"/>
      <c r="CPM28" s="501"/>
      <c r="CPN28" s="501"/>
      <c r="CPO28" s="501"/>
      <c r="CPP28" s="501"/>
      <c r="CPQ28" s="501"/>
      <c r="CPR28" s="501"/>
      <c r="CPS28" s="501"/>
      <c r="CPT28" s="501"/>
      <c r="CPU28" s="501"/>
      <c r="CPV28" s="501"/>
      <c r="CPW28" s="501"/>
      <c r="CPX28" s="501"/>
      <c r="CPY28" s="501"/>
      <c r="CPZ28" s="501"/>
      <c r="CQA28" s="501"/>
      <c r="CQB28" s="501"/>
      <c r="CQC28" s="501"/>
      <c r="CQD28" s="501"/>
      <c r="CQE28" s="501"/>
      <c r="CQF28" s="501"/>
      <c r="CQG28" s="501"/>
      <c r="CQH28" s="501"/>
      <c r="CQI28" s="501"/>
      <c r="CQJ28" s="501"/>
      <c r="CQK28" s="501"/>
      <c r="CQL28" s="501"/>
      <c r="CQM28" s="501"/>
      <c r="CQN28" s="501"/>
      <c r="CQO28" s="501"/>
      <c r="CQP28" s="501"/>
      <c r="CQQ28" s="501"/>
      <c r="CQR28" s="501"/>
      <c r="CQS28" s="501"/>
      <c r="CQT28" s="501"/>
      <c r="CQU28" s="501"/>
      <c r="CQV28" s="501"/>
      <c r="CQW28" s="501"/>
      <c r="CQX28" s="501"/>
      <c r="CQY28" s="501"/>
      <c r="CQZ28" s="501"/>
      <c r="CRA28" s="501"/>
      <c r="CRB28" s="501"/>
      <c r="CRC28" s="501"/>
      <c r="CRD28" s="501"/>
      <c r="CRE28" s="501"/>
      <c r="CRF28" s="501"/>
      <c r="CRG28" s="501"/>
      <c r="CRH28" s="501"/>
      <c r="CRI28" s="501"/>
      <c r="CRJ28" s="501"/>
      <c r="CRK28" s="501"/>
      <c r="CRL28" s="501"/>
      <c r="CRM28" s="501"/>
      <c r="CRN28" s="501"/>
      <c r="CRO28" s="501"/>
      <c r="CRP28" s="501"/>
      <c r="CRQ28" s="501"/>
      <c r="CRR28" s="501"/>
      <c r="CRS28" s="501"/>
      <c r="CRT28" s="501"/>
      <c r="CRU28" s="501"/>
      <c r="CRV28" s="501"/>
      <c r="CRW28" s="501"/>
      <c r="CRX28" s="501"/>
      <c r="CRY28" s="501"/>
      <c r="CRZ28" s="501"/>
      <c r="CSA28" s="501"/>
      <c r="CSB28" s="501"/>
      <c r="CSC28" s="501"/>
      <c r="CSD28" s="501"/>
      <c r="CSE28" s="501"/>
      <c r="CSF28" s="501"/>
      <c r="CSG28" s="501"/>
      <c r="CSH28" s="501"/>
      <c r="CSI28" s="501"/>
      <c r="CSJ28" s="501"/>
      <c r="CSK28" s="501"/>
      <c r="CSL28" s="501"/>
      <c r="CSM28" s="501"/>
      <c r="CSN28" s="501"/>
      <c r="CSO28" s="501"/>
      <c r="CSP28" s="501"/>
      <c r="CSQ28" s="501"/>
      <c r="CSR28" s="501"/>
      <c r="CSS28" s="501"/>
      <c r="CST28" s="501"/>
      <c r="CSU28" s="501"/>
      <c r="CSV28" s="501"/>
      <c r="CSW28" s="501"/>
      <c r="CSX28" s="501"/>
      <c r="CSY28" s="501"/>
      <c r="CSZ28" s="501"/>
      <c r="CTA28" s="501"/>
      <c r="CTB28" s="501"/>
      <c r="CTC28" s="501"/>
      <c r="CTD28" s="501"/>
      <c r="CTE28" s="501"/>
      <c r="CTF28" s="501"/>
      <c r="CTG28" s="501"/>
      <c r="CTH28" s="501"/>
      <c r="CTI28" s="501"/>
      <c r="CTJ28" s="501"/>
      <c r="CTK28" s="501"/>
      <c r="CTL28" s="501"/>
      <c r="CTM28" s="501"/>
      <c r="CTN28" s="501"/>
      <c r="CTO28" s="501"/>
      <c r="CTP28" s="501"/>
      <c r="CTQ28" s="501"/>
      <c r="CTR28" s="501"/>
      <c r="CTS28" s="501"/>
      <c r="CTT28" s="501"/>
      <c r="CTU28" s="501"/>
      <c r="CTV28" s="501"/>
      <c r="CTW28" s="501"/>
      <c r="CTX28" s="501"/>
      <c r="CTY28" s="501"/>
      <c r="CTZ28" s="501"/>
      <c r="CUA28" s="501"/>
      <c r="CUB28" s="501"/>
      <c r="CUC28" s="501"/>
      <c r="CUD28" s="501"/>
      <c r="CUE28" s="501"/>
      <c r="CUF28" s="501"/>
      <c r="CUG28" s="501"/>
      <c r="CUH28" s="501"/>
      <c r="CUI28" s="501"/>
      <c r="CUJ28" s="501"/>
      <c r="CUK28" s="501"/>
      <c r="CUL28" s="501"/>
      <c r="CUM28" s="501"/>
      <c r="CUN28" s="501"/>
      <c r="CUO28" s="501"/>
      <c r="CUP28" s="501"/>
      <c r="CUQ28" s="501"/>
      <c r="CUR28" s="501"/>
      <c r="CUS28" s="501"/>
      <c r="CUT28" s="501"/>
      <c r="CUU28" s="501"/>
      <c r="CUV28" s="501"/>
      <c r="CUW28" s="501"/>
      <c r="CUX28" s="501"/>
      <c r="CUY28" s="501"/>
      <c r="CUZ28" s="501"/>
      <c r="CVA28" s="501"/>
      <c r="CVB28" s="501"/>
      <c r="CVC28" s="501"/>
      <c r="CVD28" s="501"/>
      <c r="CVE28" s="501"/>
      <c r="CVF28" s="501"/>
      <c r="CVG28" s="501"/>
      <c r="CVH28" s="501"/>
      <c r="CVI28" s="501"/>
      <c r="CVJ28" s="501"/>
      <c r="CVK28" s="501"/>
      <c r="CVL28" s="501"/>
      <c r="CVM28" s="501"/>
      <c r="CVN28" s="501"/>
      <c r="CVO28" s="501"/>
      <c r="CVP28" s="501"/>
      <c r="CVQ28" s="501"/>
      <c r="CVR28" s="501"/>
      <c r="CVS28" s="501"/>
      <c r="CVT28" s="501"/>
      <c r="CVU28" s="501"/>
      <c r="CVV28" s="501"/>
      <c r="CVW28" s="501"/>
      <c r="CVX28" s="501"/>
      <c r="CVY28" s="501"/>
      <c r="CVZ28" s="501"/>
      <c r="CWA28" s="501"/>
      <c r="CWB28" s="501"/>
      <c r="CWC28" s="501"/>
      <c r="CWD28" s="501"/>
      <c r="CWE28" s="501"/>
      <c r="CWF28" s="501"/>
      <c r="CWG28" s="501"/>
      <c r="CWH28" s="501"/>
      <c r="CWI28" s="501"/>
      <c r="CWJ28" s="501"/>
      <c r="CWK28" s="501"/>
      <c r="CWL28" s="501"/>
      <c r="CWM28" s="501"/>
      <c r="CWN28" s="501"/>
      <c r="CWO28" s="501"/>
      <c r="CWP28" s="501"/>
      <c r="CWQ28" s="501"/>
      <c r="CWR28" s="501"/>
      <c r="CWS28" s="501"/>
      <c r="CWT28" s="501"/>
      <c r="CWU28" s="501"/>
      <c r="CWV28" s="501"/>
      <c r="CWW28" s="501"/>
      <c r="CWX28" s="501"/>
      <c r="CWY28" s="501"/>
      <c r="CWZ28" s="501"/>
      <c r="CXA28" s="501"/>
      <c r="CXB28" s="501"/>
      <c r="CXC28" s="501"/>
      <c r="CXD28" s="501"/>
      <c r="CXE28" s="501"/>
      <c r="CXF28" s="501"/>
      <c r="CXG28" s="501"/>
      <c r="CXH28" s="501"/>
      <c r="CXI28" s="501"/>
      <c r="CXJ28" s="501"/>
      <c r="CXK28" s="501"/>
      <c r="CXL28" s="501"/>
      <c r="CXM28" s="501"/>
      <c r="CXN28" s="501"/>
      <c r="CXO28" s="501"/>
      <c r="CXP28" s="501"/>
      <c r="CXQ28" s="501"/>
      <c r="CXR28" s="501"/>
      <c r="CXS28" s="501"/>
      <c r="CXT28" s="501"/>
      <c r="CXU28" s="501"/>
      <c r="CXV28" s="501"/>
      <c r="CXW28" s="501"/>
      <c r="CXX28" s="501"/>
      <c r="CXY28" s="501"/>
      <c r="CXZ28" s="501"/>
      <c r="CYA28" s="501"/>
      <c r="CYB28" s="501"/>
      <c r="CYC28" s="501"/>
      <c r="CYD28" s="501"/>
      <c r="CYE28" s="501"/>
      <c r="CYF28" s="501"/>
      <c r="CYG28" s="501"/>
      <c r="CYH28" s="501"/>
      <c r="CYI28" s="501"/>
      <c r="CYJ28" s="501"/>
      <c r="CYK28" s="501"/>
      <c r="CYL28" s="501"/>
      <c r="CYM28" s="501"/>
      <c r="CYN28" s="501"/>
      <c r="CYO28" s="501"/>
      <c r="CYP28" s="501"/>
      <c r="CYQ28" s="501"/>
      <c r="CYR28" s="501"/>
      <c r="CYS28" s="501"/>
      <c r="CYT28" s="501"/>
      <c r="CYU28" s="501"/>
      <c r="CYV28" s="501"/>
      <c r="CYW28" s="501"/>
      <c r="CYX28" s="501"/>
      <c r="CYY28" s="501"/>
      <c r="CYZ28" s="501"/>
      <c r="CZA28" s="501"/>
      <c r="CZB28" s="501"/>
      <c r="CZC28" s="501"/>
      <c r="CZD28" s="501"/>
      <c r="CZE28" s="501"/>
      <c r="CZF28" s="501"/>
      <c r="CZG28" s="501"/>
      <c r="CZH28" s="501"/>
      <c r="CZI28" s="501"/>
      <c r="CZJ28" s="501"/>
      <c r="CZK28" s="501"/>
      <c r="CZL28" s="501"/>
      <c r="CZM28" s="501"/>
      <c r="CZN28" s="501"/>
      <c r="CZO28" s="501"/>
      <c r="CZP28" s="501"/>
      <c r="CZQ28" s="501"/>
      <c r="CZR28" s="501"/>
      <c r="CZS28" s="501"/>
      <c r="CZT28" s="501"/>
      <c r="CZU28" s="501"/>
      <c r="CZV28" s="501"/>
      <c r="CZW28" s="501"/>
      <c r="CZX28" s="501"/>
      <c r="CZY28" s="501"/>
      <c r="CZZ28" s="501"/>
      <c r="DAA28" s="501"/>
      <c r="DAB28" s="501"/>
      <c r="DAC28" s="501"/>
      <c r="DAD28" s="501"/>
      <c r="DAE28" s="501"/>
      <c r="DAF28" s="501"/>
      <c r="DAG28" s="501"/>
      <c r="DAH28" s="501"/>
      <c r="DAI28" s="501"/>
      <c r="DAJ28" s="501"/>
      <c r="DAK28" s="501"/>
      <c r="DAL28" s="501"/>
      <c r="DAM28" s="501"/>
      <c r="DAN28" s="501"/>
      <c r="DAO28" s="501"/>
      <c r="DAP28" s="501"/>
      <c r="DAQ28" s="501"/>
      <c r="DAR28" s="501"/>
      <c r="DAS28" s="501"/>
      <c r="DAT28" s="501"/>
      <c r="DAU28" s="501"/>
      <c r="DAV28" s="501"/>
      <c r="DAW28" s="501"/>
      <c r="DAX28" s="501"/>
      <c r="DAY28" s="501"/>
      <c r="DAZ28" s="501"/>
      <c r="DBA28" s="501"/>
      <c r="DBB28" s="501"/>
      <c r="DBC28" s="501"/>
      <c r="DBD28" s="501"/>
      <c r="DBE28" s="501"/>
      <c r="DBF28" s="501"/>
      <c r="DBG28" s="501"/>
      <c r="DBH28" s="501"/>
      <c r="DBI28" s="501"/>
      <c r="DBJ28" s="501"/>
      <c r="DBK28" s="501"/>
      <c r="DBL28" s="501"/>
      <c r="DBM28" s="501"/>
      <c r="DBN28" s="501"/>
      <c r="DBO28" s="501"/>
      <c r="DBP28" s="501"/>
      <c r="DBQ28" s="501"/>
      <c r="DBR28" s="501"/>
      <c r="DBS28" s="501"/>
      <c r="DBT28" s="501"/>
      <c r="DBU28" s="501"/>
      <c r="DBV28" s="501"/>
      <c r="DBW28" s="501"/>
      <c r="DBX28" s="501"/>
      <c r="DBY28" s="501"/>
      <c r="DBZ28" s="501"/>
      <c r="DCA28" s="501"/>
      <c r="DCB28" s="501"/>
      <c r="DCC28" s="501"/>
      <c r="DCD28" s="501"/>
      <c r="DCE28" s="501"/>
      <c r="DCF28" s="501"/>
      <c r="DCG28" s="501"/>
      <c r="DCH28" s="501"/>
      <c r="DCI28" s="501"/>
      <c r="DCJ28" s="501"/>
      <c r="DCK28" s="501"/>
      <c r="DCL28" s="501"/>
      <c r="DCM28" s="501"/>
      <c r="DCN28" s="501"/>
      <c r="DCO28" s="501"/>
      <c r="DCP28" s="501"/>
      <c r="DCQ28" s="501"/>
      <c r="DCR28" s="501"/>
      <c r="DCS28" s="501"/>
      <c r="DCT28" s="501"/>
      <c r="DCU28" s="501"/>
      <c r="DCV28" s="501"/>
      <c r="DCW28" s="501"/>
      <c r="DCX28" s="501"/>
      <c r="DCY28" s="501"/>
      <c r="DCZ28" s="501"/>
      <c r="DDA28" s="501"/>
      <c r="DDB28" s="501"/>
      <c r="DDC28" s="501"/>
      <c r="DDD28" s="501"/>
      <c r="DDE28" s="501"/>
      <c r="DDF28" s="501"/>
      <c r="DDG28" s="501"/>
      <c r="DDH28" s="501"/>
      <c r="DDI28" s="501"/>
      <c r="DDJ28" s="501"/>
      <c r="DDK28" s="501"/>
      <c r="DDL28" s="501"/>
      <c r="DDM28" s="501"/>
      <c r="DDN28" s="501"/>
      <c r="DDO28" s="501"/>
      <c r="DDP28" s="501"/>
      <c r="DDQ28" s="501"/>
      <c r="DDR28" s="501"/>
      <c r="DDS28" s="501"/>
      <c r="DDT28" s="501"/>
      <c r="DDU28" s="501"/>
      <c r="DDV28" s="501"/>
      <c r="DDW28" s="501"/>
      <c r="DDX28" s="501"/>
      <c r="DDY28" s="501"/>
      <c r="DDZ28" s="501"/>
      <c r="DEA28" s="501"/>
      <c r="DEB28" s="501"/>
      <c r="DEC28" s="501"/>
      <c r="DED28" s="501"/>
      <c r="DEE28" s="501"/>
      <c r="DEF28" s="501"/>
      <c r="DEG28" s="501"/>
      <c r="DEH28" s="501"/>
      <c r="DEI28" s="501"/>
      <c r="DEJ28" s="501"/>
      <c r="DEK28" s="501"/>
      <c r="DEL28" s="501"/>
      <c r="DEM28" s="501"/>
      <c r="DEN28" s="501"/>
      <c r="DEO28" s="501"/>
      <c r="DEP28" s="501"/>
      <c r="DEQ28" s="501"/>
      <c r="DER28" s="501"/>
      <c r="DES28" s="501"/>
      <c r="DET28" s="501"/>
      <c r="DEU28" s="501"/>
      <c r="DEV28" s="501"/>
      <c r="DEW28" s="501"/>
      <c r="DEX28" s="501"/>
      <c r="DEY28" s="501"/>
      <c r="DEZ28" s="501"/>
      <c r="DFA28" s="501"/>
      <c r="DFB28" s="501"/>
      <c r="DFC28" s="501"/>
      <c r="DFD28" s="501"/>
      <c r="DFE28" s="501"/>
      <c r="DFF28" s="501"/>
      <c r="DFG28" s="501"/>
      <c r="DFH28" s="501"/>
      <c r="DFI28" s="501"/>
      <c r="DFJ28" s="501"/>
      <c r="DFK28" s="501"/>
      <c r="DFL28" s="501"/>
      <c r="DFM28" s="501"/>
      <c r="DFN28" s="501"/>
      <c r="DFO28" s="501"/>
      <c r="DFP28" s="501"/>
      <c r="DFQ28" s="501"/>
      <c r="DFR28" s="501"/>
      <c r="DFS28" s="501"/>
      <c r="DFT28" s="501"/>
      <c r="DFU28" s="501"/>
      <c r="DFV28" s="501"/>
      <c r="DFW28" s="501"/>
      <c r="DFX28" s="501"/>
      <c r="DFY28" s="501"/>
      <c r="DFZ28" s="501"/>
      <c r="DGA28" s="501"/>
      <c r="DGB28" s="501"/>
      <c r="DGC28" s="501"/>
      <c r="DGD28" s="501"/>
      <c r="DGE28" s="501"/>
      <c r="DGF28" s="501"/>
      <c r="DGG28" s="501"/>
      <c r="DGH28" s="501"/>
      <c r="DGI28" s="501"/>
      <c r="DGJ28" s="501"/>
      <c r="DGK28" s="501"/>
      <c r="DGL28" s="501"/>
      <c r="DGM28" s="501"/>
      <c r="DGN28" s="501"/>
      <c r="DGO28" s="501"/>
      <c r="DGP28" s="501"/>
      <c r="DGQ28" s="501"/>
      <c r="DGR28" s="501"/>
      <c r="DGS28" s="501"/>
      <c r="DGT28" s="501"/>
      <c r="DGU28" s="501"/>
      <c r="DGV28" s="501"/>
      <c r="DGW28" s="501"/>
      <c r="DGX28" s="501"/>
      <c r="DGY28" s="501"/>
      <c r="DGZ28" s="501"/>
      <c r="DHA28" s="501"/>
      <c r="DHB28" s="501"/>
      <c r="DHC28" s="501"/>
      <c r="DHD28" s="501"/>
      <c r="DHE28" s="501"/>
      <c r="DHF28" s="501"/>
      <c r="DHG28" s="501"/>
      <c r="DHH28" s="501"/>
      <c r="DHI28" s="501"/>
      <c r="DHJ28" s="501"/>
      <c r="DHK28" s="501"/>
      <c r="DHL28" s="501"/>
      <c r="DHM28" s="501"/>
      <c r="DHN28" s="501"/>
      <c r="DHO28" s="501"/>
      <c r="DHP28" s="501"/>
      <c r="DHQ28" s="501"/>
      <c r="DHR28" s="501"/>
      <c r="DHS28" s="501"/>
      <c r="DHT28" s="501"/>
      <c r="DHU28" s="501"/>
      <c r="DHV28" s="501"/>
      <c r="DHW28" s="501"/>
      <c r="DHX28" s="501"/>
      <c r="DHY28" s="501"/>
      <c r="DHZ28" s="501"/>
      <c r="DIA28" s="501"/>
      <c r="DIB28" s="501"/>
      <c r="DIC28" s="501"/>
      <c r="DID28" s="501"/>
      <c r="DIE28" s="501"/>
      <c r="DIF28" s="501"/>
      <c r="DIG28" s="501"/>
      <c r="DIH28" s="501"/>
      <c r="DII28" s="501"/>
      <c r="DIJ28" s="501"/>
      <c r="DIK28" s="501"/>
      <c r="DIL28" s="501"/>
      <c r="DIM28" s="501"/>
      <c r="DIN28" s="501"/>
      <c r="DIO28" s="501"/>
      <c r="DIP28" s="501"/>
      <c r="DIQ28" s="501"/>
      <c r="DIR28" s="501"/>
      <c r="DIS28" s="501"/>
      <c r="DIT28" s="501"/>
      <c r="DIU28" s="501"/>
      <c r="DIV28" s="501"/>
      <c r="DIW28" s="501"/>
      <c r="DIX28" s="501"/>
      <c r="DIY28" s="501"/>
      <c r="DIZ28" s="501"/>
      <c r="DJA28" s="501"/>
      <c r="DJB28" s="501"/>
      <c r="DJC28" s="501"/>
      <c r="DJD28" s="501"/>
      <c r="DJE28" s="501"/>
      <c r="DJF28" s="501"/>
      <c r="DJG28" s="501"/>
      <c r="DJH28" s="501"/>
      <c r="DJI28" s="501"/>
      <c r="DJJ28" s="501"/>
      <c r="DJK28" s="501"/>
      <c r="DJL28" s="501"/>
      <c r="DJM28" s="501"/>
      <c r="DJN28" s="501"/>
      <c r="DJO28" s="501"/>
      <c r="DJP28" s="501"/>
      <c r="DJQ28" s="501"/>
      <c r="DJR28" s="501"/>
      <c r="DJS28" s="501"/>
      <c r="DJT28" s="501"/>
      <c r="DJU28" s="501"/>
      <c r="DJV28" s="501"/>
      <c r="DJW28" s="501"/>
      <c r="DJX28" s="501"/>
      <c r="DJY28" s="501"/>
      <c r="DJZ28" s="501"/>
      <c r="DKA28" s="501"/>
      <c r="DKB28" s="501"/>
      <c r="DKC28" s="501"/>
      <c r="DKD28" s="501"/>
      <c r="DKE28" s="501"/>
      <c r="DKF28" s="501"/>
      <c r="DKG28" s="501"/>
      <c r="DKH28" s="501"/>
      <c r="DKI28" s="501"/>
      <c r="DKJ28" s="501"/>
      <c r="DKK28" s="501"/>
      <c r="DKL28" s="501"/>
      <c r="DKM28" s="501"/>
      <c r="DKN28" s="501"/>
      <c r="DKO28" s="501"/>
      <c r="DKP28" s="501"/>
      <c r="DKQ28" s="501"/>
      <c r="DKR28" s="501"/>
      <c r="DKS28" s="501"/>
      <c r="DKT28" s="501"/>
      <c r="DKU28" s="501"/>
      <c r="DKV28" s="501"/>
      <c r="DKW28" s="501"/>
      <c r="DKX28" s="501"/>
      <c r="DKY28" s="501"/>
      <c r="DKZ28" s="501"/>
      <c r="DLA28" s="501"/>
      <c r="DLB28" s="501"/>
      <c r="DLC28" s="501"/>
      <c r="DLD28" s="501"/>
      <c r="DLE28" s="501"/>
      <c r="DLF28" s="501"/>
      <c r="DLG28" s="501"/>
      <c r="DLH28" s="501"/>
      <c r="DLI28" s="501"/>
      <c r="DLJ28" s="501"/>
      <c r="DLK28" s="501"/>
      <c r="DLL28" s="501"/>
      <c r="DLM28" s="501"/>
      <c r="DLN28" s="501"/>
      <c r="DLO28" s="501"/>
      <c r="DLP28" s="501"/>
      <c r="DLQ28" s="501"/>
      <c r="DLR28" s="501"/>
      <c r="DLS28" s="501"/>
      <c r="DLT28" s="501"/>
      <c r="DLU28" s="501"/>
      <c r="DLV28" s="501"/>
      <c r="DLW28" s="501"/>
      <c r="DLX28" s="501"/>
      <c r="DLY28" s="501"/>
      <c r="DLZ28" s="501"/>
      <c r="DMA28" s="501"/>
      <c r="DMB28" s="501"/>
      <c r="DMC28" s="501"/>
      <c r="DMD28" s="501"/>
      <c r="DME28" s="501"/>
      <c r="DMF28" s="501"/>
      <c r="DMG28" s="501"/>
      <c r="DMH28" s="501"/>
      <c r="DMI28" s="501"/>
      <c r="DMJ28" s="501"/>
      <c r="DMK28" s="501"/>
      <c r="DML28" s="501"/>
      <c r="DMM28" s="501"/>
      <c r="DMN28" s="501"/>
      <c r="DMO28" s="501"/>
      <c r="DMP28" s="501"/>
      <c r="DMQ28" s="501"/>
      <c r="DMR28" s="501"/>
      <c r="DMS28" s="501"/>
      <c r="DMT28" s="501"/>
      <c r="DMU28" s="501"/>
      <c r="DMV28" s="501"/>
      <c r="DMW28" s="501"/>
      <c r="DMX28" s="501"/>
      <c r="DMY28" s="501"/>
      <c r="DMZ28" s="501"/>
      <c r="DNA28" s="501"/>
      <c r="DNB28" s="501"/>
      <c r="DNC28" s="501"/>
      <c r="DND28" s="501"/>
      <c r="DNE28" s="501"/>
      <c r="DNF28" s="501"/>
      <c r="DNG28" s="501"/>
      <c r="DNH28" s="501"/>
      <c r="DNI28" s="501"/>
      <c r="DNJ28" s="501"/>
      <c r="DNK28" s="501"/>
      <c r="DNL28" s="501"/>
      <c r="DNM28" s="501"/>
      <c r="DNN28" s="501"/>
      <c r="DNO28" s="501"/>
      <c r="DNP28" s="501"/>
      <c r="DNQ28" s="501"/>
      <c r="DNR28" s="501"/>
      <c r="DNS28" s="501"/>
      <c r="DNT28" s="501"/>
      <c r="DNU28" s="501"/>
      <c r="DNV28" s="501"/>
      <c r="DNW28" s="501"/>
      <c r="DNX28" s="501"/>
      <c r="DNY28" s="501"/>
      <c r="DNZ28" s="501"/>
      <c r="DOA28" s="501"/>
      <c r="DOB28" s="501"/>
      <c r="DOC28" s="501"/>
      <c r="DOD28" s="501"/>
      <c r="DOE28" s="501"/>
      <c r="DOF28" s="501"/>
      <c r="DOG28" s="501"/>
      <c r="DOH28" s="501"/>
      <c r="DOI28" s="501"/>
      <c r="DOJ28" s="501"/>
      <c r="DOK28" s="501"/>
      <c r="DOL28" s="501"/>
      <c r="DOM28" s="501"/>
      <c r="DON28" s="501"/>
      <c r="DOO28" s="501"/>
      <c r="DOP28" s="501"/>
      <c r="DOQ28" s="501"/>
      <c r="DOR28" s="501"/>
      <c r="DOS28" s="501"/>
      <c r="DOT28" s="501"/>
      <c r="DOU28" s="501"/>
      <c r="DOV28" s="501"/>
      <c r="DOW28" s="501"/>
      <c r="DOX28" s="501"/>
      <c r="DOY28" s="501"/>
      <c r="DOZ28" s="501"/>
      <c r="DPA28" s="501"/>
      <c r="DPB28" s="501"/>
      <c r="DPC28" s="501"/>
      <c r="DPD28" s="501"/>
      <c r="DPE28" s="501"/>
      <c r="DPF28" s="501"/>
      <c r="DPG28" s="501"/>
      <c r="DPH28" s="501"/>
      <c r="DPI28" s="501"/>
      <c r="DPJ28" s="501"/>
      <c r="DPK28" s="501"/>
      <c r="DPL28" s="501"/>
      <c r="DPM28" s="501"/>
      <c r="DPN28" s="501"/>
      <c r="DPO28" s="501"/>
      <c r="DPP28" s="501"/>
      <c r="DPQ28" s="501"/>
      <c r="DPR28" s="501"/>
      <c r="DPS28" s="501"/>
      <c r="DPT28" s="501"/>
      <c r="DPU28" s="501"/>
      <c r="DPV28" s="501"/>
      <c r="DPW28" s="501"/>
      <c r="DPX28" s="501"/>
      <c r="DPY28" s="501"/>
      <c r="DPZ28" s="501"/>
      <c r="DQA28" s="501"/>
      <c r="DQB28" s="501"/>
      <c r="DQC28" s="501"/>
      <c r="DQD28" s="501"/>
      <c r="DQE28" s="501"/>
      <c r="DQF28" s="501"/>
      <c r="DQG28" s="501"/>
      <c r="DQH28" s="501"/>
      <c r="DQI28" s="501"/>
      <c r="DQJ28" s="501"/>
      <c r="DQK28" s="501"/>
      <c r="DQL28" s="501"/>
      <c r="DQM28" s="501"/>
      <c r="DQN28" s="501"/>
      <c r="DQO28" s="501"/>
      <c r="DQP28" s="501"/>
      <c r="DQQ28" s="501"/>
      <c r="DQR28" s="501"/>
      <c r="DQS28" s="501"/>
      <c r="DQT28" s="501"/>
      <c r="DQU28" s="501"/>
      <c r="DQV28" s="501"/>
      <c r="DQW28" s="501"/>
      <c r="DQX28" s="501"/>
      <c r="DQY28" s="501"/>
      <c r="DQZ28" s="501"/>
      <c r="DRA28" s="501"/>
      <c r="DRB28" s="501"/>
      <c r="DRC28" s="501"/>
      <c r="DRD28" s="501"/>
      <c r="DRE28" s="501"/>
      <c r="DRF28" s="501"/>
      <c r="DRG28" s="501"/>
      <c r="DRH28" s="501"/>
      <c r="DRI28" s="501"/>
      <c r="DRJ28" s="501"/>
      <c r="DRK28" s="501"/>
      <c r="DRL28" s="501"/>
      <c r="DRM28" s="501"/>
      <c r="DRN28" s="501"/>
      <c r="DRO28" s="501"/>
      <c r="DRP28" s="501"/>
      <c r="DRQ28" s="501"/>
      <c r="DRR28" s="501"/>
      <c r="DRS28" s="501"/>
      <c r="DRT28" s="501"/>
      <c r="DRU28" s="501"/>
      <c r="DRV28" s="501"/>
      <c r="DRW28" s="501"/>
      <c r="DRX28" s="501"/>
      <c r="DRY28" s="501"/>
      <c r="DRZ28" s="501"/>
      <c r="DSA28" s="501"/>
      <c r="DSB28" s="501"/>
      <c r="DSC28" s="501"/>
      <c r="DSD28" s="501"/>
      <c r="DSE28" s="501"/>
      <c r="DSF28" s="501"/>
      <c r="DSG28" s="501"/>
      <c r="DSH28" s="501"/>
      <c r="DSI28" s="501"/>
      <c r="DSJ28" s="501"/>
      <c r="DSK28" s="501"/>
      <c r="DSL28" s="501"/>
      <c r="DSM28" s="501"/>
      <c r="DSN28" s="501"/>
      <c r="DSO28" s="501"/>
      <c r="DSP28" s="501"/>
      <c r="DSQ28" s="501"/>
      <c r="DSR28" s="501"/>
      <c r="DSS28" s="501"/>
      <c r="DST28" s="501"/>
      <c r="DSU28" s="501"/>
      <c r="DSV28" s="501"/>
      <c r="DSW28" s="501"/>
      <c r="DSX28" s="501"/>
      <c r="DSY28" s="501"/>
      <c r="DSZ28" s="501"/>
      <c r="DTA28" s="501"/>
      <c r="DTB28" s="501"/>
      <c r="DTC28" s="501"/>
      <c r="DTD28" s="501"/>
      <c r="DTE28" s="501"/>
      <c r="DTF28" s="501"/>
      <c r="DTG28" s="501"/>
      <c r="DTH28" s="501"/>
      <c r="DTI28" s="501"/>
      <c r="DTJ28" s="501"/>
      <c r="DTK28" s="501"/>
      <c r="DTL28" s="501"/>
      <c r="DTM28" s="501"/>
      <c r="DTN28" s="501"/>
      <c r="DTO28" s="501"/>
      <c r="DTP28" s="501"/>
      <c r="DTQ28" s="501"/>
      <c r="DTR28" s="501"/>
      <c r="DTS28" s="501"/>
      <c r="DTT28" s="501"/>
      <c r="DTU28" s="501"/>
      <c r="DTV28" s="501"/>
      <c r="DTW28" s="501"/>
      <c r="DTX28" s="501"/>
      <c r="DTY28" s="501"/>
      <c r="DTZ28" s="501"/>
      <c r="DUA28" s="501"/>
      <c r="DUB28" s="501"/>
      <c r="DUC28" s="501"/>
      <c r="DUD28" s="501"/>
      <c r="DUE28" s="501"/>
      <c r="DUF28" s="501"/>
      <c r="DUG28" s="501"/>
      <c r="DUH28" s="501"/>
      <c r="DUI28" s="501"/>
      <c r="DUJ28" s="501"/>
      <c r="DUK28" s="501"/>
      <c r="DUL28" s="501"/>
      <c r="DUM28" s="501"/>
      <c r="DUN28" s="501"/>
      <c r="DUO28" s="501"/>
      <c r="DUP28" s="501"/>
      <c r="DUQ28" s="501"/>
      <c r="DUR28" s="501"/>
      <c r="DUS28" s="501"/>
      <c r="DUT28" s="501"/>
      <c r="DUU28" s="501"/>
      <c r="DUV28" s="501"/>
      <c r="DUW28" s="501"/>
      <c r="DUX28" s="501"/>
      <c r="DUY28" s="501"/>
      <c r="DUZ28" s="501"/>
      <c r="DVA28" s="501"/>
      <c r="DVB28" s="501"/>
      <c r="DVC28" s="501"/>
      <c r="DVD28" s="501"/>
      <c r="DVE28" s="501"/>
      <c r="DVF28" s="501"/>
      <c r="DVG28" s="501"/>
      <c r="DVH28" s="501"/>
      <c r="DVI28" s="501"/>
      <c r="DVJ28" s="501"/>
      <c r="DVK28" s="501"/>
      <c r="DVL28" s="501"/>
      <c r="DVM28" s="501"/>
      <c r="DVN28" s="501"/>
      <c r="DVO28" s="501"/>
      <c r="DVP28" s="501"/>
      <c r="DVQ28" s="501"/>
      <c r="DVR28" s="501"/>
      <c r="DVS28" s="501"/>
      <c r="DVT28" s="501"/>
      <c r="DVU28" s="501"/>
      <c r="DVV28" s="501"/>
      <c r="DVW28" s="501"/>
      <c r="DVX28" s="501"/>
      <c r="DVY28" s="501"/>
      <c r="DVZ28" s="501"/>
      <c r="DWA28" s="501"/>
      <c r="DWB28" s="501"/>
      <c r="DWC28" s="501"/>
      <c r="DWD28" s="501"/>
      <c r="DWE28" s="501"/>
      <c r="DWF28" s="501"/>
      <c r="DWG28" s="501"/>
      <c r="DWH28" s="501"/>
      <c r="DWI28" s="501"/>
      <c r="DWJ28" s="501"/>
      <c r="DWK28" s="501"/>
      <c r="DWL28" s="501"/>
      <c r="DWM28" s="501"/>
      <c r="DWN28" s="501"/>
      <c r="DWO28" s="501"/>
      <c r="DWP28" s="501"/>
      <c r="DWQ28" s="501"/>
      <c r="DWR28" s="501"/>
      <c r="DWS28" s="501"/>
      <c r="DWT28" s="501"/>
      <c r="DWU28" s="501"/>
      <c r="DWV28" s="501"/>
      <c r="DWW28" s="501"/>
      <c r="DWX28" s="501"/>
      <c r="DWY28" s="501"/>
      <c r="DWZ28" s="501"/>
      <c r="DXA28" s="501"/>
      <c r="DXB28" s="501"/>
      <c r="DXC28" s="501"/>
      <c r="DXD28" s="501"/>
      <c r="DXE28" s="501"/>
      <c r="DXF28" s="501"/>
      <c r="DXG28" s="501"/>
      <c r="DXH28" s="501"/>
      <c r="DXI28" s="501"/>
      <c r="DXJ28" s="501"/>
      <c r="DXK28" s="501"/>
      <c r="DXL28" s="501"/>
      <c r="DXM28" s="501"/>
      <c r="DXN28" s="501"/>
      <c r="DXO28" s="501"/>
      <c r="DXP28" s="501"/>
      <c r="DXQ28" s="501"/>
      <c r="DXR28" s="501"/>
      <c r="DXS28" s="501"/>
      <c r="DXT28" s="501"/>
      <c r="DXU28" s="501"/>
      <c r="DXV28" s="501"/>
      <c r="DXW28" s="501"/>
      <c r="DXX28" s="501"/>
      <c r="DXY28" s="501"/>
      <c r="DXZ28" s="501"/>
      <c r="DYA28" s="501"/>
      <c r="DYB28" s="501"/>
      <c r="DYC28" s="501"/>
      <c r="DYD28" s="501"/>
      <c r="DYE28" s="501"/>
      <c r="DYF28" s="501"/>
      <c r="DYG28" s="501"/>
      <c r="DYH28" s="501"/>
      <c r="DYI28" s="501"/>
      <c r="DYJ28" s="501"/>
      <c r="DYK28" s="501"/>
      <c r="DYL28" s="501"/>
      <c r="DYM28" s="501"/>
      <c r="DYN28" s="501"/>
      <c r="DYO28" s="501"/>
      <c r="DYP28" s="501"/>
      <c r="DYQ28" s="501"/>
      <c r="DYR28" s="501"/>
      <c r="DYS28" s="501"/>
      <c r="DYT28" s="501"/>
      <c r="DYU28" s="501"/>
      <c r="DYV28" s="501"/>
      <c r="DYW28" s="501"/>
      <c r="DYX28" s="501"/>
      <c r="DYY28" s="501"/>
      <c r="DYZ28" s="501"/>
      <c r="DZA28" s="501"/>
      <c r="DZB28" s="501"/>
      <c r="DZC28" s="501"/>
      <c r="DZD28" s="501"/>
      <c r="DZE28" s="501"/>
      <c r="DZF28" s="501"/>
      <c r="DZG28" s="501"/>
      <c r="DZH28" s="501"/>
      <c r="DZI28" s="501"/>
      <c r="DZJ28" s="501"/>
      <c r="DZK28" s="501"/>
      <c r="DZL28" s="501"/>
      <c r="DZM28" s="501"/>
      <c r="DZN28" s="501"/>
      <c r="DZO28" s="501"/>
      <c r="DZP28" s="501"/>
      <c r="DZQ28" s="501"/>
      <c r="DZR28" s="501"/>
      <c r="DZS28" s="501"/>
      <c r="DZT28" s="501"/>
      <c r="DZU28" s="501"/>
      <c r="DZV28" s="501"/>
      <c r="DZW28" s="501"/>
      <c r="DZX28" s="501"/>
      <c r="DZY28" s="501"/>
      <c r="DZZ28" s="501"/>
      <c r="EAA28" s="501"/>
      <c r="EAB28" s="501"/>
      <c r="EAC28" s="501"/>
      <c r="EAD28" s="501"/>
      <c r="EAE28" s="501"/>
      <c r="EAF28" s="501"/>
      <c r="EAG28" s="501"/>
      <c r="EAH28" s="501"/>
      <c r="EAI28" s="501"/>
      <c r="EAJ28" s="501"/>
      <c r="EAK28" s="501"/>
      <c r="EAL28" s="501"/>
      <c r="EAM28" s="501"/>
      <c r="EAN28" s="501"/>
      <c r="EAO28" s="501"/>
      <c r="EAP28" s="501"/>
      <c r="EAQ28" s="501"/>
      <c r="EAR28" s="501"/>
      <c r="EAS28" s="501"/>
      <c r="EAT28" s="501"/>
      <c r="EAU28" s="501"/>
      <c r="EAV28" s="501"/>
      <c r="EAW28" s="501"/>
      <c r="EAX28" s="501"/>
      <c r="EAY28" s="501"/>
      <c r="EAZ28" s="501"/>
      <c r="EBA28" s="501"/>
      <c r="EBB28" s="501"/>
      <c r="EBC28" s="501"/>
      <c r="EBD28" s="501"/>
      <c r="EBE28" s="501"/>
      <c r="EBF28" s="501"/>
      <c r="EBG28" s="501"/>
      <c r="EBH28" s="501"/>
      <c r="EBI28" s="501"/>
      <c r="EBJ28" s="501"/>
      <c r="EBK28" s="501"/>
      <c r="EBL28" s="501"/>
      <c r="EBM28" s="501"/>
      <c r="EBN28" s="501"/>
      <c r="EBO28" s="501"/>
      <c r="EBP28" s="501"/>
      <c r="EBQ28" s="501"/>
      <c r="EBR28" s="501"/>
      <c r="EBS28" s="501"/>
      <c r="EBT28" s="501"/>
      <c r="EBU28" s="501"/>
      <c r="EBV28" s="501"/>
      <c r="EBW28" s="501"/>
      <c r="EBX28" s="501"/>
      <c r="EBY28" s="501"/>
      <c r="EBZ28" s="501"/>
      <c r="ECA28" s="501"/>
      <c r="ECB28" s="501"/>
      <c r="ECC28" s="501"/>
      <c r="ECD28" s="501"/>
      <c r="ECE28" s="501"/>
      <c r="ECF28" s="501"/>
      <c r="ECG28" s="501"/>
      <c r="ECH28" s="501"/>
      <c r="ECI28" s="501"/>
      <c r="ECJ28" s="501"/>
      <c r="ECK28" s="501"/>
      <c r="ECL28" s="501"/>
      <c r="ECM28" s="501"/>
      <c r="ECN28" s="501"/>
      <c r="ECO28" s="501"/>
      <c r="ECP28" s="501"/>
      <c r="ECQ28" s="501"/>
      <c r="ECR28" s="501"/>
      <c r="ECS28" s="501"/>
      <c r="ECT28" s="501"/>
      <c r="ECU28" s="501"/>
      <c r="ECV28" s="501"/>
      <c r="ECW28" s="501"/>
      <c r="ECX28" s="501"/>
      <c r="ECY28" s="501"/>
      <c r="ECZ28" s="501"/>
      <c r="EDA28" s="501"/>
      <c r="EDB28" s="501"/>
      <c r="EDC28" s="501"/>
      <c r="EDD28" s="501"/>
      <c r="EDE28" s="501"/>
      <c r="EDF28" s="501"/>
      <c r="EDG28" s="501"/>
      <c r="EDH28" s="501"/>
      <c r="EDI28" s="501"/>
      <c r="EDJ28" s="501"/>
      <c r="EDK28" s="501"/>
      <c r="EDL28" s="501"/>
      <c r="EDM28" s="501"/>
      <c r="EDN28" s="501"/>
      <c r="EDO28" s="501"/>
      <c r="EDP28" s="501"/>
      <c r="EDQ28" s="501"/>
      <c r="EDR28" s="501"/>
      <c r="EDS28" s="501"/>
      <c r="EDT28" s="501"/>
      <c r="EDU28" s="501"/>
      <c r="EDV28" s="501"/>
      <c r="EDW28" s="501"/>
      <c r="EDX28" s="501"/>
      <c r="EDY28" s="501"/>
      <c r="EDZ28" s="501"/>
      <c r="EEA28" s="501"/>
      <c r="EEB28" s="501"/>
      <c r="EEC28" s="501"/>
      <c r="EED28" s="501"/>
      <c r="EEE28" s="501"/>
      <c r="EEF28" s="501"/>
      <c r="EEG28" s="501"/>
      <c r="EEH28" s="501"/>
      <c r="EEI28" s="501"/>
      <c r="EEJ28" s="501"/>
      <c r="EEK28" s="501"/>
      <c r="EEL28" s="501"/>
      <c r="EEM28" s="501"/>
      <c r="EEN28" s="501"/>
      <c r="EEO28" s="501"/>
      <c r="EEP28" s="501"/>
      <c r="EEQ28" s="501"/>
      <c r="EER28" s="501"/>
      <c r="EES28" s="501"/>
      <c r="EET28" s="501"/>
      <c r="EEU28" s="501"/>
      <c r="EEV28" s="501"/>
      <c r="EEW28" s="501"/>
      <c r="EEX28" s="501"/>
      <c r="EEY28" s="501"/>
      <c r="EEZ28" s="501"/>
      <c r="EFA28" s="501"/>
      <c r="EFB28" s="501"/>
      <c r="EFC28" s="501"/>
      <c r="EFD28" s="501"/>
      <c r="EFE28" s="501"/>
      <c r="EFF28" s="501"/>
      <c r="EFG28" s="501"/>
      <c r="EFH28" s="501"/>
      <c r="EFI28" s="501"/>
      <c r="EFJ28" s="501"/>
      <c r="EFK28" s="501"/>
      <c r="EFL28" s="501"/>
      <c r="EFM28" s="501"/>
      <c r="EFN28" s="501"/>
      <c r="EFO28" s="501"/>
      <c r="EFP28" s="501"/>
      <c r="EFQ28" s="501"/>
      <c r="EFR28" s="501"/>
      <c r="EFS28" s="501"/>
      <c r="EFT28" s="501"/>
      <c r="EFU28" s="501"/>
      <c r="EFV28" s="501"/>
      <c r="EFW28" s="501"/>
      <c r="EFX28" s="501"/>
      <c r="EFY28" s="501"/>
      <c r="EFZ28" s="501"/>
      <c r="EGA28" s="501"/>
      <c r="EGB28" s="501"/>
      <c r="EGC28" s="501"/>
      <c r="EGD28" s="501"/>
      <c r="EGE28" s="501"/>
      <c r="EGF28" s="501"/>
      <c r="EGG28" s="501"/>
      <c r="EGH28" s="501"/>
      <c r="EGI28" s="501"/>
      <c r="EGJ28" s="501"/>
      <c r="EGK28" s="501"/>
      <c r="EGL28" s="501"/>
      <c r="EGM28" s="501"/>
      <c r="EGN28" s="501"/>
      <c r="EGO28" s="501"/>
      <c r="EGP28" s="501"/>
      <c r="EGQ28" s="501"/>
      <c r="EGR28" s="501"/>
      <c r="EGS28" s="501"/>
      <c r="EGT28" s="501"/>
      <c r="EGU28" s="501"/>
      <c r="EGV28" s="501"/>
      <c r="EGW28" s="501"/>
      <c r="EGX28" s="501"/>
      <c r="EGY28" s="501"/>
      <c r="EGZ28" s="501"/>
      <c r="EHA28" s="501"/>
      <c r="EHB28" s="501"/>
      <c r="EHC28" s="501"/>
      <c r="EHD28" s="501"/>
      <c r="EHE28" s="501"/>
      <c r="EHF28" s="501"/>
      <c r="EHG28" s="501"/>
      <c r="EHH28" s="501"/>
      <c r="EHI28" s="501"/>
      <c r="EHJ28" s="501"/>
      <c r="EHK28" s="501"/>
      <c r="EHL28" s="501"/>
      <c r="EHM28" s="501"/>
      <c r="EHN28" s="501"/>
      <c r="EHO28" s="501"/>
      <c r="EHP28" s="501"/>
      <c r="EHQ28" s="501"/>
      <c r="EHR28" s="501"/>
      <c r="EHS28" s="501"/>
      <c r="EHT28" s="501"/>
      <c r="EHU28" s="501"/>
      <c r="EHV28" s="501"/>
      <c r="EHW28" s="501"/>
      <c r="EHX28" s="501"/>
      <c r="EHY28" s="501"/>
      <c r="EHZ28" s="501"/>
      <c r="EIA28" s="501"/>
      <c r="EIB28" s="501"/>
      <c r="EIC28" s="501"/>
      <c r="EID28" s="501"/>
      <c r="EIE28" s="501"/>
      <c r="EIF28" s="501"/>
      <c r="EIG28" s="501"/>
      <c r="EIH28" s="501"/>
      <c r="EII28" s="501"/>
      <c r="EIJ28" s="501"/>
      <c r="EIK28" s="501"/>
      <c r="EIL28" s="501"/>
      <c r="EIM28" s="501"/>
      <c r="EIN28" s="501"/>
      <c r="EIO28" s="501"/>
      <c r="EIP28" s="501"/>
      <c r="EIQ28" s="501"/>
      <c r="EIR28" s="501"/>
      <c r="EIS28" s="501"/>
      <c r="EIT28" s="501"/>
      <c r="EIU28" s="501"/>
      <c r="EIV28" s="501"/>
      <c r="EIW28" s="501"/>
      <c r="EIX28" s="501"/>
      <c r="EIY28" s="501"/>
      <c r="EIZ28" s="501"/>
      <c r="EJA28" s="501"/>
      <c r="EJB28" s="501"/>
      <c r="EJC28" s="501"/>
      <c r="EJD28" s="501"/>
      <c r="EJE28" s="501"/>
      <c r="EJF28" s="501"/>
      <c r="EJG28" s="501"/>
      <c r="EJH28" s="501"/>
      <c r="EJI28" s="501"/>
      <c r="EJJ28" s="501"/>
      <c r="EJK28" s="501"/>
      <c r="EJL28" s="501"/>
      <c r="EJM28" s="501"/>
      <c r="EJN28" s="501"/>
      <c r="EJO28" s="501"/>
      <c r="EJP28" s="501"/>
      <c r="EJQ28" s="501"/>
      <c r="EJR28" s="501"/>
      <c r="EJS28" s="501"/>
      <c r="EJT28" s="501"/>
      <c r="EJU28" s="501"/>
      <c r="EJV28" s="501"/>
      <c r="EJW28" s="501"/>
      <c r="EJX28" s="501"/>
      <c r="EJY28" s="501"/>
      <c r="EJZ28" s="501"/>
      <c r="EKA28" s="501"/>
      <c r="EKB28" s="501"/>
      <c r="EKC28" s="501"/>
      <c r="EKD28" s="501"/>
      <c r="EKE28" s="501"/>
      <c r="EKF28" s="501"/>
      <c r="EKG28" s="501"/>
      <c r="EKH28" s="501"/>
      <c r="EKI28" s="501"/>
      <c r="EKJ28" s="501"/>
      <c r="EKK28" s="501"/>
      <c r="EKL28" s="501"/>
      <c r="EKM28" s="501"/>
      <c r="EKN28" s="501"/>
      <c r="EKO28" s="501"/>
      <c r="EKP28" s="501"/>
      <c r="EKQ28" s="501"/>
      <c r="EKR28" s="501"/>
      <c r="EKS28" s="501"/>
      <c r="EKT28" s="501"/>
      <c r="EKU28" s="501"/>
      <c r="EKV28" s="501"/>
      <c r="EKW28" s="501"/>
      <c r="EKX28" s="501"/>
      <c r="EKY28" s="501"/>
      <c r="EKZ28" s="501"/>
      <c r="ELA28" s="501"/>
      <c r="ELB28" s="501"/>
      <c r="ELC28" s="501"/>
      <c r="ELD28" s="501"/>
      <c r="ELE28" s="501"/>
      <c r="ELF28" s="501"/>
      <c r="ELG28" s="501"/>
      <c r="ELH28" s="501"/>
      <c r="ELI28" s="501"/>
      <c r="ELJ28" s="501"/>
      <c r="ELK28" s="501"/>
      <c r="ELL28" s="501"/>
      <c r="ELM28" s="501"/>
      <c r="ELN28" s="501"/>
      <c r="ELO28" s="501"/>
      <c r="ELP28" s="501"/>
      <c r="ELQ28" s="501"/>
      <c r="ELR28" s="501"/>
      <c r="ELS28" s="501"/>
      <c r="ELT28" s="501"/>
      <c r="ELU28" s="501"/>
      <c r="ELV28" s="501"/>
      <c r="ELW28" s="501"/>
      <c r="ELX28" s="501"/>
      <c r="ELY28" s="501"/>
      <c r="ELZ28" s="501"/>
      <c r="EMA28" s="501"/>
      <c r="EMB28" s="501"/>
      <c r="EMC28" s="501"/>
      <c r="EMD28" s="501"/>
      <c r="EME28" s="501"/>
      <c r="EMF28" s="501"/>
      <c r="EMG28" s="501"/>
      <c r="EMH28" s="501"/>
      <c r="EMI28" s="501"/>
      <c r="EMJ28" s="501"/>
      <c r="EMK28" s="501"/>
      <c r="EML28" s="501"/>
      <c r="EMM28" s="501"/>
      <c r="EMN28" s="501"/>
      <c r="EMO28" s="501"/>
      <c r="EMP28" s="501"/>
      <c r="EMQ28" s="501"/>
      <c r="EMR28" s="501"/>
      <c r="EMS28" s="501"/>
      <c r="EMT28" s="501"/>
      <c r="EMU28" s="501"/>
      <c r="EMV28" s="501"/>
      <c r="EMW28" s="501"/>
      <c r="EMX28" s="501"/>
      <c r="EMY28" s="501"/>
      <c r="EMZ28" s="501"/>
      <c r="ENA28" s="501"/>
      <c r="ENB28" s="501"/>
      <c r="ENC28" s="501"/>
      <c r="END28" s="501"/>
      <c r="ENE28" s="501"/>
      <c r="ENF28" s="501"/>
      <c r="ENG28" s="501"/>
      <c r="ENH28" s="501"/>
      <c r="ENI28" s="501"/>
      <c r="ENJ28" s="501"/>
      <c r="ENK28" s="501"/>
      <c r="ENL28" s="501"/>
      <c r="ENM28" s="501"/>
      <c r="ENN28" s="501"/>
      <c r="ENO28" s="501"/>
      <c r="ENP28" s="501"/>
      <c r="ENQ28" s="501"/>
      <c r="ENR28" s="501"/>
      <c r="ENS28" s="501"/>
      <c r="ENT28" s="501"/>
      <c r="ENU28" s="501"/>
      <c r="ENV28" s="501"/>
      <c r="ENW28" s="501"/>
      <c r="ENX28" s="501"/>
      <c r="ENY28" s="501"/>
      <c r="ENZ28" s="501"/>
      <c r="EOA28" s="501"/>
      <c r="EOB28" s="501"/>
      <c r="EOC28" s="501"/>
      <c r="EOD28" s="501"/>
      <c r="EOE28" s="501"/>
      <c r="EOF28" s="501"/>
      <c r="EOG28" s="501"/>
      <c r="EOH28" s="501"/>
      <c r="EOI28" s="501"/>
      <c r="EOJ28" s="501"/>
      <c r="EOK28" s="501"/>
      <c r="EOL28" s="501"/>
      <c r="EOM28" s="501"/>
      <c r="EON28" s="501"/>
      <c r="EOO28" s="501"/>
      <c r="EOP28" s="501"/>
      <c r="EOQ28" s="501"/>
      <c r="EOR28" s="501"/>
      <c r="EOS28" s="501"/>
      <c r="EOT28" s="501"/>
      <c r="EOU28" s="501"/>
      <c r="EOV28" s="501"/>
      <c r="EOW28" s="501"/>
      <c r="EOX28" s="501"/>
      <c r="EOY28" s="501"/>
      <c r="EOZ28" s="501"/>
      <c r="EPA28" s="501"/>
      <c r="EPB28" s="501"/>
      <c r="EPC28" s="501"/>
      <c r="EPD28" s="501"/>
      <c r="EPE28" s="501"/>
      <c r="EPF28" s="501"/>
      <c r="EPG28" s="501"/>
      <c r="EPH28" s="501"/>
      <c r="EPI28" s="501"/>
      <c r="EPJ28" s="501"/>
      <c r="EPK28" s="501"/>
      <c r="EPL28" s="501"/>
      <c r="EPM28" s="501"/>
      <c r="EPN28" s="501"/>
      <c r="EPO28" s="501"/>
      <c r="EPP28" s="501"/>
      <c r="EPQ28" s="501"/>
      <c r="EPR28" s="501"/>
      <c r="EPS28" s="501"/>
      <c r="EPT28" s="501"/>
      <c r="EPU28" s="501"/>
      <c r="EPV28" s="501"/>
      <c r="EPW28" s="501"/>
      <c r="EPX28" s="501"/>
      <c r="EPY28" s="501"/>
      <c r="EPZ28" s="501"/>
      <c r="EQA28" s="501"/>
      <c r="EQB28" s="501"/>
      <c r="EQC28" s="501"/>
      <c r="EQD28" s="501"/>
      <c r="EQE28" s="501"/>
      <c r="EQF28" s="501"/>
      <c r="EQG28" s="501"/>
      <c r="EQH28" s="501"/>
      <c r="EQI28" s="501"/>
      <c r="EQJ28" s="501"/>
      <c r="EQK28" s="501"/>
      <c r="EQL28" s="501"/>
      <c r="EQM28" s="501"/>
      <c r="EQN28" s="501"/>
      <c r="EQO28" s="501"/>
      <c r="EQP28" s="501"/>
      <c r="EQQ28" s="501"/>
      <c r="EQR28" s="501"/>
      <c r="EQS28" s="501"/>
      <c r="EQT28" s="501"/>
      <c r="EQU28" s="501"/>
      <c r="EQV28" s="501"/>
      <c r="EQW28" s="501"/>
      <c r="EQX28" s="501"/>
      <c r="EQY28" s="501"/>
      <c r="EQZ28" s="501"/>
      <c r="ERA28" s="501"/>
      <c r="ERB28" s="501"/>
      <c r="ERC28" s="501"/>
      <c r="ERD28" s="501"/>
      <c r="ERE28" s="501"/>
      <c r="ERF28" s="501"/>
      <c r="ERG28" s="501"/>
      <c r="ERH28" s="501"/>
      <c r="ERI28" s="501"/>
      <c r="ERJ28" s="501"/>
      <c r="ERK28" s="501"/>
      <c r="ERL28" s="501"/>
      <c r="ERM28" s="501"/>
      <c r="ERN28" s="501"/>
      <c r="ERO28" s="501"/>
      <c r="ERP28" s="501"/>
      <c r="ERQ28" s="501"/>
      <c r="ERR28" s="501"/>
      <c r="ERS28" s="501"/>
      <c r="ERT28" s="501"/>
      <c r="ERU28" s="501"/>
      <c r="ERV28" s="501"/>
      <c r="ERW28" s="501"/>
      <c r="ERX28" s="501"/>
      <c r="ERY28" s="501"/>
      <c r="ERZ28" s="501"/>
      <c r="ESA28" s="501"/>
      <c r="ESB28" s="501"/>
      <c r="ESC28" s="501"/>
      <c r="ESD28" s="501"/>
      <c r="ESE28" s="501"/>
      <c r="ESF28" s="501"/>
      <c r="ESG28" s="501"/>
      <c r="ESH28" s="501"/>
      <c r="ESI28" s="501"/>
      <c r="ESJ28" s="501"/>
      <c r="ESK28" s="501"/>
      <c r="ESL28" s="501"/>
      <c r="ESM28" s="501"/>
      <c r="ESN28" s="501"/>
      <c r="ESO28" s="501"/>
      <c r="ESP28" s="501"/>
      <c r="ESQ28" s="501"/>
      <c r="ESR28" s="501"/>
      <c r="ESS28" s="501"/>
      <c r="EST28" s="501"/>
      <c r="ESU28" s="501"/>
      <c r="ESV28" s="501"/>
      <c r="ESW28" s="501"/>
      <c r="ESX28" s="501"/>
      <c r="ESY28" s="501"/>
      <c r="ESZ28" s="501"/>
      <c r="ETA28" s="501"/>
      <c r="ETB28" s="501"/>
      <c r="ETC28" s="501"/>
      <c r="ETD28" s="501"/>
      <c r="ETE28" s="501"/>
      <c r="ETF28" s="501"/>
      <c r="ETG28" s="501"/>
      <c r="ETH28" s="501"/>
      <c r="ETI28" s="501"/>
      <c r="ETJ28" s="501"/>
      <c r="ETK28" s="501"/>
      <c r="ETL28" s="501"/>
      <c r="ETM28" s="501"/>
      <c r="ETN28" s="501"/>
      <c r="ETO28" s="501"/>
      <c r="ETP28" s="501"/>
      <c r="ETQ28" s="501"/>
      <c r="ETR28" s="501"/>
      <c r="ETS28" s="501"/>
      <c r="ETT28" s="501"/>
      <c r="ETU28" s="501"/>
      <c r="ETV28" s="501"/>
      <c r="ETW28" s="501"/>
      <c r="ETX28" s="501"/>
      <c r="ETY28" s="501"/>
      <c r="ETZ28" s="501"/>
      <c r="EUA28" s="501"/>
      <c r="EUB28" s="501"/>
      <c r="EUC28" s="501"/>
      <c r="EUD28" s="501"/>
      <c r="EUE28" s="501"/>
      <c r="EUF28" s="501"/>
      <c r="EUG28" s="501"/>
      <c r="EUH28" s="501"/>
      <c r="EUI28" s="501"/>
      <c r="EUJ28" s="501"/>
      <c r="EUK28" s="501"/>
      <c r="EUL28" s="501"/>
      <c r="EUM28" s="501"/>
      <c r="EUN28" s="501"/>
      <c r="EUO28" s="501"/>
      <c r="EUP28" s="501"/>
      <c r="EUQ28" s="501"/>
      <c r="EUR28" s="501"/>
      <c r="EUS28" s="501"/>
      <c r="EUT28" s="501"/>
      <c r="EUU28" s="501"/>
      <c r="EUV28" s="501"/>
      <c r="EUW28" s="501"/>
      <c r="EUX28" s="501"/>
      <c r="EUY28" s="501"/>
      <c r="EUZ28" s="501"/>
      <c r="EVA28" s="501"/>
      <c r="EVB28" s="501"/>
      <c r="EVC28" s="501"/>
      <c r="EVD28" s="501"/>
      <c r="EVE28" s="501"/>
      <c r="EVF28" s="501"/>
      <c r="EVG28" s="501"/>
      <c r="EVH28" s="501"/>
      <c r="EVI28" s="501"/>
      <c r="EVJ28" s="501"/>
      <c r="EVK28" s="501"/>
      <c r="EVL28" s="501"/>
      <c r="EVM28" s="501"/>
      <c r="EVN28" s="501"/>
      <c r="EVO28" s="501"/>
      <c r="EVP28" s="501"/>
      <c r="EVQ28" s="501"/>
      <c r="EVR28" s="501"/>
      <c r="EVS28" s="501"/>
      <c r="EVT28" s="501"/>
      <c r="EVU28" s="501"/>
      <c r="EVV28" s="501"/>
      <c r="EVW28" s="501"/>
      <c r="EVX28" s="501"/>
      <c r="EVY28" s="501"/>
      <c r="EVZ28" s="501"/>
      <c r="EWA28" s="501"/>
      <c r="EWB28" s="501"/>
      <c r="EWC28" s="501"/>
      <c r="EWD28" s="501"/>
      <c r="EWE28" s="501"/>
      <c r="EWF28" s="501"/>
      <c r="EWG28" s="501"/>
      <c r="EWH28" s="501"/>
      <c r="EWI28" s="501"/>
      <c r="EWJ28" s="501"/>
      <c r="EWK28" s="501"/>
      <c r="EWL28" s="501"/>
      <c r="EWM28" s="501"/>
      <c r="EWN28" s="501"/>
      <c r="EWO28" s="501"/>
      <c r="EWP28" s="501"/>
      <c r="EWQ28" s="501"/>
      <c r="EWR28" s="501"/>
      <c r="EWS28" s="501"/>
      <c r="EWT28" s="501"/>
      <c r="EWU28" s="501"/>
      <c r="EWV28" s="501"/>
      <c r="EWW28" s="501"/>
      <c r="EWX28" s="501"/>
      <c r="EWY28" s="501"/>
      <c r="EWZ28" s="501"/>
      <c r="EXA28" s="501"/>
      <c r="EXB28" s="501"/>
      <c r="EXC28" s="501"/>
      <c r="EXD28" s="501"/>
      <c r="EXE28" s="501"/>
      <c r="EXF28" s="501"/>
      <c r="EXG28" s="501"/>
      <c r="EXH28" s="501"/>
      <c r="EXI28" s="501"/>
      <c r="EXJ28" s="501"/>
      <c r="EXK28" s="501"/>
      <c r="EXL28" s="501"/>
      <c r="EXM28" s="501"/>
      <c r="EXN28" s="501"/>
      <c r="EXO28" s="501"/>
      <c r="EXP28" s="501"/>
      <c r="EXQ28" s="501"/>
      <c r="EXR28" s="501"/>
      <c r="EXS28" s="501"/>
      <c r="EXT28" s="501"/>
      <c r="EXU28" s="501"/>
      <c r="EXV28" s="501"/>
      <c r="EXW28" s="501"/>
      <c r="EXX28" s="501"/>
      <c r="EXY28" s="501"/>
      <c r="EXZ28" s="501"/>
      <c r="EYA28" s="501"/>
      <c r="EYB28" s="501"/>
      <c r="EYC28" s="501"/>
      <c r="EYD28" s="501"/>
      <c r="EYE28" s="501"/>
      <c r="EYF28" s="501"/>
      <c r="EYG28" s="501"/>
      <c r="EYH28" s="501"/>
      <c r="EYI28" s="501"/>
      <c r="EYJ28" s="501"/>
      <c r="EYK28" s="501"/>
      <c r="EYL28" s="501"/>
      <c r="EYM28" s="501"/>
      <c r="EYN28" s="501"/>
      <c r="EYO28" s="501"/>
      <c r="EYP28" s="501"/>
      <c r="EYQ28" s="501"/>
      <c r="EYR28" s="501"/>
      <c r="EYS28" s="501"/>
      <c r="EYT28" s="501"/>
      <c r="EYU28" s="501"/>
      <c r="EYV28" s="501"/>
      <c r="EYW28" s="501"/>
      <c r="EYX28" s="501"/>
      <c r="EYY28" s="501"/>
      <c r="EYZ28" s="501"/>
      <c r="EZA28" s="501"/>
      <c r="EZB28" s="501"/>
      <c r="EZC28" s="501"/>
      <c r="EZD28" s="501"/>
      <c r="EZE28" s="501"/>
      <c r="EZF28" s="501"/>
      <c r="EZG28" s="501"/>
      <c r="EZH28" s="501"/>
      <c r="EZI28" s="501"/>
      <c r="EZJ28" s="501"/>
      <c r="EZK28" s="501"/>
      <c r="EZL28" s="501"/>
      <c r="EZM28" s="501"/>
      <c r="EZN28" s="501"/>
      <c r="EZO28" s="501"/>
      <c r="EZP28" s="501"/>
      <c r="EZQ28" s="501"/>
      <c r="EZR28" s="501"/>
      <c r="EZS28" s="501"/>
      <c r="EZT28" s="501"/>
      <c r="EZU28" s="501"/>
      <c r="EZV28" s="501"/>
      <c r="EZW28" s="501"/>
      <c r="EZX28" s="501"/>
      <c r="EZY28" s="501"/>
      <c r="EZZ28" s="501"/>
      <c r="FAA28" s="501"/>
      <c r="FAB28" s="501"/>
      <c r="FAC28" s="501"/>
      <c r="FAD28" s="501"/>
      <c r="FAE28" s="501"/>
      <c r="FAF28" s="501"/>
      <c r="FAG28" s="501"/>
      <c r="FAH28" s="501"/>
      <c r="FAI28" s="501"/>
      <c r="FAJ28" s="501"/>
      <c r="FAK28" s="501"/>
      <c r="FAL28" s="501"/>
      <c r="FAM28" s="501"/>
      <c r="FAN28" s="501"/>
      <c r="FAO28" s="501"/>
      <c r="FAP28" s="501"/>
      <c r="FAQ28" s="501"/>
      <c r="FAR28" s="501"/>
      <c r="FAS28" s="501"/>
      <c r="FAT28" s="501"/>
      <c r="FAU28" s="501"/>
      <c r="FAV28" s="501"/>
      <c r="FAW28" s="501"/>
      <c r="FAX28" s="501"/>
      <c r="FAY28" s="501"/>
      <c r="FAZ28" s="501"/>
      <c r="FBA28" s="501"/>
      <c r="FBB28" s="501"/>
      <c r="FBC28" s="501"/>
      <c r="FBD28" s="501"/>
      <c r="FBE28" s="501"/>
      <c r="FBF28" s="501"/>
      <c r="FBG28" s="501"/>
      <c r="FBH28" s="501"/>
      <c r="FBI28" s="501"/>
      <c r="FBJ28" s="501"/>
      <c r="FBK28" s="501"/>
      <c r="FBL28" s="501"/>
      <c r="FBM28" s="501"/>
      <c r="FBN28" s="501"/>
      <c r="FBO28" s="501"/>
      <c r="FBP28" s="501"/>
      <c r="FBQ28" s="501"/>
      <c r="FBR28" s="501"/>
      <c r="FBS28" s="501"/>
      <c r="FBT28" s="501"/>
      <c r="FBU28" s="501"/>
      <c r="FBV28" s="501"/>
      <c r="FBW28" s="501"/>
      <c r="FBX28" s="501"/>
      <c r="FBY28" s="501"/>
      <c r="FBZ28" s="501"/>
      <c r="FCA28" s="501"/>
      <c r="FCB28" s="501"/>
      <c r="FCC28" s="501"/>
      <c r="FCD28" s="501"/>
      <c r="FCE28" s="501"/>
      <c r="FCF28" s="501"/>
      <c r="FCG28" s="501"/>
      <c r="FCH28" s="501"/>
      <c r="FCI28" s="501"/>
      <c r="FCJ28" s="501"/>
      <c r="FCK28" s="501"/>
      <c r="FCL28" s="501"/>
      <c r="FCM28" s="501"/>
      <c r="FCN28" s="501"/>
      <c r="FCO28" s="501"/>
      <c r="FCP28" s="501"/>
      <c r="FCQ28" s="501"/>
      <c r="FCR28" s="501"/>
      <c r="FCS28" s="501"/>
      <c r="FCT28" s="501"/>
      <c r="FCU28" s="501"/>
      <c r="FCV28" s="501"/>
      <c r="FCW28" s="501"/>
      <c r="FCX28" s="501"/>
      <c r="FCY28" s="501"/>
      <c r="FCZ28" s="501"/>
      <c r="FDA28" s="501"/>
      <c r="FDB28" s="501"/>
      <c r="FDC28" s="501"/>
      <c r="FDD28" s="501"/>
      <c r="FDE28" s="501"/>
      <c r="FDF28" s="501"/>
      <c r="FDG28" s="501"/>
      <c r="FDH28" s="501"/>
      <c r="FDI28" s="501"/>
      <c r="FDJ28" s="501"/>
      <c r="FDK28" s="501"/>
      <c r="FDL28" s="501"/>
      <c r="FDM28" s="501"/>
      <c r="FDN28" s="501"/>
      <c r="FDO28" s="501"/>
      <c r="FDP28" s="501"/>
      <c r="FDQ28" s="501"/>
      <c r="FDR28" s="501"/>
      <c r="FDS28" s="501"/>
      <c r="FDT28" s="501"/>
      <c r="FDU28" s="501"/>
      <c r="FDV28" s="501"/>
      <c r="FDW28" s="501"/>
      <c r="FDX28" s="501"/>
      <c r="FDY28" s="501"/>
      <c r="FDZ28" s="501"/>
      <c r="FEA28" s="501"/>
      <c r="FEB28" s="501"/>
      <c r="FEC28" s="501"/>
      <c r="FED28" s="501"/>
      <c r="FEE28" s="501"/>
      <c r="FEF28" s="501"/>
      <c r="FEG28" s="501"/>
      <c r="FEH28" s="501"/>
      <c r="FEI28" s="501"/>
      <c r="FEJ28" s="501"/>
      <c r="FEK28" s="501"/>
      <c r="FEL28" s="501"/>
      <c r="FEM28" s="501"/>
      <c r="FEN28" s="501"/>
      <c r="FEO28" s="501"/>
      <c r="FEP28" s="501"/>
      <c r="FEQ28" s="501"/>
      <c r="FER28" s="501"/>
      <c r="FES28" s="501"/>
      <c r="FET28" s="501"/>
      <c r="FEU28" s="501"/>
      <c r="FEV28" s="501"/>
      <c r="FEW28" s="501"/>
      <c r="FEX28" s="501"/>
      <c r="FEY28" s="501"/>
      <c r="FEZ28" s="501"/>
      <c r="FFA28" s="501"/>
      <c r="FFB28" s="501"/>
      <c r="FFC28" s="501"/>
      <c r="FFD28" s="501"/>
      <c r="FFE28" s="501"/>
      <c r="FFF28" s="501"/>
      <c r="FFG28" s="501"/>
      <c r="FFH28" s="501"/>
      <c r="FFI28" s="501"/>
      <c r="FFJ28" s="501"/>
      <c r="FFK28" s="501"/>
      <c r="FFL28" s="501"/>
      <c r="FFM28" s="501"/>
      <c r="FFN28" s="501"/>
      <c r="FFO28" s="501"/>
      <c r="FFP28" s="501"/>
      <c r="FFQ28" s="501"/>
      <c r="FFR28" s="501"/>
      <c r="FFS28" s="501"/>
      <c r="FFT28" s="501"/>
      <c r="FFU28" s="501"/>
      <c r="FFV28" s="501"/>
      <c r="FFW28" s="501"/>
      <c r="FFX28" s="501"/>
      <c r="FFY28" s="501"/>
      <c r="FFZ28" s="501"/>
      <c r="FGA28" s="501"/>
      <c r="FGB28" s="501"/>
      <c r="FGC28" s="501"/>
      <c r="FGD28" s="501"/>
      <c r="FGE28" s="501"/>
      <c r="FGF28" s="501"/>
      <c r="FGG28" s="501"/>
      <c r="FGH28" s="501"/>
      <c r="FGI28" s="501"/>
      <c r="FGJ28" s="501"/>
      <c r="FGK28" s="501"/>
      <c r="FGL28" s="501"/>
      <c r="FGM28" s="501"/>
      <c r="FGN28" s="501"/>
      <c r="FGO28" s="501"/>
      <c r="FGP28" s="501"/>
      <c r="FGQ28" s="501"/>
      <c r="FGR28" s="501"/>
      <c r="FGS28" s="501"/>
      <c r="FGT28" s="501"/>
      <c r="FGU28" s="501"/>
      <c r="FGV28" s="501"/>
      <c r="FGW28" s="501"/>
      <c r="FGX28" s="501"/>
      <c r="FGY28" s="501"/>
      <c r="FGZ28" s="501"/>
      <c r="FHA28" s="501"/>
      <c r="FHB28" s="501"/>
      <c r="FHC28" s="501"/>
      <c r="FHD28" s="501"/>
      <c r="FHE28" s="501"/>
      <c r="FHF28" s="501"/>
      <c r="FHG28" s="501"/>
      <c r="FHH28" s="501"/>
      <c r="FHI28" s="501"/>
      <c r="FHJ28" s="501"/>
      <c r="FHK28" s="501"/>
      <c r="FHL28" s="501"/>
      <c r="FHM28" s="501"/>
      <c r="FHN28" s="501"/>
      <c r="FHO28" s="501"/>
      <c r="FHP28" s="501"/>
      <c r="FHQ28" s="501"/>
      <c r="FHR28" s="501"/>
      <c r="FHS28" s="501"/>
      <c r="FHT28" s="501"/>
      <c r="FHU28" s="501"/>
      <c r="FHV28" s="501"/>
      <c r="FHW28" s="501"/>
      <c r="FHX28" s="501"/>
      <c r="FHY28" s="501"/>
      <c r="FHZ28" s="501"/>
      <c r="FIA28" s="501"/>
      <c r="FIB28" s="501"/>
      <c r="FIC28" s="501"/>
      <c r="FID28" s="501"/>
      <c r="FIE28" s="501"/>
      <c r="FIF28" s="501"/>
      <c r="FIG28" s="501"/>
      <c r="FIH28" s="501"/>
      <c r="FII28" s="501"/>
      <c r="FIJ28" s="501"/>
      <c r="FIK28" s="501"/>
      <c r="FIL28" s="501"/>
      <c r="FIM28" s="501"/>
      <c r="FIN28" s="501"/>
      <c r="FIO28" s="501"/>
      <c r="FIP28" s="501"/>
      <c r="FIQ28" s="501"/>
      <c r="FIR28" s="501"/>
      <c r="FIS28" s="501"/>
      <c r="FIT28" s="501"/>
      <c r="FIU28" s="501"/>
      <c r="FIV28" s="501"/>
      <c r="FIW28" s="501"/>
      <c r="FIX28" s="501"/>
      <c r="FIY28" s="501"/>
      <c r="FIZ28" s="501"/>
      <c r="FJA28" s="501"/>
      <c r="FJB28" s="501"/>
      <c r="FJC28" s="501"/>
      <c r="FJD28" s="501"/>
      <c r="FJE28" s="501"/>
      <c r="FJF28" s="501"/>
      <c r="FJG28" s="501"/>
      <c r="FJH28" s="501"/>
      <c r="FJI28" s="501"/>
      <c r="FJJ28" s="501"/>
      <c r="FJK28" s="501"/>
      <c r="FJL28" s="501"/>
      <c r="FJM28" s="501"/>
      <c r="FJN28" s="501"/>
      <c r="FJO28" s="501"/>
      <c r="FJP28" s="501"/>
      <c r="FJQ28" s="501"/>
      <c r="FJR28" s="501"/>
      <c r="FJS28" s="501"/>
      <c r="FJT28" s="501"/>
      <c r="FJU28" s="501"/>
      <c r="FJV28" s="501"/>
      <c r="FJW28" s="501"/>
      <c r="FJX28" s="501"/>
      <c r="FJY28" s="501"/>
      <c r="FJZ28" s="501"/>
      <c r="FKA28" s="501"/>
      <c r="FKB28" s="501"/>
      <c r="FKC28" s="501"/>
      <c r="FKD28" s="501"/>
      <c r="FKE28" s="501"/>
      <c r="FKF28" s="501"/>
      <c r="FKG28" s="501"/>
      <c r="FKH28" s="501"/>
      <c r="FKI28" s="501"/>
      <c r="FKJ28" s="501"/>
      <c r="FKK28" s="501"/>
      <c r="FKL28" s="501"/>
      <c r="FKM28" s="501"/>
      <c r="FKN28" s="501"/>
      <c r="FKO28" s="501"/>
      <c r="FKP28" s="501"/>
      <c r="FKQ28" s="501"/>
      <c r="FKR28" s="501"/>
      <c r="FKS28" s="501"/>
      <c r="FKT28" s="501"/>
      <c r="FKU28" s="501"/>
      <c r="FKV28" s="501"/>
      <c r="FKW28" s="501"/>
      <c r="FKX28" s="501"/>
      <c r="FKY28" s="501"/>
      <c r="FKZ28" s="501"/>
      <c r="FLA28" s="501"/>
      <c r="FLB28" s="501"/>
      <c r="FLC28" s="501"/>
      <c r="FLD28" s="501"/>
      <c r="FLE28" s="501"/>
      <c r="FLF28" s="501"/>
      <c r="FLG28" s="501"/>
      <c r="FLH28" s="501"/>
      <c r="FLI28" s="501"/>
      <c r="FLJ28" s="501"/>
      <c r="FLK28" s="501"/>
      <c r="FLL28" s="501"/>
      <c r="FLM28" s="501"/>
      <c r="FLN28" s="501"/>
      <c r="FLO28" s="501"/>
      <c r="FLP28" s="501"/>
      <c r="FLQ28" s="501"/>
      <c r="FLR28" s="501"/>
      <c r="FLS28" s="501"/>
      <c r="FLT28" s="501"/>
      <c r="FLU28" s="501"/>
      <c r="FLV28" s="501"/>
      <c r="FLW28" s="501"/>
      <c r="FLX28" s="501"/>
      <c r="FLY28" s="501"/>
      <c r="FLZ28" s="501"/>
      <c r="FMA28" s="501"/>
      <c r="FMB28" s="501"/>
      <c r="FMC28" s="501"/>
      <c r="FMD28" s="501"/>
      <c r="FME28" s="501"/>
      <c r="FMF28" s="501"/>
      <c r="FMG28" s="501"/>
      <c r="FMH28" s="501"/>
      <c r="FMI28" s="501"/>
      <c r="FMJ28" s="501"/>
      <c r="FMK28" s="501"/>
      <c r="FML28" s="501"/>
      <c r="FMM28" s="501"/>
      <c r="FMN28" s="501"/>
      <c r="FMO28" s="501"/>
      <c r="FMP28" s="501"/>
      <c r="FMQ28" s="501"/>
      <c r="FMR28" s="501"/>
      <c r="FMS28" s="501"/>
      <c r="FMT28" s="501"/>
      <c r="FMU28" s="501"/>
      <c r="FMV28" s="501"/>
      <c r="FMW28" s="501"/>
      <c r="FMX28" s="501"/>
      <c r="FMY28" s="501"/>
      <c r="FMZ28" s="501"/>
      <c r="FNA28" s="501"/>
      <c r="FNB28" s="501"/>
      <c r="FNC28" s="501"/>
      <c r="FND28" s="501"/>
      <c r="FNE28" s="501"/>
      <c r="FNF28" s="501"/>
      <c r="FNG28" s="501"/>
      <c r="FNH28" s="501"/>
      <c r="FNI28" s="501"/>
      <c r="FNJ28" s="501"/>
      <c r="FNK28" s="501"/>
      <c r="FNL28" s="501"/>
      <c r="FNM28" s="501"/>
      <c r="FNN28" s="501"/>
      <c r="FNO28" s="501"/>
      <c r="FNP28" s="501"/>
      <c r="FNQ28" s="501"/>
      <c r="FNR28" s="501"/>
      <c r="FNS28" s="501"/>
      <c r="FNT28" s="501"/>
      <c r="FNU28" s="501"/>
      <c r="FNV28" s="501"/>
      <c r="FNW28" s="501"/>
      <c r="FNX28" s="501"/>
      <c r="FNY28" s="501"/>
      <c r="FNZ28" s="501"/>
      <c r="FOA28" s="501"/>
      <c r="FOB28" s="501"/>
      <c r="FOC28" s="501"/>
      <c r="FOD28" s="501"/>
      <c r="FOE28" s="501"/>
      <c r="FOF28" s="501"/>
      <c r="FOG28" s="501"/>
      <c r="FOH28" s="501"/>
      <c r="FOI28" s="501"/>
      <c r="FOJ28" s="501"/>
      <c r="FOK28" s="501"/>
      <c r="FOL28" s="501"/>
      <c r="FOM28" s="501"/>
      <c r="FON28" s="501"/>
      <c r="FOO28" s="501"/>
      <c r="FOP28" s="501"/>
      <c r="FOQ28" s="501"/>
      <c r="FOR28" s="501"/>
      <c r="FOS28" s="501"/>
      <c r="FOT28" s="501"/>
      <c r="FOU28" s="501"/>
      <c r="FOV28" s="501"/>
      <c r="FOW28" s="501"/>
      <c r="FOX28" s="501"/>
      <c r="FOY28" s="501"/>
      <c r="FOZ28" s="501"/>
      <c r="FPA28" s="501"/>
      <c r="FPB28" s="501"/>
      <c r="FPC28" s="501"/>
      <c r="FPD28" s="501"/>
      <c r="FPE28" s="501"/>
      <c r="FPF28" s="501"/>
      <c r="FPG28" s="501"/>
      <c r="FPH28" s="501"/>
      <c r="FPI28" s="501"/>
      <c r="FPJ28" s="501"/>
      <c r="FPK28" s="501"/>
      <c r="FPL28" s="501"/>
      <c r="FPM28" s="501"/>
      <c r="FPN28" s="501"/>
      <c r="FPO28" s="501"/>
      <c r="FPP28" s="501"/>
      <c r="FPQ28" s="501"/>
      <c r="FPR28" s="501"/>
      <c r="FPS28" s="501"/>
      <c r="FPT28" s="501"/>
      <c r="FPU28" s="501"/>
      <c r="FPV28" s="501"/>
      <c r="FPW28" s="501"/>
      <c r="FPX28" s="501"/>
      <c r="FPY28" s="501"/>
      <c r="FPZ28" s="501"/>
      <c r="FQA28" s="501"/>
      <c r="FQB28" s="501"/>
      <c r="FQC28" s="501"/>
      <c r="FQD28" s="501"/>
      <c r="FQE28" s="501"/>
      <c r="FQF28" s="501"/>
      <c r="FQG28" s="501"/>
      <c r="FQH28" s="501"/>
      <c r="FQI28" s="501"/>
      <c r="FQJ28" s="501"/>
      <c r="FQK28" s="501"/>
      <c r="FQL28" s="501"/>
      <c r="FQM28" s="501"/>
      <c r="FQN28" s="501"/>
      <c r="FQO28" s="501"/>
      <c r="FQP28" s="501"/>
      <c r="FQQ28" s="501"/>
      <c r="FQR28" s="501"/>
      <c r="FQS28" s="501"/>
      <c r="FQT28" s="501"/>
      <c r="FQU28" s="501"/>
      <c r="FQV28" s="501"/>
      <c r="FQW28" s="501"/>
      <c r="FQX28" s="501"/>
      <c r="FQY28" s="501"/>
      <c r="FQZ28" s="501"/>
      <c r="FRA28" s="501"/>
      <c r="FRB28" s="501"/>
      <c r="FRC28" s="501"/>
      <c r="FRD28" s="501"/>
      <c r="FRE28" s="501"/>
      <c r="FRF28" s="501"/>
      <c r="FRG28" s="501"/>
      <c r="FRH28" s="501"/>
      <c r="FRI28" s="501"/>
      <c r="FRJ28" s="501"/>
      <c r="FRK28" s="501"/>
      <c r="FRL28" s="501"/>
      <c r="FRM28" s="501"/>
      <c r="FRN28" s="501"/>
      <c r="FRO28" s="501"/>
      <c r="FRP28" s="501"/>
      <c r="FRQ28" s="501"/>
      <c r="FRR28" s="501"/>
      <c r="FRS28" s="501"/>
      <c r="FRT28" s="501"/>
      <c r="FRU28" s="501"/>
      <c r="FRV28" s="501"/>
      <c r="FRW28" s="501"/>
      <c r="FRX28" s="501"/>
      <c r="FRY28" s="501"/>
      <c r="FRZ28" s="501"/>
      <c r="FSA28" s="501"/>
      <c r="FSB28" s="501"/>
      <c r="FSC28" s="501"/>
      <c r="FSD28" s="501"/>
      <c r="FSE28" s="501"/>
      <c r="FSF28" s="501"/>
      <c r="FSG28" s="501"/>
      <c r="FSH28" s="501"/>
      <c r="FSI28" s="501"/>
      <c r="FSJ28" s="501"/>
      <c r="FSK28" s="501"/>
      <c r="FSL28" s="501"/>
      <c r="FSM28" s="501"/>
      <c r="FSN28" s="501"/>
      <c r="FSO28" s="501"/>
      <c r="FSP28" s="501"/>
      <c r="FSQ28" s="501"/>
      <c r="FSR28" s="501"/>
      <c r="FSS28" s="501"/>
      <c r="FST28" s="501"/>
      <c r="FSU28" s="501"/>
      <c r="FSV28" s="501"/>
      <c r="FSW28" s="501"/>
      <c r="FSX28" s="501"/>
      <c r="FSY28" s="501"/>
      <c r="FSZ28" s="501"/>
      <c r="FTA28" s="501"/>
      <c r="FTB28" s="501"/>
      <c r="FTC28" s="501"/>
      <c r="FTD28" s="501"/>
      <c r="FTE28" s="501"/>
      <c r="FTF28" s="501"/>
      <c r="FTG28" s="501"/>
      <c r="FTH28" s="501"/>
      <c r="FTI28" s="501"/>
      <c r="FTJ28" s="501"/>
      <c r="FTK28" s="501"/>
      <c r="FTL28" s="501"/>
      <c r="FTM28" s="501"/>
      <c r="FTN28" s="501"/>
      <c r="FTO28" s="501"/>
      <c r="FTP28" s="501"/>
      <c r="FTQ28" s="501"/>
      <c r="FTR28" s="501"/>
      <c r="FTS28" s="501"/>
      <c r="FTT28" s="501"/>
      <c r="FTU28" s="501"/>
      <c r="FTV28" s="501"/>
      <c r="FTW28" s="501"/>
      <c r="FTX28" s="501"/>
      <c r="FTY28" s="501"/>
      <c r="FTZ28" s="501"/>
      <c r="FUA28" s="501"/>
      <c r="FUB28" s="501"/>
      <c r="FUC28" s="501"/>
      <c r="FUD28" s="501"/>
      <c r="FUE28" s="501"/>
      <c r="FUF28" s="501"/>
      <c r="FUG28" s="501"/>
      <c r="FUH28" s="501"/>
      <c r="FUI28" s="501"/>
      <c r="FUJ28" s="501"/>
      <c r="FUK28" s="501"/>
      <c r="FUL28" s="501"/>
      <c r="FUM28" s="501"/>
      <c r="FUN28" s="501"/>
      <c r="FUO28" s="501"/>
      <c r="FUP28" s="501"/>
      <c r="FUQ28" s="501"/>
      <c r="FUR28" s="501"/>
      <c r="FUS28" s="501"/>
      <c r="FUT28" s="501"/>
      <c r="FUU28" s="501"/>
      <c r="FUV28" s="501"/>
      <c r="FUW28" s="501"/>
      <c r="FUX28" s="501"/>
      <c r="FUY28" s="501"/>
      <c r="FUZ28" s="501"/>
      <c r="FVA28" s="501"/>
      <c r="FVB28" s="501"/>
      <c r="FVC28" s="501"/>
      <c r="FVD28" s="501"/>
      <c r="FVE28" s="501"/>
      <c r="FVF28" s="501"/>
      <c r="FVG28" s="501"/>
      <c r="FVH28" s="501"/>
      <c r="FVI28" s="501"/>
      <c r="FVJ28" s="501"/>
      <c r="FVK28" s="501"/>
      <c r="FVL28" s="501"/>
      <c r="FVM28" s="501"/>
      <c r="FVN28" s="501"/>
      <c r="FVO28" s="501"/>
      <c r="FVP28" s="501"/>
      <c r="FVQ28" s="501"/>
      <c r="FVR28" s="501"/>
      <c r="FVS28" s="501"/>
      <c r="FVT28" s="501"/>
      <c r="FVU28" s="501"/>
      <c r="FVV28" s="501"/>
      <c r="FVW28" s="501"/>
      <c r="FVX28" s="501"/>
      <c r="FVY28" s="501"/>
      <c r="FVZ28" s="501"/>
      <c r="FWA28" s="501"/>
      <c r="FWB28" s="501"/>
      <c r="FWC28" s="501"/>
      <c r="FWD28" s="501"/>
      <c r="FWE28" s="501"/>
      <c r="FWF28" s="501"/>
      <c r="FWG28" s="501"/>
      <c r="FWH28" s="501"/>
      <c r="FWI28" s="501"/>
      <c r="FWJ28" s="501"/>
      <c r="FWK28" s="501"/>
      <c r="FWL28" s="501"/>
      <c r="FWM28" s="501"/>
      <c r="FWN28" s="501"/>
      <c r="FWO28" s="501"/>
      <c r="FWP28" s="501"/>
      <c r="FWQ28" s="501"/>
      <c r="FWR28" s="501"/>
      <c r="FWS28" s="501"/>
      <c r="FWT28" s="501"/>
      <c r="FWU28" s="501"/>
      <c r="FWV28" s="501"/>
      <c r="FWW28" s="501"/>
      <c r="FWX28" s="501"/>
      <c r="FWY28" s="501"/>
      <c r="FWZ28" s="501"/>
      <c r="FXA28" s="501"/>
      <c r="FXB28" s="501"/>
      <c r="FXC28" s="501"/>
      <c r="FXD28" s="501"/>
      <c r="FXE28" s="501"/>
      <c r="FXF28" s="501"/>
      <c r="FXG28" s="501"/>
      <c r="FXH28" s="501"/>
      <c r="FXI28" s="501"/>
      <c r="FXJ28" s="501"/>
      <c r="FXK28" s="501"/>
      <c r="FXL28" s="501"/>
      <c r="FXM28" s="501"/>
      <c r="FXN28" s="501"/>
      <c r="FXO28" s="501"/>
      <c r="FXP28" s="501"/>
      <c r="FXQ28" s="501"/>
      <c r="FXR28" s="501"/>
      <c r="FXS28" s="501"/>
      <c r="FXT28" s="501"/>
      <c r="FXU28" s="501"/>
      <c r="FXV28" s="501"/>
      <c r="FXW28" s="501"/>
      <c r="FXX28" s="501"/>
      <c r="FXY28" s="501"/>
      <c r="FXZ28" s="501"/>
      <c r="FYA28" s="501"/>
      <c r="FYB28" s="501"/>
      <c r="FYC28" s="501"/>
      <c r="FYD28" s="501"/>
      <c r="FYE28" s="501"/>
      <c r="FYF28" s="501"/>
      <c r="FYG28" s="501"/>
      <c r="FYH28" s="501"/>
      <c r="FYI28" s="501"/>
      <c r="FYJ28" s="501"/>
      <c r="FYK28" s="501"/>
      <c r="FYL28" s="501"/>
      <c r="FYM28" s="501"/>
      <c r="FYN28" s="501"/>
      <c r="FYO28" s="501"/>
      <c r="FYP28" s="501"/>
      <c r="FYQ28" s="501"/>
      <c r="FYR28" s="501"/>
      <c r="FYS28" s="501"/>
      <c r="FYT28" s="501"/>
      <c r="FYU28" s="501"/>
      <c r="FYV28" s="501"/>
      <c r="FYW28" s="501"/>
      <c r="FYX28" s="501"/>
      <c r="FYY28" s="501"/>
      <c r="FYZ28" s="501"/>
      <c r="FZA28" s="501"/>
      <c r="FZB28" s="501"/>
      <c r="FZC28" s="501"/>
      <c r="FZD28" s="501"/>
      <c r="FZE28" s="501"/>
      <c r="FZF28" s="501"/>
      <c r="FZG28" s="501"/>
      <c r="FZH28" s="501"/>
      <c r="FZI28" s="501"/>
      <c r="FZJ28" s="501"/>
      <c r="FZK28" s="501"/>
      <c r="FZL28" s="501"/>
      <c r="FZM28" s="501"/>
      <c r="FZN28" s="501"/>
      <c r="FZO28" s="501"/>
      <c r="FZP28" s="501"/>
      <c r="FZQ28" s="501"/>
      <c r="FZR28" s="501"/>
      <c r="FZS28" s="501"/>
      <c r="FZT28" s="501"/>
      <c r="FZU28" s="501"/>
      <c r="FZV28" s="501"/>
      <c r="FZW28" s="501"/>
      <c r="FZX28" s="501"/>
      <c r="FZY28" s="501"/>
      <c r="FZZ28" s="501"/>
      <c r="GAA28" s="501"/>
      <c r="GAB28" s="501"/>
      <c r="GAC28" s="501"/>
      <c r="GAD28" s="501"/>
      <c r="GAE28" s="501"/>
      <c r="GAF28" s="501"/>
      <c r="GAG28" s="501"/>
      <c r="GAH28" s="501"/>
      <c r="GAI28" s="501"/>
      <c r="GAJ28" s="501"/>
      <c r="GAK28" s="501"/>
      <c r="GAL28" s="501"/>
      <c r="GAM28" s="501"/>
      <c r="GAN28" s="501"/>
      <c r="GAO28" s="501"/>
      <c r="GAP28" s="501"/>
      <c r="GAQ28" s="501"/>
      <c r="GAR28" s="501"/>
      <c r="GAS28" s="501"/>
      <c r="GAT28" s="501"/>
      <c r="GAU28" s="501"/>
      <c r="GAV28" s="501"/>
      <c r="GAW28" s="501"/>
      <c r="GAX28" s="501"/>
      <c r="GAY28" s="501"/>
      <c r="GAZ28" s="501"/>
      <c r="GBA28" s="501"/>
      <c r="GBB28" s="501"/>
      <c r="GBC28" s="501"/>
      <c r="GBD28" s="501"/>
      <c r="GBE28" s="501"/>
      <c r="GBF28" s="501"/>
      <c r="GBG28" s="501"/>
      <c r="GBH28" s="501"/>
      <c r="GBI28" s="501"/>
      <c r="GBJ28" s="501"/>
      <c r="GBK28" s="501"/>
      <c r="GBL28" s="501"/>
      <c r="GBM28" s="501"/>
      <c r="GBN28" s="501"/>
      <c r="GBO28" s="501"/>
      <c r="GBP28" s="501"/>
      <c r="GBQ28" s="501"/>
      <c r="GBR28" s="501"/>
      <c r="GBS28" s="501"/>
      <c r="GBT28" s="501"/>
      <c r="GBU28" s="501"/>
      <c r="GBV28" s="501"/>
      <c r="GBW28" s="501"/>
      <c r="GBX28" s="501"/>
      <c r="GBY28" s="501"/>
      <c r="GBZ28" s="501"/>
      <c r="GCA28" s="501"/>
      <c r="GCB28" s="501"/>
      <c r="GCC28" s="501"/>
      <c r="GCD28" s="501"/>
      <c r="GCE28" s="501"/>
      <c r="GCF28" s="501"/>
      <c r="GCG28" s="501"/>
      <c r="GCH28" s="501"/>
      <c r="GCI28" s="501"/>
      <c r="GCJ28" s="501"/>
      <c r="GCK28" s="501"/>
      <c r="GCL28" s="501"/>
      <c r="GCM28" s="501"/>
      <c r="GCN28" s="501"/>
      <c r="GCO28" s="501"/>
      <c r="GCP28" s="501"/>
      <c r="GCQ28" s="501"/>
      <c r="GCR28" s="501"/>
      <c r="GCS28" s="501"/>
      <c r="GCT28" s="501"/>
      <c r="GCU28" s="501"/>
      <c r="GCV28" s="501"/>
      <c r="GCW28" s="501"/>
      <c r="GCX28" s="501"/>
      <c r="GCY28" s="501"/>
      <c r="GCZ28" s="501"/>
      <c r="GDA28" s="501"/>
      <c r="GDB28" s="501"/>
      <c r="GDC28" s="501"/>
      <c r="GDD28" s="501"/>
      <c r="GDE28" s="501"/>
      <c r="GDF28" s="501"/>
      <c r="GDG28" s="501"/>
      <c r="GDH28" s="501"/>
      <c r="GDI28" s="501"/>
      <c r="GDJ28" s="501"/>
      <c r="GDK28" s="501"/>
      <c r="GDL28" s="501"/>
      <c r="GDM28" s="501"/>
      <c r="GDN28" s="501"/>
      <c r="GDO28" s="501"/>
      <c r="GDP28" s="501"/>
      <c r="GDQ28" s="501"/>
      <c r="GDR28" s="501"/>
      <c r="GDS28" s="501"/>
      <c r="GDT28" s="501"/>
      <c r="GDU28" s="501"/>
      <c r="GDV28" s="501"/>
      <c r="GDW28" s="501"/>
      <c r="GDX28" s="501"/>
      <c r="GDY28" s="501"/>
      <c r="GDZ28" s="501"/>
      <c r="GEA28" s="501"/>
      <c r="GEB28" s="501"/>
      <c r="GEC28" s="501"/>
      <c r="GED28" s="501"/>
      <c r="GEE28" s="501"/>
      <c r="GEF28" s="501"/>
      <c r="GEG28" s="501"/>
      <c r="GEH28" s="501"/>
      <c r="GEI28" s="501"/>
      <c r="GEJ28" s="501"/>
      <c r="GEK28" s="501"/>
      <c r="GEL28" s="501"/>
      <c r="GEM28" s="501"/>
      <c r="GEN28" s="501"/>
      <c r="GEO28" s="501"/>
      <c r="GEP28" s="501"/>
      <c r="GEQ28" s="501"/>
      <c r="GER28" s="501"/>
      <c r="GES28" s="501"/>
      <c r="GET28" s="501"/>
      <c r="GEU28" s="501"/>
      <c r="GEV28" s="501"/>
      <c r="GEW28" s="501"/>
      <c r="GEX28" s="501"/>
      <c r="GEY28" s="501"/>
      <c r="GEZ28" s="501"/>
      <c r="GFA28" s="501"/>
      <c r="GFB28" s="501"/>
      <c r="GFC28" s="501"/>
      <c r="GFD28" s="501"/>
      <c r="GFE28" s="501"/>
      <c r="GFF28" s="501"/>
      <c r="GFG28" s="501"/>
      <c r="GFH28" s="501"/>
      <c r="GFI28" s="501"/>
      <c r="GFJ28" s="501"/>
      <c r="GFK28" s="501"/>
      <c r="GFL28" s="501"/>
      <c r="GFM28" s="501"/>
      <c r="GFN28" s="501"/>
      <c r="GFO28" s="501"/>
      <c r="GFP28" s="501"/>
      <c r="GFQ28" s="501"/>
      <c r="GFR28" s="501"/>
      <c r="GFS28" s="501"/>
      <c r="GFT28" s="501"/>
      <c r="GFU28" s="501"/>
      <c r="GFV28" s="501"/>
      <c r="GFW28" s="501"/>
      <c r="GFX28" s="501"/>
      <c r="GFY28" s="501"/>
      <c r="GFZ28" s="501"/>
      <c r="GGA28" s="501"/>
      <c r="GGB28" s="501"/>
      <c r="GGC28" s="501"/>
      <c r="GGD28" s="501"/>
      <c r="GGE28" s="501"/>
      <c r="GGF28" s="501"/>
      <c r="GGG28" s="501"/>
      <c r="GGH28" s="501"/>
      <c r="GGI28" s="501"/>
      <c r="GGJ28" s="501"/>
      <c r="GGK28" s="501"/>
      <c r="GGL28" s="501"/>
      <c r="GGM28" s="501"/>
      <c r="GGN28" s="501"/>
      <c r="GGO28" s="501"/>
      <c r="GGP28" s="501"/>
      <c r="GGQ28" s="501"/>
      <c r="GGR28" s="501"/>
      <c r="GGS28" s="501"/>
      <c r="GGT28" s="501"/>
      <c r="GGU28" s="501"/>
      <c r="GGV28" s="501"/>
      <c r="GGW28" s="501"/>
      <c r="GGX28" s="501"/>
      <c r="GGY28" s="501"/>
      <c r="GGZ28" s="501"/>
      <c r="GHA28" s="501"/>
      <c r="GHB28" s="501"/>
      <c r="GHC28" s="501"/>
      <c r="GHD28" s="501"/>
      <c r="GHE28" s="501"/>
      <c r="GHF28" s="501"/>
      <c r="GHG28" s="501"/>
      <c r="GHH28" s="501"/>
      <c r="GHI28" s="501"/>
      <c r="GHJ28" s="501"/>
      <c r="GHK28" s="501"/>
      <c r="GHL28" s="501"/>
      <c r="GHM28" s="501"/>
      <c r="GHN28" s="501"/>
      <c r="GHO28" s="501"/>
      <c r="GHP28" s="501"/>
      <c r="GHQ28" s="501"/>
      <c r="GHR28" s="501"/>
      <c r="GHS28" s="501"/>
      <c r="GHT28" s="501"/>
      <c r="GHU28" s="501"/>
      <c r="GHV28" s="501"/>
      <c r="GHW28" s="501"/>
      <c r="GHX28" s="501"/>
      <c r="GHY28" s="501"/>
      <c r="GHZ28" s="501"/>
      <c r="GIA28" s="501"/>
      <c r="GIB28" s="501"/>
      <c r="GIC28" s="501"/>
      <c r="GID28" s="501"/>
      <c r="GIE28" s="501"/>
      <c r="GIF28" s="501"/>
      <c r="GIG28" s="501"/>
      <c r="GIH28" s="501"/>
      <c r="GII28" s="501"/>
      <c r="GIJ28" s="501"/>
      <c r="GIK28" s="501"/>
      <c r="GIL28" s="501"/>
      <c r="GIM28" s="501"/>
      <c r="GIN28" s="501"/>
      <c r="GIO28" s="501"/>
      <c r="GIP28" s="501"/>
      <c r="GIQ28" s="501"/>
      <c r="GIR28" s="501"/>
      <c r="GIS28" s="501"/>
      <c r="GIT28" s="501"/>
      <c r="GIU28" s="501"/>
      <c r="GIV28" s="501"/>
      <c r="GIW28" s="501"/>
      <c r="GIX28" s="501"/>
      <c r="GIY28" s="501"/>
      <c r="GIZ28" s="501"/>
      <c r="GJA28" s="501"/>
      <c r="GJB28" s="501"/>
      <c r="GJC28" s="501"/>
      <c r="GJD28" s="501"/>
      <c r="GJE28" s="501"/>
      <c r="GJF28" s="501"/>
      <c r="GJG28" s="501"/>
      <c r="GJH28" s="501"/>
      <c r="GJI28" s="501"/>
      <c r="GJJ28" s="501"/>
      <c r="GJK28" s="501"/>
      <c r="GJL28" s="501"/>
      <c r="GJM28" s="501"/>
      <c r="GJN28" s="501"/>
      <c r="GJO28" s="501"/>
      <c r="GJP28" s="501"/>
      <c r="GJQ28" s="501"/>
      <c r="GJR28" s="501"/>
      <c r="GJS28" s="501"/>
      <c r="GJT28" s="501"/>
      <c r="GJU28" s="501"/>
      <c r="GJV28" s="501"/>
      <c r="GJW28" s="501"/>
      <c r="GJX28" s="501"/>
      <c r="GJY28" s="501"/>
      <c r="GJZ28" s="501"/>
      <c r="GKA28" s="501"/>
      <c r="GKB28" s="501"/>
      <c r="GKC28" s="501"/>
      <c r="GKD28" s="501"/>
      <c r="GKE28" s="501"/>
      <c r="GKF28" s="501"/>
      <c r="GKG28" s="501"/>
      <c r="GKH28" s="501"/>
      <c r="GKI28" s="501"/>
      <c r="GKJ28" s="501"/>
      <c r="GKK28" s="501"/>
      <c r="GKL28" s="501"/>
      <c r="GKM28" s="501"/>
      <c r="GKN28" s="501"/>
      <c r="GKO28" s="501"/>
      <c r="GKP28" s="501"/>
      <c r="GKQ28" s="501"/>
      <c r="GKR28" s="501"/>
      <c r="GKS28" s="501"/>
      <c r="GKT28" s="501"/>
      <c r="GKU28" s="501"/>
      <c r="GKV28" s="501"/>
      <c r="GKW28" s="501"/>
      <c r="GKX28" s="501"/>
      <c r="GKY28" s="501"/>
      <c r="GKZ28" s="501"/>
      <c r="GLA28" s="501"/>
      <c r="GLB28" s="501"/>
      <c r="GLC28" s="501"/>
      <c r="GLD28" s="501"/>
      <c r="GLE28" s="501"/>
      <c r="GLF28" s="501"/>
      <c r="GLG28" s="501"/>
      <c r="GLH28" s="501"/>
      <c r="GLI28" s="501"/>
      <c r="GLJ28" s="501"/>
      <c r="GLK28" s="501"/>
      <c r="GLL28" s="501"/>
      <c r="GLM28" s="501"/>
      <c r="GLN28" s="501"/>
      <c r="GLO28" s="501"/>
      <c r="GLP28" s="501"/>
      <c r="GLQ28" s="501"/>
      <c r="GLR28" s="501"/>
      <c r="GLS28" s="501"/>
      <c r="GLT28" s="501"/>
      <c r="GLU28" s="501"/>
      <c r="GLV28" s="501"/>
      <c r="GLW28" s="501"/>
      <c r="GLX28" s="501"/>
      <c r="GLY28" s="501"/>
      <c r="GLZ28" s="501"/>
      <c r="GMA28" s="501"/>
      <c r="GMB28" s="501"/>
      <c r="GMC28" s="501"/>
      <c r="GMD28" s="501"/>
      <c r="GME28" s="501"/>
      <c r="GMF28" s="501"/>
      <c r="GMG28" s="501"/>
      <c r="GMH28" s="501"/>
      <c r="GMI28" s="501"/>
      <c r="GMJ28" s="501"/>
      <c r="GMK28" s="501"/>
      <c r="GML28" s="501"/>
      <c r="GMM28" s="501"/>
      <c r="GMN28" s="501"/>
      <c r="GMO28" s="501"/>
      <c r="GMP28" s="501"/>
      <c r="GMQ28" s="501"/>
      <c r="GMR28" s="501"/>
      <c r="GMS28" s="501"/>
      <c r="GMT28" s="501"/>
      <c r="GMU28" s="501"/>
      <c r="GMV28" s="501"/>
      <c r="GMW28" s="501"/>
      <c r="GMX28" s="501"/>
      <c r="GMY28" s="501"/>
      <c r="GMZ28" s="501"/>
      <c r="GNA28" s="501"/>
      <c r="GNB28" s="501"/>
      <c r="GNC28" s="501"/>
      <c r="GND28" s="501"/>
      <c r="GNE28" s="501"/>
      <c r="GNF28" s="501"/>
      <c r="GNG28" s="501"/>
      <c r="GNH28" s="501"/>
      <c r="GNI28" s="501"/>
      <c r="GNJ28" s="501"/>
      <c r="GNK28" s="501"/>
      <c r="GNL28" s="501"/>
      <c r="GNM28" s="501"/>
      <c r="GNN28" s="501"/>
      <c r="GNO28" s="501"/>
      <c r="GNP28" s="501"/>
      <c r="GNQ28" s="501"/>
      <c r="GNR28" s="501"/>
      <c r="GNS28" s="501"/>
      <c r="GNT28" s="501"/>
      <c r="GNU28" s="501"/>
      <c r="GNV28" s="501"/>
      <c r="GNW28" s="501"/>
      <c r="GNX28" s="501"/>
      <c r="GNY28" s="501"/>
      <c r="GNZ28" s="501"/>
      <c r="GOA28" s="501"/>
      <c r="GOB28" s="501"/>
      <c r="GOC28" s="501"/>
      <c r="GOD28" s="501"/>
      <c r="GOE28" s="501"/>
      <c r="GOF28" s="501"/>
      <c r="GOG28" s="501"/>
      <c r="GOH28" s="501"/>
      <c r="GOI28" s="501"/>
      <c r="GOJ28" s="501"/>
      <c r="GOK28" s="501"/>
      <c r="GOL28" s="501"/>
      <c r="GOM28" s="501"/>
      <c r="GON28" s="501"/>
      <c r="GOO28" s="501"/>
      <c r="GOP28" s="501"/>
      <c r="GOQ28" s="501"/>
      <c r="GOR28" s="501"/>
      <c r="GOS28" s="501"/>
      <c r="GOT28" s="501"/>
      <c r="GOU28" s="501"/>
      <c r="GOV28" s="501"/>
      <c r="GOW28" s="501"/>
      <c r="GOX28" s="501"/>
      <c r="GOY28" s="501"/>
      <c r="GOZ28" s="501"/>
      <c r="GPA28" s="501"/>
      <c r="GPB28" s="501"/>
      <c r="GPC28" s="501"/>
      <c r="GPD28" s="501"/>
      <c r="GPE28" s="501"/>
      <c r="GPF28" s="501"/>
      <c r="GPG28" s="501"/>
      <c r="GPH28" s="501"/>
      <c r="GPI28" s="501"/>
      <c r="GPJ28" s="501"/>
      <c r="GPK28" s="501"/>
      <c r="GPL28" s="501"/>
      <c r="GPM28" s="501"/>
      <c r="GPN28" s="501"/>
      <c r="GPO28" s="501"/>
      <c r="GPP28" s="501"/>
      <c r="GPQ28" s="501"/>
      <c r="GPR28" s="501"/>
      <c r="GPS28" s="501"/>
      <c r="GPT28" s="501"/>
      <c r="GPU28" s="501"/>
      <c r="GPV28" s="501"/>
      <c r="GPW28" s="501"/>
      <c r="GPX28" s="501"/>
      <c r="GPY28" s="501"/>
      <c r="GPZ28" s="501"/>
      <c r="GQA28" s="501"/>
      <c r="GQB28" s="501"/>
      <c r="GQC28" s="501"/>
      <c r="GQD28" s="501"/>
      <c r="GQE28" s="501"/>
      <c r="GQF28" s="501"/>
      <c r="GQG28" s="501"/>
      <c r="GQH28" s="501"/>
      <c r="GQI28" s="501"/>
      <c r="GQJ28" s="501"/>
      <c r="GQK28" s="501"/>
      <c r="GQL28" s="501"/>
      <c r="GQM28" s="501"/>
      <c r="GQN28" s="501"/>
      <c r="GQO28" s="501"/>
      <c r="GQP28" s="501"/>
      <c r="GQQ28" s="501"/>
      <c r="GQR28" s="501"/>
      <c r="GQS28" s="501"/>
      <c r="GQT28" s="501"/>
      <c r="GQU28" s="501"/>
      <c r="GQV28" s="501"/>
      <c r="GQW28" s="501"/>
      <c r="GQX28" s="501"/>
      <c r="GQY28" s="501"/>
      <c r="GQZ28" s="501"/>
      <c r="GRA28" s="501"/>
      <c r="GRB28" s="501"/>
      <c r="GRC28" s="501"/>
      <c r="GRD28" s="501"/>
      <c r="GRE28" s="501"/>
      <c r="GRF28" s="501"/>
      <c r="GRG28" s="501"/>
      <c r="GRH28" s="501"/>
      <c r="GRI28" s="501"/>
      <c r="GRJ28" s="501"/>
      <c r="GRK28" s="501"/>
      <c r="GRL28" s="501"/>
      <c r="GRM28" s="501"/>
      <c r="GRN28" s="501"/>
      <c r="GRO28" s="501"/>
      <c r="GRP28" s="501"/>
      <c r="GRQ28" s="501"/>
      <c r="GRR28" s="501"/>
      <c r="GRS28" s="501"/>
      <c r="GRT28" s="501"/>
      <c r="GRU28" s="501"/>
      <c r="GRV28" s="501"/>
      <c r="GRW28" s="501"/>
      <c r="GRX28" s="501"/>
      <c r="GRY28" s="501"/>
      <c r="GRZ28" s="501"/>
      <c r="GSA28" s="501"/>
      <c r="GSB28" s="501"/>
      <c r="GSC28" s="501"/>
      <c r="GSD28" s="501"/>
      <c r="GSE28" s="501"/>
      <c r="GSF28" s="501"/>
      <c r="GSG28" s="501"/>
      <c r="GSH28" s="501"/>
      <c r="GSI28" s="501"/>
      <c r="GSJ28" s="501"/>
      <c r="GSK28" s="501"/>
      <c r="GSL28" s="501"/>
      <c r="GSM28" s="501"/>
      <c r="GSN28" s="501"/>
      <c r="GSO28" s="501"/>
      <c r="GSP28" s="501"/>
      <c r="GSQ28" s="501"/>
      <c r="GSR28" s="501"/>
      <c r="GSS28" s="501"/>
      <c r="GST28" s="501"/>
      <c r="GSU28" s="501"/>
      <c r="GSV28" s="501"/>
      <c r="GSW28" s="501"/>
      <c r="GSX28" s="501"/>
      <c r="GSY28" s="501"/>
      <c r="GSZ28" s="501"/>
      <c r="GTA28" s="501"/>
      <c r="GTB28" s="501"/>
      <c r="GTC28" s="501"/>
      <c r="GTD28" s="501"/>
      <c r="GTE28" s="501"/>
      <c r="GTF28" s="501"/>
      <c r="GTG28" s="501"/>
      <c r="GTH28" s="501"/>
      <c r="GTI28" s="501"/>
      <c r="GTJ28" s="501"/>
      <c r="GTK28" s="501"/>
      <c r="GTL28" s="501"/>
      <c r="GTM28" s="501"/>
      <c r="GTN28" s="501"/>
      <c r="GTO28" s="501"/>
      <c r="GTP28" s="501"/>
      <c r="GTQ28" s="501"/>
      <c r="GTR28" s="501"/>
      <c r="GTS28" s="501"/>
      <c r="GTT28" s="501"/>
      <c r="GTU28" s="501"/>
      <c r="GTV28" s="501"/>
      <c r="GTW28" s="501"/>
      <c r="GTX28" s="501"/>
      <c r="GTY28" s="501"/>
      <c r="GTZ28" s="501"/>
      <c r="GUA28" s="501"/>
      <c r="GUB28" s="501"/>
      <c r="GUC28" s="501"/>
      <c r="GUD28" s="501"/>
      <c r="GUE28" s="501"/>
      <c r="GUF28" s="501"/>
      <c r="GUG28" s="501"/>
      <c r="GUH28" s="501"/>
      <c r="GUI28" s="501"/>
      <c r="GUJ28" s="501"/>
      <c r="GUK28" s="501"/>
      <c r="GUL28" s="501"/>
      <c r="GUM28" s="501"/>
      <c r="GUN28" s="501"/>
      <c r="GUO28" s="501"/>
      <c r="GUP28" s="501"/>
      <c r="GUQ28" s="501"/>
      <c r="GUR28" s="501"/>
      <c r="GUS28" s="501"/>
      <c r="GUT28" s="501"/>
      <c r="GUU28" s="501"/>
      <c r="GUV28" s="501"/>
      <c r="GUW28" s="501"/>
      <c r="GUX28" s="501"/>
      <c r="GUY28" s="501"/>
      <c r="GUZ28" s="501"/>
      <c r="GVA28" s="501"/>
      <c r="GVB28" s="501"/>
      <c r="GVC28" s="501"/>
      <c r="GVD28" s="501"/>
      <c r="GVE28" s="501"/>
      <c r="GVF28" s="501"/>
      <c r="GVG28" s="501"/>
      <c r="GVH28" s="501"/>
      <c r="GVI28" s="501"/>
      <c r="GVJ28" s="501"/>
      <c r="GVK28" s="501"/>
      <c r="GVL28" s="501"/>
      <c r="GVM28" s="501"/>
      <c r="GVN28" s="501"/>
      <c r="GVO28" s="501"/>
      <c r="GVP28" s="501"/>
      <c r="GVQ28" s="501"/>
      <c r="GVR28" s="501"/>
      <c r="GVS28" s="501"/>
      <c r="GVT28" s="501"/>
      <c r="GVU28" s="501"/>
      <c r="GVV28" s="501"/>
      <c r="GVW28" s="501"/>
      <c r="GVX28" s="501"/>
      <c r="GVY28" s="501"/>
      <c r="GVZ28" s="501"/>
      <c r="GWA28" s="501"/>
      <c r="GWB28" s="501"/>
      <c r="GWC28" s="501"/>
      <c r="GWD28" s="501"/>
      <c r="GWE28" s="501"/>
      <c r="GWF28" s="501"/>
      <c r="GWG28" s="501"/>
      <c r="GWH28" s="501"/>
      <c r="GWI28" s="501"/>
      <c r="GWJ28" s="501"/>
      <c r="GWK28" s="501"/>
      <c r="GWL28" s="501"/>
      <c r="GWM28" s="501"/>
      <c r="GWN28" s="501"/>
      <c r="GWO28" s="501"/>
      <c r="GWP28" s="501"/>
      <c r="GWQ28" s="501"/>
      <c r="GWR28" s="501"/>
      <c r="GWS28" s="501"/>
      <c r="GWT28" s="501"/>
      <c r="GWU28" s="501"/>
      <c r="GWV28" s="501"/>
      <c r="GWW28" s="501"/>
      <c r="GWX28" s="501"/>
      <c r="GWY28" s="501"/>
      <c r="GWZ28" s="501"/>
      <c r="GXA28" s="501"/>
      <c r="GXB28" s="501"/>
      <c r="GXC28" s="501"/>
      <c r="GXD28" s="501"/>
      <c r="GXE28" s="501"/>
      <c r="GXF28" s="501"/>
      <c r="GXG28" s="501"/>
      <c r="GXH28" s="501"/>
      <c r="GXI28" s="501"/>
      <c r="GXJ28" s="501"/>
      <c r="GXK28" s="501"/>
      <c r="GXL28" s="501"/>
      <c r="GXM28" s="501"/>
      <c r="GXN28" s="501"/>
      <c r="GXO28" s="501"/>
      <c r="GXP28" s="501"/>
      <c r="GXQ28" s="501"/>
      <c r="GXR28" s="501"/>
      <c r="GXS28" s="501"/>
      <c r="GXT28" s="501"/>
      <c r="GXU28" s="501"/>
      <c r="GXV28" s="501"/>
      <c r="GXW28" s="501"/>
      <c r="GXX28" s="501"/>
      <c r="GXY28" s="501"/>
      <c r="GXZ28" s="501"/>
      <c r="GYA28" s="501"/>
      <c r="GYB28" s="501"/>
      <c r="GYC28" s="501"/>
      <c r="GYD28" s="501"/>
      <c r="GYE28" s="501"/>
      <c r="GYF28" s="501"/>
      <c r="GYG28" s="501"/>
      <c r="GYH28" s="501"/>
      <c r="GYI28" s="501"/>
      <c r="GYJ28" s="501"/>
      <c r="GYK28" s="501"/>
      <c r="GYL28" s="501"/>
      <c r="GYM28" s="501"/>
      <c r="GYN28" s="501"/>
      <c r="GYO28" s="501"/>
      <c r="GYP28" s="501"/>
      <c r="GYQ28" s="501"/>
      <c r="GYR28" s="501"/>
      <c r="GYS28" s="501"/>
      <c r="GYT28" s="501"/>
      <c r="GYU28" s="501"/>
      <c r="GYV28" s="501"/>
      <c r="GYW28" s="501"/>
      <c r="GYX28" s="501"/>
      <c r="GYY28" s="501"/>
      <c r="GYZ28" s="501"/>
      <c r="GZA28" s="501"/>
      <c r="GZB28" s="501"/>
      <c r="GZC28" s="501"/>
      <c r="GZD28" s="501"/>
      <c r="GZE28" s="501"/>
      <c r="GZF28" s="501"/>
      <c r="GZG28" s="501"/>
      <c r="GZH28" s="501"/>
      <c r="GZI28" s="501"/>
      <c r="GZJ28" s="501"/>
      <c r="GZK28" s="501"/>
      <c r="GZL28" s="501"/>
      <c r="GZM28" s="501"/>
      <c r="GZN28" s="501"/>
      <c r="GZO28" s="501"/>
      <c r="GZP28" s="501"/>
      <c r="GZQ28" s="501"/>
      <c r="GZR28" s="501"/>
      <c r="GZS28" s="501"/>
      <c r="GZT28" s="501"/>
      <c r="GZU28" s="501"/>
      <c r="GZV28" s="501"/>
      <c r="GZW28" s="501"/>
      <c r="GZX28" s="501"/>
      <c r="GZY28" s="501"/>
      <c r="GZZ28" s="501"/>
      <c r="HAA28" s="501"/>
      <c r="HAB28" s="501"/>
      <c r="HAC28" s="501"/>
      <c r="HAD28" s="501"/>
      <c r="HAE28" s="501"/>
      <c r="HAF28" s="501"/>
      <c r="HAG28" s="501"/>
      <c r="HAH28" s="501"/>
      <c r="HAI28" s="501"/>
      <c r="HAJ28" s="501"/>
      <c r="HAK28" s="501"/>
      <c r="HAL28" s="501"/>
      <c r="HAM28" s="501"/>
      <c r="HAN28" s="501"/>
      <c r="HAO28" s="501"/>
      <c r="HAP28" s="501"/>
      <c r="HAQ28" s="501"/>
      <c r="HAR28" s="501"/>
      <c r="HAS28" s="501"/>
      <c r="HAT28" s="501"/>
      <c r="HAU28" s="501"/>
      <c r="HAV28" s="501"/>
      <c r="HAW28" s="501"/>
      <c r="HAX28" s="501"/>
      <c r="HAY28" s="501"/>
      <c r="HAZ28" s="501"/>
      <c r="HBA28" s="501"/>
      <c r="HBB28" s="501"/>
      <c r="HBC28" s="501"/>
      <c r="HBD28" s="501"/>
      <c r="HBE28" s="501"/>
      <c r="HBF28" s="501"/>
      <c r="HBG28" s="501"/>
      <c r="HBH28" s="501"/>
      <c r="HBI28" s="501"/>
      <c r="HBJ28" s="501"/>
      <c r="HBK28" s="501"/>
      <c r="HBL28" s="501"/>
      <c r="HBM28" s="501"/>
      <c r="HBN28" s="501"/>
      <c r="HBO28" s="501"/>
      <c r="HBP28" s="501"/>
      <c r="HBQ28" s="501"/>
      <c r="HBR28" s="501"/>
      <c r="HBS28" s="501"/>
      <c r="HBT28" s="501"/>
      <c r="HBU28" s="501"/>
      <c r="HBV28" s="501"/>
      <c r="HBW28" s="501"/>
      <c r="HBX28" s="501"/>
      <c r="HBY28" s="501"/>
      <c r="HBZ28" s="501"/>
      <c r="HCA28" s="501"/>
      <c r="HCB28" s="501"/>
      <c r="HCC28" s="501"/>
      <c r="HCD28" s="501"/>
      <c r="HCE28" s="501"/>
      <c r="HCF28" s="501"/>
      <c r="HCG28" s="501"/>
      <c r="HCH28" s="501"/>
      <c r="HCI28" s="501"/>
      <c r="HCJ28" s="501"/>
      <c r="HCK28" s="501"/>
      <c r="HCL28" s="501"/>
      <c r="HCM28" s="501"/>
      <c r="HCN28" s="501"/>
      <c r="HCO28" s="501"/>
      <c r="HCP28" s="501"/>
      <c r="HCQ28" s="501"/>
      <c r="HCR28" s="501"/>
      <c r="HCS28" s="501"/>
      <c r="HCT28" s="501"/>
      <c r="HCU28" s="501"/>
      <c r="HCV28" s="501"/>
      <c r="HCW28" s="501"/>
      <c r="HCX28" s="501"/>
      <c r="HCY28" s="501"/>
      <c r="HCZ28" s="501"/>
      <c r="HDA28" s="501"/>
      <c r="HDB28" s="501"/>
      <c r="HDC28" s="501"/>
      <c r="HDD28" s="501"/>
      <c r="HDE28" s="501"/>
      <c r="HDF28" s="501"/>
      <c r="HDG28" s="501"/>
      <c r="HDH28" s="501"/>
      <c r="HDI28" s="501"/>
      <c r="HDJ28" s="501"/>
      <c r="HDK28" s="501"/>
      <c r="HDL28" s="501"/>
      <c r="HDM28" s="501"/>
      <c r="HDN28" s="501"/>
      <c r="HDO28" s="501"/>
      <c r="HDP28" s="501"/>
      <c r="HDQ28" s="501"/>
      <c r="HDR28" s="501"/>
      <c r="HDS28" s="501"/>
      <c r="HDT28" s="501"/>
      <c r="HDU28" s="501"/>
      <c r="HDV28" s="501"/>
      <c r="HDW28" s="501"/>
      <c r="HDX28" s="501"/>
      <c r="HDY28" s="501"/>
      <c r="HDZ28" s="501"/>
      <c r="HEA28" s="501"/>
      <c r="HEB28" s="501"/>
      <c r="HEC28" s="501"/>
      <c r="HED28" s="501"/>
      <c r="HEE28" s="501"/>
      <c r="HEF28" s="501"/>
      <c r="HEG28" s="501"/>
      <c r="HEH28" s="501"/>
      <c r="HEI28" s="501"/>
      <c r="HEJ28" s="501"/>
      <c r="HEK28" s="501"/>
      <c r="HEL28" s="501"/>
      <c r="HEM28" s="501"/>
      <c r="HEN28" s="501"/>
      <c r="HEO28" s="501"/>
      <c r="HEP28" s="501"/>
      <c r="HEQ28" s="501"/>
      <c r="HER28" s="501"/>
      <c r="HES28" s="501"/>
      <c r="HET28" s="501"/>
      <c r="HEU28" s="501"/>
      <c r="HEV28" s="501"/>
      <c r="HEW28" s="501"/>
      <c r="HEX28" s="501"/>
      <c r="HEY28" s="501"/>
      <c r="HEZ28" s="501"/>
      <c r="HFA28" s="501"/>
      <c r="HFB28" s="501"/>
      <c r="HFC28" s="501"/>
      <c r="HFD28" s="501"/>
      <c r="HFE28" s="501"/>
      <c r="HFF28" s="501"/>
      <c r="HFG28" s="501"/>
      <c r="HFH28" s="501"/>
      <c r="HFI28" s="501"/>
      <c r="HFJ28" s="501"/>
      <c r="HFK28" s="501"/>
      <c r="HFL28" s="501"/>
      <c r="HFM28" s="501"/>
      <c r="HFN28" s="501"/>
      <c r="HFO28" s="501"/>
      <c r="HFP28" s="501"/>
      <c r="HFQ28" s="501"/>
      <c r="HFR28" s="501"/>
      <c r="HFS28" s="501"/>
      <c r="HFT28" s="501"/>
      <c r="HFU28" s="501"/>
      <c r="HFV28" s="501"/>
      <c r="HFW28" s="501"/>
      <c r="HFX28" s="501"/>
      <c r="HFY28" s="501"/>
      <c r="HFZ28" s="501"/>
      <c r="HGA28" s="501"/>
      <c r="HGB28" s="501"/>
      <c r="HGC28" s="501"/>
      <c r="HGD28" s="501"/>
      <c r="HGE28" s="501"/>
      <c r="HGF28" s="501"/>
      <c r="HGG28" s="501"/>
      <c r="HGH28" s="501"/>
      <c r="HGI28" s="501"/>
      <c r="HGJ28" s="501"/>
      <c r="HGK28" s="501"/>
      <c r="HGL28" s="501"/>
      <c r="HGM28" s="501"/>
      <c r="HGN28" s="501"/>
      <c r="HGO28" s="501"/>
      <c r="HGP28" s="501"/>
      <c r="HGQ28" s="501"/>
      <c r="HGR28" s="501"/>
      <c r="HGS28" s="501"/>
      <c r="HGT28" s="501"/>
      <c r="HGU28" s="501"/>
      <c r="HGV28" s="501"/>
      <c r="HGW28" s="501"/>
      <c r="HGX28" s="501"/>
      <c r="HGY28" s="501"/>
      <c r="HGZ28" s="501"/>
      <c r="HHA28" s="501"/>
      <c r="HHB28" s="501"/>
      <c r="HHC28" s="501"/>
      <c r="HHD28" s="501"/>
      <c r="HHE28" s="501"/>
      <c r="HHF28" s="501"/>
      <c r="HHG28" s="501"/>
      <c r="HHH28" s="501"/>
      <c r="HHI28" s="501"/>
      <c r="HHJ28" s="501"/>
      <c r="HHK28" s="501"/>
      <c r="HHL28" s="501"/>
      <c r="HHM28" s="501"/>
      <c r="HHN28" s="501"/>
      <c r="HHO28" s="501"/>
      <c r="HHP28" s="501"/>
      <c r="HHQ28" s="501"/>
      <c r="HHR28" s="501"/>
      <c r="HHS28" s="501"/>
      <c r="HHT28" s="501"/>
      <c r="HHU28" s="501"/>
      <c r="HHV28" s="501"/>
      <c r="HHW28" s="501"/>
      <c r="HHX28" s="501"/>
      <c r="HHY28" s="501"/>
      <c r="HHZ28" s="501"/>
      <c r="HIA28" s="501"/>
      <c r="HIB28" s="501"/>
      <c r="HIC28" s="501"/>
      <c r="HID28" s="501"/>
      <c r="HIE28" s="501"/>
      <c r="HIF28" s="501"/>
      <c r="HIG28" s="501"/>
      <c r="HIH28" s="501"/>
      <c r="HII28" s="501"/>
      <c r="HIJ28" s="501"/>
      <c r="HIK28" s="501"/>
      <c r="HIL28" s="501"/>
      <c r="HIM28" s="501"/>
      <c r="HIN28" s="501"/>
      <c r="HIO28" s="501"/>
      <c r="HIP28" s="501"/>
      <c r="HIQ28" s="501"/>
      <c r="HIR28" s="501"/>
      <c r="HIS28" s="501"/>
      <c r="HIT28" s="501"/>
      <c r="HIU28" s="501"/>
      <c r="HIV28" s="501"/>
      <c r="HIW28" s="501"/>
      <c r="HIX28" s="501"/>
      <c r="HIY28" s="501"/>
      <c r="HIZ28" s="501"/>
      <c r="HJA28" s="501"/>
      <c r="HJB28" s="501"/>
      <c r="HJC28" s="501"/>
      <c r="HJD28" s="501"/>
      <c r="HJE28" s="501"/>
      <c r="HJF28" s="501"/>
      <c r="HJG28" s="501"/>
      <c r="HJH28" s="501"/>
      <c r="HJI28" s="501"/>
      <c r="HJJ28" s="501"/>
      <c r="HJK28" s="501"/>
      <c r="HJL28" s="501"/>
      <c r="HJM28" s="501"/>
      <c r="HJN28" s="501"/>
      <c r="HJO28" s="501"/>
      <c r="HJP28" s="501"/>
      <c r="HJQ28" s="501"/>
      <c r="HJR28" s="501"/>
      <c r="HJS28" s="501"/>
      <c r="HJT28" s="501"/>
      <c r="HJU28" s="501"/>
      <c r="HJV28" s="501"/>
      <c r="HJW28" s="501"/>
      <c r="HJX28" s="501"/>
      <c r="HJY28" s="501"/>
      <c r="HJZ28" s="501"/>
      <c r="HKA28" s="501"/>
      <c r="HKB28" s="501"/>
      <c r="HKC28" s="501"/>
      <c r="HKD28" s="501"/>
      <c r="HKE28" s="501"/>
      <c r="HKF28" s="501"/>
      <c r="HKG28" s="501"/>
      <c r="HKH28" s="501"/>
      <c r="HKI28" s="501"/>
      <c r="HKJ28" s="501"/>
      <c r="HKK28" s="501"/>
      <c r="HKL28" s="501"/>
      <c r="HKM28" s="501"/>
      <c r="HKN28" s="501"/>
      <c r="HKO28" s="501"/>
      <c r="HKP28" s="501"/>
      <c r="HKQ28" s="501"/>
      <c r="HKR28" s="501"/>
      <c r="HKS28" s="501"/>
      <c r="HKT28" s="501"/>
      <c r="HKU28" s="501"/>
      <c r="HKV28" s="501"/>
      <c r="HKW28" s="501"/>
      <c r="HKX28" s="501"/>
      <c r="HKY28" s="501"/>
      <c r="HKZ28" s="501"/>
      <c r="HLA28" s="501"/>
      <c r="HLB28" s="501"/>
      <c r="HLC28" s="501"/>
      <c r="HLD28" s="501"/>
      <c r="HLE28" s="501"/>
      <c r="HLF28" s="501"/>
      <c r="HLG28" s="501"/>
      <c r="HLH28" s="501"/>
      <c r="HLI28" s="501"/>
      <c r="HLJ28" s="501"/>
      <c r="HLK28" s="501"/>
      <c r="HLL28" s="501"/>
      <c r="HLM28" s="501"/>
      <c r="HLN28" s="501"/>
      <c r="HLO28" s="501"/>
      <c r="HLP28" s="501"/>
      <c r="HLQ28" s="501"/>
      <c r="HLR28" s="501"/>
      <c r="HLS28" s="501"/>
      <c r="HLT28" s="501"/>
      <c r="HLU28" s="501"/>
      <c r="HLV28" s="501"/>
      <c r="HLW28" s="501"/>
      <c r="HLX28" s="501"/>
      <c r="HLY28" s="501"/>
      <c r="HLZ28" s="501"/>
      <c r="HMA28" s="501"/>
      <c r="HMB28" s="501"/>
      <c r="HMC28" s="501"/>
      <c r="HMD28" s="501"/>
      <c r="HME28" s="501"/>
      <c r="HMF28" s="501"/>
      <c r="HMG28" s="501"/>
      <c r="HMH28" s="501"/>
      <c r="HMI28" s="501"/>
      <c r="HMJ28" s="501"/>
      <c r="HMK28" s="501"/>
      <c r="HML28" s="501"/>
      <c r="HMM28" s="501"/>
      <c r="HMN28" s="501"/>
      <c r="HMO28" s="501"/>
      <c r="HMP28" s="501"/>
      <c r="HMQ28" s="501"/>
      <c r="HMR28" s="501"/>
      <c r="HMS28" s="501"/>
      <c r="HMT28" s="501"/>
      <c r="HMU28" s="501"/>
      <c r="HMV28" s="501"/>
      <c r="HMW28" s="501"/>
      <c r="HMX28" s="501"/>
      <c r="HMY28" s="501"/>
      <c r="HMZ28" s="501"/>
      <c r="HNA28" s="501"/>
      <c r="HNB28" s="501"/>
      <c r="HNC28" s="501"/>
      <c r="HND28" s="501"/>
      <c r="HNE28" s="501"/>
      <c r="HNF28" s="501"/>
      <c r="HNG28" s="501"/>
      <c r="HNH28" s="501"/>
      <c r="HNI28" s="501"/>
      <c r="HNJ28" s="501"/>
      <c r="HNK28" s="501"/>
      <c r="HNL28" s="501"/>
      <c r="HNM28" s="501"/>
      <c r="HNN28" s="501"/>
      <c r="HNO28" s="501"/>
      <c r="HNP28" s="501"/>
      <c r="HNQ28" s="501"/>
      <c r="HNR28" s="501"/>
      <c r="HNS28" s="501"/>
      <c r="HNT28" s="501"/>
      <c r="HNU28" s="501"/>
      <c r="HNV28" s="501"/>
      <c r="HNW28" s="501"/>
      <c r="HNX28" s="501"/>
      <c r="HNY28" s="501"/>
      <c r="HNZ28" s="501"/>
      <c r="HOA28" s="501"/>
      <c r="HOB28" s="501"/>
      <c r="HOC28" s="501"/>
      <c r="HOD28" s="501"/>
      <c r="HOE28" s="501"/>
      <c r="HOF28" s="501"/>
      <c r="HOG28" s="501"/>
      <c r="HOH28" s="501"/>
      <c r="HOI28" s="501"/>
      <c r="HOJ28" s="501"/>
      <c r="HOK28" s="501"/>
      <c r="HOL28" s="501"/>
      <c r="HOM28" s="501"/>
      <c r="HON28" s="501"/>
      <c r="HOO28" s="501"/>
      <c r="HOP28" s="501"/>
      <c r="HOQ28" s="501"/>
      <c r="HOR28" s="501"/>
      <c r="HOS28" s="501"/>
      <c r="HOT28" s="501"/>
      <c r="HOU28" s="501"/>
      <c r="HOV28" s="501"/>
      <c r="HOW28" s="501"/>
      <c r="HOX28" s="501"/>
      <c r="HOY28" s="501"/>
      <c r="HOZ28" s="501"/>
      <c r="HPA28" s="501"/>
      <c r="HPB28" s="501"/>
      <c r="HPC28" s="501"/>
      <c r="HPD28" s="501"/>
      <c r="HPE28" s="501"/>
      <c r="HPF28" s="501"/>
      <c r="HPG28" s="501"/>
      <c r="HPH28" s="501"/>
      <c r="HPI28" s="501"/>
      <c r="HPJ28" s="501"/>
      <c r="HPK28" s="501"/>
      <c r="HPL28" s="501"/>
      <c r="HPM28" s="501"/>
      <c r="HPN28" s="501"/>
      <c r="HPO28" s="501"/>
      <c r="HPP28" s="501"/>
      <c r="HPQ28" s="501"/>
      <c r="HPR28" s="501"/>
      <c r="HPS28" s="501"/>
      <c r="HPT28" s="501"/>
      <c r="HPU28" s="501"/>
      <c r="HPV28" s="501"/>
      <c r="HPW28" s="501"/>
      <c r="HPX28" s="501"/>
      <c r="HPY28" s="501"/>
      <c r="HPZ28" s="501"/>
      <c r="HQA28" s="501"/>
      <c r="HQB28" s="501"/>
      <c r="HQC28" s="501"/>
      <c r="HQD28" s="501"/>
      <c r="HQE28" s="501"/>
      <c r="HQF28" s="501"/>
      <c r="HQG28" s="501"/>
      <c r="HQH28" s="501"/>
      <c r="HQI28" s="501"/>
      <c r="HQJ28" s="501"/>
      <c r="HQK28" s="501"/>
      <c r="HQL28" s="501"/>
      <c r="HQM28" s="501"/>
      <c r="HQN28" s="501"/>
      <c r="HQO28" s="501"/>
      <c r="HQP28" s="501"/>
      <c r="HQQ28" s="501"/>
      <c r="HQR28" s="501"/>
      <c r="HQS28" s="501"/>
      <c r="HQT28" s="501"/>
      <c r="HQU28" s="501"/>
      <c r="HQV28" s="501"/>
      <c r="HQW28" s="501"/>
      <c r="HQX28" s="501"/>
      <c r="HQY28" s="501"/>
      <c r="HQZ28" s="501"/>
      <c r="HRA28" s="501"/>
      <c r="HRB28" s="501"/>
      <c r="HRC28" s="501"/>
      <c r="HRD28" s="501"/>
      <c r="HRE28" s="501"/>
      <c r="HRF28" s="501"/>
      <c r="HRG28" s="501"/>
      <c r="HRH28" s="501"/>
      <c r="HRI28" s="501"/>
      <c r="HRJ28" s="501"/>
      <c r="HRK28" s="501"/>
      <c r="HRL28" s="501"/>
      <c r="HRM28" s="501"/>
      <c r="HRN28" s="501"/>
      <c r="HRO28" s="501"/>
      <c r="HRP28" s="501"/>
      <c r="HRQ28" s="501"/>
      <c r="HRR28" s="501"/>
      <c r="HRS28" s="501"/>
      <c r="HRT28" s="501"/>
      <c r="HRU28" s="501"/>
      <c r="HRV28" s="501"/>
      <c r="HRW28" s="501"/>
      <c r="HRX28" s="501"/>
      <c r="HRY28" s="501"/>
      <c r="HRZ28" s="501"/>
      <c r="HSA28" s="501"/>
      <c r="HSB28" s="501"/>
      <c r="HSC28" s="501"/>
      <c r="HSD28" s="501"/>
      <c r="HSE28" s="501"/>
      <c r="HSF28" s="501"/>
      <c r="HSG28" s="501"/>
      <c r="HSH28" s="501"/>
      <c r="HSI28" s="501"/>
      <c r="HSJ28" s="501"/>
      <c r="HSK28" s="501"/>
      <c r="HSL28" s="501"/>
      <c r="HSM28" s="501"/>
      <c r="HSN28" s="501"/>
      <c r="HSO28" s="501"/>
      <c r="HSP28" s="501"/>
      <c r="HSQ28" s="501"/>
      <c r="HSR28" s="501"/>
      <c r="HSS28" s="501"/>
      <c r="HST28" s="501"/>
      <c r="HSU28" s="501"/>
      <c r="HSV28" s="501"/>
      <c r="HSW28" s="501"/>
      <c r="HSX28" s="501"/>
      <c r="HSY28" s="501"/>
      <c r="HSZ28" s="501"/>
      <c r="HTA28" s="501"/>
      <c r="HTB28" s="501"/>
      <c r="HTC28" s="501"/>
      <c r="HTD28" s="501"/>
      <c r="HTE28" s="501"/>
      <c r="HTF28" s="501"/>
      <c r="HTG28" s="501"/>
      <c r="HTH28" s="501"/>
      <c r="HTI28" s="501"/>
      <c r="HTJ28" s="501"/>
      <c r="HTK28" s="501"/>
      <c r="HTL28" s="501"/>
      <c r="HTM28" s="501"/>
      <c r="HTN28" s="501"/>
      <c r="HTO28" s="501"/>
      <c r="HTP28" s="501"/>
      <c r="HTQ28" s="501"/>
      <c r="HTR28" s="501"/>
      <c r="HTS28" s="501"/>
      <c r="HTT28" s="501"/>
      <c r="HTU28" s="501"/>
      <c r="HTV28" s="501"/>
      <c r="HTW28" s="501"/>
      <c r="HTX28" s="501"/>
      <c r="HTY28" s="501"/>
      <c r="HTZ28" s="501"/>
      <c r="HUA28" s="501"/>
      <c r="HUB28" s="501"/>
      <c r="HUC28" s="501"/>
      <c r="HUD28" s="501"/>
      <c r="HUE28" s="501"/>
      <c r="HUF28" s="501"/>
      <c r="HUG28" s="501"/>
      <c r="HUH28" s="501"/>
      <c r="HUI28" s="501"/>
      <c r="HUJ28" s="501"/>
      <c r="HUK28" s="501"/>
      <c r="HUL28" s="501"/>
      <c r="HUM28" s="501"/>
      <c r="HUN28" s="501"/>
      <c r="HUO28" s="501"/>
      <c r="HUP28" s="501"/>
      <c r="HUQ28" s="501"/>
      <c r="HUR28" s="501"/>
      <c r="HUS28" s="501"/>
      <c r="HUT28" s="501"/>
      <c r="HUU28" s="501"/>
      <c r="HUV28" s="501"/>
      <c r="HUW28" s="501"/>
      <c r="HUX28" s="501"/>
      <c r="HUY28" s="501"/>
      <c r="HUZ28" s="501"/>
      <c r="HVA28" s="501"/>
      <c r="HVB28" s="501"/>
      <c r="HVC28" s="501"/>
      <c r="HVD28" s="501"/>
      <c r="HVE28" s="501"/>
      <c r="HVF28" s="501"/>
      <c r="HVG28" s="501"/>
      <c r="HVH28" s="501"/>
      <c r="HVI28" s="501"/>
      <c r="HVJ28" s="501"/>
      <c r="HVK28" s="501"/>
      <c r="HVL28" s="501"/>
      <c r="HVM28" s="501"/>
      <c r="HVN28" s="501"/>
      <c r="HVO28" s="501"/>
      <c r="HVP28" s="501"/>
      <c r="HVQ28" s="501"/>
      <c r="HVR28" s="501"/>
      <c r="HVS28" s="501"/>
      <c r="HVT28" s="501"/>
      <c r="HVU28" s="501"/>
      <c r="HVV28" s="501"/>
      <c r="HVW28" s="501"/>
      <c r="HVX28" s="501"/>
      <c r="HVY28" s="501"/>
      <c r="HVZ28" s="501"/>
      <c r="HWA28" s="501"/>
      <c r="HWB28" s="501"/>
      <c r="HWC28" s="501"/>
      <c r="HWD28" s="501"/>
      <c r="HWE28" s="501"/>
      <c r="HWF28" s="501"/>
      <c r="HWG28" s="501"/>
      <c r="HWH28" s="501"/>
      <c r="HWI28" s="501"/>
      <c r="HWJ28" s="501"/>
      <c r="HWK28" s="501"/>
      <c r="HWL28" s="501"/>
      <c r="HWM28" s="501"/>
      <c r="HWN28" s="501"/>
      <c r="HWO28" s="501"/>
      <c r="HWP28" s="501"/>
      <c r="HWQ28" s="501"/>
      <c r="HWR28" s="501"/>
      <c r="HWS28" s="501"/>
      <c r="HWT28" s="501"/>
      <c r="HWU28" s="501"/>
      <c r="HWV28" s="501"/>
      <c r="HWW28" s="501"/>
      <c r="HWX28" s="501"/>
      <c r="HWY28" s="501"/>
      <c r="HWZ28" s="501"/>
      <c r="HXA28" s="501"/>
      <c r="HXB28" s="501"/>
      <c r="HXC28" s="501"/>
      <c r="HXD28" s="501"/>
      <c r="HXE28" s="501"/>
      <c r="HXF28" s="501"/>
      <c r="HXG28" s="501"/>
      <c r="HXH28" s="501"/>
      <c r="HXI28" s="501"/>
      <c r="HXJ28" s="501"/>
      <c r="HXK28" s="501"/>
      <c r="HXL28" s="501"/>
      <c r="HXM28" s="501"/>
      <c r="HXN28" s="501"/>
      <c r="HXO28" s="501"/>
      <c r="HXP28" s="501"/>
      <c r="HXQ28" s="501"/>
      <c r="HXR28" s="501"/>
      <c r="HXS28" s="501"/>
      <c r="HXT28" s="501"/>
      <c r="HXU28" s="501"/>
      <c r="HXV28" s="501"/>
      <c r="HXW28" s="501"/>
      <c r="HXX28" s="501"/>
      <c r="HXY28" s="501"/>
      <c r="HXZ28" s="501"/>
      <c r="HYA28" s="501"/>
      <c r="HYB28" s="501"/>
      <c r="HYC28" s="501"/>
      <c r="HYD28" s="501"/>
      <c r="HYE28" s="501"/>
      <c r="HYF28" s="501"/>
      <c r="HYG28" s="501"/>
      <c r="HYH28" s="501"/>
      <c r="HYI28" s="501"/>
      <c r="HYJ28" s="501"/>
      <c r="HYK28" s="501"/>
      <c r="HYL28" s="501"/>
      <c r="HYM28" s="501"/>
      <c r="HYN28" s="501"/>
      <c r="HYO28" s="501"/>
      <c r="HYP28" s="501"/>
      <c r="HYQ28" s="501"/>
      <c r="HYR28" s="501"/>
      <c r="HYS28" s="501"/>
      <c r="HYT28" s="501"/>
      <c r="HYU28" s="501"/>
      <c r="HYV28" s="501"/>
      <c r="HYW28" s="501"/>
      <c r="HYX28" s="501"/>
      <c r="HYY28" s="501"/>
      <c r="HYZ28" s="501"/>
      <c r="HZA28" s="501"/>
      <c r="HZB28" s="501"/>
      <c r="HZC28" s="501"/>
      <c r="HZD28" s="501"/>
      <c r="HZE28" s="501"/>
      <c r="HZF28" s="501"/>
      <c r="HZG28" s="501"/>
      <c r="HZH28" s="501"/>
      <c r="HZI28" s="501"/>
      <c r="HZJ28" s="501"/>
      <c r="HZK28" s="501"/>
      <c r="HZL28" s="501"/>
      <c r="HZM28" s="501"/>
      <c r="HZN28" s="501"/>
      <c r="HZO28" s="501"/>
      <c r="HZP28" s="501"/>
      <c r="HZQ28" s="501"/>
      <c r="HZR28" s="501"/>
      <c r="HZS28" s="501"/>
      <c r="HZT28" s="501"/>
      <c r="HZU28" s="501"/>
      <c r="HZV28" s="501"/>
      <c r="HZW28" s="501"/>
      <c r="HZX28" s="501"/>
      <c r="HZY28" s="501"/>
      <c r="HZZ28" s="501"/>
      <c r="IAA28" s="501"/>
      <c r="IAB28" s="501"/>
      <c r="IAC28" s="501"/>
      <c r="IAD28" s="501"/>
      <c r="IAE28" s="501"/>
      <c r="IAF28" s="501"/>
      <c r="IAG28" s="501"/>
      <c r="IAH28" s="501"/>
      <c r="IAI28" s="501"/>
      <c r="IAJ28" s="501"/>
      <c r="IAK28" s="501"/>
      <c r="IAL28" s="501"/>
      <c r="IAM28" s="501"/>
      <c r="IAN28" s="501"/>
      <c r="IAO28" s="501"/>
      <c r="IAP28" s="501"/>
      <c r="IAQ28" s="501"/>
      <c r="IAR28" s="501"/>
      <c r="IAS28" s="501"/>
      <c r="IAT28" s="501"/>
      <c r="IAU28" s="501"/>
      <c r="IAV28" s="501"/>
      <c r="IAW28" s="501"/>
      <c r="IAX28" s="501"/>
      <c r="IAY28" s="501"/>
      <c r="IAZ28" s="501"/>
      <c r="IBA28" s="501"/>
      <c r="IBB28" s="501"/>
      <c r="IBC28" s="501"/>
      <c r="IBD28" s="501"/>
      <c r="IBE28" s="501"/>
      <c r="IBF28" s="501"/>
      <c r="IBG28" s="501"/>
      <c r="IBH28" s="501"/>
      <c r="IBI28" s="501"/>
      <c r="IBJ28" s="501"/>
      <c r="IBK28" s="501"/>
      <c r="IBL28" s="501"/>
      <c r="IBM28" s="501"/>
      <c r="IBN28" s="501"/>
      <c r="IBO28" s="501"/>
      <c r="IBP28" s="501"/>
      <c r="IBQ28" s="501"/>
      <c r="IBR28" s="501"/>
      <c r="IBS28" s="501"/>
      <c r="IBT28" s="501"/>
      <c r="IBU28" s="501"/>
      <c r="IBV28" s="501"/>
      <c r="IBW28" s="501"/>
      <c r="IBX28" s="501"/>
      <c r="IBY28" s="501"/>
      <c r="IBZ28" s="501"/>
      <c r="ICA28" s="501"/>
      <c r="ICB28" s="501"/>
      <c r="ICC28" s="501"/>
      <c r="ICD28" s="501"/>
      <c r="ICE28" s="501"/>
      <c r="ICF28" s="501"/>
      <c r="ICG28" s="501"/>
      <c r="ICH28" s="501"/>
      <c r="ICI28" s="501"/>
      <c r="ICJ28" s="501"/>
      <c r="ICK28" s="501"/>
      <c r="ICL28" s="501"/>
      <c r="ICM28" s="501"/>
      <c r="ICN28" s="501"/>
      <c r="ICO28" s="501"/>
      <c r="ICP28" s="501"/>
      <c r="ICQ28" s="501"/>
      <c r="ICR28" s="501"/>
      <c r="ICS28" s="501"/>
      <c r="ICT28" s="501"/>
      <c r="ICU28" s="501"/>
      <c r="ICV28" s="501"/>
      <c r="ICW28" s="501"/>
      <c r="ICX28" s="501"/>
      <c r="ICY28" s="501"/>
      <c r="ICZ28" s="501"/>
      <c r="IDA28" s="501"/>
      <c r="IDB28" s="501"/>
      <c r="IDC28" s="501"/>
      <c r="IDD28" s="501"/>
      <c r="IDE28" s="501"/>
      <c r="IDF28" s="501"/>
      <c r="IDG28" s="501"/>
      <c r="IDH28" s="501"/>
      <c r="IDI28" s="501"/>
      <c r="IDJ28" s="501"/>
      <c r="IDK28" s="501"/>
      <c r="IDL28" s="501"/>
      <c r="IDM28" s="501"/>
      <c r="IDN28" s="501"/>
      <c r="IDO28" s="501"/>
      <c r="IDP28" s="501"/>
      <c r="IDQ28" s="501"/>
      <c r="IDR28" s="501"/>
      <c r="IDS28" s="501"/>
      <c r="IDT28" s="501"/>
      <c r="IDU28" s="501"/>
      <c r="IDV28" s="501"/>
      <c r="IDW28" s="501"/>
      <c r="IDX28" s="501"/>
      <c r="IDY28" s="501"/>
      <c r="IDZ28" s="501"/>
      <c r="IEA28" s="501"/>
      <c r="IEB28" s="501"/>
      <c r="IEC28" s="501"/>
      <c r="IED28" s="501"/>
      <c r="IEE28" s="501"/>
      <c r="IEF28" s="501"/>
      <c r="IEG28" s="501"/>
      <c r="IEH28" s="501"/>
      <c r="IEI28" s="501"/>
      <c r="IEJ28" s="501"/>
      <c r="IEK28" s="501"/>
      <c r="IEL28" s="501"/>
      <c r="IEM28" s="501"/>
      <c r="IEN28" s="501"/>
      <c r="IEO28" s="501"/>
      <c r="IEP28" s="501"/>
      <c r="IEQ28" s="501"/>
      <c r="IER28" s="501"/>
      <c r="IES28" s="501"/>
      <c r="IET28" s="501"/>
      <c r="IEU28" s="501"/>
      <c r="IEV28" s="501"/>
      <c r="IEW28" s="501"/>
      <c r="IEX28" s="501"/>
      <c r="IEY28" s="501"/>
      <c r="IEZ28" s="501"/>
      <c r="IFA28" s="501"/>
      <c r="IFB28" s="501"/>
      <c r="IFC28" s="501"/>
      <c r="IFD28" s="501"/>
      <c r="IFE28" s="501"/>
      <c r="IFF28" s="501"/>
      <c r="IFG28" s="501"/>
      <c r="IFH28" s="501"/>
      <c r="IFI28" s="501"/>
      <c r="IFJ28" s="501"/>
      <c r="IFK28" s="501"/>
      <c r="IFL28" s="501"/>
      <c r="IFM28" s="501"/>
      <c r="IFN28" s="501"/>
      <c r="IFO28" s="501"/>
      <c r="IFP28" s="501"/>
      <c r="IFQ28" s="501"/>
      <c r="IFR28" s="501"/>
      <c r="IFS28" s="501"/>
      <c r="IFT28" s="501"/>
      <c r="IFU28" s="501"/>
      <c r="IFV28" s="501"/>
      <c r="IFW28" s="501"/>
      <c r="IFX28" s="501"/>
      <c r="IFY28" s="501"/>
      <c r="IFZ28" s="501"/>
      <c r="IGA28" s="501"/>
      <c r="IGB28" s="501"/>
      <c r="IGC28" s="501"/>
      <c r="IGD28" s="501"/>
      <c r="IGE28" s="501"/>
      <c r="IGF28" s="501"/>
      <c r="IGG28" s="501"/>
      <c r="IGH28" s="501"/>
      <c r="IGI28" s="501"/>
      <c r="IGJ28" s="501"/>
      <c r="IGK28" s="501"/>
      <c r="IGL28" s="501"/>
      <c r="IGM28" s="501"/>
      <c r="IGN28" s="501"/>
      <c r="IGO28" s="501"/>
      <c r="IGP28" s="501"/>
      <c r="IGQ28" s="501"/>
      <c r="IGR28" s="501"/>
      <c r="IGS28" s="501"/>
      <c r="IGT28" s="501"/>
      <c r="IGU28" s="501"/>
      <c r="IGV28" s="501"/>
      <c r="IGW28" s="501"/>
      <c r="IGX28" s="501"/>
      <c r="IGY28" s="501"/>
      <c r="IGZ28" s="501"/>
      <c r="IHA28" s="501"/>
      <c r="IHB28" s="501"/>
      <c r="IHC28" s="501"/>
      <c r="IHD28" s="501"/>
      <c r="IHE28" s="501"/>
      <c r="IHF28" s="501"/>
      <c r="IHG28" s="501"/>
      <c r="IHH28" s="501"/>
      <c r="IHI28" s="501"/>
      <c r="IHJ28" s="501"/>
      <c r="IHK28" s="501"/>
      <c r="IHL28" s="501"/>
      <c r="IHM28" s="501"/>
      <c r="IHN28" s="501"/>
      <c r="IHO28" s="501"/>
      <c r="IHP28" s="501"/>
      <c r="IHQ28" s="501"/>
      <c r="IHR28" s="501"/>
      <c r="IHS28" s="501"/>
      <c r="IHT28" s="501"/>
      <c r="IHU28" s="501"/>
      <c r="IHV28" s="501"/>
      <c r="IHW28" s="501"/>
      <c r="IHX28" s="501"/>
      <c r="IHY28" s="501"/>
      <c r="IHZ28" s="501"/>
      <c r="IIA28" s="501"/>
      <c r="IIB28" s="501"/>
      <c r="IIC28" s="501"/>
      <c r="IID28" s="501"/>
      <c r="IIE28" s="501"/>
      <c r="IIF28" s="501"/>
      <c r="IIG28" s="501"/>
      <c r="IIH28" s="501"/>
      <c r="III28" s="501"/>
      <c r="IIJ28" s="501"/>
      <c r="IIK28" s="501"/>
      <c r="IIL28" s="501"/>
      <c r="IIM28" s="501"/>
      <c r="IIN28" s="501"/>
      <c r="IIO28" s="501"/>
      <c r="IIP28" s="501"/>
      <c r="IIQ28" s="501"/>
      <c r="IIR28" s="501"/>
      <c r="IIS28" s="501"/>
      <c r="IIT28" s="501"/>
      <c r="IIU28" s="501"/>
      <c r="IIV28" s="501"/>
      <c r="IIW28" s="501"/>
      <c r="IIX28" s="501"/>
      <c r="IIY28" s="501"/>
      <c r="IIZ28" s="501"/>
      <c r="IJA28" s="501"/>
      <c r="IJB28" s="501"/>
      <c r="IJC28" s="501"/>
      <c r="IJD28" s="501"/>
      <c r="IJE28" s="501"/>
      <c r="IJF28" s="501"/>
      <c r="IJG28" s="501"/>
      <c r="IJH28" s="501"/>
      <c r="IJI28" s="501"/>
      <c r="IJJ28" s="501"/>
      <c r="IJK28" s="501"/>
      <c r="IJL28" s="501"/>
      <c r="IJM28" s="501"/>
      <c r="IJN28" s="501"/>
      <c r="IJO28" s="501"/>
      <c r="IJP28" s="501"/>
      <c r="IJQ28" s="501"/>
      <c r="IJR28" s="501"/>
      <c r="IJS28" s="501"/>
      <c r="IJT28" s="501"/>
      <c r="IJU28" s="501"/>
      <c r="IJV28" s="501"/>
      <c r="IJW28" s="501"/>
      <c r="IJX28" s="501"/>
      <c r="IJY28" s="501"/>
      <c r="IJZ28" s="501"/>
      <c r="IKA28" s="501"/>
      <c r="IKB28" s="501"/>
      <c r="IKC28" s="501"/>
      <c r="IKD28" s="501"/>
      <c r="IKE28" s="501"/>
      <c r="IKF28" s="501"/>
      <c r="IKG28" s="501"/>
      <c r="IKH28" s="501"/>
      <c r="IKI28" s="501"/>
      <c r="IKJ28" s="501"/>
      <c r="IKK28" s="501"/>
      <c r="IKL28" s="501"/>
      <c r="IKM28" s="501"/>
      <c r="IKN28" s="501"/>
      <c r="IKO28" s="501"/>
      <c r="IKP28" s="501"/>
      <c r="IKQ28" s="501"/>
      <c r="IKR28" s="501"/>
      <c r="IKS28" s="501"/>
      <c r="IKT28" s="501"/>
      <c r="IKU28" s="501"/>
      <c r="IKV28" s="501"/>
      <c r="IKW28" s="501"/>
      <c r="IKX28" s="501"/>
      <c r="IKY28" s="501"/>
      <c r="IKZ28" s="501"/>
      <c r="ILA28" s="501"/>
      <c r="ILB28" s="501"/>
      <c r="ILC28" s="501"/>
      <c r="ILD28" s="501"/>
      <c r="ILE28" s="501"/>
      <c r="ILF28" s="501"/>
      <c r="ILG28" s="501"/>
      <c r="ILH28" s="501"/>
      <c r="ILI28" s="501"/>
      <c r="ILJ28" s="501"/>
      <c r="ILK28" s="501"/>
      <c r="ILL28" s="501"/>
      <c r="ILM28" s="501"/>
      <c r="ILN28" s="501"/>
      <c r="ILO28" s="501"/>
      <c r="ILP28" s="501"/>
      <c r="ILQ28" s="501"/>
      <c r="ILR28" s="501"/>
      <c r="ILS28" s="501"/>
      <c r="ILT28" s="501"/>
      <c r="ILU28" s="501"/>
      <c r="ILV28" s="501"/>
      <c r="ILW28" s="501"/>
      <c r="ILX28" s="501"/>
      <c r="ILY28" s="501"/>
      <c r="ILZ28" s="501"/>
      <c r="IMA28" s="501"/>
      <c r="IMB28" s="501"/>
      <c r="IMC28" s="501"/>
      <c r="IMD28" s="501"/>
      <c r="IME28" s="501"/>
      <c r="IMF28" s="501"/>
      <c r="IMG28" s="501"/>
      <c r="IMH28" s="501"/>
      <c r="IMI28" s="501"/>
      <c r="IMJ28" s="501"/>
      <c r="IMK28" s="501"/>
      <c r="IML28" s="501"/>
      <c r="IMM28" s="501"/>
      <c r="IMN28" s="501"/>
      <c r="IMO28" s="501"/>
      <c r="IMP28" s="501"/>
      <c r="IMQ28" s="501"/>
      <c r="IMR28" s="501"/>
      <c r="IMS28" s="501"/>
      <c r="IMT28" s="501"/>
      <c r="IMU28" s="501"/>
      <c r="IMV28" s="501"/>
      <c r="IMW28" s="501"/>
      <c r="IMX28" s="501"/>
      <c r="IMY28" s="501"/>
      <c r="IMZ28" s="501"/>
      <c r="INA28" s="501"/>
      <c r="INB28" s="501"/>
      <c r="INC28" s="501"/>
      <c r="IND28" s="501"/>
      <c r="INE28" s="501"/>
      <c r="INF28" s="501"/>
      <c r="ING28" s="501"/>
      <c r="INH28" s="501"/>
      <c r="INI28" s="501"/>
      <c r="INJ28" s="501"/>
      <c r="INK28" s="501"/>
      <c r="INL28" s="501"/>
      <c r="INM28" s="501"/>
      <c r="INN28" s="501"/>
      <c r="INO28" s="501"/>
      <c r="INP28" s="501"/>
      <c r="INQ28" s="501"/>
      <c r="INR28" s="501"/>
      <c r="INS28" s="501"/>
      <c r="INT28" s="501"/>
      <c r="INU28" s="501"/>
      <c r="INV28" s="501"/>
      <c r="INW28" s="501"/>
      <c r="INX28" s="501"/>
      <c r="INY28" s="501"/>
      <c r="INZ28" s="501"/>
      <c r="IOA28" s="501"/>
      <c r="IOB28" s="501"/>
      <c r="IOC28" s="501"/>
      <c r="IOD28" s="501"/>
      <c r="IOE28" s="501"/>
      <c r="IOF28" s="501"/>
      <c r="IOG28" s="501"/>
      <c r="IOH28" s="501"/>
      <c r="IOI28" s="501"/>
      <c r="IOJ28" s="501"/>
      <c r="IOK28" s="501"/>
      <c r="IOL28" s="501"/>
      <c r="IOM28" s="501"/>
      <c r="ION28" s="501"/>
      <c r="IOO28" s="501"/>
      <c r="IOP28" s="501"/>
      <c r="IOQ28" s="501"/>
      <c r="IOR28" s="501"/>
      <c r="IOS28" s="501"/>
      <c r="IOT28" s="501"/>
      <c r="IOU28" s="501"/>
      <c r="IOV28" s="501"/>
      <c r="IOW28" s="501"/>
      <c r="IOX28" s="501"/>
      <c r="IOY28" s="501"/>
      <c r="IOZ28" s="501"/>
      <c r="IPA28" s="501"/>
      <c r="IPB28" s="501"/>
      <c r="IPC28" s="501"/>
      <c r="IPD28" s="501"/>
      <c r="IPE28" s="501"/>
      <c r="IPF28" s="501"/>
      <c r="IPG28" s="501"/>
      <c r="IPH28" s="501"/>
      <c r="IPI28" s="501"/>
      <c r="IPJ28" s="501"/>
      <c r="IPK28" s="501"/>
      <c r="IPL28" s="501"/>
      <c r="IPM28" s="501"/>
      <c r="IPN28" s="501"/>
      <c r="IPO28" s="501"/>
      <c r="IPP28" s="501"/>
      <c r="IPQ28" s="501"/>
      <c r="IPR28" s="501"/>
      <c r="IPS28" s="501"/>
      <c r="IPT28" s="501"/>
      <c r="IPU28" s="501"/>
      <c r="IPV28" s="501"/>
      <c r="IPW28" s="501"/>
      <c r="IPX28" s="501"/>
      <c r="IPY28" s="501"/>
      <c r="IPZ28" s="501"/>
      <c r="IQA28" s="501"/>
      <c r="IQB28" s="501"/>
      <c r="IQC28" s="501"/>
      <c r="IQD28" s="501"/>
      <c r="IQE28" s="501"/>
      <c r="IQF28" s="501"/>
      <c r="IQG28" s="501"/>
      <c r="IQH28" s="501"/>
      <c r="IQI28" s="501"/>
      <c r="IQJ28" s="501"/>
      <c r="IQK28" s="501"/>
      <c r="IQL28" s="501"/>
      <c r="IQM28" s="501"/>
      <c r="IQN28" s="501"/>
      <c r="IQO28" s="501"/>
      <c r="IQP28" s="501"/>
      <c r="IQQ28" s="501"/>
      <c r="IQR28" s="501"/>
      <c r="IQS28" s="501"/>
      <c r="IQT28" s="501"/>
      <c r="IQU28" s="501"/>
      <c r="IQV28" s="501"/>
      <c r="IQW28" s="501"/>
      <c r="IQX28" s="501"/>
      <c r="IQY28" s="501"/>
      <c r="IQZ28" s="501"/>
      <c r="IRA28" s="501"/>
      <c r="IRB28" s="501"/>
      <c r="IRC28" s="501"/>
      <c r="IRD28" s="501"/>
      <c r="IRE28" s="501"/>
      <c r="IRF28" s="501"/>
      <c r="IRG28" s="501"/>
      <c r="IRH28" s="501"/>
      <c r="IRI28" s="501"/>
      <c r="IRJ28" s="501"/>
      <c r="IRK28" s="501"/>
      <c r="IRL28" s="501"/>
      <c r="IRM28" s="501"/>
      <c r="IRN28" s="501"/>
      <c r="IRO28" s="501"/>
      <c r="IRP28" s="501"/>
      <c r="IRQ28" s="501"/>
      <c r="IRR28" s="501"/>
      <c r="IRS28" s="501"/>
      <c r="IRT28" s="501"/>
      <c r="IRU28" s="501"/>
      <c r="IRV28" s="501"/>
      <c r="IRW28" s="501"/>
      <c r="IRX28" s="501"/>
      <c r="IRY28" s="501"/>
      <c r="IRZ28" s="501"/>
      <c r="ISA28" s="501"/>
      <c r="ISB28" s="501"/>
      <c r="ISC28" s="501"/>
      <c r="ISD28" s="501"/>
      <c r="ISE28" s="501"/>
      <c r="ISF28" s="501"/>
      <c r="ISG28" s="501"/>
      <c r="ISH28" s="501"/>
      <c r="ISI28" s="501"/>
      <c r="ISJ28" s="501"/>
      <c r="ISK28" s="501"/>
      <c r="ISL28" s="501"/>
      <c r="ISM28" s="501"/>
      <c r="ISN28" s="501"/>
      <c r="ISO28" s="501"/>
      <c r="ISP28" s="501"/>
      <c r="ISQ28" s="501"/>
      <c r="ISR28" s="501"/>
      <c r="ISS28" s="501"/>
      <c r="IST28" s="501"/>
      <c r="ISU28" s="501"/>
      <c r="ISV28" s="501"/>
      <c r="ISW28" s="501"/>
      <c r="ISX28" s="501"/>
      <c r="ISY28" s="501"/>
      <c r="ISZ28" s="501"/>
      <c r="ITA28" s="501"/>
      <c r="ITB28" s="501"/>
      <c r="ITC28" s="501"/>
      <c r="ITD28" s="501"/>
      <c r="ITE28" s="501"/>
      <c r="ITF28" s="501"/>
      <c r="ITG28" s="501"/>
      <c r="ITH28" s="501"/>
      <c r="ITI28" s="501"/>
      <c r="ITJ28" s="501"/>
      <c r="ITK28" s="501"/>
      <c r="ITL28" s="501"/>
      <c r="ITM28" s="501"/>
      <c r="ITN28" s="501"/>
      <c r="ITO28" s="501"/>
      <c r="ITP28" s="501"/>
      <c r="ITQ28" s="501"/>
      <c r="ITR28" s="501"/>
      <c r="ITS28" s="501"/>
      <c r="ITT28" s="501"/>
      <c r="ITU28" s="501"/>
      <c r="ITV28" s="501"/>
      <c r="ITW28" s="501"/>
      <c r="ITX28" s="501"/>
      <c r="ITY28" s="501"/>
      <c r="ITZ28" s="501"/>
      <c r="IUA28" s="501"/>
      <c r="IUB28" s="501"/>
      <c r="IUC28" s="501"/>
      <c r="IUD28" s="501"/>
      <c r="IUE28" s="501"/>
      <c r="IUF28" s="501"/>
      <c r="IUG28" s="501"/>
      <c r="IUH28" s="501"/>
      <c r="IUI28" s="501"/>
      <c r="IUJ28" s="501"/>
      <c r="IUK28" s="501"/>
      <c r="IUL28" s="501"/>
      <c r="IUM28" s="501"/>
      <c r="IUN28" s="501"/>
      <c r="IUO28" s="501"/>
      <c r="IUP28" s="501"/>
      <c r="IUQ28" s="501"/>
      <c r="IUR28" s="501"/>
      <c r="IUS28" s="501"/>
      <c r="IUT28" s="501"/>
      <c r="IUU28" s="501"/>
      <c r="IUV28" s="501"/>
      <c r="IUW28" s="501"/>
      <c r="IUX28" s="501"/>
      <c r="IUY28" s="501"/>
      <c r="IUZ28" s="501"/>
      <c r="IVA28" s="501"/>
      <c r="IVB28" s="501"/>
      <c r="IVC28" s="501"/>
      <c r="IVD28" s="501"/>
      <c r="IVE28" s="501"/>
      <c r="IVF28" s="501"/>
      <c r="IVG28" s="501"/>
      <c r="IVH28" s="501"/>
      <c r="IVI28" s="501"/>
      <c r="IVJ28" s="501"/>
      <c r="IVK28" s="501"/>
      <c r="IVL28" s="501"/>
      <c r="IVM28" s="501"/>
      <c r="IVN28" s="501"/>
      <c r="IVO28" s="501"/>
      <c r="IVP28" s="501"/>
      <c r="IVQ28" s="501"/>
      <c r="IVR28" s="501"/>
      <c r="IVS28" s="501"/>
      <c r="IVT28" s="501"/>
      <c r="IVU28" s="501"/>
      <c r="IVV28" s="501"/>
      <c r="IVW28" s="501"/>
      <c r="IVX28" s="501"/>
      <c r="IVY28" s="501"/>
      <c r="IVZ28" s="501"/>
      <c r="IWA28" s="501"/>
      <c r="IWB28" s="501"/>
      <c r="IWC28" s="501"/>
      <c r="IWD28" s="501"/>
      <c r="IWE28" s="501"/>
      <c r="IWF28" s="501"/>
      <c r="IWG28" s="501"/>
      <c r="IWH28" s="501"/>
      <c r="IWI28" s="501"/>
      <c r="IWJ28" s="501"/>
      <c r="IWK28" s="501"/>
      <c r="IWL28" s="501"/>
      <c r="IWM28" s="501"/>
      <c r="IWN28" s="501"/>
      <c r="IWO28" s="501"/>
      <c r="IWP28" s="501"/>
      <c r="IWQ28" s="501"/>
      <c r="IWR28" s="501"/>
      <c r="IWS28" s="501"/>
      <c r="IWT28" s="501"/>
      <c r="IWU28" s="501"/>
      <c r="IWV28" s="501"/>
      <c r="IWW28" s="501"/>
      <c r="IWX28" s="501"/>
      <c r="IWY28" s="501"/>
      <c r="IWZ28" s="501"/>
      <c r="IXA28" s="501"/>
      <c r="IXB28" s="501"/>
      <c r="IXC28" s="501"/>
      <c r="IXD28" s="501"/>
      <c r="IXE28" s="501"/>
      <c r="IXF28" s="501"/>
      <c r="IXG28" s="501"/>
      <c r="IXH28" s="501"/>
      <c r="IXI28" s="501"/>
      <c r="IXJ28" s="501"/>
      <c r="IXK28" s="501"/>
      <c r="IXL28" s="501"/>
      <c r="IXM28" s="501"/>
      <c r="IXN28" s="501"/>
      <c r="IXO28" s="501"/>
      <c r="IXP28" s="501"/>
      <c r="IXQ28" s="501"/>
      <c r="IXR28" s="501"/>
      <c r="IXS28" s="501"/>
      <c r="IXT28" s="501"/>
      <c r="IXU28" s="501"/>
      <c r="IXV28" s="501"/>
      <c r="IXW28" s="501"/>
      <c r="IXX28" s="501"/>
      <c r="IXY28" s="501"/>
      <c r="IXZ28" s="501"/>
      <c r="IYA28" s="501"/>
      <c r="IYB28" s="501"/>
      <c r="IYC28" s="501"/>
      <c r="IYD28" s="501"/>
      <c r="IYE28" s="501"/>
      <c r="IYF28" s="501"/>
      <c r="IYG28" s="501"/>
      <c r="IYH28" s="501"/>
      <c r="IYI28" s="501"/>
      <c r="IYJ28" s="501"/>
      <c r="IYK28" s="501"/>
      <c r="IYL28" s="501"/>
      <c r="IYM28" s="501"/>
      <c r="IYN28" s="501"/>
      <c r="IYO28" s="501"/>
      <c r="IYP28" s="501"/>
      <c r="IYQ28" s="501"/>
      <c r="IYR28" s="501"/>
      <c r="IYS28" s="501"/>
      <c r="IYT28" s="501"/>
      <c r="IYU28" s="501"/>
      <c r="IYV28" s="501"/>
      <c r="IYW28" s="501"/>
      <c r="IYX28" s="501"/>
      <c r="IYY28" s="501"/>
      <c r="IYZ28" s="501"/>
      <c r="IZA28" s="501"/>
      <c r="IZB28" s="501"/>
      <c r="IZC28" s="501"/>
      <c r="IZD28" s="501"/>
      <c r="IZE28" s="501"/>
      <c r="IZF28" s="501"/>
      <c r="IZG28" s="501"/>
      <c r="IZH28" s="501"/>
      <c r="IZI28" s="501"/>
      <c r="IZJ28" s="501"/>
      <c r="IZK28" s="501"/>
      <c r="IZL28" s="501"/>
      <c r="IZM28" s="501"/>
      <c r="IZN28" s="501"/>
      <c r="IZO28" s="501"/>
      <c r="IZP28" s="501"/>
      <c r="IZQ28" s="501"/>
      <c r="IZR28" s="501"/>
      <c r="IZS28" s="501"/>
      <c r="IZT28" s="501"/>
      <c r="IZU28" s="501"/>
      <c r="IZV28" s="501"/>
      <c r="IZW28" s="501"/>
      <c r="IZX28" s="501"/>
      <c r="IZY28" s="501"/>
      <c r="IZZ28" s="501"/>
      <c r="JAA28" s="501"/>
      <c r="JAB28" s="501"/>
      <c r="JAC28" s="501"/>
      <c r="JAD28" s="501"/>
      <c r="JAE28" s="501"/>
      <c r="JAF28" s="501"/>
      <c r="JAG28" s="501"/>
      <c r="JAH28" s="501"/>
      <c r="JAI28" s="501"/>
      <c r="JAJ28" s="501"/>
      <c r="JAK28" s="501"/>
      <c r="JAL28" s="501"/>
      <c r="JAM28" s="501"/>
      <c r="JAN28" s="501"/>
      <c r="JAO28" s="501"/>
      <c r="JAP28" s="501"/>
      <c r="JAQ28" s="501"/>
      <c r="JAR28" s="501"/>
      <c r="JAS28" s="501"/>
      <c r="JAT28" s="501"/>
      <c r="JAU28" s="501"/>
      <c r="JAV28" s="501"/>
      <c r="JAW28" s="501"/>
      <c r="JAX28" s="501"/>
      <c r="JAY28" s="501"/>
      <c r="JAZ28" s="501"/>
      <c r="JBA28" s="501"/>
      <c r="JBB28" s="501"/>
      <c r="JBC28" s="501"/>
      <c r="JBD28" s="501"/>
      <c r="JBE28" s="501"/>
      <c r="JBF28" s="501"/>
      <c r="JBG28" s="501"/>
      <c r="JBH28" s="501"/>
      <c r="JBI28" s="501"/>
      <c r="JBJ28" s="501"/>
      <c r="JBK28" s="501"/>
      <c r="JBL28" s="501"/>
      <c r="JBM28" s="501"/>
      <c r="JBN28" s="501"/>
      <c r="JBO28" s="501"/>
      <c r="JBP28" s="501"/>
      <c r="JBQ28" s="501"/>
      <c r="JBR28" s="501"/>
      <c r="JBS28" s="501"/>
      <c r="JBT28" s="501"/>
      <c r="JBU28" s="501"/>
      <c r="JBV28" s="501"/>
      <c r="JBW28" s="501"/>
      <c r="JBX28" s="501"/>
      <c r="JBY28" s="501"/>
      <c r="JBZ28" s="501"/>
      <c r="JCA28" s="501"/>
      <c r="JCB28" s="501"/>
      <c r="JCC28" s="501"/>
      <c r="JCD28" s="501"/>
      <c r="JCE28" s="501"/>
      <c r="JCF28" s="501"/>
      <c r="JCG28" s="501"/>
      <c r="JCH28" s="501"/>
      <c r="JCI28" s="501"/>
      <c r="JCJ28" s="501"/>
      <c r="JCK28" s="501"/>
      <c r="JCL28" s="501"/>
      <c r="JCM28" s="501"/>
      <c r="JCN28" s="501"/>
      <c r="JCO28" s="501"/>
      <c r="JCP28" s="501"/>
      <c r="JCQ28" s="501"/>
      <c r="JCR28" s="501"/>
      <c r="JCS28" s="501"/>
      <c r="JCT28" s="501"/>
      <c r="JCU28" s="501"/>
      <c r="JCV28" s="501"/>
      <c r="JCW28" s="501"/>
      <c r="JCX28" s="501"/>
      <c r="JCY28" s="501"/>
      <c r="JCZ28" s="501"/>
      <c r="JDA28" s="501"/>
      <c r="JDB28" s="501"/>
      <c r="JDC28" s="501"/>
      <c r="JDD28" s="501"/>
      <c r="JDE28" s="501"/>
      <c r="JDF28" s="501"/>
      <c r="JDG28" s="501"/>
      <c r="JDH28" s="501"/>
      <c r="JDI28" s="501"/>
      <c r="JDJ28" s="501"/>
      <c r="JDK28" s="501"/>
      <c r="JDL28" s="501"/>
      <c r="JDM28" s="501"/>
      <c r="JDN28" s="501"/>
      <c r="JDO28" s="501"/>
      <c r="JDP28" s="501"/>
      <c r="JDQ28" s="501"/>
      <c r="JDR28" s="501"/>
      <c r="JDS28" s="501"/>
      <c r="JDT28" s="501"/>
      <c r="JDU28" s="501"/>
      <c r="JDV28" s="501"/>
      <c r="JDW28" s="501"/>
      <c r="JDX28" s="501"/>
      <c r="JDY28" s="501"/>
      <c r="JDZ28" s="501"/>
      <c r="JEA28" s="501"/>
      <c r="JEB28" s="501"/>
      <c r="JEC28" s="501"/>
      <c r="JED28" s="501"/>
      <c r="JEE28" s="501"/>
      <c r="JEF28" s="501"/>
      <c r="JEG28" s="501"/>
      <c r="JEH28" s="501"/>
      <c r="JEI28" s="501"/>
      <c r="JEJ28" s="501"/>
      <c r="JEK28" s="501"/>
      <c r="JEL28" s="501"/>
      <c r="JEM28" s="501"/>
      <c r="JEN28" s="501"/>
      <c r="JEO28" s="501"/>
      <c r="JEP28" s="501"/>
      <c r="JEQ28" s="501"/>
      <c r="JER28" s="501"/>
      <c r="JES28" s="501"/>
      <c r="JET28" s="501"/>
      <c r="JEU28" s="501"/>
      <c r="JEV28" s="501"/>
      <c r="JEW28" s="501"/>
      <c r="JEX28" s="501"/>
      <c r="JEY28" s="501"/>
      <c r="JEZ28" s="501"/>
      <c r="JFA28" s="501"/>
      <c r="JFB28" s="501"/>
      <c r="JFC28" s="501"/>
      <c r="JFD28" s="501"/>
      <c r="JFE28" s="501"/>
      <c r="JFF28" s="501"/>
      <c r="JFG28" s="501"/>
      <c r="JFH28" s="501"/>
      <c r="JFI28" s="501"/>
      <c r="JFJ28" s="501"/>
      <c r="JFK28" s="501"/>
      <c r="JFL28" s="501"/>
      <c r="JFM28" s="501"/>
      <c r="JFN28" s="501"/>
      <c r="JFO28" s="501"/>
      <c r="JFP28" s="501"/>
      <c r="JFQ28" s="501"/>
      <c r="JFR28" s="501"/>
      <c r="JFS28" s="501"/>
      <c r="JFT28" s="501"/>
      <c r="JFU28" s="501"/>
      <c r="JFV28" s="501"/>
      <c r="JFW28" s="501"/>
      <c r="JFX28" s="501"/>
      <c r="JFY28" s="501"/>
      <c r="JFZ28" s="501"/>
      <c r="JGA28" s="501"/>
      <c r="JGB28" s="501"/>
      <c r="JGC28" s="501"/>
      <c r="JGD28" s="501"/>
      <c r="JGE28" s="501"/>
      <c r="JGF28" s="501"/>
      <c r="JGG28" s="501"/>
      <c r="JGH28" s="501"/>
      <c r="JGI28" s="501"/>
      <c r="JGJ28" s="501"/>
      <c r="JGK28" s="501"/>
      <c r="JGL28" s="501"/>
      <c r="JGM28" s="501"/>
      <c r="JGN28" s="501"/>
      <c r="JGO28" s="501"/>
      <c r="JGP28" s="501"/>
      <c r="JGQ28" s="501"/>
      <c r="JGR28" s="501"/>
      <c r="JGS28" s="501"/>
      <c r="JGT28" s="501"/>
      <c r="JGU28" s="501"/>
      <c r="JGV28" s="501"/>
      <c r="JGW28" s="501"/>
      <c r="JGX28" s="501"/>
      <c r="JGY28" s="501"/>
      <c r="JGZ28" s="501"/>
      <c r="JHA28" s="501"/>
      <c r="JHB28" s="501"/>
      <c r="JHC28" s="501"/>
      <c r="JHD28" s="501"/>
      <c r="JHE28" s="501"/>
      <c r="JHF28" s="501"/>
      <c r="JHG28" s="501"/>
      <c r="JHH28" s="501"/>
      <c r="JHI28" s="501"/>
      <c r="JHJ28" s="501"/>
      <c r="JHK28" s="501"/>
      <c r="JHL28" s="501"/>
      <c r="JHM28" s="501"/>
      <c r="JHN28" s="501"/>
      <c r="JHO28" s="501"/>
      <c r="JHP28" s="501"/>
      <c r="JHQ28" s="501"/>
      <c r="JHR28" s="501"/>
      <c r="JHS28" s="501"/>
      <c r="JHT28" s="501"/>
      <c r="JHU28" s="501"/>
      <c r="JHV28" s="501"/>
      <c r="JHW28" s="501"/>
      <c r="JHX28" s="501"/>
      <c r="JHY28" s="501"/>
      <c r="JHZ28" s="501"/>
      <c r="JIA28" s="501"/>
      <c r="JIB28" s="501"/>
      <c r="JIC28" s="501"/>
      <c r="JID28" s="501"/>
      <c r="JIE28" s="501"/>
      <c r="JIF28" s="501"/>
      <c r="JIG28" s="501"/>
      <c r="JIH28" s="501"/>
      <c r="JII28" s="501"/>
      <c r="JIJ28" s="501"/>
      <c r="JIK28" s="501"/>
      <c r="JIL28" s="501"/>
      <c r="JIM28" s="501"/>
      <c r="JIN28" s="501"/>
      <c r="JIO28" s="501"/>
      <c r="JIP28" s="501"/>
      <c r="JIQ28" s="501"/>
      <c r="JIR28" s="501"/>
      <c r="JIS28" s="501"/>
      <c r="JIT28" s="501"/>
      <c r="JIU28" s="501"/>
      <c r="JIV28" s="501"/>
      <c r="JIW28" s="501"/>
      <c r="JIX28" s="501"/>
      <c r="JIY28" s="501"/>
      <c r="JIZ28" s="501"/>
      <c r="JJA28" s="501"/>
      <c r="JJB28" s="501"/>
      <c r="JJC28" s="501"/>
      <c r="JJD28" s="501"/>
      <c r="JJE28" s="501"/>
      <c r="JJF28" s="501"/>
      <c r="JJG28" s="501"/>
      <c r="JJH28" s="501"/>
      <c r="JJI28" s="501"/>
      <c r="JJJ28" s="501"/>
      <c r="JJK28" s="501"/>
      <c r="JJL28" s="501"/>
      <c r="JJM28" s="501"/>
      <c r="JJN28" s="501"/>
      <c r="JJO28" s="501"/>
      <c r="JJP28" s="501"/>
      <c r="JJQ28" s="501"/>
      <c r="JJR28" s="501"/>
      <c r="JJS28" s="501"/>
      <c r="JJT28" s="501"/>
      <c r="JJU28" s="501"/>
      <c r="JJV28" s="501"/>
      <c r="JJW28" s="501"/>
      <c r="JJX28" s="501"/>
      <c r="JJY28" s="501"/>
      <c r="JJZ28" s="501"/>
      <c r="JKA28" s="501"/>
      <c r="JKB28" s="501"/>
      <c r="JKC28" s="501"/>
      <c r="JKD28" s="501"/>
      <c r="JKE28" s="501"/>
      <c r="JKF28" s="501"/>
      <c r="JKG28" s="501"/>
      <c r="JKH28" s="501"/>
      <c r="JKI28" s="501"/>
      <c r="JKJ28" s="501"/>
      <c r="JKK28" s="501"/>
      <c r="JKL28" s="501"/>
      <c r="JKM28" s="501"/>
      <c r="JKN28" s="501"/>
      <c r="JKO28" s="501"/>
      <c r="JKP28" s="501"/>
      <c r="JKQ28" s="501"/>
      <c r="JKR28" s="501"/>
      <c r="JKS28" s="501"/>
      <c r="JKT28" s="501"/>
      <c r="JKU28" s="501"/>
      <c r="JKV28" s="501"/>
      <c r="JKW28" s="501"/>
      <c r="JKX28" s="501"/>
      <c r="JKY28" s="501"/>
      <c r="JKZ28" s="501"/>
      <c r="JLA28" s="501"/>
      <c r="JLB28" s="501"/>
      <c r="JLC28" s="501"/>
      <c r="JLD28" s="501"/>
      <c r="JLE28" s="501"/>
      <c r="JLF28" s="501"/>
      <c r="JLG28" s="501"/>
      <c r="JLH28" s="501"/>
      <c r="JLI28" s="501"/>
      <c r="JLJ28" s="501"/>
      <c r="JLK28" s="501"/>
      <c r="JLL28" s="501"/>
      <c r="JLM28" s="501"/>
      <c r="JLN28" s="501"/>
      <c r="JLO28" s="501"/>
      <c r="JLP28" s="501"/>
      <c r="JLQ28" s="501"/>
      <c r="JLR28" s="501"/>
      <c r="JLS28" s="501"/>
      <c r="JLT28" s="501"/>
      <c r="JLU28" s="501"/>
      <c r="JLV28" s="501"/>
      <c r="JLW28" s="501"/>
      <c r="JLX28" s="501"/>
      <c r="JLY28" s="501"/>
      <c r="JLZ28" s="501"/>
      <c r="JMA28" s="501"/>
      <c r="JMB28" s="501"/>
      <c r="JMC28" s="501"/>
      <c r="JMD28" s="501"/>
      <c r="JME28" s="501"/>
      <c r="JMF28" s="501"/>
      <c r="JMG28" s="501"/>
      <c r="JMH28" s="501"/>
      <c r="JMI28" s="501"/>
      <c r="JMJ28" s="501"/>
      <c r="JMK28" s="501"/>
      <c r="JML28" s="501"/>
      <c r="JMM28" s="501"/>
      <c r="JMN28" s="501"/>
      <c r="JMO28" s="501"/>
      <c r="JMP28" s="501"/>
      <c r="JMQ28" s="501"/>
      <c r="JMR28" s="501"/>
      <c r="JMS28" s="501"/>
      <c r="JMT28" s="501"/>
      <c r="JMU28" s="501"/>
      <c r="JMV28" s="501"/>
      <c r="JMW28" s="501"/>
      <c r="JMX28" s="501"/>
      <c r="JMY28" s="501"/>
      <c r="JMZ28" s="501"/>
      <c r="JNA28" s="501"/>
      <c r="JNB28" s="501"/>
      <c r="JNC28" s="501"/>
      <c r="JND28" s="501"/>
      <c r="JNE28" s="501"/>
      <c r="JNF28" s="501"/>
      <c r="JNG28" s="501"/>
      <c r="JNH28" s="501"/>
      <c r="JNI28" s="501"/>
      <c r="JNJ28" s="501"/>
      <c r="JNK28" s="501"/>
      <c r="JNL28" s="501"/>
      <c r="JNM28" s="501"/>
      <c r="JNN28" s="501"/>
      <c r="JNO28" s="501"/>
      <c r="JNP28" s="501"/>
      <c r="JNQ28" s="501"/>
      <c r="JNR28" s="501"/>
      <c r="JNS28" s="501"/>
      <c r="JNT28" s="501"/>
      <c r="JNU28" s="501"/>
      <c r="JNV28" s="501"/>
      <c r="JNW28" s="501"/>
      <c r="JNX28" s="501"/>
      <c r="JNY28" s="501"/>
      <c r="JNZ28" s="501"/>
      <c r="JOA28" s="501"/>
      <c r="JOB28" s="501"/>
      <c r="JOC28" s="501"/>
      <c r="JOD28" s="501"/>
      <c r="JOE28" s="501"/>
      <c r="JOF28" s="501"/>
      <c r="JOG28" s="501"/>
      <c r="JOH28" s="501"/>
      <c r="JOI28" s="501"/>
      <c r="JOJ28" s="501"/>
      <c r="JOK28" s="501"/>
      <c r="JOL28" s="501"/>
      <c r="JOM28" s="501"/>
      <c r="JON28" s="501"/>
      <c r="JOO28" s="501"/>
      <c r="JOP28" s="501"/>
      <c r="JOQ28" s="501"/>
      <c r="JOR28" s="501"/>
      <c r="JOS28" s="501"/>
      <c r="JOT28" s="501"/>
      <c r="JOU28" s="501"/>
      <c r="JOV28" s="501"/>
      <c r="JOW28" s="501"/>
      <c r="JOX28" s="501"/>
      <c r="JOY28" s="501"/>
      <c r="JOZ28" s="501"/>
      <c r="JPA28" s="501"/>
      <c r="JPB28" s="501"/>
      <c r="JPC28" s="501"/>
      <c r="JPD28" s="501"/>
      <c r="JPE28" s="501"/>
      <c r="JPF28" s="501"/>
      <c r="JPG28" s="501"/>
      <c r="JPH28" s="501"/>
      <c r="JPI28" s="501"/>
      <c r="JPJ28" s="501"/>
      <c r="JPK28" s="501"/>
      <c r="JPL28" s="501"/>
      <c r="JPM28" s="501"/>
      <c r="JPN28" s="501"/>
      <c r="JPO28" s="501"/>
      <c r="JPP28" s="501"/>
      <c r="JPQ28" s="501"/>
      <c r="JPR28" s="501"/>
      <c r="JPS28" s="501"/>
      <c r="JPT28" s="501"/>
      <c r="JPU28" s="501"/>
      <c r="JPV28" s="501"/>
      <c r="JPW28" s="501"/>
      <c r="JPX28" s="501"/>
      <c r="JPY28" s="501"/>
      <c r="JPZ28" s="501"/>
      <c r="JQA28" s="501"/>
      <c r="JQB28" s="501"/>
      <c r="JQC28" s="501"/>
      <c r="JQD28" s="501"/>
      <c r="JQE28" s="501"/>
      <c r="JQF28" s="501"/>
      <c r="JQG28" s="501"/>
      <c r="JQH28" s="501"/>
      <c r="JQI28" s="501"/>
      <c r="JQJ28" s="501"/>
      <c r="JQK28" s="501"/>
      <c r="JQL28" s="501"/>
      <c r="JQM28" s="501"/>
      <c r="JQN28" s="501"/>
      <c r="JQO28" s="501"/>
      <c r="JQP28" s="501"/>
      <c r="JQQ28" s="501"/>
      <c r="JQR28" s="501"/>
      <c r="JQS28" s="501"/>
      <c r="JQT28" s="501"/>
      <c r="JQU28" s="501"/>
      <c r="JQV28" s="501"/>
      <c r="JQW28" s="501"/>
      <c r="JQX28" s="501"/>
      <c r="JQY28" s="501"/>
      <c r="JQZ28" s="501"/>
      <c r="JRA28" s="501"/>
      <c r="JRB28" s="501"/>
      <c r="JRC28" s="501"/>
      <c r="JRD28" s="501"/>
      <c r="JRE28" s="501"/>
      <c r="JRF28" s="501"/>
      <c r="JRG28" s="501"/>
      <c r="JRH28" s="501"/>
      <c r="JRI28" s="501"/>
      <c r="JRJ28" s="501"/>
      <c r="JRK28" s="501"/>
      <c r="JRL28" s="501"/>
      <c r="JRM28" s="501"/>
      <c r="JRN28" s="501"/>
      <c r="JRO28" s="501"/>
      <c r="JRP28" s="501"/>
      <c r="JRQ28" s="501"/>
      <c r="JRR28" s="501"/>
      <c r="JRS28" s="501"/>
      <c r="JRT28" s="501"/>
      <c r="JRU28" s="501"/>
      <c r="JRV28" s="501"/>
      <c r="JRW28" s="501"/>
      <c r="JRX28" s="501"/>
      <c r="JRY28" s="501"/>
      <c r="JRZ28" s="501"/>
      <c r="JSA28" s="501"/>
      <c r="JSB28" s="501"/>
      <c r="JSC28" s="501"/>
      <c r="JSD28" s="501"/>
      <c r="JSE28" s="501"/>
      <c r="JSF28" s="501"/>
      <c r="JSG28" s="501"/>
      <c r="JSH28" s="501"/>
      <c r="JSI28" s="501"/>
      <c r="JSJ28" s="501"/>
      <c r="JSK28" s="501"/>
      <c r="JSL28" s="501"/>
      <c r="JSM28" s="501"/>
      <c r="JSN28" s="501"/>
      <c r="JSO28" s="501"/>
      <c r="JSP28" s="501"/>
      <c r="JSQ28" s="501"/>
      <c r="JSR28" s="501"/>
      <c r="JSS28" s="501"/>
      <c r="JST28" s="501"/>
      <c r="JSU28" s="501"/>
      <c r="JSV28" s="501"/>
      <c r="JSW28" s="501"/>
      <c r="JSX28" s="501"/>
      <c r="JSY28" s="501"/>
      <c r="JSZ28" s="501"/>
      <c r="JTA28" s="501"/>
      <c r="JTB28" s="501"/>
      <c r="JTC28" s="501"/>
      <c r="JTD28" s="501"/>
      <c r="JTE28" s="501"/>
      <c r="JTF28" s="501"/>
      <c r="JTG28" s="501"/>
      <c r="JTH28" s="501"/>
      <c r="JTI28" s="501"/>
      <c r="JTJ28" s="501"/>
      <c r="JTK28" s="501"/>
      <c r="JTL28" s="501"/>
      <c r="JTM28" s="501"/>
      <c r="JTN28" s="501"/>
      <c r="JTO28" s="501"/>
      <c r="JTP28" s="501"/>
      <c r="JTQ28" s="501"/>
      <c r="JTR28" s="501"/>
      <c r="JTS28" s="501"/>
      <c r="JTT28" s="501"/>
      <c r="JTU28" s="501"/>
      <c r="JTV28" s="501"/>
      <c r="JTW28" s="501"/>
      <c r="JTX28" s="501"/>
      <c r="JTY28" s="501"/>
      <c r="JTZ28" s="501"/>
      <c r="JUA28" s="501"/>
      <c r="JUB28" s="501"/>
      <c r="JUC28" s="501"/>
      <c r="JUD28" s="501"/>
      <c r="JUE28" s="501"/>
      <c r="JUF28" s="501"/>
      <c r="JUG28" s="501"/>
      <c r="JUH28" s="501"/>
      <c r="JUI28" s="501"/>
      <c r="JUJ28" s="501"/>
      <c r="JUK28" s="501"/>
      <c r="JUL28" s="501"/>
      <c r="JUM28" s="501"/>
      <c r="JUN28" s="501"/>
      <c r="JUO28" s="501"/>
      <c r="JUP28" s="501"/>
      <c r="JUQ28" s="501"/>
      <c r="JUR28" s="501"/>
      <c r="JUS28" s="501"/>
      <c r="JUT28" s="501"/>
      <c r="JUU28" s="501"/>
      <c r="JUV28" s="501"/>
      <c r="JUW28" s="501"/>
      <c r="JUX28" s="501"/>
      <c r="JUY28" s="501"/>
      <c r="JUZ28" s="501"/>
      <c r="JVA28" s="501"/>
      <c r="JVB28" s="501"/>
      <c r="JVC28" s="501"/>
      <c r="JVD28" s="501"/>
      <c r="JVE28" s="501"/>
      <c r="JVF28" s="501"/>
      <c r="JVG28" s="501"/>
      <c r="JVH28" s="501"/>
      <c r="JVI28" s="501"/>
      <c r="JVJ28" s="501"/>
      <c r="JVK28" s="501"/>
      <c r="JVL28" s="501"/>
      <c r="JVM28" s="501"/>
      <c r="JVN28" s="501"/>
      <c r="JVO28" s="501"/>
      <c r="JVP28" s="501"/>
      <c r="JVQ28" s="501"/>
      <c r="JVR28" s="501"/>
      <c r="JVS28" s="501"/>
      <c r="JVT28" s="501"/>
      <c r="JVU28" s="501"/>
      <c r="JVV28" s="501"/>
      <c r="JVW28" s="501"/>
      <c r="JVX28" s="501"/>
      <c r="JVY28" s="501"/>
      <c r="JVZ28" s="501"/>
      <c r="JWA28" s="501"/>
      <c r="JWB28" s="501"/>
      <c r="JWC28" s="501"/>
      <c r="JWD28" s="501"/>
      <c r="JWE28" s="501"/>
      <c r="JWF28" s="501"/>
      <c r="JWG28" s="501"/>
      <c r="JWH28" s="501"/>
      <c r="JWI28" s="501"/>
      <c r="JWJ28" s="501"/>
      <c r="JWK28" s="501"/>
      <c r="JWL28" s="501"/>
      <c r="JWM28" s="501"/>
      <c r="JWN28" s="501"/>
      <c r="JWO28" s="501"/>
      <c r="JWP28" s="501"/>
      <c r="JWQ28" s="501"/>
      <c r="JWR28" s="501"/>
      <c r="JWS28" s="501"/>
      <c r="JWT28" s="501"/>
      <c r="JWU28" s="501"/>
      <c r="JWV28" s="501"/>
      <c r="JWW28" s="501"/>
      <c r="JWX28" s="501"/>
      <c r="JWY28" s="501"/>
      <c r="JWZ28" s="501"/>
      <c r="JXA28" s="501"/>
      <c r="JXB28" s="501"/>
      <c r="JXC28" s="501"/>
      <c r="JXD28" s="501"/>
      <c r="JXE28" s="501"/>
      <c r="JXF28" s="501"/>
      <c r="JXG28" s="501"/>
      <c r="JXH28" s="501"/>
      <c r="JXI28" s="501"/>
      <c r="JXJ28" s="501"/>
      <c r="JXK28" s="501"/>
      <c r="JXL28" s="501"/>
      <c r="JXM28" s="501"/>
      <c r="JXN28" s="501"/>
      <c r="JXO28" s="501"/>
      <c r="JXP28" s="501"/>
      <c r="JXQ28" s="501"/>
      <c r="JXR28" s="501"/>
      <c r="JXS28" s="501"/>
      <c r="JXT28" s="501"/>
      <c r="JXU28" s="501"/>
      <c r="JXV28" s="501"/>
      <c r="JXW28" s="501"/>
      <c r="JXX28" s="501"/>
      <c r="JXY28" s="501"/>
      <c r="JXZ28" s="501"/>
      <c r="JYA28" s="501"/>
      <c r="JYB28" s="501"/>
      <c r="JYC28" s="501"/>
      <c r="JYD28" s="501"/>
      <c r="JYE28" s="501"/>
      <c r="JYF28" s="501"/>
      <c r="JYG28" s="501"/>
      <c r="JYH28" s="501"/>
      <c r="JYI28" s="501"/>
      <c r="JYJ28" s="501"/>
      <c r="JYK28" s="501"/>
      <c r="JYL28" s="501"/>
      <c r="JYM28" s="501"/>
      <c r="JYN28" s="501"/>
      <c r="JYO28" s="501"/>
      <c r="JYP28" s="501"/>
      <c r="JYQ28" s="501"/>
      <c r="JYR28" s="501"/>
      <c r="JYS28" s="501"/>
      <c r="JYT28" s="501"/>
      <c r="JYU28" s="501"/>
      <c r="JYV28" s="501"/>
      <c r="JYW28" s="501"/>
      <c r="JYX28" s="501"/>
      <c r="JYY28" s="501"/>
      <c r="JYZ28" s="501"/>
      <c r="JZA28" s="501"/>
      <c r="JZB28" s="501"/>
      <c r="JZC28" s="501"/>
      <c r="JZD28" s="501"/>
      <c r="JZE28" s="501"/>
      <c r="JZF28" s="501"/>
      <c r="JZG28" s="501"/>
      <c r="JZH28" s="501"/>
      <c r="JZI28" s="501"/>
      <c r="JZJ28" s="501"/>
      <c r="JZK28" s="501"/>
      <c r="JZL28" s="501"/>
      <c r="JZM28" s="501"/>
      <c r="JZN28" s="501"/>
      <c r="JZO28" s="501"/>
      <c r="JZP28" s="501"/>
      <c r="JZQ28" s="501"/>
      <c r="JZR28" s="501"/>
      <c r="JZS28" s="501"/>
      <c r="JZT28" s="501"/>
      <c r="JZU28" s="501"/>
      <c r="JZV28" s="501"/>
      <c r="JZW28" s="501"/>
      <c r="JZX28" s="501"/>
      <c r="JZY28" s="501"/>
      <c r="JZZ28" s="501"/>
      <c r="KAA28" s="501"/>
      <c r="KAB28" s="501"/>
      <c r="KAC28" s="501"/>
      <c r="KAD28" s="501"/>
      <c r="KAE28" s="501"/>
      <c r="KAF28" s="501"/>
      <c r="KAG28" s="501"/>
      <c r="KAH28" s="501"/>
      <c r="KAI28" s="501"/>
      <c r="KAJ28" s="501"/>
      <c r="KAK28" s="501"/>
      <c r="KAL28" s="501"/>
      <c r="KAM28" s="501"/>
      <c r="KAN28" s="501"/>
      <c r="KAO28" s="501"/>
      <c r="KAP28" s="501"/>
      <c r="KAQ28" s="501"/>
      <c r="KAR28" s="501"/>
      <c r="KAS28" s="501"/>
      <c r="KAT28" s="501"/>
      <c r="KAU28" s="501"/>
      <c r="KAV28" s="501"/>
      <c r="KAW28" s="501"/>
      <c r="KAX28" s="501"/>
      <c r="KAY28" s="501"/>
      <c r="KAZ28" s="501"/>
      <c r="KBA28" s="501"/>
      <c r="KBB28" s="501"/>
      <c r="KBC28" s="501"/>
      <c r="KBD28" s="501"/>
      <c r="KBE28" s="501"/>
      <c r="KBF28" s="501"/>
      <c r="KBG28" s="501"/>
      <c r="KBH28" s="501"/>
      <c r="KBI28" s="501"/>
      <c r="KBJ28" s="501"/>
      <c r="KBK28" s="501"/>
      <c r="KBL28" s="501"/>
      <c r="KBM28" s="501"/>
      <c r="KBN28" s="501"/>
      <c r="KBO28" s="501"/>
      <c r="KBP28" s="501"/>
      <c r="KBQ28" s="501"/>
      <c r="KBR28" s="501"/>
      <c r="KBS28" s="501"/>
      <c r="KBT28" s="501"/>
      <c r="KBU28" s="501"/>
      <c r="KBV28" s="501"/>
      <c r="KBW28" s="501"/>
      <c r="KBX28" s="501"/>
      <c r="KBY28" s="501"/>
      <c r="KBZ28" s="501"/>
      <c r="KCA28" s="501"/>
      <c r="KCB28" s="501"/>
      <c r="KCC28" s="501"/>
      <c r="KCD28" s="501"/>
      <c r="KCE28" s="501"/>
      <c r="KCF28" s="501"/>
      <c r="KCG28" s="501"/>
      <c r="KCH28" s="501"/>
      <c r="KCI28" s="501"/>
      <c r="KCJ28" s="501"/>
      <c r="KCK28" s="501"/>
      <c r="KCL28" s="501"/>
      <c r="KCM28" s="501"/>
      <c r="KCN28" s="501"/>
      <c r="KCO28" s="501"/>
      <c r="KCP28" s="501"/>
      <c r="KCQ28" s="501"/>
      <c r="KCR28" s="501"/>
      <c r="KCS28" s="501"/>
      <c r="KCT28" s="501"/>
      <c r="KCU28" s="501"/>
      <c r="KCV28" s="501"/>
      <c r="KCW28" s="501"/>
      <c r="KCX28" s="501"/>
      <c r="KCY28" s="501"/>
      <c r="KCZ28" s="501"/>
      <c r="KDA28" s="501"/>
      <c r="KDB28" s="501"/>
      <c r="KDC28" s="501"/>
      <c r="KDD28" s="501"/>
      <c r="KDE28" s="501"/>
      <c r="KDF28" s="501"/>
      <c r="KDG28" s="501"/>
      <c r="KDH28" s="501"/>
      <c r="KDI28" s="501"/>
      <c r="KDJ28" s="501"/>
      <c r="KDK28" s="501"/>
      <c r="KDL28" s="501"/>
      <c r="KDM28" s="501"/>
      <c r="KDN28" s="501"/>
      <c r="KDO28" s="501"/>
      <c r="KDP28" s="501"/>
      <c r="KDQ28" s="501"/>
      <c r="KDR28" s="501"/>
      <c r="KDS28" s="501"/>
      <c r="KDT28" s="501"/>
      <c r="KDU28" s="501"/>
      <c r="KDV28" s="501"/>
      <c r="KDW28" s="501"/>
      <c r="KDX28" s="501"/>
      <c r="KDY28" s="501"/>
      <c r="KDZ28" s="501"/>
      <c r="KEA28" s="501"/>
      <c r="KEB28" s="501"/>
      <c r="KEC28" s="501"/>
      <c r="KED28" s="501"/>
      <c r="KEE28" s="501"/>
      <c r="KEF28" s="501"/>
      <c r="KEG28" s="501"/>
      <c r="KEH28" s="501"/>
      <c r="KEI28" s="501"/>
      <c r="KEJ28" s="501"/>
      <c r="KEK28" s="501"/>
      <c r="KEL28" s="501"/>
      <c r="KEM28" s="501"/>
      <c r="KEN28" s="501"/>
      <c r="KEO28" s="501"/>
      <c r="KEP28" s="501"/>
      <c r="KEQ28" s="501"/>
      <c r="KER28" s="501"/>
      <c r="KES28" s="501"/>
      <c r="KET28" s="501"/>
      <c r="KEU28" s="501"/>
      <c r="KEV28" s="501"/>
      <c r="KEW28" s="501"/>
      <c r="KEX28" s="501"/>
      <c r="KEY28" s="501"/>
      <c r="KEZ28" s="501"/>
      <c r="KFA28" s="501"/>
      <c r="KFB28" s="501"/>
      <c r="KFC28" s="501"/>
      <c r="KFD28" s="501"/>
      <c r="KFE28" s="501"/>
      <c r="KFF28" s="501"/>
      <c r="KFG28" s="501"/>
      <c r="KFH28" s="501"/>
      <c r="KFI28" s="501"/>
      <c r="KFJ28" s="501"/>
      <c r="KFK28" s="501"/>
      <c r="KFL28" s="501"/>
      <c r="KFM28" s="501"/>
      <c r="KFN28" s="501"/>
      <c r="KFO28" s="501"/>
      <c r="KFP28" s="501"/>
      <c r="KFQ28" s="501"/>
      <c r="KFR28" s="501"/>
      <c r="KFS28" s="501"/>
      <c r="KFT28" s="501"/>
      <c r="KFU28" s="501"/>
      <c r="KFV28" s="501"/>
      <c r="KFW28" s="501"/>
      <c r="KFX28" s="501"/>
      <c r="KFY28" s="501"/>
      <c r="KFZ28" s="501"/>
      <c r="KGA28" s="501"/>
      <c r="KGB28" s="501"/>
      <c r="KGC28" s="501"/>
      <c r="KGD28" s="501"/>
      <c r="KGE28" s="501"/>
      <c r="KGF28" s="501"/>
      <c r="KGG28" s="501"/>
      <c r="KGH28" s="501"/>
      <c r="KGI28" s="501"/>
      <c r="KGJ28" s="501"/>
      <c r="KGK28" s="501"/>
      <c r="KGL28" s="501"/>
      <c r="KGM28" s="501"/>
      <c r="KGN28" s="501"/>
      <c r="KGO28" s="501"/>
      <c r="KGP28" s="501"/>
      <c r="KGQ28" s="501"/>
      <c r="KGR28" s="501"/>
      <c r="KGS28" s="501"/>
      <c r="KGT28" s="501"/>
      <c r="KGU28" s="501"/>
      <c r="KGV28" s="501"/>
      <c r="KGW28" s="501"/>
      <c r="KGX28" s="501"/>
      <c r="KGY28" s="501"/>
      <c r="KGZ28" s="501"/>
      <c r="KHA28" s="501"/>
      <c r="KHB28" s="501"/>
      <c r="KHC28" s="501"/>
      <c r="KHD28" s="501"/>
      <c r="KHE28" s="501"/>
      <c r="KHF28" s="501"/>
      <c r="KHG28" s="501"/>
      <c r="KHH28" s="501"/>
      <c r="KHI28" s="501"/>
      <c r="KHJ28" s="501"/>
      <c r="KHK28" s="501"/>
      <c r="KHL28" s="501"/>
      <c r="KHM28" s="501"/>
      <c r="KHN28" s="501"/>
      <c r="KHO28" s="501"/>
      <c r="KHP28" s="501"/>
      <c r="KHQ28" s="501"/>
      <c r="KHR28" s="501"/>
      <c r="KHS28" s="501"/>
      <c r="KHT28" s="501"/>
      <c r="KHU28" s="501"/>
      <c r="KHV28" s="501"/>
      <c r="KHW28" s="501"/>
      <c r="KHX28" s="501"/>
      <c r="KHY28" s="501"/>
      <c r="KHZ28" s="501"/>
      <c r="KIA28" s="501"/>
      <c r="KIB28" s="501"/>
      <c r="KIC28" s="501"/>
      <c r="KID28" s="501"/>
      <c r="KIE28" s="501"/>
      <c r="KIF28" s="501"/>
      <c r="KIG28" s="501"/>
      <c r="KIH28" s="501"/>
      <c r="KII28" s="501"/>
      <c r="KIJ28" s="501"/>
      <c r="KIK28" s="501"/>
      <c r="KIL28" s="501"/>
      <c r="KIM28" s="501"/>
      <c r="KIN28" s="501"/>
      <c r="KIO28" s="501"/>
      <c r="KIP28" s="501"/>
      <c r="KIQ28" s="501"/>
      <c r="KIR28" s="501"/>
      <c r="KIS28" s="501"/>
      <c r="KIT28" s="501"/>
      <c r="KIU28" s="501"/>
      <c r="KIV28" s="501"/>
      <c r="KIW28" s="501"/>
      <c r="KIX28" s="501"/>
      <c r="KIY28" s="501"/>
      <c r="KIZ28" s="501"/>
      <c r="KJA28" s="501"/>
      <c r="KJB28" s="501"/>
      <c r="KJC28" s="501"/>
      <c r="KJD28" s="501"/>
      <c r="KJE28" s="501"/>
      <c r="KJF28" s="501"/>
      <c r="KJG28" s="501"/>
      <c r="KJH28" s="501"/>
      <c r="KJI28" s="501"/>
      <c r="KJJ28" s="501"/>
      <c r="KJK28" s="501"/>
      <c r="KJL28" s="501"/>
      <c r="KJM28" s="501"/>
      <c r="KJN28" s="501"/>
      <c r="KJO28" s="501"/>
      <c r="KJP28" s="501"/>
      <c r="KJQ28" s="501"/>
      <c r="KJR28" s="501"/>
      <c r="KJS28" s="501"/>
      <c r="KJT28" s="501"/>
      <c r="KJU28" s="501"/>
      <c r="KJV28" s="501"/>
      <c r="KJW28" s="501"/>
      <c r="KJX28" s="501"/>
      <c r="KJY28" s="501"/>
      <c r="KJZ28" s="501"/>
      <c r="KKA28" s="501"/>
      <c r="KKB28" s="501"/>
      <c r="KKC28" s="501"/>
      <c r="KKD28" s="501"/>
      <c r="KKE28" s="501"/>
      <c r="KKF28" s="501"/>
      <c r="KKG28" s="501"/>
      <c r="KKH28" s="501"/>
      <c r="KKI28" s="501"/>
      <c r="KKJ28" s="501"/>
      <c r="KKK28" s="501"/>
      <c r="KKL28" s="501"/>
      <c r="KKM28" s="501"/>
      <c r="KKN28" s="501"/>
      <c r="KKO28" s="501"/>
      <c r="KKP28" s="501"/>
      <c r="KKQ28" s="501"/>
      <c r="KKR28" s="501"/>
      <c r="KKS28" s="501"/>
      <c r="KKT28" s="501"/>
      <c r="KKU28" s="501"/>
      <c r="KKV28" s="501"/>
      <c r="KKW28" s="501"/>
      <c r="KKX28" s="501"/>
      <c r="KKY28" s="501"/>
      <c r="KKZ28" s="501"/>
      <c r="KLA28" s="501"/>
      <c r="KLB28" s="501"/>
      <c r="KLC28" s="501"/>
      <c r="KLD28" s="501"/>
      <c r="KLE28" s="501"/>
      <c r="KLF28" s="501"/>
      <c r="KLG28" s="501"/>
      <c r="KLH28" s="501"/>
      <c r="KLI28" s="501"/>
      <c r="KLJ28" s="501"/>
      <c r="KLK28" s="501"/>
      <c r="KLL28" s="501"/>
      <c r="KLM28" s="501"/>
      <c r="KLN28" s="501"/>
      <c r="KLO28" s="501"/>
      <c r="KLP28" s="501"/>
      <c r="KLQ28" s="501"/>
      <c r="KLR28" s="501"/>
      <c r="KLS28" s="501"/>
      <c r="KLT28" s="501"/>
      <c r="KLU28" s="501"/>
      <c r="KLV28" s="501"/>
      <c r="KLW28" s="501"/>
      <c r="KLX28" s="501"/>
      <c r="KLY28" s="501"/>
      <c r="KLZ28" s="501"/>
      <c r="KMA28" s="501"/>
      <c r="KMB28" s="501"/>
      <c r="KMC28" s="501"/>
      <c r="KMD28" s="501"/>
      <c r="KME28" s="501"/>
      <c r="KMF28" s="501"/>
      <c r="KMG28" s="501"/>
      <c r="KMH28" s="501"/>
      <c r="KMI28" s="501"/>
      <c r="KMJ28" s="501"/>
      <c r="KMK28" s="501"/>
      <c r="KML28" s="501"/>
      <c r="KMM28" s="501"/>
      <c r="KMN28" s="501"/>
      <c r="KMO28" s="501"/>
      <c r="KMP28" s="501"/>
      <c r="KMQ28" s="501"/>
      <c r="KMR28" s="501"/>
      <c r="KMS28" s="501"/>
      <c r="KMT28" s="501"/>
      <c r="KMU28" s="501"/>
      <c r="KMV28" s="501"/>
      <c r="KMW28" s="501"/>
      <c r="KMX28" s="501"/>
      <c r="KMY28" s="501"/>
      <c r="KMZ28" s="501"/>
      <c r="KNA28" s="501"/>
      <c r="KNB28" s="501"/>
      <c r="KNC28" s="501"/>
      <c r="KND28" s="501"/>
      <c r="KNE28" s="501"/>
      <c r="KNF28" s="501"/>
      <c r="KNG28" s="501"/>
      <c r="KNH28" s="501"/>
      <c r="KNI28" s="501"/>
      <c r="KNJ28" s="501"/>
      <c r="KNK28" s="501"/>
      <c r="KNL28" s="501"/>
      <c r="KNM28" s="501"/>
      <c r="KNN28" s="501"/>
      <c r="KNO28" s="501"/>
      <c r="KNP28" s="501"/>
      <c r="KNQ28" s="501"/>
      <c r="KNR28" s="501"/>
      <c r="KNS28" s="501"/>
      <c r="KNT28" s="501"/>
      <c r="KNU28" s="501"/>
      <c r="KNV28" s="501"/>
      <c r="KNW28" s="501"/>
      <c r="KNX28" s="501"/>
      <c r="KNY28" s="501"/>
      <c r="KNZ28" s="501"/>
      <c r="KOA28" s="501"/>
      <c r="KOB28" s="501"/>
      <c r="KOC28" s="501"/>
      <c r="KOD28" s="501"/>
      <c r="KOE28" s="501"/>
      <c r="KOF28" s="501"/>
      <c r="KOG28" s="501"/>
      <c r="KOH28" s="501"/>
      <c r="KOI28" s="501"/>
      <c r="KOJ28" s="501"/>
      <c r="KOK28" s="501"/>
      <c r="KOL28" s="501"/>
      <c r="KOM28" s="501"/>
      <c r="KON28" s="501"/>
      <c r="KOO28" s="501"/>
      <c r="KOP28" s="501"/>
      <c r="KOQ28" s="501"/>
      <c r="KOR28" s="501"/>
      <c r="KOS28" s="501"/>
      <c r="KOT28" s="501"/>
      <c r="KOU28" s="501"/>
      <c r="KOV28" s="501"/>
      <c r="KOW28" s="501"/>
      <c r="KOX28" s="501"/>
      <c r="KOY28" s="501"/>
      <c r="KOZ28" s="501"/>
      <c r="KPA28" s="501"/>
      <c r="KPB28" s="501"/>
      <c r="KPC28" s="501"/>
      <c r="KPD28" s="501"/>
      <c r="KPE28" s="501"/>
      <c r="KPF28" s="501"/>
      <c r="KPG28" s="501"/>
      <c r="KPH28" s="501"/>
      <c r="KPI28" s="501"/>
      <c r="KPJ28" s="501"/>
      <c r="KPK28" s="501"/>
      <c r="KPL28" s="501"/>
      <c r="KPM28" s="501"/>
      <c r="KPN28" s="501"/>
      <c r="KPO28" s="501"/>
      <c r="KPP28" s="501"/>
      <c r="KPQ28" s="501"/>
      <c r="KPR28" s="501"/>
      <c r="KPS28" s="501"/>
      <c r="KPT28" s="501"/>
      <c r="KPU28" s="501"/>
      <c r="KPV28" s="501"/>
      <c r="KPW28" s="501"/>
      <c r="KPX28" s="501"/>
      <c r="KPY28" s="501"/>
      <c r="KPZ28" s="501"/>
      <c r="KQA28" s="501"/>
      <c r="KQB28" s="501"/>
      <c r="KQC28" s="501"/>
      <c r="KQD28" s="501"/>
      <c r="KQE28" s="501"/>
      <c r="KQF28" s="501"/>
      <c r="KQG28" s="501"/>
      <c r="KQH28" s="501"/>
      <c r="KQI28" s="501"/>
      <c r="KQJ28" s="501"/>
      <c r="KQK28" s="501"/>
      <c r="KQL28" s="501"/>
      <c r="KQM28" s="501"/>
      <c r="KQN28" s="501"/>
      <c r="KQO28" s="501"/>
      <c r="KQP28" s="501"/>
      <c r="KQQ28" s="501"/>
      <c r="KQR28" s="501"/>
      <c r="KQS28" s="501"/>
      <c r="KQT28" s="501"/>
      <c r="KQU28" s="501"/>
      <c r="KQV28" s="501"/>
      <c r="KQW28" s="501"/>
      <c r="KQX28" s="501"/>
      <c r="KQY28" s="501"/>
      <c r="KQZ28" s="501"/>
      <c r="KRA28" s="501"/>
      <c r="KRB28" s="501"/>
      <c r="KRC28" s="501"/>
      <c r="KRD28" s="501"/>
      <c r="KRE28" s="501"/>
      <c r="KRF28" s="501"/>
      <c r="KRG28" s="501"/>
      <c r="KRH28" s="501"/>
      <c r="KRI28" s="501"/>
      <c r="KRJ28" s="501"/>
      <c r="KRK28" s="501"/>
      <c r="KRL28" s="501"/>
      <c r="KRM28" s="501"/>
      <c r="KRN28" s="501"/>
      <c r="KRO28" s="501"/>
      <c r="KRP28" s="501"/>
      <c r="KRQ28" s="501"/>
      <c r="KRR28" s="501"/>
      <c r="KRS28" s="501"/>
      <c r="KRT28" s="501"/>
      <c r="KRU28" s="501"/>
      <c r="KRV28" s="501"/>
      <c r="KRW28" s="501"/>
      <c r="KRX28" s="501"/>
      <c r="KRY28" s="501"/>
      <c r="KRZ28" s="501"/>
      <c r="KSA28" s="501"/>
      <c r="KSB28" s="501"/>
      <c r="KSC28" s="501"/>
      <c r="KSD28" s="501"/>
      <c r="KSE28" s="501"/>
      <c r="KSF28" s="501"/>
      <c r="KSG28" s="501"/>
      <c r="KSH28" s="501"/>
      <c r="KSI28" s="501"/>
      <c r="KSJ28" s="501"/>
      <c r="KSK28" s="501"/>
      <c r="KSL28" s="501"/>
      <c r="KSM28" s="501"/>
      <c r="KSN28" s="501"/>
      <c r="KSO28" s="501"/>
      <c r="KSP28" s="501"/>
      <c r="KSQ28" s="501"/>
      <c r="KSR28" s="501"/>
      <c r="KSS28" s="501"/>
      <c r="KST28" s="501"/>
      <c r="KSU28" s="501"/>
      <c r="KSV28" s="501"/>
      <c r="KSW28" s="501"/>
      <c r="KSX28" s="501"/>
      <c r="KSY28" s="501"/>
      <c r="KSZ28" s="501"/>
      <c r="KTA28" s="501"/>
      <c r="KTB28" s="501"/>
      <c r="KTC28" s="501"/>
      <c r="KTD28" s="501"/>
      <c r="KTE28" s="501"/>
      <c r="KTF28" s="501"/>
      <c r="KTG28" s="501"/>
      <c r="KTH28" s="501"/>
      <c r="KTI28" s="501"/>
      <c r="KTJ28" s="501"/>
      <c r="KTK28" s="501"/>
      <c r="KTL28" s="501"/>
      <c r="KTM28" s="501"/>
      <c r="KTN28" s="501"/>
      <c r="KTO28" s="501"/>
      <c r="KTP28" s="501"/>
      <c r="KTQ28" s="501"/>
      <c r="KTR28" s="501"/>
      <c r="KTS28" s="501"/>
      <c r="KTT28" s="501"/>
      <c r="KTU28" s="501"/>
      <c r="KTV28" s="501"/>
      <c r="KTW28" s="501"/>
      <c r="KTX28" s="501"/>
      <c r="KTY28" s="501"/>
      <c r="KTZ28" s="501"/>
      <c r="KUA28" s="501"/>
      <c r="KUB28" s="501"/>
      <c r="KUC28" s="501"/>
      <c r="KUD28" s="501"/>
      <c r="KUE28" s="501"/>
      <c r="KUF28" s="501"/>
      <c r="KUG28" s="501"/>
      <c r="KUH28" s="501"/>
      <c r="KUI28" s="501"/>
      <c r="KUJ28" s="501"/>
      <c r="KUK28" s="501"/>
      <c r="KUL28" s="501"/>
      <c r="KUM28" s="501"/>
      <c r="KUN28" s="501"/>
      <c r="KUO28" s="501"/>
      <c r="KUP28" s="501"/>
      <c r="KUQ28" s="501"/>
      <c r="KUR28" s="501"/>
      <c r="KUS28" s="501"/>
      <c r="KUT28" s="501"/>
      <c r="KUU28" s="501"/>
      <c r="KUV28" s="501"/>
      <c r="KUW28" s="501"/>
      <c r="KUX28" s="501"/>
      <c r="KUY28" s="501"/>
      <c r="KUZ28" s="501"/>
      <c r="KVA28" s="501"/>
      <c r="KVB28" s="501"/>
      <c r="KVC28" s="501"/>
      <c r="KVD28" s="501"/>
      <c r="KVE28" s="501"/>
      <c r="KVF28" s="501"/>
      <c r="KVG28" s="501"/>
      <c r="KVH28" s="501"/>
      <c r="KVI28" s="501"/>
      <c r="KVJ28" s="501"/>
      <c r="KVK28" s="501"/>
      <c r="KVL28" s="501"/>
      <c r="KVM28" s="501"/>
      <c r="KVN28" s="501"/>
      <c r="KVO28" s="501"/>
      <c r="KVP28" s="501"/>
      <c r="KVQ28" s="501"/>
      <c r="KVR28" s="501"/>
      <c r="KVS28" s="501"/>
      <c r="KVT28" s="501"/>
      <c r="KVU28" s="501"/>
      <c r="KVV28" s="501"/>
      <c r="KVW28" s="501"/>
      <c r="KVX28" s="501"/>
      <c r="KVY28" s="501"/>
      <c r="KVZ28" s="501"/>
      <c r="KWA28" s="501"/>
      <c r="KWB28" s="501"/>
      <c r="KWC28" s="501"/>
      <c r="KWD28" s="501"/>
      <c r="KWE28" s="501"/>
      <c r="KWF28" s="501"/>
      <c r="KWG28" s="501"/>
      <c r="KWH28" s="501"/>
      <c r="KWI28" s="501"/>
      <c r="KWJ28" s="501"/>
      <c r="KWK28" s="501"/>
      <c r="KWL28" s="501"/>
      <c r="KWM28" s="501"/>
      <c r="KWN28" s="501"/>
      <c r="KWO28" s="501"/>
      <c r="KWP28" s="501"/>
      <c r="KWQ28" s="501"/>
      <c r="KWR28" s="501"/>
      <c r="KWS28" s="501"/>
      <c r="KWT28" s="501"/>
      <c r="KWU28" s="501"/>
      <c r="KWV28" s="501"/>
      <c r="KWW28" s="501"/>
      <c r="KWX28" s="501"/>
      <c r="KWY28" s="501"/>
      <c r="KWZ28" s="501"/>
      <c r="KXA28" s="501"/>
      <c r="KXB28" s="501"/>
      <c r="KXC28" s="501"/>
      <c r="KXD28" s="501"/>
      <c r="KXE28" s="501"/>
      <c r="KXF28" s="501"/>
      <c r="KXG28" s="501"/>
      <c r="KXH28" s="501"/>
      <c r="KXI28" s="501"/>
      <c r="KXJ28" s="501"/>
      <c r="KXK28" s="501"/>
      <c r="KXL28" s="501"/>
      <c r="KXM28" s="501"/>
      <c r="KXN28" s="501"/>
      <c r="KXO28" s="501"/>
      <c r="KXP28" s="501"/>
      <c r="KXQ28" s="501"/>
      <c r="KXR28" s="501"/>
      <c r="KXS28" s="501"/>
      <c r="KXT28" s="501"/>
      <c r="KXU28" s="501"/>
      <c r="KXV28" s="501"/>
      <c r="KXW28" s="501"/>
      <c r="KXX28" s="501"/>
      <c r="KXY28" s="501"/>
      <c r="KXZ28" s="501"/>
      <c r="KYA28" s="501"/>
      <c r="KYB28" s="501"/>
      <c r="KYC28" s="501"/>
      <c r="KYD28" s="501"/>
      <c r="KYE28" s="501"/>
      <c r="KYF28" s="501"/>
      <c r="KYG28" s="501"/>
      <c r="KYH28" s="501"/>
      <c r="KYI28" s="501"/>
      <c r="KYJ28" s="501"/>
      <c r="KYK28" s="501"/>
      <c r="KYL28" s="501"/>
      <c r="KYM28" s="501"/>
      <c r="KYN28" s="501"/>
      <c r="KYO28" s="501"/>
      <c r="KYP28" s="501"/>
      <c r="KYQ28" s="501"/>
      <c r="KYR28" s="501"/>
      <c r="KYS28" s="501"/>
      <c r="KYT28" s="501"/>
      <c r="KYU28" s="501"/>
      <c r="KYV28" s="501"/>
      <c r="KYW28" s="501"/>
      <c r="KYX28" s="501"/>
      <c r="KYY28" s="501"/>
      <c r="KYZ28" s="501"/>
      <c r="KZA28" s="501"/>
      <c r="KZB28" s="501"/>
      <c r="KZC28" s="501"/>
      <c r="KZD28" s="501"/>
      <c r="KZE28" s="501"/>
      <c r="KZF28" s="501"/>
      <c r="KZG28" s="501"/>
      <c r="KZH28" s="501"/>
      <c r="KZI28" s="501"/>
      <c r="KZJ28" s="501"/>
      <c r="KZK28" s="501"/>
      <c r="KZL28" s="501"/>
      <c r="KZM28" s="501"/>
      <c r="KZN28" s="501"/>
      <c r="KZO28" s="501"/>
      <c r="KZP28" s="501"/>
      <c r="KZQ28" s="501"/>
      <c r="KZR28" s="501"/>
      <c r="KZS28" s="501"/>
      <c r="KZT28" s="501"/>
      <c r="KZU28" s="501"/>
      <c r="KZV28" s="501"/>
      <c r="KZW28" s="501"/>
      <c r="KZX28" s="501"/>
      <c r="KZY28" s="501"/>
      <c r="KZZ28" s="501"/>
      <c r="LAA28" s="501"/>
      <c r="LAB28" s="501"/>
      <c r="LAC28" s="501"/>
      <c r="LAD28" s="501"/>
      <c r="LAE28" s="501"/>
      <c r="LAF28" s="501"/>
      <c r="LAG28" s="501"/>
      <c r="LAH28" s="501"/>
      <c r="LAI28" s="501"/>
      <c r="LAJ28" s="501"/>
      <c r="LAK28" s="501"/>
      <c r="LAL28" s="501"/>
      <c r="LAM28" s="501"/>
      <c r="LAN28" s="501"/>
      <c r="LAO28" s="501"/>
      <c r="LAP28" s="501"/>
      <c r="LAQ28" s="501"/>
      <c r="LAR28" s="501"/>
      <c r="LAS28" s="501"/>
      <c r="LAT28" s="501"/>
      <c r="LAU28" s="501"/>
      <c r="LAV28" s="501"/>
      <c r="LAW28" s="501"/>
      <c r="LAX28" s="501"/>
      <c r="LAY28" s="501"/>
      <c r="LAZ28" s="501"/>
      <c r="LBA28" s="501"/>
      <c r="LBB28" s="501"/>
      <c r="LBC28" s="501"/>
      <c r="LBD28" s="501"/>
      <c r="LBE28" s="501"/>
      <c r="LBF28" s="501"/>
      <c r="LBG28" s="501"/>
      <c r="LBH28" s="501"/>
      <c r="LBI28" s="501"/>
      <c r="LBJ28" s="501"/>
      <c r="LBK28" s="501"/>
      <c r="LBL28" s="501"/>
      <c r="LBM28" s="501"/>
      <c r="LBN28" s="501"/>
      <c r="LBO28" s="501"/>
      <c r="LBP28" s="501"/>
      <c r="LBQ28" s="501"/>
      <c r="LBR28" s="501"/>
      <c r="LBS28" s="501"/>
      <c r="LBT28" s="501"/>
      <c r="LBU28" s="501"/>
      <c r="LBV28" s="501"/>
      <c r="LBW28" s="501"/>
      <c r="LBX28" s="501"/>
      <c r="LBY28" s="501"/>
      <c r="LBZ28" s="501"/>
      <c r="LCA28" s="501"/>
      <c r="LCB28" s="501"/>
      <c r="LCC28" s="501"/>
      <c r="LCD28" s="501"/>
      <c r="LCE28" s="501"/>
      <c r="LCF28" s="501"/>
      <c r="LCG28" s="501"/>
      <c r="LCH28" s="501"/>
      <c r="LCI28" s="501"/>
      <c r="LCJ28" s="501"/>
      <c r="LCK28" s="501"/>
      <c r="LCL28" s="501"/>
      <c r="LCM28" s="501"/>
      <c r="LCN28" s="501"/>
      <c r="LCO28" s="501"/>
      <c r="LCP28" s="501"/>
      <c r="LCQ28" s="501"/>
      <c r="LCR28" s="501"/>
      <c r="LCS28" s="501"/>
      <c r="LCT28" s="501"/>
      <c r="LCU28" s="501"/>
      <c r="LCV28" s="501"/>
      <c r="LCW28" s="501"/>
      <c r="LCX28" s="501"/>
      <c r="LCY28" s="501"/>
      <c r="LCZ28" s="501"/>
      <c r="LDA28" s="501"/>
      <c r="LDB28" s="501"/>
      <c r="LDC28" s="501"/>
      <c r="LDD28" s="501"/>
      <c r="LDE28" s="501"/>
      <c r="LDF28" s="501"/>
      <c r="LDG28" s="501"/>
      <c r="LDH28" s="501"/>
      <c r="LDI28" s="501"/>
      <c r="LDJ28" s="501"/>
      <c r="LDK28" s="501"/>
      <c r="LDL28" s="501"/>
      <c r="LDM28" s="501"/>
      <c r="LDN28" s="501"/>
      <c r="LDO28" s="501"/>
      <c r="LDP28" s="501"/>
      <c r="LDQ28" s="501"/>
      <c r="LDR28" s="501"/>
      <c r="LDS28" s="501"/>
      <c r="LDT28" s="501"/>
      <c r="LDU28" s="501"/>
      <c r="LDV28" s="501"/>
      <c r="LDW28" s="501"/>
      <c r="LDX28" s="501"/>
      <c r="LDY28" s="501"/>
      <c r="LDZ28" s="501"/>
      <c r="LEA28" s="501"/>
      <c r="LEB28" s="501"/>
      <c r="LEC28" s="501"/>
      <c r="LED28" s="501"/>
      <c r="LEE28" s="501"/>
      <c r="LEF28" s="501"/>
      <c r="LEG28" s="501"/>
      <c r="LEH28" s="501"/>
      <c r="LEI28" s="501"/>
      <c r="LEJ28" s="501"/>
      <c r="LEK28" s="501"/>
      <c r="LEL28" s="501"/>
      <c r="LEM28" s="501"/>
      <c r="LEN28" s="501"/>
      <c r="LEO28" s="501"/>
      <c r="LEP28" s="501"/>
      <c r="LEQ28" s="501"/>
      <c r="LER28" s="501"/>
      <c r="LES28" s="501"/>
      <c r="LET28" s="501"/>
      <c r="LEU28" s="501"/>
      <c r="LEV28" s="501"/>
      <c r="LEW28" s="501"/>
      <c r="LEX28" s="501"/>
      <c r="LEY28" s="501"/>
      <c r="LEZ28" s="501"/>
      <c r="LFA28" s="501"/>
      <c r="LFB28" s="501"/>
      <c r="LFC28" s="501"/>
      <c r="LFD28" s="501"/>
      <c r="LFE28" s="501"/>
      <c r="LFF28" s="501"/>
      <c r="LFG28" s="501"/>
      <c r="LFH28" s="501"/>
      <c r="LFI28" s="501"/>
      <c r="LFJ28" s="501"/>
      <c r="LFK28" s="501"/>
      <c r="LFL28" s="501"/>
      <c r="LFM28" s="501"/>
      <c r="LFN28" s="501"/>
      <c r="LFO28" s="501"/>
      <c r="LFP28" s="501"/>
      <c r="LFQ28" s="501"/>
      <c r="LFR28" s="501"/>
      <c r="LFS28" s="501"/>
      <c r="LFT28" s="501"/>
      <c r="LFU28" s="501"/>
      <c r="LFV28" s="501"/>
      <c r="LFW28" s="501"/>
      <c r="LFX28" s="501"/>
      <c r="LFY28" s="501"/>
      <c r="LFZ28" s="501"/>
      <c r="LGA28" s="501"/>
      <c r="LGB28" s="501"/>
      <c r="LGC28" s="501"/>
      <c r="LGD28" s="501"/>
      <c r="LGE28" s="501"/>
      <c r="LGF28" s="501"/>
      <c r="LGG28" s="501"/>
      <c r="LGH28" s="501"/>
      <c r="LGI28" s="501"/>
      <c r="LGJ28" s="501"/>
      <c r="LGK28" s="501"/>
      <c r="LGL28" s="501"/>
      <c r="LGM28" s="501"/>
      <c r="LGN28" s="501"/>
      <c r="LGO28" s="501"/>
      <c r="LGP28" s="501"/>
      <c r="LGQ28" s="501"/>
      <c r="LGR28" s="501"/>
      <c r="LGS28" s="501"/>
      <c r="LGT28" s="501"/>
      <c r="LGU28" s="501"/>
      <c r="LGV28" s="501"/>
      <c r="LGW28" s="501"/>
      <c r="LGX28" s="501"/>
      <c r="LGY28" s="501"/>
      <c r="LGZ28" s="501"/>
      <c r="LHA28" s="501"/>
      <c r="LHB28" s="501"/>
      <c r="LHC28" s="501"/>
      <c r="LHD28" s="501"/>
      <c r="LHE28" s="501"/>
      <c r="LHF28" s="501"/>
      <c r="LHG28" s="501"/>
      <c r="LHH28" s="501"/>
      <c r="LHI28" s="501"/>
      <c r="LHJ28" s="501"/>
      <c r="LHK28" s="501"/>
      <c r="LHL28" s="501"/>
      <c r="LHM28" s="501"/>
      <c r="LHN28" s="501"/>
      <c r="LHO28" s="501"/>
      <c r="LHP28" s="501"/>
      <c r="LHQ28" s="501"/>
      <c r="LHR28" s="501"/>
      <c r="LHS28" s="501"/>
      <c r="LHT28" s="501"/>
      <c r="LHU28" s="501"/>
      <c r="LHV28" s="501"/>
      <c r="LHW28" s="501"/>
      <c r="LHX28" s="501"/>
      <c r="LHY28" s="501"/>
      <c r="LHZ28" s="501"/>
      <c r="LIA28" s="501"/>
      <c r="LIB28" s="501"/>
      <c r="LIC28" s="501"/>
      <c r="LID28" s="501"/>
      <c r="LIE28" s="501"/>
      <c r="LIF28" s="501"/>
      <c r="LIG28" s="501"/>
      <c r="LIH28" s="501"/>
      <c r="LII28" s="501"/>
      <c r="LIJ28" s="501"/>
      <c r="LIK28" s="501"/>
      <c r="LIL28" s="501"/>
      <c r="LIM28" s="501"/>
      <c r="LIN28" s="501"/>
      <c r="LIO28" s="501"/>
      <c r="LIP28" s="501"/>
      <c r="LIQ28" s="501"/>
      <c r="LIR28" s="501"/>
      <c r="LIS28" s="501"/>
      <c r="LIT28" s="501"/>
      <c r="LIU28" s="501"/>
      <c r="LIV28" s="501"/>
      <c r="LIW28" s="501"/>
      <c r="LIX28" s="501"/>
      <c r="LIY28" s="501"/>
      <c r="LIZ28" s="501"/>
      <c r="LJA28" s="501"/>
      <c r="LJB28" s="501"/>
      <c r="LJC28" s="501"/>
      <c r="LJD28" s="501"/>
      <c r="LJE28" s="501"/>
      <c r="LJF28" s="501"/>
      <c r="LJG28" s="501"/>
      <c r="LJH28" s="501"/>
      <c r="LJI28" s="501"/>
      <c r="LJJ28" s="501"/>
      <c r="LJK28" s="501"/>
      <c r="LJL28" s="501"/>
      <c r="LJM28" s="501"/>
      <c r="LJN28" s="501"/>
      <c r="LJO28" s="501"/>
      <c r="LJP28" s="501"/>
      <c r="LJQ28" s="501"/>
      <c r="LJR28" s="501"/>
      <c r="LJS28" s="501"/>
      <c r="LJT28" s="501"/>
      <c r="LJU28" s="501"/>
      <c r="LJV28" s="501"/>
      <c r="LJW28" s="501"/>
      <c r="LJX28" s="501"/>
      <c r="LJY28" s="501"/>
      <c r="LJZ28" s="501"/>
      <c r="LKA28" s="501"/>
      <c r="LKB28" s="501"/>
      <c r="LKC28" s="501"/>
      <c r="LKD28" s="501"/>
      <c r="LKE28" s="501"/>
      <c r="LKF28" s="501"/>
      <c r="LKG28" s="501"/>
      <c r="LKH28" s="501"/>
      <c r="LKI28" s="501"/>
      <c r="LKJ28" s="501"/>
      <c r="LKK28" s="501"/>
      <c r="LKL28" s="501"/>
      <c r="LKM28" s="501"/>
      <c r="LKN28" s="501"/>
      <c r="LKO28" s="501"/>
      <c r="LKP28" s="501"/>
      <c r="LKQ28" s="501"/>
      <c r="LKR28" s="501"/>
      <c r="LKS28" s="501"/>
      <c r="LKT28" s="501"/>
      <c r="LKU28" s="501"/>
      <c r="LKV28" s="501"/>
      <c r="LKW28" s="501"/>
      <c r="LKX28" s="501"/>
      <c r="LKY28" s="501"/>
      <c r="LKZ28" s="501"/>
      <c r="LLA28" s="501"/>
      <c r="LLB28" s="501"/>
      <c r="LLC28" s="501"/>
      <c r="LLD28" s="501"/>
      <c r="LLE28" s="501"/>
      <c r="LLF28" s="501"/>
      <c r="LLG28" s="501"/>
      <c r="LLH28" s="501"/>
      <c r="LLI28" s="501"/>
      <c r="LLJ28" s="501"/>
      <c r="LLK28" s="501"/>
      <c r="LLL28" s="501"/>
      <c r="LLM28" s="501"/>
      <c r="LLN28" s="501"/>
      <c r="LLO28" s="501"/>
      <c r="LLP28" s="501"/>
      <c r="LLQ28" s="501"/>
      <c r="LLR28" s="501"/>
      <c r="LLS28" s="501"/>
      <c r="LLT28" s="501"/>
      <c r="LLU28" s="501"/>
      <c r="LLV28" s="501"/>
      <c r="LLW28" s="501"/>
      <c r="LLX28" s="501"/>
      <c r="LLY28" s="501"/>
      <c r="LLZ28" s="501"/>
      <c r="LMA28" s="501"/>
      <c r="LMB28" s="501"/>
      <c r="LMC28" s="501"/>
      <c r="LMD28" s="501"/>
      <c r="LME28" s="501"/>
      <c r="LMF28" s="501"/>
      <c r="LMG28" s="501"/>
      <c r="LMH28" s="501"/>
      <c r="LMI28" s="501"/>
      <c r="LMJ28" s="501"/>
      <c r="LMK28" s="501"/>
      <c r="LML28" s="501"/>
      <c r="LMM28" s="501"/>
      <c r="LMN28" s="501"/>
      <c r="LMO28" s="501"/>
      <c r="LMP28" s="501"/>
      <c r="LMQ28" s="501"/>
      <c r="LMR28" s="501"/>
      <c r="LMS28" s="501"/>
      <c r="LMT28" s="501"/>
      <c r="LMU28" s="501"/>
      <c r="LMV28" s="501"/>
      <c r="LMW28" s="501"/>
      <c r="LMX28" s="501"/>
      <c r="LMY28" s="501"/>
      <c r="LMZ28" s="501"/>
      <c r="LNA28" s="501"/>
      <c r="LNB28" s="501"/>
      <c r="LNC28" s="501"/>
      <c r="LND28" s="501"/>
      <c r="LNE28" s="501"/>
      <c r="LNF28" s="501"/>
      <c r="LNG28" s="501"/>
      <c r="LNH28" s="501"/>
      <c r="LNI28" s="501"/>
      <c r="LNJ28" s="501"/>
      <c r="LNK28" s="501"/>
      <c r="LNL28" s="501"/>
      <c r="LNM28" s="501"/>
      <c r="LNN28" s="501"/>
      <c r="LNO28" s="501"/>
      <c r="LNP28" s="501"/>
      <c r="LNQ28" s="501"/>
      <c r="LNR28" s="501"/>
      <c r="LNS28" s="501"/>
      <c r="LNT28" s="501"/>
      <c r="LNU28" s="501"/>
      <c r="LNV28" s="501"/>
      <c r="LNW28" s="501"/>
      <c r="LNX28" s="501"/>
      <c r="LNY28" s="501"/>
      <c r="LNZ28" s="501"/>
      <c r="LOA28" s="501"/>
      <c r="LOB28" s="501"/>
      <c r="LOC28" s="501"/>
      <c r="LOD28" s="501"/>
      <c r="LOE28" s="501"/>
      <c r="LOF28" s="501"/>
      <c r="LOG28" s="501"/>
      <c r="LOH28" s="501"/>
      <c r="LOI28" s="501"/>
      <c r="LOJ28" s="501"/>
      <c r="LOK28" s="501"/>
      <c r="LOL28" s="501"/>
      <c r="LOM28" s="501"/>
      <c r="LON28" s="501"/>
      <c r="LOO28" s="501"/>
      <c r="LOP28" s="501"/>
      <c r="LOQ28" s="501"/>
      <c r="LOR28" s="501"/>
      <c r="LOS28" s="501"/>
      <c r="LOT28" s="501"/>
      <c r="LOU28" s="501"/>
      <c r="LOV28" s="501"/>
      <c r="LOW28" s="501"/>
      <c r="LOX28" s="501"/>
      <c r="LOY28" s="501"/>
      <c r="LOZ28" s="501"/>
      <c r="LPA28" s="501"/>
      <c r="LPB28" s="501"/>
      <c r="LPC28" s="501"/>
      <c r="LPD28" s="501"/>
      <c r="LPE28" s="501"/>
      <c r="LPF28" s="501"/>
      <c r="LPG28" s="501"/>
      <c r="LPH28" s="501"/>
      <c r="LPI28" s="501"/>
      <c r="LPJ28" s="501"/>
      <c r="LPK28" s="501"/>
      <c r="LPL28" s="501"/>
      <c r="LPM28" s="501"/>
      <c r="LPN28" s="501"/>
      <c r="LPO28" s="501"/>
      <c r="LPP28" s="501"/>
      <c r="LPQ28" s="501"/>
      <c r="LPR28" s="501"/>
      <c r="LPS28" s="501"/>
      <c r="LPT28" s="501"/>
      <c r="LPU28" s="501"/>
      <c r="LPV28" s="501"/>
      <c r="LPW28" s="501"/>
      <c r="LPX28" s="501"/>
      <c r="LPY28" s="501"/>
      <c r="LPZ28" s="501"/>
      <c r="LQA28" s="501"/>
      <c r="LQB28" s="501"/>
      <c r="LQC28" s="501"/>
      <c r="LQD28" s="501"/>
      <c r="LQE28" s="501"/>
      <c r="LQF28" s="501"/>
      <c r="LQG28" s="501"/>
      <c r="LQH28" s="501"/>
      <c r="LQI28" s="501"/>
      <c r="LQJ28" s="501"/>
      <c r="LQK28" s="501"/>
      <c r="LQL28" s="501"/>
      <c r="LQM28" s="501"/>
      <c r="LQN28" s="501"/>
      <c r="LQO28" s="501"/>
      <c r="LQP28" s="501"/>
      <c r="LQQ28" s="501"/>
      <c r="LQR28" s="501"/>
      <c r="LQS28" s="501"/>
      <c r="LQT28" s="501"/>
      <c r="LQU28" s="501"/>
      <c r="LQV28" s="501"/>
      <c r="LQW28" s="501"/>
      <c r="LQX28" s="501"/>
      <c r="LQY28" s="501"/>
      <c r="LQZ28" s="501"/>
      <c r="LRA28" s="501"/>
      <c r="LRB28" s="501"/>
      <c r="LRC28" s="501"/>
      <c r="LRD28" s="501"/>
      <c r="LRE28" s="501"/>
      <c r="LRF28" s="501"/>
      <c r="LRG28" s="501"/>
      <c r="LRH28" s="501"/>
      <c r="LRI28" s="501"/>
      <c r="LRJ28" s="501"/>
      <c r="LRK28" s="501"/>
      <c r="LRL28" s="501"/>
      <c r="LRM28" s="501"/>
      <c r="LRN28" s="501"/>
      <c r="LRO28" s="501"/>
      <c r="LRP28" s="501"/>
      <c r="LRQ28" s="501"/>
      <c r="LRR28" s="501"/>
      <c r="LRS28" s="501"/>
      <c r="LRT28" s="501"/>
      <c r="LRU28" s="501"/>
      <c r="LRV28" s="501"/>
      <c r="LRW28" s="501"/>
      <c r="LRX28" s="501"/>
      <c r="LRY28" s="501"/>
      <c r="LRZ28" s="501"/>
      <c r="LSA28" s="501"/>
      <c r="LSB28" s="501"/>
      <c r="LSC28" s="501"/>
      <c r="LSD28" s="501"/>
      <c r="LSE28" s="501"/>
      <c r="LSF28" s="501"/>
      <c r="LSG28" s="501"/>
      <c r="LSH28" s="501"/>
      <c r="LSI28" s="501"/>
      <c r="LSJ28" s="501"/>
      <c r="LSK28" s="501"/>
      <c r="LSL28" s="501"/>
      <c r="LSM28" s="501"/>
      <c r="LSN28" s="501"/>
      <c r="LSO28" s="501"/>
      <c r="LSP28" s="501"/>
      <c r="LSQ28" s="501"/>
      <c r="LSR28" s="501"/>
      <c r="LSS28" s="501"/>
      <c r="LST28" s="501"/>
      <c r="LSU28" s="501"/>
      <c r="LSV28" s="501"/>
      <c r="LSW28" s="501"/>
      <c r="LSX28" s="501"/>
      <c r="LSY28" s="501"/>
      <c r="LSZ28" s="501"/>
      <c r="LTA28" s="501"/>
      <c r="LTB28" s="501"/>
      <c r="LTC28" s="501"/>
      <c r="LTD28" s="501"/>
      <c r="LTE28" s="501"/>
      <c r="LTF28" s="501"/>
      <c r="LTG28" s="501"/>
      <c r="LTH28" s="501"/>
      <c r="LTI28" s="501"/>
      <c r="LTJ28" s="501"/>
      <c r="LTK28" s="501"/>
      <c r="LTL28" s="501"/>
      <c r="LTM28" s="501"/>
      <c r="LTN28" s="501"/>
      <c r="LTO28" s="501"/>
      <c r="LTP28" s="501"/>
      <c r="LTQ28" s="501"/>
      <c r="LTR28" s="501"/>
      <c r="LTS28" s="501"/>
      <c r="LTT28" s="501"/>
      <c r="LTU28" s="501"/>
      <c r="LTV28" s="501"/>
      <c r="LTW28" s="501"/>
      <c r="LTX28" s="501"/>
      <c r="LTY28" s="501"/>
      <c r="LTZ28" s="501"/>
      <c r="LUA28" s="501"/>
      <c r="LUB28" s="501"/>
      <c r="LUC28" s="501"/>
      <c r="LUD28" s="501"/>
      <c r="LUE28" s="501"/>
      <c r="LUF28" s="501"/>
      <c r="LUG28" s="501"/>
      <c r="LUH28" s="501"/>
      <c r="LUI28" s="501"/>
      <c r="LUJ28" s="501"/>
      <c r="LUK28" s="501"/>
      <c r="LUL28" s="501"/>
      <c r="LUM28" s="501"/>
      <c r="LUN28" s="501"/>
      <c r="LUO28" s="501"/>
      <c r="LUP28" s="501"/>
      <c r="LUQ28" s="501"/>
      <c r="LUR28" s="501"/>
      <c r="LUS28" s="501"/>
      <c r="LUT28" s="501"/>
      <c r="LUU28" s="501"/>
      <c r="LUV28" s="501"/>
      <c r="LUW28" s="501"/>
      <c r="LUX28" s="501"/>
      <c r="LUY28" s="501"/>
      <c r="LUZ28" s="501"/>
      <c r="LVA28" s="501"/>
      <c r="LVB28" s="501"/>
      <c r="LVC28" s="501"/>
      <c r="LVD28" s="501"/>
      <c r="LVE28" s="501"/>
      <c r="LVF28" s="501"/>
      <c r="LVG28" s="501"/>
      <c r="LVH28" s="501"/>
      <c r="LVI28" s="501"/>
      <c r="LVJ28" s="501"/>
      <c r="LVK28" s="501"/>
      <c r="LVL28" s="501"/>
      <c r="LVM28" s="501"/>
      <c r="LVN28" s="501"/>
      <c r="LVO28" s="501"/>
      <c r="LVP28" s="501"/>
      <c r="LVQ28" s="501"/>
      <c r="LVR28" s="501"/>
      <c r="LVS28" s="501"/>
      <c r="LVT28" s="501"/>
      <c r="LVU28" s="501"/>
      <c r="LVV28" s="501"/>
      <c r="LVW28" s="501"/>
      <c r="LVX28" s="501"/>
      <c r="LVY28" s="501"/>
      <c r="LVZ28" s="501"/>
      <c r="LWA28" s="501"/>
      <c r="LWB28" s="501"/>
      <c r="LWC28" s="501"/>
      <c r="LWD28" s="501"/>
      <c r="LWE28" s="501"/>
      <c r="LWF28" s="501"/>
      <c r="LWG28" s="501"/>
      <c r="LWH28" s="501"/>
      <c r="LWI28" s="501"/>
      <c r="LWJ28" s="501"/>
      <c r="LWK28" s="501"/>
      <c r="LWL28" s="501"/>
      <c r="LWM28" s="501"/>
      <c r="LWN28" s="501"/>
      <c r="LWO28" s="501"/>
      <c r="LWP28" s="501"/>
      <c r="LWQ28" s="501"/>
      <c r="LWR28" s="501"/>
      <c r="LWS28" s="501"/>
      <c r="LWT28" s="501"/>
      <c r="LWU28" s="501"/>
      <c r="LWV28" s="501"/>
      <c r="LWW28" s="501"/>
      <c r="LWX28" s="501"/>
      <c r="LWY28" s="501"/>
      <c r="LWZ28" s="501"/>
      <c r="LXA28" s="501"/>
      <c r="LXB28" s="501"/>
      <c r="LXC28" s="501"/>
      <c r="LXD28" s="501"/>
      <c r="LXE28" s="501"/>
      <c r="LXF28" s="501"/>
      <c r="LXG28" s="501"/>
      <c r="LXH28" s="501"/>
      <c r="LXI28" s="501"/>
      <c r="LXJ28" s="501"/>
      <c r="LXK28" s="501"/>
      <c r="LXL28" s="501"/>
      <c r="LXM28" s="501"/>
      <c r="LXN28" s="501"/>
      <c r="LXO28" s="501"/>
      <c r="LXP28" s="501"/>
      <c r="LXQ28" s="501"/>
      <c r="LXR28" s="501"/>
      <c r="LXS28" s="501"/>
      <c r="LXT28" s="501"/>
      <c r="LXU28" s="501"/>
      <c r="LXV28" s="501"/>
      <c r="LXW28" s="501"/>
      <c r="LXX28" s="501"/>
      <c r="LXY28" s="501"/>
      <c r="LXZ28" s="501"/>
      <c r="LYA28" s="501"/>
      <c r="LYB28" s="501"/>
      <c r="LYC28" s="501"/>
      <c r="LYD28" s="501"/>
      <c r="LYE28" s="501"/>
      <c r="LYF28" s="501"/>
      <c r="LYG28" s="501"/>
      <c r="LYH28" s="501"/>
      <c r="LYI28" s="501"/>
      <c r="LYJ28" s="501"/>
      <c r="LYK28" s="501"/>
      <c r="LYL28" s="501"/>
      <c r="LYM28" s="501"/>
      <c r="LYN28" s="501"/>
      <c r="LYO28" s="501"/>
      <c r="LYP28" s="501"/>
      <c r="LYQ28" s="501"/>
      <c r="LYR28" s="501"/>
      <c r="LYS28" s="501"/>
      <c r="LYT28" s="501"/>
      <c r="LYU28" s="501"/>
      <c r="LYV28" s="501"/>
      <c r="LYW28" s="501"/>
      <c r="LYX28" s="501"/>
      <c r="LYY28" s="501"/>
      <c r="LYZ28" s="501"/>
      <c r="LZA28" s="501"/>
      <c r="LZB28" s="501"/>
      <c r="LZC28" s="501"/>
      <c r="LZD28" s="501"/>
      <c r="LZE28" s="501"/>
      <c r="LZF28" s="501"/>
      <c r="LZG28" s="501"/>
      <c r="LZH28" s="501"/>
      <c r="LZI28" s="501"/>
      <c r="LZJ28" s="501"/>
      <c r="LZK28" s="501"/>
      <c r="LZL28" s="501"/>
      <c r="LZM28" s="501"/>
      <c r="LZN28" s="501"/>
      <c r="LZO28" s="501"/>
      <c r="LZP28" s="501"/>
      <c r="LZQ28" s="501"/>
      <c r="LZR28" s="501"/>
      <c r="LZS28" s="501"/>
      <c r="LZT28" s="501"/>
      <c r="LZU28" s="501"/>
      <c r="LZV28" s="501"/>
      <c r="LZW28" s="501"/>
      <c r="LZX28" s="501"/>
      <c r="LZY28" s="501"/>
      <c r="LZZ28" s="501"/>
      <c r="MAA28" s="501"/>
      <c r="MAB28" s="501"/>
      <c r="MAC28" s="501"/>
      <c r="MAD28" s="501"/>
      <c r="MAE28" s="501"/>
      <c r="MAF28" s="501"/>
      <c r="MAG28" s="501"/>
      <c r="MAH28" s="501"/>
      <c r="MAI28" s="501"/>
      <c r="MAJ28" s="501"/>
      <c r="MAK28" s="501"/>
      <c r="MAL28" s="501"/>
      <c r="MAM28" s="501"/>
      <c r="MAN28" s="501"/>
      <c r="MAO28" s="501"/>
      <c r="MAP28" s="501"/>
      <c r="MAQ28" s="501"/>
      <c r="MAR28" s="501"/>
      <c r="MAS28" s="501"/>
      <c r="MAT28" s="501"/>
      <c r="MAU28" s="501"/>
      <c r="MAV28" s="501"/>
      <c r="MAW28" s="501"/>
      <c r="MAX28" s="501"/>
      <c r="MAY28" s="501"/>
      <c r="MAZ28" s="501"/>
      <c r="MBA28" s="501"/>
      <c r="MBB28" s="501"/>
      <c r="MBC28" s="501"/>
      <c r="MBD28" s="501"/>
      <c r="MBE28" s="501"/>
      <c r="MBF28" s="501"/>
      <c r="MBG28" s="501"/>
      <c r="MBH28" s="501"/>
      <c r="MBI28" s="501"/>
      <c r="MBJ28" s="501"/>
      <c r="MBK28" s="501"/>
      <c r="MBL28" s="501"/>
      <c r="MBM28" s="501"/>
      <c r="MBN28" s="501"/>
      <c r="MBO28" s="501"/>
      <c r="MBP28" s="501"/>
      <c r="MBQ28" s="501"/>
      <c r="MBR28" s="501"/>
      <c r="MBS28" s="501"/>
      <c r="MBT28" s="501"/>
      <c r="MBU28" s="501"/>
      <c r="MBV28" s="501"/>
      <c r="MBW28" s="501"/>
      <c r="MBX28" s="501"/>
      <c r="MBY28" s="501"/>
      <c r="MBZ28" s="501"/>
      <c r="MCA28" s="501"/>
      <c r="MCB28" s="501"/>
      <c r="MCC28" s="501"/>
      <c r="MCD28" s="501"/>
      <c r="MCE28" s="501"/>
      <c r="MCF28" s="501"/>
      <c r="MCG28" s="501"/>
      <c r="MCH28" s="501"/>
      <c r="MCI28" s="501"/>
      <c r="MCJ28" s="501"/>
      <c r="MCK28" s="501"/>
      <c r="MCL28" s="501"/>
      <c r="MCM28" s="501"/>
      <c r="MCN28" s="501"/>
      <c r="MCO28" s="501"/>
      <c r="MCP28" s="501"/>
      <c r="MCQ28" s="501"/>
      <c r="MCR28" s="501"/>
      <c r="MCS28" s="501"/>
      <c r="MCT28" s="501"/>
      <c r="MCU28" s="501"/>
      <c r="MCV28" s="501"/>
      <c r="MCW28" s="501"/>
      <c r="MCX28" s="501"/>
      <c r="MCY28" s="501"/>
      <c r="MCZ28" s="501"/>
      <c r="MDA28" s="501"/>
      <c r="MDB28" s="501"/>
      <c r="MDC28" s="501"/>
      <c r="MDD28" s="501"/>
      <c r="MDE28" s="501"/>
      <c r="MDF28" s="501"/>
      <c r="MDG28" s="501"/>
      <c r="MDH28" s="501"/>
      <c r="MDI28" s="501"/>
      <c r="MDJ28" s="501"/>
      <c r="MDK28" s="501"/>
      <c r="MDL28" s="501"/>
      <c r="MDM28" s="501"/>
      <c r="MDN28" s="501"/>
      <c r="MDO28" s="501"/>
      <c r="MDP28" s="501"/>
      <c r="MDQ28" s="501"/>
      <c r="MDR28" s="501"/>
      <c r="MDS28" s="501"/>
      <c r="MDT28" s="501"/>
      <c r="MDU28" s="501"/>
      <c r="MDV28" s="501"/>
      <c r="MDW28" s="501"/>
      <c r="MDX28" s="501"/>
      <c r="MDY28" s="501"/>
      <c r="MDZ28" s="501"/>
      <c r="MEA28" s="501"/>
      <c r="MEB28" s="501"/>
      <c r="MEC28" s="501"/>
      <c r="MED28" s="501"/>
      <c r="MEE28" s="501"/>
      <c r="MEF28" s="501"/>
      <c r="MEG28" s="501"/>
      <c r="MEH28" s="501"/>
      <c r="MEI28" s="501"/>
      <c r="MEJ28" s="501"/>
      <c r="MEK28" s="501"/>
      <c r="MEL28" s="501"/>
      <c r="MEM28" s="501"/>
      <c r="MEN28" s="501"/>
      <c r="MEO28" s="501"/>
      <c r="MEP28" s="501"/>
      <c r="MEQ28" s="501"/>
      <c r="MER28" s="501"/>
      <c r="MES28" s="501"/>
      <c r="MET28" s="501"/>
      <c r="MEU28" s="501"/>
      <c r="MEV28" s="501"/>
      <c r="MEW28" s="501"/>
      <c r="MEX28" s="501"/>
      <c r="MEY28" s="501"/>
      <c r="MEZ28" s="501"/>
      <c r="MFA28" s="501"/>
      <c r="MFB28" s="501"/>
      <c r="MFC28" s="501"/>
      <c r="MFD28" s="501"/>
      <c r="MFE28" s="501"/>
      <c r="MFF28" s="501"/>
      <c r="MFG28" s="501"/>
      <c r="MFH28" s="501"/>
      <c r="MFI28" s="501"/>
      <c r="MFJ28" s="501"/>
      <c r="MFK28" s="501"/>
      <c r="MFL28" s="501"/>
      <c r="MFM28" s="501"/>
      <c r="MFN28" s="501"/>
      <c r="MFO28" s="501"/>
      <c r="MFP28" s="501"/>
      <c r="MFQ28" s="501"/>
      <c r="MFR28" s="501"/>
      <c r="MFS28" s="501"/>
      <c r="MFT28" s="501"/>
      <c r="MFU28" s="501"/>
      <c r="MFV28" s="501"/>
      <c r="MFW28" s="501"/>
      <c r="MFX28" s="501"/>
      <c r="MFY28" s="501"/>
      <c r="MFZ28" s="501"/>
      <c r="MGA28" s="501"/>
      <c r="MGB28" s="501"/>
      <c r="MGC28" s="501"/>
      <c r="MGD28" s="501"/>
      <c r="MGE28" s="501"/>
      <c r="MGF28" s="501"/>
      <c r="MGG28" s="501"/>
      <c r="MGH28" s="501"/>
      <c r="MGI28" s="501"/>
      <c r="MGJ28" s="501"/>
      <c r="MGK28" s="501"/>
      <c r="MGL28" s="501"/>
      <c r="MGM28" s="501"/>
      <c r="MGN28" s="501"/>
      <c r="MGO28" s="501"/>
      <c r="MGP28" s="501"/>
      <c r="MGQ28" s="501"/>
      <c r="MGR28" s="501"/>
      <c r="MGS28" s="501"/>
      <c r="MGT28" s="501"/>
      <c r="MGU28" s="501"/>
      <c r="MGV28" s="501"/>
      <c r="MGW28" s="501"/>
      <c r="MGX28" s="501"/>
      <c r="MGY28" s="501"/>
      <c r="MGZ28" s="501"/>
      <c r="MHA28" s="501"/>
      <c r="MHB28" s="501"/>
      <c r="MHC28" s="501"/>
      <c r="MHD28" s="501"/>
      <c r="MHE28" s="501"/>
      <c r="MHF28" s="501"/>
      <c r="MHG28" s="501"/>
      <c r="MHH28" s="501"/>
      <c r="MHI28" s="501"/>
      <c r="MHJ28" s="501"/>
      <c r="MHK28" s="501"/>
      <c r="MHL28" s="501"/>
      <c r="MHM28" s="501"/>
      <c r="MHN28" s="501"/>
      <c r="MHO28" s="501"/>
      <c r="MHP28" s="501"/>
      <c r="MHQ28" s="501"/>
      <c r="MHR28" s="501"/>
      <c r="MHS28" s="501"/>
      <c r="MHT28" s="501"/>
      <c r="MHU28" s="501"/>
      <c r="MHV28" s="501"/>
      <c r="MHW28" s="501"/>
      <c r="MHX28" s="501"/>
      <c r="MHY28" s="501"/>
      <c r="MHZ28" s="501"/>
      <c r="MIA28" s="501"/>
      <c r="MIB28" s="501"/>
      <c r="MIC28" s="501"/>
      <c r="MID28" s="501"/>
      <c r="MIE28" s="501"/>
      <c r="MIF28" s="501"/>
      <c r="MIG28" s="501"/>
      <c r="MIH28" s="501"/>
      <c r="MII28" s="501"/>
      <c r="MIJ28" s="501"/>
      <c r="MIK28" s="501"/>
      <c r="MIL28" s="501"/>
      <c r="MIM28" s="501"/>
      <c r="MIN28" s="501"/>
      <c r="MIO28" s="501"/>
      <c r="MIP28" s="501"/>
      <c r="MIQ28" s="501"/>
      <c r="MIR28" s="501"/>
      <c r="MIS28" s="501"/>
      <c r="MIT28" s="501"/>
      <c r="MIU28" s="501"/>
      <c r="MIV28" s="501"/>
      <c r="MIW28" s="501"/>
      <c r="MIX28" s="501"/>
      <c r="MIY28" s="501"/>
      <c r="MIZ28" s="501"/>
      <c r="MJA28" s="501"/>
      <c r="MJB28" s="501"/>
      <c r="MJC28" s="501"/>
      <c r="MJD28" s="501"/>
      <c r="MJE28" s="501"/>
      <c r="MJF28" s="501"/>
      <c r="MJG28" s="501"/>
      <c r="MJH28" s="501"/>
      <c r="MJI28" s="501"/>
      <c r="MJJ28" s="501"/>
      <c r="MJK28" s="501"/>
      <c r="MJL28" s="501"/>
      <c r="MJM28" s="501"/>
      <c r="MJN28" s="501"/>
      <c r="MJO28" s="501"/>
      <c r="MJP28" s="501"/>
      <c r="MJQ28" s="501"/>
      <c r="MJR28" s="501"/>
      <c r="MJS28" s="501"/>
      <c r="MJT28" s="501"/>
      <c r="MJU28" s="501"/>
      <c r="MJV28" s="501"/>
      <c r="MJW28" s="501"/>
      <c r="MJX28" s="501"/>
      <c r="MJY28" s="501"/>
      <c r="MJZ28" s="501"/>
      <c r="MKA28" s="501"/>
      <c r="MKB28" s="501"/>
      <c r="MKC28" s="501"/>
      <c r="MKD28" s="501"/>
      <c r="MKE28" s="501"/>
      <c r="MKF28" s="501"/>
      <c r="MKG28" s="501"/>
      <c r="MKH28" s="501"/>
      <c r="MKI28" s="501"/>
      <c r="MKJ28" s="501"/>
      <c r="MKK28" s="501"/>
      <c r="MKL28" s="501"/>
      <c r="MKM28" s="501"/>
      <c r="MKN28" s="501"/>
      <c r="MKO28" s="501"/>
      <c r="MKP28" s="501"/>
      <c r="MKQ28" s="501"/>
      <c r="MKR28" s="501"/>
      <c r="MKS28" s="501"/>
      <c r="MKT28" s="501"/>
      <c r="MKU28" s="501"/>
      <c r="MKV28" s="501"/>
      <c r="MKW28" s="501"/>
      <c r="MKX28" s="501"/>
      <c r="MKY28" s="501"/>
      <c r="MKZ28" s="501"/>
      <c r="MLA28" s="501"/>
      <c r="MLB28" s="501"/>
      <c r="MLC28" s="501"/>
      <c r="MLD28" s="501"/>
      <c r="MLE28" s="501"/>
      <c r="MLF28" s="501"/>
      <c r="MLG28" s="501"/>
      <c r="MLH28" s="501"/>
      <c r="MLI28" s="501"/>
      <c r="MLJ28" s="501"/>
      <c r="MLK28" s="501"/>
      <c r="MLL28" s="501"/>
      <c r="MLM28" s="501"/>
      <c r="MLN28" s="501"/>
      <c r="MLO28" s="501"/>
      <c r="MLP28" s="501"/>
      <c r="MLQ28" s="501"/>
      <c r="MLR28" s="501"/>
      <c r="MLS28" s="501"/>
      <c r="MLT28" s="501"/>
      <c r="MLU28" s="501"/>
      <c r="MLV28" s="501"/>
      <c r="MLW28" s="501"/>
      <c r="MLX28" s="501"/>
      <c r="MLY28" s="501"/>
      <c r="MLZ28" s="501"/>
      <c r="MMA28" s="501"/>
      <c r="MMB28" s="501"/>
      <c r="MMC28" s="501"/>
      <c r="MMD28" s="501"/>
      <c r="MME28" s="501"/>
      <c r="MMF28" s="501"/>
      <c r="MMG28" s="501"/>
      <c r="MMH28" s="501"/>
      <c r="MMI28" s="501"/>
      <c r="MMJ28" s="501"/>
      <c r="MMK28" s="501"/>
      <c r="MML28" s="501"/>
      <c r="MMM28" s="501"/>
      <c r="MMN28" s="501"/>
      <c r="MMO28" s="501"/>
      <c r="MMP28" s="501"/>
      <c r="MMQ28" s="501"/>
      <c r="MMR28" s="501"/>
      <c r="MMS28" s="501"/>
      <c r="MMT28" s="501"/>
      <c r="MMU28" s="501"/>
      <c r="MMV28" s="501"/>
      <c r="MMW28" s="501"/>
      <c r="MMX28" s="501"/>
      <c r="MMY28" s="501"/>
      <c r="MMZ28" s="501"/>
      <c r="MNA28" s="501"/>
      <c r="MNB28" s="501"/>
      <c r="MNC28" s="501"/>
      <c r="MND28" s="501"/>
      <c r="MNE28" s="501"/>
      <c r="MNF28" s="501"/>
      <c r="MNG28" s="501"/>
      <c r="MNH28" s="501"/>
      <c r="MNI28" s="501"/>
      <c r="MNJ28" s="501"/>
      <c r="MNK28" s="501"/>
      <c r="MNL28" s="501"/>
      <c r="MNM28" s="501"/>
      <c r="MNN28" s="501"/>
      <c r="MNO28" s="501"/>
      <c r="MNP28" s="501"/>
      <c r="MNQ28" s="501"/>
      <c r="MNR28" s="501"/>
      <c r="MNS28" s="501"/>
      <c r="MNT28" s="501"/>
      <c r="MNU28" s="501"/>
      <c r="MNV28" s="501"/>
      <c r="MNW28" s="501"/>
      <c r="MNX28" s="501"/>
      <c r="MNY28" s="501"/>
      <c r="MNZ28" s="501"/>
      <c r="MOA28" s="501"/>
      <c r="MOB28" s="501"/>
      <c r="MOC28" s="501"/>
      <c r="MOD28" s="501"/>
      <c r="MOE28" s="501"/>
      <c r="MOF28" s="501"/>
      <c r="MOG28" s="501"/>
      <c r="MOH28" s="501"/>
      <c r="MOI28" s="501"/>
      <c r="MOJ28" s="501"/>
      <c r="MOK28" s="501"/>
      <c r="MOL28" s="501"/>
      <c r="MOM28" s="501"/>
      <c r="MON28" s="501"/>
      <c r="MOO28" s="501"/>
      <c r="MOP28" s="501"/>
      <c r="MOQ28" s="501"/>
      <c r="MOR28" s="501"/>
      <c r="MOS28" s="501"/>
      <c r="MOT28" s="501"/>
      <c r="MOU28" s="501"/>
      <c r="MOV28" s="501"/>
      <c r="MOW28" s="501"/>
      <c r="MOX28" s="501"/>
      <c r="MOY28" s="501"/>
      <c r="MOZ28" s="501"/>
      <c r="MPA28" s="501"/>
      <c r="MPB28" s="501"/>
      <c r="MPC28" s="501"/>
      <c r="MPD28" s="501"/>
      <c r="MPE28" s="501"/>
      <c r="MPF28" s="501"/>
      <c r="MPG28" s="501"/>
      <c r="MPH28" s="501"/>
      <c r="MPI28" s="501"/>
      <c r="MPJ28" s="501"/>
      <c r="MPK28" s="501"/>
      <c r="MPL28" s="501"/>
      <c r="MPM28" s="501"/>
      <c r="MPN28" s="501"/>
      <c r="MPO28" s="501"/>
      <c r="MPP28" s="501"/>
      <c r="MPQ28" s="501"/>
      <c r="MPR28" s="501"/>
      <c r="MPS28" s="501"/>
      <c r="MPT28" s="501"/>
      <c r="MPU28" s="501"/>
      <c r="MPV28" s="501"/>
      <c r="MPW28" s="501"/>
      <c r="MPX28" s="501"/>
      <c r="MPY28" s="501"/>
      <c r="MPZ28" s="501"/>
      <c r="MQA28" s="501"/>
      <c r="MQB28" s="501"/>
      <c r="MQC28" s="501"/>
      <c r="MQD28" s="501"/>
      <c r="MQE28" s="501"/>
      <c r="MQF28" s="501"/>
      <c r="MQG28" s="501"/>
      <c r="MQH28" s="501"/>
      <c r="MQI28" s="501"/>
      <c r="MQJ28" s="501"/>
      <c r="MQK28" s="501"/>
      <c r="MQL28" s="501"/>
      <c r="MQM28" s="501"/>
      <c r="MQN28" s="501"/>
      <c r="MQO28" s="501"/>
      <c r="MQP28" s="501"/>
      <c r="MQQ28" s="501"/>
      <c r="MQR28" s="501"/>
      <c r="MQS28" s="501"/>
      <c r="MQT28" s="501"/>
      <c r="MQU28" s="501"/>
      <c r="MQV28" s="501"/>
      <c r="MQW28" s="501"/>
      <c r="MQX28" s="501"/>
      <c r="MQY28" s="501"/>
      <c r="MQZ28" s="501"/>
      <c r="MRA28" s="501"/>
      <c r="MRB28" s="501"/>
      <c r="MRC28" s="501"/>
      <c r="MRD28" s="501"/>
      <c r="MRE28" s="501"/>
      <c r="MRF28" s="501"/>
      <c r="MRG28" s="501"/>
      <c r="MRH28" s="501"/>
      <c r="MRI28" s="501"/>
      <c r="MRJ28" s="501"/>
      <c r="MRK28" s="501"/>
      <c r="MRL28" s="501"/>
      <c r="MRM28" s="501"/>
      <c r="MRN28" s="501"/>
      <c r="MRO28" s="501"/>
      <c r="MRP28" s="501"/>
      <c r="MRQ28" s="501"/>
      <c r="MRR28" s="501"/>
      <c r="MRS28" s="501"/>
      <c r="MRT28" s="501"/>
      <c r="MRU28" s="501"/>
      <c r="MRV28" s="501"/>
      <c r="MRW28" s="501"/>
      <c r="MRX28" s="501"/>
      <c r="MRY28" s="501"/>
      <c r="MRZ28" s="501"/>
      <c r="MSA28" s="501"/>
      <c r="MSB28" s="501"/>
      <c r="MSC28" s="501"/>
      <c r="MSD28" s="501"/>
      <c r="MSE28" s="501"/>
      <c r="MSF28" s="501"/>
      <c r="MSG28" s="501"/>
      <c r="MSH28" s="501"/>
      <c r="MSI28" s="501"/>
      <c r="MSJ28" s="501"/>
      <c r="MSK28" s="501"/>
      <c r="MSL28" s="501"/>
      <c r="MSM28" s="501"/>
      <c r="MSN28" s="501"/>
      <c r="MSO28" s="501"/>
      <c r="MSP28" s="501"/>
      <c r="MSQ28" s="501"/>
      <c r="MSR28" s="501"/>
      <c r="MSS28" s="501"/>
      <c r="MST28" s="501"/>
      <c r="MSU28" s="501"/>
      <c r="MSV28" s="501"/>
      <c r="MSW28" s="501"/>
      <c r="MSX28" s="501"/>
      <c r="MSY28" s="501"/>
      <c r="MSZ28" s="501"/>
      <c r="MTA28" s="501"/>
      <c r="MTB28" s="501"/>
      <c r="MTC28" s="501"/>
      <c r="MTD28" s="501"/>
      <c r="MTE28" s="501"/>
      <c r="MTF28" s="501"/>
      <c r="MTG28" s="501"/>
      <c r="MTH28" s="501"/>
      <c r="MTI28" s="501"/>
      <c r="MTJ28" s="501"/>
      <c r="MTK28" s="501"/>
      <c r="MTL28" s="501"/>
      <c r="MTM28" s="501"/>
      <c r="MTN28" s="501"/>
      <c r="MTO28" s="501"/>
      <c r="MTP28" s="501"/>
      <c r="MTQ28" s="501"/>
      <c r="MTR28" s="501"/>
      <c r="MTS28" s="501"/>
      <c r="MTT28" s="501"/>
      <c r="MTU28" s="501"/>
      <c r="MTV28" s="501"/>
      <c r="MTW28" s="501"/>
      <c r="MTX28" s="501"/>
      <c r="MTY28" s="501"/>
      <c r="MTZ28" s="501"/>
      <c r="MUA28" s="501"/>
      <c r="MUB28" s="501"/>
      <c r="MUC28" s="501"/>
      <c r="MUD28" s="501"/>
      <c r="MUE28" s="501"/>
      <c r="MUF28" s="501"/>
      <c r="MUG28" s="501"/>
      <c r="MUH28" s="501"/>
      <c r="MUI28" s="501"/>
      <c r="MUJ28" s="501"/>
      <c r="MUK28" s="501"/>
      <c r="MUL28" s="501"/>
      <c r="MUM28" s="501"/>
      <c r="MUN28" s="501"/>
      <c r="MUO28" s="501"/>
      <c r="MUP28" s="501"/>
      <c r="MUQ28" s="501"/>
      <c r="MUR28" s="501"/>
      <c r="MUS28" s="501"/>
      <c r="MUT28" s="501"/>
      <c r="MUU28" s="501"/>
      <c r="MUV28" s="501"/>
      <c r="MUW28" s="501"/>
      <c r="MUX28" s="501"/>
      <c r="MUY28" s="501"/>
      <c r="MUZ28" s="501"/>
      <c r="MVA28" s="501"/>
      <c r="MVB28" s="501"/>
      <c r="MVC28" s="501"/>
      <c r="MVD28" s="501"/>
      <c r="MVE28" s="501"/>
      <c r="MVF28" s="501"/>
      <c r="MVG28" s="501"/>
      <c r="MVH28" s="501"/>
      <c r="MVI28" s="501"/>
      <c r="MVJ28" s="501"/>
      <c r="MVK28" s="501"/>
      <c r="MVL28" s="501"/>
      <c r="MVM28" s="501"/>
      <c r="MVN28" s="501"/>
      <c r="MVO28" s="501"/>
      <c r="MVP28" s="501"/>
      <c r="MVQ28" s="501"/>
      <c r="MVR28" s="501"/>
      <c r="MVS28" s="501"/>
      <c r="MVT28" s="501"/>
      <c r="MVU28" s="501"/>
      <c r="MVV28" s="501"/>
      <c r="MVW28" s="501"/>
      <c r="MVX28" s="501"/>
      <c r="MVY28" s="501"/>
      <c r="MVZ28" s="501"/>
      <c r="MWA28" s="501"/>
      <c r="MWB28" s="501"/>
      <c r="MWC28" s="501"/>
      <c r="MWD28" s="501"/>
      <c r="MWE28" s="501"/>
      <c r="MWF28" s="501"/>
      <c r="MWG28" s="501"/>
      <c r="MWH28" s="501"/>
      <c r="MWI28" s="501"/>
      <c r="MWJ28" s="501"/>
      <c r="MWK28" s="501"/>
      <c r="MWL28" s="501"/>
      <c r="MWM28" s="501"/>
      <c r="MWN28" s="501"/>
      <c r="MWO28" s="501"/>
      <c r="MWP28" s="501"/>
      <c r="MWQ28" s="501"/>
      <c r="MWR28" s="501"/>
      <c r="MWS28" s="501"/>
      <c r="MWT28" s="501"/>
      <c r="MWU28" s="501"/>
      <c r="MWV28" s="501"/>
      <c r="MWW28" s="501"/>
      <c r="MWX28" s="501"/>
      <c r="MWY28" s="501"/>
      <c r="MWZ28" s="501"/>
      <c r="MXA28" s="501"/>
      <c r="MXB28" s="501"/>
      <c r="MXC28" s="501"/>
      <c r="MXD28" s="501"/>
      <c r="MXE28" s="501"/>
      <c r="MXF28" s="501"/>
      <c r="MXG28" s="501"/>
      <c r="MXH28" s="501"/>
      <c r="MXI28" s="501"/>
      <c r="MXJ28" s="501"/>
      <c r="MXK28" s="501"/>
      <c r="MXL28" s="501"/>
      <c r="MXM28" s="501"/>
      <c r="MXN28" s="501"/>
      <c r="MXO28" s="501"/>
      <c r="MXP28" s="501"/>
      <c r="MXQ28" s="501"/>
      <c r="MXR28" s="501"/>
      <c r="MXS28" s="501"/>
      <c r="MXT28" s="501"/>
      <c r="MXU28" s="501"/>
      <c r="MXV28" s="501"/>
      <c r="MXW28" s="501"/>
      <c r="MXX28" s="501"/>
      <c r="MXY28" s="501"/>
      <c r="MXZ28" s="501"/>
      <c r="MYA28" s="501"/>
      <c r="MYB28" s="501"/>
      <c r="MYC28" s="501"/>
      <c r="MYD28" s="501"/>
      <c r="MYE28" s="501"/>
      <c r="MYF28" s="501"/>
      <c r="MYG28" s="501"/>
      <c r="MYH28" s="501"/>
      <c r="MYI28" s="501"/>
      <c r="MYJ28" s="501"/>
      <c r="MYK28" s="501"/>
      <c r="MYL28" s="501"/>
      <c r="MYM28" s="501"/>
      <c r="MYN28" s="501"/>
      <c r="MYO28" s="501"/>
      <c r="MYP28" s="501"/>
      <c r="MYQ28" s="501"/>
      <c r="MYR28" s="501"/>
      <c r="MYS28" s="501"/>
      <c r="MYT28" s="501"/>
      <c r="MYU28" s="501"/>
      <c r="MYV28" s="501"/>
      <c r="MYW28" s="501"/>
      <c r="MYX28" s="501"/>
      <c r="MYY28" s="501"/>
      <c r="MYZ28" s="501"/>
      <c r="MZA28" s="501"/>
      <c r="MZB28" s="501"/>
      <c r="MZC28" s="501"/>
      <c r="MZD28" s="501"/>
      <c r="MZE28" s="501"/>
      <c r="MZF28" s="501"/>
      <c r="MZG28" s="501"/>
      <c r="MZH28" s="501"/>
      <c r="MZI28" s="501"/>
      <c r="MZJ28" s="501"/>
      <c r="MZK28" s="501"/>
      <c r="MZL28" s="501"/>
      <c r="MZM28" s="501"/>
      <c r="MZN28" s="501"/>
      <c r="MZO28" s="501"/>
      <c r="MZP28" s="501"/>
      <c r="MZQ28" s="501"/>
      <c r="MZR28" s="501"/>
      <c r="MZS28" s="501"/>
      <c r="MZT28" s="501"/>
      <c r="MZU28" s="501"/>
      <c r="MZV28" s="501"/>
      <c r="MZW28" s="501"/>
      <c r="MZX28" s="501"/>
      <c r="MZY28" s="501"/>
      <c r="MZZ28" s="501"/>
      <c r="NAA28" s="501"/>
      <c r="NAB28" s="501"/>
      <c r="NAC28" s="501"/>
      <c r="NAD28" s="501"/>
      <c r="NAE28" s="501"/>
      <c r="NAF28" s="501"/>
      <c r="NAG28" s="501"/>
      <c r="NAH28" s="501"/>
      <c r="NAI28" s="501"/>
      <c r="NAJ28" s="501"/>
      <c r="NAK28" s="501"/>
      <c r="NAL28" s="501"/>
      <c r="NAM28" s="501"/>
      <c r="NAN28" s="501"/>
      <c r="NAO28" s="501"/>
      <c r="NAP28" s="501"/>
      <c r="NAQ28" s="501"/>
      <c r="NAR28" s="501"/>
      <c r="NAS28" s="501"/>
      <c r="NAT28" s="501"/>
      <c r="NAU28" s="501"/>
      <c r="NAV28" s="501"/>
      <c r="NAW28" s="501"/>
      <c r="NAX28" s="501"/>
      <c r="NAY28" s="501"/>
      <c r="NAZ28" s="501"/>
      <c r="NBA28" s="501"/>
      <c r="NBB28" s="501"/>
      <c r="NBC28" s="501"/>
      <c r="NBD28" s="501"/>
      <c r="NBE28" s="501"/>
      <c r="NBF28" s="501"/>
      <c r="NBG28" s="501"/>
      <c r="NBH28" s="501"/>
      <c r="NBI28" s="501"/>
      <c r="NBJ28" s="501"/>
      <c r="NBK28" s="501"/>
      <c r="NBL28" s="501"/>
      <c r="NBM28" s="501"/>
      <c r="NBN28" s="501"/>
      <c r="NBO28" s="501"/>
      <c r="NBP28" s="501"/>
      <c r="NBQ28" s="501"/>
      <c r="NBR28" s="501"/>
      <c r="NBS28" s="501"/>
      <c r="NBT28" s="501"/>
      <c r="NBU28" s="501"/>
      <c r="NBV28" s="501"/>
      <c r="NBW28" s="501"/>
      <c r="NBX28" s="501"/>
      <c r="NBY28" s="501"/>
      <c r="NBZ28" s="501"/>
      <c r="NCA28" s="501"/>
      <c r="NCB28" s="501"/>
      <c r="NCC28" s="501"/>
      <c r="NCD28" s="501"/>
      <c r="NCE28" s="501"/>
      <c r="NCF28" s="501"/>
      <c r="NCG28" s="501"/>
      <c r="NCH28" s="501"/>
      <c r="NCI28" s="501"/>
      <c r="NCJ28" s="501"/>
      <c r="NCK28" s="501"/>
      <c r="NCL28" s="501"/>
      <c r="NCM28" s="501"/>
      <c r="NCN28" s="501"/>
      <c r="NCO28" s="501"/>
      <c r="NCP28" s="501"/>
      <c r="NCQ28" s="501"/>
      <c r="NCR28" s="501"/>
      <c r="NCS28" s="501"/>
      <c r="NCT28" s="501"/>
      <c r="NCU28" s="501"/>
      <c r="NCV28" s="501"/>
      <c r="NCW28" s="501"/>
      <c r="NCX28" s="501"/>
      <c r="NCY28" s="501"/>
      <c r="NCZ28" s="501"/>
      <c r="NDA28" s="501"/>
      <c r="NDB28" s="501"/>
      <c r="NDC28" s="501"/>
      <c r="NDD28" s="501"/>
      <c r="NDE28" s="501"/>
      <c r="NDF28" s="501"/>
      <c r="NDG28" s="501"/>
      <c r="NDH28" s="501"/>
      <c r="NDI28" s="501"/>
      <c r="NDJ28" s="501"/>
      <c r="NDK28" s="501"/>
      <c r="NDL28" s="501"/>
      <c r="NDM28" s="501"/>
      <c r="NDN28" s="501"/>
      <c r="NDO28" s="501"/>
      <c r="NDP28" s="501"/>
      <c r="NDQ28" s="501"/>
      <c r="NDR28" s="501"/>
      <c r="NDS28" s="501"/>
      <c r="NDT28" s="501"/>
      <c r="NDU28" s="501"/>
      <c r="NDV28" s="501"/>
      <c r="NDW28" s="501"/>
      <c r="NDX28" s="501"/>
      <c r="NDY28" s="501"/>
      <c r="NDZ28" s="501"/>
      <c r="NEA28" s="501"/>
      <c r="NEB28" s="501"/>
      <c r="NEC28" s="501"/>
      <c r="NED28" s="501"/>
      <c r="NEE28" s="501"/>
      <c r="NEF28" s="501"/>
      <c r="NEG28" s="501"/>
      <c r="NEH28" s="501"/>
      <c r="NEI28" s="501"/>
      <c r="NEJ28" s="501"/>
      <c r="NEK28" s="501"/>
      <c r="NEL28" s="501"/>
      <c r="NEM28" s="501"/>
      <c r="NEN28" s="501"/>
      <c r="NEO28" s="501"/>
      <c r="NEP28" s="501"/>
      <c r="NEQ28" s="501"/>
      <c r="NER28" s="501"/>
      <c r="NES28" s="501"/>
      <c r="NET28" s="501"/>
      <c r="NEU28" s="501"/>
      <c r="NEV28" s="501"/>
      <c r="NEW28" s="501"/>
      <c r="NEX28" s="501"/>
      <c r="NEY28" s="501"/>
      <c r="NEZ28" s="501"/>
      <c r="NFA28" s="501"/>
      <c r="NFB28" s="501"/>
      <c r="NFC28" s="501"/>
      <c r="NFD28" s="501"/>
      <c r="NFE28" s="501"/>
      <c r="NFF28" s="501"/>
      <c r="NFG28" s="501"/>
      <c r="NFH28" s="501"/>
      <c r="NFI28" s="501"/>
      <c r="NFJ28" s="501"/>
      <c r="NFK28" s="501"/>
      <c r="NFL28" s="501"/>
      <c r="NFM28" s="501"/>
      <c r="NFN28" s="501"/>
      <c r="NFO28" s="501"/>
      <c r="NFP28" s="501"/>
      <c r="NFQ28" s="501"/>
      <c r="NFR28" s="501"/>
      <c r="NFS28" s="501"/>
      <c r="NFT28" s="501"/>
      <c r="NFU28" s="501"/>
      <c r="NFV28" s="501"/>
      <c r="NFW28" s="501"/>
      <c r="NFX28" s="501"/>
      <c r="NFY28" s="501"/>
      <c r="NFZ28" s="501"/>
      <c r="NGA28" s="501"/>
      <c r="NGB28" s="501"/>
      <c r="NGC28" s="501"/>
      <c r="NGD28" s="501"/>
      <c r="NGE28" s="501"/>
      <c r="NGF28" s="501"/>
      <c r="NGG28" s="501"/>
      <c r="NGH28" s="501"/>
      <c r="NGI28" s="501"/>
      <c r="NGJ28" s="501"/>
      <c r="NGK28" s="501"/>
      <c r="NGL28" s="501"/>
      <c r="NGM28" s="501"/>
      <c r="NGN28" s="501"/>
      <c r="NGO28" s="501"/>
      <c r="NGP28" s="501"/>
      <c r="NGQ28" s="501"/>
      <c r="NGR28" s="501"/>
      <c r="NGS28" s="501"/>
      <c r="NGT28" s="501"/>
      <c r="NGU28" s="501"/>
      <c r="NGV28" s="501"/>
      <c r="NGW28" s="501"/>
      <c r="NGX28" s="501"/>
      <c r="NGY28" s="501"/>
      <c r="NGZ28" s="501"/>
      <c r="NHA28" s="501"/>
      <c r="NHB28" s="501"/>
      <c r="NHC28" s="501"/>
      <c r="NHD28" s="501"/>
      <c r="NHE28" s="501"/>
      <c r="NHF28" s="501"/>
      <c r="NHG28" s="501"/>
      <c r="NHH28" s="501"/>
      <c r="NHI28" s="501"/>
      <c r="NHJ28" s="501"/>
      <c r="NHK28" s="501"/>
      <c r="NHL28" s="501"/>
      <c r="NHM28" s="501"/>
      <c r="NHN28" s="501"/>
      <c r="NHO28" s="501"/>
      <c r="NHP28" s="501"/>
      <c r="NHQ28" s="501"/>
      <c r="NHR28" s="501"/>
      <c r="NHS28" s="501"/>
      <c r="NHT28" s="501"/>
      <c r="NHU28" s="501"/>
      <c r="NHV28" s="501"/>
      <c r="NHW28" s="501"/>
      <c r="NHX28" s="501"/>
      <c r="NHY28" s="501"/>
      <c r="NHZ28" s="501"/>
      <c r="NIA28" s="501"/>
      <c r="NIB28" s="501"/>
      <c r="NIC28" s="501"/>
      <c r="NID28" s="501"/>
      <c r="NIE28" s="501"/>
      <c r="NIF28" s="501"/>
      <c r="NIG28" s="501"/>
      <c r="NIH28" s="501"/>
      <c r="NII28" s="501"/>
      <c r="NIJ28" s="501"/>
      <c r="NIK28" s="501"/>
      <c r="NIL28" s="501"/>
      <c r="NIM28" s="501"/>
      <c r="NIN28" s="501"/>
      <c r="NIO28" s="501"/>
      <c r="NIP28" s="501"/>
      <c r="NIQ28" s="501"/>
      <c r="NIR28" s="501"/>
      <c r="NIS28" s="501"/>
      <c r="NIT28" s="501"/>
      <c r="NIU28" s="501"/>
      <c r="NIV28" s="501"/>
      <c r="NIW28" s="501"/>
      <c r="NIX28" s="501"/>
      <c r="NIY28" s="501"/>
      <c r="NIZ28" s="501"/>
      <c r="NJA28" s="501"/>
      <c r="NJB28" s="501"/>
      <c r="NJC28" s="501"/>
      <c r="NJD28" s="501"/>
      <c r="NJE28" s="501"/>
      <c r="NJF28" s="501"/>
      <c r="NJG28" s="501"/>
      <c r="NJH28" s="501"/>
      <c r="NJI28" s="501"/>
      <c r="NJJ28" s="501"/>
      <c r="NJK28" s="501"/>
      <c r="NJL28" s="501"/>
      <c r="NJM28" s="501"/>
      <c r="NJN28" s="501"/>
      <c r="NJO28" s="501"/>
      <c r="NJP28" s="501"/>
      <c r="NJQ28" s="501"/>
      <c r="NJR28" s="501"/>
      <c r="NJS28" s="501"/>
      <c r="NJT28" s="501"/>
      <c r="NJU28" s="501"/>
      <c r="NJV28" s="501"/>
      <c r="NJW28" s="501"/>
      <c r="NJX28" s="501"/>
      <c r="NJY28" s="501"/>
      <c r="NJZ28" s="501"/>
      <c r="NKA28" s="501"/>
      <c r="NKB28" s="501"/>
      <c r="NKC28" s="501"/>
      <c r="NKD28" s="501"/>
      <c r="NKE28" s="501"/>
      <c r="NKF28" s="501"/>
      <c r="NKG28" s="501"/>
      <c r="NKH28" s="501"/>
      <c r="NKI28" s="501"/>
      <c r="NKJ28" s="501"/>
      <c r="NKK28" s="501"/>
      <c r="NKL28" s="501"/>
      <c r="NKM28" s="501"/>
      <c r="NKN28" s="501"/>
      <c r="NKO28" s="501"/>
      <c r="NKP28" s="501"/>
      <c r="NKQ28" s="501"/>
      <c r="NKR28" s="501"/>
      <c r="NKS28" s="501"/>
      <c r="NKT28" s="501"/>
      <c r="NKU28" s="501"/>
      <c r="NKV28" s="501"/>
      <c r="NKW28" s="501"/>
      <c r="NKX28" s="501"/>
      <c r="NKY28" s="501"/>
      <c r="NKZ28" s="501"/>
      <c r="NLA28" s="501"/>
      <c r="NLB28" s="501"/>
      <c r="NLC28" s="501"/>
      <c r="NLD28" s="501"/>
      <c r="NLE28" s="501"/>
      <c r="NLF28" s="501"/>
      <c r="NLG28" s="501"/>
      <c r="NLH28" s="501"/>
      <c r="NLI28" s="501"/>
      <c r="NLJ28" s="501"/>
      <c r="NLK28" s="501"/>
      <c r="NLL28" s="501"/>
      <c r="NLM28" s="501"/>
      <c r="NLN28" s="501"/>
      <c r="NLO28" s="501"/>
      <c r="NLP28" s="501"/>
      <c r="NLQ28" s="501"/>
      <c r="NLR28" s="501"/>
      <c r="NLS28" s="501"/>
      <c r="NLT28" s="501"/>
      <c r="NLU28" s="501"/>
      <c r="NLV28" s="501"/>
      <c r="NLW28" s="501"/>
      <c r="NLX28" s="501"/>
      <c r="NLY28" s="501"/>
      <c r="NLZ28" s="501"/>
      <c r="NMA28" s="501"/>
      <c r="NMB28" s="501"/>
      <c r="NMC28" s="501"/>
      <c r="NMD28" s="501"/>
      <c r="NME28" s="501"/>
      <c r="NMF28" s="501"/>
      <c r="NMG28" s="501"/>
      <c r="NMH28" s="501"/>
      <c r="NMI28" s="501"/>
      <c r="NMJ28" s="501"/>
      <c r="NMK28" s="501"/>
      <c r="NML28" s="501"/>
      <c r="NMM28" s="501"/>
      <c r="NMN28" s="501"/>
      <c r="NMO28" s="501"/>
      <c r="NMP28" s="501"/>
      <c r="NMQ28" s="501"/>
      <c r="NMR28" s="501"/>
      <c r="NMS28" s="501"/>
      <c r="NMT28" s="501"/>
      <c r="NMU28" s="501"/>
      <c r="NMV28" s="501"/>
      <c r="NMW28" s="501"/>
      <c r="NMX28" s="501"/>
      <c r="NMY28" s="501"/>
      <c r="NMZ28" s="501"/>
      <c r="NNA28" s="501"/>
      <c r="NNB28" s="501"/>
      <c r="NNC28" s="501"/>
      <c r="NND28" s="501"/>
      <c r="NNE28" s="501"/>
      <c r="NNF28" s="501"/>
      <c r="NNG28" s="501"/>
      <c r="NNH28" s="501"/>
      <c r="NNI28" s="501"/>
      <c r="NNJ28" s="501"/>
      <c r="NNK28" s="501"/>
      <c r="NNL28" s="501"/>
      <c r="NNM28" s="501"/>
      <c r="NNN28" s="501"/>
      <c r="NNO28" s="501"/>
      <c r="NNP28" s="501"/>
      <c r="NNQ28" s="501"/>
      <c r="NNR28" s="501"/>
      <c r="NNS28" s="501"/>
      <c r="NNT28" s="501"/>
      <c r="NNU28" s="501"/>
      <c r="NNV28" s="501"/>
      <c r="NNW28" s="501"/>
      <c r="NNX28" s="501"/>
      <c r="NNY28" s="501"/>
      <c r="NNZ28" s="501"/>
      <c r="NOA28" s="501"/>
      <c r="NOB28" s="501"/>
      <c r="NOC28" s="501"/>
      <c r="NOD28" s="501"/>
      <c r="NOE28" s="501"/>
      <c r="NOF28" s="501"/>
      <c r="NOG28" s="501"/>
      <c r="NOH28" s="501"/>
      <c r="NOI28" s="501"/>
      <c r="NOJ28" s="501"/>
      <c r="NOK28" s="501"/>
      <c r="NOL28" s="501"/>
      <c r="NOM28" s="501"/>
      <c r="NON28" s="501"/>
      <c r="NOO28" s="501"/>
      <c r="NOP28" s="501"/>
      <c r="NOQ28" s="501"/>
      <c r="NOR28" s="501"/>
      <c r="NOS28" s="501"/>
      <c r="NOT28" s="501"/>
      <c r="NOU28" s="501"/>
      <c r="NOV28" s="501"/>
      <c r="NOW28" s="501"/>
      <c r="NOX28" s="501"/>
      <c r="NOY28" s="501"/>
      <c r="NOZ28" s="501"/>
      <c r="NPA28" s="501"/>
      <c r="NPB28" s="501"/>
      <c r="NPC28" s="501"/>
      <c r="NPD28" s="501"/>
      <c r="NPE28" s="501"/>
      <c r="NPF28" s="501"/>
      <c r="NPG28" s="501"/>
      <c r="NPH28" s="501"/>
      <c r="NPI28" s="501"/>
      <c r="NPJ28" s="501"/>
      <c r="NPK28" s="501"/>
      <c r="NPL28" s="501"/>
      <c r="NPM28" s="501"/>
      <c r="NPN28" s="501"/>
      <c r="NPO28" s="501"/>
      <c r="NPP28" s="501"/>
      <c r="NPQ28" s="501"/>
      <c r="NPR28" s="501"/>
      <c r="NPS28" s="501"/>
      <c r="NPT28" s="501"/>
      <c r="NPU28" s="501"/>
      <c r="NPV28" s="501"/>
      <c r="NPW28" s="501"/>
      <c r="NPX28" s="501"/>
      <c r="NPY28" s="501"/>
      <c r="NPZ28" s="501"/>
      <c r="NQA28" s="501"/>
      <c r="NQB28" s="501"/>
      <c r="NQC28" s="501"/>
      <c r="NQD28" s="501"/>
      <c r="NQE28" s="501"/>
      <c r="NQF28" s="501"/>
      <c r="NQG28" s="501"/>
      <c r="NQH28" s="501"/>
      <c r="NQI28" s="501"/>
      <c r="NQJ28" s="501"/>
      <c r="NQK28" s="501"/>
      <c r="NQL28" s="501"/>
      <c r="NQM28" s="501"/>
      <c r="NQN28" s="501"/>
      <c r="NQO28" s="501"/>
      <c r="NQP28" s="501"/>
      <c r="NQQ28" s="501"/>
      <c r="NQR28" s="501"/>
      <c r="NQS28" s="501"/>
      <c r="NQT28" s="501"/>
      <c r="NQU28" s="501"/>
      <c r="NQV28" s="501"/>
      <c r="NQW28" s="501"/>
      <c r="NQX28" s="501"/>
      <c r="NQY28" s="501"/>
      <c r="NQZ28" s="501"/>
      <c r="NRA28" s="501"/>
      <c r="NRB28" s="501"/>
      <c r="NRC28" s="501"/>
      <c r="NRD28" s="501"/>
      <c r="NRE28" s="501"/>
      <c r="NRF28" s="501"/>
      <c r="NRG28" s="501"/>
      <c r="NRH28" s="501"/>
      <c r="NRI28" s="501"/>
      <c r="NRJ28" s="501"/>
      <c r="NRK28" s="501"/>
      <c r="NRL28" s="501"/>
      <c r="NRM28" s="501"/>
      <c r="NRN28" s="501"/>
      <c r="NRO28" s="501"/>
      <c r="NRP28" s="501"/>
      <c r="NRQ28" s="501"/>
      <c r="NRR28" s="501"/>
      <c r="NRS28" s="501"/>
      <c r="NRT28" s="501"/>
      <c r="NRU28" s="501"/>
      <c r="NRV28" s="501"/>
      <c r="NRW28" s="501"/>
      <c r="NRX28" s="501"/>
      <c r="NRY28" s="501"/>
      <c r="NRZ28" s="501"/>
      <c r="NSA28" s="501"/>
      <c r="NSB28" s="501"/>
      <c r="NSC28" s="501"/>
      <c r="NSD28" s="501"/>
      <c r="NSE28" s="501"/>
      <c r="NSF28" s="501"/>
      <c r="NSG28" s="501"/>
      <c r="NSH28" s="501"/>
      <c r="NSI28" s="501"/>
      <c r="NSJ28" s="501"/>
      <c r="NSK28" s="501"/>
      <c r="NSL28" s="501"/>
      <c r="NSM28" s="501"/>
      <c r="NSN28" s="501"/>
      <c r="NSO28" s="501"/>
      <c r="NSP28" s="501"/>
      <c r="NSQ28" s="501"/>
      <c r="NSR28" s="501"/>
      <c r="NSS28" s="501"/>
      <c r="NST28" s="501"/>
      <c r="NSU28" s="501"/>
      <c r="NSV28" s="501"/>
      <c r="NSW28" s="501"/>
      <c r="NSX28" s="501"/>
      <c r="NSY28" s="501"/>
      <c r="NSZ28" s="501"/>
      <c r="NTA28" s="501"/>
      <c r="NTB28" s="501"/>
      <c r="NTC28" s="501"/>
      <c r="NTD28" s="501"/>
      <c r="NTE28" s="501"/>
      <c r="NTF28" s="501"/>
      <c r="NTG28" s="501"/>
      <c r="NTH28" s="501"/>
      <c r="NTI28" s="501"/>
      <c r="NTJ28" s="501"/>
      <c r="NTK28" s="501"/>
      <c r="NTL28" s="501"/>
      <c r="NTM28" s="501"/>
      <c r="NTN28" s="501"/>
      <c r="NTO28" s="501"/>
      <c r="NTP28" s="501"/>
      <c r="NTQ28" s="501"/>
      <c r="NTR28" s="501"/>
      <c r="NTS28" s="501"/>
      <c r="NTT28" s="501"/>
      <c r="NTU28" s="501"/>
      <c r="NTV28" s="501"/>
      <c r="NTW28" s="501"/>
      <c r="NTX28" s="501"/>
      <c r="NTY28" s="501"/>
      <c r="NTZ28" s="501"/>
      <c r="NUA28" s="501"/>
      <c r="NUB28" s="501"/>
      <c r="NUC28" s="501"/>
      <c r="NUD28" s="501"/>
      <c r="NUE28" s="501"/>
      <c r="NUF28" s="501"/>
      <c r="NUG28" s="501"/>
      <c r="NUH28" s="501"/>
      <c r="NUI28" s="501"/>
      <c r="NUJ28" s="501"/>
      <c r="NUK28" s="501"/>
      <c r="NUL28" s="501"/>
      <c r="NUM28" s="501"/>
      <c r="NUN28" s="501"/>
      <c r="NUO28" s="501"/>
      <c r="NUP28" s="501"/>
      <c r="NUQ28" s="501"/>
      <c r="NUR28" s="501"/>
      <c r="NUS28" s="501"/>
      <c r="NUT28" s="501"/>
      <c r="NUU28" s="501"/>
      <c r="NUV28" s="501"/>
      <c r="NUW28" s="501"/>
      <c r="NUX28" s="501"/>
      <c r="NUY28" s="501"/>
      <c r="NUZ28" s="501"/>
      <c r="NVA28" s="501"/>
      <c r="NVB28" s="501"/>
      <c r="NVC28" s="501"/>
      <c r="NVD28" s="501"/>
      <c r="NVE28" s="501"/>
      <c r="NVF28" s="501"/>
      <c r="NVG28" s="501"/>
      <c r="NVH28" s="501"/>
      <c r="NVI28" s="501"/>
      <c r="NVJ28" s="501"/>
      <c r="NVK28" s="501"/>
      <c r="NVL28" s="501"/>
      <c r="NVM28" s="501"/>
      <c r="NVN28" s="501"/>
      <c r="NVO28" s="501"/>
      <c r="NVP28" s="501"/>
      <c r="NVQ28" s="501"/>
      <c r="NVR28" s="501"/>
      <c r="NVS28" s="501"/>
      <c r="NVT28" s="501"/>
      <c r="NVU28" s="501"/>
      <c r="NVV28" s="501"/>
      <c r="NVW28" s="501"/>
      <c r="NVX28" s="501"/>
      <c r="NVY28" s="501"/>
      <c r="NVZ28" s="501"/>
      <c r="NWA28" s="501"/>
      <c r="NWB28" s="501"/>
      <c r="NWC28" s="501"/>
      <c r="NWD28" s="501"/>
      <c r="NWE28" s="501"/>
      <c r="NWF28" s="501"/>
      <c r="NWG28" s="501"/>
      <c r="NWH28" s="501"/>
      <c r="NWI28" s="501"/>
      <c r="NWJ28" s="501"/>
      <c r="NWK28" s="501"/>
      <c r="NWL28" s="501"/>
      <c r="NWM28" s="501"/>
      <c r="NWN28" s="501"/>
      <c r="NWO28" s="501"/>
      <c r="NWP28" s="501"/>
      <c r="NWQ28" s="501"/>
      <c r="NWR28" s="501"/>
      <c r="NWS28" s="501"/>
      <c r="NWT28" s="501"/>
      <c r="NWU28" s="501"/>
      <c r="NWV28" s="501"/>
      <c r="NWW28" s="501"/>
      <c r="NWX28" s="501"/>
      <c r="NWY28" s="501"/>
      <c r="NWZ28" s="501"/>
      <c r="NXA28" s="501"/>
      <c r="NXB28" s="501"/>
      <c r="NXC28" s="501"/>
      <c r="NXD28" s="501"/>
      <c r="NXE28" s="501"/>
      <c r="NXF28" s="501"/>
      <c r="NXG28" s="501"/>
      <c r="NXH28" s="501"/>
      <c r="NXI28" s="501"/>
      <c r="NXJ28" s="501"/>
      <c r="NXK28" s="501"/>
      <c r="NXL28" s="501"/>
      <c r="NXM28" s="501"/>
      <c r="NXN28" s="501"/>
      <c r="NXO28" s="501"/>
      <c r="NXP28" s="501"/>
      <c r="NXQ28" s="501"/>
      <c r="NXR28" s="501"/>
      <c r="NXS28" s="501"/>
      <c r="NXT28" s="501"/>
      <c r="NXU28" s="501"/>
      <c r="NXV28" s="501"/>
      <c r="NXW28" s="501"/>
      <c r="NXX28" s="501"/>
      <c r="NXY28" s="501"/>
      <c r="NXZ28" s="501"/>
      <c r="NYA28" s="501"/>
      <c r="NYB28" s="501"/>
      <c r="NYC28" s="501"/>
      <c r="NYD28" s="501"/>
      <c r="NYE28" s="501"/>
      <c r="NYF28" s="501"/>
      <c r="NYG28" s="501"/>
      <c r="NYH28" s="501"/>
      <c r="NYI28" s="501"/>
      <c r="NYJ28" s="501"/>
      <c r="NYK28" s="501"/>
      <c r="NYL28" s="501"/>
      <c r="NYM28" s="501"/>
      <c r="NYN28" s="501"/>
      <c r="NYO28" s="501"/>
      <c r="NYP28" s="501"/>
      <c r="NYQ28" s="501"/>
      <c r="NYR28" s="501"/>
      <c r="NYS28" s="501"/>
      <c r="NYT28" s="501"/>
      <c r="NYU28" s="501"/>
      <c r="NYV28" s="501"/>
      <c r="NYW28" s="501"/>
      <c r="NYX28" s="501"/>
      <c r="NYY28" s="501"/>
      <c r="NYZ28" s="501"/>
      <c r="NZA28" s="501"/>
      <c r="NZB28" s="501"/>
      <c r="NZC28" s="501"/>
      <c r="NZD28" s="501"/>
      <c r="NZE28" s="501"/>
      <c r="NZF28" s="501"/>
      <c r="NZG28" s="501"/>
      <c r="NZH28" s="501"/>
      <c r="NZI28" s="501"/>
      <c r="NZJ28" s="501"/>
      <c r="NZK28" s="501"/>
      <c r="NZL28" s="501"/>
      <c r="NZM28" s="501"/>
      <c r="NZN28" s="501"/>
      <c r="NZO28" s="501"/>
      <c r="NZP28" s="501"/>
      <c r="NZQ28" s="501"/>
      <c r="NZR28" s="501"/>
      <c r="NZS28" s="501"/>
      <c r="NZT28" s="501"/>
      <c r="NZU28" s="501"/>
      <c r="NZV28" s="501"/>
      <c r="NZW28" s="501"/>
      <c r="NZX28" s="501"/>
      <c r="NZY28" s="501"/>
      <c r="NZZ28" s="501"/>
      <c r="OAA28" s="501"/>
      <c r="OAB28" s="501"/>
      <c r="OAC28" s="501"/>
      <c r="OAD28" s="501"/>
      <c r="OAE28" s="501"/>
      <c r="OAF28" s="501"/>
      <c r="OAG28" s="501"/>
      <c r="OAH28" s="501"/>
      <c r="OAI28" s="501"/>
      <c r="OAJ28" s="501"/>
      <c r="OAK28" s="501"/>
      <c r="OAL28" s="501"/>
      <c r="OAM28" s="501"/>
      <c r="OAN28" s="501"/>
      <c r="OAO28" s="501"/>
      <c r="OAP28" s="501"/>
      <c r="OAQ28" s="501"/>
      <c r="OAR28" s="501"/>
      <c r="OAS28" s="501"/>
      <c r="OAT28" s="501"/>
      <c r="OAU28" s="501"/>
      <c r="OAV28" s="501"/>
      <c r="OAW28" s="501"/>
      <c r="OAX28" s="501"/>
      <c r="OAY28" s="501"/>
      <c r="OAZ28" s="501"/>
      <c r="OBA28" s="501"/>
      <c r="OBB28" s="501"/>
      <c r="OBC28" s="501"/>
      <c r="OBD28" s="501"/>
      <c r="OBE28" s="501"/>
      <c r="OBF28" s="501"/>
      <c r="OBG28" s="501"/>
      <c r="OBH28" s="501"/>
      <c r="OBI28" s="501"/>
      <c r="OBJ28" s="501"/>
      <c r="OBK28" s="501"/>
      <c r="OBL28" s="501"/>
      <c r="OBM28" s="501"/>
      <c r="OBN28" s="501"/>
      <c r="OBO28" s="501"/>
      <c r="OBP28" s="501"/>
      <c r="OBQ28" s="501"/>
      <c r="OBR28" s="501"/>
      <c r="OBS28" s="501"/>
      <c r="OBT28" s="501"/>
      <c r="OBU28" s="501"/>
      <c r="OBV28" s="501"/>
      <c r="OBW28" s="501"/>
      <c r="OBX28" s="501"/>
      <c r="OBY28" s="501"/>
      <c r="OBZ28" s="501"/>
      <c r="OCA28" s="501"/>
      <c r="OCB28" s="501"/>
      <c r="OCC28" s="501"/>
      <c r="OCD28" s="501"/>
      <c r="OCE28" s="501"/>
      <c r="OCF28" s="501"/>
      <c r="OCG28" s="501"/>
      <c r="OCH28" s="501"/>
      <c r="OCI28" s="501"/>
      <c r="OCJ28" s="501"/>
      <c r="OCK28" s="501"/>
      <c r="OCL28" s="501"/>
      <c r="OCM28" s="501"/>
      <c r="OCN28" s="501"/>
      <c r="OCO28" s="501"/>
      <c r="OCP28" s="501"/>
      <c r="OCQ28" s="501"/>
      <c r="OCR28" s="501"/>
      <c r="OCS28" s="501"/>
      <c r="OCT28" s="501"/>
      <c r="OCU28" s="501"/>
      <c r="OCV28" s="501"/>
      <c r="OCW28" s="501"/>
      <c r="OCX28" s="501"/>
      <c r="OCY28" s="501"/>
      <c r="OCZ28" s="501"/>
      <c r="ODA28" s="501"/>
      <c r="ODB28" s="501"/>
      <c r="ODC28" s="501"/>
      <c r="ODD28" s="501"/>
      <c r="ODE28" s="501"/>
      <c r="ODF28" s="501"/>
      <c r="ODG28" s="501"/>
      <c r="ODH28" s="501"/>
      <c r="ODI28" s="501"/>
      <c r="ODJ28" s="501"/>
      <c r="ODK28" s="501"/>
      <c r="ODL28" s="501"/>
      <c r="ODM28" s="501"/>
      <c r="ODN28" s="501"/>
      <c r="ODO28" s="501"/>
      <c r="ODP28" s="501"/>
      <c r="ODQ28" s="501"/>
      <c r="ODR28" s="501"/>
      <c r="ODS28" s="501"/>
      <c r="ODT28" s="501"/>
      <c r="ODU28" s="501"/>
      <c r="ODV28" s="501"/>
      <c r="ODW28" s="501"/>
      <c r="ODX28" s="501"/>
      <c r="ODY28" s="501"/>
      <c r="ODZ28" s="501"/>
      <c r="OEA28" s="501"/>
      <c r="OEB28" s="501"/>
      <c r="OEC28" s="501"/>
      <c r="OED28" s="501"/>
      <c r="OEE28" s="501"/>
      <c r="OEF28" s="501"/>
      <c r="OEG28" s="501"/>
      <c r="OEH28" s="501"/>
      <c r="OEI28" s="501"/>
      <c r="OEJ28" s="501"/>
      <c r="OEK28" s="501"/>
      <c r="OEL28" s="501"/>
      <c r="OEM28" s="501"/>
      <c r="OEN28" s="501"/>
      <c r="OEO28" s="501"/>
      <c r="OEP28" s="501"/>
      <c r="OEQ28" s="501"/>
      <c r="OER28" s="501"/>
      <c r="OES28" s="501"/>
      <c r="OET28" s="501"/>
      <c r="OEU28" s="501"/>
      <c r="OEV28" s="501"/>
      <c r="OEW28" s="501"/>
      <c r="OEX28" s="501"/>
      <c r="OEY28" s="501"/>
      <c r="OEZ28" s="501"/>
      <c r="OFA28" s="501"/>
      <c r="OFB28" s="501"/>
      <c r="OFC28" s="501"/>
      <c r="OFD28" s="501"/>
      <c r="OFE28" s="501"/>
      <c r="OFF28" s="501"/>
      <c r="OFG28" s="501"/>
      <c r="OFH28" s="501"/>
      <c r="OFI28" s="501"/>
      <c r="OFJ28" s="501"/>
      <c r="OFK28" s="501"/>
      <c r="OFL28" s="501"/>
      <c r="OFM28" s="501"/>
      <c r="OFN28" s="501"/>
      <c r="OFO28" s="501"/>
      <c r="OFP28" s="501"/>
      <c r="OFQ28" s="501"/>
      <c r="OFR28" s="501"/>
      <c r="OFS28" s="501"/>
      <c r="OFT28" s="501"/>
      <c r="OFU28" s="501"/>
      <c r="OFV28" s="501"/>
      <c r="OFW28" s="501"/>
      <c r="OFX28" s="501"/>
      <c r="OFY28" s="501"/>
      <c r="OFZ28" s="501"/>
      <c r="OGA28" s="501"/>
      <c r="OGB28" s="501"/>
      <c r="OGC28" s="501"/>
      <c r="OGD28" s="501"/>
      <c r="OGE28" s="501"/>
      <c r="OGF28" s="501"/>
      <c r="OGG28" s="501"/>
      <c r="OGH28" s="501"/>
      <c r="OGI28" s="501"/>
      <c r="OGJ28" s="501"/>
      <c r="OGK28" s="501"/>
      <c r="OGL28" s="501"/>
      <c r="OGM28" s="501"/>
      <c r="OGN28" s="501"/>
      <c r="OGO28" s="501"/>
      <c r="OGP28" s="501"/>
      <c r="OGQ28" s="501"/>
      <c r="OGR28" s="501"/>
      <c r="OGS28" s="501"/>
      <c r="OGT28" s="501"/>
      <c r="OGU28" s="501"/>
      <c r="OGV28" s="501"/>
      <c r="OGW28" s="501"/>
      <c r="OGX28" s="501"/>
      <c r="OGY28" s="501"/>
      <c r="OGZ28" s="501"/>
      <c r="OHA28" s="501"/>
      <c r="OHB28" s="501"/>
      <c r="OHC28" s="501"/>
      <c r="OHD28" s="501"/>
      <c r="OHE28" s="501"/>
      <c r="OHF28" s="501"/>
      <c r="OHG28" s="501"/>
      <c r="OHH28" s="501"/>
      <c r="OHI28" s="501"/>
      <c r="OHJ28" s="501"/>
      <c r="OHK28" s="501"/>
      <c r="OHL28" s="501"/>
      <c r="OHM28" s="501"/>
      <c r="OHN28" s="501"/>
      <c r="OHO28" s="501"/>
      <c r="OHP28" s="501"/>
      <c r="OHQ28" s="501"/>
      <c r="OHR28" s="501"/>
      <c r="OHS28" s="501"/>
      <c r="OHT28" s="501"/>
      <c r="OHU28" s="501"/>
      <c r="OHV28" s="501"/>
      <c r="OHW28" s="501"/>
      <c r="OHX28" s="501"/>
      <c r="OHY28" s="501"/>
      <c r="OHZ28" s="501"/>
      <c r="OIA28" s="501"/>
      <c r="OIB28" s="501"/>
      <c r="OIC28" s="501"/>
      <c r="OID28" s="501"/>
      <c r="OIE28" s="501"/>
      <c r="OIF28" s="501"/>
      <c r="OIG28" s="501"/>
      <c r="OIH28" s="501"/>
      <c r="OII28" s="501"/>
      <c r="OIJ28" s="501"/>
      <c r="OIK28" s="501"/>
      <c r="OIL28" s="501"/>
      <c r="OIM28" s="501"/>
      <c r="OIN28" s="501"/>
      <c r="OIO28" s="501"/>
      <c r="OIP28" s="501"/>
      <c r="OIQ28" s="501"/>
      <c r="OIR28" s="501"/>
      <c r="OIS28" s="501"/>
      <c r="OIT28" s="501"/>
      <c r="OIU28" s="501"/>
      <c r="OIV28" s="501"/>
      <c r="OIW28" s="501"/>
      <c r="OIX28" s="501"/>
      <c r="OIY28" s="501"/>
      <c r="OIZ28" s="501"/>
      <c r="OJA28" s="501"/>
      <c r="OJB28" s="501"/>
      <c r="OJC28" s="501"/>
      <c r="OJD28" s="501"/>
      <c r="OJE28" s="501"/>
      <c r="OJF28" s="501"/>
      <c r="OJG28" s="501"/>
      <c r="OJH28" s="501"/>
      <c r="OJI28" s="501"/>
      <c r="OJJ28" s="501"/>
      <c r="OJK28" s="501"/>
      <c r="OJL28" s="501"/>
      <c r="OJM28" s="501"/>
      <c r="OJN28" s="501"/>
      <c r="OJO28" s="501"/>
      <c r="OJP28" s="501"/>
      <c r="OJQ28" s="501"/>
      <c r="OJR28" s="501"/>
      <c r="OJS28" s="501"/>
      <c r="OJT28" s="501"/>
      <c r="OJU28" s="501"/>
      <c r="OJV28" s="501"/>
      <c r="OJW28" s="501"/>
      <c r="OJX28" s="501"/>
      <c r="OJY28" s="501"/>
      <c r="OJZ28" s="501"/>
      <c r="OKA28" s="501"/>
      <c r="OKB28" s="501"/>
      <c r="OKC28" s="501"/>
      <c r="OKD28" s="501"/>
      <c r="OKE28" s="501"/>
      <c r="OKF28" s="501"/>
      <c r="OKG28" s="501"/>
      <c r="OKH28" s="501"/>
      <c r="OKI28" s="501"/>
      <c r="OKJ28" s="501"/>
      <c r="OKK28" s="501"/>
      <c r="OKL28" s="501"/>
      <c r="OKM28" s="501"/>
      <c r="OKN28" s="501"/>
      <c r="OKO28" s="501"/>
      <c r="OKP28" s="501"/>
      <c r="OKQ28" s="501"/>
      <c r="OKR28" s="501"/>
      <c r="OKS28" s="501"/>
      <c r="OKT28" s="501"/>
      <c r="OKU28" s="501"/>
      <c r="OKV28" s="501"/>
      <c r="OKW28" s="501"/>
      <c r="OKX28" s="501"/>
      <c r="OKY28" s="501"/>
      <c r="OKZ28" s="501"/>
      <c r="OLA28" s="501"/>
      <c r="OLB28" s="501"/>
      <c r="OLC28" s="501"/>
      <c r="OLD28" s="501"/>
      <c r="OLE28" s="501"/>
      <c r="OLF28" s="501"/>
      <c r="OLG28" s="501"/>
      <c r="OLH28" s="501"/>
      <c r="OLI28" s="501"/>
      <c r="OLJ28" s="501"/>
      <c r="OLK28" s="501"/>
      <c r="OLL28" s="501"/>
      <c r="OLM28" s="501"/>
      <c r="OLN28" s="501"/>
      <c r="OLO28" s="501"/>
      <c r="OLP28" s="501"/>
      <c r="OLQ28" s="501"/>
      <c r="OLR28" s="501"/>
      <c r="OLS28" s="501"/>
      <c r="OLT28" s="501"/>
      <c r="OLU28" s="501"/>
      <c r="OLV28" s="501"/>
      <c r="OLW28" s="501"/>
      <c r="OLX28" s="501"/>
      <c r="OLY28" s="501"/>
      <c r="OLZ28" s="501"/>
      <c r="OMA28" s="501"/>
      <c r="OMB28" s="501"/>
      <c r="OMC28" s="501"/>
      <c r="OMD28" s="501"/>
      <c r="OME28" s="501"/>
      <c r="OMF28" s="501"/>
      <c r="OMG28" s="501"/>
      <c r="OMH28" s="501"/>
      <c r="OMI28" s="501"/>
      <c r="OMJ28" s="501"/>
      <c r="OMK28" s="501"/>
      <c r="OML28" s="501"/>
      <c r="OMM28" s="501"/>
      <c r="OMN28" s="501"/>
      <c r="OMO28" s="501"/>
      <c r="OMP28" s="501"/>
      <c r="OMQ28" s="501"/>
      <c r="OMR28" s="501"/>
      <c r="OMS28" s="501"/>
      <c r="OMT28" s="501"/>
      <c r="OMU28" s="501"/>
      <c r="OMV28" s="501"/>
      <c r="OMW28" s="501"/>
      <c r="OMX28" s="501"/>
      <c r="OMY28" s="501"/>
      <c r="OMZ28" s="501"/>
      <c r="ONA28" s="501"/>
      <c r="ONB28" s="501"/>
      <c r="ONC28" s="501"/>
      <c r="OND28" s="501"/>
      <c r="ONE28" s="501"/>
      <c r="ONF28" s="501"/>
      <c r="ONG28" s="501"/>
      <c r="ONH28" s="501"/>
      <c r="ONI28" s="501"/>
      <c r="ONJ28" s="501"/>
      <c r="ONK28" s="501"/>
      <c r="ONL28" s="501"/>
      <c r="ONM28" s="501"/>
      <c r="ONN28" s="501"/>
      <c r="ONO28" s="501"/>
      <c r="ONP28" s="501"/>
      <c r="ONQ28" s="501"/>
      <c r="ONR28" s="501"/>
      <c r="ONS28" s="501"/>
      <c r="ONT28" s="501"/>
      <c r="ONU28" s="501"/>
      <c r="ONV28" s="501"/>
      <c r="ONW28" s="501"/>
      <c r="ONX28" s="501"/>
      <c r="ONY28" s="501"/>
      <c r="ONZ28" s="501"/>
      <c r="OOA28" s="501"/>
      <c r="OOB28" s="501"/>
      <c r="OOC28" s="501"/>
      <c r="OOD28" s="501"/>
      <c r="OOE28" s="501"/>
      <c r="OOF28" s="501"/>
      <c r="OOG28" s="501"/>
      <c r="OOH28" s="501"/>
      <c r="OOI28" s="501"/>
      <c r="OOJ28" s="501"/>
      <c r="OOK28" s="501"/>
      <c r="OOL28" s="501"/>
      <c r="OOM28" s="501"/>
      <c r="OON28" s="501"/>
      <c r="OOO28" s="501"/>
      <c r="OOP28" s="501"/>
      <c r="OOQ28" s="501"/>
      <c r="OOR28" s="501"/>
      <c r="OOS28" s="501"/>
      <c r="OOT28" s="501"/>
      <c r="OOU28" s="501"/>
      <c r="OOV28" s="501"/>
      <c r="OOW28" s="501"/>
      <c r="OOX28" s="501"/>
      <c r="OOY28" s="501"/>
      <c r="OOZ28" s="501"/>
      <c r="OPA28" s="501"/>
      <c r="OPB28" s="501"/>
      <c r="OPC28" s="501"/>
      <c r="OPD28" s="501"/>
      <c r="OPE28" s="501"/>
      <c r="OPF28" s="501"/>
      <c r="OPG28" s="501"/>
      <c r="OPH28" s="501"/>
      <c r="OPI28" s="501"/>
      <c r="OPJ28" s="501"/>
      <c r="OPK28" s="501"/>
      <c r="OPL28" s="501"/>
      <c r="OPM28" s="501"/>
      <c r="OPN28" s="501"/>
      <c r="OPO28" s="501"/>
      <c r="OPP28" s="501"/>
      <c r="OPQ28" s="501"/>
      <c r="OPR28" s="501"/>
      <c r="OPS28" s="501"/>
      <c r="OPT28" s="501"/>
      <c r="OPU28" s="501"/>
      <c r="OPV28" s="501"/>
      <c r="OPW28" s="501"/>
      <c r="OPX28" s="501"/>
      <c r="OPY28" s="501"/>
      <c r="OPZ28" s="501"/>
      <c r="OQA28" s="501"/>
      <c r="OQB28" s="501"/>
      <c r="OQC28" s="501"/>
      <c r="OQD28" s="501"/>
      <c r="OQE28" s="501"/>
      <c r="OQF28" s="501"/>
      <c r="OQG28" s="501"/>
      <c r="OQH28" s="501"/>
      <c r="OQI28" s="501"/>
      <c r="OQJ28" s="501"/>
      <c r="OQK28" s="501"/>
      <c r="OQL28" s="501"/>
      <c r="OQM28" s="501"/>
      <c r="OQN28" s="501"/>
      <c r="OQO28" s="501"/>
      <c r="OQP28" s="501"/>
      <c r="OQQ28" s="501"/>
      <c r="OQR28" s="501"/>
      <c r="OQS28" s="501"/>
      <c r="OQT28" s="501"/>
      <c r="OQU28" s="501"/>
      <c r="OQV28" s="501"/>
      <c r="OQW28" s="501"/>
      <c r="OQX28" s="501"/>
      <c r="OQY28" s="501"/>
      <c r="OQZ28" s="501"/>
      <c r="ORA28" s="501"/>
      <c r="ORB28" s="501"/>
      <c r="ORC28" s="501"/>
      <c r="ORD28" s="501"/>
      <c r="ORE28" s="501"/>
      <c r="ORF28" s="501"/>
      <c r="ORG28" s="501"/>
      <c r="ORH28" s="501"/>
      <c r="ORI28" s="501"/>
      <c r="ORJ28" s="501"/>
      <c r="ORK28" s="501"/>
      <c r="ORL28" s="501"/>
      <c r="ORM28" s="501"/>
      <c r="ORN28" s="501"/>
      <c r="ORO28" s="501"/>
      <c r="ORP28" s="501"/>
      <c r="ORQ28" s="501"/>
      <c r="ORR28" s="501"/>
      <c r="ORS28" s="501"/>
      <c r="ORT28" s="501"/>
      <c r="ORU28" s="501"/>
      <c r="ORV28" s="501"/>
      <c r="ORW28" s="501"/>
      <c r="ORX28" s="501"/>
      <c r="ORY28" s="501"/>
      <c r="ORZ28" s="501"/>
      <c r="OSA28" s="501"/>
      <c r="OSB28" s="501"/>
      <c r="OSC28" s="501"/>
      <c r="OSD28" s="501"/>
      <c r="OSE28" s="501"/>
      <c r="OSF28" s="501"/>
      <c r="OSG28" s="501"/>
      <c r="OSH28" s="501"/>
      <c r="OSI28" s="501"/>
      <c r="OSJ28" s="501"/>
      <c r="OSK28" s="501"/>
      <c r="OSL28" s="501"/>
      <c r="OSM28" s="501"/>
      <c r="OSN28" s="501"/>
      <c r="OSO28" s="501"/>
      <c r="OSP28" s="501"/>
      <c r="OSQ28" s="501"/>
      <c r="OSR28" s="501"/>
      <c r="OSS28" s="501"/>
      <c r="OST28" s="501"/>
      <c r="OSU28" s="501"/>
      <c r="OSV28" s="501"/>
      <c r="OSW28" s="501"/>
      <c r="OSX28" s="501"/>
      <c r="OSY28" s="501"/>
      <c r="OSZ28" s="501"/>
      <c r="OTA28" s="501"/>
      <c r="OTB28" s="501"/>
      <c r="OTC28" s="501"/>
      <c r="OTD28" s="501"/>
      <c r="OTE28" s="501"/>
      <c r="OTF28" s="501"/>
      <c r="OTG28" s="501"/>
      <c r="OTH28" s="501"/>
      <c r="OTI28" s="501"/>
      <c r="OTJ28" s="501"/>
      <c r="OTK28" s="501"/>
      <c r="OTL28" s="501"/>
      <c r="OTM28" s="501"/>
      <c r="OTN28" s="501"/>
      <c r="OTO28" s="501"/>
      <c r="OTP28" s="501"/>
      <c r="OTQ28" s="501"/>
      <c r="OTR28" s="501"/>
      <c r="OTS28" s="501"/>
      <c r="OTT28" s="501"/>
      <c r="OTU28" s="501"/>
      <c r="OTV28" s="501"/>
      <c r="OTW28" s="501"/>
      <c r="OTX28" s="501"/>
      <c r="OTY28" s="501"/>
      <c r="OTZ28" s="501"/>
      <c r="OUA28" s="501"/>
      <c r="OUB28" s="501"/>
      <c r="OUC28" s="501"/>
      <c r="OUD28" s="501"/>
      <c r="OUE28" s="501"/>
      <c r="OUF28" s="501"/>
      <c r="OUG28" s="501"/>
      <c r="OUH28" s="501"/>
      <c r="OUI28" s="501"/>
      <c r="OUJ28" s="501"/>
      <c r="OUK28" s="501"/>
      <c r="OUL28" s="501"/>
      <c r="OUM28" s="501"/>
      <c r="OUN28" s="501"/>
      <c r="OUO28" s="501"/>
      <c r="OUP28" s="501"/>
      <c r="OUQ28" s="501"/>
      <c r="OUR28" s="501"/>
      <c r="OUS28" s="501"/>
      <c r="OUT28" s="501"/>
      <c r="OUU28" s="501"/>
      <c r="OUV28" s="501"/>
      <c r="OUW28" s="501"/>
      <c r="OUX28" s="501"/>
      <c r="OUY28" s="501"/>
      <c r="OUZ28" s="501"/>
      <c r="OVA28" s="501"/>
      <c r="OVB28" s="501"/>
      <c r="OVC28" s="501"/>
      <c r="OVD28" s="501"/>
      <c r="OVE28" s="501"/>
      <c r="OVF28" s="501"/>
      <c r="OVG28" s="501"/>
      <c r="OVH28" s="501"/>
      <c r="OVI28" s="501"/>
      <c r="OVJ28" s="501"/>
      <c r="OVK28" s="501"/>
      <c r="OVL28" s="501"/>
      <c r="OVM28" s="501"/>
      <c r="OVN28" s="501"/>
      <c r="OVO28" s="501"/>
      <c r="OVP28" s="501"/>
      <c r="OVQ28" s="501"/>
      <c r="OVR28" s="501"/>
      <c r="OVS28" s="501"/>
      <c r="OVT28" s="501"/>
      <c r="OVU28" s="501"/>
      <c r="OVV28" s="501"/>
      <c r="OVW28" s="501"/>
      <c r="OVX28" s="501"/>
      <c r="OVY28" s="501"/>
      <c r="OVZ28" s="501"/>
      <c r="OWA28" s="501"/>
      <c r="OWB28" s="501"/>
      <c r="OWC28" s="501"/>
      <c r="OWD28" s="501"/>
      <c r="OWE28" s="501"/>
      <c r="OWF28" s="501"/>
      <c r="OWG28" s="501"/>
      <c r="OWH28" s="501"/>
      <c r="OWI28" s="501"/>
      <c r="OWJ28" s="501"/>
      <c r="OWK28" s="501"/>
      <c r="OWL28" s="501"/>
      <c r="OWM28" s="501"/>
      <c r="OWN28" s="501"/>
      <c r="OWO28" s="501"/>
      <c r="OWP28" s="501"/>
      <c r="OWQ28" s="501"/>
      <c r="OWR28" s="501"/>
      <c r="OWS28" s="501"/>
      <c r="OWT28" s="501"/>
      <c r="OWU28" s="501"/>
      <c r="OWV28" s="501"/>
      <c r="OWW28" s="501"/>
      <c r="OWX28" s="501"/>
      <c r="OWY28" s="501"/>
      <c r="OWZ28" s="501"/>
      <c r="OXA28" s="501"/>
      <c r="OXB28" s="501"/>
      <c r="OXC28" s="501"/>
      <c r="OXD28" s="501"/>
      <c r="OXE28" s="501"/>
      <c r="OXF28" s="501"/>
      <c r="OXG28" s="501"/>
      <c r="OXH28" s="501"/>
      <c r="OXI28" s="501"/>
      <c r="OXJ28" s="501"/>
      <c r="OXK28" s="501"/>
      <c r="OXL28" s="501"/>
      <c r="OXM28" s="501"/>
      <c r="OXN28" s="501"/>
      <c r="OXO28" s="501"/>
      <c r="OXP28" s="501"/>
      <c r="OXQ28" s="501"/>
      <c r="OXR28" s="501"/>
      <c r="OXS28" s="501"/>
      <c r="OXT28" s="501"/>
      <c r="OXU28" s="501"/>
      <c r="OXV28" s="501"/>
      <c r="OXW28" s="501"/>
      <c r="OXX28" s="501"/>
      <c r="OXY28" s="501"/>
      <c r="OXZ28" s="501"/>
      <c r="OYA28" s="501"/>
      <c r="OYB28" s="501"/>
      <c r="OYC28" s="501"/>
      <c r="OYD28" s="501"/>
      <c r="OYE28" s="501"/>
      <c r="OYF28" s="501"/>
      <c r="OYG28" s="501"/>
      <c r="OYH28" s="501"/>
      <c r="OYI28" s="501"/>
      <c r="OYJ28" s="501"/>
      <c r="OYK28" s="501"/>
      <c r="OYL28" s="501"/>
      <c r="OYM28" s="501"/>
      <c r="OYN28" s="501"/>
      <c r="OYO28" s="501"/>
      <c r="OYP28" s="501"/>
      <c r="OYQ28" s="501"/>
      <c r="OYR28" s="501"/>
      <c r="OYS28" s="501"/>
      <c r="OYT28" s="501"/>
      <c r="OYU28" s="501"/>
      <c r="OYV28" s="501"/>
      <c r="OYW28" s="501"/>
      <c r="OYX28" s="501"/>
      <c r="OYY28" s="501"/>
      <c r="OYZ28" s="501"/>
      <c r="OZA28" s="501"/>
      <c r="OZB28" s="501"/>
      <c r="OZC28" s="501"/>
      <c r="OZD28" s="501"/>
      <c r="OZE28" s="501"/>
      <c r="OZF28" s="501"/>
      <c r="OZG28" s="501"/>
      <c r="OZH28" s="501"/>
      <c r="OZI28" s="501"/>
      <c r="OZJ28" s="501"/>
      <c r="OZK28" s="501"/>
      <c r="OZL28" s="501"/>
      <c r="OZM28" s="501"/>
      <c r="OZN28" s="501"/>
      <c r="OZO28" s="501"/>
      <c r="OZP28" s="501"/>
      <c r="OZQ28" s="501"/>
      <c r="OZR28" s="501"/>
      <c r="OZS28" s="501"/>
      <c r="OZT28" s="501"/>
      <c r="OZU28" s="501"/>
      <c r="OZV28" s="501"/>
      <c r="OZW28" s="501"/>
      <c r="OZX28" s="501"/>
      <c r="OZY28" s="501"/>
      <c r="OZZ28" s="501"/>
      <c r="PAA28" s="501"/>
      <c r="PAB28" s="501"/>
      <c r="PAC28" s="501"/>
      <c r="PAD28" s="501"/>
      <c r="PAE28" s="501"/>
      <c r="PAF28" s="501"/>
      <c r="PAG28" s="501"/>
      <c r="PAH28" s="501"/>
      <c r="PAI28" s="501"/>
      <c r="PAJ28" s="501"/>
      <c r="PAK28" s="501"/>
      <c r="PAL28" s="501"/>
      <c r="PAM28" s="501"/>
      <c r="PAN28" s="501"/>
      <c r="PAO28" s="501"/>
      <c r="PAP28" s="501"/>
      <c r="PAQ28" s="501"/>
      <c r="PAR28" s="501"/>
      <c r="PAS28" s="501"/>
      <c r="PAT28" s="501"/>
      <c r="PAU28" s="501"/>
      <c r="PAV28" s="501"/>
      <c r="PAW28" s="501"/>
      <c r="PAX28" s="501"/>
      <c r="PAY28" s="501"/>
      <c r="PAZ28" s="501"/>
      <c r="PBA28" s="501"/>
      <c r="PBB28" s="501"/>
      <c r="PBC28" s="501"/>
      <c r="PBD28" s="501"/>
      <c r="PBE28" s="501"/>
      <c r="PBF28" s="501"/>
      <c r="PBG28" s="501"/>
      <c r="PBH28" s="501"/>
      <c r="PBI28" s="501"/>
      <c r="PBJ28" s="501"/>
      <c r="PBK28" s="501"/>
      <c r="PBL28" s="501"/>
      <c r="PBM28" s="501"/>
      <c r="PBN28" s="501"/>
      <c r="PBO28" s="501"/>
      <c r="PBP28" s="501"/>
      <c r="PBQ28" s="501"/>
      <c r="PBR28" s="501"/>
      <c r="PBS28" s="501"/>
      <c r="PBT28" s="501"/>
      <c r="PBU28" s="501"/>
      <c r="PBV28" s="501"/>
      <c r="PBW28" s="501"/>
      <c r="PBX28" s="501"/>
      <c r="PBY28" s="501"/>
      <c r="PBZ28" s="501"/>
      <c r="PCA28" s="501"/>
      <c r="PCB28" s="501"/>
      <c r="PCC28" s="501"/>
      <c r="PCD28" s="501"/>
      <c r="PCE28" s="501"/>
      <c r="PCF28" s="501"/>
      <c r="PCG28" s="501"/>
      <c r="PCH28" s="501"/>
      <c r="PCI28" s="501"/>
      <c r="PCJ28" s="501"/>
      <c r="PCK28" s="501"/>
      <c r="PCL28" s="501"/>
      <c r="PCM28" s="501"/>
      <c r="PCN28" s="501"/>
      <c r="PCO28" s="501"/>
      <c r="PCP28" s="501"/>
      <c r="PCQ28" s="501"/>
      <c r="PCR28" s="501"/>
      <c r="PCS28" s="501"/>
      <c r="PCT28" s="501"/>
      <c r="PCU28" s="501"/>
      <c r="PCV28" s="501"/>
      <c r="PCW28" s="501"/>
      <c r="PCX28" s="501"/>
      <c r="PCY28" s="501"/>
      <c r="PCZ28" s="501"/>
      <c r="PDA28" s="501"/>
      <c r="PDB28" s="501"/>
      <c r="PDC28" s="501"/>
      <c r="PDD28" s="501"/>
      <c r="PDE28" s="501"/>
      <c r="PDF28" s="501"/>
      <c r="PDG28" s="501"/>
      <c r="PDH28" s="501"/>
      <c r="PDI28" s="501"/>
      <c r="PDJ28" s="501"/>
      <c r="PDK28" s="501"/>
      <c r="PDL28" s="501"/>
      <c r="PDM28" s="501"/>
      <c r="PDN28" s="501"/>
      <c r="PDO28" s="501"/>
      <c r="PDP28" s="501"/>
      <c r="PDQ28" s="501"/>
      <c r="PDR28" s="501"/>
      <c r="PDS28" s="501"/>
      <c r="PDT28" s="501"/>
      <c r="PDU28" s="501"/>
      <c r="PDV28" s="501"/>
      <c r="PDW28" s="501"/>
      <c r="PDX28" s="501"/>
      <c r="PDY28" s="501"/>
      <c r="PDZ28" s="501"/>
      <c r="PEA28" s="501"/>
      <c r="PEB28" s="501"/>
      <c r="PEC28" s="501"/>
      <c r="PED28" s="501"/>
      <c r="PEE28" s="501"/>
      <c r="PEF28" s="501"/>
      <c r="PEG28" s="501"/>
      <c r="PEH28" s="501"/>
      <c r="PEI28" s="501"/>
      <c r="PEJ28" s="501"/>
      <c r="PEK28" s="501"/>
      <c r="PEL28" s="501"/>
      <c r="PEM28" s="501"/>
      <c r="PEN28" s="501"/>
      <c r="PEO28" s="501"/>
      <c r="PEP28" s="501"/>
      <c r="PEQ28" s="501"/>
      <c r="PER28" s="501"/>
      <c r="PES28" s="501"/>
      <c r="PET28" s="501"/>
      <c r="PEU28" s="501"/>
      <c r="PEV28" s="501"/>
      <c r="PEW28" s="501"/>
      <c r="PEX28" s="501"/>
      <c r="PEY28" s="501"/>
      <c r="PEZ28" s="501"/>
      <c r="PFA28" s="501"/>
      <c r="PFB28" s="501"/>
      <c r="PFC28" s="501"/>
      <c r="PFD28" s="501"/>
      <c r="PFE28" s="501"/>
      <c r="PFF28" s="501"/>
      <c r="PFG28" s="501"/>
      <c r="PFH28" s="501"/>
      <c r="PFI28" s="501"/>
      <c r="PFJ28" s="501"/>
      <c r="PFK28" s="501"/>
      <c r="PFL28" s="501"/>
      <c r="PFM28" s="501"/>
      <c r="PFN28" s="501"/>
      <c r="PFO28" s="501"/>
      <c r="PFP28" s="501"/>
      <c r="PFQ28" s="501"/>
      <c r="PFR28" s="501"/>
      <c r="PFS28" s="501"/>
      <c r="PFT28" s="501"/>
      <c r="PFU28" s="501"/>
      <c r="PFV28" s="501"/>
      <c r="PFW28" s="501"/>
      <c r="PFX28" s="501"/>
      <c r="PFY28" s="501"/>
      <c r="PFZ28" s="501"/>
      <c r="PGA28" s="501"/>
      <c r="PGB28" s="501"/>
      <c r="PGC28" s="501"/>
      <c r="PGD28" s="501"/>
      <c r="PGE28" s="501"/>
      <c r="PGF28" s="501"/>
      <c r="PGG28" s="501"/>
      <c r="PGH28" s="501"/>
      <c r="PGI28" s="501"/>
      <c r="PGJ28" s="501"/>
      <c r="PGK28" s="501"/>
      <c r="PGL28" s="501"/>
      <c r="PGM28" s="501"/>
      <c r="PGN28" s="501"/>
      <c r="PGO28" s="501"/>
      <c r="PGP28" s="501"/>
      <c r="PGQ28" s="501"/>
      <c r="PGR28" s="501"/>
      <c r="PGS28" s="501"/>
      <c r="PGT28" s="501"/>
      <c r="PGU28" s="501"/>
      <c r="PGV28" s="501"/>
      <c r="PGW28" s="501"/>
      <c r="PGX28" s="501"/>
      <c r="PGY28" s="501"/>
      <c r="PGZ28" s="501"/>
      <c r="PHA28" s="501"/>
      <c r="PHB28" s="501"/>
      <c r="PHC28" s="501"/>
      <c r="PHD28" s="501"/>
      <c r="PHE28" s="501"/>
      <c r="PHF28" s="501"/>
      <c r="PHG28" s="501"/>
      <c r="PHH28" s="501"/>
      <c r="PHI28" s="501"/>
      <c r="PHJ28" s="501"/>
      <c r="PHK28" s="501"/>
      <c r="PHL28" s="501"/>
      <c r="PHM28" s="501"/>
      <c r="PHN28" s="501"/>
      <c r="PHO28" s="501"/>
      <c r="PHP28" s="501"/>
      <c r="PHQ28" s="501"/>
      <c r="PHR28" s="501"/>
      <c r="PHS28" s="501"/>
      <c r="PHT28" s="501"/>
      <c r="PHU28" s="501"/>
      <c r="PHV28" s="501"/>
      <c r="PHW28" s="501"/>
      <c r="PHX28" s="501"/>
      <c r="PHY28" s="501"/>
      <c r="PHZ28" s="501"/>
      <c r="PIA28" s="501"/>
      <c r="PIB28" s="501"/>
      <c r="PIC28" s="501"/>
      <c r="PID28" s="501"/>
      <c r="PIE28" s="501"/>
      <c r="PIF28" s="501"/>
      <c r="PIG28" s="501"/>
      <c r="PIH28" s="501"/>
      <c r="PII28" s="501"/>
      <c r="PIJ28" s="501"/>
      <c r="PIK28" s="501"/>
      <c r="PIL28" s="501"/>
      <c r="PIM28" s="501"/>
      <c r="PIN28" s="501"/>
      <c r="PIO28" s="501"/>
      <c r="PIP28" s="501"/>
      <c r="PIQ28" s="501"/>
      <c r="PIR28" s="501"/>
      <c r="PIS28" s="501"/>
      <c r="PIT28" s="501"/>
      <c r="PIU28" s="501"/>
      <c r="PIV28" s="501"/>
      <c r="PIW28" s="501"/>
      <c r="PIX28" s="501"/>
      <c r="PIY28" s="501"/>
      <c r="PIZ28" s="501"/>
      <c r="PJA28" s="501"/>
      <c r="PJB28" s="501"/>
      <c r="PJC28" s="501"/>
      <c r="PJD28" s="501"/>
      <c r="PJE28" s="501"/>
      <c r="PJF28" s="501"/>
      <c r="PJG28" s="501"/>
      <c r="PJH28" s="501"/>
      <c r="PJI28" s="501"/>
      <c r="PJJ28" s="501"/>
      <c r="PJK28" s="501"/>
      <c r="PJL28" s="501"/>
      <c r="PJM28" s="501"/>
      <c r="PJN28" s="501"/>
      <c r="PJO28" s="501"/>
      <c r="PJP28" s="501"/>
      <c r="PJQ28" s="501"/>
      <c r="PJR28" s="501"/>
      <c r="PJS28" s="501"/>
      <c r="PJT28" s="501"/>
      <c r="PJU28" s="501"/>
      <c r="PJV28" s="501"/>
      <c r="PJW28" s="501"/>
      <c r="PJX28" s="501"/>
      <c r="PJY28" s="501"/>
      <c r="PJZ28" s="501"/>
      <c r="PKA28" s="501"/>
      <c r="PKB28" s="501"/>
      <c r="PKC28" s="501"/>
      <c r="PKD28" s="501"/>
      <c r="PKE28" s="501"/>
      <c r="PKF28" s="501"/>
      <c r="PKG28" s="501"/>
      <c r="PKH28" s="501"/>
      <c r="PKI28" s="501"/>
      <c r="PKJ28" s="501"/>
      <c r="PKK28" s="501"/>
      <c r="PKL28" s="501"/>
      <c r="PKM28" s="501"/>
      <c r="PKN28" s="501"/>
      <c r="PKO28" s="501"/>
      <c r="PKP28" s="501"/>
      <c r="PKQ28" s="501"/>
      <c r="PKR28" s="501"/>
      <c r="PKS28" s="501"/>
      <c r="PKT28" s="501"/>
      <c r="PKU28" s="501"/>
      <c r="PKV28" s="501"/>
      <c r="PKW28" s="501"/>
      <c r="PKX28" s="501"/>
      <c r="PKY28" s="501"/>
      <c r="PKZ28" s="501"/>
      <c r="PLA28" s="501"/>
      <c r="PLB28" s="501"/>
      <c r="PLC28" s="501"/>
      <c r="PLD28" s="501"/>
      <c r="PLE28" s="501"/>
      <c r="PLF28" s="501"/>
      <c r="PLG28" s="501"/>
      <c r="PLH28" s="501"/>
      <c r="PLI28" s="501"/>
      <c r="PLJ28" s="501"/>
      <c r="PLK28" s="501"/>
      <c r="PLL28" s="501"/>
      <c r="PLM28" s="501"/>
      <c r="PLN28" s="501"/>
      <c r="PLO28" s="501"/>
      <c r="PLP28" s="501"/>
      <c r="PLQ28" s="501"/>
      <c r="PLR28" s="501"/>
      <c r="PLS28" s="501"/>
      <c r="PLT28" s="501"/>
      <c r="PLU28" s="501"/>
      <c r="PLV28" s="501"/>
      <c r="PLW28" s="501"/>
      <c r="PLX28" s="501"/>
      <c r="PLY28" s="501"/>
      <c r="PLZ28" s="501"/>
      <c r="PMA28" s="501"/>
      <c r="PMB28" s="501"/>
      <c r="PMC28" s="501"/>
      <c r="PMD28" s="501"/>
      <c r="PME28" s="501"/>
      <c r="PMF28" s="501"/>
      <c r="PMG28" s="501"/>
      <c r="PMH28" s="501"/>
      <c r="PMI28" s="501"/>
      <c r="PMJ28" s="501"/>
      <c r="PMK28" s="501"/>
      <c r="PML28" s="501"/>
      <c r="PMM28" s="501"/>
      <c r="PMN28" s="501"/>
      <c r="PMO28" s="501"/>
      <c r="PMP28" s="501"/>
      <c r="PMQ28" s="501"/>
      <c r="PMR28" s="501"/>
      <c r="PMS28" s="501"/>
      <c r="PMT28" s="501"/>
      <c r="PMU28" s="501"/>
      <c r="PMV28" s="501"/>
      <c r="PMW28" s="501"/>
      <c r="PMX28" s="501"/>
      <c r="PMY28" s="501"/>
      <c r="PMZ28" s="501"/>
      <c r="PNA28" s="501"/>
      <c r="PNB28" s="501"/>
      <c r="PNC28" s="501"/>
      <c r="PND28" s="501"/>
      <c r="PNE28" s="501"/>
      <c r="PNF28" s="501"/>
      <c r="PNG28" s="501"/>
      <c r="PNH28" s="501"/>
      <c r="PNI28" s="501"/>
      <c r="PNJ28" s="501"/>
      <c r="PNK28" s="501"/>
      <c r="PNL28" s="501"/>
      <c r="PNM28" s="501"/>
      <c r="PNN28" s="501"/>
      <c r="PNO28" s="501"/>
      <c r="PNP28" s="501"/>
      <c r="PNQ28" s="501"/>
      <c r="PNR28" s="501"/>
      <c r="PNS28" s="501"/>
      <c r="PNT28" s="501"/>
      <c r="PNU28" s="501"/>
      <c r="PNV28" s="501"/>
      <c r="PNW28" s="501"/>
      <c r="PNX28" s="501"/>
      <c r="PNY28" s="501"/>
      <c r="PNZ28" s="501"/>
      <c r="POA28" s="501"/>
      <c r="POB28" s="501"/>
      <c r="POC28" s="501"/>
      <c r="POD28" s="501"/>
      <c r="POE28" s="501"/>
      <c r="POF28" s="501"/>
      <c r="POG28" s="501"/>
      <c r="POH28" s="501"/>
      <c r="POI28" s="501"/>
      <c r="POJ28" s="501"/>
      <c r="POK28" s="501"/>
      <c r="POL28" s="501"/>
      <c r="POM28" s="501"/>
      <c r="PON28" s="501"/>
      <c r="POO28" s="501"/>
      <c r="POP28" s="501"/>
      <c r="POQ28" s="501"/>
      <c r="POR28" s="501"/>
      <c r="POS28" s="501"/>
      <c r="POT28" s="501"/>
      <c r="POU28" s="501"/>
      <c r="POV28" s="501"/>
      <c r="POW28" s="501"/>
      <c r="POX28" s="501"/>
      <c r="POY28" s="501"/>
      <c r="POZ28" s="501"/>
      <c r="PPA28" s="501"/>
      <c r="PPB28" s="501"/>
      <c r="PPC28" s="501"/>
      <c r="PPD28" s="501"/>
      <c r="PPE28" s="501"/>
      <c r="PPF28" s="501"/>
      <c r="PPG28" s="501"/>
      <c r="PPH28" s="501"/>
      <c r="PPI28" s="501"/>
      <c r="PPJ28" s="501"/>
      <c r="PPK28" s="501"/>
      <c r="PPL28" s="501"/>
      <c r="PPM28" s="501"/>
      <c r="PPN28" s="501"/>
      <c r="PPO28" s="501"/>
      <c r="PPP28" s="501"/>
      <c r="PPQ28" s="501"/>
      <c r="PPR28" s="501"/>
      <c r="PPS28" s="501"/>
      <c r="PPT28" s="501"/>
      <c r="PPU28" s="501"/>
      <c r="PPV28" s="501"/>
      <c r="PPW28" s="501"/>
      <c r="PPX28" s="501"/>
      <c r="PPY28" s="501"/>
      <c r="PPZ28" s="501"/>
      <c r="PQA28" s="501"/>
      <c r="PQB28" s="501"/>
      <c r="PQC28" s="501"/>
      <c r="PQD28" s="501"/>
      <c r="PQE28" s="501"/>
      <c r="PQF28" s="501"/>
      <c r="PQG28" s="501"/>
      <c r="PQH28" s="501"/>
      <c r="PQI28" s="501"/>
      <c r="PQJ28" s="501"/>
      <c r="PQK28" s="501"/>
      <c r="PQL28" s="501"/>
      <c r="PQM28" s="501"/>
      <c r="PQN28" s="501"/>
      <c r="PQO28" s="501"/>
      <c r="PQP28" s="501"/>
      <c r="PQQ28" s="501"/>
      <c r="PQR28" s="501"/>
      <c r="PQS28" s="501"/>
      <c r="PQT28" s="501"/>
      <c r="PQU28" s="501"/>
      <c r="PQV28" s="501"/>
      <c r="PQW28" s="501"/>
      <c r="PQX28" s="501"/>
      <c r="PQY28" s="501"/>
      <c r="PQZ28" s="501"/>
      <c r="PRA28" s="501"/>
      <c r="PRB28" s="501"/>
      <c r="PRC28" s="501"/>
      <c r="PRD28" s="501"/>
      <c r="PRE28" s="501"/>
      <c r="PRF28" s="501"/>
      <c r="PRG28" s="501"/>
      <c r="PRH28" s="501"/>
      <c r="PRI28" s="501"/>
      <c r="PRJ28" s="501"/>
      <c r="PRK28" s="501"/>
      <c r="PRL28" s="501"/>
      <c r="PRM28" s="501"/>
      <c r="PRN28" s="501"/>
      <c r="PRO28" s="501"/>
      <c r="PRP28" s="501"/>
      <c r="PRQ28" s="501"/>
      <c r="PRR28" s="501"/>
      <c r="PRS28" s="501"/>
      <c r="PRT28" s="501"/>
      <c r="PRU28" s="501"/>
      <c r="PRV28" s="501"/>
      <c r="PRW28" s="501"/>
      <c r="PRX28" s="501"/>
      <c r="PRY28" s="501"/>
      <c r="PRZ28" s="501"/>
      <c r="PSA28" s="501"/>
      <c r="PSB28" s="501"/>
      <c r="PSC28" s="501"/>
      <c r="PSD28" s="501"/>
      <c r="PSE28" s="501"/>
      <c r="PSF28" s="501"/>
      <c r="PSG28" s="501"/>
      <c r="PSH28" s="501"/>
      <c r="PSI28" s="501"/>
      <c r="PSJ28" s="501"/>
      <c r="PSK28" s="501"/>
      <c r="PSL28" s="501"/>
      <c r="PSM28" s="501"/>
      <c r="PSN28" s="501"/>
      <c r="PSO28" s="501"/>
      <c r="PSP28" s="501"/>
      <c r="PSQ28" s="501"/>
      <c r="PSR28" s="501"/>
      <c r="PSS28" s="501"/>
      <c r="PST28" s="501"/>
      <c r="PSU28" s="501"/>
      <c r="PSV28" s="501"/>
      <c r="PSW28" s="501"/>
      <c r="PSX28" s="501"/>
      <c r="PSY28" s="501"/>
      <c r="PSZ28" s="501"/>
      <c r="PTA28" s="501"/>
      <c r="PTB28" s="501"/>
      <c r="PTC28" s="501"/>
      <c r="PTD28" s="501"/>
      <c r="PTE28" s="501"/>
      <c r="PTF28" s="501"/>
      <c r="PTG28" s="501"/>
      <c r="PTH28" s="501"/>
      <c r="PTI28" s="501"/>
      <c r="PTJ28" s="501"/>
      <c r="PTK28" s="501"/>
      <c r="PTL28" s="501"/>
      <c r="PTM28" s="501"/>
      <c r="PTN28" s="501"/>
      <c r="PTO28" s="501"/>
      <c r="PTP28" s="501"/>
      <c r="PTQ28" s="501"/>
      <c r="PTR28" s="501"/>
      <c r="PTS28" s="501"/>
      <c r="PTT28" s="501"/>
      <c r="PTU28" s="501"/>
      <c r="PTV28" s="501"/>
      <c r="PTW28" s="501"/>
      <c r="PTX28" s="501"/>
      <c r="PTY28" s="501"/>
      <c r="PTZ28" s="501"/>
      <c r="PUA28" s="501"/>
      <c r="PUB28" s="501"/>
      <c r="PUC28" s="501"/>
      <c r="PUD28" s="501"/>
      <c r="PUE28" s="501"/>
      <c r="PUF28" s="501"/>
      <c r="PUG28" s="501"/>
      <c r="PUH28" s="501"/>
      <c r="PUI28" s="501"/>
      <c r="PUJ28" s="501"/>
      <c r="PUK28" s="501"/>
      <c r="PUL28" s="501"/>
      <c r="PUM28" s="501"/>
      <c r="PUN28" s="501"/>
      <c r="PUO28" s="501"/>
      <c r="PUP28" s="501"/>
      <c r="PUQ28" s="501"/>
      <c r="PUR28" s="501"/>
      <c r="PUS28" s="501"/>
      <c r="PUT28" s="501"/>
      <c r="PUU28" s="501"/>
      <c r="PUV28" s="501"/>
      <c r="PUW28" s="501"/>
      <c r="PUX28" s="501"/>
      <c r="PUY28" s="501"/>
      <c r="PUZ28" s="501"/>
      <c r="PVA28" s="501"/>
      <c r="PVB28" s="501"/>
      <c r="PVC28" s="501"/>
      <c r="PVD28" s="501"/>
      <c r="PVE28" s="501"/>
      <c r="PVF28" s="501"/>
      <c r="PVG28" s="501"/>
      <c r="PVH28" s="501"/>
      <c r="PVI28" s="501"/>
      <c r="PVJ28" s="501"/>
      <c r="PVK28" s="501"/>
      <c r="PVL28" s="501"/>
      <c r="PVM28" s="501"/>
      <c r="PVN28" s="501"/>
      <c r="PVO28" s="501"/>
      <c r="PVP28" s="501"/>
      <c r="PVQ28" s="501"/>
      <c r="PVR28" s="501"/>
      <c r="PVS28" s="501"/>
      <c r="PVT28" s="501"/>
      <c r="PVU28" s="501"/>
      <c r="PVV28" s="501"/>
      <c r="PVW28" s="501"/>
      <c r="PVX28" s="501"/>
      <c r="PVY28" s="501"/>
      <c r="PVZ28" s="501"/>
      <c r="PWA28" s="501"/>
      <c r="PWB28" s="501"/>
      <c r="PWC28" s="501"/>
      <c r="PWD28" s="501"/>
      <c r="PWE28" s="501"/>
      <c r="PWF28" s="501"/>
      <c r="PWG28" s="501"/>
      <c r="PWH28" s="501"/>
      <c r="PWI28" s="501"/>
      <c r="PWJ28" s="501"/>
      <c r="PWK28" s="501"/>
      <c r="PWL28" s="501"/>
      <c r="PWM28" s="501"/>
      <c r="PWN28" s="501"/>
      <c r="PWO28" s="501"/>
      <c r="PWP28" s="501"/>
      <c r="PWQ28" s="501"/>
      <c r="PWR28" s="501"/>
      <c r="PWS28" s="501"/>
      <c r="PWT28" s="501"/>
      <c r="PWU28" s="501"/>
      <c r="PWV28" s="501"/>
      <c r="PWW28" s="501"/>
      <c r="PWX28" s="501"/>
      <c r="PWY28" s="501"/>
      <c r="PWZ28" s="501"/>
      <c r="PXA28" s="501"/>
      <c r="PXB28" s="501"/>
      <c r="PXC28" s="501"/>
      <c r="PXD28" s="501"/>
      <c r="PXE28" s="501"/>
      <c r="PXF28" s="501"/>
      <c r="PXG28" s="501"/>
      <c r="PXH28" s="501"/>
      <c r="PXI28" s="501"/>
      <c r="PXJ28" s="501"/>
      <c r="PXK28" s="501"/>
      <c r="PXL28" s="501"/>
      <c r="PXM28" s="501"/>
      <c r="PXN28" s="501"/>
      <c r="PXO28" s="501"/>
      <c r="PXP28" s="501"/>
      <c r="PXQ28" s="501"/>
      <c r="PXR28" s="501"/>
      <c r="PXS28" s="501"/>
      <c r="PXT28" s="501"/>
      <c r="PXU28" s="501"/>
      <c r="PXV28" s="501"/>
      <c r="PXW28" s="501"/>
      <c r="PXX28" s="501"/>
      <c r="PXY28" s="501"/>
      <c r="PXZ28" s="501"/>
      <c r="PYA28" s="501"/>
      <c r="PYB28" s="501"/>
      <c r="PYC28" s="501"/>
      <c r="PYD28" s="501"/>
      <c r="PYE28" s="501"/>
      <c r="PYF28" s="501"/>
      <c r="PYG28" s="501"/>
      <c r="PYH28" s="501"/>
      <c r="PYI28" s="501"/>
      <c r="PYJ28" s="501"/>
      <c r="PYK28" s="501"/>
      <c r="PYL28" s="501"/>
      <c r="PYM28" s="501"/>
      <c r="PYN28" s="501"/>
      <c r="PYO28" s="501"/>
      <c r="PYP28" s="501"/>
      <c r="PYQ28" s="501"/>
      <c r="PYR28" s="501"/>
      <c r="PYS28" s="501"/>
      <c r="PYT28" s="501"/>
      <c r="PYU28" s="501"/>
      <c r="PYV28" s="501"/>
      <c r="PYW28" s="501"/>
      <c r="PYX28" s="501"/>
      <c r="PYY28" s="501"/>
      <c r="PYZ28" s="501"/>
      <c r="PZA28" s="501"/>
      <c r="PZB28" s="501"/>
      <c r="PZC28" s="501"/>
      <c r="PZD28" s="501"/>
      <c r="PZE28" s="501"/>
      <c r="PZF28" s="501"/>
      <c r="PZG28" s="501"/>
      <c r="PZH28" s="501"/>
      <c r="PZI28" s="501"/>
      <c r="PZJ28" s="501"/>
      <c r="PZK28" s="501"/>
      <c r="PZL28" s="501"/>
      <c r="PZM28" s="501"/>
      <c r="PZN28" s="501"/>
      <c r="PZO28" s="501"/>
      <c r="PZP28" s="501"/>
      <c r="PZQ28" s="501"/>
      <c r="PZR28" s="501"/>
      <c r="PZS28" s="501"/>
      <c r="PZT28" s="501"/>
      <c r="PZU28" s="501"/>
      <c r="PZV28" s="501"/>
      <c r="PZW28" s="501"/>
      <c r="PZX28" s="501"/>
      <c r="PZY28" s="501"/>
      <c r="PZZ28" s="501"/>
      <c r="QAA28" s="501"/>
      <c r="QAB28" s="501"/>
      <c r="QAC28" s="501"/>
      <c r="QAD28" s="501"/>
      <c r="QAE28" s="501"/>
      <c r="QAF28" s="501"/>
      <c r="QAG28" s="501"/>
      <c r="QAH28" s="501"/>
      <c r="QAI28" s="501"/>
      <c r="QAJ28" s="501"/>
      <c r="QAK28" s="501"/>
      <c r="QAL28" s="501"/>
      <c r="QAM28" s="501"/>
      <c r="QAN28" s="501"/>
      <c r="QAO28" s="501"/>
      <c r="QAP28" s="501"/>
      <c r="QAQ28" s="501"/>
      <c r="QAR28" s="501"/>
      <c r="QAS28" s="501"/>
      <c r="QAT28" s="501"/>
      <c r="QAU28" s="501"/>
      <c r="QAV28" s="501"/>
      <c r="QAW28" s="501"/>
      <c r="QAX28" s="501"/>
      <c r="QAY28" s="501"/>
      <c r="QAZ28" s="501"/>
      <c r="QBA28" s="501"/>
      <c r="QBB28" s="501"/>
      <c r="QBC28" s="501"/>
      <c r="QBD28" s="501"/>
      <c r="QBE28" s="501"/>
      <c r="QBF28" s="501"/>
      <c r="QBG28" s="501"/>
      <c r="QBH28" s="501"/>
      <c r="QBI28" s="501"/>
      <c r="QBJ28" s="501"/>
      <c r="QBK28" s="501"/>
      <c r="QBL28" s="501"/>
      <c r="QBM28" s="501"/>
      <c r="QBN28" s="501"/>
      <c r="QBO28" s="501"/>
      <c r="QBP28" s="501"/>
      <c r="QBQ28" s="501"/>
      <c r="QBR28" s="501"/>
      <c r="QBS28" s="501"/>
      <c r="QBT28" s="501"/>
      <c r="QBU28" s="501"/>
      <c r="QBV28" s="501"/>
      <c r="QBW28" s="501"/>
      <c r="QBX28" s="501"/>
      <c r="QBY28" s="501"/>
      <c r="QBZ28" s="501"/>
      <c r="QCA28" s="501"/>
      <c r="QCB28" s="501"/>
      <c r="QCC28" s="501"/>
      <c r="QCD28" s="501"/>
      <c r="QCE28" s="501"/>
      <c r="QCF28" s="501"/>
      <c r="QCG28" s="501"/>
      <c r="QCH28" s="501"/>
      <c r="QCI28" s="501"/>
      <c r="QCJ28" s="501"/>
      <c r="QCK28" s="501"/>
      <c r="QCL28" s="501"/>
      <c r="QCM28" s="501"/>
      <c r="QCN28" s="501"/>
      <c r="QCO28" s="501"/>
      <c r="QCP28" s="501"/>
      <c r="QCQ28" s="501"/>
      <c r="QCR28" s="501"/>
      <c r="QCS28" s="501"/>
      <c r="QCT28" s="501"/>
      <c r="QCU28" s="501"/>
      <c r="QCV28" s="501"/>
      <c r="QCW28" s="501"/>
      <c r="QCX28" s="501"/>
      <c r="QCY28" s="501"/>
      <c r="QCZ28" s="501"/>
      <c r="QDA28" s="501"/>
      <c r="QDB28" s="501"/>
      <c r="QDC28" s="501"/>
      <c r="QDD28" s="501"/>
      <c r="QDE28" s="501"/>
      <c r="QDF28" s="501"/>
      <c r="QDG28" s="501"/>
      <c r="QDH28" s="501"/>
      <c r="QDI28" s="501"/>
      <c r="QDJ28" s="501"/>
      <c r="QDK28" s="501"/>
      <c r="QDL28" s="501"/>
      <c r="QDM28" s="501"/>
      <c r="QDN28" s="501"/>
      <c r="QDO28" s="501"/>
      <c r="QDP28" s="501"/>
      <c r="QDQ28" s="501"/>
      <c r="QDR28" s="501"/>
      <c r="QDS28" s="501"/>
      <c r="QDT28" s="501"/>
      <c r="QDU28" s="501"/>
      <c r="QDV28" s="501"/>
      <c r="QDW28" s="501"/>
      <c r="QDX28" s="501"/>
      <c r="QDY28" s="501"/>
      <c r="QDZ28" s="501"/>
      <c r="QEA28" s="501"/>
      <c r="QEB28" s="501"/>
      <c r="QEC28" s="501"/>
      <c r="QED28" s="501"/>
      <c r="QEE28" s="501"/>
      <c r="QEF28" s="501"/>
      <c r="QEG28" s="501"/>
      <c r="QEH28" s="501"/>
      <c r="QEI28" s="501"/>
      <c r="QEJ28" s="501"/>
      <c r="QEK28" s="501"/>
      <c r="QEL28" s="501"/>
      <c r="QEM28" s="501"/>
      <c r="QEN28" s="501"/>
      <c r="QEO28" s="501"/>
      <c r="QEP28" s="501"/>
      <c r="QEQ28" s="501"/>
      <c r="QER28" s="501"/>
      <c r="QES28" s="501"/>
      <c r="QET28" s="501"/>
      <c r="QEU28" s="501"/>
      <c r="QEV28" s="501"/>
      <c r="QEW28" s="501"/>
      <c r="QEX28" s="501"/>
      <c r="QEY28" s="501"/>
      <c r="QEZ28" s="501"/>
      <c r="QFA28" s="501"/>
      <c r="QFB28" s="501"/>
      <c r="QFC28" s="501"/>
      <c r="QFD28" s="501"/>
      <c r="QFE28" s="501"/>
      <c r="QFF28" s="501"/>
      <c r="QFG28" s="501"/>
      <c r="QFH28" s="501"/>
      <c r="QFI28" s="501"/>
      <c r="QFJ28" s="501"/>
      <c r="QFK28" s="501"/>
      <c r="QFL28" s="501"/>
      <c r="QFM28" s="501"/>
      <c r="QFN28" s="501"/>
      <c r="QFO28" s="501"/>
      <c r="QFP28" s="501"/>
      <c r="QFQ28" s="501"/>
      <c r="QFR28" s="501"/>
      <c r="QFS28" s="501"/>
      <c r="QFT28" s="501"/>
      <c r="QFU28" s="501"/>
      <c r="QFV28" s="501"/>
      <c r="QFW28" s="501"/>
      <c r="QFX28" s="501"/>
      <c r="QFY28" s="501"/>
      <c r="QFZ28" s="501"/>
      <c r="QGA28" s="501"/>
      <c r="QGB28" s="501"/>
      <c r="QGC28" s="501"/>
      <c r="QGD28" s="501"/>
      <c r="QGE28" s="501"/>
      <c r="QGF28" s="501"/>
      <c r="QGG28" s="501"/>
      <c r="QGH28" s="501"/>
      <c r="QGI28" s="501"/>
      <c r="QGJ28" s="501"/>
      <c r="QGK28" s="501"/>
      <c r="QGL28" s="501"/>
      <c r="QGM28" s="501"/>
      <c r="QGN28" s="501"/>
      <c r="QGO28" s="501"/>
      <c r="QGP28" s="501"/>
      <c r="QGQ28" s="501"/>
      <c r="QGR28" s="501"/>
      <c r="QGS28" s="501"/>
      <c r="QGT28" s="501"/>
      <c r="QGU28" s="501"/>
      <c r="QGV28" s="501"/>
      <c r="QGW28" s="501"/>
      <c r="QGX28" s="501"/>
      <c r="QGY28" s="501"/>
      <c r="QGZ28" s="501"/>
      <c r="QHA28" s="501"/>
      <c r="QHB28" s="501"/>
      <c r="QHC28" s="501"/>
      <c r="QHD28" s="501"/>
      <c r="QHE28" s="501"/>
      <c r="QHF28" s="501"/>
      <c r="QHG28" s="501"/>
      <c r="QHH28" s="501"/>
      <c r="QHI28" s="501"/>
      <c r="QHJ28" s="501"/>
      <c r="QHK28" s="501"/>
      <c r="QHL28" s="501"/>
      <c r="QHM28" s="501"/>
      <c r="QHN28" s="501"/>
      <c r="QHO28" s="501"/>
      <c r="QHP28" s="501"/>
      <c r="QHQ28" s="501"/>
      <c r="QHR28" s="501"/>
      <c r="QHS28" s="501"/>
      <c r="QHT28" s="501"/>
      <c r="QHU28" s="501"/>
      <c r="QHV28" s="501"/>
      <c r="QHW28" s="501"/>
      <c r="QHX28" s="501"/>
      <c r="QHY28" s="501"/>
      <c r="QHZ28" s="501"/>
      <c r="QIA28" s="501"/>
      <c r="QIB28" s="501"/>
      <c r="QIC28" s="501"/>
      <c r="QID28" s="501"/>
      <c r="QIE28" s="501"/>
      <c r="QIF28" s="501"/>
      <c r="QIG28" s="501"/>
      <c r="QIH28" s="501"/>
      <c r="QII28" s="501"/>
      <c r="QIJ28" s="501"/>
      <c r="QIK28" s="501"/>
      <c r="QIL28" s="501"/>
      <c r="QIM28" s="501"/>
      <c r="QIN28" s="501"/>
      <c r="QIO28" s="501"/>
      <c r="QIP28" s="501"/>
      <c r="QIQ28" s="501"/>
      <c r="QIR28" s="501"/>
      <c r="QIS28" s="501"/>
      <c r="QIT28" s="501"/>
      <c r="QIU28" s="501"/>
      <c r="QIV28" s="501"/>
      <c r="QIW28" s="501"/>
      <c r="QIX28" s="501"/>
      <c r="QIY28" s="501"/>
      <c r="QIZ28" s="501"/>
      <c r="QJA28" s="501"/>
      <c r="QJB28" s="501"/>
      <c r="QJC28" s="501"/>
      <c r="QJD28" s="501"/>
      <c r="QJE28" s="501"/>
      <c r="QJF28" s="501"/>
      <c r="QJG28" s="501"/>
      <c r="QJH28" s="501"/>
      <c r="QJI28" s="501"/>
      <c r="QJJ28" s="501"/>
      <c r="QJK28" s="501"/>
      <c r="QJL28" s="501"/>
      <c r="QJM28" s="501"/>
      <c r="QJN28" s="501"/>
      <c r="QJO28" s="501"/>
      <c r="QJP28" s="501"/>
      <c r="QJQ28" s="501"/>
      <c r="QJR28" s="501"/>
      <c r="QJS28" s="501"/>
      <c r="QJT28" s="501"/>
      <c r="QJU28" s="501"/>
      <c r="QJV28" s="501"/>
      <c r="QJW28" s="501"/>
      <c r="QJX28" s="501"/>
      <c r="QJY28" s="501"/>
      <c r="QJZ28" s="501"/>
      <c r="QKA28" s="501"/>
      <c r="QKB28" s="501"/>
      <c r="QKC28" s="501"/>
      <c r="QKD28" s="501"/>
      <c r="QKE28" s="501"/>
      <c r="QKF28" s="501"/>
      <c r="QKG28" s="501"/>
      <c r="QKH28" s="501"/>
      <c r="QKI28" s="501"/>
      <c r="QKJ28" s="501"/>
      <c r="QKK28" s="501"/>
      <c r="QKL28" s="501"/>
      <c r="QKM28" s="501"/>
      <c r="QKN28" s="501"/>
      <c r="QKO28" s="501"/>
      <c r="QKP28" s="501"/>
      <c r="QKQ28" s="501"/>
      <c r="QKR28" s="501"/>
      <c r="QKS28" s="501"/>
      <c r="QKT28" s="501"/>
      <c r="QKU28" s="501"/>
      <c r="QKV28" s="501"/>
      <c r="QKW28" s="501"/>
      <c r="QKX28" s="501"/>
      <c r="QKY28" s="501"/>
      <c r="QKZ28" s="501"/>
      <c r="QLA28" s="501"/>
      <c r="QLB28" s="501"/>
      <c r="QLC28" s="501"/>
      <c r="QLD28" s="501"/>
      <c r="QLE28" s="501"/>
      <c r="QLF28" s="501"/>
      <c r="QLG28" s="501"/>
      <c r="QLH28" s="501"/>
      <c r="QLI28" s="501"/>
      <c r="QLJ28" s="501"/>
      <c r="QLK28" s="501"/>
      <c r="QLL28" s="501"/>
      <c r="QLM28" s="501"/>
      <c r="QLN28" s="501"/>
      <c r="QLO28" s="501"/>
      <c r="QLP28" s="501"/>
      <c r="QLQ28" s="501"/>
      <c r="QLR28" s="501"/>
      <c r="QLS28" s="501"/>
      <c r="QLT28" s="501"/>
      <c r="QLU28" s="501"/>
      <c r="QLV28" s="501"/>
      <c r="QLW28" s="501"/>
      <c r="QLX28" s="501"/>
      <c r="QLY28" s="501"/>
      <c r="QLZ28" s="501"/>
      <c r="QMA28" s="501"/>
      <c r="QMB28" s="501"/>
      <c r="QMC28" s="501"/>
      <c r="QMD28" s="501"/>
      <c r="QME28" s="501"/>
      <c r="QMF28" s="501"/>
      <c r="QMG28" s="501"/>
      <c r="QMH28" s="501"/>
      <c r="QMI28" s="501"/>
      <c r="QMJ28" s="501"/>
      <c r="QMK28" s="501"/>
      <c r="QML28" s="501"/>
      <c r="QMM28" s="501"/>
      <c r="QMN28" s="501"/>
      <c r="QMO28" s="501"/>
      <c r="QMP28" s="501"/>
      <c r="QMQ28" s="501"/>
      <c r="QMR28" s="501"/>
      <c r="QMS28" s="501"/>
      <c r="QMT28" s="501"/>
      <c r="QMU28" s="501"/>
      <c r="QMV28" s="501"/>
      <c r="QMW28" s="501"/>
      <c r="QMX28" s="501"/>
      <c r="QMY28" s="501"/>
      <c r="QMZ28" s="501"/>
      <c r="QNA28" s="501"/>
      <c r="QNB28" s="501"/>
      <c r="QNC28" s="501"/>
      <c r="QND28" s="501"/>
      <c r="QNE28" s="501"/>
      <c r="QNF28" s="501"/>
      <c r="QNG28" s="501"/>
      <c r="QNH28" s="501"/>
      <c r="QNI28" s="501"/>
      <c r="QNJ28" s="501"/>
      <c r="QNK28" s="501"/>
      <c r="QNL28" s="501"/>
      <c r="QNM28" s="501"/>
      <c r="QNN28" s="501"/>
      <c r="QNO28" s="501"/>
      <c r="QNP28" s="501"/>
      <c r="QNQ28" s="501"/>
      <c r="QNR28" s="501"/>
      <c r="QNS28" s="501"/>
      <c r="QNT28" s="501"/>
      <c r="QNU28" s="501"/>
      <c r="QNV28" s="501"/>
      <c r="QNW28" s="501"/>
      <c r="QNX28" s="501"/>
      <c r="QNY28" s="501"/>
      <c r="QNZ28" s="501"/>
      <c r="QOA28" s="501"/>
      <c r="QOB28" s="501"/>
      <c r="QOC28" s="501"/>
      <c r="QOD28" s="501"/>
      <c r="QOE28" s="501"/>
      <c r="QOF28" s="501"/>
      <c r="QOG28" s="501"/>
      <c r="QOH28" s="501"/>
      <c r="QOI28" s="501"/>
      <c r="QOJ28" s="501"/>
      <c r="QOK28" s="501"/>
      <c r="QOL28" s="501"/>
      <c r="QOM28" s="501"/>
      <c r="QON28" s="501"/>
      <c r="QOO28" s="501"/>
      <c r="QOP28" s="501"/>
      <c r="QOQ28" s="501"/>
      <c r="QOR28" s="501"/>
      <c r="QOS28" s="501"/>
      <c r="QOT28" s="501"/>
      <c r="QOU28" s="501"/>
      <c r="QOV28" s="501"/>
      <c r="QOW28" s="501"/>
      <c r="QOX28" s="501"/>
      <c r="QOY28" s="501"/>
      <c r="QOZ28" s="501"/>
      <c r="QPA28" s="501"/>
      <c r="QPB28" s="501"/>
      <c r="QPC28" s="501"/>
      <c r="QPD28" s="501"/>
      <c r="QPE28" s="501"/>
      <c r="QPF28" s="501"/>
      <c r="QPG28" s="501"/>
      <c r="QPH28" s="501"/>
      <c r="QPI28" s="501"/>
      <c r="QPJ28" s="501"/>
      <c r="QPK28" s="501"/>
      <c r="QPL28" s="501"/>
      <c r="QPM28" s="501"/>
      <c r="QPN28" s="501"/>
      <c r="QPO28" s="501"/>
      <c r="QPP28" s="501"/>
      <c r="QPQ28" s="501"/>
      <c r="QPR28" s="501"/>
      <c r="QPS28" s="501"/>
      <c r="QPT28" s="501"/>
      <c r="QPU28" s="501"/>
      <c r="QPV28" s="501"/>
      <c r="QPW28" s="501"/>
      <c r="QPX28" s="501"/>
      <c r="QPY28" s="501"/>
      <c r="QPZ28" s="501"/>
      <c r="QQA28" s="501"/>
      <c r="QQB28" s="501"/>
      <c r="QQC28" s="501"/>
      <c r="QQD28" s="501"/>
      <c r="QQE28" s="501"/>
      <c r="QQF28" s="501"/>
      <c r="QQG28" s="501"/>
      <c r="QQH28" s="501"/>
      <c r="QQI28" s="501"/>
      <c r="QQJ28" s="501"/>
      <c r="QQK28" s="501"/>
      <c r="QQL28" s="501"/>
      <c r="QQM28" s="501"/>
      <c r="QQN28" s="501"/>
      <c r="QQO28" s="501"/>
      <c r="QQP28" s="501"/>
      <c r="QQQ28" s="501"/>
      <c r="QQR28" s="501"/>
      <c r="QQS28" s="501"/>
      <c r="QQT28" s="501"/>
      <c r="QQU28" s="501"/>
      <c r="QQV28" s="501"/>
      <c r="QQW28" s="501"/>
      <c r="QQX28" s="501"/>
      <c r="QQY28" s="501"/>
      <c r="QQZ28" s="501"/>
      <c r="QRA28" s="501"/>
      <c r="QRB28" s="501"/>
      <c r="QRC28" s="501"/>
      <c r="QRD28" s="501"/>
      <c r="QRE28" s="501"/>
      <c r="QRF28" s="501"/>
      <c r="QRG28" s="501"/>
      <c r="QRH28" s="501"/>
      <c r="QRI28" s="501"/>
      <c r="QRJ28" s="501"/>
      <c r="QRK28" s="501"/>
      <c r="QRL28" s="501"/>
      <c r="QRM28" s="501"/>
      <c r="QRN28" s="501"/>
      <c r="QRO28" s="501"/>
      <c r="QRP28" s="501"/>
      <c r="QRQ28" s="501"/>
      <c r="QRR28" s="501"/>
      <c r="QRS28" s="501"/>
      <c r="QRT28" s="501"/>
      <c r="QRU28" s="501"/>
      <c r="QRV28" s="501"/>
      <c r="QRW28" s="501"/>
      <c r="QRX28" s="501"/>
      <c r="QRY28" s="501"/>
      <c r="QRZ28" s="501"/>
      <c r="QSA28" s="501"/>
      <c r="QSB28" s="501"/>
      <c r="QSC28" s="501"/>
      <c r="QSD28" s="501"/>
      <c r="QSE28" s="501"/>
      <c r="QSF28" s="501"/>
      <c r="QSG28" s="501"/>
      <c r="QSH28" s="501"/>
      <c r="QSI28" s="501"/>
      <c r="QSJ28" s="501"/>
      <c r="QSK28" s="501"/>
      <c r="QSL28" s="501"/>
      <c r="QSM28" s="501"/>
      <c r="QSN28" s="501"/>
      <c r="QSO28" s="501"/>
      <c r="QSP28" s="501"/>
      <c r="QSQ28" s="501"/>
      <c r="QSR28" s="501"/>
      <c r="QSS28" s="501"/>
      <c r="QST28" s="501"/>
      <c r="QSU28" s="501"/>
      <c r="QSV28" s="501"/>
      <c r="QSW28" s="501"/>
      <c r="QSX28" s="501"/>
      <c r="QSY28" s="501"/>
      <c r="QSZ28" s="501"/>
      <c r="QTA28" s="501"/>
      <c r="QTB28" s="501"/>
      <c r="QTC28" s="501"/>
      <c r="QTD28" s="501"/>
      <c r="QTE28" s="501"/>
      <c r="QTF28" s="501"/>
      <c r="QTG28" s="501"/>
      <c r="QTH28" s="501"/>
      <c r="QTI28" s="501"/>
      <c r="QTJ28" s="501"/>
      <c r="QTK28" s="501"/>
      <c r="QTL28" s="501"/>
      <c r="QTM28" s="501"/>
      <c r="QTN28" s="501"/>
      <c r="QTO28" s="501"/>
      <c r="QTP28" s="501"/>
      <c r="QTQ28" s="501"/>
      <c r="QTR28" s="501"/>
      <c r="QTS28" s="501"/>
      <c r="QTT28" s="501"/>
      <c r="QTU28" s="501"/>
      <c r="QTV28" s="501"/>
      <c r="QTW28" s="501"/>
      <c r="QTX28" s="501"/>
      <c r="QTY28" s="501"/>
      <c r="QTZ28" s="501"/>
      <c r="QUA28" s="501"/>
      <c r="QUB28" s="501"/>
      <c r="QUC28" s="501"/>
      <c r="QUD28" s="501"/>
      <c r="QUE28" s="501"/>
      <c r="QUF28" s="501"/>
      <c r="QUG28" s="501"/>
      <c r="QUH28" s="501"/>
      <c r="QUI28" s="501"/>
      <c r="QUJ28" s="501"/>
      <c r="QUK28" s="501"/>
      <c r="QUL28" s="501"/>
      <c r="QUM28" s="501"/>
      <c r="QUN28" s="501"/>
      <c r="QUO28" s="501"/>
      <c r="QUP28" s="501"/>
      <c r="QUQ28" s="501"/>
      <c r="QUR28" s="501"/>
      <c r="QUS28" s="501"/>
      <c r="QUT28" s="501"/>
      <c r="QUU28" s="501"/>
      <c r="QUV28" s="501"/>
      <c r="QUW28" s="501"/>
      <c r="QUX28" s="501"/>
      <c r="QUY28" s="501"/>
      <c r="QUZ28" s="501"/>
      <c r="QVA28" s="501"/>
      <c r="QVB28" s="501"/>
      <c r="QVC28" s="501"/>
      <c r="QVD28" s="501"/>
      <c r="QVE28" s="501"/>
      <c r="QVF28" s="501"/>
      <c r="QVG28" s="501"/>
      <c r="QVH28" s="501"/>
      <c r="QVI28" s="501"/>
      <c r="QVJ28" s="501"/>
      <c r="QVK28" s="501"/>
      <c r="QVL28" s="501"/>
      <c r="QVM28" s="501"/>
      <c r="QVN28" s="501"/>
      <c r="QVO28" s="501"/>
      <c r="QVP28" s="501"/>
      <c r="QVQ28" s="501"/>
      <c r="QVR28" s="501"/>
      <c r="QVS28" s="501"/>
      <c r="QVT28" s="501"/>
      <c r="QVU28" s="501"/>
      <c r="QVV28" s="501"/>
      <c r="QVW28" s="501"/>
      <c r="QVX28" s="501"/>
      <c r="QVY28" s="501"/>
      <c r="QVZ28" s="501"/>
      <c r="QWA28" s="501"/>
      <c r="QWB28" s="501"/>
      <c r="QWC28" s="501"/>
      <c r="QWD28" s="501"/>
      <c r="QWE28" s="501"/>
      <c r="QWF28" s="501"/>
      <c r="QWG28" s="501"/>
      <c r="QWH28" s="501"/>
      <c r="QWI28" s="501"/>
      <c r="QWJ28" s="501"/>
      <c r="QWK28" s="501"/>
      <c r="QWL28" s="501"/>
      <c r="QWM28" s="501"/>
      <c r="QWN28" s="501"/>
      <c r="QWO28" s="501"/>
      <c r="QWP28" s="501"/>
      <c r="QWQ28" s="501"/>
      <c r="QWR28" s="501"/>
      <c r="QWS28" s="501"/>
      <c r="QWT28" s="501"/>
      <c r="QWU28" s="501"/>
      <c r="QWV28" s="501"/>
      <c r="QWW28" s="501"/>
      <c r="QWX28" s="501"/>
      <c r="QWY28" s="501"/>
      <c r="QWZ28" s="501"/>
      <c r="QXA28" s="501"/>
      <c r="QXB28" s="501"/>
      <c r="QXC28" s="501"/>
      <c r="QXD28" s="501"/>
      <c r="QXE28" s="501"/>
      <c r="QXF28" s="501"/>
      <c r="QXG28" s="501"/>
      <c r="QXH28" s="501"/>
      <c r="QXI28" s="501"/>
      <c r="QXJ28" s="501"/>
      <c r="QXK28" s="501"/>
      <c r="QXL28" s="501"/>
      <c r="QXM28" s="501"/>
      <c r="QXN28" s="501"/>
      <c r="QXO28" s="501"/>
      <c r="QXP28" s="501"/>
      <c r="QXQ28" s="501"/>
      <c r="QXR28" s="501"/>
      <c r="QXS28" s="501"/>
      <c r="QXT28" s="501"/>
      <c r="QXU28" s="501"/>
      <c r="QXV28" s="501"/>
      <c r="QXW28" s="501"/>
      <c r="QXX28" s="501"/>
      <c r="QXY28" s="501"/>
      <c r="QXZ28" s="501"/>
      <c r="QYA28" s="501"/>
      <c r="QYB28" s="501"/>
      <c r="QYC28" s="501"/>
      <c r="QYD28" s="501"/>
      <c r="QYE28" s="501"/>
      <c r="QYF28" s="501"/>
      <c r="QYG28" s="501"/>
      <c r="QYH28" s="501"/>
      <c r="QYI28" s="501"/>
      <c r="QYJ28" s="501"/>
      <c r="QYK28" s="501"/>
      <c r="QYL28" s="501"/>
      <c r="QYM28" s="501"/>
      <c r="QYN28" s="501"/>
      <c r="QYO28" s="501"/>
      <c r="QYP28" s="501"/>
      <c r="QYQ28" s="501"/>
      <c r="QYR28" s="501"/>
      <c r="QYS28" s="501"/>
      <c r="QYT28" s="501"/>
      <c r="QYU28" s="501"/>
      <c r="QYV28" s="501"/>
      <c r="QYW28" s="501"/>
      <c r="QYX28" s="501"/>
      <c r="QYY28" s="501"/>
      <c r="QYZ28" s="501"/>
      <c r="QZA28" s="501"/>
      <c r="QZB28" s="501"/>
      <c r="QZC28" s="501"/>
      <c r="QZD28" s="501"/>
      <c r="QZE28" s="501"/>
      <c r="QZF28" s="501"/>
      <c r="QZG28" s="501"/>
      <c r="QZH28" s="501"/>
      <c r="QZI28" s="501"/>
      <c r="QZJ28" s="501"/>
      <c r="QZK28" s="501"/>
      <c r="QZL28" s="501"/>
      <c r="QZM28" s="501"/>
      <c r="QZN28" s="501"/>
      <c r="QZO28" s="501"/>
      <c r="QZP28" s="501"/>
      <c r="QZQ28" s="501"/>
      <c r="QZR28" s="501"/>
      <c r="QZS28" s="501"/>
      <c r="QZT28" s="501"/>
      <c r="QZU28" s="501"/>
      <c r="QZV28" s="501"/>
      <c r="QZW28" s="501"/>
      <c r="QZX28" s="501"/>
      <c r="QZY28" s="501"/>
      <c r="QZZ28" s="501"/>
      <c r="RAA28" s="501"/>
      <c r="RAB28" s="501"/>
      <c r="RAC28" s="501"/>
      <c r="RAD28" s="501"/>
      <c r="RAE28" s="501"/>
      <c r="RAF28" s="501"/>
      <c r="RAG28" s="501"/>
      <c r="RAH28" s="501"/>
      <c r="RAI28" s="501"/>
      <c r="RAJ28" s="501"/>
      <c r="RAK28" s="501"/>
      <c r="RAL28" s="501"/>
      <c r="RAM28" s="501"/>
      <c r="RAN28" s="501"/>
      <c r="RAO28" s="501"/>
      <c r="RAP28" s="501"/>
      <c r="RAQ28" s="501"/>
      <c r="RAR28" s="501"/>
      <c r="RAS28" s="501"/>
      <c r="RAT28" s="501"/>
      <c r="RAU28" s="501"/>
      <c r="RAV28" s="501"/>
      <c r="RAW28" s="501"/>
      <c r="RAX28" s="501"/>
      <c r="RAY28" s="501"/>
      <c r="RAZ28" s="501"/>
      <c r="RBA28" s="501"/>
      <c r="RBB28" s="501"/>
      <c r="RBC28" s="501"/>
      <c r="RBD28" s="501"/>
      <c r="RBE28" s="501"/>
      <c r="RBF28" s="501"/>
      <c r="RBG28" s="501"/>
      <c r="RBH28" s="501"/>
      <c r="RBI28" s="501"/>
      <c r="RBJ28" s="501"/>
      <c r="RBK28" s="501"/>
      <c r="RBL28" s="501"/>
      <c r="RBM28" s="501"/>
      <c r="RBN28" s="501"/>
      <c r="RBO28" s="501"/>
      <c r="RBP28" s="501"/>
      <c r="RBQ28" s="501"/>
      <c r="RBR28" s="501"/>
      <c r="RBS28" s="501"/>
      <c r="RBT28" s="501"/>
      <c r="RBU28" s="501"/>
      <c r="RBV28" s="501"/>
      <c r="RBW28" s="501"/>
      <c r="RBX28" s="501"/>
      <c r="RBY28" s="501"/>
      <c r="RBZ28" s="501"/>
      <c r="RCA28" s="501"/>
      <c r="RCB28" s="501"/>
      <c r="RCC28" s="501"/>
      <c r="RCD28" s="501"/>
      <c r="RCE28" s="501"/>
      <c r="RCF28" s="501"/>
      <c r="RCG28" s="501"/>
      <c r="RCH28" s="501"/>
      <c r="RCI28" s="501"/>
      <c r="RCJ28" s="501"/>
      <c r="RCK28" s="501"/>
      <c r="RCL28" s="501"/>
      <c r="RCM28" s="501"/>
      <c r="RCN28" s="501"/>
      <c r="RCO28" s="501"/>
      <c r="RCP28" s="501"/>
      <c r="RCQ28" s="501"/>
      <c r="RCR28" s="501"/>
      <c r="RCS28" s="501"/>
      <c r="RCT28" s="501"/>
      <c r="RCU28" s="501"/>
      <c r="RCV28" s="501"/>
      <c r="RCW28" s="501"/>
      <c r="RCX28" s="501"/>
      <c r="RCY28" s="501"/>
      <c r="RCZ28" s="501"/>
      <c r="RDA28" s="501"/>
      <c r="RDB28" s="501"/>
      <c r="RDC28" s="501"/>
      <c r="RDD28" s="501"/>
      <c r="RDE28" s="501"/>
      <c r="RDF28" s="501"/>
      <c r="RDG28" s="501"/>
      <c r="RDH28" s="501"/>
      <c r="RDI28" s="501"/>
      <c r="RDJ28" s="501"/>
      <c r="RDK28" s="501"/>
      <c r="RDL28" s="501"/>
      <c r="RDM28" s="501"/>
      <c r="RDN28" s="501"/>
      <c r="RDO28" s="501"/>
      <c r="RDP28" s="501"/>
      <c r="RDQ28" s="501"/>
      <c r="RDR28" s="501"/>
      <c r="RDS28" s="501"/>
      <c r="RDT28" s="501"/>
      <c r="RDU28" s="501"/>
      <c r="RDV28" s="501"/>
      <c r="RDW28" s="501"/>
      <c r="RDX28" s="501"/>
      <c r="RDY28" s="501"/>
      <c r="RDZ28" s="501"/>
      <c r="REA28" s="501"/>
      <c r="REB28" s="501"/>
      <c r="REC28" s="501"/>
      <c r="RED28" s="501"/>
      <c r="REE28" s="501"/>
      <c r="REF28" s="501"/>
      <c r="REG28" s="501"/>
      <c r="REH28" s="501"/>
      <c r="REI28" s="501"/>
      <c r="REJ28" s="501"/>
      <c r="REK28" s="501"/>
      <c r="REL28" s="501"/>
      <c r="REM28" s="501"/>
      <c r="REN28" s="501"/>
      <c r="REO28" s="501"/>
      <c r="REP28" s="501"/>
      <c r="REQ28" s="501"/>
      <c r="RER28" s="501"/>
      <c r="RES28" s="501"/>
      <c r="RET28" s="501"/>
      <c r="REU28" s="501"/>
      <c r="REV28" s="501"/>
      <c r="REW28" s="501"/>
      <c r="REX28" s="501"/>
      <c r="REY28" s="501"/>
      <c r="REZ28" s="501"/>
      <c r="RFA28" s="501"/>
      <c r="RFB28" s="501"/>
      <c r="RFC28" s="501"/>
      <c r="RFD28" s="501"/>
      <c r="RFE28" s="501"/>
      <c r="RFF28" s="501"/>
      <c r="RFG28" s="501"/>
      <c r="RFH28" s="501"/>
      <c r="RFI28" s="501"/>
      <c r="RFJ28" s="501"/>
      <c r="RFK28" s="501"/>
      <c r="RFL28" s="501"/>
      <c r="RFM28" s="501"/>
      <c r="RFN28" s="501"/>
      <c r="RFO28" s="501"/>
      <c r="RFP28" s="501"/>
      <c r="RFQ28" s="501"/>
      <c r="RFR28" s="501"/>
      <c r="RFS28" s="501"/>
      <c r="RFT28" s="501"/>
      <c r="RFU28" s="501"/>
      <c r="RFV28" s="501"/>
      <c r="RFW28" s="501"/>
      <c r="RFX28" s="501"/>
      <c r="RFY28" s="501"/>
      <c r="RFZ28" s="501"/>
      <c r="RGA28" s="501"/>
      <c r="RGB28" s="501"/>
      <c r="RGC28" s="501"/>
      <c r="RGD28" s="501"/>
      <c r="RGE28" s="501"/>
      <c r="RGF28" s="501"/>
      <c r="RGG28" s="501"/>
      <c r="RGH28" s="501"/>
      <c r="RGI28" s="501"/>
      <c r="RGJ28" s="501"/>
      <c r="RGK28" s="501"/>
      <c r="RGL28" s="501"/>
      <c r="RGM28" s="501"/>
      <c r="RGN28" s="501"/>
      <c r="RGO28" s="501"/>
      <c r="RGP28" s="501"/>
      <c r="RGQ28" s="501"/>
      <c r="RGR28" s="501"/>
      <c r="RGS28" s="501"/>
      <c r="RGT28" s="501"/>
      <c r="RGU28" s="501"/>
      <c r="RGV28" s="501"/>
      <c r="RGW28" s="501"/>
      <c r="RGX28" s="501"/>
      <c r="RGY28" s="501"/>
      <c r="RGZ28" s="501"/>
      <c r="RHA28" s="501"/>
      <c r="RHB28" s="501"/>
      <c r="RHC28" s="501"/>
      <c r="RHD28" s="501"/>
      <c r="RHE28" s="501"/>
      <c r="RHF28" s="501"/>
      <c r="RHG28" s="501"/>
      <c r="RHH28" s="501"/>
      <c r="RHI28" s="501"/>
      <c r="RHJ28" s="501"/>
      <c r="RHK28" s="501"/>
      <c r="RHL28" s="501"/>
      <c r="RHM28" s="501"/>
      <c r="RHN28" s="501"/>
      <c r="RHO28" s="501"/>
      <c r="RHP28" s="501"/>
      <c r="RHQ28" s="501"/>
      <c r="RHR28" s="501"/>
      <c r="RHS28" s="501"/>
      <c r="RHT28" s="501"/>
      <c r="RHU28" s="501"/>
      <c r="RHV28" s="501"/>
      <c r="RHW28" s="501"/>
      <c r="RHX28" s="501"/>
      <c r="RHY28" s="501"/>
      <c r="RHZ28" s="501"/>
      <c r="RIA28" s="501"/>
      <c r="RIB28" s="501"/>
      <c r="RIC28" s="501"/>
      <c r="RID28" s="501"/>
      <c r="RIE28" s="501"/>
      <c r="RIF28" s="501"/>
      <c r="RIG28" s="501"/>
      <c r="RIH28" s="501"/>
      <c r="RII28" s="501"/>
      <c r="RIJ28" s="501"/>
      <c r="RIK28" s="501"/>
      <c r="RIL28" s="501"/>
      <c r="RIM28" s="501"/>
      <c r="RIN28" s="501"/>
      <c r="RIO28" s="501"/>
      <c r="RIP28" s="501"/>
      <c r="RIQ28" s="501"/>
      <c r="RIR28" s="501"/>
      <c r="RIS28" s="501"/>
      <c r="RIT28" s="501"/>
      <c r="RIU28" s="501"/>
      <c r="RIV28" s="501"/>
      <c r="RIW28" s="501"/>
      <c r="RIX28" s="501"/>
      <c r="RIY28" s="501"/>
      <c r="RIZ28" s="501"/>
      <c r="RJA28" s="501"/>
      <c r="RJB28" s="501"/>
      <c r="RJC28" s="501"/>
      <c r="RJD28" s="501"/>
      <c r="RJE28" s="501"/>
      <c r="RJF28" s="501"/>
      <c r="RJG28" s="501"/>
      <c r="RJH28" s="501"/>
      <c r="RJI28" s="501"/>
      <c r="RJJ28" s="501"/>
      <c r="RJK28" s="501"/>
      <c r="RJL28" s="501"/>
      <c r="RJM28" s="501"/>
      <c r="RJN28" s="501"/>
      <c r="RJO28" s="501"/>
      <c r="RJP28" s="501"/>
      <c r="RJQ28" s="501"/>
      <c r="RJR28" s="501"/>
      <c r="RJS28" s="501"/>
      <c r="RJT28" s="501"/>
      <c r="RJU28" s="501"/>
      <c r="RJV28" s="501"/>
      <c r="RJW28" s="501"/>
      <c r="RJX28" s="501"/>
      <c r="RJY28" s="501"/>
      <c r="RJZ28" s="501"/>
      <c r="RKA28" s="501"/>
      <c r="RKB28" s="501"/>
      <c r="RKC28" s="501"/>
      <c r="RKD28" s="501"/>
      <c r="RKE28" s="501"/>
      <c r="RKF28" s="501"/>
      <c r="RKG28" s="501"/>
      <c r="RKH28" s="501"/>
      <c r="RKI28" s="501"/>
      <c r="RKJ28" s="501"/>
      <c r="RKK28" s="501"/>
      <c r="RKL28" s="501"/>
      <c r="RKM28" s="501"/>
      <c r="RKN28" s="501"/>
      <c r="RKO28" s="501"/>
      <c r="RKP28" s="501"/>
      <c r="RKQ28" s="501"/>
      <c r="RKR28" s="501"/>
      <c r="RKS28" s="501"/>
      <c r="RKT28" s="501"/>
      <c r="RKU28" s="501"/>
      <c r="RKV28" s="501"/>
      <c r="RKW28" s="501"/>
      <c r="RKX28" s="501"/>
      <c r="RKY28" s="501"/>
      <c r="RKZ28" s="501"/>
      <c r="RLA28" s="501"/>
      <c r="RLB28" s="501"/>
      <c r="RLC28" s="501"/>
      <c r="RLD28" s="501"/>
      <c r="RLE28" s="501"/>
      <c r="RLF28" s="501"/>
      <c r="RLG28" s="501"/>
      <c r="RLH28" s="501"/>
      <c r="RLI28" s="501"/>
      <c r="RLJ28" s="501"/>
      <c r="RLK28" s="501"/>
      <c r="RLL28" s="501"/>
      <c r="RLM28" s="501"/>
      <c r="RLN28" s="501"/>
      <c r="RLO28" s="501"/>
      <c r="RLP28" s="501"/>
      <c r="RLQ28" s="501"/>
      <c r="RLR28" s="501"/>
      <c r="RLS28" s="501"/>
      <c r="RLT28" s="501"/>
      <c r="RLU28" s="501"/>
      <c r="RLV28" s="501"/>
      <c r="RLW28" s="501"/>
      <c r="RLX28" s="501"/>
      <c r="RLY28" s="501"/>
      <c r="RLZ28" s="501"/>
      <c r="RMA28" s="501"/>
      <c r="RMB28" s="501"/>
      <c r="RMC28" s="501"/>
      <c r="RMD28" s="501"/>
      <c r="RME28" s="501"/>
      <c r="RMF28" s="501"/>
      <c r="RMG28" s="501"/>
      <c r="RMH28" s="501"/>
      <c r="RMI28" s="501"/>
      <c r="RMJ28" s="501"/>
      <c r="RMK28" s="501"/>
      <c r="RML28" s="501"/>
      <c r="RMM28" s="501"/>
      <c r="RMN28" s="501"/>
      <c r="RMO28" s="501"/>
      <c r="RMP28" s="501"/>
      <c r="RMQ28" s="501"/>
      <c r="RMR28" s="501"/>
      <c r="RMS28" s="501"/>
      <c r="RMT28" s="501"/>
      <c r="RMU28" s="501"/>
      <c r="RMV28" s="501"/>
      <c r="RMW28" s="501"/>
      <c r="RMX28" s="501"/>
      <c r="RMY28" s="501"/>
      <c r="RMZ28" s="501"/>
      <c r="RNA28" s="501"/>
      <c r="RNB28" s="501"/>
      <c r="RNC28" s="501"/>
      <c r="RND28" s="501"/>
      <c r="RNE28" s="501"/>
      <c r="RNF28" s="501"/>
      <c r="RNG28" s="501"/>
      <c r="RNH28" s="501"/>
      <c r="RNI28" s="501"/>
      <c r="RNJ28" s="501"/>
      <c r="RNK28" s="501"/>
      <c r="RNL28" s="501"/>
      <c r="RNM28" s="501"/>
      <c r="RNN28" s="501"/>
      <c r="RNO28" s="501"/>
      <c r="RNP28" s="501"/>
      <c r="RNQ28" s="501"/>
      <c r="RNR28" s="501"/>
      <c r="RNS28" s="501"/>
      <c r="RNT28" s="501"/>
      <c r="RNU28" s="501"/>
      <c r="RNV28" s="501"/>
      <c r="RNW28" s="501"/>
      <c r="RNX28" s="501"/>
      <c r="RNY28" s="501"/>
      <c r="RNZ28" s="501"/>
      <c r="ROA28" s="501"/>
      <c r="ROB28" s="501"/>
      <c r="ROC28" s="501"/>
      <c r="ROD28" s="501"/>
      <c r="ROE28" s="501"/>
      <c r="ROF28" s="501"/>
      <c r="ROG28" s="501"/>
      <c r="ROH28" s="501"/>
      <c r="ROI28" s="501"/>
      <c r="ROJ28" s="501"/>
      <c r="ROK28" s="501"/>
      <c r="ROL28" s="501"/>
      <c r="ROM28" s="501"/>
      <c r="RON28" s="501"/>
      <c r="ROO28" s="501"/>
      <c r="ROP28" s="501"/>
      <c r="ROQ28" s="501"/>
      <c r="ROR28" s="501"/>
      <c r="ROS28" s="501"/>
      <c r="ROT28" s="501"/>
      <c r="ROU28" s="501"/>
      <c r="ROV28" s="501"/>
      <c r="ROW28" s="501"/>
      <c r="ROX28" s="501"/>
      <c r="ROY28" s="501"/>
      <c r="ROZ28" s="501"/>
      <c r="RPA28" s="501"/>
      <c r="RPB28" s="501"/>
      <c r="RPC28" s="501"/>
      <c r="RPD28" s="501"/>
      <c r="RPE28" s="501"/>
      <c r="RPF28" s="501"/>
      <c r="RPG28" s="501"/>
      <c r="RPH28" s="501"/>
      <c r="RPI28" s="501"/>
      <c r="RPJ28" s="501"/>
      <c r="RPK28" s="501"/>
      <c r="RPL28" s="501"/>
      <c r="RPM28" s="501"/>
      <c r="RPN28" s="501"/>
      <c r="RPO28" s="501"/>
      <c r="RPP28" s="501"/>
      <c r="RPQ28" s="501"/>
      <c r="RPR28" s="501"/>
      <c r="RPS28" s="501"/>
      <c r="RPT28" s="501"/>
      <c r="RPU28" s="501"/>
      <c r="RPV28" s="501"/>
      <c r="RPW28" s="501"/>
      <c r="RPX28" s="501"/>
      <c r="RPY28" s="501"/>
      <c r="RPZ28" s="501"/>
      <c r="RQA28" s="501"/>
      <c r="RQB28" s="501"/>
      <c r="RQC28" s="501"/>
      <c r="RQD28" s="501"/>
      <c r="RQE28" s="501"/>
      <c r="RQF28" s="501"/>
      <c r="RQG28" s="501"/>
      <c r="RQH28" s="501"/>
      <c r="RQI28" s="501"/>
      <c r="RQJ28" s="501"/>
      <c r="RQK28" s="501"/>
      <c r="RQL28" s="501"/>
      <c r="RQM28" s="501"/>
      <c r="RQN28" s="501"/>
      <c r="RQO28" s="501"/>
      <c r="RQP28" s="501"/>
      <c r="RQQ28" s="501"/>
      <c r="RQR28" s="501"/>
      <c r="RQS28" s="501"/>
      <c r="RQT28" s="501"/>
      <c r="RQU28" s="501"/>
      <c r="RQV28" s="501"/>
      <c r="RQW28" s="501"/>
      <c r="RQX28" s="501"/>
      <c r="RQY28" s="501"/>
      <c r="RQZ28" s="501"/>
      <c r="RRA28" s="501"/>
      <c r="RRB28" s="501"/>
      <c r="RRC28" s="501"/>
      <c r="RRD28" s="501"/>
      <c r="RRE28" s="501"/>
      <c r="RRF28" s="501"/>
      <c r="RRG28" s="501"/>
      <c r="RRH28" s="501"/>
      <c r="RRI28" s="501"/>
      <c r="RRJ28" s="501"/>
      <c r="RRK28" s="501"/>
      <c r="RRL28" s="501"/>
      <c r="RRM28" s="501"/>
      <c r="RRN28" s="501"/>
      <c r="RRO28" s="501"/>
      <c r="RRP28" s="501"/>
      <c r="RRQ28" s="501"/>
      <c r="RRR28" s="501"/>
      <c r="RRS28" s="501"/>
      <c r="RRT28" s="501"/>
      <c r="RRU28" s="501"/>
      <c r="RRV28" s="501"/>
      <c r="RRW28" s="501"/>
      <c r="RRX28" s="501"/>
      <c r="RRY28" s="501"/>
      <c r="RRZ28" s="501"/>
      <c r="RSA28" s="501"/>
      <c r="RSB28" s="501"/>
      <c r="RSC28" s="501"/>
      <c r="RSD28" s="501"/>
      <c r="RSE28" s="501"/>
      <c r="RSF28" s="501"/>
      <c r="RSG28" s="501"/>
      <c r="RSH28" s="501"/>
      <c r="RSI28" s="501"/>
      <c r="RSJ28" s="501"/>
      <c r="RSK28" s="501"/>
      <c r="RSL28" s="501"/>
      <c r="RSM28" s="501"/>
      <c r="RSN28" s="501"/>
      <c r="RSO28" s="501"/>
      <c r="RSP28" s="501"/>
      <c r="RSQ28" s="501"/>
      <c r="RSR28" s="501"/>
      <c r="RSS28" s="501"/>
      <c r="RST28" s="501"/>
      <c r="RSU28" s="501"/>
      <c r="RSV28" s="501"/>
      <c r="RSW28" s="501"/>
      <c r="RSX28" s="501"/>
      <c r="RSY28" s="501"/>
      <c r="RSZ28" s="501"/>
      <c r="RTA28" s="501"/>
      <c r="RTB28" s="501"/>
      <c r="RTC28" s="501"/>
      <c r="RTD28" s="501"/>
      <c r="RTE28" s="501"/>
      <c r="RTF28" s="501"/>
      <c r="RTG28" s="501"/>
      <c r="RTH28" s="501"/>
      <c r="RTI28" s="501"/>
      <c r="RTJ28" s="501"/>
      <c r="RTK28" s="501"/>
      <c r="RTL28" s="501"/>
      <c r="RTM28" s="501"/>
      <c r="RTN28" s="501"/>
      <c r="RTO28" s="501"/>
      <c r="RTP28" s="501"/>
      <c r="RTQ28" s="501"/>
      <c r="RTR28" s="501"/>
      <c r="RTS28" s="501"/>
      <c r="RTT28" s="501"/>
      <c r="RTU28" s="501"/>
      <c r="RTV28" s="501"/>
      <c r="RTW28" s="501"/>
      <c r="RTX28" s="501"/>
      <c r="RTY28" s="501"/>
      <c r="RTZ28" s="501"/>
      <c r="RUA28" s="501"/>
      <c r="RUB28" s="501"/>
      <c r="RUC28" s="501"/>
      <c r="RUD28" s="501"/>
      <c r="RUE28" s="501"/>
      <c r="RUF28" s="501"/>
      <c r="RUG28" s="501"/>
      <c r="RUH28" s="501"/>
      <c r="RUI28" s="501"/>
      <c r="RUJ28" s="501"/>
      <c r="RUK28" s="501"/>
      <c r="RUL28" s="501"/>
      <c r="RUM28" s="501"/>
      <c r="RUN28" s="501"/>
      <c r="RUO28" s="501"/>
      <c r="RUP28" s="501"/>
      <c r="RUQ28" s="501"/>
      <c r="RUR28" s="501"/>
      <c r="RUS28" s="501"/>
      <c r="RUT28" s="501"/>
      <c r="RUU28" s="501"/>
      <c r="RUV28" s="501"/>
      <c r="RUW28" s="501"/>
      <c r="RUX28" s="501"/>
      <c r="RUY28" s="501"/>
      <c r="RUZ28" s="501"/>
      <c r="RVA28" s="501"/>
      <c r="RVB28" s="501"/>
      <c r="RVC28" s="501"/>
      <c r="RVD28" s="501"/>
      <c r="RVE28" s="501"/>
      <c r="RVF28" s="501"/>
      <c r="RVG28" s="501"/>
      <c r="RVH28" s="501"/>
      <c r="RVI28" s="501"/>
      <c r="RVJ28" s="501"/>
      <c r="RVK28" s="501"/>
      <c r="RVL28" s="501"/>
      <c r="RVM28" s="501"/>
      <c r="RVN28" s="501"/>
      <c r="RVO28" s="501"/>
      <c r="RVP28" s="501"/>
      <c r="RVQ28" s="501"/>
      <c r="RVR28" s="501"/>
      <c r="RVS28" s="501"/>
      <c r="RVT28" s="501"/>
      <c r="RVU28" s="501"/>
      <c r="RVV28" s="501"/>
      <c r="RVW28" s="501"/>
      <c r="RVX28" s="501"/>
      <c r="RVY28" s="501"/>
      <c r="RVZ28" s="501"/>
      <c r="RWA28" s="501"/>
      <c r="RWB28" s="501"/>
      <c r="RWC28" s="501"/>
      <c r="RWD28" s="501"/>
      <c r="RWE28" s="501"/>
      <c r="RWF28" s="501"/>
      <c r="RWG28" s="501"/>
      <c r="RWH28" s="501"/>
      <c r="RWI28" s="501"/>
      <c r="RWJ28" s="501"/>
      <c r="RWK28" s="501"/>
      <c r="RWL28" s="501"/>
      <c r="RWM28" s="501"/>
      <c r="RWN28" s="501"/>
      <c r="RWO28" s="501"/>
      <c r="RWP28" s="501"/>
      <c r="RWQ28" s="501"/>
      <c r="RWR28" s="501"/>
      <c r="RWS28" s="501"/>
      <c r="RWT28" s="501"/>
      <c r="RWU28" s="501"/>
      <c r="RWV28" s="501"/>
      <c r="RWW28" s="501"/>
      <c r="RWX28" s="501"/>
      <c r="RWY28" s="501"/>
      <c r="RWZ28" s="501"/>
      <c r="RXA28" s="501"/>
      <c r="RXB28" s="501"/>
      <c r="RXC28" s="501"/>
      <c r="RXD28" s="501"/>
      <c r="RXE28" s="501"/>
      <c r="RXF28" s="501"/>
      <c r="RXG28" s="501"/>
      <c r="RXH28" s="501"/>
      <c r="RXI28" s="501"/>
      <c r="RXJ28" s="501"/>
      <c r="RXK28" s="501"/>
      <c r="RXL28" s="501"/>
      <c r="RXM28" s="501"/>
      <c r="RXN28" s="501"/>
      <c r="RXO28" s="501"/>
      <c r="RXP28" s="501"/>
      <c r="RXQ28" s="501"/>
      <c r="RXR28" s="501"/>
      <c r="RXS28" s="501"/>
      <c r="RXT28" s="501"/>
      <c r="RXU28" s="501"/>
      <c r="RXV28" s="501"/>
      <c r="RXW28" s="501"/>
      <c r="RXX28" s="501"/>
      <c r="RXY28" s="501"/>
      <c r="RXZ28" s="501"/>
      <c r="RYA28" s="501"/>
      <c r="RYB28" s="501"/>
      <c r="RYC28" s="501"/>
      <c r="RYD28" s="501"/>
      <c r="RYE28" s="501"/>
      <c r="RYF28" s="501"/>
      <c r="RYG28" s="501"/>
      <c r="RYH28" s="501"/>
      <c r="RYI28" s="501"/>
      <c r="RYJ28" s="501"/>
      <c r="RYK28" s="501"/>
      <c r="RYL28" s="501"/>
      <c r="RYM28" s="501"/>
      <c r="RYN28" s="501"/>
      <c r="RYO28" s="501"/>
      <c r="RYP28" s="501"/>
      <c r="RYQ28" s="501"/>
      <c r="RYR28" s="501"/>
      <c r="RYS28" s="501"/>
      <c r="RYT28" s="501"/>
      <c r="RYU28" s="501"/>
      <c r="RYV28" s="501"/>
      <c r="RYW28" s="501"/>
      <c r="RYX28" s="501"/>
      <c r="RYY28" s="501"/>
      <c r="RYZ28" s="501"/>
      <c r="RZA28" s="501"/>
      <c r="RZB28" s="501"/>
      <c r="RZC28" s="501"/>
      <c r="RZD28" s="501"/>
      <c r="RZE28" s="501"/>
      <c r="RZF28" s="501"/>
      <c r="RZG28" s="501"/>
      <c r="RZH28" s="501"/>
      <c r="RZI28" s="501"/>
      <c r="RZJ28" s="501"/>
      <c r="RZK28" s="501"/>
      <c r="RZL28" s="501"/>
      <c r="RZM28" s="501"/>
      <c r="RZN28" s="501"/>
      <c r="RZO28" s="501"/>
      <c r="RZP28" s="501"/>
      <c r="RZQ28" s="501"/>
      <c r="RZR28" s="501"/>
      <c r="RZS28" s="501"/>
      <c r="RZT28" s="501"/>
      <c r="RZU28" s="501"/>
      <c r="RZV28" s="501"/>
      <c r="RZW28" s="501"/>
      <c r="RZX28" s="501"/>
      <c r="RZY28" s="501"/>
      <c r="RZZ28" s="501"/>
      <c r="SAA28" s="501"/>
      <c r="SAB28" s="501"/>
      <c r="SAC28" s="501"/>
      <c r="SAD28" s="501"/>
      <c r="SAE28" s="501"/>
      <c r="SAF28" s="501"/>
      <c r="SAG28" s="501"/>
      <c r="SAH28" s="501"/>
      <c r="SAI28" s="501"/>
      <c r="SAJ28" s="501"/>
      <c r="SAK28" s="501"/>
      <c r="SAL28" s="501"/>
      <c r="SAM28" s="501"/>
      <c r="SAN28" s="501"/>
      <c r="SAO28" s="501"/>
      <c r="SAP28" s="501"/>
      <c r="SAQ28" s="501"/>
      <c r="SAR28" s="501"/>
      <c r="SAS28" s="501"/>
      <c r="SAT28" s="501"/>
      <c r="SAU28" s="501"/>
      <c r="SAV28" s="501"/>
      <c r="SAW28" s="501"/>
      <c r="SAX28" s="501"/>
      <c r="SAY28" s="501"/>
      <c r="SAZ28" s="501"/>
      <c r="SBA28" s="501"/>
      <c r="SBB28" s="501"/>
      <c r="SBC28" s="501"/>
      <c r="SBD28" s="501"/>
      <c r="SBE28" s="501"/>
      <c r="SBF28" s="501"/>
      <c r="SBG28" s="501"/>
      <c r="SBH28" s="501"/>
      <c r="SBI28" s="501"/>
      <c r="SBJ28" s="501"/>
      <c r="SBK28" s="501"/>
      <c r="SBL28" s="501"/>
      <c r="SBM28" s="501"/>
      <c r="SBN28" s="501"/>
      <c r="SBO28" s="501"/>
      <c r="SBP28" s="501"/>
      <c r="SBQ28" s="501"/>
      <c r="SBR28" s="501"/>
      <c r="SBS28" s="501"/>
      <c r="SBT28" s="501"/>
      <c r="SBU28" s="501"/>
      <c r="SBV28" s="501"/>
      <c r="SBW28" s="501"/>
      <c r="SBX28" s="501"/>
      <c r="SBY28" s="501"/>
      <c r="SBZ28" s="501"/>
      <c r="SCA28" s="501"/>
      <c r="SCB28" s="501"/>
      <c r="SCC28" s="501"/>
      <c r="SCD28" s="501"/>
      <c r="SCE28" s="501"/>
      <c r="SCF28" s="501"/>
      <c r="SCG28" s="501"/>
      <c r="SCH28" s="501"/>
      <c r="SCI28" s="501"/>
      <c r="SCJ28" s="501"/>
      <c r="SCK28" s="501"/>
      <c r="SCL28" s="501"/>
      <c r="SCM28" s="501"/>
      <c r="SCN28" s="501"/>
      <c r="SCO28" s="501"/>
      <c r="SCP28" s="501"/>
      <c r="SCQ28" s="501"/>
      <c r="SCR28" s="501"/>
      <c r="SCS28" s="501"/>
      <c r="SCT28" s="501"/>
      <c r="SCU28" s="501"/>
      <c r="SCV28" s="501"/>
      <c r="SCW28" s="501"/>
      <c r="SCX28" s="501"/>
      <c r="SCY28" s="501"/>
      <c r="SCZ28" s="501"/>
      <c r="SDA28" s="501"/>
      <c r="SDB28" s="501"/>
      <c r="SDC28" s="501"/>
      <c r="SDD28" s="501"/>
      <c r="SDE28" s="501"/>
      <c r="SDF28" s="501"/>
      <c r="SDG28" s="501"/>
      <c r="SDH28" s="501"/>
      <c r="SDI28" s="501"/>
      <c r="SDJ28" s="501"/>
      <c r="SDK28" s="501"/>
      <c r="SDL28" s="501"/>
      <c r="SDM28" s="501"/>
      <c r="SDN28" s="501"/>
      <c r="SDO28" s="501"/>
      <c r="SDP28" s="501"/>
      <c r="SDQ28" s="501"/>
      <c r="SDR28" s="501"/>
      <c r="SDS28" s="501"/>
      <c r="SDT28" s="501"/>
      <c r="SDU28" s="501"/>
      <c r="SDV28" s="501"/>
      <c r="SDW28" s="501"/>
      <c r="SDX28" s="501"/>
      <c r="SDY28" s="501"/>
      <c r="SDZ28" s="501"/>
      <c r="SEA28" s="501"/>
      <c r="SEB28" s="501"/>
      <c r="SEC28" s="501"/>
      <c r="SED28" s="501"/>
      <c r="SEE28" s="501"/>
      <c r="SEF28" s="501"/>
      <c r="SEG28" s="501"/>
      <c r="SEH28" s="501"/>
      <c r="SEI28" s="501"/>
      <c r="SEJ28" s="501"/>
      <c r="SEK28" s="501"/>
      <c r="SEL28" s="501"/>
      <c r="SEM28" s="501"/>
      <c r="SEN28" s="501"/>
      <c r="SEO28" s="501"/>
      <c r="SEP28" s="501"/>
      <c r="SEQ28" s="501"/>
      <c r="SER28" s="501"/>
      <c r="SES28" s="501"/>
      <c r="SET28" s="501"/>
      <c r="SEU28" s="501"/>
      <c r="SEV28" s="501"/>
      <c r="SEW28" s="501"/>
      <c r="SEX28" s="501"/>
      <c r="SEY28" s="501"/>
      <c r="SEZ28" s="501"/>
      <c r="SFA28" s="501"/>
      <c r="SFB28" s="501"/>
      <c r="SFC28" s="501"/>
      <c r="SFD28" s="501"/>
      <c r="SFE28" s="501"/>
      <c r="SFF28" s="501"/>
      <c r="SFG28" s="501"/>
      <c r="SFH28" s="501"/>
      <c r="SFI28" s="501"/>
      <c r="SFJ28" s="501"/>
      <c r="SFK28" s="501"/>
      <c r="SFL28" s="501"/>
      <c r="SFM28" s="501"/>
      <c r="SFN28" s="501"/>
      <c r="SFO28" s="501"/>
      <c r="SFP28" s="501"/>
      <c r="SFQ28" s="501"/>
      <c r="SFR28" s="501"/>
      <c r="SFS28" s="501"/>
      <c r="SFT28" s="501"/>
      <c r="SFU28" s="501"/>
      <c r="SFV28" s="501"/>
      <c r="SFW28" s="501"/>
      <c r="SFX28" s="501"/>
      <c r="SFY28" s="501"/>
      <c r="SFZ28" s="501"/>
      <c r="SGA28" s="501"/>
      <c r="SGB28" s="501"/>
      <c r="SGC28" s="501"/>
      <c r="SGD28" s="501"/>
      <c r="SGE28" s="501"/>
      <c r="SGF28" s="501"/>
      <c r="SGG28" s="501"/>
      <c r="SGH28" s="501"/>
      <c r="SGI28" s="501"/>
      <c r="SGJ28" s="501"/>
      <c r="SGK28" s="501"/>
      <c r="SGL28" s="501"/>
      <c r="SGM28" s="501"/>
      <c r="SGN28" s="501"/>
      <c r="SGO28" s="501"/>
      <c r="SGP28" s="501"/>
      <c r="SGQ28" s="501"/>
      <c r="SGR28" s="501"/>
      <c r="SGS28" s="501"/>
      <c r="SGT28" s="501"/>
      <c r="SGU28" s="501"/>
      <c r="SGV28" s="501"/>
      <c r="SGW28" s="501"/>
      <c r="SGX28" s="501"/>
      <c r="SGY28" s="501"/>
      <c r="SGZ28" s="501"/>
      <c r="SHA28" s="501"/>
      <c r="SHB28" s="501"/>
      <c r="SHC28" s="501"/>
      <c r="SHD28" s="501"/>
      <c r="SHE28" s="501"/>
      <c r="SHF28" s="501"/>
      <c r="SHG28" s="501"/>
      <c r="SHH28" s="501"/>
      <c r="SHI28" s="501"/>
      <c r="SHJ28" s="501"/>
      <c r="SHK28" s="501"/>
      <c r="SHL28" s="501"/>
      <c r="SHM28" s="501"/>
      <c r="SHN28" s="501"/>
      <c r="SHO28" s="501"/>
      <c r="SHP28" s="501"/>
      <c r="SHQ28" s="501"/>
      <c r="SHR28" s="501"/>
      <c r="SHS28" s="501"/>
      <c r="SHT28" s="501"/>
      <c r="SHU28" s="501"/>
      <c r="SHV28" s="501"/>
      <c r="SHW28" s="501"/>
      <c r="SHX28" s="501"/>
      <c r="SHY28" s="501"/>
      <c r="SHZ28" s="501"/>
      <c r="SIA28" s="501"/>
      <c r="SIB28" s="501"/>
      <c r="SIC28" s="501"/>
      <c r="SID28" s="501"/>
      <c r="SIE28" s="501"/>
      <c r="SIF28" s="501"/>
      <c r="SIG28" s="501"/>
      <c r="SIH28" s="501"/>
      <c r="SII28" s="501"/>
      <c r="SIJ28" s="501"/>
      <c r="SIK28" s="501"/>
      <c r="SIL28" s="501"/>
      <c r="SIM28" s="501"/>
      <c r="SIN28" s="501"/>
      <c r="SIO28" s="501"/>
      <c r="SIP28" s="501"/>
      <c r="SIQ28" s="501"/>
      <c r="SIR28" s="501"/>
      <c r="SIS28" s="501"/>
      <c r="SIT28" s="501"/>
      <c r="SIU28" s="501"/>
      <c r="SIV28" s="501"/>
      <c r="SIW28" s="501"/>
      <c r="SIX28" s="501"/>
      <c r="SIY28" s="501"/>
      <c r="SIZ28" s="501"/>
      <c r="SJA28" s="501"/>
      <c r="SJB28" s="501"/>
      <c r="SJC28" s="501"/>
      <c r="SJD28" s="501"/>
      <c r="SJE28" s="501"/>
      <c r="SJF28" s="501"/>
      <c r="SJG28" s="501"/>
      <c r="SJH28" s="501"/>
      <c r="SJI28" s="501"/>
      <c r="SJJ28" s="501"/>
      <c r="SJK28" s="501"/>
      <c r="SJL28" s="501"/>
      <c r="SJM28" s="501"/>
      <c r="SJN28" s="501"/>
      <c r="SJO28" s="501"/>
      <c r="SJP28" s="501"/>
      <c r="SJQ28" s="501"/>
      <c r="SJR28" s="501"/>
      <c r="SJS28" s="501"/>
      <c r="SJT28" s="501"/>
      <c r="SJU28" s="501"/>
      <c r="SJV28" s="501"/>
      <c r="SJW28" s="501"/>
      <c r="SJX28" s="501"/>
      <c r="SJY28" s="501"/>
      <c r="SJZ28" s="501"/>
      <c r="SKA28" s="501"/>
      <c r="SKB28" s="501"/>
      <c r="SKC28" s="501"/>
      <c r="SKD28" s="501"/>
      <c r="SKE28" s="501"/>
      <c r="SKF28" s="501"/>
      <c r="SKG28" s="501"/>
      <c r="SKH28" s="501"/>
      <c r="SKI28" s="501"/>
      <c r="SKJ28" s="501"/>
      <c r="SKK28" s="501"/>
      <c r="SKL28" s="501"/>
      <c r="SKM28" s="501"/>
      <c r="SKN28" s="501"/>
      <c r="SKO28" s="501"/>
      <c r="SKP28" s="501"/>
      <c r="SKQ28" s="501"/>
      <c r="SKR28" s="501"/>
      <c r="SKS28" s="501"/>
      <c r="SKT28" s="501"/>
      <c r="SKU28" s="501"/>
      <c r="SKV28" s="501"/>
      <c r="SKW28" s="501"/>
      <c r="SKX28" s="501"/>
      <c r="SKY28" s="501"/>
      <c r="SKZ28" s="501"/>
      <c r="SLA28" s="501"/>
      <c r="SLB28" s="501"/>
      <c r="SLC28" s="501"/>
      <c r="SLD28" s="501"/>
      <c r="SLE28" s="501"/>
      <c r="SLF28" s="501"/>
      <c r="SLG28" s="501"/>
      <c r="SLH28" s="501"/>
      <c r="SLI28" s="501"/>
      <c r="SLJ28" s="501"/>
      <c r="SLK28" s="501"/>
      <c r="SLL28" s="501"/>
      <c r="SLM28" s="501"/>
      <c r="SLN28" s="501"/>
      <c r="SLO28" s="501"/>
      <c r="SLP28" s="501"/>
      <c r="SLQ28" s="501"/>
      <c r="SLR28" s="501"/>
      <c r="SLS28" s="501"/>
      <c r="SLT28" s="501"/>
      <c r="SLU28" s="501"/>
      <c r="SLV28" s="501"/>
      <c r="SLW28" s="501"/>
      <c r="SLX28" s="501"/>
      <c r="SLY28" s="501"/>
      <c r="SLZ28" s="501"/>
      <c r="SMA28" s="501"/>
      <c r="SMB28" s="501"/>
      <c r="SMC28" s="501"/>
      <c r="SMD28" s="501"/>
      <c r="SME28" s="501"/>
      <c r="SMF28" s="501"/>
      <c r="SMG28" s="501"/>
      <c r="SMH28" s="501"/>
      <c r="SMI28" s="501"/>
      <c r="SMJ28" s="501"/>
      <c r="SMK28" s="501"/>
      <c r="SML28" s="501"/>
      <c r="SMM28" s="501"/>
      <c r="SMN28" s="501"/>
      <c r="SMO28" s="501"/>
      <c r="SMP28" s="501"/>
      <c r="SMQ28" s="501"/>
      <c r="SMR28" s="501"/>
      <c r="SMS28" s="501"/>
      <c r="SMT28" s="501"/>
      <c r="SMU28" s="501"/>
      <c r="SMV28" s="501"/>
      <c r="SMW28" s="501"/>
      <c r="SMX28" s="501"/>
      <c r="SMY28" s="501"/>
      <c r="SMZ28" s="501"/>
      <c r="SNA28" s="501"/>
      <c r="SNB28" s="501"/>
      <c r="SNC28" s="501"/>
      <c r="SND28" s="501"/>
      <c r="SNE28" s="501"/>
      <c r="SNF28" s="501"/>
      <c r="SNG28" s="501"/>
      <c r="SNH28" s="501"/>
      <c r="SNI28" s="501"/>
      <c r="SNJ28" s="501"/>
      <c r="SNK28" s="501"/>
      <c r="SNL28" s="501"/>
      <c r="SNM28" s="501"/>
      <c r="SNN28" s="501"/>
      <c r="SNO28" s="501"/>
      <c r="SNP28" s="501"/>
      <c r="SNQ28" s="501"/>
      <c r="SNR28" s="501"/>
      <c r="SNS28" s="501"/>
      <c r="SNT28" s="501"/>
      <c r="SNU28" s="501"/>
      <c r="SNV28" s="501"/>
      <c r="SNW28" s="501"/>
      <c r="SNX28" s="501"/>
      <c r="SNY28" s="501"/>
      <c r="SNZ28" s="501"/>
      <c r="SOA28" s="501"/>
      <c r="SOB28" s="501"/>
      <c r="SOC28" s="501"/>
      <c r="SOD28" s="501"/>
      <c r="SOE28" s="501"/>
      <c r="SOF28" s="501"/>
      <c r="SOG28" s="501"/>
      <c r="SOH28" s="501"/>
      <c r="SOI28" s="501"/>
      <c r="SOJ28" s="501"/>
      <c r="SOK28" s="501"/>
      <c r="SOL28" s="501"/>
      <c r="SOM28" s="501"/>
      <c r="SON28" s="501"/>
      <c r="SOO28" s="501"/>
      <c r="SOP28" s="501"/>
      <c r="SOQ28" s="501"/>
      <c r="SOR28" s="501"/>
      <c r="SOS28" s="501"/>
      <c r="SOT28" s="501"/>
      <c r="SOU28" s="501"/>
      <c r="SOV28" s="501"/>
      <c r="SOW28" s="501"/>
      <c r="SOX28" s="501"/>
      <c r="SOY28" s="501"/>
      <c r="SOZ28" s="501"/>
      <c r="SPA28" s="501"/>
      <c r="SPB28" s="501"/>
      <c r="SPC28" s="501"/>
      <c r="SPD28" s="501"/>
      <c r="SPE28" s="501"/>
      <c r="SPF28" s="501"/>
      <c r="SPG28" s="501"/>
      <c r="SPH28" s="501"/>
      <c r="SPI28" s="501"/>
      <c r="SPJ28" s="501"/>
      <c r="SPK28" s="501"/>
      <c r="SPL28" s="501"/>
      <c r="SPM28" s="501"/>
      <c r="SPN28" s="501"/>
      <c r="SPO28" s="501"/>
      <c r="SPP28" s="501"/>
      <c r="SPQ28" s="501"/>
      <c r="SPR28" s="501"/>
      <c r="SPS28" s="501"/>
      <c r="SPT28" s="501"/>
      <c r="SPU28" s="501"/>
      <c r="SPV28" s="501"/>
      <c r="SPW28" s="501"/>
      <c r="SPX28" s="501"/>
      <c r="SPY28" s="501"/>
      <c r="SPZ28" s="501"/>
      <c r="SQA28" s="501"/>
      <c r="SQB28" s="501"/>
      <c r="SQC28" s="501"/>
      <c r="SQD28" s="501"/>
      <c r="SQE28" s="501"/>
      <c r="SQF28" s="501"/>
      <c r="SQG28" s="501"/>
      <c r="SQH28" s="501"/>
      <c r="SQI28" s="501"/>
      <c r="SQJ28" s="501"/>
      <c r="SQK28" s="501"/>
      <c r="SQL28" s="501"/>
      <c r="SQM28" s="501"/>
      <c r="SQN28" s="501"/>
      <c r="SQO28" s="501"/>
      <c r="SQP28" s="501"/>
      <c r="SQQ28" s="501"/>
      <c r="SQR28" s="501"/>
      <c r="SQS28" s="501"/>
      <c r="SQT28" s="501"/>
      <c r="SQU28" s="501"/>
      <c r="SQV28" s="501"/>
      <c r="SQW28" s="501"/>
      <c r="SQX28" s="501"/>
      <c r="SQY28" s="501"/>
      <c r="SQZ28" s="501"/>
      <c r="SRA28" s="501"/>
      <c r="SRB28" s="501"/>
      <c r="SRC28" s="501"/>
      <c r="SRD28" s="501"/>
      <c r="SRE28" s="501"/>
      <c r="SRF28" s="501"/>
      <c r="SRG28" s="501"/>
      <c r="SRH28" s="501"/>
      <c r="SRI28" s="501"/>
      <c r="SRJ28" s="501"/>
      <c r="SRK28" s="501"/>
      <c r="SRL28" s="501"/>
      <c r="SRM28" s="501"/>
      <c r="SRN28" s="501"/>
      <c r="SRO28" s="501"/>
      <c r="SRP28" s="501"/>
      <c r="SRQ28" s="501"/>
      <c r="SRR28" s="501"/>
      <c r="SRS28" s="501"/>
      <c r="SRT28" s="501"/>
      <c r="SRU28" s="501"/>
      <c r="SRV28" s="501"/>
      <c r="SRW28" s="501"/>
      <c r="SRX28" s="501"/>
      <c r="SRY28" s="501"/>
      <c r="SRZ28" s="501"/>
      <c r="SSA28" s="501"/>
      <c r="SSB28" s="501"/>
      <c r="SSC28" s="501"/>
      <c r="SSD28" s="501"/>
      <c r="SSE28" s="501"/>
      <c r="SSF28" s="501"/>
      <c r="SSG28" s="501"/>
      <c r="SSH28" s="501"/>
      <c r="SSI28" s="501"/>
      <c r="SSJ28" s="501"/>
      <c r="SSK28" s="501"/>
      <c r="SSL28" s="501"/>
      <c r="SSM28" s="501"/>
      <c r="SSN28" s="501"/>
      <c r="SSO28" s="501"/>
      <c r="SSP28" s="501"/>
      <c r="SSQ28" s="501"/>
      <c r="SSR28" s="501"/>
      <c r="SSS28" s="501"/>
      <c r="SST28" s="501"/>
      <c r="SSU28" s="501"/>
      <c r="SSV28" s="501"/>
      <c r="SSW28" s="501"/>
      <c r="SSX28" s="501"/>
      <c r="SSY28" s="501"/>
      <c r="SSZ28" s="501"/>
      <c r="STA28" s="501"/>
      <c r="STB28" s="501"/>
      <c r="STC28" s="501"/>
      <c r="STD28" s="501"/>
      <c r="STE28" s="501"/>
      <c r="STF28" s="501"/>
      <c r="STG28" s="501"/>
      <c r="STH28" s="501"/>
      <c r="STI28" s="501"/>
      <c r="STJ28" s="501"/>
      <c r="STK28" s="501"/>
      <c r="STL28" s="501"/>
      <c r="STM28" s="501"/>
      <c r="STN28" s="501"/>
      <c r="STO28" s="501"/>
      <c r="STP28" s="501"/>
      <c r="STQ28" s="501"/>
      <c r="STR28" s="501"/>
      <c r="STS28" s="501"/>
      <c r="STT28" s="501"/>
      <c r="STU28" s="501"/>
      <c r="STV28" s="501"/>
      <c r="STW28" s="501"/>
      <c r="STX28" s="501"/>
      <c r="STY28" s="501"/>
      <c r="STZ28" s="501"/>
      <c r="SUA28" s="501"/>
      <c r="SUB28" s="501"/>
      <c r="SUC28" s="501"/>
      <c r="SUD28" s="501"/>
      <c r="SUE28" s="501"/>
      <c r="SUF28" s="501"/>
      <c r="SUG28" s="501"/>
      <c r="SUH28" s="501"/>
      <c r="SUI28" s="501"/>
      <c r="SUJ28" s="501"/>
      <c r="SUK28" s="501"/>
      <c r="SUL28" s="501"/>
      <c r="SUM28" s="501"/>
      <c r="SUN28" s="501"/>
      <c r="SUO28" s="501"/>
      <c r="SUP28" s="501"/>
      <c r="SUQ28" s="501"/>
      <c r="SUR28" s="501"/>
      <c r="SUS28" s="501"/>
      <c r="SUT28" s="501"/>
      <c r="SUU28" s="501"/>
      <c r="SUV28" s="501"/>
      <c r="SUW28" s="501"/>
      <c r="SUX28" s="501"/>
      <c r="SUY28" s="501"/>
      <c r="SUZ28" s="501"/>
      <c r="SVA28" s="501"/>
      <c r="SVB28" s="501"/>
      <c r="SVC28" s="501"/>
      <c r="SVD28" s="501"/>
      <c r="SVE28" s="501"/>
      <c r="SVF28" s="501"/>
      <c r="SVG28" s="501"/>
      <c r="SVH28" s="501"/>
      <c r="SVI28" s="501"/>
      <c r="SVJ28" s="501"/>
      <c r="SVK28" s="501"/>
      <c r="SVL28" s="501"/>
      <c r="SVM28" s="501"/>
      <c r="SVN28" s="501"/>
      <c r="SVO28" s="501"/>
      <c r="SVP28" s="501"/>
      <c r="SVQ28" s="501"/>
      <c r="SVR28" s="501"/>
      <c r="SVS28" s="501"/>
      <c r="SVT28" s="501"/>
      <c r="SVU28" s="501"/>
      <c r="SVV28" s="501"/>
      <c r="SVW28" s="501"/>
      <c r="SVX28" s="501"/>
      <c r="SVY28" s="501"/>
      <c r="SVZ28" s="501"/>
      <c r="SWA28" s="501"/>
      <c r="SWB28" s="501"/>
      <c r="SWC28" s="501"/>
      <c r="SWD28" s="501"/>
      <c r="SWE28" s="501"/>
      <c r="SWF28" s="501"/>
      <c r="SWG28" s="501"/>
      <c r="SWH28" s="501"/>
      <c r="SWI28" s="501"/>
      <c r="SWJ28" s="501"/>
      <c r="SWK28" s="501"/>
      <c r="SWL28" s="501"/>
      <c r="SWM28" s="501"/>
      <c r="SWN28" s="501"/>
      <c r="SWO28" s="501"/>
      <c r="SWP28" s="501"/>
      <c r="SWQ28" s="501"/>
      <c r="SWR28" s="501"/>
      <c r="SWS28" s="501"/>
      <c r="SWT28" s="501"/>
      <c r="SWU28" s="501"/>
      <c r="SWV28" s="501"/>
      <c r="SWW28" s="501"/>
      <c r="SWX28" s="501"/>
      <c r="SWY28" s="501"/>
      <c r="SWZ28" s="501"/>
      <c r="SXA28" s="501"/>
      <c r="SXB28" s="501"/>
      <c r="SXC28" s="501"/>
      <c r="SXD28" s="501"/>
      <c r="SXE28" s="501"/>
      <c r="SXF28" s="501"/>
      <c r="SXG28" s="501"/>
      <c r="SXH28" s="501"/>
      <c r="SXI28" s="501"/>
      <c r="SXJ28" s="501"/>
      <c r="SXK28" s="501"/>
      <c r="SXL28" s="501"/>
      <c r="SXM28" s="501"/>
      <c r="SXN28" s="501"/>
      <c r="SXO28" s="501"/>
      <c r="SXP28" s="501"/>
      <c r="SXQ28" s="501"/>
      <c r="SXR28" s="501"/>
      <c r="SXS28" s="501"/>
      <c r="SXT28" s="501"/>
      <c r="SXU28" s="501"/>
      <c r="SXV28" s="501"/>
      <c r="SXW28" s="501"/>
      <c r="SXX28" s="501"/>
      <c r="SXY28" s="501"/>
      <c r="SXZ28" s="501"/>
      <c r="SYA28" s="501"/>
      <c r="SYB28" s="501"/>
      <c r="SYC28" s="501"/>
      <c r="SYD28" s="501"/>
      <c r="SYE28" s="501"/>
      <c r="SYF28" s="501"/>
      <c r="SYG28" s="501"/>
      <c r="SYH28" s="501"/>
      <c r="SYI28" s="501"/>
      <c r="SYJ28" s="501"/>
      <c r="SYK28" s="501"/>
      <c r="SYL28" s="501"/>
      <c r="SYM28" s="501"/>
      <c r="SYN28" s="501"/>
      <c r="SYO28" s="501"/>
      <c r="SYP28" s="501"/>
      <c r="SYQ28" s="501"/>
      <c r="SYR28" s="501"/>
      <c r="SYS28" s="501"/>
      <c r="SYT28" s="501"/>
      <c r="SYU28" s="501"/>
      <c r="SYV28" s="501"/>
      <c r="SYW28" s="501"/>
      <c r="SYX28" s="501"/>
      <c r="SYY28" s="501"/>
      <c r="SYZ28" s="501"/>
      <c r="SZA28" s="501"/>
      <c r="SZB28" s="501"/>
      <c r="SZC28" s="501"/>
      <c r="SZD28" s="501"/>
      <c r="SZE28" s="501"/>
      <c r="SZF28" s="501"/>
      <c r="SZG28" s="501"/>
      <c r="SZH28" s="501"/>
      <c r="SZI28" s="501"/>
      <c r="SZJ28" s="501"/>
      <c r="SZK28" s="501"/>
      <c r="SZL28" s="501"/>
      <c r="SZM28" s="501"/>
      <c r="SZN28" s="501"/>
      <c r="SZO28" s="501"/>
      <c r="SZP28" s="501"/>
      <c r="SZQ28" s="501"/>
      <c r="SZR28" s="501"/>
      <c r="SZS28" s="501"/>
      <c r="SZT28" s="501"/>
      <c r="SZU28" s="501"/>
      <c r="SZV28" s="501"/>
      <c r="SZW28" s="501"/>
      <c r="SZX28" s="501"/>
      <c r="SZY28" s="501"/>
      <c r="SZZ28" s="501"/>
      <c r="TAA28" s="501"/>
      <c r="TAB28" s="501"/>
      <c r="TAC28" s="501"/>
      <c r="TAD28" s="501"/>
      <c r="TAE28" s="501"/>
      <c r="TAF28" s="501"/>
      <c r="TAG28" s="501"/>
      <c r="TAH28" s="501"/>
      <c r="TAI28" s="501"/>
      <c r="TAJ28" s="501"/>
      <c r="TAK28" s="501"/>
      <c r="TAL28" s="501"/>
      <c r="TAM28" s="501"/>
      <c r="TAN28" s="501"/>
      <c r="TAO28" s="501"/>
      <c r="TAP28" s="501"/>
      <c r="TAQ28" s="501"/>
      <c r="TAR28" s="501"/>
      <c r="TAS28" s="501"/>
      <c r="TAT28" s="501"/>
      <c r="TAU28" s="501"/>
      <c r="TAV28" s="501"/>
      <c r="TAW28" s="501"/>
      <c r="TAX28" s="501"/>
      <c r="TAY28" s="501"/>
      <c r="TAZ28" s="501"/>
      <c r="TBA28" s="501"/>
      <c r="TBB28" s="501"/>
      <c r="TBC28" s="501"/>
      <c r="TBD28" s="501"/>
      <c r="TBE28" s="501"/>
      <c r="TBF28" s="501"/>
      <c r="TBG28" s="501"/>
      <c r="TBH28" s="501"/>
      <c r="TBI28" s="501"/>
      <c r="TBJ28" s="501"/>
      <c r="TBK28" s="501"/>
      <c r="TBL28" s="501"/>
      <c r="TBM28" s="501"/>
      <c r="TBN28" s="501"/>
      <c r="TBO28" s="501"/>
      <c r="TBP28" s="501"/>
      <c r="TBQ28" s="501"/>
      <c r="TBR28" s="501"/>
      <c r="TBS28" s="501"/>
      <c r="TBT28" s="501"/>
      <c r="TBU28" s="501"/>
      <c r="TBV28" s="501"/>
      <c r="TBW28" s="501"/>
      <c r="TBX28" s="501"/>
      <c r="TBY28" s="501"/>
      <c r="TBZ28" s="501"/>
      <c r="TCA28" s="501"/>
      <c r="TCB28" s="501"/>
      <c r="TCC28" s="501"/>
      <c r="TCD28" s="501"/>
      <c r="TCE28" s="501"/>
      <c r="TCF28" s="501"/>
      <c r="TCG28" s="501"/>
      <c r="TCH28" s="501"/>
      <c r="TCI28" s="501"/>
      <c r="TCJ28" s="501"/>
      <c r="TCK28" s="501"/>
      <c r="TCL28" s="501"/>
      <c r="TCM28" s="501"/>
      <c r="TCN28" s="501"/>
      <c r="TCO28" s="501"/>
      <c r="TCP28" s="501"/>
      <c r="TCQ28" s="501"/>
      <c r="TCR28" s="501"/>
      <c r="TCS28" s="501"/>
      <c r="TCT28" s="501"/>
      <c r="TCU28" s="501"/>
      <c r="TCV28" s="501"/>
      <c r="TCW28" s="501"/>
      <c r="TCX28" s="501"/>
      <c r="TCY28" s="501"/>
      <c r="TCZ28" s="501"/>
      <c r="TDA28" s="501"/>
      <c r="TDB28" s="501"/>
      <c r="TDC28" s="501"/>
      <c r="TDD28" s="501"/>
      <c r="TDE28" s="501"/>
      <c r="TDF28" s="501"/>
      <c r="TDG28" s="501"/>
      <c r="TDH28" s="501"/>
      <c r="TDI28" s="501"/>
      <c r="TDJ28" s="501"/>
      <c r="TDK28" s="501"/>
      <c r="TDL28" s="501"/>
      <c r="TDM28" s="501"/>
      <c r="TDN28" s="501"/>
      <c r="TDO28" s="501"/>
      <c r="TDP28" s="501"/>
      <c r="TDQ28" s="501"/>
      <c r="TDR28" s="501"/>
      <c r="TDS28" s="501"/>
      <c r="TDT28" s="501"/>
      <c r="TDU28" s="501"/>
      <c r="TDV28" s="501"/>
      <c r="TDW28" s="501"/>
      <c r="TDX28" s="501"/>
      <c r="TDY28" s="501"/>
      <c r="TDZ28" s="501"/>
      <c r="TEA28" s="501"/>
      <c r="TEB28" s="501"/>
      <c r="TEC28" s="501"/>
      <c r="TED28" s="501"/>
      <c r="TEE28" s="501"/>
      <c r="TEF28" s="501"/>
      <c r="TEG28" s="501"/>
      <c r="TEH28" s="501"/>
      <c r="TEI28" s="501"/>
      <c r="TEJ28" s="501"/>
      <c r="TEK28" s="501"/>
      <c r="TEL28" s="501"/>
      <c r="TEM28" s="501"/>
      <c r="TEN28" s="501"/>
      <c r="TEO28" s="501"/>
      <c r="TEP28" s="501"/>
      <c r="TEQ28" s="501"/>
      <c r="TER28" s="501"/>
      <c r="TES28" s="501"/>
      <c r="TET28" s="501"/>
      <c r="TEU28" s="501"/>
      <c r="TEV28" s="501"/>
      <c r="TEW28" s="501"/>
      <c r="TEX28" s="501"/>
      <c r="TEY28" s="501"/>
      <c r="TEZ28" s="501"/>
      <c r="TFA28" s="501"/>
      <c r="TFB28" s="501"/>
      <c r="TFC28" s="501"/>
      <c r="TFD28" s="501"/>
      <c r="TFE28" s="501"/>
      <c r="TFF28" s="501"/>
      <c r="TFG28" s="501"/>
      <c r="TFH28" s="501"/>
      <c r="TFI28" s="501"/>
      <c r="TFJ28" s="501"/>
      <c r="TFK28" s="501"/>
      <c r="TFL28" s="501"/>
      <c r="TFM28" s="501"/>
      <c r="TFN28" s="501"/>
      <c r="TFO28" s="501"/>
      <c r="TFP28" s="501"/>
      <c r="TFQ28" s="501"/>
      <c r="TFR28" s="501"/>
      <c r="TFS28" s="501"/>
      <c r="TFT28" s="501"/>
      <c r="TFU28" s="501"/>
      <c r="TFV28" s="501"/>
      <c r="TFW28" s="501"/>
      <c r="TFX28" s="501"/>
      <c r="TFY28" s="501"/>
      <c r="TFZ28" s="501"/>
      <c r="TGA28" s="501"/>
      <c r="TGB28" s="501"/>
      <c r="TGC28" s="501"/>
      <c r="TGD28" s="501"/>
      <c r="TGE28" s="501"/>
      <c r="TGF28" s="501"/>
      <c r="TGG28" s="501"/>
      <c r="TGH28" s="501"/>
      <c r="TGI28" s="501"/>
      <c r="TGJ28" s="501"/>
      <c r="TGK28" s="501"/>
      <c r="TGL28" s="501"/>
      <c r="TGM28" s="501"/>
      <c r="TGN28" s="501"/>
      <c r="TGO28" s="501"/>
      <c r="TGP28" s="501"/>
      <c r="TGQ28" s="501"/>
      <c r="TGR28" s="501"/>
      <c r="TGS28" s="501"/>
      <c r="TGT28" s="501"/>
      <c r="TGU28" s="501"/>
      <c r="TGV28" s="501"/>
      <c r="TGW28" s="501"/>
      <c r="TGX28" s="501"/>
      <c r="TGY28" s="501"/>
      <c r="TGZ28" s="501"/>
      <c r="THA28" s="501"/>
      <c r="THB28" s="501"/>
      <c r="THC28" s="501"/>
      <c r="THD28" s="501"/>
      <c r="THE28" s="501"/>
      <c r="THF28" s="501"/>
      <c r="THG28" s="501"/>
      <c r="THH28" s="501"/>
      <c r="THI28" s="501"/>
      <c r="THJ28" s="501"/>
      <c r="THK28" s="501"/>
      <c r="THL28" s="501"/>
      <c r="THM28" s="501"/>
      <c r="THN28" s="501"/>
      <c r="THO28" s="501"/>
      <c r="THP28" s="501"/>
      <c r="THQ28" s="501"/>
      <c r="THR28" s="501"/>
      <c r="THS28" s="501"/>
      <c r="THT28" s="501"/>
      <c r="THU28" s="501"/>
      <c r="THV28" s="501"/>
      <c r="THW28" s="501"/>
      <c r="THX28" s="501"/>
      <c r="THY28" s="501"/>
      <c r="THZ28" s="501"/>
      <c r="TIA28" s="501"/>
      <c r="TIB28" s="501"/>
      <c r="TIC28" s="501"/>
      <c r="TID28" s="501"/>
      <c r="TIE28" s="501"/>
      <c r="TIF28" s="501"/>
      <c r="TIG28" s="501"/>
      <c r="TIH28" s="501"/>
      <c r="TII28" s="501"/>
      <c r="TIJ28" s="501"/>
      <c r="TIK28" s="501"/>
      <c r="TIL28" s="501"/>
      <c r="TIM28" s="501"/>
      <c r="TIN28" s="501"/>
      <c r="TIO28" s="501"/>
      <c r="TIP28" s="501"/>
      <c r="TIQ28" s="501"/>
      <c r="TIR28" s="501"/>
      <c r="TIS28" s="501"/>
      <c r="TIT28" s="501"/>
      <c r="TIU28" s="501"/>
      <c r="TIV28" s="501"/>
      <c r="TIW28" s="501"/>
      <c r="TIX28" s="501"/>
      <c r="TIY28" s="501"/>
      <c r="TIZ28" s="501"/>
      <c r="TJA28" s="501"/>
      <c r="TJB28" s="501"/>
      <c r="TJC28" s="501"/>
      <c r="TJD28" s="501"/>
      <c r="TJE28" s="501"/>
      <c r="TJF28" s="501"/>
      <c r="TJG28" s="501"/>
      <c r="TJH28" s="501"/>
      <c r="TJI28" s="501"/>
      <c r="TJJ28" s="501"/>
      <c r="TJK28" s="501"/>
      <c r="TJL28" s="501"/>
      <c r="TJM28" s="501"/>
      <c r="TJN28" s="501"/>
      <c r="TJO28" s="501"/>
      <c r="TJP28" s="501"/>
      <c r="TJQ28" s="501"/>
      <c r="TJR28" s="501"/>
      <c r="TJS28" s="501"/>
      <c r="TJT28" s="501"/>
      <c r="TJU28" s="501"/>
      <c r="TJV28" s="501"/>
      <c r="TJW28" s="501"/>
      <c r="TJX28" s="501"/>
      <c r="TJY28" s="501"/>
      <c r="TJZ28" s="501"/>
      <c r="TKA28" s="501"/>
      <c r="TKB28" s="501"/>
      <c r="TKC28" s="501"/>
      <c r="TKD28" s="501"/>
      <c r="TKE28" s="501"/>
      <c r="TKF28" s="501"/>
      <c r="TKG28" s="501"/>
      <c r="TKH28" s="501"/>
      <c r="TKI28" s="501"/>
      <c r="TKJ28" s="501"/>
      <c r="TKK28" s="501"/>
      <c r="TKL28" s="501"/>
      <c r="TKM28" s="501"/>
      <c r="TKN28" s="501"/>
      <c r="TKO28" s="501"/>
      <c r="TKP28" s="501"/>
      <c r="TKQ28" s="501"/>
      <c r="TKR28" s="501"/>
      <c r="TKS28" s="501"/>
      <c r="TKT28" s="501"/>
      <c r="TKU28" s="501"/>
      <c r="TKV28" s="501"/>
      <c r="TKW28" s="501"/>
      <c r="TKX28" s="501"/>
      <c r="TKY28" s="501"/>
      <c r="TKZ28" s="501"/>
      <c r="TLA28" s="501"/>
      <c r="TLB28" s="501"/>
      <c r="TLC28" s="501"/>
      <c r="TLD28" s="501"/>
      <c r="TLE28" s="501"/>
      <c r="TLF28" s="501"/>
      <c r="TLG28" s="501"/>
      <c r="TLH28" s="501"/>
      <c r="TLI28" s="501"/>
      <c r="TLJ28" s="501"/>
      <c r="TLK28" s="501"/>
      <c r="TLL28" s="501"/>
      <c r="TLM28" s="501"/>
      <c r="TLN28" s="501"/>
      <c r="TLO28" s="501"/>
      <c r="TLP28" s="501"/>
      <c r="TLQ28" s="501"/>
      <c r="TLR28" s="501"/>
      <c r="TLS28" s="501"/>
      <c r="TLT28" s="501"/>
      <c r="TLU28" s="501"/>
      <c r="TLV28" s="501"/>
      <c r="TLW28" s="501"/>
      <c r="TLX28" s="501"/>
      <c r="TLY28" s="501"/>
      <c r="TLZ28" s="501"/>
      <c r="TMA28" s="501"/>
      <c r="TMB28" s="501"/>
      <c r="TMC28" s="501"/>
      <c r="TMD28" s="501"/>
      <c r="TME28" s="501"/>
      <c r="TMF28" s="501"/>
      <c r="TMG28" s="501"/>
      <c r="TMH28" s="501"/>
      <c r="TMI28" s="501"/>
      <c r="TMJ28" s="501"/>
      <c r="TMK28" s="501"/>
      <c r="TML28" s="501"/>
      <c r="TMM28" s="501"/>
      <c r="TMN28" s="501"/>
      <c r="TMO28" s="501"/>
      <c r="TMP28" s="501"/>
      <c r="TMQ28" s="501"/>
      <c r="TMR28" s="501"/>
      <c r="TMS28" s="501"/>
      <c r="TMT28" s="501"/>
      <c r="TMU28" s="501"/>
      <c r="TMV28" s="501"/>
      <c r="TMW28" s="501"/>
      <c r="TMX28" s="501"/>
      <c r="TMY28" s="501"/>
      <c r="TMZ28" s="501"/>
      <c r="TNA28" s="501"/>
      <c r="TNB28" s="501"/>
      <c r="TNC28" s="501"/>
      <c r="TND28" s="501"/>
      <c r="TNE28" s="501"/>
      <c r="TNF28" s="501"/>
      <c r="TNG28" s="501"/>
      <c r="TNH28" s="501"/>
      <c r="TNI28" s="501"/>
      <c r="TNJ28" s="501"/>
      <c r="TNK28" s="501"/>
      <c r="TNL28" s="501"/>
      <c r="TNM28" s="501"/>
      <c r="TNN28" s="501"/>
      <c r="TNO28" s="501"/>
      <c r="TNP28" s="501"/>
      <c r="TNQ28" s="501"/>
      <c r="TNR28" s="501"/>
      <c r="TNS28" s="501"/>
      <c r="TNT28" s="501"/>
      <c r="TNU28" s="501"/>
      <c r="TNV28" s="501"/>
      <c r="TNW28" s="501"/>
      <c r="TNX28" s="501"/>
      <c r="TNY28" s="501"/>
      <c r="TNZ28" s="501"/>
      <c r="TOA28" s="501"/>
      <c r="TOB28" s="501"/>
      <c r="TOC28" s="501"/>
      <c r="TOD28" s="501"/>
      <c r="TOE28" s="501"/>
      <c r="TOF28" s="501"/>
      <c r="TOG28" s="501"/>
      <c r="TOH28" s="501"/>
      <c r="TOI28" s="501"/>
      <c r="TOJ28" s="501"/>
      <c r="TOK28" s="501"/>
      <c r="TOL28" s="501"/>
      <c r="TOM28" s="501"/>
      <c r="TON28" s="501"/>
      <c r="TOO28" s="501"/>
      <c r="TOP28" s="501"/>
      <c r="TOQ28" s="501"/>
      <c r="TOR28" s="501"/>
      <c r="TOS28" s="501"/>
      <c r="TOT28" s="501"/>
      <c r="TOU28" s="501"/>
      <c r="TOV28" s="501"/>
      <c r="TOW28" s="501"/>
      <c r="TOX28" s="501"/>
      <c r="TOY28" s="501"/>
      <c r="TOZ28" s="501"/>
      <c r="TPA28" s="501"/>
      <c r="TPB28" s="501"/>
      <c r="TPC28" s="501"/>
      <c r="TPD28" s="501"/>
      <c r="TPE28" s="501"/>
      <c r="TPF28" s="501"/>
      <c r="TPG28" s="501"/>
      <c r="TPH28" s="501"/>
      <c r="TPI28" s="501"/>
      <c r="TPJ28" s="501"/>
      <c r="TPK28" s="501"/>
      <c r="TPL28" s="501"/>
      <c r="TPM28" s="501"/>
      <c r="TPN28" s="501"/>
      <c r="TPO28" s="501"/>
      <c r="TPP28" s="501"/>
      <c r="TPQ28" s="501"/>
      <c r="TPR28" s="501"/>
      <c r="TPS28" s="501"/>
      <c r="TPT28" s="501"/>
      <c r="TPU28" s="501"/>
      <c r="TPV28" s="501"/>
      <c r="TPW28" s="501"/>
      <c r="TPX28" s="501"/>
      <c r="TPY28" s="501"/>
      <c r="TPZ28" s="501"/>
      <c r="TQA28" s="501"/>
      <c r="TQB28" s="501"/>
      <c r="TQC28" s="501"/>
      <c r="TQD28" s="501"/>
      <c r="TQE28" s="501"/>
      <c r="TQF28" s="501"/>
      <c r="TQG28" s="501"/>
      <c r="TQH28" s="501"/>
      <c r="TQI28" s="501"/>
      <c r="TQJ28" s="501"/>
      <c r="TQK28" s="501"/>
      <c r="TQL28" s="501"/>
      <c r="TQM28" s="501"/>
      <c r="TQN28" s="501"/>
      <c r="TQO28" s="501"/>
      <c r="TQP28" s="501"/>
      <c r="TQQ28" s="501"/>
      <c r="TQR28" s="501"/>
      <c r="TQS28" s="501"/>
      <c r="TQT28" s="501"/>
      <c r="TQU28" s="501"/>
      <c r="TQV28" s="501"/>
      <c r="TQW28" s="501"/>
      <c r="TQX28" s="501"/>
      <c r="TQY28" s="501"/>
      <c r="TQZ28" s="501"/>
      <c r="TRA28" s="501"/>
      <c r="TRB28" s="501"/>
      <c r="TRC28" s="501"/>
      <c r="TRD28" s="501"/>
      <c r="TRE28" s="501"/>
      <c r="TRF28" s="501"/>
      <c r="TRG28" s="501"/>
      <c r="TRH28" s="501"/>
      <c r="TRI28" s="501"/>
      <c r="TRJ28" s="501"/>
      <c r="TRK28" s="501"/>
      <c r="TRL28" s="501"/>
      <c r="TRM28" s="501"/>
      <c r="TRN28" s="501"/>
      <c r="TRO28" s="501"/>
      <c r="TRP28" s="501"/>
      <c r="TRQ28" s="501"/>
      <c r="TRR28" s="501"/>
      <c r="TRS28" s="501"/>
      <c r="TRT28" s="501"/>
      <c r="TRU28" s="501"/>
      <c r="TRV28" s="501"/>
      <c r="TRW28" s="501"/>
      <c r="TRX28" s="501"/>
      <c r="TRY28" s="501"/>
      <c r="TRZ28" s="501"/>
      <c r="TSA28" s="501"/>
      <c r="TSB28" s="501"/>
      <c r="TSC28" s="501"/>
      <c r="TSD28" s="501"/>
      <c r="TSE28" s="501"/>
      <c r="TSF28" s="501"/>
      <c r="TSG28" s="501"/>
      <c r="TSH28" s="501"/>
      <c r="TSI28" s="501"/>
      <c r="TSJ28" s="501"/>
      <c r="TSK28" s="501"/>
      <c r="TSL28" s="501"/>
      <c r="TSM28" s="501"/>
      <c r="TSN28" s="501"/>
      <c r="TSO28" s="501"/>
      <c r="TSP28" s="501"/>
      <c r="TSQ28" s="501"/>
      <c r="TSR28" s="501"/>
      <c r="TSS28" s="501"/>
      <c r="TST28" s="501"/>
      <c r="TSU28" s="501"/>
      <c r="TSV28" s="501"/>
      <c r="TSW28" s="501"/>
      <c r="TSX28" s="501"/>
      <c r="TSY28" s="501"/>
      <c r="TSZ28" s="501"/>
      <c r="TTA28" s="501"/>
      <c r="TTB28" s="501"/>
      <c r="TTC28" s="501"/>
      <c r="TTD28" s="501"/>
      <c r="TTE28" s="501"/>
      <c r="TTF28" s="501"/>
      <c r="TTG28" s="501"/>
      <c r="TTH28" s="501"/>
      <c r="TTI28" s="501"/>
      <c r="TTJ28" s="501"/>
      <c r="TTK28" s="501"/>
      <c r="TTL28" s="501"/>
      <c r="TTM28" s="501"/>
      <c r="TTN28" s="501"/>
      <c r="TTO28" s="501"/>
      <c r="TTP28" s="501"/>
      <c r="TTQ28" s="501"/>
      <c r="TTR28" s="501"/>
      <c r="TTS28" s="501"/>
      <c r="TTT28" s="501"/>
      <c r="TTU28" s="501"/>
      <c r="TTV28" s="501"/>
      <c r="TTW28" s="501"/>
      <c r="TTX28" s="501"/>
      <c r="TTY28" s="501"/>
      <c r="TTZ28" s="501"/>
      <c r="TUA28" s="501"/>
      <c r="TUB28" s="501"/>
      <c r="TUC28" s="501"/>
      <c r="TUD28" s="501"/>
      <c r="TUE28" s="501"/>
      <c r="TUF28" s="501"/>
      <c r="TUG28" s="501"/>
      <c r="TUH28" s="501"/>
      <c r="TUI28" s="501"/>
      <c r="TUJ28" s="501"/>
      <c r="TUK28" s="501"/>
      <c r="TUL28" s="501"/>
      <c r="TUM28" s="501"/>
      <c r="TUN28" s="501"/>
      <c r="TUO28" s="501"/>
      <c r="TUP28" s="501"/>
      <c r="TUQ28" s="501"/>
      <c r="TUR28" s="501"/>
      <c r="TUS28" s="501"/>
      <c r="TUT28" s="501"/>
      <c r="TUU28" s="501"/>
      <c r="TUV28" s="501"/>
      <c r="TUW28" s="501"/>
      <c r="TUX28" s="501"/>
      <c r="TUY28" s="501"/>
      <c r="TUZ28" s="501"/>
      <c r="TVA28" s="501"/>
      <c r="TVB28" s="501"/>
      <c r="TVC28" s="501"/>
      <c r="TVD28" s="501"/>
      <c r="TVE28" s="501"/>
      <c r="TVF28" s="501"/>
      <c r="TVG28" s="501"/>
      <c r="TVH28" s="501"/>
      <c r="TVI28" s="501"/>
      <c r="TVJ28" s="501"/>
      <c r="TVK28" s="501"/>
      <c r="TVL28" s="501"/>
      <c r="TVM28" s="501"/>
      <c r="TVN28" s="501"/>
      <c r="TVO28" s="501"/>
      <c r="TVP28" s="501"/>
      <c r="TVQ28" s="501"/>
      <c r="TVR28" s="501"/>
      <c r="TVS28" s="501"/>
      <c r="TVT28" s="501"/>
      <c r="TVU28" s="501"/>
      <c r="TVV28" s="501"/>
      <c r="TVW28" s="501"/>
      <c r="TVX28" s="501"/>
      <c r="TVY28" s="501"/>
      <c r="TVZ28" s="501"/>
      <c r="TWA28" s="501"/>
      <c r="TWB28" s="501"/>
      <c r="TWC28" s="501"/>
      <c r="TWD28" s="501"/>
      <c r="TWE28" s="501"/>
      <c r="TWF28" s="501"/>
      <c r="TWG28" s="501"/>
      <c r="TWH28" s="501"/>
      <c r="TWI28" s="501"/>
      <c r="TWJ28" s="501"/>
      <c r="TWK28" s="501"/>
      <c r="TWL28" s="501"/>
      <c r="TWM28" s="501"/>
      <c r="TWN28" s="501"/>
      <c r="TWO28" s="501"/>
      <c r="TWP28" s="501"/>
      <c r="TWQ28" s="501"/>
      <c r="TWR28" s="501"/>
      <c r="TWS28" s="501"/>
      <c r="TWT28" s="501"/>
      <c r="TWU28" s="501"/>
      <c r="TWV28" s="501"/>
      <c r="TWW28" s="501"/>
      <c r="TWX28" s="501"/>
      <c r="TWY28" s="501"/>
      <c r="TWZ28" s="501"/>
      <c r="TXA28" s="501"/>
      <c r="TXB28" s="501"/>
      <c r="TXC28" s="501"/>
      <c r="TXD28" s="501"/>
      <c r="TXE28" s="501"/>
      <c r="TXF28" s="501"/>
      <c r="TXG28" s="501"/>
      <c r="TXH28" s="501"/>
      <c r="TXI28" s="501"/>
      <c r="TXJ28" s="501"/>
      <c r="TXK28" s="501"/>
      <c r="TXL28" s="501"/>
      <c r="TXM28" s="501"/>
      <c r="TXN28" s="501"/>
      <c r="TXO28" s="501"/>
      <c r="TXP28" s="501"/>
      <c r="TXQ28" s="501"/>
      <c r="TXR28" s="501"/>
      <c r="TXS28" s="501"/>
      <c r="TXT28" s="501"/>
      <c r="TXU28" s="501"/>
      <c r="TXV28" s="501"/>
      <c r="TXW28" s="501"/>
      <c r="TXX28" s="501"/>
      <c r="TXY28" s="501"/>
      <c r="TXZ28" s="501"/>
      <c r="TYA28" s="501"/>
      <c r="TYB28" s="501"/>
      <c r="TYC28" s="501"/>
      <c r="TYD28" s="501"/>
      <c r="TYE28" s="501"/>
      <c r="TYF28" s="501"/>
      <c r="TYG28" s="501"/>
      <c r="TYH28" s="501"/>
      <c r="TYI28" s="501"/>
      <c r="TYJ28" s="501"/>
      <c r="TYK28" s="501"/>
      <c r="TYL28" s="501"/>
      <c r="TYM28" s="501"/>
      <c r="TYN28" s="501"/>
      <c r="TYO28" s="501"/>
      <c r="TYP28" s="501"/>
      <c r="TYQ28" s="501"/>
      <c r="TYR28" s="501"/>
      <c r="TYS28" s="501"/>
      <c r="TYT28" s="501"/>
      <c r="TYU28" s="501"/>
      <c r="TYV28" s="501"/>
      <c r="TYW28" s="501"/>
      <c r="TYX28" s="501"/>
      <c r="TYY28" s="501"/>
      <c r="TYZ28" s="501"/>
      <c r="TZA28" s="501"/>
      <c r="TZB28" s="501"/>
      <c r="TZC28" s="501"/>
      <c r="TZD28" s="501"/>
      <c r="TZE28" s="501"/>
      <c r="TZF28" s="501"/>
      <c r="TZG28" s="501"/>
      <c r="TZH28" s="501"/>
      <c r="TZI28" s="501"/>
      <c r="TZJ28" s="501"/>
      <c r="TZK28" s="501"/>
      <c r="TZL28" s="501"/>
      <c r="TZM28" s="501"/>
      <c r="TZN28" s="501"/>
      <c r="TZO28" s="501"/>
      <c r="TZP28" s="501"/>
      <c r="TZQ28" s="501"/>
      <c r="TZR28" s="501"/>
      <c r="TZS28" s="501"/>
      <c r="TZT28" s="501"/>
      <c r="TZU28" s="501"/>
      <c r="TZV28" s="501"/>
      <c r="TZW28" s="501"/>
      <c r="TZX28" s="501"/>
      <c r="TZY28" s="501"/>
      <c r="TZZ28" s="501"/>
      <c r="UAA28" s="501"/>
      <c r="UAB28" s="501"/>
      <c r="UAC28" s="501"/>
      <c r="UAD28" s="501"/>
      <c r="UAE28" s="501"/>
      <c r="UAF28" s="501"/>
      <c r="UAG28" s="501"/>
      <c r="UAH28" s="501"/>
      <c r="UAI28" s="501"/>
      <c r="UAJ28" s="501"/>
      <c r="UAK28" s="501"/>
      <c r="UAL28" s="501"/>
      <c r="UAM28" s="501"/>
      <c r="UAN28" s="501"/>
      <c r="UAO28" s="501"/>
      <c r="UAP28" s="501"/>
      <c r="UAQ28" s="501"/>
      <c r="UAR28" s="501"/>
      <c r="UAS28" s="501"/>
      <c r="UAT28" s="501"/>
      <c r="UAU28" s="501"/>
      <c r="UAV28" s="501"/>
      <c r="UAW28" s="501"/>
      <c r="UAX28" s="501"/>
      <c r="UAY28" s="501"/>
      <c r="UAZ28" s="501"/>
      <c r="UBA28" s="501"/>
      <c r="UBB28" s="501"/>
      <c r="UBC28" s="501"/>
      <c r="UBD28" s="501"/>
      <c r="UBE28" s="501"/>
      <c r="UBF28" s="501"/>
      <c r="UBG28" s="501"/>
      <c r="UBH28" s="501"/>
      <c r="UBI28" s="501"/>
      <c r="UBJ28" s="501"/>
      <c r="UBK28" s="501"/>
      <c r="UBL28" s="501"/>
      <c r="UBM28" s="501"/>
      <c r="UBN28" s="501"/>
      <c r="UBO28" s="501"/>
      <c r="UBP28" s="501"/>
      <c r="UBQ28" s="501"/>
      <c r="UBR28" s="501"/>
      <c r="UBS28" s="501"/>
      <c r="UBT28" s="501"/>
      <c r="UBU28" s="501"/>
      <c r="UBV28" s="501"/>
      <c r="UBW28" s="501"/>
      <c r="UBX28" s="501"/>
      <c r="UBY28" s="501"/>
      <c r="UBZ28" s="501"/>
      <c r="UCA28" s="501"/>
      <c r="UCB28" s="501"/>
      <c r="UCC28" s="501"/>
      <c r="UCD28" s="501"/>
      <c r="UCE28" s="501"/>
      <c r="UCF28" s="501"/>
      <c r="UCG28" s="501"/>
      <c r="UCH28" s="501"/>
      <c r="UCI28" s="501"/>
      <c r="UCJ28" s="501"/>
      <c r="UCK28" s="501"/>
      <c r="UCL28" s="501"/>
      <c r="UCM28" s="501"/>
      <c r="UCN28" s="501"/>
      <c r="UCO28" s="501"/>
      <c r="UCP28" s="501"/>
      <c r="UCQ28" s="501"/>
      <c r="UCR28" s="501"/>
      <c r="UCS28" s="501"/>
      <c r="UCT28" s="501"/>
      <c r="UCU28" s="501"/>
      <c r="UCV28" s="501"/>
      <c r="UCW28" s="501"/>
      <c r="UCX28" s="501"/>
      <c r="UCY28" s="501"/>
      <c r="UCZ28" s="501"/>
      <c r="UDA28" s="501"/>
      <c r="UDB28" s="501"/>
      <c r="UDC28" s="501"/>
      <c r="UDD28" s="501"/>
      <c r="UDE28" s="501"/>
      <c r="UDF28" s="501"/>
      <c r="UDG28" s="501"/>
      <c r="UDH28" s="501"/>
      <c r="UDI28" s="501"/>
      <c r="UDJ28" s="501"/>
      <c r="UDK28" s="501"/>
      <c r="UDL28" s="501"/>
      <c r="UDM28" s="501"/>
      <c r="UDN28" s="501"/>
      <c r="UDO28" s="501"/>
      <c r="UDP28" s="501"/>
      <c r="UDQ28" s="501"/>
      <c r="UDR28" s="501"/>
      <c r="UDS28" s="501"/>
      <c r="UDT28" s="501"/>
      <c r="UDU28" s="501"/>
      <c r="UDV28" s="501"/>
      <c r="UDW28" s="501"/>
      <c r="UDX28" s="501"/>
      <c r="UDY28" s="501"/>
      <c r="UDZ28" s="501"/>
      <c r="UEA28" s="501"/>
      <c r="UEB28" s="501"/>
      <c r="UEC28" s="501"/>
      <c r="UED28" s="501"/>
      <c r="UEE28" s="501"/>
      <c r="UEF28" s="501"/>
      <c r="UEG28" s="501"/>
      <c r="UEH28" s="501"/>
      <c r="UEI28" s="501"/>
      <c r="UEJ28" s="501"/>
      <c r="UEK28" s="501"/>
      <c r="UEL28" s="501"/>
      <c r="UEM28" s="501"/>
      <c r="UEN28" s="501"/>
      <c r="UEO28" s="501"/>
      <c r="UEP28" s="501"/>
      <c r="UEQ28" s="501"/>
      <c r="UER28" s="501"/>
      <c r="UES28" s="501"/>
      <c r="UET28" s="501"/>
      <c r="UEU28" s="501"/>
      <c r="UEV28" s="501"/>
      <c r="UEW28" s="501"/>
      <c r="UEX28" s="501"/>
      <c r="UEY28" s="501"/>
      <c r="UEZ28" s="501"/>
      <c r="UFA28" s="501"/>
      <c r="UFB28" s="501"/>
      <c r="UFC28" s="501"/>
      <c r="UFD28" s="501"/>
      <c r="UFE28" s="501"/>
      <c r="UFF28" s="501"/>
      <c r="UFG28" s="501"/>
      <c r="UFH28" s="501"/>
      <c r="UFI28" s="501"/>
      <c r="UFJ28" s="501"/>
      <c r="UFK28" s="501"/>
      <c r="UFL28" s="501"/>
      <c r="UFM28" s="501"/>
      <c r="UFN28" s="501"/>
      <c r="UFO28" s="501"/>
      <c r="UFP28" s="501"/>
      <c r="UFQ28" s="501"/>
      <c r="UFR28" s="501"/>
      <c r="UFS28" s="501"/>
      <c r="UFT28" s="501"/>
      <c r="UFU28" s="501"/>
      <c r="UFV28" s="501"/>
      <c r="UFW28" s="501"/>
      <c r="UFX28" s="501"/>
      <c r="UFY28" s="501"/>
      <c r="UFZ28" s="501"/>
      <c r="UGA28" s="501"/>
      <c r="UGB28" s="501"/>
      <c r="UGC28" s="501"/>
      <c r="UGD28" s="501"/>
      <c r="UGE28" s="501"/>
      <c r="UGF28" s="501"/>
      <c r="UGG28" s="501"/>
      <c r="UGH28" s="501"/>
      <c r="UGI28" s="501"/>
      <c r="UGJ28" s="501"/>
      <c r="UGK28" s="501"/>
      <c r="UGL28" s="501"/>
      <c r="UGM28" s="501"/>
      <c r="UGN28" s="501"/>
      <c r="UGO28" s="501"/>
      <c r="UGP28" s="501"/>
      <c r="UGQ28" s="501"/>
      <c r="UGR28" s="501"/>
      <c r="UGS28" s="501"/>
      <c r="UGT28" s="501"/>
      <c r="UGU28" s="501"/>
      <c r="UGV28" s="501"/>
      <c r="UGW28" s="501"/>
      <c r="UGX28" s="501"/>
      <c r="UGY28" s="501"/>
      <c r="UGZ28" s="501"/>
      <c r="UHA28" s="501"/>
      <c r="UHB28" s="501"/>
      <c r="UHC28" s="501"/>
      <c r="UHD28" s="501"/>
      <c r="UHE28" s="501"/>
      <c r="UHF28" s="501"/>
      <c r="UHG28" s="501"/>
      <c r="UHH28" s="501"/>
      <c r="UHI28" s="501"/>
      <c r="UHJ28" s="501"/>
      <c r="UHK28" s="501"/>
      <c r="UHL28" s="501"/>
      <c r="UHM28" s="501"/>
      <c r="UHN28" s="501"/>
      <c r="UHO28" s="501"/>
      <c r="UHP28" s="501"/>
      <c r="UHQ28" s="501"/>
      <c r="UHR28" s="501"/>
      <c r="UHS28" s="501"/>
      <c r="UHT28" s="501"/>
      <c r="UHU28" s="501"/>
      <c r="UHV28" s="501"/>
      <c r="UHW28" s="501"/>
      <c r="UHX28" s="501"/>
      <c r="UHY28" s="501"/>
      <c r="UHZ28" s="501"/>
      <c r="UIA28" s="501"/>
      <c r="UIB28" s="501"/>
      <c r="UIC28" s="501"/>
      <c r="UID28" s="501"/>
      <c r="UIE28" s="501"/>
      <c r="UIF28" s="501"/>
      <c r="UIG28" s="501"/>
      <c r="UIH28" s="501"/>
      <c r="UII28" s="501"/>
      <c r="UIJ28" s="501"/>
      <c r="UIK28" s="501"/>
      <c r="UIL28" s="501"/>
      <c r="UIM28" s="501"/>
      <c r="UIN28" s="501"/>
      <c r="UIO28" s="501"/>
      <c r="UIP28" s="501"/>
      <c r="UIQ28" s="501"/>
      <c r="UIR28" s="501"/>
      <c r="UIS28" s="501"/>
      <c r="UIT28" s="501"/>
      <c r="UIU28" s="501"/>
      <c r="UIV28" s="501"/>
      <c r="UIW28" s="501"/>
      <c r="UIX28" s="501"/>
      <c r="UIY28" s="501"/>
      <c r="UIZ28" s="501"/>
      <c r="UJA28" s="501"/>
      <c r="UJB28" s="501"/>
      <c r="UJC28" s="501"/>
      <c r="UJD28" s="501"/>
      <c r="UJE28" s="501"/>
      <c r="UJF28" s="501"/>
      <c r="UJG28" s="501"/>
      <c r="UJH28" s="501"/>
      <c r="UJI28" s="501"/>
      <c r="UJJ28" s="501"/>
      <c r="UJK28" s="501"/>
      <c r="UJL28" s="501"/>
      <c r="UJM28" s="501"/>
      <c r="UJN28" s="501"/>
      <c r="UJO28" s="501"/>
      <c r="UJP28" s="501"/>
      <c r="UJQ28" s="501"/>
      <c r="UJR28" s="501"/>
      <c r="UJS28" s="501"/>
      <c r="UJT28" s="501"/>
      <c r="UJU28" s="501"/>
      <c r="UJV28" s="501"/>
      <c r="UJW28" s="501"/>
      <c r="UJX28" s="501"/>
      <c r="UJY28" s="501"/>
      <c r="UJZ28" s="501"/>
      <c r="UKA28" s="501"/>
      <c r="UKB28" s="501"/>
      <c r="UKC28" s="501"/>
      <c r="UKD28" s="501"/>
      <c r="UKE28" s="501"/>
      <c r="UKF28" s="501"/>
      <c r="UKG28" s="501"/>
      <c r="UKH28" s="501"/>
      <c r="UKI28" s="501"/>
      <c r="UKJ28" s="501"/>
      <c r="UKK28" s="501"/>
      <c r="UKL28" s="501"/>
      <c r="UKM28" s="501"/>
      <c r="UKN28" s="501"/>
      <c r="UKO28" s="501"/>
      <c r="UKP28" s="501"/>
      <c r="UKQ28" s="501"/>
      <c r="UKR28" s="501"/>
      <c r="UKS28" s="501"/>
      <c r="UKT28" s="501"/>
      <c r="UKU28" s="501"/>
      <c r="UKV28" s="501"/>
      <c r="UKW28" s="501"/>
      <c r="UKX28" s="501"/>
      <c r="UKY28" s="501"/>
      <c r="UKZ28" s="501"/>
      <c r="ULA28" s="501"/>
      <c r="ULB28" s="501"/>
      <c r="ULC28" s="501"/>
      <c r="ULD28" s="501"/>
      <c r="ULE28" s="501"/>
      <c r="ULF28" s="501"/>
      <c r="ULG28" s="501"/>
      <c r="ULH28" s="501"/>
      <c r="ULI28" s="501"/>
      <c r="ULJ28" s="501"/>
      <c r="ULK28" s="501"/>
      <c r="ULL28" s="501"/>
      <c r="ULM28" s="501"/>
      <c r="ULN28" s="501"/>
      <c r="ULO28" s="501"/>
      <c r="ULP28" s="501"/>
      <c r="ULQ28" s="501"/>
      <c r="ULR28" s="501"/>
      <c r="ULS28" s="501"/>
      <c r="ULT28" s="501"/>
      <c r="ULU28" s="501"/>
      <c r="ULV28" s="501"/>
      <c r="ULW28" s="501"/>
      <c r="ULX28" s="501"/>
      <c r="ULY28" s="501"/>
      <c r="ULZ28" s="501"/>
      <c r="UMA28" s="501"/>
      <c r="UMB28" s="501"/>
      <c r="UMC28" s="501"/>
      <c r="UMD28" s="501"/>
      <c r="UME28" s="501"/>
      <c r="UMF28" s="501"/>
      <c r="UMG28" s="501"/>
      <c r="UMH28" s="501"/>
      <c r="UMI28" s="501"/>
      <c r="UMJ28" s="501"/>
      <c r="UMK28" s="501"/>
      <c r="UML28" s="501"/>
      <c r="UMM28" s="501"/>
      <c r="UMN28" s="501"/>
      <c r="UMO28" s="501"/>
      <c r="UMP28" s="501"/>
      <c r="UMQ28" s="501"/>
      <c r="UMR28" s="501"/>
      <c r="UMS28" s="501"/>
      <c r="UMT28" s="501"/>
      <c r="UMU28" s="501"/>
      <c r="UMV28" s="501"/>
      <c r="UMW28" s="501"/>
      <c r="UMX28" s="501"/>
      <c r="UMY28" s="501"/>
      <c r="UMZ28" s="501"/>
      <c r="UNA28" s="501"/>
      <c r="UNB28" s="501"/>
      <c r="UNC28" s="501"/>
      <c r="UND28" s="501"/>
      <c r="UNE28" s="501"/>
      <c r="UNF28" s="501"/>
      <c r="UNG28" s="501"/>
      <c r="UNH28" s="501"/>
      <c r="UNI28" s="501"/>
      <c r="UNJ28" s="501"/>
      <c r="UNK28" s="501"/>
      <c r="UNL28" s="501"/>
      <c r="UNM28" s="501"/>
      <c r="UNN28" s="501"/>
      <c r="UNO28" s="501"/>
      <c r="UNP28" s="501"/>
      <c r="UNQ28" s="501"/>
      <c r="UNR28" s="501"/>
      <c r="UNS28" s="501"/>
      <c r="UNT28" s="501"/>
      <c r="UNU28" s="501"/>
      <c r="UNV28" s="501"/>
      <c r="UNW28" s="501"/>
      <c r="UNX28" s="501"/>
      <c r="UNY28" s="501"/>
      <c r="UNZ28" s="501"/>
      <c r="UOA28" s="501"/>
      <c r="UOB28" s="501"/>
      <c r="UOC28" s="501"/>
      <c r="UOD28" s="501"/>
      <c r="UOE28" s="501"/>
      <c r="UOF28" s="501"/>
      <c r="UOG28" s="501"/>
      <c r="UOH28" s="501"/>
      <c r="UOI28" s="501"/>
      <c r="UOJ28" s="501"/>
      <c r="UOK28" s="501"/>
      <c r="UOL28" s="501"/>
      <c r="UOM28" s="501"/>
      <c r="UON28" s="501"/>
      <c r="UOO28" s="501"/>
      <c r="UOP28" s="501"/>
      <c r="UOQ28" s="501"/>
      <c r="UOR28" s="501"/>
      <c r="UOS28" s="501"/>
      <c r="UOT28" s="501"/>
      <c r="UOU28" s="501"/>
      <c r="UOV28" s="501"/>
      <c r="UOW28" s="501"/>
      <c r="UOX28" s="501"/>
      <c r="UOY28" s="501"/>
      <c r="UOZ28" s="501"/>
      <c r="UPA28" s="501"/>
      <c r="UPB28" s="501"/>
      <c r="UPC28" s="501"/>
      <c r="UPD28" s="501"/>
      <c r="UPE28" s="501"/>
      <c r="UPF28" s="501"/>
      <c r="UPG28" s="501"/>
      <c r="UPH28" s="501"/>
      <c r="UPI28" s="501"/>
      <c r="UPJ28" s="501"/>
      <c r="UPK28" s="501"/>
      <c r="UPL28" s="501"/>
      <c r="UPM28" s="501"/>
      <c r="UPN28" s="501"/>
      <c r="UPO28" s="501"/>
      <c r="UPP28" s="501"/>
      <c r="UPQ28" s="501"/>
      <c r="UPR28" s="501"/>
      <c r="UPS28" s="501"/>
      <c r="UPT28" s="501"/>
      <c r="UPU28" s="501"/>
      <c r="UPV28" s="501"/>
      <c r="UPW28" s="501"/>
      <c r="UPX28" s="501"/>
      <c r="UPY28" s="501"/>
      <c r="UPZ28" s="501"/>
      <c r="UQA28" s="501"/>
      <c r="UQB28" s="501"/>
      <c r="UQC28" s="501"/>
      <c r="UQD28" s="501"/>
      <c r="UQE28" s="501"/>
      <c r="UQF28" s="501"/>
      <c r="UQG28" s="501"/>
      <c r="UQH28" s="501"/>
      <c r="UQI28" s="501"/>
      <c r="UQJ28" s="501"/>
      <c r="UQK28" s="501"/>
      <c r="UQL28" s="501"/>
      <c r="UQM28" s="501"/>
      <c r="UQN28" s="501"/>
      <c r="UQO28" s="501"/>
      <c r="UQP28" s="501"/>
      <c r="UQQ28" s="501"/>
      <c r="UQR28" s="501"/>
      <c r="UQS28" s="501"/>
      <c r="UQT28" s="501"/>
      <c r="UQU28" s="501"/>
      <c r="UQV28" s="501"/>
      <c r="UQW28" s="501"/>
      <c r="UQX28" s="501"/>
      <c r="UQY28" s="501"/>
      <c r="UQZ28" s="501"/>
      <c r="URA28" s="501"/>
      <c r="URB28" s="501"/>
      <c r="URC28" s="501"/>
      <c r="URD28" s="501"/>
      <c r="URE28" s="501"/>
      <c r="URF28" s="501"/>
      <c r="URG28" s="501"/>
      <c r="URH28" s="501"/>
      <c r="URI28" s="501"/>
      <c r="URJ28" s="501"/>
      <c r="URK28" s="501"/>
      <c r="URL28" s="501"/>
      <c r="URM28" s="501"/>
      <c r="URN28" s="501"/>
      <c r="URO28" s="501"/>
      <c r="URP28" s="501"/>
      <c r="URQ28" s="501"/>
      <c r="URR28" s="501"/>
      <c r="URS28" s="501"/>
      <c r="URT28" s="501"/>
      <c r="URU28" s="501"/>
      <c r="URV28" s="501"/>
      <c r="URW28" s="501"/>
      <c r="URX28" s="501"/>
      <c r="URY28" s="501"/>
      <c r="URZ28" s="501"/>
      <c r="USA28" s="501"/>
      <c r="USB28" s="501"/>
      <c r="USC28" s="501"/>
      <c r="USD28" s="501"/>
      <c r="USE28" s="501"/>
      <c r="USF28" s="501"/>
      <c r="USG28" s="501"/>
      <c r="USH28" s="501"/>
      <c r="USI28" s="501"/>
      <c r="USJ28" s="501"/>
      <c r="USK28" s="501"/>
      <c r="USL28" s="501"/>
      <c r="USM28" s="501"/>
      <c r="USN28" s="501"/>
      <c r="USO28" s="501"/>
      <c r="USP28" s="501"/>
      <c r="USQ28" s="501"/>
      <c r="USR28" s="501"/>
      <c r="USS28" s="501"/>
      <c r="UST28" s="501"/>
      <c r="USU28" s="501"/>
      <c r="USV28" s="501"/>
      <c r="USW28" s="501"/>
      <c r="USX28" s="501"/>
      <c r="USY28" s="501"/>
      <c r="USZ28" s="501"/>
      <c r="UTA28" s="501"/>
      <c r="UTB28" s="501"/>
      <c r="UTC28" s="501"/>
      <c r="UTD28" s="501"/>
      <c r="UTE28" s="501"/>
      <c r="UTF28" s="501"/>
      <c r="UTG28" s="501"/>
      <c r="UTH28" s="501"/>
      <c r="UTI28" s="501"/>
      <c r="UTJ28" s="501"/>
      <c r="UTK28" s="501"/>
      <c r="UTL28" s="501"/>
      <c r="UTM28" s="501"/>
      <c r="UTN28" s="501"/>
      <c r="UTO28" s="501"/>
      <c r="UTP28" s="501"/>
      <c r="UTQ28" s="501"/>
      <c r="UTR28" s="501"/>
      <c r="UTS28" s="501"/>
      <c r="UTT28" s="501"/>
      <c r="UTU28" s="501"/>
      <c r="UTV28" s="501"/>
      <c r="UTW28" s="501"/>
      <c r="UTX28" s="501"/>
      <c r="UTY28" s="501"/>
      <c r="UTZ28" s="501"/>
      <c r="UUA28" s="501"/>
      <c r="UUB28" s="501"/>
      <c r="UUC28" s="501"/>
      <c r="UUD28" s="501"/>
      <c r="UUE28" s="501"/>
      <c r="UUF28" s="501"/>
      <c r="UUG28" s="501"/>
      <c r="UUH28" s="501"/>
      <c r="UUI28" s="501"/>
      <c r="UUJ28" s="501"/>
      <c r="UUK28" s="501"/>
      <c r="UUL28" s="501"/>
      <c r="UUM28" s="501"/>
      <c r="UUN28" s="501"/>
      <c r="UUO28" s="501"/>
      <c r="UUP28" s="501"/>
      <c r="UUQ28" s="501"/>
      <c r="UUR28" s="501"/>
      <c r="UUS28" s="501"/>
      <c r="UUT28" s="501"/>
      <c r="UUU28" s="501"/>
      <c r="UUV28" s="501"/>
      <c r="UUW28" s="501"/>
      <c r="UUX28" s="501"/>
      <c r="UUY28" s="501"/>
      <c r="UUZ28" s="501"/>
      <c r="UVA28" s="501"/>
      <c r="UVB28" s="501"/>
      <c r="UVC28" s="501"/>
      <c r="UVD28" s="501"/>
      <c r="UVE28" s="501"/>
      <c r="UVF28" s="501"/>
      <c r="UVG28" s="501"/>
      <c r="UVH28" s="501"/>
      <c r="UVI28" s="501"/>
      <c r="UVJ28" s="501"/>
      <c r="UVK28" s="501"/>
      <c r="UVL28" s="501"/>
      <c r="UVM28" s="501"/>
      <c r="UVN28" s="501"/>
      <c r="UVO28" s="501"/>
      <c r="UVP28" s="501"/>
      <c r="UVQ28" s="501"/>
      <c r="UVR28" s="501"/>
      <c r="UVS28" s="501"/>
      <c r="UVT28" s="501"/>
      <c r="UVU28" s="501"/>
      <c r="UVV28" s="501"/>
      <c r="UVW28" s="501"/>
      <c r="UVX28" s="501"/>
      <c r="UVY28" s="501"/>
      <c r="UVZ28" s="501"/>
      <c r="UWA28" s="501"/>
      <c r="UWB28" s="501"/>
      <c r="UWC28" s="501"/>
      <c r="UWD28" s="501"/>
      <c r="UWE28" s="501"/>
      <c r="UWF28" s="501"/>
      <c r="UWG28" s="501"/>
      <c r="UWH28" s="501"/>
      <c r="UWI28" s="501"/>
      <c r="UWJ28" s="501"/>
      <c r="UWK28" s="501"/>
      <c r="UWL28" s="501"/>
      <c r="UWM28" s="501"/>
      <c r="UWN28" s="501"/>
      <c r="UWO28" s="501"/>
      <c r="UWP28" s="501"/>
      <c r="UWQ28" s="501"/>
      <c r="UWR28" s="501"/>
      <c r="UWS28" s="501"/>
      <c r="UWT28" s="501"/>
      <c r="UWU28" s="501"/>
      <c r="UWV28" s="501"/>
      <c r="UWW28" s="501"/>
      <c r="UWX28" s="501"/>
      <c r="UWY28" s="501"/>
      <c r="UWZ28" s="501"/>
      <c r="UXA28" s="501"/>
      <c r="UXB28" s="501"/>
      <c r="UXC28" s="501"/>
      <c r="UXD28" s="501"/>
      <c r="UXE28" s="501"/>
      <c r="UXF28" s="501"/>
      <c r="UXG28" s="501"/>
      <c r="UXH28" s="501"/>
      <c r="UXI28" s="501"/>
      <c r="UXJ28" s="501"/>
      <c r="UXK28" s="501"/>
      <c r="UXL28" s="501"/>
      <c r="UXM28" s="501"/>
      <c r="UXN28" s="501"/>
      <c r="UXO28" s="501"/>
      <c r="UXP28" s="501"/>
      <c r="UXQ28" s="501"/>
      <c r="UXR28" s="501"/>
      <c r="UXS28" s="501"/>
      <c r="UXT28" s="501"/>
      <c r="UXU28" s="501"/>
      <c r="UXV28" s="501"/>
      <c r="UXW28" s="501"/>
      <c r="UXX28" s="501"/>
      <c r="UXY28" s="501"/>
      <c r="UXZ28" s="501"/>
      <c r="UYA28" s="501"/>
      <c r="UYB28" s="501"/>
      <c r="UYC28" s="501"/>
      <c r="UYD28" s="501"/>
      <c r="UYE28" s="501"/>
      <c r="UYF28" s="501"/>
      <c r="UYG28" s="501"/>
      <c r="UYH28" s="501"/>
      <c r="UYI28" s="501"/>
      <c r="UYJ28" s="501"/>
      <c r="UYK28" s="501"/>
      <c r="UYL28" s="501"/>
      <c r="UYM28" s="501"/>
      <c r="UYN28" s="501"/>
      <c r="UYO28" s="501"/>
      <c r="UYP28" s="501"/>
      <c r="UYQ28" s="501"/>
      <c r="UYR28" s="501"/>
      <c r="UYS28" s="501"/>
      <c r="UYT28" s="501"/>
      <c r="UYU28" s="501"/>
      <c r="UYV28" s="501"/>
      <c r="UYW28" s="501"/>
      <c r="UYX28" s="501"/>
      <c r="UYY28" s="501"/>
      <c r="UYZ28" s="501"/>
      <c r="UZA28" s="501"/>
      <c r="UZB28" s="501"/>
      <c r="UZC28" s="501"/>
      <c r="UZD28" s="501"/>
      <c r="UZE28" s="501"/>
      <c r="UZF28" s="501"/>
      <c r="UZG28" s="501"/>
      <c r="UZH28" s="501"/>
      <c r="UZI28" s="501"/>
      <c r="UZJ28" s="501"/>
      <c r="UZK28" s="501"/>
      <c r="UZL28" s="501"/>
      <c r="UZM28" s="501"/>
      <c r="UZN28" s="501"/>
      <c r="UZO28" s="501"/>
      <c r="UZP28" s="501"/>
      <c r="UZQ28" s="501"/>
      <c r="UZR28" s="501"/>
      <c r="UZS28" s="501"/>
      <c r="UZT28" s="501"/>
      <c r="UZU28" s="501"/>
      <c r="UZV28" s="501"/>
      <c r="UZW28" s="501"/>
      <c r="UZX28" s="501"/>
      <c r="UZY28" s="501"/>
      <c r="UZZ28" s="501"/>
      <c r="VAA28" s="501"/>
      <c r="VAB28" s="501"/>
      <c r="VAC28" s="501"/>
      <c r="VAD28" s="501"/>
      <c r="VAE28" s="501"/>
      <c r="VAF28" s="501"/>
      <c r="VAG28" s="501"/>
      <c r="VAH28" s="501"/>
      <c r="VAI28" s="501"/>
      <c r="VAJ28" s="501"/>
      <c r="VAK28" s="501"/>
      <c r="VAL28" s="501"/>
      <c r="VAM28" s="501"/>
      <c r="VAN28" s="501"/>
      <c r="VAO28" s="501"/>
      <c r="VAP28" s="501"/>
      <c r="VAQ28" s="501"/>
      <c r="VAR28" s="501"/>
      <c r="VAS28" s="501"/>
      <c r="VAT28" s="501"/>
      <c r="VAU28" s="501"/>
      <c r="VAV28" s="501"/>
      <c r="VAW28" s="501"/>
      <c r="VAX28" s="501"/>
      <c r="VAY28" s="501"/>
      <c r="VAZ28" s="501"/>
      <c r="VBA28" s="501"/>
      <c r="VBB28" s="501"/>
      <c r="VBC28" s="501"/>
      <c r="VBD28" s="501"/>
      <c r="VBE28" s="501"/>
      <c r="VBF28" s="501"/>
      <c r="VBG28" s="501"/>
      <c r="VBH28" s="501"/>
      <c r="VBI28" s="501"/>
      <c r="VBJ28" s="501"/>
      <c r="VBK28" s="501"/>
      <c r="VBL28" s="501"/>
      <c r="VBM28" s="501"/>
      <c r="VBN28" s="501"/>
      <c r="VBO28" s="501"/>
      <c r="VBP28" s="501"/>
      <c r="VBQ28" s="501"/>
      <c r="VBR28" s="501"/>
      <c r="VBS28" s="501"/>
      <c r="VBT28" s="501"/>
      <c r="VBU28" s="501"/>
      <c r="VBV28" s="501"/>
      <c r="VBW28" s="501"/>
      <c r="VBX28" s="501"/>
      <c r="VBY28" s="501"/>
      <c r="VBZ28" s="501"/>
      <c r="VCA28" s="501"/>
      <c r="VCB28" s="501"/>
      <c r="VCC28" s="501"/>
      <c r="VCD28" s="501"/>
      <c r="VCE28" s="501"/>
      <c r="VCF28" s="501"/>
      <c r="VCG28" s="501"/>
      <c r="VCH28" s="501"/>
      <c r="VCI28" s="501"/>
      <c r="VCJ28" s="501"/>
      <c r="VCK28" s="501"/>
      <c r="VCL28" s="501"/>
      <c r="VCM28" s="501"/>
      <c r="VCN28" s="501"/>
      <c r="VCO28" s="501"/>
      <c r="VCP28" s="501"/>
      <c r="VCQ28" s="501"/>
      <c r="VCR28" s="501"/>
      <c r="VCS28" s="501"/>
      <c r="VCT28" s="501"/>
      <c r="VCU28" s="501"/>
      <c r="VCV28" s="501"/>
      <c r="VCW28" s="501"/>
      <c r="VCX28" s="501"/>
      <c r="VCY28" s="501"/>
      <c r="VCZ28" s="501"/>
      <c r="VDA28" s="501"/>
      <c r="VDB28" s="501"/>
      <c r="VDC28" s="501"/>
      <c r="VDD28" s="501"/>
      <c r="VDE28" s="501"/>
      <c r="VDF28" s="501"/>
      <c r="VDG28" s="501"/>
      <c r="VDH28" s="501"/>
      <c r="VDI28" s="501"/>
      <c r="VDJ28" s="501"/>
      <c r="VDK28" s="501"/>
      <c r="VDL28" s="501"/>
      <c r="VDM28" s="501"/>
      <c r="VDN28" s="501"/>
      <c r="VDO28" s="501"/>
      <c r="VDP28" s="501"/>
      <c r="VDQ28" s="501"/>
      <c r="VDR28" s="501"/>
      <c r="VDS28" s="501"/>
      <c r="VDT28" s="501"/>
      <c r="VDU28" s="501"/>
      <c r="VDV28" s="501"/>
      <c r="VDW28" s="501"/>
      <c r="VDX28" s="501"/>
      <c r="VDY28" s="501"/>
      <c r="VDZ28" s="501"/>
      <c r="VEA28" s="501"/>
      <c r="VEB28" s="501"/>
      <c r="VEC28" s="501"/>
      <c r="VED28" s="501"/>
      <c r="VEE28" s="501"/>
      <c r="VEF28" s="501"/>
      <c r="VEG28" s="501"/>
      <c r="VEH28" s="501"/>
      <c r="VEI28" s="501"/>
      <c r="VEJ28" s="501"/>
      <c r="VEK28" s="501"/>
      <c r="VEL28" s="501"/>
      <c r="VEM28" s="501"/>
      <c r="VEN28" s="501"/>
      <c r="VEO28" s="501"/>
      <c r="VEP28" s="501"/>
      <c r="VEQ28" s="501"/>
      <c r="VER28" s="501"/>
      <c r="VES28" s="501"/>
      <c r="VET28" s="501"/>
      <c r="VEU28" s="501"/>
      <c r="VEV28" s="501"/>
      <c r="VEW28" s="501"/>
      <c r="VEX28" s="501"/>
      <c r="VEY28" s="501"/>
      <c r="VEZ28" s="501"/>
      <c r="VFA28" s="501"/>
      <c r="VFB28" s="501"/>
      <c r="VFC28" s="501"/>
      <c r="VFD28" s="501"/>
      <c r="VFE28" s="501"/>
      <c r="VFF28" s="501"/>
      <c r="VFG28" s="501"/>
      <c r="VFH28" s="501"/>
      <c r="VFI28" s="501"/>
      <c r="VFJ28" s="501"/>
      <c r="VFK28" s="501"/>
      <c r="VFL28" s="501"/>
      <c r="VFM28" s="501"/>
      <c r="VFN28" s="501"/>
      <c r="VFO28" s="501"/>
      <c r="VFP28" s="501"/>
      <c r="VFQ28" s="501"/>
      <c r="VFR28" s="501"/>
      <c r="VFS28" s="501"/>
      <c r="VFT28" s="501"/>
      <c r="VFU28" s="501"/>
      <c r="VFV28" s="501"/>
      <c r="VFW28" s="501"/>
      <c r="VFX28" s="501"/>
      <c r="VFY28" s="501"/>
      <c r="VFZ28" s="501"/>
      <c r="VGA28" s="501"/>
      <c r="VGB28" s="501"/>
      <c r="VGC28" s="501"/>
      <c r="VGD28" s="501"/>
      <c r="VGE28" s="501"/>
      <c r="VGF28" s="501"/>
      <c r="VGG28" s="501"/>
      <c r="VGH28" s="501"/>
      <c r="VGI28" s="501"/>
      <c r="VGJ28" s="501"/>
      <c r="VGK28" s="501"/>
      <c r="VGL28" s="501"/>
      <c r="VGM28" s="501"/>
      <c r="VGN28" s="501"/>
      <c r="VGO28" s="501"/>
      <c r="VGP28" s="501"/>
      <c r="VGQ28" s="501"/>
      <c r="VGR28" s="501"/>
      <c r="VGS28" s="501"/>
      <c r="VGT28" s="501"/>
      <c r="VGU28" s="501"/>
      <c r="VGV28" s="501"/>
      <c r="VGW28" s="501"/>
      <c r="VGX28" s="501"/>
      <c r="VGY28" s="501"/>
      <c r="VGZ28" s="501"/>
      <c r="VHA28" s="501"/>
      <c r="VHB28" s="501"/>
      <c r="VHC28" s="501"/>
      <c r="VHD28" s="501"/>
      <c r="VHE28" s="501"/>
      <c r="VHF28" s="501"/>
      <c r="VHG28" s="501"/>
      <c r="VHH28" s="501"/>
      <c r="VHI28" s="501"/>
      <c r="VHJ28" s="501"/>
      <c r="VHK28" s="501"/>
      <c r="VHL28" s="501"/>
      <c r="VHM28" s="501"/>
      <c r="VHN28" s="501"/>
      <c r="VHO28" s="501"/>
      <c r="VHP28" s="501"/>
      <c r="VHQ28" s="501"/>
      <c r="VHR28" s="501"/>
      <c r="VHS28" s="501"/>
      <c r="VHT28" s="501"/>
      <c r="VHU28" s="501"/>
      <c r="VHV28" s="501"/>
      <c r="VHW28" s="501"/>
      <c r="VHX28" s="501"/>
      <c r="VHY28" s="501"/>
      <c r="VHZ28" s="501"/>
      <c r="VIA28" s="501"/>
      <c r="VIB28" s="501"/>
      <c r="VIC28" s="501"/>
      <c r="VID28" s="501"/>
      <c r="VIE28" s="501"/>
      <c r="VIF28" s="501"/>
      <c r="VIG28" s="501"/>
      <c r="VIH28" s="501"/>
      <c r="VII28" s="501"/>
      <c r="VIJ28" s="501"/>
      <c r="VIK28" s="501"/>
      <c r="VIL28" s="501"/>
      <c r="VIM28" s="501"/>
      <c r="VIN28" s="501"/>
      <c r="VIO28" s="501"/>
      <c r="VIP28" s="501"/>
      <c r="VIQ28" s="501"/>
      <c r="VIR28" s="501"/>
      <c r="VIS28" s="501"/>
      <c r="VIT28" s="501"/>
      <c r="VIU28" s="501"/>
      <c r="VIV28" s="501"/>
      <c r="VIW28" s="501"/>
      <c r="VIX28" s="501"/>
      <c r="VIY28" s="501"/>
      <c r="VIZ28" s="501"/>
      <c r="VJA28" s="501"/>
      <c r="VJB28" s="501"/>
      <c r="VJC28" s="501"/>
      <c r="VJD28" s="501"/>
      <c r="VJE28" s="501"/>
      <c r="VJF28" s="501"/>
      <c r="VJG28" s="501"/>
      <c r="VJH28" s="501"/>
      <c r="VJI28" s="501"/>
      <c r="VJJ28" s="501"/>
      <c r="VJK28" s="501"/>
      <c r="VJL28" s="501"/>
      <c r="VJM28" s="501"/>
      <c r="VJN28" s="501"/>
      <c r="VJO28" s="501"/>
      <c r="VJP28" s="501"/>
      <c r="VJQ28" s="501"/>
      <c r="VJR28" s="501"/>
      <c r="VJS28" s="501"/>
      <c r="VJT28" s="501"/>
      <c r="VJU28" s="501"/>
      <c r="VJV28" s="501"/>
      <c r="VJW28" s="501"/>
      <c r="VJX28" s="501"/>
      <c r="VJY28" s="501"/>
      <c r="VJZ28" s="501"/>
      <c r="VKA28" s="501"/>
      <c r="VKB28" s="501"/>
      <c r="VKC28" s="501"/>
      <c r="VKD28" s="501"/>
      <c r="VKE28" s="501"/>
      <c r="VKF28" s="501"/>
      <c r="VKG28" s="501"/>
      <c r="VKH28" s="501"/>
      <c r="VKI28" s="501"/>
      <c r="VKJ28" s="501"/>
      <c r="VKK28" s="501"/>
      <c r="VKL28" s="501"/>
      <c r="VKM28" s="501"/>
      <c r="VKN28" s="501"/>
      <c r="VKO28" s="501"/>
      <c r="VKP28" s="501"/>
      <c r="VKQ28" s="501"/>
      <c r="VKR28" s="501"/>
      <c r="VKS28" s="501"/>
      <c r="VKT28" s="501"/>
      <c r="VKU28" s="501"/>
      <c r="VKV28" s="501"/>
      <c r="VKW28" s="501"/>
      <c r="VKX28" s="501"/>
      <c r="VKY28" s="501"/>
      <c r="VKZ28" s="501"/>
      <c r="VLA28" s="501"/>
      <c r="VLB28" s="501"/>
      <c r="VLC28" s="501"/>
      <c r="VLD28" s="501"/>
      <c r="VLE28" s="501"/>
      <c r="VLF28" s="501"/>
      <c r="VLG28" s="501"/>
      <c r="VLH28" s="501"/>
      <c r="VLI28" s="501"/>
      <c r="VLJ28" s="501"/>
      <c r="VLK28" s="501"/>
      <c r="VLL28" s="501"/>
      <c r="VLM28" s="501"/>
      <c r="VLN28" s="501"/>
      <c r="VLO28" s="501"/>
      <c r="VLP28" s="501"/>
      <c r="VLQ28" s="501"/>
      <c r="VLR28" s="501"/>
      <c r="VLS28" s="501"/>
      <c r="VLT28" s="501"/>
      <c r="VLU28" s="501"/>
      <c r="VLV28" s="501"/>
      <c r="VLW28" s="501"/>
      <c r="VLX28" s="501"/>
      <c r="VLY28" s="501"/>
      <c r="VLZ28" s="501"/>
      <c r="VMA28" s="501"/>
      <c r="VMB28" s="501"/>
      <c r="VMC28" s="501"/>
      <c r="VMD28" s="501"/>
      <c r="VME28" s="501"/>
      <c r="VMF28" s="501"/>
      <c r="VMG28" s="501"/>
      <c r="VMH28" s="501"/>
      <c r="VMI28" s="501"/>
      <c r="VMJ28" s="501"/>
      <c r="VMK28" s="501"/>
      <c r="VML28" s="501"/>
      <c r="VMM28" s="501"/>
      <c r="VMN28" s="501"/>
      <c r="VMO28" s="501"/>
      <c r="VMP28" s="501"/>
      <c r="VMQ28" s="501"/>
      <c r="VMR28" s="501"/>
      <c r="VMS28" s="501"/>
      <c r="VMT28" s="501"/>
      <c r="VMU28" s="501"/>
      <c r="VMV28" s="501"/>
      <c r="VMW28" s="501"/>
      <c r="VMX28" s="501"/>
      <c r="VMY28" s="501"/>
      <c r="VMZ28" s="501"/>
      <c r="VNA28" s="501"/>
      <c r="VNB28" s="501"/>
      <c r="VNC28" s="501"/>
      <c r="VND28" s="501"/>
      <c r="VNE28" s="501"/>
      <c r="VNF28" s="501"/>
      <c r="VNG28" s="501"/>
      <c r="VNH28" s="501"/>
      <c r="VNI28" s="501"/>
      <c r="VNJ28" s="501"/>
      <c r="VNK28" s="501"/>
      <c r="VNL28" s="501"/>
      <c r="VNM28" s="501"/>
      <c r="VNN28" s="501"/>
      <c r="VNO28" s="501"/>
      <c r="VNP28" s="501"/>
      <c r="VNQ28" s="501"/>
      <c r="VNR28" s="501"/>
      <c r="VNS28" s="501"/>
      <c r="VNT28" s="501"/>
      <c r="VNU28" s="501"/>
      <c r="VNV28" s="501"/>
      <c r="VNW28" s="501"/>
      <c r="VNX28" s="501"/>
      <c r="VNY28" s="501"/>
      <c r="VNZ28" s="501"/>
      <c r="VOA28" s="501"/>
      <c r="VOB28" s="501"/>
      <c r="VOC28" s="501"/>
      <c r="VOD28" s="501"/>
      <c r="VOE28" s="501"/>
      <c r="VOF28" s="501"/>
      <c r="VOG28" s="501"/>
      <c r="VOH28" s="501"/>
      <c r="VOI28" s="501"/>
      <c r="VOJ28" s="501"/>
      <c r="VOK28" s="501"/>
      <c r="VOL28" s="501"/>
      <c r="VOM28" s="501"/>
      <c r="VON28" s="501"/>
      <c r="VOO28" s="501"/>
      <c r="VOP28" s="501"/>
      <c r="VOQ28" s="501"/>
      <c r="VOR28" s="501"/>
      <c r="VOS28" s="501"/>
      <c r="VOT28" s="501"/>
      <c r="VOU28" s="501"/>
      <c r="VOV28" s="501"/>
      <c r="VOW28" s="501"/>
      <c r="VOX28" s="501"/>
      <c r="VOY28" s="501"/>
      <c r="VOZ28" s="501"/>
      <c r="VPA28" s="501"/>
      <c r="VPB28" s="501"/>
      <c r="VPC28" s="501"/>
      <c r="VPD28" s="501"/>
      <c r="VPE28" s="501"/>
      <c r="VPF28" s="501"/>
      <c r="VPG28" s="501"/>
      <c r="VPH28" s="501"/>
      <c r="VPI28" s="501"/>
      <c r="VPJ28" s="501"/>
      <c r="VPK28" s="501"/>
      <c r="VPL28" s="501"/>
      <c r="VPM28" s="501"/>
      <c r="VPN28" s="501"/>
      <c r="VPO28" s="501"/>
      <c r="VPP28" s="501"/>
      <c r="VPQ28" s="501"/>
      <c r="VPR28" s="501"/>
      <c r="VPS28" s="501"/>
      <c r="VPT28" s="501"/>
      <c r="VPU28" s="501"/>
      <c r="VPV28" s="501"/>
      <c r="VPW28" s="501"/>
      <c r="VPX28" s="501"/>
      <c r="VPY28" s="501"/>
      <c r="VPZ28" s="501"/>
      <c r="VQA28" s="501"/>
      <c r="VQB28" s="501"/>
      <c r="VQC28" s="501"/>
      <c r="VQD28" s="501"/>
      <c r="VQE28" s="501"/>
      <c r="VQF28" s="501"/>
      <c r="VQG28" s="501"/>
      <c r="VQH28" s="501"/>
      <c r="VQI28" s="501"/>
      <c r="VQJ28" s="501"/>
      <c r="VQK28" s="501"/>
      <c r="VQL28" s="501"/>
      <c r="VQM28" s="501"/>
      <c r="VQN28" s="501"/>
      <c r="VQO28" s="501"/>
      <c r="VQP28" s="501"/>
      <c r="VQQ28" s="501"/>
      <c r="VQR28" s="501"/>
      <c r="VQS28" s="501"/>
      <c r="VQT28" s="501"/>
      <c r="VQU28" s="501"/>
      <c r="VQV28" s="501"/>
      <c r="VQW28" s="501"/>
      <c r="VQX28" s="501"/>
      <c r="VQY28" s="501"/>
      <c r="VQZ28" s="501"/>
      <c r="VRA28" s="501"/>
      <c r="VRB28" s="501"/>
      <c r="VRC28" s="501"/>
      <c r="VRD28" s="501"/>
      <c r="VRE28" s="501"/>
      <c r="VRF28" s="501"/>
      <c r="VRG28" s="501"/>
      <c r="VRH28" s="501"/>
      <c r="VRI28" s="501"/>
      <c r="VRJ28" s="501"/>
      <c r="VRK28" s="501"/>
      <c r="VRL28" s="501"/>
      <c r="VRM28" s="501"/>
      <c r="VRN28" s="501"/>
      <c r="VRO28" s="501"/>
      <c r="VRP28" s="501"/>
      <c r="VRQ28" s="501"/>
      <c r="VRR28" s="501"/>
      <c r="VRS28" s="501"/>
      <c r="VRT28" s="501"/>
      <c r="VRU28" s="501"/>
      <c r="VRV28" s="501"/>
      <c r="VRW28" s="501"/>
      <c r="VRX28" s="501"/>
      <c r="VRY28" s="501"/>
      <c r="VRZ28" s="501"/>
      <c r="VSA28" s="501"/>
      <c r="VSB28" s="501"/>
      <c r="VSC28" s="501"/>
      <c r="VSD28" s="501"/>
      <c r="VSE28" s="501"/>
      <c r="VSF28" s="501"/>
      <c r="VSG28" s="501"/>
      <c r="VSH28" s="501"/>
      <c r="VSI28" s="501"/>
      <c r="VSJ28" s="501"/>
      <c r="VSK28" s="501"/>
      <c r="VSL28" s="501"/>
      <c r="VSM28" s="501"/>
      <c r="VSN28" s="501"/>
      <c r="VSO28" s="501"/>
      <c r="VSP28" s="501"/>
      <c r="VSQ28" s="501"/>
      <c r="VSR28" s="501"/>
      <c r="VSS28" s="501"/>
      <c r="VST28" s="501"/>
      <c r="VSU28" s="501"/>
      <c r="VSV28" s="501"/>
      <c r="VSW28" s="501"/>
      <c r="VSX28" s="501"/>
      <c r="VSY28" s="501"/>
      <c r="VSZ28" s="501"/>
      <c r="VTA28" s="501"/>
      <c r="VTB28" s="501"/>
      <c r="VTC28" s="501"/>
      <c r="VTD28" s="501"/>
      <c r="VTE28" s="501"/>
      <c r="VTF28" s="501"/>
      <c r="VTG28" s="501"/>
      <c r="VTH28" s="501"/>
      <c r="VTI28" s="501"/>
      <c r="VTJ28" s="501"/>
      <c r="VTK28" s="501"/>
      <c r="VTL28" s="501"/>
      <c r="VTM28" s="501"/>
      <c r="VTN28" s="501"/>
      <c r="VTO28" s="501"/>
      <c r="VTP28" s="501"/>
      <c r="VTQ28" s="501"/>
      <c r="VTR28" s="501"/>
      <c r="VTS28" s="501"/>
      <c r="VTT28" s="501"/>
      <c r="VTU28" s="501"/>
      <c r="VTV28" s="501"/>
      <c r="VTW28" s="501"/>
      <c r="VTX28" s="501"/>
      <c r="VTY28" s="501"/>
      <c r="VTZ28" s="501"/>
      <c r="VUA28" s="501"/>
      <c r="VUB28" s="501"/>
      <c r="VUC28" s="501"/>
      <c r="VUD28" s="501"/>
      <c r="VUE28" s="501"/>
      <c r="VUF28" s="501"/>
      <c r="VUG28" s="501"/>
      <c r="VUH28" s="501"/>
      <c r="VUI28" s="501"/>
      <c r="VUJ28" s="501"/>
      <c r="VUK28" s="501"/>
      <c r="VUL28" s="501"/>
      <c r="VUM28" s="501"/>
      <c r="VUN28" s="501"/>
      <c r="VUO28" s="501"/>
      <c r="VUP28" s="501"/>
      <c r="VUQ28" s="501"/>
      <c r="VUR28" s="501"/>
      <c r="VUS28" s="501"/>
      <c r="VUT28" s="501"/>
      <c r="VUU28" s="501"/>
      <c r="VUV28" s="501"/>
      <c r="VUW28" s="501"/>
      <c r="VUX28" s="501"/>
      <c r="VUY28" s="501"/>
      <c r="VUZ28" s="501"/>
      <c r="VVA28" s="501"/>
      <c r="VVB28" s="501"/>
      <c r="VVC28" s="501"/>
      <c r="VVD28" s="501"/>
      <c r="VVE28" s="501"/>
      <c r="VVF28" s="501"/>
      <c r="VVG28" s="501"/>
      <c r="VVH28" s="501"/>
      <c r="VVI28" s="501"/>
      <c r="VVJ28" s="501"/>
      <c r="VVK28" s="501"/>
      <c r="VVL28" s="501"/>
      <c r="VVM28" s="501"/>
      <c r="VVN28" s="501"/>
      <c r="VVO28" s="501"/>
      <c r="VVP28" s="501"/>
      <c r="VVQ28" s="501"/>
      <c r="VVR28" s="501"/>
      <c r="VVS28" s="501"/>
      <c r="VVT28" s="501"/>
      <c r="VVU28" s="501"/>
      <c r="VVV28" s="501"/>
      <c r="VVW28" s="501"/>
      <c r="VVX28" s="501"/>
      <c r="VVY28" s="501"/>
      <c r="VVZ28" s="501"/>
      <c r="VWA28" s="501"/>
      <c r="VWB28" s="501"/>
      <c r="VWC28" s="501"/>
      <c r="VWD28" s="501"/>
      <c r="VWE28" s="501"/>
      <c r="VWF28" s="501"/>
      <c r="VWG28" s="501"/>
      <c r="VWH28" s="501"/>
      <c r="VWI28" s="501"/>
      <c r="VWJ28" s="501"/>
      <c r="VWK28" s="501"/>
      <c r="VWL28" s="501"/>
      <c r="VWM28" s="501"/>
      <c r="VWN28" s="501"/>
      <c r="VWO28" s="501"/>
      <c r="VWP28" s="501"/>
      <c r="VWQ28" s="501"/>
      <c r="VWR28" s="501"/>
      <c r="VWS28" s="501"/>
      <c r="VWT28" s="501"/>
      <c r="VWU28" s="501"/>
      <c r="VWV28" s="501"/>
      <c r="VWW28" s="501"/>
      <c r="VWX28" s="501"/>
      <c r="VWY28" s="501"/>
      <c r="VWZ28" s="501"/>
      <c r="VXA28" s="501"/>
      <c r="VXB28" s="501"/>
      <c r="VXC28" s="501"/>
      <c r="VXD28" s="501"/>
      <c r="VXE28" s="501"/>
      <c r="VXF28" s="501"/>
      <c r="VXG28" s="501"/>
      <c r="VXH28" s="501"/>
      <c r="VXI28" s="501"/>
      <c r="VXJ28" s="501"/>
      <c r="VXK28" s="501"/>
      <c r="VXL28" s="501"/>
      <c r="VXM28" s="501"/>
      <c r="VXN28" s="501"/>
      <c r="VXO28" s="501"/>
      <c r="VXP28" s="501"/>
      <c r="VXQ28" s="501"/>
      <c r="VXR28" s="501"/>
      <c r="VXS28" s="501"/>
      <c r="VXT28" s="501"/>
      <c r="VXU28" s="501"/>
      <c r="VXV28" s="501"/>
      <c r="VXW28" s="501"/>
      <c r="VXX28" s="501"/>
      <c r="VXY28" s="501"/>
      <c r="VXZ28" s="501"/>
      <c r="VYA28" s="501"/>
      <c r="VYB28" s="501"/>
      <c r="VYC28" s="501"/>
      <c r="VYD28" s="501"/>
      <c r="VYE28" s="501"/>
      <c r="VYF28" s="501"/>
      <c r="VYG28" s="501"/>
      <c r="VYH28" s="501"/>
      <c r="VYI28" s="501"/>
      <c r="VYJ28" s="501"/>
      <c r="VYK28" s="501"/>
      <c r="VYL28" s="501"/>
      <c r="VYM28" s="501"/>
      <c r="VYN28" s="501"/>
      <c r="VYO28" s="501"/>
      <c r="VYP28" s="501"/>
      <c r="VYQ28" s="501"/>
      <c r="VYR28" s="501"/>
      <c r="VYS28" s="501"/>
      <c r="VYT28" s="501"/>
      <c r="VYU28" s="501"/>
      <c r="VYV28" s="501"/>
      <c r="VYW28" s="501"/>
      <c r="VYX28" s="501"/>
      <c r="VYY28" s="501"/>
      <c r="VYZ28" s="501"/>
      <c r="VZA28" s="501"/>
      <c r="VZB28" s="501"/>
      <c r="VZC28" s="501"/>
      <c r="VZD28" s="501"/>
      <c r="VZE28" s="501"/>
      <c r="VZF28" s="501"/>
      <c r="VZG28" s="501"/>
      <c r="VZH28" s="501"/>
      <c r="VZI28" s="501"/>
      <c r="VZJ28" s="501"/>
      <c r="VZK28" s="501"/>
      <c r="VZL28" s="501"/>
      <c r="VZM28" s="501"/>
      <c r="VZN28" s="501"/>
      <c r="VZO28" s="501"/>
      <c r="VZP28" s="501"/>
      <c r="VZQ28" s="501"/>
      <c r="VZR28" s="501"/>
      <c r="VZS28" s="501"/>
      <c r="VZT28" s="501"/>
      <c r="VZU28" s="501"/>
      <c r="VZV28" s="501"/>
      <c r="VZW28" s="501"/>
      <c r="VZX28" s="501"/>
      <c r="VZY28" s="501"/>
      <c r="VZZ28" s="501"/>
      <c r="WAA28" s="501"/>
      <c r="WAB28" s="501"/>
      <c r="WAC28" s="501"/>
      <c r="WAD28" s="501"/>
      <c r="WAE28" s="501"/>
      <c r="WAF28" s="501"/>
      <c r="WAG28" s="501"/>
      <c r="WAH28" s="501"/>
      <c r="WAI28" s="501"/>
      <c r="WAJ28" s="501"/>
      <c r="WAK28" s="501"/>
      <c r="WAL28" s="501"/>
      <c r="WAM28" s="501"/>
      <c r="WAN28" s="501"/>
      <c r="WAO28" s="501"/>
      <c r="WAP28" s="501"/>
      <c r="WAQ28" s="501"/>
      <c r="WAR28" s="501"/>
      <c r="WAS28" s="501"/>
      <c r="WAT28" s="501"/>
      <c r="WAU28" s="501"/>
      <c r="WAV28" s="501"/>
      <c r="WAW28" s="501"/>
      <c r="WAX28" s="501"/>
      <c r="WAY28" s="501"/>
      <c r="WAZ28" s="501"/>
      <c r="WBA28" s="501"/>
      <c r="WBB28" s="501"/>
      <c r="WBC28" s="501"/>
      <c r="WBD28" s="501"/>
      <c r="WBE28" s="501"/>
      <c r="WBF28" s="501"/>
      <c r="WBG28" s="501"/>
      <c r="WBH28" s="501"/>
      <c r="WBI28" s="501"/>
      <c r="WBJ28" s="501"/>
      <c r="WBK28" s="501"/>
      <c r="WBL28" s="501"/>
      <c r="WBM28" s="501"/>
      <c r="WBN28" s="501"/>
      <c r="WBO28" s="501"/>
      <c r="WBP28" s="501"/>
      <c r="WBQ28" s="501"/>
      <c r="WBR28" s="501"/>
      <c r="WBS28" s="501"/>
      <c r="WBT28" s="501"/>
      <c r="WBU28" s="501"/>
      <c r="WBV28" s="501"/>
      <c r="WBW28" s="501"/>
      <c r="WBX28" s="501"/>
      <c r="WBY28" s="501"/>
      <c r="WBZ28" s="501"/>
      <c r="WCA28" s="501"/>
      <c r="WCB28" s="501"/>
      <c r="WCC28" s="501"/>
      <c r="WCD28" s="501"/>
      <c r="WCE28" s="501"/>
      <c r="WCF28" s="501"/>
      <c r="WCG28" s="501"/>
      <c r="WCH28" s="501"/>
      <c r="WCI28" s="501"/>
      <c r="WCJ28" s="501"/>
      <c r="WCK28" s="501"/>
      <c r="WCL28" s="501"/>
      <c r="WCM28" s="501"/>
      <c r="WCN28" s="501"/>
      <c r="WCO28" s="501"/>
      <c r="WCP28" s="501"/>
      <c r="WCQ28" s="501"/>
      <c r="WCR28" s="501"/>
      <c r="WCS28" s="501"/>
      <c r="WCT28" s="501"/>
      <c r="WCU28" s="501"/>
      <c r="WCV28" s="501"/>
      <c r="WCW28" s="501"/>
      <c r="WCX28" s="501"/>
      <c r="WCY28" s="501"/>
      <c r="WCZ28" s="501"/>
      <c r="WDA28" s="501"/>
      <c r="WDB28" s="501"/>
      <c r="WDC28" s="501"/>
      <c r="WDD28" s="501"/>
      <c r="WDE28" s="501"/>
      <c r="WDF28" s="501"/>
      <c r="WDG28" s="501"/>
      <c r="WDH28" s="501"/>
      <c r="WDI28" s="501"/>
      <c r="WDJ28" s="501"/>
      <c r="WDK28" s="501"/>
      <c r="WDL28" s="501"/>
      <c r="WDM28" s="501"/>
      <c r="WDN28" s="501"/>
      <c r="WDO28" s="501"/>
      <c r="WDP28" s="501"/>
      <c r="WDQ28" s="501"/>
      <c r="WDR28" s="501"/>
      <c r="WDS28" s="501"/>
      <c r="WDT28" s="501"/>
      <c r="WDU28" s="501"/>
      <c r="WDV28" s="501"/>
      <c r="WDW28" s="501"/>
      <c r="WDX28" s="501"/>
      <c r="WDY28" s="501"/>
      <c r="WDZ28" s="501"/>
      <c r="WEA28" s="501"/>
      <c r="WEB28" s="501"/>
      <c r="WEC28" s="501"/>
      <c r="WED28" s="501"/>
      <c r="WEE28" s="501"/>
      <c r="WEF28" s="501"/>
      <c r="WEG28" s="501"/>
      <c r="WEH28" s="501"/>
      <c r="WEI28" s="501"/>
      <c r="WEJ28" s="501"/>
      <c r="WEK28" s="501"/>
      <c r="WEL28" s="501"/>
      <c r="WEM28" s="501"/>
      <c r="WEN28" s="501"/>
      <c r="WEO28" s="501"/>
      <c r="WEP28" s="501"/>
      <c r="WEQ28" s="501"/>
      <c r="WER28" s="501"/>
      <c r="WES28" s="501"/>
      <c r="WET28" s="501"/>
      <c r="WEU28" s="501"/>
      <c r="WEV28" s="501"/>
      <c r="WEW28" s="501"/>
      <c r="WEX28" s="501"/>
      <c r="WEY28" s="501"/>
      <c r="WEZ28" s="501"/>
      <c r="WFA28" s="501"/>
      <c r="WFB28" s="501"/>
      <c r="WFC28" s="501"/>
      <c r="WFD28" s="501"/>
      <c r="WFE28" s="501"/>
      <c r="WFF28" s="501"/>
      <c r="WFG28" s="501"/>
      <c r="WFH28" s="501"/>
      <c r="WFI28" s="501"/>
      <c r="WFJ28" s="501"/>
      <c r="WFK28" s="501"/>
      <c r="WFL28" s="501"/>
      <c r="WFM28" s="501"/>
      <c r="WFN28" s="501"/>
      <c r="WFO28" s="501"/>
      <c r="WFP28" s="501"/>
      <c r="WFQ28" s="501"/>
      <c r="WFR28" s="501"/>
      <c r="WFS28" s="501"/>
      <c r="WFT28" s="501"/>
      <c r="WFU28" s="501"/>
      <c r="WFV28" s="501"/>
      <c r="WFW28" s="501"/>
      <c r="WFX28" s="501"/>
      <c r="WFY28" s="501"/>
      <c r="WFZ28" s="501"/>
      <c r="WGA28" s="501"/>
      <c r="WGB28" s="501"/>
      <c r="WGC28" s="501"/>
      <c r="WGD28" s="501"/>
      <c r="WGE28" s="501"/>
      <c r="WGF28" s="501"/>
      <c r="WGG28" s="501"/>
      <c r="WGH28" s="501"/>
      <c r="WGI28" s="501"/>
      <c r="WGJ28" s="501"/>
      <c r="WGK28" s="501"/>
      <c r="WGL28" s="501"/>
      <c r="WGM28" s="501"/>
      <c r="WGN28" s="501"/>
      <c r="WGO28" s="501"/>
      <c r="WGP28" s="501"/>
      <c r="WGQ28" s="501"/>
      <c r="WGR28" s="501"/>
      <c r="WGS28" s="501"/>
      <c r="WGT28" s="501"/>
      <c r="WGU28" s="501"/>
      <c r="WGV28" s="501"/>
      <c r="WGW28" s="501"/>
      <c r="WGX28" s="501"/>
      <c r="WGY28" s="501"/>
      <c r="WGZ28" s="501"/>
      <c r="WHA28" s="501"/>
      <c r="WHB28" s="501"/>
      <c r="WHC28" s="501"/>
      <c r="WHD28" s="501"/>
      <c r="WHE28" s="501"/>
      <c r="WHF28" s="501"/>
      <c r="WHG28" s="501"/>
      <c r="WHH28" s="501"/>
      <c r="WHI28" s="501"/>
      <c r="WHJ28" s="501"/>
      <c r="WHK28" s="501"/>
      <c r="WHL28" s="501"/>
      <c r="WHM28" s="501"/>
      <c r="WHN28" s="501"/>
      <c r="WHO28" s="501"/>
      <c r="WHP28" s="501"/>
      <c r="WHQ28" s="501"/>
      <c r="WHR28" s="501"/>
      <c r="WHS28" s="501"/>
      <c r="WHT28" s="501"/>
      <c r="WHU28" s="501"/>
      <c r="WHV28" s="501"/>
      <c r="WHW28" s="501"/>
      <c r="WHX28" s="501"/>
      <c r="WHY28" s="501"/>
      <c r="WHZ28" s="501"/>
      <c r="WIA28" s="501"/>
      <c r="WIB28" s="501"/>
      <c r="WIC28" s="501"/>
      <c r="WID28" s="501"/>
      <c r="WIE28" s="501"/>
      <c r="WIF28" s="501"/>
      <c r="WIG28" s="501"/>
      <c r="WIH28" s="501"/>
      <c r="WII28" s="501"/>
      <c r="WIJ28" s="501"/>
      <c r="WIK28" s="501"/>
      <c r="WIL28" s="501"/>
      <c r="WIM28" s="501"/>
      <c r="WIN28" s="501"/>
      <c r="WIO28" s="501"/>
      <c r="WIP28" s="501"/>
      <c r="WIQ28" s="501"/>
      <c r="WIR28" s="501"/>
      <c r="WIS28" s="501"/>
      <c r="WIT28" s="501"/>
      <c r="WIU28" s="501"/>
      <c r="WIV28" s="501"/>
      <c r="WIW28" s="501"/>
      <c r="WIX28" s="501"/>
      <c r="WIY28" s="501"/>
      <c r="WIZ28" s="501"/>
      <c r="WJA28" s="501"/>
      <c r="WJB28" s="501"/>
      <c r="WJC28" s="501"/>
      <c r="WJD28" s="501"/>
      <c r="WJE28" s="501"/>
      <c r="WJF28" s="501"/>
      <c r="WJG28" s="501"/>
      <c r="WJH28" s="501"/>
      <c r="WJI28" s="501"/>
      <c r="WJJ28" s="501"/>
      <c r="WJK28" s="501"/>
      <c r="WJL28" s="501"/>
      <c r="WJM28" s="501"/>
      <c r="WJN28" s="501"/>
      <c r="WJO28" s="501"/>
      <c r="WJP28" s="501"/>
      <c r="WJQ28" s="501"/>
      <c r="WJR28" s="501"/>
      <c r="WJS28" s="501"/>
      <c r="WJT28" s="501"/>
      <c r="WJU28" s="501"/>
      <c r="WJV28" s="501"/>
      <c r="WJW28" s="501"/>
      <c r="WJX28" s="501"/>
      <c r="WJY28" s="501"/>
      <c r="WJZ28" s="501"/>
      <c r="WKA28" s="501"/>
      <c r="WKB28" s="501"/>
      <c r="WKC28" s="501"/>
      <c r="WKD28" s="501"/>
      <c r="WKE28" s="501"/>
      <c r="WKF28" s="501"/>
      <c r="WKG28" s="501"/>
      <c r="WKH28" s="501"/>
      <c r="WKI28" s="501"/>
      <c r="WKJ28" s="501"/>
      <c r="WKK28" s="501"/>
      <c r="WKL28" s="501"/>
      <c r="WKM28" s="501"/>
      <c r="WKN28" s="501"/>
      <c r="WKO28" s="501"/>
      <c r="WKP28" s="501"/>
      <c r="WKQ28" s="501"/>
      <c r="WKR28" s="501"/>
      <c r="WKS28" s="501"/>
      <c r="WKT28" s="501"/>
      <c r="WKU28" s="501"/>
      <c r="WKV28" s="501"/>
      <c r="WKW28" s="501"/>
      <c r="WKX28" s="501"/>
      <c r="WKY28" s="501"/>
      <c r="WKZ28" s="501"/>
      <c r="WLA28" s="501"/>
      <c r="WLB28" s="501"/>
      <c r="WLC28" s="501"/>
      <c r="WLD28" s="501"/>
      <c r="WLE28" s="501"/>
      <c r="WLF28" s="501"/>
      <c r="WLG28" s="501"/>
      <c r="WLH28" s="501"/>
      <c r="WLI28" s="501"/>
      <c r="WLJ28" s="501"/>
      <c r="WLK28" s="501"/>
      <c r="WLL28" s="501"/>
      <c r="WLM28" s="501"/>
      <c r="WLN28" s="501"/>
      <c r="WLO28" s="501"/>
      <c r="WLP28" s="501"/>
      <c r="WLQ28" s="501"/>
      <c r="WLR28" s="501"/>
      <c r="WLS28" s="501"/>
      <c r="WLT28" s="501"/>
      <c r="WLU28" s="501"/>
      <c r="WLV28" s="501"/>
      <c r="WLW28" s="501"/>
      <c r="WLX28" s="501"/>
      <c r="WLY28" s="501"/>
      <c r="WLZ28" s="501"/>
      <c r="WMA28" s="501"/>
      <c r="WMB28" s="501"/>
      <c r="WMC28" s="501"/>
      <c r="WMD28" s="501"/>
      <c r="WME28" s="501"/>
      <c r="WMF28" s="501"/>
      <c r="WMG28" s="501"/>
      <c r="WMH28" s="501"/>
      <c r="WMI28" s="501"/>
      <c r="WMJ28" s="501"/>
      <c r="WMK28" s="501"/>
      <c r="WML28" s="501"/>
      <c r="WMM28" s="501"/>
      <c r="WMN28" s="501"/>
      <c r="WMO28" s="501"/>
      <c r="WMP28" s="501"/>
      <c r="WMQ28" s="501"/>
      <c r="WMR28" s="501"/>
      <c r="WMS28" s="501"/>
      <c r="WMT28" s="501"/>
      <c r="WMU28" s="501"/>
      <c r="WMV28" s="501"/>
      <c r="WMW28" s="501"/>
      <c r="WMX28" s="501"/>
      <c r="WMY28" s="501"/>
      <c r="WMZ28" s="501"/>
      <c r="WNA28" s="501"/>
      <c r="WNB28" s="501"/>
      <c r="WNC28" s="501"/>
      <c r="WND28" s="501"/>
      <c r="WNE28" s="501"/>
      <c r="WNF28" s="501"/>
      <c r="WNG28" s="501"/>
      <c r="WNH28" s="501"/>
      <c r="WNI28" s="501"/>
      <c r="WNJ28" s="501"/>
      <c r="WNK28" s="501"/>
      <c r="WNL28" s="501"/>
      <c r="WNM28" s="501"/>
      <c r="WNN28" s="501"/>
      <c r="WNO28" s="501"/>
      <c r="WNP28" s="501"/>
      <c r="WNQ28" s="501"/>
      <c r="WNR28" s="501"/>
      <c r="WNS28" s="501"/>
      <c r="WNT28" s="501"/>
      <c r="WNU28" s="501"/>
      <c r="WNV28" s="501"/>
      <c r="WNW28" s="501"/>
      <c r="WNX28" s="501"/>
      <c r="WNY28" s="501"/>
      <c r="WNZ28" s="501"/>
      <c r="WOA28" s="501"/>
      <c r="WOB28" s="501"/>
      <c r="WOC28" s="501"/>
      <c r="WOD28" s="501"/>
      <c r="WOE28" s="501"/>
      <c r="WOF28" s="501"/>
      <c r="WOG28" s="501"/>
      <c r="WOH28" s="501"/>
      <c r="WOI28" s="501"/>
      <c r="WOJ28" s="501"/>
      <c r="WOK28" s="501"/>
      <c r="WOL28" s="501"/>
      <c r="WOM28" s="501"/>
      <c r="WON28" s="501"/>
      <c r="WOO28" s="501"/>
      <c r="WOP28" s="501"/>
      <c r="WOQ28" s="501"/>
      <c r="WOR28" s="501"/>
      <c r="WOS28" s="501"/>
      <c r="WOT28" s="501"/>
      <c r="WOU28" s="501"/>
      <c r="WOV28" s="501"/>
      <c r="WOW28" s="501"/>
      <c r="WOX28" s="501"/>
      <c r="WOY28" s="501"/>
      <c r="WOZ28" s="501"/>
      <c r="WPA28" s="501"/>
      <c r="WPB28" s="501"/>
      <c r="WPC28" s="501"/>
      <c r="WPD28" s="501"/>
      <c r="WPE28" s="501"/>
      <c r="WPF28" s="501"/>
      <c r="WPG28" s="501"/>
      <c r="WPH28" s="501"/>
      <c r="WPI28" s="501"/>
      <c r="WPJ28" s="501"/>
      <c r="WPK28" s="501"/>
      <c r="WPL28" s="501"/>
      <c r="WPM28" s="501"/>
      <c r="WPN28" s="501"/>
      <c r="WPO28" s="501"/>
      <c r="WPP28" s="501"/>
      <c r="WPQ28" s="501"/>
      <c r="WPR28" s="501"/>
      <c r="WPS28" s="501"/>
      <c r="WPT28" s="501"/>
      <c r="WPU28" s="501"/>
      <c r="WPV28" s="501"/>
      <c r="WPW28" s="501"/>
      <c r="WPX28" s="501"/>
      <c r="WPY28" s="501"/>
      <c r="WPZ28" s="501"/>
      <c r="WQA28" s="501"/>
      <c r="WQB28" s="501"/>
      <c r="WQC28" s="501"/>
      <c r="WQD28" s="501"/>
      <c r="WQE28" s="501"/>
      <c r="WQF28" s="501"/>
      <c r="WQG28" s="501"/>
      <c r="WQH28" s="501"/>
      <c r="WQI28" s="501"/>
      <c r="WQJ28" s="501"/>
      <c r="WQK28" s="501"/>
      <c r="WQL28" s="501"/>
      <c r="WQM28" s="501"/>
      <c r="WQN28" s="501"/>
      <c r="WQO28" s="501"/>
      <c r="WQP28" s="501"/>
      <c r="WQQ28" s="501"/>
      <c r="WQR28" s="501"/>
      <c r="WQS28" s="501"/>
      <c r="WQT28" s="501"/>
      <c r="WQU28" s="501"/>
      <c r="WQV28" s="501"/>
      <c r="WQW28" s="501"/>
      <c r="WQX28" s="501"/>
      <c r="WQY28" s="501"/>
      <c r="WQZ28" s="501"/>
      <c r="WRA28" s="501"/>
      <c r="WRB28" s="501"/>
      <c r="WRC28" s="501"/>
      <c r="WRD28" s="501"/>
      <c r="WRE28" s="501"/>
      <c r="WRF28" s="501"/>
      <c r="WRG28" s="501"/>
      <c r="WRH28" s="501"/>
      <c r="WRI28" s="501"/>
      <c r="WRJ28" s="501"/>
      <c r="WRK28" s="501"/>
      <c r="WRL28" s="501"/>
      <c r="WRM28" s="501"/>
      <c r="WRN28" s="501"/>
      <c r="WRO28" s="501"/>
      <c r="WRP28" s="501"/>
      <c r="WRQ28" s="501"/>
      <c r="WRR28" s="501"/>
      <c r="WRS28" s="501"/>
      <c r="WRT28" s="501"/>
      <c r="WRU28" s="501"/>
      <c r="WRV28" s="501"/>
      <c r="WRW28" s="501"/>
      <c r="WRX28" s="501"/>
      <c r="WRY28" s="501"/>
      <c r="WRZ28" s="501"/>
      <c r="WSA28" s="501"/>
      <c r="WSB28" s="501"/>
      <c r="WSC28" s="501"/>
      <c r="WSD28" s="501"/>
      <c r="WSE28" s="501"/>
      <c r="WSF28" s="501"/>
      <c r="WSG28" s="501"/>
      <c r="WSH28" s="501"/>
      <c r="WSI28" s="501"/>
      <c r="WSJ28" s="501"/>
      <c r="WSK28" s="501"/>
      <c r="WSL28" s="501"/>
      <c r="WSM28" s="501"/>
      <c r="WSN28" s="501"/>
      <c r="WSO28" s="501"/>
      <c r="WSP28" s="501"/>
      <c r="WSQ28" s="501"/>
      <c r="WSR28" s="501"/>
      <c r="WSS28" s="501"/>
      <c r="WST28" s="501"/>
      <c r="WSU28" s="501"/>
      <c r="WSV28" s="501"/>
      <c r="WSW28" s="501"/>
      <c r="WSX28" s="501"/>
      <c r="WSY28" s="501"/>
      <c r="WSZ28" s="501"/>
      <c r="WTA28" s="501"/>
      <c r="WTB28" s="501"/>
      <c r="WTC28" s="501"/>
      <c r="WTD28" s="501"/>
      <c r="WTE28" s="501"/>
      <c r="WTF28" s="501"/>
      <c r="WTG28" s="501"/>
      <c r="WTH28" s="501"/>
      <c r="WTI28" s="501"/>
      <c r="WTJ28" s="501"/>
      <c r="WTK28" s="501"/>
      <c r="WTL28" s="501"/>
      <c r="WTM28" s="501"/>
      <c r="WTN28" s="501"/>
      <c r="WTO28" s="501"/>
      <c r="WTP28" s="501"/>
      <c r="WTQ28" s="501"/>
      <c r="WTR28" s="501"/>
      <c r="WTS28" s="501"/>
      <c r="WTT28" s="501"/>
      <c r="WTU28" s="501"/>
      <c r="WTV28" s="501"/>
      <c r="WTW28" s="501"/>
      <c r="WTX28" s="501"/>
      <c r="WTY28" s="501"/>
      <c r="WTZ28" s="501"/>
      <c r="WUA28" s="501"/>
      <c r="WUB28" s="501"/>
      <c r="WUC28" s="501"/>
      <c r="WUD28" s="501"/>
      <c r="WUE28" s="501"/>
      <c r="WUF28" s="501"/>
      <c r="WUG28" s="501"/>
      <c r="WUH28" s="501"/>
      <c r="WUI28" s="501"/>
      <c r="WUJ28" s="501"/>
      <c r="WUK28" s="501"/>
      <c r="WUL28" s="501"/>
      <c r="WUM28" s="501"/>
      <c r="WUN28" s="501"/>
      <c r="WUO28" s="501"/>
      <c r="WUP28" s="501"/>
      <c r="WUQ28" s="501"/>
      <c r="WUR28" s="501"/>
      <c r="WUS28" s="501"/>
      <c r="WUT28" s="501"/>
      <c r="WUU28" s="501"/>
      <c r="WUV28" s="501"/>
      <c r="WUW28" s="501"/>
      <c r="WUX28" s="501"/>
      <c r="WUY28" s="501"/>
      <c r="WUZ28" s="501"/>
      <c r="WVA28" s="501"/>
      <c r="WVB28" s="501"/>
      <c r="WVC28" s="501"/>
      <c r="WVD28" s="501"/>
      <c r="WVE28" s="501"/>
      <c r="WVF28" s="501"/>
      <c r="WVG28" s="501"/>
      <c r="WVH28" s="501"/>
      <c r="WVI28" s="501"/>
      <c r="WVJ28" s="501"/>
      <c r="WVK28" s="501"/>
      <c r="WVL28" s="501"/>
      <c r="WVM28" s="501"/>
      <c r="WVN28" s="501"/>
      <c r="WVO28" s="501"/>
      <c r="WVP28" s="501"/>
      <c r="WVQ28" s="501"/>
      <c r="WVR28" s="501"/>
      <c r="WVS28" s="501"/>
      <c r="WVT28" s="501"/>
      <c r="WVU28" s="501"/>
      <c r="WVV28" s="501"/>
      <c r="WVW28" s="501"/>
      <c r="WVX28" s="501"/>
      <c r="WVY28" s="501"/>
      <c r="WVZ28" s="501"/>
      <c r="WWA28" s="501"/>
      <c r="WWB28" s="501"/>
      <c r="WWC28" s="501"/>
      <c r="WWD28" s="501"/>
      <c r="WWE28" s="501"/>
      <c r="WWF28" s="501"/>
      <c r="WWG28" s="501"/>
      <c r="WWH28" s="501"/>
      <c r="WWI28" s="501"/>
      <c r="WWJ28" s="501"/>
      <c r="WWK28" s="501"/>
      <c r="WWL28" s="501"/>
      <c r="WWM28" s="501"/>
      <c r="WWN28" s="501"/>
      <c r="WWO28" s="501"/>
      <c r="WWP28" s="501"/>
      <c r="WWQ28" s="501"/>
      <c r="WWR28" s="501"/>
      <c r="WWS28" s="501"/>
      <c r="WWT28" s="501"/>
      <c r="WWU28" s="501"/>
      <c r="WWV28" s="501"/>
      <c r="WWW28" s="501"/>
      <c r="WWX28" s="501"/>
      <c r="WWY28" s="501"/>
      <c r="WWZ28" s="501"/>
      <c r="WXA28" s="501"/>
      <c r="WXB28" s="501"/>
      <c r="WXC28" s="501"/>
      <c r="WXD28" s="501"/>
      <c r="WXE28" s="501"/>
      <c r="WXF28" s="501"/>
      <c r="WXG28" s="501"/>
      <c r="WXH28" s="501"/>
      <c r="WXI28" s="501"/>
      <c r="WXJ28" s="501"/>
      <c r="WXK28" s="501"/>
      <c r="WXL28" s="501"/>
      <c r="WXM28" s="501"/>
      <c r="WXN28" s="501"/>
      <c r="WXO28" s="501"/>
      <c r="WXP28" s="501"/>
      <c r="WXQ28" s="501"/>
      <c r="WXR28" s="501"/>
      <c r="WXS28" s="501"/>
      <c r="WXT28" s="501"/>
      <c r="WXU28" s="501"/>
      <c r="WXV28" s="501"/>
      <c r="WXW28" s="501"/>
      <c r="WXX28" s="501"/>
      <c r="WXY28" s="501"/>
      <c r="WXZ28" s="501"/>
      <c r="WYA28" s="501"/>
      <c r="WYB28" s="501"/>
      <c r="WYC28" s="501"/>
      <c r="WYD28" s="501"/>
      <c r="WYE28" s="501"/>
      <c r="WYF28" s="501"/>
      <c r="WYG28" s="501"/>
      <c r="WYH28" s="501"/>
      <c r="WYI28" s="501"/>
      <c r="WYJ28" s="501"/>
      <c r="WYK28" s="501"/>
      <c r="WYL28" s="501"/>
      <c r="WYM28" s="501"/>
      <c r="WYN28" s="501"/>
      <c r="WYO28" s="501"/>
      <c r="WYP28" s="501"/>
      <c r="WYQ28" s="501"/>
      <c r="WYR28" s="501"/>
      <c r="WYS28" s="501"/>
      <c r="WYT28" s="501"/>
      <c r="WYU28" s="501"/>
      <c r="WYV28" s="501"/>
      <c r="WYW28" s="501"/>
      <c r="WYX28" s="501"/>
      <c r="WYY28" s="501"/>
      <c r="WYZ28" s="501"/>
      <c r="WZA28" s="501"/>
      <c r="WZB28" s="501"/>
      <c r="WZC28" s="501"/>
      <c r="WZD28" s="501"/>
      <c r="WZE28" s="501"/>
      <c r="WZF28" s="501"/>
      <c r="WZG28" s="501"/>
      <c r="WZH28" s="501"/>
      <c r="WZI28" s="501"/>
      <c r="WZJ28" s="501"/>
      <c r="WZK28" s="501"/>
      <c r="WZL28" s="501"/>
      <c r="WZM28" s="501"/>
      <c r="WZN28" s="501"/>
      <c r="WZO28" s="501"/>
      <c r="WZP28" s="501"/>
      <c r="WZQ28" s="501"/>
      <c r="WZR28" s="501"/>
      <c r="WZS28" s="501"/>
      <c r="WZT28" s="501"/>
      <c r="WZU28" s="501"/>
      <c r="WZV28" s="501"/>
      <c r="WZW28" s="501"/>
      <c r="WZX28" s="501"/>
      <c r="WZY28" s="501"/>
      <c r="WZZ28" s="501"/>
      <c r="XAA28" s="501"/>
      <c r="XAB28" s="501"/>
      <c r="XAC28" s="501"/>
      <c r="XAD28" s="501"/>
      <c r="XAE28" s="501"/>
      <c r="XAF28" s="501"/>
      <c r="XAG28" s="501"/>
      <c r="XAH28" s="501"/>
      <c r="XAI28" s="501"/>
      <c r="XAJ28" s="501"/>
      <c r="XAK28" s="501"/>
      <c r="XAL28" s="501"/>
      <c r="XAM28" s="501"/>
      <c r="XAN28" s="501"/>
      <c r="XAO28" s="501"/>
      <c r="XAP28" s="501"/>
      <c r="XAQ28" s="501"/>
      <c r="XAR28" s="501"/>
      <c r="XAS28" s="501"/>
      <c r="XAT28" s="501"/>
      <c r="XAU28" s="501"/>
      <c r="XAV28" s="501"/>
      <c r="XAW28" s="501"/>
      <c r="XAX28" s="501"/>
      <c r="XAY28" s="501"/>
      <c r="XAZ28" s="501"/>
      <c r="XBA28" s="501"/>
      <c r="XBB28" s="501"/>
      <c r="XBC28" s="501"/>
      <c r="XBD28" s="501"/>
      <c r="XBE28" s="501"/>
      <c r="XBF28" s="501"/>
      <c r="XBG28" s="501"/>
      <c r="XBH28" s="501"/>
      <c r="XBI28" s="501"/>
      <c r="XBJ28" s="501"/>
      <c r="XBK28" s="501"/>
      <c r="XBL28" s="501"/>
      <c r="XBM28" s="501"/>
      <c r="XBN28" s="501"/>
      <c r="XBO28" s="501"/>
      <c r="XBP28" s="501"/>
      <c r="XBQ28" s="501"/>
      <c r="XBR28" s="501"/>
      <c r="XBS28" s="501"/>
      <c r="XBT28" s="501"/>
      <c r="XBU28" s="501"/>
      <c r="XBV28" s="501"/>
      <c r="XBW28" s="501"/>
      <c r="XBX28" s="501"/>
      <c r="XBY28" s="501"/>
      <c r="XBZ28" s="501"/>
      <c r="XCA28" s="501"/>
      <c r="XCB28" s="501"/>
      <c r="XCC28" s="501"/>
      <c r="XCD28" s="501"/>
      <c r="XCE28" s="501"/>
    </row>
    <row r="29" spans="1:16307" s="788" customFormat="1" ht="20.25" x14ac:dyDescent="0.3">
      <c r="A29" s="786">
        <v>2</v>
      </c>
      <c r="B29" s="790" t="s">
        <v>371</v>
      </c>
      <c r="S29" s="791"/>
      <c r="T29" s="789"/>
      <c r="W29" s="789"/>
      <c r="Z29" s="789"/>
    </row>
    <row r="30" spans="1:16307" s="543" customFormat="1" ht="20.25" x14ac:dyDescent="0.3">
      <c r="A30" s="561" t="s">
        <v>681</v>
      </c>
      <c r="B30" s="172"/>
      <c r="D30" s="128" t="s">
        <v>82</v>
      </c>
      <c r="E30" s="128"/>
      <c r="F30" s="128"/>
      <c r="G30" s="128"/>
      <c r="H30" s="128"/>
      <c r="I30" s="128"/>
      <c r="J30" s="128"/>
      <c r="K30" s="128"/>
      <c r="L30" s="128"/>
      <c r="M30" s="128"/>
      <c r="S30" s="545"/>
      <c r="T30" s="544"/>
      <c r="W30" s="544"/>
      <c r="Z30" s="544"/>
    </row>
    <row r="31" spans="1:16307" s="543" customFormat="1" ht="20.25" x14ac:dyDescent="0.3">
      <c r="A31" s="459"/>
      <c r="D31" s="129" t="s">
        <v>682</v>
      </c>
      <c r="E31" s="129" t="s">
        <v>683</v>
      </c>
      <c r="F31" s="129" t="s">
        <v>684</v>
      </c>
      <c r="G31" s="129" t="s">
        <v>685</v>
      </c>
      <c r="H31" s="129" t="s">
        <v>686</v>
      </c>
      <c r="I31" s="129" t="s">
        <v>687</v>
      </c>
      <c r="J31" s="129" t="s">
        <v>688</v>
      </c>
      <c r="K31" s="129" t="s">
        <v>689</v>
      </c>
      <c r="L31" s="129" t="s">
        <v>690</v>
      </c>
      <c r="M31" s="129" t="s">
        <v>691</v>
      </c>
      <c r="N31" s="129" t="s">
        <v>692</v>
      </c>
      <c r="O31" s="129" t="s">
        <v>693</v>
      </c>
      <c r="S31" s="545"/>
      <c r="T31" s="544"/>
      <c r="W31" s="544"/>
      <c r="Z31" s="544"/>
    </row>
    <row r="32" spans="1:16307" s="543" customFormat="1" ht="20.25" x14ac:dyDescent="0.3">
      <c r="A32" s="561" t="s">
        <v>694</v>
      </c>
      <c r="D32" s="172"/>
      <c r="E32" s="128"/>
      <c r="F32" s="128"/>
      <c r="G32" s="128"/>
      <c r="H32" s="128"/>
      <c r="I32" s="128"/>
      <c r="J32" s="128"/>
      <c r="K32" s="128"/>
      <c r="L32" s="128"/>
      <c r="M32" s="128"/>
      <c r="N32" s="128"/>
      <c r="O32" s="128"/>
      <c r="S32" s="545"/>
      <c r="T32" s="544"/>
      <c r="W32" s="544"/>
      <c r="Z32" s="544"/>
    </row>
    <row r="33" spans="1:26" s="543" customFormat="1" ht="20.25" x14ac:dyDescent="0.3">
      <c r="A33" s="561" t="s">
        <v>695</v>
      </c>
      <c r="D33" s="562">
        <v>63690</v>
      </c>
      <c r="E33" s="562">
        <v>96100</v>
      </c>
      <c r="F33" s="562">
        <v>52663</v>
      </c>
      <c r="G33" s="562">
        <v>52331</v>
      </c>
      <c r="H33" s="562">
        <v>33231</v>
      </c>
      <c r="I33" s="562">
        <v>38321</v>
      </c>
      <c r="J33" s="562">
        <v>43278</v>
      </c>
      <c r="K33" s="562">
        <v>49566</v>
      </c>
      <c r="L33" s="562">
        <v>62030</v>
      </c>
      <c r="M33" s="562">
        <v>69156</v>
      </c>
      <c r="N33" s="562">
        <v>80988</v>
      </c>
      <c r="O33" s="562">
        <v>46669</v>
      </c>
      <c r="S33" s="545"/>
      <c r="T33" s="544"/>
      <c r="W33" s="544"/>
      <c r="Z33" s="544"/>
    </row>
    <row r="34" spans="1:26" s="543" customFormat="1" ht="20.25" x14ac:dyDescent="0.3">
      <c r="A34" s="561" t="s">
        <v>696</v>
      </c>
      <c r="D34" s="562">
        <v>1239</v>
      </c>
      <c r="E34" s="562">
        <v>1174</v>
      </c>
      <c r="F34" s="562">
        <v>2619</v>
      </c>
      <c r="G34" s="562">
        <v>2610</v>
      </c>
      <c r="H34" s="562">
        <v>3129</v>
      </c>
      <c r="I34" s="562">
        <v>3244</v>
      </c>
      <c r="J34" s="562">
        <v>4291</v>
      </c>
      <c r="K34" s="562">
        <v>4676</v>
      </c>
      <c r="L34" s="562">
        <v>3776</v>
      </c>
      <c r="M34" s="562">
        <v>3140</v>
      </c>
      <c r="N34" s="562">
        <v>1973</v>
      </c>
      <c r="O34" s="562">
        <v>1643</v>
      </c>
      <c r="S34" s="545"/>
      <c r="T34" s="544"/>
      <c r="W34" s="544"/>
      <c r="Z34" s="544"/>
    </row>
    <row r="35" spans="1:26" s="543" customFormat="1" ht="20.25" x14ac:dyDescent="0.3">
      <c r="A35" s="561" t="s">
        <v>697</v>
      </c>
      <c r="D35" s="562">
        <v>7650</v>
      </c>
      <c r="E35" s="562">
        <v>51000</v>
      </c>
      <c r="F35" s="562">
        <v>19210</v>
      </c>
      <c r="G35" s="562">
        <v>18520</v>
      </c>
      <c r="H35" s="562">
        <v>14660</v>
      </c>
      <c r="I35" s="562">
        <v>14145</v>
      </c>
      <c r="J35" s="562">
        <v>15295</v>
      </c>
      <c r="K35" s="562">
        <v>15220</v>
      </c>
      <c r="L35" s="562">
        <v>14250</v>
      </c>
      <c r="M35" s="562">
        <v>14880</v>
      </c>
      <c r="N35" s="562">
        <v>7480</v>
      </c>
      <c r="O35" s="562">
        <v>12940</v>
      </c>
      <c r="S35" s="545"/>
      <c r="T35" s="544"/>
      <c r="W35" s="544"/>
      <c r="Z35" s="544"/>
    </row>
    <row r="36" spans="1:26" s="543" customFormat="1" ht="20.25" x14ac:dyDescent="0.3">
      <c r="A36" s="561"/>
      <c r="D36" s="172"/>
      <c r="E36" s="128"/>
      <c r="F36" s="128"/>
      <c r="G36" s="128"/>
      <c r="H36" s="128"/>
      <c r="I36" s="128"/>
      <c r="J36" s="128"/>
      <c r="K36" s="128"/>
      <c r="L36" s="128"/>
      <c r="M36" s="128"/>
      <c r="N36" s="128"/>
      <c r="O36" s="128"/>
      <c r="S36" s="545"/>
      <c r="T36" s="544"/>
      <c r="W36" s="544"/>
      <c r="Z36" s="544"/>
    </row>
    <row r="37" spans="1:26" s="543" customFormat="1" ht="20.25" x14ac:dyDescent="0.3">
      <c r="A37" s="561" t="s">
        <v>698</v>
      </c>
      <c r="D37" s="172"/>
      <c r="E37" s="128"/>
      <c r="F37" s="128"/>
      <c r="G37" s="128"/>
      <c r="H37" s="128"/>
      <c r="I37" s="128"/>
      <c r="J37" s="128"/>
      <c r="K37" s="128"/>
      <c r="L37" s="128"/>
      <c r="M37" s="128"/>
      <c r="N37" s="128"/>
      <c r="O37" s="128"/>
      <c r="S37" s="545"/>
      <c r="T37" s="544"/>
      <c r="W37" s="544"/>
      <c r="Z37" s="544"/>
    </row>
    <row r="38" spans="1:26" s="543" customFormat="1" ht="20.25" x14ac:dyDescent="0.3">
      <c r="A38" s="561" t="s">
        <v>699</v>
      </c>
      <c r="D38" s="563">
        <v>4256.4121177097659</v>
      </c>
      <c r="E38" s="563">
        <v>6377.5561831554178</v>
      </c>
      <c r="F38" s="563">
        <v>3556.6848231160116</v>
      </c>
      <c r="G38" s="563">
        <v>3171.2637059333579</v>
      </c>
      <c r="H38" s="563">
        <v>1908.1012395095074</v>
      </c>
      <c r="I38" s="563">
        <v>2236.8601957945912</v>
      </c>
      <c r="J38" s="563">
        <v>2480.046986112271</v>
      </c>
      <c r="K38" s="563">
        <v>2889.8894743621131</v>
      </c>
      <c r="L38" s="563">
        <v>3675.1047274251073</v>
      </c>
      <c r="M38" s="563">
        <v>3931.462642454655</v>
      </c>
      <c r="N38" s="563">
        <v>4675.4303886231037</v>
      </c>
      <c r="O38" s="563">
        <v>3027.0494729911525</v>
      </c>
      <c r="S38" s="545"/>
      <c r="T38" s="544"/>
      <c r="W38" s="544"/>
      <c r="Z38" s="544"/>
    </row>
    <row r="39" spans="1:26" s="543" customFormat="1" ht="20.25" x14ac:dyDescent="0.3">
      <c r="A39" s="561" t="s">
        <v>700</v>
      </c>
      <c r="D39" s="563">
        <v>1127.617731958763</v>
      </c>
      <c r="E39" s="563">
        <v>1064.8768612637361</v>
      </c>
      <c r="F39" s="563">
        <v>2370.4083184445608</v>
      </c>
      <c r="G39" s="563">
        <v>2363.1817955112219</v>
      </c>
      <c r="H39" s="563">
        <v>2919.3326813471504</v>
      </c>
      <c r="I39" s="563">
        <v>2999.3231699402222</v>
      </c>
      <c r="J39" s="563">
        <v>4019.7123583902812</v>
      </c>
      <c r="K39" s="563">
        <v>4315.7190610328635</v>
      </c>
      <c r="L39" s="563">
        <v>3231.4580576021435</v>
      </c>
      <c r="M39" s="563">
        <v>2576.3889728096678</v>
      </c>
      <c r="N39" s="563">
        <v>1748.7576526162788</v>
      </c>
      <c r="O39" s="563">
        <v>1610.2013059701492</v>
      </c>
      <c r="S39" s="545"/>
      <c r="T39" s="544"/>
      <c r="W39" s="544"/>
      <c r="Z39" s="544"/>
    </row>
    <row r="40" spans="1:26" s="543" customFormat="1" ht="20.25" x14ac:dyDescent="0.3">
      <c r="A40" s="561" t="s">
        <v>701</v>
      </c>
      <c r="D40" s="563">
        <v>655.21375741886595</v>
      </c>
      <c r="E40" s="563">
        <v>3873.6273381294955</v>
      </c>
      <c r="F40" s="563">
        <v>1427.3187692546476</v>
      </c>
      <c r="G40" s="563">
        <v>1443.0696586338706</v>
      </c>
      <c r="H40" s="563">
        <v>1161.1630720152471</v>
      </c>
      <c r="I40" s="563">
        <v>1229.1502730326297</v>
      </c>
      <c r="J40" s="563">
        <v>1053.8383288569644</v>
      </c>
      <c r="K40" s="563">
        <v>1262.4952720997553</v>
      </c>
      <c r="L40" s="563">
        <v>983.06151713709664</v>
      </c>
      <c r="M40" s="563">
        <v>1081.6690410547553</v>
      </c>
      <c r="N40" s="563">
        <v>556.54566095627717</v>
      </c>
      <c r="O40" s="563">
        <v>982.29825476403641</v>
      </c>
      <c r="S40" s="545"/>
      <c r="T40" s="544"/>
      <c r="W40" s="544"/>
      <c r="Z40" s="544"/>
    </row>
    <row r="41" spans="1:26" s="543" customFormat="1" ht="20.25" x14ac:dyDescent="0.3">
      <c r="A41" s="561" t="s">
        <v>702</v>
      </c>
      <c r="B41" s="172"/>
      <c r="C41" s="128"/>
      <c r="D41" s="128"/>
      <c r="E41" s="128"/>
      <c r="F41" s="128"/>
      <c r="G41" s="128"/>
      <c r="H41" s="128"/>
      <c r="I41" s="128"/>
      <c r="J41" s="128"/>
      <c r="K41" s="128"/>
      <c r="L41" s="128"/>
      <c r="M41" s="128"/>
      <c r="S41" s="545"/>
      <c r="T41" s="544"/>
      <c r="W41" s="544"/>
      <c r="Z41" s="544"/>
    </row>
    <row r="42" spans="1:26" s="543" customFormat="1" ht="20.25" x14ac:dyDescent="0.3">
      <c r="A42" s="561" t="s">
        <v>703</v>
      </c>
      <c r="B42" s="172"/>
      <c r="C42" s="128"/>
      <c r="D42" s="128"/>
      <c r="E42" s="128"/>
      <c r="F42" s="128"/>
      <c r="G42" s="128"/>
      <c r="H42" s="128"/>
      <c r="I42" s="128"/>
      <c r="J42" s="128"/>
      <c r="K42" s="128"/>
      <c r="L42" s="128"/>
      <c r="M42" s="128"/>
      <c r="S42" s="545"/>
      <c r="T42" s="544"/>
      <c r="W42" s="544"/>
      <c r="Z42" s="544"/>
    </row>
    <row r="43" spans="1:26" s="543" customFormat="1" ht="20.25" x14ac:dyDescent="0.3">
      <c r="A43" s="561" t="s">
        <v>704</v>
      </c>
      <c r="B43" s="172"/>
      <c r="C43" s="128"/>
      <c r="D43" s="128"/>
      <c r="E43" s="128"/>
      <c r="F43" s="128"/>
      <c r="G43" s="128"/>
      <c r="H43" s="128"/>
      <c r="I43" s="128"/>
      <c r="J43" s="128"/>
      <c r="K43" s="128"/>
      <c r="L43" s="128"/>
      <c r="M43" s="128"/>
      <c r="S43" s="545"/>
      <c r="T43" s="544"/>
      <c r="W43" s="544"/>
      <c r="Z43" s="544"/>
    </row>
    <row r="44" spans="1:26" s="788" customFormat="1" ht="20.25" x14ac:dyDescent="0.3">
      <c r="A44" s="786">
        <v>3</v>
      </c>
      <c r="B44" s="787" t="s">
        <v>375</v>
      </c>
      <c r="S44" s="791"/>
      <c r="T44" s="789"/>
      <c r="W44" s="789"/>
    </row>
    <row r="45" spans="1:26" s="543" customFormat="1" ht="20.25" x14ac:dyDescent="0.3">
      <c r="A45" s="561" t="s">
        <v>283</v>
      </c>
      <c r="B45" s="127"/>
      <c r="D45" s="128" t="s">
        <v>64</v>
      </c>
      <c r="E45" s="128"/>
      <c r="F45" s="128"/>
      <c r="G45" s="128"/>
      <c r="H45" s="128"/>
      <c r="I45" s="128"/>
      <c r="J45" s="128"/>
      <c r="K45" s="128"/>
      <c r="L45" s="128"/>
      <c r="M45" s="128"/>
      <c r="S45" s="545"/>
      <c r="T45" s="544"/>
      <c r="W45" s="544"/>
    </row>
    <row r="46" spans="1:26" s="543" customFormat="1" ht="20.25" x14ac:dyDescent="0.3">
      <c r="A46" s="459"/>
      <c r="D46" s="564" t="s">
        <v>682</v>
      </c>
      <c r="E46" s="128" t="s">
        <v>683</v>
      </c>
      <c r="F46" s="128" t="s">
        <v>684</v>
      </c>
      <c r="G46" s="128" t="s">
        <v>685</v>
      </c>
      <c r="H46" s="128" t="s">
        <v>686</v>
      </c>
      <c r="I46" s="128" t="s">
        <v>687</v>
      </c>
      <c r="J46" s="128" t="s">
        <v>688</v>
      </c>
      <c r="K46" s="128" t="s">
        <v>689</v>
      </c>
      <c r="L46" s="128" t="s">
        <v>690</v>
      </c>
      <c r="M46" s="128" t="s">
        <v>691</v>
      </c>
      <c r="N46" s="128" t="s">
        <v>692</v>
      </c>
      <c r="O46" s="128" t="s">
        <v>693</v>
      </c>
      <c r="S46" s="545"/>
      <c r="T46" s="544"/>
      <c r="W46" s="544"/>
    </row>
    <row r="47" spans="1:26" s="543" customFormat="1" ht="20.25" x14ac:dyDescent="0.3">
      <c r="A47" s="561" t="s">
        <v>694</v>
      </c>
      <c r="D47" s="127"/>
      <c r="E47" s="128"/>
      <c r="F47" s="128"/>
      <c r="G47" s="128"/>
      <c r="H47" s="128"/>
      <c r="I47" s="128"/>
      <c r="J47" s="128"/>
      <c r="K47" s="128"/>
      <c r="L47" s="128"/>
      <c r="M47" s="128"/>
      <c r="N47" s="128"/>
      <c r="O47" s="128"/>
      <c r="S47" s="545"/>
      <c r="T47" s="544"/>
      <c r="W47" s="544"/>
    </row>
    <row r="48" spans="1:26" s="543" customFormat="1" ht="20.25" x14ac:dyDescent="0.3">
      <c r="A48" s="561" t="s">
        <v>695</v>
      </c>
      <c r="D48" s="567">
        <v>217457</v>
      </c>
      <c r="E48" s="562">
        <v>160490</v>
      </c>
      <c r="F48" s="562">
        <v>203429</v>
      </c>
      <c r="G48" s="562">
        <v>166251</v>
      </c>
      <c r="H48" s="562">
        <v>138132</v>
      </c>
      <c r="I48" s="562">
        <v>124889</v>
      </c>
      <c r="J48" s="562">
        <v>139000</v>
      </c>
      <c r="K48" s="562">
        <v>133870</v>
      </c>
      <c r="L48" s="562">
        <v>139130</v>
      </c>
      <c r="M48" s="562">
        <v>146224</v>
      </c>
      <c r="N48" s="562">
        <v>153776</v>
      </c>
      <c r="O48" s="562">
        <v>65996</v>
      </c>
      <c r="S48" s="545"/>
      <c r="T48" s="544"/>
      <c r="W48" s="544"/>
    </row>
    <row r="49" spans="1:23" s="543" customFormat="1" ht="20.25" x14ac:dyDescent="0.3">
      <c r="A49" s="561" t="s">
        <v>696</v>
      </c>
      <c r="D49" s="566">
        <v>3277</v>
      </c>
      <c r="E49" s="562">
        <v>3078</v>
      </c>
      <c r="F49" s="562">
        <v>3630</v>
      </c>
      <c r="G49" s="562">
        <v>4223</v>
      </c>
      <c r="H49" s="562">
        <v>4887</v>
      </c>
      <c r="I49" s="562">
        <v>5896</v>
      </c>
      <c r="J49" s="562">
        <v>8070</v>
      </c>
      <c r="K49" s="562">
        <v>8390</v>
      </c>
      <c r="L49" s="562">
        <v>6911</v>
      </c>
      <c r="M49" s="562">
        <v>4287</v>
      </c>
      <c r="N49" s="562">
        <v>3143</v>
      </c>
      <c r="O49" s="562">
        <v>3451</v>
      </c>
      <c r="S49" s="545"/>
      <c r="T49" s="544"/>
      <c r="W49" s="544"/>
    </row>
    <row r="50" spans="1:23" s="543" customFormat="1" ht="20.25" x14ac:dyDescent="0.3">
      <c r="A50" s="561" t="s">
        <v>697</v>
      </c>
      <c r="D50" s="566">
        <v>23765</v>
      </c>
      <c r="E50" s="562">
        <v>60876</v>
      </c>
      <c r="F50" s="562">
        <v>74436</v>
      </c>
      <c r="G50" s="562">
        <v>50221</v>
      </c>
      <c r="H50" s="562">
        <v>55522</v>
      </c>
      <c r="I50" s="562">
        <v>41439</v>
      </c>
      <c r="J50" s="562">
        <v>76667</v>
      </c>
      <c r="K50" s="562">
        <v>19317</v>
      </c>
      <c r="L50" s="562">
        <v>60140</v>
      </c>
      <c r="M50" s="562">
        <v>54212</v>
      </c>
      <c r="N50" s="562">
        <v>42411</v>
      </c>
      <c r="O50" s="562">
        <v>47588</v>
      </c>
      <c r="S50" s="545"/>
      <c r="T50" s="544"/>
      <c r="W50" s="544"/>
    </row>
    <row r="51" spans="1:23" s="543" customFormat="1" ht="20.25" x14ac:dyDescent="0.3">
      <c r="A51" s="561"/>
      <c r="D51" s="127"/>
      <c r="E51" s="128"/>
      <c r="F51" s="128"/>
      <c r="G51" s="128"/>
      <c r="H51" s="128"/>
      <c r="I51" s="128"/>
      <c r="J51" s="128"/>
      <c r="K51" s="128"/>
      <c r="L51" s="128"/>
      <c r="M51" s="128"/>
      <c r="N51" s="128"/>
      <c r="O51" s="128"/>
      <c r="S51" s="545"/>
      <c r="T51" s="544"/>
      <c r="W51" s="544"/>
    </row>
    <row r="52" spans="1:23" s="543" customFormat="1" ht="20.25" x14ac:dyDescent="0.3">
      <c r="A52" s="561" t="s">
        <v>698</v>
      </c>
      <c r="D52" s="127"/>
      <c r="E52" s="128"/>
      <c r="F52" s="128"/>
      <c r="G52" s="128"/>
      <c r="H52" s="128"/>
      <c r="I52" s="128"/>
      <c r="J52" s="128"/>
      <c r="K52" s="128"/>
      <c r="L52" s="128"/>
      <c r="M52" s="128"/>
      <c r="N52" s="128"/>
      <c r="O52" s="128"/>
      <c r="S52" s="545"/>
      <c r="T52" s="544"/>
      <c r="W52" s="544"/>
    </row>
    <row r="53" spans="1:23" s="543" customFormat="1" ht="20.25" x14ac:dyDescent="0.3">
      <c r="A53" s="561" t="s">
        <v>699</v>
      </c>
      <c r="D53" s="565">
        <v>14532.683464920909</v>
      </c>
      <c r="E53" s="563">
        <v>10650.717917113559</v>
      </c>
      <c r="F53" s="563">
        <v>13738.921764458293</v>
      </c>
      <c r="G53" s="563">
        <v>10074.826821102724</v>
      </c>
      <c r="H53" s="563">
        <v>7931.4447478537295</v>
      </c>
      <c r="I53" s="563">
        <v>7289.9776360896294</v>
      </c>
      <c r="J53" s="563">
        <v>7965.398841665643</v>
      </c>
      <c r="K53" s="563">
        <v>7805.1386824205329</v>
      </c>
      <c r="L53" s="563">
        <v>8243.0649802781736</v>
      </c>
      <c r="M53" s="563">
        <v>8312.7160829181776</v>
      </c>
      <c r="N53" s="563">
        <v>8877.4754709451572</v>
      </c>
      <c r="O53" s="563">
        <v>4280.6393327374508</v>
      </c>
      <c r="S53" s="545"/>
      <c r="T53" s="544"/>
      <c r="W53" s="544"/>
    </row>
    <row r="54" spans="1:23" s="543" customFormat="1" ht="20.25" x14ac:dyDescent="0.3">
      <c r="A54" s="561" t="s">
        <v>700</v>
      </c>
      <c r="D54" s="565">
        <v>2982.4078350515465</v>
      </c>
      <c r="E54" s="563">
        <v>2791.9003228021975</v>
      </c>
      <c r="F54" s="563">
        <v>3285.4456647398838</v>
      </c>
      <c r="G54" s="563">
        <v>3823.6462538099195</v>
      </c>
      <c r="H54" s="563">
        <v>4559.5330181347153</v>
      </c>
      <c r="I54" s="563">
        <v>5451.2975986336469</v>
      </c>
      <c r="J54" s="563">
        <v>7559.7946241457857</v>
      </c>
      <c r="K54" s="563">
        <v>7743.5592219986584</v>
      </c>
      <c r="L54" s="563">
        <v>5914.355570997991</v>
      </c>
      <c r="M54" s="563">
        <v>3517.5094033232631</v>
      </c>
      <c r="N54" s="563">
        <v>2785.7806904069762</v>
      </c>
      <c r="O54" s="563">
        <v>3382.1087686567162</v>
      </c>
      <c r="S54" s="545"/>
      <c r="T54" s="544"/>
      <c r="W54" s="544"/>
    </row>
    <row r="55" spans="1:23" s="543" customFormat="1" ht="20.25" x14ac:dyDescent="0.3">
      <c r="A55" s="561" t="s">
        <v>701</v>
      </c>
      <c r="D55" s="565">
        <v>2035.4450908574313</v>
      </c>
      <c r="E55" s="563">
        <v>4623.7438791366894</v>
      </c>
      <c r="F55" s="563">
        <v>5530.6559036043182</v>
      </c>
      <c r="G55" s="563">
        <v>3913.1966158883165</v>
      </c>
      <c r="H55" s="563">
        <v>4397.6873181739802</v>
      </c>
      <c r="I55" s="563">
        <v>3600.9019557581573</v>
      </c>
      <c r="J55" s="563">
        <v>5282.4206053270273</v>
      </c>
      <c r="K55" s="563">
        <v>1602.3404186038747</v>
      </c>
      <c r="L55" s="563">
        <v>4148.86453618421</v>
      </c>
      <c r="M55" s="563">
        <v>3940.8227186599729</v>
      </c>
      <c r="N55" s="563">
        <v>3155.5692549220148</v>
      </c>
      <c r="O55" s="563">
        <v>3612.4891304258863</v>
      </c>
      <c r="S55" s="545"/>
      <c r="T55" s="544"/>
      <c r="W55" s="544"/>
    </row>
    <row r="56" spans="1:23" s="788" customFormat="1" ht="21" thickBot="1" x14ac:dyDescent="0.35">
      <c r="A56" s="786">
        <v>4</v>
      </c>
      <c r="B56" s="790" t="s">
        <v>553</v>
      </c>
      <c r="S56" s="792"/>
      <c r="T56" s="793"/>
      <c r="U56" s="792"/>
      <c r="V56" s="794"/>
      <c r="W56" s="795"/>
    </row>
    <row r="57" spans="1:23" ht="16.5" thickBot="1" x14ac:dyDescent="0.3">
      <c r="A57" s="2272" t="s">
        <v>672</v>
      </c>
      <c r="B57" s="2273"/>
      <c r="C57" s="503">
        <v>41833</v>
      </c>
      <c r="D57" s="504">
        <v>41864</v>
      </c>
      <c r="E57" s="504">
        <v>41895</v>
      </c>
      <c r="F57" s="504">
        <v>41925</v>
      </c>
      <c r="G57" s="504">
        <v>41956</v>
      </c>
      <c r="H57" s="505">
        <v>41986</v>
      </c>
      <c r="I57" s="506">
        <v>41653</v>
      </c>
      <c r="J57" s="504">
        <v>41684</v>
      </c>
      <c r="K57" s="504">
        <v>41712</v>
      </c>
      <c r="L57" s="504">
        <v>41743</v>
      </c>
      <c r="M57" s="504">
        <v>41773</v>
      </c>
      <c r="N57" s="505">
        <v>41804</v>
      </c>
      <c r="O57" s="507" t="s">
        <v>658</v>
      </c>
    </row>
    <row r="58" spans="1:23" ht="15.75" thickBot="1" x14ac:dyDescent="0.3">
      <c r="A58" s="2274" t="s">
        <v>659</v>
      </c>
      <c r="B58" s="508" t="s">
        <v>660</v>
      </c>
      <c r="C58" s="509"/>
      <c r="D58" s="509" t="s">
        <v>38</v>
      </c>
      <c r="E58" s="509" t="s">
        <v>38</v>
      </c>
      <c r="F58" s="509" t="s">
        <v>38</v>
      </c>
      <c r="G58" s="509" t="s">
        <v>38</v>
      </c>
      <c r="H58" s="509" t="s">
        <v>38</v>
      </c>
      <c r="I58" s="509" t="s">
        <v>38</v>
      </c>
      <c r="J58" s="510" t="s">
        <v>38</v>
      </c>
      <c r="K58" s="510" t="s">
        <v>38</v>
      </c>
      <c r="L58" s="510" t="s">
        <v>38</v>
      </c>
      <c r="M58" s="510" t="s">
        <v>38</v>
      </c>
      <c r="N58" s="511" t="s">
        <v>38</v>
      </c>
      <c r="O58" s="535"/>
      <c r="Q58" s="536" t="s">
        <v>673</v>
      </c>
    </row>
    <row r="59" spans="1:23" ht="15.75" thickBot="1" x14ac:dyDescent="0.3">
      <c r="A59" s="2275"/>
      <c r="B59" s="513" t="s">
        <v>662</v>
      </c>
      <c r="C59" s="514" t="s">
        <v>38</v>
      </c>
      <c r="D59" s="514" t="s">
        <v>38</v>
      </c>
      <c r="E59" s="514" t="s">
        <v>38</v>
      </c>
      <c r="F59" s="514" t="s">
        <v>38</v>
      </c>
      <c r="G59" s="514" t="s">
        <v>38</v>
      </c>
      <c r="H59" s="514" t="s">
        <v>38</v>
      </c>
      <c r="I59" s="514" t="s">
        <v>38</v>
      </c>
      <c r="J59" s="514" t="s">
        <v>38</v>
      </c>
      <c r="K59" s="514" t="s">
        <v>38</v>
      </c>
      <c r="L59" s="514" t="s">
        <v>38</v>
      </c>
      <c r="M59" s="514" t="s">
        <v>38</v>
      </c>
      <c r="N59" s="515" t="s">
        <v>38</v>
      </c>
      <c r="O59" s="535"/>
    </row>
    <row r="60" spans="1:23" ht="15.75" thickBot="1" x14ac:dyDescent="0.3">
      <c r="A60" s="2276"/>
      <c r="B60" s="513" t="s">
        <v>663</v>
      </c>
      <c r="C60" s="516" t="s">
        <v>38</v>
      </c>
      <c r="D60" s="516" t="s">
        <v>38</v>
      </c>
      <c r="E60" s="516" t="s">
        <v>38</v>
      </c>
      <c r="F60" s="516" t="s">
        <v>38</v>
      </c>
      <c r="G60" s="516" t="s">
        <v>38</v>
      </c>
      <c r="H60" s="516" t="s">
        <v>38</v>
      </c>
      <c r="I60" s="516" t="s">
        <v>38</v>
      </c>
      <c r="J60" s="516" t="s">
        <v>38</v>
      </c>
      <c r="K60" s="516" t="s">
        <v>38</v>
      </c>
      <c r="L60" s="516" t="s">
        <v>38</v>
      </c>
      <c r="M60" s="516" t="s">
        <v>38</v>
      </c>
      <c r="N60" s="516" t="s">
        <v>38</v>
      </c>
      <c r="O60" s="477" t="s">
        <v>38</v>
      </c>
      <c r="P60" s="537" t="s">
        <v>38</v>
      </c>
    </row>
    <row r="61" spans="1:23" ht="16.5" thickBot="1" x14ac:dyDescent="0.3">
      <c r="A61" s="519"/>
      <c r="B61" s="520"/>
      <c r="C61" s="521"/>
      <c r="D61" s="521"/>
      <c r="E61" s="521"/>
      <c r="F61" s="521"/>
      <c r="G61" s="521"/>
      <c r="H61" s="521"/>
      <c r="I61" s="521"/>
      <c r="J61" s="521"/>
      <c r="K61" s="521"/>
      <c r="L61" s="521"/>
      <c r="M61" s="521"/>
      <c r="N61" s="521"/>
      <c r="O61" s="522"/>
    </row>
    <row r="62" spans="1:23" ht="15.75" thickBot="1" x14ac:dyDescent="0.3">
      <c r="A62" s="2274" t="s">
        <v>664</v>
      </c>
      <c r="B62" s="513" t="s">
        <v>665</v>
      </c>
      <c r="C62" s="523">
        <v>43</v>
      </c>
      <c r="D62" s="523">
        <v>41</v>
      </c>
      <c r="E62" s="523">
        <v>47</v>
      </c>
      <c r="F62" s="523">
        <v>45</v>
      </c>
      <c r="G62" s="523">
        <v>51</v>
      </c>
      <c r="H62" s="523">
        <v>48</v>
      </c>
      <c r="I62" s="523">
        <v>50</v>
      </c>
      <c r="J62" s="523">
        <v>44</v>
      </c>
      <c r="K62" s="523">
        <v>45</v>
      </c>
      <c r="L62" s="523">
        <v>50</v>
      </c>
      <c r="M62" s="523">
        <v>44</v>
      </c>
      <c r="N62" s="524">
        <v>46</v>
      </c>
      <c r="O62" s="512">
        <f>SUM(C62:N62)</f>
        <v>554</v>
      </c>
    </row>
    <row r="63" spans="1:23" ht="15.75" thickBot="1" x14ac:dyDescent="0.3">
      <c r="A63" s="2276"/>
      <c r="B63" s="513" t="s">
        <v>666</v>
      </c>
      <c r="C63" s="525">
        <v>57.69</v>
      </c>
      <c r="D63" s="525">
        <v>55.53</v>
      </c>
      <c r="E63" s="525">
        <v>58.99</v>
      </c>
      <c r="F63" s="525">
        <v>56.83</v>
      </c>
      <c r="G63" s="525">
        <v>62.08</v>
      </c>
      <c r="H63" s="525">
        <v>59.46</v>
      </c>
      <c r="I63" s="525">
        <v>61.21</v>
      </c>
      <c r="J63" s="525">
        <v>55.96</v>
      </c>
      <c r="K63" s="525">
        <v>56.8</v>
      </c>
      <c r="L63" s="525">
        <v>60.88</v>
      </c>
      <c r="M63" s="526">
        <v>55.67</v>
      </c>
      <c r="N63" s="527">
        <v>57.4</v>
      </c>
      <c r="O63" s="538">
        <f>SUM(C63:N63)</f>
        <v>698.49999999999989</v>
      </c>
    </row>
    <row r="64" spans="1:23" ht="16.5" thickBot="1" x14ac:dyDescent="0.3">
      <c r="A64" s="519"/>
      <c r="B64" s="520"/>
      <c r="C64" s="521"/>
      <c r="D64" s="521"/>
      <c r="E64" s="521"/>
      <c r="F64" s="521"/>
      <c r="G64" s="521"/>
      <c r="H64" s="521"/>
      <c r="I64" s="521"/>
      <c r="J64" s="521"/>
      <c r="K64" s="521"/>
      <c r="L64" s="521"/>
      <c r="M64" s="521"/>
      <c r="N64" s="521"/>
      <c r="O64" s="522"/>
    </row>
    <row r="65" spans="1:23" ht="15.75" thickBot="1" x14ac:dyDescent="0.3">
      <c r="A65" s="2274" t="s">
        <v>667</v>
      </c>
      <c r="B65" s="513" t="s">
        <v>668</v>
      </c>
      <c r="C65" s="539">
        <v>8965</v>
      </c>
      <c r="D65" s="539">
        <v>11252</v>
      </c>
      <c r="E65" s="539">
        <v>9299</v>
      </c>
      <c r="F65" s="539">
        <v>4271</v>
      </c>
      <c r="G65" s="539">
        <v>1233</v>
      </c>
      <c r="H65" s="539">
        <v>703</v>
      </c>
      <c r="I65" s="539">
        <v>989</v>
      </c>
      <c r="J65" s="539">
        <v>1108</v>
      </c>
      <c r="K65" s="539">
        <v>1034</v>
      </c>
      <c r="L65" s="539">
        <v>3253</v>
      </c>
      <c r="M65" s="539">
        <v>8040</v>
      </c>
      <c r="N65" s="540">
        <v>10286</v>
      </c>
      <c r="O65" s="512">
        <f>SUM(C65:N65)</f>
        <v>60433</v>
      </c>
    </row>
    <row r="66" spans="1:23" ht="15.75" thickBot="1" x14ac:dyDescent="0.3">
      <c r="A66" s="2275"/>
      <c r="B66" s="513" t="s">
        <v>669</v>
      </c>
      <c r="C66" s="539">
        <v>41648</v>
      </c>
      <c r="D66" s="539">
        <v>21324</v>
      </c>
      <c r="E66" s="539">
        <v>5394</v>
      </c>
      <c r="F66" s="539">
        <v>3839</v>
      </c>
      <c r="G66" s="539">
        <v>1185</v>
      </c>
      <c r="H66" s="539">
        <v>1690</v>
      </c>
      <c r="I66" s="539">
        <v>974</v>
      </c>
      <c r="J66" s="539">
        <v>1091</v>
      </c>
      <c r="K66" s="539">
        <v>1080</v>
      </c>
      <c r="L66" s="539">
        <v>2624</v>
      </c>
      <c r="M66" s="539">
        <v>4466</v>
      </c>
      <c r="N66" s="540">
        <v>5246</v>
      </c>
      <c r="O66" s="512">
        <f>SUM(C66:N66)</f>
        <v>90561</v>
      </c>
    </row>
    <row r="67" spans="1:23" ht="15.75" thickBot="1" x14ac:dyDescent="0.3">
      <c r="A67" s="2275"/>
      <c r="B67" s="513" t="s">
        <v>670</v>
      </c>
      <c r="C67" s="539">
        <f>(C65+C66)</f>
        <v>50613</v>
      </c>
      <c r="D67" s="539">
        <f t="shared" ref="D67:N67" si="0">(D65+D66)</f>
        <v>32576</v>
      </c>
      <c r="E67" s="539">
        <f>(E65+E66)</f>
        <v>14693</v>
      </c>
      <c r="F67" s="539">
        <f t="shared" si="0"/>
        <v>8110</v>
      </c>
      <c r="G67" s="539">
        <f t="shared" si="0"/>
        <v>2418</v>
      </c>
      <c r="H67" s="539">
        <f t="shared" si="0"/>
        <v>2393</v>
      </c>
      <c r="I67" s="539">
        <f t="shared" si="0"/>
        <v>1963</v>
      </c>
      <c r="J67" s="539">
        <f t="shared" si="0"/>
        <v>2199</v>
      </c>
      <c r="K67" s="539">
        <f>(K65+K66)</f>
        <v>2114</v>
      </c>
      <c r="L67" s="539">
        <f t="shared" si="0"/>
        <v>5877</v>
      </c>
      <c r="M67" s="539">
        <f t="shared" si="0"/>
        <v>12506</v>
      </c>
      <c r="N67" s="540">
        <f t="shared" si="0"/>
        <v>15532</v>
      </c>
      <c r="O67" s="512">
        <f>SUM(C67:N67)</f>
        <v>150994</v>
      </c>
    </row>
    <row r="68" spans="1:23" ht="15.75" thickBot="1" x14ac:dyDescent="0.3">
      <c r="A68" s="2276"/>
      <c r="B68" s="513" t="s">
        <v>666</v>
      </c>
      <c r="C68" s="541">
        <v>3559.72</v>
      </c>
      <c r="D68" s="541">
        <v>2363.87</v>
      </c>
      <c r="E68" s="541">
        <v>1178.23</v>
      </c>
      <c r="F68" s="541">
        <v>741.78</v>
      </c>
      <c r="G68" s="541">
        <v>364.4</v>
      </c>
      <c r="H68" s="541">
        <v>362.74</v>
      </c>
      <c r="I68" s="541">
        <v>334.22</v>
      </c>
      <c r="J68" s="541">
        <v>349.87</v>
      </c>
      <c r="K68" s="541">
        <v>344.24</v>
      </c>
      <c r="L68" s="541">
        <v>593.73</v>
      </c>
      <c r="M68" s="541">
        <v>1033.23</v>
      </c>
      <c r="N68" s="542">
        <v>1233.8499999999999</v>
      </c>
      <c r="O68" s="518">
        <f>SUM(C68:N68)</f>
        <v>12459.88</v>
      </c>
    </row>
    <row r="69" spans="1:23" ht="15" x14ac:dyDescent="0.25">
      <c r="O69" s="477"/>
    </row>
    <row r="70" spans="1:23" ht="15" x14ac:dyDescent="0.25">
      <c r="A70" t="s">
        <v>674</v>
      </c>
      <c r="O70" s="477"/>
    </row>
    <row r="71" spans="1:23" ht="15" x14ac:dyDescent="0.25">
      <c r="A71" t="s">
        <v>675</v>
      </c>
      <c r="O71" s="477"/>
    </row>
    <row r="72" spans="1:23" s="788" customFormat="1" ht="21" thickBot="1" x14ac:dyDescent="0.35">
      <c r="A72" s="786">
        <v>5</v>
      </c>
      <c r="B72" s="790" t="s">
        <v>555</v>
      </c>
      <c r="S72" s="792"/>
      <c r="T72" s="793"/>
      <c r="U72" s="792"/>
      <c r="V72" s="794"/>
      <c r="W72" s="795"/>
    </row>
    <row r="73" spans="1:23" ht="16.5" thickBot="1" x14ac:dyDescent="0.3">
      <c r="A73" s="2272" t="s">
        <v>657</v>
      </c>
      <c r="B73" s="2273"/>
      <c r="C73" s="503">
        <v>41833</v>
      </c>
      <c r="D73" s="504">
        <v>41864</v>
      </c>
      <c r="E73" s="504">
        <v>41895</v>
      </c>
      <c r="F73" s="504">
        <v>41925</v>
      </c>
      <c r="G73" s="504">
        <v>41956</v>
      </c>
      <c r="H73" s="505">
        <v>41986</v>
      </c>
      <c r="I73" s="506">
        <v>41653</v>
      </c>
      <c r="J73" s="504">
        <v>41684</v>
      </c>
      <c r="K73" s="504">
        <v>41712</v>
      </c>
      <c r="L73" s="504">
        <v>41743</v>
      </c>
      <c r="M73" s="504">
        <v>41773</v>
      </c>
      <c r="N73" s="505">
        <v>41804</v>
      </c>
      <c r="O73" s="507" t="s">
        <v>658</v>
      </c>
    </row>
    <row r="74" spans="1:23" ht="15.75" thickBot="1" x14ac:dyDescent="0.3">
      <c r="A74" s="2274" t="s">
        <v>659</v>
      </c>
      <c r="B74" s="508" t="s">
        <v>660</v>
      </c>
      <c r="C74" s="509">
        <v>176060</v>
      </c>
      <c r="D74" s="509">
        <v>174415</v>
      </c>
      <c r="E74" s="509">
        <v>174280</v>
      </c>
      <c r="F74" s="509">
        <v>168764</v>
      </c>
      <c r="G74" s="509">
        <v>120336</v>
      </c>
      <c r="H74" s="509">
        <v>89358</v>
      </c>
      <c r="I74" s="509">
        <v>83521</v>
      </c>
      <c r="J74" s="510">
        <v>92352</v>
      </c>
      <c r="K74" s="510">
        <v>97382</v>
      </c>
      <c r="L74" s="510">
        <v>128712</v>
      </c>
      <c r="M74" s="510">
        <v>104508</v>
      </c>
      <c r="N74" s="511">
        <v>67634</v>
      </c>
      <c r="O74" s="512">
        <f>SUM(C74:N74)</f>
        <v>1477322</v>
      </c>
      <c r="P74" s="106" t="s">
        <v>38</v>
      </c>
      <c r="Q74" s="106" t="s">
        <v>661</v>
      </c>
    </row>
    <row r="75" spans="1:23" ht="15.75" thickBot="1" x14ac:dyDescent="0.3">
      <c r="A75" s="2275"/>
      <c r="B75" s="513" t="s">
        <v>662</v>
      </c>
      <c r="C75" s="514">
        <v>4.1924000000000003E-2</v>
      </c>
      <c r="D75" s="514">
        <v>4.1924000000000003E-2</v>
      </c>
      <c r="E75" s="514">
        <v>4.1924000000000003E-2</v>
      </c>
      <c r="F75" s="514">
        <v>4.1924000000000003E-2</v>
      </c>
      <c r="G75" s="514">
        <v>4.1924000000000003E-2</v>
      </c>
      <c r="H75" s="514">
        <v>4.1924000000000003E-2</v>
      </c>
      <c r="I75" s="514">
        <v>4.1924000000000003E-2</v>
      </c>
      <c r="J75" s="514">
        <v>4.1924000000000003E-2</v>
      </c>
      <c r="K75" s="514">
        <v>4.1924000000000003E-2</v>
      </c>
      <c r="L75" s="514">
        <v>4.1924000000000003E-2</v>
      </c>
      <c r="M75" s="514">
        <v>4.1924000000000003E-2</v>
      </c>
      <c r="N75" s="515">
        <v>4.1924000000000003E-2</v>
      </c>
      <c r="O75" s="512" t="s">
        <v>38</v>
      </c>
    </row>
    <row r="76" spans="1:23" ht="15.75" thickBot="1" x14ac:dyDescent="0.3">
      <c r="A76" s="2276"/>
      <c r="B76" s="513" t="s">
        <v>663</v>
      </c>
      <c r="C76" s="516">
        <f>(C74*C75)</f>
        <v>7381.1394400000008</v>
      </c>
      <c r="D76" s="516">
        <f t="shared" ref="D76:N76" si="1">(D74*D75)</f>
        <v>7312.1744600000002</v>
      </c>
      <c r="E76" s="516">
        <f t="shared" si="1"/>
        <v>7306.5147200000001</v>
      </c>
      <c r="F76" s="516">
        <f t="shared" si="1"/>
        <v>7075.2619360000008</v>
      </c>
      <c r="G76" s="516">
        <f t="shared" si="1"/>
        <v>5044.9664640000001</v>
      </c>
      <c r="H76" s="516">
        <f t="shared" si="1"/>
        <v>3746.2447920000004</v>
      </c>
      <c r="I76" s="516">
        <f t="shared" si="1"/>
        <v>3501.5344040000004</v>
      </c>
      <c r="J76" s="516">
        <f t="shared" si="1"/>
        <v>3871.7652480000002</v>
      </c>
      <c r="K76" s="516">
        <f t="shared" si="1"/>
        <v>4082.6429680000001</v>
      </c>
      <c r="L76" s="516">
        <f t="shared" si="1"/>
        <v>5396.1218880000006</v>
      </c>
      <c r="M76" s="516">
        <f t="shared" si="1"/>
        <v>4381.3933919999999</v>
      </c>
      <c r="N76" s="517">
        <f t="shared" si="1"/>
        <v>2835.4878160000003</v>
      </c>
      <c r="O76" s="518">
        <f>SUM(C76:N76)</f>
        <v>61935.247528</v>
      </c>
    </row>
    <row r="77" spans="1:23" ht="16.5" thickBot="1" x14ac:dyDescent="0.3">
      <c r="A77" s="519"/>
      <c r="B77" s="520"/>
      <c r="C77" s="521"/>
      <c r="D77" s="521"/>
      <c r="E77" s="521"/>
      <c r="F77" s="521"/>
      <c r="G77" s="521"/>
      <c r="H77" s="521"/>
      <c r="I77" s="521"/>
      <c r="J77" s="521"/>
      <c r="K77" s="521"/>
      <c r="L77" s="521"/>
      <c r="M77" s="521"/>
      <c r="N77" s="521"/>
      <c r="O77" s="522"/>
    </row>
    <row r="78" spans="1:23" ht="15.75" thickBot="1" x14ac:dyDescent="0.3">
      <c r="A78" s="2274" t="s">
        <v>664</v>
      </c>
      <c r="B78" s="513" t="s">
        <v>665</v>
      </c>
      <c r="C78" s="523">
        <v>280</v>
      </c>
      <c r="D78" s="523">
        <v>299</v>
      </c>
      <c r="E78" s="523">
        <v>34</v>
      </c>
      <c r="F78" s="523">
        <v>0</v>
      </c>
      <c r="G78" s="523">
        <v>0</v>
      </c>
      <c r="H78" s="523">
        <v>0</v>
      </c>
      <c r="I78" s="523">
        <v>0</v>
      </c>
      <c r="J78" s="523">
        <v>817</v>
      </c>
      <c r="K78" s="523">
        <v>1425</v>
      </c>
      <c r="L78" s="523">
        <v>1191</v>
      </c>
      <c r="M78" s="523">
        <v>1572</v>
      </c>
      <c r="N78" s="524">
        <v>215</v>
      </c>
      <c r="O78" s="512">
        <f>SUM(C78:N78)</f>
        <v>5833</v>
      </c>
    </row>
    <row r="79" spans="1:23" ht="15.75" thickBot="1" x14ac:dyDescent="0.3">
      <c r="A79" s="2276"/>
      <c r="B79" s="513" t="s">
        <v>666</v>
      </c>
      <c r="C79" s="525">
        <v>291.38</v>
      </c>
      <c r="D79" s="525">
        <v>309.81</v>
      </c>
      <c r="E79" s="525">
        <v>50.7</v>
      </c>
      <c r="F79" s="525">
        <v>17.5</v>
      </c>
      <c r="G79" s="525">
        <v>17.5</v>
      </c>
      <c r="H79" s="525">
        <v>17.5</v>
      </c>
      <c r="I79" s="525">
        <v>17.5</v>
      </c>
      <c r="J79" s="525">
        <v>735.92</v>
      </c>
      <c r="K79" s="525">
        <v>1237.4000000000001</v>
      </c>
      <c r="L79" s="525">
        <v>1044.99</v>
      </c>
      <c r="M79" s="526">
        <v>1373.96</v>
      </c>
      <c r="N79" s="527">
        <v>213.95</v>
      </c>
      <c r="O79" s="518">
        <f>SUM(C79:N79)</f>
        <v>5328.11</v>
      </c>
    </row>
    <row r="80" spans="1:23" ht="16.5" thickBot="1" x14ac:dyDescent="0.3">
      <c r="A80" s="519"/>
      <c r="B80" s="520"/>
      <c r="C80" s="521"/>
      <c r="D80" s="521"/>
      <c r="E80" s="521"/>
      <c r="F80" s="521"/>
      <c r="G80" s="521"/>
      <c r="H80" s="521"/>
      <c r="I80" s="521"/>
      <c r="J80" s="521"/>
      <c r="K80" s="521"/>
      <c r="L80" s="521"/>
      <c r="M80" s="521"/>
      <c r="N80" s="521"/>
      <c r="O80" s="522"/>
    </row>
    <row r="81" spans="1:35" ht="15.75" thickBot="1" x14ac:dyDescent="0.3">
      <c r="A81" s="2274" t="s">
        <v>667</v>
      </c>
      <c r="B81" s="513" t="s">
        <v>668</v>
      </c>
      <c r="C81" s="528">
        <v>186</v>
      </c>
      <c r="D81" s="528">
        <v>516</v>
      </c>
      <c r="E81" s="528">
        <v>10743</v>
      </c>
      <c r="F81" s="528">
        <v>15307</v>
      </c>
      <c r="G81" s="528">
        <v>15381</v>
      </c>
      <c r="H81" s="528">
        <v>8038</v>
      </c>
      <c r="I81" s="528">
        <v>1784</v>
      </c>
      <c r="J81" s="528">
        <v>7544</v>
      </c>
      <c r="K81" s="528">
        <v>7656</v>
      </c>
      <c r="L81" s="529">
        <v>4777</v>
      </c>
      <c r="M81" s="528">
        <v>9592</v>
      </c>
      <c r="N81" s="530">
        <v>534</v>
      </c>
      <c r="O81" s="512">
        <f>SUM(C81:N81)</f>
        <v>82058</v>
      </c>
    </row>
    <row r="82" spans="1:35" ht="15.75" thickBot="1" x14ac:dyDescent="0.3">
      <c r="A82" s="2275"/>
      <c r="B82" s="513" t="s">
        <v>669</v>
      </c>
      <c r="C82" s="523">
        <v>16261</v>
      </c>
      <c r="D82" s="523">
        <v>25844</v>
      </c>
      <c r="E82" s="523">
        <v>41597</v>
      </c>
      <c r="F82" s="523">
        <v>42213</v>
      </c>
      <c r="G82" s="523">
        <v>46683</v>
      </c>
      <c r="H82" s="523">
        <v>36490</v>
      </c>
      <c r="I82" s="523">
        <v>10400</v>
      </c>
      <c r="J82" s="523">
        <v>33564</v>
      </c>
      <c r="K82" s="523">
        <v>36734</v>
      </c>
      <c r="L82" s="531">
        <v>24134</v>
      </c>
      <c r="M82" s="523">
        <v>43241</v>
      </c>
      <c r="N82" s="532">
        <v>17670</v>
      </c>
      <c r="O82" s="512">
        <f>SUM(C82:N82)</f>
        <v>374831</v>
      </c>
    </row>
    <row r="83" spans="1:35" ht="15.75" thickBot="1" x14ac:dyDescent="0.3">
      <c r="A83" s="2275"/>
      <c r="B83" s="513" t="s">
        <v>670</v>
      </c>
      <c r="C83" s="523">
        <f>(C81+C82)</f>
        <v>16447</v>
      </c>
      <c r="D83" s="523">
        <f t="shared" ref="D83:N83" si="2">(D81+D82)</f>
        <v>26360</v>
      </c>
      <c r="E83" s="523">
        <f t="shared" si="2"/>
        <v>52340</v>
      </c>
      <c r="F83" s="523">
        <f t="shared" si="2"/>
        <v>57520</v>
      </c>
      <c r="G83" s="523">
        <f t="shared" si="2"/>
        <v>62064</v>
      </c>
      <c r="H83" s="523">
        <f t="shared" si="2"/>
        <v>44528</v>
      </c>
      <c r="I83" s="523">
        <f t="shared" si="2"/>
        <v>12184</v>
      </c>
      <c r="J83" s="523">
        <f t="shared" si="2"/>
        <v>41108</v>
      </c>
      <c r="K83" s="523">
        <f t="shared" si="2"/>
        <v>44390</v>
      </c>
      <c r="L83" s="523">
        <f t="shared" si="2"/>
        <v>28911</v>
      </c>
      <c r="M83" s="523">
        <f t="shared" si="2"/>
        <v>52833</v>
      </c>
      <c r="N83" s="511">
        <f t="shared" si="2"/>
        <v>18204</v>
      </c>
      <c r="O83" s="512">
        <f>SUM(C83:N83)</f>
        <v>456889</v>
      </c>
    </row>
    <row r="84" spans="1:35" ht="15.75" thickBot="1" x14ac:dyDescent="0.3">
      <c r="A84" s="2276"/>
      <c r="B84" s="513" t="s">
        <v>666</v>
      </c>
      <c r="C84" s="526">
        <v>1276</v>
      </c>
      <c r="D84" s="526">
        <v>1951.75</v>
      </c>
      <c r="E84" s="526">
        <v>3674.22</v>
      </c>
      <c r="F84" s="526">
        <v>4017.66</v>
      </c>
      <c r="G84" s="526">
        <v>4318.92</v>
      </c>
      <c r="H84" s="526">
        <v>3156.29</v>
      </c>
      <c r="I84" s="526">
        <v>1011.88</v>
      </c>
      <c r="J84" s="526">
        <v>2929.54</v>
      </c>
      <c r="K84" s="526">
        <v>3147.14</v>
      </c>
      <c r="L84" s="533">
        <v>2120.88</v>
      </c>
      <c r="M84" s="526">
        <v>3706.91</v>
      </c>
      <c r="N84" s="534">
        <v>1411.01</v>
      </c>
      <c r="O84" s="518"/>
    </row>
    <row r="85" spans="1:35" ht="15" x14ac:dyDescent="0.25">
      <c r="O85" s="477"/>
    </row>
    <row r="86" spans="1:35" ht="15" x14ac:dyDescent="0.25">
      <c r="A86" t="s">
        <v>671</v>
      </c>
      <c r="O86" s="477"/>
    </row>
    <row r="87" spans="1:35" s="788" customFormat="1" ht="20.25" x14ac:dyDescent="0.3">
      <c r="A87" s="786">
        <v>6</v>
      </c>
      <c r="B87" s="790" t="s">
        <v>556</v>
      </c>
      <c r="S87" s="789"/>
      <c r="V87" s="789"/>
    </row>
    <row r="88" spans="1:35" ht="18.75" x14ac:dyDescent="0.3">
      <c r="A88" s="678" t="s">
        <v>830</v>
      </c>
      <c r="B88" s="497"/>
    </row>
    <row r="89" spans="1:35" ht="18.75" x14ac:dyDescent="0.3">
      <c r="A89" s="678" t="s">
        <v>831</v>
      </c>
      <c r="B89" s="497"/>
    </row>
    <row r="90" spans="1:35" ht="18.75" x14ac:dyDescent="0.3">
      <c r="A90" s="678"/>
      <c r="B90" s="497"/>
    </row>
    <row r="91" spans="1:35" ht="18.75" x14ac:dyDescent="0.3">
      <c r="A91" s="2254" t="s">
        <v>832</v>
      </c>
      <c r="B91" s="2254"/>
      <c r="C91" s="2254"/>
      <c r="D91" s="2254"/>
      <c r="E91" s="2254"/>
      <c r="F91" s="2254"/>
      <c r="G91" s="2254"/>
      <c r="H91" s="2254"/>
      <c r="I91" s="2254"/>
      <c r="J91" s="2254"/>
      <c r="K91" s="2254"/>
      <c r="L91" s="2254"/>
    </row>
    <row r="92" spans="1:35" s="682" customFormat="1" ht="47.25" x14ac:dyDescent="0.25">
      <c r="A92" s="679" t="s">
        <v>833</v>
      </c>
      <c r="B92" s="679" t="s">
        <v>834</v>
      </c>
      <c r="C92" s="679" t="s">
        <v>835</v>
      </c>
      <c r="D92" s="680" t="s">
        <v>836</v>
      </c>
      <c r="E92" s="679" t="s">
        <v>837</v>
      </c>
      <c r="F92" s="679" t="s">
        <v>838</v>
      </c>
      <c r="G92" s="681" t="s">
        <v>839</v>
      </c>
      <c r="H92" s="681" t="s">
        <v>840</v>
      </c>
      <c r="I92" s="681" t="s">
        <v>841</v>
      </c>
      <c r="J92" s="679" t="s">
        <v>842</v>
      </c>
      <c r="K92" s="681" t="s">
        <v>843</v>
      </c>
      <c r="L92" s="681" t="s">
        <v>844</v>
      </c>
    </row>
    <row r="93" spans="1:35" s="690" customFormat="1" ht="15" x14ac:dyDescent="0.25">
      <c r="A93" s="683" t="s">
        <v>845</v>
      </c>
      <c r="B93" s="684" t="s">
        <v>846</v>
      </c>
      <c r="C93" s="685" t="s">
        <v>847</v>
      </c>
      <c r="D93" s="686">
        <f>SUM(E93:H93)</f>
        <v>18231239352</v>
      </c>
      <c r="E93" s="687">
        <f>SUM(B100:M100)*3412</f>
        <v>6375492600</v>
      </c>
      <c r="F93" s="686">
        <f>SUM(B106:M106)*100000</f>
        <v>353500000</v>
      </c>
      <c r="G93" s="686">
        <f>SUM(B102:M102)*1194000</f>
        <v>8765154000</v>
      </c>
      <c r="H93" s="686">
        <f>SUM(B104:M104)*3412</f>
        <v>2737092752</v>
      </c>
      <c r="I93" s="686">
        <f>SUM(B108:M108)</f>
        <v>1089</v>
      </c>
      <c r="J93" s="686">
        <v>195165</v>
      </c>
      <c r="K93" s="688">
        <v>0</v>
      </c>
      <c r="L93" s="689">
        <f>D93/J93</f>
        <v>93414.492106678968</v>
      </c>
      <c r="N93" s="691"/>
      <c r="O93" s="691"/>
      <c r="P93" s="691"/>
      <c r="Q93" s="691"/>
      <c r="R93" s="691"/>
      <c r="S93" s="691"/>
      <c r="T93" s="691"/>
      <c r="U93" s="691"/>
      <c r="V93" s="691"/>
      <c r="W93" s="691"/>
      <c r="X93" s="691"/>
      <c r="Y93" s="691"/>
      <c r="Z93" s="691"/>
    </row>
    <row r="94" spans="1:35" ht="15" x14ac:dyDescent="0.25">
      <c r="A94" s="692" t="s">
        <v>848</v>
      </c>
      <c r="B94" s="693" t="s">
        <v>13</v>
      </c>
      <c r="C94" s="694" t="s">
        <v>847</v>
      </c>
      <c r="D94" s="686">
        <f>SUM(E94:H94)</f>
        <v>7001059000</v>
      </c>
      <c r="E94" s="695">
        <v>3177664000</v>
      </c>
      <c r="F94" s="686">
        <v>99432000</v>
      </c>
      <c r="G94" s="686">
        <v>1747534000</v>
      </c>
      <c r="H94" s="686">
        <v>1976429000</v>
      </c>
      <c r="I94" s="693" t="s">
        <v>13</v>
      </c>
      <c r="J94" s="686">
        <v>170000</v>
      </c>
      <c r="K94" s="693" t="s">
        <v>13</v>
      </c>
      <c r="L94" s="689">
        <f>D94/J94</f>
        <v>41182.699999999997</v>
      </c>
      <c r="M94" s="696"/>
      <c r="N94" s="697"/>
      <c r="O94" s="697"/>
      <c r="P94" s="697"/>
      <c r="Q94" s="697"/>
      <c r="R94" s="697"/>
      <c r="S94" s="697"/>
      <c r="T94" s="697"/>
      <c r="U94" s="697"/>
      <c r="V94" s="697"/>
      <c r="W94" s="697"/>
      <c r="X94" s="697"/>
      <c r="Y94" s="697"/>
      <c r="Z94" s="697"/>
      <c r="AA94" s="697"/>
      <c r="AB94" s="697"/>
      <c r="AC94" s="697"/>
      <c r="AD94" s="697"/>
    </row>
    <row r="95" spans="1:35" x14ac:dyDescent="0.2">
      <c r="A95" s="497"/>
      <c r="B95" s="698"/>
      <c r="C95" s="697"/>
      <c r="D95" s="699"/>
      <c r="E95" s="699"/>
      <c r="F95" s="699"/>
      <c r="G95" s="699"/>
      <c r="H95" s="699"/>
      <c r="I95" s="699"/>
      <c r="J95" s="699"/>
      <c r="K95" s="697"/>
      <c r="L95" s="697"/>
      <c r="M95" s="697"/>
      <c r="N95" s="697"/>
      <c r="O95" s="697"/>
      <c r="P95" s="697"/>
      <c r="Q95" s="697"/>
      <c r="R95" s="697"/>
      <c r="S95" s="697"/>
      <c r="T95" s="697"/>
      <c r="U95" s="697"/>
      <c r="V95" s="697"/>
      <c r="W95" s="697"/>
      <c r="X95" s="697"/>
      <c r="Y95" s="697"/>
      <c r="Z95" s="697"/>
      <c r="AA95" s="697"/>
      <c r="AB95" s="697"/>
      <c r="AC95" s="697"/>
      <c r="AD95" s="697"/>
      <c r="AE95" s="697"/>
      <c r="AF95" s="697"/>
      <c r="AG95" s="697"/>
      <c r="AH95" s="697"/>
      <c r="AI95" s="697"/>
    </row>
    <row r="96" spans="1:35" ht="18.75" x14ac:dyDescent="0.3">
      <c r="A96" s="2255" t="s">
        <v>849</v>
      </c>
      <c r="B96" s="2255"/>
      <c r="C96" s="2255"/>
      <c r="D96" s="2255"/>
      <c r="E96" s="2255"/>
      <c r="F96" s="2255"/>
      <c r="G96" s="2255"/>
      <c r="H96" s="2255"/>
      <c r="I96" s="2255"/>
      <c r="J96" s="2255"/>
      <c r="K96" s="2255"/>
      <c r="L96" s="2255"/>
      <c r="M96" s="2255"/>
    </row>
    <row r="97" spans="1:14" ht="15.75" x14ac:dyDescent="0.25">
      <c r="A97" s="700" t="s">
        <v>850</v>
      </c>
      <c r="B97" s="701">
        <v>41518</v>
      </c>
      <c r="C97" s="701">
        <v>41548</v>
      </c>
      <c r="D97" s="701">
        <v>41579</v>
      </c>
      <c r="E97" s="701">
        <v>41609</v>
      </c>
      <c r="F97" s="701">
        <v>41640</v>
      </c>
      <c r="G97" s="701">
        <v>41671</v>
      </c>
      <c r="H97" s="701">
        <v>41699</v>
      </c>
      <c r="I97" s="701">
        <v>41730</v>
      </c>
      <c r="J97" s="701">
        <v>41760</v>
      </c>
      <c r="K97" s="701">
        <v>41791</v>
      </c>
      <c r="L97" s="701">
        <v>41821</v>
      </c>
      <c r="M97" s="702">
        <v>41852</v>
      </c>
    </row>
    <row r="98" spans="1:14" ht="15" x14ac:dyDescent="0.25">
      <c r="A98" s="703" t="s">
        <v>851</v>
      </c>
      <c r="B98" s="841"/>
      <c r="C98" s="841"/>
      <c r="D98" s="841"/>
      <c r="E98" s="841"/>
      <c r="F98" s="841"/>
      <c r="G98" s="841"/>
      <c r="H98" s="841"/>
      <c r="I98" s="841"/>
      <c r="J98" s="841"/>
      <c r="K98" s="841"/>
      <c r="L98" s="841"/>
      <c r="M98" s="842"/>
    </row>
    <row r="99" spans="1:14" ht="15" x14ac:dyDescent="0.25">
      <c r="A99" s="704"/>
      <c r="B99" s="705"/>
      <c r="C99" s="705"/>
      <c r="D99" s="705"/>
      <c r="E99" s="705"/>
      <c r="F99" s="705"/>
      <c r="G99" s="705"/>
      <c r="H99" s="705"/>
      <c r="I99" s="705"/>
      <c r="J99" s="705"/>
      <c r="K99" s="705"/>
      <c r="L99" s="705"/>
      <c r="M99" s="706"/>
    </row>
    <row r="100" spans="1:14" ht="15" x14ac:dyDescent="0.25">
      <c r="A100" s="843" t="s">
        <v>852</v>
      </c>
      <c r="B100" s="707">
        <v>142751</v>
      </c>
      <c r="C100" s="707">
        <v>191399</v>
      </c>
      <c r="D100" s="707">
        <v>157749</v>
      </c>
      <c r="E100" s="707">
        <v>168745</v>
      </c>
      <c r="F100" s="707">
        <v>149433</v>
      </c>
      <c r="G100" s="707">
        <v>140210</v>
      </c>
      <c r="H100" s="707">
        <v>148789</v>
      </c>
      <c r="I100" s="707">
        <v>168547</v>
      </c>
      <c r="J100" s="707">
        <v>150998</v>
      </c>
      <c r="K100" s="707">
        <v>145846</v>
      </c>
      <c r="L100" s="707">
        <v>158623</v>
      </c>
      <c r="M100" s="708">
        <v>145460</v>
      </c>
    </row>
    <row r="101" spans="1:14" ht="15" x14ac:dyDescent="0.25">
      <c r="A101" s="844"/>
      <c r="B101" s="709"/>
      <c r="C101" s="709"/>
      <c r="D101" s="709"/>
      <c r="E101" s="709"/>
      <c r="F101" s="709"/>
      <c r="G101" s="709"/>
      <c r="H101" s="709"/>
      <c r="I101" s="709"/>
      <c r="J101" s="709"/>
      <c r="K101" s="709"/>
      <c r="L101" s="709"/>
      <c r="M101" s="710"/>
    </row>
    <row r="102" spans="1:14" ht="15" x14ac:dyDescent="0.25">
      <c r="A102" s="843" t="s">
        <v>853</v>
      </c>
      <c r="B102" s="707">
        <v>726</v>
      </c>
      <c r="C102" s="707">
        <v>476</v>
      </c>
      <c r="D102" s="707">
        <v>435</v>
      </c>
      <c r="E102" s="707">
        <v>605</v>
      </c>
      <c r="F102" s="707">
        <v>850</v>
      </c>
      <c r="G102" s="707">
        <v>760</v>
      </c>
      <c r="H102" s="707">
        <v>702</v>
      </c>
      <c r="I102" s="707">
        <v>656</v>
      </c>
      <c r="J102" s="707">
        <v>359</v>
      </c>
      <c r="K102" s="707">
        <v>458</v>
      </c>
      <c r="L102" s="707">
        <v>580</v>
      </c>
      <c r="M102" s="708">
        <v>734</v>
      </c>
    </row>
    <row r="103" spans="1:14" ht="15" x14ac:dyDescent="0.25">
      <c r="A103" s="844"/>
      <c r="B103" s="709"/>
      <c r="C103" s="709"/>
      <c r="D103" s="709"/>
      <c r="E103" s="709"/>
      <c r="F103" s="709"/>
      <c r="G103" s="709"/>
      <c r="H103" s="709"/>
      <c r="I103" s="709"/>
      <c r="J103" s="709"/>
      <c r="K103" s="709"/>
      <c r="L103" s="709"/>
      <c r="M103" s="710"/>
    </row>
    <row r="104" spans="1:14" ht="15" x14ac:dyDescent="0.25">
      <c r="A104" s="843" t="s">
        <v>854</v>
      </c>
      <c r="B104" s="707">
        <v>167254</v>
      </c>
      <c r="C104" s="707">
        <v>113689</v>
      </c>
      <c r="D104" s="707">
        <v>57995</v>
      </c>
      <c r="E104" s="707">
        <v>11238</v>
      </c>
      <c r="F104" s="707">
        <v>14795</v>
      </c>
      <c r="G104" s="707">
        <v>1337</v>
      </c>
      <c r="H104" s="707">
        <v>2008</v>
      </c>
      <c r="I104" s="707">
        <v>2309</v>
      </c>
      <c r="J104" s="707">
        <v>18183</v>
      </c>
      <c r="K104" s="707">
        <v>91876</v>
      </c>
      <c r="L104" s="707">
        <v>155036</v>
      </c>
      <c r="M104" s="708">
        <v>166476</v>
      </c>
      <c r="N104" s="1627">
        <f>SUM(B104:M104)</f>
        <v>802196</v>
      </c>
    </row>
    <row r="105" spans="1:14" ht="15" x14ac:dyDescent="0.25">
      <c r="A105" s="844"/>
      <c r="B105" s="709"/>
      <c r="C105" s="709"/>
      <c r="D105" s="709"/>
      <c r="E105" s="709"/>
      <c r="F105" s="709"/>
      <c r="G105" s="709"/>
      <c r="H105" s="709"/>
      <c r="I105" s="709"/>
      <c r="J105" s="709"/>
      <c r="K105" s="709"/>
      <c r="L105" s="709"/>
      <c r="M105" s="710"/>
    </row>
    <row r="106" spans="1:14" ht="15" x14ac:dyDescent="0.25">
      <c r="A106" s="843" t="s">
        <v>855</v>
      </c>
      <c r="B106" s="707">
        <v>151</v>
      </c>
      <c r="C106" s="707">
        <v>316</v>
      </c>
      <c r="D106" s="707">
        <v>335</v>
      </c>
      <c r="E106" s="707">
        <v>385</v>
      </c>
      <c r="F106" s="707">
        <v>416</v>
      </c>
      <c r="G106" s="707">
        <v>305</v>
      </c>
      <c r="H106" s="707">
        <v>372</v>
      </c>
      <c r="I106" s="707">
        <v>281</v>
      </c>
      <c r="J106" s="707">
        <v>379</v>
      </c>
      <c r="K106" s="707">
        <v>289</v>
      </c>
      <c r="L106" s="707">
        <v>176</v>
      </c>
      <c r="M106" s="708">
        <v>130</v>
      </c>
    </row>
    <row r="107" spans="1:14" ht="15" x14ac:dyDescent="0.25">
      <c r="A107" s="845"/>
      <c r="B107" s="709"/>
      <c r="C107" s="709"/>
      <c r="D107" s="709"/>
      <c r="E107" s="709"/>
      <c r="F107" s="709"/>
      <c r="G107" s="709"/>
      <c r="H107" s="709"/>
      <c r="I107" s="709"/>
      <c r="J107" s="709"/>
      <c r="K107" s="709"/>
      <c r="L107" s="709"/>
      <c r="M107" s="710"/>
    </row>
    <row r="108" spans="1:14" ht="15" x14ac:dyDescent="0.25">
      <c r="A108" s="843" t="s">
        <v>856</v>
      </c>
      <c r="B108" s="707">
        <v>64</v>
      </c>
      <c r="C108" s="707">
        <v>71</v>
      </c>
      <c r="D108" s="707">
        <v>108</v>
      </c>
      <c r="E108" s="707">
        <v>91</v>
      </c>
      <c r="F108" s="707">
        <v>28</v>
      </c>
      <c r="G108" s="707">
        <v>67</v>
      </c>
      <c r="H108" s="707">
        <v>65</v>
      </c>
      <c r="I108" s="707">
        <v>94</v>
      </c>
      <c r="J108" s="707">
        <v>122</v>
      </c>
      <c r="K108" s="707">
        <v>32</v>
      </c>
      <c r="L108" s="707">
        <v>210</v>
      </c>
      <c r="M108" s="708">
        <v>137</v>
      </c>
    </row>
    <row r="109" spans="1:14" ht="15" x14ac:dyDescent="0.25">
      <c r="A109" s="844"/>
      <c r="B109" s="709"/>
      <c r="C109" s="709"/>
      <c r="D109" s="709"/>
      <c r="E109" s="709"/>
      <c r="F109" s="709"/>
      <c r="G109" s="709"/>
      <c r="H109" s="709"/>
      <c r="I109" s="709"/>
      <c r="J109" s="709"/>
      <c r="K109" s="709"/>
      <c r="L109" s="709"/>
      <c r="M109" s="710"/>
    </row>
    <row r="110" spans="1:14" ht="15" x14ac:dyDescent="0.25">
      <c r="A110" s="843" t="s">
        <v>857</v>
      </c>
      <c r="B110" s="707">
        <v>63</v>
      </c>
      <c r="C110" s="707">
        <v>69</v>
      </c>
      <c r="D110" s="707">
        <v>108</v>
      </c>
      <c r="E110" s="707">
        <v>91</v>
      </c>
      <c r="F110" s="707">
        <v>27</v>
      </c>
      <c r="G110" s="707">
        <v>67</v>
      </c>
      <c r="H110" s="707">
        <v>65</v>
      </c>
      <c r="I110" s="707">
        <v>94</v>
      </c>
      <c r="J110" s="707">
        <v>121</v>
      </c>
      <c r="K110" s="707">
        <v>32</v>
      </c>
      <c r="L110" s="707">
        <v>208</v>
      </c>
      <c r="M110" s="708">
        <v>132</v>
      </c>
    </row>
    <row r="111" spans="1:14" ht="15" x14ac:dyDescent="0.25">
      <c r="A111" s="846"/>
      <c r="B111" s="847"/>
      <c r="C111" s="847"/>
      <c r="D111" s="847"/>
      <c r="E111" s="847"/>
      <c r="F111" s="847"/>
      <c r="G111" s="847"/>
      <c r="H111" s="847"/>
      <c r="I111" s="847"/>
      <c r="J111" s="847"/>
      <c r="K111" s="847"/>
      <c r="L111" s="847"/>
      <c r="M111" s="848"/>
    </row>
    <row r="112" spans="1:14" ht="15.75" thickBot="1" x14ac:dyDescent="0.3">
      <c r="A112" s="849" t="s">
        <v>858</v>
      </c>
      <c r="B112" s="850">
        <v>121</v>
      </c>
      <c r="C112" s="850">
        <v>121</v>
      </c>
      <c r="D112" s="850">
        <v>121</v>
      </c>
      <c r="E112" s="850">
        <v>121</v>
      </c>
      <c r="F112" s="850">
        <v>121</v>
      </c>
      <c r="G112" s="850">
        <v>121</v>
      </c>
      <c r="H112" s="850">
        <v>121</v>
      </c>
      <c r="I112" s="850">
        <v>121</v>
      </c>
      <c r="J112" s="850">
        <v>121</v>
      </c>
      <c r="K112" s="850">
        <v>121</v>
      </c>
      <c r="L112" s="850">
        <v>121</v>
      </c>
      <c r="M112" s="851">
        <v>121</v>
      </c>
    </row>
    <row r="113" spans="1:26" ht="15.75" thickTop="1" x14ac:dyDescent="0.25">
      <c r="A113" s="703" t="s">
        <v>913</v>
      </c>
      <c r="B113" s="841"/>
      <c r="C113" s="841"/>
      <c r="D113" s="841"/>
      <c r="E113" s="841"/>
      <c r="F113" s="841"/>
      <c r="G113" s="841"/>
      <c r="H113" s="841"/>
      <c r="I113" s="841"/>
      <c r="J113" s="841"/>
      <c r="K113" s="841"/>
      <c r="L113" s="841"/>
      <c r="M113" s="842"/>
    </row>
    <row r="114" spans="1:26" ht="15" x14ac:dyDescent="0.25">
      <c r="A114" s="704"/>
      <c r="B114" s="705"/>
      <c r="C114" s="705"/>
      <c r="D114" s="705"/>
      <c r="E114" s="705"/>
      <c r="F114" s="705"/>
      <c r="G114" s="705"/>
      <c r="H114" s="705"/>
      <c r="I114" s="705"/>
      <c r="J114" s="705"/>
      <c r="K114" s="705"/>
      <c r="L114" s="705"/>
      <c r="M114" s="706"/>
    </row>
    <row r="115" spans="1:26" ht="15" x14ac:dyDescent="0.25">
      <c r="A115" s="852" t="s">
        <v>914</v>
      </c>
      <c r="B115" s="707">
        <v>9107.51</v>
      </c>
      <c r="C115" s="707">
        <v>11560.5</v>
      </c>
      <c r="D115" s="707">
        <v>9480.7099999999991</v>
      </c>
      <c r="E115" s="707">
        <v>9095.36</v>
      </c>
      <c r="F115" s="707">
        <v>8323.42</v>
      </c>
      <c r="G115" s="707">
        <v>8454.66</v>
      </c>
      <c r="H115" s="707">
        <v>8793.43</v>
      </c>
      <c r="I115" s="707">
        <v>8882.43</v>
      </c>
      <c r="J115" s="707">
        <v>8923.98</v>
      </c>
      <c r="K115" s="707">
        <v>8459.07</v>
      </c>
      <c r="L115" s="707">
        <v>9850.49</v>
      </c>
      <c r="M115" s="708">
        <v>9833.1</v>
      </c>
    </row>
    <row r="116" spans="1:26" ht="15" x14ac:dyDescent="0.25">
      <c r="A116" s="853"/>
      <c r="B116" s="709"/>
      <c r="C116" s="709"/>
      <c r="D116" s="709"/>
      <c r="E116" s="709"/>
      <c r="F116" s="709"/>
      <c r="G116" s="709"/>
      <c r="H116" s="709"/>
      <c r="I116" s="709"/>
      <c r="J116" s="709"/>
      <c r="K116" s="709"/>
      <c r="L116" s="709"/>
      <c r="M116" s="710"/>
    </row>
    <row r="117" spans="1:26" ht="15" x14ac:dyDescent="0.25">
      <c r="A117" s="852" t="s">
        <v>915</v>
      </c>
      <c r="B117" s="707">
        <v>8154.58</v>
      </c>
      <c r="C117" s="707">
        <v>5346.53</v>
      </c>
      <c r="D117" s="707">
        <v>4886.01</v>
      </c>
      <c r="E117" s="707">
        <v>6795.48</v>
      </c>
      <c r="F117" s="707">
        <v>9547.3700000000008</v>
      </c>
      <c r="G117" s="707">
        <v>8536.4699999999993</v>
      </c>
      <c r="H117" s="707">
        <v>7885</v>
      </c>
      <c r="I117" s="707">
        <v>7368.32</v>
      </c>
      <c r="J117" s="707">
        <v>4032.36</v>
      </c>
      <c r="K117" s="707">
        <v>5144.3500000000004</v>
      </c>
      <c r="L117" s="707">
        <v>6515.78</v>
      </c>
      <c r="M117" s="708">
        <v>8245.83</v>
      </c>
    </row>
    <row r="118" spans="1:26" ht="15" x14ac:dyDescent="0.25">
      <c r="A118" s="853"/>
      <c r="B118" s="709"/>
      <c r="C118" s="709"/>
      <c r="D118" s="709"/>
      <c r="E118" s="709"/>
      <c r="F118" s="709"/>
      <c r="G118" s="709"/>
      <c r="H118" s="709"/>
      <c r="I118" s="709"/>
      <c r="J118" s="709"/>
      <c r="K118" s="709"/>
      <c r="L118" s="709"/>
      <c r="M118" s="710"/>
    </row>
    <row r="119" spans="1:26" ht="15" x14ac:dyDescent="0.25">
      <c r="A119" s="852" t="s">
        <v>916</v>
      </c>
      <c r="B119" s="707">
        <v>16290.54</v>
      </c>
      <c r="C119" s="707">
        <v>11073.31</v>
      </c>
      <c r="D119" s="707">
        <v>5648.71</v>
      </c>
      <c r="E119" s="707">
        <v>1094.58</v>
      </c>
      <c r="F119" s="707">
        <v>1441.03</v>
      </c>
      <c r="G119" s="707">
        <v>130.22</v>
      </c>
      <c r="H119" s="707">
        <v>195.58</v>
      </c>
      <c r="I119" s="707">
        <v>224.9</v>
      </c>
      <c r="J119" s="707">
        <v>1771.02</v>
      </c>
      <c r="K119" s="707">
        <v>8948.7199999999993</v>
      </c>
      <c r="L119" s="707">
        <v>14418.35</v>
      </c>
      <c r="M119" s="708">
        <v>15482.27</v>
      </c>
    </row>
    <row r="120" spans="1:26" ht="15" x14ac:dyDescent="0.25">
      <c r="A120" s="853"/>
      <c r="B120" s="709"/>
      <c r="C120" s="709"/>
      <c r="D120" s="709"/>
      <c r="E120" s="709"/>
      <c r="F120" s="709"/>
      <c r="G120" s="709"/>
      <c r="H120" s="709"/>
      <c r="I120" s="709"/>
      <c r="J120" s="709"/>
      <c r="K120" s="709"/>
      <c r="L120" s="709"/>
      <c r="M120" s="710"/>
    </row>
    <row r="121" spans="1:26" ht="15" x14ac:dyDescent="0.25">
      <c r="A121" s="852" t="s">
        <v>917</v>
      </c>
      <c r="B121" s="707">
        <v>158.1</v>
      </c>
      <c r="C121" s="707">
        <v>307.18</v>
      </c>
      <c r="D121" s="707">
        <v>324.45</v>
      </c>
      <c r="E121" s="707">
        <v>369.91</v>
      </c>
      <c r="F121" s="707">
        <v>398.09</v>
      </c>
      <c r="G121" s="707">
        <v>297.18</v>
      </c>
      <c r="H121" s="707">
        <v>358.09</v>
      </c>
      <c r="I121" s="707">
        <v>273.51</v>
      </c>
      <c r="J121" s="707">
        <v>361.96</v>
      </c>
      <c r="K121" s="707">
        <v>280.73</v>
      </c>
      <c r="L121" s="707">
        <v>178.27</v>
      </c>
      <c r="M121" s="708">
        <v>136.25</v>
      </c>
    </row>
    <row r="122" spans="1:26" ht="15" x14ac:dyDescent="0.25">
      <c r="A122" s="854"/>
      <c r="B122" s="709"/>
      <c r="C122" s="709"/>
      <c r="D122" s="709"/>
      <c r="E122" s="709"/>
      <c r="F122" s="709"/>
      <c r="G122" s="709"/>
      <c r="H122" s="709"/>
      <c r="I122" s="709"/>
      <c r="J122" s="709"/>
      <c r="K122" s="709"/>
      <c r="L122" s="709"/>
      <c r="M122" s="710"/>
    </row>
    <row r="123" spans="1:26" ht="15" x14ac:dyDescent="0.25">
      <c r="A123" s="852" t="s">
        <v>918</v>
      </c>
      <c r="B123" s="707">
        <v>547.27</v>
      </c>
      <c r="C123" s="707">
        <v>602.72</v>
      </c>
      <c r="D123" s="707">
        <v>487.4</v>
      </c>
      <c r="E123" s="707">
        <v>413.11</v>
      </c>
      <c r="F123" s="707">
        <v>137.79</v>
      </c>
      <c r="G123" s="707">
        <v>308.23</v>
      </c>
      <c r="H123" s="707">
        <v>299.49</v>
      </c>
      <c r="I123" s="707">
        <v>426.22</v>
      </c>
      <c r="J123" s="707">
        <v>550.4</v>
      </c>
      <c r="K123" s="707">
        <v>281.36</v>
      </c>
      <c r="L123" s="707">
        <v>1760.53</v>
      </c>
      <c r="M123" s="708">
        <v>1153.8800000000001</v>
      </c>
    </row>
    <row r="124" spans="1:26" ht="15" x14ac:dyDescent="0.25">
      <c r="A124" s="853"/>
      <c r="B124" s="709"/>
      <c r="C124" s="709"/>
      <c r="D124" s="709"/>
      <c r="E124" s="709"/>
      <c r="F124" s="709"/>
      <c r="G124" s="709"/>
      <c r="H124" s="709"/>
      <c r="I124" s="709"/>
      <c r="J124" s="709"/>
      <c r="K124" s="709"/>
      <c r="L124" s="709"/>
      <c r="M124" s="710"/>
    </row>
    <row r="125" spans="1:26" ht="15" x14ac:dyDescent="0.25">
      <c r="A125" s="852" t="s">
        <v>919</v>
      </c>
      <c r="B125" s="707">
        <v>441</v>
      </c>
      <c r="C125" s="707">
        <v>481.8</v>
      </c>
      <c r="D125" s="707">
        <v>747</v>
      </c>
      <c r="E125" s="707">
        <v>631.4</v>
      </c>
      <c r="F125" s="707">
        <v>196.2</v>
      </c>
      <c r="G125" s="707">
        <v>468.2</v>
      </c>
      <c r="H125" s="707">
        <v>454.6</v>
      </c>
      <c r="I125" s="707">
        <v>651.79999999999995</v>
      </c>
      <c r="J125" s="707">
        <v>835.4</v>
      </c>
      <c r="K125" s="707">
        <v>230.2</v>
      </c>
      <c r="L125" s="707">
        <v>1427</v>
      </c>
      <c r="M125" s="708">
        <v>910.2</v>
      </c>
    </row>
    <row r="126" spans="1:26" ht="15" x14ac:dyDescent="0.25">
      <c r="A126" s="855"/>
      <c r="B126" s="847"/>
      <c r="C126" s="847"/>
      <c r="D126" s="847"/>
      <c r="E126" s="847"/>
      <c r="F126" s="847"/>
      <c r="G126" s="847"/>
      <c r="H126" s="847"/>
      <c r="I126" s="847"/>
      <c r="J126" s="847"/>
      <c r="K126" s="847"/>
      <c r="L126" s="847"/>
      <c r="M126" s="848"/>
    </row>
    <row r="127" spans="1:26" ht="15.75" thickBot="1" x14ac:dyDescent="0.3">
      <c r="A127" s="856" t="s">
        <v>920</v>
      </c>
      <c r="B127" s="850">
        <v>262.57</v>
      </c>
      <c r="C127" s="850">
        <v>262.57</v>
      </c>
      <c r="D127" s="850">
        <v>262.57</v>
      </c>
      <c r="E127" s="850">
        <v>262.57</v>
      </c>
      <c r="F127" s="850">
        <v>262.57</v>
      </c>
      <c r="G127" s="850">
        <v>262.57</v>
      </c>
      <c r="H127" s="850">
        <v>262.57</v>
      </c>
      <c r="I127" s="850">
        <v>262.57</v>
      </c>
      <c r="J127" s="850">
        <v>262.57</v>
      </c>
      <c r="K127" s="850">
        <v>262.57</v>
      </c>
      <c r="L127" s="850">
        <v>307.8</v>
      </c>
      <c r="M127" s="851">
        <v>307.8</v>
      </c>
    </row>
    <row r="128" spans="1:26" s="788" customFormat="1" ht="21" thickTop="1" x14ac:dyDescent="0.3">
      <c r="A128" s="786">
        <v>7</v>
      </c>
      <c r="B128" s="790" t="s">
        <v>557</v>
      </c>
      <c r="S128" s="791"/>
      <c r="T128" s="789"/>
      <c r="W128" s="789"/>
      <c r="Z128" s="789"/>
    </row>
    <row r="129" spans="2:22" ht="31.15" customHeight="1" x14ac:dyDescent="0.25">
      <c r="B129" s="464" t="s">
        <v>932</v>
      </c>
      <c r="O129" s="477"/>
    </row>
    <row r="130" spans="2:22" s="94" customFormat="1" x14ac:dyDescent="0.2">
      <c r="B130" s="465" t="s">
        <v>337</v>
      </c>
      <c r="C130" s="91">
        <v>40725</v>
      </c>
      <c r="D130" s="91">
        <v>40756</v>
      </c>
      <c r="E130" s="91">
        <v>40787</v>
      </c>
      <c r="F130" s="91">
        <v>40817</v>
      </c>
      <c r="G130" s="91">
        <v>40848</v>
      </c>
      <c r="H130" s="91">
        <v>40878</v>
      </c>
      <c r="I130" s="91">
        <v>40909</v>
      </c>
      <c r="J130" s="91">
        <v>40940</v>
      </c>
      <c r="K130" s="91">
        <v>40969</v>
      </c>
      <c r="L130" s="91">
        <v>41000</v>
      </c>
      <c r="M130" s="91">
        <v>41030</v>
      </c>
      <c r="N130" s="91">
        <v>41061</v>
      </c>
      <c r="O130" s="91" t="s">
        <v>923</v>
      </c>
    </row>
    <row r="131" spans="2:22" x14ac:dyDescent="0.2">
      <c r="B131" s="95" t="s">
        <v>409</v>
      </c>
      <c r="C131" s="874"/>
      <c r="D131" s="874"/>
      <c r="E131" s="96">
        <v>66200</v>
      </c>
      <c r="F131" s="96">
        <v>64100</v>
      </c>
      <c r="G131" s="96">
        <v>31200</v>
      </c>
      <c r="H131" s="96">
        <v>25400</v>
      </c>
      <c r="I131" s="96">
        <v>27000</v>
      </c>
      <c r="J131" s="96">
        <v>35300</v>
      </c>
      <c r="K131" s="96">
        <v>42100</v>
      </c>
      <c r="L131" s="96">
        <v>37700</v>
      </c>
      <c r="M131" s="96">
        <v>40500</v>
      </c>
      <c r="N131" s="96">
        <v>37800</v>
      </c>
      <c r="O131" s="875">
        <f>SUM(E131:N131)</f>
        <v>407300</v>
      </c>
    </row>
    <row r="132" spans="2:22" x14ac:dyDescent="0.2">
      <c r="B132" s="95" t="s">
        <v>322</v>
      </c>
      <c r="C132" s="876"/>
      <c r="D132" s="876"/>
      <c r="E132" s="101">
        <v>22769</v>
      </c>
      <c r="F132" s="101">
        <v>10786</v>
      </c>
      <c r="G132" s="101">
        <v>11108</v>
      </c>
      <c r="H132" s="101">
        <v>11108</v>
      </c>
      <c r="I132" s="101">
        <v>22769</v>
      </c>
      <c r="J132" s="101">
        <v>4488</v>
      </c>
      <c r="K132" s="101">
        <v>17204</v>
      </c>
      <c r="L132" s="101">
        <v>17204</v>
      </c>
      <c r="M132" s="101">
        <v>14960</v>
      </c>
      <c r="N132" s="101">
        <v>36652</v>
      </c>
      <c r="O132" s="877">
        <f>SUM(E132:N132)</f>
        <v>169048</v>
      </c>
      <c r="P132" s="106"/>
      <c r="Q132" s="106"/>
      <c r="R132" s="106"/>
      <c r="U132" s="106"/>
      <c r="V132" s="106"/>
    </row>
    <row r="133" spans="2:22" s="881" customFormat="1" x14ac:dyDescent="0.2">
      <c r="B133" s="104" t="s">
        <v>924</v>
      </c>
      <c r="C133" s="878"/>
      <c r="D133" s="878"/>
      <c r="E133" s="879">
        <v>12</v>
      </c>
      <c r="F133" s="879">
        <v>687</v>
      </c>
      <c r="G133" s="879">
        <v>1819</v>
      </c>
      <c r="H133" s="879">
        <v>1102</v>
      </c>
      <c r="I133" s="879">
        <v>2938</v>
      </c>
      <c r="J133" s="879">
        <v>3717</v>
      </c>
      <c r="K133" s="879">
        <v>3949</v>
      </c>
      <c r="L133" s="879">
        <v>1272</v>
      </c>
      <c r="M133" s="879">
        <v>619</v>
      </c>
      <c r="N133" s="879">
        <v>401</v>
      </c>
      <c r="O133" s="880">
        <f>SUM(E133:N133)</f>
        <v>16516</v>
      </c>
    </row>
    <row r="134" spans="2:22" ht="15" x14ac:dyDescent="0.25">
      <c r="O134" s="477"/>
      <c r="V134" s="485"/>
    </row>
    <row r="135" spans="2:22" x14ac:dyDescent="0.2">
      <c r="B135" s="95" t="s">
        <v>347</v>
      </c>
      <c r="C135" s="882"/>
      <c r="D135" s="882"/>
      <c r="E135" s="866">
        <v>5583.22</v>
      </c>
      <c r="F135" s="866">
        <v>5585.23</v>
      </c>
      <c r="G135" s="866">
        <v>3095.65</v>
      </c>
      <c r="H135" s="866">
        <v>2707.31</v>
      </c>
      <c r="I135" s="866">
        <v>2888.23</v>
      </c>
      <c r="J135" s="866">
        <v>3481.19</v>
      </c>
      <c r="K135" s="866">
        <v>3966.99</v>
      </c>
      <c r="L135" s="866">
        <v>3652.65</v>
      </c>
      <c r="M135" s="866">
        <v>3852.68</v>
      </c>
      <c r="N135" s="866">
        <v>3756.5</v>
      </c>
      <c r="O135" s="883">
        <f>SUM(E135:N135)</f>
        <v>38569.65</v>
      </c>
    </row>
    <row r="136" spans="2:22" x14ac:dyDescent="0.2">
      <c r="B136" s="112" t="s">
        <v>410</v>
      </c>
      <c r="C136" s="884"/>
      <c r="D136" s="884"/>
      <c r="E136" s="885">
        <v>1410.52</v>
      </c>
      <c r="F136" s="885">
        <v>668.17</v>
      </c>
      <c r="G136" s="885">
        <v>688.17</v>
      </c>
      <c r="H136" s="885">
        <v>688.17</v>
      </c>
      <c r="I136" s="869">
        <v>1410.52</v>
      </c>
      <c r="J136" s="885">
        <v>74.08</v>
      </c>
      <c r="K136" s="869">
        <v>1638.3</v>
      </c>
      <c r="L136" s="885">
        <v>1638.3</v>
      </c>
      <c r="M136" s="869">
        <v>1617.09</v>
      </c>
      <c r="N136" s="885">
        <v>1822.12</v>
      </c>
      <c r="O136" s="886">
        <f>SUM(E136:N136)</f>
        <v>11655.439999999999</v>
      </c>
      <c r="P136" s="485"/>
      <c r="Q136" s="485"/>
      <c r="R136" s="485"/>
    </row>
    <row r="137" spans="2:22" s="889" customFormat="1" ht="15" x14ac:dyDescent="0.25">
      <c r="B137" s="885" t="s">
        <v>925</v>
      </c>
      <c r="C137" s="887"/>
      <c r="D137" s="887"/>
      <c r="E137" s="885">
        <v>28.35</v>
      </c>
      <c r="F137" s="885">
        <v>624.64</v>
      </c>
      <c r="G137" s="885">
        <v>1595.37</v>
      </c>
      <c r="H137" s="885">
        <v>933.62</v>
      </c>
      <c r="I137" s="885">
        <v>2405.6999999999998</v>
      </c>
      <c r="J137" s="885">
        <v>2971.33</v>
      </c>
      <c r="K137" s="885">
        <v>2974.07</v>
      </c>
      <c r="L137" s="885">
        <v>991.77</v>
      </c>
      <c r="M137" s="885">
        <v>497.66</v>
      </c>
      <c r="N137" s="885">
        <v>334.75</v>
      </c>
      <c r="O137" s="888">
        <f>SUM(E137:N137)</f>
        <v>13357.259999999998</v>
      </c>
    </row>
    <row r="138" spans="2:22" s="690" customFormat="1" ht="15" x14ac:dyDescent="0.25">
      <c r="B138" s="107"/>
      <c r="C138" s="890"/>
      <c r="D138" s="890"/>
      <c r="E138" s="891"/>
      <c r="F138" s="891"/>
      <c r="G138" s="891"/>
      <c r="H138" s="891"/>
      <c r="I138" s="891"/>
      <c r="J138" s="891"/>
      <c r="K138" s="891"/>
      <c r="L138" s="891"/>
      <c r="M138" s="891"/>
      <c r="N138" s="891"/>
      <c r="O138" s="892"/>
    </row>
    <row r="139" spans="2:22" ht="15" x14ac:dyDescent="0.25">
      <c r="F139" s="485"/>
      <c r="H139" s="485"/>
      <c r="I139" s="485"/>
      <c r="L139" s="485"/>
      <c r="M139" s="485"/>
      <c r="N139" s="485"/>
      <c r="O139" s="477"/>
      <c r="P139" s="485"/>
      <c r="Q139" s="485"/>
      <c r="R139" s="485"/>
    </row>
    <row r="140" spans="2:22" s="94" customFormat="1" x14ac:dyDescent="0.2">
      <c r="B140" s="465" t="s">
        <v>337</v>
      </c>
      <c r="C140" s="91">
        <v>41091</v>
      </c>
      <c r="D140" s="91">
        <v>41122</v>
      </c>
      <c r="E140" s="91">
        <v>41153</v>
      </c>
      <c r="F140" s="91">
        <v>41183</v>
      </c>
      <c r="G140" s="91">
        <v>41214</v>
      </c>
      <c r="H140" s="91">
        <v>41244</v>
      </c>
      <c r="I140" s="91">
        <v>41275</v>
      </c>
      <c r="J140" s="91">
        <v>41306</v>
      </c>
      <c r="K140" s="91">
        <v>41334</v>
      </c>
      <c r="L140" s="91">
        <v>41365</v>
      </c>
      <c r="M140" s="91">
        <v>41395</v>
      </c>
      <c r="N140" s="91">
        <v>41426</v>
      </c>
      <c r="O140" s="91" t="s">
        <v>923</v>
      </c>
    </row>
    <row r="141" spans="2:22" x14ac:dyDescent="0.2">
      <c r="B141" s="95" t="s">
        <v>409</v>
      </c>
      <c r="C141" s="96">
        <v>52500</v>
      </c>
      <c r="D141" s="96">
        <v>49100</v>
      </c>
      <c r="E141" s="96">
        <v>48100</v>
      </c>
      <c r="F141" s="96">
        <v>57500</v>
      </c>
      <c r="G141" s="96">
        <v>35100</v>
      </c>
      <c r="H141" s="96">
        <v>33600</v>
      </c>
      <c r="I141" s="96">
        <v>23200</v>
      </c>
      <c r="J141" s="96">
        <v>28800</v>
      </c>
      <c r="K141" s="96">
        <v>41100</v>
      </c>
      <c r="L141" s="96">
        <v>33900</v>
      </c>
      <c r="M141" s="96">
        <v>24900</v>
      </c>
      <c r="N141" s="96">
        <v>37700</v>
      </c>
      <c r="O141" s="875">
        <f>SUM(C141:N141)</f>
        <v>465500</v>
      </c>
    </row>
    <row r="142" spans="2:22" x14ac:dyDescent="0.2">
      <c r="B142" s="95" t="s">
        <v>322</v>
      </c>
      <c r="C142" s="101">
        <v>19448</v>
      </c>
      <c r="D142" s="101">
        <v>27676</v>
      </c>
      <c r="E142" s="101">
        <v>68816</v>
      </c>
      <c r="F142" s="101">
        <v>76296</v>
      </c>
      <c r="G142" s="101">
        <v>20944</v>
      </c>
      <c r="H142" s="101">
        <v>26180</v>
      </c>
      <c r="I142" s="96">
        <v>14212</v>
      </c>
      <c r="J142" s="96">
        <v>14212</v>
      </c>
      <c r="K142" s="96">
        <v>16456</v>
      </c>
      <c r="L142" s="96">
        <v>16456</v>
      </c>
      <c r="M142" s="96">
        <v>17952</v>
      </c>
      <c r="N142" s="96">
        <v>29172</v>
      </c>
      <c r="O142" s="877">
        <f>SUM(C142:N142)</f>
        <v>347820</v>
      </c>
      <c r="P142" s="106"/>
      <c r="Q142" s="106"/>
      <c r="R142" s="106"/>
      <c r="S142" s="106"/>
      <c r="U142" s="106"/>
    </row>
    <row r="143" spans="2:22" s="881" customFormat="1" x14ac:dyDescent="0.2">
      <c r="B143" s="104" t="s">
        <v>924</v>
      </c>
      <c r="C143" s="879">
        <v>176</v>
      </c>
      <c r="D143" s="879">
        <v>157</v>
      </c>
      <c r="E143" s="879">
        <v>99</v>
      </c>
      <c r="F143" s="879">
        <v>345</v>
      </c>
      <c r="G143" s="879">
        <v>895</v>
      </c>
      <c r="H143" s="879">
        <v>2042</v>
      </c>
      <c r="I143" s="879">
        <v>735</v>
      </c>
      <c r="J143" s="879">
        <v>1755</v>
      </c>
      <c r="K143" s="879">
        <v>5155</v>
      </c>
      <c r="L143" s="879">
        <v>3449</v>
      </c>
      <c r="M143" s="879">
        <v>210</v>
      </c>
      <c r="N143" s="879">
        <v>139</v>
      </c>
      <c r="O143" s="880">
        <f>SUM(C143:N143)</f>
        <v>15157</v>
      </c>
    </row>
    <row r="144" spans="2:22" ht="15" x14ac:dyDescent="0.25">
      <c r="O144" s="477"/>
    </row>
    <row r="145" spans="1:22" x14ac:dyDescent="0.2">
      <c r="B145" s="95" t="s">
        <v>347</v>
      </c>
      <c r="C145" s="866">
        <v>4852.01</v>
      </c>
      <c r="D145" s="866">
        <v>4785.3999999999996</v>
      </c>
      <c r="E145" s="866">
        <v>4659.1000000000004</v>
      </c>
      <c r="F145" s="866">
        <v>5576.91</v>
      </c>
      <c r="G145" s="866">
        <v>3696.78</v>
      </c>
      <c r="H145" s="866">
        <v>3591.05</v>
      </c>
      <c r="I145" s="866">
        <v>2861.87</v>
      </c>
      <c r="J145" s="866">
        <v>3259.68</v>
      </c>
      <c r="K145" s="866">
        <v>4133.47</v>
      </c>
      <c r="L145" s="866">
        <v>3621.98</v>
      </c>
      <c r="M145" s="866">
        <v>2982.63</v>
      </c>
      <c r="N145" s="866">
        <v>3217.16</v>
      </c>
      <c r="O145" s="883">
        <f>SUM(C145:N145)</f>
        <v>47238.039999999994</v>
      </c>
    </row>
    <row r="146" spans="1:22" x14ac:dyDescent="0.2">
      <c r="B146" s="112" t="s">
        <v>410</v>
      </c>
      <c r="C146" s="885">
        <v>1669.12</v>
      </c>
      <c r="D146" s="885">
        <v>1747.99</v>
      </c>
      <c r="E146" s="885">
        <v>2142.34</v>
      </c>
      <c r="F146" s="885">
        <v>2214.04</v>
      </c>
      <c r="G146" s="869">
        <v>1683.46</v>
      </c>
      <c r="H146" s="869">
        <v>1733.65</v>
      </c>
      <c r="I146" s="869">
        <v>1618.93</v>
      </c>
      <c r="J146" s="869">
        <v>1618.93</v>
      </c>
      <c r="K146" s="869">
        <v>903.2</v>
      </c>
      <c r="L146" s="869">
        <v>903.2</v>
      </c>
      <c r="M146" s="869">
        <v>917.54</v>
      </c>
      <c r="N146" s="869">
        <v>1025.0899999999999</v>
      </c>
      <c r="O146" s="886">
        <f>SUM(C146:N146)</f>
        <v>18177.490000000002</v>
      </c>
      <c r="P146" s="485"/>
      <c r="Q146" s="485"/>
      <c r="R146" s="485"/>
    </row>
    <row r="147" spans="1:22" s="889" customFormat="1" ht="15" x14ac:dyDescent="0.25">
      <c r="B147" s="885" t="s">
        <v>925</v>
      </c>
      <c r="C147" s="885">
        <v>157.80000000000001</v>
      </c>
      <c r="D147" s="885">
        <v>142.66</v>
      </c>
      <c r="E147" s="885">
        <v>96.42</v>
      </c>
      <c r="F147" s="885">
        <v>291.12</v>
      </c>
      <c r="G147" s="885">
        <v>713</v>
      </c>
      <c r="H147" s="885">
        <v>1580.5</v>
      </c>
      <c r="I147" s="885">
        <v>613.70000000000005</v>
      </c>
      <c r="J147" s="885">
        <v>1499.82</v>
      </c>
      <c r="K147" s="885">
        <v>4276.71</v>
      </c>
      <c r="L147" s="885">
        <v>2884.05</v>
      </c>
      <c r="M147" s="885">
        <v>210.6</v>
      </c>
      <c r="N147" s="885">
        <v>153.94</v>
      </c>
      <c r="O147" s="888">
        <f>SUM(C147:N147)</f>
        <v>12620.32</v>
      </c>
    </row>
    <row r="148" spans="1:22" s="690" customFormat="1" ht="15" x14ac:dyDescent="0.25">
      <c r="B148" s="107"/>
      <c r="C148" s="891"/>
      <c r="D148" s="891"/>
      <c r="E148" s="891"/>
      <c r="F148" s="891"/>
      <c r="G148" s="891"/>
      <c r="H148" s="891"/>
      <c r="I148" s="891"/>
      <c r="J148" s="891"/>
      <c r="K148" s="891"/>
      <c r="L148" s="891"/>
      <c r="M148" s="891"/>
      <c r="N148" s="891"/>
      <c r="O148" s="892"/>
    </row>
    <row r="149" spans="1:22" ht="15" x14ac:dyDescent="0.25">
      <c r="J149" s="485"/>
      <c r="M149" s="485"/>
      <c r="O149" s="477"/>
      <c r="P149" s="485"/>
      <c r="Q149" s="485"/>
      <c r="R149" s="485"/>
    </row>
    <row r="150" spans="1:22" s="94" customFormat="1" x14ac:dyDescent="0.2">
      <c r="B150" s="465" t="s">
        <v>337</v>
      </c>
      <c r="C150" s="91">
        <v>41456</v>
      </c>
      <c r="D150" s="91">
        <v>41487</v>
      </c>
      <c r="E150" s="91">
        <v>41518</v>
      </c>
      <c r="F150" s="91">
        <v>41548</v>
      </c>
      <c r="G150" s="91">
        <v>41579</v>
      </c>
      <c r="H150" s="91">
        <v>41609</v>
      </c>
      <c r="I150" s="91">
        <v>41640</v>
      </c>
      <c r="J150" s="91">
        <v>41671</v>
      </c>
      <c r="K150" s="91">
        <v>41699</v>
      </c>
      <c r="L150" s="91">
        <v>41730</v>
      </c>
      <c r="M150" s="91">
        <v>41760</v>
      </c>
      <c r="N150" s="91">
        <v>41791</v>
      </c>
      <c r="O150" s="91" t="s">
        <v>923</v>
      </c>
    </row>
    <row r="151" spans="1:22" x14ac:dyDescent="0.2">
      <c r="B151" s="95" t="s">
        <v>409</v>
      </c>
      <c r="C151" s="96">
        <v>36600</v>
      </c>
      <c r="D151" s="96">
        <v>43800</v>
      </c>
      <c r="E151" s="96">
        <v>61400</v>
      </c>
      <c r="F151" s="96">
        <v>37700</v>
      </c>
      <c r="G151" s="96">
        <v>75700</v>
      </c>
      <c r="H151" s="96">
        <v>28400</v>
      </c>
      <c r="I151" s="96">
        <v>37900</v>
      </c>
      <c r="J151" s="96">
        <v>36200</v>
      </c>
      <c r="K151" s="96">
        <v>45900</v>
      </c>
      <c r="L151" s="96">
        <v>42000</v>
      </c>
      <c r="M151" s="96">
        <v>41400</v>
      </c>
      <c r="N151" s="96">
        <v>50300</v>
      </c>
      <c r="O151" s="875">
        <f>SUM(C151:N151)</f>
        <v>537300</v>
      </c>
    </row>
    <row r="152" spans="1:22" x14ac:dyDescent="0.2">
      <c r="B152" s="95" t="s">
        <v>322</v>
      </c>
      <c r="C152" s="101">
        <v>12716</v>
      </c>
      <c r="D152" s="893">
        <v>29172</v>
      </c>
      <c r="E152" s="101">
        <v>71060</v>
      </c>
      <c r="F152" s="96">
        <v>105468</v>
      </c>
      <c r="G152" s="96">
        <v>34408</v>
      </c>
      <c r="H152" s="96">
        <v>11968</v>
      </c>
      <c r="I152" s="96">
        <v>17204</v>
      </c>
      <c r="J152" s="96">
        <v>15708</v>
      </c>
      <c r="K152" s="96">
        <v>23936</v>
      </c>
      <c r="L152" s="96">
        <v>15708</v>
      </c>
      <c r="M152" s="96">
        <v>48620</v>
      </c>
      <c r="N152" s="96">
        <v>82280</v>
      </c>
      <c r="O152" s="877">
        <f>SUM(C152:N152)</f>
        <v>468248</v>
      </c>
    </row>
    <row r="153" spans="1:22" s="881" customFormat="1" x14ac:dyDescent="0.2">
      <c r="B153" s="104" t="s">
        <v>924</v>
      </c>
      <c r="C153" s="879">
        <v>110</v>
      </c>
      <c r="D153" s="879">
        <v>155</v>
      </c>
      <c r="E153" s="879">
        <v>142</v>
      </c>
      <c r="F153" s="879">
        <v>347</v>
      </c>
      <c r="G153" s="879">
        <v>1226</v>
      </c>
      <c r="H153" s="879">
        <v>4592</v>
      </c>
      <c r="I153" s="879">
        <v>5878</v>
      </c>
      <c r="J153" s="879">
        <v>7314</v>
      </c>
      <c r="K153" s="879">
        <v>5593</v>
      </c>
      <c r="L153" s="879">
        <v>2972</v>
      </c>
      <c r="M153" s="879">
        <v>1035</v>
      </c>
      <c r="N153" s="879">
        <v>276</v>
      </c>
      <c r="O153" s="880">
        <f>SUM(C153:N153)</f>
        <v>29640</v>
      </c>
    </row>
    <row r="154" spans="1:22" ht="15" x14ac:dyDescent="0.25">
      <c r="O154" s="477"/>
    </row>
    <row r="155" spans="1:22" x14ac:dyDescent="0.2">
      <c r="B155" s="95" t="s">
        <v>347</v>
      </c>
      <c r="C155" s="866">
        <v>4034.18</v>
      </c>
      <c r="D155" s="866">
        <v>4478.51</v>
      </c>
      <c r="E155" s="866">
        <v>5764.87</v>
      </c>
      <c r="F155" s="866">
        <v>3969.19</v>
      </c>
      <c r="G155" s="866">
        <v>7040.4</v>
      </c>
      <c r="H155" s="866">
        <v>3284.26</v>
      </c>
      <c r="I155" s="866">
        <v>3914</v>
      </c>
      <c r="J155" s="866">
        <v>3792.91</v>
      </c>
      <c r="K155" s="866">
        <v>4483.8</v>
      </c>
      <c r="L155" s="866">
        <v>4348.46</v>
      </c>
      <c r="M155" s="866">
        <v>4211.3999999999996</v>
      </c>
      <c r="N155" s="866">
        <v>4943.1000000000004</v>
      </c>
      <c r="O155" s="883">
        <f>SUM(C155:N155)</f>
        <v>54265.080000000009</v>
      </c>
    </row>
    <row r="156" spans="1:22" x14ac:dyDescent="0.2">
      <c r="B156" s="112" t="s">
        <v>410</v>
      </c>
      <c r="C156" s="869">
        <v>877.95</v>
      </c>
      <c r="D156" s="885">
        <v>1038.55</v>
      </c>
      <c r="E156" s="869">
        <v>1769.06</v>
      </c>
      <c r="F156" s="869">
        <v>1783.15</v>
      </c>
      <c r="G156" s="869">
        <v>1089.6500000000001</v>
      </c>
      <c r="H156" s="869">
        <v>870.65</v>
      </c>
      <c r="I156" s="869">
        <v>921.75</v>
      </c>
      <c r="J156" s="869">
        <v>907.15</v>
      </c>
      <c r="K156" s="869">
        <v>987.45</v>
      </c>
      <c r="L156" s="869">
        <v>907.15</v>
      </c>
      <c r="M156" s="869">
        <v>1228.3499999999999</v>
      </c>
      <c r="N156" s="869">
        <v>1556.85</v>
      </c>
      <c r="O156" s="886">
        <f>SUM(C156:N156)</f>
        <v>13937.710000000001</v>
      </c>
    </row>
    <row r="157" spans="1:22" s="889" customFormat="1" ht="15" x14ac:dyDescent="0.25">
      <c r="B157" s="885" t="s">
        <v>925</v>
      </c>
      <c r="C157" s="869">
        <v>125.47</v>
      </c>
      <c r="D157" s="869">
        <v>169.65</v>
      </c>
      <c r="E157" s="869">
        <v>155.9</v>
      </c>
      <c r="F157" s="869">
        <v>338.38</v>
      </c>
      <c r="G157" s="869">
        <v>1073.25</v>
      </c>
      <c r="H157" s="869">
        <v>3850</v>
      </c>
      <c r="I157" s="869">
        <v>4856.3500000000004</v>
      </c>
      <c r="J157" s="869">
        <v>5952.64</v>
      </c>
      <c r="K157" s="869">
        <v>4638.7700000000004</v>
      </c>
      <c r="L157" s="869">
        <v>2517.46</v>
      </c>
      <c r="M157" s="869">
        <v>3464.35</v>
      </c>
      <c r="N157" s="869">
        <v>269</v>
      </c>
      <c r="O157" s="886">
        <f>SUM(C157:N157)</f>
        <v>27411.219999999998</v>
      </c>
    </row>
    <row r="158" spans="1:22" ht="15" x14ac:dyDescent="0.25">
      <c r="C158" s="485"/>
      <c r="G158" s="485"/>
      <c r="J158" s="485"/>
      <c r="K158" s="485"/>
      <c r="M158" s="485"/>
      <c r="N158" s="485"/>
      <c r="O158" s="477"/>
    </row>
    <row r="159" spans="1:22" ht="15" x14ac:dyDescent="0.25">
      <c r="B159" t="s">
        <v>933</v>
      </c>
      <c r="C159" s="485"/>
      <c r="J159" s="485"/>
      <c r="O159" s="477"/>
    </row>
    <row r="160" spans="1:22" s="788" customFormat="1" ht="20.25" x14ac:dyDescent="0.3">
      <c r="A160" s="786">
        <v>8</v>
      </c>
      <c r="B160" s="790" t="s">
        <v>359</v>
      </c>
      <c r="R160" s="792"/>
      <c r="S160" s="793"/>
      <c r="T160" s="792"/>
      <c r="U160" s="794"/>
      <c r="V160" s="795"/>
    </row>
    <row r="161" spans="1:27" ht="15" x14ac:dyDescent="0.25">
      <c r="A161" s="712" t="s">
        <v>359</v>
      </c>
      <c r="B161" s="713"/>
      <c r="C161" s="713"/>
      <c r="D161" s="713"/>
      <c r="E161" s="713"/>
      <c r="F161" s="713"/>
      <c r="G161" s="713"/>
      <c r="H161" s="713"/>
      <c r="I161" s="713"/>
      <c r="J161" s="713"/>
      <c r="K161" s="713"/>
      <c r="L161" s="713"/>
      <c r="M161" s="713"/>
      <c r="N161" s="713"/>
      <c r="O161" s="713"/>
      <c r="P161" s="713"/>
      <c r="Q161" s="713"/>
      <c r="R161" s="713"/>
      <c r="S161" s="713"/>
      <c r="T161" s="714"/>
      <c r="U161" s="715"/>
      <c r="V161" s="716"/>
    </row>
    <row r="162" spans="1:27" ht="15" x14ac:dyDescent="0.25">
      <c r="A162" s="717" t="s">
        <v>337</v>
      </c>
      <c r="B162" s="718"/>
      <c r="G162" s="719">
        <v>41487</v>
      </c>
      <c r="H162" s="719">
        <v>41518</v>
      </c>
      <c r="I162" s="719">
        <v>41548</v>
      </c>
      <c r="J162" s="719">
        <v>41579</v>
      </c>
      <c r="K162" s="719">
        <v>41609</v>
      </c>
      <c r="L162" s="719">
        <v>41640</v>
      </c>
      <c r="M162" s="719">
        <v>41671</v>
      </c>
      <c r="N162" s="719">
        <v>41699</v>
      </c>
      <c r="O162" s="719">
        <v>41730</v>
      </c>
      <c r="P162" s="719">
        <v>41760</v>
      </c>
      <c r="Q162" s="719">
        <v>41791</v>
      </c>
      <c r="R162" s="719">
        <v>41821</v>
      </c>
      <c r="S162" s="719">
        <v>41852</v>
      </c>
      <c r="T162" s="718"/>
      <c r="U162" s="720" t="s">
        <v>338</v>
      </c>
      <c r="V162" s="721" t="s">
        <v>339</v>
      </c>
    </row>
    <row r="163" spans="1:27" ht="15" x14ac:dyDescent="0.25">
      <c r="A163" s="722" t="s">
        <v>360</v>
      </c>
      <c r="B163" s="713"/>
      <c r="G163" s="723">
        <v>64180.54306636627</v>
      </c>
      <c r="H163" s="723">
        <v>64384.345313581289</v>
      </c>
      <c r="I163" s="723">
        <v>67020.260850515595</v>
      </c>
      <c r="J163" s="723">
        <v>64748.809190144995</v>
      </c>
      <c r="K163" s="723">
        <v>61389.542288934004</v>
      </c>
      <c r="L163" s="723">
        <v>63016.694164709988</v>
      </c>
      <c r="M163" s="723">
        <v>61018.710105759616</v>
      </c>
      <c r="N163" s="723">
        <v>68301.223659187206</v>
      </c>
      <c r="O163" s="723">
        <v>66171.77878844981</v>
      </c>
      <c r="P163" s="723">
        <v>66079.468869445613</v>
      </c>
      <c r="Q163" s="723">
        <v>63531.14189528452</v>
      </c>
      <c r="R163" s="723">
        <v>67398.999345735152</v>
      </c>
      <c r="S163" s="723">
        <v>74291.666666666672</v>
      </c>
      <c r="T163" s="714"/>
      <c r="U163" s="724">
        <f t="shared" ref="U163:U170" si="3">SUM(G163:S163)</f>
        <v>851533.18420478073</v>
      </c>
      <c r="V163" s="725" t="s">
        <v>361</v>
      </c>
    </row>
    <row r="164" spans="1:27" ht="15" x14ac:dyDescent="0.25">
      <c r="A164" s="722" t="s">
        <v>362</v>
      </c>
      <c r="B164" s="713"/>
      <c r="G164" s="723">
        <v>956.58400000000006</v>
      </c>
      <c r="H164" s="723">
        <v>783.64348275862062</v>
      </c>
      <c r="I164" s="723">
        <v>475.62931034941568</v>
      </c>
      <c r="J164" s="723">
        <v>131.87864813940161</v>
      </c>
      <c r="K164" s="723">
        <v>121.77494277739279</v>
      </c>
      <c r="L164" s="723">
        <v>114.29096774193548</v>
      </c>
      <c r="M164" s="723">
        <v>106.27651135005974</v>
      </c>
      <c r="N164" s="723">
        <v>165.18440740740741</v>
      </c>
      <c r="O164" s="723">
        <v>313.43655172413793</v>
      </c>
      <c r="P164" s="723">
        <v>604.77343678160923</v>
      </c>
      <c r="Q164" s="723">
        <v>845.34574712643678</v>
      </c>
      <c r="R164" s="723">
        <v>958.5018275862069</v>
      </c>
      <c r="S164" s="723">
        <v>937.07033333333334</v>
      </c>
      <c r="T164" s="714"/>
      <c r="U164" s="724">
        <f t="shared" si="3"/>
        <v>6514.3901670759578</v>
      </c>
      <c r="V164" s="725" t="s">
        <v>363</v>
      </c>
    </row>
    <row r="165" spans="1:27" ht="15" x14ac:dyDescent="0.25">
      <c r="A165" s="722" t="s">
        <v>364</v>
      </c>
      <c r="B165" s="726"/>
      <c r="G165" s="723">
        <v>352.1</v>
      </c>
      <c r="H165" s="723">
        <v>366.45000000000005</v>
      </c>
      <c r="I165" s="723">
        <v>436.58333333333337</v>
      </c>
      <c r="J165" s="723">
        <v>504.86904761904771</v>
      </c>
      <c r="K165" s="723">
        <v>640.31797235022998</v>
      </c>
      <c r="L165" s="723">
        <v>599.6651835372636</v>
      </c>
      <c r="M165" s="723">
        <v>438.34482758620686</v>
      </c>
      <c r="N165" s="723">
        <v>329.42528735632186</v>
      </c>
      <c r="O165" s="723">
        <v>375.63218390804599</v>
      </c>
      <c r="P165" s="723">
        <v>331.59770114942529</v>
      </c>
      <c r="Q165" s="723">
        <v>298.73563218390808</v>
      </c>
      <c r="R165" s="723">
        <v>290</v>
      </c>
      <c r="S165" s="723">
        <v>192</v>
      </c>
      <c r="T165" s="714"/>
      <c r="U165" s="724">
        <f t="shared" si="3"/>
        <v>5155.7211690237827</v>
      </c>
      <c r="V165" s="727" t="s">
        <v>365</v>
      </c>
    </row>
    <row r="166" spans="1:27" x14ac:dyDescent="0.2">
      <c r="A166" s="728" t="s">
        <v>864</v>
      </c>
      <c r="B166" s="729"/>
      <c r="G166" s="723">
        <v>38.705594397673266</v>
      </c>
      <c r="H166" s="723">
        <v>58.522993500775925</v>
      </c>
      <c r="I166" s="723">
        <v>71.1527046223528</v>
      </c>
      <c r="J166" s="723">
        <v>82.338329494368111</v>
      </c>
      <c r="K166" s="723">
        <v>36.590271368564558</v>
      </c>
      <c r="L166" s="723">
        <v>33.131750811020829</v>
      </c>
      <c r="M166" s="723">
        <v>31.787411614413905</v>
      </c>
      <c r="N166" s="723">
        <v>45.388772973276033</v>
      </c>
      <c r="O166" s="723">
        <v>44.861178860359146</v>
      </c>
      <c r="P166" s="723">
        <v>39.300655788642871</v>
      </c>
      <c r="Q166" s="723">
        <v>30.8218394776049</v>
      </c>
      <c r="R166" s="723">
        <v>36.06457573797347</v>
      </c>
      <c r="S166" s="723">
        <v>47.634658444022769</v>
      </c>
      <c r="T166" s="730"/>
      <c r="U166" s="724">
        <f t="shared" si="3"/>
        <v>596.30073709104852</v>
      </c>
      <c r="V166" s="727" t="s">
        <v>379</v>
      </c>
    </row>
    <row r="167" spans="1:27" ht="15" x14ac:dyDescent="0.25">
      <c r="A167" s="722" t="s">
        <v>368</v>
      </c>
      <c r="B167" s="713"/>
      <c r="G167" s="731">
        <f>G163*0.087</f>
        <v>5583.7072467738653</v>
      </c>
      <c r="H167" s="731">
        <f t="shared" ref="H167:S167" si="4">H163*0.087</f>
        <v>5601.4380422815721</v>
      </c>
      <c r="I167" s="731">
        <f t="shared" si="4"/>
        <v>5830.7626939948559</v>
      </c>
      <c r="J167" s="731">
        <f t="shared" si="4"/>
        <v>5633.1463995426138</v>
      </c>
      <c r="K167" s="731">
        <f t="shared" si="4"/>
        <v>5340.8901791372582</v>
      </c>
      <c r="L167" s="731">
        <f t="shared" si="4"/>
        <v>5482.4523923297684</v>
      </c>
      <c r="M167" s="731">
        <f t="shared" si="4"/>
        <v>5308.627779201086</v>
      </c>
      <c r="N167" s="731">
        <f t="shared" si="4"/>
        <v>5942.2064583492865</v>
      </c>
      <c r="O167" s="731">
        <f t="shared" si="4"/>
        <v>5756.9447545951334</v>
      </c>
      <c r="P167" s="731">
        <f t="shared" si="4"/>
        <v>5748.9137916417676</v>
      </c>
      <c r="Q167" s="731">
        <f t="shared" si="4"/>
        <v>5527.2093448897531</v>
      </c>
      <c r="R167" s="731">
        <f t="shared" si="4"/>
        <v>5863.7129430789582</v>
      </c>
      <c r="S167" s="731">
        <f t="shared" si="4"/>
        <v>6463.375</v>
      </c>
      <c r="T167" s="714"/>
      <c r="U167" s="724">
        <f t="shared" si="3"/>
        <v>74083.387025815915</v>
      </c>
      <c r="V167" s="725" t="s">
        <v>865</v>
      </c>
    </row>
    <row r="168" spans="1:27" ht="15" x14ac:dyDescent="0.25">
      <c r="A168" s="722" t="s">
        <v>369</v>
      </c>
      <c r="B168" s="713"/>
      <c r="G168" s="731">
        <f>G164*13.71</f>
        <v>13114.766640000002</v>
      </c>
      <c r="H168" s="731">
        <f t="shared" ref="H168:Q168" si="5">H164*13.71</f>
        <v>10743.75214862069</v>
      </c>
      <c r="I168" s="731">
        <f t="shared" si="5"/>
        <v>6520.8778448904895</v>
      </c>
      <c r="J168" s="731">
        <f t="shared" si="5"/>
        <v>1808.0562659911961</v>
      </c>
      <c r="K168" s="731">
        <f t="shared" si="5"/>
        <v>1669.5344654780554</v>
      </c>
      <c r="L168" s="731">
        <f t="shared" si="5"/>
        <v>1566.9291677419355</v>
      </c>
      <c r="M168" s="731">
        <f t="shared" si="5"/>
        <v>1457.0509706093192</v>
      </c>
      <c r="N168" s="731">
        <f t="shared" si="5"/>
        <v>2264.6782255555559</v>
      </c>
      <c r="O168" s="731">
        <f t="shared" si="5"/>
        <v>4297.2151241379315</v>
      </c>
      <c r="P168" s="731">
        <f t="shared" si="5"/>
        <v>8291.4438182758622</v>
      </c>
      <c r="Q168" s="731">
        <f t="shared" si="5"/>
        <v>11589.690193103448</v>
      </c>
      <c r="R168" s="731">
        <f>R164*14.4</f>
        <v>13802.426317241379</v>
      </c>
      <c r="S168" s="731">
        <f>S164*14.4</f>
        <v>13493.8128</v>
      </c>
      <c r="T168" s="714"/>
      <c r="U168" s="724">
        <f t="shared" si="3"/>
        <v>90620.23398164587</v>
      </c>
      <c r="V168" s="725" t="s">
        <v>865</v>
      </c>
    </row>
    <row r="169" spans="1:27" ht="15" x14ac:dyDescent="0.25">
      <c r="A169" s="722" t="s">
        <v>326</v>
      </c>
      <c r="B169" s="726"/>
      <c r="G169" s="731">
        <f>G165*14.42</f>
        <v>5077.2820000000002</v>
      </c>
      <c r="H169" s="731">
        <f t="shared" ref="H169:Q169" si="6">H165*14.42</f>
        <v>5284.2090000000007</v>
      </c>
      <c r="I169" s="731">
        <f t="shared" si="6"/>
        <v>6295.5316666666668</v>
      </c>
      <c r="J169" s="731">
        <f t="shared" si="6"/>
        <v>7280.211666666668</v>
      </c>
      <c r="K169" s="731">
        <f t="shared" si="6"/>
        <v>9233.3851612903163</v>
      </c>
      <c r="L169" s="731">
        <f t="shared" si="6"/>
        <v>8647.1719466073409</v>
      </c>
      <c r="M169" s="731">
        <f t="shared" si="6"/>
        <v>6320.9324137931026</v>
      </c>
      <c r="N169" s="731">
        <f t="shared" si="6"/>
        <v>4750.3126436781613</v>
      </c>
      <c r="O169" s="731">
        <f t="shared" si="6"/>
        <v>5416.6160919540234</v>
      </c>
      <c r="P169" s="731">
        <f t="shared" si="6"/>
        <v>4781.6388505747127</v>
      </c>
      <c r="Q169" s="731">
        <f t="shared" si="6"/>
        <v>4307.767816091955</v>
      </c>
      <c r="R169" s="731">
        <f>R165*13.87</f>
        <v>4022.2999999999997</v>
      </c>
      <c r="S169" s="731">
        <f>S165*13.87</f>
        <v>2663.04</v>
      </c>
      <c r="T169" s="714"/>
      <c r="U169" s="724">
        <f t="shared" si="3"/>
        <v>74080.399257322948</v>
      </c>
      <c r="V169" s="725" t="s">
        <v>865</v>
      </c>
    </row>
    <row r="170" spans="1:27" ht="15" x14ac:dyDescent="0.25">
      <c r="A170" s="732" t="s">
        <v>325</v>
      </c>
      <c r="B170" s="733"/>
      <c r="G170" s="145">
        <f>G166*6.55</f>
        <v>253.52164330475989</v>
      </c>
      <c r="H170" s="145">
        <f t="shared" ref="H170:Q170" si="7">H166*6.55</f>
        <v>383.3256074300823</v>
      </c>
      <c r="I170" s="145">
        <f t="shared" si="7"/>
        <v>466.05021527641082</v>
      </c>
      <c r="J170" s="145">
        <f t="shared" si="7"/>
        <v>539.31605818811113</v>
      </c>
      <c r="K170" s="145">
        <f t="shared" si="7"/>
        <v>239.66627746409785</v>
      </c>
      <c r="L170" s="145">
        <f t="shared" si="7"/>
        <v>217.01296781218642</v>
      </c>
      <c r="M170" s="145">
        <f t="shared" si="7"/>
        <v>208.20754607441108</v>
      </c>
      <c r="N170" s="145">
        <f t="shared" si="7"/>
        <v>297.29646297495799</v>
      </c>
      <c r="O170" s="145">
        <f t="shared" si="7"/>
        <v>293.84072153535237</v>
      </c>
      <c r="P170" s="145">
        <f t="shared" si="7"/>
        <v>257.4192954156108</v>
      </c>
      <c r="Q170" s="145">
        <f t="shared" si="7"/>
        <v>201.8830485783121</v>
      </c>
      <c r="R170" s="145">
        <f>R166*7.86</f>
        <v>283.46756530047151</v>
      </c>
      <c r="S170" s="145">
        <f>S166*7.86</f>
        <v>374.40841537001899</v>
      </c>
      <c r="T170" s="714"/>
      <c r="U170" s="734">
        <f t="shared" si="3"/>
        <v>4015.4158247247829</v>
      </c>
      <c r="V170" s="725" t="s">
        <v>865</v>
      </c>
    </row>
    <row r="171" spans="1:27" s="788" customFormat="1" ht="20.25" x14ac:dyDescent="0.3">
      <c r="A171" s="786">
        <v>9</v>
      </c>
      <c r="B171" s="790" t="s">
        <v>413</v>
      </c>
      <c r="S171" s="789"/>
      <c r="V171" s="789"/>
    </row>
    <row r="172" spans="1:27" ht="31.15" customHeight="1" x14ac:dyDescent="0.2">
      <c r="B172" s="464" t="s">
        <v>408</v>
      </c>
      <c r="O172" s="499"/>
      <c r="P172" s="499"/>
      <c r="Q172" s="499"/>
      <c r="R172" s="499"/>
      <c r="S172" s="499"/>
      <c r="T172" s="499"/>
      <c r="U172" s="499"/>
      <c r="V172" s="499"/>
      <c r="W172" s="499"/>
      <c r="X172" s="499"/>
      <c r="Y172" s="499"/>
      <c r="Z172" s="499"/>
      <c r="AA172" s="499"/>
    </row>
    <row r="173" spans="1:27" s="94" customFormat="1" x14ac:dyDescent="0.2">
      <c r="B173" s="465" t="s">
        <v>337</v>
      </c>
      <c r="C173" s="91">
        <v>41456</v>
      </c>
      <c r="D173" s="91">
        <v>41487</v>
      </c>
      <c r="E173" s="91">
        <v>41518</v>
      </c>
      <c r="F173" s="91">
        <v>41548</v>
      </c>
      <c r="G173" s="91">
        <v>41579</v>
      </c>
      <c r="H173" s="91">
        <v>41609</v>
      </c>
      <c r="I173" s="91">
        <v>41640</v>
      </c>
      <c r="J173" s="91">
        <v>41671</v>
      </c>
      <c r="K173" s="91">
        <v>41699</v>
      </c>
      <c r="L173" s="91">
        <v>41730</v>
      </c>
      <c r="M173" s="91">
        <v>41760</v>
      </c>
      <c r="N173" s="92">
        <v>41791</v>
      </c>
      <c r="O173" s="499"/>
      <c r="P173" s="499"/>
      <c r="Q173" s="499"/>
      <c r="R173" s="499"/>
      <c r="S173" s="499"/>
      <c r="T173" s="499"/>
      <c r="U173" s="499"/>
      <c r="V173" s="499"/>
      <c r="W173" s="499"/>
      <c r="X173" s="499"/>
      <c r="Y173" s="499"/>
      <c r="Z173" s="499"/>
      <c r="AA173" s="499"/>
    </row>
    <row r="174" spans="1:27" x14ac:dyDescent="0.2">
      <c r="O174" s="618"/>
      <c r="P174" s="619"/>
      <c r="Q174" s="619"/>
      <c r="R174" s="619"/>
      <c r="S174" s="619"/>
      <c r="T174" s="619"/>
      <c r="U174" s="619"/>
      <c r="V174" s="619"/>
      <c r="W174" s="619"/>
      <c r="X174" s="619"/>
      <c r="Y174" s="619"/>
      <c r="Z174" s="619"/>
      <c r="AA174" s="619"/>
    </row>
    <row r="175" spans="1:27" x14ac:dyDescent="0.2">
      <c r="B175" s="95" t="s">
        <v>409</v>
      </c>
      <c r="C175" s="96">
        <v>57984</v>
      </c>
      <c r="D175" s="96">
        <v>55872</v>
      </c>
      <c r="E175" s="96">
        <v>54912</v>
      </c>
      <c r="F175" s="96">
        <v>47040</v>
      </c>
      <c r="G175" s="96">
        <v>52224</v>
      </c>
      <c r="H175" s="96">
        <v>53760</v>
      </c>
      <c r="I175" s="96">
        <v>45312</v>
      </c>
      <c r="J175" s="96">
        <v>61824</v>
      </c>
      <c r="K175" s="96">
        <v>48768</v>
      </c>
      <c r="L175" s="96">
        <v>40704</v>
      </c>
      <c r="M175" s="96">
        <v>37632</v>
      </c>
      <c r="N175" s="96">
        <v>48000</v>
      </c>
      <c r="O175" s="499"/>
      <c r="P175" s="499"/>
      <c r="Q175" s="499"/>
      <c r="R175" s="499"/>
      <c r="S175" s="499"/>
      <c r="T175" s="499"/>
      <c r="U175" s="499"/>
      <c r="V175" s="499"/>
      <c r="W175" s="499"/>
      <c r="X175" s="499"/>
      <c r="Y175" s="499"/>
      <c r="Z175" s="499"/>
      <c r="AA175" s="499"/>
    </row>
    <row r="176" spans="1:27" x14ac:dyDescent="0.2">
      <c r="B176" s="95" t="s">
        <v>322</v>
      </c>
      <c r="C176" s="101">
        <v>4032.55</v>
      </c>
      <c r="D176" s="101">
        <v>6507.99</v>
      </c>
      <c r="E176" s="101">
        <v>6506.21</v>
      </c>
      <c r="F176" s="101">
        <v>6886</v>
      </c>
      <c r="G176" s="101">
        <v>3459.8</v>
      </c>
      <c r="H176" s="101">
        <v>1843.55</v>
      </c>
      <c r="I176" s="101">
        <v>1631.21</v>
      </c>
      <c r="J176" s="101">
        <v>3347.66</v>
      </c>
      <c r="K176" s="101">
        <v>2224.4499999999998</v>
      </c>
      <c r="L176" s="101">
        <v>5903.93</v>
      </c>
      <c r="M176" s="101">
        <v>4066.09</v>
      </c>
      <c r="N176" s="101">
        <v>4406.22</v>
      </c>
      <c r="O176" s="618"/>
      <c r="P176" s="619"/>
      <c r="Q176" s="619"/>
      <c r="R176" s="619"/>
      <c r="S176" s="619"/>
      <c r="T176" s="619"/>
      <c r="U176" s="619"/>
      <c r="V176" s="619"/>
      <c r="W176" s="619"/>
      <c r="X176" s="619"/>
      <c r="Y176" s="619"/>
      <c r="Z176" s="619"/>
      <c r="AA176" s="619"/>
    </row>
    <row r="177" spans="1:27" x14ac:dyDescent="0.2">
      <c r="N177" s="620"/>
      <c r="O177" s="116"/>
      <c r="P177" s="116"/>
      <c r="Q177" s="116"/>
      <c r="R177" s="116"/>
      <c r="S177" s="116"/>
      <c r="T177" s="116"/>
      <c r="U177" s="116"/>
      <c r="V177" s="116"/>
      <c r="W177" s="116"/>
      <c r="X177" s="116"/>
      <c r="Y177" s="116"/>
      <c r="Z177" s="116"/>
      <c r="AA177" s="116"/>
    </row>
    <row r="178" spans="1:27" x14ac:dyDescent="0.2">
      <c r="B178" s="95" t="s">
        <v>347</v>
      </c>
      <c r="C178" s="109">
        <v>7149.86</v>
      </c>
      <c r="D178" s="109">
        <v>6834.85</v>
      </c>
      <c r="E178" s="109">
        <v>7081.17</v>
      </c>
      <c r="F178" s="109">
        <v>5824.79</v>
      </c>
      <c r="G178" s="109">
        <v>6651.71</v>
      </c>
      <c r="H178" s="109">
        <v>6224.35</v>
      </c>
      <c r="I178" s="109">
        <v>5518.37</v>
      </c>
      <c r="J178" s="109">
        <v>6829.41</v>
      </c>
      <c r="K178" s="109">
        <v>5946.53</v>
      </c>
      <c r="L178" s="109">
        <v>5304.53</v>
      </c>
      <c r="M178" s="109">
        <v>4903.43</v>
      </c>
      <c r="N178" s="109">
        <v>6276.31</v>
      </c>
      <c r="O178" s="621"/>
      <c r="P178" s="621"/>
      <c r="Q178" s="621"/>
      <c r="R178" s="621"/>
      <c r="S178" s="621"/>
      <c r="T178" s="621"/>
      <c r="U178" s="621"/>
      <c r="V178" s="621"/>
      <c r="W178" s="621"/>
      <c r="X178" s="621"/>
      <c r="Y178" s="621"/>
      <c r="Z178" s="621"/>
      <c r="AA178" s="621"/>
    </row>
    <row r="179" spans="1:27" x14ac:dyDescent="0.2">
      <c r="B179" s="112" t="s">
        <v>410</v>
      </c>
      <c r="C179" s="113">
        <v>39.520000000000003</v>
      </c>
      <c r="D179" s="113">
        <v>63.79</v>
      </c>
      <c r="E179" s="113">
        <v>64.41</v>
      </c>
      <c r="F179" s="113">
        <f>F176*0.0099</f>
        <v>68.171400000000006</v>
      </c>
      <c r="G179" s="113">
        <f>G176*0.0101</f>
        <v>34.943980000000003</v>
      </c>
      <c r="H179" s="113">
        <f>H176*0.0098</f>
        <v>18.066789999999997</v>
      </c>
      <c r="I179" s="113">
        <f>I176*0.0099</f>
        <v>16.148979000000001</v>
      </c>
      <c r="J179" s="113">
        <f>J176*0.0098</f>
        <v>32.807068000000001</v>
      </c>
      <c r="K179" s="113">
        <f>K176*0.0098</f>
        <v>21.799609999999998</v>
      </c>
      <c r="L179" s="113">
        <f>L176*0.0098</f>
        <v>57.858514</v>
      </c>
      <c r="M179" s="113">
        <f>M176*0.0098</f>
        <v>39.847681999999999</v>
      </c>
      <c r="N179" s="113">
        <f>N176*0.0098</f>
        <v>43.180956000000002</v>
      </c>
      <c r="O179" s="622"/>
      <c r="P179" s="622"/>
      <c r="Q179" s="622"/>
      <c r="R179" s="622"/>
      <c r="S179" s="622"/>
      <c r="T179" s="622"/>
      <c r="U179" s="622"/>
      <c r="V179" s="622"/>
      <c r="W179" s="622"/>
      <c r="X179" s="622"/>
      <c r="Y179" s="622"/>
      <c r="Z179" s="622"/>
      <c r="AA179" s="622"/>
    </row>
    <row r="180" spans="1:27" s="788" customFormat="1" ht="20.25" x14ac:dyDescent="0.3">
      <c r="A180" s="786">
        <v>10</v>
      </c>
      <c r="B180" s="790" t="s">
        <v>558</v>
      </c>
      <c r="S180" s="791"/>
      <c r="T180" s="789"/>
      <c r="W180" s="789"/>
      <c r="Z180" s="789"/>
    </row>
    <row r="181" spans="1:27" ht="31.15" customHeight="1" x14ac:dyDescent="0.25">
      <c r="B181" s="464" t="s">
        <v>934</v>
      </c>
      <c r="O181" s="477"/>
      <c r="P181" s="860"/>
    </row>
    <row r="182" spans="1:27" s="94" customFormat="1" x14ac:dyDescent="0.2">
      <c r="B182" s="465" t="s">
        <v>337</v>
      </c>
      <c r="C182" s="91">
        <v>40725</v>
      </c>
      <c r="D182" s="91">
        <v>40756</v>
      </c>
      <c r="E182" s="91">
        <v>40787</v>
      </c>
      <c r="F182" s="91">
        <v>40817</v>
      </c>
      <c r="G182" s="91">
        <v>40848</v>
      </c>
      <c r="H182" s="91">
        <v>40878</v>
      </c>
      <c r="I182" s="91">
        <v>40909</v>
      </c>
      <c r="J182" s="91">
        <v>40940</v>
      </c>
      <c r="K182" s="91">
        <v>40969</v>
      </c>
      <c r="L182" s="91">
        <v>41000</v>
      </c>
      <c r="M182" s="91">
        <v>41030</v>
      </c>
      <c r="N182" s="91">
        <v>41061</v>
      </c>
      <c r="O182" s="91" t="s">
        <v>923</v>
      </c>
      <c r="P182" s="859"/>
    </row>
    <row r="183" spans="1:27" ht="15" x14ac:dyDescent="0.25">
      <c r="O183" s="477"/>
      <c r="P183" s="860"/>
    </row>
    <row r="184" spans="1:27" ht="15" x14ac:dyDescent="0.25">
      <c r="B184" s="95" t="s">
        <v>409</v>
      </c>
      <c r="C184" s="874"/>
      <c r="D184" s="874"/>
      <c r="E184" s="874"/>
      <c r="F184" s="874"/>
      <c r="G184" s="874"/>
      <c r="H184" s="874"/>
      <c r="I184" s="874"/>
      <c r="J184" s="874"/>
      <c r="K184" s="874"/>
      <c r="L184" s="96">
        <v>7800</v>
      </c>
      <c r="M184" s="96">
        <v>5000</v>
      </c>
      <c r="N184" s="96">
        <v>2880</v>
      </c>
      <c r="O184" s="861">
        <f>SUM(L184:N184)</f>
        <v>15680</v>
      </c>
      <c r="P184" s="860"/>
    </row>
    <row r="185" spans="1:27" ht="15" x14ac:dyDescent="0.25">
      <c r="B185" s="95" t="s">
        <v>320</v>
      </c>
      <c r="C185" s="874"/>
      <c r="D185" s="874"/>
      <c r="E185" s="874"/>
      <c r="F185" s="874"/>
      <c r="G185" s="874"/>
      <c r="H185" s="874"/>
      <c r="I185" s="874"/>
      <c r="J185" s="874"/>
      <c r="K185" s="874"/>
      <c r="L185" s="96"/>
      <c r="M185" s="96"/>
      <c r="N185" s="96"/>
      <c r="O185" s="861">
        <f>SUM(L185:N185)</f>
        <v>0</v>
      </c>
      <c r="P185" s="860"/>
    </row>
    <row r="186" spans="1:27" ht="15" x14ac:dyDescent="0.25">
      <c r="B186" s="95" t="s">
        <v>322</v>
      </c>
      <c r="C186" s="876"/>
      <c r="D186" s="876"/>
      <c r="E186" s="876"/>
      <c r="F186" s="876"/>
      <c r="G186" s="876"/>
      <c r="H186" s="876"/>
      <c r="I186" s="876"/>
      <c r="J186" s="876"/>
      <c r="K186" s="876"/>
      <c r="L186" s="101">
        <v>168000</v>
      </c>
      <c r="M186" s="101">
        <v>37420</v>
      </c>
      <c r="N186" s="101">
        <v>44660</v>
      </c>
      <c r="O186" s="861">
        <f>SUM(L186:N186)</f>
        <v>250080</v>
      </c>
      <c r="P186" s="860"/>
    </row>
    <row r="187" spans="1:27" s="776" customFormat="1" ht="15" x14ac:dyDescent="0.25">
      <c r="B187" s="894" t="s">
        <v>924</v>
      </c>
      <c r="C187" s="895"/>
      <c r="D187" s="895"/>
      <c r="E187" s="895"/>
      <c r="F187" s="895"/>
      <c r="G187" s="895"/>
      <c r="H187" s="895"/>
      <c r="I187" s="895"/>
      <c r="J187" s="895"/>
      <c r="K187" s="895"/>
      <c r="L187" s="820">
        <v>33</v>
      </c>
      <c r="M187" s="820">
        <v>30</v>
      </c>
      <c r="N187" s="820">
        <v>24</v>
      </c>
      <c r="O187" s="864">
        <f>SUM(E187:N187)</f>
        <v>87</v>
      </c>
    </row>
    <row r="188" spans="1:27" ht="15" x14ac:dyDescent="0.25">
      <c r="B188" s="865"/>
      <c r="O188" s="477"/>
    </row>
    <row r="189" spans="1:27" ht="15" x14ac:dyDescent="0.25">
      <c r="B189" s="95" t="s">
        <v>347</v>
      </c>
      <c r="C189" s="882"/>
      <c r="D189" s="882"/>
      <c r="E189" s="882"/>
      <c r="F189" s="882"/>
      <c r="G189" s="882"/>
      <c r="H189" s="882"/>
      <c r="I189" s="882"/>
      <c r="J189" s="882"/>
      <c r="K189" s="882"/>
      <c r="L189" s="866">
        <v>1070.52</v>
      </c>
      <c r="M189" s="866">
        <v>786.6</v>
      </c>
      <c r="N189" s="866">
        <v>571.63</v>
      </c>
      <c r="O189" s="868">
        <f>SUM(L189:N189)</f>
        <v>2428.75</v>
      </c>
      <c r="P189" s="860"/>
    </row>
    <row r="190" spans="1:27" ht="15" x14ac:dyDescent="0.25">
      <c r="B190" s="112" t="s">
        <v>348</v>
      </c>
      <c r="C190" s="884"/>
      <c r="D190" s="884"/>
      <c r="E190" s="884"/>
      <c r="F190" s="884"/>
      <c r="G190" s="884"/>
      <c r="H190" s="884"/>
      <c r="I190" s="884"/>
      <c r="J190" s="884"/>
      <c r="K190" s="884"/>
      <c r="L190" s="869"/>
      <c r="M190" s="869"/>
      <c r="N190" s="869"/>
      <c r="O190" s="868">
        <f>SUM(L190:N190)</f>
        <v>0</v>
      </c>
      <c r="P190" s="860"/>
    </row>
    <row r="191" spans="1:27" ht="15" x14ac:dyDescent="0.25">
      <c r="B191" s="112" t="s">
        <v>410</v>
      </c>
      <c r="C191" s="884"/>
      <c r="D191" s="884"/>
      <c r="E191" s="884"/>
      <c r="F191" s="884"/>
      <c r="G191" s="884"/>
      <c r="H191" s="884"/>
      <c r="I191" s="884"/>
      <c r="J191" s="884"/>
      <c r="K191" s="884"/>
      <c r="L191" s="869">
        <v>52.67</v>
      </c>
      <c r="M191" s="869">
        <v>73.84</v>
      </c>
      <c r="N191" s="870" t="s">
        <v>330</v>
      </c>
      <c r="O191" s="868">
        <f>SUM(L191:N191)</f>
        <v>126.51</v>
      </c>
      <c r="P191" s="860"/>
      <c r="Q191" s="896"/>
    </row>
    <row r="192" spans="1:27" s="690" customFormat="1" ht="15" x14ac:dyDescent="0.25">
      <c r="B192" s="121" t="s">
        <v>925</v>
      </c>
      <c r="C192" s="878"/>
      <c r="D192" s="878"/>
      <c r="E192" s="897"/>
      <c r="F192" s="897"/>
      <c r="G192" s="897"/>
      <c r="H192" s="897"/>
      <c r="I192" s="897"/>
      <c r="J192" s="897"/>
      <c r="K192" s="897"/>
      <c r="L192" s="871">
        <v>47.66</v>
      </c>
      <c r="M192" s="871">
        <v>45.33</v>
      </c>
      <c r="N192" s="871">
        <v>40.67</v>
      </c>
      <c r="O192" s="872">
        <f>SUM(E192:N192)</f>
        <v>133.66</v>
      </c>
    </row>
    <row r="193" spans="2:16" ht="15" x14ac:dyDescent="0.25">
      <c r="O193" s="477"/>
      <c r="P193" s="860"/>
    </row>
    <row r="194" spans="2:16" s="94" customFormat="1" x14ac:dyDescent="0.2">
      <c r="B194" s="465" t="s">
        <v>337</v>
      </c>
      <c r="C194" s="91">
        <v>41091</v>
      </c>
      <c r="D194" s="91">
        <v>41122</v>
      </c>
      <c r="E194" s="91">
        <v>41153</v>
      </c>
      <c r="F194" s="91">
        <v>41183</v>
      </c>
      <c r="G194" s="91">
        <v>41214</v>
      </c>
      <c r="H194" s="91">
        <v>41244</v>
      </c>
      <c r="I194" s="91">
        <v>41275</v>
      </c>
      <c r="J194" s="91">
        <v>41306</v>
      </c>
      <c r="K194" s="91">
        <v>41334</v>
      </c>
      <c r="L194" s="91">
        <v>41365</v>
      </c>
      <c r="M194" s="91">
        <v>41395</v>
      </c>
      <c r="N194" s="91">
        <v>41426</v>
      </c>
      <c r="O194" s="91" t="s">
        <v>923</v>
      </c>
      <c r="P194" s="859"/>
    </row>
    <row r="195" spans="2:16" ht="15" x14ac:dyDescent="0.25">
      <c r="O195" s="477"/>
      <c r="P195" s="860"/>
    </row>
    <row r="196" spans="2:16" ht="15" x14ac:dyDescent="0.25">
      <c r="B196" s="95" t="s">
        <v>409</v>
      </c>
      <c r="C196" s="96">
        <v>3360</v>
      </c>
      <c r="D196" s="96">
        <v>2840</v>
      </c>
      <c r="E196" s="96">
        <v>3200</v>
      </c>
      <c r="F196" s="96">
        <v>1560</v>
      </c>
      <c r="G196" s="96">
        <v>3360</v>
      </c>
      <c r="H196" s="96">
        <v>2960</v>
      </c>
      <c r="I196" s="96">
        <v>2840</v>
      </c>
      <c r="J196" s="96">
        <v>2600</v>
      </c>
      <c r="K196" s="96">
        <v>3800</v>
      </c>
      <c r="L196" s="96">
        <v>2040</v>
      </c>
      <c r="M196" s="96">
        <v>3480</v>
      </c>
      <c r="N196" s="96">
        <v>4440</v>
      </c>
      <c r="O196" s="861">
        <f>SUM(C196:N196)</f>
        <v>36480</v>
      </c>
      <c r="P196" s="860"/>
    </row>
    <row r="197" spans="2:16" ht="15" x14ac:dyDescent="0.25">
      <c r="B197" s="95" t="s">
        <v>320</v>
      </c>
      <c r="C197" s="96"/>
      <c r="D197" s="96"/>
      <c r="E197" s="96"/>
      <c r="F197" s="96"/>
      <c r="G197" s="96"/>
      <c r="H197" s="96"/>
      <c r="I197" s="96"/>
      <c r="J197" s="96"/>
      <c r="K197" s="96"/>
      <c r="L197" s="96"/>
      <c r="M197" s="96"/>
      <c r="N197" s="96"/>
      <c r="O197" s="861">
        <f>SUM(C197:N197)</f>
        <v>0</v>
      </c>
      <c r="P197" s="860"/>
    </row>
    <row r="198" spans="2:16" ht="15" x14ac:dyDescent="0.25">
      <c r="B198" s="95" t="s">
        <v>322</v>
      </c>
      <c r="C198" s="101">
        <v>45320</v>
      </c>
      <c r="D198" s="101">
        <v>40480</v>
      </c>
      <c r="E198" s="101">
        <v>44030</v>
      </c>
      <c r="F198" s="101">
        <v>55220</v>
      </c>
      <c r="G198" s="101">
        <v>34670</v>
      </c>
      <c r="H198" s="101">
        <v>28770</v>
      </c>
      <c r="I198" s="101">
        <v>43050</v>
      </c>
      <c r="J198" s="101">
        <v>147260</v>
      </c>
      <c r="K198" s="101">
        <v>47580</v>
      </c>
      <c r="L198" s="101">
        <v>10410</v>
      </c>
      <c r="M198" s="101">
        <v>82440</v>
      </c>
      <c r="N198" s="101">
        <v>53980</v>
      </c>
      <c r="O198" s="861">
        <f>SUM(C198:N198)</f>
        <v>633210</v>
      </c>
      <c r="P198" s="860"/>
    </row>
    <row r="199" spans="2:16" x14ac:dyDescent="0.2">
      <c r="B199" s="863" t="s">
        <v>924</v>
      </c>
      <c r="C199" s="820">
        <v>24</v>
      </c>
      <c r="D199" s="820">
        <v>25</v>
      </c>
      <c r="E199" s="820">
        <v>24</v>
      </c>
      <c r="F199" s="820">
        <v>37</v>
      </c>
      <c r="G199" s="820">
        <v>636</v>
      </c>
      <c r="H199" s="820">
        <v>65</v>
      </c>
      <c r="I199" s="820">
        <v>779</v>
      </c>
      <c r="J199" s="101">
        <v>1192</v>
      </c>
      <c r="K199" s="820">
        <v>330</v>
      </c>
      <c r="L199" s="820">
        <v>248</v>
      </c>
      <c r="M199" s="820">
        <v>30</v>
      </c>
      <c r="N199" s="820">
        <v>25</v>
      </c>
      <c r="O199" s="864">
        <f>SUM(C199:N199)</f>
        <v>3415</v>
      </c>
    </row>
    <row r="200" spans="2:16" ht="15" x14ac:dyDescent="0.25">
      <c r="B200" s="865"/>
      <c r="O200" s="477"/>
    </row>
    <row r="201" spans="2:16" ht="15" x14ac:dyDescent="0.25">
      <c r="B201" s="95" t="s">
        <v>347</v>
      </c>
      <c r="C201" s="866">
        <v>620.29999999999995</v>
      </c>
      <c r="D201" s="866">
        <v>567.57000000000005</v>
      </c>
      <c r="E201" s="866">
        <v>604.08000000000004</v>
      </c>
      <c r="F201" s="866">
        <v>437.78</v>
      </c>
      <c r="G201" s="866">
        <v>620.29999999999995</v>
      </c>
      <c r="H201" s="866">
        <v>579.74</v>
      </c>
      <c r="I201" s="866">
        <v>567.57000000000005</v>
      </c>
      <c r="J201" s="866">
        <v>543.24</v>
      </c>
      <c r="K201" s="866">
        <v>736.37</v>
      </c>
      <c r="L201" s="866">
        <v>755.2</v>
      </c>
      <c r="M201" s="866">
        <v>857.12</v>
      </c>
      <c r="N201" s="866">
        <v>1005.86</v>
      </c>
      <c r="O201" s="868">
        <f>SUM(C201:N201)</f>
        <v>7895.1299999999992</v>
      </c>
      <c r="P201" s="860"/>
    </row>
    <row r="202" spans="2:16" ht="15" x14ac:dyDescent="0.25">
      <c r="B202" s="112" t="s">
        <v>348</v>
      </c>
      <c r="C202" s="869"/>
      <c r="D202" s="869"/>
      <c r="E202" s="869"/>
      <c r="F202" s="869"/>
      <c r="G202" s="869"/>
      <c r="H202" s="869"/>
      <c r="I202" s="869"/>
      <c r="J202" s="869"/>
      <c r="K202" s="869"/>
      <c r="L202" s="869"/>
      <c r="M202" s="869"/>
      <c r="N202" s="869"/>
      <c r="O202" s="868">
        <f>SUM(C202:N202)</f>
        <v>0</v>
      </c>
      <c r="P202" s="860"/>
    </row>
    <row r="203" spans="2:16" ht="15" x14ac:dyDescent="0.25">
      <c r="B203" s="112" t="s">
        <v>410</v>
      </c>
      <c r="C203" s="869">
        <v>51.91</v>
      </c>
      <c r="D203" s="869">
        <v>52.67</v>
      </c>
      <c r="E203" s="869">
        <v>54.58</v>
      </c>
      <c r="F203" s="870" t="s">
        <v>330</v>
      </c>
      <c r="G203" s="869">
        <v>193.64</v>
      </c>
      <c r="H203" s="869">
        <v>158.97</v>
      </c>
      <c r="I203" s="869">
        <v>224.89</v>
      </c>
      <c r="J203" s="869">
        <v>629.89</v>
      </c>
      <c r="K203" s="869">
        <v>242.41</v>
      </c>
      <c r="L203" s="869">
        <v>319.37</v>
      </c>
      <c r="M203" s="869">
        <v>153.26</v>
      </c>
      <c r="N203" s="869">
        <v>238.6</v>
      </c>
      <c r="O203" s="868">
        <f>SUM(C203:N203)</f>
        <v>2320.19</v>
      </c>
      <c r="P203" s="860"/>
    </row>
    <row r="204" spans="2:16" s="690" customFormat="1" ht="15" x14ac:dyDescent="0.25">
      <c r="B204" s="121" t="s">
        <v>925</v>
      </c>
      <c r="C204" s="104">
        <v>40.67</v>
      </c>
      <c r="D204" s="104">
        <v>41.45</v>
      </c>
      <c r="E204" s="871">
        <v>40.67</v>
      </c>
      <c r="F204" s="871">
        <v>52.43</v>
      </c>
      <c r="G204" s="871">
        <v>587.21</v>
      </c>
      <c r="H204" s="871">
        <v>80.02</v>
      </c>
      <c r="I204" s="871">
        <v>708.43</v>
      </c>
      <c r="J204" s="871">
        <v>982.9</v>
      </c>
      <c r="K204" s="871">
        <v>269.64999999999998</v>
      </c>
      <c r="L204" s="871">
        <v>209.36</v>
      </c>
      <c r="M204" s="871">
        <v>54.78</v>
      </c>
      <c r="N204" s="871">
        <v>44.77</v>
      </c>
      <c r="O204" s="872">
        <f>SUM(C204:N204)</f>
        <v>3112.3400000000006</v>
      </c>
    </row>
    <row r="205" spans="2:16" ht="15" x14ac:dyDescent="0.25">
      <c r="C205" s="485"/>
      <c r="O205" s="477"/>
      <c r="P205" s="860"/>
    </row>
    <row r="206" spans="2:16" s="94" customFormat="1" x14ac:dyDescent="0.2">
      <c r="B206" s="465" t="s">
        <v>337</v>
      </c>
      <c r="C206" s="91">
        <v>41456</v>
      </c>
      <c r="D206" s="91">
        <v>41487</v>
      </c>
      <c r="E206" s="91">
        <v>41518</v>
      </c>
      <c r="F206" s="91">
        <v>41548</v>
      </c>
      <c r="G206" s="91">
        <v>41579</v>
      </c>
      <c r="H206" s="91">
        <v>41609</v>
      </c>
      <c r="I206" s="91">
        <v>41640</v>
      </c>
      <c r="J206" s="91">
        <v>41671</v>
      </c>
      <c r="K206" s="91">
        <v>41699</v>
      </c>
      <c r="L206" s="91">
        <v>41730</v>
      </c>
      <c r="M206" s="91">
        <v>41760</v>
      </c>
      <c r="N206" s="91">
        <v>41791</v>
      </c>
      <c r="O206" s="91" t="s">
        <v>923</v>
      </c>
      <c r="P206" s="859"/>
    </row>
    <row r="207" spans="2:16" ht="15" x14ac:dyDescent="0.25">
      <c r="O207" s="477"/>
      <c r="P207" s="860"/>
    </row>
    <row r="208" spans="2:16" ht="15" x14ac:dyDescent="0.25">
      <c r="B208" s="95" t="s">
        <v>409</v>
      </c>
      <c r="C208" s="96">
        <v>2160</v>
      </c>
      <c r="D208" s="96">
        <v>3000</v>
      </c>
      <c r="E208" s="96">
        <v>3880</v>
      </c>
      <c r="F208" s="96">
        <v>4120</v>
      </c>
      <c r="G208" s="96">
        <v>2640</v>
      </c>
      <c r="H208" s="96">
        <v>2560</v>
      </c>
      <c r="I208" s="96">
        <v>2440</v>
      </c>
      <c r="J208" s="96">
        <v>2120</v>
      </c>
      <c r="K208" s="96">
        <v>2360</v>
      </c>
      <c r="L208" s="96">
        <v>3120</v>
      </c>
      <c r="M208" s="96">
        <v>2080</v>
      </c>
      <c r="N208" s="96">
        <v>3840</v>
      </c>
      <c r="O208" s="861">
        <f>SUM(C208:N208)</f>
        <v>34320</v>
      </c>
      <c r="P208" s="860"/>
    </row>
    <row r="209" spans="1:22" ht="15" x14ac:dyDescent="0.25">
      <c r="B209" s="95" t="s">
        <v>320</v>
      </c>
      <c r="C209" s="96"/>
      <c r="D209" s="96"/>
      <c r="E209" s="96"/>
      <c r="F209" s="96"/>
      <c r="G209" s="96"/>
      <c r="H209" s="96"/>
      <c r="I209" s="96"/>
      <c r="J209" s="96"/>
      <c r="K209" s="96"/>
      <c r="L209" s="96"/>
      <c r="M209" s="96"/>
      <c r="N209" s="96"/>
      <c r="O209" s="861">
        <f>SUM(C209:N209)</f>
        <v>0</v>
      </c>
      <c r="P209" s="860"/>
    </row>
    <row r="210" spans="1:22" ht="15" x14ac:dyDescent="0.25">
      <c r="B210" s="95" t="s">
        <v>322</v>
      </c>
      <c r="C210" s="101">
        <v>34980</v>
      </c>
      <c r="D210" s="101">
        <v>69680</v>
      </c>
      <c r="E210" s="101">
        <v>57720</v>
      </c>
      <c r="F210" s="101">
        <v>86280</v>
      </c>
      <c r="G210" s="101">
        <v>18990</v>
      </c>
      <c r="H210" s="101">
        <v>28600</v>
      </c>
      <c r="I210" s="101">
        <v>38130</v>
      </c>
      <c r="J210" s="862" t="s">
        <v>330</v>
      </c>
      <c r="K210" s="101">
        <v>36090</v>
      </c>
      <c r="L210" s="101">
        <v>43300</v>
      </c>
      <c r="M210" s="101">
        <v>75980</v>
      </c>
      <c r="N210" s="101">
        <v>29880</v>
      </c>
      <c r="O210" s="861">
        <f>SUM(C210:N210)</f>
        <v>519630</v>
      </c>
      <c r="P210" s="860"/>
    </row>
    <row r="211" spans="1:22" x14ac:dyDescent="0.2">
      <c r="B211" s="863" t="s">
        <v>924</v>
      </c>
      <c r="C211" s="820">
        <v>27</v>
      </c>
      <c r="D211" s="820">
        <v>23</v>
      </c>
      <c r="E211" s="820">
        <v>28</v>
      </c>
      <c r="F211" s="820">
        <v>247</v>
      </c>
      <c r="G211" s="820">
        <v>420</v>
      </c>
      <c r="H211" s="820">
        <v>706</v>
      </c>
      <c r="I211" s="101">
        <v>1706</v>
      </c>
      <c r="J211" s="820">
        <v>844</v>
      </c>
      <c r="K211" s="820">
        <v>414</v>
      </c>
      <c r="L211" s="820">
        <v>85</v>
      </c>
      <c r="M211" s="820">
        <v>28</v>
      </c>
      <c r="N211" s="820">
        <v>27</v>
      </c>
      <c r="O211" s="864">
        <f>SUM(C211:N211)</f>
        <v>4555</v>
      </c>
    </row>
    <row r="212" spans="1:22" ht="15" x14ac:dyDescent="0.25">
      <c r="B212" s="865"/>
      <c r="O212" s="477"/>
    </row>
    <row r="213" spans="1:22" ht="15" x14ac:dyDescent="0.25">
      <c r="B213" s="95" t="s">
        <v>347</v>
      </c>
      <c r="C213" s="866">
        <v>628.28</v>
      </c>
      <c r="D213" s="866">
        <v>700.93</v>
      </c>
      <c r="E213" s="866">
        <v>929.19</v>
      </c>
      <c r="F213" s="866">
        <v>802.74</v>
      </c>
      <c r="G213" s="866">
        <v>1005.66</v>
      </c>
      <c r="H213" s="866">
        <v>654.97</v>
      </c>
      <c r="I213" s="866">
        <v>715.15</v>
      </c>
      <c r="J213" s="866">
        <v>633.25</v>
      </c>
      <c r="K213" s="867">
        <v>0</v>
      </c>
      <c r="L213" s="867">
        <v>0</v>
      </c>
      <c r="M213" s="866">
        <v>252.79</v>
      </c>
      <c r="N213" s="866">
        <v>876.54</v>
      </c>
      <c r="O213" s="868">
        <f>SUM(C213:N213)</f>
        <v>7199.5</v>
      </c>
      <c r="P213" s="860"/>
    </row>
    <row r="214" spans="1:22" ht="15" x14ac:dyDescent="0.25">
      <c r="B214" s="112" t="s">
        <v>348</v>
      </c>
      <c r="C214" s="869"/>
      <c r="D214" s="869"/>
      <c r="E214" s="869"/>
      <c r="F214" s="869"/>
      <c r="G214" s="869"/>
      <c r="H214" s="869"/>
      <c r="I214" s="869"/>
      <c r="J214" s="869"/>
      <c r="K214" s="869"/>
      <c r="L214" s="869"/>
      <c r="M214" s="869"/>
      <c r="N214" s="869"/>
      <c r="O214" s="868">
        <f>SUM(C214:N214)</f>
        <v>0</v>
      </c>
      <c r="P214" s="860"/>
    </row>
    <row r="215" spans="1:22" ht="15" x14ac:dyDescent="0.25">
      <c r="B215" s="112" t="s">
        <v>410</v>
      </c>
      <c r="C215" s="869">
        <v>497.3</v>
      </c>
      <c r="D215" s="869">
        <v>217.65</v>
      </c>
      <c r="E215" s="869">
        <v>557.12</v>
      </c>
      <c r="F215" s="869">
        <v>325.85000000000002</v>
      </c>
      <c r="G215" s="869">
        <v>228.31</v>
      </c>
      <c r="H215" s="869">
        <v>297.27999999999997</v>
      </c>
      <c r="I215" s="869">
        <v>235.55</v>
      </c>
      <c r="J215" s="870" t="s">
        <v>330</v>
      </c>
      <c r="K215" s="870" t="s">
        <v>330</v>
      </c>
      <c r="L215" s="869">
        <v>149.44999999999999</v>
      </c>
      <c r="M215" s="869">
        <v>232.89</v>
      </c>
      <c r="N215" s="869">
        <v>231.36</v>
      </c>
      <c r="O215" s="868">
        <f>SUM(C215:N215)</f>
        <v>2972.76</v>
      </c>
      <c r="P215" s="860"/>
    </row>
    <row r="216" spans="1:22" s="690" customFormat="1" ht="15" x14ac:dyDescent="0.25">
      <c r="B216" s="121" t="s">
        <v>925</v>
      </c>
      <c r="C216" s="104">
        <v>46.59</v>
      </c>
      <c r="D216" s="104">
        <v>42.94</v>
      </c>
      <c r="E216" s="871">
        <v>47.5</v>
      </c>
      <c r="F216" s="871">
        <v>261.43</v>
      </c>
      <c r="G216" s="871">
        <v>408.94</v>
      </c>
      <c r="H216" s="871">
        <v>676.07</v>
      </c>
      <c r="I216" s="871">
        <v>1620.61</v>
      </c>
      <c r="J216" s="871">
        <v>790.77</v>
      </c>
      <c r="K216" s="871">
        <v>364.27</v>
      </c>
      <c r="L216" s="871">
        <v>92.09</v>
      </c>
      <c r="M216" s="871">
        <v>47.23</v>
      </c>
      <c r="N216" s="871">
        <v>48.21</v>
      </c>
      <c r="O216" s="872">
        <v>4447</v>
      </c>
    </row>
    <row r="217" spans="1:22" ht="15" x14ac:dyDescent="0.25">
      <c r="O217" s="477"/>
      <c r="P217" s="860"/>
    </row>
    <row r="218" spans="1:22" ht="15" x14ac:dyDescent="0.25">
      <c r="B218" s="477" t="s">
        <v>926</v>
      </c>
      <c r="O218" s="477"/>
      <c r="P218" s="860"/>
    </row>
    <row r="219" spans="1:22" ht="15" x14ac:dyDescent="0.25">
      <c r="B219" t="s">
        <v>927</v>
      </c>
      <c r="O219" s="477"/>
      <c r="P219" s="860"/>
    </row>
    <row r="220" spans="1:22" ht="15" x14ac:dyDescent="0.25">
      <c r="B220" t="s">
        <v>928</v>
      </c>
      <c r="O220" s="477"/>
      <c r="P220" s="860"/>
    </row>
    <row r="221" spans="1:22" s="788" customFormat="1" ht="24.75" x14ac:dyDescent="0.6">
      <c r="A221" s="786">
        <v>11</v>
      </c>
      <c r="B221" s="787" t="s">
        <v>376</v>
      </c>
      <c r="C221" s="796"/>
      <c r="D221" s="796"/>
      <c r="E221" s="796"/>
      <c r="F221" s="796"/>
      <c r="G221" s="796"/>
      <c r="H221" s="796"/>
      <c r="I221" s="796"/>
      <c r="J221" s="796"/>
      <c r="K221" s="796"/>
      <c r="L221" s="796"/>
      <c r="M221" s="796"/>
      <c r="N221" s="796"/>
      <c r="O221" s="796"/>
      <c r="R221" s="794"/>
      <c r="S221" s="795"/>
      <c r="T221" s="792"/>
      <c r="U221" s="797"/>
      <c r="V221" s="795"/>
    </row>
    <row r="222" spans="1:22" s="546" customFormat="1" ht="24.75" x14ac:dyDescent="0.6">
      <c r="A222" s="461" t="s">
        <v>307</v>
      </c>
      <c r="B222" s="564"/>
      <c r="C222" s="78" t="s">
        <v>308</v>
      </c>
      <c r="D222" s="78"/>
      <c r="E222" s="78"/>
      <c r="F222" s="78"/>
      <c r="G222" s="78"/>
      <c r="H222" s="78"/>
      <c r="I222" s="78"/>
      <c r="J222" s="78"/>
      <c r="K222" s="78"/>
      <c r="L222" s="78"/>
      <c r="M222" s="78"/>
      <c r="N222" s="550"/>
      <c r="O222" s="550"/>
      <c r="R222" s="548"/>
      <c r="S222" s="549"/>
      <c r="T222" s="547"/>
      <c r="U222" s="551"/>
      <c r="V222" s="549"/>
    </row>
    <row r="223" spans="1:22" s="546" customFormat="1" ht="24.75" x14ac:dyDescent="0.6">
      <c r="A223" s="461"/>
      <c r="D223" s="564" t="s">
        <v>682</v>
      </c>
      <c r="E223" s="78" t="s">
        <v>683</v>
      </c>
      <c r="F223" s="78" t="s">
        <v>684</v>
      </c>
      <c r="G223" s="78" t="s">
        <v>685</v>
      </c>
      <c r="H223" s="78" t="s">
        <v>686</v>
      </c>
      <c r="I223" s="78" t="s">
        <v>687</v>
      </c>
      <c r="J223" s="78" t="s">
        <v>688</v>
      </c>
      <c r="K223" s="78" t="s">
        <v>689</v>
      </c>
      <c r="L223" s="78" t="s">
        <v>690</v>
      </c>
      <c r="M223" s="78" t="s">
        <v>691</v>
      </c>
      <c r="N223" s="78" t="s">
        <v>692</v>
      </c>
      <c r="O223" s="78" t="s">
        <v>693</v>
      </c>
      <c r="R223" s="548"/>
      <c r="S223" s="549"/>
      <c r="T223" s="547"/>
      <c r="U223" s="551"/>
      <c r="V223" s="549"/>
    </row>
    <row r="224" spans="1:22" s="546" customFormat="1" ht="24.75" x14ac:dyDescent="0.6">
      <c r="A224" s="569" t="s">
        <v>694</v>
      </c>
      <c r="D224" s="564"/>
      <c r="E224" s="78"/>
      <c r="F224" s="78"/>
      <c r="G224" s="78"/>
      <c r="H224" s="78"/>
      <c r="I224" s="78"/>
      <c r="J224" s="78"/>
      <c r="K224" s="78"/>
      <c r="L224" s="78"/>
      <c r="M224" s="78"/>
      <c r="N224" s="78"/>
      <c r="O224" s="78"/>
      <c r="R224" s="548"/>
      <c r="S224" s="549"/>
      <c r="T224" s="547"/>
      <c r="U224" s="551"/>
      <c r="V224" s="549"/>
    </row>
    <row r="225" spans="1:22" s="546" customFormat="1" ht="24.75" x14ac:dyDescent="0.6">
      <c r="A225" s="569" t="s">
        <v>695</v>
      </c>
      <c r="D225" s="566">
        <v>360773</v>
      </c>
      <c r="E225" s="568">
        <v>376949</v>
      </c>
      <c r="F225" s="568">
        <v>339208</v>
      </c>
      <c r="G225" s="568">
        <v>475978</v>
      </c>
      <c r="H225" s="568">
        <v>334420</v>
      </c>
      <c r="I225" s="568">
        <v>456727</v>
      </c>
      <c r="J225" s="568">
        <v>399272</v>
      </c>
      <c r="K225" s="568">
        <v>284263</v>
      </c>
      <c r="L225" s="568">
        <v>314420</v>
      </c>
      <c r="M225" s="568">
        <v>413293</v>
      </c>
      <c r="N225" s="568">
        <v>410392</v>
      </c>
      <c r="O225" s="568">
        <v>391747</v>
      </c>
      <c r="R225" s="548"/>
      <c r="S225" s="549"/>
      <c r="T225" s="547"/>
      <c r="U225" s="551"/>
      <c r="V225" s="549"/>
    </row>
    <row r="226" spans="1:22" s="546" customFormat="1" ht="24.75" x14ac:dyDescent="0.6">
      <c r="A226" s="569" t="s">
        <v>696</v>
      </c>
      <c r="D226" s="566">
        <v>499</v>
      </c>
      <c r="E226" s="568">
        <v>480</v>
      </c>
      <c r="F226" s="568">
        <v>514</v>
      </c>
      <c r="G226" s="568">
        <v>501</v>
      </c>
      <c r="H226" s="568">
        <v>4215</v>
      </c>
      <c r="I226" s="568">
        <v>4822</v>
      </c>
      <c r="J226" s="568">
        <v>6505</v>
      </c>
      <c r="K226" s="568">
        <v>4875</v>
      </c>
      <c r="L226" s="568">
        <v>4806</v>
      </c>
      <c r="M226" s="568">
        <v>2638</v>
      </c>
      <c r="N226" s="568">
        <v>452</v>
      </c>
      <c r="O226" s="568">
        <v>165</v>
      </c>
      <c r="R226" s="548"/>
      <c r="S226" s="549"/>
      <c r="T226" s="547"/>
      <c r="U226" s="551"/>
      <c r="V226" s="549"/>
    </row>
    <row r="227" spans="1:22" s="546" customFormat="1" ht="24.75" x14ac:dyDescent="0.6">
      <c r="A227" s="569" t="s">
        <v>697</v>
      </c>
      <c r="D227" s="566">
        <v>6260</v>
      </c>
      <c r="E227" s="568">
        <v>6901</v>
      </c>
      <c r="F227" s="568">
        <v>11570</v>
      </c>
      <c r="G227" s="568">
        <v>8030</v>
      </c>
      <c r="H227" s="568">
        <v>14562</v>
      </c>
      <c r="I227" s="568">
        <v>12049</v>
      </c>
      <c r="J227" s="568">
        <v>18954</v>
      </c>
      <c r="K227" s="568">
        <v>14132</v>
      </c>
      <c r="L227" s="568">
        <v>17648</v>
      </c>
      <c r="M227" s="568">
        <v>9747</v>
      </c>
      <c r="N227" s="568">
        <v>5630</v>
      </c>
      <c r="O227" s="568">
        <v>8555</v>
      </c>
      <c r="R227" s="548"/>
      <c r="S227" s="549"/>
      <c r="T227" s="547"/>
      <c r="U227" s="551"/>
      <c r="V227" s="549"/>
    </row>
    <row r="228" spans="1:22" s="546" customFormat="1" ht="24.75" x14ac:dyDescent="0.6">
      <c r="A228" s="569" t="s">
        <v>705</v>
      </c>
      <c r="D228" s="566">
        <v>2730</v>
      </c>
      <c r="E228" s="568">
        <v>2466</v>
      </c>
      <c r="F228" s="568">
        <v>2118</v>
      </c>
      <c r="G228" s="568">
        <v>1481</v>
      </c>
      <c r="H228" s="568">
        <v>1018</v>
      </c>
      <c r="I228" s="568">
        <v>728</v>
      </c>
      <c r="J228" s="568">
        <v>486</v>
      </c>
      <c r="K228" s="568">
        <v>530</v>
      </c>
      <c r="L228" s="568">
        <v>613</v>
      </c>
      <c r="M228" s="568">
        <v>1247</v>
      </c>
      <c r="N228" s="568">
        <v>1912</v>
      </c>
      <c r="O228" s="568">
        <v>2337</v>
      </c>
      <c r="R228" s="548"/>
      <c r="S228" s="549"/>
      <c r="T228" s="547"/>
      <c r="U228" s="551"/>
      <c r="V228" s="549"/>
    </row>
    <row r="229" spans="1:22" s="546" customFormat="1" ht="24.75" x14ac:dyDescent="0.6">
      <c r="A229" s="569" t="s">
        <v>706</v>
      </c>
      <c r="D229" s="566">
        <v>418</v>
      </c>
      <c r="E229" s="568">
        <v>526</v>
      </c>
      <c r="F229" s="568">
        <v>551</v>
      </c>
      <c r="G229" s="568">
        <v>613</v>
      </c>
      <c r="H229" s="568">
        <v>955</v>
      </c>
      <c r="I229" s="568">
        <v>735</v>
      </c>
      <c r="J229" s="568">
        <v>925</v>
      </c>
      <c r="K229" s="568">
        <v>588</v>
      </c>
      <c r="L229" s="568">
        <v>602</v>
      </c>
      <c r="M229" s="568">
        <v>410</v>
      </c>
      <c r="N229" s="568">
        <v>184</v>
      </c>
      <c r="O229" s="568">
        <v>168</v>
      </c>
      <c r="R229" s="548"/>
      <c r="S229" s="549"/>
      <c r="T229" s="547"/>
      <c r="U229" s="551"/>
      <c r="V229" s="549"/>
    </row>
    <row r="230" spans="1:22" s="546" customFormat="1" ht="24.75" x14ac:dyDescent="0.6">
      <c r="A230" s="569"/>
      <c r="D230" s="564"/>
      <c r="E230" s="78"/>
      <c r="F230" s="78"/>
      <c r="G230" s="78"/>
      <c r="H230" s="78"/>
      <c r="I230" s="78"/>
      <c r="J230" s="78"/>
      <c r="K230" s="78"/>
      <c r="L230" s="78"/>
      <c r="M230" s="78"/>
      <c r="N230" s="78"/>
      <c r="O230" s="78"/>
      <c r="R230" s="548"/>
      <c r="S230" s="549"/>
      <c r="T230" s="547"/>
      <c r="U230" s="551"/>
      <c r="V230" s="549"/>
    </row>
    <row r="231" spans="1:22" s="546" customFormat="1" ht="24.75" x14ac:dyDescent="0.6">
      <c r="A231" s="569" t="s">
        <v>698</v>
      </c>
      <c r="D231" s="564"/>
      <c r="E231" s="78"/>
      <c r="F231" s="78"/>
      <c r="G231" s="78"/>
      <c r="H231" s="78"/>
      <c r="I231" s="78"/>
      <c r="J231" s="78"/>
      <c r="K231" s="78"/>
      <c r="L231" s="78"/>
      <c r="M231" s="78"/>
      <c r="N231" s="78"/>
      <c r="O231" s="78"/>
      <c r="R231" s="548"/>
      <c r="S231" s="549"/>
      <c r="T231" s="547"/>
      <c r="U231" s="551"/>
      <c r="V231" s="549"/>
    </row>
    <row r="232" spans="1:22" s="546" customFormat="1" ht="24.75" x14ac:dyDescent="0.6">
      <c r="A232" s="569" t="s">
        <v>699</v>
      </c>
      <c r="D232" s="565">
        <v>24110.512936764098</v>
      </c>
      <c r="E232" s="78">
        <v>25015.748446246114</v>
      </c>
      <c r="F232" s="78">
        <v>22908.986299290507</v>
      </c>
      <c r="G232" s="78">
        <v>28844.313241152431</v>
      </c>
      <c r="H232" s="78">
        <v>19202.167148649438</v>
      </c>
      <c r="I232" s="78">
        <v>26659.910927289897</v>
      </c>
      <c r="J232" s="78">
        <v>22880.292995032552</v>
      </c>
      <c r="K232" s="78">
        <v>16573.632160162157</v>
      </c>
      <c r="L232" s="78">
        <v>18628.509243865909</v>
      </c>
      <c r="M232" s="78">
        <v>23495.37263416062</v>
      </c>
      <c r="N232" s="78">
        <v>23691.895441890312</v>
      </c>
      <c r="O232" s="78">
        <v>25409.534163917484</v>
      </c>
      <c r="R232" s="548"/>
      <c r="S232" s="549"/>
      <c r="T232" s="547"/>
      <c r="U232" s="551"/>
      <c r="V232" s="549"/>
    </row>
    <row r="233" spans="1:22" s="546" customFormat="1" ht="24.75" x14ac:dyDescent="0.6">
      <c r="A233" s="569" t="s">
        <v>700</v>
      </c>
      <c r="D233" s="565">
        <v>564.21929999999998</v>
      </c>
      <c r="E233" s="78">
        <v>473.04768683274023</v>
      </c>
      <c r="F233" s="78">
        <v>480.09089855072466</v>
      </c>
      <c r="G233" s="78">
        <v>468.34964444444444</v>
      </c>
      <c r="H233" s="78">
        <v>4041.7166666666662</v>
      </c>
      <c r="I233" s="78">
        <v>4628.9636952998371</v>
      </c>
      <c r="J233" s="78">
        <v>6263.0235079171744</v>
      </c>
      <c r="K233" s="78">
        <v>4577.6692815854667</v>
      </c>
      <c r="L233" s="78">
        <v>4222.6035281146633</v>
      </c>
      <c r="M233" s="78">
        <v>2212.2262760675271</v>
      </c>
      <c r="N233" s="78">
        <v>410.60476345840129</v>
      </c>
      <c r="O233" s="78">
        <v>176.88000000000002</v>
      </c>
      <c r="R233" s="548"/>
      <c r="S233" s="549"/>
      <c r="T233" s="547"/>
      <c r="U233" s="551"/>
      <c r="V233" s="549"/>
    </row>
    <row r="234" spans="1:22" s="546" customFormat="1" ht="24.75" x14ac:dyDescent="0.6">
      <c r="A234" s="569" t="s">
        <v>701</v>
      </c>
      <c r="D234" s="565">
        <v>536.16184594014385</v>
      </c>
      <c r="E234" s="78">
        <v>524.15494628297347</v>
      </c>
      <c r="F234" s="78">
        <v>859.66049767185177</v>
      </c>
      <c r="G234" s="78">
        <v>625.69380987202931</v>
      </c>
      <c r="H234" s="78">
        <v>1153.400863211871</v>
      </c>
      <c r="I234" s="78">
        <v>1047.0153156429942</v>
      </c>
      <c r="J234" s="78">
        <v>1305.9464978852502</v>
      </c>
      <c r="K234" s="78">
        <v>1172.2459385882878</v>
      </c>
      <c r="L234" s="78">
        <v>1217.4785722410863</v>
      </c>
      <c r="M234" s="78">
        <v>708.536837578004</v>
      </c>
      <c r="N234" s="78">
        <v>418.89733571976473</v>
      </c>
      <c r="O234" s="78">
        <v>649.42515993093753</v>
      </c>
      <c r="R234" s="548"/>
      <c r="S234" s="549"/>
      <c r="T234" s="547"/>
      <c r="U234" s="551"/>
      <c r="V234" s="549"/>
    </row>
    <row r="235" spans="1:22" s="546" customFormat="1" ht="24.75" x14ac:dyDescent="0.6">
      <c r="A235" s="569" t="s">
        <v>707</v>
      </c>
      <c r="D235" s="565">
        <v>12858.3</v>
      </c>
      <c r="E235" s="78">
        <v>11614.86</v>
      </c>
      <c r="F235" s="78">
        <v>9975.7800000000007</v>
      </c>
      <c r="G235" s="78">
        <v>6975.51</v>
      </c>
      <c r="H235" s="78">
        <v>4794.78</v>
      </c>
      <c r="I235" s="78">
        <v>3428.88</v>
      </c>
      <c r="J235" s="78">
        <v>2289.06</v>
      </c>
      <c r="K235" s="78">
        <v>2496.3000000000002</v>
      </c>
      <c r="L235" s="78">
        <v>2887.23</v>
      </c>
      <c r="M235" s="78">
        <v>5873.37</v>
      </c>
      <c r="N235" s="78">
        <v>9005.52</v>
      </c>
      <c r="O235" s="78">
        <v>11007.27</v>
      </c>
      <c r="R235" s="548"/>
      <c r="S235" s="549"/>
      <c r="T235" s="547"/>
      <c r="U235" s="551"/>
      <c r="V235" s="549"/>
    </row>
    <row r="236" spans="1:22" s="546" customFormat="1" ht="24.75" x14ac:dyDescent="0.6">
      <c r="A236" s="569" t="s">
        <v>708</v>
      </c>
      <c r="D236" s="565">
        <v>3122.46</v>
      </c>
      <c r="E236" s="78">
        <v>3929.22</v>
      </c>
      <c r="F236" s="78">
        <v>4115.97</v>
      </c>
      <c r="G236" s="78">
        <v>4579.1099999999997</v>
      </c>
      <c r="H236" s="78">
        <v>7133.8499999999995</v>
      </c>
      <c r="I236" s="78">
        <v>5490.45</v>
      </c>
      <c r="J236" s="78">
        <v>6909.75</v>
      </c>
      <c r="K236" s="78">
        <v>4392.3599999999997</v>
      </c>
      <c r="L236" s="78">
        <v>4496.9399999999996</v>
      </c>
      <c r="M236" s="78">
        <v>3062.7</v>
      </c>
      <c r="N236" s="78">
        <v>1374.48</v>
      </c>
      <c r="O236" s="78">
        <v>1254.96</v>
      </c>
      <c r="R236" s="548"/>
      <c r="S236" s="549"/>
      <c r="T236" s="547"/>
      <c r="U236" s="551"/>
      <c r="V236" s="549"/>
    </row>
    <row r="237" spans="1:22" s="788" customFormat="1" ht="24.75" x14ac:dyDescent="0.6">
      <c r="A237" s="786">
        <v>12</v>
      </c>
      <c r="B237" s="787" t="s">
        <v>559</v>
      </c>
      <c r="C237" s="796"/>
      <c r="D237" s="796"/>
      <c r="E237" s="796"/>
      <c r="F237" s="796"/>
      <c r="G237" s="796"/>
      <c r="H237" s="796"/>
      <c r="I237" s="796"/>
      <c r="J237" s="796"/>
      <c r="K237" s="796"/>
      <c r="L237" s="796"/>
      <c r="M237" s="796"/>
      <c r="N237" s="796"/>
      <c r="O237" s="796"/>
      <c r="R237" s="794"/>
      <c r="S237" s="795"/>
      <c r="T237" s="792"/>
      <c r="U237" s="797"/>
      <c r="V237" s="795"/>
    </row>
    <row r="238" spans="1:22" s="676" customFormat="1" ht="31.15" customHeight="1" x14ac:dyDescent="0.2">
      <c r="B238" s="818" t="s">
        <v>826</v>
      </c>
      <c r="C238" s="108"/>
      <c r="D238" s="108"/>
      <c r="E238" s="108" t="s">
        <v>827</v>
      </c>
      <c r="F238" s="108"/>
      <c r="G238" s="108" t="s">
        <v>828</v>
      </c>
      <c r="H238" s="108"/>
      <c r="I238" s="108"/>
      <c r="J238" s="108"/>
      <c r="K238" s="108"/>
      <c r="L238" s="108"/>
      <c r="M238" s="108"/>
      <c r="N238" s="108"/>
      <c r="O238" s="108"/>
      <c r="P238" s="108"/>
    </row>
    <row r="239" spans="1:22" s="677" customFormat="1" x14ac:dyDescent="0.2">
      <c r="B239" s="819" t="s">
        <v>337</v>
      </c>
      <c r="C239" s="91">
        <v>41456</v>
      </c>
      <c r="D239" s="91">
        <v>41487</v>
      </c>
      <c r="E239" s="91">
        <v>41518</v>
      </c>
      <c r="F239" s="91">
        <v>41548</v>
      </c>
      <c r="G239" s="91">
        <v>41579</v>
      </c>
      <c r="H239" s="91">
        <v>41609</v>
      </c>
      <c r="I239" s="91">
        <v>41640</v>
      </c>
      <c r="J239" s="91">
        <v>41671</v>
      </c>
      <c r="K239" s="91">
        <v>41699</v>
      </c>
      <c r="L239" s="91">
        <v>41730</v>
      </c>
      <c r="M239" s="91">
        <v>41760</v>
      </c>
      <c r="N239" s="91">
        <v>41791</v>
      </c>
      <c r="O239" s="91">
        <v>41821</v>
      </c>
      <c r="P239" s="91">
        <v>41852</v>
      </c>
    </row>
    <row r="240" spans="1:22" s="676" customFormat="1" x14ac:dyDescent="0.2">
      <c r="B240" s="108"/>
      <c r="C240" s="108"/>
      <c r="D240" s="108"/>
      <c r="E240" s="108"/>
      <c r="F240" s="108"/>
      <c r="G240" s="108"/>
      <c r="H240" s="108"/>
      <c r="I240" s="108"/>
      <c r="J240" s="108"/>
      <c r="K240" s="108"/>
      <c r="L240" s="108"/>
      <c r="M240" s="108"/>
      <c r="N240" s="108"/>
      <c r="O240" s="108"/>
      <c r="P240" s="108"/>
    </row>
    <row r="241" spans="1:22" s="676" customFormat="1" x14ac:dyDescent="0.2">
      <c r="B241" s="95" t="s">
        <v>409</v>
      </c>
      <c r="C241" s="96">
        <v>148203</v>
      </c>
      <c r="D241" s="96">
        <v>144096</v>
      </c>
      <c r="E241" s="96">
        <v>152296</v>
      </c>
      <c r="F241" s="96">
        <v>149628</v>
      </c>
      <c r="G241" s="96">
        <v>156506</v>
      </c>
      <c r="H241" s="96">
        <v>161390</v>
      </c>
      <c r="I241" s="96">
        <v>165600</v>
      </c>
      <c r="J241" s="96">
        <v>159984</v>
      </c>
      <c r="K241" s="96">
        <v>154587</v>
      </c>
      <c r="L241" s="96">
        <v>140548</v>
      </c>
      <c r="M241" s="96">
        <v>156153</v>
      </c>
      <c r="N241" s="96">
        <v>169544</v>
      </c>
      <c r="O241" s="96">
        <v>174724</v>
      </c>
      <c r="P241" s="96">
        <v>171911</v>
      </c>
    </row>
    <row r="242" spans="1:22" s="676" customFormat="1" x14ac:dyDescent="0.2">
      <c r="B242" s="95" t="s">
        <v>320</v>
      </c>
      <c r="C242" s="96">
        <v>0</v>
      </c>
      <c r="D242" s="96">
        <v>0</v>
      </c>
      <c r="E242" s="96">
        <v>0</v>
      </c>
      <c r="F242" s="96">
        <v>0</v>
      </c>
      <c r="G242" s="96">
        <v>0</v>
      </c>
      <c r="H242" s="96">
        <v>0</v>
      </c>
      <c r="I242" s="96">
        <v>0</v>
      </c>
      <c r="J242" s="96">
        <v>0</v>
      </c>
      <c r="K242" s="96">
        <v>0</v>
      </c>
      <c r="L242" s="96">
        <v>0</v>
      </c>
      <c r="M242" s="96">
        <v>0</v>
      </c>
      <c r="N242" s="96">
        <v>0</v>
      </c>
      <c r="O242" s="96">
        <v>0</v>
      </c>
      <c r="P242" s="96">
        <v>0</v>
      </c>
    </row>
    <row r="243" spans="1:22" s="676" customFormat="1" x14ac:dyDescent="0.2">
      <c r="B243" s="95" t="s">
        <v>322</v>
      </c>
      <c r="C243" s="101">
        <v>3380</v>
      </c>
      <c r="D243" s="101">
        <v>3609</v>
      </c>
      <c r="E243" s="101">
        <v>3809</v>
      </c>
      <c r="F243" s="101">
        <v>4051</v>
      </c>
      <c r="G243" s="101">
        <v>4539</v>
      </c>
      <c r="H243" s="101">
        <v>4647</v>
      </c>
      <c r="I243" s="101">
        <v>5009</v>
      </c>
      <c r="J243" s="101">
        <v>5463</v>
      </c>
      <c r="K243" s="101">
        <v>5791</v>
      </c>
      <c r="L243" s="101">
        <v>6173</v>
      </c>
      <c r="M243" s="101">
        <v>6567</v>
      </c>
      <c r="N243" s="101">
        <v>6978</v>
      </c>
      <c r="O243" s="101">
        <v>5886</v>
      </c>
      <c r="P243" s="101">
        <v>7680</v>
      </c>
    </row>
    <row r="244" spans="1:22" s="676" customFormat="1" x14ac:dyDescent="0.2">
      <c r="B244" s="820" t="s">
        <v>882</v>
      </c>
      <c r="C244" s="820">
        <v>1242</v>
      </c>
      <c r="D244" s="820">
        <v>1151</v>
      </c>
      <c r="E244" s="821">
        <v>1213</v>
      </c>
      <c r="F244" s="821">
        <v>1541</v>
      </c>
      <c r="G244" s="821">
        <v>1649</v>
      </c>
      <c r="H244" s="820">
        <v>2164</v>
      </c>
      <c r="I244" s="820">
        <v>2889</v>
      </c>
      <c r="J244" s="820">
        <v>1316</v>
      </c>
      <c r="K244" s="820">
        <v>1988</v>
      </c>
      <c r="L244" s="820">
        <v>2180</v>
      </c>
      <c r="M244" s="821">
        <v>1850</v>
      </c>
      <c r="N244" s="820">
        <v>1648</v>
      </c>
      <c r="O244" s="820">
        <v>1898</v>
      </c>
      <c r="P244" s="820">
        <v>1719</v>
      </c>
    </row>
    <row r="245" spans="1:22" s="676" customFormat="1" x14ac:dyDescent="0.2">
      <c r="B245" s="95" t="s">
        <v>347</v>
      </c>
      <c r="C245" s="109">
        <v>12380.25</v>
      </c>
      <c r="D245" s="109">
        <v>12244.87</v>
      </c>
      <c r="E245" s="109">
        <v>12775.39</v>
      </c>
      <c r="F245" s="109">
        <v>12473.39</v>
      </c>
      <c r="G245" s="109">
        <v>12326.65</v>
      </c>
      <c r="H245" s="109">
        <v>13270.41</v>
      </c>
      <c r="I245" s="109">
        <v>13817.56</v>
      </c>
      <c r="J245" s="109">
        <v>13187.61</v>
      </c>
      <c r="K245" s="109">
        <v>12639.42</v>
      </c>
      <c r="L245" s="109">
        <v>11636.7</v>
      </c>
      <c r="M245" s="581">
        <v>12726.58</v>
      </c>
      <c r="N245" s="109">
        <v>13809.79</v>
      </c>
      <c r="O245" s="109">
        <v>14353.83</v>
      </c>
      <c r="P245" s="109">
        <v>14122.68</v>
      </c>
    </row>
    <row r="246" spans="1:22" s="676" customFormat="1" x14ac:dyDescent="0.2">
      <c r="B246" s="112" t="s">
        <v>348</v>
      </c>
      <c r="C246" s="113">
        <v>0</v>
      </c>
      <c r="D246" s="113">
        <v>0</v>
      </c>
      <c r="E246" s="113">
        <v>0</v>
      </c>
      <c r="F246" s="113">
        <v>0</v>
      </c>
      <c r="G246" s="113">
        <v>0</v>
      </c>
      <c r="H246" s="113">
        <v>0</v>
      </c>
      <c r="I246" s="113">
        <v>0</v>
      </c>
      <c r="J246" s="113">
        <v>0</v>
      </c>
      <c r="K246" s="113">
        <v>0</v>
      </c>
      <c r="L246" s="113">
        <v>0</v>
      </c>
      <c r="M246" s="583">
        <v>0</v>
      </c>
      <c r="N246" s="113">
        <v>0</v>
      </c>
      <c r="O246" s="113">
        <v>0</v>
      </c>
      <c r="P246" s="113">
        <v>0</v>
      </c>
    </row>
    <row r="247" spans="1:22" s="676" customFormat="1" x14ac:dyDescent="0.2">
      <c r="B247" s="112" t="s">
        <v>410</v>
      </c>
      <c r="C247" s="113">
        <v>1992</v>
      </c>
      <c r="D247" s="113">
        <v>2371.38</v>
      </c>
      <c r="E247" s="113">
        <v>2159.6799999999998</v>
      </c>
      <c r="F247" s="113">
        <v>2473.58</v>
      </c>
      <c r="G247" s="113">
        <v>2552.3000000000002</v>
      </c>
      <c r="H247" s="113">
        <v>2794.78</v>
      </c>
      <c r="I247" s="113">
        <v>3342.28</v>
      </c>
      <c r="J247" s="113">
        <v>4028.88</v>
      </c>
      <c r="K247" s="113">
        <v>3094.08</v>
      </c>
      <c r="L247" s="113">
        <v>3428.88</v>
      </c>
      <c r="M247" s="583">
        <v>3575.88</v>
      </c>
      <c r="N247" s="113">
        <v>3714.98</v>
      </c>
      <c r="O247" s="113">
        <v>3199.04</v>
      </c>
      <c r="P247" s="113">
        <v>3482.14</v>
      </c>
    </row>
    <row r="248" spans="1:22" s="676" customFormat="1" x14ac:dyDescent="0.2">
      <c r="B248" s="820" t="s">
        <v>883</v>
      </c>
      <c r="C248" s="820">
        <v>1116.3699999999999</v>
      </c>
      <c r="D248" s="820">
        <v>1038.9100000000001</v>
      </c>
      <c r="E248" s="820">
        <v>1079.77</v>
      </c>
      <c r="F248" s="821">
        <v>1278.27</v>
      </c>
      <c r="G248" s="821">
        <v>1326.43</v>
      </c>
      <c r="H248" s="820">
        <v>1846.92</v>
      </c>
      <c r="I248" s="820">
        <v>2444.9</v>
      </c>
      <c r="J248" s="820">
        <v>1147.49</v>
      </c>
      <c r="K248" s="820">
        <v>1701.75</v>
      </c>
      <c r="L248" s="820">
        <v>1883.57</v>
      </c>
      <c r="M248" s="821">
        <v>1540.93</v>
      </c>
      <c r="N248" s="820">
        <v>1474.33</v>
      </c>
      <c r="O248" s="820">
        <v>1688.33</v>
      </c>
      <c r="P248" s="820">
        <v>1533.74</v>
      </c>
    </row>
    <row r="249" spans="1:22" s="788" customFormat="1" ht="20.25" x14ac:dyDescent="0.3">
      <c r="A249" s="786">
        <v>13</v>
      </c>
      <c r="B249" s="787" t="s">
        <v>377</v>
      </c>
      <c r="Q249" s="791"/>
      <c r="R249" s="789"/>
      <c r="U249" s="789"/>
    </row>
    <row r="250" spans="1:22" s="788" customFormat="1" ht="20.25" x14ac:dyDescent="0.3">
      <c r="A250" s="786">
        <v>14</v>
      </c>
      <c r="B250" s="790" t="s">
        <v>396</v>
      </c>
      <c r="S250" s="789"/>
      <c r="V250" s="789"/>
    </row>
    <row r="251" spans="1:22" s="94" customFormat="1" ht="15.75" x14ac:dyDescent="0.25">
      <c r="B251" s="572" t="s">
        <v>725</v>
      </c>
      <c r="C251" s="91">
        <v>41487</v>
      </c>
      <c r="D251" s="91">
        <v>41518</v>
      </c>
      <c r="E251" s="91">
        <v>41548</v>
      </c>
      <c r="F251" s="91">
        <v>41579</v>
      </c>
      <c r="G251" s="91">
        <v>41609</v>
      </c>
      <c r="H251" s="91">
        <v>41640</v>
      </c>
      <c r="I251" s="91">
        <v>41671</v>
      </c>
      <c r="J251" s="91">
        <v>41699</v>
      </c>
      <c r="K251" s="91">
        <v>41730</v>
      </c>
      <c r="L251" s="91">
        <v>41760</v>
      </c>
      <c r="M251" s="91">
        <v>41791</v>
      </c>
      <c r="N251" s="91">
        <v>41821</v>
      </c>
      <c r="O251" s="91">
        <v>41852</v>
      </c>
    </row>
    <row r="252" spans="1:22" x14ac:dyDescent="0.2">
      <c r="C252" s="441"/>
      <c r="D252" s="441"/>
      <c r="E252" s="441"/>
      <c r="F252" s="441"/>
      <c r="G252" s="441"/>
      <c r="H252" s="441"/>
      <c r="I252" s="441"/>
      <c r="J252" s="441"/>
      <c r="K252" s="441"/>
      <c r="L252" s="441"/>
      <c r="M252" s="441"/>
      <c r="N252" s="573"/>
      <c r="O252" s="573"/>
    </row>
    <row r="253" spans="1:22" x14ac:dyDescent="0.2">
      <c r="B253" s="574" t="s">
        <v>319</v>
      </c>
      <c r="C253" s="96">
        <v>25624</v>
      </c>
      <c r="D253" s="96">
        <v>25053</v>
      </c>
      <c r="E253" s="96">
        <v>25134</v>
      </c>
      <c r="F253" s="96">
        <v>28239</v>
      </c>
      <c r="G253" s="96">
        <v>20460</v>
      </c>
      <c r="H253" s="96">
        <v>25563</v>
      </c>
      <c r="I253" s="96">
        <v>24454</v>
      </c>
      <c r="J253" s="96">
        <v>22098</v>
      </c>
      <c r="K253" s="96">
        <v>25793</v>
      </c>
      <c r="L253" s="96">
        <v>20663</v>
      </c>
      <c r="M253" s="96">
        <v>15650</v>
      </c>
      <c r="N253" s="575">
        <v>15399</v>
      </c>
      <c r="O253" s="575">
        <v>25182</v>
      </c>
    </row>
    <row r="254" spans="1:22" x14ac:dyDescent="0.2">
      <c r="B254" s="574" t="s">
        <v>320</v>
      </c>
      <c r="C254" s="96">
        <v>10070</v>
      </c>
      <c r="D254" s="100">
        <v>11480</v>
      </c>
      <c r="E254" s="100">
        <v>25760</v>
      </c>
      <c r="F254" s="100">
        <v>123940</v>
      </c>
      <c r="G254" s="96">
        <v>175720</v>
      </c>
      <c r="H254" s="96">
        <v>246650</v>
      </c>
      <c r="I254" s="96">
        <v>178290</v>
      </c>
      <c r="J254" s="96">
        <v>97990</v>
      </c>
      <c r="K254" s="96">
        <v>25440</v>
      </c>
      <c r="L254" s="96">
        <v>6630</v>
      </c>
      <c r="M254" s="96">
        <v>4130</v>
      </c>
      <c r="N254" s="575">
        <v>3810</v>
      </c>
      <c r="O254" s="575">
        <v>9290</v>
      </c>
    </row>
    <row r="255" spans="1:22" x14ac:dyDescent="0.2">
      <c r="B255" s="574" t="s">
        <v>322</v>
      </c>
      <c r="C255" s="101">
        <v>38300</v>
      </c>
      <c r="D255" s="101">
        <v>52600</v>
      </c>
      <c r="E255" s="101">
        <v>52900</v>
      </c>
      <c r="F255" s="101">
        <v>59100</v>
      </c>
      <c r="G255" s="101">
        <v>15700</v>
      </c>
      <c r="H255" s="101">
        <v>43700</v>
      </c>
      <c r="I255" s="101">
        <v>51400</v>
      </c>
      <c r="J255" s="101">
        <v>39400</v>
      </c>
      <c r="K255" s="101">
        <v>52700</v>
      </c>
      <c r="L255" s="101">
        <v>13700</v>
      </c>
      <c r="M255" s="101">
        <v>1000</v>
      </c>
      <c r="N255" s="576">
        <v>600</v>
      </c>
      <c r="O255" s="576">
        <v>47500</v>
      </c>
      <c r="P255" s="345" t="s">
        <v>38</v>
      </c>
    </row>
    <row r="256" spans="1:22" s="106" customFormat="1" x14ac:dyDescent="0.2">
      <c r="B256" s="577" t="s">
        <v>323</v>
      </c>
      <c r="C256" s="105">
        <v>26405</v>
      </c>
      <c r="D256" s="105">
        <v>19492</v>
      </c>
      <c r="E256" s="105">
        <v>18522</v>
      </c>
      <c r="F256" s="105">
        <v>11913</v>
      </c>
      <c r="G256" s="105">
        <v>10588</v>
      </c>
      <c r="H256" s="105">
        <v>7195</v>
      </c>
      <c r="I256" s="105">
        <v>8456</v>
      </c>
      <c r="J256" s="105">
        <v>8389</v>
      </c>
      <c r="K256" s="105">
        <v>14529</v>
      </c>
      <c r="L256" s="105">
        <v>28608</v>
      </c>
      <c r="M256" s="105">
        <v>22546</v>
      </c>
      <c r="N256" s="578">
        <v>21501</v>
      </c>
      <c r="O256" s="578">
        <v>28341</v>
      </c>
    </row>
    <row r="257" spans="1:22" x14ac:dyDescent="0.2">
      <c r="B257" s="107"/>
      <c r="C257" s="579"/>
      <c r="D257" s="579"/>
      <c r="E257" s="579"/>
      <c r="F257" s="579"/>
      <c r="G257" s="579"/>
      <c r="H257" s="579"/>
      <c r="I257" s="579"/>
      <c r="J257" s="579"/>
      <c r="K257" s="579"/>
      <c r="L257" s="579"/>
      <c r="M257" s="579"/>
      <c r="N257" s="580"/>
      <c r="O257" s="580"/>
    </row>
    <row r="258" spans="1:22" x14ac:dyDescent="0.2">
      <c r="B258" s="574" t="s">
        <v>324</v>
      </c>
      <c r="C258" s="109">
        <v>1819.24</v>
      </c>
      <c r="D258" s="109">
        <v>1782.02</v>
      </c>
      <c r="E258" s="109">
        <v>1601.38</v>
      </c>
      <c r="F258" s="109">
        <v>1702.92</v>
      </c>
      <c r="G258" s="109">
        <v>1277.51</v>
      </c>
      <c r="H258" s="109">
        <v>1564.76</v>
      </c>
      <c r="I258" s="109">
        <v>1465.44</v>
      </c>
      <c r="J258" s="109">
        <v>1379.16</v>
      </c>
      <c r="K258" s="109">
        <v>1530.04</v>
      </c>
      <c r="L258" s="109">
        <v>1261.9100000000001</v>
      </c>
      <c r="M258" s="109">
        <v>1061.54</v>
      </c>
      <c r="N258" s="581">
        <v>1044.52</v>
      </c>
      <c r="O258" s="581">
        <v>1708.09</v>
      </c>
    </row>
    <row r="259" spans="1:22" x14ac:dyDescent="0.2">
      <c r="B259" s="582" t="s">
        <v>325</v>
      </c>
      <c r="C259" s="113">
        <v>271.16000000000003</v>
      </c>
      <c r="D259" s="113">
        <v>373.28</v>
      </c>
      <c r="E259" s="113">
        <v>375.41</v>
      </c>
      <c r="F259" s="113">
        <v>419.41</v>
      </c>
      <c r="G259" s="113">
        <v>111.41</v>
      </c>
      <c r="H259" s="113">
        <v>310.12</v>
      </c>
      <c r="I259" s="113">
        <v>364.76</v>
      </c>
      <c r="J259" s="113">
        <v>279.61</v>
      </c>
      <c r="K259" s="113">
        <v>373.99</v>
      </c>
      <c r="L259" s="113">
        <v>97.22</v>
      </c>
      <c r="M259" s="113">
        <v>7.1</v>
      </c>
      <c r="N259" s="583">
        <v>4.26</v>
      </c>
      <c r="O259" s="583">
        <v>337.09</v>
      </c>
      <c r="P259" s="116"/>
    </row>
    <row r="260" spans="1:22" s="120" customFormat="1" x14ac:dyDescent="0.2">
      <c r="B260" s="584" t="s">
        <v>326</v>
      </c>
      <c r="C260" s="119">
        <v>78.680000000000007</v>
      </c>
      <c r="D260" s="118">
        <v>89.69</v>
      </c>
      <c r="E260" s="118">
        <v>201.27</v>
      </c>
      <c r="F260" s="118">
        <v>968.4</v>
      </c>
      <c r="G260" s="119">
        <v>1372.99</v>
      </c>
      <c r="H260" s="119">
        <v>1927.2</v>
      </c>
      <c r="I260" s="119">
        <v>1393.09</v>
      </c>
      <c r="J260" s="119">
        <v>765.65</v>
      </c>
      <c r="K260" s="119">
        <v>198.76</v>
      </c>
      <c r="L260" s="119">
        <v>51.8</v>
      </c>
      <c r="M260" s="119">
        <v>32.270000000000003</v>
      </c>
      <c r="N260" s="585">
        <v>29.77</v>
      </c>
      <c r="O260" s="585">
        <v>72.58</v>
      </c>
    </row>
    <row r="261" spans="1:22" s="788" customFormat="1" ht="20.25" x14ac:dyDescent="0.3">
      <c r="A261" s="786">
        <v>15</v>
      </c>
      <c r="B261" s="790" t="s">
        <v>560</v>
      </c>
      <c r="S261" s="789"/>
      <c r="V261" s="789"/>
    </row>
    <row r="262" spans="1:22" s="94" customFormat="1" ht="15.75" x14ac:dyDescent="0.25">
      <c r="B262" s="572" t="s">
        <v>726</v>
      </c>
      <c r="C262" s="91">
        <v>41487</v>
      </c>
      <c r="D262" s="91">
        <v>41518</v>
      </c>
      <c r="E262" s="91">
        <v>41548</v>
      </c>
      <c r="F262" s="91">
        <v>41579</v>
      </c>
      <c r="G262" s="91">
        <v>41609</v>
      </c>
      <c r="H262" s="91">
        <v>41640</v>
      </c>
      <c r="I262" s="91">
        <v>41671</v>
      </c>
      <c r="J262" s="91">
        <v>41699</v>
      </c>
      <c r="K262" s="91">
        <v>41730</v>
      </c>
      <c r="L262" s="91">
        <v>41760</v>
      </c>
      <c r="M262" s="91">
        <v>41791</v>
      </c>
      <c r="N262" s="91">
        <v>41821</v>
      </c>
      <c r="O262" s="91">
        <v>41852</v>
      </c>
    </row>
    <row r="263" spans="1:22" x14ac:dyDescent="0.2">
      <c r="C263" s="579"/>
      <c r="D263" s="579"/>
      <c r="E263" s="579"/>
      <c r="F263" s="579"/>
      <c r="G263" s="579"/>
      <c r="H263" s="579"/>
      <c r="I263" s="579"/>
      <c r="J263" s="579"/>
      <c r="K263" s="579"/>
      <c r="L263" s="579"/>
      <c r="M263" s="579"/>
      <c r="N263" s="580"/>
      <c r="O263" s="580"/>
    </row>
    <row r="264" spans="1:22" x14ac:dyDescent="0.2">
      <c r="B264" s="574" t="s">
        <v>319</v>
      </c>
      <c r="C264" s="96">
        <v>24291</v>
      </c>
      <c r="D264" s="96">
        <v>23834</v>
      </c>
      <c r="E264" s="96">
        <v>24071</v>
      </c>
      <c r="F264" s="96">
        <v>28259</v>
      </c>
      <c r="G264" s="96">
        <v>19016</v>
      </c>
      <c r="H264" s="96">
        <v>18684</v>
      </c>
      <c r="I264" s="96">
        <v>17980</v>
      </c>
      <c r="J264" s="96">
        <v>22050</v>
      </c>
      <c r="K264" s="96">
        <v>24756</v>
      </c>
      <c r="L264" s="96">
        <v>20501</v>
      </c>
      <c r="M264" s="96">
        <v>15721</v>
      </c>
      <c r="N264" s="575">
        <v>15058</v>
      </c>
      <c r="O264" s="575">
        <v>22964</v>
      </c>
    </row>
    <row r="265" spans="1:22" x14ac:dyDescent="0.2">
      <c r="B265" s="574" t="s">
        <v>320</v>
      </c>
      <c r="C265" s="96">
        <v>9780</v>
      </c>
      <c r="D265" s="100">
        <v>18790</v>
      </c>
      <c r="E265" s="100">
        <v>35540</v>
      </c>
      <c r="F265" s="100">
        <v>67950</v>
      </c>
      <c r="G265" s="96">
        <v>35990</v>
      </c>
      <c r="H265" s="96">
        <v>65960</v>
      </c>
      <c r="I265" s="96">
        <v>49660</v>
      </c>
      <c r="J265" s="96">
        <v>16350</v>
      </c>
      <c r="K265" s="96">
        <v>15230</v>
      </c>
      <c r="L265" s="96">
        <v>7320</v>
      </c>
      <c r="M265" s="96">
        <v>3870</v>
      </c>
      <c r="N265" s="575">
        <v>3580</v>
      </c>
      <c r="O265" s="575">
        <v>7620</v>
      </c>
    </row>
    <row r="266" spans="1:22" x14ac:dyDescent="0.2">
      <c r="B266" s="574" t="s">
        <v>322</v>
      </c>
      <c r="C266" s="101">
        <v>34000</v>
      </c>
      <c r="D266" s="101">
        <v>50200</v>
      </c>
      <c r="E266" s="101">
        <v>46800</v>
      </c>
      <c r="F266" s="101">
        <v>48900</v>
      </c>
      <c r="G266" s="101">
        <v>12400</v>
      </c>
      <c r="H266" s="101">
        <v>95100</v>
      </c>
      <c r="I266" s="101">
        <v>44700</v>
      </c>
      <c r="J266" s="101">
        <v>33800</v>
      </c>
      <c r="K266" s="101">
        <v>44800</v>
      </c>
      <c r="L266" s="101">
        <v>11300</v>
      </c>
      <c r="M266" s="101">
        <v>1000</v>
      </c>
      <c r="N266" s="576">
        <v>1000</v>
      </c>
      <c r="O266" s="576">
        <v>32800</v>
      </c>
    </row>
    <row r="267" spans="1:22" s="106" customFormat="1" x14ac:dyDescent="0.2">
      <c r="B267" s="577" t="s">
        <v>323</v>
      </c>
      <c r="C267" s="105">
        <v>25280</v>
      </c>
      <c r="D267" s="105">
        <v>17804</v>
      </c>
      <c r="E267" s="105">
        <v>15818</v>
      </c>
      <c r="F267" s="105">
        <v>13265</v>
      </c>
      <c r="G267" s="105">
        <v>10015</v>
      </c>
      <c r="H267" s="105">
        <v>6558</v>
      </c>
      <c r="I267" s="105">
        <v>6932</v>
      </c>
      <c r="J267" s="105">
        <v>10604</v>
      </c>
      <c r="K267" s="105">
        <v>13436</v>
      </c>
      <c r="L267" s="105">
        <v>17467</v>
      </c>
      <c r="M267" s="105">
        <v>22527</v>
      </c>
      <c r="N267" s="578">
        <v>20569</v>
      </c>
      <c r="O267" s="578">
        <v>23987</v>
      </c>
    </row>
    <row r="268" spans="1:22" x14ac:dyDescent="0.2">
      <c r="B268" s="107"/>
      <c r="C268" s="579"/>
      <c r="D268" s="579"/>
      <c r="E268" s="579"/>
      <c r="F268" s="579"/>
      <c r="G268" s="579"/>
      <c r="H268" s="579"/>
      <c r="I268" s="579"/>
      <c r="J268" s="579"/>
      <c r="K268" s="579"/>
      <c r="L268" s="579"/>
      <c r="M268" s="579"/>
      <c r="N268" s="580"/>
      <c r="O268" s="580"/>
    </row>
    <row r="269" spans="1:22" x14ac:dyDescent="0.2">
      <c r="B269" s="574" t="s">
        <v>324</v>
      </c>
      <c r="C269" s="109">
        <v>1724.6</v>
      </c>
      <c r="D269" s="109">
        <v>1695.31</v>
      </c>
      <c r="E269" s="109">
        <v>1533.65</v>
      </c>
      <c r="F269" s="109">
        <v>1704.13</v>
      </c>
      <c r="G269" s="109">
        <v>1187.3399999999999</v>
      </c>
      <c r="H269" s="109">
        <v>1143.68</v>
      </c>
      <c r="I269" s="109">
        <v>1077.47</v>
      </c>
      <c r="J269" s="109">
        <v>1376.16</v>
      </c>
      <c r="K269" s="109">
        <v>1468.52</v>
      </c>
      <c r="L269" s="109">
        <v>1252.02</v>
      </c>
      <c r="M269" s="109">
        <v>1066.3599999999999</v>
      </c>
      <c r="N269" s="581">
        <v>1021.38</v>
      </c>
      <c r="O269" s="581">
        <v>1557.65</v>
      </c>
    </row>
    <row r="270" spans="1:22" x14ac:dyDescent="0.2">
      <c r="B270" s="582" t="s">
        <v>328</v>
      </c>
      <c r="C270" s="113">
        <v>240.72</v>
      </c>
      <c r="D270" s="113">
        <v>356.25</v>
      </c>
      <c r="E270" s="113">
        <v>332.12</v>
      </c>
      <c r="F270" s="113">
        <v>347.02</v>
      </c>
      <c r="G270" s="113">
        <v>87.99</v>
      </c>
      <c r="H270" s="113">
        <v>674.89</v>
      </c>
      <c r="I270" s="113">
        <v>317.22000000000003</v>
      </c>
      <c r="J270" s="113">
        <v>239.87</v>
      </c>
      <c r="K270" s="113">
        <v>317.93</v>
      </c>
      <c r="L270" s="113">
        <v>80.19</v>
      </c>
      <c r="M270" s="113">
        <v>7.1</v>
      </c>
      <c r="N270" s="583">
        <v>7.1</v>
      </c>
      <c r="O270" s="583">
        <v>232.77</v>
      </c>
      <c r="P270" s="116"/>
    </row>
    <row r="271" spans="1:22" x14ac:dyDescent="0.2">
      <c r="B271" s="586" t="s">
        <v>326</v>
      </c>
      <c r="C271" s="119">
        <v>76.42</v>
      </c>
      <c r="D271" s="118">
        <v>148.22999999999999</v>
      </c>
      <c r="E271" s="118">
        <v>277.70999999999998</v>
      </c>
      <c r="F271" s="118">
        <v>530.95000000000005</v>
      </c>
      <c r="G271" s="119">
        <v>281.23</v>
      </c>
      <c r="H271" s="119">
        <v>515.4</v>
      </c>
      <c r="I271" s="119">
        <v>388.04</v>
      </c>
      <c r="J271" s="119">
        <v>127.75</v>
      </c>
      <c r="K271" s="119">
        <v>118.99</v>
      </c>
      <c r="L271" s="119">
        <v>57.19</v>
      </c>
      <c r="M271" s="119">
        <v>30.24</v>
      </c>
      <c r="N271" s="585">
        <v>27.97</v>
      </c>
      <c r="O271" s="585">
        <v>59.53</v>
      </c>
    </row>
    <row r="272" spans="1:22" s="788" customFormat="1" ht="20.25" x14ac:dyDescent="0.3">
      <c r="A272" s="786">
        <v>16</v>
      </c>
      <c r="B272" s="790" t="s">
        <v>561</v>
      </c>
      <c r="S272" s="789"/>
      <c r="V272" s="789"/>
    </row>
    <row r="273" spans="1:22" s="94" customFormat="1" ht="15.75" x14ac:dyDescent="0.25">
      <c r="B273" s="572" t="s">
        <v>727</v>
      </c>
      <c r="C273" s="91">
        <v>41487</v>
      </c>
      <c r="D273" s="91">
        <v>41518</v>
      </c>
      <c r="E273" s="91">
        <v>41548</v>
      </c>
      <c r="F273" s="91">
        <v>41579</v>
      </c>
      <c r="G273" s="91">
        <v>41609</v>
      </c>
      <c r="H273" s="91">
        <v>41640</v>
      </c>
      <c r="I273" s="91">
        <v>41671</v>
      </c>
      <c r="J273" s="91">
        <v>41699</v>
      </c>
      <c r="K273" s="91">
        <v>41730</v>
      </c>
      <c r="L273" s="91">
        <v>41760</v>
      </c>
      <c r="M273" s="91">
        <v>41791</v>
      </c>
      <c r="N273" s="91">
        <v>41821</v>
      </c>
      <c r="O273" s="91">
        <v>41852</v>
      </c>
    </row>
    <row r="274" spans="1:22" x14ac:dyDescent="0.2">
      <c r="C274" s="579"/>
      <c r="D274" s="579"/>
      <c r="E274" s="579"/>
      <c r="F274" s="579"/>
      <c r="G274" s="579"/>
      <c r="H274" s="579"/>
      <c r="I274" s="579"/>
      <c r="J274" s="579"/>
      <c r="K274" s="579"/>
      <c r="L274" s="579"/>
      <c r="M274" s="579"/>
      <c r="N274" s="580"/>
      <c r="O274" s="580"/>
    </row>
    <row r="275" spans="1:22" x14ac:dyDescent="0.2">
      <c r="B275" s="574" t="s">
        <v>319</v>
      </c>
      <c r="C275" s="96">
        <v>25985</v>
      </c>
      <c r="D275" s="96">
        <v>25488</v>
      </c>
      <c r="E275" s="96">
        <v>25792</v>
      </c>
      <c r="F275" s="96">
        <v>29122</v>
      </c>
      <c r="G275" s="96">
        <v>20458</v>
      </c>
      <c r="H275" s="96">
        <v>25362</v>
      </c>
      <c r="I275" s="96">
        <v>24858</v>
      </c>
      <c r="J275" s="96">
        <v>22332</v>
      </c>
      <c r="K275" s="96">
        <v>24797</v>
      </c>
      <c r="L275" s="96">
        <v>22117</v>
      </c>
      <c r="M275" s="96">
        <v>16522</v>
      </c>
      <c r="N275" s="575">
        <v>16664</v>
      </c>
      <c r="O275" s="575">
        <v>24495</v>
      </c>
    </row>
    <row r="276" spans="1:22" x14ac:dyDescent="0.2">
      <c r="B276" s="574" t="s">
        <v>320</v>
      </c>
      <c r="C276" s="96">
        <v>17510</v>
      </c>
      <c r="D276" s="100">
        <v>18660</v>
      </c>
      <c r="E276" s="100">
        <v>42650</v>
      </c>
      <c r="F276" s="100">
        <v>178400</v>
      </c>
      <c r="G276" s="96">
        <v>222330</v>
      </c>
      <c r="H276" s="96">
        <v>307240</v>
      </c>
      <c r="I276" s="96">
        <v>214670</v>
      </c>
      <c r="J276" s="96">
        <v>187860</v>
      </c>
      <c r="K276" s="96">
        <v>5500</v>
      </c>
      <c r="L276" s="96">
        <v>1200</v>
      </c>
      <c r="M276" s="96">
        <v>800</v>
      </c>
      <c r="N276" s="575">
        <v>7670</v>
      </c>
      <c r="O276" s="575">
        <v>17550</v>
      </c>
    </row>
    <row r="277" spans="1:22" x14ac:dyDescent="0.2">
      <c r="B277" s="574" t="s">
        <v>322</v>
      </c>
      <c r="C277" s="101">
        <v>41400</v>
      </c>
      <c r="D277" s="101">
        <v>57400</v>
      </c>
      <c r="E277" s="101">
        <v>53500</v>
      </c>
      <c r="F277" s="101">
        <v>58100</v>
      </c>
      <c r="G277" s="101">
        <v>18100</v>
      </c>
      <c r="H277" s="101">
        <v>48000</v>
      </c>
      <c r="I277" s="101">
        <v>52700</v>
      </c>
      <c r="J277" s="101">
        <v>42600</v>
      </c>
      <c r="K277" s="101">
        <v>56500</v>
      </c>
      <c r="L277" s="101">
        <v>15100</v>
      </c>
      <c r="M277" s="101">
        <v>1100</v>
      </c>
      <c r="N277" s="576">
        <v>2000</v>
      </c>
      <c r="O277" s="576">
        <v>38200</v>
      </c>
    </row>
    <row r="278" spans="1:22" s="106" customFormat="1" x14ac:dyDescent="0.2">
      <c r="B278" s="577" t="s">
        <v>323</v>
      </c>
      <c r="C278" s="105">
        <v>20123</v>
      </c>
      <c r="D278" s="105">
        <v>15106</v>
      </c>
      <c r="E278" s="105">
        <v>12124</v>
      </c>
      <c r="F278" s="105">
        <v>9249</v>
      </c>
      <c r="G278" s="105">
        <v>6692</v>
      </c>
      <c r="H278" s="105">
        <v>4295</v>
      </c>
      <c r="I278" s="105">
        <v>6190</v>
      </c>
      <c r="J278" s="105">
        <v>6354</v>
      </c>
      <c r="K278" s="105">
        <v>11830</v>
      </c>
      <c r="L278" s="105">
        <v>13283</v>
      </c>
      <c r="M278" s="105">
        <v>15463</v>
      </c>
      <c r="N278" s="578">
        <v>15205</v>
      </c>
      <c r="O278" s="578">
        <v>20417</v>
      </c>
    </row>
    <row r="279" spans="1:22" x14ac:dyDescent="0.2">
      <c r="B279" s="107"/>
      <c r="C279" s="579"/>
      <c r="D279" s="579"/>
      <c r="E279" s="579"/>
      <c r="F279" s="579"/>
      <c r="G279" s="579"/>
      <c r="H279" s="579"/>
      <c r="I279" s="579"/>
      <c r="J279" s="579"/>
      <c r="K279" s="579"/>
      <c r="L279" s="579"/>
      <c r="M279" s="579"/>
      <c r="N279" s="580"/>
      <c r="O279" s="580"/>
    </row>
    <row r="280" spans="1:22" x14ac:dyDescent="0.2">
      <c r="B280" s="574" t="s">
        <v>324</v>
      </c>
      <c r="C280" s="109">
        <v>1844.87</v>
      </c>
      <c r="D280" s="109">
        <v>1812.96</v>
      </c>
      <c r="E280" s="109">
        <v>1643.3</v>
      </c>
      <c r="F280" s="109">
        <v>1756.17</v>
      </c>
      <c r="G280" s="109">
        <v>1277.3800000000001</v>
      </c>
      <c r="H280" s="109">
        <v>1552.46</v>
      </c>
      <c r="I280" s="109">
        <v>1489.65</v>
      </c>
      <c r="J280" s="109">
        <v>1393.76</v>
      </c>
      <c r="K280" s="109">
        <v>1470.95</v>
      </c>
      <c r="L280" s="109">
        <v>1350.71</v>
      </c>
      <c r="M280" s="109">
        <v>1120.69</v>
      </c>
      <c r="N280" s="581">
        <v>1130.32</v>
      </c>
      <c r="O280" s="581">
        <v>1661.49</v>
      </c>
    </row>
    <row r="281" spans="1:22" x14ac:dyDescent="0.2">
      <c r="B281" s="582" t="s">
        <v>328</v>
      </c>
      <c r="C281" s="113">
        <v>293.11</v>
      </c>
      <c r="D281" s="113">
        <v>407.35</v>
      </c>
      <c r="E281" s="113">
        <v>379.69</v>
      </c>
      <c r="F281" s="113">
        <v>412.31</v>
      </c>
      <c r="G281" s="113">
        <v>128.44999999999999</v>
      </c>
      <c r="H281" s="113">
        <v>340.64</v>
      </c>
      <c r="I281" s="113">
        <v>373.4</v>
      </c>
      <c r="J281" s="113">
        <v>302.32</v>
      </c>
      <c r="K281" s="113">
        <v>400.96</v>
      </c>
      <c r="L281" s="113">
        <v>107.16</v>
      </c>
      <c r="M281" s="113">
        <v>7.81</v>
      </c>
      <c r="N281" s="583">
        <v>14.19</v>
      </c>
      <c r="O281" s="583">
        <v>271.08999999999997</v>
      </c>
      <c r="P281" s="116"/>
    </row>
    <row r="282" spans="1:22" x14ac:dyDescent="0.2">
      <c r="B282" s="586" t="s">
        <v>326</v>
      </c>
      <c r="C282" s="119">
        <v>136.82</v>
      </c>
      <c r="D282" s="118">
        <v>145.80000000000001</v>
      </c>
      <c r="E282" s="118">
        <v>333.26</v>
      </c>
      <c r="F282" s="118">
        <v>1393.98</v>
      </c>
      <c r="G282" s="119">
        <v>1737.26</v>
      </c>
      <c r="H282" s="119">
        <v>2400.7399999999998</v>
      </c>
      <c r="I282" s="119">
        <v>1677.41</v>
      </c>
      <c r="J282" s="119">
        <v>1467.92</v>
      </c>
      <c r="K282" s="119">
        <v>42.98</v>
      </c>
      <c r="L282" s="119">
        <v>9.3800000000000008</v>
      </c>
      <c r="M282" s="119">
        <v>6.25</v>
      </c>
      <c r="N282" s="585">
        <v>59.92</v>
      </c>
      <c r="O282" s="585">
        <v>137.11000000000001</v>
      </c>
    </row>
    <row r="283" spans="1:22" s="788" customFormat="1" ht="20.25" x14ac:dyDescent="0.3">
      <c r="A283" s="786">
        <v>17</v>
      </c>
      <c r="B283" s="790" t="s">
        <v>562</v>
      </c>
      <c r="S283" s="789"/>
      <c r="V283" s="789"/>
    </row>
    <row r="284" spans="1:22" s="94" customFormat="1" ht="15.75" x14ac:dyDescent="0.25">
      <c r="B284" s="572" t="s">
        <v>728</v>
      </c>
      <c r="C284" s="91">
        <v>41487</v>
      </c>
      <c r="D284" s="91">
        <v>41518</v>
      </c>
      <c r="E284" s="91">
        <v>41548</v>
      </c>
      <c r="F284" s="91">
        <v>41579</v>
      </c>
      <c r="G284" s="91">
        <v>41609</v>
      </c>
      <c r="H284" s="91">
        <v>41640</v>
      </c>
      <c r="I284" s="91">
        <v>41671</v>
      </c>
      <c r="J284" s="91">
        <v>41699</v>
      </c>
      <c r="K284" s="91">
        <v>41730</v>
      </c>
      <c r="L284" s="91">
        <v>41760</v>
      </c>
      <c r="M284" s="91">
        <v>41791</v>
      </c>
      <c r="N284" s="91">
        <v>41821</v>
      </c>
      <c r="O284" s="91">
        <v>41852</v>
      </c>
    </row>
    <row r="285" spans="1:22" x14ac:dyDescent="0.2">
      <c r="C285" s="579"/>
      <c r="D285" s="579"/>
      <c r="E285" s="579"/>
      <c r="F285" s="579"/>
      <c r="G285" s="579"/>
      <c r="H285" s="579"/>
      <c r="I285" s="579"/>
      <c r="J285" s="579"/>
      <c r="K285" s="579"/>
      <c r="L285" s="579"/>
      <c r="M285" s="579"/>
      <c r="N285" s="580"/>
      <c r="O285" s="580"/>
    </row>
    <row r="286" spans="1:22" x14ac:dyDescent="0.2">
      <c r="B286" s="574" t="s">
        <v>319</v>
      </c>
      <c r="C286" s="96">
        <v>27005</v>
      </c>
      <c r="D286" s="96">
        <v>25748</v>
      </c>
      <c r="E286" s="96">
        <v>25583</v>
      </c>
      <c r="F286" s="96">
        <v>28483</v>
      </c>
      <c r="G286" s="96">
        <v>20273</v>
      </c>
      <c r="H286" s="96">
        <v>24384</v>
      </c>
      <c r="I286" s="96">
        <v>24093</v>
      </c>
      <c r="J286" s="96">
        <v>21685</v>
      </c>
      <c r="K286" s="96">
        <v>25360</v>
      </c>
      <c r="L286" s="96">
        <v>22439</v>
      </c>
      <c r="M286" s="96">
        <v>17547</v>
      </c>
      <c r="N286" s="575">
        <v>17041</v>
      </c>
      <c r="O286" s="575">
        <v>24553</v>
      </c>
    </row>
    <row r="287" spans="1:22" x14ac:dyDescent="0.2">
      <c r="B287" s="574" t="s">
        <v>320</v>
      </c>
      <c r="C287" s="96">
        <v>10320</v>
      </c>
      <c r="D287" s="100">
        <v>19220</v>
      </c>
      <c r="E287" s="100">
        <v>74170</v>
      </c>
      <c r="F287" s="100">
        <v>101070</v>
      </c>
      <c r="G287" s="96">
        <v>164580</v>
      </c>
      <c r="H287" s="96">
        <v>79260</v>
      </c>
      <c r="I287" s="96">
        <v>27740</v>
      </c>
      <c r="J287" s="96">
        <v>21140</v>
      </c>
      <c r="K287" s="96">
        <v>17150</v>
      </c>
      <c r="L287" s="96">
        <v>6640</v>
      </c>
      <c r="M287" s="96">
        <v>3240</v>
      </c>
      <c r="N287" s="575">
        <v>3420</v>
      </c>
      <c r="O287" s="575">
        <v>8350</v>
      </c>
    </row>
    <row r="288" spans="1:22" x14ac:dyDescent="0.2">
      <c r="B288" s="574" t="s">
        <v>322</v>
      </c>
      <c r="C288" s="101">
        <v>36500</v>
      </c>
      <c r="D288" s="101">
        <v>56300</v>
      </c>
      <c r="E288" s="101">
        <v>54600</v>
      </c>
      <c r="F288" s="101">
        <v>60100</v>
      </c>
      <c r="G288" s="101">
        <v>15500</v>
      </c>
      <c r="H288" s="101">
        <v>39800</v>
      </c>
      <c r="I288" s="101">
        <v>45400</v>
      </c>
      <c r="J288" s="101">
        <v>36400</v>
      </c>
      <c r="K288" s="101">
        <v>46400</v>
      </c>
      <c r="L288" s="101">
        <v>11400</v>
      </c>
      <c r="M288" s="101">
        <v>300</v>
      </c>
      <c r="N288" s="576">
        <v>2500</v>
      </c>
      <c r="O288" s="576">
        <v>39200</v>
      </c>
    </row>
    <row r="289" spans="1:22" s="106" customFormat="1" x14ac:dyDescent="0.2">
      <c r="B289" s="577" t="s">
        <v>323</v>
      </c>
      <c r="C289" s="105">
        <v>21997</v>
      </c>
      <c r="D289" s="105">
        <v>15498</v>
      </c>
      <c r="E289" s="105">
        <v>4827</v>
      </c>
      <c r="F289" s="105">
        <v>1746</v>
      </c>
      <c r="G289" s="105">
        <v>2355</v>
      </c>
      <c r="H289" s="105">
        <v>1761</v>
      </c>
      <c r="I289" s="105">
        <v>1185</v>
      </c>
      <c r="J289" s="105">
        <v>1361</v>
      </c>
      <c r="K289" s="105">
        <v>4590</v>
      </c>
      <c r="L289" s="105">
        <v>10241</v>
      </c>
      <c r="M289" s="105">
        <v>14216</v>
      </c>
      <c r="N289" s="578">
        <v>13854</v>
      </c>
      <c r="O289" s="578">
        <v>18369</v>
      </c>
    </row>
    <row r="290" spans="1:22" x14ac:dyDescent="0.2">
      <c r="B290" s="107"/>
      <c r="C290" s="579"/>
      <c r="D290" s="579"/>
      <c r="E290" s="579"/>
      <c r="F290" s="579"/>
      <c r="G290" s="579"/>
      <c r="H290" s="579"/>
      <c r="I290" s="579"/>
      <c r="J290" s="579"/>
      <c r="K290" s="579"/>
      <c r="L290" s="579"/>
      <c r="M290" s="579"/>
      <c r="N290" s="580"/>
      <c r="O290" s="580"/>
    </row>
    <row r="291" spans="1:22" x14ac:dyDescent="0.2">
      <c r="B291" s="574" t="s">
        <v>324</v>
      </c>
      <c r="C291" s="109">
        <v>1834.15</v>
      </c>
      <c r="D291" s="109">
        <v>1831.46</v>
      </c>
      <c r="E291" s="109">
        <v>1629.99</v>
      </c>
      <c r="F291" s="109">
        <v>1717.64</v>
      </c>
      <c r="G291" s="109">
        <v>1265.83</v>
      </c>
      <c r="H291" s="109">
        <v>1492.59</v>
      </c>
      <c r="I291" s="109">
        <v>1443.8</v>
      </c>
      <c r="J291" s="109">
        <v>1353.38</v>
      </c>
      <c r="K291" s="109">
        <v>1504.35</v>
      </c>
      <c r="L291" s="109">
        <v>1370.38</v>
      </c>
      <c r="M291" s="109">
        <v>1190.22</v>
      </c>
      <c r="N291" s="581">
        <v>1155.8900000000001</v>
      </c>
      <c r="O291" s="581">
        <v>1665.43</v>
      </c>
    </row>
    <row r="292" spans="1:22" x14ac:dyDescent="0.2">
      <c r="B292" s="582" t="s">
        <v>328</v>
      </c>
      <c r="C292" s="113">
        <v>258.42</v>
      </c>
      <c r="D292" s="113">
        <v>399.53</v>
      </c>
      <c r="E292" s="113">
        <v>387.47</v>
      </c>
      <c r="F292" s="113">
        <v>426.51</v>
      </c>
      <c r="G292" s="113">
        <v>109.99</v>
      </c>
      <c r="H292" s="113">
        <v>282.45</v>
      </c>
      <c r="I292" s="113">
        <v>322.19</v>
      </c>
      <c r="J292" s="113">
        <v>258.32</v>
      </c>
      <c r="K292" s="113">
        <v>329.28</v>
      </c>
      <c r="L292" s="113">
        <v>80.900000000000006</v>
      </c>
      <c r="M292" s="113">
        <v>2.13</v>
      </c>
      <c r="N292" s="583">
        <v>17.739999999999998</v>
      </c>
      <c r="O292" s="583">
        <v>278.19</v>
      </c>
      <c r="P292" s="116"/>
    </row>
    <row r="293" spans="1:22" x14ac:dyDescent="0.2">
      <c r="B293" s="586" t="s">
        <v>326</v>
      </c>
      <c r="C293" s="119">
        <v>80.64</v>
      </c>
      <c r="D293" s="118">
        <v>150.18</v>
      </c>
      <c r="E293" s="118">
        <v>579.55999999999995</v>
      </c>
      <c r="F293" s="118">
        <v>789.75</v>
      </c>
      <c r="G293" s="119">
        <v>1286.02</v>
      </c>
      <c r="H293" s="119">
        <v>619.33000000000004</v>
      </c>
      <c r="I293" s="119">
        <v>216.75</v>
      </c>
      <c r="J293" s="119">
        <v>165.18</v>
      </c>
      <c r="K293" s="119">
        <v>134</v>
      </c>
      <c r="L293" s="119">
        <v>51.88</v>
      </c>
      <c r="M293" s="119">
        <v>25.32</v>
      </c>
      <c r="N293" s="585">
        <v>26.72</v>
      </c>
      <c r="O293" s="585">
        <v>65.239999999999995</v>
      </c>
    </row>
    <row r="294" spans="1:22" s="788" customFormat="1" ht="20.25" x14ac:dyDescent="0.3">
      <c r="A294" s="786">
        <v>18</v>
      </c>
      <c r="B294" s="790" t="s">
        <v>563</v>
      </c>
      <c r="S294" s="789"/>
      <c r="V294" s="789"/>
    </row>
    <row r="295" spans="1:22" s="94" customFormat="1" ht="15.75" x14ac:dyDescent="0.25">
      <c r="B295" s="572" t="s">
        <v>729</v>
      </c>
      <c r="C295" s="91">
        <v>41487</v>
      </c>
      <c r="D295" s="91">
        <v>41518</v>
      </c>
      <c r="E295" s="91">
        <v>41548</v>
      </c>
      <c r="F295" s="91">
        <v>41579</v>
      </c>
      <c r="G295" s="91">
        <v>41609</v>
      </c>
      <c r="H295" s="91">
        <v>41640</v>
      </c>
      <c r="I295" s="91">
        <v>41671</v>
      </c>
      <c r="J295" s="91">
        <v>41699</v>
      </c>
      <c r="K295" s="91">
        <v>41730</v>
      </c>
      <c r="L295" s="91">
        <v>41760</v>
      </c>
      <c r="M295" s="91">
        <v>41791</v>
      </c>
      <c r="N295" s="91">
        <v>41821</v>
      </c>
      <c r="O295" s="91">
        <v>41852</v>
      </c>
    </row>
    <row r="296" spans="1:22" x14ac:dyDescent="0.2">
      <c r="C296" s="579"/>
      <c r="D296" s="579"/>
      <c r="E296" s="579"/>
      <c r="F296" s="579"/>
      <c r="G296" s="579"/>
      <c r="H296" s="579"/>
      <c r="I296" s="579"/>
      <c r="J296" s="579"/>
      <c r="K296" s="579"/>
      <c r="L296" s="579"/>
      <c r="M296" s="579"/>
      <c r="N296" s="580"/>
      <c r="O296" s="580"/>
    </row>
    <row r="297" spans="1:22" x14ac:dyDescent="0.2">
      <c r="B297" s="574" t="s">
        <v>319</v>
      </c>
      <c r="C297" s="96">
        <v>30854</v>
      </c>
      <c r="D297" s="96">
        <v>28712</v>
      </c>
      <c r="E297" s="96">
        <v>29511</v>
      </c>
      <c r="F297" s="96">
        <v>33257</v>
      </c>
      <c r="G297" s="96">
        <v>24327</v>
      </c>
      <c r="H297" s="96">
        <v>30170</v>
      </c>
      <c r="I297" s="96">
        <v>27805</v>
      </c>
      <c r="J297" s="96">
        <v>25465</v>
      </c>
      <c r="K297" s="96">
        <v>29541</v>
      </c>
      <c r="L297" s="96">
        <v>25832</v>
      </c>
      <c r="M297" s="96">
        <v>21021</v>
      </c>
      <c r="N297" s="575">
        <v>20853</v>
      </c>
      <c r="O297" s="575">
        <v>31432</v>
      </c>
    </row>
    <row r="298" spans="1:22" x14ac:dyDescent="0.2">
      <c r="B298" s="574" t="s">
        <v>320</v>
      </c>
      <c r="C298" s="96">
        <v>15530</v>
      </c>
      <c r="D298" s="100">
        <v>16160</v>
      </c>
      <c r="E298" s="100">
        <v>19220</v>
      </c>
      <c r="F298" s="100">
        <v>74170</v>
      </c>
      <c r="G298" s="96">
        <v>101070</v>
      </c>
      <c r="H298" s="96">
        <v>164580</v>
      </c>
      <c r="I298" s="96">
        <v>93920</v>
      </c>
      <c r="J298" s="96">
        <v>79260</v>
      </c>
      <c r="K298" s="96">
        <v>21760</v>
      </c>
      <c r="L298" s="96">
        <v>18500</v>
      </c>
      <c r="M298" s="96">
        <v>7260</v>
      </c>
      <c r="N298" s="575">
        <v>7050</v>
      </c>
      <c r="O298" s="575">
        <v>16160</v>
      </c>
    </row>
    <row r="299" spans="1:22" x14ac:dyDescent="0.2">
      <c r="B299" s="574" t="s">
        <v>322</v>
      </c>
      <c r="C299" s="101">
        <v>35800</v>
      </c>
      <c r="D299" s="100">
        <v>45900</v>
      </c>
      <c r="E299" s="101">
        <v>43000</v>
      </c>
      <c r="F299" s="101">
        <v>45600</v>
      </c>
      <c r="G299" s="101">
        <v>11900</v>
      </c>
      <c r="H299" s="101">
        <v>42900</v>
      </c>
      <c r="I299" s="101">
        <v>44900</v>
      </c>
      <c r="J299" s="101">
        <v>38400</v>
      </c>
      <c r="K299" s="101">
        <v>48000</v>
      </c>
      <c r="L299" s="101">
        <v>14900</v>
      </c>
      <c r="M299" s="101">
        <v>2000</v>
      </c>
      <c r="N299" s="576">
        <v>2500</v>
      </c>
      <c r="O299" s="576">
        <v>46000</v>
      </c>
    </row>
    <row r="300" spans="1:22" s="106" customFormat="1" x14ac:dyDescent="0.2">
      <c r="B300" s="577" t="s">
        <v>323</v>
      </c>
      <c r="C300" s="105">
        <v>26126</v>
      </c>
      <c r="D300" s="105">
        <v>20812</v>
      </c>
      <c r="E300" s="105">
        <v>13519</v>
      </c>
      <c r="F300" s="105">
        <v>8387</v>
      </c>
      <c r="G300" s="105">
        <v>7243</v>
      </c>
      <c r="H300" s="105">
        <v>4389</v>
      </c>
      <c r="I300" s="105">
        <v>5121</v>
      </c>
      <c r="J300" s="105">
        <v>5517</v>
      </c>
      <c r="K300" s="105">
        <v>10705</v>
      </c>
      <c r="L300" s="105">
        <v>14355</v>
      </c>
      <c r="M300" s="105">
        <v>17665</v>
      </c>
      <c r="N300" s="578">
        <v>17243</v>
      </c>
      <c r="O300" s="578">
        <v>24184</v>
      </c>
    </row>
    <row r="301" spans="1:22" x14ac:dyDescent="0.2">
      <c r="B301" s="107"/>
      <c r="C301" s="579"/>
      <c r="D301" s="579"/>
      <c r="E301" s="579"/>
      <c r="F301" s="579"/>
      <c r="G301" s="579"/>
      <c r="H301" s="579"/>
      <c r="I301" s="579"/>
      <c r="J301" s="579"/>
      <c r="K301" s="579"/>
      <c r="L301" s="579"/>
      <c r="M301" s="579"/>
      <c r="N301" s="580"/>
      <c r="O301" s="580"/>
    </row>
    <row r="302" spans="1:22" x14ac:dyDescent="0.2">
      <c r="B302" s="574" t="s">
        <v>324</v>
      </c>
      <c r="C302" s="109">
        <v>2190.56</v>
      </c>
      <c r="D302" s="109">
        <v>2042.29</v>
      </c>
      <c r="E302" s="109">
        <v>1880.26</v>
      </c>
      <c r="F302" s="109">
        <v>2005.53</v>
      </c>
      <c r="G302" s="109">
        <v>1518.96</v>
      </c>
      <c r="H302" s="109">
        <v>1846.76</v>
      </c>
      <c r="I302" s="109">
        <v>16666.25</v>
      </c>
      <c r="J302" s="109">
        <v>1589.3</v>
      </c>
      <c r="K302" s="109">
        <v>1752.37</v>
      </c>
      <c r="L302" s="109">
        <v>1577.59</v>
      </c>
      <c r="M302" s="109">
        <v>1425.86</v>
      </c>
      <c r="N302" s="581">
        <v>1414.46</v>
      </c>
      <c r="O302" s="581">
        <v>2132.3000000000002</v>
      </c>
    </row>
    <row r="303" spans="1:22" x14ac:dyDescent="0.2">
      <c r="B303" s="582" t="s">
        <v>328</v>
      </c>
      <c r="C303" s="113">
        <v>253.46</v>
      </c>
      <c r="D303" s="118">
        <v>325.73</v>
      </c>
      <c r="E303" s="113">
        <v>305.14999999999998</v>
      </c>
      <c r="F303" s="113">
        <v>323.61</v>
      </c>
      <c r="G303" s="113">
        <v>84.45</v>
      </c>
      <c r="H303" s="113">
        <v>304.45</v>
      </c>
      <c r="I303" s="113">
        <v>318.64</v>
      </c>
      <c r="J303" s="113">
        <v>272.51</v>
      </c>
      <c r="K303" s="113">
        <v>340.64</v>
      </c>
      <c r="L303" s="113">
        <v>105.74</v>
      </c>
      <c r="M303" s="113">
        <v>14.2</v>
      </c>
      <c r="N303" s="583">
        <v>17.739999999999998</v>
      </c>
      <c r="O303" s="583">
        <v>326.44</v>
      </c>
      <c r="P303" s="116"/>
    </row>
    <row r="304" spans="1:22" x14ac:dyDescent="0.2">
      <c r="B304" s="586" t="s">
        <v>326</v>
      </c>
      <c r="C304" s="119">
        <v>121.34</v>
      </c>
      <c r="D304" s="118">
        <v>126.27</v>
      </c>
      <c r="E304" s="118">
        <v>150.18</v>
      </c>
      <c r="F304" s="123">
        <v>579.55999999999995</v>
      </c>
      <c r="G304" s="119">
        <v>789.75</v>
      </c>
      <c r="H304" s="119">
        <v>1286.02</v>
      </c>
      <c r="I304" s="119">
        <v>733.88</v>
      </c>
      <c r="J304" s="119">
        <v>619.33000000000004</v>
      </c>
      <c r="K304" s="119">
        <v>170.02</v>
      </c>
      <c r="L304" s="119">
        <v>144.55000000000001</v>
      </c>
      <c r="M304" s="119">
        <v>56.73</v>
      </c>
      <c r="N304" s="585">
        <v>55.08</v>
      </c>
      <c r="O304" s="585">
        <v>126.25</v>
      </c>
    </row>
    <row r="305" spans="1:22" s="788" customFormat="1" ht="20.25" x14ac:dyDescent="0.3">
      <c r="A305" s="786">
        <v>19</v>
      </c>
      <c r="B305" s="790" t="s">
        <v>564</v>
      </c>
      <c r="S305" s="789"/>
      <c r="V305" s="789"/>
    </row>
    <row r="306" spans="1:22" s="94" customFormat="1" ht="15.75" x14ac:dyDescent="0.25">
      <c r="B306" s="572" t="s">
        <v>730</v>
      </c>
      <c r="C306" s="91">
        <v>41487</v>
      </c>
      <c r="D306" s="91">
        <v>41518</v>
      </c>
      <c r="E306" s="91">
        <v>41548</v>
      </c>
      <c r="F306" s="91">
        <v>41579</v>
      </c>
      <c r="G306" s="91">
        <v>41609</v>
      </c>
      <c r="H306" s="91">
        <v>41640</v>
      </c>
      <c r="I306" s="91">
        <v>41671</v>
      </c>
      <c r="J306" s="91">
        <v>41699</v>
      </c>
      <c r="K306" s="91">
        <v>41730</v>
      </c>
      <c r="L306" s="91">
        <v>41760</v>
      </c>
      <c r="M306" s="91">
        <v>41791</v>
      </c>
      <c r="N306" s="91">
        <v>41821</v>
      </c>
      <c r="O306" s="91">
        <v>41852</v>
      </c>
    </row>
    <row r="307" spans="1:22" x14ac:dyDescent="0.2">
      <c r="C307" s="579"/>
      <c r="D307" s="579"/>
      <c r="E307" s="579"/>
      <c r="F307" s="579"/>
      <c r="G307" s="579"/>
      <c r="H307" s="579"/>
      <c r="I307" s="579"/>
      <c r="J307" s="579"/>
      <c r="K307" s="579"/>
      <c r="L307" s="579"/>
      <c r="M307" s="579"/>
      <c r="N307" s="580"/>
      <c r="O307" s="580"/>
    </row>
    <row r="308" spans="1:22" x14ac:dyDescent="0.2">
      <c r="B308" s="574" t="s">
        <v>319</v>
      </c>
      <c r="C308" s="96">
        <v>27052</v>
      </c>
      <c r="D308" s="96">
        <v>25616</v>
      </c>
      <c r="E308" s="96">
        <v>25462</v>
      </c>
      <c r="F308" s="96">
        <v>28596</v>
      </c>
      <c r="G308" s="96">
        <v>20973</v>
      </c>
      <c r="H308" s="96">
        <v>26326</v>
      </c>
      <c r="I308" s="96">
        <v>25140</v>
      </c>
      <c r="J308" s="96">
        <v>22531</v>
      </c>
      <c r="K308" s="96">
        <v>26409</v>
      </c>
      <c r="L308" s="96">
        <v>21608</v>
      </c>
      <c r="M308" s="96">
        <v>17290</v>
      </c>
      <c r="N308" s="575">
        <v>16370</v>
      </c>
      <c r="O308" s="575">
        <v>25698</v>
      </c>
    </row>
    <row r="309" spans="1:22" x14ac:dyDescent="0.2">
      <c r="B309" s="574" t="s">
        <v>320</v>
      </c>
      <c r="C309" s="96">
        <v>13410</v>
      </c>
      <c r="D309" s="100">
        <v>14010</v>
      </c>
      <c r="E309" s="100">
        <v>19540</v>
      </c>
      <c r="F309" s="100">
        <v>26860</v>
      </c>
      <c r="G309" s="100">
        <v>30120</v>
      </c>
      <c r="H309" s="587">
        <v>152230</v>
      </c>
      <c r="I309" s="587">
        <v>106610</v>
      </c>
      <c r="J309" s="100">
        <v>54940</v>
      </c>
      <c r="K309" s="587">
        <v>9057</v>
      </c>
      <c r="L309" s="587">
        <v>7490</v>
      </c>
      <c r="M309" s="587">
        <v>4430</v>
      </c>
      <c r="N309" s="575">
        <v>4310</v>
      </c>
      <c r="O309" s="575">
        <v>7090</v>
      </c>
    </row>
    <row r="310" spans="1:22" x14ac:dyDescent="0.2">
      <c r="B310" s="574" t="s">
        <v>322</v>
      </c>
      <c r="C310" s="101">
        <v>32800</v>
      </c>
      <c r="D310" s="101">
        <v>47100</v>
      </c>
      <c r="E310" s="101">
        <v>44600</v>
      </c>
      <c r="F310" s="101">
        <v>46200</v>
      </c>
      <c r="G310" s="101">
        <v>12500</v>
      </c>
      <c r="H310" s="101">
        <v>41300</v>
      </c>
      <c r="I310" s="101">
        <v>46600</v>
      </c>
      <c r="J310" s="101">
        <v>36500</v>
      </c>
      <c r="K310" s="101">
        <v>51000</v>
      </c>
      <c r="L310" s="101">
        <v>15100</v>
      </c>
      <c r="M310" s="101">
        <v>5000</v>
      </c>
      <c r="N310" s="576">
        <v>1830</v>
      </c>
      <c r="O310" s="576">
        <v>43600</v>
      </c>
    </row>
    <row r="311" spans="1:22" s="106" customFormat="1" x14ac:dyDescent="0.2">
      <c r="B311" s="577" t="s">
        <v>323</v>
      </c>
      <c r="C311" s="105">
        <v>93450</v>
      </c>
      <c r="D311" s="105">
        <v>73070</v>
      </c>
      <c r="E311" s="105">
        <v>63360</v>
      </c>
      <c r="F311" s="105">
        <v>43080</v>
      </c>
      <c r="G311" s="105">
        <v>37670</v>
      </c>
      <c r="H311" s="105">
        <v>36410</v>
      </c>
      <c r="I311" s="105">
        <v>41780</v>
      </c>
      <c r="J311" s="105">
        <v>37230</v>
      </c>
      <c r="K311" s="105">
        <v>50260</v>
      </c>
      <c r="L311" s="105">
        <v>59920</v>
      </c>
      <c r="M311" s="105">
        <v>76220</v>
      </c>
      <c r="N311" s="578">
        <v>81520</v>
      </c>
      <c r="O311" s="578">
        <v>90670</v>
      </c>
    </row>
    <row r="312" spans="1:22" x14ac:dyDescent="0.2">
      <c r="B312" s="107"/>
      <c r="C312" s="579"/>
      <c r="D312" s="579"/>
      <c r="E312" s="579"/>
      <c r="F312" s="579"/>
      <c r="G312" s="579"/>
      <c r="H312" s="579"/>
      <c r="I312" s="579"/>
      <c r="J312" s="579"/>
      <c r="K312" s="579"/>
      <c r="L312" s="579"/>
      <c r="M312" s="579"/>
      <c r="N312" s="580"/>
      <c r="O312" s="580"/>
    </row>
    <row r="313" spans="1:22" x14ac:dyDescent="0.2">
      <c r="B313" s="574" t="s">
        <v>324</v>
      </c>
      <c r="C313" s="109">
        <v>1920.63</v>
      </c>
      <c r="D313" s="109">
        <v>1822.07</v>
      </c>
      <c r="E313" s="109">
        <v>1622.28</v>
      </c>
      <c r="F313" s="109">
        <v>1724.45</v>
      </c>
      <c r="G313" s="109">
        <v>1309.54</v>
      </c>
      <c r="H313" s="109">
        <v>1611.46</v>
      </c>
      <c r="I313" s="109">
        <v>1506.55</v>
      </c>
      <c r="J313" s="109">
        <v>1406.18</v>
      </c>
      <c r="K313" s="109">
        <v>1566.58</v>
      </c>
      <c r="L313" s="109">
        <v>1319.63</v>
      </c>
      <c r="M313" s="109">
        <v>1172.78</v>
      </c>
      <c r="N313" s="581">
        <v>1110.3699999999999</v>
      </c>
      <c r="O313" s="581">
        <v>1743.09</v>
      </c>
    </row>
    <row r="314" spans="1:22" x14ac:dyDescent="0.2">
      <c r="B314" s="582" t="s">
        <v>328</v>
      </c>
      <c r="C314" s="113">
        <v>232.22</v>
      </c>
      <c r="D314" s="113">
        <v>334.25</v>
      </c>
      <c r="E314" s="113">
        <v>316.51</v>
      </c>
      <c r="F314" s="113">
        <v>327.86</v>
      </c>
      <c r="G314" s="113">
        <v>88.71</v>
      </c>
      <c r="H314" s="113">
        <v>293.08999999999997</v>
      </c>
      <c r="I314" s="113">
        <v>330.7</v>
      </c>
      <c r="J314" s="113">
        <v>259.02999999999997</v>
      </c>
      <c r="K314" s="113">
        <v>361.93</v>
      </c>
      <c r="L314" s="113">
        <v>107.16</v>
      </c>
      <c r="M314" s="113">
        <v>3.55</v>
      </c>
      <c r="N314" s="583">
        <v>12.98</v>
      </c>
      <c r="O314" s="583">
        <v>309.41000000000003</v>
      </c>
      <c r="P314" s="116"/>
    </row>
    <row r="315" spans="1:22" x14ac:dyDescent="0.2">
      <c r="B315" s="586" t="s">
        <v>326</v>
      </c>
      <c r="C315" s="119">
        <v>104.78</v>
      </c>
      <c r="D315" s="118">
        <v>109.46</v>
      </c>
      <c r="E315" s="118">
        <v>152.68</v>
      </c>
      <c r="F315" s="118">
        <v>209.88</v>
      </c>
      <c r="G315" s="118">
        <v>235.35</v>
      </c>
      <c r="H315" s="119">
        <v>1189.51</v>
      </c>
      <c r="I315" s="118">
        <v>833.04</v>
      </c>
      <c r="J315" s="118">
        <v>110.12</v>
      </c>
      <c r="K315" s="119">
        <v>70.760000000000005</v>
      </c>
      <c r="L315" s="119">
        <v>58.52</v>
      </c>
      <c r="M315" s="119">
        <v>34.61</v>
      </c>
      <c r="N315" s="585">
        <v>33.67</v>
      </c>
      <c r="O315" s="585">
        <v>55.39</v>
      </c>
    </row>
    <row r="316" spans="1:22" s="788" customFormat="1" ht="20.25" x14ac:dyDescent="0.3">
      <c r="A316" s="786">
        <v>20</v>
      </c>
      <c r="B316" s="790" t="s">
        <v>565</v>
      </c>
      <c r="S316" s="789"/>
      <c r="V316" s="789"/>
    </row>
    <row r="317" spans="1:22" s="94" customFormat="1" ht="15.75" x14ac:dyDescent="0.25">
      <c r="B317" s="572" t="s">
        <v>731</v>
      </c>
      <c r="C317" s="91">
        <v>41487</v>
      </c>
      <c r="D317" s="91">
        <v>41518</v>
      </c>
      <c r="E317" s="91">
        <v>41548</v>
      </c>
      <c r="F317" s="91">
        <v>41579</v>
      </c>
      <c r="G317" s="91">
        <v>41609</v>
      </c>
      <c r="H317" s="91">
        <v>41640</v>
      </c>
      <c r="I317" s="91">
        <v>41671</v>
      </c>
      <c r="J317" s="91">
        <v>41699</v>
      </c>
      <c r="K317" s="91">
        <v>41730</v>
      </c>
      <c r="L317" s="91">
        <v>41760</v>
      </c>
      <c r="M317" s="91">
        <v>41791</v>
      </c>
      <c r="N317" s="91">
        <v>41821</v>
      </c>
      <c r="O317" s="91">
        <v>41852</v>
      </c>
    </row>
    <row r="318" spans="1:22" x14ac:dyDescent="0.2">
      <c r="C318" s="579"/>
      <c r="D318" s="579"/>
      <c r="E318" s="579"/>
      <c r="F318" s="579"/>
      <c r="G318" s="579"/>
      <c r="H318" s="579"/>
      <c r="I318" s="579"/>
      <c r="J318" s="579"/>
      <c r="K318" s="579"/>
      <c r="L318" s="579"/>
      <c r="M318" s="579"/>
      <c r="N318" s="580"/>
      <c r="O318" s="580"/>
    </row>
    <row r="319" spans="1:22" x14ac:dyDescent="0.2">
      <c r="B319" s="574" t="s">
        <v>319</v>
      </c>
      <c r="C319" s="96">
        <v>48804</v>
      </c>
      <c r="D319" s="96">
        <v>47115</v>
      </c>
      <c r="E319" s="96">
        <v>47333</v>
      </c>
      <c r="F319" s="96">
        <v>52848</v>
      </c>
      <c r="G319" s="96">
        <v>39962</v>
      </c>
      <c r="H319" s="96">
        <v>49214</v>
      </c>
      <c r="I319" s="96">
        <v>46143</v>
      </c>
      <c r="J319" s="96">
        <v>41387</v>
      </c>
      <c r="K319" s="96">
        <v>48781</v>
      </c>
      <c r="L319" s="96">
        <v>42948</v>
      </c>
      <c r="M319" s="96">
        <v>33373</v>
      </c>
      <c r="N319" s="575">
        <v>32432</v>
      </c>
      <c r="O319" s="575">
        <v>44245</v>
      </c>
    </row>
    <row r="320" spans="1:22" x14ac:dyDescent="0.2">
      <c r="B320" s="574" t="s">
        <v>320</v>
      </c>
      <c r="C320" s="96">
        <v>5540</v>
      </c>
      <c r="D320" s="100">
        <v>53240</v>
      </c>
      <c r="E320" s="100">
        <v>164380</v>
      </c>
      <c r="F320" s="100">
        <v>704150</v>
      </c>
      <c r="G320" s="96">
        <v>751020</v>
      </c>
      <c r="H320" s="96">
        <v>1089140</v>
      </c>
      <c r="I320" s="96">
        <v>817570</v>
      </c>
      <c r="J320" s="96">
        <v>691630</v>
      </c>
      <c r="K320" s="96">
        <v>207770</v>
      </c>
      <c r="L320" s="96">
        <v>139600</v>
      </c>
      <c r="M320" s="96">
        <v>14660</v>
      </c>
      <c r="N320" s="575">
        <v>5440</v>
      </c>
      <c r="O320" s="575">
        <v>12360</v>
      </c>
    </row>
    <row r="321" spans="1:22" x14ac:dyDescent="0.2">
      <c r="B321" s="574" t="s">
        <v>322</v>
      </c>
      <c r="C321" s="101">
        <v>60400</v>
      </c>
      <c r="D321" s="101">
        <v>83400</v>
      </c>
      <c r="E321" s="101">
        <v>80700</v>
      </c>
      <c r="F321" s="101">
        <v>84800</v>
      </c>
      <c r="G321" s="101">
        <v>24500</v>
      </c>
      <c r="H321" s="101">
        <v>72900</v>
      </c>
      <c r="I321" s="101">
        <v>86300</v>
      </c>
      <c r="J321" s="101">
        <v>66100</v>
      </c>
      <c r="K321" s="101">
        <v>90000</v>
      </c>
      <c r="L321" s="101">
        <v>24300</v>
      </c>
      <c r="M321" s="101">
        <v>800</v>
      </c>
      <c r="N321" s="576">
        <v>3600</v>
      </c>
      <c r="O321" s="576">
        <v>66600</v>
      </c>
    </row>
    <row r="322" spans="1:22" s="106" customFormat="1" x14ac:dyDescent="0.2">
      <c r="B322" s="577" t="s">
        <v>323</v>
      </c>
      <c r="C322" s="105">
        <v>49955</v>
      </c>
      <c r="D322" s="105">
        <v>39687</v>
      </c>
      <c r="E322" s="105">
        <v>36569</v>
      </c>
      <c r="F322" s="105">
        <v>33365</v>
      </c>
      <c r="G322" s="105">
        <v>30866</v>
      </c>
      <c r="H322" s="105">
        <v>21826</v>
      </c>
      <c r="I322" s="105">
        <v>19329</v>
      </c>
      <c r="J322" s="105">
        <v>25175</v>
      </c>
      <c r="K322" s="105">
        <v>31822</v>
      </c>
      <c r="L322" s="105">
        <v>38534</v>
      </c>
      <c r="M322" s="105">
        <v>42917</v>
      </c>
      <c r="N322" s="578">
        <v>41963</v>
      </c>
      <c r="O322" s="578">
        <v>55574</v>
      </c>
    </row>
    <row r="323" spans="1:22" x14ac:dyDescent="0.2">
      <c r="B323" s="107"/>
      <c r="C323" s="579"/>
      <c r="D323" s="579"/>
      <c r="E323" s="579"/>
      <c r="F323" s="579"/>
      <c r="G323" s="579"/>
      <c r="H323" s="579"/>
      <c r="I323" s="579"/>
      <c r="J323" s="579"/>
      <c r="K323" s="579"/>
      <c r="L323" s="579"/>
      <c r="M323" s="579"/>
      <c r="N323" s="580"/>
      <c r="O323" s="580"/>
    </row>
    <row r="324" spans="1:22" x14ac:dyDescent="0.2">
      <c r="B324" s="574" t="s">
        <v>324</v>
      </c>
      <c r="C324" s="109">
        <v>3464.97</v>
      </c>
      <c r="D324" s="109">
        <v>3351.29</v>
      </c>
      <c r="E324" s="109">
        <v>3015.76</v>
      </c>
      <c r="F324" s="109">
        <v>3186.94</v>
      </c>
      <c r="G324" s="109">
        <v>2495.19</v>
      </c>
      <c r="H324" s="109">
        <v>3012.48</v>
      </c>
      <c r="I324" s="109">
        <v>2765.18</v>
      </c>
      <c r="J324" s="109">
        <v>2583.0100000000002</v>
      </c>
      <c r="K324" s="109">
        <v>2893.68</v>
      </c>
      <c r="L324" s="109">
        <v>2622.89</v>
      </c>
      <c r="M324" s="109">
        <v>2263.6999999999998</v>
      </c>
      <c r="N324" s="581">
        <v>2199.86</v>
      </c>
      <c r="O324" s="581">
        <v>3001.13</v>
      </c>
    </row>
    <row r="325" spans="1:22" x14ac:dyDescent="0.2">
      <c r="B325" s="582" t="s">
        <v>328</v>
      </c>
      <c r="C325" s="113">
        <v>427.63</v>
      </c>
      <c r="D325" s="113">
        <v>591.86</v>
      </c>
      <c r="E325" s="113">
        <v>572.69000000000005</v>
      </c>
      <c r="F325" s="113">
        <v>601.79</v>
      </c>
      <c r="G325" s="113">
        <v>173.87</v>
      </c>
      <c r="H325" s="113">
        <v>517.34</v>
      </c>
      <c r="I325" s="113">
        <v>612.44000000000005</v>
      </c>
      <c r="J325" s="113">
        <v>469.08</v>
      </c>
      <c r="K325" s="113">
        <v>638.69000000000005</v>
      </c>
      <c r="L325" s="113">
        <v>172.45</v>
      </c>
      <c r="M325" s="113">
        <v>5.68</v>
      </c>
      <c r="N325" s="583">
        <v>25.55</v>
      </c>
      <c r="O325" s="583">
        <v>472.63</v>
      </c>
      <c r="P325" s="116"/>
    </row>
    <row r="326" spans="1:22" x14ac:dyDescent="0.2">
      <c r="B326" s="586" t="s">
        <v>326</v>
      </c>
      <c r="C326" s="119">
        <v>43.28</v>
      </c>
      <c r="D326" s="118">
        <v>416.02</v>
      </c>
      <c r="E326" s="118">
        <v>1284.49</v>
      </c>
      <c r="F326" s="118">
        <v>5502.16</v>
      </c>
      <c r="G326" s="119">
        <v>5868.4</v>
      </c>
      <c r="H326" s="119">
        <v>8510.0400000000009</v>
      </c>
      <c r="I326" s="119">
        <v>6388.41</v>
      </c>
      <c r="J326" s="119">
        <v>5404.33</v>
      </c>
      <c r="K326" s="119">
        <v>1623.49</v>
      </c>
      <c r="L326" s="119">
        <v>1090.82</v>
      </c>
      <c r="M326" s="119">
        <v>114.55</v>
      </c>
      <c r="N326" s="585">
        <v>42.5</v>
      </c>
      <c r="O326" s="585">
        <v>96.56</v>
      </c>
    </row>
    <row r="327" spans="1:22" s="788" customFormat="1" ht="20.25" x14ac:dyDescent="0.3">
      <c r="A327" s="786">
        <v>21</v>
      </c>
      <c r="B327" s="787" t="s">
        <v>384</v>
      </c>
      <c r="S327" s="789"/>
      <c r="V327" s="789"/>
    </row>
    <row r="328" spans="1:22" ht="15" x14ac:dyDescent="0.2">
      <c r="B328" s="464" t="s">
        <v>652</v>
      </c>
    </row>
    <row r="329" spans="1:22" s="94" customFormat="1" x14ac:dyDescent="0.2">
      <c r="B329" s="465" t="s">
        <v>337</v>
      </c>
      <c r="C329" s="91">
        <v>41456</v>
      </c>
      <c r="D329" s="91">
        <v>41487</v>
      </c>
      <c r="E329" s="91">
        <v>41518</v>
      </c>
      <c r="F329" s="91">
        <v>41548</v>
      </c>
      <c r="G329" s="91">
        <v>41579</v>
      </c>
      <c r="H329" s="91">
        <v>41609</v>
      </c>
      <c r="I329" s="91">
        <v>41640</v>
      </c>
      <c r="J329" s="91">
        <v>41671</v>
      </c>
      <c r="K329" s="91">
        <v>41699</v>
      </c>
      <c r="L329" s="91">
        <v>41730</v>
      </c>
      <c r="M329" s="91">
        <v>41760</v>
      </c>
      <c r="N329" s="91">
        <v>41791</v>
      </c>
    </row>
    <row r="331" spans="1:22" x14ac:dyDescent="0.2">
      <c r="B331" s="95" t="s">
        <v>409</v>
      </c>
      <c r="C331" s="496">
        <v>74080</v>
      </c>
      <c r="D331" s="496">
        <v>88168</v>
      </c>
      <c r="E331" s="496">
        <v>94347</v>
      </c>
      <c r="F331" s="496">
        <v>79716</v>
      </c>
      <c r="G331" s="496">
        <v>75594</v>
      </c>
      <c r="H331" s="496">
        <v>66617</v>
      </c>
      <c r="I331" s="496">
        <v>85340</v>
      </c>
      <c r="J331" s="496">
        <v>76631</v>
      </c>
      <c r="K331" s="496">
        <v>72908</v>
      </c>
      <c r="L331" s="496">
        <v>70976</v>
      </c>
      <c r="M331" s="496">
        <v>59228</v>
      </c>
      <c r="N331" s="496">
        <v>60285</v>
      </c>
    </row>
    <row r="332" spans="1:22" x14ac:dyDescent="0.2">
      <c r="B332" s="95" t="s">
        <v>320</v>
      </c>
      <c r="C332" s="496" t="s">
        <v>653</v>
      </c>
      <c r="D332" s="496" t="s">
        <v>653</v>
      </c>
      <c r="E332" s="496" t="s">
        <v>653</v>
      </c>
      <c r="F332" s="496" t="s">
        <v>653</v>
      </c>
      <c r="G332" s="496" t="s">
        <v>653</v>
      </c>
      <c r="H332" s="496" t="s">
        <v>653</v>
      </c>
      <c r="I332" s="496" t="s">
        <v>653</v>
      </c>
      <c r="J332" s="496" t="s">
        <v>653</v>
      </c>
      <c r="K332" s="496" t="s">
        <v>653</v>
      </c>
      <c r="L332" s="496" t="s">
        <v>653</v>
      </c>
      <c r="M332" s="496" t="s">
        <v>653</v>
      </c>
      <c r="N332" s="496" t="s">
        <v>653</v>
      </c>
    </row>
    <row r="333" spans="1:22" x14ac:dyDescent="0.2">
      <c r="B333" s="95" t="s">
        <v>322</v>
      </c>
      <c r="C333" s="496">
        <v>20180</v>
      </c>
      <c r="D333" s="496">
        <v>111900</v>
      </c>
      <c r="E333" s="496">
        <v>206350</v>
      </c>
      <c r="F333" s="496">
        <v>166780</v>
      </c>
      <c r="G333" s="496">
        <v>170630</v>
      </c>
      <c r="H333" s="496">
        <v>81220</v>
      </c>
      <c r="I333" s="496">
        <v>141630</v>
      </c>
      <c r="J333" s="496">
        <v>141240</v>
      </c>
      <c r="K333" s="496">
        <v>52920</v>
      </c>
      <c r="L333" s="496">
        <v>73766</v>
      </c>
      <c r="M333" s="496">
        <v>60030</v>
      </c>
      <c r="N333" s="496">
        <v>9290</v>
      </c>
    </row>
    <row r="334" spans="1:22" x14ac:dyDescent="0.2">
      <c r="C334" s="497"/>
      <c r="D334" s="497"/>
      <c r="E334" s="497"/>
      <c r="F334" s="497"/>
      <c r="G334" s="497"/>
      <c r="H334" s="497"/>
      <c r="I334" s="497"/>
      <c r="J334" s="497"/>
      <c r="K334" s="497"/>
      <c r="L334" s="497"/>
      <c r="M334" s="497"/>
      <c r="N334" s="497"/>
    </row>
    <row r="335" spans="1:22" x14ac:dyDescent="0.2">
      <c r="B335" s="95" t="s">
        <v>347</v>
      </c>
      <c r="C335" s="496">
        <v>5158.04</v>
      </c>
      <c r="D335" s="496">
        <v>6351.6</v>
      </c>
      <c r="E335" s="496">
        <v>6775.34</v>
      </c>
      <c r="F335" s="496">
        <v>4737.5200000000004</v>
      </c>
      <c r="G335" s="496">
        <v>4513.57</v>
      </c>
      <c r="H335" s="496">
        <v>4111.2700000000004</v>
      </c>
      <c r="I335" s="496">
        <v>5047.43</v>
      </c>
      <c r="J335" s="496">
        <v>4655.49</v>
      </c>
      <c r="K335" s="496">
        <v>4283.78</v>
      </c>
      <c r="L335" s="496">
        <v>4205.75</v>
      </c>
      <c r="M335" s="496">
        <v>3551.78</v>
      </c>
      <c r="N335" s="496">
        <v>4406.3500000000004</v>
      </c>
    </row>
    <row r="336" spans="1:22" x14ac:dyDescent="0.2">
      <c r="B336" s="112" t="s">
        <v>348</v>
      </c>
      <c r="C336" s="496" t="s">
        <v>653</v>
      </c>
      <c r="D336" s="496" t="s">
        <v>653</v>
      </c>
      <c r="E336" s="496" t="s">
        <v>653</v>
      </c>
      <c r="F336" s="496" t="s">
        <v>653</v>
      </c>
      <c r="G336" s="496" t="s">
        <v>653</v>
      </c>
      <c r="H336" s="496" t="s">
        <v>653</v>
      </c>
      <c r="I336" s="496" t="s">
        <v>653</v>
      </c>
      <c r="J336" s="496" t="s">
        <v>653</v>
      </c>
      <c r="K336" s="496" t="s">
        <v>653</v>
      </c>
      <c r="L336" s="496" t="s">
        <v>653</v>
      </c>
      <c r="M336" s="496" t="s">
        <v>653</v>
      </c>
      <c r="N336" s="496" t="s">
        <v>653</v>
      </c>
    </row>
    <row r="337" spans="1:22" x14ac:dyDescent="0.2">
      <c r="B337" s="112" t="s">
        <v>410</v>
      </c>
      <c r="C337" s="496">
        <v>62.558</v>
      </c>
      <c r="D337" s="496">
        <v>346.89000000000004</v>
      </c>
      <c r="E337" s="496">
        <v>639.68499999999995</v>
      </c>
      <c r="F337" s="496">
        <v>517.01800000000003</v>
      </c>
      <c r="G337" s="496">
        <v>528.95299999999997</v>
      </c>
      <c r="H337" s="496">
        <v>251.78200000000001</v>
      </c>
      <c r="I337" s="496">
        <v>439.053</v>
      </c>
      <c r="J337" s="496">
        <v>437.84400000000005</v>
      </c>
      <c r="K337" s="496">
        <v>164.05200000000002</v>
      </c>
      <c r="L337" s="496">
        <v>228.67460000000003</v>
      </c>
      <c r="M337" s="496">
        <v>186.09299999999999</v>
      </c>
      <c r="N337" s="496">
        <v>28.798999999999999</v>
      </c>
    </row>
    <row r="338" spans="1:22" s="788" customFormat="1" ht="20.25" x14ac:dyDescent="0.3">
      <c r="A338" s="786">
        <v>22</v>
      </c>
      <c r="B338" s="790" t="s">
        <v>406</v>
      </c>
      <c r="S338" s="789"/>
      <c r="V338" s="789"/>
    </row>
    <row r="339" spans="1:22" ht="45" x14ac:dyDescent="0.25">
      <c r="A339" s="2260" t="s">
        <v>638</v>
      </c>
      <c r="B339" s="2260"/>
      <c r="C339" s="2260"/>
      <c r="D339" s="2260"/>
      <c r="E339" s="2260"/>
      <c r="F339" s="2260"/>
      <c r="G339" s="2260"/>
      <c r="H339" s="2260"/>
      <c r="I339" s="2260"/>
      <c r="J339" s="2260"/>
      <c r="K339" s="2260"/>
      <c r="L339" s="2260"/>
      <c r="M339" s="2260"/>
      <c r="O339" s="471" t="s">
        <v>639</v>
      </c>
    </row>
    <row r="340" spans="1:22" s="476" customFormat="1" ht="15.75" x14ac:dyDescent="0.25">
      <c r="B340" s="472" t="s">
        <v>337</v>
      </c>
      <c r="C340" s="473">
        <v>41091</v>
      </c>
      <c r="D340" s="473">
        <v>41122</v>
      </c>
      <c r="E340" s="473">
        <v>41153</v>
      </c>
      <c r="F340" s="473">
        <v>41183</v>
      </c>
      <c r="G340" s="473">
        <v>41214</v>
      </c>
      <c r="H340" s="473">
        <v>41244</v>
      </c>
      <c r="I340" s="473">
        <v>41275</v>
      </c>
      <c r="J340" s="473">
        <v>41306</v>
      </c>
      <c r="K340" s="473">
        <v>41334</v>
      </c>
      <c r="L340" s="473">
        <v>41365</v>
      </c>
      <c r="M340" s="473">
        <v>41395</v>
      </c>
      <c r="N340" s="473">
        <v>41426</v>
      </c>
      <c r="O340" s="474" t="s">
        <v>338</v>
      </c>
      <c r="P340" s="475">
        <v>87593</v>
      </c>
    </row>
    <row r="341" spans="1:22" ht="6" customHeight="1" x14ac:dyDescent="0.25">
      <c r="O341" s="477"/>
      <c r="P341" s="478"/>
    </row>
    <row r="342" spans="1:22" ht="15" x14ac:dyDescent="0.25">
      <c r="B342" t="s">
        <v>409</v>
      </c>
      <c r="C342" s="479">
        <v>85778.96</v>
      </c>
      <c r="D342" s="479">
        <v>113621.46</v>
      </c>
      <c r="E342" s="479">
        <v>152143.23999999993</v>
      </c>
      <c r="F342" s="479">
        <v>180402.19999999998</v>
      </c>
      <c r="G342" s="479">
        <v>114532.16000000009</v>
      </c>
      <c r="H342" s="479">
        <v>95786.239999999903</v>
      </c>
      <c r="I342" s="479">
        <v>90504.506199999989</v>
      </c>
      <c r="J342" s="479">
        <v>111469.90000000013</v>
      </c>
      <c r="K342" s="479">
        <v>86489.399999999834</v>
      </c>
      <c r="L342" s="479">
        <v>99097.300000000163</v>
      </c>
      <c r="M342" s="479">
        <v>111892.49999999996</v>
      </c>
      <c r="N342" s="479">
        <v>111499.99999999993</v>
      </c>
      <c r="O342" s="480">
        <f>SUM(C342:N342)</f>
        <v>1353217.8662</v>
      </c>
      <c r="P342" s="481" t="e">
        <f>O342/#REF!</f>
        <v>#REF!</v>
      </c>
    </row>
    <row r="343" spans="1:22" s="485" customFormat="1" ht="15" x14ac:dyDescent="0.25">
      <c r="B343" t="s">
        <v>640</v>
      </c>
      <c r="C343" s="482">
        <f>C342*0.08076</f>
        <v>6927.5088095999999</v>
      </c>
      <c r="D343" s="482">
        <f t="shared" ref="D343:N343" si="8">D342*0.08076</f>
        <v>9176.069109600001</v>
      </c>
      <c r="E343" s="482">
        <f t="shared" si="8"/>
        <v>12287.088062399995</v>
      </c>
      <c r="F343" s="482">
        <f t="shared" si="8"/>
        <v>14569.281671999999</v>
      </c>
      <c r="G343" s="482">
        <f t="shared" si="8"/>
        <v>9249.6172416000063</v>
      </c>
      <c r="H343" s="482">
        <f t="shared" si="8"/>
        <v>7735.6967423999922</v>
      </c>
      <c r="I343" s="482">
        <f t="shared" si="8"/>
        <v>7309.1439207119993</v>
      </c>
      <c r="J343" s="482">
        <f t="shared" si="8"/>
        <v>9002.3091240000103</v>
      </c>
      <c r="K343" s="482">
        <f t="shared" si="8"/>
        <v>6984.8839439999865</v>
      </c>
      <c r="L343" s="482">
        <f t="shared" si="8"/>
        <v>8003.0979480000133</v>
      </c>
      <c r="M343" s="482">
        <f t="shared" si="8"/>
        <v>9036.4382999999962</v>
      </c>
      <c r="N343" s="482">
        <f t="shared" si="8"/>
        <v>9004.7399999999943</v>
      </c>
      <c r="O343" s="483">
        <f>SUM(C343:N343)</f>
        <v>109285.87487431198</v>
      </c>
      <c r="P343" s="484" t="e">
        <f>O343/#REF!</f>
        <v>#REF!</v>
      </c>
    </row>
    <row r="344" spans="1:22" ht="6" customHeight="1" x14ac:dyDescent="0.25">
      <c r="C344" s="479"/>
      <c r="D344" s="479"/>
      <c r="E344" s="479"/>
      <c r="F344" s="479"/>
      <c r="G344" s="479"/>
      <c r="H344" s="479"/>
      <c r="I344" s="479"/>
      <c r="J344" s="479"/>
      <c r="K344" s="479"/>
      <c r="L344" s="479"/>
      <c r="M344" s="479"/>
      <c r="N344" s="479"/>
      <c r="O344" s="477"/>
      <c r="P344" s="478"/>
    </row>
    <row r="345" spans="1:22" ht="15" x14ac:dyDescent="0.25">
      <c r="B345" t="s">
        <v>641</v>
      </c>
      <c r="C345" s="106">
        <v>0</v>
      </c>
      <c r="D345" s="106">
        <v>0</v>
      </c>
      <c r="E345" s="106">
        <v>0</v>
      </c>
      <c r="F345" s="106">
        <v>0</v>
      </c>
      <c r="G345" s="106">
        <v>0</v>
      </c>
      <c r="H345" s="106">
        <v>0</v>
      </c>
      <c r="I345" s="106">
        <v>10503</v>
      </c>
      <c r="J345" s="106">
        <v>4632</v>
      </c>
      <c r="K345" s="106">
        <v>3618</v>
      </c>
      <c r="L345" s="106">
        <v>2624</v>
      </c>
      <c r="M345" s="106">
        <v>1926</v>
      </c>
      <c r="N345" s="106">
        <v>1450</v>
      </c>
      <c r="O345" s="480">
        <f>SUM(C345:N345)</f>
        <v>24753</v>
      </c>
      <c r="P345" s="481" t="e">
        <f>O345/#REF!</f>
        <v>#REF!</v>
      </c>
    </row>
    <row r="346" spans="1:22" ht="15" x14ac:dyDescent="0.25">
      <c r="B346" t="s">
        <v>642</v>
      </c>
      <c r="C346" s="485">
        <f>C345*0.4016</f>
        <v>0</v>
      </c>
      <c r="D346" s="485">
        <f t="shared" ref="D346:N346" si="9">D345*0.4016</f>
        <v>0</v>
      </c>
      <c r="E346" s="485">
        <f t="shared" si="9"/>
        <v>0</v>
      </c>
      <c r="F346" s="485">
        <f t="shared" si="9"/>
        <v>0</v>
      </c>
      <c r="G346" s="485">
        <f t="shared" si="9"/>
        <v>0</v>
      </c>
      <c r="H346" s="485">
        <f t="shared" si="9"/>
        <v>0</v>
      </c>
      <c r="I346" s="485">
        <f t="shared" si="9"/>
        <v>4218.0047999999997</v>
      </c>
      <c r="J346" s="485">
        <f t="shared" si="9"/>
        <v>1860.2112</v>
      </c>
      <c r="K346" s="485">
        <f t="shared" si="9"/>
        <v>1452.9888000000001</v>
      </c>
      <c r="L346" s="485">
        <f t="shared" si="9"/>
        <v>1053.7984000000001</v>
      </c>
      <c r="M346" s="485">
        <f t="shared" si="9"/>
        <v>773.48160000000007</v>
      </c>
      <c r="N346" s="485">
        <f t="shared" si="9"/>
        <v>582.32000000000005</v>
      </c>
      <c r="O346" s="483">
        <f>SUM(C346:N346)</f>
        <v>9940.8047999999981</v>
      </c>
      <c r="P346" s="484" t="e">
        <f>O346/#REF!</f>
        <v>#REF!</v>
      </c>
    </row>
    <row r="347" spans="1:22" ht="15" x14ac:dyDescent="0.25">
      <c r="B347" t="s">
        <v>643</v>
      </c>
      <c r="C347" s="485">
        <f>C345*0.1738</f>
        <v>0</v>
      </c>
      <c r="D347" s="485">
        <f t="shared" ref="D347:N347" si="10">D345*0.1738</f>
        <v>0</v>
      </c>
      <c r="E347" s="485">
        <f t="shared" si="10"/>
        <v>0</v>
      </c>
      <c r="F347" s="485">
        <f t="shared" si="10"/>
        <v>0</v>
      </c>
      <c r="G347" s="485">
        <f t="shared" si="10"/>
        <v>0</v>
      </c>
      <c r="H347" s="485">
        <f t="shared" si="10"/>
        <v>0</v>
      </c>
      <c r="I347" s="485">
        <f t="shared" si="10"/>
        <v>1825.4214000000002</v>
      </c>
      <c r="J347" s="485">
        <f t="shared" si="10"/>
        <v>805.04160000000002</v>
      </c>
      <c r="K347" s="485">
        <f t="shared" si="10"/>
        <v>628.80840000000001</v>
      </c>
      <c r="L347" s="485">
        <f t="shared" si="10"/>
        <v>456.05120000000005</v>
      </c>
      <c r="M347" s="485">
        <f t="shared" si="10"/>
        <v>334.73880000000003</v>
      </c>
      <c r="N347" s="485">
        <f t="shared" si="10"/>
        <v>252.01000000000002</v>
      </c>
      <c r="O347" s="483">
        <f>SUM(C347:N347)</f>
        <v>4302.0713999999998</v>
      </c>
      <c r="P347" s="484" t="e">
        <f>O347/#REF!</f>
        <v>#REF!</v>
      </c>
    </row>
    <row r="348" spans="1:22" ht="15.75" thickBot="1" x14ac:dyDescent="0.3">
      <c r="B348" s="486" t="s">
        <v>644</v>
      </c>
      <c r="C348" s="487">
        <f>SUM(C346:C347)</f>
        <v>0</v>
      </c>
      <c r="D348" s="487">
        <f t="shared" ref="D348:O348" si="11">SUM(D346:D347)</f>
        <v>0</v>
      </c>
      <c r="E348" s="487">
        <f t="shared" si="11"/>
        <v>0</v>
      </c>
      <c r="F348" s="487">
        <f t="shared" si="11"/>
        <v>0</v>
      </c>
      <c r="G348" s="487">
        <f t="shared" si="11"/>
        <v>0</v>
      </c>
      <c r="H348" s="487">
        <f t="shared" si="11"/>
        <v>0</v>
      </c>
      <c r="I348" s="487">
        <f t="shared" si="11"/>
        <v>6043.4261999999999</v>
      </c>
      <c r="J348" s="487">
        <f t="shared" si="11"/>
        <v>2665.2528000000002</v>
      </c>
      <c r="K348" s="487">
        <f t="shared" si="11"/>
        <v>2081.7972</v>
      </c>
      <c r="L348" s="487">
        <f t="shared" si="11"/>
        <v>1509.8496000000002</v>
      </c>
      <c r="M348" s="487">
        <f t="shared" si="11"/>
        <v>1108.2204000000002</v>
      </c>
      <c r="N348" s="487">
        <f t="shared" si="11"/>
        <v>834.33</v>
      </c>
      <c r="O348" s="487">
        <f t="shared" si="11"/>
        <v>14242.876199999999</v>
      </c>
      <c r="P348" s="484" t="e">
        <f>O348/#REF!</f>
        <v>#REF!</v>
      </c>
    </row>
    <row r="349" spans="1:22" ht="6" customHeight="1" thickTop="1" x14ac:dyDescent="0.25">
      <c r="P349" s="478"/>
    </row>
    <row r="350" spans="1:22" ht="15.75" x14ac:dyDescent="0.25">
      <c r="B350" s="488" t="s">
        <v>337</v>
      </c>
      <c r="C350" s="473">
        <v>41456</v>
      </c>
      <c r="D350" s="473">
        <v>41487</v>
      </c>
      <c r="E350" s="473">
        <v>41518</v>
      </c>
      <c r="F350" s="473">
        <v>41548</v>
      </c>
      <c r="G350" s="473">
        <v>41579</v>
      </c>
      <c r="H350" s="473">
        <v>41609</v>
      </c>
      <c r="I350" s="473">
        <v>41640</v>
      </c>
      <c r="J350" s="473">
        <v>41671</v>
      </c>
      <c r="K350" s="473">
        <v>41699</v>
      </c>
      <c r="L350" s="473">
        <v>41730</v>
      </c>
      <c r="M350" s="473">
        <v>41760</v>
      </c>
      <c r="N350" s="473">
        <v>41791</v>
      </c>
      <c r="O350" s="474" t="s">
        <v>338</v>
      </c>
      <c r="P350" s="478"/>
    </row>
    <row r="351" spans="1:22" ht="6" customHeight="1" x14ac:dyDescent="0.25">
      <c r="O351" s="477"/>
      <c r="P351" s="478"/>
    </row>
    <row r="352" spans="1:22" ht="15" x14ac:dyDescent="0.25">
      <c r="B352" t="s">
        <v>409</v>
      </c>
      <c r="C352" s="479">
        <v>132276</v>
      </c>
      <c r="D352" s="479">
        <v>137730</v>
      </c>
      <c r="E352" s="479">
        <v>134465</v>
      </c>
      <c r="F352" s="479">
        <v>124059</v>
      </c>
      <c r="G352" s="479">
        <v>117931</v>
      </c>
      <c r="H352" s="479">
        <v>93622</v>
      </c>
      <c r="I352" s="479">
        <v>110748</v>
      </c>
      <c r="J352" s="479">
        <v>109838</v>
      </c>
      <c r="K352" s="479">
        <v>79601</v>
      </c>
      <c r="L352" s="479">
        <v>106369</v>
      </c>
      <c r="M352" s="479">
        <v>52332</v>
      </c>
      <c r="N352" s="479">
        <v>111294</v>
      </c>
      <c r="O352" s="480">
        <f>SUM(C352:N352)</f>
        <v>1310265</v>
      </c>
      <c r="P352" s="481" t="e">
        <f>O352/#REF!</f>
        <v>#REF!</v>
      </c>
    </row>
    <row r="353" spans="1:27" ht="15" x14ac:dyDescent="0.25">
      <c r="B353" t="s">
        <v>640</v>
      </c>
      <c r="C353" s="482">
        <f>C352*0.08076</f>
        <v>10682.609759999999</v>
      </c>
      <c r="D353" s="482">
        <f t="shared" ref="D353:N353" si="12">D352*0.08076</f>
        <v>11123.0748</v>
      </c>
      <c r="E353" s="482">
        <f t="shared" si="12"/>
        <v>10859.393399999999</v>
      </c>
      <c r="F353" s="482">
        <f t="shared" si="12"/>
        <v>10019.00484</v>
      </c>
      <c r="G353" s="482">
        <f t="shared" si="12"/>
        <v>9524.1075600000004</v>
      </c>
      <c r="H353" s="482">
        <f t="shared" si="12"/>
        <v>7560.9127200000003</v>
      </c>
      <c r="I353" s="482">
        <f t="shared" si="12"/>
        <v>8944.0084800000004</v>
      </c>
      <c r="J353" s="482">
        <f t="shared" si="12"/>
        <v>8870.5168799999992</v>
      </c>
      <c r="K353" s="482">
        <f t="shared" si="12"/>
        <v>6428.5767599999999</v>
      </c>
      <c r="L353" s="482">
        <f t="shared" si="12"/>
        <v>8590.3604400000004</v>
      </c>
      <c r="M353" s="482">
        <f t="shared" si="12"/>
        <v>4226.3323199999995</v>
      </c>
      <c r="N353" s="482">
        <f t="shared" si="12"/>
        <v>8988.103439999999</v>
      </c>
      <c r="O353" s="483">
        <f>SUM(C353:N353)</f>
        <v>105817.00140000001</v>
      </c>
      <c r="P353" s="484" t="e">
        <f>O353/#REF!</f>
        <v>#REF!</v>
      </c>
    </row>
    <row r="354" spans="1:27" ht="6" customHeight="1" x14ac:dyDescent="0.25">
      <c r="O354" s="477"/>
      <c r="P354" s="478"/>
    </row>
    <row r="355" spans="1:27" ht="15" x14ac:dyDescent="0.25">
      <c r="B355" t="s">
        <v>641</v>
      </c>
      <c r="C355" s="106">
        <v>1577</v>
      </c>
      <c r="D355" s="106">
        <v>1398</v>
      </c>
      <c r="E355" s="106">
        <v>1304</v>
      </c>
      <c r="F355" s="106">
        <v>1202</v>
      </c>
      <c r="G355" s="106">
        <v>2179</v>
      </c>
      <c r="H355" s="106">
        <v>2368</v>
      </c>
      <c r="I355" s="106">
        <v>4126</v>
      </c>
      <c r="J355" s="106">
        <v>4009</v>
      </c>
      <c r="K355" s="106">
        <v>2298</v>
      </c>
      <c r="L355" s="106">
        <v>2457</v>
      </c>
      <c r="M355" s="106">
        <v>1910</v>
      </c>
      <c r="N355" s="106">
        <v>1177</v>
      </c>
      <c r="O355" s="480">
        <f>SUM(C355:N355)</f>
        <v>26005</v>
      </c>
      <c r="P355" s="481" t="e">
        <f>O355/#REF!</f>
        <v>#REF!</v>
      </c>
    </row>
    <row r="356" spans="1:27" ht="15" x14ac:dyDescent="0.25">
      <c r="B356" t="s">
        <v>642</v>
      </c>
      <c r="C356" s="485">
        <f>C355*0.4016</f>
        <v>633.32320000000004</v>
      </c>
      <c r="D356" s="485">
        <f t="shared" ref="D356:N356" si="13">D355*0.4016</f>
        <v>561.43680000000006</v>
      </c>
      <c r="E356" s="485">
        <f t="shared" si="13"/>
        <v>523.68640000000005</v>
      </c>
      <c r="F356" s="485">
        <f t="shared" si="13"/>
        <v>482.72320000000002</v>
      </c>
      <c r="G356" s="485">
        <f t="shared" si="13"/>
        <v>875.08640000000003</v>
      </c>
      <c r="H356" s="485">
        <f t="shared" si="13"/>
        <v>950.98880000000008</v>
      </c>
      <c r="I356" s="485">
        <f t="shared" si="13"/>
        <v>1657.0016000000001</v>
      </c>
      <c r="J356" s="485">
        <f t="shared" si="13"/>
        <v>1610.0144</v>
      </c>
      <c r="K356" s="485">
        <f t="shared" si="13"/>
        <v>922.8768</v>
      </c>
      <c r="L356" s="485">
        <f t="shared" si="13"/>
        <v>986.73120000000006</v>
      </c>
      <c r="M356" s="485">
        <f t="shared" si="13"/>
        <v>767.05600000000004</v>
      </c>
      <c r="N356" s="485">
        <f t="shared" si="13"/>
        <v>472.6832</v>
      </c>
      <c r="O356" s="483">
        <f>SUM(C356:N356)</f>
        <v>10443.608</v>
      </c>
      <c r="P356" s="484" t="e">
        <f>O356/#REF!</f>
        <v>#REF!</v>
      </c>
    </row>
    <row r="357" spans="1:27" ht="15" x14ac:dyDescent="0.25">
      <c r="B357" t="s">
        <v>643</v>
      </c>
      <c r="C357" s="485">
        <f>C355*0.1738</f>
        <v>274.08260000000001</v>
      </c>
      <c r="D357" s="485">
        <f t="shared" ref="D357:N357" si="14">D355*0.1738</f>
        <v>242.97240000000002</v>
      </c>
      <c r="E357" s="485">
        <f t="shared" si="14"/>
        <v>226.63520000000003</v>
      </c>
      <c r="F357" s="485">
        <f t="shared" si="14"/>
        <v>208.9076</v>
      </c>
      <c r="G357" s="485">
        <f t="shared" si="14"/>
        <v>378.71020000000004</v>
      </c>
      <c r="H357" s="485">
        <f t="shared" si="14"/>
        <v>411.55840000000001</v>
      </c>
      <c r="I357" s="485">
        <f t="shared" si="14"/>
        <v>717.0988000000001</v>
      </c>
      <c r="J357" s="485">
        <f t="shared" si="14"/>
        <v>696.76420000000007</v>
      </c>
      <c r="K357" s="485">
        <f t="shared" si="14"/>
        <v>399.39240000000001</v>
      </c>
      <c r="L357" s="485">
        <f>L355*0.1738</f>
        <v>427.02660000000003</v>
      </c>
      <c r="M357" s="485">
        <f>M355*0.1738</f>
        <v>331.95800000000003</v>
      </c>
      <c r="N357" s="485">
        <f t="shared" si="14"/>
        <v>204.5626</v>
      </c>
      <c r="O357" s="483">
        <f>SUM(C357:N357)</f>
        <v>4519.6690000000008</v>
      </c>
      <c r="P357" s="484" t="e">
        <f>O357/#REF!</f>
        <v>#REF!</v>
      </c>
    </row>
    <row r="358" spans="1:27" ht="15.75" thickBot="1" x14ac:dyDescent="0.3">
      <c r="B358" s="486" t="s">
        <v>644</v>
      </c>
      <c r="C358" s="487">
        <f>SUM(C356:C357)</f>
        <v>907.4058</v>
      </c>
      <c r="D358" s="487">
        <f t="shared" ref="D358:K358" si="15">SUM(D356:D357)</f>
        <v>804.40920000000006</v>
      </c>
      <c r="E358" s="487">
        <f t="shared" si="15"/>
        <v>750.3216000000001</v>
      </c>
      <c r="F358" s="487">
        <f t="shared" si="15"/>
        <v>691.63080000000002</v>
      </c>
      <c r="G358" s="487">
        <f t="shared" si="15"/>
        <v>1253.7966000000001</v>
      </c>
      <c r="H358" s="487">
        <f t="shared" si="15"/>
        <v>1362.5472</v>
      </c>
      <c r="I358" s="487">
        <f t="shared" si="15"/>
        <v>2374.1004000000003</v>
      </c>
      <c r="J358" s="487">
        <f t="shared" si="15"/>
        <v>2306.7786000000001</v>
      </c>
      <c r="K358" s="487">
        <f t="shared" si="15"/>
        <v>1322.2692</v>
      </c>
      <c r="L358" s="487">
        <f>SUM(L356:L357)</f>
        <v>1413.7578000000001</v>
      </c>
      <c r="M358" s="487">
        <f>SUM(M356:M357)</f>
        <v>1099.0140000000001</v>
      </c>
      <c r="N358" s="487">
        <f>SUM(N356:N357)</f>
        <v>677.24580000000003</v>
      </c>
      <c r="O358" s="487">
        <f>SUM(O356:O357)</f>
        <v>14963.277000000002</v>
      </c>
      <c r="P358" s="484" t="e">
        <f>O358/#REF!</f>
        <v>#REF!</v>
      </c>
    </row>
    <row r="359" spans="1:27" ht="6" customHeight="1" thickTop="1" x14ac:dyDescent="0.25">
      <c r="O359" s="477"/>
      <c r="P359" s="484"/>
    </row>
    <row r="360" spans="1:27" ht="16.149999999999999" customHeight="1" x14ac:dyDescent="0.25">
      <c r="B360" s="489" t="s">
        <v>337</v>
      </c>
      <c r="C360" s="473">
        <v>41456</v>
      </c>
      <c r="D360" s="473">
        <v>41487</v>
      </c>
      <c r="E360" s="473">
        <v>41518</v>
      </c>
      <c r="F360" s="473">
        <v>41548</v>
      </c>
      <c r="G360" s="473">
        <v>41579</v>
      </c>
      <c r="H360" s="473">
        <v>41609</v>
      </c>
      <c r="I360" s="473">
        <v>41640</v>
      </c>
      <c r="J360" s="473">
        <v>41671</v>
      </c>
      <c r="K360" s="473">
        <v>41699</v>
      </c>
      <c r="L360" s="473">
        <v>41730</v>
      </c>
      <c r="M360" s="473">
        <v>41760</v>
      </c>
      <c r="N360" s="473">
        <v>41791</v>
      </c>
      <c r="O360" s="490" t="s">
        <v>338</v>
      </c>
      <c r="P360" s="484"/>
    </row>
    <row r="361" spans="1:27" ht="15" x14ac:dyDescent="0.25">
      <c r="B361" t="s">
        <v>645</v>
      </c>
      <c r="C361" s="106">
        <v>147700</v>
      </c>
      <c r="D361" s="106">
        <v>141500</v>
      </c>
      <c r="E361" s="106">
        <v>131000</v>
      </c>
      <c r="F361" s="106">
        <v>67100</v>
      </c>
      <c r="G361" s="106">
        <v>31250</v>
      </c>
      <c r="H361" s="106">
        <v>18300</v>
      </c>
      <c r="I361" s="106">
        <v>9750</v>
      </c>
      <c r="J361" s="106">
        <v>10120</v>
      </c>
      <c r="K361" s="106">
        <v>26800</v>
      </c>
      <c r="L361" s="106">
        <v>50000</v>
      </c>
      <c r="M361" s="106">
        <v>94225</v>
      </c>
      <c r="N361" s="106">
        <v>120500</v>
      </c>
      <c r="O361" s="491">
        <f>SUM(C361:N361)</f>
        <v>848245</v>
      </c>
      <c r="P361" s="484"/>
    </row>
    <row r="362" spans="1:27" ht="15" x14ac:dyDescent="0.25">
      <c r="B362" t="s">
        <v>646</v>
      </c>
      <c r="C362" s="492">
        <f>C361*0.02831</f>
        <v>4181.3869999999997</v>
      </c>
      <c r="D362" s="492">
        <f t="shared" ref="D362:O362" si="16">D361*0.02831</f>
        <v>4005.8649999999998</v>
      </c>
      <c r="E362" s="492">
        <f t="shared" si="16"/>
        <v>3708.6099999999997</v>
      </c>
      <c r="F362" s="492">
        <f t="shared" si="16"/>
        <v>1899.6009999999999</v>
      </c>
      <c r="G362" s="492">
        <f t="shared" si="16"/>
        <v>884.6875</v>
      </c>
      <c r="H362" s="492">
        <f t="shared" si="16"/>
        <v>518.07299999999998</v>
      </c>
      <c r="I362" s="492">
        <f t="shared" si="16"/>
        <v>276.02249999999998</v>
      </c>
      <c r="J362" s="492">
        <f t="shared" si="16"/>
        <v>286.49719999999996</v>
      </c>
      <c r="K362" s="492">
        <f t="shared" si="16"/>
        <v>758.70799999999997</v>
      </c>
      <c r="L362" s="492">
        <f t="shared" si="16"/>
        <v>1415.5</v>
      </c>
      <c r="M362" s="492">
        <f t="shared" si="16"/>
        <v>2667.5097499999997</v>
      </c>
      <c r="N362" s="492">
        <f t="shared" si="16"/>
        <v>3411.355</v>
      </c>
      <c r="O362" s="493">
        <f t="shared" si="16"/>
        <v>24013.81595</v>
      </c>
      <c r="P362" s="484" t="e">
        <f>O362/#REF!</f>
        <v>#REF!</v>
      </c>
    </row>
    <row r="364" spans="1:27" x14ac:dyDescent="0.2">
      <c r="B364" t="s">
        <v>647</v>
      </c>
    </row>
    <row r="365" spans="1:27" s="788" customFormat="1" ht="20.25" x14ac:dyDescent="0.3">
      <c r="A365" s="786">
        <v>23</v>
      </c>
      <c r="B365" s="787" t="s">
        <v>566</v>
      </c>
      <c r="S365" s="789"/>
      <c r="V365" s="789"/>
    </row>
    <row r="366" spans="1:27" s="788" customFormat="1" ht="20.25" x14ac:dyDescent="0.3">
      <c r="A366" s="786">
        <v>24</v>
      </c>
      <c r="B366" s="787" t="s">
        <v>405</v>
      </c>
      <c r="S366" s="789"/>
      <c r="V366" s="789"/>
    </row>
    <row r="367" spans="1:27" s="788" customFormat="1" ht="20.25" x14ac:dyDescent="0.3">
      <c r="A367" s="786">
        <v>25</v>
      </c>
      <c r="B367" s="790" t="s">
        <v>633</v>
      </c>
      <c r="S367" s="789"/>
      <c r="V367" s="789"/>
    </row>
    <row r="368" spans="1:27" ht="15" x14ac:dyDescent="0.2">
      <c r="B368" s="464" t="s">
        <v>411</v>
      </c>
      <c r="O368" s="116"/>
      <c r="P368" s="116"/>
      <c r="Q368" s="116"/>
      <c r="R368" s="116"/>
      <c r="S368" s="116"/>
      <c r="T368" s="116"/>
      <c r="U368" s="116"/>
      <c r="V368" s="116"/>
      <c r="W368" s="116"/>
      <c r="X368" s="116"/>
      <c r="Y368" s="116"/>
      <c r="Z368" s="116"/>
      <c r="AA368" s="116"/>
    </row>
    <row r="370" spans="1:22" x14ac:dyDescent="0.2">
      <c r="B370" s="465" t="s">
        <v>337</v>
      </c>
      <c r="C370" s="91">
        <v>41456</v>
      </c>
      <c r="D370" s="91">
        <v>41487</v>
      </c>
      <c r="E370" s="91">
        <v>41518</v>
      </c>
      <c r="F370" s="91">
        <v>41548</v>
      </c>
      <c r="G370" s="91">
        <v>41579</v>
      </c>
      <c r="H370" s="91">
        <v>41609</v>
      </c>
      <c r="I370" s="91">
        <v>41640</v>
      </c>
      <c r="J370" s="91">
        <v>41671</v>
      </c>
      <c r="K370" s="91">
        <v>41699</v>
      </c>
      <c r="L370" s="91">
        <v>41730</v>
      </c>
      <c r="M370" s="91">
        <v>41760</v>
      </c>
      <c r="N370" s="92">
        <v>41791</v>
      </c>
    </row>
    <row r="372" spans="1:22" x14ac:dyDescent="0.2">
      <c r="B372" s="95" t="s">
        <v>409</v>
      </c>
      <c r="C372" s="96">
        <v>48053</v>
      </c>
      <c r="D372" s="96">
        <v>56310</v>
      </c>
      <c r="E372" s="96">
        <v>63175</v>
      </c>
      <c r="F372" s="96">
        <v>64734</v>
      </c>
      <c r="G372" s="96">
        <v>55026</v>
      </c>
      <c r="H372" s="96">
        <v>46456</v>
      </c>
      <c r="I372" s="96">
        <v>48327</v>
      </c>
      <c r="J372" s="96">
        <v>49101</v>
      </c>
      <c r="K372" s="96">
        <v>51656</v>
      </c>
      <c r="L372" s="96">
        <v>57063</v>
      </c>
      <c r="M372" s="96">
        <v>47757</v>
      </c>
      <c r="N372" s="96">
        <v>43244</v>
      </c>
    </row>
    <row r="373" spans="1:22" x14ac:dyDescent="0.2">
      <c r="B373" s="95" t="s">
        <v>322</v>
      </c>
      <c r="C373" s="101">
        <v>48861</v>
      </c>
      <c r="D373" s="101">
        <v>112674</v>
      </c>
      <c r="E373" s="101">
        <v>264394</v>
      </c>
      <c r="F373" s="101">
        <v>244725</v>
      </c>
      <c r="G373" s="101">
        <v>139753</v>
      </c>
      <c r="H373" s="101">
        <v>139753</v>
      </c>
      <c r="I373" s="101">
        <v>150199</v>
      </c>
      <c r="J373" s="101">
        <v>166150</v>
      </c>
      <c r="K373" s="101">
        <v>151077</v>
      </c>
      <c r="L373" s="101">
        <v>211623</v>
      </c>
      <c r="M373" s="101">
        <v>73612</v>
      </c>
      <c r="N373" s="101">
        <v>41488</v>
      </c>
    </row>
    <row r="374" spans="1:22" x14ac:dyDescent="0.2">
      <c r="N374" s="623"/>
    </row>
    <row r="375" spans="1:22" x14ac:dyDescent="0.2">
      <c r="B375" s="95" t="s">
        <v>347</v>
      </c>
      <c r="C375" s="109">
        <v>4867.72</v>
      </c>
      <c r="D375" s="109">
        <v>5951.96</v>
      </c>
      <c r="E375" s="109">
        <v>6608.09</v>
      </c>
      <c r="F375" s="109">
        <v>6868.25</v>
      </c>
      <c r="G375" s="109">
        <v>5915.33</v>
      </c>
      <c r="H375" s="109">
        <v>4915.04</v>
      </c>
      <c r="I375" s="109">
        <v>5166.1400000000003</v>
      </c>
      <c r="J375" s="109">
        <v>5263.58</v>
      </c>
      <c r="K375" s="109">
        <v>5501.36</v>
      </c>
      <c r="L375" s="109">
        <v>5991.59</v>
      </c>
      <c r="M375" s="109">
        <v>4995.37</v>
      </c>
      <c r="N375" s="109">
        <v>4631.3900000000003</v>
      </c>
    </row>
    <row r="376" spans="1:22" x14ac:dyDescent="0.2">
      <c r="B376" s="112" t="s">
        <v>410</v>
      </c>
      <c r="C376" s="113">
        <v>478.84</v>
      </c>
      <c r="D376" s="113">
        <v>1104.21</v>
      </c>
      <c r="E376" s="113">
        <v>2617.5</v>
      </c>
      <c r="F376" s="113">
        <v>2422.7800000000002</v>
      </c>
      <c r="G376" s="113">
        <v>1411.51</v>
      </c>
      <c r="H376" s="113">
        <v>1369.58</v>
      </c>
      <c r="I376" s="113">
        <v>1486.97</v>
      </c>
      <c r="J376" s="113">
        <v>1628.27</v>
      </c>
      <c r="K376" s="113">
        <v>1480.55</v>
      </c>
      <c r="L376" s="113">
        <v>2073.91</v>
      </c>
      <c r="M376" s="113">
        <v>721.4</v>
      </c>
      <c r="N376" s="113">
        <v>406.58</v>
      </c>
    </row>
    <row r="377" spans="1:22" s="788" customFormat="1" ht="20.25" x14ac:dyDescent="0.3">
      <c r="A377" s="786">
        <v>26</v>
      </c>
      <c r="B377" s="790" t="s">
        <v>567</v>
      </c>
      <c r="S377" s="789"/>
      <c r="V377" s="789"/>
    </row>
    <row r="378" spans="1:22" s="626" customFormat="1" x14ac:dyDescent="0.2">
      <c r="A378" s="646" t="s">
        <v>797</v>
      </c>
      <c r="B378" s="625">
        <v>41464</v>
      </c>
      <c r="C378" s="625">
        <v>41495</v>
      </c>
      <c r="D378" s="625">
        <v>41526</v>
      </c>
      <c r="E378" s="625">
        <v>41556</v>
      </c>
      <c r="F378" s="625">
        <v>41587</v>
      </c>
      <c r="G378" s="625">
        <v>41617</v>
      </c>
      <c r="H378" s="625">
        <v>41648</v>
      </c>
      <c r="I378" s="625">
        <v>41679</v>
      </c>
      <c r="J378" s="625">
        <v>41707</v>
      </c>
      <c r="K378" s="625">
        <v>41738</v>
      </c>
      <c r="L378" s="625">
        <v>41768</v>
      </c>
      <c r="M378" s="625">
        <v>41799</v>
      </c>
      <c r="N378" s="626" t="s">
        <v>752</v>
      </c>
    </row>
    <row r="379" spans="1:22" s="345" customFormat="1" x14ac:dyDescent="0.2">
      <c r="A379" s="345" t="s">
        <v>753</v>
      </c>
    </row>
    <row r="380" spans="1:22" s="345" customFormat="1" x14ac:dyDescent="0.2">
      <c r="A380" s="345" t="s">
        <v>754</v>
      </c>
      <c r="B380" s="647">
        <v>1192770</v>
      </c>
      <c r="C380" s="647">
        <v>1282096</v>
      </c>
      <c r="D380" s="647">
        <v>1367953</v>
      </c>
      <c r="E380" s="647">
        <v>1505553</v>
      </c>
      <c r="F380" s="647">
        <v>1571441</v>
      </c>
      <c r="G380" s="647">
        <v>1679793</v>
      </c>
      <c r="H380" s="647">
        <v>1800034</v>
      </c>
      <c r="I380" s="647">
        <v>1903785</v>
      </c>
      <c r="J380" s="647">
        <v>2005185</v>
      </c>
      <c r="K380" s="647">
        <v>2101424</v>
      </c>
      <c r="L380" s="647">
        <v>2175898</v>
      </c>
      <c r="M380" s="647">
        <v>2269373</v>
      </c>
      <c r="N380" s="648" t="s">
        <v>798</v>
      </c>
    </row>
    <row r="381" spans="1:22" s="345" customFormat="1" x14ac:dyDescent="0.2">
      <c r="A381" s="345" t="s">
        <v>755</v>
      </c>
      <c r="B381" s="647">
        <v>1083629</v>
      </c>
      <c r="C381" s="647">
        <v>1192770</v>
      </c>
      <c r="D381" s="647">
        <v>1282096</v>
      </c>
      <c r="E381" s="647">
        <v>1367953</v>
      </c>
      <c r="F381" s="647">
        <v>1505553</v>
      </c>
      <c r="G381" s="647">
        <v>1571441</v>
      </c>
      <c r="H381" s="647">
        <v>1679793</v>
      </c>
      <c r="I381" s="647">
        <v>1800034</v>
      </c>
      <c r="J381" s="647">
        <v>1903785</v>
      </c>
      <c r="K381" s="647">
        <v>2005185</v>
      </c>
      <c r="L381" s="647">
        <v>2101424</v>
      </c>
      <c r="M381" s="647">
        <v>2175898</v>
      </c>
      <c r="N381" s="648" t="s">
        <v>798</v>
      </c>
    </row>
    <row r="382" spans="1:22" s="345" customFormat="1" x14ac:dyDescent="0.2">
      <c r="A382" s="345" t="s">
        <v>756</v>
      </c>
      <c r="B382" s="647">
        <v>109141</v>
      </c>
      <c r="C382" s="647">
        <v>89326</v>
      </c>
      <c r="D382" s="647">
        <v>85857</v>
      </c>
      <c r="E382" s="647">
        <v>137600</v>
      </c>
      <c r="F382" s="647">
        <v>65888</v>
      </c>
      <c r="G382" s="647">
        <v>108352</v>
      </c>
      <c r="H382" s="647">
        <v>120241</v>
      </c>
      <c r="I382" s="647">
        <v>103751</v>
      </c>
      <c r="J382" s="647">
        <v>101400</v>
      </c>
      <c r="K382" s="647">
        <v>96239</v>
      </c>
      <c r="L382" s="647">
        <v>74474</v>
      </c>
      <c r="M382" s="647">
        <v>93475</v>
      </c>
      <c r="N382" s="648" t="s">
        <v>798</v>
      </c>
    </row>
    <row r="383" spans="1:22" s="345" customFormat="1" x14ac:dyDescent="0.2">
      <c r="A383" s="345" t="s">
        <v>799</v>
      </c>
      <c r="B383" s="647">
        <v>109141</v>
      </c>
      <c r="C383" s="647">
        <v>89326</v>
      </c>
      <c r="D383" s="647">
        <v>85857</v>
      </c>
      <c r="E383" s="647">
        <v>137600</v>
      </c>
      <c r="F383" s="647">
        <v>65888</v>
      </c>
      <c r="G383" s="647">
        <v>108352</v>
      </c>
      <c r="H383" s="647">
        <v>120241</v>
      </c>
      <c r="I383" s="647">
        <v>103751</v>
      </c>
      <c r="J383" s="647">
        <v>101400</v>
      </c>
      <c r="K383" s="647">
        <v>96239</v>
      </c>
      <c r="L383" s="647">
        <v>74474</v>
      </c>
      <c r="M383" s="647">
        <v>93475</v>
      </c>
      <c r="N383" s="649">
        <f>SUM(B383:M383)</f>
        <v>1185744</v>
      </c>
    </row>
    <row r="384" spans="1:22" s="345" customFormat="1" x14ac:dyDescent="0.2">
      <c r="A384" s="345" t="s">
        <v>758</v>
      </c>
      <c r="B384" s="631">
        <v>0.08</v>
      </c>
      <c r="C384" s="631">
        <v>8.4699999999999998E-2</v>
      </c>
      <c r="D384" s="631">
        <v>7.9899999999999999E-2</v>
      </c>
      <c r="E384" s="631">
        <v>7.3999999999999996E-2</v>
      </c>
      <c r="F384" s="631">
        <v>7.0499999999999993E-2</v>
      </c>
      <c r="G384" s="631">
        <v>7.4200000000000002E-2</v>
      </c>
      <c r="H384" s="631">
        <v>7.0699999999999999E-2</v>
      </c>
      <c r="I384" s="631">
        <v>7.5600000000000001E-2</v>
      </c>
      <c r="J384" s="631">
        <v>7.2599999999999998E-2</v>
      </c>
      <c r="K384" s="631">
        <v>7.0599999999999996E-2</v>
      </c>
      <c r="L384" s="631">
        <v>6.9599999999999995E-2</v>
      </c>
      <c r="M384" s="631">
        <v>8.1299999999999997E-2</v>
      </c>
      <c r="N384" s="650">
        <f>ROUND(+N385/N383,4)</f>
        <v>7.5300000000000006E-2</v>
      </c>
    </row>
    <row r="385" spans="1:14" s="345" customFormat="1" x14ac:dyDescent="0.2">
      <c r="A385" s="345" t="s">
        <v>759</v>
      </c>
      <c r="B385" s="651">
        <v>8731.2800000000007</v>
      </c>
      <c r="C385" s="651">
        <v>7565.91</v>
      </c>
      <c r="D385" s="651">
        <v>6859.97</v>
      </c>
      <c r="E385" s="651">
        <v>10182.4</v>
      </c>
      <c r="F385" s="651">
        <v>4645.1000000000004</v>
      </c>
      <c r="G385" s="651">
        <v>8039.72</v>
      </c>
      <c r="H385" s="651">
        <v>8501.0400000000009</v>
      </c>
      <c r="I385" s="651">
        <v>7843.58</v>
      </c>
      <c r="J385" s="651">
        <v>7361.64</v>
      </c>
      <c r="K385" s="651">
        <v>6794.47</v>
      </c>
      <c r="L385" s="651">
        <v>5183.3900000000003</v>
      </c>
      <c r="M385" s="651">
        <v>7599.52</v>
      </c>
      <c r="N385" s="652">
        <f>SUM(B385:M385)</f>
        <v>89308.02</v>
      </c>
    </row>
    <row r="386" spans="1:14" s="345" customFormat="1" x14ac:dyDescent="0.2"/>
    <row r="387" spans="1:14" s="345" customFormat="1" x14ac:dyDescent="0.2">
      <c r="A387" s="345" t="s">
        <v>763</v>
      </c>
      <c r="N387" s="653"/>
    </row>
    <row r="388" spans="1:14" s="345" customFormat="1" x14ac:dyDescent="0.2">
      <c r="A388" s="345" t="s">
        <v>800</v>
      </c>
      <c r="B388" s="647">
        <v>473026</v>
      </c>
      <c r="C388" s="647">
        <v>494183</v>
      </c>
      <c r="D388" s="647">
        <v>525333</v>
      </c>
      <c r="E388" s="647">
        <v>566617</v>
      </c>
      <c r="F388" s="647">
        <v>576248</v>
      </c>
      <c r="G388" s="647">
        <v>586059</v>
      </c>
      <c r="H388" s="647">
        <v>604391</v>
      </c>
      <c r="I388" s="647">
        <v>618147</v>
      </c>
      <c r="J388" s="647">
        <v>636909</v>
      </c>
      <c r="K388" s="647">
        <v>668864</v>
      </c>
      <c r="L388" s="647">
        <v>686404</v>
      </c>
      <c r="M388" s="647">
        <v>708452</v>
      </c>
      <c r="N388" s="654"/>
    </row>
    <row r="389" spans="1:14" s="345" customFormat="1" x14ac:dyDescent="0.2">
      <c r="A389" s="345" t="s">
        <v>755</v>
      </c>
      <c r="B389" s="647">
        <v>445199</v>
      </c>
      <c r="C389" s="647">
        <v>473026</v>
      </c>
      <c r="D389" s="647">
        <v>494183</v>
      </c>
      <c r="E389" s="647">
        <v>525333</v>
      </c>
      <c r="F389" s="647">
        <v>566617</v>
      </c>
      <c r="G389" s="647">
        <v>576248</v>
      </c>
      <c r="H389" s="647">
        <v>586059</v>
      </c>
      <c r="I389" s="647">
        <v>604391</v>
      </c>
      <c r="J389" s="647">
        <v>618147</v>
      </c>
      <c r="K389" s="647">
        <v>636909</v>
      </c>
      <c r="L389" s="647">
        <v>668864</v>
      </c>
      <c r="M389" s="647">
        <v>686404</v>
      </c>
      <c r="N389" s="655"/>
    </row>
    <row r="390" spans="1:14" s="345" customFormat="1" x14ac:dyDescent="0.2">
      <c r="A390" s="345" t="s">
        <v>801</v>
      </c>
      <c r="B390" s="647">
        <v>27827</v>
      </c>
      <c r="C390" s="647">
        <v>21157</v>
      </c>
      <c r="D390" s="647">
        <v>31150</v>
      </c>
      <c r="E390" s="647">
        <v>41284</v>
      </c>
      <c r="F390" s="647">
        <v>9631</v>
      </c>
      <c r="G390" s="647">
        <v>9811</v>
      </c>
      <c r="H390" s="647">
        <v>18332</v>
      </c>
      <c r="I390" s="647">
        <v>13756</v>
      </c>
      <c r="J390" s="647">
        <v>18762</v>
      </c>
      <c r="K390" s="647">
        <v>31955</v>
      </c>
      <c r="L390" s="647">
        <v>17540</v>
      </c>
      <c r="M390" s="647">
        <v>22048</v>
      </c>
    </row>
    <row r="391" spans="1:14" s="345" customFormat="1" x14ac:dyDescent="0.2">
      <c r="A391" s="345" t="s">
        <v>802</v>
      </c>
      <c r="B391" s="647">
        <v>9474</v>
      </c>
      <c r="C391" s="647">
        <v>94745</v>
      </c>
      <c r="D391" s="647">
        <v>94745</v>
      </c>
      <c r="E391" s="647">
        <v>369557</v>
      </c>
      <c r="F391" s="647">
        <v>748737</v>
      </c>
      <c r="G391" s="647">
        <v>1155180</v>
      </c>
      <c r="H391" s="647">
        <v>173982</v>
      </c>
      <c r="I391" s="647">
        <v>228770</v>
      </c>
      <c r="J391" s="647">
        <v>279413</v>
      </c>
      <c r="K391" s="647">
        <v>318911</v>
      </c>
      <c r="L391" s="647">
        <v>347096</v>
      </c>
      <c r="M391" s="647">
        <v>373144</v>
      </c>
    </row>
    <row r="392" spans="1:14" s="345" customFormat="1" x14ac:dyDescent="0.2">
      <c r="A392" s="345" t="s">
        <v>755</v>
      </c>
      <c r="B392" s="647">
        <v>9474</v>
      </c>
      <c r="C392" s="647">
        <v>9474</v>
      </c>
      <c r="D392" s="647">
        <v>94745</v>
      </c>
      <c r="E392" s="647">
        <v>94745</v>
      </c>
      <c r="F392" s="647">
        <v>369557</v>
      </c>
      <c r="G392" s="647">
        <v>748737</v>
      </c>
      <c r="H392" s="647">
        <v>1155180</v>
      </c>
      <c r="I392" s="647">
        <v>173982</v>
      </c>
      <c r="J392" s="647">
        <v>228770</v>
      </c>
      <c r="K392" s="647">
        <v>279413</v>
      </c>
      <c r="L392" s="647">
        <v>318911</v>
      </c>
      <c r="M392" s="647">
        <v>347096</v>
      </c>
    </row>
    <row r="393" spans="1:14" s="345" customFormat="1" x14ac:dyDescent="0.2">
      <c r="A393" s="345" t="s">
        <v>801</v>
      </c>
      <c r="B393" s="647">
        <v>0</v>
      </c>
      <c r="C393" s="647">
        <v>85271</v>
      </c>
      <c r="D393" s="647">
        <v>0</v>
      </c>
      <c r="E393" s="647">
        <v>274812</v>
      </c>
      <c r="F393" s="647">
        <v>379180</v>
      </c>
      <c r="G393" s="647">
        <v>406443</v>
      </c>
      <c r="H393" s="647">
        <v>-981198</v>
      </c>
      <c r="I393" s="647">
        <v>54788</v>
      </c>
      <c r="J393" s="647">
        <v>50643</v>
      </c>
      <c r="K393" s="647">
        <v>39498</v>
      </c>
      <c r="L393" s="647">
        <v>28185</v>
      </c>
      <c r="M393" s="647">
        <v>26048</v>
      </c>
      <c r="N393" s="651"/>
    </row>
    <row r="394" spans="1:14" s="345" customFormat="1" x14ac:dyDescent="0.2">
      <c r="A394" s="345" t="s">
        <v>803</v>
      </c>
      <c r="B394" s="647">
        <v>27827</v>
      </c>
      <c r="C394" s="647">
        <v>106428</v>
      </c>
      <c r="D394" s="647">
        <v>31150</v>
      </c>
      <c r="E394" s="647">
        <v>316096</v>
      </c>
      <c r="F394" s="647">
        <v>388811</v>
      </c>
      <c r="G394" s="647">
        <v>416254</v>
      </c>
      <c r="H394" s="647">
        <v>-962866</v>
      </c>
      <c r="I394" s="647">
        <v>68544</v>
      </c>
      <c r="J394" s="647">
        <v>69405</v>
      </c>
      <c r="K394" s="647">
        <v>71453</v>
      </c>
      <c r="L394" s="647">
        <v>45725</v>
      </c>
      <c r="M394" s="647">
        <v>48096</v>
      </c>
      <c r="N394" s="656">
        <f>SUM(B394:M394)</f>
        <v>626923</v>
      </c>
    </row>
    <row r="395" spans="1:14" s="345" customFormat="1" x14ac:dyDescent="0.2">
      <c r="A395" s="345" t="s">
        <v>765</v>
      </c>
      <c r="B395" s="636">
        <v>3.7000000000000002E-3</v>
      </c>
      <c r="C395" s="636">
        <v>3.7000000000000002E-3</v>
      </c>
      <c r="D395" s="636">
        <v>3.7000000000000002E-3</v>
      </c>
      <c r="E395" s="636">
        <v>3.5999999999999999E-3</v>
      </c>
      <c r="F395" s="636">
        <v>3.5999999999999999E-3</v>
      </c>
      <c r="G395" s="636">
        <v>3.7000000000000002E-3</v>
      </c>
      <c r="H395" s="636">
        <v>3.7000000000000002E-3</v>
      </c>
      <c r="I395" s="636">
        <v>3.8E-3</v>
      </c>
      <c r="J395" s="636">
        <v>3.8E-3</v>
      </c>
      <c r="K395" s="636">
        <v>3.7000000000000002E-3</v>
      </c>
      <c r="L395" s="636">
        <v>3.7000000000000002E-3</v>
      </c>
      <c r="M395" s="636">
        <v>3.8999999999999998E-3</v>
      </c>
      <c r="N395" s="657">
        <f>ROUND(+N396/N394,4)</f>
        <v>3.5999999999999999E-3</v>
      </c>
    </row>
    <row r="396" spans="1:14" s="345" customFormat="1" x14ac:dyDescent="0.2">
      <c r="A396" s="345" t="s">
        <v>759</v>
      </c>
      <c r="B396" s="651">
        <v>102.96</v>
      </c>
      <c r="C396" s="651">
        <v>393.78</v>
      </c>
      <c r="D396" s="651">
        <v>115.26</v>
      </c>
      <c r="E396" s="651">
        <v>1137.95</v>
      </c>
      <c r="F396" s="651">
        <v>1399.72</v>
      </c>
      <c r="G396" s="651">
        <v>1540.14</v>
      </c>
      <c r="H396" s="651">
        <v>-3562.6</v>
      </c>
      <c r="I396" s="651">
        <v>260.47000000000003</v>
      </c>
      <c r="J396" s="651">
        <v>263.74</v>
      </c>
      <c r="K396" s="651">
        <v>264.38</v>
      </c>
      <c r="L396" s="651">
        <v>169.18</v>
      </c>
      <c r="M396" s="651">
        <v>187.57</v>
      </c>
      <c r="N396" s="652">
        <f>SUM(B396:M396)</f>
        <v>2272.5500000000006</v>
      </c>
    </row>
    <row r="397" spans="1:14" s="345" customFormat="1" x14ac:dyDescent="0.2">
      <c r="B397" s="658"/>
      <c r="C397" s="658"/>
      <c r="D397" s="658"/>
      <c r="E397" s="658"/>
      <c r="F397" s="658"/>
      <c r="G397" s="658"/>
      <c r="H397" s="658"/>
      <c r="I397" s="658"/>
      <c r="J397" s="658"/>
      <c r="K397" s="658"/>
      <c r="L397" s="658"/>
      <c r="M397" s="658"/>
      <c r="N397" s="656"/>
    </row>
    <row r="398" spans="1:14" s="345" customFormat="1" x14ac:dyDescent="0.2">
      <c r="A398" s="345" t="s">
        <v>766</v>
      </c>
      <c r="N398" s="650"/>
    </row>
    <row r="399" spans="1:14" s="345" customFormat="1" x14ac:dyDescent="0.2">
      <c r="A399" s="345" t="s">
        <v>765</v>
      </c>
      <c r="B399" s="636">
        <v>4.5999999999999999E-3</v>
      </c>
      <c r="C399" s="636">
        <v>5.0000000000000001E-3</v>
      </c>
      <c r="D399" s="636">
        <v>5.0000000000000001E-3</v>
      </c>
      <c r="E399" s="636">
        <v>4.7000000000000002E-3</v>
      </c>
      <c r="F399" s="636">
        <v>4.7000000000000002E-3</v>
      </c>
      <c r="G399" s="636">
        <v>4.4999999999999997E-3</v>
      </c>
      <c r="H399" s="636">
        <v>4.4999999999999997E-3</v>
      </c>
      <c r="I399" s="636">
        <v>4.3E-3</v>
      </c>
      <c r="J399" s="636">
        <v>4.3E-3</v>
      </c>
      <c r="K399" s="636">
        <v>4.4000000000000003E-3</v>
      </c>
      <c r="L399" s="636">
        <v>4.4000000000000003E-3</v>
      </c>
      <c r="M399" s="636">
        <v>5.0000000000000001E-3</v>
      </c>
      <c r="N399" s="659">
        <f>ROUND(N400/N394,4)</f>
        <v>4.7999999999999996E-3</v>
      </c>
    </row>
    <row r="400" spans="1:14" s="345" customFormat="1" x14ac:dyDescent="0.2">
      <c r="A400" s="345" t="s">
        <v>759</v>
      </c>
      <c r="B400" s="651">
        <v>128</v>
      </c>
      <c r="C400" s="651">
        <v>532.14</v>
      </c>
      <c r="D400" s="651">
        <v>155.75</v>
      </c>
      <c r="E400" s="651">
        <v>1485.65</v>
      </c>
      <c r="F400" s="651">
        <v>1827.41</v>
      </c>
      <c r="G400" s="651">
        <v>1873.14</v>
      </c>
      <c r="H400" s="651">
        <v>-4332.8999999999996</v>
      </c>
      <c r="I400" s="651">
        <v>294.74</v>
      </c>
      <c r="J400" s="651">
        <v>298.44</v>
      </c>
      <c r="K400" s="651">
        <v>314.39</v>
      </c>
      <c r="L400" s="651">
        <v>201.19</v>
      </c>
      <c r="M400" s="651">
        <v>240.48</v>
      </c>
      <c r="N400" s="660">
        <f>SUM(B400:M400)</f>
        <v>3018.4300000000003</v>
      </c>
    </row>
    <row r="401" spans="1:14" s="345" customFormat="1" x14ac:dyDescent="0.2">
      <c r="B401" s="651"/>
      <c r="C401" s="651"/>
      <c r="D401" s="651"/>
      <c r="E401" s="651"/>
      <c r="F401" s="651"/>
      <c r="G401" s="651"/>
      <c r="H401" s="651"/>
      <c r="I401" s="651"/>
      <c r="J401" s="651"/>
      <c r="K401" s="651"/>
      <c r="L401" s="651"/>
      <c r="M401" s="651"/>
      <c r="N401" s="628"/>
    </row>
    <row r="402" spans="1:14" s="345" customFormat="1" x14ac:dyDescent="0.2">
      <c r="A402" s="345" t="s">
        <v>767</v>
      </c>
      <c r="B402" s="651"/>
      <c r="C402" s="651"/>
      <c r="D402" s="651"/>
      <c r="E402" s="651"/>
      <c r="F402" s="651"/>
      <c r="G402" s="651"/>
      <c r="H402" s="651"/>
      <c r="I402" s="651"/>
      <c r="J402" s="651"/>
      <c r="K402" s="651"/>
      <c r="L402" s="651"/>
      <c r="M402" s="651"/>
      <c r="N402" s="628"/>
    </row>
    <row r="403" spans="1:14" s="345" customFormat="1" x14ac:dyDescent="0.2">
      <c r="A403" s="345" t="s">
        <v>804</v>
      </c>
      <c r="B403" s="637">
        <v>0</v>
      </c>
      <c r="C403" s="637">
        <v>0</v>
      </c>
      <c r="D403" s="637">
        <v>0</v>
      </c>
      <c r="E403" s="637">
        <v>0</v>
      </c>
      <c r="F403" s="637">
        <v>0</v>
      </c>
      <c r="G403" s="637">
        <v>0</v>
      </c>
      <c r="H403" s="637">
        <v>0</v>
      </c>
      <c r="I403" s="637">
        <v>0</v>
      </c>
      <c r="J403" s="637">
        <v>0</v>
      </c>
      <c r="K403" s="637">
        <v>0</v>
      </c>
      <c r="L403" s="637">
        <v>0</v>
      </c>
      <c r="M403" s="637">
        <v>0</v>
      </c>
      <c r="N403" s="660">
        <f>SUM(B403:M403)</f>
        <v>0</v>
      </c>
    </row>
    <row r="404" spans="1:14" s="345" customFormat="1" x14ac:dyDescent="0.2">
      <c r="A404" s="345" t="s">
        <v>759</v>
      </c>
      <c r="B404" s="635">
        <v>0</v>
      </c>
      <c r="C404" s="635">
        <v>0</v>
      </c>
      <c r="D404" s="635">
        <v>0</v>
      </c>
      <c r="E404" s="635">
        <v>0</v>
      </c>
      <c r="F404" s="635">
        <v>0</v>
      </c>
      <c r="G404" s="635">
        <v>0</v>
      </c>
      <c r="H404" s="635">
        <v>0</v>
      </c>
      <c r="I404" s="635">
        <v>0</v>
      </c>
      <c r="J404" s="635">
        <v>0</v>
      </c>
      <c r="K404" s="635">
        <v>0</v>
      </c>
      <c r="L404" s="635">
        <v>0</v>
      </c>
      <c r="M404" s="635">
        <v>0</v>
      </c>
      <c r="N404" s="660">
        <f>SUM(B404:M404)</f>
        <v>0</v>
      </c>
    </row>
    <row r="405" spans="1:14" s="345" customFormat="1" x14ac:dyDescent="0.2">
      <c r="B405" s="635"/>
      <c r="C405" s="635"/>
      <c r="D405" s="635"/>
      <c r="E405" s="635"/>
      <c r="F405" s="635"/>
      <c r="G405" s="635"/>
      <c r="H405" s="635"/>
      <c r="I405" s="635"/>
      <c r="J405" s="635"/>
      <c r="K405" s="635"/>
      <c r="L405" s="635"/>
      <c r="M405" s="635"/>
      <c r="N405" s="661"/>
    </row>
    <row r="406" spans="1:14" s="627" customFormat="1" x14ac:dyDescent="0.2">
      <c r="A406" s="627" t="s">
        <v>770</v>
      </c>
      <c r="N406" s="662"/>
    </row>
    <row r="407" spans="1:14" s="627" customFormat="1" x14ac:dyDescent="0.2">
      <c r="A407" s="627" t="s">
        <v>771</v>
      </c>
      <c r="D407" s="627">
        <v>80296</v>
      </c>
      <c r="E407" s="627">
        <v>95195</v>
      </c>
      <c r="F407" s="627">
        <v>43466</v>
      </c>
      <c r="G407" s="627">
        <v>36570</v>
      </c>
      <c r="H407" s="627">
        <v>19051</v>
      </c>
      <c r="I407" s="627">
        <v>23850</v>
      </c>
      <c r="J407" s="627">
        <v>23687</v>
      </c>
      <c r="K407" s="627">
        <v>76208</v>
      </c>
      <c r="L407" s="627">
        <v>114941.35208333324</v>
      </c>
      <c r="M407" s="627">
        <v>160071.71979166675</v>
      </c>
      <c r="N407" s="663">
        <f>SUM(B407:M407)</f>
        <v>673336.07187500002</v>
      </c>
    </row>
    <row r="408" spans="1:14" s="627" customFormat="1" x14ac:dyDescent="0.2">
      <c r="A408" s="627" t="s">
        <v>772</v>
      </c>
      <c r="B408" s="627">
        <v>16088</v>
      </c>
      <c r="C408" s="627">
        <v>14362</v>
      </c>
      <c r="D408" s="627">
        <v>8271</v>
      </c>
      <c r="E408" s="627">
        <v>7801</v>
      </c>
      <c r="F408" s="627">
        <v>1814</v>
      </c>
      <c r="G408" s="627">
        <v>3336</v>
      </c>
      <c r="H408" s="627">
        <v>2530</v>
      </c>
      <c r="I408" s="627">
        <v>2243</v>
      </c>
      <c r="J408" s="627">
        <v>2486</v>
      </c>
      <c r="K408" s="627">
        <v>5389</v>
      </c>
      <c r="L408" s="627">
        <v>5703</v>
      </c>
      <c r="M408" s="627">
        <v>12696</v>
      </c>
      <c r="N408" s="660">
        <f>SUM(B408:M408)</f>
        <v>82719</v>
      </c>
    </row>
    <row r="409" spans="1:14" s="627" customFormat="1" x14ac:dyDescent="0.2">
      <c r="N409" s="662"/>
    </row>
    <row r="410" spans="1:14" s="627" customFormat="1" x14ac:dyDescent="0.2">
      <c r="A410" s="627" t="s">
        <v>773</v>
      </c>
      <c r="N410" s="662"/>
    </row>
    <row r="411" spans="1:14" s="627" customFormat="1" x14ac:dyDescent="0.2">
      <c r="A411" s="627" t="s">
        <v>774</v>
      </c>
      <c r="D411" s="627">
        <v>98480</v>
      </c>
      <c r="E411" s="627">
        <v>192448.70000000051</v>
      </c>
      <c r="F411" s="627">
        <v>256470.98749999996</v>
      </c>
      <c r="G411" s="627">
        <v>246075.90000000046</v>
      </c>
      <c r="H411" s="627">
        <v>413569.8874999999</v>
      </c>
      <c r="I411" s="627">
        <v>367402.91250000044</v>
      </c>
      <c r="J411" s="627">
        <v>327137.84999999986</v>
      </c>
      <c r="K411" s="627">
        <v>239755.88750000007</v>
      </c>
      <c r="L411" s="627">
        <v>206739.50000000041</v>
      </c>
      <c r="M411" s="627">
        <v>180217.28750000024</v>
      </c>
      <c r="N411" s="663">
        <f>SUM(B411:M411)</f>
        <v>2528298.9125000015</v>
      </c>
    </row>
    <row r="412" spans="1:14" s="627" customFormat="1" x14ac:dyDescent="0.2">
      <c r="A412" s="627" t="s">
        <v>772</v>
      </c>
      <c r="B412" s="627">
        <v>1828.29</v>
      </c>
      <c r="C412" s="627">
        <v>1455</v>
      </c>
      <c r="D412" s="627">
        <v>1208</v>
      </c>
      <c r="E412" s="627">
        <v>2422</v>
      </c>
      <c r="F412" s="627">
        <v>1567</v>
      </c>
      <c r="G412" s="627">
        <v>3248</v>
      </c>
      <c r="H412" s="627">
        <v>2711</v>
      </c>
      <c r="I412" s="627">
        <v>3327</v>
      </c>
      <c r="J412" s="627">
        <v>2821</v>
      </c>
      <c r="K412" s="627">
        <v>1789</v>
      </c>
      <c r="L412" s="627">
        <v>1578</v>
      </c>
      <c r="M412" s="627">
        <v>1927</v>
      </c>
      <c r="N412" s="660">
        <f>SUM(B412:M412)</f>
        <v>25881.29</v>
      </c>
    </row>
    <row r="413" spans="1:14" s="627" customFormat="1" x14ac:dyDescent="0.2">
      <c r="B413" s="656"/>
      <c r="C413" s="656"/>
      <c r="D413" s="656"/>
      <c r="E413" s="656"/>
      <c r="F413" s="656"/>
      <c r="G413" s="656"/>
      <c r="H413" s="656"/>
      <c r="I413" s="656"/>
      <c r="J413" s="656"/>
      <c r="K413" s="656"/>
      <c r="L413" s="656"/>
      <c r="M413" s="656"/>
    </row>
    <row r="414" spans="1:14" s="345" customFormat="1" x14ac:dyDescent="0.2">
      <c r="A414" s="345" t="s">
        <v>805</v>
      </c>
      <c r="B414" s="653" t="s">
        <v>769</v>
      </c>
      <c r="C414" s="653" t="s">
        <v>769</v>
      </c>
      <c r="D414" s="653" t="s">
        <v>769</v>
      </c>
      <c r="E414" s="653" t="s">
        <v>769</v>
      </c>
      <c r="F414" s="653" t="s">
        <v>769</v>
      </c>
      <c r="G414" s="653" t="s">
        <v>769</v>
      </c>
      <c r="H414" s="653" t="s">
        <v>769</v>
      </c>
      <c r="I414" s="653" t="s">
        <v>769</v>
      </c>
      <c r="J414" s="653" t="s">
        <v>769</v>
      </c>
      <c r="K414" s="653" t="s">
        <v>769</v>
      </c>
      <c r="L414" s="653" t="s">
        <v>769</v>
      </c>
      <c r="M414" s="653" t="s">
        <v>769</v>
      </c>
      <c r="N414" s="653" t="s">
        <v>769</v>
      </c>
    </row>
    <row r="415" spans="1:14" s="345" customFormat="1" x14ac:dyDescent="0.2">
      <c r="A415" s="345" t="s">
        <v>775</v>
      </c>
      <c r="B415" s="651">
        <v>8962.24</v>
      </c>
      <c r="C415" s="651">
        <v>8491.83</v>
      </c>
      <c r="D415" s="651">
        <f>SUM(D412,D408,D404,D400,D396,D385)</f>
        <v>16609.98</v>
      </c>
      <c r="E415" s="651">
        <f>SUM(E412,E408,E404,E400,E396,E385)</f>
        <v>23029</v>
      </c>
      <c r="F415" s="651">
        <f t="shared" ref="F415:M415" si="17">SUM(F412,F408,F404,F400,F396,F385)</f>
        <v>11253.23</v>
      </c>
      <c r="G415" s="651">
        <f t="shared" si="17"/>
        <v>18037</v>
      </c>
      <c r="H415" s="651">
        <f t="shared" si="17"/>
        <v>5846.5400000000009</v>
      </c>
      <c r="I415" s="651">
        <f t="shared" si="17"/>
        <v>13968.79</v>
      </c>
      <c r="J415" s="651">
        <f t="shared" si="17"/>
        <v>13230.82</v>
      </c>
      <c r="K415" s="651">
        <f t="shared" si="17"/>
        <v>14551.240000000002</v>
      </c>
      <c r="L415" s="651">
        <f t="shared" si="17"/>
        <v>12834.76</v>
      </c>
      <c r="M415" s="651">
        <f t="shared" si="17"/>
        <v>22650.57</v>
      </c>
      <c r="N415" s="660">
        <f>SUM(B415:M415)</f>
        <v>169466.00000000003</v>
      </c>
    </row>
    <row r="416" spans="1:14" s="345" customFormat="1" x14ac:dyDescent="0.2">
      <c r="B416" s="653" t="s">
        <v>776</v>
      </c>
      <c r="C416" s="653" t="s">
        <v>776</v>
      </c>
      <c r="D416" s="653" t="s">
        <v>776</v>
      </c>
      <c r="E416" s="653" t="s">
        <v>776</v>
      </c>
      <c r="F416" s="653" t="s">
        <v>776</v>
      </c>
      <c r="G416" s="653" t="s">
        <v>776</v>
      </c>
      <c r="H416" s="653" t="s">
        <v>776</v>
      </c>
      <c r="I416" s="653" t="s">
        <v>776</v>
      </c>
      <c r="J416" s="653" t="s">
        <v>776</v>
      </c>
      <c r="K416" s="653" t="s">
        <v>776</v>
      </c>
      <c r="L416" s="653" t="s">
        <v>776</v>
      </c>
      <c r="M416" s="653" t="s">
        <v>776</v>
      </c>
      <c r="N416" s="653" t="s">
        <v>776</v>
      </c>
    </row>
    <row r="417" spans="1:16" s="345" customFormat="1" x14ac:dyDescent="0.2">
      <c r="N417" s="628"/>
    </row>
    <row r="418" spans="1:16" s="345" customFormat="1" x14ac:dyDescent="0.2">
      <c r="A418" s="345" t="s">
        <v>777</v>
      </c>
      <c r="B418" s="345">
        <v>78.92</v>
      </c>
      <c r="C418" s="345">
        <v>157.84</v>
      </c>
      <c r="D418" s="345">
        <v>177.57</v>
      </c>
      <c r="E418" s="345">
        <v>177.57</v>
      </c>
      <c r="F418" s="345">
        <v>157.84</v>
      </c>
      <c r="G418" s="345">
        <v>138.11000000000001</v>
      </c>
      <c r="H418" s="345">
        <v>177.57</v>
      </c>
      <c r="I418" s="345">
        <v>157.84</v>
      </c>
      <c r="J418" s="345">
        <v>177.57</v>
      </c>
      <c r="K418" s="345">
        <v>157.84</v>
      </c>
      <c r="L418" s="345">
        <v>118.38</v>
      </c>
      <c r="M418" s="345">
        <v>78.92</v>
      </c>
      <c r="N418" s="660">
        <f>SUM(B418:M418)</f>
        <v>1755.9699999999998</v>
      </c>
    </row>
    <row r="419" spans="1:16" s="345" customFormat="1" x14ac:dyDescent="0.2">
      <c r="B419" s="651"/>
      <c r="C419" s="651"/>
      <c r="D419" s="651"/>
      <c r="E419" s="651"/>
      <c r="F419" s="651"/>
      <c r="G419" s="651"/>
      <c r="H419" s="651"/>
      <c r="I419" s="651"/>
      <c r="J419" s="651"/>
      <c r="K419" s="651"/>
      <c r="L419" s="651"/>
      <c r="M419" s="651"/>
      <c r="N419" s="628"/>
    </row>
    <row r="420" spans="1:16" s="345" customFormat="1" x14ac:dyDescent="0.2">
      <c r="B420" s="651"/>
      <c r="C420" s="651"/>
      <c r="D420" s="651"/>
      <c r="E420" s="651"/>
      <c r="F420" s="651"/>
      <c r="G420" s="651"/>
      <c r="H420" s="651"/>
      <c r="I420" s="651"/>
      <c r="J420" s="651"/>
      <c r="K420" s="651"/>
      <c r="L420" s="651"/>
      <c r="M420" s="651"/>
      <c r="N420" s="628"/>
    </row>
    <row r="421" spans="1:16" s="345" customFormat="1" x14ac:dyDescent="0.2">
      <c r="A421" s="345" t="s">
        <v>806</v>
      </c>
      <c r="F421" s="651"/>
      <c r="G421" s="651"/>
      <c r="H421" s="651"/>
      <c r="I421" s="664"/>
      <c r="J421" s="664"/>
      <c r="K421" s="664"/>
      <c r="L421" s="664"/>
      <c r="M421" s="664"/>
      <c r="N421" s="628"/>
    </row>
    <row r="422" spans="1:16" s="345" customFormat="1" x14ac:dyDescent="0.2">
      <c r="F422" s="651"/>
      <c r="G422" s="651"/>
      <c r="H422" s="651"/>
      <c r="I422" s="664"/>
      <c r="J422" s="651"/>
      <c r="K422" s="651"/>
      <c r="L422" s="651"/>
      <c r="M422" s="651"/>
      <c r="N422" s="628"/>
    </row>
    <row r="423" spans="1:16" s="345" customFormat="1" x14ac:dyDescent="0.2">
      <c r="F423" s="651"/>
      <c r="G423" s="651"/>
      <c r="H423" s="651"/>
      <c r="I423" s="664"/>
      <c r="J423" s="665"/>
      <c r="K423" s="665"/>
      <c r="L423" s="665"/>
      <c r="M423" s="665"/>
      <c r="N423" s="628"/>
    </row>
    <row r="424" spans="1:16" s="345" customFormat="1" x14ac:dyDescent="0.2">
      <c r="A424" s="345" t="s">
        <v>807</v>
      </c>
      <c r="B424" s="651"/>
      <c r="C424" s="651"/>
      <c r="D424" s="651"/>
      <c r="E424" s="651"/>
      <c r="F424" s="651"/>
      <c r="G424" s="651"/>
      <c r="H424" s="651"/>
      <c r="I424" s="664"/>
      <c r="J424" s="651"/>
      <c r="K424" s="651"/>
      <c r="L424" s="651"/>
      <c r="M424" s="651"/>
      <c r="N424" s="628"/>
    </row>
    <row r="425" spans="1:16" s="345" customFormat="1" x14ac:dyDescent="0.2">
      <c r="A425" s="345" t="s">
        <v>785</v>
      </c>
      <c r="B425" s="345" t="s">
        <v>786</v>
      </c>
      <c r="C425" s="651"/>
      <c r="D425" s="345" t="s">
        <v>787</v>
      </c>
      <c r="E425" s="651"/>
      <c r="F425" s="345" t="s">
        <v>788</v>
      </c>
      <c r="G425" s="651"/>
      <c r="H425" s="345" t="s">
        <v>789</v>
      </c>
      <c r="I425" s="651"/>
      <c r="J425" s="345" t="s">
        <v>790</v>
      </c>
      <c r="K425" s="651"/>
      <c r="L425" s="651"/>
      <c r="M425" s="651"/>
    </row>
    <row r="426" spans="1:16" s="345" customFormat="1" x14ac:dyDescent="0.2">
      <c r="A426" s="345" t="s">
        <v>791</v>
      </c>
      <c r="B426" s="345" t="s">
        <v>792</v>
      </c>
      <c r="C426" s="664"/>
      <c r="D426" s="345" t="s">
        <v>793</v>
      </c>
      <c r="E426" s="664"/>
      <c r="F426" s="345" t="s">
        <v>794</v>
      </c>
      <c r="G426" s="664"/>
      <c r="H426" s="345" t="s">
        <v>795</v>
      </c>
      <c r="I426" s="665"/>
      <c r="J426" s="345" t="s">
        <v>796</v>
      </c>
      <c r="K426" s="651"/>
      <c r="L426" s="651"/>
      <c r="M426" s="651"/>
    </row>
    <row r="427" spans="1:16" x14ac:dyDescent="0.2">
      <c r="B427" t="s">
        <v>593</v>
      </c>
      <c r="C427" t="s">
        <v>594</v>
      </c>
      <c r="D427" t="s">
        <v>595</v>
      </c>
      <c r="E427" t="s">
        <v>596</v>
      </c>
      <c r="F427" t="s">
        <v>597</v>
      </c>
      <c r="G427" t="s">
        <v>598</v>
      </c>
      <c r="H427" t="s">
        <v>599</v>
      </c>
      <c r="I427" t="s">
        <v>600</v>
      </c>
      <c r="J427" t="s">
        <v>601</v>
      </c>
      <c r="K427" t="s">
        <v>602</v>
      </c>
      <c r="L427" t="s">
        <v>603</v>
      </c>
      <c r="M427" t="s">
        <v>604</v>
      </c>
      <c r="N427" t="s">
        <v>605</v>
      </c>
      <c r="O427" t="s">
        <v>367</v>
      </c>
      <c r="P427" t="s">
        <v>636</v>
      </c>
    </row>
    <row r="428" spans="1:16" x14ac:dyDescent="0.2">
      <c r="B428" t="s">
        <v>637</v>
      </c>
      <c r="C428">
        <v>87</v>
      </c>
      <c r="D428">
        <v>119</v>
      </c>
      <c r="E428">
        <v>118</v>
      </c>
      <c r="F428">
        <v>146</v>
      </c>
      <c r="G428">
        <v>109</v>
      </c>
      <c r="H428">
        <v>82</v>
      </c>
      <c r="I428">
        <v>110</v>
      </c>
      <c r="J428">
        <v>187</v>
      </c>
      <c r="K428">
        <v>157</v>
      </c>
      <c r="L428">
        <v>199</v>
      </c>
      <c r="M428">
        <v>110</v>
      </c>
      <c r="N428">
        <v>137</v>
      </c>
      <c r="O428" s="452">
        <v>1561</v>
      </c>
      <c r="P428" s="452">
        <f>O428*7.48</f>
        <v>11676.28</v>
      </c>
    </row>
    <row r="429" spans="1:16" x14ac:dyDescent="0.2">
      <c r="B429" t="s">
        <v>606</v>
      </c>
      <c r="C429">
        <v>32</v>
      </c>
      <c r="D429">
        <v>29</v>
      </c>
      <c r="E429">
        <v>29</v>
      </c>
      <c r="F429">
        <v>34</v>
      </c>
      <c r="G429">
        <v>29</v>
      </c>
      <c r="H429">
        <v>35</v>
      </c>
      <c r="I429">
        <v>27</v>
      </c>
      <c r="J429">
        <v>29</v>
      </c>
      <c r="K429">
        <v>29</v>
      </c>
      <c r="L429">
        <v>29</v>
      </c>
      <c r="M429">
        <v>32</v>
      </c>
      <c r="N429">
        <v>29</v>
      </c>
    </row>
    <row r="430" spans="1:16" x14ac:dyDescent="0.2">
      <c r="B430" t="s">
        <v>607</v>
      </c>
      <c r="C430">
        <v>13.77</v>
      </c>
      <c r="D430">
        <v>13.77</v>
      </c>
      <c r="E430">
        <v>13.77</v>
      </c>
      <c r="F430">
        <v>13.77</v>
      </c>
      <c r="G430">
        <v>13.77</v>
      </c>
      <c r="H430">
        <v>13.77</v>
      </c>
      <c r="I430">
        <v>13.77</v>
      </c>
      <c r="J430">
        <v>14.74</v>
      </c>
      <c r="K430">
        <v>13.95</v>
      </c>
      <c r="L430">
        <v>15.05</v>
      </c>
      <c r="M430">
        <v>13.77</v>
      </c>
      <c r="N430">
        <v>13.77</v>
      </c>
      <c r="O430">
        <v>167.67000000000002</v>
      </c>
    </row>
    <row r="431" spans="1:16" x14ac:dyDescent="0.2">
      <c r="B431" t="s">
        <v>608</v>
      </c>
      <c r="C431">
        <v>16.84</v>
      </c>
      <c r="D431">
        <v>16.84</v>
      </c>
      <c r="E431">
        <v>16.84</v>
      </c>
      <c r="F431">
        <v>16.84</v>
      </c>
      <c r="G431">
        <v>16.84</v>
      </c>
      <c r="H431">
        <v>16.84</v>
      </c>
      <c r="I431">
        <v>16.84</v>
      </c>
      <c r="J431">
        <v>17.809999999999999</v>
      </c>
      <c r="K431">
        <v>17.02</v>
      </c>
      <c r="L431">
        <v>18.12</v>
      </c>
      <c r="M431">
        <v>16.84</v>
      </c>
      <c r="N431">
        <v>16.84</v>
      </c>
      <c r="O431">
        <v>204.51000000000002</v>
      </c>
    </row>
    <row r="432" spans="1:16" x14ac:dyDescent="0.2">
      <c r="B432" t="s">
        <v>338</v>
      </c>
      <c r="C432">
        <v>30.61</v>
      </c>
      <c r="D432">
        <v>30.61</v>
      </c>
      <c r="E432">
        <v>30.61</v>
      </c>
      <c r="F432">
        <v>30.61</v>
      </c>
      <c r="G432">
        <v>30.61</v>
      </c>
      <c r="H432">
        <v>30.61</v>
      </c>
      <c r="I432">
        <v>30.61</v>
      </c>
      <c r="J432">
        <v>32.549999999999997</v>
      </c>
      <c r="K432">
        <v>30.97</v>
      </c>
      <c r="L432">
        <v>33.17</v>
      </c>
      <c r="M432">
        <v>30.61</v>
      </c>
      <c r="N432">
        <v>30.61</v>
      </c>
      <c r="O432" s="452">
        <v>372.18000000000012</v>
      </c>
    </row>
    <row r="433" spans="1:22" x14ac:dyDescent="0.2">
      <c r="L433" t="s">
        <v>609</v>
      </c>
      <c r="O433" s="453">
        <f>O417+O424+O432</f>
        <v>372.18000000000012</v>
      </c>
    </row>
    <row r="434" spans="1:22" s="788" customFormat="1" ht="20.25" x14ac:dyDescent="0.3">
      <c r="A434" s="786">
        <v>27</v>
      </c>
      <c r="B434" s="787" t="s">
        <v>568</v>
      </c>
      <c r="S434" s="789"/>
      <c r="V434" s="789"/>
    </row>
    <row r="435" spans="1:22" s="788" customFormat="1" ht="20.25" x14ac:dyDescent="0.3">
      <c r="A435" s="786">
        <v>28</v>
      </c>
      <c r="B435" s="790" t="s">
        <v>569</v>
      </c>
      <c r="S435" s="789"/>
      <c r="V435" s="789"/>
    </row>
    <row r="436" spans="1:22" ht="15" x14ac:dyDescent="0.2">
      <c r="B436" s="464" t="s">
        <v>678</v>
      </c>
    </row>
    <row r="437" spans="1:22" s="94" customFormat="1" x14ac:dyDescent="0.2">
      <c r="B437" s="465" t="s">
        <v>337</v>
      </c>
      <c r="C437" s="91">
        <v>41456</v>
      </c>
      <c r="D437" s="91">
        <v>41487</v>
      </c>
      <c r="E437" s="91">
        <v>41518</v>
      </c>
      <c r="F437" s="91">
        <v>41548</v>
      </c>
      <c r="G437" s="91">
        <v>41579</v>
      </c>
      <c r="H437" s="91">
        <v>41609</v>
      </c>
      <c r="I437" s="91">
        <v>41640</v>
      </c>
      <c r="J437" s="91">
        <v>41671</v>
      </c>
      <c r="K437" s="91">
        <v>41699</v>
      </c>
      <c r="L437" s="91">
        <v>41730</v>
      </c>
      <c r="M437" s="91">
        <v>41760</v>
      </c>
      <c r="N437" s="91">
        <v>41791</v>
      </c>
      <c r="O437" s="91">
        <v>41821</v>
      </c>
      <c r="P437" s="91">
        <v>41852</v>
      </c>
    </row>
    <row r="439" spans="1:22" x14ac:dyDescent="0.2">
      <c r="B439" s="95" t="s">
        <v>409</v>
      </c>
      <c r="C439" s="96">
        <v>186286.46</v>
      </c>
      <c r="D439" s="96">
        <v>190588.42</v>
      </c>
      <c r="E439" s="96">
        <v>188476.34</v>
      </c>
      <c r="F439" s="96">
        <v>187630.31</v>
      </c>
      <c r="G439" s="96">
        <v>177812.54</v>
      </c>
      <c r="H439" s="96">
        <v>176182.44</v>
      </c>
      <c r="I439" s="96">
        <v>184912.54</v>
      </c>
      <c r="J439" s="96">
        <v>167556.57999999999</v>
      </c>
      <c r="K439" s="96">
        <v>187339.86</v>
      </c>
      <c r="L439" s="96">
        <v>186005.46</v>
      </c>
      <c r="M439" s="96">
        <v>201417.79</v>
      </c>
      <c r="N439" s="96">
        <v>186189</v>
      </c>
      <c r="O439" s="96">
        <v>190007</v>
      </c>
      <c r="P439" s="96">
        <v>191943</v>
      </c>
    </row>
    <row r="440" spans="1:22" x14ac:dyDescent="0.2">
      <c r="B440" s="95" t="s">
        <v>679</v>
      </c>
      <c r="C440" s="96"/>
      <c r="D440" s="96"/>
      <c r="E440" s="96"/>
      <c r="F440" s="96"/>
      <c r="G440" s="96"/>
      <c r="H440" s="96"/>
      <c r="I440" s="96"/>
      <c r="J440" s="96"/>
      <c r="K440" s="96"/>
      <c r="L440" s="96"/>
      <c r="M440" s="96"/>
      <c r="N440" s="96"/>
      <c r="O440" s="96"/>
      <c r="P440" s="96"/>
    </row>
    <row r="441" spans="1:22" x14ac:dyDescent="0.2">
      <c r="B441" s="95" t="s">
        <v>320</v>
      </c>
      <c r="C441" s="96"/>
      <c r="D441" s="96"/>
      <c r="E441" s="96"/>
      <c r="F441" s="96"/>
      <c r="G441" s="96"/>
      <c r="H441" s="96"/>
      <c r="I441" s="96"/>
      <c r="J441" s="96"/>
      <c r="K441" s="96"/>
      <c r="L441" s="96"/>
      <c r="M441" s="96"/>
      <c r="N441" s="96"/>
      <c r="O441" s="96"/>
      <c r="P441" s="96"/>
    </row>
    <row r="442" spans="1:22" x14ac:dyDescent="0.2">
      <c r="B442" s="95" t="s">
        <v>322</v>
      </c>
      <c r="C442" s="101"/>
      <c r="D442" s="101"/>
      <c r="E442" s="101"/>
      <c r="F442" s="101"/>
      <c r="G442" s="101"/>
      <c r="H442" s="101"/>
      <c r="I442" s="101"/>
      <c r="J442" s="101"/>
      <c r="K442" s="101"/>
      <c r="L442" s="101"/>
      <c r="M442" s="101"/>
      <c r="N442" s="101"/>
      <c r="O442" s="101"/>
      <c r="P442" s="101"/>
    </row>
    <row r="444" spans="1:22" x14ac:dyDescent="0.2">
      <c r="B444" s="95" t="s">
        <v>347</v>
      </c>
      <c r="C444" s="559">
        <f>C439*0.094</f>
        <v>17510.927240000001</v>
      </c>
      <c r="D444" s="559">
        <f t="shared" ref="D444:P444" si="18">D439*0.094</f>
        <v>17915.31148</v>
      </c>
      <c r="E444" s="559">
        <f t="shared" si="18"/>
        <v>17716.775959999999</v>
      </c>
      <c r="F444" s="559">
        <f t="shared" si="18"/>
        <v>17637.24914</v>
      </c>
      <c r="G444" s="559">
        <f t="shared" si="18"/>
        <v>16714.37876</v>
      </c>
      <c r="H444" s="559">
        <f t="shared" si="18"/>
        <v>16561.149359999999</v>
      </c>
      <c r="I444" s="559">
        <f t="shared" si="18"/>
        <v>17381.778760000001</v>
      </c>
      <c r="J444" s="559">
        <f t="shared" si="18"/>
        <v>15750.318519999999</v>
      </c>
      <c r="K444" s="559">
        <f t="shared" si="18"/>
        <v>17609.946840000001</v>
      </c>
      <c r="L444" s="559">
        <f t="shared" si="18"/>
        <v>17484.51324</v>
      </c>
      <c r="M444" s="559">
        <f t="shared" si="18"/>
        <v>18933.272260000002</v>
      </c>
      <c r="N444" s="559">
        <f t="shared" si="18"/>
        <v>17501.766</v>
      </c>
      <c r="O444" s="559">
        <f t="shared" si="18"/>
        <v>17860.657999999999</v>
      </c>
      <c r="P444" s="559">
        <f t="shared" si="18"/>
        <v>18042.642</v>
      </c>
    </row>
    <row r="445" spans="1:22" x14ac:dyDescent="0.2">
      <c r="B445" s="112" t="s">
        <v>348</v>
      </c>
      <c r="C445" s="113"/>
      <c r="D445" s="113"/>
      <c r="E445" s="113"/>
      <c r="F445" s="113"/>
      <c r="G445" s="113"/>
      <c r="H445" s="113"/>
      <c r="I445" s="113"/>
      <c r="J445" s="113"/>
      <c r="K445" s="113"/>
      <c r="L445" s="113"/>
      <c r="M445" s="113"/>
      <c r="N445" s="113"/>
      <c r="O445" s="113"/>
      <c r="P445" s="113"/>
    </row>
    <row r="446" spans="1:22" x14ac:dyDescent="0.2">
      <c r="B446" s="112" t="s">
        <v>410</v>
      </c>
      <c r="C446" s="113"/>
      <c r="D446" s="113"/>
      <c r="E446" s="113"/>
      <c r="F446" s="113"/>
      <c r="G446" s="113"/>
      <c r="H446" s="113"/>
      <c r="I446" s="113"/>
      <c r="J446" s="113"/>
      <c r="K446" s="113"/>
      <c r="L446" s="113"/>
      <c r="M446" s="113"/>
      <c r="N446" s="113"/>
      <c r="O446" s="113"/>
      <c r="P446" s="113"/>
    </row>
    <row r="447" spans="1:22" s="788" customFormat="1" ht="20.25" x14ac:dyDescent="0.3">
      <c r="A447" s="786">
        <v>29</v>
      </c>
      <c r="B447" s="790" t="s">
        <v>571</v>
      </c>
      <c r="S447" s="789"/>
      <c r="V447" s="789"/>
    </row>
    <row r="448" spans="1:22" s="788" customFormat="1" ht="20.25" x14ac:dyDescent="0.3">
      <c r="A448" s="786">
        <v>30</v>
      </c>
      <c r="B448" s="790" t="s">
        <v>574</v>
      </c>
      <c r="R448" s="792"/>
      <c r="S448" s="793"/>
      <c r="T448" s="792"/>
      <c r="U448" s="794"/>
      <c r="V448" s="795"/>
    </row>
    <row r="449" spans="1:22" ht="15" x14ac:dyDescent="0.25">
      <c r="A449" s="712" t="s">
        <v>574</v>
      </c>
      <c r="B449" s="713"/>
      <c r="C449" s="713"/>
      <c r="D449" s="713"/>
      <c r="E449" s="713"/>
      <c r="F449" s="713"/>
      <c r="G449" s="713"/>
      <c r="H449" s="713"/>
      <c r="I449" s="713"/>
      <c r="J449" s="713"/>
      <c r="K449" s="713"/>
      <c r="L449" s="713"/>
      <c r="M449" s="713"/>
      <c r="N449" s="713"/>
      <c r="O449" s="713"/>
      <c r="P449" s="713"/>
      <c r="Q449" s="713"/>
      <c r="R449" s="713"/>
      <c r="S449" s="713"/>
      <c r="T449" s="714"/>
      <c r="U449" s="715"/>
      <c r="V449" s="716"/>
    </row>
    <row r="450" spans="1:22" ht="15" x14ac:dyDescent="0.25">
      <c r="A450" s="717" t="s">
        <v>337</v>
      </c>
      <c r="B450" s="718"/>
      <c r="C450" s="719">
        <v>41365</v>
      </c>
      <c r="D450" s="719">
        <v>41395</v>
      </c>
      <c r="E450" s="719">
        <v>41426</v>
      </c>
      <c r="F450" s="719">
        <v>41456</v>
      </c>
      <c r="G450" s="719">
        <v>41487</v>
      </c>
      <c r="H450" s="719">
        <v>41518</v>
      </c>
      <c r="I450" s="719">
        <v>41548</v>
      </c>
      <c r="J450" s="719">
        <v>41579</v>
      </c>
      <c r="K450" s="719">
        <v>41609</v>
      </c>
      <c r="L450" s="719">
        <v>41640</v>
      </c>
      <c r="M450" s="719">
        <v>41671</v>
      </c>
      <c r="N450" s="719">
        <v>41699</v>
      </c>
      <c r="O450" s="719">
        <v>41730</v>
      </c>
      <c r="P450" s="719">
        <v>41760</v>
      </c>
      <c r="Q450" s="719">
        <v>41791</v>
      </c>
      <c r="R450" s="719">
        <v>41821</v>
      </c>
      <c r="S450" s="719">
        <v>41852</v>
      </c>
      <c r="T450" s="735"/>
      <c r="U450" s="720" t="s">
        <v>338</v>
      </c>
      <c r="V450" s="721" t="s">
        <v>339</v>
      </c>
    </row>
    <row r="451" spans="1:22" ht="15" x14ac:dyDescent="0.25">
      <c r="A451" s="722" t="s">
        <v>360</v>
      </c>
      <c r="B451" s="713"/>
      <c r="C451" s="723">
        <v>360279.83293762722</v>
      </c>
      <c r="D451" s="723">
        <v>365608.54970997124</v>
      </c>
      <c r="E451" s="723">
        <v>337257.40342236694</v>
      </c>
      <c r="F451" s="723">
        <v>350749.66535032797</v>
      </c>
      <c r="G451" s="723">
        <v>357953.94820028864</v>
      </c>
      <c r="H451" s="723">
        <v>365680.8244891112</v>
      </c>
      <c r="I451" s="723">
        <v>375253.55401185888</v>
      </c>
      <c r="J451" s="723">
        <v>367059.53885077999</v>
      </c>
      <c r="K451" s="723">
        <v>350414.18216038647</v>
      </c>
      <c r="L451" s="723">
        <v>349761.61526302574</v>
      </c>
      <c r="M451" s="723">
        <v>329313.94029343984</v>
      </c>
      <c r="N451" s="723">
        <v>325871.92237640568</v>
      </c>
      <c r="O451" s="736">
        <v>341362.9913330077</v>
      </c>
      <c r="P451" s="736">
        <v>347227.02026367199</v>
      </c>
      <c r="Q451" s="736">
        <v>347058.95996092999</v>
      </c>
      <c r="R451" s="736">
        <v>352408.08105469</v>
      </c>
      <c r="S451" s="736">
        <v>352410.88867188001</v>
      </c>
      <c r="T451" s="737"/>
      <c r="U451" s="724">
        <f>SUM(C451:S451)</f>
        <v>5975672.9183497699</v>
      </c>
      <c r="V451" s="725" t="s">
        <v>361</v>
      </c>
    </row>
    <row r="452" spans="1:22" ht="15" x14ac:dyDescent="0.25">
      <c r="A452" s="722" t="s">
        <v>362</v>
      </c>
      <c r="B452" s="713"/>
      <c r="C452" s="738">
        <v>940.23</v>
      </c>
      <c r="D452" s="738">
        <v>1387.3</v>
      </c>
      <c r="E452" s="738">
        <v>2109.5500000000002</v>
      </c>
      <c r="F452" s="738">
        <v>2555.6799999999998</v>
      </c>
      <c r="G452" s="738">
        <v>1777.59</v>
      </c>
      <c r="H452" s="723">
        <v>385.39843053314303</v>
      </c>
      <c r="I452" s="738">
        <v>768.36</v>
      </c>
      <c r="J452" s="738">
        <v>928.36</v>
      </c>
      <c r="K452" s="738">
        <v>802.45</v>
      </c>
      <c r="L452" s="738">
        <v>905.56</v>
      </c>
      <c r="M452" s="738">
        <v>790.99</v>
      </c>
      <c r="N452" s="738">
        <v>663.48</v>
      </c>
      <c r="O452" s="738">
        <v>268.39999999999998</v>
      </c>
      <c r="P452" s="738">
        <v>7223.2079999999996</v>
      </c>
      <c r="Q452" s="738">
        <v>6896.7520000000004</v>
      </c>
      <c r="R452" s="738">
        <v>6485.24</v>
      </c>
      <c r="S452" s="738">
        <v>6501.92</v>
      </c>
      <c r="T452" s="739"/>
      <c r="U452" s="724">
        <f t="shared" ref="U452:U457" si="19">SUM(C452:S452)</f>
        <v>41390.468430533139</v>
      </c>
      <c r="V452" s="725" t="s">
        <v>363</v>
      </c>
    </row>
    <row r="453" spans="1:22" ht="15" x14ac:dyDescent="0.25">
      <c r="A453" s="722" t="s">
        <v>364</v>
      </c>
      <c r="B453" s="740" t="s">
        <v>351</v>
      </c>
      <c r="C453" s="741">
        <v>1037</v>
      </c>
      <c r="D453" s="741">
        <v>1049</v>
      </c>
      <c r="E453" s="741">
        <v>1003</v>
      </c>
      <c r="F453" s="742" t="s">
        <v>13</v>
      </c>
      <c r="G453" s="742" t="s">
        <v>13</v>
      </c>
      <c r="H453" s="742" t="s">
        <v>13</v>
      </c>
      <c r="I453" s="742" t="s">
        <v>13</v>
      </c>
      <c r="J453" s="741">
        <v>5385</v>
      </c>
      <c r="K453" s="741">
        <v>1274</v>
      </c>
      <c r="L453" s="741">
        <v>1539</v>
      </c>
      <c r="M453" s="741">
        <v>1287</v>
      </c>
      <c r="N453" s="741">
        <v>1275</v>
      </c>
      <c r="O453" s="741">
        <v>1023</v>
      </c>
      <c r="P453" s="741">
        <v>1024</v>
      </c>
      <c r="Q453" s="741">
        <v>985</v>
      </c>
      <c r="R453" s="723">
        <v>343.296875</v>
      </c>
      <c r="S453" s="723">
        <v>345.3046875</v>
      </c>
      <c r="T453" s="743"/>
      <c r="U453" s="724">
        <f t="shared" si="19"/>
        <v>17569.6015625</v>
      </c>
      <c r="V453" s="727" t="s">
        <v>365</v>
      </c>
    </row>
    <row r="454" spans="1:22" x14ac:dyDescent="0.2">
      <c r="A454" s="728" t="s">
        <v>864</v>
      </c>
      <c r="B454" s="729"/>
      <c r="C454" s="723">
        <v>136.53094112169552</v>
      </c>
      <c r="D454" s="723">
        <v>112.32472529582284</v>
      </c>
      <c r="E454" s="723">
        <v>63.219357816097911</v>
      </c>
      <c r="F454" s="723">
        <v>72.44393032202143</v>
      </c>
      <c r="G454" s="723">
        <v>91.717231029468024</v>
      </c>
      <c r="H454" s="723">
        <v>145.96268345970987</v>
      </c>
      <c r="I454" s="723">
        <v>164.33358123590159</v>
      </c>
      <c r="J454" s="723">
        <v>157.07902519935681</v>
      </c>
      <c r="K454" s="723">
        <v>112.49442656831353</v>
      </c>
      <c r="L454" s="723">
        <v>112.18461294887831</v>
      </c>
      <c r="M454" s="723">
        <v>126.30492148728011</v>
      </c>
      <c r="N454" s="723">
        <v>164.66104038337704</v>
      </c>
      <c r="O454" s="723">
        <v>175.06073167458806</v>
      </c>
      <c r="P454" s="723">
        <v>120.18142156862746</v>
      </c>
      <c r="Q454" s="723">
        <v>575</v>
      </c>
      <c r="R454" s="723">
        <v>341</v>
      </c>
      <c r="S454" s="723">
        <v>301</v>
      </c>
      <c r="T454" s="744"/>
      <c r="U454" s="724">
        <f t="shared" si="19"/>
        <v>2971.4986301111385</v>
      </c>
      <c r="V454" s="727" t="s">
        <v>379</v>
      </c>
    </row>
    <row r="455" spans="1:22" ht="15" x14ac:dyDescent="0.25">
      <c r="A455" s="722" t="s">
        <v>368</v>
      </c>
      <c r="B455" s="713"/>
      <c r="C455" s="731">
        <f>C451*0.084</f>
        <v>30263.505966760687</v>
      </c>
      <c r="D455" s="731">
        <f>D451*0.084</f>
        <v>30711.118175637584</v>
      </c>
      <c r="E455" s="731">
        <f>E451*0.084</f>
        <v>28329.621887478825</v>
      </c>
      <c r="F455" s="731">
        <f>F451*0.087</f>
        <v>30515.220885478531</v>
      </c>
      <c r="G455" s="731">
        <f t="shared" ref="G455:S455" si="20">G451*0.087</f>
        <v>31141.993493425111</v>
      </c>
      <c r="H455" s="731">
        <f t="shared" si="20"/>
        <v>31814.23173055267</v>
      </c>
      <c r="I455" s="731">
        <f t="shared" si="20"/>
        <v>32647.059199031719</v>
      </c>
      <c r="J455" s="731">
        <f t="shared" si="20"/>
        <v>31934.179880017859</v>
      </c>
      <c r="K455" s="731">
        <f t="shared" si="20"/>
        <v>30486.033847953622</v>
      </c>
      <c r="L455" s="731">
        <f t="shared" si="20"/>
        <v>30429.260527883238</v>
      </c>
      <c r="M455" s="731">
        <f t="shared" si="20"/>
        <v>28650.312805529265</v>
      </c>
      <c r="N455" s="731">
        <f t="shared" si="20"/>
        <v>28350.857246747291</v>
      </c>
      <c r="O455" s="731">
        <f t="shared" si="20"/>
        <v>29698.580245971669</v>
      </c>
      <c r="P455" s="731">
        <f t="shared" si="20"/>
        <v>30208.75076293946</v>
      </c>
      <c r="Q455" s="731">
        <f t="shared" si="20"/>
        <v>30194.129516600908</v>
      </c>
      <c r="R455" s="731">
        <f t="shared" si="20"/>
        <v>30659.503051758027</v>
      </c>
      <c r="S455" s="731">
        <f t="shared" si="20"/>
        <v>30659.747314453558</v>
      </c>
      <c r="T455" s="745"/>
      <c r="U455" s="724">
        <f t="shared" si="19"/>
        <v>516694.10653822008</v>
      </c>
      <c r="V455" s="725" t="s">
        <v>865</v>
      </c>
    </row>
    <row r="456" spans="1:22" ht="15" x14ac:dyDescent="0.25">
      <c r="A456" s="722" t="s">
        <v>369</v>
      </c>
      <c r="B456" s="713"/>
      <c r="C456" s="731">
        <f>C452*13.72</f>
        <v>12899.955600000001</v>
      </c>
      <c r="D456" s="731">
        <f>D452*13.72</f>
        <v>19033.756000000001</v>
      </c>
      <c r="E456" s="731">
        <f>E452*13.72</f>
        <v>28943.026000000005</v>
      </c>
      <c r="F456" s="731">
        <f>F452*13.71</f>
        <v>35038.372799999997</v>
      </c>
      <c r="G456" s="731">
        <f t="shared" ref="G456:Q456" si="21">G452*13.71</f>
        <v>24370.758900000001</v>
      </c>
      <c r="H456" s="731">
        <f t="shared" si="21"/>
        <v>5283.8124826093908</v>
      </c>
      <c r="I456" s="731">
        <f t="shared" si="21"/>
        <v>10534.215600000001</v>
      </c>
      <c r="J456" s="731">
        <f t="shared" si="21"/>
        <v>12727.815600000002</v>
      </c>
      <c r="K456" s="731">
        <f t="shared" si="21"/>
        <v>11001.589500000002</v>
      </c>
      <c r="L456" s="731">
        <f t="shared" si="21"/>
        <v>12415.2276</v>
      </c>
      <c r="M456" s="731">
        <f t="shared" si="21"/>
        <v>10844.472900000001</v>
      </c>
      <c r="N456" s="731">
        <f t="shared" si="21"/>
        <v>9096.3108000000011</v>
      </c>
      <c r="O456" s="731">
        <f t="shared" si="21"/>
        <v>3679.7640000000001</v>
      </c>
      <c r="P456" s="731">
        <f t="shared" si="21"/>
        <v>99030.181679999994</v>
      </c>
      <c r="Q456" s="731">
        <f t="shared" si="21"/>
        <v>94554.469920000018</v>
      </c>
      <c r="R456" s="731">
        <f>R452*14.4</f>
        <v>93387.456000000006</v>
      </c>
      <c r="S456" s="731">
        <f>S452*14.4</f>
        <v>93627.648000000001</v>
      </c>
      <c r="T456" s="745"/>
      <c r="U456" s="724">
        <f t="shared" si="19"/>
        <v>576468.83338260942</v>
      </c>
      <c r="V456" s="725" t="s">
        <v>865</v>
      </c>
    </row>
    <row r="457" spans="1:22" ht="14.25" x14ac:dyDescent="0.2">
      <c r="A457" s="722" t="s">
        <v>326</v>
      </c>
      <c r="B457" s="740" t="s">
        <v>351</v>
      </c>
      <c r="C457" s="731">
        <f>C453*13.79</f>
        <v>14300.23</v>
      </c>
      <c r="D457" s="731">
        <f>D453*13.79</f>
        <v>14465.71</v>
      </c>
      <c r="E457" s="731">
        <f>E453*13.79</f>
        <v>13831.369999999999</v>
      </c>
      <c r="F457" s="731" t="s">
        <v>13</v>
      </c>
      <c r="G457" s="731" t="s">
        <v>13</v>
      </c>
      <c r="H457" s="731" t="s">
        <v>13</v>
      </c>
      <c r="I457" s="731" t="s">
        <v>13</v>
      </c>
      <c r="J457" s="731">
        <f t="shared" ref="J457:Q457" si="22">J453*14.42</f>
        <v>77651.7</v>
      </c>
      <c r="K457" s="731">
        <f t="shared" si="22"/>
        <v>18371.079999999998</v>
      </c>
      <c r="L457" s="731">
        <f t="shared" si="22"/>
        <v>22192.38</v>
      </c>
      <c r="M457" s="731">
        <f t="shared" si="22"/>
        <v>18558.54</v>
      </c>
      <c r="N457" s="731">
        <f t="shared" si="22"/>
        <v>18385.5</v>
      </c>
      <c r="O457" s="731">
        <f t="shared" si="22"/>
        <v>14751.66</v>
      </c>
      <c r="P457" s="731">
        <f t="shared" si="22"/>
        <v>14766.08</v>
      </c>
      <c r="Q457" s="731">
        <f t="shared" si="22"/>
        <v>14203.7</v>
      </c>
      <c r="R457" s="731">
        <f>R453*13.87</f>
        <v>4761.5276562499994</v>
      </c>
      <c r="S457" s="731">
        <f>S453*13.87</f>
        <v>4789.376015625</v>
      </c>
      <c r="T457" s="745"/>
      <c r="U457" s="724">
        <f t="shared" si="19"/>
        <v>251028.853671875</v>
      </c>
      <c r="V457" s="725" t="s">
        <v>865</v>
      </c>
    </row>
    <row r="458" spans="1:22" ht="15" x14ac:dyDescent="0.25">
      <c r="A458" s="732" t="s">
        <v>325</v>
      </c>
      <c r="B458" s="740"/>
      <c r="C458" s="731">
        <f>C454*6.57</f>
        <v>897.0082831695396</v>
      </c>
      <c r="D458" s="731">
        <f>D454*6.57</f>
        <v>737.97344519355613</v>
      </c>
      <c r="E458" s="731">
        <f>E454*6.57</f>
        <v>415.35118085176327</v>
      </c>
      <c r="F458" s="731">
        <f>F454*6.55</f>
        <v>474.50774360924038</v>
      </c>
      <c r="G458" s="731">
        <f t="shared" ref="G458:Q458" si="23">G454*6.55</f>
        <v>600.74786324301556</v>
      </c>
      <c r="H458" s="731">
        <f t="shared" si="23"/>
        <v>956.05557666109962</v>
      </c>
      <c r="I458" s="731">
        <f t="shared" si="23"/>
        <v>1076.3849570951554</v>
      </c>
      <c r="J458" s="731">
        <f t="shared" si="23"/>
        <v>1028.8676150557872</v>
      </c>
      <c r="K458" s="731">
        <f t="shared" si="23"/>
        <v>736.83849402245357</v>
      </c>
      <c r="L458" s="731">
        <f t="shared" si="23"/>
        <v>734.80921481515293</v>
      </c>
      <c r="M458" s="731">
        <f t="shared" si="23"/>
        <v>827.29723574168474</v>
      </c>
      <c r="N458" s="731">
        <f t="shared" si="23"/>
        <v>1078.5298145111196</v>
      </c>
      <c r="O458" s="731">
        <f t="shared" si="23"/>
        <v>1146.6477924685516</v>
      </c>
      <c r="P458" s="731">
        <f t="shared" si="23"/>
        <v>787.18831127450983</v>
      </c>
      <c r="Q458" s="731">
        <f t="shared" si="23"/>
        <v>3766.25</v>
      </c>
      <c r="R458" s="731">
        <f>R454*7.86</f>
        <v>2680.26</v>
      </c>
      <c r="S458" s="731">
        <f>S454*7.86</f>
        <v>2365.86</v>
      </c>
      <c r="T458" s="746"/>
      <c r="U458" s="734">
        <f>SUM(C458:S458)</f>
        <v>20310.57752771263</v>
      </c>
      <c r="V458" s="725" t="s">
        <v>865</v>
      </c>
    </row>
    <row r="459" spans="1:22" ht="15" x14ac:dyDescent="0.25">
      <c r="A459" s="713"/>
      <c r="B459" s="747" t="s">
        <v>370</v>
      </c>
      <c r="C459" s="748"/>
      <c r="D459" s="748"/>
      <c r="E459" s="748"/>
      <c r="F459" s="748"/>
      <c r="G459" s="748"/>
      <c r="H459" s="748"/>
      <c r="I459" s="713"/>
      <c r="J459" s="713"/>
      <c r="K459" s="713"/>
      <c r="L459" s="713"/>
      <c r="M459" s="713"/>
      <c r="N459" s="713"/>
      <c r="O459" s="713"/>
      <c r="P459" s="713"/>
      <c r="Q459" s="713"/>
      <c r="R459" s="749"/>
      <c r="S459" s="713"/>
      <c r="T459" s="714"/>
      <c r="U459" s="715"/>
      <c r="V459" s="716"/>
    </row>
    <row r="460" spans="1:22" s="788" customFormat="1" ht="25.5" thickBot="1" x14ac:dyDescent="0.65">
      <c r="A460" s="786">
        <v>31</v>
      </c>
      <c r="B460" s="787" t="s">
        <v>611</v>
      </c>
      <c r="C460" s="796"/>
      <c r="D460" s="796"/>
      <c r="E460" s="796"/>
      <c r="F460" s="796"/>
      <c r="G460" s="796"/>
      <c r="H460" s="796"/>
      <c r="I460" s="796"/>
      <c r="J460" s="796"/>
      <c r="K460" s="796"/>
      <c r="L460" s="796"/>
      <c r="M460" s="796"/>
      <c r="N460" s="796"/>
      <c r="O460" s="796"/>
      <c r="R460" s="794"/>
      <c r="S460" s="795"/>
      <c r="T460" s="792"/>
      <c r="U460" s="797"/>
      <c r="V460" s="795"/>
    </row>
    <row r="461" spans="1:22" ht="18.75" x14ac:dyDescent="0.3">
      <c r="B461" s="800" t="s">
        <v>527</v>
      </c>
      <c r="C461" s="801"/>
      <c r="D461" s="802" t="s">
        <v>104</v>
      </c>
      <c r="E461" s="801"/>
      <c r="F461" s="801"/>
      <c r="G461" s="801"/>
      <c r="H461" s="801"/>
      <c r="I461" s="801"/>
      <c r="J461" s="801"/>
      <c r="K461" s="801"/>
      <c r="L461" s="801"/>
      <c r="M461" s="801"/>
      <c r="N461" s="803"/>
    </row>
    <row r="462" spans="1:22" x14ac:dyDescent="0.2">
      <c r="B462" s="804"/>
      <c r="C462" s="805" t="s">
        <v>682</v>
      </c>
      <c r="D462" s="805" t="s">
        <v>683</v>
      </c>
      <c r="E462" s="805" t="s">
        <v>684</v>
      </c>
      <c r="F462" s="805" t="s">
        <v>685</v>
      </c>
      <c r="G462" s="805" t="s">
        <v>686</v>
      </c>
      <c r="H462" s="805" t="s">
        <v>687</v>
      </c>
      <c r="I462" s="805" t="s">
        <v>688</v>
      </c>
      <c r="J462" s="805" t="s">
        <v>689</v>
      </c>
      <c r="K462" s="805" t="s">
        <v>690</v>
      </c>
      <c r="L462" s="805" t="s">
        <v>691</v>
      </c>
      <c r="M462" s="805" t="s">
        <v>692</v>
      </c>
      <c r="N462" s="806" t="s">
        <v>693</v>
      </c>
    </row>
    <row r="463" spans="1:22" x14ac:dyDescent="0.2">
      <c r="B463" s="804" t="s">
        <v>694</v>
      </c>
      <c r="C463" s="441"/>
      <c r="D463" s="441"/>
      <c r="E463" s="441"/>
      <c r="F463" s="441"/>
      <c r="G463" s="441"/>
      <c r="H463" s="441"/>
      <c r="I463" s="441"/>
      <c r="J463" s="441"/>
      <c r="K463" s="441"/>
      <c r="L463" s="441"/>
      <c r="M463" s="441"/>
      <c r="N463" s="807"/>
    </row>
    <row r="464" spans="1:22" x14ac:dyDescent="0.2">
      <c r="B464" s="804" t="s">
        <v>695</v>
      </c>
      <c r="C464" s="808">
        <v>161849</v>
      </c>
      <c r="D464" s="808">
        <v>167621</v>
      </c>
      <c r="E464" s="808">
        <v>182746</v>
      </c>
      <c r="F464" s="808">
        <v>175264</v>
      </c>
      <c r="G464" s="808">
        <v>165377</v>
      </c>
      <c r="H464" s="808">
        <v>138223</v>
      </c>
      <c r="I464" s="808">
        <v>119830</v>
      </c>
      <c r="J464" s="808">
        <v>116370</v>
      </c>
      <c r="K464" s="808">
        <v>194940</v>
      </c>
      <c r="L464" s="808">
        <v>100670</v>
      </c>
      <c r="M464" s="808">
        <v>146090</v>
      </c>
      <c r="N464" s="809">
        <v>143280</v>
      </c>
    </row>
    <row r="465" spans="1:22" x14ac:dyDescent="0.2">
      <c r="B465" s="804" t="s">
        <v>696</v>
      </c>
      <c r="C465" s="593">
        <v>1562</v>
      </c>
      <c r="D465" s="593">
        <v>1694</v>
      </c>
      <c r="E465" s="593">
        <v>2077</v>
      </c>
      <c r="F465" s="593">
        <v>2277</v>
      </c>
      <c r="G465" s="593">
        <v>3889</v>
      </c>
      <c r="H465" s="593">
        <v>3340</v>
      </c>
      <c r="I465" s="808">
        <v>4159</v>
      </c>
      <c r="J465" s="593">
        <v>3475</v>
      </c>
      <c r="K465" s="593">
        <v>3298</v>
      </c>
      <c r="L465" s="593">
        <v>2174</v>
      </c>
      <c r="M465" s="593">
        <v>1014</v>
      </c>
      <c r="N465" s="810">
        <v>1031</v>
      </c>
    </row>
    <row r="466" spans="1:22" x14ac:dyDescent="0.2">
      <c r="B466" s="804" t="s">
        <v>697</v>
      </c>
      <c r="C466" s="454">
        <v>5490</v>
      </c>
      <c r="D466" s="454">
        <v>15661</v>
      </c>
      <c r="E466" s="454">
        <v>14440</v>
      </c>
      <c r="F466" s="454">
        <v>14072</v>
      </c>
      <c r="G466" s="454">
        <v>9708</v>
      </c>
      <c r="H466" s="454">
        <v>2193</v>
      </c>
      <c r="I466" s="454">
        <v>5277</v>
      </c>
      <c r="J466" s="454">
        <v>5689</v>
      </c>
      <c r="K466" s="454">
        <v>12523</v>
      </c>
      <c r="L466" s="454">
        <v>7430</v>
      </c>
      <c r="M466" s="454">
        <v>5461</v>
      </c>
      <c r="N466" s="811">
        <v>5332</v>
      </c>
    </row>
    <row r="467" spans="1:22" x14ac:dyDescent="0.2">
      <c r="B467" s="812" t="s">
        <v>881</v>
      </c>
      <c r="C467" s="441"/>
      <c r="D467" s="441"/>
      <c r="E467" s="441"/>
      <c r="F467" s="441"/>
      <c r="G467" s="441"/>
      <c r="H467" s="441"/>
      <c r="I467" s="441"/>
      <c r="J467" s="441"/>
      <c r="K467" s="441"/>
      <c r="L467" s="441"/>
      <c r="M467" s="441"/>
      <c r="N467" s="807"/>
    </row>
    <row r="468" spans="1:22" x14ac:dyDescent="0.2">
      <c r="B468" s="804" t="s">
        <v>698</v>
      </c>
      <c r="C468" s="441"/>
      <c r="D468" s="441"/>
      <c r="E468" s="441"/>
      <c r="F468" s="441"/>
      <c r="G468" s="441"/>
      <c r="H468" s="441"/>
      <c r="I468" s="441"/>
      <c r="J468" s="441"/>
      <c r="K468" s="441"/>
      <c r="L468" s="441"/>
      <c r="M468" s="441"/>
      <c r="N468" s="807"/>
    </row>
    <row r="469" spans="1:22" x14ac:dyDescent="0.2">
      <c r="B469" s="804" t="s">
        <v>699</v>
      </c>
      <c r="C469" s="442">
        <v>10816.392602279917</v>
      </c>
      <c r="D469" s="442">
        <v>11123.957804127933</v>
      </c>
      <c r="E469" s="442">
        <v>12342.060358983701</v>
      </c>
      <c r="F469" s="442">
        <v>10621.015500500736</v>
      </c>
      <c r="G469" s="442">
        <v>9495.8339708815201</v>
      </c>
      <c r="H469" s="442">
        <v>8068.3052854392045</v>
      </c>
      <c r="I469" s="442">
        <v>6866.8614618474394</v>
      </c>
      <c r="J469" s="442">
        <v>6784.8210089884014</v>
      </c>
      <c r="K469" s="442">
        <v>11549.652032310985</v>
      </c>
      <c r="L469" s="442">
        <v>5723.0080429161626</v>
      </c>
      <c r="M469" s="442">
        <v>8433.7633411610259</v>
      </c>
      <c r="N469" s="813">
        <v>9293.4420812567732</v>
      </c>
    </row>
    <row r="470" spans="1:22" x14ac:dyDescent="0.2">
      <c r="B470" s="804" t="s">
        <v>700</v>
      </c>
      <c r="C470" s="442">
        <v>1421.5810309278352</v>
      </c>
      <c r="D470" s="442">
        <v>1536.5429326923077</v>
      </c>
      <c r="E470" s="442">
        <v>1890.94</v>
      </c>
      <c r="F470" s="442">
        <v>2070.6799999999998</v>
      </c>
      <c r="G470" s="442">
        <v>3632.33</v>
      </c>
      <c r="H470" s="442">
        <v>3098.56</v>
      </c>
      <c r="I470" s="442">
        <v>3905.05</v>
      </c>
      <c r="J470" s="442">
        <v>3217.44</v>
      </c>
      <c r="K470" s="442">
        <v>2833.32</v>
      </c>
      <c r="L470" s="442">
        <v>1794.83</v>
      </c>
      <c r="M470" s="442">
        <v>905.17</v>
      </c>
      <c r="N470" s="813">
        <v>940.95</v>
      </c>
    </row>
    <row r="471" spans="1:22" ht="13.5" thickBot="1" x14ac:dyDescent="0.25">
      <c r="B471" s="814" t="s">
        <v>701</v>
      </c>
      <c r="C471" s="815">
        <v>470.21222591236261</v>
      </c>
      <c r="D471" s="815">
        <v>1189.5074067146279</v>
      </c>
      <c r="E471" s="815">
        <v>1072.9038536198393</v>
      </c>
      <c r="F471" s="815">
        <v>1096.4835980721291</v>
      </c>
      <c r="G471" s="815">
        <v>768.93390880791389</v>
      </c>
      <c r="H471" s="815">
        <v>190.56391295585414</v>
      </c>
      <c r="I471" s="815">
        <v>363.58972614437403</v>
      </c>
      <c r="J471" s="815">
        <v>471.90115656869301</v>
      </c>
      <c r="K471" s="815">
        <v>863.92135993739373</v>
      </c>
      <c r="L471" s="815">
        <v>540.10759240838922</v>
      </c>
      <c r="M471" s="815">
        <v>406.32297519815904</v>
      </c>
      <c r="N471" s="816">
        <v>404.76153743445457</v>
      </c>
    </row>
    <row r="472" spans="1:22" s="788" customFormat="1" ht="24.75" x14ac:dyDescent="0.6">
      <c r="A472" s="786">
        <v>32</v>
      </c>
      <c r="B472" s="787" t="s">
        <v>612</v>
      </c>
      <c r="C472" s="796"/>
      <c r="D472" s="796"/>
      <c r="E472" s="796"/>
      <c r="F472" s="796"/>
      <c r="G472" s="796"/>
      <c r="H472" s="796"/>
      <c r="I472" s="796"/>
      <c r="J472" s="796"/>
      <c r="K472" s="796"/>
      <c r="L472" s="796"/>
      <c r="M472" s="796"/>
      <c r="N472" s="796"/>
      <c r="O472" s="796"/>
      <c r="R472" s="794"/>
      <c r="S472" s="795"/>
      <c r="T472" s="792"/>
      <c r="U472" s="797"/>
      <c r="V472" s="795"/>
    </row>
    <row r="473" spans="1:22" ht="31.15" customHeight="1" x14ac:dyDescent="0.2">
      <c r="B473" s="464" t="s">
        <v>884</v>
      </c>
      <c r="E473" s="464" t="s">
        <v>885</v>
      </c>
    </row>
    <row r="474" spans="1:22" s="94" customFormat="1" x14ac:dyDescent="0.2">
      <c r="B474" s="465" t="s">
        <v>337</v>
      </c>
      <c r="C474" s="91">
        <v>41456</v>
      </c>
      <c r="D474" s="91">
        <v>41487</v>
      </c>
      <c r="E474" s="91">
        <v>41518</v>
      </c>
      <c r="F474" s="91">
        <v>41548</v>
      </c>
      <c r="G474" s="91">
        <v>41592</v>
      </c>
      <c r="H474" s="91">
        <v>41609</v>
      </c>
      <c r="I474" s="91">
        <v>41640</v>
      </c>
      <c r="J474" s="91">
        <v>41671</v>
      </c>
      <c r="K474" s="91">
        <v>41699</v>
      </c>
      <c r="L474" s="91">
        <v>41730</v>
      </c>
      <c r="M474" s="91">
        <v>41760</v>
      </c>
      <c r="N474" s="91">
        <v>41791</v>
      </c>
      <c r="O474" s="91">
        <v>41821</v>
      </c>
      <c r="P474" s="91">
        <v>41852</v>
      </c>
    </row>
    <row r="476" spans="1:22" x14ac:dyDescent="0.2">
      <c r="B476" s="95" t="s">
        <v>409</v>
      </c>
      <c r="C476" s="96">
        <v>150800</v>
      </c>
      <c r="D476" s="96">
        <v>161600</v>
      </c>
      <c r="E476" s="96">
        <v>141600</v>
      </c>
      <c r="F476" s="96">
        <v>143400</v>
      </c>
      <c r="G476" s="96">
        <v>149400</v>
      </c>
      <c r="H476" s="96">
        <v>154400</v>
      </c>
      <c r="I476" s="96">
        <v>156800</v>
      </c>
      <c r="J476" s="96">
        <v>156600</v>
      </c>
      <c r="K476" s="96">
        <v>130000</v>
      </c>
      <c r="L476" s="96">
        <v>173200</v>
      </c>
      <c r="M476" s="96">
        <v>135800</v>
      </c>
      <c r="N476" s="96">
        <v>186000</v>
      </c>
      <c r="O476" s="96">
        <v>170800</v>
      </c>
      <c r="P476" s="96"/>
    </row>
    <row r="477" spans="1:22" x14ac:dyDescent="0.2">
      <c r="B477" s="95" t="s">
        <v>886</v>
      </c>
      <c r="C477" s="96">
        <v>651</v>
      </c>
      <c r="D477" s="96">
        <v>723</v>
      </c>
      <c r="E477" s="96">
        <v>739</v>
      </c>
      <c r="F477" s="96">
        <v>865</v>
      </c>
      <c r="G477" s="96">
        <v>963</v>
      </c>
      <c r="H477" s="96">
        <v>922</v>
      </c>
      <c r="I477" s="96">
        <v>1343</v>
      </c>
      <c r="J477" s="96">
        <v>902</v>
      </c>
      <c r="K477" s="96">
        <v>1093</v>
      </c>
      <c r="L477" s="96">
        <v>1216</v>
      </c>
      <c r="M477" s="96">
        <v>1071</v>
      </c>
      <c r="N477" s="96">
        <v>1119</v>
      </c>
      <c r="O477" s="96">
        <v>1251</v>
      </c>
      <c r="P477" s="96"/>
    </row>
    <row r="478" spans="1:22" x14ac:dyDescent="0.2">
      <c r="B478" s="95" t="s">
        <v>322</v>
      </c>
      <c r="C478" s="101">
        <v>107680</v>
      </c>
      <c r="D478" s="101">
        <v>159550</v>
      </c>
      <c r="E478" s="101">
        <v>81300</v>
      </c>
      <c r="F478" s="101">
        <v>71600</v>
      </c>
      <c r="G478" s="101">
        <v>112300</v>
      </c>
      <c r="H478" s="101">
        <v>137480</v>
      </c>
      <c r="I478" s="101">
        <v>124050</v>
      </c>
      <c r="J478" s="101">
        <v>143200</v>
      </c>
      <c r="K478" s="101">
        <v>136010</v>
      </c>
      <c r="L478" s="101">
        <v>116500</v>
      </c>
      <c r="M478" s="101">
        <v>141800</v>
      </c>
      <c r="N478" s="101">
        <v>161100</v>
      </c>
      <c r="O478" s="101">
        <v>182600</v>
      </c>
      <c r="P478" s="101"/>
    </row>
    <row r="480" spans="1:22" x14ac:dyDescent="0.2">
      <c r="B480" s="95" t="s">
        <v>347</v>
      </c>
      <c r="C480" s="109">
        <v>8632.4699999999993</v>
      </c>
      <c r="D480" s="109">
        <v>13344.33</v>
      </c>
      <c r="E480" s="109">
        <v>12036.47</v>
      </c>
      <c r="F480" s="109">
        <v>12116.49</v>
      </c>
      <c r="G480" s="109">
        <v>12380.97</v>
      </c>
      <c r="H480" s="109">
        <v>12747.97</v>
      </c>
      <c r="I480" s="109">
        <v>12650.83</v>
      </c>
      <c r="J480" s="109">
        <v>12896.19</v>
      </c>
      <c r="K480" s="109">
        <v>12896.19</v>
      </c>
      <c r="L480" s="109">
        <v>13921.29</v>
      </c>
      <c r="M480" s="109">
        <v>11155.12</v>
      </c>
      <c r="N480" s="109">
        <v>15036.73</v>
      </c>
      <c r="O480" s="109">
        <v>14221.17</v>
      </c>
      <c r="P480" s="109"/>
    </row>
    <row r="481" spans="1:16" x14ac:dyDescent="0.2">
      <c r="B481" s="112" t="s">
        <v>381</v>
      </c>
      <c r="C481" s="113">
        <v>609.44000000000005</v>
      </c>
      <c r="D481" s="113">
        <v>674.14</v>
      </c>
      <c r="E481" s="113">
        <v>688.52</v>
      </c>
      <c r="F481" s="113">
        <v>801.75</v>
      </c>
      <c r="G481" s="113">
        <v>917.8</v>
      </c>
      <c r="H481" s="113">
        <v>872.94</v>
      </c>
      <c r="I481" s="113">
        <v>1277.49</v>
      </c>
      <c r="J481" s="113">
        <v>903.14</v>
      </c>
      <c r="K481" s="113">
        <v>1878.26</v>
      </c>
      <c r="L481" s="113">
        <v>1015.77</v>
      </c>
      <c r="M481" s="113">
        <v>951.11</v>
      </c>
      <c r="N481" s="113">
        <v>1019.18</v>
      </c>
      <c r="O481" s="113">
        <v>1166.6600000000001</v>
      </c>
      <c r="P481" s="113"/>
    </row>
    <row r="482" spans="1:16" x14ac:dyDescent="0.2">
      <c r="B482" s="112" t="s">
        <v>410</v>
      </c>
      <c r="C482" s="113">
        <v>749.22</v>
      </c>
      <c r="D482" s="113">
        <v>1017.19</v>
      </c>
      <c r="E482" s="113">
        <v>651.76</v>
      </c>
      <c r="F482" s="113">
        <v>606.46</v>
      </c>
      <c r="G482" s="113">
        <v>796.53</v>
      </c>
      <c r="H482" s="113">
        <v>914.12</v>
      </c>
      <c r="I482" s="113">
        <v>865.11</v>
      </c>
      <c r="J482" s="113">
        <v>953.61</v>
      </c>
      <c r="K482" s="113">
        <v>907.25</v>
      </c>
      <c r="L482" s="113">
        <v>816.15</v>
      </c>
      <c r="M482" s="113">
        <v>934.29</v>
      </c>
      <c r="N482" s="113">
        <v>1024.43</v>
      </c>
      <c r="O482" s="113">
        <v>1124.83</v>
      </c>
      <c r="P482" s="113"/>
    </row>
    <row r="483" spans="1:16" s="799" customFormat="1" ht="20.25" x14ac:dyDescent="0.3">
      <c r="A483" s="798">
        <v>33</v>
      </c>
      <c r="B483" s="799" t="s">
        <v>610</v>
      </c>
    </row>
    <row r="484" spans="1:16" x14ac:dyDescent="0.2">
      <c r="B484" t="s">
        <v>575</v>
      </c>
      <c r="C484" t="s">
        <v>576</v>
      </c>
    </row>
    <row r="486" spans="1:16" x14ac:dyDescent="0.2">
      <c r="C486" t="s">
        <v>477</v>
      </c>
      <c r="D486" t="s">
        <v>478</v>
      </c>
      <c r="E486" t="s">
        <v>479</v>
      </c>
      <c r="F486" t="s">
        <v>480</v>
      </c>
      <c r="G486" t="s">
        <v>481</v>
      </c>
      <c r="H486" t="s">
        <v>577</v>
      </c>
      <c r="I486" t="s">
        <v>578</v>
      </c>
      <c r="J486" t="s">
        <v>484</v>
      </c>
      <c r="K486" t="s">
        <v>579</v>
      </c>
      <c r="L486" t="s">
        <v>580</v>
      </c>
      <c r="M486" t="s">
        <v>581</v>
      </c>
      <c r="N486" t="s">
        <v>476</v>
      </c>
      <c r="O486" t="s">
        <v>338</v>
      </c>
    </row>
    <row r="487" spans="1:16" x14ac:dyDescent="0.2">
      <c r="B487" t="s">
        <v>582</v>
      </c>
    </row>
    <row r="488" spans="1:16" x14ac:dyDescent="0.2">
      <c r="B488" t="s">
        <v>583</v>
      </c>
      <c r="C488">
        <v>64600</v>
      </c>
      <c r="D488">
        <v>53900</v>
      </c>
      <c r="E488">
        <v>64100</v>
      </c>
      <c r="F488">
        <v>54700</v>
      </c>
      <c r="G488">
        <v>49500</v>
      </c>
      <c r="H488">
        <v>41600</v>
      </c>
      <c r="I488">
        <v>31300</v>
      </c>
      <c r="J488">
        <v>36600</v>
      </c>
      <c r="K488">
        <v>44300</v>
      </c>
      <c r="L488">
        <v>60400</v>
      </c>
      <c r="M488">
        <v>61700</v>
      </c>
      <c r="N488">
        <v>76000</v>
      </c>
      <c r="O488" s="452">
        <v>638700</v>
      </c>
    </row>
    <row r="489" spans="1:16" x14ac:dyDescent="0.2">
      <c r="B489" t="s">
        <v>584</v>
      </c>
      <c r="C489">
        <v>147</v>
      </c>
      <c r="D489">
        <v>144</v>
      </c>
      <c r="E489">
        <v>162</v>
      </c>
      <c r="F489">
        <v>165</v>
      </c>
      <c r="G489">
        <v>143</v>
      </c>
      <c r="H489">
        <v>156</v>
      </c>
      <c r="I489">
        <v>105</v>
      </c>
      <c r="J489">
        <v>111</v>
      </c>
      <c r="K489">
        <v>120</v>
      </c>
      <c r="L489">
        <v>212</v>
      </c>
      <c r="M489">
        <v>218</v>
      </c>
      <c r="N489">
        <v>147</v>
      </c>
      <c r="O489">
        <v>152.5</v>
      </c>
    </row>
    <row r="490" spans="1:16" x14ac:dyDescent="0.2">
      <c r="B490" t="s">
        <v>585</v>
      </c>
      <c r="C490">
        <v>31</v>
      </c>
      <c r="D490">
        <v>28</v>
      </c>
      <c r="E490">
        <v>30</v>
      </c>
      <c r="F490">
        <v>30</v>
      </c>
      <c r="G490">
        <v>33</v>
      </c>
      <c r="H490">
        <v>33</v>
      </c>
      <c r="I490">
        <v>30</v>
      </c>
      <c r="J490">
        <v>28</v>
      </c>
      <c r="K490">
        <v>29</v>
      </c>
      <c r="L490">
        <v>33</v>
      </c>
      <c r="M490">
        <v>30</v>
      </c>
      <c r="N490">
        <v>32</v>
      </c>
    </row>
    <row r="491" spans="1:16" x14ac:dyDescent="0.2">
      <c r="B491" t="s">
        <v>586</v>
      </c>
      <c r="C491">
        <v>5090.5600000000004</v>
      </c>
      <c r="D491">
        <v>4487.7299999999996</v>
      </c>
      <c r="E491">
        <v>5212.95</v>
      </c>
      <c r="F491">
        <v>4215.84</v>
      </c>
      <c r="G491">
        <v>3841.59</v>
      </c>
      <c r="H491">
        <v>3433.28</v>
      </c>
      <c r="I491">
        <v>2464.73</v>
      </c>
      <c r="J491">
        <v>2788.5</v>
      </c>
      <c r="K491">
        <v>3321.54</v>
      </c>
      <c r="L491">
        <v>4740.7700000000004</v>
      </c>
      <c r="M491">
        <v>4845.83</v>
      </c>
      <c r="N491">
        <v>5346.96</v>
      </c>
      <c r="O491">
        <v>49790.280000000006</v>
      </c>
    </row>
    <row r="492" spans="1:16" x14ac:dyDescent="0.2">
      <c r="B492" t="s">
        <v>587</v>
      </c>
      <c r="C492">
        <v>805.28</v>
      </c>
      <c r="D492">
        <v>805.28</v>
      </c>
      <c r="E492">
        <v>805.28</v>
      </c>
      <c r="F492">
        <v>805.28</v>
      </c>
      <c r="G492">
        <v>805.28</v>
      </c>
      <c r="H492">
        <v>797.6</v>
      </c>
      <c r="I492">
        <v>793.76</v>
      </c>
      <c r="J492">
        <v>793.76</v>
      </c>
      <c r="K492">
        <v>793.76</v>
      </c>
      <c r="L492">
        <v>793.76</v>
      </c>
      <c r="M492">
        <v>793.76</v>
      </c>
      <c r="N492">
        <v>793.76</v>
      </c>
      <c r="O492">
        <v>9586.5600000000013</v>
      </c>
    </row>
    <row r="493" spans="1:16" x14ac:dyDescent="0.2">
      <c r="B493" t="s">
        <v>588</v>
      </c>
      <c r="C493">
        <v>176.88</v>
      </c>
      <c r="D493">
        <v>158.79</v>
      </c>
      <c r="E493">
        <v>180.55</v>
      </c>
      <c r="F493">
        <v>150.63</v>
      </c>
      <c r="G493">
        <v>139.41</v>
      </c>
      <c r="H493">
        <v>126.93</v>
      </c>
      <c r="I493">
        <v>97.75</v>
      </c>
      <c r="J493">
        <v>107.47</v>
      </c>
      <c r="K493">
        <v>123.46</v>
      </c>
      <c r="L493">
        <v>166.04</v>
      </c>
      <c r="M493">
        <v>169.19</v>
      </c>
      <c r="N493">
        <v>184.22</v>
      </c>
      <c r="O493">
        <v>1781.3200000000002</v>
      </c>
    </row>
    <row r="494" spans="1:16" x14ac:dyDescent="0.2">
      <c r="B494" t="s">
        <v>589</v>
      </c>
      <c r="C494">
        <v>6072.72</v>
      </c>
      <c r="D494">
        <v>5451.7999999999993</v>
      </c>
      <c r="E494">
        <v>6198.78</v>
      </c>
      <c r="F494">
        <v>5171.75</v>
      </c>
      <c r="G494">
        <v>4786.28</v>
      </c>
      <c r="H494">
        <v>4357.8100000000004</v>
      </c>
      <c r="I494">
        <v>3356.24</v>
      </c>
      <c r="J494">
        <v>3689.73</v>
      </c>
      <c r="K494">
        <v>4238.76</v>
      </c>
      <c r="L494">
        <v>5700.5700000000006</v>
      </c>
      <c r="M494">
        <v>5808.78</v>
      </c>
      <c r="N494">
        <v>6324.9400000000005</v>
      </c>
      <c r="O494" s="452">
        <v>61158.16</v>
      </c>
    </row>
    <row r="497" spans="1:24" x14ac:dyDescent="0.2">
      <c r="B497" t="s">
        <v>590</v>
      </c>
    </row>
    <row r="498" spans="1:24" x14ac:dyDescent="0.2">
      <c r="B498" t="s">
        <v>591</v>
      </c>
      <c r="C498">
        <v>239</v>
      </c>
      <c r="D498">
        <v>273</v>
      </c>
      <c r="E498">
        <v>152</v>
      </c>
      <c r="F498">
        <v>702</v>
      </c>
      <c r="G498">
        <v>843</v>
      </c>
      <c r="H498">
        <v>1057</v>
      </c>
      <c r="I498">
        <v>1141</v>
      </c>
      <c r="J498">
        <v>1560</v>
      </c>
      <c r="K498">
        <v>1110</v>
      </c>
      <c r="L498">
        <v>732</v>
      </c>
      <c r="M498">
        <v>311</v>
      </c>
      <c r="N498">
        <v>259</v>
      </c>
      <c r="O498" s="452">
        <v>8379</v>
      </c>
    </row>
    <row r="499" spans="1:24" x14ac:dyDescent="0.2">
      <c r="B499" t="s">
        <v>586</v>
      </c>
      <c r="C499">
        <v>228.42</v>
      </c>
      <c r="D499">
        <v>257.77999999999997</v>
      </c>
      <c r="E499">
        <v>153.28</v>
      </c>
      <c r="F499">
        <v>666.39</v>
      </c>
      <c r="G499">
        <v>764.96</v>
      </c>
      <c r="H499">
        <v>963.02</v>
      </c>
      <c r="I499">
        <v>1048.32</v>
      </c>
      <c r="J499">
        <v>1372.94</v>
      </c>
      <c r="K499">
        <v>893.73</v>
      </c>
      <c r="L499">
        <v>599.66</v>
      </c>
      <c r="M499">
        <v>287.58999999999997</v>
      </c>
      <c r="N499">
        <v>243.18</v>
      </c>
      <c r="O499">
        <v>7479.27</v>
      </c>
    </row>
    <row r="500" spans="1:24" x14ac:dyDescent="0.2">
      <c r="B500" t="s">
        <v>592</v>
      </c>
      <c r="C500">
        <v>10.77</v>
      </c>
      <c r="D500">
        <v>11.96</v>
      </c>
      <c r="E500">
        <v>7.14</v>
      </c>
      <c r="F500">
        <v>26.97</v>
      </c>
      <c r="G500">
        <v>31.91</v>
      </c>
      <c r="H500">
        <v>39.4</v>
      </c>
      <c r="I500">
        <v>42.34</v>
      </c>
      <c r="J500">
        <v>57</v>
      </c>
      <c r="K500">
        <v>41.25</v>
      </c>
      <c r="L500">
        <v>28.02</v>
      </c>
      <c r="M500">
        <v>13.29</v>
      </c>
      <c r="N500">
        <v>17.02</v>
      </c>
      <c r="O500">
        <v>327.07</v>
      </c>
    </row>
    <row r="501" spans="1:24" x14ac:dyDescent="0.2">
      <c r="B501" t="s">
        <v>589</v>
      </c>
      <c r="C501">
        <v>239.19</v>
      </c>
      <c r="D501">
        <v>269.73999999999995</v>
      </c>
      <c r="E501">
        <v>160.41999999999999</v>
      </c>
      <c r="F501">
        <v>693.36</v>
      </c>
      <c r="G501">
        <v>796.87</v>
      </c>
      <c r="H501">
        <v>1002.42</v>
      </c>
      <c r="I501">
        <v>1090.6599999999999</v>
      </c>
      <c r="J501">
        <v>1429.94</v>
      </c>
      <c r="K501">
        <v>934.98</v>
      </c>
      <c r="L501">
        <v>627.67999999999995</v>
      </c>
      <c r="M501">
        <v>300.88</v>
      </c>
      <c r="N501">
        <v>260.2</v>
      </c>
      <c r="O501" s="452">
        <v>7806.34</v>
      </c>
    </row>
    <row r="504" spans="1:24" x14ac:dyDescent="0.2">
      <c r="B504" t="s">
        <v>593</v>
      </c>
      <c r="C504" t="s">
        <v>594</v>
      </c>
      <c r="D504" t="s">
        <v>595</v>
      </c>
      <c r="E504" t="s">
        <v>596</v>
      </c>
      <c r="F504" t="s">
        <v>597</v>
      </c>
      <c r="G504" t="s">
        <v>598</v>
      </c>
      <c r="H504" t="s">
        <v>599</v>
      </c>
      <c r="I504" t="s">
        <v>600</v>
      </c>
      <c r="J504" t="s">
        <v>601</v>
      </c>
      <c r="K504" t="s">
        <v>602</v>
      </c>
      <c r="L504" t="s">
        <v>603</v>
      </c>
      <c r="M504" t="s">
        <v>604</v>
      </c>
      <c r="N504" t="s">
        <v>605</v>
      </c>
      <c r="O504" t="s">
        <v>367</v>
      </c>
      <c r="P504" t="s">
        <v>636</v>
      </c>
    </row>
    <row r="505" spans="1:24" x14ac:dyDescent="0.2">
      <c r="B505" t="s">
        <v>637</v>
      </c>
      <c r="C505">
        <v>87</v>
      </c>
      <c r="D505">
        <v>119</v>
      </c>
      <c r="E505">
        <v>118</v>
      </c>
      <c r="F505">
        <v>146</v>
      </c>
      <c r="G505">
        <v>109</v>
      </c>
      <c r="H505">
        <v>82</v>
      </c>
      <c r="I505">
        <v>110</v>
      </c>
      <c r="J505">
        <v>187</v>
      </c>
      <c r="K505">
        <v>157</v>
      </c>
      <c r="L505">
        <v>199</v>
      </c>
      <c r="M505">
        <v>110</v>
      </c>
      <c r="N505">
        <v>137</v>
      </c>
      <c r="O505" s="452">
        <v>1561</v>
      </c>
      <c r="P505" s="452">
        <f>O505*7.48</f>
        <v>11676.28</v>
      </c>
    </row>
    <row r="506" spans="1:24" x14ac:dyDescent="0.2">
      <c r="B506" t="s">
        <v>606</v>
      </c>
      <c r="C506">
        <v>32</v>
      </c>
      <c r="D506">
        <v>29</v>
      </c>
      <c r="E506">
        <v>29</v>
      </c>
      <c r="F506">
        <v>34</v>
      </c>
      <c r="G506">
        <v>29</v>
      </c>
      <c r="H506">
        <v>35</v>
      </c>
      <c r="I506">
        <v>27</v>
      </c>
      <c r="J506">
        <v>29</v>
      </c>
      <c r="K506">
        <v>29</v>
      </c>
      <c r="L506">
        <v>29</v>
      </c>
      <c r="M506">
        <v>32</v>
      </c>
      <c r="N506">
        <v>29</v>
      </c>
    </row>
    <row r="507" spans="1:24" x14ac:dyDescent="0.2">
      <c r="B507" t="s">
        <v>607</v>
      </c>
      <c r="C507">
        <v>13.77</v>
      </c>
      <c r="D507">
        <v>13.77</v>
      </c>
      <c r="E507">
        <v>13.77</v>
      </c>
      <c r="F507">
        <v>13.77</v>
      </c>
      <c r="G507">
        <v>13.77</v>
      </c>
      <c r="H507">
        <v>13.77</v>
      </c>
      <c r="I507">
        <v>13.77</v>
      </c>
      <c r="J507">
        <v>14.74</v>
      </c>
      <c r="K507">
        <v>13.95</v>
      </c>
      <c r="L507">
        <v>15.05</v>
      </c>
      <c r="M507">
        <v>13.77</v>
      </c>
      <c r="N507">
        <v>13.77</v>
      </c>
      <c r="O507">
        <v>167.67000000000002</v>
      </c>
    </row>
    <row r="508" spans="1:24" x14ac:dyDescent="0.2">
      <c r="B508" t="s">
        <v>608</v>
      </c>
      <c r="C508">
        <v>16.84</v>
      </c>
      <c r="D508">
        <v>16.84</v>
      </c>
      <c r="E508">
        <v>16.84</v>
      </c>
      <c r="F508">
        <v>16.84</v>
      </c>
      <c r="G508">
        <v>16.84</v>
      </c>
      <c r="H508">
        <v>16.84</v>
      </c>
      <c r="I508">
        <v>16.84</v>
      </c>
      <c r="J508">
        <v>17.809999999999999</v>
      </c>
      <c r="K508">
        <v>17.02</v>
      </c>
      <c r="L508">
        <v>18.12</v>
      </c>
      <c r="M508">
        <v>16.84</v>
      </c>
      <c r="N508">
        <v>16.84</v>
      </c>
      <c r="O508">
        <v>204.51000000000002</v>
      </c>
    </row>
    <row r="509" spans="1:24" x14ac:dyDescent="0.2">
      <c r="B509" t="s">
        <v>338</v>
      </c>
      <c r="C509">
        <v>30.61</v>
      </c>
      <c r="D509">
        <v>30.61</v>
      </c>
      <c r="E509">
        <v>30.61</v>
      </c>
      <c r="F509">
        <v>30.61</v>
      </c>
      <c r="G509">
        <v>30.61</v>
      </c>
      <c r="H509">
        <v>30.61</v>
      </c>
      <c r="I509">
        <v>30.61</v>
      </c>
      <c r="J509">
        <v>32.549999999999997</v>
      </c>
      <c r="K509">
        <v>30.97</v>
      </c>
      <c r="L509">
        <v>33.17</v>
      </c>
      <c r="M509">
        <v>30.61</v>
      </c>
      <c r="N509">
        <v>30.61</v>
      </c>
      <c r="O509" s="452">
        <v>372.18000000000012</v>
      </c>
    </row>
    <row r="510" spans="1:24" x14ac:dyDescent="0.2">
      <c r="L510" t="s">
        <v>609</v>
      </c>
      <c r="O510" s="453">
        <f>O494+O501+O509</f>
        <v>69336.679999999993</v>
      </c>
    </row>
    <row r="511" spans="1:24" s="788" customFormat="1" ht="20.25" x14ac:dyDescent="0.3">
      <c r="A511" s="786">
        <v>34</v>
      </c>
      <c r="B511" s="787" t="s">
        <v>615</v>
      </c>
      <c r="C511" s="787"/>
      <c r="U511" s="789"/>
      <c r="X511" s="789"/>
    </row>
    <row r="512" spans="1:24" ht="37.15" customHeight="1" x14ac:dyDescent="0.2">
      <c r="A512" s="823" t="s">
        <v>887</v>
      </c>
    </row>
    <row r="513" spans="1:16307" ht="16.149999999999999" customHeight="1" x14ac:dyDescent="0.2">
      <c r="A513" s="2256" t="s">
        <v>888</v>
      </c>
      <c r="B513" s="2257"/>
      <c r="C513" s="2257"/>
      <c r="D513" s="2257"/>
      <c r="E513" s="2257"/>
      <c r="F513" s="2257"/>
      <c r="G513" s="2257"/>
      <c r="H513" s="2257"/>
      <c r="I513" s="2257"/>
      <c r="J513" s="2257"/>
      <c r="K513" s="2257"/>
      <c r="L513" s="2257"/>
      <c r="M513" s="2257"/>
      <c r="N513" s="2257"/>
      <c r="O513" s="2257"/>
      <c r="P513" s="2257"/>
      <c r="Q513" s="2257"/>
      <c r="R513" s="2257"/>
      <c r="S513" s="2257"/>
      <c r="T513" s="2257"/>
      <c r="U513" s="2257"/>
      <c r="V513" s="2257"/>
      <c r="W513" s="2257"/>
      <c r="X513" s="2257"/>
      <c r="Y513" s="2257"/>
      <c r="Z513" s="2257"/>
      <c r="AA513" s="2257"/>
      <c r="AB513" s="2257"/>
      <c r="AC513" s="2257"/>
      <c r="AD513" s="2257"/>
      <c r="AE513" s="2257"/>
      <c r="AF513" s="2257"/>
      <c r="AG513" s="2257"/>
      <c r="AH513" s="2257"/>
      <c r="AI513" s="2257"/>
      <c r="AJ513" s="2257"/>
      <c r="AK513" s="2257"/>
      <c r="AL513" s="2257"/>
      <c r="AM513" s="2257"/>
      <c r="AN513" s="2257"/>
      <c r="AO513" s="2257"/>
      <c r="AP513" s="2257"/>
      <c r="AQ513" s="2257"/>
      <c r="AR513" s="2257"/>
      <c r="AS513" s="2257"/>
      <c r="AT513" s="2257"/>
      <c r="AU513" s="2257"/>
      <c r="AV513" s="2257"/>
      <c r="AW513" s="2257"/>
      <c r="AX513" s="2257"/>
      <c r="AY513" s="2258"/>
    </row>
    <row r="514" spans="1:16307" s="94" customFormat="1" x14ac:dyDescent="0.2">
      <c r="A514" s="824" t="s">
        <v>654</v>
      </c>
      <c r="B514" s="825" t="s">
        <v>655</v>
      </c>
      <c r="C514" s="826">
        <v>40360</v>
      </c>
      <c r="D514" s="826">
        <v>40391</v>
      </c>
      <c r="E514" s="826">
        <v>40422</v>
      </c>
      <c r="F514" s="826">
        <v>40452</v>
      </c>
      <c r="G514" s="826">
        <v>40483</v>
      </c>
      <c r="H514" s="826">
        <v>40513</v>
      </c>
      <c r="I514" s="826">
        <v>40544</v>
      </c>
      <c r="J514" s="826">
        <v>40575</v>
      </c>
      <c r="K514" s="826">
        <v>40603</v>
      </c>
      <c r="L514" s="826">
        <v>40634</v>
      </c>
      <c r="M514" s="826">
        <v>40664</v>
      </c>
      <c r="N514" s="826">
        <v>40695</v>
      </c>
      <c r="O514" s="826">
        <v>40725</v>
      </c>
      <c r="P514" s="826">
        <v>40756</v>
      </c>
      <c r="Q514" s="826">
        <v>40787</v>
      </c>
      <c r="R514" s="826">
        <v>40817</v>
      </c>
      <c r="S514" s="826">
        <v>40848</v>
      </c>
      <c r="T514" s="826">
        <v>40878</v>
      </c>
      <c r="U514" s="826">
        <v>40909</v>
      </c>
      <c r="V514" s="826">
        <v>40940</v>
      </c>
      <c r="W514" s="826">
        <v>40969</v>
      </c>
      <c r="X514" s="826">
        <v>41000</v>
      </c>
      <c r="Y514" s="826">
        <v>41030</v>
      </c>
      <c r="Z514" s="826">
        <v>41061</v>
      </c>
      <c r="AA514" s="826">
        <v>41091</v>
      </c>
      <c r="AB514" s="826">
        <v>41122</v>
      </c>
      <c r="AC514" s="826">
        <v>41153</v>
      </c>
      <c r="AD514" s="826">
        <v>41183</v>
      </c>
      <c r="AE514" s="826">
        <v>41214</v>
      </c>
      <c r="AF514" s="826">
        <v>41244</v>
      </c>
      <c r="AG514" s="826">
        <v>41275</v>
      </c>
      <c r="AH514" s="826">
        <v>41306</v>
      </c>
      <c r="AI514" s="826">
        <v>41334</v>
      </c>
      <c r="AJ514" s="826">
        <v>41365</v>
      </c>
      <c r="AK514" s="826">
        <v>41395</v>
      </c>
      <c r="AL514" s="826">
        <v>41426</v>
      </c>
      <c r="AM514" s="826">
        <v>41456</v>
      </c>
      <c r="AN514" s="826">
        <v>41487</v>
      </c>
      <c r="AO514" s="826">
        <v>41518</v>
      </c>
      <c r="AP514" s="826">
        <v>41548</v>
      </c>
      <c r="AQ514" s="826">
        <v>41579</v>
      </c>
      <c r="AR514" s="826">
        <v>41609</v>
      </c>
      <c r="AS514" s="826">
        <v>41640</v>
      </c>
      <c r="AT514" s="826">
        <v>41671</v>
      </c>
      <c r="AU514" s="826">
        <v>41699</v>
      </c>
      <c r="AV514" s="826">
        <v>41730</v>
      </c>
      <c r="AW514" s="826">
        <v>41760</v>
      </c>
      <c r="AX514" s="826">
        <v>41791</v>
      </c>
      <c r="AY514" s="826">
        <v>41821</v>
      </c>
    </row>
    <row r="515" spans="1:16307" s="500" customFormat="1" x14ac:dyDescent="0.2">
      <c r="A515" s="827" t="s">
        <v>889</v>
      </c>
      <c r="B515" s="828" t="s">
        <v>890</v>
      </c>
      <c r="C515" s="829">
        <v>227800</v>
      </c>
      <c r="D515" s="829">
        <v>214280</v>
      </c>
      <c r="E515" s="829">
        <v>225000</v>
      </c>
      <c r="F515" s="829">
        <v>221480</v>
      </c>
      <c r="G515" s="829">
        <v>190120</v>
      </c>
      <c r="H515" s="829">
        <v>186400</v>
      </c>
      <c r="I515" s="829">
        <v>149800</v>
      </c>
      <c r="J515" s="829">
        <v>169880</v>
      </c>
      <c r="K515" s="829">
        <v>176080</v>
      </c>
      <c r="L515" s="829">
        <v>194280</v>
      </c>
      <c r="M515" s="829">
        <v>202520</v>
      </c>
      <c r="N515" s="829">
        <v>204080</v>
      </c>
      <c r="O515" s="829">
        <v>185200</v>
      </c>
      <c r="P515" s="829">
        <v>182360</v>
      </c>
      <c r="Q515" s="829">
        <v>221240</v>
      </c>
      <c r="R515" s="829">
        <v>184480</v>
      </c>
      <c r="S515" s="829">
        <v>192240</v>
      </c>
      <c r="T515" s="829">
        <v>159400</v>
      </c>
      <c r="U515" s="829">
        <v>93960</v>
      </c>
      <c r="V515" s="829">
        <v>150160</v>
      </c>
      <c r="W515" s="829">
        <v>161304.79999999999</v>
      </c>
      <c r="X515" s="829">
        <v>184936.24</v>
      </c>
      <c r="Y515" s="829">
        <v>200038.48</v>
      </c>
      <c r="Z515" s="829">
        <v>212508.96</v>
      </c>
      <c r="AA515" s="829">
        <v>164809.91999999998</v>
      </c>
      <c r="AB515" s="829">
        <v>171163.76</v>
      </c>
      <c r="AC515" s="829">
        <v>191234.64</v>
      </c>
      <c r="AD515" s="829">
        <v>181865.2</v>
      </c>
      <c r="AE515" s="829">
        <v>160043.51999999999</v>
      </c>
      <c r="AF515" s="829">
        <v>158691.04</v>
      </c>
      <c r="AG515" s="829">
        <v>162637.92000000001</v>
      </c>
      <c r="AH515" s="829">
        <v>156600.48000000001</v>
      </c>
      <c r="AI515" s="829">
        <v>163100.79999999999</v>
      </c>
      <c r="AJ515" s="829">
        <v>182870.39999999999</v>
      </c>
      <c r="AK515" s="829">
        <v>170412.48</v>
      </c>
      <c r="AL515" s="829">
        <v>195797.84</v>
      </c>
      <c r="AM515" s="829">
        <v>172848.4</v>
      </c>
      <c r="AN515" s="829">
        <v>181802.96</v>
      </c>
      <c r="AO515" s="829">
        <v>239736.72</v>
      </c>
      <c r="AP515" s="829">
        <v>193410.72</v>
      </c>
      <c r="AQ515" s="829">
        <v>167832.32000000001</v>
      </c>
      <c r="AR515" s="829">
        <v>158616.24</v>
      </c>
      <c r="AS515" s="829">
        <v>151638.48000000001</v>
      </c>
      <c r="AT515" s="829">
        <v>173009.88</v>
      </c>
      <c r="AU515" s="829">
        <v>145604.07999999999</v>
      </c>
      <c r="AV515" s="829">
        <v>167482.6</v>
      </c>
      <c r="AW515" s="829">
        <v>163268.20000000001</v>
      </c>
      <c r="AX515" s="829">
        <v>150024.64000000001</v>
      </c>
      <c r="AY515" s="829">
        <v>154229.68</v>
      </c>
    </row>
    <row r="516" spans="1:16307" s="500" customFormat="1" ht="12.75" customHeight="1" x14ac:dyDescent="0.2">
      <c r="A516" s="830">
        <v>315</v>
      </c>
      <c r="B516" s="831" t="s">
        <v>891</v>
      </c>
      <c r="C516" s="832">
        <v>30920</v>
      </c>
      <c r="D516" s="832">
        <v>42883</v>
      </c>
      <c r="E516" s="832">
        <v>87000</v>
      </c>
      <c r="F516" s="832">
        <v>89330</v>
      </c>
      <c r="G516" s="832">
        <v>74095</v>
      </c>
      <c r="H516" s="832">
        <v>65520</v>
      </c>
      <c r="I516" s="832">
        <v>51680</v>
      </c>
      <c r="J516" s="832">
        <v>65760</v>
      </c>
      <c r="K516" s="832">
        <v>67200</v>
      </c>
      <c r="L516" s="832">
        <v>67922</v>
      </c>
      <c r="M516" s="832">
        <v>67325</v>
      </c>
      <c r="N516" s="832">
        <v>54118</v>
      </c>
      <c r="O516" s="832">
        <v>61002</v>
      </c>
      <c r="P516" s="832">
        <v>47297</v>
      </c>
      <c r="Q516" s="832">
        <v>97209</v>
      </c>
      <c r="R516" s="832">
        <v>82790</v>
      </c>
      <c r="S516" s="832">
        <v>74640</v>
      </c>
      <c r="T516" s="832">
        <v>78640</v>
      </c>
      <c r="U516" s="832">
        <v>59040</v>
      </c>
      <c r="V516" s="832">
        <v>75280</v>
      </c>
      <c r="W516" s="832">
        <v>68445.600000000006</v>
      </c>
      <c r="X516" s="832">
        <v>81539.28</v>
      </c>
      <c r="Y516" s="832">
        <v>78760.56</v>
      </c>
      <c r="Z516" s="832">
        <v>70425.119999999995</v>
      </c>
      <c r="AA516" s="832">
        <v>83354.240000000005</v>
      </c>
      <c r="AB516" s="832">
        <v>95440.72</v>
      </c>
      <c r="AC516" s="832">
        <v>106644.08</v>
      </c>
      <c r="AD516" s="832">
        <v>90944.4</v>
      </c>
      <c r="AE516" s="832">
        <v>79893.440000000002</v>
      </c>
      <c r="AF516" s="832">
        <v>75534.880000000005</v>
      </c>
      <c r="AG516" s="832">
        <v>61110.239999999998</v>
      </c>
      <c r="AH516" s="832">
        <v>77534.559999999998</v>
      </c>
      <c r="AI516" s="832">
        <v>66657.600000000006</v>
      </c>
      <c r="AJ516" s="832">
        <v>76348.800000000003</v>
      </c>
      <c r="AK516" s="832">
        <v>74618.559999999998</v>
      </c>
      <c r="AL516" s="832">
        <v>100114.48</v>
      </c>
      <c r="AM516" s="832">
        <v>92674.8</v>
      </c>
      <c r="AN516" s="832">
        <v>96643.12</v>
      </c>
      <c r="AO516" s="832">
        <v>114833.84</v>
      </c>
      <c r="AP516" s="832">
        <v>95351.84</v>
      </c>
      <c r="AQ516" s="832">
        <v>74287.039999999994</v>
      </c>
      <c r="AR516" s="832">
        <v>71859.28</v>
      </c>
      <c r="AS516" s="832">
        <v>63800.56</v>
      </c>
      <c r="AT516" s="832">
        <v>84077.36</v>
      </c>
      <c r="AU516" s="832">
        <v>66297.759999999995</v>
      </c>
      <c r="AV516" s="832">
        <v>75581.2</v>
      </c>
      <c r="AW516" s="832">
        <v>80548.399999999994</v>
      </c>
      <c r="AX516" s="832">
        <v>73478.080000000002</v>
      </c>
      <c r="AY516" s="832">
        <v>82502.959999999992</v>
      </c>
    </row>
    <row r="517" spans="1:16307" s="500" customFormat="1" ht="12.75" customHeight="1" x14ac:dyDescent="0.2">
      <c r="A517" s="830" t="s">
        <v>892</v>
      </c>
      <c r="B517" s="831" t="s">
        <v>893</v>
      </c>
      <c r="C517" s="832">
        <v>0</v>
      </c>
      <c r="D517" s="832">
        <v>0</v>
      </c>
      <c r="E517" s="832">
        <v>0</v>
      </c>
      <c r="F517" s="832">
        <v>0</v>
      </c>
      <c r="G517" s="832">
        <v>0</v>
      </c>
      <c r="H517" s="832">
        <v>0</v>
      </c>
      <c r="I517" s="832">
        <v>0</v>
      </c>
      <c r="J517" s="832">
        <v>0</v>
      </c>
      <c r="K517" s="832">
        <v>0</v>
      </c>
      <c r="L517" s="832">
        <v>0</v>
      </c>
      <c r="M517" s="832">
        <v>0</v>
      </c>
      <c r="N517" s="832">
        <v>0</v>
      </c>
      <c r="O517" s="832">
        <v>0</v>
      </c>
      <c r="P517" s="832">
        <v>0</v>
      </c>
      <c r="Q517" s="832">
        <v>0</v>
      </c>
      <c r="R517" s="832">
        <v>0</v>
      </c>
      <c r="S517" s="832">
        <v>0</v>
      </c>
      <c r="T517" s="832">
        <v>0</v>
      </c>
      <c r="U517" s="832">
        <v>0</v>
      </c>
      <c r="V517" s="832">
        <v>0</v>
      </c>
      <c r="W517" s="832">
        <v>2649.6</v>
      </c>
      <c r="X517" s="832">
        <v>3444.48</v>
      </c>
      <c r="Y517" s="832">
        <v>4680.96</v>
      </c>
      <c r="Z517" s="832">
        <v>12305.92</v>
      </c>
      <c r="AA517" s="832">
        <v>75868.84</v>
      </c>
      <c r="AB517" s="832">
        <v>94233.51999999999</v>
      </c>
      <c r="AC517" s="832">
        <v>103495.28</v>
      </c>
      <c r="AD517" s="832">
        <v>93234.4</v>
      </c>
      <c r="AE517" s="832">
        <v>90349.04</v>
      </c>
      <c r="AF517" s="832">
        <v>82741.08</v>
      </c>
      <c r="AG517" s="832">
        <v>67491.839999999997</v>
      </c>
      <c r="AH517" s="832">
        <v>96344.960000000006</v>
      </c>
      <c r="AI517" s="832">
        <v>85841.600000000006</v>
      </c>
      <c r="AJ517" s="832">
        <v>96620.800000000003</v>
      </c>
      <c r="AK517" s="832">
        <v>94928.959999999992</v>
      </c>
      <c r="AL517" s="832">
        <v>110927.67999999999</v>
      </c>
      <c r="AM517" s="832">
        <v>86316.800000000003</v>
      </c>
      <c r="AN517" s="832">
        <v>107513.92</v>
      </c>
      <c r="AO517" s="832">
        <v>140709.44</v>
      </c>
      <c r="AP517" s="832">
        <v>116877.44</v>
      </c>
      <c r="AQ517" s="832">
        <v>96720.639999999999</v>
      </c>
      <c r="AR517" s="832">
        <v>88444.479999999996</v>
      </c>
      <c r="AS517" s="832">
        <v>70200.960000000006</v>
      </c>
      <c r="AT517" s="832">
        <v>106069.75999999999</v>
      </c>
      <c r="AU517" s="832">
        <v>76516.160000000003</v>
      </c>
      <c r="AV517" s="832">
        <v>90139.199999999997</v>
      </c>
      <c r="AW517" s="832">
        <v>97414.399999999994</v>
      </c>
      <c r="AX517" s="832">
        <v>90465.279999999999</v>
      </c>
      <c r="AY517" s="832">
        <v>92359.360000000001</v>
      </c>
    </row>
    <row r="518" spans="1:16307" s="501" customFormat="1" x14ac:dyDescent="0.2">
      <c r="A518" s="833" t="s">
        <v>889</v>
      </c>
      <c r="B518" s="834" t="s">
        <v>894</v>
      </c>
      <c r="C518" s="835">
        <v>15780.47</v>
      </c>
      <c r="D518" s="835">
        <v>14844.63</v>
      </c>
      <c r="E518" s="835">
        <v>15586.66</v>
      </c>
      <c r="F518" s="835">
        <v>15343</v>
      </c>
      <c r="G518" s="835">
        <v>13172.29</v>
      </c>
      <c r="H518" s="835">
        <v>12914.8</v>
      </c>
      <c r="I518" s="835">
        <v>11564.69</v>
      </c>
      <c r="J518" s="835">
        <v>14007.85</v>
      </c>
      <c r="K518" s="835">
        <v>14518.63</v>
      </c>
      <c r="L518" s="835">
        <v>16018.03</v>
      </c>
      <c r="M518" s="835">
        <v>16696.88</v>
      </c>
      <c r="N518" s="835">
        <v>16825.400000000001</v>
      </c>
      <c r="O518" s="835">
        <v>15269.98</v>
      </c>
      <c r="P518" s="835">
        <v>15036</v>
      </c>
      <c r="Q518" s="835">
        <v>18239.12</v>
      </c>
      <c r="R518" s="835">
        <v>15210.66</v>
      </c>
      <c r="S518" s="835">
        <v>15849.97</v>
      </c>
      <c r="T518" s="835">
        <v>13144.46</v>
      </c>
      <c r="U518" s="835">
        <v>7847.46</v>
      </c>
      <c r="V518" s="835">
        <v>13989.73</v>
      </c>
      <c r="W518" s="835">
        <v>14719.5</v>
      </c>
      <c r="X518" s="835">
        <v>17232.48158</v>
      </c>
      <c r="Y518" s="835">
        <v>18638.24842</v>
      </c>
      <c r="Z518" s="835">
        <v>19799.03254</v>
      </c>
      <c r="AA518" s="835">
        <v>15359.055370000002</v>
      </c>
      <c r="AB518" s="835">
        <v>15950.503779999999</v>
      </c>
      <c r="AC518" s="835">
        <v>17818.75333</v>
      </c>
      <c r="AD518" s="835">
        <v>16946.622820000001</v>
      </c>
      <c r="AE518" s="835">
        <v>14915.3845</v>
      </c>
      <c r="AF518" s="835">
        <v>14789.492410000001</v>
      </c>
      <c r="AG518" s="835">
        <v>12597.11184</v>
      </c>
      <c r="AH518" s="835">
        <v>14489.810740000001</v>
      </c>
      <c r="AI518" s="835">
        <v>15087.03465</v>
      </c>
      <c r="AJ518" s="835">
        <v>16885.891930000002</v>
      </c>
      <c r="AK518" s="835">
        <v>15705.20253</v>
      </c>
      <c r="AL518" s="835">
        <v>17941.66691</v>
      </c>
      <c r="AM518" s="835">
        <v>15826.80602</v>
      </c>
      <c r="AN518" s="835">
        <v>16105.9043</v>
      </c>
      <c r="AO518" s="835">
        <v>21296.445209999998</v>
      </c>
      <c r="AP518" s="835">
        <v>17214.780039999998</v>
      </c>
      <c r="AQ518" s="835">
        <v>14999.84137</v>
      </c>
      <c r="AR518" s="835">
        <v>14213.246580000001</v>
      </c>
      <c r="AS518" s="835">
        <v>14023.096230000001</v>
      </c>
      <c r="AT518" s="835">
        <v>15671.561230000001</v>
      </c>
      <c r="AU518" s="835">
        <v>12939.797839999999</v>
      </c>
      <c r="AV518" s="835">
        <v>14853.098330000001</v>
      </c>
      <c r="AW518" s="835">
        <v>14424.69392</v>
      </c>
      <c r="AX518" s="835">
        <v>13218.781370000001</v>
      </c>
      <c r="AY518" s="835">
        <v>13631.797020000002</v>
      </c>
      <c r="AZ518" s="500"/>
      <c r="BA518" s="500"/>
      <c r="BB518" s="500"/>
      <c r="BC518" s="500"/>
      <c r="BD518" s="500"/>
      <c r="BE518" s="500"/>
      <c r="BF518" s="500"/>
      <c r="BG518" s="500"/>
      <c r="BH518" s="500"/>
      <c r="BI518" s="500"/>
      <c r="BJ518" s="500"/>
      <c r="BK518" s="500"/>
      <c r="BL518" s="500"/>
      <c r="BM518" s="500"/>
      <c r="BN518" s="500"/>
      <c r="BO518" s="500"/>
      <c r="BP518" s="500"/>
      <c r="BQ518" s="500"/>
      <c r="BR518" s="500"/>
      <c r="BS518" s="500"/>
      <c r="BT518" s="500"/>
      <c r="BU518" s="500"/>
      <c r="BV518" s="500"/>
      <c r="BW518" s="500"/>
      <c r="BX518" s="500"/>
      <c r="BY518" s="500"/>
      <c r="BZ518" s="500"/>
      <c r="CA518" s="500"/>
      <c r="CB518" s="500"/>
      <c r="CC518" s="500"/>
      <c r="CD518" s="500"/>
      <c r="CE518" s="500"/>
      <c r="CF518" s="500"/>
      <c r="CG518" s="500"/>
      <c r="CH518" s="500"/>
      <c r="CI518" s="500"/>
      <c r="CJ518" s="500"/>
      <c r="CK518" s="500"/>
      <c r="CL518" s="500"/>
      <c r="CM518" s="500"/>
      <c r="CN518" s="500"/>
      <c r="CO518" s="500"/>
      <c r="CP518" s="500"/>
      <c r="CQ518" s="500"/>
      <c r="CR518" s="500"/>
      <c r="CS518" s="500"/>
      <c r="CT518" s="500"/>
      <c r="CU518" s="500"/>
      <c r="CV518" s="500"/>
      <c r="CW518" s="500"/>
      <c r="CX518" s="500"/>
      <c r="CY518" s="500"/>
      <c r="CZ518" s="500"/>
      <c r="DA518" s="500"/>
      <c r="DB518" s="500"/>
      <c r="DC518" s="500"/>
      <c r="DD518" s="500"/>
      <c r="DE518" s="500"/>
      <c r="DF518" s="500"/>
      <c r="DG518" s="500"/>
      <c r="DH518" s="500"/>
      <c r="DI518" s="500"/>
      <c r="DJ518" s="500"/>
      <c r="DK518" s="500"/>
      <c r="DL518" s="500"/>
      <c r="DM518" s="500"/>
      <c r="DN518" s="500"/>
      <c r="DO518" s="500"/>
      <c r="DP518" s="500"/>
      <c r="DQ518" s="500"/>
      <c r="DR518" s="500"/>
      <c r="DS518" s="500"/>
      <c r="DT518" s="500"/>
      <c r="DU518" s="500"/>
      <c r="DV518" s="500"/>
      <c r="DW518" s="500"/>
      <c r="DX518" s="500"/>
      <c r="DY518" s="500"/>
      <c r="DZ518" s="500"/>
      <c r="EA518" s="500"/>
      <c r="EB518" s="500"/>
      <c r="EC518" s="500"/>
      <c r="ED518" s="500"/>
      <c r="EE518" s="500"/>
      <c r="EF518" s="500"/>
      <c r="EG518" s="500"/>
      <c r="EH518" s="500"/>
      <c r="EI518" s="500"/>
      <c r="EJ518" s="500"/>
      <c r="EK518" s="500"/>
      <c r="EL518" s="500"/>
      <c r="EM518" s="500"/>
      <c r="EN518" s="500"/>
      <c r="EO518" s="500"/>
      <c r="EP518" s="500"/>
      <c r="EQ518" s="500"/>
      <c r="ER518" s="500"/>
      <c r="ES518" s="500"/>
      <c r="ET518" s="500"/>
      <c r="EU518" s="500"/>
      <c r="EV518" s="500"/>
      <c r="EW518" s="500"/>
      <c r="EX518" s="500"/>
      <c r="EY518" s="500"/>
      <c r="EZ518" s="500"/>
      <c r="FA518" s="500"/>
      <c r="FB518" s="500"/>
      <c r="FC518" s="500"/>
      <c r="FD518" s="500"/>
      <c r="FE518" s="500"/>
      <c r="FF518" s="500"/>
      <c r="FG518" s="500"/>
      <c r="FH518" s="500"/>
      <c r="FI518" s="500"/>
      <c r="FJ518" s="500"/>
      <c r="FK518" s="500"/>
      <c r="FL518" s="500"/>
      <c r="FM518" s="500"/>
      <c r="FN518" s="500"/>
      <c r="FO518" s="500"/>
      <c r="FP518" s="500"/>
      <c r="FQ518" s="500"/>
      <c r="FR518" s="500"/>
      <c r="FS518" s="500"/>
      <c r="FT518" s="500"/>
      <c r="FU518" s="500"/>
      <c r="FV518" s="500"/>
      <c r="FW518" s="500"/>
      <c r="FX518" s="500"/>
      <c r="FY518" s="500"/>
      <c r="FZ518" s="500"/>
      <c r="GA518" s="500"/>
      <c r="GB518" s="500"/>
      <c r="GC518" s="500"/>
      <c r="GD518" s="500"/>
      <c r="GE518" s="500"/>
      <c r="GF518" s="500"/>
      <c r="GG518" s="500"/>
      <c r="GH518" s="500"/>
      <c r="GI518" s="500"/>
      <c r="GJ518" s="500"/>
      <c r="GK518" s="500"/>
      <c r="GL518" s="500"/>
      <c r="GM518" s="500"/>
      <c r="GN518" s="500"/>
      <c r="GO518" s="500"/>
      <c r="GP518" s="500"/>
      <c r="GQ518" s="500"/>
      <c r="GR518" s="500"/>
      <c r="GS518" s="500"/>
      <c r="GT518" s="500"/>
      <c r="GU518" s="500"/>
      <c r="GV518" s="500"/>
      <c r="GW518" s="500"/>
      <c r="GX518" s="500"/>
      <c r="GY518" s="500"/>
      <c r="GZ518" s="500"/>
      <c r="HA518" s="500"/>
      <c r="HB518" s="500"/>
      <c r="HC518" s="500"/>
      <c r="HD518" s="500"/>
      <c r="HE518" s="500"/>
      <c r="HF518" s="500"/>
      <c r="HG518" s="500"/>
      <c r="HH518" s="500"/>
      <c r="HI518" s="500"/>
      <c r="HJ518" s="500"/>
      <c r="HK518" s="500"/>
      <c r="HL518" s="500"/>
      <c r="HM518" s="500"/>
      <c r="HN518" s="500"/>
      <c r="HO518" s="500"/>
      <c r="HP518" s="500"/>
      <c r="HQ518" s="500"/>
      <c r="HR518" s="500"/>
      <c r="HS518" s="500"/>
      <c r="HT518" s="500"/>
      <c r="HU518" s="500"/>
      <c r="HV518" s="500"/>
      <c r="HW518" s="500"/>
      <c r="HX518" s="500"/>
      <c r="HY518" s="500"/>
      <c r="HZ518" s="500"/>
      <c r="IA518" s="500"/>
      <c r="IB518" s="500"/>
      <c r="IC518" s="500"/>
      <c r="ID518" s="500"/>
      <c r="IE518" s="500"/>
      <c r="IF518" s="500"/>
      <c r="IG518" s="500"/>
      <c r="IH518" s="500"/>
      <c r="II518" s="500"/>
      <c r="IJ518" s="500"/>
      <c r="IK518" s="500"/>
      <c r="IL518" s="500"/>
      <c r="IM518" s="500"/>
      <c r="IN518" s="500"/>
      <c r="IO518" s="500"/>
      <c r="IP518" s="500"/>
      <c r="IQ518" s="500"/>
      <c r="IR518" s="500"/>
      <c r="IS518" s="500"/>
      <c r="IT518" s="500"/>
      <c r="IU518" s="500"/>
      <c r="IV518" s="500"/>
      <c r="IW518" s="500"/>
      <c r="IX518" s="500"/>
      <c r="IY518" s="500"/>
      <c r="IZ518" s="500"/>
      <c r="JA518" s="500"/>
      <c r="JB518" s="500"/>
      <c r="JC518" s="500"/>
      <c r="JD518" s="500"/>
      <c r="JE518" s="500"/>
      <c r="JF518" s="500"/>
      <c r="JG518" s="500"/>
      <c r="JH518" s="500"/>
      <c r="JI518" s="500"/>
      <c r="JJ518" s="500"/>
      <c r="JK518" s="500"/>
      <c r="JL518" s="500"/>
      <c r="JM518" s="500"/>
      <c r="JN518" s="500"/>
      <c r="JO518" s="500"/>
      <c r="JP518" s="500"/>
      <c r="JQ518" s="500"/>
      <c r="JR518" s="500"/>
      <c r="JS518" s="500"/>
      <c r="JT518" s="500"/>
      <c r="JU518" s="500"/>
      <c r="JV518" s="500"/>
      <c r="JW518" s="500"/>
      <c r="JX518" s="500"/>
      <c r="JY518" s="500"/>
      <c r="JZ518" s="500"/>
      <c r="KA518" s="500"/>
      <c r="KB518" s="500"/>
      <c r="KC518" s="500"/>
      <c r="KD518" s="500"/>
      <c r="KE518" s="500"/>
      <c r="KF518" s="500"/>
      <c r="KG518" s="500"/>
      <c r="KH518" s="500"/>
      <c r="KI518" s="500"/>
      <c r="KJ518" s="500"/>
      <c r="KK518" s="500"/>
      <c r="KL518" s="500"/>
      <c r="KM518" s="500"/>
      <c r="KN518" s="500"/>
      <c r="KO518" s="500"/>
      <c r="KP518" s="500"/>
      <c r="KQ518" s="500"/>
      <c r="KR518" s="500"/>
      <c r="KS518" s="500"/>
      <c r="KT518" s="500"/>
      <c r="KU518" s="500"/>
      <c r="KV518" s="500"/>
      <c r="KW518" s="500"/>
      <c r="KX518" s="500"/>
      <c r="KY518" s="500"/>
      <c r="KZ518" s="500"/>
      <c r="LA518" s="500"/>
      <c r="LB518" s="500"/>
      <c r="LC518" s="500"/>
      <c r="LD518" s="500"/>
      <c r="LE518" s="500"/>
      <c r="LF518" s="500"/>
      <c r="LG518" s="500"/>
      <c r="LH518" s="500"/>
      <c r="LI518" s="500"/>
      <c r="LJ518" s="500"/>
      <c r="LK518" s="500"/>
      <c r="LL518" s="500"/>
      <c r="LM518" s="500"/>
      <c r="LN518" s="500"/>
      <c r="LO518" s="500"/>
      <c r="LP518" s="500"/>
      <c r="LQ518" s="500"/>
      <c r="LR518" s="500"/>
      <c r="LS518" s="500"/>
      <c r="LT518" s="500"/>
      <c r="LU518" s="500"/>
      <c r="LV518" s="500"/>
      <c r="LW518" s="500"/>
      <c r="LX518" s="500"/>
      <c r="LY518" s="500"/>
      <c r="LZ518" s="500"/>
      <c r="MA518" s="500"/>
      <c r="MB518" s="500"/>
      <c r="MC518" s="500"/>
      <c r="MD518" s="500"/>
      <c r="ME518" s="500"/>
      <c r="MF518" s="500"/>
      <c r="MG518" s="500"/>
      <c r="MH518" s="500"/>
      <c r="MI518" s="500"/>
      <c r="MJ518" s="500"/>
      <c r="MK518" s="500"/>
      <c r="ML518" s="500"/>
      <c r="MM518" s="500"/>
      <c r="MN518" s="500"/>
      <c r="MO518" s="500"/>
      <c r="MP518" s="500"/>
      <c r="MQ518" s="500"/>
      <c r="MR518" s="500"/>
      <c r="MS518" s="500"/>
      <c r="MT518" s="500"/>
      <c r="MU518" s="500"/>
      <c r="MV518" s="500"/>
      <c r="MW518" s="500"/>
      <c r="MX518" s="500"/>
      <c r="MY518" s="500"/>
      <c r="MZ518" s="500"/>
      <c r="NA518" s="500"/>
      <c r="NB518" s="500"/>
      <c r="NC518" s="500"/>
      <c r="ND518" s="500"/>
      <c r="NE518" s="500"/>
      <c r="NF518" s="500"/>
      <c r="NG518" s="500"/>
      <c r="NH518" s="500"/>
      <c r="NI518" s="500"/>
      <c r="NJ518" s="500"/>
      <c r="NK518" s="500"/>
      <c r="NL518" s="500"/>
      <c r="NM518" s="500"/>
      <c r="NN518" s="500"/>
      <c r="NO518" s="500"/>
      <c r="NP518" s="500"/>
      <c r="NQ518" s="500"/>
      <c r="NR518" s="500"/>
      <c r="NS518" s="500"/>
      <c r="NT518" s="500"/>
      <c r="NU518" s="500"/>
      <c r="NV518" s="500"/>
      <c r="NW518" s="500"/>
      <c r="NX518" s="500"/>
      <c r="NY518" s="500"/>
      <c r="NZ518" s="500"/>
      <c r="OA518" s="500"/>
      <c r="OB518" s="500"/>
      <c r="OC518" s="500"/>
      <c r="OD518" s="500"/>
      <c r="OE518" s="500"/>
      <c r="OF518" s="500"/>
      <c r="OG518" s="500"/>
      <c r="OH518" s="500"/>
      <c r="OI518" s="500"/>
      <c r="OJ518" s="500"/>
      <c r="OK518" s="500"/>
      <c r="OL518" s="500"/>
      <c r="OM518" s="500"/>
      <c r="ON518" s="500"/>
      <c r="OO518" s="500"/>
      <c r="OP518" s="500"/>
      <c r="OQ518" s="500"/>
      <c r="OR518" s="500"/>
      <c r="OS518" s="500"/>
      <c r="OT518" s="500"/>
      <c r="OU518" s="500"/>
      <c r="OV518" s="500"/>
      <c r="OW518" s="500"/>
      <c r="OX518" s="500"/>
      <c r="OY518" s="500"/>
      <c r="OZ518" s="500"/>
      <c r="PA518" s="500"/>
      <c r="PB518" s="500"/>
      <c r="PC518" s="500"/>
      <c r="PD518" s="500"/>
      <c r="PE518" s="500"/>
      <c r="PF518" s="500"/>
      <c r="PG518" s="500"/>
      <c r="PH518" s="500"/>
      <c r="PI518" s="500"/>
      <c r="PJ518" s="500"/>
      <c r="PK518" s="500"/>
      <c r="PL518" s="500"/>
      <c r="PM518" s="500"/>
      <c r="PN518" s="500"/>
      <c r="PO518" s="500"/>
      <c r="PP518" s="500"/>
      <c r="PQ518" s="500"/>
      <c r="PR518" s="500"/>
      <c r="PS518" s="500"/>
      <c r="PT518" s="500"/>
      <c r="PU518" s="500"/>
      <c r="PV518" s="500"/>
      <c r="PW518" s="500"/>
      <c r="PX518" s="500"/>
      <c r="PY518" s="500"/>
      <c r="PZ518" s="500"/>
      <c r="QA518" s="500"/>
      <c r="QB518" s="500"/>
      <c r="QC518" s="500"/>
      <c r="QD518" s="500"/>
      <c r="QE518" s="500"/>
      <c r="QF518" s="500"/>
      <c r="QG518" s="500"/>
      <c r="QH518" s="500"/>
      <c r="QI518" s="500"/>
      <c r="QJ518" s="500"/>
      <c r="QK518" s="500"/>
      <c r="QL518" s="500"/>
      <c r="QM518" s="500"/>
      <c r="QN518" s="500"/>
      <c r="QO518" s="500"/>
      <c r="QP518" s="500"/>
      <c r="QQ518" s="500"/>
      <c r="QR518" s="500"/>
      <c r="QS518" s="500"/>
      <c r="QT518" s="500"/>
      <c r="QU518" s="500"/>
      <c r="QV518" s="500"/>
      <c r="QW518" s="500"/>
      <c r="QX518" s="500"/>
      <c r="QY518" s="500"/>
      <c r="QZ518" s="500"/>
      <c r="RA518" s="500"/>
      <c r="RB518" s="500"/>
      <c r="RC518" s="500"/>
      <c r="RD518" s="500"/>
      <c r="RE518" s="500"/>
      <c r="RF518" s="500"/>
      <c r="RG518" s="500"/>
      <c r="RH518" s="500"/>
      <c r="RI518" s="500"/>
      <c r="RJ518" s="500"/>
      <c r="RK518" s="500"/>
      <c r="RL518" s="500"/>
      <c r="RM518" s="500"/>
      <c r="RN518" s="500"/>
      <c r="RO518" s="500"/>
      <c r="RP518" s="500"/>
      <c r="RQ518" s="500"/>
      <c r="RR518" s="500"/>
      <c r="RS518" s="500"/>
      <c r="RT518" s="500"/>
      <c r="RU518" s="500"/>
      <c r="RV518" s="500"/>
      <c r="RW518" s="500"/>
      <c r="RX518" s="500"/>
      <c r="RY518" s="500"/>
      <c r="RZ518" s="500"/>
      <c r="SA518" s="500"/>
      <c r="SB518" s="500"/>
      <c r="SC518" s="500"/>
      <c r="SD518" s="500"/>
      <c r="SE518" s="500"/>
      <c r="SF518" s="500"/>
      <c r="SG518" s="500"/>
      <c r="SH518" s="500"/>
      <c r="SI518" s="500"/>
      <c r="SJ518" s="500"/>
      <c r="SK518" s="500"/>
      <c r="SL518" s="500"/>
      <c r="SM518" s="500"/>
      <c r="SN518" s="500"/>
      <c r="SO518" s="500"/>
      <c r="SP518" s="500"/>
      <c r="SQ518" s="500"/>
      <c r="SR518" s="500"/>
      <c r="SS518" s="500"/>
      <c r="ST518" s="500"/>
      <c r="SU518" s="500"/>
      <c r="SV518" s="500"/>
      <c r="SW518" s="500"/>
      <c r="SX518" s="500"/>
      <c r="SY518" s="500"/>
      <c r="SZ518" s="500"/>
      <c r="TA518" s="500"/>
      <c r="TB518" s="500"/>
      <c r="TC518" s="500"/>
      <c r="TD518" s="500"/>
      <c r="TE518" s="500"/>
      <c r="TF518" s="500"/>
      <c r="TG518" s="500"/>
      <c r="TH518" s="500"/>
      <c r="TI518" s="500"/>
      <c r="TJ518" s="500"/>
      <c r="TK518" s="500"/>
      <c r="TL518" s="500"/>
      <c r="TM518" s="500"/>
      <c r="TN518" s="500"/>
      <c r="TO518" s="500"/>
      <c r="TP518" s="500"/>
      <c r="TQ518" s="500"/>
      <c r="TR518" s="500"/>
      <c r="TS518" s="500"/>
      <c r="TT518" s="500"/>
      <c r="TU518" s="500"/>
      <c r="TV518" s="500"/>
      <c r="TW518" s="500"/>
      <c r="TX518" s="500"/>
      <c r="TY518" s="500"/>
      <c r="TZ518" s="500"/>
      <c r="UA518" s="500"/>
      <c r="UB518" s="500"/>
      <c r="UC518" s="500"/>
      <c r="UD518" s="500"/>
      <c r="UE518" s="500"/>
      <c r="UF518" s="500"/>
      <c r="UG518" s="500"/>
      <c r="UH518" s="500"/>
      <c r="UI518" s="500"/>
      <c r="UJ518" s="500"/>
      <c r="UK518" s="500"/>
      <c r="UL518" s="500"/>
      <c r="UM518" s="500"/>
      <c r="UN518" s="500"/>
      <c r="UO518" s="500"/>
      <c r="UP518" s="500"/>
      <c r="UQ518" s="500"/>
      <c r="UR518" s="500"/>
      <c r="US518" s="500"/>
      <c r="UT518" s="500"/>
      <c r="UU518" s="500"/>
      <c r="UV518" s="500"/>
      <c r="UW518" s="500"/>
      <c r="UX518" s="500"/>
      <c r="UY518" s="500"/>
      <c r="UZ518" s="500"/>
      <c r="VA518" s="500"/>
      <c r="VB518" s="500"/>
      <c r="VC518" s="500"/>
      <c r="VD518" s="500"/>
      <c r="VE518" s="500"/>
      <c r="VF518" s="500"/>
      <c r="VG518" s="500"/>
      <c r="VH518" s="500"/>
      <c r="VI518" s="500"/>
      <c r="VJ518" s="500"/>
      <c r="VK518" s="500"/>
      <c r="VL518" s="500"/>
      <c r="VM518" s="500"/>
      <c r="VN518" s="500"/>
      <c r="VO518" s="500"/>
      <c r="VP518" s="500"/>
      <c r="VQ518" s="500"/>
      <c r="VR518" s="500"/>
      <c r="VS518" s="500"/>
      <c r="VT518" s="500"/>
      <c r="VU518" s="500"/>
      <c r="VV518" s="500"/>
      <c r="VW518" s="500"/>
      <c r="VX518" s="500"/>
      <c r="VY518" s="500"/>
      <c r="VZ518" s="500"/>
      <c r="WA518" s="500"/>
      <c r="WB518" s="500"/>
      <c r="WC518" s="500"/>
      <c r="WD518" s="500"/>
      <c r="WE518" s="500"/>
      <c r="WF518" s="500"/>
      <c r="WG518" s="500"/>
      <c r="WH518" s="500"/>
      <c r="WI518" s="500"/>
      <c r="WJ518" s="500"/>
      <c r="WK518" s="500"/>
      <c r="WL518" s="500"/>
      <c r="WM518" s="500"/>
      <c r="WN518" s="500"/>
      <c r="WO518" s="500"/>
      <c r="WP518" s="500"/>
      <c r="WQ518" s="500"/>
      <c r="WR518" s="500"/>
      <c r="WS518" s="500"/>
      <c r="WT518" s="500"/>
      <c r="WU518" s="500"/>
      <c r="WV518" s="500"/>
      <c r="WW518" s="500"/>
      <c r="WX518" s="500"/>
      <c r="WY518" s="500"/>
      <c r="WZ518" s="500"/>
      <c r="XA518" s="500"/>
      <c r="XB518" s="500"/>
      <c r="XC518" s="500"/>
      <c r="XD518" s="500"/>
      <c r="XE518" s="500"/>
      <c r="XF518" s="500"/>
      <c r="XG518" s="500"/>
      <c r="XH518" s="500"/>
      <c r="XI518" s="500"/>
      <c r="XJ518" s="500"/>
      <c r="XK518" s="500"/>
      <c r="XL518" s="500"/>
      <c r="XM518" s="500"/>
      <c r="XN518" s="500"/>
      <c r="XO518" s="500"/>
      <c r="XP518" s="500"/>
      <c r="XQ518" s="500"/>
      <c r="XR518" s="500"/>
      <c r="XS518" s="500"/>
      <c r="XT518" s="500"/>
      <c r="XU518" s="500"/>
      <c r="XV518" s="500"/>
      <c r="XW518" s="500"/>
      <c r="XX518" s="500"/>
      <c r="XY518" s="500"/>
      <c r="XZ518" s="500"/>
      <c r="YA518" s="500"/>
      <c r="YB518" s="500"/>
      <c r="YC518" s="500"/>
      <c r="YD518" s="500"/>
      <c r="YE518" s="500"/>
      <c r="YF518" s="500"/>
      <c r="YG518" s="500"/>
      <c r="YH518" s="500"/>
      <c r="YI518" s="500"/>
      <c r="YJ518" s="500"/>
      <c r="YK518" s="500"/>
      <c r="YL518" s="500"/>
      <c r="YM518" s="500"/>
      <c r="YN518" s="500"/>
      <c r="YO518" s="500"/>
      <c r="YP518" s="500"/>
      <c r="YQ518" s="500"/>
      <c r="YR518" s="500"/>
      <c r="YS518" s="500"/>
      <c r="YT518" s="500"/>
      <c r="YU518" s="500"/>
      <c r="YV518" s="500"/>
      <c r="YW518" s="500"/>
      <c r="YX518" s="500"/>
      <c r="YY518" s="500"/>
      <c r="YZ518" s="500"/>
      <c r="ZA518" s="500"/>
      <c r="ZB518" s="500"/>
      <c r="ZC518" s="500"/>
      <c r="ZD518" s="500"/>
      <c r="ZE518" s="500"/>
      <c r="ZF518" s="500"/>
      <c r="ZG518" s="500"/>
      <c r="ZH518" s="500"/>
      <c r="ZI518" s="500"/>
      <c r="ZJ518" s="500"/>
      <c r="ZK518" s="500"/>
      <c r="ZL518" s="500"/>
      <c r="ZM518" s="500"/>
      <c r="ZN518" s="500"/>
      <c r="ZO518" s="500"/>
      <c r="ZP518" s="500"/>
      <c r="ZQ518" s="500"/>
      <c r="ZR518" s="500"/>
      <c r="ZS518" s="500"/>
      <c r="ZT518" s="500"/>
      <c r="ZU518" s="500"/>
      <c r="ZV518" s="500"/>
      <c r="ZW518" s="500"/>
      <c r="ZX518" s="500"/>
      <c r="ZY518" s="500"/>
      <c r="ZZ518" s="500"/>
      <c r="AAA518" s="500"/>
      <c r="AAB518" s="500"/>
      <c r="AAC518" s="500"/>
      <c r="AAD518" s="500"/>
      <c r="AAE518" s="500"/>
      <c r="AAF518" s="500"/>
      <c r="AAG518" s="500"/>
      <c r="AAH518" s="500"/>
      <c r="AAI518" s="500"/>
      <c r="AAJ518" s="500"/>
      <c r="AAK518" s="500"/>
      <c r="AAL518" s="500"/>
      <c r="AAM518" s="500"/>
      <c r="AAN518" s="500"/>
      <c r="AAO518" s="500"/>
      <c r="AAP518" s="500"/>
      <c r="AAQ518" s="500"/>
      <c r="AAR518" s="500"/>
      <c r="AAS518" s="500"/>
      <c r="AAT518" s="500"/>
      <c r="AAU518" s="500"/>
      <c r="AAV518" s="500"/>
      <c r="AAW518" s="500"/>
      <c r="AAX518" s="500"/>
      <c r="AAY518" s="500"/>
      <c r="AAZ518" s="500"/>
      <c r="ABA518" s="500"/>
      <c r="ABB518" s="500"/>
      <c r="ABC518" s="500"/>
      <c r="ABD518" s="500"/>
      <c r="ABE518" s="500"/>
      <c r="ABF518" s="500"/>
      <c r="ABG518" s="500"/>
      <c r="ABH518" s="500"/>
      <c r="ABI518" s="500"/>
      <c r="ABJ518" s="500"/>
      <c r="ABK518" s="500"/>
      <c r="ABL518" s="500"/>
      <c r="ABM518" s="500"/>
      <c r="ABN518" s="500"/>
      <c r="ABO518" s="500"/>
      <c r="ABP518" s="500"/>
      <c r="ABQ518" s="500"/>
      <c r="ABR518" s="500"/>
      <c r="ABS518" s="500"/>
      <c r="ABT518" s="500"/>
      <c r="ABU518" s="500"/>
      <c r="ABV518" s="500"/>
      <c r="ABW518" s="500"/>
      <c r="ABX518" s="500"/>
      <c r="ABY518" s="500"/>
      <c r="ABZ518" s="500"/>
      <c r="ACA518" s="500"/>
      <c r="ACB518" s="500"/>
      <c r="ACC518" s="500"/>
      <c r="ACD518" s="500"/>
      <c r="ACE518" s="500"/>
      <c r="ACF518" s="500"/>
      <c r="ACG518" s="500"/>
      <c r="ACH518" s="500"/>
      <c r="ACI518" s="500"/>
      <c r="ACJ518" s="500"/>
      <c r="ACK518" s="500"/>
      <c r="ACL518" s="500"/>
      <c r="ACM518" s="500"/>
      <c r="ACN518" s="500"/>
      <c r="ACO518" s="500"/>
      <c r="ACP518" s="500"/>
      <c r="ACQ518" s="500"/>
      <c r="ACR518" s="500"/>
      <c r="ACS518" s="500"/>
      <c r="ACT518" s="500"/>
      <c r="ACU518" s="500"/>
      <c r="ACV518" s="500"/>
      <c r="ACW518" s="500"/>
      <c r="ACX518" s="500"/>
      <c r="ACY518" s="500"/>
      <c r="ACZ518" s="500"/>
      <c r="ADA518" s="500"/>
      <c r="ADB518" s="500"/>
      <c r="ADC518" s="500"/>
      <c r="ADD518" s="500"/>
      <c r="ADE518" s="500"/>
      <c r="ADF518" s="500"/>
      <c r="ADG518" s="500"/>
      <c r="ADH518" s="500"/>
      <c r="ADI518" s="500"/>
      <c r="ADJ518" s="500"/>
      <c r="ADK518" s="500"/>
      <c r="ADL518" s="500"/>
      <c r="ADM518" s="500"/>
      <c r="ADN518" s="500"/>
      <c r="ADO518" s="500"/>
      <c r="ADP518" s="500"/>
      <c r="ADQ518" s="500"/>
      <c r="ADR518" s="500"/>
      <c r="ADS518" s="500"/>
      <c r="ADT518" s="500"/>
      <c r="ADU518" s="500"/>
      <c r="ADV518" s="500"/>
      <c r="ADW518" s="500"/>
      <c r="ADX518" s="500"/>
      <c r="ADY518" s="500"/>
      <c r="ADZ518" s="500"/>
      <c r="AEA518" s="500"/>
      <c r="AEB518" s="500"/>
      <c r="AEC518" s="500"/>
      <c r="AED518" s="500"/>
      <c r="AEE518" s="500"/>
      <c r="AEF518" s="500"/>
      <c r="AEG518" s="500"/>
      <c r="AEH518" s="500"/>
      <c r="AEI518" s="500"/>
      <c r="AEJ518" s="500"/>
      <c r="AEK518" s="500"/>
      <c r="AEL518" s="500"/>
      <c r="AEM518" s="500"/>
      <c r="AEN518" s="500"/>
      <c r="AEO518" s="500"/>
      <c r="AEP518" s="500"/>
      <c r="AEQ518" s="500"/>
      <c r="AER518" s="500"/>
      <c r="AES518" s="500"/>
      <c r="AET518" s="500"/>
      <c r="AEU518" s="500"/>
      <c r="AEV518" s="500"/>
      <c r="AEW518" s="500"/>
      <c r="AEX518" s="500"/>
      <c r="AEY518" s="500"/>
      <c r="AEZ518" s="500"/>
      <c r="AFA518" s="500"/>
      <c r="AFB518" s="500"/>
      <c r="AFC518" s="500"/>
      <c r="AFD518" s="500"/>
      <c r="AFE518" s="500"/>
      <c r="AFF518" s="500"/>
      <c r="AFG518" s="500"/>
      <c r="AFH518" s="500"/>
      <c r="AFI518" s="500"/>
      <c r="AFJ518" s="500"/>
      <c r="AFK518" s="500"/>
      <c r="AFL518" s="500"/>
      <c r="AFM518" s="500"/>
      <c r="AFN518" s="500"/>
      <c r="AFO518" s="500"/>
      <c r="AFP518" s="500"/>
      <c r="AFQ518" s="500"/>
      <c r="AFR518" s="500"/>
      <c r="AFS518" s="500"/>
      <c r="AFT518" s="500"/>
      <c r="AFU518" s="500"/>
      <c r="AFV518" s="500"/>
      <c r="AFW518" s="500"/>
      <c r="AFX518" s="500"/>
      <c r="AFY518" s="500"/>
      <c r="AFZ518" s="500"/>
      <c r="AGA518" s="500"/>
      <c r="AGB518" s="500"/>
      <c r="AGC518" s="500"/>
      <c r="AGD518" s="500"/>
      <c r="AGE518" s="500"/>
      <c r="AGF518" s="500"/>
      <c r="AGG518" s="500"/>
      <c r="AGH518" s="500"/>
      <c r="AGI518" s="500"/>
      <c r="AGJ518" s="500"/>
      <c r="AGK518" s="500"/>
      <c r="AGL518" s="500"/>
      <c r="AGM518" s="500"/>
      <c r="AGN518" s="500"/>
      <c r="AGO518" s="500"/>
      <c r="AGP518" s="500"/>
      <c r="AGQ518" s="500"/>
      <c r="AGR518" s="500"/>
      <c r="AGS518" s="500"/>
      <c r="AGT518" s="500"/>
      <c r="AGU518" s="500"/>
      <c r="AGV518" s="500"/>
      <c r="AGW518" s="500"/>
      <c r="AGX518" s="500"/>
      <c r="AGY518" s="500"/>
      <c r="AGZ518" s="500"/>
      <c r="AHA518" s="500"/>
      <c r="AHB518" s="500"/>
      <c r="AHC518" s="500"/>
      <c r="AHD518" s="500"/>
      <c r="AHE518" s="500"/>
      <c r="AHF518" s="500"/>
      <c r="AHG518" s="500"/>
      <c r="AHH518" s="500"/>
      <c r="AHI518" s="500"/>
      <c r="AHJ518" s="500"/>
      <c r="AHK518" s="500"/>
      <c r="AHL518" s="500"/>
      <c r="AHM518" s="500"/>
      <c r="AHN518" s="500"/>
      <c r="AHO518" s="500"/>
      <c r="AHP518" s="500"/>
      <c r="AHQ518" s="500"/>
      <c r="AHR518" s="500"/>
      <c r="AHS518" s="500"/>
      <c r="AHT518" s="500"/>
      <c r="AHU518" s="500"/>
      <c r="AHV518" s="500"/>
      <c r="AHW518" s="500"/>
      <c r="AHX518" s="500"/>
      <c r="AHY518" s="500"/>
      <c r="AHZ518" s="500"/>
      <c r="AIA518" s="500"/>
      <c r="AIB518" s="500"/>
      <c r="AIC518" s="500"/>
      <c r="AID518" s="500"/>
      <c r="AIE518" s="500"/>
      <c r="AIF518" s="500"/>
      <c r="AIG518" s="500"/>
      <c r="AIH518" s="500"/>
      <c r="AII518" s="500"/>
      <c r="AIJ518" s="500"/>
      <c r="AIK518" s="500"/>
      <c r="AIL518" s="500"/>
      <c r="AIM518" s="500"/>
      <c r="AIN518" s="500"/>
      <c r="AIO518" s="500"/>
      <c r="AIP518" s="500"/>
      <c r="AIQ518" s="500"/>
      <c r="AIR518" s="500"/>
      <c r="AIS518" s="500"/>
      <c r="AIT518" s="500"/>
      <c r="AIU518" s="500"/>
      <c r="AIV518" s="500"/>
      <c r="AIW518" s="500"/>
      <c r="AIX518" s="500"/>
      <c r="AIY518" s="500"/>
      <c r="AIZ518" s="500"/>
      <c r="AJA518" s="500"/>
      <c r="AJB518" s="500"/>
      <c r="AJC518" s="500"/>
      <c r="AJD518" s="500"/>
      <c r="AJE518" s="500"/>
      <c r="AJF518" s="500"/>
      <c r="AJG518" s="500"/>
      <c r="AJH518" s="500"/>
      <c r="AJI518" s="500"/>
      <c r="AJJ518" s="500"/>
      <c r="AJK518" s="500"/>
      <c r="AJL518" s="500"/>
      <c r="AJM518" s="500"/>
      <c r="AJN518" s="500"/>
      <c r="AJO518" s="500"/>
      <c r="AJP518" s="500"/>
      <c r="AJQ518" s="500"/>
      <c r="AJR518" s="500"/>
      <c r="AJS518" s="500"/>
      <c r="AJT518" s="500"/>
      <c r="AJU518" s="500"/>
      <c r="AJV518" s="500"/>
      <c r="AJW518" s="500"/>
      <c r="AJX518" s="500"/>
      <c r="AJY518" s="500"/>
      <c r="AJZ518" s="500"/>
      <c r="AKA518" s="500"/>
      <c r="AKB518" s="500"/>
      <c r="AKC518" s="500"/>
      <c r="AKD518" s="500"/>
      <c r="AKE518" s="500"/>
      <c r="AKF518" s="500"/>
      <c r="AKG518" s="500"/>
      <c r="AKH518" s="500"/>
      <c r="AKI518" s="500"/>
      <c r="AKJ518" s="500"/>
      <c r="AKK518" s="500"/>
      <c r="AKL518" s="500"/>
      <c r="AKM518" s="500"/>
      <c r="AKN518" s="500"/>
      <c r="AKO518" s="500"/>
      <c r="AKP518" s="500"/>
      <c r="AKQ518" s="500"/>
      <c r="AKR518" s="500"/>
      <c r="AKS518" s="500"/>
      <c r="AKT518" s="500"/>
      <c r="AKU518" s="500"/>
      <c r="AKV518" s="500"/>
      <c r="AKW518" s="500"/>
      <c r="AKX518" s="500"/>
      <c r="AKY518" s="500"/>
      <c r="AKZ518" s="500"/>
      <c r="ALA518" s="500"/>
      <c r="ALB518" s="500"/>
      <c r="ALC518" s="500"/>
      <c r="ALD518" s="500"/>
      <c r="ALE518" s="500"/>
      <c r="ALF518" s="500"/>
      <c r="ALG518" s="500"/>
      <c r="ALH518" s="500"/>
      <c r="ALI518" s="500"/>
      <c r="ALJ518" s="500"/>
      <c r="ALK518" s="500"/>
      <c r="ALL518" s="500"/>
      <c r="ALM518" s="500"/>
      <c r="ALN518" s="500"/>
      <c r="ALO518" s="500"/>
      <c r="ALP518" s="500"/>
      <c r="ALQ518" s="500"/>
      <c r="ALR518" s="500"/>
      <c r="ALS518" s="500"/>
      <c r="ALT518" s="500"/>
      <c r="ALU518" s="500"/>
      <c r="ALV518" s="500"/>
      <c r="ALW518" s="500"/>
      <c r="ALX518" s="500"/>
      <c r="ALY518" s="500"/>
      <c r="ALZ518" s="500"/>
      <c r="AMA518" s="500"/>
      <c r="AMB518" s="500"/>
      <c r="AMC518" s="500"/>
      <c r="AMD518" s="500"/>
      <c r="AME518" s="500"/>
      <c r="AMF518" s="500"/>
      <c r="AMG518" s="500"/>
      <c r="AMH518" s="500"/>
      <c r="AMI518" s="500"/>
      <c r="AMJ518" s="500"/>
      <c r="AMK518" s="500"/>
      <c r="AML518" s="500"/>
      <c r="AMM518" s="500"/>
      <c r="AMN518" s="500"/>
      <c r="AMO518" s="500"/>
      <c r="AMP518" s="500"/>
      <c r="AMQ518" s="500"/>
      <c r="AMR518" s="500"/>
      <c r="AMS518" s="500"/>
      <c r="AMT518" s="500"/>
      <c r="AMU518" s="500"/>
      <c r="AMV518" s="500"/>
      <c r="AMW518" s="500"/>
      <c r="AMX518" s="500"/>
      <c r="AMY518" s="500"/>
      <c r="AMZ518" s="500"/>
      <c r="ANA518" s="500"/>
      <c r="ANB518" s="500"/>
      <c r="ANC518" s="500"/>
      <c r="AND518" s="500"/>
      <c r="ANE518" s="500"/>
      <c r="ANF518" s="500"/>
      <c r="ANG518" s="500"/>
      <c r="ANH518" s="500"/>
      <c r="ANI518" s="500"/>
      <c r="ANJ518" s="500"/>
      <c r="ANK518" s="500"/>
      <c r="ANL518" s="500"/>
      <c r="ANM518" s="500"/>
      <c r="ANN518" s="500"/>
      <c r="ANO518" s="500"/>
      <c r="ANP518" s="500"/>
      <c r="ANQ518" s="500"/>
      <c r="ANR518" s="500"/>
      <c r="ANS518" s="500"/>
      <c r="ANT518" s="500"/>
      <c r="ANU518" s="500"/>
      <c r="ANV518" s="500"/>
      <c r="ANW518" s="500"/>
      <c r="ANX518" s="500"/>
      <c r="ANY518" s="500"/>
      <c r="ANZ518" s="500"/>
      <c r="AOA518" s="500"/>
      <c r="AOB518" s="500"/>
      <c r="AOC518" s="500"/>
      <c r="AOD518" s="500"/>
      <c r="AOE518" s="500"/>
      <c r="AOF518" s="500"/>
      <c r="AOG518" s="500"/>
      <c r="AOH518" s="500"/>
      <c r="AOI518" s="500"/>
      <c r="AOJ518" s="500"/>
      <c r="AOK518" s="500"/>
      <c r="AOL518" s="500"/>
      <c r="AOM518" s="500"/>
      <c r="AON518" s="500"/>
      <c r="AOO518" s="500"/>
      <c r="AOP518" s="500"/>
      <c r="AOQ518" s="500"/>
      <c r="AOR518" s="500"/>
      <c r="AOS518" s="500"/>
      <c r="AOT518" s="500"/>
      <c r="AOU518" s="500"/>
      <c r="AOV518" s="500"/>
      <c r="AOW518" s="500"/>
      <c r="AOX518" s="500"/>
      <c r="AOY518" s="500"/>
      <c r="AOZ518" s="500"/>
      <c r="APA518" s="500"/>
      <c r="APB518" s="500"/>
      <c r="APC518" s="500"/>
      <c r="APD518" s="500"/>
      <c r="APE518" s="500"/>
      <c r="APF518" s="500"/>
      <c r="APG518" s="500"/>
      <c r="APH518" s="500"/>
      <c r="API518" s="500"/>
      <c r="APJ518" s="500"/>
      <c r="APK518" s="500"/>
      <c r="APL518" s="500"/>
      <c r="APM518" s="500"/>
      <c r="APN518" s="500"/>
      <c r="APO518" s="500"/>
      <c r="APP518" s="500"/>
      <c r="APQ518" s="500"/>
      <c r="APR518" s="500"/>
      <c r="APS518" s="500"/>
      <c r="APT518" s="500"/>
      <c r="APU518" s="500"/>
      <c r="APV518" s="500"/>
      <c r="APW518" s="500"/>
      <c r="APX518" s="500"/>
      <c r="APY518" s="500"/>
      <c r="APZ518" s="500"/>
      <c r="AQA518" s="500"/>
      <c r="AQB518" s="500"/>
      <c r="AQC518" s="500"/>
      <c r="AQD518" s="500"/>
      <c r="AQE518" s="500"/>
      <c r="AQF518" s="500"/>
      <c r="AQG518" s="500"/>
      <c r="AQH518" s="500"/>
      <c r="AQI518" s="500"/>
      <c r="AQJ518" s="500"/>
      <c r="AQK518" s="500"/>
      <c r="AQL518" s="500"/>
      <c r="AQM518" s="500"/>
      <c r="AQN518" s="500"/>
      <c r="AQO518" s="500"/>
      <c r="AQP518" s="500"/>
      <c r="AQQ518" s="500"/>
      <c r="AQR518" s="500"/>
      <c r="AQS518" s="500"/>
      <c r="AQT518" s="500"/>
      <c r="AQU518" s="500"/>
      <c r="AQV518" s="500"/>
      <c r="AQW518" s="500"/>
      <c r="AQX518" s="500"/>
      <c r="AQY518" s="500"/>
      <c r="AQZ518" s="500"/>
      <c r="ARA518" s="500"/>
      <c r="ARB518" s="500"/>
      <c r="ARC518" s="500"/>
      <c r="ARD518" s="500"/>
      <c r="ARE518" s="500"/>
      <c r="ARF518" s="500"/>
      <c r="ARG518" s="500"/>
      <c r="ARH518" s="500"/>
      <c r="ARI518" s="500"/>
      <c r="ARJ518" s="500"/>
      <c r="ARK518" s="500"/>
      <c r="ARL518" s="500"/>
      <c r="ARM518" s="500"/>
      <c r="ARN518" s="500"/>
      <c r="ARO518" s="500"/>
      <c r="ARP518" s="500"/>
      <c r="ARQ518" s="500"/>
      <c r="ARR518" s="500"/>
      <c r="ARS518" s="500"/>
      <c r="ART518" s="500"/>
      <c r="ARU518" s="500"/>
      <c r="ARV518" s="500"/>
      <c r="ARW518" s="500"/>
      <c r="ARX518" s="500"/>
      <c r="ARY518" s="500"/>
      <c r="ARZ518" s="500"/>
      <c r="ASA518" s="500"/>
      <c r="ASB518" s="500"/>
      <c r="ASC518" s="500"/>
      <c r="ASD518" s="500"/>
      <c r="ASE518" s="500"/>
      <c r="ASF518" s="500"/>
      <c r="ASG518" s="500"/>
      <c r="ASH518" s="500"/>
      <c r="ASI518" s="500"/>
      <c r="ASJ518" s="500"/>
      <c r="ASK518" s="500"/>
      <c r="ASL518" s="500"/>
      <c r="ASM518" s="500"/>
      <c r="ASN518" s="500"/>
      <c r="ASO518" s="500"/>
      <c r="ASP518" s="500"/>
      <c r="ASQ518" s="500"/>
      <c r="ASR518" s="500"/>
      <c r="ASS518" s="500"/>
      <c r="AST518" s="500"/>
      <c r="ASU518" s="500"/>
      <c r="ASV518" s="500"/>
      <c r="ASW518" s="500"/>
      <c r="ASX518" s="500"/>
      <c r="ASY518" s="500"/>
      <c r="ASZ518" s="500"/>
      <c r="ATA518" s="500"/>
      <c r="ATB518" s="500"/>
      <c r="ATC518" s="500"/>
      <c r="ATD518" s="500"/>
      <c r="ATE518" s="500"/>
      <c r="ATF518" s="500"/>
      <c r="ATG518" s="500"/>
      <c r="ATH518" s="500"/>
      <c r="ATI518" s="500"/>
      <c r="ATJ518" s="500"/>
      <c r="ATK518" s="500"/>
      <c r="ATL518" s="500"/>
      <c r="ATM518" s="500"/>
      <c r="ATN518" s="500"/>
      <c r="ATO518" s="500"/>
      <c r="ATP518" s="500"/>
      <c r="ATQ518" s="500"/>
      <c r="ATR518" s="500"/>
      <c r="ATS518" s="500"/>
      <c r="ATT518" s="500"/>
      <c r="ATU518" s="500"/>
      <c r="ATV518" s="500"/>
      <c r="ATW518" s="500"/>
      <c r="ATX518" s="500"/>
      <c r="ATY518" s="500"/>
      <c r="ATZ518" s="500"/>
      <c r="AUA518" s="500"/>
      <c r="AUB518" s="500"/>
      <c r="AUC518" s="500"/>
      <c r="AUD518" s="500"/>
      <c r="AUE518" s="500"/>
      <c r="AUF518" s="500"/>
      <c r="AUG518" s="500"/>
      <c r="AUH518" s="500"/>
      <c r="AUI518" s="500"/>
      <c r="AUJ518" s="500"/>
      <c r="AUK518" s="500"/>
      <c r="AUL518" s="500"/>
      <c r="AUM518" s="500"/>
      <c r="AUN518" s="500"/>
      <c r="AUO518" s="500"/>
      <c r="AUP518" s="500"/>
      <c r="AUQ518" s="500"/>
      <c r="AUR518" s="500"/>
      <c r="AUS518" s="500"/>
      <c r="AUT518" s="500"/>
      <c r="AUU518" s="500"/>
      <c r="AUV518" s="500"/>
      <c r="AUW518" s="500"/>
      <c r="AUX518" s="500"/>
      <c r="AUY518" s="500"/>
      <c r="AUZ518" s="500"/>
      <c r="AVA518" s="500"/>
      <c r="AVB518" s="500"/>
      <c r="AVC518" s="500"/>
      <c r="AVD518" s="500"/>
      <c r="AVE518" s="500"/>
      <c r="AVF518" s="500"/>
      <c r="AVG518" s="500"/>
      <c r="AVH518" s="500"/>
      <c r="AVI518" s="500"/>
      <c r="AVJ518" s="500"/>
      <c r="AVK518" s="500"/>
      <c r="AVL518" s="500"/>
      <c r="AVM518" s="500"/>
      <c r="AVN518" s="500"/>
      <c r="AVO518" s="500"/>
      <c r="AVP518" s="500"/>
      <c r="AVQ518" s="500"/>
      <c r="AVR518" s="500"/>
      <c r="AVS518" s="500"/>
      <c r="AVT518" s="500"/>
      <c r="AVU518" s="500"/>
      <c r="AVV518" s="500"/>
      <c r="AVW518" s="500"/>
      <c r="AVX518" s="500"/>
      <c r="AVY518" s="500"/>
      <c r="AVZ518" s="500"/>
      <c r="AWA518" s="500"/>
      <c r="AWB518" s="500"/>
      <c r="AWC518" s="500"/>
      <c r="AWD518" s="500"/>
      <c r="AWE518" s="500"/>
      <c r="AWF518" s="500"/>
      <c r="AWG518" s="500"/>
      <c r="AWH518" s="500"/>
      <c r="AWI518" s="500"/>
      <c r="AWJ518" s="500"/>
      <c r="AWK518" s="500"/>
      <c r="AWL518" s="500"/>
      <c r="AWM518" s="500"/>
      <c r="AWN518" s="500"/>
      <c r="AWO518" s="500"/>
      <c r="AWP518" s="500"/>
      <c r="AWQ518" s="500"/>
      <c r="AWR518" s="500"/>
      <c r="AWS518" s="500"/>
      <c r="AWT518" s="500"/>
      <c r="AWU518" s="500"/>
      <c r="AWV518" s="500"/>
      <c r="AWW518" s="500"/>
      <c r="AWX518" s="500"/>
      <c r="AWY518" s="500"/>
      <c r="AWZ518" s="500"/>
      <c r="AXA518" s="500"/>
      <c r="AXB518" s="500"/>
      <c r="AXC518" s="500"/>
      <c r="AXD518" s="500"/>
      <c r="AXE518" s="500"/>
      <c r="AXF518" s="500"/>
      <c r="AXG518" s="500"/>
      <c r="AXH518" s="500"/>
      <c r="AXI518" s="500"/>
      <c r="AXJ518" s="500"/>
      <c r="AXK518" s="500"/>
      <c r="AXL518" s="500"/>
      <c r="AXM518" s="500"/>
      <c r="AXN518" s="500"/>
      <c r="AXO518" s="500"/>
      <c r="AXP518" s="500"/>
      <c r="AXQ518" s="500"/>
      <c r="AXR518" s="500"/>
      <c r="AXS518" s="500"/>
      <c r="AXT518" s="500"/>
      <c r="AXU518" s="500"/>
      <c r="AXV518" s="500"/>
      <c r="AXW518" s="500"/>
      <c r="AXX518" s="500"/>
      <c r="AXY518" s="500"/>
      <c r="AXZ518" s="500"/>
      <c r="AYA518" s="500"/>
      <c r="AYB518" s="500"/>
      <c r="AYC518" s="500"/>
      <c r="AYD518" s="500"/>
      <c r="AYE518" s="500"/>
      <c r="AYF518" s="500"/>
      <c r="AYG518" s="500"/>
      <c r="AYH518" s="500"/>
      <c r="AYI518" s="500"/>
      <c r="AYJ518" s="500"/>
      <c r="AYK518" s="500"/>
      <c r="AYL518" s="500"/>
      <c r="AYM518" s="500"/>
      <c r="AYN518" s="500"/>
      <c r="AYO518" s="500"/>
      <c r="AYP518" s="500"/>
      <c r="AYQ518" s="500"/>
      <c r="AYR518" s="500"/>
      <c r="AYS518" s="500"/>
      <c r="AYT518" s="500"/>
      <c r="AYU518" s="500"/>
      <c r="AYV518" s="500"/>
      <c r="AYW518" s="500"/>
      <c r="AYX518" s="500"/>
      <c r="AYY518" s="500"/>
      <c r="AYZ518" s="500"/>
      <c r="AZA518" s="500"/>
      <c r="AZB518" s="500"/>
      <c r="AZC518" s="500"/>
      <c r="AZD518" s="500"/>
      <c r="AZE518" s="500"/>
      <c r="AZF518" s="500"/>
      <c r="AZG518" s="500"/>
      <c r="AZH518" s="500"/>
      <c r="AZI518" s="500"/>
      <c r="AZJ518" s="500"/>
      <c r="AZK518" s="500"/>
      <c r="AZL518" s="500"/>
      <c r="AZM518" s="500"/>
      <c r="AZN518" s="500"/>
      <c r="AZO518" s="500"/>
      <c r="AZP518" s="500"/>
      <c r="AZQ518" s="500"/>
      <c r="AZR518" s="500"/>
      <c r="AZS518" s="500"/>
      <c r="AZT518" s="500"/>
      <c r="AZU518" s="500"/>
      <c r="AZV518" s="500"/>
      <c r="AZW518" s="500"/>
      <c r="AZX518" s="500"/>
      <c r="AZY518" s="500"/>
      <c r="AZZ518" s="500"/>
      <c r="BAA518" s="500"/>
      <c r="BAB518" s="500"/>
      <c r="BAC518" s="500"/>
      <c r="BAD518" s="500"/>
      <c r="BAE518" s="500"/>
      <c r="BAF518" s="500"/>
      <c r="BAG518" s="500"/>
      <c r="BAH518" s="500"/>
      <c r="BAI518" s="500"/>
      <c r="BAJ518" s="500"/>
      <c r="BAK518" s="500"/>
      <c r="BAL518" s="500"/>
      <c r="BAM518" s="500"/>
      <c r="BAN518" s="500"/>
      <c r="BAO518" s="500"/>
      <c r="BAP518" s="500"/>
      <c r="BAQ518" s="500"/>
      <c r="BAR518" s="500"/>
      <c r="BAS518" s="500"/>
      <c r="BAT518" s="500"/>
      <c r="BAU518" s="500"/>
      <c r="BAV518" s="500"/>
      <c r="BAW518" s="500"/>
      <c r="BAX518" s="500"/>
      <c r="BAY518" s="500"/>
      <c r="BAZ518" s="500"/>
      <c r="BBA518" s="500"/>
      <c r="BBB518" s="500"/>
      <c r="BBC518" s="500"/>
      <c r="BBD518" s="500"/>
      <c r="BBE518" s="500"/>
      <c r="BBF518" s="500"/>
      <c r="BBG518" s="500"/>
      <c r="BBH518" s="500"/>
      <c r="BBI518" s="500"/>
      <c r="BBJ518" s="500"/>
      <c r="BBK518" s="500"/>
      <c r="BBL518" s="500"/>
      <c r="BBM518" s="500"/>
      <c r="BBN518" s="500"/>
      <c r="BBO518" s="500"/>
      <c r="BBP518" s="500"/>
      <c r="BBQ518" s="500"/>
      <c r="BBR518" s="500"/>
      <c r="BBS518" s="500"/>
      <c r="BBT518" s="500"/>
      <c r="BBU518" s="500"/>
      <c r="BBV518" s="500"/>
      <c r="BBW518" s="500"/>
      <c r="BBX518" s="500"/>
      <c r="BBY518" s="500"/>
      <c r="BBZ518" s="500"/>
      <c r="BCA518" s="500"/>
      <c r="BCB518" s="500"/>
      <c r="BCC518" s="500"/>
      <c r="BCD518" s="500"/>
      <c r="BCE518" s="500"/>
      <c r="BCF518" s="500"/>
      <c r="BCG518" s="500"/>
      <c r="BCH518" s="500"/>
      <c r="BCI518" s="500"/>
      <c r="BCJ518" s="500"/>
      <c r="BCK518" s="500"/>
      <c r="BCL518" s="500"/>
      <c r="BCM518" s="500"/>
      <c r="BCN518" s="500"/>
      <c r="BCO518" s="500"/>
      <c r="BCP518" s="500"/>
      <c r="BCQ518" s="500"/>
      <c r="BCR518" s="500"/>
      <c r="BCS518" s="500"/>
      <c r="BCT518" s="500"/>
      <c r="BCU518" s="500"/>
      <c r="BCV518" s="500"/>
      <c r="BCW518" s="500"/>
      <c r="BCX518" s="500"/>
      <c r="BCY518" s="500"/>
      <c r="BCZ518" s="500"/>
      <c r="BDA518" s="500"/>
      <c r="BDB518" s="500"/>
      <c r="BDC518" s="500"/>
      <c r="BDD518" s="500"/>
      <c r="BDE518" s="500"/>
      <c r="BDF518" s="500"/>
      <c r="BDG518" s="500"/>
      <c r="BDH518" s="500"/>
      <c r="BDI518" s="500"/>
      <c r="BDJ518" s="500"/>
      <c r="BDK518" s="500"/>
      <c r="BDL518" s="500"/>
      <c r="BDM518" s="500"/>
      <c r="BDN518" s="500"/>
      <c r="BDO518" s="500"/>
      <c r="BDP518" s="500"/>
      <c r="BDQ518" s="500"/>
      <c r="BDR518" s="500"/>
      <c r="BDS518" s="500"/>
      <c r="BDT518" s="500"/>
      <c r="BDU518" s="500"/>
      <c r="BDV518" s="500"/>
      <c r="BDW518" s="500"/>
      <c r="BDX518" s="500"/>
      <c r="BDY518" s="500"/>
      <c r="BDZ518" s="500"/>
      <c r="BEA518" s="500"/>
      <c r="BEB518" s="500"/>
      <c r="BEC518" s="500"/>
      <c r="BED518" s="500"/>
      <c r="BEE518" s="500"/>
      <c r="BEF518" s="500"/>
      <c r="BEG518" s="500"/>
      <c r="BEH518" s="500"/>
      <c r="BEI518" s="500"/>
      <c r="BEJ518" s="500"/>
      <c r="BEK518" s="500"/>
      <c r="BEL518" s="500"/>
      <c r="BEM518" s="500"/>
      <c r="BEN518" s="500"/>
      <c r="BEO518" s="500"/>
      <c r="BEP518" s="500"/>
      <c r="BEQ518" s="500"/>
      <c r="BER518" s="500"/>
      <c r="BES518" s="500"/>
      <c r="BET518" s="500"/>
      <c r="BEU518" s="500"/>
      <c r="BEV518" s="500"/>
      <c r="BEW518" s="500"/>
      <c r="BEX518" s="500"/>
      <c r="BEY518" s="500"/>
      <c r="BEZ518" s="500"/>
      <c r="BFA518" s="500"/>
      <c r="BFB518" s="500"/>
      <c r="BFC518" s="500"/>
      <c r="BFD518" s="500"/>
      <c r="BFE518" s="500"/>
      <c r="BFF518" s="500"/>
      <c r="BFG518" s="500"/>
      <c r="BFH518" s="500"/>
      <c r="BFI518" s="500"/>
      <c r="BFJ518" s="500"/>
      <c r="BFK518" s="500"/>
      <c r="BFL518" s="500"/>
      <c r="BFM518" s="500"/>
      <c r="BFN518" s="500"/>
      <c r="BFO518" s="500"/>
      <c r="BFP518" s="500"/>
      <c r="BFQ518" s="500"/>
      <c r="BFR518" s="500"/>
      <c r="BFS518" s="500"/>
      <c r="BFT518" s="500"/>
      <c r="BFU518" s="500"/>
      <c r="BFV518" s="500"/>
      <c r="BFW518" s="500"/>
      <c r="BFX518" s="500"/>
      <c r="BFY518" s="500"/>
      <c r="BFZ518" s="500"/>
      <c r="BGA518" s="500"/>
      <c r="BGB518" s="500"/>
      <c r="BGC518" s="500"/>
      <c r="BGD518" s="500"/>
      <c r="BGE518" s="500"/>
      <c r="BGF518" s="500"/>
      <c r="BGG518" s="500"/>
      <c r="BGH518" s="500"/>
      <c r="BGI518" s="500"/>
      <c r="BGJ518" s="500"/>
      <c r="BGK518" s="500"/>
      <c r="BGL518" s="500"/>
      <c r="BGM518" s="500"/>
      <c r="BGN518" s="500"/>
      <c r="BGO518" s="500"/>
      <c r="BGP518" s="500"/>
      <c r="BGQ518" s="500"/>
      <c r="BGR518" s="500"/>
      <c r="BGS518" s="500"/>
      <c r="BGT518" s="500"/>
      <c r="BGU518" s="500"/>
      <c r="BGV518" s="500"/>
      <c r="BGW518" s="500"/>
      <c r="BGX518" s="500"/>
      <c r="BGY518" s="500"/>
      <c r="BGZ518" s="500"/>
      <c r="BHA518" s="500"/>
      <c r="BHB518" s="500"/>
      <c r="BHC518" s="500"/>
      <c r="BHD518" s="500"/>
      <c r="BHE518" s="500"/>
      <c r="BHF518" s="500"/>
      <c r="BHG518" s="500"/>
      <c r="BHH518" s="500"/>
      <c r="BHI518" s="500"/>
      <c r="BHJ518" s="500"/>
      <c r="BHK518" s="500"/>
      <c r="BHL518" s="500"/>
      <c r="BHM518" s="500"/>
      <c r="BHN518" s="500"/>
      <c r="BHO518" s="500"/>
      <c r="BHP518" s="500"/>
      <c r="BHQ518" s="500"/>
      <c r="BHR518" s="500"/>
      <c r="BHS518" s="500"/>
      <c r="BHT518" s="500"/>
      <c r="BHU518" s="500"/>
      <c r="BHV518" s="500"/>
      <c r="BHW518" s="500"/>
      <c r="BHX518" s="500"/>
      <c r="BHY518" s="500"/>
      <c r="BHZ518" s="500"/>
      <c r="BIA518" s="500"/>
      <c r="BIB518" s="500"/>
      <c r="BIC518" s="500"/>
      <c r="BID518" s="500"/>
      <c r="BIE518" s="500"/>
      <c r="BIF518" s="500"/>
      <c r="BIG518" s="500"/>
      <c r="BIH518" s="500"/>
      <c r="BII518" s="500"/>
      <c r="BIJ518" s="500"/>
      <c r="BIK518" s="500"/>
      <c r="BIL518" s="500"/>
      <c r="BIM518" s="500"/>
      <c r="BIN518" s="500"/>
      <c r="BIO518" s="500"/>
      <c r="BIP518" s="500"/>
      <c r="BIQ518" s="500"/>
      <c r="BIR518" s="500"/>
      <c r="BIS518" s="500"/>
      <c r="BIT518" s="500"/>
      <c r="BIU518" s="500"/>
      <c r="BIV518" s="500"/>
      <c r="BIW518" s="500"/>
      <c r="BIX518" s="500"/>
      <c r="BIY518" s="500"/>
      <c r="BIZ518" s="500"/>
      <c r="BJA518" s="500"/>
      <c r="BJB518" s="500"/>
      <c r="BJC518" s="500"/>
      <c r="BJD518" s="500"/>
      <c r="BJE518" s="500"/>
      <c r="BJF518" s="500"/>
      <c r="BJG518" s="500"/>
      <c r="BJH518" s="500"/>
      <c r="BJI518" s="500"/>
      <c r="BJJ518" s="500"/>
      <c r="BJK518" s="500"/>
      <c r="BJL518" s="500"/>
      <c r="BJM518" s="500"/>
      <c r="BJN518" s="500"/>
      <c r="BJO518" s="500"/>
      <c r="BJP518" s="500"/>
      <c r="BJQ518" s="500"/>
      <c r="BJR518" s="500"/>
      <c r="BJS518" s="500"/>
      <c r="BJT518" s="500"/>
      <c r="BJU518" s="500"/>
      <c r="BJV518" s="500"/>
      <c r="BJW518" s="500"/>
      <c r="BJX518" s="500"/>
      <c r="BJY518" s="500"/>
      <c r="BJZ518" s="500"/>
      <c r="BKA518" s="500"/>
      <c r="BKB518" s="500"/>
      <c r="BKC518" s="500"/>
      <c r="BKD518" s="500"/>
      <c r="BKE518" s="500"/>
      <c r="BKF518" s="500"/>
      <c r="BKG518" s="500"/>
      <c r="BKH518" s="500"/>
      <c r="BKI518" s="500"/>
      <c r="BKJ518" s="500"/>
      <c r="BKK518" s="500"/>
      <c r="BKL518" s="500"/>
      <c r="BKM518" s="500"/>
      <c r="BKN518" s="500"/>
      <c r="BKO518" s="500"/>
      <c r="BKP518" s="500"/>
      <c r="BKQ518" s="500"/>
      <c r="BKR518" s="500"/>
      <c r="BKS518" s="500"/>
      <c r="BKT518" s="500"/>
      <c r="BKU518" s="500"/>
      <c r="BKV518" s="500"/>
      <c r="BKW518" s="500"/>
      <c r="BKX518" s="500"/>
      <c r="BKY518" s="500"/>
      <c r="BKZ518" s="500"/>
      <c r="BLA518" s="500"/>
      <c r="BLB518" s="500"/>
      <c r="BLC518" s="500"/>
      <c r="BLD518" s="500"/>
      <c r="BLE518" s="500"/>
      <c r="BLF518" s="500"/>
      <c r="BLG518" s="500"/>
      <c r="BLH518" s="500"/>
      <c r="BLI518" s="500"/>
      <c r="BLJ518" s="500"/>
      <c r="BLK518" s="500"/>
      <c r="BLL518" s="500"/>
      <c r="BLM518" s="500"/>
      <c r="BLN518" s="500"/>
      <c r="BLO518" s="500"/>
      <c r="BLP518" s="500"/>
      <c r="BLQ518" s="500"/>
      <c r="BLR518" s="500"/>
      <c r="BLS518" s="500"/>
      <c r="BLT518" s="500"/>
      <c r="BLU518" s="500"/>
      <c r="BLV518" s="500"/>
      <c r="BLW518" s="500"/>
      <c r="BLX518" s="500"/>
      <c r="BLY518" s="500"/>
      <c r="BLZ518" s="500"/>
      <c r="BMA518" s="500"/>
      <c r="BMB518" s="500"/>
      <c r="BMC518" s="500"/>
      <c r="BMD518" s="500"/>
      <c r="BME518" s="500"/>
      <c r="BMF518" s="500"/>
      <c r="BMG518" s="500"/>
      <c r="BMH518" s="500"/>
      <c r="BMI518" s="500"/>
      <c r="BMJ518" s="500"/>
      <c r="BMK518" s="500"/>
      <c r="BML518" s="500"/>
      <c r="BMM518" s="500"/>
      <c r="BMN518" s="500"/>
      <c r="BMO518" s="500"/>
      <c r="BMP518" s="500"/>
      <c r="BMQ518" s="500"/>
      <c r="BMR518" s="500"/>
      <c r="BMS518" s="500"/>
      <c r="BMT518" s="500"/>
      <c r="BMU518" s="500"/>
      <c r="BMV518" s="500"/>
      <c r="BMW518" s="500"/>
      <c r="BMX518" s="500"/>
      <c r="BMY518" s="500"/>
      <c r="BMZ518" s="500"/>
      <c r="BNA518" s="500"/>
      <c r="BNB518" s="500"/>
      <c r="BNC518" s="500"/>
      <c r="BND518" s="500"/>
      <c r="BNE518" s="500"/>
      <c r="BNF518" s="500"/>
      <c r="BNG518" s="500"/>
      <c r="BNH518" s="500"/>
      <c r="BNI518" s="500"/>
      <c r="BNJ518" s="500"/>
      <c r="BNK518" s="500"/>
      <c r="BNL518" s="500"/>
      <c r="BNM518" s="500"/>
      <c r="BNN518" s="500"/>
      <c r="BNO518" s="500"/>
      <c r="BNP518" s="500"/>
      <c r="BNQ518" s="500"/>
      <c r="BNR518" s="500"/>
      <c r="BNS518" s="500"/>
      <c r="BNT518" s="500"/>
      <c r="BNU518" s="500"/>
      <c r="BNV518" s="500"/>
      <c r="BNW518" s="500"/>
      <c r="BNX518" s="500"/>
      <c r="BNY518" s="500"/>
      <c r="BNZ518" s="500"/>
      <c r="BOA518" s="500"/>
      <c r="BOB518" s="500"/>
      <c r="BOC518" s="500"/>
      <c r="BOD518" s="500"/>
      <c r="BOE518" s="500"/>
      <c r="BOF518" s="500"/>
      <c r="BOG518" s="500"/>
      <c r="BOH518" s="500"/>
      <c r="BOI518" s="500"/>
      <c r="BOJ518" s="500"/>
      <c r="BOK518" s="500"/>
      <c r="BOL518" s="500"/>
      <c r="BOM518" s="500"/>
      <c r="BON518" s="500"/>
      <c r="BOO518" s="500"/>
      <c r="BOP518" s="500"/>
      <c r="BOQ518" s="500"/>
      <c r="BOR518" s="500"/>
      <c r="BOS518" s="500"/>
      <c r="BOT518" s="500"/>
      <c r="BOU518" s="500"/>
      <c r="BOV518" s="500"/>
      <c r="BOW518" s="500"/>
      <c r="BOX518" s="500"/>
      <c r="BOY518" s="500"/>
      <c r="BOZ518" s="500"/>
      <c r="BPA518" s="500"/>
      <c r="BPB518" s="500"/>
      <c r="BPC518" s="500"/>
      <c r="BPD518" s="500"/>
      <c r="BPE518" s="500"/>
      <c r="BPF518" s="500"/>
      <c r="BPG518" s="500"/>
      <c r="BPH518" s="500"/>
      <c r="BPI518" s="500"/>
      <c r="BPJ518" s="500"/>
      <c r="BPK518" s="500"/>
      <c r="BPL518" s="500"/>
      <c r="BPM518" s="500"/>
      <c r="BPN518" s="500"/>
      <c r="BPO518" s="500"/>
      <c r="BPP518" s="500"/>
      <c r="BPQ518" s="500"/>
      <c r="BPR518" s="500"/>
      <c r="BPS518" s="500"/>
      <c r="BPT518" s="500"/>
      <c r="BPU518" s="500"/>
      <c r="BPV518" s="500"/>
      <c r="BPW518" s="500"/>
      <c r="BPX518" s="500"/>
      <c r="BPY518" s="500"/>
      <c r="BPZ518" s="500"/>
      <c r="BQA518" s="500"/>
      <c r="BQB518" s="500"/>
      <c r="BQC518" s="500"/>
      <c r="BQD518" s="500"/>
      <c r="BQE518" s="500"/>
      <c r="BQF518" s="500"/>
      <c r="BQG518" s="500"/>
      <c r="BQH518" s="500"/>
      <c r="BQI518" s="500"/>
      <c r="BQJ518" s="500"/>
      <c r="BQK518" s="500"/>
      <c r="BQL518" s="500"/>
      <c r="BQM518" s="500"/>
      <c r="BQN518" s="500"/>
      <c r="BQO518" s="500"/>
      <c r="BQP518" s="500"/>
      <c r="BQQ518" s="500"/>
      <c r="BQR518" s="500"/>
      <c r="BQS518" s="500"/>
      <c r="BQT518" s="500"/>
      <c r="BQU518" s="500"/>
      <c r="BQV518" s="500"/>
      <c r="BQW518" s="500"/>
      <c r="BQX518" s="500"/>
      <c r="BQY518" s="500"/>
      <c r="BQZ518" s="500"/>
      <c r="BRA518" s="500"/>
      <c r="BRB518" s="500"/>
      <c r="BRC518" s="500"/>
      <c r="BRD518" s="500"/>
      <c r="BRE518" s="500"/>
      <c r="BRF518" s="500"/>
      <c r="BRG518" s="500"/>
      <c r="BRH518" s="500"/>
      <c r="BRI518" s="500"/>
      <c r="BRJ518" s="500"/>
      <c r="BRK518" s="500"/>
      <c r="BRL518" s="500"/>
      <c r="BRM518" s="500"/>
      <c r="BRN518" s="500"/>
      <c r="BRO518" s="500"/>
      <c r="BRP518" s="500"/>
      <c r="BRQ518" s="500"/>
      <c r="BRR518" s="500"/>
      <c r="BRS518" s="500"/>
      <c r="BRT518" s="500"/>
      <c r="BRU518" s="500"/>
      <c r="BRV518" s="500"/>
      <c r="BRW518" s="500"/>
      <c r="BRX518" s="500"/>
      <c r="BRY518" s="500"/>
      <c r="BRZ518" s="500"/>
      <c r="BSA518" s="500"/>
      <c r="BSB518" s="500"/>
      <c r="BSC518" s="500"/>
      <c r="BSD518" s="500"/>
      <c r="BSE518" s="500"/>
      <c r="BSF518" s="500"/>
      <c r="BSG518" s="500"/>
      <c r="BSH518" s="500"/>
      <c r="BSI518" s="500"/>
      <c r="BSJ518" s="500"/>
      <c r="BSK518" s="500"/>
      <c r="BSL518" s="500"/>
      <c r="BSM518" s="500"/>
      <c r="BSN518" s="500"/>
      <c r="BSO518" s="500"/>
      <c r="BSP518" s="500"/>
      <c r="BSQ518" s="500"/>
      <c r="BSR518" s="500"/>
      <c r="BSS518" s="500"/>
      <c r="BST518" s="500"/>
      <c r="BSU518" s="500"/>
      <c r="BSV518" s="500"/>
      <c r="BSW518" s="500"/>
      <c r="BSX518" s="500"/>
      <c r="BSY518" s="500"/>
      <c r="BSZ518" s="500"/>
      <c r="BTA518" s="500"/>
      <c r="BTB518" s="500"/>
      <c r="BTC518" s="500"/>
      <c r="BTD518" s="500"/>
      <c r="BTE518" s="500"/>
      <c r="BTF518" s="500"/>
      <c r="BTG518" s="500"/>
      <c r="BTH518" s="500"/>
      <c r="BTI518" s="500"/>
      <c r="BTJ518" s="500"/>
      <c r="BTK518" s="500"/>
      <c r="BTL518" s="500"/>
      <c r="BTM518" s="500"/>
      <c r="BTN518" s="500"/>
      <c r="BTO518" s="500"/>
      <c r="BTP518" s="500"/>
      <c r="BTQ518" s="500"/>
      <c r="BTR518" s="500"/>
      <c r="BTS518" s="500"/>
      <c r="BTT518" s="500"/>
      <c r="BTU518" s="500"/>
      <c r="BTV518" s="500"/>
      <c r="BTW518" s="500"/>
      <c r="BTX518" s="500"/>
      <c r="BTY518" s="500"/>
      <c r="BTZ518" s="500"/>
      <c r="BUA518" s="500"/>
      <c r="BUB518" s="500"/>
      <c r="BUC518" s="500"/>
      <c r="BUD518" s="500"/>
      <c r="BUE518" s="500"/>
      <c r="BUF518" s="500"/>
      <c r="BUG518" s="500"/>
      <c r="BUH518" s="500"/>
      <c r="BUI518" s="500"/>
      <c r="BUJ518" s="500"/>
      <c r="BUK518" s="500"/>
      <c r="BUL518" s="500"/>
      <c r="BUM518" s="500"/>
      <c r="BUN518" s="500"/>
      <c r="BUO518" s="500"/>
      <c r="BUP518" s="500"/>
      <c r="BUQ518" s="500"/>
      <c r="BUR518" s="500"/>
      <c r="BUS518" s="500"/>
      <c r="BUT518" s="500"/>
      <c r="BUU518" s="500"/>
      <c r="BUV518" s="500"/>
      <c r="BUW518" s="500"/>
      <c r="BUX518" s="500"/>
      <c r="BUY518" s="500"/>
      <c r="BUZ518" s="500"/>
      <c r="BVA518" s="500"/>
      <c r="BVB518" s="500"/>
      <c r="BVC518" s="500"/>
      <c r="BVD518" s="500"/>
      <c r="BVE518" s="500"/>
      <c r="BVF518" s="500"/>
      <c r="BVG518" s="500"/>
      <c r="BVH518" s="500"/>
      <c r="BVI518" s="500"/>
      <c r="BVJ518" s="500"/>
      <c r="BVK518" s="500"/>
      <c r="BVL518" s="500"/>
      <c r="BVM518" s="500"/>
      <c r="BVN518" s="500"/>
      <c r="BVO518" s="500"/>
      <c r="BVP518" s="500"/>
      <c r="BVQ518" s="500"/>
      <c r="BVR518" s="500"/>
      <c r="BVS518" s="500"/>
      <c r="BVT518" s="500"/>
      <c r="BVU518" s="500"/>
      <c r="BVV518" s="500"/>
      <c r="BVW518" s="500"/>
      <c r="BVX518" s="500"/>
      <c r="BVY518" s="500"/>
      <c r="BVZ518" s="500"/>
      <c r="BWA518" s="500"/>
      <c r="BWB518" s="500"/>
      <c r="BWC518" s="500"/>
      <c r="BWD518" s="500"/>
      <c r="BWE518" s="500"/>
      <c r="BWF518" s="500"/>
      <c r="BWG518" s="500"/>
      <c r="BWH518" s="500"/>
      <c r="BWI518" s="500"/>
      <c r="BWJ518" s="500"/>
      <c r="BWK518" s="500"/>
      <c r="BWL518" s="500"/>
      <c r="BWM518" s="500"/>
      <c r="BWN518" s="500"/>
      <c r="BWO518" s="500"/>
      <c r="BWP518" s="500"/>
      <c r="BWQ518" s="500"/>
      <c r="BWR518" s="500"/>
      <c r="BWS518" s="500"/>
      <c r="BWT518" s="500"/>
      <c r="BWU518" s="500"/>
      <c r="BWV518" s="500"/>
      <c r="BWW518" s="500"/>
      <c r="BWX518" s="500"/>
      <c r="BWY518" s="500"/>
      <c r="BWZ518" s="500"/>
      <c r="BXA518" s="500"/>
      <c r="BXB518" s="500"/>
      <c r="BXC518" s="500"/>
      <c r="BXD518" s="500"/>
      <c r="BXE518" s="500"/>
      <c r="BXF518" s="500"/>
      <c r="BXG518" s="500"/>
      <c r="BXH518" s="500"/>
      <c r="BXI518" s="500"/>
      <c r="BXJ518" s="500"/>
      <c r="BXK518" s="500"/>
      <c r="BXL518" s="500"/>
      <c r="BXM518" s="500"/>
      <c r="BXN518" s="500"/>
      <c r="BXO518" s="500"/>
      <c r="BXP518" s="500"/>
      <c r="BXQ518" s="500"/>
      <c r="BXR518" s="500"/>
      <c r="BXS518" s="500"/>
      <c r="BXT518" s="500"/>
      <c r="BXU518" s="500"/>
      <c r="BXV518" s="500"/>
      <c r="BXW518" s="500"/>
      <c r="BXX518" s="500"/>
      <c r="BXY518" s="500"/>
      <c r="BXZ518" s="500"/>
      <c r="BYA518" s="500"/>
      <c r="BYB518" s="500"/>
      <c r="BYC518" s="500"/>
      <c r="BYD518" s="500"/>
      <c r="BYE518" s="500"/>
      <c r="BYF518" s="500"/>
      <c r="BYG518" s="500"/>
      <c r="BYH518" s="500"/>
      <c r="BYI518" s="500"/>
      <c r="BYJ518" s="500"/>
      <c r="BYK518" s="500"/>
      <c r="BYL518" s="500"/>
      <c r="BYM518" s="500"/>
      <c r="BYN518" s="500"/>
      <c r="BYO518" s="500"/>
      <c r="BYP518" s="500"/>
      <c r="BYQ518" s="500"/>
      <c r="BYR518" s="500"/>
      <c r="BYS518" s="500"/>
      <c r="BYT518" s="500"/>
      <c r="BYU518" s="500"/>
      <c r="BYV518" s="500"/>
      <c r="BYW518" s="500"/>
      <c r="BYX518" s="500"/>
      <c r="BYY518" s="500"/>
      <c r="BYZ518" s="500"/>
      <c r="BZA518" s="500"/>
      <c r="BZB518" s="500"/>
      <c r="BZC518" s="500"/>
      <c r="BZD518" s="500"/>
      <c r="BZE518" s="500"/>
      <c r="BZF518" s="500"/>
      <c r="BZG518" s="500"/>
      <c r="BZH518" s="500"/>
      <c r="BZI518" s="500"/>
      <c r="BZJ518" s="500"/>
      <c r="BZK518" s="500"/>
      <c r="BZL518" s="500"/>
      <c r="BZM518" s="500"/>
      <c r="BZN518" s="500"/>
      <c r="BZO518" s="500"/>
      <c r="BZP518" s="500"/>
      <c r="BZQ518" s="500"/>
      <c r="BZR518" s="500"/>
      <c r="BZS518" s="500"/>
      <c r="BZT518" s="500"/>
      <c r="BZU518" s="500"/>
      <c r="BZV518" s="500"/>
      <c r="BZW518" s="500"/>
      <c r="BZX518" s="500"/>
      <c r="BZY518" s="500"/>
      <c r="BZZ518" s="500"/>
      <c r="CAA518" s="500"/>
      <c r="CAB518" s="500"/>
      <c r="CAC518" s="500"/>
      <c r="CAD518" s="500"/>
      <c r="CAE518" s="500"/>
      <c r="CAF518" s="500"/>
      <c r="CAG518" s="500"/>
      <c r="CAH518" s="500"/>
      <c r="CAI518" s="500"/>
      <c r="CAJ518" s="500"/>
      <c r="CAK518" s="500"/>
      <c r="CAL518" s="500"/>
      <c r="CAM518" s="500"/>
      <c r="CAN518" s="500"/>
      <c r="CAO518" s="500"/>
      <c r="CAP518" s="500"/>
      <c r="CAQ518" s="500"/>
      <c r="CAR518" s="500"/>
      <c r="CAS518" s="500"/>
      <c r="CAT518" s="500"/>
      <c r="CAU518" s="500"/>
      <c r="CAV518" s="500"/>
      <c r="CAW518" s="500"/>
      <c r="CAX518" s="500"/>
      <c r="CAY518" s="500"/>
      <c r="CAZ518" s="500"/>
      <c r="CBA518" s="500"/>
      <c r="CBB518" s="500"/>
      <c r="CBC518" s="500"/>
      <c r="CBD518" s="500"/>
      <c r="CBE518" s="500"/>
      <c r="CBF518" s="500"/>
      <c r="CBG518" s="500"/>
      <c r="CBH518" s="500"/>
      <c r="CBI518" s="500"/>
      <c r="CBJ518" s="500"/>
      <c r="CBK518" s="500"/>
      <c r="CBL518" s="500"/>
      <c r="CBM518" s="500"/>
      <c r="CBN518" s="500"/>
      <c r="CBO518" s="500"/>
      <c r="CBP518" s="500"/>
      <c r="CBQ518" s="500"/>
      <c r="CBR518" s="500"/>
      <c r="CBS518" s="500"/>
      <c r="CBT518" s="500"/>
      <c r="CBU518" s="500"/>
      <c r="CBV518" s="500"/>
      <c r="CBW518" s="500"/>
      <c r="CBX518" s="500"/>
      <c r="CBY518" s="500"/>
      <c r="CBZ518" s="500"/>
      <c r="CCA518" s="500"/>
      <c r="CCB518" s="500"/>
      <c r="CCC518" s="500"/>
      <c r="CCD518" s="500"/>
      <c r="CCE518" s="500"/>
      <c r="CCF518" s="500"/>
      <c r="CCG518" s="500"/>
      <c r="CCH518" s="500"/>
      <c r="CCI518" s="500"/>
      <c r="CCJ518" s="500"/>
      <c r="CCK518" s="500"/>
      <c r="CCL518" s="500"/>
      <c r="CCM518" s="500"/>
      <c r="CCN518" s="500"/>
      <c r="CCO518" s="500"/>
      <c r="CCP518" s="500"/>
      <c r="CCQ518" s="500"/>
      <c r="CCR518" s="500"/>
      <c r="CCS518" s="500"/>
      <c r="CCT518" s="500"/>
      <c r="CCU518" s="500"/>
      <c r="CCV518" s="500"/>
      <c r="CCW518" s="500"/>
      <c r="CCX518" s="500"/>
      <c r="CCY518" s="500"/>
      <c r="CCZ518" s="500"/>
      <c r="CDA518" s="500"/>
      <c r="CDB518" s="500"/>
      <c r="CDC518" s="500"/>
      <c r="CDD518" s="500"/>
      <c r="CDE518" s="500"/>
      <c r="CDF518" s="500"/>
      <c r="CDG518" s="500"/>
      <c r="CDH518" s="500"/>
      <c r="CDI518" s="500"/>
      <c r="CDJ518" s="500"/>
      <c r="CDK518" s="500"/>
      <c r="CDL518" s="500"/>
      <c r="CDM518" s="500"/>
      <c r="CDN518" s="500"/>
      <c r="CDO518" s="500"/>
      <c r="CDP518" s="500"/>
      <c r="CDQ518" s="500"/>
      <c r="CDR518" s="500"/>
      <c r="CDS518" s="500"/>
      <c r="CDT518" s="500"/>
      <c r="CDU518" s="500"/>
      <c r="CDV518" s="500"/>
      <c r="CDW518" s="500"/>
      <c r="CDX518" s="500"/>
      <c r="CDY518" s="500"/>
      <c r="CDZ518" s="500"/>
      <c r="CEA518" s="500"/>
      <c r="CEB518" s="500"/>
      <c r="CEC518" s="500"/>
      <c r="CED518" s="500"/>
      <c r="CEE518" s="500"/>
      <c r="CEF518" s="500"/>
      <c r="CEG518" s="500"/>
      <c r="CEH518" s="500"/>
      <c r="CEI518" s="500"/>
      <c r="CEJ518" s="500"/>
      <c r="CEK518" s="500"/>
      <c r="CEL518" s="500"/>
      <c r="CEM518" s="500"/>
      <c r="CEN518" s="500"/>
      <c r="CEO518" s="500"/>
      <c r="CEP518" s="500"/>
      <c r="CEQ518" s="500"/>
      <c r="CER518" s="500"/>
      <c r="CES518" s="500"/>
      <c r="CET518" s="500"/>
      <c r="CEU518" s="500"/>
      <c r="CEV518" s="500"/>
      <c r="CEW518" s="500"/>
      <c r="CEX518" s="500"/>
      <c r="CEY518" s="500"/>
      <c r="CEZ518" s="500"/>
      <c r="CFA518" s="500"/>
      <c r="CFB518" s="500"/>
      <c r="CFC518" s="500"/>
      <c r="CFD518" s="500"/>
      <c r="CFE518" s="500"/>
      <c r="CFF518" s="500"/>
      <c r="CFG518" s="500"/>
      <c r="CFH518" s="500"/>
      <c r="CFI518" s="500"/>
      <c r="CFJ518" s="500"/>
      <c r="CFK518" s="500"/>
      <c r="CFL518" s="500"/>
      <c r="CFM518" s="500"/>
      <c r="CFN518" s="500"/>
      <c r="CFO518" s="500"/>
      <c r="CFP518" s="500"/>
      <c r="CFQ518" s="500"/>
      <c r="CFR518" s="500"/>
      <c r="CFS518" s="500"/>
      <c r="CFT518" s="500"/>
      <c r="CFU518" s="500"/>
      <c r="CFV518" s="500"/>
      <c r="CFW518" s="500"/>
      <c r="CFX518" s="500"/>
      <c r="CFY518" s="500"/>
      <c r="CFZ518" s="500"/>
      <c r="CGA518" s="500"/>
      <c r="CGB518" s="500"/>
      <c r="CGC518" s="500"/>
      <c r="CGD518" s="500"/>
      <c r="CGE518" s="500"/>
      <c r="CGF518" s="500"/>
      <c r="CGG518" s="500"/>
      <c r="CGH518" s="500"/>
      <c r="CGI518" s="500"/>
      <c r="CGJ518" s="500"/>
      <c r="CGK518" s="500"/>
      <c r="CGL518" s="500"/>
      <c r="CGM518" s="500"/>
      <c r="CGN518" s="500"/>
      <c r="CGO518" s="500"/>
      <c r="CGP518" s="500"/>
      <c r="CGQ518" s="500"/>
      <c r="CGR518" s="500"/>
      <c r="CGS518" s="500"/>
      <c r="CGT518" s="500"/>
      <c r="CGU518" s="500"/>
      <c r="CGV518" s="500"/>
      <c r="CGW518" s="500"/>
      <c r="CGX518" s="500"/>
      <c r="CGY518" s="500"/>
      <c r="CGZ518" s="500"/>
      <c r="CHA518" s="500"/>
      <c r="CHB518" s="500"/>
      <c r="CHC518" s="500"/>
      <c r="CHD518" s="500"/>
      <c r="CHE518" s="500"/>
      <c r="CHF518" s="500"/>
      <c r="CHG518" s="500"/>
      <c r="CHH518" s="500"/>
      <c r="CHI518" s="500"/>
      <c r="CHJ518" s="500"/>
      <c r="CHK518" s="500"/>
      <c r="CHL518" s="500"/>
      <c r="CHM518" s="500"/>
      <c r="CHN518" s="500"/>
      <c r="CHO518" s="500"/>
      <c r="CHP518" s="500"/>
      <c r="CHQ518" s="500"/>
      <c r="CHR518" s="500"/>
      <c r="CHS518" s="500"/>
      <c r="CHT518" s="500"/>
      <c r="CHU518" s="500"/>
      <c r="CHV518" s="500"/>
      <c r="CHW518" s="500"/>
      <c r="CHX518" s="500"/>
      <c r="CHY518" s="500"/>
      <c r="CHZ518" s="500"/>
      <c r="CIA518" s="500"/>
      <c r="CIB518" s="500"/>
      <c r="CIC518" s="500"/>
      <c r="CID518" s="500"/>
      <c r="CIE518" s="500"/>
      <c r="CIF518" s="500"/>
      <c r="CIG518" s="500"/>
      <c r="CIH518" s="500"/>
      <c r="CII518" s="500"/>
      <c r="CIJ518" s="500"/>
      <c r="CIK518" s="500"/>
      <c r="CIL518" s="500"/>
      <c r="CIM518" s="500"/>
      <c r="CIN518" s="500"/>
      <c r="CIO518" s="500"/>
      <c r="CIP518" s="500"/>
      <c r="CIQ518" s="500"/>
      <c r="CIR518" s="500"/>
      <c r="CIS518" s="500"/>
      <c r="CIT518" s="500"/>
      <c r="CIU518" s="500"/>
      <c r="CIV518" s="500"/>
      <c r="CIW518" s="500"/>
      <c r="CIX518" s="500"/>
      <c r="CIY518" s="500"/>
      <c r="CIZ518" s="500"/>
      <c r="CJA518" s="500"/>
      <c r="CJB518" s="500"/>
      <c r="CJC518" s="500"/>
      <c r="CJD518" s="500"/>
      <c r="CJE518" s="500"/>
      <c r="CJF518" s="500"/>
      <c r="CJG518" s="500"/>
      <c r="CJH518" s="500"/>
      <c r="CJI518" s="500"/>
      <c r="CJJ518" s="500"/>
      <c r="CJK518" s="500"/>
      <c r="CJL518" s="500"/>
      <c r="CJM518" s="500"/>
      <c r="CJN518" s="500"/>
      <c r="CJO518" s="500"/>
      <c r="CJP518" s="500"/>
      <c r="CJQ518" s="500"/>
      <c r="CJR518" s="500"/>
      <c r="CJS518" s="500"/>
      <c r="CJT518" s="500"/>
      <c r="CJU518" s="500"/>
      <c r="CJV518" s="500"/>
      <c r="CJW518" s="500"/>
      <c r="CJX518" s="500"/>
      <c r="CJY518" s="500"/>
      <c r="CJZ518" s="500"/>
      <c r="CKA518" s="500"/>
      <c r="CKB518" s="500"/>
      <c r="CKC518" s="500"/>
      <c r="CKD518" s="500"/>
      <c r="CKE518" s="500"/>
      <c r="CKF518" s="500"/>
      <c r="CKG518" s="500"/>
      <c r="CKH518" s="500"/>
      <c r="CKI518" s="500"/>
      <c r="CKJ518" s="500"/>
      <c r="CKK518" s="500"/>
      <c r="CKL518" s="500"/>
      <c r="CKM518" s="500"/>
      <c r="CKN518" s="500"/>
      <c r="CKO518" s="500"/>
      <c r="CKP518" s="500"/>
      <c r="CKQ518" s="500"/>
      <c r="CKR518" s="500"/>
      <c r="CKS518" s="500"/>
      <c r="CKT518" s="500"/>
      <c r="CKU518" s="500"/>
      <c r="CKV518" s="500"/>
      <c r="CKW518" s="500"/>
      <c r="CKX518" s="500"/>
      <c r="CKY518" s="500"/>
      <c r="CKZ518" s="500"/>
      <c r="CLA518" s="500"/>
      <c r="CLB518" s="500"/>
      <c r="CLC518" s="500"/>
      <c r="CLD518" s="500"/>
      <c r="CLE518" s="500"/>
      <c r="CLF518" s="500"/>
      <c r="CLG518" s="500"/>
      <c r="CLH518" s="500"/>
      <c r="CLI518" s="500"/>
      <c r="CLJ518" s="500"/>
      <c r="CLK518" s="500"/>
      <c r="CLL518" s="500"/>
      <c r="CLM518" s="500"/>
      <c r="CLN518" s="500"/>
      <c r="CLO518" s="500"/>
      <c r="CLP518" s="500"/>
      <c r="CLQ518" s="500"/>
      <c r="CLR518" s="500"/>
      <c r="CLS518" s="500"/>
      <c r="CLT518" s="500"/>
      <c r="CLU518" s="500"/>
      <c r="CLV518" s="500"/>
      <c r="CLW518" s="500"/>
      <c r="CLX518" s="500"/>
      <c r="CLY518" s="500"/>
      <c r="CLZ518" s="500"/>
      <c r="CMA518" s="500"/>
      <c r="CMB518" s="500"/>
      <c r="CMC518" s="500"/>
      <c r="CMD518" s="500"/>
      <c r="CME518" s="500"/>
      <c r="CMF518" s="500"/>
      <c r="CMG518" s="500"/>
      <c r="CMH518" s="500"/>
      <c r="CMI518" s="500"/>
      <c r="CMJ518" s="500"/>
      <c r="CMK518" s="500"/>
      <c r="CML518" s="500"/>
      <c r="CMM518" s="500"/>
      <c r="CMN518" s="500"/>
      <c r="CMO518" s="500"/>
      <c r="CMP518" s="500"/>
      <c r="CMQ518" s="500"/>
      <c r="CMR518" s="500"/>
      <c r="CMS518" s="500"/>
      <c r="CMT518" s="500"/>
      <c r="CMU518" s="500"/>
      <c r="CMV518" s="500"/>
      <c r="CMW518" s="500"/>
      <c r="CMX518" s="500"/>
      <c r="CMY518" s="500"/>
      <c r="CMZ518" s="500"/>
      <c r="CNA518" s="500"/>
      <c r="CNB518" s="500"/>
      <c r="CNC518" s="500"/>
      <c r="CND518" s="500"/>
      <c r="CNE518" s="500"/>
      <c r="CNF518" s="500"/>
      <c r="CNG518" s="500"/>
      <c r="CNH518" s="500"/>
      <c r="CNI518" s="500"/>
      <c r="CNJ518" s="500"/>
      <c r="CNK518" s="500"/>
      <c r="CNL518" s="500"/>
      <c r="CNM518" s="500"/>
      <c r="CNN518" s="500"/>
      <c r="CNO518" s="500"/>
      <c r="CNP518" s="500"/>
      <c r="CNQ518" s="500"/>
      <c r="CNR518" s="500"/>
      <c r="CNS518" s="500"/>
      <c r="CNT518" s="500"/>
      <c r="CNU518" s="500"/>
      <c r="CNV518" s="500"/>
      <c r="CNW518" s="500"/>
      <c r="CNX518" s="500"/>
      <c r="CNY518" s="500"/>
      <c r="CNZ518" s="500"/>
      <c r="COA518" s="500"/>
      <c r="COB518" s="500"/>
      <c r="COC518" s="500"/>
      <c r="COD518" s="500"/>
      <c r="COE518" s="500"/>
      <c r="COF518" s="500"/>
      <c r="COG518" s="500"/>
      <c r="COH518" s="500"/>
      <c r="COI518" s="500"/>
      <c r="COJ518" s="500"/>
      <c r="COK518" s="500"/>
      <c r="COL518" s="500"/>
      <c r="COM518" s="500"/>
      <c r="CON518" s="500"/>
      <c r="COO518" s="500"/>
      <c r="COP518" s="500"/>
      <c r="COQ518" s="500"/>
      <c r="COR518" s="500"/>
      <c r="COS518" s="500"/>
      <c r="COT518" s="500"/>
      <c r="COU518" s="500"/>
      <c r="COV518" s="500"/>
      <c r="COW518" s="500"/>
      <c r="COX518" s="500"/>
      <c r="COY518" s="500"/>
      <c r="COZ518" s="500"/>
      <c r="CPA518" s="500"/>
      <c r="CPB518" s="500"/>
      <c r="CPC518" s="500"/>
      <c r="CPD518" s="500"/>
      <c r="CPE518" s="500"/>
      <c r="CPF518" s="500"/>
      <c r="CPG518" s="500"/>
      <c r="CPH518" s="500"/>
      <c r="CPI518" s="500"/>
      <c r="CPJ518" s="500"/>
      <c r="CPK518" s="500"/>
      <c r="CPL518" s="500"/>
      <c r="CPM518" s="500"/>
      <c r="CPN518" s="500"/>
      <c r="CPO518" s="500"/>
      <c r="CPP518" s="500"/>
      <c r="CPQ518" s="500"/>
      <c r="CPR518" s="500"/>
      <c r="CPS518" s="500"/>
      <c r="CPT518" s="500"/>
      <c r="CPU518" s="500"/>
      <c r="CPV518" s="500"/>
      <c r="CPW518" s="500"/>
      <c r="CPX518" s="500"/>
      <c r="CPY518" s="500"/>
      <c r="CPZ518" s="500"/>
      <c r="CQA518" s="500"/>
      <c r="CQB518" s="500"/>
      <c r="CQC518" s="500"/>
      <c r="CQD518" s="500"/>
      <c r="CQE518" s="500"/>
      <c r="CQF518" s="500"/>
      <c r="CQG518" s="500"/>
      <c r="CQH518" s="500"/>
      <c r="CQI518" s="500"/>
      <c r="CQJ518" s="500"/>
      <c r="CQK518" s="500"/>
      <c r="CQL518" s="500"/>
      <c r="CQM518" s="500"/>
      <c r="CQN518" s="500"/>
      <c r="CQO518" s="500"/>
      <c r="CQP518" s="500"/>
      <c r="CQQ518" s="500"/>
      <c r="CQR518" s="500"/>
      <c r="CQS518" s="500"/>
      <c r="CQT518" s="500"/>
      <c r="CQU518" s="500"/>
      <c r="CQV518" s="500"/>
      <c r="CQW518" s="500"/>
      <c r="CQX518" s="500"/>
      <c r="CQY518" s="500"/>
      <c r="CQZ518" s="500"/>
      <c r="CRA518" s="500"/>
      <c r="CRB518" s="500"/>
      <c r="CRC518" s="500"/>
      <c r="CRD518" s="500"/>
      <c r="CRE518" s="500"/>
      <c r="CRF518" s="500"/>
      <c r="CRG518" s="500"/>
      <c r="CRH518" s="500"/>
      <c r="CRI518" s="500"/>
      <c r="CRJ518" s="500"/>
      <c r="CRK518" s="500"/>
      <c r="CRL518" s="500"/>
      <c r="CRM518" s="500"/>
      <c r="CRN518" s="500"/>
      <c r="CRO518" s="500"/>
      <c r="CRP518" s="500"/>
      <c r="CRQ518" s="500"/>
      <c r="CRR518" s="500"/>
      <c r="CRS518" s="500"/>
      <c r="CRT518" s="500"/>
      <c r="CRU518" s="500"/>
      <c r="CRV518" s="500"/>
      <c r="CRW518" s="500"/>
      <c r="CRX518" s="500"/>
      <c r="CRY518" s="500"/>
      <c r="CRZ518" s="500"/>
      <c r="CSA518" s="500"/>
      <c r="CSB518" s="500"/>
      <c r="CSC518" s="500"/>
      <c r="CSD518" s="500"/>
      <c r="CSE518" s="500"/>
      <c r="CSF518" s="500"/>
      <c r="CSG518" s="500"/>
      <c r="CSH518" s="500"/>
      <c r="CSI518" s="500"/>
      <c r="CSJ518" s="500"/>
      <c r="CSK518" s="500"/>
      <c r="CSL518" s="500"/>
      <c r="CSM518" s="500"/>
      <c r="CSN518" s="500"/>
      <c r="CSO518" s="500"/>
      <c r="CSP518" s="500"/>
      <c r="CSQ518" s="500"/>
      <c r="CSR518" s="500"/>
      <c r="CSS518" s="500"/>
      <c r="CST518" s="500"/>
      <c r="CSU518" s="500"/>
      <c r="CSV518" s="500"/>
      <c r="CSW518" s="500"/>
      <c r="CSX518" s="500"/>
      <c r="CSY518" s="500"/>
      <c r="CSZ518" s="500"/>
      <c r="CTA518" s="500"/>
      <c r="CTB518" s="500"/>
      <c r="CTC518" s="500"/>
      <c r="CTD518" s="500"/>
      <c r="CTE518" s="500"/>
      <c r="CTF518" s="500"/>
      <c r="CTG518" s="500"/>
      <c r="CTH518" s="500"/>
      <c r="CTI518" s="500"/>
      <c r="CTJ518" s="500"/>
      <c r="CTK518" s="500"/>
      <c r="CTL518" s="500"/>
      <c r="CTM518" s="500"/>
      <c r="CTN518" s="500"/>
      <c r="CTO518" s="500"/>
      <c r="CTP518" s="500"/>
      <c r="CTQ518" s="500"/>
      <c r="CTR518" s="500"/>
      <c r="CTS518" s="500"/>
      <c r="CTT518" s="500"/>
      <c r="CTU518" s="500"/>
      <c r="CTV518" s="500"/>
      <c r="CTW518" s="500"/>
      <c r="CTX518" s="500"/>
      <c r="CTY518" s="500"/>
      <c r="CTZ518" s="500"/>
      <c r="CUA518" s="500"/>
      <c r="CUB518" s="500"/>
      <c r="CUC518" s="500"/>
      <c r="CUD518" s="500"/>
      <c r="CUE518" s="500"/>
      <c r="CUF518" s="500"/>
      <c r="CUG518" s="500"/>
      <c r="CUH518" s="500"/>
      <c r="CUI518" s="500"/>
      <c r="CUJ518" s="500"/>
      <c r="CUK518" s="500"/>
      <c r="CUL518" s="500"/>
      <c r="CUM518" s="500"/>
      <c r="CUN518" s="500"/>
      <c r="CUO518" s="500"/>
      <c r="CUP518" s="500"/>
      <c r="CUQ518" s="500"/>
      <c r="CUR518" s="500"/>
      <c r="CUS518" s="500"/>
      <c r="CUT518" s="500"/>
      <c r="CUU518" s="500"/>
      <c r="CUV518" s="500"/>
      <c r="CUW518" s="500"/>
      <c r="CUX518" s="500"/>
      <c r="CUY518" s="500"/>
      <c r="CUZ518" s="500"/>
      <c r="CVA518" s="500"/>
      <c r="CVB518" s="500"/>
      <c r="CVC518" s="500"/>
      <c r="CVD518" s="500"/>
      <c r="CVE518" s="500"/>
      <c r="CVF518" s="500"/>
      <c r="CVG518" s="500"/>
      <c r="CVH518" s="500"/>
      <c r="CVI518" s="500"/>
      <c r="CVJ518" s="500"/>
      <c r="CVK518" s="500"/>
      <c r="CVL518" s="500"/>
      <c r="CVM518" s="500"/>
      <c r="CVN518" s="500"/>
      <c r="CVO518" s="500"/>
      <c r="CVP518" s="500"/>
      <c r="CVQ518" s="500"/>
      <c r="CVR518" s="500"/>
      <c r="CVS518" s="500"/>
      <c r="CVT518" s="500"/>
      <c r="CVU518" s="500"/>
      <c r="CVV518" s="500"/>
      <c r="CVW518" s="500"/>
      <c r="CVX518" s="500"/>
      <c r="CVY518" s="500"/>
      <c r="CVZ518" s="500"/>
      <c r="CWA518" s="500"/>
      <c r="CWB518" s="500"/>
      <c r="CWC518" s="500"/>
      <c r="CWD518" s="500"/>
      <c r="CWE518" s="500"/>
      <c r="CWF518" s="500"/>
      <c r="CWG518" s="500"/>
      <c r="CWH518" s="500"/>
      <c r="CWI518" s="500"/>
      <c r="CWJ518" s="500"/>
      <c r="CWK518" s="500"/>
      <c r="CWL518" s="500"/>
      <c r="CWM518" s="500"/>
      <c r="CWN518" s="500"/>
      <c r="CWO518" s="500"/>
      <c r="CWP518" s="500"/>
      <c r="CWQ518" s="500"/>
      <c r="CWR518" s="500"/>
      <c r="CWS518" s="500"/>
      <c r="CWT518" s="500"/>
      <c r="CWU518" s="500"/>
      <c r="CWV518" s="500"/>
      <c r="CWW518" s="500"/>
      <c r="CWX518" s="500"/>
      <c r="CWY518" s="500"/>
      <c r="CWZ518" s="500"/>
      <c r="CXA518" s="500"/>
      <c r="CXB518" s="500"/>
      <c r="CXC518" s="500"/>
      <c r="CXD518" s="500"/>
      <c r="CXE518" s="500"/>
      <c r="CXF518" s="500"/>
      <c r="CXG518" s="500"/>
      <c r="CXH518" s="500"/>
      <c r="CXI518" s="500"/>
      <c r="CXJ518" s="500"/>
      <c r="CXK518" s="500"/>
      <c r="CXL518" s="500"/>
      <c r="CXM518" s="500"/>
      <c r="CXN518" s="500"/>
      <c r="CXO518" s="500"/>
      <c r="CXP518" s="500"/>
      <c r="CXQ518" s="500"/>
      <c r="CXR518" s="500"/>
      <c r="CXS518" s="500"/>
      <c r="CXT518" s="500"/>
      <c r="CXU518" s="500"/>
      <c r="CXV518" s="500"/>
      <c r="CXW518" s="500"/>
      <c r="CXX518" s="500"/>
      <c r="CXY518" s="500"/>
      <c r="CXZ518" s="500"/>
      <c r="CYA518" s="500"/>
      <c r="CYB518" s="500"/>
      <c r="CYC518" s="500"/>
      <c r="CYD518" s="500"/>
      <c r="CYE518" s="500"/>
      <c r="CYF518" s="500"/>
      <c r="CYG518" s="500"/>
      <c r="CYH518" s="500"/>
      <c r="CYI518" s="500"/>
      <c r="CYJ518" s="500"/>
      <c r="CYK518" s="500"/>
      <c r="CYL518" s="500"/>
      <c r="CYM518" s="500"/>
      <c r="CYN518" s="500"/>
      <c r="CYO518" s="500"/>
      <c r="CYP518" s="500"/>
      <c r="CYQ518" s="500"/>
      <c r="CYR518" s="500"/>
      <c r="CYS518" s="500"/>
      <c r="CYT518" s="500"/>
      <c r="CYU518" s="500"/>
      <c r="CYV518" s="500"/>
      <c r="CYW518" s="500"/>
      <c r="CYX518" s="500"/>
      <c r="CYY518" s="500"/>
      <c r="CYZ518" s="500"/>
      <c r="CZA518" s="500"/>
      <c r="CZB518" s="500"/>
      <c r="CZC518" s="500"/>
      <c r="CZD518" s="500"/>
      <c r="CZE518" s="500"/>
      <c r="CZF518" s="500"/>
      <c r="CZG518" s="500"/>
      <c r="CZH518" s="500"/>
      <c r="CZI518" s="500"/>
      <c r="CZJ518" s="500"/>
      <c r="CZK518" s="500"/>
      <c r="CZL518" s="500"/>
      <c r="CZM518" s="500"/>
      <c r="CZN518" s="500"/>
      <c r="CZO518" s="500"/>
      <c r="CZP518" s="500"/>
      <c r="CZQ518" s="500"/>
      <c r="CZR518" s="500"/>
      <c r="CZS518" s="500"/>
      <c r="CZT518" s="500"/>
      <c r="CZU518" s="500"/>
      <c r="CZV518" s="500"/>
      <c r="CZW518" s="500"/>
      <c r="CZX518" s="500"/>
      <c r="CZY518" s="500"/>
      <c r="CZZ518" s="500"/>
      <c r="DAA518" s="500"/>
      <c r="DAB518" s="500"/>
      <c r="DAC518" s="500"/>
      <c r="DAD518" s="500"/>
      <c r="DAE518" s="500"/>
      <c r="DAF518" s="500"/>
      <c r="DAG518" s="500"/>
      <c r="DAH518" s="500"/>
      <c r="DAI518" s="500"/>
      <c r="DAJ518" s="500"/>
      <c r="DAK518" s="500"/>
      <c r="DAL518" s="500"/>
      <c r="DAM518" s="500"/>
      <c r="DAN518" s="500"/>
      <c r="DAO518" s="500"/>
      <c r="DAP518" s="500"/>
      <c r="DAQ518" s="500"/>
      <c r="DAR518" s="500"/>
      <c r="DAS518" s="500"/>
      <c r="DAT518" s="500"/>
      <c r="DAU518" s="500"/>
      <c r="DAV518" s="500"/>
      <c r="DAW518" s="500"/>
      <c r="DAX518" s="500"/>
      <c r="DAY518" s="500"/>
      <c r="DAZ518" s="500"/>
      <c r="DBA518" s="500"/>
      <c r="DBB518" s="500"/>
      <c r="DBC518" s="500"/>
      <c r="DBD518" s="500"/>
      <c r="DBE518" s="500"/>
      <c r="DBF518" s="500"/>
      <c r="DBG518" s="500"/>
      <c r="DBH518" s="500"/>
      <c r="DBI518" s="500"/>
      <c r="DBJ518" s="500"/>
      <c r="DBK518" s="500"/>
      <c r="DBL518" s="500"/>
      <c r="DBM518" s="500"/>
      <c r="DBN518" s="500"/>
      <c r="DBO518" s="500"/>
      <c r="DBP518" s="500"/>
      <c r="DBQ518" s="500"/>
      <c r="DBR518" s="500"/>
      <c r="DBS518" s="500"/>
      <c r="DBT518" s="500"/>
      <c r="DBU518" s="500"/>
      <c r="DBV518" s="500"/>
      <c r="DBW518" s="500"/>
      <c r="DBX518" s="500"/>
      <c r="DBY518" s="500"/>
      <c r="DBZ518" s="500"/>
      <c r="DCA518" s="500"/>
      <c r="DCB518" s="500"/>
      <c r="DCC518" s="500"/>
      <c r="DCD518" s="500"/>
      <c r="DCE518" s="500"/>
      <c r="DCF518" s="500"/>
      <c r="DCG518" s="500"/>
      <c r="DCH518" s="500"/>
      <c r="DCI518" s="500"/>
      <c r="DCJ518" s="500"/>
      <c r="DCK518" s="500"/>
      <c r="DCL518" s="500"/>
      <c r="DCM518" s="500"/>
      <c r="DCN518" s="500"/>
      <c r="DCO518" s="500"/>
      <c r="DCP518" s="500"/>
      <c r="DCQ518" s="500"/>
      <c r="DCR518" s="500"/>
      <c r="DCS518" s="500"/>
      <c r="DCT518" s="500"/>
      <c r="DCU518" s="500"/>
      <c r="DCV518" s="500"/>
      <c r="DCW518" s="500"/>
      <c r="DCX518" s="500"/>
      <c r="DCY518" s="500"/>
      <c r="DCZ518" s="500"/>
      <c r="DDA518" s="500"/>
      <c r="DDB518" s="500"/>
      <c r="DDC518" s="500"/>
      <c r="DDD518" s="500"/>
      <c r="DDE518" s="500"/>
      <c r="DDF518" s="500"/>
      <c r="DDG518" s="500"/>
      <c r="DDH518" s="500"/>
      <c r="DDI518" s="500"/>
      <c r="DDJ518" s="500"/>
      <c r="DDK518" s="500"/>
      <c r="DDL518" s="500"/>
      <c r="DDM518" s="500"/>
      <c r="DDN518" s="500"/>
      <c r="DDO518" s="500"/>
      <c r="DDP518" s="500"/>
      <c r="DDQ518" s="500"/>
      <c r="DDR518" s="500"/>
      <c r="DDS518" s="500"/>
      <c r="DDT518" s="500"/>
      <c r="DDU518" s="500"/>
      <c r="DDV518" s="500"/>
      <c r="DDW518" s="500"/>
      <c r="DDX518" s="500"/>
      <c r="DDY518" s="500"/>
      <c r="DDZ518" s="500"/>
      <c r="DEA518" s="500"/>
      <c r="DEB518" s="500"/>
      <c r="DEC518" s="500"/>
      <c r="DED518" s="500"/>
      <c r="DEE518" s="500"/>
      <c r="DEF518" s="500"/>
      <c r="DEG518" s="500"/>
      <c r="DEH518" s="500"/>
      <c r="DEI518" s="500"/>
      <c r="DEJ518" s="500"/>
      <c r="DEK518" s="500"/>
      <c r="DEL518" s="500"/>
      <c r="DEM518" s="500"/>
      <c r="DEN518" s="500"/>
      <c r="DEO518" s="500"/>
      <c r="DEP518" s="500"/>
      <c r="DEQ518" s="500"/>
      <c r="DER518" s="500"/>
      <c r="DES518" s="500"/>
      <c r="DET518" s="500"/>
      <c r="DEU518" s="500"/>
      <c r="DEV518" s="500"/>
      <c r="DEW518" s="500"/>
      <c r="DEX518" s="500"/>
      <c r="DEY518" s="500"/>
      <c r="DEZ518" s="500"/>
      <c r="DFA518" s="500"/>
      <c r="DFB518" s="500"/>
      <c r="DFC518" s="500"/>
      <c r="DFD518" s="500"/>
      <c r="DFE518" s="500"/>
      <c r="DFF518" s="500"/>
      <c r="DFG518" s="500"/>
      <c r="DFH518" s="500"/>
      <c r="DFI518" s="500"/>
      <c r="DFJ518" s="500"/>
      <c r="DFK518" s="500"/>
      <c r="DFL518" s="500"/>
      <c r="DFM518" s="500"/>
      <c r="DFN518" s="500"/>
      <c r="DFO518" s="500"/>
      <c r="DFP518" s="500"/>
      <c r="DFQ518" s="500"/>
      <c r="DFR518" s="500"/>
      <c r="DFS518" s="500"/>
      <c r="DFT518" s="500"/>
      <c r="DFU518" s="500"/>
      <c r="DFV518" s="500"/>
      <c r="DFW518" s="500"/>
      <c r="DFX518" s="500"/>
      <c r="DFY518" s="500"/>
      <c r="DFZ518" s="500"/>
      <c r="DGA518" s="500"/>
      <c r="DGB518" s="500"/>
      <c r="DGC518" s="500"/>
      <c r="DGD518" s="500"/>
      <c r="DGE518" s="500"/>
      <c r="DGF518" s="500"/>
      <c r="DGG518" s="500"/>
      <c r="DGH518" s="500"/>
      <c r="DGI518" s="500"/>
      <c r="DGJ518" s="500"/>
      <c r="DGK518" s="500"/>
      <c r="DGL518" s="500"/>
      <c r="DGM518" s="500"/>
      <c r="DGN518" s="500"/>
      <c r="DGO518" s="500"/>
      <c r="DGP518" s="500"/>
      <c r="DGQ518" s="500"/>
      <c r="DGR518" s="500"/>
      <c r="DGS518" s="500"/>
      <c r="DGT518" s="500"/>
      <c r="DGU518" s="500"/>
      <c r="DGV518" s="500"/>
      <c r="DGW518" s="500"/>
      <c r="DGX518" s="500"/>
      <c r="DGY518" s="500"/>
      <c r="DGZ518" s="500"/>
      <c r="DHA518" s="500"/>
      <c r="DHB518" s="500"/>
      <c r="DHC518" s="500"/>
      <c r="DHD518" s="500"/>
      <c r="DHE518" s="500"/>
      <c r="DHF518" s="500"/>
      <c r="DHG518" s="500"/>
      <c r="DHH518" s="500"/>
      <c r="DHI518" s="500"/>
      <c r="DHJ518" s="500"/>
      <c r="DHK518" s="500"/>
      <c r="DHL518" s="500"/>
      <c r="DHM518" s="500"/>
      <c r="DHN518" s="500"/>
      <c r="DHO518" s="500"/>
      <c r="DHP518" s="500"/>
      <c r="DHQ518" s="500"/>
      <c r="DHR518" s="500"/>
      <c r="DHS518" s="500"/>
      <c r="DHT518" s="500"/>
      <c r="DHU518" s="500"/>
      <c r="DHV518" s="500"/>
      <c r="DHW518" s="500"/>
      <c r="DHX518" s="500"/>
      <c r="DHY518" s="500"/>
      <c r="DHZ518" s="500"/>
      <c r="DIA518" s="500"/>
      <c r="DIB518" s="500"/>
      <c r="DIC518" s="500"/>
      <c r="DID518" s="500"/>
      <c r="DIE518" s="500"/>
      <c r="DIF518" s="500"/>
      <c r="DIG518" s="500"/>
      <c r="DIH518" s="500"/>
      <c r="DII518" s="500"/>
      <c r="DIJ518" s="500"/>
      <c r="DIK518" s="500"/>
      <c r="DIL518" s="500"/>
      <c r="DIM518" s="500"/>
      <c r="DIN518" s="500"/>
      <c r="DIO518" s="500"/>
      <c r="DIP518" s="500"/>
      <c r="DIQ518" s="500"/>
      <c r="DIR518" s="500"/>
      <c r="DIS518" s="500"/>
      <c r="DIT518" s="500"/>
      <c r="DIU518" s="500"/>
      <c r="DIV518" s="500"/>
      <c r="DIW518" s="500"/>
      <c r="DIX518" s="500"/>
      <c r="DIY518" s="500"/>
      <c r="DIZ518" s="500"/>
      <c r="DJA518" s="500"/>
      <c r="DJB518" s="500"/>
      <c r="DJC518" s="500"/>
      <c r="DJD518" s="500"/>
      <c r="DJE518" s="500"/>
      <c r="DJF518" s="500"/>
      <c r="DJG518" s="500"/>
      <c r="DJH518" s="500"/>
      <c r="DJI518" s="500"/>
      <c r="DJJ518" s="500"/>
      <c r="DJK518" s="500"/>
      <c r="DJL518" s="500"/>
      <c r="DJM518" s="500"/>
      <c r="DJN518" s="500"/>
      <c r="DJO518" s="500"/>
      <c r="DJP518" s="500"/>
      <c r="DJQ518" s="500"/>
      <c r="DJR518" s="500"/>
      <c r="DJS518" s="500"/>
      <c r="DJT518" s="500"/>
      <c r="DJU518" s="500"/>
      <c r="DJV518" s="500"/>
      <c r="DJW518" s="500"/>
      <c r="DJX518" s="500"/>
      <c r="DJY518" s="500"/>
      <c r="DJZ518" s="500"/>
      <c r="DKA518" s="500"/>
      <c r="DKB518" s="500"/>
      <c r="DKC518" s="500"/>
      <c r="DKD518" s="500"/>
      <c r="DKE518" s="500"/>
      <c r="DKF518" s="500"/>
      <c r="DKG518" s="500"/>
      <c r="DKH518" s="500"/>
      <c r="DKI518" s="500"/>
      <c r="DKJ518" s="500"/>
      <c r="DKK518" s="500"/>
      <c r="DKL518" s="500"/>
      <c r="DKM518" s="500"/>
      <c r="DKN518" s="500"/>
      <c r="DKO518" s="500"/>
      <c r="DKP518" s="500"/>
      <c r="DKQ518" s="500"/>
      <c r="DKR518" s="500"/>
      <c r="DKS518" s="500"/>
      <c r="DKT518" s="500"/>
      <c r="DKU518" s="500"/>
      <c r="DKV518" s="500"/>
      <c r="DKW518" s="500"/>
      <c r="DKX518" s="500"/>
      <c r="DKY518" s="500"/>
      <c r="DKZ518" s="500"/>
      <c r="DLA518" s="500"/>
      <c r="DLB518" s="500"/>
      <c r="DLC518" s="500"/>
      <c r="DLD518" s="500"/>
      <c r="DLE518" s="500"/>
      <c r="DLF518" s="500"/>
      <c r="DLG518" s="500"/>
      <c r="DLH518" s="500"/>
      <c r="DLI518" s="500"/>
      <c r="DLJ518" s="500"/>
      <c r="DLK518" s="500"/>
      <c r="DLL518" s="500"/>
      <c r="DLM518" s="500"/>
      <c r="DLN518" s="500"/>
      <c r="DLO518" s="500"/>
      <c r="DLP518" s="500"/>
      <c r="DLQ518" s="500"/>
      <c r="DLR518" s="500"/>
      <c r="DLS518" s="500"/>
      <c r="DLT518" s="500"/>
      <c r="DLU518" s="500"/>
      <c r="DLV518" s="500"/>
      <c r="DLW518" s="500"/>
      <c r="DLX518" s="500"/>
      <c r="DLY518" s="500"/>
      <c r="DLZ518" s="500"/>
      <c r="DMA518" s="500"/>
      <c r="DMB518" s="500"/>
      <c r="DMC518" s="500"/>
      <c r="DMD518" s="500"/>
      <c r="DME518" s="500"/>
      <c r="DMF518" s="500"/>
      <c r="DMG518" s="500"/>
      <c r="DMH518" s="500"/>
      <c r="DMI518" s="500"/>
      <c r="DMJ518" s="500"/>
      <c r="DMK518" s="500"/>
      <c r="DML518" s="500"/>
      <c r="DMM518" s="500"/>
      <c r="DMN518" s="500"/>
      <c r="DMO518" s="500"/>
      <c r="DMP518" s="500"/>
      <c r="DMQ518" s="500"/>
      <c r="DMR518" s="500"/>
      <c r="DMS518" s="500"/>
      <c r="DMT518" s="500"/>
      <c r="DMU518" s="500"/>
      <c r="DMV518" s="500"/>
      <c r="DMW518" s="500"/>
      <c r="DMX518" s="500"/>
      <c r="DMY518" s="500"/>
      <c r="DMZ518" s="500"/>
      <c r="DNA518" s="500"/>
      <c r="DNB518" s="500"/>
      <c r="DNC518" s="500"/>
      <c r="DND518" s="500"/>
      <c r="DNE518" s="500"/>
      <c r="DNF518" s="500"/>
      <c r="DNG518" s="500"/>
      <c r="DNH518" s="500"/>
      <c r="DNI518" s="500"/>
      <c r="DNJ518" s="500"/>
      <c r="DNK518" s="500"/>
      <c r="DNL518" s="500"/>
      <c r="DNM518" s="500"/>
      <c r="DNN518" s="500"/>
      <c r="DNO518" s="500"/>
      <c r="DNP518" s="500"/>
      <c r="DNQ518" s="500"/>
      <c r="DNR518" s="500"/>
      <c r="DNS518" s="500"/>
      <c r="DNT518" s="500"/>
      <c r="DNU518" s="500"/>
      <c r="DNV518" s="500"/>
      <c r="DNW518" s="500"/>
      <c r="DNX518" s="500"/>
      <c r="DNY518" s="500"/>
      <c r="DNZ518" s="500"/>
      <c r="DOA518" s="500"/>
      <c r="DOB518" s="500"/>
      <c r="DOC518" s="500"/>
      <c r="DOD518" s="500"/>
      <c r="DOE518" s="500"/>
      <c r="DOF518" s="500"/>
      <c r="DOG518" s="500"/>
      <c r="DOH518" s="500"/>
      <c r="DOI518" s="500"/>
      <c r="DOJ518" s="500"/>
      <c r="DOK518" s="500"/>
      <c r="DOL518" s="500"/>
      <c r="DOM518" s="500"/>
      <c r="DON518" s="500"/>
      <c r="DOO518" s="500"/>
      <c r="DOP518" s="500"/>
      <c r="DOQ518" s="500"/>
      <c r="DOR518" s="500"/>
      <c r="DOS518" s="500"/>
      <c r="DOT518" s="500"/>
      <c r="DOU518" s="500"/>
      <c r="DOV518" s="500"/>
      <c r="DOW518" s="500"/>
      <c r="DOX518" s="500"/>
      <c r="DOY518" s="500"/>
      <c r="DOZ518" s="500"/>
      <c r="DPA518" s="500"/>
      <c r="DPB518" s="500"/>
      <c r="DPC518" s="500"/>
      <c r="DPD518" s="500"/>
      <c r="DPE518" s="500"/>
      <c r="DPF518" s="500"/>
      <c r="DPG518" s="500"/>
      <c r="DPH518" s="500"/>
      <c r="DPI518" s="500"/>
      <c r="DPJ518" s="500"/>
      <c r="DPK518" s="500"/>
      <c r="DPL518" s="500"/>
      <c r="DPM518" s="500"/>
      <c r="DPN518" s="500"/>
      <c r="DPO518" s="500"/>
      <c r="DPP518" s="500"/>
      <c r="DPQ518" s="500"/>
      <c r="DPR518" s="500"/>
      <c r="DPS518" s="500"/>
      <c r="DPT518" s="500"/>
      <c r="DPU518" s="500"/>
      <c r="DPV518" s="500"/>
      <c r="DPW518" s="500"/>
      <c r="DPX518" s="500"/>
      <c r="DPY518" s="500"/>
      <c r="DPZ518" s="500"/>
      <c r="DQA518" s="500"/>
      <c r="DQB518" s="500"/>
      <c r="DQC518" s="500"/>
      <c r="DQD518" s="500"/>
      <c r="DQE518" s="500"/>
      <c r="DQF518" s="500"/>
      <c r="DQG518" s="500"/>
      <c r="DQH518" s="500"/>
      <c r="DQI518" s="500"/>
      <c r="DQJ518" s="500"/>
      <c r="DQK518" s="500"/>
      <c r="DQL518" s="500"/>
      <c r="DQM518" s="500"/>
      <c r="DQN518" s="500"/>
      <c r="DQO518" s="500"/>
      <c r="DQP518" s="500"/>
      <c r="DQQ518" s="500"/>
      <c r="DQR518" s="500"/>
      <c r="DQS518" s="500"/>
      <c r="DQT518" s="500"/>
      <c r="DQU518" s="500"/>
      <c r="DQV518" s="500"/>
      <c r="DQW518" s="500"/>
      <c r="DQX518" s="500"/>
      <c r="DQY518" s="500"/>
      <c r="DQZ518" s="500"/>
      <c r="DRA518" s="500"/>
      <c r="DRB518" s="500"/>
      <c r="DRC518" s="500"/>
      <c r="DRD518" s="500"/>
      <c r="DRE518" s="500"/>
      <c r="DRF518" s="500"/>
      <c r="DRG518" s="500"/>
      <c r="DRH518" s="500"/>
      <c r="DRI518" s="500"/>
      <c r="DRJ518" s="500"/>
      <c r="DRK518" s="500"/>
      <c r="DRL518" s="500"/>
      <c r="DRM518" s="500"/>
      <c r="DRN518" s="500"/>
      <c r="DRO518" s="500"/>
      <c r="DRP518" s="500"/>
      <c r="DRQ518" s="500"/>
      <c r="DRR518" s="500"/>
      <c r="DRS518" s="500"/>
      <c r="DRT518" s="500"/>
      <c r="DRU518" s="500"/>
      <c r="DRV518" s="500"/>
      <c r="DRW518" s="500"/>
      <c r="DRX518" s="500"/>
      <c r="DRY518" s="500"/>
      <c r="DRZ518" s="500"/>
      <c r="DSA518" s="500"/>
      <c r="DSB518" s="500"/>
      <c r="DSC518" s="500"/>
      <c r="DSD518" s="500"/>
      <c r="DSE518" s="500"/>
      <c r="DSF518" s="500"/>
      <c r="DSG518" s="500"/>
      <c r="DSH518" s="500"/>
      <c r="DSI518" s="500"/>
      <c r="DSJ518" s="500"/>
      <c r="DSK518" s="500"/>
      <c r="DSL518" s="500"/>
      <c r="DSM518" s="500"/>
      <c r="DSN518" s="500"/>
      <c r="DSO518" s="500"/>
      <c r="DSP518" s="500"/>
      <c r="DSQ518" s="500"/>
      <c r="DSR518" s="500"/>
      <c r="DSS518" s="500"/>
      <c r="DST518" s="500"/>
      <c r="DSU518" s="500"/>
      <c r="DSV518" s="500"/>
      <c r="DSW518" s="500"/>
      <c r="DSX518" s="500"/>
      <c r="DSY518" s="500"/>
      <c r="DSZ518" s="500"/>
      <c r="DTA518" s="500"/>
      <c r="DTB518" s="500"/>
      <c r="DTC518" s="500"/>
      <c r="DTD518" s="500"/>
      <c r="DTE518" s="500"/>
      <c r="DTF518" s="500"/>
      <c r="DTG518" s="500"/>
      <c r="DTH518" s="500"/>
      <c r="DTI518" s="500"/>
      <c r="DTJ518" s="500"/>
      <c r="DTK518" s="500"/>
      <c r="DTL518" s="500"/>
      <c r="DTM518" s="500"/>
      <c r="DTN518" s="500"/>
      <c r="DTO518" s="500"/>
      <c r="DTP518" s="500"/>
      <c r="DTQ518" s="500"/>
      <c r="DTR518" s="500"/>
      <c r="DTS518" s="500"/>
      <c r="DTT518" s="500"/>
      <c r="DTU518" s="500"/>
      <c r="DTV518" s="500"/>
      <c r="DTW518" s="500"/>
      <c r="DTX518" s="500"/>
      <c r="DTY518" s="500"/>
      <c r="DTZ518" s="500"/>
      <c r="DUA518" s="500"/>
      <c r="DUB518" s="500"/>
      <c r="DUC518" s="500"/>
      <c r="DUD518" s="500"/>
      <c r="DUE518" s="500"/>
      <c r="DUF518" s="500"/>
      <c r="DUG518" s="500"/>
      <c r="DUH518" s="500"/>
      <c r="DUI518" s="500"/>
      <c r="DUJ518" s="500"/>
      <c r="DUK518" s="500"/>
      <c r="DUL518" s="500"/>
      <c r="DUM518" s="500"/>
      <c r="DUN518" s="500"/>
      <c r="DUO518" s="500"/>
      <c r="DUP518" s="500"/>
      <c r="DUQ518" s="500"/>
      <c r="DUR518" s="500"/>
      <c r="DUS518" s="500"/>
      <c r="DUT518" s="500"/>
      <c r="DUU518" s="500"/>
      <c r="DUV518" s="500"/>
      <c r="DUW518" s="500"/>
      <c r="DUX518" s="500"/>
      <c r="DUY518" s="500"/>
      <c r="DUZ518" s="500"/>
      <c r="DVA518" s="500"/>
      <c r="DVB518" s="500"/>
      <c r="DVC518" s="500"/>
      <c r="DVD518" s="500"/>
      <c r="DVE518" s="500"/>
      <c r="DVF518" s="500"/>
      <c r="DVG518" s="500"/>
      <c r="DVH518" s="500"/>
      <c r="DVI518" s="500"/>
      <c r="DVJ518" s="500"/>
      <c r="DVK518" s="500"/>
      <c r="DVL518" s="500"/>
      <c r="DVM518" s="500"/>
      <c r="DVN518" s="500"/>
      <c r="DVO518" s="500"/>
      <c r="DVP518" s="500"/>
      <c r="DVQ518" s="500"/>
      <c r="DVR518" s="500"/>
      <c r="DVS518" s="500"/>
      <c r="DVT518" s="500"/>
      <c r="DVU518" s="500"/>
      <c r="DVV518" s="500"/>
      <c r="DVW518" s="500"/>
      <c r="DVX518" s="500"/>
      <c r="DVY518" s="500"/>
      <c r="DVZ518" s="500"/>
      <c r="DWA518" s="500"/>
      <c r="DWB518" s="500"/>
      <c r="DWC518" s="500"/>
      <c r="DWD518" s="500"/>
      <c r="DWE518" s="500"/>
      <c r="DWF518" s="500"/>
      <c r="DWG518" s="500"/>
      <c r="DWH518" s="500"/>
      <c r="DWI518" s="500"/>
      <c r="DWJ518" s="500"/>
      <c r="DWK518" s="500"/>
      <c r="DWL518" s="500"/>
      <c r="DWM518" s="500"/>
      <c r="DWN518" s="500"/>
      <c r="DWO518" s="500"/>
      <c r="DWP518" s="500"/>
      <c r="DWQ518" s="500"/>
      <c r="DWR518" s="500"/>
      <c r="DWS518" s="500"/>
      <c r="DWT518" s="500"/>
      <c r="DWU518" s="500"/>
      <c r="DWV518" s="500"/>
      <c r="DWW518" s="500"/>
      <c r="DWX518" s="500"/>
      <c r="DWY518" s="500"/>
      <c r="DWZ518" s="500"/>
      <c r="DXA518" s="500"/>
      <c r="DXB518" s="500"/>
      <c r="DXC518" s="500"/>
      <c r="DXD518" s="500"/>
      <c r="DXE518" s="500"/>
      <c r="DXF518" s="500"/>
      <c r="DXG518" s="500"/>
      <c r="DXH518" s="500"/>
      <c r="DXI518" s="500"/>
      <c r="DXJ518" s="500"/>
      <c r="DXK518" s="500"/>
      <c r="DXL518" s="500"/>
      <c r="DXM518" s="500"/>
      <c r="DXN518" s="500"/>
      <c r="DXO518" s="500"/>
      <c r="DXP518" s="500"/>
      <c r="DXQ518" s="500"/>
      <c r="DXR518" s="500"/>
      <c r="DXS518" s="500"/>
      <c r="DXT518" s="500"/>
      <c r="DXU518" s="500"/>
      <c r="DXV518" s="500"/>
      <c r="DXW518" s="500"/>
      <c r="DXX518" s="500"/>
      <c r="DXY518" s="500"/>
      <c r="DXZ518" s="500"/>
      <c r="DYA518" s="500"/>
      <c r="DYB518" s="500"/>
      <c r="DYC518" s="500"/>
      <c r="DYD518" s="500"/>
      <c r="DYE518" s="500"/>
      <c r="DYF518" s="500"/>
      <c r="DYG518" s="500"/>
      <c r="DYH518" s="500"/>
      <c r="DYI518" s="500"/>
      <c r="DYJ518" s="500"/>
      <c r="DYK518" s="500"/>
      <c r="DYL518" s="500"/>
      <c r="DYM518" s="500"/>
      <c r="DYN518" s="500"/>
      <c r="DYO518" s="500"/>
      <c r="DYP518" s="500"/>
      <c r="DYQ518" s="500"/>
      <c r="DYR518" s="500"/>
      <c r="DYS518" s="500"/>
      <c r="DYT518" s="500"/>
      <c r="DYU518" s="500"/>
      <c r="DYV518" s="500"/>
      <c r="DYW518" s="500"/>
      <c r="DYX518" s="500"/>
      <c r="DYY518" s="500"/>
      <c r="DYZ518" s="500"/>
      <c r="DZA518" s="500"/>
      <c r="DZB518" s="500"/>
      <c r="DZC518" s="500"/>
      <c r="DZD518" s="500"/>
      <c r="DZE518" s="500"/>
      <c r="DZF518" s="500"/>
      <c r="DZG518" s="500"/>
      <c r="DZH518" s="500"/>
      <c r="DZI518" s="500"/>
      <c r="DZJ518" s="500"/>
      <c r="DZK518" s="500"/>
      <c r="DZL518" s="500"/>
      <c r="DZM518" s="500"/>
      <c r="DZN518" s="500"/>
      <c r="DZO518" s="500"/>
      <c r="DZP518" s="500"/>
      <c r="DZQ518" s="500"/>
      <c r="DZR518" s="500"/>
      <c r="DZS518" s="500"/>
      <c r="DZT518" s="500"/>
      <c r="DZU518" s="500"/>
      <c r="DZV518" s="500"/>
      <c r="DZW518" s="500"/>
      <c r="DZX518" s="500"/>
      <c r="DZY518" s="500"/>
      <c r="DZZ518" s="500"/>
      <c r="EAA518" s="500"/>
      <c r="EAB518" s="500"/>
      <c r="EAC518" s="500"/>
      <c r="EAD518" s="500"/>
      <c r="EAE518" s="500"/>
      <c r="EAF518" s="500"/>
      <c r="EAG518" s="500"/>
      <c r="EAH518" s="500"/>
      <c r="EAI518" s="500"/>
      <c r="EAJ518" s="500"/>
      <c r="EAK518" s="500"/>
      <c r="EAL518" s="500"/>
      <c r="EAM518" s="500"/>
      <c r="EAN518" s="500"/>
      <c r="EAO518" s="500"/>
      <c r="EAP518" s="500"/>
      <c r="EAQ518" s="500"/>
      <c r="EAR518" s="500"/>
      <c r="EAS518" s="500"/>
      <c r="EAT518" s="500"/>
      <c r="EAU518" s="500"/>
      <c r="EAV518" s="500"/>
      <c r="EAW518" s="500"/>
      <c r="EAX518" s="500"/>
      <c r="EAY518" s="500"/>
      <c r="EAZ518" s="500"/>
      <c r="EBA518" s="500"/>
      <c r="EBB518" s="500"/>
      <c r="EBC518" s="500"/>
      <c r="EBD518" s="500"/>
      <c r="EBE518" s="500"/>
      <c r="EBF518" s="500"/>
      <c r="EBG518" s="500"/>
      <c r="EBH518" s="500"/>
      <c r="EBI518" s="500"/>
      <c r="EBJ518" s="500"/>
      <c r="EBK518" s="500"/>
      <c r="EBL518" s="500"/>
      <c r="EBM518" s="500"/>
      <c r="EBN518" s="500"/>
      <c r="EBO518" s="500"/>
      <c r="EBP518" s="500"/>
      <c r="EBQ518" s="500"/>
      <c r="EBR518" s="500"/>
      <c r="EBS518" s="500"/>
      <c r="EBT518" s="500"/>
      <c r="EBU518" s="500"/>
      <c r="EBV518" s="500"/>
      <c r="EBW518" s="500"/>
      <c r="EBX518" s="500"/>
      <c r="EBY518" s="500"/>
      <c r="EBZ518" s="500"/>
      <c r="ECA518" s="500"/>
      <c r="ECB518" s="500"/>
      <c r="ECC518" s="500"/>
      <c r="ECD518" s="500"/>
      <c r="ECE518" s="500"/>
      <c r="ECF518" s="500"/>
      <c r="ECG518" s="500"/>
      <c r="ECH518" s="500"/>
      <c r="ECI518" s="500"/>
      <c r="ECJ518" s="500"/>
      <c r="ECK518" s="500"/>
      <c r="ECL518" s="500"/>
      <c r="ECM518" s="500"/>
      <c r="ECN518" s="500"/>
      <c r="ECO518" s="500"/>
      <c r="ECP518" s="500"/>
      <c r="ECQ518" s="500"/>
      <c r="ECR518" s="500"/>
      <c r="ECS518" s="500"/>
      <c r="ECT518" s="500"/>
      <c r="ECU518" s="500"/>
      <c r="ECV518" s="500"/>
      <c r="ECW518" s="500"/>
      <c r="ECX518" s="500"/>
      <c r="ECY518" s="500"/>
      <c r="ECZ518" s="500"/>
      <c r="EDA518" s="500"/>
      <c r="EDB518" s="500"/>
      <c r="EDC518" s="500"/>
      <c r="EDD518" s="500"/>
      <c r="EDE518" s="500"/>
      <c r="EDF518" s="500"/>
      <c r="EDG518" s="500"/>
      <c r="EDH518" s="500"/>
      <c r="EDI518" s="500"/>
      <c r="EDJ518" s="500"/>
      <c r="EDK518" s="500"/>
      <c r="EDL518" s="500"/>
      <c r="EDM518" s="500"/>
      <c r="EDN518" s="500"/>
      <c r="EDO518" s="500"/>
      <c r="EDP518" s="500"/>
      <c r="EDQ518" s="500"/>
      <c r="EDR518" s="500"/>
      <c r="EDS518" s="500"/>
      <c r="EDT518" s="500"/>
      <c r="EDU518" s="500"/>
      <c r="EDV518" s="500"/>
      <c r="EDW518" s="500"/>
      <c r="EDX518" s="500"/>
      <c r="EDY518" s="500"/>
      <c r="EDZ518" s="500"/>
      <c r="EEA518" s="500"/>
      <c r="EEB518" s="500"/>
      <c r="EEC518" s="500"/>
      <c r="EED518" s="500"/>
      <c r="EEE518" s="500"/>
      <c r="EEF518" s="500"/>
      <c r="EEG518" s="500"/>
      <c r="EEH518" s="500"/>
      <c r="EEI518" s="500"/>
      <c r="EEJ518" s="500"/>
      <c r="EEK518" s="500"/>
      <c r="EEL518" s="500"/>
      <c r="EEM518" s="500"/>
      <c r="EEN518" s="500"/>
      <c r="EEO518" s="500"/>
      <c r="EEP518" s="500"/>
      <c r="EEQ518" s="500"/>
      <c r="EER518" s="500"/>
      <c r="EES518" s="500"/>
      <c r="EET518" s="500"/>
      <c r="EEU518" s="500"/>
      <c r="EEV518" s="500"/>
      <c r="EEW518" s="500"/>
      <c r="EEX518" s="500"/>
      <c r="EEY518" s="500"/>
      <c r="EEZ518" s="500"/>
      <c r="EFA518" s="500"/>
      <c r="EFB518" s="500"/>
      <c r="EFC518" s="500"/>
      <c r="EFD518" s="500"/>
      <c r="EFE518" s="500"/>
      <c r="EFF518" s="500"/>
      <c r="EFG518" s="500"/>
      <c r="EFH518" s="500"/>
      <c r="EFI518" s="500"/>
      <c r="EFJ518" s="500"/>
      <c r="EFK518" s="500"/>
      <c r="EFL518" s="500"/>
      <c r="EFM518" s="500"/>
      <c r="EFN518" s="500"/>
      <c r="EFO518" s="500"/>
      <c r="EFP518" s="500"/>
      <c r="EFQ518" s="500"/>
      <c r="EFR518" s="500"/>
      <c r="EFS518" s="500"/>
      <c r="EFT518" s="500"/>
      <c r="EFU518" s="500"/>
      <c r="EFV518" s="500"/>
      <c r="EFW518" s="500"/>
      <c r="EFX518" s="500"/>
      <c r="EFY518" s="500"/>
      <c r="EFZ518" s="500"/>
      <c r="EGA518" s="500"/>
      <c r="EGB518" s="500"/>
      <c r="EGC518" s="500"/>
      <c r="EGD518" s="500"/>
      <c r="EGE518" s="500"/>
      <c r="EGF518" s="500"/>
      <c r="EGG518" s="500"/>
      <c r="EGH518" s="500"/>
      <c r="EGI518" s="500"/>
      <c r="EGJ518" s="500"/>
      <c r="EGK518" s="500"/>
      <c r="EGL518" s="500"/>
      <c r="EGM518" s="500"/>
      <c r="EGN518" s="500"/>
      <c r="EGO518" s="500"/>
      <c r="EGP518" s="500"/>
      <c r="EGQ518" s="500"/>
      <c r="EGR518" s="500"/>
      <c r="EGS518" s="500"/>
      <c r="EGT518" s="500"/>
      <c r="EGU518" s="500"/>
      <c r="EGV518" s="500"/>
      <c r="EGW518" s="500"/>
      <c r="EGX518" s="500"/>
      <c r="EGY518" s="500"/>
      <c r="EGZ518" s="500"/>
      <c r="EHA518" s="500"/>
      <c r="EHB518" s="500"/>
      <c r="EHC518" s="500"/>
      <c r="EHD518" s="500"/>
      <c r="EHE518" s="500"/>
      <c r="EHF518" s="500"/>
      <c r="EHG518" s="500"/>
      <c r="EHH518" s="500"/>
      <c r="EHI518" s="500"/>
      <c r="EHJ518" s="500"/>
      <c r="EHK518" s="500"/>
      <c r="EHL518" s="500"/>
      <c r="EHM518" s="500"/>
      <c r="EHN518" s="500"/>
      <c r="EHO518" s="500"/>
      <c r="EHP518" s="500"/>
      <c r="EHQ518" s="500"/>
      <c r="EHR518" s="500"/>
      <c r="EHS518" s="500"/>
      <c r="EHT518" s="500"/>
      <c r="EHU518" s="500"/>
      <c r="EHV518" s="500"/>
      <c r="EHW518" s="500"/>
      <c r="EHX518" s="500"/>
      <c r="EHY518" s="500"/>
      <c r="EHZ518" s="500"/>
      <c r="EIA518" s="500"/>
      <c r="EIB518" s="500"/>
      <c r="EIC518" s="500"/>
      <c r="EID518" s="500"/>
      <c r="EIE518" s="500"/>
      <c r="EIF518" s="500"/>
      <c r="EIG518" s="500"/>
      <c r="EIH518" s="500"/>
      <c r="EII518" s="500"/>
      <c r="EIJ518" s="500"/>
      <c r="EIK518" s="500"/>
      <c r="EIL518" s="500"/>
      <c r="EIM518" s="500"/>
      <c r="EIN518" s="500"/>
      <c r="EIO518" s="500"/>
      <c r="EIP518" s="500"/>
      <c r="EIQ518" s="500"/>
      <c r="EIR518" s="500"/>
      <c r="EIS518" s="500"/>
      <c r="EIT518" s="500"/>
      <c r="EIU518" s="500"/>
      <c r="EIV518" s="500"/>
      <c r="EIW518" s="500"/>
      <c r="EIX518" s="500"/>
      <c r="EIY518" s="500"/>
      <c r="EIZ518" s="500"/>
      <c r="EJA518" s="500"/>
      <c r="EJB518" s="500"/>
      <c r="EJC518" s="500"/>
      <c r="EJD518" s="500"/>
      <c r="EJE518" s="500"/>
      <c r="EJF518" s="500"/>
      <c r="EJG518" s="500"/>
      <c r="EJH518" s="500"/>
      <c r="EJI518" s="500"/>
      <c r="EJJ518" s="500"/>
      <c r="EJK518" s="500"/>
      <c r="EJL518" s="500"/>
      <c r="EJM518" s="500"/>
      <c r="EJN518" s="500"/>
      <c r="EJO518" s="500"/>
      <c r="EJP518" s="500"/>
      <c r="EJQ518" s="500"/>
      <c r="EJR518" s="500"/>
      <c r="EJS518" s="500"/>
      <c r="EJT518" s="500"/>
      <c r="EJU518" s="500"/>
      <c r="EJV518" s="500"/>
      <c r="EJW518" s="500"/>
      <c r="EJX518" s="500"/>
      <c r="EJY518" s="500"/>
      <c r="EJZ518" s="500"/>
      <c r="EKA518" s="500"/>
      <c r="EKB518" s="500"/>
      <c r="EKC518" s="500"/>
      <c r="EKD518" s="500"/>
      <c r="EKE518" s="500"/>
      <c r="EKF518" s="500"/>
      <c r="EKG518" s="500"/>
      <c r="EKH518" s="500"/>
      <c r="EKI518" s="500"/>
      <c r="EKJ518" s="500"/>
      <c r="EKK518" s="500"/>
      <c r="EKL518" s="500"/>
      <c r="EKM518" s="500"/>
      <c r="EKN518" s="500"/>
      <c r="EKO518" s="500"/>
      <c r="EKP518" s="500"/>
      <c r="EKQ518" s="500"/>
      <c r="EKR518" s="500"/>
      <c r="EKS518" s="500"/>
      <c r="EKT518" s="500"/>
      <c r="EKU518" s="500"/>
      <c r="EKV518" s="500"/>
      <c r="EKW518" s="500"/>
      <c r="EKX518" s="500"/>
      <c r="EKY518" s="500"/>
      <c r="EKZ518" s="500"/>
      <c r="ELA518" s="500"/>
      <c r="ELB518" s="500"/>
      <c r="ELC518" s="500"/>
      <c r="ELD518" s="500"/>
      <c r="ELE518" s="500"/>
      <c r="ELF518" s="500"/>
      <c r="ELG518" s="500"/>
      <c r="ELH518" s="500"/>
      <c r="ELI518" s="500"/>
      <c r="ELJ518" s="500"/>
      <c r="ELK518" s="500"/>
      <c r="ELL518" s="500"/>
      <c r="ELM518" s="500"/>
      <c r="ELN518" s="500"/>
      <c r="ELO518" s="500"/>
      <c r="ELP518" s="500"/>
      <c r="ELQ518" s="500"/>
      <c r="ELR518" s="500"/>
      <c r="ELS518" s="500"/>
      <c r="ELT518" s="500"/>
      <c r="ELU518" s="500"/>
      <c r="ELV518" s="500"/>
      <c r="ELW518" s="500"/>
      <c r="ELX518" s="500"/>
      <c r="ELY518" s="500"/>
      <c r="ELZ518" s="500"/>
      <c r="EMA518" s="500"/>
      <c r="EMB518" s="500"/>
      <c r="EMC518" s="500"/>
      <c r="EMD518" s="500"/>
      <c r="EME518" s="500"/>
      <c r="EMF518" s="500"/>
      <c r="EMG518" s="500"/>
      <c r="EMH518" s="500"/>
      <c r="EMI518" s="500"/>
      <c r="EMJ518" s="500"/>
      <c r="EMK518" s="500"/>
      <c r="EML518" s="500"/>
      <c r="EMM518" s="500"/>
      <c r="EMN518" s="500"/>
      <c r="EMO518" s="500"/>
      <c r="EMP518" s="500"/>
      <c r="EMQ518" s="500"/>
      <c r="EMR518" s="500"/>
      <c r="EMS518" s="500"/>
      <c r="EMT518" s="500"/>
      <c r="EMU518" s="500"/>
      <c r="EMV518" s="500"/>
      <c r="EMW518" s="500"/>
      <c r="EMX518" s="500"/>
      <c r="EMY518" s="500"/>
      <c r="EMZ518" s="500"/>
      <c r="ENA518" s="500"/>
      <c r="ENB518" s="500"/>
      <c r="ENC518" s="500"/>
      <c r="END518" s="500"/>
      <c r="ENE518" s="500"/>
      <c r="ENF518" s="500"/>
      <c r="ENG518" s="500"/>
      <c r="ENH518" s="500"/>
      <c r="ENI518" s="500"/>
      <c r="ENJ518" s="500"/>
      <c r="ENK518" s="500"/>
      <c r="ENL518" s="500"/>
      <c r="ENM518" s="500"/>
      <c r="ENN518" s="500"/>
      <c r="ENO518" s="500"/>
      <c r="ENP518" s="500"/>
      <c r="ENQ518" s="500"/>
      <c r="ENR518" s="500"/>
      <c r="ENS518" s="500"/>
      <c r="ENT518" s="500"/>
      <c r="ENU518" s="500"/>
      <c r="ENV518" s="500"/>
      <c r="ENW518" s="500"/>
      <c r="ENX518" s="500"/>
      <c r="ENY518" s="500"/>
      <c r="ENZ518" s="500"/>
      <c r="EOA518" s="500"/>
      <c r="EOB518" s="500"/>
      <c r="EOC518" s="500"/>
      <c r="EOD518" s="500"/>
      <c r="EOE518" s="500"/>
      <c r="EOF518" s="500"/>
      <c r="EOG518" s="500"/>
      <c r="EOH518" s="500"/>
      <c r="EOI518" s="500"/>
      <c r="EOJ518" s="500"/>
      <c r="EOK518" s="500"/>
      <c r="EOL518" s="500"/>
      <c r="EOM518" s="500"/>
      <c r="EON518" s="500"/>
      <c r="EOO518" s="500"/>
      <c r="EOP518" s="500"/>
      <c r="EOQ518" s="500"/>
      <c r="EOR518" s="500"/>
      <c r="EOS518" s="500"/>
      <c r="EOT518" s="500"/>
      <c r="EOU518" s="500"/>
      <c r="EOV518" s="500"/>
      <c r="EOW518" s="500"/>
      <c r="EOX518" s="500"/>
      <c r="EOY518" s="500"/>
      <c r="EOZ518" s="500"/>
      <c r="EPA518" s="500"/>
      <c r="EPB518" s="500"/>
      <c r="EPC518" s="500"/>
      <c r="EPD518" s="500"/>
      <c r="EPE518" s="500"/>
      <c r="EPF518" s="500"/>
      <c r="EPG518" s="500"/>
      <c r="EPH518" s="500"/>
      <c r="EPI518" s="500"/>
      <c r="EPJ518" s="500"/>
      <c r="EPK518" s="500"/>
      <c r="EPL518" s="500"/>
      <c r="EPM518" s="500"/>
      <c r="EPN518" s="500"/>
      <c r="EPO518" s="500"/>
      <c r="EPP518" s="500"/>
      <c r="EPQ518" s="500"/>
      <c r="EPR518" s="500"/>
      <c r="EPS518" s="500"/>
      <c r="EPT518" s="500"/>
      <c r="EPU518" s="500"/>
      <c r="EPV518" s="500"/>
      <c r="EPW518" s="500"/>
      <c r="EPX518" s="500"/>
      <c r="EPY518" s="500"/>
      <c r="EPZ518" s="500"/>
      <c r="EQA518" s="500"/>
      <c r="EQB518" s="500"/>
      <c r="EQC518" s="500"/>
      <c r="EQD518" s="500"/>
      <c r="EQE518" s="500"/>
      <c r="EQF518" s="500"/>
      <c r="EQG518" s="500"/>
      <c r="EQH518" s="500"/>
      <c r="EQI518" s="500"/>
      <c r="EQJ518" s="500"/>
      <c r="EQK518" s="500"/>
      <c r="EQL518" s="500"/>
      <c r="EQM518" s="500"/>
      <c r="EQN518" s="500"/>
      <c r="EQO518" s="500"/>
      <c r="EQP518" s="500"/>
      <c r="EQQ518" s="500"/>
      <c r="EQR518" s="500"/>
      <c r="EQS518" s="500"/>
      <c r="EQT518" s="500"/>
      <c r="EQU518" s="500"/>
      <c r="EQV518" s="500"/>
      <c r="EQW518" s="500"/>
      <c r="EQX518" s="500"/>
      <c r="EQY518" s="500"/>
      <c r="EQZ518" s="500"/>
      <c r="ERA518" s="500"/>
      <c r="ERB518" s="500"/>
      <c r="ERC518" s="500"/>
      <c r="ERD518" s="500"/>
      <c r="ERE518" s="500"/>
      <c r="ERF518" s="500"/>
      <c r="ERG518" s="500"/>
      <c r="ERH518" s="500"/>
      <c r="ERI518" s="500"/>
      <c r="ERJ518" s="500"/>
      <c r="ERK518" s="500"/>
      <c r="ERL518" s="500"/>
      <c r="ERM518" s="500"/>
      <c r="ERN518" s="500"/>
      <c r="ERO518" s="500"/>
      <c r="ERP518" s="500"/>
      <c r="ERQ518" s="500"/>
      <c r="ERR518" s="500"/>
      <c r="ERS518" s="500"/>
      <c r="ERT518" s="500"/>
      <c r="ERU518" s="500"/>
      <c r="ERV518" s="500"/>
      <c r="ERW518" s="500"/>
      <c r="ERX518" s="500"/>
      <c r="ERY518" s="500"/>
      <c r="ERZ518" s="500"/>
      <c r="ESA518" s="500"/>
      <c r="ESB518" s="500"/>
      <c r="ESC518" s="500"/>
      <c r="ESD518" s="500"/>
      <c r="ESE518" s="500"/>
      <c r="ESF518" s="500"/>
      <c r="ESG518" s="500"/>
      <c r="ESH518" s="500"/>
      <c r="ESI518" s="500"/>
      <c r="ESJ518" s="500"/>
      <c r="ESK518" s="500"/>
      <c r="ESL518" s="500"/>
      <c r="ESM518" s="500"/>
      <c r="ESN518" s="500"/>
      <c r="ESO518" s="500"/>
      <c r="ESP518" s="500"/>
      <c r="ESQ518" s="500"/>
      <c r="ESR518" s="500"/>
      <c r="ESS518" s="500"/>
      <c r="EST518" s="500"/>
      <c r="ESU518" s="500"/>
      <c r="ESV518" s="500"/>
      <c r="ESW518" s="500"/>
      <c r="ESX518" s="500"/>
      <c r="ESY518" s="500"/>
      <c r="ESZ518" s="500"/>
      <c r="ETA518" s="500"/>
      <c r="ETB518" s="500"/>
      <c r="ETC518" s="500"/>
      <c r="ETD518" s="500"/>
      <c r="ETE518" s="500"/>
      <c r="ETF518" s="500"/>
      <c r="ETG518" s="500"/>
      <c r="ETH518" s="500"/>
      <c r="ETI518" s="500"/>
      <c r="ETJ518" s="500"/>
      <c r="ETK518" s="500"/>
      <c r="ETL518" s="500"/>
      <c r="ETM518" s="500"/>
      <c r="ETN518" s="500"/>
      <c r="ETO518" s="500"/>
      <c r="ETP518" s="500"/>
      <c r="ETQ518" s="500"/>
      <c r="ETR518" s="500"/>
      <c r="ETS518" s="500"/>
      <c r="ETT518" s="500"/>
      <c r="ETU518" s="500"/>
      <c r="ETV518" s="500"/>
      <c r="ETW518" s="500"/>
      <c r="ETX518" s="500"/>
      <c r="ETY518" s="500"/>
      <c r="ETZ518" s="500"/>
      <c r="EUA518" s="500"/>
      <c r="EUB518" s="500"/>
      <c r="EUC518" s="500"/>
      <c r="EUD518" s="500"/>
      <c r="EUE518" s="500"/>
      <c r="EUF518" s="500"/>
      <c r="EUG518" s="500"/>
      <c r="EUH518" s="500"/>
      <c r="EUI518" s="500"/>
      <c r="EUJ518" s="500"/>
      <c r="EUK518" s="500"/>
      <c r="EUL518" s="500"/>
      <c r="EUM518" s="500"/>
      <c r="EUN518" s="500"/>
      <c r="EUO518" s="500"/>
      <c r="EUP518" s="500"/>
      <c r="EUQ518" s="500"/>
      <c r="EUR518" s="500"/>
      <c r="EUS518" s="500"/>
      <c r="EUT518" s="500"/>
      <c r="EUU518" s="500"/>
      <c r="EUV518" s="500"/>
      <c r="EUW518" s="500"/>
      <c r="EUX518" s="500"/>
      <c r="EUY518" s="500"/>
      <c r="EUZ518" s="500"/>
      <c r="EVA518" s="500"/>
      <c r="EVB518" s="500"/>
      <c r="EVC518" s="500"/>
      <c r="EVD518" s="500"/>
      <c r="EVE518" s="500"/>
      <c r="EVF518" s="500"/>
      <c r="EVG518" s="500"/>
      <c r="EVH518" s="500"/>
      <c r="EVI518" s="500"/>
      <c r="EVJ518" s="500"/>
      <c r="EVK518" s="500"/>
      <c r="EVL518" s="500"/>
      <c r="EVM518" s="500"/>
      <c r="EVN518" s="500"/>
      <c r="EVO518" s="500"/>
      <c r="EVP518" s="500"/>
      <c r="EVQ518" s="500"/>
      <c r="EVR518" s="500"/>
      <c r="EVS518" s="500"/>
      <c r="EVT518" s="500"/>
      <c r="EVU518" s="500"/>
      <c r="EVV518" s="500"/>
      <c r="EVW518" s="500"/>
      <c r="EVX518" s="500"/>
      <c r="EVY518" s="500"/>
      <c r="EVZ518" s="500"/>
      <c r="EWA518" s="500"/>
      <c r="EWB518" s="500"/>
      <c r="EWC518" s="500"/>
      <c r="EWD518" s="500"/>
      <c r="EWE518" s="500"/>
      <c r="EWF518" s="500"/>
      <c r="EWG518" s="500"/>
      <c r="EWH518" s="500"/>
      <c r="EWI518" s="500"/>
      <c r="EWJ518" s="500"/>
      <c r="EWK518" s="500"/>
      <c r="EWL518" s="500"/>
      <c r="EWM518" s="500"/>
      <c r="EWN518" s="500"/>
      <c r="EWO518" s="500"/>
      <c r="EWP518" s="500"/>
      <c r="EWQ518" s="500"/>
      <c r="EWR518" s="500"/>
      <c r="EWS518" s="500"/>
      <c r="EWT518" s="500"/>
      <c r="EWU518" s="500"/>
      <c r="EWV518" s="500"/>
      <c r="EWW518" s="500"/>
      <c r="EWX518" s="500"/>
      <c r="EWY518" s="500"/>
      <c r="EWZ518" s="500"/>
      <c r="EXA518" s="500"/>
      <c r="EXB518" s="500"/>
      <c r="EXC518" s="500"/>
      <c r="EXD518" s="500"/>
      <c r="EXE518" s="500"/>
      <c r="EXF518" s="500"/>
      <c r="EXG518" s="500"/>
      <c r="EXH518" s="500"/>
      <c r="EXI518" s="500"/>
      <c r="EXJ518" s="500"/>
      <c r="EXK518" s="500"/>
      <c r="EXL518" s="500"/>
      <c r="EXM518" s="500"/>
      <c r="EXN518" s="500"/>
      <c r="EXO518" s="500"/>
      <c r="EXP518" s="500"/>
      <c r="EXQ518" s="500"/>
      <c r="EXR518" s="500"/>
      <c r="EXS518" s="500"/>
      <c r="EXT518" s="500"/>
      <c r="EXU518" s="500"/>
      <c r="EXV518" s="500"/>
      <c r="EXW518" s="500"/>
      <c r="EXX518" s="500"/>
      <c r="EXY518" s="500"/>
      <c r="EXZ518" s="500"/>
      <c r="EYA518" s="500"/>
      <c r="EYB518" s="500"/>
      <c r="EYC518" s="500"/>
      <c r="EYD518" s="500"/>
      <c r="EYE518" s="500"/>
      <c r="EYF518" s="500"/>
      <c r="EYG518" s="500"/>
      <c r="EYH518" s="500"/>
      <c r="EYI518" s="500"/>
      <c r="EYJ518" s="500"/>
      <c r="EYK518" s="500"/>
      <c r="EYL518" s="500"/>
      <c r="EYM518" s="500"/>
      <c r="EYN518" s="500"/>
      <c r="EYO518" s="500"/>
      <c r="EYP518" s="500"/>
      <c r="EYQ518" s="500"/>
      <c r="EYR518" s="500"/>
      <c r="EYS518" s="500"/>
      <c r="EYT518" s="500"/>
      <c r="EYU518" s="500"/>
      <c r="EYV518" s="500"/>
      <c r="EYW518" s="500"/>
      <c r="EYX518" s="500"/>
      <c r="EYY518" s="500"/>
      <c r="EYZ518" s="500"/>
      <c r="EZA518" s="500"/>
      <c r="EZB518" s="500"/>
      <c r="EZC518" s="500"/>
      <c r="EZD518" s="500"/>
      <c r="EZE518" s="500"/>
      <c r="EZF518" s="500"/>
      <c r="EZG518" s="500"/>
      <c r="EZH518" s="500"/>
      <c r="EZI518" s="500"/>
      <c r="EZJ518" s="500"/>
      <c r="EZK518" s="500"/>
      <c r="EZL518" s="500"/>
      <c r="EZM518" s="500"/>
      <c r="EZN518" s="500"/>
      <c r="EZO518" s="500"/>
      <c r="EZP518" s="500"/>
      <c r="EZQ518" s="500"/>
      <c r="EZR518" s="500"/>
      <c r="EZS518" s="500"/>
      <c r="EZT518" s="500"/>
      <c r="EZU518" s="500"/>
      <c r="EZV518" s="500"/>
      <c r="EZW518" s="500"/>
      <c r="EZX518" s="500"/>
      <c r="EZY518" s="500"/>
      <c r="EZZ518" s="500"/>
      <c r="FAA518" s="500"/>
      <c r="FAB518" s="500"/>
      <c r="FAC518" s="500"/>
      <c r="FAD518" s="500"/>
      <c r="FAE518" s="500"/>
      <c r="FAF518" s="500"/>
      <c r="FAG518" s="500"/>
      <c r="FAH518" s="500"/>
      <c r="FAI518" s="500"/>
      <c r="FAJ518" s="500"/>
      <c r="FAK518" s="500"/>
      <c r="FAL518" s="500"/>
      <c r="FAM518" s="500"/>
      <c r="FAN518" s="500"/>
      <c r="FAO518" s="500"/>
      <c r="FAP518" s="500"/>
      <c r="FAQ518" s="500"/>
      <c r="FAR518" s="500"/>
      <c r="FAS518" s="500"/>
      <c r="FAT518" s="500"/>
      <c r="FAU518" s="500"/>
      <c r="FAV518" s="500"/>
      <c r="FAW518" s="500"/>
      <c r="FAX518" s="500"/>
      <c r="FAY518" s="500"/>
      <c r="FAZ518" s="500"/>
      <c r="FBA518" s="500"/>
      <c r="FBB518" s="500"/>
      <c r="FBC518" s="500"/>
      <c r="FBD518" s="500"/>
      <c r="FBE518" s="500"/>
      <c r="FBF518" s="500"/>
      <c r="FBG518" s="500"/>
      <c r="FBH518" s="500"/>
      <c r="FBI518" s="500"/>
      <c r="FBJ518" s="500"/>
      <c r="FBK518" s="500"/>
      <c r="FBL518" s="500"/>
      <c r="FBM518" s="500"/>
      <c r="FBN518" s="500"/>
      <c r="FBO518" s="500"/>
      <c r="FBP518" s="500"/>
      <c r="FBQ518" s="500"/>
      <c r="FBR518" s="500"/>
      <c r="FBS518" s="500"/>
      <c r="FBT518" s="500"/>
      <c r="FBU518" s="500"/>
      <c r="FBV518" s="500"/>
      <c r="FBW518" s="500"/>
      <c r="FBX518" s="500"/>
      <c r="FBY518" s="500"/>
      <c r="FBZ518" s="500"/>
      <c r="FCA518" s="500"/>
      <c r="FCB518" s="500"/>
      <c r="FCC518" s="500"/>
      <c r="FCD518" s="500"/>
      <c r="FCE518" s="500"/>
      <c r="FCF518" s="500"/>
      <c r="FCG518" s="500"/>
      <c r="FCH518" s="500"/>
      <c r="FCI518" s="500"/>
      <c r="FCJ518" s="500"/>
      <c r="FCK518" s="500"/>
      <c r="FCL518" s="500"/>
      <c r="FCM518" s="500"/>
      <c r="FCN518" s="500"/>
      <c r="FCO518" s="500"/>
      <c r="FCP518" s="500"/>
      <c r="FCQ518" s="500"/>
      <c r="FCR518" s="500"/>
      <c r="FCS518" s="500"/>
      <c r="FCT518" s="500"/>
      <c r="FCU518" s="500"/>
      <c r="FCV518" s="500"/>
      <c r="FCW518" s="500"/>
      <c r="FCX518" s="500"/>
      <c r="FCY518" s="500"/>
      <c r="FCZ518" s="500"/>
      <c r="FDA518" s="500"/>
      <c r="FDB518" s="500"/>
      <c r="FDC518" s="500"/>
      <c r="FDD518" s="500"/>
      <c r="FDE518" s="500"/>
      <c r="FDF518" s="500"/>
      <c r="FDG518" s="500"/>
      <c r="FDH518" s="500"/>
      <c r="FDI518" s="500"/>
      <c r="FDJ518" s="500"/>
      <c r="FDK518" s="500"/>
      <c r="FDL518" s="500"/>
      <c r="FDM518" s="500"/>
      <c r="FDN518" s="500"/>
      <c r="FDO518" s="500"/>
      <c r="FDP518" s="500"/>
      <c r="FDQ518" s="500"/>
      <c r="FDR518" s="500"/>
      <c r="FDS518" s="500"/>
      <c r="FDT518" s="500"/>
      <c r="FDU518" s="500"/>
      <c r="FDV518" s="500"/>
      <c r="FDW518" s="500"/>
      <c r="FDX518" s="500"/>
      <c r="FDY518" s="500"/>
      <c r="FDZ518" s="500"/>
      <c r="FEA518" s="500"/>
      <c r="FEB518" s="500"/>
      <c r="FEC518" s="500"/>
      <c r="FED518" s="500"/>
      <c r="FEE518" s="500"/>
      <c r="FEF518" s="500"/>
      <c r="FEG518" s="500"/>
      <c r="FEH518" s="500"/>
      <c r="FEI518" s="500"/>
      <c r="FEJ518" s="500"/>
      <c r="FEK518" s="500"/>
      <c r="FEL518" s="500"/>
      <c r="FEM518" s="500"/>
      <c r="FEN518" s="500"/>
      <c r="FEO518" s="500"/>
      <c r="FEP518" s="500"/>
      <c r="FEQ518" s="500"/>
      <c r="FER518" s="500"/>
      <c r="FES518" s="500"/>
      <c r="FET518" s="500"/>
      <c r="FEU518" s="500"/>
      <c r="FEV518" s="500"/>
      <c r="FEW518" s="500"/>
      <c r="FEX518" s="500"/>
      <c r="FEY518" s="500"/>
      <c r="FEZ518" s="500"/>
      <c r="FFA518" s="500"/>
      <c r="FFB518" s="500"/>
      <c r="FFC518" s="500"/>
      <c r="FFD518" s="500"/>
      <c r="FFE518" s="500"/>
      <c r="FFF518" s="500"/>
      <c r="FFG518" s="500"/>
      <c r="FFH518" s="500"/>
      <c r="FFI518" s="500"/>
      <c r="FFJ518" s="500"/>
      <c r="FFK518" s="500"/>
      <c r="FFL518" s="500"/>
      <c r="FFM518" s="500"/>
      <c r="FFN518" s="500"/>
      <c r="FFO518" s="500"/>
      <c r="FFP518" s="500"/>
      <c r="FFQ518" s="500"/>
      <c r="FFR518" s="500"/>
      <c r="FFS518" s="500"/>
      <c r="FFT518" s="500"/>
      <c r="FFU518" s="500"/>
      <c r="FFV518" s="500"/>
      <c r="FFW518" s="500"/>
      <c r="FFX518" s="500"/>
      <c r="FFY518" s="500"/>
      <c r="FFZ518" s="500"/>
      <c r="FGA518" s="500"/>
      <c r="FGB518" s="500"/>
      <c r="FGC518" s="500"/>
      <c r="FGD518" s="500"/>
      <c r="FGE518" s="500"/>
      <c r="FGF518" s="500"/>
      <c r="FGG518" s="500"/>
      <c r="FGH518" s="500"/>
      <c r="FGI518" s="500"/>
      <c r="FGJ518" s="500"/>
      <c r="FGK518" s="500"/>
      <c r="FGL518" s="500"/>
      <c r="FGM518" s="500"/>
      <c r="FGN518" s="500"/>
      <c r="FGO518" s="500"/>
      <c r="FGP518" s="500"/>
      <c r="FGQ518" s="500"/>
      <c r="FGR518" s="500"/>
      <c r="FGS518" s="500"/>
      <c r="FGT518" s="500"/>
      <c r="FGU518" s="500"/>
      <c r="FGV518" s="500"/>
      <c r="FGW518" s="500"/>
      <c r="FGX518" s="500"/>
      <c r="FGY518" s="500"/>
      <c r="FGZ518" s="500"/>
      <c r="FHA518" s="500"/>
      <c r="FHB518" s="500"/>
      <c r="FHC518" s="500"/>
      <c r="FHD518" s="500"/>
      <c r="FHE518" s="500"/>
      <c r="FHF518" s="500"/>
      <c r="FHG518" s="500"/>
      <c r="FHH518" s="500"/>
      <c r="FHI518" s="500"/>
      <c r="FHJ518" s="500"/>
      <c r="FHK518" s="500"/>
      <c r="FHL518" s="500"/>
      <c r="FHM518" s="500"/>
      <c r="FHN518" s="500"/>
      <c r="FHO518" s="500"/>
      <c r="FHP518" s="500"/>
      <c r="FHQ518" s="500"/>
      <c r="FHR518" s="500"/>
      <c r="FHS518" s="500"/>
      <c r="FHT518" s="500"/>
      <c r="FHU518" s="500"/>
      <c r="FHV518" s="500"/>
      <c r="FHW518" s="500"/>
      <c r="FHX518" s="500"/>
      <c r="FHY518" s="500"/>
      <c r="FHZ518" s="500"/>
      <c r="FIA518" s="500"/>
      <c r="FIB518" s="500"/>
      <c r="FIC518" s="500"/>
      <c r="FID518" s="500"/>
      <c r="FIE518" s="500"/>
      <c r="FIF518" s="500"/>
      <c r="FIG518" s="500"/>
      <c r="FIH518" s="500"/>
      <c r="FII518" s="500"/>
      <c r="FIJ518" s="500"/>
      <c r="FIK518" s="500"/>
      <c r="FIL518" s="500"/>
      <c r="FIM518" s="500"/>
      <c r="FIN518" s="500"/>
      <c r="FIO518" s="500"/>
      <c r="FIP518" s="500"/>
      <c r="FIQ518" s="500"/>
      <c r="FIR518" s="500"/>
      <c r="FIS518" s="500"/>
      <c r="FIT518" s="500"/>
      <c r="FIU518" s="500"/>
      <c r="FIV518" s="500"/>
      <c r="FIW518" s="500"/>
      <c r="FIX518" s="500"/>
      <c r="FIY518" s="500"/>
      <c r="FIZ518" s="500"/>
      <c r="FJA518" s="500"/>
      <c r="FJB518" s="500"/>
      <c r="FJC518" s="500"/>
      <c r="FJD518" s="500"/>
      <c r="FJE518" s="500"/>
      <c r="FJF518" s="500"/>
      <c r="FJG518" s="500"/>
      <c r="FJH518" s="500"/>
      <c r="FJI518" s="500"/>
      <c r="FJJ518" s="500"/>
      <c r="FJK518" s="500"/>
      <c r="FJL518" s="500"/>
      <c r="FJM518" s="500"/>
      <c r="FJN518" s="500"/>
      <c r="FJO518" s="500"/>
      <c r="FJP518" s="500"/>
      <c r="FJQ518" s="500"/>
      <c r="FJR518" s="500"/>
      <c r="FJS518" s="500"/>
      <c r="FJT518" s="500"/>
      <c r="FJU518" s="500"/>
      <c r="FJV518" s="500"/>
      <c r="FJW518" s="500"/>
      <c r="FJX518" s="500"/>
      <c r="FJY518" s="500"/>
      <c r="FJZ518" s="500"/>
      <c r="FKA518" s="500"/>
      <c r="FKB518" s="500"/>
      <c r="FKC518" s="500"/>
      <c r="FKD518" s="500"/>
      <c r="FKE518" s="500"/>
      <c r="FKF518" s="500"/>
      <c r="FKG518" s="500"/>
      <c r="FKH518" s="500"/>
      <c r="FKI518" s="500"/>
      <c r="FKJ518" s="500"/>
      <c r="FKK518" s="500"/>
      <c r="FKL518" s="500"/>
      <c r="FKM518" s="500"/>
      <c r="FKN518" s="500"/>
      <c r="FKO518" s="500"/>
      <c r="FKP518" s="500"/>
      <c r="FKQ518" s="500"/>
      <c r="FKR518" s="500"/>
      <c r="FKS518" s="500"/>
      <c r="FKT518" s="500"/>
      <c r="FKU518" s="500"/>
      <c r="FKV518" s="500"/>
      <c r="FKW518" s="500"/>
      <c r="FKX518" s="500"/>
      <c r="FKY518" s="500"/>
      <c r="FKZ518" s="500"/>
      <c r="FLA518" s="500"/>
      <c r="FLB518" s="500"/>
      <c r="FLC518" s="500"/>
      <c r="FLD518" s="500"/>
      <c r="FLE518" s="500"/>
      <c r="FLF518" s="500"/>
      <c r="FLG518" s="500"/>
      <c r="FLH518" s="500"/>
      <c r="FLI518" s="500"/>
      <c r="FLJ518" s="500"/>
      <c r="FLK518" s="500"/>
      <c r="FLL518" s="500"/>
      <c r="FLM518" s="500"/>
      <c r="FLN518" s="500"/>
      <c r="FLO518" s="500"/>
      <c r="FLP518" s="500"/>
      <c r="FLQ518" s="500"/>
      <c r="FLR518" s="500"/>
      <c r="FLS518" s="500"/>
      <c r="FLT518" s="500"/>
      <c r="FLU518" s="500"/>
      <c r="FLV518" s="500"/>
      <c r="FLW518" s="500"/>
      <c r="FLX518" s="500"/>
      <c r="FLY518" s="500"/>
      <c r="FLZ518" s="500"/>
      <c r="FMA518" s="500"/>
      <c r="FMB518" s="500"/>
      <c r="FMC518" s="500"/>
      <c r="FMD518" s="500"/>
      <c r="FME518" s="500"/>
      <c r="FMF518" s="500"/>
      <c r="FMG518" s="500"/>
      <c r="FMH518" s="500"/>
      <c r="FMI518" s="500"/>
      <c r="FMJ518" s="500"/>
      <c r="FMK518" s="500"/>
      <c r="FML518" s="500"/>
      <c r="FMM518" s="500"/>
      <c r="FMN518" s="500"/>
      <c r="FMO518" s="500"/>
      <c r="FMP518" s="500"/>
      <c r="FMQ518" s="500"/>
      <c r="FMR518" s="500"/>
      <c r="FMS518" s="500"/>
      <c r="FMT518" s="500"/>
      <c r="FMU518" s="500"/>
      <c r="FMV518" s="500"/>
      <c r="FMW518" s="500"/>
      <c r="FMX518" s="500"/>
      <c r="FMY518" s="500"/>
      <c r="FMZ518" s="500"/>
      <c r="FNA518" s="500"/>
      <c r="FNB518" s="500"/>
      <c r="FNC518" s="500"/>
      <c r="FND518" s="500"/>
      <c r="FNE518" s="500"/>
      <c r="FNF518" s="500"/>
      <c r="FNG518" s="500"/>
      <c r="FNH518" s="500"/>
      <c r="FNI518" s="500"/>
      <c r="FNJ518" s="500"/>
      <c r="FNK518" s="500"/>
      <c r="FNL518" s="500"/>
      <c r="FNM518" s="500"/>
      <c r="FNN518" s="500"/>
      <c r="FNO518" s="500"/>
      <c r="FNP518" s="500"/>
      <c r="FNQ518" s="500"/>
      <c r="FNR518" s="500"/>
      <c r="FNS518" s="500"/>
      <c r="FNT518" s="500"/>
      <c r="FNU518" s="500"/>
      <c r="FNV518" s="500"/>
      <c r="FNW518" s="500"/>
      <c r="FNX518" s="500"/>
      <c r="FNY518" s="500"/>
      <c r="FNZ518" s="500"/>
      <c r="FOA518" s="500"/>
      <c r="FOB518" s="500"/>
      <c r="FOC518" s="500"/>
      <c r="FOD518" s="500"/>
      <c r="FOE518" s="500"/>
      <c r="FOF518" s="500"/>
      <c r="FOG518" s="500"/>
      <c r="FOH518" s="500"/>
      <c r="FOI518" s="500"/>
      <c r="FOJ518" s="500"/>
      <c r="FOK518" s="500"/>
      <c r="FOL518" s="500"/>
      <c r="FOM518" s="500"/>
      <c r="FON518" s="500"/>
      <c r="FOO518" s="500"/>
      <c r="FOP518" s="500"/>
      <c r="FOQ518" s="500"/>
      <c r="FOR518" s="500"/>
      <c r="FOS518" s="500"/>
      <c r="FOT518" s="500"/>
      <c r="FOU518" s="500"/>
      <c r="FOV518" s="500"/>
      <c r="FOW518" s="500"/>
      <c r="FOX518" s="500"/>
      <c r="FOY518" s="500"/>
      <c r="FOZ518" s="500"/>
      <c r="FPA518" s="500"/>
      <c r="FPB518" s="500"/>
      <c r="FPC518" s="500"/>
      <c r="FPD518" s="500"/>
      <c r="FPE518" s="500"/>
      <c r="FPF518" s="500"/>
      <c r="FPG518" s="500"/>
      <c r="FPH518" s="500"/>
      <c r="FPI518" s="500"/>
      <c r="FPJ518" s="500"/>
      <c r="FPK518" s="500"/>
      <c r="FPL518" s="500"/>
      <c r="FPM518" s="500"/>
      <c r="FPN518" s="500"/>
      <c r="FPO518" s="500"/>
      <c r="FPP518" s="500"/>
      <c r="FPQ518" s="500"/>
      <c r="FPR518" s="500"/>
      <c r="FPS518" s="500"/>
      <c r="FPT518" s="500"/>
      <c r="FPU518" s="500"/>
      <c r="FPV518" s="500"/>
      <c r="FPW518" s="500"/>
      <c r="FPX518" s="500"/>
      <c r="FPY518" s="500"/>
      <c r="FPZ518" s="500"/>
      <c r="FQA518" s="500"/>
      <c r="FQB518" s="500"/>
      <c r="FQC518" s="500"/>
      <c r="FQD518" s="500"/>
      <c r="FQE518" s="500"/>
      <c r="FQF518" s="500"/>
      <c r="FQG518" s="500"/>
      <c r="FQH518" s="500"/>
      <c r="FQI518" s="500"/>
      <c r="FQJ518" s="500"/>
      <c r="FQK518" s="500"/>
      <c r="FQL518" s="500"/>
      <c r="FQM518" s="500"/>
      <c r="FQN518" s="500"/>
      <c r="FQO518" s="500"/>
      <c r="FQP518" s="500"/>
      <c r="FQQ518" s="500"/>
      <c r="FQR518" s="500"/>
      <c r="FQS518" s="500"/>
      <c r="FQT518" s="500"/>
      <c r="FQU518" s="500"/>
      <c r="FQV518" s="500"/>
      <c r="FQW518" s="500"/>
      <c r="FQX518" s="500"/>
      <c r="FQY518" s="500"/>
      <c r="FQZ518" s="500"/>
      <c r="FRA518" s="500"/>
      <c r="FRB518" s="500"/>
      <c r="FRC518" s="500"/>
      <c r="FRD518" s="500"/>
      <c r="FRE518" s="500"/>
      <c r="FRF518" s="500"/>
      <c r="FRG518" s="500"/>
      <c r="FRH518" s="500"/>
      <c r="FRI518" s="500"/>
      <c r="FRJ518" s="500"/>
      <c r="FRK518" s="500"/>
      <c r="FRL518" s="500"/>
      <c r="FRM518" s="500"/>
      <c r="FRN518" s="500"/>
      <c r="FRO518" s="500"/>
      <c r="FRP518" s="500"/>
      <c r="FRQ518" s="500"/>
      <c r="FRR518" s="500"/>
      <c r="FRS518" s="500"/>
      <c r="FRT518" s="500"/>
      <c r="FRU518" s="500"/>
      <c r="FRV518" s="500"/>
      <c r="FRW518" s="500"/>
      <c r="FRX518" s="500"/>
      <c r="FRY518" s="500"/>
      <c r="FRZ518" s="500"/>
      <c r="FSA518" s="500"/>
      <c r="FSB518" s="500"/>
      <c r="FSC518" s="500"/>
      <c r="FSD518" s="500"/>
      <c r="FSE518" s="500"/>
      <c r="FSF518" s="500"/>
      <c r="FSG518" s="500"/>
      <c r="FSH518" s="500"/>
      <c r="FSI518" s="500"/>
      <c r="FSJ518" s="500"/>
      <c r="FSK518" s="500"/>
      <c r="FSL518" s="500"/>
      <c r="FSM518" s="500"/>
      <c r="FSN518" s="500"/>
      <c r="FSO518" s="500"/>
      <c r="FSP518" s="500"/>
      <c r="FSQ518" s="500"/>
      <c r="FSR518" s="500"/>
      <c r="FSS518" s="500"/>
      <c r="FST518" s="500"/>
      <c r="FSU518" s="500"/>
      <c r="FSV518" s="500"/>
      <c r="FSW518" s="500"/>
      <c r="FSX518" s="500"/>
      <c r="FSY518" s="500"/>
      <c r="FSZ518" s="500"/>
      <c r="FTA518" s="500"/>
      <c r="FTB518" s="500"/>
      <c r="FTC518" s="500"/>
      <c r="FTD518" s="500"/>
      <c r="FTE518" s="500"/>
      <c r="FTF518" s="500"/>
      <c r="FTG518" s="500"/>
      <c r="FTH518" s="500"/>
      <c r="FTI518" s="500"/>
      <c r="FTJ518" s="500"/>
      <c r="FTK518" s="500"/>
      <c r="FTL518" s="500"/>
      <c r="FTM518" s="500"/>
      <c r="FTN518" s="500"/>
      <c r="FTO518" s="500"/>
      <c r="FTP518" s="500"/>
      <c r="FTQ518" s="500"/>
      <c r="FTR518" s="500"/>
      <c r="FTS518" s="500"/>
      <c r="FTT518" s="500"/>
      <c r="FTU518" s="500"/>
      <c r="FTV518" s="500"/>
      <c r="FTW518" s="500"/>
      <c r="FTX518" s="500"/>
      <c r="FTY518" s="500"/>
      <c r="FTZ518" s="500"/>
      <c r="FUA518" s="500"/>
      <c r="FUB518" s="500"/>
      <c r="FUC518" s="500"/>
      <c r="FUD518" s="500"/>
      <c r="FUE518" s="500"/>
      <c r="FUF518" s="500"/>
      <c r="FUG518" s="500"/>
      <c r="FUH518" s="500"/>
      <c r="FUI518" s="500"/>
      <c r="FUJ518" s="500"/>
      <c r="FUK518" s="500"/>
      <c r="FUL518" s="500"/>
      <c r="FUM518" s="500"/>
      <c r="FUN518" s="500"/>
      <c r="FUO518" s="500"/>
      <c r="FUP518" s="500"/>
      <c r="FUQ518" s="500"/>
      <c r="FUR518" s="500"/>
      <c r="FUS518" s="500"/>
      <c r="FUT518" s="500"/>
      <c r="FUU518" s="500"/>
      <c r="FUV518" s="500"/>
      <c r="FUW518" s="500"/>
      <c r="FUX518" s="500"/>
      <c r="FUY518" s="500"/>
      <c r="FUZ518" s="500"/>
      <c r="FVA518" s="500"/>
      <c r="FVB518" s="500"/>
      <c r="FVC518" s="500"/>
      <c r="FVD518" s="500"/>
      <c r="FVE518" s="500"/>
      <c r="FVF518" s="500"/>
      <c r="FVG518" s="500"/>
      <c r="FVH518" s="500"/>
      <c r="FVI518" s="500"/>
      <c r="FVJ518" s="500"/>
      <c r="FVK518" s="500"/>
      <c r="FVL518" s="500"/>
      <c r="FVM518" s="500"/>
      <c r="FVN518" s="500"/>
      <c r="FVO518" s="500"/>
      <c r="FVP518" s="500"/>
      <c r="FVQ518" s="500"/>
      <c r="FVR518" s="500"/>
      <c r="FVS518" s="500"/>
      <c r="FVT518" s="500"/>
      <c r="FVU518" s="500"/>
      <c r="FVV518" s="500"/>
      <c r="FVW518" s="500"/>
      <c r="FVX518" s="500"/>
      <c r="FVY518" s="500"/>
      <c r="FVZ518" s="500"/>
      <c r="FWA518" s="500"/>
      <c r="FWB518" s="500"/>
      <c r="FWC518" s="500"/>
      <c r="FWD518" s="500"/>
      <c r="FWE518" s="500"/>
      <c r="FWF518" s="500"/>
      <c r="FWG518" s="500"/>
      <c r="FWH518" s="500"/>
      <c r="FWI518" s="500"/>
      <c r="FWJ518" s="500"/>
      <c r="FWK518" s="500"/>
      <c r="FWL518" s="500"/>
      <c r="FWM518" s="500"/>
      <c r="FWN518" s="500"/>
      <c r="FWO518" s="500"/>
      <c r="FWP518" s="500"/>
      <c r="FWQ518" s="500"/>
      <c r="FWR518" s="500"/>
      <c r="FWS518" s="500"/>
      <c r="FWT518" s="500"/>
      <c r="FWU518" s="500"/>
      <c r="FWV518" s="500"/>
      <c r="FWW518" s="500"/>
      <c r="FWX518" s="500"/>
      <c r="FWY518" s="500"/>
      <c r="FWZ518" s="500"/>
      <c r="FXA518" s="500"/>
      <c r="FXB518" s="500"/>
      <c r="FXC518" s="500"/>
      <c r="FXD518" s="500"/>
      <c r="FXE518" s="500"/>
      <c r="FXF518" s="500"/>
      <c r="FXG518" s="500"/>
      <c r="FXH518" s="500"/>
      <c r="FXI518" s="500"/>
      <c r="FXJ518" s="500"/>
      <c r="FXK518" s="500"/>
      <c r="FXL518" s="500"/>
      <c r="FXM518" s="500"/>
      <c r="FXN518" s="500"/>
      <c r="FXO518" s="500"/>
      <c r="FXP518" s="500"/>
      <c r="FXQ518" s="500"/>
      <c r="FXR518" s="500"/>
      <c r="FXS518" s="500"/>
      <c r="FXT518" s="500"/>
      <c r="FXU518" s="500"/>
      <c r="FXV518" s="500"/>
      <c r="FXW518" s="500"/>
      <c r="FXX518" s="500"/>
      <c r="FXY518" s="500"/>
      <c r="FXZ518" s="500"/>
      <c r="FYA518" s="500"/>
      <c r="FYB518" s="500"/>
      <c r="FYC518" s="500"/>
      <c r="FYD518" s="500"/>
      <c r="FYE518" s="500"/>
      <c r="FYF518" s="500"/>
      <c r="FYG518" s="500"/>
      <c r="FYH518" s="500"/>
      <c r="FYI518" s="500"/>
      <c r="FYJ518" s="500"/>
      <c r="FYK518" s="500"/>
      <c r="FYL518" s="500"/>
      <c r="FYM518" s="500"/>
      <c r="FYN518" s="500"/>
      <c r="FYO518" s="500"/>
      <c r="FYP518" s="500"/>
      <c r="FYQ518" s="500"/>
      <c r="FYR518" s="500"/>
      <c r="FYS518" s="500"/>
      <c r="FYT518" s="500"/>
      <c r="FYU518" s="500"/>
      <c r="FYV518" s="500"/>
      <c r="FYW518" s="500"/>
      <c r="FYX518" s="500"/>
      <c r="FYY518" s="500"/>
      <c r="FYZ518" s="500"/>
      <c r="FZA518" s="500"/>
      <c r="FZB518" s="500"/>
      <c r="FZC518" s="500"/>
      <c r="FZD518" s="500"/>
      <c r="FZE518" s="500"/>
      <c r="FZF518" s="500"/>
      <c r="FZG518" s="500"/>
      <c r="FZH518" s="500"/>
      <c r="FZI518" s="500"/>
      <c r="FZJ518" s="500"/>
      <c r="FZK518" s="500"/>
      <c r="FZL518" s="500"/>
      <c r="FZM518" s="500"/>
      <c r="FZN518" s="500"/>
      <c r="FZO518" s="500"/>
      <c r="FZP518" s="500"/>
      <c r="FZQ518" s="500"/>
      <c r="FZR518" s="500"/>
      <c r="FZS518" s="500"/>
      <c r="FZT518" s="500"/>
      <c r="FZU518" s="500"/>
      <c r="FZV518" s="500"/>
      <c r="FZW518" s="500"/>
      <c r="FZX518" s="500"/>
      <c r="FZY518" s="500"/>
      <c r="FZZ518" s="500"/>
      <c r="GAA518" s="500"/>
      <c r="GAB518" s="500"/>
      <c r="GAC518" s="500"/>
      <c r="GAD518" s="500"/>
      <c r="GAE518" s="500"/>
      <c r="GAF518" s="500"/>
      <c r="GAG518" s="500"/>
      <c r="GAH518" s="500"/>
      <c r="GAI518" s="500"/>
      <c r="GAJ518" s="500"/>
      <c r="GAK518" s="500"/>
      <c r="GAL518" s="500"/>
      <c r="GAM518" s="500"/>
      <c r="GAN518" s="500"/>
      <c r="GAO518" s="500"/>
      <c r="GAP518" s="500"/>
      <c r="GAQ518" s="500"/>
      <c r="GAR518" s="500"/>
      <c r="GAS518" s="500"/>
      <c r="GAT518" s="500"/>
      <c r="GAU518" s="500"/>
      <c r="GAV518" s="500"/>
      <c r="GAW518" s="500"/>
      <c r="GAX518" s="500"/>
      <c r="GAY518" s="500"/>
      <c r="GAZ518" s="500"/>
      <c r="GBA518" s="500"/>
      <c r="GBB518" s="500"/>
      <c r="GBC518" s="500"/>
      <c r="GBD518" s="500"/>
      <c r="GBE518" s="500"/>
      <c r="GBF518" s="500"/>
      <c r="GBG518" s="500"/>
      <c r="GBH518" s="500"/>
      <c r="GBI518" s="500"/>
      <c r="GBJ518" s="500"/>
      <c r="GBK518" s="500"/>
      <c r="GBL518" s="500"/>
      <c r="GBM518" s="500"/>
      <c r="GBN518" s="500"/>
      <c r="GBO518" s="500"/>
      <c r="GBP518" s="500"/>
      <c r="GBQ518" s="500"/>
      <c r="GBR518" s="500"/>
      <c r="GBS518" s="500"/>
      <c r="GBT518" s="500"/>
      <c r="GBU518" s="500"/>
      <c r="GBV518" s="500"/>
      <c r="GBW518" s="500"/>
      <c r="GBX518" s="500"/>
      <c r="GBY518" s="500"/>
      <c r="GBZ518" s="500"/>
      <c r="GCA518" s="500"/>
      <c r="GCB518" s="500"/>
      <c r="GCC518" s="500"/>
      <c r="GCD518" s="500"/>
      <c r="GCE518" s="500"/>
      <c r="GCF518" s="500"/>
      <c r="GCG518" s="500"/>
      <c r="GCH518" s="500"/>
      <c r="GCI518" s="500"/>
      <c r="GCJ518" s="500"/>
      <c r="GCK518" s="500"/>
      <c r="GCL518" s="500"/>
      <c r="GCM518" s="500"/>
      <c r="GCN518" s="500"/>
      <c r="GCO518" s="500"/>
      <c r="GCP518" s="500"/>
      <c r="GCQ518" s="500"/>
      <c r="GCR518" s="500"/>
      <c r="GCS518" s="500"/>
      <c r="GCT518" s="500"/>
      <c r="GCU518" s="500"/>
      <c r="GCV518" s="500"/>
      <c r="GCW518" s="500"/>
      <c r="GCX518" s="500"/>
      <c r="GCY518" s="500"/>
      <c r="GCZ518" s="500"/>
      <c r="GDA518" s="500"/>
      <c r="GDB518" s="500"/>
      <c r="GDC518" s="500"/>
      <c r="GDD518" s="500"/>
      <c r="GDE518" s="500"/>
      <c r="GDF518" s="500"/>
      <c r="GDG518" s="500"/>
      <c r="GDH518" s="500"/>
      <c r="GDI518" s="500"/>
      <c r="GDJ518" s="500"/>
      <c r="GDK518" s="500"/>
      <c r="GDL518" s="500"/>
      <c r="GDM518" s="500"/>
      <c r="GDN518" s="500"/>
      <c r="GDO518" s="500"/>
      <c r="GDP518" s="500"/>
      <c r="GDQ518" s="500"/>
      <c r="GDR518" s="500"/>
      <c r="GDS518" s="500"/>
      <c r="GDT518" s="500"/>
      <c r="GDU518" s="500"/>
      <c r="GDV518" s="500"/>
      <c r="GDW518" s="500"/>
      <c r="GDX518" s="500"/>
      <c r="GDY518" s="500"/>
      <c r="GDZ518" s="500"/>
      <c r="GEA518" s="500"/>
      <c r="GEB518" s="500"/>
      <c r="GEC518" s="500"/>
      <c r="GED518" s="500"/>
      <c r="GEE518" s="500"/>
      <c r="GEF518" s="500"/>
      <c r="GEG518" s="500"/>
      <c r="GEH518" s="500"/>
      <c r="GEI518" s="500"/>
      <c r="GEJ518" s="500"/>
      <c r="GEK518" s="500"/>
      <c r="GEL518" s="500"/>
      <c r="GEM518" s="500"/>
      <c r="GEN518" s="500"/>
      <c r="GEO518" s="500"/>
      <c r="GEP518" s="500"/>
      <c r="GEQ518" s="500"/>
      <c r="GER518" s="500"/>
      <c r="GES518" s="500"/>
      <c r="GET518" s="500"/>
      <c r="GEU518" s="500"/>
      <c r="GEV518" s="500"/>
      <c r="GEW518" s="500"/>
      <c r="GEX518" s="500"/>
      <c r="GEY518" s="500"/>
      <c r="GEZ518" s="500"/>
      <c r="GFA518" s="500"/>
      <c r="GFB518" s="500"/>
      <c r="GFC518" s="500"/>
      <c r="GFD518" s="500"/>
      <c r="GFE518" s="500"/>
      <c r="GFF518" s="500"/>
      <c r="GFG518" s="500"/>
      <c r="GFH518" s="500"/>
      <c r="GFI518" s="500"/>
      <c r="GFJ518" s="500"/>
      <c r="GFK518" s="500"/>
      <c r="GFL518" s="500"/>
      <c r="GFM518" s="500"/>
      <c r="GFN518" s="500"/>
      <c r="GFO518" s="500"/>
      <c r="GFP518" s="500"/>
      <c r="GFQ518" s="500"/>
      <c r="GFR518" s="500"/>
      <c r="GFS518" s="500"/>
      <c r="GFT518" s="500"/>
      <c r="GFU518" s="500"/>
      <c r="GFV518" s="500"/>
      <c r="GFW518" s="500"/>
      <c r="GFX518" s="500"/>
      <c r="GFY518" s="500"/>
      <c r="GFZ518" s="500"/>
      <c r="GGA518" s="500"/>
      <c r="GGB518" s="500"/>
      <c r="GGC518" s="500"/>
      <c r="GGD518" s="500"/>
      <c r="GGE518" s="500"/>
      <c r="GGF518" s="500"/>
      <c r="GGG518" s="500"/>
      <c r="GGH518" s="500"/>
      <c r="GGI518" s="500"/>
      <c r="GGJ518" s="500"/>
      <c r="GGK518" s="500"/>
      <c r="GGL518" s="500"/>
      <c r="GGM518" s="500"/>
      <c r="GGN518" s="500"/>
      <c r="GGO518" s="500"/>
      <c r="GGP518" s="500"/>
      <c r="GGQ518" s="500"/>
      <c r="GGR518" s="500"/>
      <c r="GGS518" s="500"/>
      <c r="GGT518" s="500"/>
      <c r="GGU518" s="500"/>
      <c r="GGV518" s="500"/>
      <c r="GGW518" s="500"/>
      <c r="GGX518" s="500"/>
      <c r="GGY518" s="500"/>
      <c r="GGZ518" s="500"/>
      <c r="GHA518" s="500"/>
      <c r="GHB518" s="500"/>
      <c r="GHC518" s="500"/>
      <c r="GHD518" s="500"/>
      <c r="GHE518" s="500"/>
      <c r="GHF518" s="500"/>
      <c r="GHG518" s="500"/>
      <c r="GHH518" s="500"/>
      <c r="GHI518" s="500"/>
      <c r="GHJ518" s="500"/>
      <c r="GHK518" s="500"/>
      <c r="GHL518" s="500"/>
      <c r="GHM518" s="500"/>
      <c r="GHN518" s="500"/>
      <c r="GHO518" s="500"/>
      <c r="GHP518" s="500"/>
      <c r="GHQ518" s="500"/>
      <c r="GHR518" s="500"/>
      <c r="GHS518" s="500"/>
      <c r="GHT518" s="500"/>
      <c r="GHU518" s="500"/>
      <c r="GHV518" s="500"/>
      <c r="GHW518" s="500"/>
      <c r="GHX518" s="500"/>
      <c r="GHY518" s="500"/>
      <c r="GHZ518" s="500"/>
      <c r="GIA518" s="500"/>
      <c r="GIB518" s="500"/>
      <c r="GIC518" s="500"/>
      <c r="GID518" s="500"/>
      <c r="GIE518" s="500"/>
      <c r="GIF518" s="500"/>
      <c r="GIG518" s="500"/>
      <c r="GIH518" s="500"/>
      <c r="GII518" s="500"/>
      <c r="GIJ518" s="500"/>
      <c r="GIK518" s="500"/>
      <c r="GIL518" s="500"/>
      <c r="GIM518" s="500"/>
      <c r="GIN518" s="500"/>
      <c r="GIO518" s="500"/>
      <c r="GIP518" s="500"/>
      <c r="GIQ518" s="500"/>
      <c r="GIR518" s="500"/>
      <c r="GIS518" s="500"/>
      <c r="GIT518" s="500"/>
      <c r="GIU518" s="500"/>
      <c r="GIV518" s="500"/>
      <c r="GIW518" s="500"/>
      <c r="GIX518" s="500"/>
      <c r="GIY518" s="500"/>
      <c r="GIZ518" s="500"/>
      <c r="GJA518" s="500"/>
      <c r="GJB518" s="500"/>
      <c r="GJC518" s="500"/>
      <c r="GJD518" s="500"/>
      <c r="GJE518" s="500"/>
      <c r="GJF518" s="500"/>
      <c r="GJG518" s="500"/>
      <c r="GJH518" s="500"/>
      <c r="GJI518" s="500"/>
      <c r="GJJ518" s="500"/>
      <c r="GJK518" s="500"/>
      <c r="GJL518" s="500"/>
      <c r="GJM518" s="500"/>
      <c r="GJN518" s="500"/>
      <c r="GJO518" s="500"/>
      <c r="GJP518" s="500"/>
      <c r="GJQ518" s="500"/>
      <c r="GJR518" s="500"/>
      <c r="GJS518" s="500"/>
      <c r="GJT518" s="500"/>
      <c r="GJU518" s="500"/>
      <c r="GJV518" s="500"/>
      <c r="GJW518" s="500"/>
      <c r="GJX518" s="500"/>
      <c r="GJY518" s="500"/>
      <c r="GJZ518" s="500"/>
      <c r="GKA518" s="500"/>
      <c r="GKB518" s="500"/>
      <c r="GKC518" s="500"/>
      <c r="GKD518" s="500"/>
      <c r="GKE518" s="500"/>
      <c r="GKF518" s="500"/>
      <c r="GKG518" s="500"/>
      <c r="GKH518" s="500"/>
      <c r="GKI518" s="500"/>
      <c r="GKJ518" s="500"/>
      <c r="GKK518" s="500"/>
      <c r="GKL518" s="500"/>
      <c r="GKM518" s="500"/>
      <c r="GKN518" s="500"/>
      <c r="GKO518" s="500"/>
      <c r="GKP518" s="500"/>
      <c r="GKQ518" s="500"/>
      <c r="GKR518" s="500"/>
      <c r="GKS518" s="500"/>
      <c r="GKT518" s="500"/>
      <c r="GKU518" s="500"/>
      <c r="GKV518" s="500"/>
      <c r="GKW518" s="500"/>
      <c r="GKX518" s="500"/>
      <c r="GKY518" s="500"/>
      <c r="GKZ518" s="500"/>
      <c r="GLA518" s="500"/>
      <c r="GLB518" s="500"/>
      <c r="GLC518" s="500"/>
      <c r="GLD518" s="500"/>
      <c r="GLE518" s="500"/>
      <c r="GLF518" s="500"/>
      <c r="GLG518" s="500"/>
      <c r="GLH518" s="500"/>
      <c r="GLI518" s="500"/>
      <c r="GLJ518" s="500"/>
      <c r="GLK518" s="500"/>
      <c r="GLL518" s="500"/>
      <c r="GLM518" s="500"/>
      <c r="GLN518" s="500"/>
      <c r="GLO518" s="500"/>
      <c r="GLP518" s="500"/>
      <c r="GLQ518" s="500"/>
      <c r="GLR518" s="500"/>
      <c r="GLS518" s="500"/>
      <c r="GLT518" s="500"/>
      <c r="GLU518" s="500"/>
      <c r="GLV518" s="500"/>
      <c r="GLW518" s="500"/>
      <c r="GLX518" s="500"/>
      <c r="GLY518" s="500"/>
      <c r="GLZ518" s="500"/>
      <c r="GMA518" s="500"/>
      <c r="GMB518" s="500"/>
      <c r="GMC518" s="500"/>
      <c r="GMD518" s="500"/>
      <c r="GME518" s="500"/>
      <c r="GMF518" s="500"/>
      <c r="GMG518" s="500"/>
      <c r="GMH518" s="500"/>
      <c r="GMI518" s="500"/>
      <c r="GMJ518" s="500"/>
      <c r="GMK518" s="500"/>
      <c r="GML518" s="500"/>
      <c r="GMM518" s="500"/>
      <c r="GMN518" s="500"/>
      <c r="GMO518" s="500"/>
      <c r="GMP518" s="500"/>
      <c r="GMQ518" s="500"/>
      <c r="GMR518" s="500"/>
      <c r="GMS518" s="500"/>
      <c r="GMT518" s="500"/>
      <c r="GMU518" s="500"/>
      <c r="GMV518" s="500"/>
      <c r="GMW518" s="500"/>
      <c r="GMX518" s="500"/>
      <c r="GMY518" s="500"/>
      <c r="GMZ518" s="500"/>
      <c r="GNA518" s="500"/>
      <c r="GNB518" s="500"/>
      <c r="GNC518" s="500"/>
      <c r="GND518" s="500"/>
      <c r="GNE518" s="500"/>
      <c r="GNF518" s="500"/>
      <c r="GNG518" s="500"/>
      <c r="GNH518" s="500"/>
      <c r="GNI518" s="500"/>
      <c r="GNJ518" s="500"/>
      <c r="GNK518" s="500"/>
      <c r="GNL518" s="500"/>
      <c r="GNM518" s="500"/>
      <c r="GNN518" s="500"/>
      <c r="GNO518" s="500"/>
      <c r="GNP518" s="500"/>
      <c r="GNQ518" s="500"/>
      <c r="GNR518" s="500"/>
      <c r="GNS518" s="500"/>
      <c r="GNT518" s="500"/>
      <c r="GNU518" s="500"/>
      <c r="GNV518" s="500"/>
      <c r="GNW518" s="500"/>
      <c r="GNX518" s="500"/>
      <c r="GNY518" s="500"/>
      <c r="GNZ518" s="500"/>
      <c r="GOA518" s="500"/>
      <c r="GOB518" s="500"/>
      <c r="GOC518" s="500"/>
      <c r="GOD518" s="500"/>
      <c r="GOE518" s="500"/>
      <c r="GOF518" s="500"/>
      <c r="GOG518" s="500"/>
      <c r="GOH518" s="500"/>
      <c r="GOI518" s="500"/>
      <c r="GOJ518" s="500"/>
      <c r="GOK518" s="500"/>
      <c r="GOL518" s="500"/>
      <c r="GOM518" s="500"/>
      <c r="GON518" s="500"/>
      <c r="GOO518" s="500"/>
      <c r="GOP518" s="500"/>
      <c r="GOQ518" s="500"/>
      <c r="GOR518" s="500"/>
      <c r="GOS518" s="500"/>
      <c r="GOT518" s="500"/>
      <c r="GOU518" s="500"/>
      <c r="GOV518" s="500"/>
      <c r="GOW518" s="500"/>
      <c r="GOX518" s="500"/>
      <c r="GOY518" s="500"/>
      <c r="GOZ518" s="500"/>
      <c r="GPA518" s="500"/>
      <c r="GPB518" s="500"/>
      <c r="GPC518" s="500"/>
      <c r="GPD518" s="500"/>
      <c r="GPE518" s="500"/>
      <c r="GPF518" s="500"/>
      <c r="GPG518" s="500"/>
      <c r="GPH518" s="500"/>
      <c r="GPI518" s="500"/>
      <c r="GPJ518" s="500"/>
      <c r="GPK518" s="500"/>
      <c r="GPL518" s="500"/>
      <c r="GPM518" s="500"/>
      <c r="GPN518" s="500"/>
      <c r="GPO518" s="500"/>
      <c r="GPP518" s="500"/>
      <c r="GPQ518" s="500"/>
      <c r="GPR518" s="500"/>
      <c r="GPS518" s="500"/>
      <c r="GPT518" s="500"/>
      <c r="GPU518" s="500"/>
      <c r="GPV518" s="500"/>
      <c r="GPW518" s="500"/>
      <c r="GPX518" s="500"/>
      <c r="GPY518" s="500"/>
      <c r="GPZ518" s="500"/>
      <c r="GQA518" s="500"/>
      <c r="GQB518" s="500"/>
      <c r="GQC518" s="500"/>
      <c r="GQD518" s="500"/>
      <c r="GQE518" s="500"/>
      <c r="GQF518" s="500"/>
      <c r="GQG518" s="500"/>
      <c r="GQH518" s="500"/>
      <c r="GQI518" s="500"/>
      <c r="GQJ518" s="500"/>
      <c r="GQK518" s="500"/>
      <c r="GQL518" s="500"/>
      <c r="GQM518" s="500"/>
      <c r="GQN518" s="500"/>
      <c r="GQO518" s="500"/>
      <c r="GQP518" s="500"/>
      <c r="GQQ518" s="500"/>
      <c r="GQR518" s="500"/>
      <c r="GQS518" s="500"/>
      <c r="GQT518" s="500"/>
      <c r="GQU518" s="500"/>
      <c r="GQV518" s="500"/>
      <c r="GQW518" s="500"/>
      <c r="GQX518" s="500"/>
      <c r="GQY518" s="500"/>
      <c r="GQZ518" s="500"/>
      <c r="GRA518" s="500"/>
      <c r="GRB518" s="500"/>
      <c r="GRC518" s="500"/>
      <c r="GRD518" s="500"/>
      <c r="GRE518" s="500"/>
      <c r="GRF518" s="500"/>
      <c r="GRG518" s="500"/>
      <c r="GRH518" s="500"/>
      <c r="GRI518" s="500"/>
      <c r="GRJ518" s="500"/>
      <c r="GRK518" s="500"/>
      <c r="GRL518" s="500"/>
      <c r="GRM518" s="500"/>
      <c r="GRN518" s="500"/>
      <c r="GRO518" s="500"/>
      <c r="GRP518" s="500"/>
      <c r="GRQ518" s="500"/>
      <c r="GRR518" s="500"/>
      <c r="GRS518" s="500"/>
      <c r="GRT518" s="500"/>
      <c r="GRU518" s="500"/>
      <c r="GRV518" s="500"/>
      <c r="GRW518" s="500"/>
      <c r="GRX518" s="500"/>
      <c r="GRY518" s="500"/>
      <c r="GRZ518" s="500"/>
      <c r="GSA518" s="500"/>
      <c r="GSB518" s="500"/>
      <c r="GSC518" s="500"/>
      <c r="GSD518" s="500"/>
      <c r="GSE518" s="500"/>
      <c r="GSF518" s="500"/>
      <c r="GSG518" s="500"/>
      <c r="GSH518" s="500"/>
      <c r="GSI518" s="500"/>
      <c r="GSJ518" s="500"/>
      <c r="GSK518" s="500"/>
      <c r="GSL518" s="500"/>
      <c r="GSM518" s="500"/>
      <c r="GSN518" s="500"/>
      <c r="GSO518" s="500"/>
      <c r="GSP518" s="500"/>
      <c r="GSQ518" s="500"/>
      <c r="GSR518" s="500"/>
      <c r="GSS518" s="500"/>
      <c r="GST518" s="500"/>
      <c r="GSU518" s="500"/>
      <c r="GSV518" s="500"/>
      <c r="GSW518" s="500"/>
      <c r="GSX518" s="500"/>
      <c r="GSY518" s="500"/>
      <c r="GSZ518" s="500"/>
      <c r="GTA518" s="500"/>
      <c r="GTB518" s="500"/>
      <c r="GTC518" s="500"/>
      <c r="GTD518" s="500"/>
      <c r="GTE518" s="500"/>
      <c r="GTF518" s="500"/>
      <c r="GTG518" s="500"/>
      <c r="GTH518" s="500"/>
      <c r="GTI518" s="500"/>
      <c r="GTJ518" s="500"/>
      <c r="GTK518" s="500"/>
      <c r="GTL518" s="500"/>
      <c r="GTM518" s="500"/>
      <c r="GTN518" s="500"/>
      <c r="GTO518" s="500"/>
      <c r="GTP518" s="500"/>
      <c r="GTQ518" s="500"/>
      <c r="GTR518" s="500"/>
      <c r="GTS518" s="500"/>
      <c r="GTT518" s="500"/>
      <c r="GTU518" s="500"/>
      <c r="GTV518" s="500"/>
      <c r="GTW518" s="500"/>
      <c r="GTX518" s="500"/>
      <c r="GTY518" s="500"/>
      <c r="GTZ518" s="500"/>
      <c r="GUA518" s="500"/>
      <c r="GUB518" s="500"/>
      <c r="GUC518" s="500"/>
      <c r="GUD518" s="500"/>
      <c r="GUE518" s="500"/>
      <c r="GUF518" s="500"/>
      <c r="GUG518" s="500"/>
      <c r="GUH518" s="500"/>
      <c r="GUI518" s="500"/>
      <c r="GUJ518" s="500"/>
      <c r="GUK518" s="500"/>
      <c r="GUL518" s="500"/>
      <c r="GUM518" s="500"/>
      <c r="GUN518" s="500"/>
      <c r="GUO518" s="500"/>
      <c r="GUP518" s="500"/>
      <c r="GUQ518" s="500"/>
      <c r="GUR518" s="500"/>
      <c r="GUS518" s="500"/>
      <c r="GUT518" s="500"/>
      <c r="GUU518" s="500"/>
      <c r="GUV518" s="500"/>
      <c r="GUW518" s="500"/>
      <c r="GUX518" s="500"/>
      <c r="GUY518" s="500"/>
      <c r="GUZ518" s="500"/>
      <c r="GVA518" s="500"/>
      <c r="GVB518" s="500"/>
      <c r="GVC518" s="500"/>
      <c r="GVD518" s="500"/>
      <c r="GVE518" s="500"/>
      <c r="GVF518" s="500"/>
      <c r="GVG518" s="500"/>
      <c r="GVH518" s="500"/>
      <c r="GVI518" s="500"/>
      <c r="GVJ518" s="500"/>
      <c r="GVK518" s="500"/>
      <c r="GVL518" s="500"/>
      <c r="GVM518" s="500"/>
      <c r="GVN518" s="500"/>
      <c r="GVO518" s="500"/>
      <c r="GVP518" s="500"/>
      <c r="GVQ518" s="500"/>
      <c r="GVR518" s="500"/>
      <c r="GVS518" s="500"/>
      <c r="GVT518" s="500"/>
      <c r="GVU518" s="500"/>
      <c r="GVV518" s="500"/>
      <c r="GVW518" s="500"/>
      <c r="GVX518" s="500"/>
      <c r="GVY518" s="500"/>
      <c r="GVZ518" s="500"/>
      <c r="GWA518" s="500"/>
      <c r="GWB518" s="500"/>
      <c r="GWC518" s="500"/>
      <c r="GWD518" s="500"/>
      <c r="GWE518" s="500"/>
      <c r="GWF518" s="500"/>
      <c r="GWG518" s="500"/>
      <c r="GWH518" s="500"/>
      <c r="GWI518" s="500"/>
      <c r="GWJ518" s="500"/>
      <c r="GWK518" s="500"/>
      <c r="GWL518" s="500"/>
      <c r="GWM518" s="500"/>
      <c r="GWN518" s="500"/>
      <c r="GWO518" s="500"/>
      <c r="GWP518" s="500"/>
      <c r="GWQ518" s="500"/>
      <c r="GWR518" s="500"/>
      <c r="GWS518" s="500"/>
      <c r="GWT518" s="500"/>
      <c r="GWU518" s="500"/>
      <c r="GWV518" s="500"/>
      <c r="GWW518" s="500"/>
      <c r="GWX518" s="500"/>
      <c r="GWY518" s="500"/>
      <c r="GWZ518" s="500"/>
      <c r="GXA518" s="500"/>
      <c r="GXB518" s="500"/>
      <c r="GXC518" s="500"/>
      <c r="GXD518" s="500"/>
      <c r="GXE518" s="500"/>
      <c r="GXF518" s="500"/>
      <c r="GXG518" s="500"/>
      <c r="GXH518" s="500"/>
      <c r="GXI518" s="500"/>
      <c r="GXJ518" s="500"/>
      <c r="GXK518" s="500"/>
      <c r="GXL518" s="500"/>
      <c r="GXM518" s="500"/>
      <c r="GXN518" s="500"/>
      <c r="GXO518" s="500"/>
      <c r="GXP518" s="500"/>
      <c r="GXQ518" s="500"/>
      <c r="GXR518" s="500"/>
      <c r="GXS518" s="500"/>
      <c r="GXT518" s="500"/>
      <c r="GXU518" s="500"/>
      <c r="GXV518" s="500"/>
      <c r="GXW518" s="500"/>
      <c r="GXX518" s="500"/>
      <c r="GXY518" s="500"/>
      <c r="GXZ518" s="500"/>
      <c r="GYA518" s="500"/>
      <c r="GYB518" s="500"/>
      <c r="GYC518" s="500"/>
      <c r="GYD518" s="500"/>
      <c r="GYE518" s="500"/>
      <c r="GYF518" s="500"/>
      <c r="GYG518" s="500"/>
      <c r="GYH518" s="500"/>
      <c r="GYI518" s="500"/>
      <c r="GYJ518" s="500"/>
      <c r="GYK518" s="500"/>
      <c r="GYL518" s="500"/>
      <c r="GYM518" s="500"/>
      <c r="GYN518" s="500"/>
      <c r="GYO518" s="500"/>
      <c r="GYP518" s="500"/>
      <c r="GYQ518" s="500"/>
      <c r="GYR518" s="500"/>
      <c r="GYS518" s="500"/>
      <c r="GYT518" s="500"/>
      <c r="GYU518" s="500"/>
      <c r="GYV518" s="500"/>
      <c r="GYW518" s="500"/>
      <c r="GYX518" s="500"/>
      <c r="GYY518" s="500"/>
      <c r="GYZ518" s="500"/>
      <c r="GZA518" s="500"/>
      <c r="GZB518" s="500"/>
      <c r="GZC518" s="500"/>
      <c r="GZD518" s="500"/>
      <c r="GZE518" s="500"/>
      <c r="GZF518" s="500"/>
      <c r="GZG518" s="500"/>
      <c r="GZH518" s="500"/>
      <c r="GZI518" s="500"/>
      <c r="GZJ518" s="500"/>
      <c r="GZK518" s="500"/>
      <c r="GZL518" s="500"/>
      <c r="GZM518" s="500"/>
      <c r="GZN518" s="500"/>
      <c r="GZO518" s="500"/>
      <c r="GZP518" s="500"/>
      <c r="GZQ518" s="500"/>
      <c r="GZR518" s="500"/>
      <c r="GZS518" s="500"/>
      <c r="GZT518" s="500"/>
      <c r="GZU518" s="500"/>
      <c r="GZV518" s="500"/>
      <c r="GZW518" s="500"/>
      <c r="GZX518" s="500"/>
      <c r="GZY518" s="500"/>
      <c r="GZZ518" s="500"/>
      <c r="HAA518" s="500"/>
      <c r="HAB518" s="500"/>
      <c r="HAC518" s="500"/>
      <c r="HAD518" s="500"/>
      <c r="HAE518" s="500"/>
      <c r="HAF518" s="500"/>
      <c r="HAG518" s="500"/>
      <c r="HAH518" s="500"/>
      <c r="HAI518" s="500"/>
      <c r="HAJ518" s="500"/>
      <c r="HAK518" s="500"/>
      <c r="HAL518" s="500"/>
      <c r="HAM518" s="500"/>
      <c r="HAN518" s="500"/>
      <c r="HAO518" s="500"/>
      <c r="HAP518" s="500"/>
      <c r="HAQ518" s="500"/>
      <c r="HAR518" s="500"/>
      <c r="HAS518" s="500"/>
      <c r="HAT518" s="500"/>
      <c r="HAU518" s="500"/>
      <c r="HAV518" s="500"/>
      <c r="HAW518" s="500"/>
      <c r="HAX518" s="500"/>
      <c r="HAY518" s="500"/>
      <c r="HAZ518" s="500"/>
      <c r="HBA518" s="500"/>
      <c r="HBB518" s="500"/>
      <c r="HBC518" s="500"/>
      <c r="HBD518" s="500"/>
      <c r="HBE518" s="500"/>
      <c r="HBF518" s="500"/>
      <c r="HBG518" s="500"/>
      <c r="HBH518" s="500"/>
      <c r="HBI518" s="500"/>
      <c r="HBJ518" s="500"/>
      <c r="HBK518" s="500"/>
      <c r="HBL518" s="500"/>
      <c r="HBM518" s="500"/>
      <c r="HBN518" s="500"/>
      <c r="HBO518" s="500"/>
      <c r="HBP518" s="500"/>
      <c r="HBQ518" s="500"/>
      <c r="HBR518" s="500"/>
      <c r="HBS518" s="500"/>
      <c r="HBT518" s="500"/>
      <c r="HBU518" s="500"/>
      <c r="HBV518" s="500"/>
      <c r="HBW518" s="500"/>
      <c r="HBX518" s="500"/>
      <c r="HBY518" s="500"/>
      <c r="HBZ518" s="500"/>
      <c r="HCA518" s="500"/>
      <c r="HCB518" s="500"/>
      <c r="HCC518" s="500"/>
      <c r="HCD518" s="500"/>
      <c r="HCE518" s="500"/>
      <c r="HCF518" s="500"/>
      <c r="HCG518" s="500"/>
      <c r="HCH518" s="500"/>
      <c r="HCI518" s="500"/>
      <c r="HCJ518" s="500"/>
      <c r="HCK518" s="500"/>
      <c r="HCL518" s="500"/>
      <c r="HCM518" s="500"/>
      <c r="HCN518" s="500"/>
      <c r="HCO518" s="500"/>
      <c r="HCP518" s="500"/>
      <c r="HCQ518" s="500"/>
      <c r="HCR518" s="500"/>
      <c r="HCS518" s="500"/>
      <c r="HCT518" s="500"/>
      <c r="HCU518" s="500"/>
      <c r="HCV518" s="500"/>
      <c r="HCW518" s="500"/>
      <c r="HCX518" s="500"/>
      <c r="HCY518" s="500"/>
      <c r="HCZ518" s="500"/>
      <c r="HDA518" s="500"/>
      <c r="HDB518" s="500"/>
      <c r="HDC518" s="500"/>
      <c r="HDD518" s="500"/>
      <c r="HDE518" s="500"/>
      <c r="HDF518" s="500"/>
      <c r="HDG518" s="500"/>
      <c r="HDH518" s="500"/>
      <c r="HDI518" s="500"/>
      <c r="HDJ518" s="500"/>
      <c r="HDK518" s="500"/>
      <c r="HDL518" s="500"/>
      <c r="HDM518" s="500"/>
      <c r="HDN518" s="500"/>
      <c r="HDO518" s="500"/>
      <c r="HDP518" s="500"/>
      <c r="HDQ518" s="500"/>
      <c r="HDR518" s="500"/>
      <c r="HDS518" s="500"/>
      <c r="HDT518" s="500"/>
      <c r="HDU518" s="500"/>
      <c r="HDV518" s="500"/>
      <c r="HDW518" s="500"/>
      <c r="HDX518" s="500"/>
      <c r="HDY518" s="500"/>
      <c r="HDZ518" s="500"/>
      <c r="HEA518" s="500"/>
      <c r="HEB518" s="500"/>
      <c r="HEC518" s="500"/>
      <c r="HED518" s="500"/>
      <c r="HEE518" s="500"/>
      <c r="HEF518" s="500"/>
      <c r="HEG518" s="500"/>
      <c r="HEH518" s="500"/>
      <c r="HEI518" s="500"/>
      <c r="HEJ518" s="500"/>
      <c r="HEK518" s="500"/>
      <c r="HEL518" s="500"/>
      <c r="HEM518" s="500"/>
      <c r="HEN518" s="500"/>
      <c r="HEO518" s="500"/>
      <c r="HEP518" s="500"/>
      <c r="HEQ518" s="500"/>
      <c r="HER518" s="500"/>
      <c r="HES518" s="500"/>
      <c r="HET518" s="500"/>
      <c r="HEU518" s="500"/>
      <c r="HEV518" s="500"/>
      <c r="HEW518" s="500"/>
      <c r="HEX518" s="500"/>
      <c r="HEY518" s="500"/>
      <c r="HEZ518" s="500"/>
      <c r="HFA518" s="500"/>
      <c r="HFB518" s="500"/>
      <c r="HFC518" s="500"/>
      <c r="HFD518" s="500"/>
      <c r="HFE518" s="500"/>
      <c r="HFF518" s="500"/>
      <c r="HFG518" s="500"/>
      <c r="HFH518" s="500"/>
      <c r="HFI518" s="500"/>
      <c r="HFJ518" s="500"/>
      <c r="HFK518" s="500"/>
      <c r="HFL518" s="500"/>
      <c r="HFM518" s="500"/>
      <c r="HFN518" s="500"/>
      <c r="HFO518" s="500"/>
      <c r="HFP518" s="500"/>
      <c r="HFQ518" s="500"/>
      <c r="HFR518" s="500"/>
      <c r="HFS518" s="500"/>
      <c r="HFT518" s="500"/>
      <c r="HFU518" s="500"/>
      <c r="HFV518" s="500"/>
      <c r="HFW518" s="500"/>
      <c r="HFX518" s="500"/>
      <c r="HFY518" s="500"/>
      <c r="HFZ518" s="500"/>
      <c r="HGA518" s="500"/>
      <c r="HGB518" s="500"/>
      <c r="HGC518" s="500"/>
      <c r="HGD518" s="500"/>
      <c r="HGE518" s="500"/>
      <c r="HGF518" s="500"/>
      <c r="HGG518" s="500"/>
      <c r="HGH518" s="500"/>
      <c r="HGI518" s="500"/>
      <c r="HGJ518" s="500"/>
      <c r="HGK518" s="500"/>
      <c r="HGL518" s="500"/>
      <c r="HGM518" s="500"/>
      <c r="HGN518" s="500"/>
      <c r="HGO518" s="500"/>
      <c r="HGP518" s="500"/>
      <c r="HGQ518" s="500"/>
      <c r="HGR518" s="500"/>
      <c r="HGS518" s="500"/>
      <c r="HGT518" s="500"/>
      <c r="HGU518" s="500"/>
      <c r="HGV518" s="500"/>
      <c r="HGW518" s="500"/>
      <c r="HGX518" s="500"/>
      <c r="HGY518" s="500"/>
      <c r="HGZ518" s="500"/>
      <c r="HHA518" s="500"/>
      <c r="HHB518" s="500"/>
      <c r="HHC518" s="500"/>
      <c r="HHD518" s="500"/>
      <c r="HHE518" s="500"/>
      <c r="HHF518" s="500"/>
      <c r="HHG518" s="500"/>
      <c r="HHH518" s="500"/>
      <c r="HHI518" s="500"/>
      <c r="HHJ518" s="500"/>
      <c r="HHK518" s="500"/>
      <c r="HHL518" s="500"/>
      <c r="HHM518" s="500"/>
      <c r="HHN518" s="500"/>
      <c r="HHO518" s="500"/>
      <c r="HHP518" s="500"/>
      <c r="HHQ518" s="500"/>
      <c r="HHR518" s="500"/>
      <c r="HHS518" s="500"/>
      <c r="HHT518" s="500"/>
      <c r="HHU518" s="500"/>
      <c r="HHV518" s="500"/>
      <c r="HHW518" s="500"/>
      <c r="HHX518" s="500"/>
      <c r="HHY518" s="500"/>
      <c r="HHZ518" s="500"/>
      <c r="HIA518" s="500"/>
      <c r="HIB518" s="500"/>
      <c r="HIC518" s="500"/>
      <c r="HID518" s="500"/>
      <c r="HIE518" s="500"/>
      <c r="HIF518" s="500"/>
      <c r="HIG518" s="500"/>
      <c r="HIH518" s="500"/>
      <c r="HII518" s="500"/>
      <c r="HIJ518" s="500"/>
      <c r="HIK518" s="500"/>
      <c r="HIL518" s="500"/>
      <c r="HIM518" s="500"/>
      <c r="HIN518" s="500"/>
      <c r="HIO518" s="500"/>
      <c r="HIP518" s="500"/>
      <c r="HIQ518" s="500"/>
      <c r="HIR518" s="500"/>
      <c r="HIS518" s="500"/>
      <c r="HIT518" s="500"/>
      <c r="HIU518" s="500"/>
      <c r="HIV518" s="500"/>
      <c r="HIW518" s="500"/>
      <c r="HIX518" s="500"/>
      <c r="HIY518" s="500"/>
      <c r="HIZ518" s="500"/>
      <c r="HJA518" s="500"/>
      <c r="HJB518" s="500"/>
      <c r="HJC518" s="500"/>
      <c r="HJD518" s="500"/>
      <c r="HJE518" s="500"/>
      <c r="HJF518" s="500"/>
      <c r="HJG518" s="500"/>
      <c r="HJH518" s="500"/>
      <c r="HJI518" s="500"/>
      <c r="HJJ518" s="500"/>
      <c r="HJK518" s="500"/>
      <c r="HJL518" s="500"/>
      <c r="HJM518" s="500"/>
      <c r="HJN518" s="500"/>
      <c r="HJO518" s="500"/>
      <c r="HJP518" s="500"/>
      <c r="HJQ518" s="500"/>
      <c r="HJR518" s="500"/>
      <c r="HJS518" s="500"/>
      <c r="HJT518" s="500"/>
      <c r="HJU518" s="500"/>
      <c r="HJV518" s="500"/>
      <c r="HJW518" s="500"/>
      <c r="HJX518" s="500"/>
      <c r="HJY518" s="500"/>
      <c r="HJZ518" s="500"/>
      <c r="HKA518" s="500"/>
      <c r="HKB518" s="500"/>
      <c r="HKC518" s="500"/>
      <c r="HKD518" s="500"/>
      <c r="HKE518" s="500"/>
      <c r="HKF518" s="500"/>
      <c r="HKG518" s="500"/>
      <c r="HKH518" s="500"/>
      <c r="HKI518" s="500"/>
      <c r="HKJ518" s="500"/>
      <c r="HKK518" s="500"/>
      <c r="HKL518" s="500"/>
      <c r="HKM518" s="500"/>
      <c r="HKN518" s="500"/>
      <c r="HKO518" s="500"/>
      <c r="HKP518" s="500"/>
      <c r="HKQ518" s="500"/>
      <c r="HKR518" s="500"/>
      <c r="HKS518" s="500"/>
      <c r="HKT518" s="500"/>
      <c r="HKU518" s="500"/>
      <c r="HKV518" s="500"/>
      <c r="HKW518" s="500"/>
      <c r="HKX518" s="500"/>
      <c r="HKY518" s="500"/>
      <c r="HKZ518" s="500"/>
      <c r="HLA518" s="500"/>
      <c r="HLB518" s="500"/>
      <c r="HLC518" s="500"/>
      <c r="HLD518" s="500"/>
      <c r="HLE518" s="500"/>
      <c r="HLF518" s="500"/>
      <c r="HLG518" s="500"/>
      <c r="HLH518" s="500"/>
      <c r="HLI518" s="500"/>
      <c r="HLJ518" s="500"/>
      <c r="HLK518" s="500"/>
      <c r="HLL518" s="500"/>
      <c r="HLM518" s="500"/>
      <c r="HLN518" s="500"/>
      <c r="HLO518" s="500"/>
      <c r="HLP518" s="500"/>
      <c r="HLQ518" s="500"/>
      <c r="HLR518" s="500"/>
      <c r="HLS518" s="500"/>
      <c r="HLT518" s="500"/>
      <c r="HLU518" s="500"/>
      <c r="HLV518" s="500"/>
      <c r="HLW518" s="500"/>
      <c r="HLX518" s="500"/>
      <c r="HLY518" s="500"/>
      <c r="HLZ518" s="500"/>
      <c r="HMA518" s="500"/>
      <c r="HMB518" s="500"/>
      <c r="HMC518" s="500"/>
      <c r="HMD518" s="500"/>
      <c r="HME518" s="500"/>
      <c r="HMF518" s="500"/>
      <c r="HMG518" s="500"/>
      <c r="HMH518" s="500"/>
      <c r="HMI518" s="500"/>
      <c r="HMJ518" s="500"/>
      <c r="HMK518" s="500"/>
      <c r="HML518" s="500"/>
      <c r="HMM518" s="500"/>
      <c r="HMN518" s="500"/>
      <c r="HMO518" s="500"/>
      <c r="HMP518" s="500"/>
      <c r="HMQ518" s="500"/>
      <c r="HMR518" s="500"/>
      <c r="HMS518" s="500"/>
      <c r="HMT518" s="500"/>
      <c r="HMU518" s="500"/>
      <c r="HMV518" s="500"/>
      <c r="HMW518" s="500"/>
      <c r="HMX518" s="500"/>
      <c r="HMY518" s="500"/>
      <c r="HMZ518" s="500"/>
      <c r="HNA518" s="500"/>
      <c r="HNB518" s="500"/>
      <c r="HNC518" s="500"/>
      <c r="HND518" s="500"/>
      <c r="HNE518" s="500"/>
      <c r="HNF518" s="500"/>
      <c r="HNG518" s="500"/>
      <c r="HNH518" s="500"/>
      <c r="HNI518" s="500"/>
      <c r="HNJ518" s="500"/>
      <c r="HNK518" s="500"/>
      <c r="HNL518" s="500"/>
      <c r="HNM518" s="500"/>
      <c r="HNN518" s="500"/>
      <c r="HNO518" s="500"/>
      <c r="HNP518" s="500"/>
      <c r="HNQ518" s="500"/>
      <c r="HNR518" s="500"/>
      <c r="HNS518" s="500"/>
      <c r="HNT518" s="500"/>
      <c r="HNU518" s="500"/>
      <c r="HNV518" s="500"/>
      <c r="HNW518" s="500"/>
      <c r="HNX518" s="500"/>
      <c r="HNY518" s="500"/>
      <c r="HNZ518" s="500"/>
      <c r="HOA518" s="500"/>
      <c r="HOB518" s="500"/>
      <c r="HOC518" s="500"/>
      <c r="HOD518" s="500"/>
      <c r="HOE518" s="500"/>
      <c r="HOF518" s="500"/>
      <c r="HOG518" s="500"/>
      <c r="HOH518" s="500"/>
      <c r="HOI518" s="500"/>
      <c r="HOJ518" s="500"/>
      <c r="HOK518" s="500"/>
      <c r="HOL518" s="500"/>
      <c r="HOM518" s="500"/>
      <c r="HON518" s="500"/>
      <c r="HOO518" s="500"/>
      <c r="HOP518" s="500"/>
      <c r="HOQ518" s="500"/>
      <c r="HOR518" s="500"/>
      <c r="HOS518" s="500"/>
      <c r="HOT518" s="500"/>
      <c r="HOU518" s="500"/>
      <c r="HOV518" s="500"/>
      <c r="HOW518" s="500"/>
      <c r="HOX518" s="500"/>
      <c r="HOY518" s="500"/>
      <c r="HOZ518" s="500"/>
      <c r="HPA518" s="500"/>
      <c r="HPB518" s="500"/>
      <c r="HPC518" s="500"/>
      <c r="HPD518" s="500"/>
      <c r="HPE518" s="500"/>
      <c r="HPF518" s="500"/>
      <c r="HPG518" s="500"/>
      <c r="HPH518" s="500"/>
      <c r="HPI518" s="500"/>
      <c r="HPJ518" s="500"/>
      <c r="HPK518" s="500"/>
      <c r="HPL518" s="500"/>
      <c r="HPM518" s="500"/>
      <c r="HPN518" s="500"/>
      <c r="HPO518" s="500"/>
      <c r="HPP518" s="500"/>
      <c r="HPQ518" s="500"/>
      <c r="HPR518" s="500"/>
      <c r="HPS518" s="500"/>
      <c r="HPT518" s="500"/>
      <c r="HPU518" s="500"/>
      <c r="HPV518" s="500"/>
      <c r="HPW518" s="500"/>
      <c r="HPX518" s="500"/>
      <c r="HPY518" s="500"/>
      <c r="HPZ518" s="500"/>
      <c r="HQA518" s="500"/>
      <c r="HQB518" s="500"/>
      <c r="HQC518" s="500"/>
      <c r="HQD518" s="500"/>
      <c r="HQE518" s="500"/>
      <c r="HQF518" s="500"/>
      <c r="HQG518" s="500"/>
      <c r="HQH518" s="500"/>
      <c r="HQI518" s="500"/>
      <c r="HQJ518" s="500"/>
      <c r="HQK518" s="500"/>
      <c r="HQL518" s="500"/>
      <c r="HQM518" s="500"/>
      <c r="HQN518" s="500"/>
      <c r="HQO518" s="500"/>
      <c r="HQP518" s="500"/>
      <c r="HQQ518" s="500"/>
      <c r="HQR518" s="500"/>
      <c r="HQS518" s="500"/>
      <c r="HQT518" s="500"/>
      <c r="HQU518" s="500"/>
      <c r="HQV518" s="500"/>
      <c r="HQW518" s="500"/>
      <c r="HQX518" s="500"/>
      <c r="HQY518" s="500"/>
      <c r="HQZ518" s="500"/>
      <c r="HRA518" s="500"/>
      <c r="HRB518" s="500"/>
      <c r="HRC518" s="500"/>
      <c r="HRD518" s="500"/>
      <c r="HRE518" s="500"/>
      <c r="HRF518" s="500"/>
      <c r="HRG518" s="500"/>
      <c r="HRH518" s="500"/>
      <c r="HRI518" s="500"/>
      <c r="HRJ518" s="500"/>
      <c r="HRK518" s="500"/>
      <c r="HRL518" s="500"/>
      <c r="HRM518" s="500"/>
      <c r="HRN518" s="500"/>
      <c r="HRO518" s="500"/>
      <c r="HRP518" s="500"/>
      <c r="HRQ518" s="500"/>
      <c r="HRR518" s="500"/>
      <c r="HRS518" s="500"/>
      <c r="HRT518" s="500"/>
      <c r="HRU518" s="500"/>
      <c r="HRV518" s="500"/>
      <c r="HRW518" s="500"/>
      <c r="HRX518" s="500"/>
      <c r="HRY518" s="500"/>
      <c r="HRZ518" s="500"/>
      <c r="HSA518" s="500"/>
      <c r="HSB518" s="500"/>
      <c r="HSC518" s="500"/>
      <c r="HSD518" s="500"/>
      <c r="HSE518" s="500"/>
      <c r="HSF518" s="500"/>
      <c r="HSG518" s="500"/>
      <c r="HSH518" s="500"/>
      <c r="HSI518" s="500"/>
      <c r="HSJ518" s="500"/>
      <c r="HSK518" s="500"/>
      <c r="HSL518" s="500"/>
      <c r="HSM518" s="500"/>
      <c r="HSN518" s="500"/>
      <c r="HSO518" s="500"/>
      <c r="HSP518" s="500"/>
      <c r="HSQ518" s="500"/>
      <c r="HSR518" s="500"/>
      <c r="HSS518" s="500"/>
      <c r="HST518" s="500"/>
      <c r="HSU518" s="500"/>
      <c r="HSV518" s="500"/>
      <c r="HSW518" s="500"/>
      <c r="HSX518" s="500"/>
      <c r="HSY518" s="500"/>
      <c r="HSZ518" s="500"/>
      <c r="HTA518" s="500"/>
      <c r="HTB518" s="500"/>
      <c r="HTC518" s="500"/>
      <c r="HTD518" s="500"/>
      <c r="HTE518" s="500"/>
      <c r="HTF518" s="500"/>
      <c r="HTG518" s="500"/>
      <c r="HTH518" s="500"/>
      <c r="HTI518" s="500"/>
      <c r="HTJ518" s="500"/>
      <c r="HTK518" s="500"/>
      <c r="HTL518" s="500"/>
      <c r="HTM518" s="500"/>
      <c r="HTN518" s="500"/>
      <c r="HTO518" s="500"/>
      <c r="HTP518" s="500"/>
      <c r="HTQ518" s="500"/>
      <c r="HTR518" s="500"/>
      <c r="HTS518" s="500"/>
      <c r="HTT518" s="500"/>
      <c r="HTU518" s="500"/>
      <c r="HTV518" s="500"/>
      <c r="HTW518" s="500"/>
      <c r="HTX518" s="500"/>
      <c r="HTY518" s="500"/>
      <c r="HTZ518" s="500"/>
      <c r="HUA518" s="500"/>
      <c r="HUB518" s="500"/>
      <c r="HUC518" s="500"/>
      <c r="HUD518" s="500"/>
      <c r="HUE518" s="500"/>
      <c r="HUF518" s="500"/>
      <c r="HUG518" s="500"/>
      <c r="HUH518" s="500"/>
      <c r="HUI518" s="500"/>
      <c r="HUJ518" s="500"/>
      <c r="HUK518" s="500"/>
      <c r="HUL518" s="500"/>
      <c r="HUM518" s="500"/>
      <c r="HUN518" s="500"/>
      <c r="HUO518" s="500"/>
      <c r="HUP518" s="500"/>
      <c r="HUQ518" s="500"/>
      <c r="HUR518" s="500"/>
      <c r="HUS518" s="500"/>
      <c r="HUT518" s="500"/>
      <c r="HUU518" s="500"/>
      <c r="HUV518" s="500"/>
      <c r="HUW518" s="500"/>
      <c r="HUX518" s="500"/>
      <c r="HUY518" s="500"/>
      <c r="HUZ518" s="500"/>
      <c r="HVA518" s="500"/>
      <c r="HVB518" s="500"/>
      <c r="HVC518" s="500"/>
      <c r="HVD518" s="500"/>
      <c r="HVE518" s="500"/>
      <c r="HVF518" s="500"/>
      <c r="HVG518" s="500"/>
      <c r="HVH518" s="500"/>
      <c r="HVI518" s="500"/>
      <c r="HVJ518" s="500"/>
      <c r="HVK518" s="500"/>
      <c r="HVL518" s="500"/>
      <c r="HVM518" s="500"/>
      <c r="HVN518" s="500"/>
      <c r="HVO518" s="500"/>
      <c r="HVP518" s="500"/>
      <c r="HVQ518" s="500"/>
      <c r="HVR518" s="500"/>
      <c r="HVS518" s="500"/>
      <c r="HVT518" s="500"/>
      <c r="HVU518" s="500"/>
      <c r="HVV518" s="500"/>
      <c r="HVW518" s="500"/>
      <c r="HVX518" s="500"/>
      <c r="HVY518" s="500"/>
      <c r="HVZ518" s="500"/>
      <c r="HWA518" s="500"/>
      <c r="HWB518" s="500"/>
      <c r="HWC518" s="500"/>
      <c r="HWD518" s="500"/>
      <c r="HWE518" s="500"/>
      <c r="HWF518" s="500"/>
      <c r="HWG518" s="500"/>
      <c r="HWH518" s="500"/>
      <c r="HWI518" s="500"/>
      <c r="HWJ518" s="500"/>
      <c r="HWK518" s="500"/>
      <c r="HWL518" s="500"/>
      <c r="HWM518" s="500"/>
      <c r="HWN518" s="500"/>
      <c r="HWO518" s="500"/>
      <c r="HWP518" s="500"/>
      <c r="HWQ518" s="500"/>
      <c r="HWR518" s="500"/>
      <c r="HWS518" s="500"/>
      <c r="HWT518" s="500"/>
      <c r="HWU518" s="500"/>
      <c r="HWV518" s="500"/>
      <c r="HWW518" s="500"/>
      <c r="HWX518" s="500"/>
      <c r="HWY518" s="500"/>
      <c r="HWZ518" s="500"/>
      <c r="HXA518" s="500"/>
      <c r="HXB518" s="500"/>
      <c r="HXC518" s="500"/>
      <c r="HXD518" s="500"/>
      <c r="HXE518" s="500"/>
      <c r="HXF518" s="500"/>
      <c r="HXG518" s="500"/>
      <c r="HXH518" s="500"/>
      <c r="HXI518" s="500"/>
      <c r="HXJ518" s="500"/>
      <c r="HXK518" s="500"/>
      <c r="HXL518" s="500"/>
      <c r="HXM518" s="500"/>
      <c r="HXN518" s="500"/>
      <c r="HXO518" s="500"/>
      <c r="HXP518" s="500"/>
      <c r="HXQ518" s="500"/>
      <c r="HXR518" s="500"/>
      <c r="HXS518" s="500"/>
      <c r="HXT518" s="500"/>
      <c r="HXU518" s="500"/>
      <c r="HXV518" s="500"/>
      <c r="HXW518" s="500"/>
      <c r="HXX518" s="500"/>
      <c r="HXY518" s="500"/>
      <c r="HXZ518" s="500"/>
      <c r="HYA518" s="500"/>
      <c r="HYB518" s="500"/>
      <c r="HYC518" s="500"/>
      <c r="HYD518" s="500"/>
      <c r="HYE518" s="500"/>
      <c r="HYF518" s="500"/>
      <c r="HYG518" s="500"/>
      <c r="HYH518" s="500"/>
      <c r="HYI518" s="500"/>
      <c r="HYJ518" s="500"/>
      <c r="HYK518" s="500"/>
      <c r="HYL518" s="500"/>
      <c r="HYM518" s="500"/>
      <c r="HYN518" s="500"/>
      <c r="HYO518" s="500"/>
      <c r="HYP518" s="500"/>
      <c r="HYQ518" s="500"/>
      <c r="HYR518" s="500"/>
      <c r="HYS518" s="500"/>
      <c r="HYT518" s="500"/>
      <c r="HYU518" s="500"/>
      <c r="HYV518" s="500"/>
      <c r="HYW518" s="500"/>
      <c r="HYX518" s="500"/>
      <c r="HYY518" s="500"/>
      <c r="HYZ518" s="500"/>
      <c r="HZA518" s="500"/>
      <c r="HZB518" s="500"/>
      <c r="HZC518" s="500"/>
      <c r="HZD518" s="500"/>
      <c r="HZE518" s="500"/>
      <c r="HZF518" s="500"/>
      <c r="HZG518" s="500"/>
      <c r="HZH518" s="500"/>
      <c r="HZI518" s="500"/>
      <c r="HZJ518" s="500"/>
      <c r="HZK518" s="500"/>
      <c r="HZL518" s="500"/>
      <c r="HZM518" s="500"/>
      <c r="HZN518" s="500"/>
      <c r="HZO518" s="500"/>
      <c r="HZP518" s="500"/>
      <c r="HZQ518" s="500"/>
      <c r="HZR518" s="500"/>
      <c r="HZS518" s="500"/>
      <c r="HZT518" s="500"/>
      <c r="HZU518" s="500"/>
      <c r="HZV518" s="500"/>
      <c r="HZW518" s="500"/>
      <c r="HZX518" s="500"/>
      <c r="HZY518" s="500"/>
      <c r="HZZ518" s="500"/>
      <c r="IAA518" s="500"/>
      <c r="IAB518" s="500"/>
      <c r="IAC518" s="500"/>
      <c r="IAD518" s="500"/>
      <c r="IAE518" s="500"/>
      <c r="IAF518" s="500"/>
      <c r="IAG518" s="500"/>
      <c r="IAH518" s="500"/>
      <c r="IAI518" s="500"/>
      <c r="IAJ518" s="500"/>
      <c r="IAK518" s="500"/>
      <c r="IAL518" s="500"/>
      <c r="IAM518" s="500"/>
      <c r="IAN518" s="500"/>
      <c r="IAO518" s="500"/>
      <c r="IAP518" s="500"/>
      <c r="IAQ518" s="500"/>
      <c r="IAR518" s="500"/>
      <c r="IAS518" s="500"/>
      <c r="IAT518" s="500"/>
      <c r="IAU518" s="500"/>
      <c r="IAV518" s="500"/>
      <c r="IAW518" s="500"/>
      <c r="IAX518" s="500"/>
      <c r="IAY518" s="500"/>
      <c r="IAZ518" s="500"/>
      <c r="IBA518" s="500"/>
      <c r="IBB518" s="500"/>
      <c r="IBC518" s="500"/>
      <c r="IBD518" s="500"/>
      <c r="IBE518" s="500"/>
      <c r="IBF518" s="500"/>
      <c r="IBG518" s="500"/>
      <c r="IBH518" s="500"/>
      <c r="IBI518" s="500"/>
      <c r="IBJ518" s="500"/>
      <c r="IBK518" s="500"/>
      <c r="IBL518" s="500"/>
      <c r="IBM518" s="500"/>
      <c r="IBN518" s="500"/>
      <c r="IBO518" s="500"/>
      <c r="IBP518" s="500"/>
      <c r="IBQ518" s="500"/>
      <c r="IBR518" s="500"/>
      <c r="IBS518" s="500"/>
      <c r="IBT518" s="500"/>
      <c r="IBU518" s="500"/>
      <c r="IBV518" s="500"/>
      <c r="IBW518" s="500"/>
      <c r="IBX518" s="500"/>
      <c r="IBY518" s="500"/>
      <c r="IBZ518" s="500"/>
      <c r="ICA518" s="500"/>
      <c r="ICB518" s="500"/>
      <c r="ICC518" s="500"/>
      <c r="ICD518" s="500"/>
      <c r="ICE518" s="500"/>
      <c r="ICF518" s="500"/>
      <c r="ICG518" s="500"/>
      <c r="ICH518" s="500"/>
      <c r="ICI518" s="500"/>
      <c r="ICJ518" s="500"/>
      <c r="ICK518" s="500"/>
      <c r="ICL518" s="500"/>
      <c r="ICM518" s="500"/>
      <c r="ICN518" s="500"/>
      <c r="ICO518" s="500"/>
      <c r="ICP518" s="500"/>
      <c r="ICQ518" s="500"/>
      <c r="ICR518" s="500"/>
      <c r="ICS518" s="500"/>
      <c r="ICT518" s="500"/>
      <c r="ICU518" s="500"/>
      <c r="ICV518" s="500"/>
      <c r="ICW518" s="500"/>
      <c r="ICX518" s="500"/>
      <c r="ICY518" s="500"/>
      <c r="ICZ518" s="500"/>
      <c r="IDA518" s="500"/>
      <c r="IDB518" s="500"/>
      <c r="IDC518" s="500"/>
      <c r="IDD518" s="500"/>
      <c r="IDE518" s="500"/>
      <c r="IDF518" s="500"/>
      <c r="IDG518" s="500"/>
      <c r="IDH518" s="500"/>
      <c r="IDI518" s="500"/>
      <c r="IDJ518" s="500"/>
      <c r="IDK518" s="500"/>
      <c r="IDL518" s="500"/>
      <c r="IDM518" s="500"/>
      <c r="IDN518" s="500"/>
      <c r="IDO518" s="500"/>
      <c r="IDP518" s="500"/>
      <c r="IDQ518" s="500"/>
      <c r="IDR518" s="500"/>
      <c r="IDS518" s="500"/>
      <c r="IDT518" s="500"/>
      <c r="IDU518" s="500"/>
      <c r="IDV518" s="500"/>
      <c r="IDW518" s="500"/>
      <c r="IDX518" s="500"/>
      <c r="IDY518" s="500"/>
      <c r="IDZ518" s="500"/>
      <c r="IEA518" s="500"/>
      <c r="IEB518" s="500"/>
      <c r="IEC518" s="500"/>
      <c r="IED518" s="500"/>
      <c r="IEE518" s="500"/>
      <c r="IEF518" s="500"/>
      <c r="IEG518" s="500"/>
      <c r="IEH518" s="500"/>
      <c r="IEI518" s="500"/>
      <c r="IEJ518" s="500"/>
      <c r="IEK518" s="500"/>
      <c r="IEL518" s="500"/>
      <c r="IEM518" s="500"/>
      <c r="IEN518" s="500"/>
      <c r="IEO518" s="500"/>
      <c r="IEP518" s="500"/>
      <c r="IEQ518" s="500"/>
      <c r="IER518" s="500"/>
      <c r="IES518" s="500"/>
      <c r="IET518" s="500"/>
      <c r="IEU518" s="500"/>
      <c r="IEV518" s="500"/>
      <c r="IEW518" s="500"/>
      <c r="IEX518" s="500"/>
      <c r="IEY518" s="500"/>
      <c r="IEZ518" s="500"/>
      <c r="IFA518" s="500"/>
      <c r="IFB518" s="500"/>
      <c r="IFC518" s="500"/>
      <c r="IFD518" s="500"/>
      <c r="IFE518" s="500"/>
      <c r="IFF518" s="500"/>
      <c r="IFG518" s="500"/>
      <c r="IFH518" s="500"/>
      <c r="IFI518" s="500"/>
      <c r="IFJ518" s="500"/>
      <c r="IFK518" s="500"/>
      <c r="IFL518" s="500"/>
      <c r="IFM518" s="500"/>
      <c r="IFN518" s="500"/>
      <c r="IFO518" s="500"/>
      <c r="IFP518" s="500"/>
      <c r="IFQ518" s="500"/>
      <c r="IFR518" s="500"/>
      <c r="IFS518" s="500"/>
      <c r="IFT518" s="500"/>
      <c r="IFU518" s="500"/>
      <c r="IFV518" s="500"/>
      <c r="IFW518" s="500"/>
      <c r="IFX518" s="500"/>
      <c r="IFY518" s="500"/>
      <c r="IFZ518" s="500"/>
      <c r="IGA518" s="500"/>
      <c r="IGB518" s="500"/>
      <c r="IGC518" s="500"/>
      <c r="IGD518" s="500"/>
      <c r="IGE518" s="500"/>
      <c r="IGF518" s="500"/>
      <c r="IGG518" s="500"/>
      <c r="IGH518" s="500"/>
      <c r="IGI518" s="500"/>
      <c r="IGJ518" s="500"/>
      <c r="IGK518" s="500"/>
      <c r="IGL518" s="500"/>
      <c r="IGM518" s="500"/>
      <c r="IGN518" s="500"/>
      <c r="IGO518" s="500"/>
      <c r="IGP518" s="500"/>
      <c r="IGQ518" s="500"/>
      <c r="IGR518" s="500"/>
      <c r="IGS518" s="500"/>
      <c r="IGT518" s="500"/>
      <c r="IGU518" s="500"/>
      <c r="IGV518" s="500"/>
      <c r="IGW518" s="500"/>
      <c r="IGX518" s="500"/>
      <c r="IGY518" s="500"/>
      <c r="IGZ518" s="500"/>
      <c r="IHA518" s="500"/>
      <c r="IHB518" s="500"/>
      <c r="IHC518" s="500"/>
      <c r="IHD518" s="500"/>
      <c r="IHE518" s="500"/>
      <c r="IHF518" s="500"/>
      <c r="IHG518" s="500"/>
      <c r="IHH518" s="500"/>
      <c r="IHI518" s="500"/>
      <c r="IHJ518" s="500"/>
      <c r="IHK518" s="500"/>
      <c r="IHL518" s="500"/>
      <c r="IHM518" s="500"/>
      <c r="IHN518" s="500"/>
      <c r="IHO518" s="500"/>
      <c r="IHP518" s="500"/>
      <c r="IHQ518" s="500"/>
      <c r="IHR518" s="500"/>
      <c r="IHS518" s="500"/>
      <c r="IHT518" s="500"/>
      <c r="IHU518" s="500"/>
      <c r="IHV518" s="500"/>
      <c r="IHW518" s="500"/>
      <c r="IHX518" s="500"/>
      <c r="IHY518" s="500"/>
      <c r="IHZ518" s="500"/>
      <c r="IIA518" s="500"/>
      <c r="IIB518" s="500"/>
      <c r="IIC518" s="500"/>
      <c r="IID518" s="500"/>
      <c r="IIE518" s="500"/>
      <c r="IIF518" s="500"/>
      <c r="IIG518" s="500"/>
      <c r="IIH518" s="500"/>
      <c r="III518" s="500"/>
      <c r="IIJ518" s="500"/>
      <c r="IIK518" s="500"/>
      <c r="IIL518" s="500"/>
      <c r="IIM518" s="500"/>
      <c r="IIN518" s="500"/>
      <c r="IIO518" s="500"/>
      <c r="IIP518" s="500"/>
      <c r="IIQ518" s="500"/>
      <c r="IIR518" s="500"/>
      <c r="IIS518" s="500"/>
      <c r="IIT518" s="500"/>
      <c r="IIU518" s="500"/>
      <c r="IIV518" s="500"/>
      <c r="IIW518" s="500"/>
      <c r="IIX518" s="500"/>
      <c r="IIY518" s="500"/>
      <c r="IIZ518" s="500"/>
      <c r="IJA518" s="500"/>
      <c r="IJB518" s="500"/>
      <c r="IJC518" s="500"/>
      <c r="IJD518" s="500"/>
      <c r="IJE518" s="500"/>
      <c r="IJF518" s="500"/>
      <c r="IJG518" s="500"/>
      <c r="IJH518" s="500"/>
      <c r="IJI518" s="500"/>
      <c r="IJJ518" s="500"/>
      <c r="IJK518" s="500"/>
      <c r="IJL518" s="500"/>
      <c r="IJM518" s="500"/>
      <c r="IJN518" s="500"/>
      <c r="IJO518" s="500"/>
      <c r="IJP518" s="500"/>
      <c r="IJQ518" s="500"/>
      <c r="IJR518" s="500"/>
      <c r="IJS518" s="500"/>
      <c r="IJT518" s="500"/>
      <c r="IJU518" s="500"/>
      <c r="IJV518" s="500"/>
      <c r="IJW518" s="500"/>
      <c r="IJX518" s="500"/>
      <c r="IJY518" s="500"/>
      <c r="IJZ518" s="500"/>
      <c r="IKA518" s="500"/>
      <c r="IKB518" s="500"/>
      <c r="IKC518" s="500"/>
      <c r="IKD518" s="500"/>
      <c r="IKE518" s="500"/>
      <c r="IKF518" s="500"/>
      <c r="IKG518" s="500"/>
      <c r="IKH518" s="500"/>
      <c r="IKI518" s="500"/>
      <c r="IKJ518" s="500"/>
      <c r="IKK518" s="500"/>
      <c r="IKL518" s="500"/>
      <c r="IKM518" s="500"/>
      <c r="IKN518" s="500"/>
      <c r="IKO518" s="500"/>
      <c r="IKP518" s="500"/>
      <c r="IKQ518" s="500"/>
      <c r="IKR518" s="500"/>
      <c r="IKS518" s="500"/>
      <c r="IKT518" s="500"/>
      <c r="IKU518" s="500"/>
      <c r="IKV518" s="500"/>
      <c r="IKW518" s="500"/>
      <c r="IKX518" s="500"/>
      <c r="IKY518" s="500"/>
      <c r="IKZ518" s="500"/>
      <c r="ILA518" s="500"/>
      <c r="ILB518" s="500"/>
      <c r="ILC518" s="500"/>
      <c r="ILD518" s="500"/>
      <c r="ILE518" s="500"/>
      <c r="ILF518" s="500"/>
      <c r="ILG518" s="500"/>
      <c r="ILH518" s="500"/>
      <c r="ILI518" s="500"/>
      <c r="ILJ518" s="500"/>
      <c r="ILK518" s="500"/>
      <c r="ILL518" s="500"/>
      <c r="ILM518" s="500"/>
      <c r="ILN518" s="500"/>
      <c r="ILO518" s="500"/>
      <c r="ILP518" s="500"/>
      <c r="ILQ518" s="500"/>
      <c r="ILR518" s="500"/>
      <c r="ILS518" s="500"/>
      <c r="ILT518" s="500"/>
      <c r="ILU518" s="500"/>
      <c r="ILV518" s="500"/>
      <c r="ILW518" s="500"/>
      <c r="ILX518" s="500"/>
      <c r="ILY518" s="500"/>
      <c r="ILZ518" s="500"/>
      <c r="IMA518" s="500"/>
      <c r="IMB518" s="500"/>
      <c r="IMC518" s="500"/>
      <c r="IMD518" s="500"/>
      <c r="IME518" s="500"/>
      <c r="IMF518" s="500"/>
      <c r="IMG518" s="500"/>
      <c r="IMH518" s="500"/>
      <c r="IMI518" s="500"/>
      <c r="IMJ518" s="500"/>
      <c r="IMK518" s="500"/>
      <c r="IML518" s="500"/>
      <c r="IMM518" s="500"/>
      <c r="IMN518" s="500"/>
      <c r="IMO518" s="500"/>
      <c r="IMP518" s="500"/>
      <c r="IMQ518" s="500"/>
      <c r="IMR518" s="500"/>
      <c r="IMS518" s="500"/>
      <c r="IMT518" s="500"/>
      <c r="IMU518" s="500"/>
      <c r="IMV518" s="500"/>
      <c r="IMW518" s="500"/>
      <c r="IMX518" s="500"/>
      <c r="IMY518" s="500"/>
      <c r="IMZ518" s="500"/>
      <c r="INA518" s="500"/>
      <c r="INB518" s="500"/>
      <c r="INC518" s="500"/>
      <c r="IND518" s="500"/>
      <c r="INE518" s="500"/>
      <c r="INF518" s="500"/>
      <c r="ING518" s="500"/>
      <c r="INH518" s="500"/>
      <c r="INI518" s="500"/>
      <c r="INJ518" s="500"/>
      <c r="INK518" s="500"/>
      <c r="INL518" s="500"/>
      <c r="INM518" s="500"/>
      <c r="INN518" s="500"/>
      <c r="INO518" s="500"/>
      <c r="INP518" s="500"/>
      <c r="INQ518" s="500"/>
      <c r="INR518" s="500"/>
      <c r="INS518" s="500"/>
      <c r="INT518" s="500"/>
      <c r="INU518" s="500"/>
      <c r="INV518" s="500"/>
      <c r="INW518" s="500"/>
      <c r="INX518" s="500"/>
      <c r="INY518" s="500"/>
      <c r="INZ518" s="500"/>
      <c r="IOA518" s="500"/>
      <c r="IOB518" s="500"/>
      <c r="IOC518" s="500"/>
      <c r="IOD518" s="500"/>
      <c r="IOE518" s="500"/>
      <c r="IOF518" s="500"/>
      <c r="IOG518" s="500"/>
      <c r="IOH518" s="500"/>
      <c r="IOI518" s="500"/>
      <c r="IOJ518" s="500"/>
      <c r="IOK518" s="500"/>
      <c r="IOL518" s="500"/>
      <c r="IOM518" s="500"/>
      <c r="ION518" s="500"/>
      <c r="IOO518" s="500"/>
      <c r="IOP518" s="500"/>
      <c r="IOQ518" s="500"/>
      <c r="IOR518" s="500"/>
      <c r="IOS518" s="500"/>
      <c r="IOT518" s="500"/>
      <c r="IOU518" s="500"/>
      <c r="IOV518" s="500"/>
      <c r="IOW518" s="500"/>
      <c r="IOX518" s="500"/>
      <c r="IOY518" s="500"/>
      <c r="IOZ518" s="500"/>
      <c r="IPA518" s="500"/>
      <c r="IPB518" s="500"/>
      <c r="IPC518" s="500"/>
      <c r="IPD518" s="500"/>
      <c r="IPE518" s="500"/>
      <c r="IPF518" s="500"/>
      <c r="IPG518" s="500"/>
      <c r="IPH518" s="500"/>
      <c r="IPI518" s="500"/>
      <c r="IPJ518" s="500"/>
      <c r="IPK518" s="500"/>
      <c r="IPL518" s="500"/>
      <c r="IPM518" s="500"/>
      <c r="IPN518" s="500"/>
      <c r="IPO518" s="500"/>
      <c r="IPP518" s="500"/>
      <c r="IPQ518" s="500"/>
      <c r="IPR518" s="500"/>
      <c r="IPS518" s="500"/>
      <c r="IPT518" s="500"/>
      <c r="IPU518" s="500"/>
      <c r="IPV518" s="500"/>
      <c r="IPW518" s="500"/>
      <c r="IPX518" s="500"/>
      <c r="IPY518" s="500"/>
      <c r="IPZ518" s="500"/>
      <c r="IQA518" s="500"/>
      <c r="IQB518" s="500"/>
      <c r="IQC518" s="500"/>
      <c r="IQD518" s="500"/>
      <c r="IQE518" s="500"/>
      <c r="IQF518" s="500"/>
      <c r="IQG518" s="500"/>
      <c r="IQH518" s="500"/>
      <c r="IQI518" s="500"/>
      <c r="IQJ518" s="500"/>
      <c r="IQK518" s="500"/>
      <c r="IQL518" s="500"/>
      <c r="IQM518" s="500"/>
      <c r="IQN518" s="500"/>
      <c r="IQO518" s="500"/>
      <c r="IQP518" s="500"/>
      <c r="IQQ518" s="500"/>
      <c r="IQR518" s="500"/>
      <c r="IQS518" s="500"/>
      <c r="IQT518" s="500"/>
      <c r="IQU518" s="500"/>
      <c r="IQV518" s="500"/>
      <c r="IQW518" s="500"/>
      <c r="IQX518" s="500"/>
      <c r="IQY518" s="500"/>
      <c r="IQZ518" s="500"/>
      <c r="IRA518" s="500"/>
      <c r="IRB518" s="500"/>
      <c r="IRC518" s="500"/>
      <c r="IRD518" s="500"/>
      <c r="IRE518" s="500"/>
      <c r="IRF518" s="500"/>
      <c r="IRG518" s="500"/>
      <c r="IRH518" s="500"/>
      <c r="IRI518" s="500"/>
      <c r="IRJ518" s="500"/>
      <c r="IRK518" s="500"/>
      <c r="IRL518" s="500"/>
      <c r="IRM518" s="500"/>
      <c r="IRN518" s="500"/>
      <c r="IRO518" s="500"/>
      <c r="IRP518" s="500"/>
      <c r="IRQ518" s="500"/>
      <c r="IRR518" s="500"/>
      <c r="IRS518" s="500"/>
      <c r="IRT518" s="500"/>
      <c r="IRU518" s="500"/>
      <c r="IRV518" s="500"/>
      <c r="IRW518" s="500"/>
      <c r="IRX518" s="500"/>
      <c r="IRY518" s="500"/>
      <c r="IRZ518" s="500"/>
      <c r="ISA518" s="500"/>
      <c r="ISB518" s="500"/>
      <c r="ISC518" s="500"/>
      <c r="ISD518" s="500"/>
      <c r="ISE518" s="500"/>
      <c r="ISF518" s="500"/>
      <c r="ISG518" s="500"/>
      <c r="ISH518" s="500"/>
      <c r="ISI518" s="500"/>
      <c r="ISJ518" s="500"/>
      <c r="ISK518" s="500"/>
      <c r="ISL518" s="500"/>
      <c r="ISM518" s="500"/>
      <c r="ISN518" s="500"/>
      <c r="ISO518" s="500"/>
      <c r="ISP518" s="500"/>
      <c r="ISQ518" s="500"/>
      <c r="ISR518" s="500"/>
      <c r="ISS518" s="500"/>
      <c r="IST518" s="500"/>
      <c r="ISU518" s="500"/>
      <c r="ISV518" s="500"/>
      <c r="ISW518" s="500"/>
      <c r="ISX518" s="500"/>
      <c r="ISY518" s="500"/>
      <c r="ISZ518" s="500"/>
      <c r="ITA518" s="500"/>
      <c r="ITB518" s="500"/>
      <c r="ITC518" s="500"/>
      <c r="ITD518" s="500"/>
      <c r="ITE518" s="500"/>
      <c r="ITF518" s="500"/>
      <c r="ITG518" s="500"/>
      <c r="ITH518" s="500"/>
      <c r="ITI518" s="500"/>
      <c r="ITJ518" s="500"/>
      <c r="ITK518" s="500"/>
      <c r="ITL518" s="500"/>
      <c r="ITM518" s="500"/>
      <c r="ITN518" s="500"/>
      <c r="ITO518" s="500"/>
      <c r="ITP518" s="500"/>
      <c r="ITQ518" s="500"/>
      <c r="ITR518" s="500"/>
      <c r="ITS518" s="500"/>
      <c r="ITT518" s="500"/>
      <c r="ITU518" s="500"/>
      <c r="ITV518" s="500"/>
      <c r="ITW518" s="500"/>
      <c r="ITX518" s="500"/>
      <c r="ITY518" s="500"/>
      <c r="ITZ518" s="500"/>
      <c r="IUA518" s="500"/>
      <c r="IUB518" s="500"/>
      <c r="IUC518" s="500"/>
      <c r="IUD518" s="500"/>
      <c r="IUE518" s="500"/>
      <c r="IUF518" s="500"/>
      <c r="IUG518" s="500"/>
      <c r="IUH518" s="500"/>
      <c r="IUI518" s="500"/>
      <c r="IUJ518" s="500"/>
      <c r="IUK518" s="500"/>
      <c r="IUL518" s="500"/>
      <c r="IUM518" s="500"/>
      <c r="IUN518" s="500"/>
      <c r="IUO518" s="500"/>
      <c r="IUP518" s="500"/>
      <c r="IUQ518" s="500"/>
      <c r="IUR518" s="500"/>
      <c r="IUS518" s="500"/>
      <c r="IUT518" s="500"/>
      <c r="IUU518" s="500"/>
      <c r="IUV518" s="500"/>
      <c r="IUW518" s="500"/>
      <c r="IUX518" s="500"/>
      <c r="IUY518" s="500"/>
      <c r="IUZ518" s="500"/>
      <c r="IVA518" s="500"/>
      <c r="IVB518" s="500"/>
      <c r="IVC518" s="500"/>
      <c r="IVD518" s="500"/>
      <c r="IVE518" s="500"/>
      <c r="IVF518" s="500"/>
      <c r="IVG518" s="500"/>
      <c r="IVH518" s="500"/>
      <c r="IVI518" s="500"/>
      <c r="IVJ518" s="500"/>
      <c r="IVK518" s="500"/>
      <c r="IVL518" s="500"/>
      <c r="IVM518" s="500"/>
      <c r="IVN518" s="500"/>
      <c r="IVO518" s="500"/>
      <c r="IVP518" s="500"/>
      <c r="IVQ518" s="500"/>
      <c r="IVR518" s="500"/>
      <c r="IVS518" s="500"/>
      <c r="IVT518" s="500"/>
      <c r="IVU518" s="500"/>
      <c r="IVV518" s="500"/>
      <c r="IVW518" s="500"/>
      <c r="IVX518" s="500"/>
      <c r="IVY518" s="500"/>
      <c r="IVZ518" s="500"/>
      <c r="IWA518" s="500"/>
      <c r="IWB518" s="500"/>
      <c r="IWC518" s="500"/>
      <c r="IWD518" s="500"/>
      <c r="IWE518" s="500"/>
      <c r="IWF518" s="500"/>
      <c r="IWG518" s="500"/>
      <c r="IWH518" s="500"/>
      <c r="IWI518" s="500"/>
      <c r="IWJ518" s="500"/>
      <c r="IWK518" s="500"/>
      <c r="IWL518" s="500"/>
      <c r="IWM518" s="500"/>
      <c r="IWN518" s="500"/>
      <c r="IWO518" s="500"/>
      <c r="IWP518" s="500"/>
      <c r="IWQ518" s="500"/>
      <c r="IWR518" s="500"/>
      <c r="IWS518" s="500"/>
      <c r="IWT518" s="500"/>
      <c r="IWU518" s="500"/>
      <c r="IWV518" s="500"/>
      <c r="IWW518" s="500"/>
      <c r="IWX518" s="500"/>
      <c r="IWY518" s="500"/>
      <c r="IWZ518" s="500"/>
      <c r="IXA518" s="500"/>
      <c r="IXB518" s="500"/>
      <c r="IXC518" s="500"/>
      <c r="IXD518" s="500"/>
      <c r="IXE518" s="500"/>
      <c r="IXF518" s="500"/>
      <c r="IXG518" s="500"/>
      <c r="IXH518" s="500"/>
      <c r="IXI518" s="500"/>
      <c r="IXJ518" s="500"/>
      <c r="IXK518" s="500"/>
      <c r="IXL518" s="500"/>
      <c r="IXM518" s="500"/>
      <c r="IXN518" s="500"/>
      <c r="IXO518" s="500"/>
      <c r="IXP518" s="500"/>
      <c r="IXQ518" s="500"/>
      <c r="IXR518" s="500"/>
      <c r="IXS518" s="500"/>
      <c r="IXT518" s="500"/>
      <c r="IXU518" s="500"/>
      <c r="IXV518" s="500"/>
      <c r="IXW518" s="500"/>
      <c r="IXX518" s="500"/>
      <c r="IXY518" s="500"/>
      <c r="IXZ518" s="500"/>
      <c r="IYA518" s="500"/>
      <c r="IYB518" s="500"/>
      <c r="IYC518" s="500"/>
      <c r="IYD518" s="500"/>
      <c r="IYE518" s="500"/>
      <c r="IYF518" s="500"/>
      <c r="IYG518" s="500"/>
      <c r="IYH518" s="500"/>
      <c r="IYI518" s="500"/>
      <c r="IYJ518" s="500"/>
      <c r="IYK518" s="500"/>
      <c r="IYL518" s="500"/>
      <c r="IYM518" s="500"/>
      <c r="IYN518" s="500"/>
      <c r="IYO518" s="500"/>
      <c r="IYP518" s="500"/>
      <c r="IYQ518" s="500"/>
      <c r="IYR518" s="500"/>
      <c r="IYS518" s="500"/>
      <c r="IYT518" s="500"/>
      <c r="IYU518" s="500"/>
      <c r="IYV518" s="500"/>
      <c r="IYW518" s="500"/>
      <c r="IYX518" s="500"/>
      <c r="IYY518" s="500"/>
      <c r="IYZ518" s="500"/>
      <c r="IZA518" s="500"/>
      <c r="IZB518" s="500"/>
      <c r="IZC518" s="500"/>
      <c r="IZD518" s="500"/>
      <c r="IZE518" s="500"/>
      <c r="IZF518" s="500"/>
      <c r="IZG518" s="500"/>
      <c r="IZH518" s="500"/>
      <c r="IZI518" s="500"/>
      <c r="IZJ518" s="500"/>
      <c r="IZK518" s="500"/>
      <c r="IZL518" s="500"/>
      <c r="IZM518" s="500"/>
      <c r="IZN518" s="500"/>
      <c r="IZO518" s="500"/>
      <c r="IZP518" s="500"/>
      <c r="IZQ518" s="500"/>
      <c r="IZR518" s="500"/>
      <c r="IZS518" s="500"/>
      <c r="IZT518" s="500"/>
      <c r="IZU518" s="500"/>
      <c r="IZV518" s="500"/>
      <c r="IZW518" s="500"/>
      <c r="IZX518" s="500"/>
      <c r="IZY518" s="500"/>
      <c r="IZZ518" s="500"/>
      <c r="JAA518" s="500"/>
      <c r="JAB518" s="500"/>
      <c r="JAC518" s="500"/>
      <c r="JAD518" s="500"/>
      <c r="JAE518" s="500"/>
      <c r="JAF518" s="500"/>
      <c r="JAG518" s="500"/>
      <c r="JAH518" s="500"/>
      <c r="JAI518" s="500"/>
      <c r="JAJ518" s="500"/>
      <c r="JAK518" s="500"/>
      <c r="JAL518" s="500"/>
      <c r="JAM518" s="500"/>
      <c r="JAN518" s="500"/>
      <c r="JAO518" s="500"/>
      <c r="JAP518" s="500"/>
      <c r="JAQ518" s="500"/>
      <c r="JAR518" s="500"/>
      <c r="JAS518" s="500"/>
      <c r="JAT518" s="500"/>
      <c r="JAU518" s="500"/>
      <c r="JAV518" s="500"/>
      <c r="JAW518" s="500"/>
      <c r="JAX518" s="500"/>
      <c r="JAY518" s="500"/>
      <c r="JAZ518" s="500"/>
      <c r="JBA518" s="500"/>
      <c r="JBB518" s="500"/>
      <c r="JBC518" s="500"/>
      <c r="JBD518" s="500"/>
      <c r="JBE518" s="500"/>
      <c r="JBF518" s="500"/>
      <c r="JBG518" s="500"/>
      <c r="JBH518" s="500"/>
      <c r="JBI518" s="500"/>
      <c r="JBJ518" s="500"/>
      <c r="JBK518" s="500"/>
      <c r="JBL518" s="500"/>
      <c r="JBM518" s="500"/>
      <c r="JBN518" s="500"/>
      <c r="JBO518" s="500"/>
      <c r="JBP518" s="500"/>
      <c r="JBQ518" s="500"/>
      <c r="JBR518" s="500"/>
      <c r="JBS518" s="500"/>
      <c r="JBT518" s="500"/>
      <c r="JBU518" s="500"/>
      <c r="JBV518" s="500"/>
      <c r="JBW518" s="500"/>
      <c r="JBX518" s="500"/>
      <c r="JBY518" s="500"/>
      <c r="JBZ518" s="500"/>
      <c r="JCA518" s="500"/>
      <c r="JCB518" s="500"/>
      <c r="JCC518" s="500"/>
      <c r="JCD518" s="500"/>
      <c r="JCE518" s="500"/>
      <c r="JCF518" s="500"/>
      <c r="JCG518" s="500"/>
      <c r="JCH518" s="500"/>
      <c r="JCI518" s="500"/>
      <c r="JCJ518" s="500"/>
      <c r="JCK518" s="500"/>
      <c r="JCL518" s="500"/>
      <c r="JCM518" s="500"/>
      <c r="JCN518" s="500"/>
      <c r="JCO518" s="500"/>
      <c r="JCP518" s="500"/>
      <c r="JCQ518" s="500"/>
      <c r="JCR518" s="500"/>
      <c r="JCS518" s="500"/>
      <c r="JCT518" s="500"/>
      <c r="JCU518" s="500"/>
      <c r="JCV518" s="500"/>
      <c r="JCW518" s="500"/>
      <c r="JCX518" s="500"/>
      <c r="JCY518" s="500"/>
      <c r="JCZ518" s="500"/>
      <c r="JDA518" s="500"/>
      <c r="JDB518" s="500"/>
      <c r="JDC518" s="500"/>
      <c r="JDD518" s="500"/>
      <c r="JDE518" s="500"/>
      <c r="JDF518" s="500"/>
      <c r="JDG518" s="500"/>
      <c r="JDH518" s="500"/>
      <c r="JDI518" s="500"/>
      <c r="JDJ518" s="500"/>
      <c r="JDK518" s="500"/>
      <c r="JDL518" s="500"/>
      <c r="JDM518" s="500"/>
      <c r="JDN518" s="500"/>
      <c r="JDO518" s="500"/>
      <c r="JDP518" s="500"/>
      <c r="JDQ518" s="500"/>
      <c r="JDR518" s="500"/>
      <c r="JDS518" s="500"/>
      <c r="JDT518" s="500"/>
      <c r="JDU518" s="500"/>
      <c r="JDV518" s="500"/>
      <c r="JDW518" s="500"/>
      <c r="JDX518" s="500"/>
      <c r="JDY518" s="500"/>
      <c r="JDZ518" s="500"/>
      <c r="JEA518" s="500"/>
      <c r="JEB518" s="500"/>
      <c r="JEC518" s="500"/>
      <c r="JED518" s="500"/>
      <c r="JEE518" s="500"/>
      <c r="JEF518" s="500"/>
      <c r="JEG518" s="500"/>
      <c r="JEH518" s="500"/>
      <c r="JEI518" s="500"/>
      <c r="JEJ518" s="500"/>
      <c r="JEK518" s="500"/>
      <c r="JEL518" s="500"/>
      <c r="JEM518" s="500"/>
      <c r="JEN518" s="500"/>
      <c r="JEO518" s="500"/>
      <c r="JEP518" s="500"/>
      <c r="JEQ518" s="500"/>
      <c r="JER518" s="500"/>
      <c r="JES518" s="500"/>
      <c r="JET518" s="500"/>
      <c r="JEU518" s="500"/>
      <c r="JEV518" s="500"/>
      <c r="JEW518" s="500"/>
      <c r="JEX518" s="500"/>
      <c r="JEY518" s="500"/>
      <c r="JEZ518" s="500"/>
      <c r="JFA518" s="500"/>
      <c r="JFB518" s="500"/>
      <c r="JFC518" s="500"/>
      <c r="JFD518" s="500"/>
      <c r="JFE518" s="500"/>
      <c r="JFF518" s="500"/>
      <c r="JFG518" s="500"/>
      <c r="JFH518" s="500"/>
      <c r="JFI518" s="500"/>
      <c r="JFJ518" s="500"/>
      <c r="JFK518" s="500"/>
      <c r="JFL518" s="500"/>
      <c r="JFM518" s="500"/>
      <c r="JFN518" s="500"/>
      <c r="JFO518" s="500"/>
      <c r="JFP518" s="500"/>
      <c r="JFQ518" s="500"/>
      <c r="JFR518" s="500"/>
      <c r="JFS518" s="500"/>
      <c r="JFT518" s="500"/>
      <c r="JFU518" s="500"/>
      <c r="JFV518" s="500"/>
      <c r="JFW518" s="500"/>
      <c r="JFX518" s="500"/>
      <c r="JFY518" s="500"/>
      <c r="JFZ518" s="500"/>
      <c r="JGA518" s="500"/>
      <c r="JGB518" s="500"/>
      <c r="JGC518" s="500"/>
      <c r="JGD518" s="500"/>
      <c r="JGE518" s="500"/>
      <c r="JGF518" s="500"/>
      <c r="JGG518" s="500"/>
      <c r="JGH518" s="500"/>
      <c r="JGI518" s="500"/>
      <c r="JGJ518" s="500"/>
      <c r="JGK518" s="500"/>
      <c r="JGL518" s="500"/>
      <c r="JGM518" s="500"/>
      <c r="JGN518" s="500"/>
      <c r="JGO518" s="500"/>
      <c r="JGP518" s="500"/>
      <c r="JGQ518" s="500"/>
      <c r="JGR518" s="500"/>
      <c r="JGS518" s="500"/>
      <c r="JGT518" s="500"/>
      <c r="JGU518" s="500"/>
      <c r="JGV518" s="500"/>
      <c r="JGW518" s="500"/>
      <c r="JGX518" s="500"/>
      <c r="JGY518" s="500"/>
      <c r="JGZ518" s="500"/>
      <c r="JHA518" s="500"/>
      <c r="JHB518" s="500"/>
      <c r="JHC518" s="500"/>
      <c r="JHD518" s="500"/>
      <c r="JHE518" s="500"/>
      <c r="JHF518" s="500"/>
      <c r="JHG518" s="500"/>
      <c r="JHH518" s="500"/>
      <c r="JHI518" s="500"/>
      <c r="JHJ518" s="500"/>
      <c r="JHK518" s="500"/>
      <c r="JHL518" s="500"/>
      <c r="JHM518" s="500"/>
      <c r="JHN518" s="500"/>
      <c r="JHO518" s="500"/>
      <c r="JHP518" s="500"/>
      <c r="JHQ518" s="500"/>
      <c r="JHR518" s="500"/>
      <c r="JHS518" s="500"/>
      <c r="JHT518" s="500"/>
      <c r="JHU518" s="500"/>
      <c r="JHV518" s="500"/>
      <c r="JHW518" s="500"/>
      <c r="JHX518" s="500"/>
      <c r="JHY518" s="500"/>
      <c r="JHZ518" s="500"/>
      <c r="JIA518" s="500"/>
      <c r="JIB518" s="500"/>
      <c r="JIC518" s="500"/>
      <c r="JID518" s="500"/>
      <c r="JIE518" s="500"/>
      <c r="JIF518" s="500"/>
      <c r="JIG518" s="500"/>
      <c r="JIH518" s="500"/>
      <c r="JII518" s="500"/>
      <c r="JIJ518" s="500"/>
      <c r="JIK518" s="500"/>
      <c r="JIL518" s="500"/>
      <c r="JIM518" s="500"/>
      <c r="JIN518" s="500"/>
      <c r="JIO518" s="500"/>
      <c r="JIP518" s="500"/>
      <c r="JIQ518" s="500"/>
      <c r="JIR518" s="500"/>
      <c r="JIS518" s="500"/>
      <c r="JIT518" s="500"/>
      <c r="JIU518" s="500"/>
      <c r="JIV518" s="500"/>
      <c r="JIW518" s="500"/>
      <c r="JIX518" s="500"/>
      <c r="JIY518" s="500"/>
      <c r="JIZ518" s="500"/>
      <c r="JJA518" s="500"/>
      <c r="JJB518" s="500"/>
      <c r="JJC518" s="500"/>
      <c r="JJD518" s="500"/>
      <c r="JJE518" s="500"/>
      <c r="JJF518" s="500"/>
      <c r="JJG518" s="500"/>
      <c r="JJH518" s="500"/>
      <c r="JJI518" s="500"/>
      <c r="JJJ518" s="500"/>
      <c r="JJK518" s="500"/>
      <c r="JJL518" s="500"/>
      <c r="JJM518" s="500"/>
      <c r="JJN518" s="500"/>
      <c r="JJO518" s="500"/>
      <c r="JJP518" s="500"/>
      <c r="JJQ518" s="500"/>
      <c r="JJR518" s="500"/>
      <c r="JJS518" s="500"/>
      <c r="JJT518" s="500"/>
      <c r="JJU518" s="500"/>
      <c r="JJV518" s="500"/>
      <c r="JJW518" s="500"/>
      <c r="JJX518" s="500"/>
      <c r="JJY518" s="500"/>
      <c r="JJZ518" s="500"/>
      <c r="JKA518" s="500"/>
      <c r="JKB518" s="500"/>
      <c r="JKC518" s="500"/>
      <c r="JKD518" s="500"/>
      <c r="JKE518" s="500"/>
      <c r="JKF518" s="500"/>
      <c r="JKG518" s="500"/>
      <c r="JKH518" s="500"/>
      <c r="JKI518" s="500"/>
      <c r="JKJ518" s="500"/>
      <c r="JKK518" s="500"/>
      <c r="JKL518" s="500"/>
      <c r="JKM518" s="500"/>
      <c r="JKN518" s="500"/>
      <c r="JKO518" s="500"/>
      <c r="JKP518" s="500"/>
      <c r="JKQ518" s="500"/>
      <c r="JKR518" s="500"/>
      <c r="JKS518" s="500"/>
      <c r="JKT518" s="500"/>
      <c r="JKU518" s="500"/>
      <c r="JKV518" s="500"/>
      <c r="JKW518" s="500"/>
      <c r="JKX518" s="500"/>
      <c r="JKY518" s="500"/>
      <c r="JKZ518" s="500"/>
      <c r="JLA518" s="500"/>
      <c r="JLB518" s="500"/>
      <c r="JLC518" s="500"/>
      <c r="JLD518" s="500"/>
      <c r="JLE518" s="500"/>
      <c r="JLF518" s="500"/>
      <c r="JLG518" s="500"/>
      <c r="JLH518" s="500"/>
      <c r="JLI518" s="500"/>
      <c r="JLJ518" s="500"/>
      <c r="JLK518" s="500"/>
      <c r="JLL518" s="500"/>
      <c r="JLM518" s="500"/>
      <c r="JLN518" s="500"/>
      <c r="JLO518" s="500"/>
      <c r="JLP518" s="500"/>
      <c r="JLQ518" s="500"/>
      <c r="JLR518" s="500"/>
      <c r="JLS518" s="500"/>
      <c r="JLT518" s="500"/>
      <c r="JLU518" s="500"/>
      <c r="JLV518" s="500"/>
      <c r="JLW518" s="500"/>
      <c r="JLX518" s="500"/>
      <c r="JLY518" s="500"/>
      <c r="JLZ518" s="500"/>
      <c r="JMA518" s="500"/>
      <c r="JMB518" s="500"/>
      <c r="JMC518" s="500"/>
      <c r="JMD518" s="500"/>
      <c r="JME518" s="500"/>
      <c r="JMF518" s="500"/>
      <c r="JMG518" s="500"/>
      <c r="JMH518" s="500"/>
      <c r="JMI518" s="500"/>
      <c r="JMJ518" s="500"/>
      <c r="JMK518" s="500"/>
      <c r="JML518" s="500"/>
      <c r="JMM518" s="500"/>
      <c r="JMN518" s="500"/>
      <c r="JMO518" s="500"/>
      <c r="JMP518" s="500"/>
      <c r="JMQ518" s="500"/>
      <c r="JMR518" s="500"/>
      <c r="JMS518" s="500"/>
      <c r="JMT518" s="500"/>
      <c r="JMU518" s="500"/>
      <c r="JMV518" s="500"/>
      <c r="JMW518" s="500"/>
      <c r="JMX518" s="500"/>
      <c r="JMY518" s="500"/>
      <c r="JMZ518" s="500"/>
      <c r="JNA518" s="500"/>
      <c r="JNB518" s="500"/>
      <c r="JNC518" s="500"/>
      <c r="JND518" s="500"/>
      <c r="JNE518" s="500"/>
      <c r="JNF518" s="500"/>
      <c r="JNG518" s="500"/>
      <c r="JNH518" s="500"/>
      <c r="JNI518" s="500"/>
      <c r="JNJ518" s="500"/>
      <c r="JNK518" s="500"/>
      <c r="JNL518" s="500"/>
      <c r="JNM518" s="500"/>
      <c r="JNN518" s="500"/>
      <c r="JNO518" s="500"/>
      <c r="JNP518" s="500"/>
      <c r="JNQ518" s="500"/>
      <c r="JNR518" s="500"/>
      <c r="JNS518" s="500"/>
      <c r="JNT518" s="500"/>
      <c r="JNU518" s="500"/>
      <c r="JNV518" s="500"/>
      <c r="JNW518" s="500"/>
      <c r="JNX518" s="500"/>
      <c r="JNY518" s="500"/>
      <c r="JNZ518" s="500"/>
      <c r="JOA518" s="500"/>
      <c r="JOB518" s="500"/>
      <c r="JOC518" s="500"/>
      <c r="JOD518" s="500"/>
      <c r="JOE518" s="500"/>
      <c r="JOF518" s="500"/>
      <c r="JOG518" s="500"/>
      <c r="JOH518" s="500"/>
      <c r="JOI518" s="500"/>
      <c r="JOJ518" s="500"/>
      <c r="JOK518" s="500"/>
      <c r="JOL518" s="500"/>
      <c r="JOM518" s="500"/>
      <c r="JON518" s="500"/>
      <c r="JOO518" s="500"/>
      <c r="JOP518" s="500"/>
      <c r="JOQ518" s="500"/>
      <c r="JOR518" s="500"/>
      <c r="JOS518" s="500"/>
      <c r="JOT518" s="500"/>
      <c r="JOU518" s="500"/>
      <c r="JOV518" s="500"/>
      <c r="JOW518" s="500"/>
      <c r="JOX518" s="500"/>
      <c r="JOY518" s="500"/>
      <c r="JOZ518" s="500"/>
      <c r="JPA518" s="500"/>
      <c r="JPB518" s="500"/>
      <c r="JPC518" s="500"/>
      <c r="JPD518" s="500"/>
      <c r="JPE518" s="500"/>
      <c r="JPF518" s="500"/>
      <c r="JPG518" s="500"/>
      <c r="JPH518" s="500"/>
      <c r="JPI518" s="500"/>
      <c r="JPJ518" s="500"/>
      <c r="JPK518" s="500"/>
      <c r="JPL518" s="500"/>
      <c r="JPM518" s="500"/>
      <c r="JPN518" s="500"/>
      <c r="JPO518" s="500"/>
      <c r="JPP518" s="500"/>
      <c r="JPQ518" s="500"/>
      <c r="JPR518" s="500"/>
      <c r="JPS518" s="500"/>
      <c r="JPT518" s="500"/>
      <c r="JPU518" s="500"/>
      <c r="JPV518" s="500"/>
      <c r="JPW518" s="500"/>
      <c r="JPX518" s="500"/>
      <c r="JPY518" s="500"/>
      <c r="JPZ518" s="500"/>
      <c r="JQA518" s="500"/>
      <c r="JQB518" s="500"/>
      <c r="JQC518" s="500"/>
      <c r="JQD518" s="500"/>
      <c r="JQE518" s="500"/>
      <c r="JQF518" s="500"/>
      <c r="JQG518" s="500"/>
      <c r="JQH518" s="500"/>
      <c r="JQI518" s="500"/>
      <c r="JQJ518" s="500"/>
      <c r="JQK518" s="500"/>
      <c r="JQL518" s="500"/>
      <c r="JQM518" s="500"/>
      <c r="JQN518" s="500"/>
      <c r="JQO518" s="500"/>
      <c r="JQP518" s="500"/>
      <c r="JQQ518" s="500"/>
      <c r="JQR518" s="500"/>
      <c r="JQS518" s="500"/>
      <c r="JQT518" s="500"/>
      <c r="JQU518" s="500"/>
      <c r="JQV518" s="500"/>
      <c r="JQW518" s="500"/>
      <c r="JQX518" s="500"/>
      <c r="JQY518" s="500"/>
      <c r="JQZ518" s="500"/>
      <c r="JRA518" s="500"/>
      <c r="JRB518" s="500"/>
      <c r="JRC518" s="500"/>
      <c r="JRD518" s="500"/>
      <c r="JRE518" s="500"/>
      <c r="JRF518" s="500"/>
      <c r="JRG518" s="500"/>
      <c r="JRH518" s="500"/>
      <c r="JRI518" s="500"/>
      <c r="JRJ518" s="500"/>
      <c r="JRK518" s="500"/>
      <c r="JRL518" s="500"/>
      <c r="JRM518" s="500"/>
      <c r="JRN518" s="500"/>
      <c r="JRO518" s="500"/>
      <c r="JRP518" s="500"/>
      <c r="JRQ518" s="500"/>
      <c r="JRR518" s="500"/>
      <c r="JRS518" s="500"/>
      <c r="JRT518" s="500"/>
      <c r="JRU518" s="500"/>
      <c r="JRV518" s="500"/>
      <c r="JRW518" s="500"/>
      <c r="JRX518" s="500"/>
      <c r="JRY518" s="500"/>
      <c r="JRZ518" s="500"/>
      <c r="JSA518" s="500"/>
      <c r="JSB518" s="500"/>
      <c r="JSC518" s="500"/>
      <c r="JSD518" s="500"/>
      <c r="JSE518" s="500"/>
      <c r="JSF518" s="500"/>
      <c r="JSG518" s="500"/>
      <c r="JSH518" s="500"/>
      <c r="JSI518" s="500"/>
      <c r="JSJ518" s="500"/>
      <c r="JSK518" s="500"/>
      <c r="JSL518" s="500"/>
      <c r="JSM518" s="500"/>
      <c r="JSN518" s="500"/>
      <c r="JSO518" s="500"/>
      <c r="JSP518" s="500"/>
      <c r="JSQ518" s="500"/>
      <c r="JSR518" s="500"/>
      <c r="JSS518" s="500"/>
      <c r="JST518" s="500"/>
      <c r="JSU518" s="500"/>
      <c r="JSV518" s="500"/>
      <c r="JSW518" s="500"/>
      <c r="JSX518" s="500"/>
      <c r="JSY518" s="500"/>
      <c r="JSZ518" s="500"/>
      <c r="JTA518" s="500"/>
      <c r="JTB518" s="500"/>
      <c r="JTC518" s="500"/>
      <c r="JTD518" s="500"/>
      <c r="JTE518" s="500"/>
      <c r="JTF518" s="500"/>
      <c r="JTG518" s="500"/>
      <c r="JTH518" s="500"/>
      <c r="JTI518" s="500"/>
      <c r="JTJ518" s="500"/>
      <c r="JTK518" s="500"/>
      <c r="JTL518" s="500"/>
      <c r="JTM518" s="500"/>
      <c r="JTN518" s="500"/>
      <c r="JTO518" s="500"/>
      <c r="JTP518" s="500"/>
      <c r="JTQ518" s="500"/>
      <c r="JTR518" s="500"/>
      <c r="JTS518" s="500"/>
      <c r="JTT518" s="500"/>
      <c r="JTU518" s="500"/>
      <c r="JTV518" s="500"/>
      <c r="JTW518" s="500"/>
      <c r="JTX518" s="500"/>
      <c r="JTY518" s="500"/>
      <c r="JTZ518" s="500"/>
      <c r="JUA518" s="500"/>
      <c r="JUB518" s="500"/>
      <c r="JUC518" s="500"/>
      <c r="JUD518" s="500"/>
      <c r="JUE518" s="500"/>
      <c r="JUF518" s="500"/>
      <c r="JUG518" s="500"/>
      <c r="JUH518" s="500"/>
      <c r="JUI518" s="500"/>
      <c r="JUJ518" s="500"/>
      <c r="JUK518" s="500"/>
      <c r="JUL518" s="500"/>
      <c r="JUM518" s="500"/>
      <c r="JUN518" s="500"/>
      <c r="JUO518" s="500"/>
      <c r="JUP518" s="500"/>
      <c r="JUQ518" s="500"/>
      <c r="JUR518" s="500"/>
      <c r="JUS518" s="500"/>
      <c r="JUT518" s="500"/>
      <c r="JUU518" s="500"/>
      <c r="JUV518" s="500"/>
      <c r="JUW518" s="500"/>
      <c r="JUX518" s="500"/>
      <c r="JUY518" s="500"/>
      <c r="JUZ518" s="500"/>
      <c r="JVA518" s="500"/>
      <c r="JVB518" s="500"/>
      <c r="JVC518" s="500"/>
      <c r="JVD518" s="500"/>
      <c r="JVE518" s="500"/>
      <c r="JVF518" s="500"/>
      <c r="JVG518" s="500"/>
      <c r="JVH518" s="500"/>
      <c r="JVI518" s="500"/>
      <c r="JVJ518" s="500"/>
      <c r="JVK518" s="500"/>
      <c r="JVL518" s="500"/>
      <c r="JVM518" s="500"/>
      <c r="JVN518" s="500"/>
      <c r="JVO518" s="500"/>
      <c r="JVP518" s="500"/>
      <c r="JVQ518" s="500"/>
      <c r="JVR518" s="500"/>
      <c r="JVS518" s="500"/>
      <c r="JVT518" s="500"/>
      <c r="JVU518" s="500"/>
      <c r="JVV518" s="500"/>
      <c r="JVW518" s="500"/>
      <c r="JVX518" s="500"/>
      <c r="JVY518" s="500"/>
      <c r="JVZ518" s="500"/>
      <c r="JWA518" s="500"/>
      <c r="JWB518" s="500"/>
      <c r="JWC518" s="500"/>
      <c r="JWD518" s="500"/>
      <c r="JWE518" s="500"/>
      <c r="JWF518" s="500"/>
      <c r="JWG518" s="500"/>
      <c r="JWH518" s="500"/>
      <c r="JWI518" s="500"/>
      <c r="JWJ518" s="500"/>
      <c r="JWK518" s="500"/>
      <c r="JWL518" s="500"/>
      <c r="JWM518" s="500"/>
      <c r="JWN518" s="500"/>
      <c r="JWO518" s="500"/>
      <c r="JWP518" s="500"/>
      <c r="JWQ518" s="500"/>
      <c r="JWR518" s="500"/>
      <c r="JWS518" s="500"/>
      <c r="JWT518" s="500"/>
      <c r="JWU518" s="500"/>
      <c r="JWV518" s="500"/>
      <c r="JWW518" s="500"/>
      <c r="JWX518" s="500"/>
      <c r="JWY518" s="500"/>
      <c r="JWZ518" s="500"/>
      <c r="JXA518" s="500"/>
      <c r="JXB518" s="500"/>
      <c r="JXC518" s="500"/>
      <c r="JXD518" s="500"/>
      <c r="JXE518" s="500"/>
      <c r="JXF518" s="500"/>
      <c r="JXG518" s="500"/>
      <c r="JXH518" s="500"/>
      <c r="JXI518" s="500"/>
      <c r="JXJ518" s="500"/>
      <c r="JXK518" s="500"/>
      <c r="JXL518" s="500"/>
      <c r="JXM518" s="500"/>
      <c r="JXN518" s="500"/>
      <c r="JXO518" s="500"/>
      <c r="JXP518" s="500"/>
      <c r="JXQ518" s="500"/>
      <c r="JXR518" s="500"/>
      <c r="JXS518" s="500"/>
      <c r="JXT518" s="500"/>
      <c r="JXU518" s="500"/>
      <c r="JXV518" s="500"/>
      <c r="JXW518" s="500"/>
      <c r="JXX518" s="500"/>
      <c r="JXY518" s="500"/>
      <c r="JXZ518" s="500"/>
      <c r="JYA518" s="500"/>
      <c r="JYB518" s="500"/>
      <c r="JYC518" s="500"/>
      <c r="JYD518" s="500"/>
      <c r="JYE518" s="500"/>
      <c r="JYF518" s="500"/>
      <c r="JYG518" s="500"/>
      <c r="JYH518" s="500"/>
      <c r="JYI518" s="500"/>
      <c r="JYJ518" s="500"/>
      <c r="JYK518" s="500"/>
      <c r="JYL518" s="500"/>
      <c r="JYM518" s="500"/>
      <c r="JYN518" s="500"/>
      <c r="JYO518" s="500"/>
      <c r="JYP518" s="500"/>
      <c r="JYQ518" s="500"/>
      <c r="JYR518" s="500"/>
      <c r="JYS518" s="500"/>
      <c r="JYT518" s="500"/>
      <c r="JYU518" s="500"/>
      <c r="JYV518" s="500"/>
      <c r="JYW518" s="500"/>
      <c r="JYX518" s="500"/>
      <c r="JYY518" s="500"/>
      <c r="JYZ518" s="500"/>
      <c r="JZA518" s="500"/>
      <c r="JZB518" s="500"/>
      <c r="JZC518" s="500"/>
      <c r="JZD518" s="500"/>
      <c r="JZE518" s="500"/>
      <c r="JZF518" s="500"/>
      <c r="JZG518" s="500"/>
      <c r="JZH518" s="500"/>
      <c r="JZI518" s="500"/>
      <c r="JZJ518" s="500"/>
      <c r="JZK518" s="500"/>
      <c r="JZL518" s="500"/>
      <c r="JZM518" s="500"/>
      <c r="JZN518" s="500"/>
      <c r="JZO518" s="500"/>
      <c r="JZP518" s="500"/>
      <c r="JZQ518" s="500"/>
      <c r="JZR518" s="500"/>
      <c r="JZS518" s="500"/>
      <c r="JZT518" s="500"/>
      <c r="JZU518" s="500"/>
      <c r="JZV518" s="500"/>
      <c r="JZW518" s="500"/>
      <c r="JZX518" s="500"/>
      <c r="JZY518" s="500"/>
      <c r="JZZ518" s="500"/>
      <c r="KAA518" s="500"/>
      <c r="KAB518" s="500"/>
      <c r="KAC518" s="500"/>
      <c r="KAD518" s="500"/>
      <c r="KAE518" s="500"/>
      <c r="KAF518" s="500"/>
      <c r="KAG518" s="500"/>
      <c r="KAH518" s="500"/>
      <c r="KAI518" s="500"/>
      <c r="KAJ518" s="500"/>
      <c r="KAK518" s="500"/>
      <c r="KAL518" s="500"/>
      <c r="KAM518" s="500"/>
      <c r="KAN518" s="500"/>
      <c r="KAO518" s="500"/>
      <c r="KAP518" s="500"/>
      <c r="KAQ518" s="500"/>
      <c r="KAR518" s="500"/>
      <c r="KAS518" s="500"/>
      <c r="KAT518" s="500"/>
      <c r="KAU518" s="500"/>
      <c r="KAV518" s="500"/>
      <c r="KAW518" s="500"/>
      <c r="KAX518" s="500"/>
      <c r="KAY518" s="500"/>
      <c r="KAZ518" s="500"/>
      <c r="KBA518" s="500"/>
      <c r="KBB518" s="500"/>
      <c r="KBC518" s="500"/>
      <c r="KBD518" s="500"/>
      <c r="KBE518" s="500"/>
      <c r="KBF518" s="500"/>
      <c r="KBG518" s="500"/>
      <c r="KBH518" s="500"/>
      <c r="KBI518" s="500"/>
      <c r="KBJ518" s="500"/>
      <c r="KBK518" s="500"/>
      <c r="KBL518" s="500"/>
      <c r="KBM518" s="500"/>
      <c r="KBN518" s="500"/>
      <c r="KBO518" s="500"/>
      <c r="KBP518" s="500"/>
      <c r="KBQ518" s="500"/>
      <c r="KBR518" s="500"/>
      <c r="KBS518" s="500"/>
      <c r="KBT518" s="500"/>
      <c r="KBU518" s="500"/>
      <c r="KBV518" s="500"/>
      <c r="KBW518" s="500"/>
      <c r="KBX518" s="500"/>
      <c r="KBY518" s="500"/>
      <c r="KBZ518" s="500"/>
      <c r="KCA518" s="500"/>
      <c r="KCB518" s="500"/>
      <c r="KCC518" s="500"/>
      <c r="KCD518" s="500"/>
      <c r="KCE518" s="500"/>
      <c r="KCF518" s="500"/>
      <c r="KCG518" s="500"/>
      <c r="KCH518" s="500"/>
      <c r="KCI518" s="500"/>
      <c r="KCJ518" s="500"/>
      <c r="KCK518" s="500"/>
      <c r="KCL518" s="500"/>
      <c r="KCM518" s="500"/>
      <c r="KCN518" s="500"/>
      <c r="KCO518" s="500"/>
      <c r="KCP518" s="500"/>
      <c r="KCQ518" s="500"/>
      <c r="KCR518" s="500"/>
      <c r="KCS518" s="500"/>
      <c r="KCT518" s="500"/>
      <c r="KCU518" s="500"/>
      <c r="KCV518" s="500"/>
      <c r="KCW518" s="500"/>
      <c r="KCX518" s="500"/>
      <c r="KCY518" s="500"/>
      <c r="KCZ518" s="500"/>
      <c r="KDA518" s="500"/>
      <c r="KDB518" s="500"/>
      <c r="KDC518" s="500"/>
      <c r="KDD518" s="500"/>
      <c r="KDE518" s="500"/>
      <c r="KDF518" s="500"/>
      <c r="KDG518" s="500"/>
      <c r="KDH518" s="500"/>
      <c r="KDI518" s="500"/>
      <c r="KDJ518" s="500"/>
      <c r="KDK518" s="500"/>
      <c r="KDL518" s="500"/>
      <c r="KDM518" s="500"/>
      <c r="KDN518" s="500"/>
      <c r="KDO518" s="500"/>
      <c r="KDP518" s="500"/>
      <c r="KDQ518" s="500"/>
      <c r="KDR518" s="500"/>
      <c r="KDS518" s="500"/>
      <c r="KDT518" s="500"/>
      <c r="KDU518" s="500"/>
      <c r="KDV518" s="500"/>
      <c r="KDW518" s="500"/>
      <c r="KDX518" s="500"/>
      <c r="KDY518" s="500"/>
      <c r="KDZ518" s="500"/>
      <c r="KEA518" s="500"/>
      <c r="KEB518" s="500"/>
      <c r="KEC518" s="500"/>
      <c r="KED518" s="500"/>
      <c r="KEE518" s="500"/>
      <c r="KEF518" s="500"/>
      <c r="KEG518" s="500"/>
      <c r="KEH518" s="500"/>
      <c r="KEI518" s="500"/>
      <c r="KEJ518" s="500"/>
      <c r="KEK518" s="500"/>
      <c r="KEL518" s="500"/>
      <c r="KEM518" s="500"/>
      <c r="KEN518" s="500"/>
      <c r="KEO518" s="500"/>
      <c r="KEP518" s="500"/>
      <c r="KEQ518" s="500"/>
      <c r="KER518" s="500"/>
      <c r="KES518" s="500"/>
      <c r="KET518" s="500"/>
      <c r="KEU518" s="500"/>
      <c r="KEV518" s="500"/>
      <c r="KEW518" s="500"/>
      <c r="KEX518" s="500"/>
      <c r="KEY518" s="500"/>
      <c r="KEZ518" s="500"/>
      <c r="KFA518" s="500"/>
      <c r="KFB518" s="500"/>
      <c r="KFC518" s="500"/>
      <c r="KFD518" s="500"/>
      <c r="KFE518" s="500"/>
      <c r="KFF518" s="500"/>
      <c r="KFG518" s="500"/>
      <c r="KFH518" s="500"/>
      <c r="KFI518" s="500"/>
      <c r="KFJ518" s="500"/>
      <c r="KFK518" s="500"/>
      <c r="KFL518" s="500"/>
      <c r="KFM518" s="500"/>
      <c r="KFN518" s="500"/>
      <c r="KFO518" s="500"/>
      <c r="KFP518" s="500"/>
      <c r="KFQ518" s="500"/>
      <c r="KFR518" s="500"/>
      <c r="KFS518" s="500"/>
      <c r="KFT518" s="500"/>
      <c r="KFU518" s="500"/>
      <c r="KFV518" s="500"/>
      <c r="KFW518" s="500"/>
      <c r="KFX518" s="500"/>
      <c r="KFY518" s="500"/>
      <c r="KFZ518" s="500"/>
      <c r="KGA518" s="500"/>
      <c r="KGB518" s="500"/>
      <c r="KGC518" s="500"/>
      <c r="KGD518" s="500"/>
      <c r="KGE518" s="500"/>
      <c r="KGF518" s="500"/>
      <c r="KGG518" s="500"/>
      <c r="KGH518" s="500"/>
      <c r="KGI518" s="500"/>
      <c r="KGJ518" s="500"/>
      <c r="KGK518" s="500"/>
      <c r="KGL518" s="500"/>
      <c r="KGM518" s="500"/>
      <c r="KGN518" s="500"/>
      <c r="KGO518" s="500"/>
      <c r="KGP518" s="500"/>
      <c r="KGQ518" s="500"/>
      <c r="KGR518" s="500"/>
      <c r="KGS518" s="500"/>
      <c r="KGT518" s="500"/>
      <c r="KGU518" s="500"/>
      <c r="KGV518" s="500"/>
      <c r="KGW518" s="500"/>
      <c r="KGX518" s="500"/>
      <c r="KGY518" s="500"/>
      <c r="KGZ518" s="500"/>
      <c r="KHA518" s="500"/>
      <c r="KHB518" s="500"/>
      <c r="KHC518" s="500"/>
      <c r="KHD518" s="500"/>
      <c r="KHE518" s="500"/>
      <c r="KHF518" s="500"/>
      <c r="KHG518" s="500"/>
      <c r="KHH518" s="500"/>
      <c r="KHI518" s="500"/>
      <c r="KHJ518" s="500"/>
      <c r="KHK518" s="500"/>
      <c r="KHL518" s="500"/>
      <c r="KHM518" s="500"/>
      <c r="KHN518" s="500"/>
      <c r="KHO518" s="500"/>
      <c r="KHP518" s="500"/>
      <c r="KHQ518" s="500"/>
      <c r="KHR518" s="500"/>
      <c r="KHS518" s="500"/>
      <c r="KHT518" s="500"/>
      <c r="KHU518" s="500"/>
      <c r="KHV518" s="500"/>
      <c r="KHW518" s="500"/>
      <c r="KHX518" s="500"/>
      <c r="KHY518" s="500"/>
      <c r="KHZ518" s="500"/>
      <c r="KIA518" s="500"/>
      <c r="KIB518" s="500"/>
      <c r="KIC518" s="500"/>
      <c r="KID518" s="500"/>
      <c r="KIE518" s="500"/>
      <c r="KIF518" s="500"/>
      <c r="KIG518" s="500"/>
      <c r="KIH518" s="500"/>
      <c r="KII518" s="500"/>
      <c r="KIJ518" s="500"/>
      <c r="KIK518" s="500"/>
      <c r="KIL518" s="500"/>
      <c r="KIM518" s="500"/>
      <c r="KIN518" s="500"/>
      <c r="KIO518" s="500"/>
      <c r="KIP518" s="500"/>
      <c r="KIQ518" s="500"/>
      <c r="KIR518" s="500"/>
      <c r="KIS518" s="500"/>
      <c r="KIT518" s="500"/>
      <c r="KIU518" s="500"/>
      <c r="KIV518" s="500"/>
      <c r="KIW518" s="500"/>
      <c r="KIX518" s="500"/>
      <c r="KIY518" s="500"/>
      <c r="KIZ518" s="500"/>
      <c r="KJA518" s="500"/>
      <c r="KJB518" s="500"/>
      <c r="KJC518" s="500"/>
      <c r="KJD518" s="500"/>
      <c r="KJE518" s="500"/>
      <c r="KJF518" s="500"/>
      <c r="KJG518" s="500"/>
      <c r="KJH518" s="500"/>
      <c r="KJI518" s="500"/>
      <c r="KJJ518" s="500"/>
      <c r="KJK518" s="500"/>
      <c r="KJL518" s="500"/>
      <c r="KJM518" s="500"/>
      <c r="KJN518" s="500"/>
      <c r="KJO518" s="500"/>
      <c r="KJP518" s="500"/>
      <c r="KJQ518" s="500"/>
      <c r="KJR518" s="500"/>
      <c r="KJS518" s="500"/>
      <c r="KJT518" s="500"/>
      <c r="KJU518" s="500"/>
      <c r="KJV518" s="500"/>
      <c r="KJW518" s="500"/>
      <c r="KJX518" s="500"/>
      <c r="KJY518" s="500"/>
      <c r="KJZ518" s="500"/>
      <c r="KKA518" s="500"/>
      <c r="KKB518" s="500"/>
      <c r="KKC518" s="500"/>
      <c r="KKD518" s="500"/>
      <c r="KKE518" s="500"/>
      <c r="KKF518" s="500"/>
      <c r="KKG518" s="500"/>
      <c r="KKH518" s="500"/>
      <c r="KKI518" s="500"/>
      <c r="KKJ518" s="500"/>
      <c r="KKK518" s="500"/>
      <c r="KKL518" s="500"/>
      <c r="KKM518" s="500"/>
      <c r="KKN518" s="500"/>
      <c r="KKO518" s="500"/>
      <c r="KKP518" s="500"/>
      <c r="KKQ518" s="500"/>
      <c r="KKR518" s="500"/>
      <c r="KKS518" s="500"/>
      <c r="KKT518" s="500"/>
      <c r="KKU518" s="500"/>
      <c r="KKV518" s="500"/>
      <c r="KKW518" s="500"/>
      <c r="KKX518" s="500"/>
      <c r="KKY518" s="500"/>
      <c r="KKZ518" s="500"/>
      <c r="KLA518" s="500"/>
      <c r="KLB518" s="500"/>
      <c r="KLC518" s="500"/>
      <c r="KLD518" s="500"/>
      <c r="KLE518" s="500"/>
      <c r="KLF518" s="500"/>
      <c r="KLG518" s="500"/>
      <c r="KLH518" s="500"/>
      <c r="KLI518" s="500"/>
      <c r="KLJ518" s="500"/>
      <c r="KLK518" s="500"/>
      <c r="KLL518" s="500"/>
      <c r="KLM518" s="500"/>
      <c r="KLN518" s="500"/>
      <c r="KLO518" s="500"/>
      <c r="KLP518" s="500"/>
      <c r="KLQ518" s="500"/>
      <c r="KLR518" s="500"/>
      <c r="KLS518" s="500"/>
      <c r="KLT518" s="500"/>
      <c r="KLU518" s="500"/>
      <c r="KLV518" s="500"/>
      <c r="KLW518" s="500"/>
      <c r="KLX518" s="500"/>
      <c r="KLY518" s="500"/>
      <c r="KLZ518" s="500"/>
      <c r="KMA518" s="500"/>
      <c r="KMB518" s="500"/>
      <c r="KMC518" s="500"/>
      <c r="KMD518" s="500"/>
      <c r="KME518" s="500"/>
      <c r="KMF518" s="500"/>
      <c r="KMG518" s="500"/>
      <c r="KMH518" s="500"/>
      <c r="KMI518" s="500"/>
      <c r="KMJ518" s="500"/>
      <c r="KMK518" s="500"/>
      <c r="KML518" s="500"/>
      <c r="KMM518" s="500"/>
      <c r="KMN518" s="500"/>
      <c r="KMO518" s="500"/>
      <c r="KMP518" s="500"/>
      <c r="KMQ518" s="500"/>
      <c r="KMR518" s="500"/>
      <c r="KMS518" s="500"/>
      <c r="KMT518" s="500"/>
      <c r="KMU518" s="500"/>
      <c r="KMV518" s="500"/>
      <c r="KMW518" s="500"/>
      <c r="KMX518" s="500"/>
      <c r="KMY518" s="500"/>
      <c r="KMZ518" s="500"/>
      <c r="KNA518" s="500"/>
      <c r="KNB518" s="500"/>
      <c r="KNC518" s="500"/>
      <c r="KND518" s="500"/>
      <c r="KNE518" s="500"/>
      <c r="KNF518" s="500"/>
      <c r="KNG518" s="500"/>
      <c r="KNH518" s="500"/>
      <c r="KNI518" s="500"/>
      <c r="KNJ518" s="500"/>
      <c r="KNK518" s="500"/>
      <c r="KNL518" s="500"/>
      <c r="KNM518" s="500"/>
      <c r="KNN518" s="500"/>
      <c r="KNO518" s="500"/>
      <c r="KNP518" s="500"/>
      <c r="KNQ518" s="500"/>
      <c r="KNR518" s="500"/>
      <c r="KNS518" s="500"/>
      <c r="KNT518" s="500"/>
      <c r="KNU518" s="500"/>
      <c r="KNV518" s="500"/>
      <c r="KNW518" s="500"/>
      <c r="KNX518" s="500"/>
      <c r="KNY518" s="500"/>
      <c r="KNZ518" s="500"/>
      <c r="KOA518" s="500"/>
      <c r="KOB518" s="500"/>
      <c r="KOC518" s="500"/>
      <c r="KOD518" s="500"/>
      <c r="KOE518" s="500"/>
      <c r="KOF518" s="500"/>
      <c r="KOG518" s="500"/>
      <c r="KOH518" s="500"/>
      <c r="KOI518" s="500"/>
      <c r="KOJ518" s="500"/>
      <c r="KOK518" s="500"/>
      <c r="KOL518" s="500"/>
      <c r="KOM518" s="500"/>
      <c r="KON518" s="500"/>
      <c r="KOO518" s="500"/>
      <c r="KOP518" s="500"/>
      <c r="KOQ518" s="500"/>
      <c r="KOR518" s="500"/>
      <c r="KOS518" s="500"/>
      <c r="KOT518" s="500"/>
      <c r="KOU518" s="500"/>
      <c r="KOV518" s="500"/>
      <c r="KOW518" s="500"/>
      <c r="KOX518" s="500"/>
      <c r="KOY518" s="500"/>
      <c r="KOZ518" s="500"/>
      <c r="KPA518" s="500"/>
      <c r="KPB518" s="500"/>
      <c r="KPC518" s="500"/>
      <c r="KPD518" s="500"/>
      <c r="KPE518" s="500"/>
      <c r="KPF518" s="500"/>
      <c r="KPG518" s="500"/>
      <c r="KPH518" s="500"/>
      <c r="KPI518" s="500"/>
      <c r="KPJ518" s="500"/>
      <c r="KPK518" s="500"/>
      <c r="KPL518" s="500"/>
      <c r="KPM518" s="500"/>
      <c r="KPN518" s="500"/>
      <c r="KPO518" s="500"/>
      <c r="KPP518" s="500"/>
      <c r="KPQ518" s="500"/>
      <c r="KPR518" s="500"/>
      <c r="KPS518" s="500"/>
      <c r="KPT518" s="500"/>
      <c r="KPU518" s="500"/>
      <c r="KPV518" s="500"/>
      <c r="KPW518" s="500"/>
      <c r="KPX518" s="500"/>
      <c r="KPY518" s="500"/>
      <c r="KPZ518" s="500"/>
      <c r="KQA518" s="500"/>
      <c r="KQB518" s="500"/>
      <c r="KQC518" s="500"/>
      <c r="KQD518" s="500"/>
      <c r="KQE518" s="500"/>
      <c r="KQF518" s="500"/>
      <c r="KQG518" s="500"/>
      <c r="KQH518" s="500"/>
      <c r="KQI518" s="500"/>
      <c r="KQJ518" s="500"/>
      <c r="KQK518" s="500"/>
      <c r="KQL518" s="500"/>
      <c r="KQM518" s="500"/>
      <c r="KQN518" s="500"/>
      <c r="KQO518" s="500"/>
      <c r="KQP518" s="500"/>
      <c r="KQQ518" s="500"/>
      <c r="KQR518" s="500"/>
      <c r="KQS518" s="500"/>
      <c r="KQT518" s="500"/>
      <c r="KQU518" s="500"/>
      <c r="KQV518" s="500"/>
      <c r="KQW518" s="500"/>
      <c r="KQX518" s="500"/>
      <c r="KQY518" s="500"/>
      <c r="KQZ518" s="500"/>
      <c r="KRA518" s="500"/>
      <c r="KRB518" s="500"/>
      <c r="KRC518" s="500"/>
      <c r="KRD518" s="500"/>
      <c r="KRE518" s="500"/>
      <c r="KRF518" s="500"/>
      <c r="KRG518" s="500"/>
      <c r="KRH518" s="500"/>
      <c r="KRI518" s="500"/>
      <c r="KRJ518" s="500"/>
      <c r="KRK518" s="500"/>
      <c r="KRL518" s="500"/>
      <c r="KRM518" s="500"/>
      <c r="KRN518" s="500"/>
      <c r="KRO518" s="500"/>
      <c r="KRP518" s="500"/>
      <c r="KRQ518" s="500"/>
      <c r="KRR518" s="500"/>
      <c r="KRS518" s="500"/>
      <c r="KRT518" s="500"/>
      <c r="KRU518" s="500"/>
      <c r="KRV518" s="500"/>
      <c r="KRW518" s="500"/>
      <c r="KRX518" s="500"/>
      <c r="KRY518" s="500"/>
      <c r="KRZ518" s="500"/>
      <c r="KSA518" s="500"/>
      <c r="KSB518" s="500"/>
      <c r="KSC518" s="500"/>
      <c r="KSD518" s="500"/>
      <c r="KSE518" s="500"/>
      <c r="KSF518" s="500"/>
      <c r="KSG518" s="500"/>
      <c r="KSH518" s="500"/>
      <c r="KSI518" s="500"/>
      <c r="KSJ518" s="500"/>
      <c r="KSK518" s="500"/>
      <c r="KSL518" s="500"/>
      <c r="KSM518" s="500"/>
      <c r="KSN518" s="500"/>
      <c r="KSO518" s="500"/>
      <c r="KSP518" s="500"/>
      <c r="KSQ518" s="500"/>
      <c r="KSR518" s="500"/>
      <c r="KSS518" s="500"/>
      <c r="KST518" s="500"/>
      <c r="KSU518" s="500"/>
      <c r="KSV518" s="500"/>
      <c r="KSW518" s="500"/>
      <c r="KSX518" s="500"/>
      <c r="KSY518" s="500"/>
      <c r="KSZ518" s="500"/>
      <c r="KTA518" s="500"/>
      <c r="KTB518" s="500"/>
      <c r="KTC518" s="500"/>
      <c r="KTD518" s="500"/>
      <c r="KTE518" s="500"/>
      <c r="KTF518" s="500"/>
      <c r="KTG518" s="500"/>
      <c r="KTH518" s="500"/>
      <c r="KTI518" s="500"/>
      <c r="KTJ518" s="500"/>
      <c r="KTK518" s="500"/>
      <c r="KTL518" s="500"/>
      <c r="KTM518" s="500"/>
      <c r="KTN518" s="500"/>
      <c r="KTO518" s="500"/>
      <c r="KTP518" s="500"/>
      <c r="KTQ518" s="500"/>
      <c r="KTR518" s="500"/>
      <c r="KTS518" s="500"/>
      <c r="KTT518" s="500"/>
      <c r="KTU518" s="500"/>
      <c r="KTV518" s="500"/>
      <c r="KTW518" s="500"/>
      <c r="KTX518" s="500"/>
      <c r="KTY518" s="500"/>
      <c r="KTZ518" s="500"/>
      <c r="KUA518" s="500"/>
      <c r="KUB518" s="500"/>
      <c r="KUC518" s="500"/>
      <c r="KUD518" s="500"/>
      <c r="KUE518" s="500"/>
      <c r="KUF518" s="500"/>
      <c r="KUG518" s="500"/>
      <c r="KUH518" s="500"/>
      <c r="KUI518" s="500"/>
      <c r="KUJ518" s="500"/>
      <c r="KUK518" s="500"/>
      <c r="KUL518" s="500"/>
      <c r="KUM518" s="500"/>
      <c r="KUN518" s="500"/>
      <c r="KUO518" s="500"/>
      <c r="KUP518" s="500"/>
      <c r="KUQ518" s="500"/>
      <c r="KUR518" s="500"/>
      <c r="KUS518" s="500"/>
      <c r="KUT518" s="500"/>
      <c r="KUU518" s="500"/>
      <c r="KUV518" s="500"/>
      <c r="KUW518" s="500"/>
      <c r="KUX518" s="500"/>
      <c r="KUY518" s="500"/>
      <c r="KUZ518" s="500"/>
      <c r="KVA518" s="500"/>
      <c r="KVB518" s="500"/>
      <c r="KVC518" s="500"/>
      <c r="KVD518" s="500"/>
      <c r="KVE518" s="500"/>
      <c r="KVF518" s="500"/>
      <c r="KVG518" s="500"/>
      <c r="KVH518" s="500"/>
      <c r="KVI518" s="500"/>
      <c r="KVJ518" s="500"/>
      <c r="KVK518" s="500"/>
      <c r="KVL518" s="500"/>
      <c r="KVM518" s="500"/>
      <c r="KVN518" s="500"/>
      <c r="KVO518" s="500"/>
      <c r="KVP518" s="500"/>
      <c r="KVQ518" s="500"/>
      <c r="KVR518" s="500"/>
      <c r="KVS518" s="500"/>
      <c r="KVT518" s="500"/>
      <c r="KVU518" s="500"/>
      <c r="KVV518" s="500"/>
      <c r="KVW518" s="500"/>
      <c r="KVX518" s="500"/>
      <c r="KVY518" s="500"/>
      <c r="KVZ518" s="500"/>
      <c r="KWA518" s="500"/>
      <c r="KWB518" s="500"/>
      <c r="KWC518" s="500"/>
      <c r="KWD518" s="500"/>
      <c r="KWE518" s="500"/>
      <c r="KWF518" s="500"/>
      <c r="KWG518" s="500"/>
      <c r="KWH518" s="500"/>
      <c r="KWI518" s="500"/>
      <c r="KWJ518" s="500"/>
      <c r="KWK518" s="500"/>
      <c r="KWL518" s="500"/>
      <c r="KWM518" s="500"/>
      <c r="KWN518" s="500"/>
      <c r="KWO518" s="500"/>
      <c r="KWP518" s="500"/>
      <c r="KWQ518" s="500"/>
      <c r="KWR518" s="500"/>
      <c r="KWS518" s="500"/>
      <c r="KWT518" s="500"/>
      <c r="KWU518" s="500"/>
      <c r="KWV518" s="500"/>
      <c r="KWW518" s="500"/>
      <c r="KWX518" s="500"/>
      <c r="KWY518" s="500"/>
      <c r="KWZ518" s="500"/>
      <c r="KXA518" s="500"/>
      <c r="KXB518" s="500"/>
      <c r="KXC518" s="500"/>
      <c r="KXD518" s="500"/>
      <c r="KXE518" s="500"/>
      <c r="KXF518" s="500"/>
      <c r="KXG518" s="500"/>
      <c r="KXH518" s="500"/>
      <c r="KXI518" s="500"/>
      <c r="KXJ518" s="500"/>
      <c r="KXK518" s="500"/>
      <c r="KXL518" s="500"/>
      <c r="KXM518" s="500"/>
      <c r="KXN518" s="500"/>
      <c r="KXO518" s="500"/>
      <c r="KXP518" s="500"/>
      <c r="KXQ518" s="500"/>
      <c r="KXR518" s="500"/>
      <c r="KXS518" s="500"/>
      <c r="KXT518" s="500"/>
      <c r="KXU518" s="500"/>
      <c r="KXV518" s="500"/>
      <c r="KXW518" s="500"/>
      <c r="KXX518" s="500"/>
      <c r="KXY518" s="500"/>
      <c r="KXZ518" s="500"/>
      <c r="KYA518" s="500"/>
      <c r="KYB518" s="500"/>
      <c r="KYC518" s="500"/>
      <c r="KYD518" s="500"/>
      <c r="KYE518" s="500"/>
      <c r="KYF518" s="500"/>
      <c r="KYG518" s="500"/>
      <c r="KYH518" s="500"/>
      <c r="KYI518" s="500"/>
      <c r="KYJ518" s="500"/>
      <c r="KYK518" s="500"/>
      <c r="KYL518" s="500"/>
      <c r="KYM518" s="500"/>
      <c r="KYN518" s="500"/>
      <c r="KYO518" s="500"/>
      <c r="KYP518" s="500"/>
      <c r="KYQ518" s="500"/>
      <c r="KYR518" s="500"/>
      <c r="KYS518" s="500"/>
      <c r="KYT518" s="500"/>
      <c r="KYU518" s="500"/>
      <c r="KYV518" s="500"/>
      <c r="KYW518" s="500"/>
      <c r="KYX518" s="500"/>
      <c r="KYY518" s="500"/>
      <c r="KYZ518" s="500"/>
      <c r="KZA518" s="500"/>
      <c r="KZB518" s="500"/>
      <c r="KZC518" s="500"/>
      <c r="KZD518" s="500"/>
      <c r="KZE518" s="500"/>
      <c r="KZF518" s="500"/>
      <c r="KZG518" s="500"/>
      <c r="KZH518" s="500"/>
      <c r="KZI518" s="500"/>
      <c r="KZJ518" s="500"/>
      <c r="KZK518" s="500"/>
      <c r="KZL518" s="500"/>
      <c r="KZM518" s="500"/>
      <c r="KZN518" s="500"/>
      <c r="KZO518" s="500"/>
      <c r="KZP518" s="500"/>
      <c r="KZQ518" s="500"/>
      <c r="KZR518" s="500"/>
      <c r="KZS518" s="500"/>
      <c r="KZT518" s="500"/>
      <c r="KZU518" s="500"/>
      <c r="KZV518" s="500"/>
      <c r="KZW518" s="500"/>
      <c r="KZX518" s="500"/>
      <c r="KZY518" s="500"/>
      <c r="KZZ518" s="500"/>
      <c r="LAA518" s="500"/>
      <c r="LAB518" s="500"/>
      <c r="LAC518" s="500"/>
      <c r="LAD518" s="500"/>
      <c r="LAE518" s="500"/>
      <c r="LAF518" s="500"/>
      <c r="LAG518" s="500"/>
      <c r="LAH518" s="500"/>
      <c r="LAI518" s="500"/>
      <c r="LAJ518" s="500"/>
      <c r="LAK518" s="500"/>
      <c r="LAL518" s="500"/>
      <c r="LAM518" s="500"/>
      <c r="LAN518" s="500"/>
      <c r="LAO518" s="500"/>
      <c r="LAP518" s="500"/>
      <c r="LAQ518" s="500"/>
      <c r="LAR518" s="500"/>
      <c r="LAS518" s="500"/>
      <c r="LAT518" s="500"/>
      <c r="LAU518" s="500"/>
      <c r="LAV518" s="500"/>
      <c r="LAW518" s="500"/>
      <c r="LAX518" s="500"/>
      <c r="LAY518" s="500"/>
      <c r="LAZ518" s="500"/>
      <c r="LBA518" s="500"/>
      <c r="LBB518" s="500"/>
      <c r="LBC518" s="500"/>
      <c r="LBD518" s="500"/>
      <c r="LBE518" s="500"/>
      <c r="LBF518" s="500"/>
      <c r="LBG518" s="500"/>
      <c r="LBH518" s="500"/>
      <c r="LBI518" s="500"/>
      <c r="LBJ518" s="500"/>
      <c r="LBK518" s="500"/>
      <c r="LBL518" s="500"/>
      <c r="LBM518" s="500"/>
      <c r="LBN518" s="500"/>
      <c r="LBO518" s="500"/>
      <c r="LBP518" s="500"/>
      <c r="LBQ518" s="500"/>
      <c r="LBR518" s="500"/>
      <c r="LBS518" s="500"/>
      <c r="LBT518" s="500"/>
      <c r="LBU518" s="500"/>
      <c r="LBV518" s="500"/>
      <c r="LBW518" s="500"/>
      <c r="LBX518" s="500"/>
      <c r="LBY518" s="500"/>
      <c r="LBZ518" s="500"/>
      <c r="LCA518" s="500"/>
      <c r="LCB518" s="500"/>
      <c r="LCC518" s="500"/>
      <c r="LCD518" s="500"/>
      <c r="LCE518" s="500"/>
      <c r="LCF518" s="500"/>
      <c r="LCG518" s="500"/>
      <c r="LCH518" s="500"/>
      <c r="LCI518" s="500"/>
      <c r="LCJ518" s="500"/>
      <c r="LCK518" s="500"/>
      <c r="LCL518" s="500"/>
      <c r="LCM518" s="500"/>
      <c r="LCN518" s="500"/>
      <c r="LCO518" s="500"/>
      <c r="LCP518" s="500"/>
      <c r="LCQ518" s="500"/>
      <c r="LCR518" s="500"/>
      <c r="LCS518" s="500"/>
      <c r="LCT518" s="500"/>
      <c r="LCU518" s="500"/>
      <c r="LCV518" s="500"/>
      <c r="LCW518" s="500"/>
      <c r="LCX518" s="500"/>
      <c r="LCY518" s="500"/>
      <c r="LCZ518" s="500"/>
      <c r="LDA518" s="500"/>
      <c r="LDB518" s="500"/>
      <c r="LDC518" s="500"/>
      <c r="LDD518" s="500"/>
      <c r="LDE518" s="500"/>
      <c r="LDF518" s="500"/>
      <c r="LDG518" s="500"/>
      <c r="LDH518" s="500"/>
      <c r="LDI518" s="500"/>
      <c r="LDJ518" s="500"/>
      <c r="LDK518" s="500"/>
      <c r="LDL518" s="500"/>
      <c r="LDM518" s="500"/>
      <c r="LDN518" s="500"/>
      <c r="LDO518" s="500"/>
      <c r="LDP518" s="500"/>
      <c r="LDQ518" s="500"/>
      <c r="LDR518" s="500"/>
      <c r="LDS518" s="500"/>
      <c r="LDT518" s="500"/>
      <c r="LDU518" s="500"/>
      <c r="LDV518" s="500"/>
      <c r="LDW518" s="500"/>
      <c r="LDX518" s="500"/>
      <c r="LDY518" s="500"/>
      <c r="LDZ518" s="500"/>
      <c r="LEA518" s="500"/>
      <c r="LEB518" s="500"/>
      <c r="LEC518" s="500"/>
      <c r="LED518" s="500"/>
      <c r="LEE518" s="500"/>
      <c r="LEF518" s="500"/>
      <c r="LEG518" s="500"/>
      <c r="LEH518" s="500"/>
      <c r="LEI518" s="500"/>
      <c r="LEJ518" s="500"/>
      <c r="LEK518" s="500"/>
      <c r="LEL518" s="500"/>
      <c r="LEM518" s="500"/>
      <c r="LEN518" s="500"/>
      <c r="LEO518" s="500"/>
      <c r="LEP518" s="500"/>
      <c r="LEQ518" s="500"/>
      <c r="LER518" s="500"/>
      <c r="LES518" s="500"/>
      <c r="LET518" s="500"/>
      <c r="LEU518" s="500"/>
      <c r="LEV518" s="500"/>
      <c r="LEW518" s="500"/>
      <c r="LEX518" s="500"/>
      <c r="LEY518" s="500"/>
      <c r="LEZ518" s="500"/>
      <c r="LFA518" s="500"/>
      <c r="LFB518" s="500"/>
      <c r="LFC518" s="500"/>
      <c r="LFD518" s="500"/>
      <c r="LFE518" s="500"/>
      <c r="LFF518" s="500"/>
      <c r="LFG518" s="500"/>
      <c r="LFH518" s="500"/>
      <c r="LFI518" s="500"/>
      <c r="LFJ518" s="500"/>
      <c r="LFK518" s="500"/>
      <c r="LFL518" s="500"/>
      <c r="LFM518" s="500"/>
      <c r="LFN518" s="500"/>
      <c r="LFO518" s="500"/>
      <c r="LFP518" s="500"/>
      <c r="LFQ518" s="500"/>
      <c r="LFR518" s="500"/>
      <c r="LFS518" s="500"/>
      <c r="LFT518" s="500"/>
      <c r="LFU518" s="500"/>
      <c r="LFV518" s="500"/>
      <c r="LFW518" s="500"/>
      <c r="LFX518" s="500"/>
      <c r="LFY518" s="500"/>
      <c r="LFZ518" s="500"/>
      <c r="LGA518" s="500"/>
      <c r="LGB518" s="500"/>
      <c r="LGC518" s="500"/>
      <c r="LGD518" s="500"/>
      <c r="LGE518" s="500"/>
      <c r="LGF518" s="500"/>
      <c r="LGG518" s="500"/>
      <c r="LGH518" s="500"/>
      <c r="LGI518" s="500"/>
      <c r="LGJ518" s="500"/>
      <c r="LGK518" s="500"/>
      <c r="LGL518" s="500"/>
      <c r="LGM518" s="500"/>
      <c r="LGN518" s="500"/>
      <c r="LGO518" s="500"/>
      <c r="LGP518" s="500"/>
      <c r="LGQ518" s="500"/>
      <c r="LGR518" s="500"/>
      <c r="LGS518" s="500"/>
      <c r="LGT518" s="500"/>
      <c r="LGU518" s="500"/>
      <c r="LGV518" s="500"/>
      <c r="LGW518" s="500"/>
      <c r="LGX518" s="500"/>
      <c r="LGY518" s="500"/>
      <c r="LGZ518" s="500"/>
      <c r="LHA518" s="500"/>
      <c r="LHB518" s="500"/>
      <c r="LHC518" s="500"/>
      <c r="LHD518" s="500"/>
      <c r="LHE518" s="500"/>
      <c r="LHF518" s="500"/>
      <c r="LHG518" s="500"/>
      <c r="LHH518" s="500"/>
      <c r="LHI518" s="500"/>
      <c r="LHJ518" s="500"/>
      <c r="LHK518" s="500"/>
      <c r="LHL518" s="500"/>
      <c r="LHM518" s="500"/>
      <c r="LHN518" s="500"/>
      <c r="LHO518" s="500"/>
      <c r="LHP518" s="500"/>
      <c r="LHQ518" s="500"/>
      <c r="LHR518" s="500"/>
      <c r="LHS518" s="500"/>
      <c r="LHT518" s="500"/>
      <c r="LHU518" s="500"/>
      <c r="LHV518" s="500"/>
      <c r="LHW518" s="500"/>
      <c r="LHX518" s="500"/>
      <c r="LHY518" s="500"/>
      <c r="LHZ518" s="500"/>
      <c r="LIA518" s="500"/>
      <c r="LIB518" s="500"/>
      <c r="LIC518" s="500"/>
      <c r="LID518" s="500"/>
      <c r="LIE518" s="500"/>
      <c r="LIF518" s="500"/>
      <c r="LIG518" s="500"/>
      <c r="LIH518" s="500"/>
      <c r="LII518" s="500"/>
      <c r="LIJ518" s="500"/>
      <c r="LIK518" s="500"/>
      <c r="LIL518" s="500"/>
      <c r="LIM518" s="500"/>
      <c r="LIN518" s="500"/>
      <c r="LIO518" s="500"/>
      <c r="LIP518" s="500"/>
      <c r="LIQ518" s="500"/>
      <c r="LIR518" s="500"/>
      <c r="LIS518" s="500"/>
      <c r="LIT518" s="500"/>
      <c r="LIU518" s="500"/>
      <c r="LIV518" s="500"/>
      <c r="LIW518" s="500"/>
      <c r="LIX518" s="500"/>
      <c r="LIY518" s="500"/>
      <c r="LIZ518" s="500"/>
      <c r="LJA518" s="500"/>
      <c r="LJB518" s="500"/>
      <c r="LJC518" s="500"/>
      <c r="LJD518" s="500"/>
      <c r="LJE518" s="500"/>
      <c r="LJF518" s="500"/>
      <c r="LJG518" s="500"/>
      <c r="LJH518" s="500"/>
      <c r="LJI518" s="500"/>
      <c r="LJJ518" s="500"/>
      <c r="LJK518" s="500"/>
      <c r="LJL518" s="500"/>
      <c r="LJM518" s="500"/>
      <c r="LJN518" s="500"/>
      <c r="LJO518" s="500"/>
      <c r="LJP518" s="500"/>
      <c r="LJQ518" s="500"/>
      <c r="LJR518" s="500"/>
      <c r="LJS518" s="500"/>
      <c r="LJT518" s="500"/>
      <c r="LJU518" s="500"/>
      <c r="LJV518" s="500"/>
      <c r="LJW518" s="500"/>
      <c r="LJX518" s="500"/>
      <c r="LJY518" s="500"/>
      <c r="LJZ518" s="500"/>
      <c r="LKA518" s="500"/>
      <c r="LKB518" s="500"/>
      <c r="LKC518" s="500"/>
      <c r="LKD518" s="500"/>
      <c r="LKE518" s="500"/>
      <c r="LKF518" s="500"/>
      <c r="LKG518" s="500"/>
      <c r="LKH518" s="500"/>
      <c r="LKI518" s="500"/>
      <c r="LKJ518" s="500"/>
      <c r="LKK518" s="500"/>
      <c r="LKL518" s="500"/>
      <c r="LKM518" s="500"/>
      <c r="LKN518" s="500"/>
      <c r="LKO518" s="500"/>
      <c r="LKP518" s="500"/>
      <c r="LKQ518" s="500"/>
      <c r="LKR518" s="500"/>
      <c r="LKS518" s="500"/>
      <c r="LKT518" s="500"/>
      <c r="LKU518" s="500"/>
      <c r="LKV518" s="500"/>
      <c r="LKW518" s="500"/>
      <c r="LKX518" s="500"/>
      <c r="LKY518" s="500"/>
      <c r="LKZ518" s="500"/>
      <c r="LLA518" s="500"/>
      <c r="LLB518" s="500"/>
      <c r="LLC518" s="500"/>
      <c r="LLD518" s="500"/>
      <c r="LLE518" s="500"/>
      <c r="LLF518" s="500"/>
      <c r="LLG518" s="500"/>
      <c r="LLH518" s="500"/>
      <c r="LLI518" s="500"/>
      <c r="LLJ518" s="500"/>
      <c r="LLK518" s="500"/>
      <c r="LLL518" s="500"/>
      <c r="LLM518" s="500"/>
      <c r="LLN518" s="500"/>
      <c r="LLO518" s="500"/>
      <c r="LLP518" s="500"/>
      <c r="LLQ518" s="500"/>
      <c r="LLR518" s="500"/>
      <c r="LLS518" s="500"/>
      <c r="LLT518" s="500"/>
      <c r="LLU518" s="500"/>
      <c r="LLV518" s="500"/>
      <c r="LLW518" s="500"/>
      <c r="LLX518" s="500"/>
      <c r="LLY518" s="500"/>
      <c r="LLZ518" s="500"/>
      <c r="LMA518" s="500"/>
      <c r="LMB518" s="500"/>
      <c r="LMC518" s="500"/>
      <c r="LMD518" s="500"/>
      <c r="LME518" s="500"/>
      <c r="LMF518" s="500"/>
      <c r="LMG518" s="500"/>
      <c r="LMH518" s="500"/>
      <c r="LMI518" s="500"/>
      <c r="LMJ518" s="500"/>
      <c r="LMK518" s="500"/>
      <c r="LML518" s="500"/>
      <c r="LMM518" s="500"/>
      <c r="LMN518" s="500"/>
      <c r="LMO518" s="500"/>
      <c r="LMP518" s="500"/>
      <c r="LMQ518" s="500"/>
      <c r="LMR518" s="500"/>
      <c r="LMS518" s="500"/>
      <c r="LMT518" s="500"/>
      <c r="LMU518" s="500"/>
      <c r="LMV518" s="500"/>
      <c r="LMW518" s="500"/>
      <c r="LMX518" s="500"/>
      <c r="LMY518" s="500"/>
      <c r="LMZ518" s="500"/>
      <c r="LNA518" s="500"/>
      <c r="LNB518" s="500"/>
      <c r="LNC518" s="500"/>
      <c r="LND518" s="500"/>
      <c r="LNE518" s="500"/>
      <c r="LNF518" s="500"/>
      <c r="LNG518" s="500"/>
      <c r="LNH518" s="500"/>
      <c r="LNI518" s="500"/>
      <c r="LNJ518" s="500"/>
      <c r="LNK518" s="500"/>
      <c r="LNL518" s="500"/>
      <c r="LNM518" s="500"/>
      <c r="LNN518" s="500"/>
      <c r="LNO518" s="500"/>
      <c r="LNP518" s="500"/>
      <c r="LNQ518" s="500"/>
      <c r="LNR518" s="500"/>
      <c r="LNS518" s="500"/>
      <c r="LNT518" s="500"/>
      <c r="LNU518" s="500"/>
      <c r="LNV518" s="500"/>
      <c r="LNW518" s="500"/>
      <c r="LNX518" s="500"/>
      <c r="LNY518" s="500"/>
      <c r="LNZ518" s="500"/>
      <c r="LOA518" s="500"/>
      <c r="LOB518" s="500"/>
      <c r="LOC518" s="500"/>
      <c r="LOD518" s="500"/>
      <c r="LOE518" s="500"/>
      <c r="LOF518" s="500"/>
      <c r="LOG518" s="500"/>
      <c r="LOH518" s="500"/>
      <c r="LOI518" s="500"/>
      <c r="LOJ518" s="500"/>
      <c r="LOK518" s="500"/>
      <c r="LOL518" s="500"/>
      <c r="LOM518" s="500"/>
      <c r="LON518" s="500"/>
      <c r="LOO518" s="500"/>
      <c r="LOP518" s="500"/>
      <c r="LOQ518" s="500"/>
      <c r="LOR518" s="500"/>
      <c r="LOS518" s="500"/>
      <c r="LOT518" s="500"/>
      <c r="LOU518" s="500"/>
      <c r="LOV518" s="500"/>
      <c r="LOW518" s="500"/>
      <c r="LOX518" s="500"/>
      <c r="LOY518" s="500"/>
      <c r="LOZ518" s="500"/>
      <c r="LPA518" s="500"/>
      <c r="LPB518" s="500"/>
      <c r="LPC518" s="500"/>
      <c r="LPD518" s="500"/>
      <c r="LPE518" s="500"/>
      <c r="LPF518" s="500"/>
      <c r="LPG518" s="500"/>
      <c r="LPH518" s="500"/>
      <c r="LPI518" s="500"/>
      <c r="LPJ518" s="500"/>
      <c r="LPK518" s="500"/>
      <c r="LPL518" s="500"/>
      <c r="LPM518" s="500"/>
      <c r="LPN518" s="500"/>
      <c r="LPO518" s="500"/>
      <c r="LPP518" s="500"/>
      <c r="LPQ518" s="500"/>
      <c r="LPR518" s="500"/>
      <c r="LPS518" s="500"/>
      <c r="LPT518" s="500"/>
      <c r="LPU518" s="500"/>
      <c r="LPV518" s="500"/>
      <c r="LPW518" s="500"/>
      <c r="LPX518" s="500"/>
      <c r="LPY518" s="500"/>
      <c r="LPZ518" s="500"/>
      <c r="LQA518" s="500"/>
      <c r="LQB518" s="500"/>
      <c r="LQC518" s="500"/>
      <c r="LQD518" s="500"/>
      <c r="LQE518" s="500"/>
      <c r="LQF518" s="500"/>
      <c r="LQG518" s="500"/>
      <c r="LQH518" s="500"/>
      <c r="LQI518" s="500"/>
      <c r="LQJ518" s="500"/>
      <c r="LQK518" s="500"/>
      <c r="LQL518" s="500"/>
      <c r="LQM518" s="500"/>
      <c r="LQN518" s="500"/>
      <c r="LQO518" s="500"/>
      <c r="LQP518" s="500"/>
      <c r="LQQ518" s="500"/>
      <c r="LQR518" s="500"/>
      <c r="LQS518" s="500"/>
      <c r="LQT518" s="500"/>
      <c r="LQU518" s="500"/>
      <c r="LQV518" s="500"/>
      <c r="LQW518" s="500"/>
      <c r="LQX518" s="500"/>
      <c r="LQY518" s="500"/>
      <c r="LQZ518" s="500"/>
      <c r="LRA518" s="500"/>
      <c r="LRB518" s="500"/>
      <c r="LRC518" s="500"/>
      <c r="LRD518" s="500"/>
      <c r="LRE518" s="500"/>
      <c r="LRF518" s="500"/>
      <c r="LRG518" s="500"/>
      <c r="LRH518" s="500"/>
      <c r="LRI518" s="500"/>
      <c r="LRJ518" s="500"/>
      <c r="LRK518" s="500"/>
      <c r="LRL518" s="500"/>
      <c r="LRM518" s="500"/>
      <c r="LRN518" s="500"/>
      <c r="LRO518" s="500"/>
      <c r="LRP518" s="500"/>
      <c r="LRQ518" s="500"/>
      <c r="LRR518" s="500"/>
      <c r="LRS518" s="500"/>
      <c r="LRT518" s="500"/>
      <c r="LRU518" s="500"/>
      <c r="LRV518" s="500"/>
      <c r="LRW518" s="500"/>
      <c r="LRX518" s="500"/>
      <c r="LRY518" s="500"/>
      <c r="LRZ518" s="500"/>
      <c r="LSA518" s="500"/>
      <c r="LSB518" s="500"/>
      <c r="LSC518" s="500"/>
      <c r="LSD518" s="500"/>
      <c r="LSE518" s="500"/>
      <c r="LSF518" s="500"/>
      <c r="LSG518" s="500"/>
      <c r="LSH518" s="500"/>
      <c r="LSI518" s="500"/>
      <c r="LSJ518" s="500"/>
      <c r="LSK518" s="500"/>
      <c r="LSL518" s="500"/>
      <c r="LSM518" s="500"/>
      <c r="LSN518" s="500"/>
      <c r="LSO518" s="500"/>
      <c r="LSP518" s="500"/>
      <c r="LSQ518" s="500"/>
      <c r="LSR518" s="500"/>
      <c r="LSS518" s="500"/>
      <c r="LST518" s="500"/>
      <c r="LSU518" s="500"/>
      <c r="LSV518" s="500"/>
      <c r="LSW518" s="500"/>
      <c r="LSX518" s="500"/>
      <c r="LSY518" s="500"/>
      <c r="LSZ518" s="500"/>
      <c r="LTA518" s="500"/>
      <c r="LTB518" s="500"/>
      <c r="LTC518" s="500"/>
      <c r="LTD518" s="500"/>
      <c r="LTE518" s="500"/>
      <c r="LTF518" s="500"/>
      <c r="LTG518" s="500"/>
      <c r="LTH518" s="500"/>
      <c r="LTI518" s="500"/>
      <c r="LTJ518" s="500"/>
      <c r="LTK518" s="500"/>
      <c r="LTL518" s="500"/>
      <c r="LTM518" s="500"/>
      <c r="LTN518" s="500"/>
      <c r="LTO518" s="500"/>
      <c r="LTP518" s="500"/>
      <c r="LTQ518" s="500"/>
      <c r="LTR518" s="500"/>
      <c r="LTS518" s="500"/>
      <c r="LTT518" s="500"/>
      <c r="LTU518" s="500"/>
      <c r="LTV518" s="500"/>
      <c r="LTW518" s="500"/>
      <c r="LTX518" s="500"/>
      <c r="LTY518" s="500"/>
      <c r="LTZ518" s="500"/>
      <c r="LUA518" s="500"/>
      <c r="LUB518" s="500"/>
      <c r="LUC518" s="500"/>
      <c r="LUD518" s="500"/>
      <c r="LUE518" s="500"/>
      <c r="LUF518" s="500"/>
      <c r="LUG518" s="500"/>
      <c r="LUH518" s="500"/>
      <c r="LUI518" s="500"/>
      <c r="LUJ518" s="500"/>
      <c r="LUK518" s="500"/>
      <c r="LUL518" s="500"/>
      <c r="LUM518" s="500"/>
      <c r="LUN518" s="500"/>
      <c r="LUO518" s="500"/>
      <c r="LUP518" s="500"/>
      <c r="LUQ518" s="500"/>
      <c r="LUR518" s="500"/>
      <c r="LUS518" s="500"/>
      <c r="LUT518" s="500"/>
      <c r="LUU518" s="500"/>
      <c r="LUV518" s="500"/>
      <c r="LUW518" s="500"/>
      <c r="LUX518" s="500"/>
      <c r="LUY518" s="500"/>
      <c r="LUZ518" s="500"/>
      <c r="LVA518" s="500"/>
      <c r="LVB518" s="500"/>
      <c r="LVC518" s="500"/>
      <c r="LVD518" s="500"/>
      <c r="LVE518" s="500"/>
      <c r="LVF518" s="500"/>
      <c r="LVG518" s="500"/>
      <c r="LVH518" s="500"/>
      <c r="LVI518" s="500"/>
      <c r="LVJ518" s="500"/>
      <c r="LVK518" s="500"/>
      <c r="LVL518" s="500"/>
      <c r="LVM518" s="500"/>
      <c r="LVN518" s="500"/>
      <c r="LVO518" s="500"/>
      <c r="LVP518" s="500"/>
      <c r="LVQ518" s="500"/>
      <c r="LVR518" s="500"/>
      <c r="LVS518" s="500"/>
      <c r="LVT518" s="500"/>
      <c r="LVU518" s="500"/>
      <c r="LVV518" s="500"/>
      <c r="LVW518" s="500"/>
      <c r="LVX518" s="500"/>
      <c r="LVY518" s="500"/>
      <c r="LVZ518" s="500"/>
      <c r="LWA518" s="500"/>
      <c r="LWB518" s="500"/>
      <c r="LWC518" s="500"/>
      <c r="LWD518" s="500"/>
      <c r="LWE518" s="500"/>
      <c r="LWF518" s="500"/>
      <c r="LWG518" s="500"/>
      <c r="LWH518" s="500"/>
      <c r="LWI518" s="500"/>
      <c r="LWJ518" s="500"/>
      <c r="LWK518" s="500"/>
      <c r="LWL518" s="500"/>
      <c r="LWM518" s="500"/>
      <c r="LWN518" s="500"/>
      <c r="LWO518" s="500"/>
      <c r="LWP518" s="500"/>
      <c r="LWQ518" s="500"/>
      <c r="LWR518" s="500"/>
      <c r="LWS518" s="500"/>
      <c r="LWT518" s="500"/>
      <c r="LWU518" s="500"/>
      <c r="LWV518" s="500"/>
      <c r="LWW518" s="500"/>
      <c r="LWX518" s="500"/>
      <c r="LWY518" s="500"/>
      <c r="LWZ518" s="500"/>
      <c r="LXA518" s="500"/>
      <c r="LXB518" s="500"/>
      <c r="LXC518" s="500"/>
      <c r="LXD518" s="500"/>
      <c r="LXE518" s="500"/>
      <c r="LXF518" s="500"/>
      <c r="LXG518" s="500"/>
      <c r="LXH518" s="500"/>
      <c r="LXI518" s="500"/>
      <c r="LXJ518" s="500"/>
      <c r="LXK518" s="500"/>
      <c r="LXL518" s="500"/>
      <c r="LXM518" s="500"/>
      <c r="LXN518" s="500"/>
      <c r="LXO518" s="500"/>
      <c r="LXP518" s="500"/>
      <c r="LXQ518" s="500"/>
      <c r="LXR518" s="500"/>
      <c r="LXS518" s="500"/>
      <c r="LXT518" s="500"/>
      <c r="LXU518" s="500"/>
      <c r="LXV518" s="500"/>
      <c r="LXW518" s="500"/>
      <c r="LXX518" s="500"/>
      <c r="LXY518" s="500"/>
      <c r="LXZ518" s="500"/>
      <c r="LYA518" s="500"/>
      <c r="LYB518" s="500"/>
      <c r="LYC518" s="500"/>
      <c r="LYD518" s="500"/>
      <c r="LYE518" s="500"/>
      <c r="LYF518" s="500"/>
      <c r="LYG518" s="500"/>
      <c r="LYH518" s="500"/>
      <c r="LYI518" s="500"/>
      <c r="LYJ518" s="500"/>
      <c r="LYK518" s="500"/>
      <c r="LYL518" s="500"/>
      <c r="LYM518" s="500"/>
      <c r="LYN518" s="500"/>
      <c r="LYO518" s="500"/>
      <c r="LYP518" s="500"/>
      <c r="LYQ518" s="500"/>
      <c r="LYR518" s="500"/>
      <c r="LYS518" s="500"/>
      <c r="LYT518" s="500"/>
      <c r="LYU518" s="500"/>
      <c r="LYV518" s="500"/>
      <c r="LYW518" s="500"/>
      <c r="LYX518" s="500"/>
      <c r="LYY518" s="500"/>
      <c r="LYZ518" s="500"/>
      <c r="LZA518" s="500"/>
      <c r="LZB518" s="500"/>
      <c r="LZC518" s="500"/>
      <c r="LZD518" s="500"/>
      <c r="LZE518" s="500"/>
      <c r="LZF518" s="500"/>
      <c r="LZG518" s="500"/>
      <c r="LZH518" s="500"/>
      <c r="LZI518" s="500"/>
      <c r="LZJ518" s="500"/>
      <c r="LZK518" s="500"/>
      <c r="LZL518" s="500"/>
      <c r="LZM518" s="500"/>
      <c r="LZN518" s="500"/>
      <c r="LZO518" s="500"/>
      <c r="LZP518" s="500"/>
      <c r="LZQ518" s="500"/>
      <c r="LZR518" s="500"/>
      <c r="LZS518" s="500"/>
      <c r="LZT518" s="500"/>
      <c r="LZU518" s="500"/>
      <c r="LZV518" s="500"/>
      <c r="LZW518" s="500"/>
      <c r="LZX518" s="500"/>
      <c r="LZY518" s="500"/>
      <c r="LZZ518" s="500"/>
      <c r="MAA518" s="500"/>
      <c r="MAB518" s="500"/>
      <c r="MAC518" s="500"/>
      <c r="MAD518" s="500"/>
      <c r="MAE518" s="500"/>
      <c r="MAF518" s="500"/>
      <c r="MAG518" s="500"/>
      <c r="MAH518" s="500"/>
      <c r="MAI518" s="500"/>
      <c r="MAJ518" s="500"/>
      <c r="MAK518" s="500"/>
      <c r="MAL518" s="500"/>
      <c r="MAM518" s="500"/>
      <c r="MAN518" s="500"/>
      <c r="MAO518" s="500"/>
      <c r="MAP518" s="500"/>
      <c r="MAQ518" s="500"/>
      <c r="MAR518" s="500"/>
      <c r="MAS518" s="500"/>
      <c r="MAT518" s="500"/>
      <c r="MAU518" s="500"/>
      <c r="MAV518" s="500"/>
      <c r="MAW518" s="500"/>
      <c r="MAX518" s="500"/>
      <c r="MAY518" s="500"/>
      <c r="MAZ518" s="500"/>
      <c r="MBA518" s="500"/>
      <c r="MBB518" s="500"/>
      <c r="MBC518" s="500"/>
      <c r="MBD518" s="500"/>
      <c r="MBE518" s="500"/>
      <c r="MBF518" s="500"/>
      <c r="MBG518" s="500"/>
      <c r="MBH518" s="500"/>
      <c r="MBI518" s="500"/>
      <c r="MBJ518" s="500"/>
      <c r="MBK518" s="500"/>
      <c r="MBL518" s="500"/>
      <c r="MBM518" s="500"/>
      <c r="MBN518" s="500"/>
      <c r="MBO518" s="500"/>
      <c r="MBP518" s="500"/>
      <c r="MBQ518" s="500"/>
      <c r="MBR518" s="500"/>
      <c r="MBS518" s="500"/>
      <c r="MBT518" s="500"/>
      <c r="MBU518" s="500"/>
      <c r="MBV518" s="500"/>
      <c r="MBW518" s="500"/>
      <c r="MBX518" s="500"/>
      <c r="MBY518" s="500"/>
      <c r="MBZ518" s="500"/>
      <c r="MCA518" s="500"/>
      <c r="MCB518" s="500"/>
      <c r="MCC518" s="500"/>
      <c r="MCD518" s="500"/>
      <c r="MCE518" s="500"/>
      <c r="MCF518" s="500"/>
      <c r="MCG518" s="500"/>
      <c r="MCH518" s="500"/>
      <c r="MCI518" s="500"/>
      <c r="MCJ518" s="500"/>
      <c r="MCK518" s="500"/>
      <c r="MCL518" s="500"/>
      <c r="MCM518" s="500"/>
      <c r="MCN518" s="500"/>
      <c r="MCO518" s="500"/>
      <c r="MCP518" s="500"/>
      <c r="MCQ518" s="500"/>
      <c r="MCR518" s="500"/>
      <c r="MCS518" s="500"/>
      <c r="MCT518" s="500"/>
      <c r="MCU518" s="500"/>
      <c r="MCV518" s="500"/>
      <c r="MCW518" s="500"/>
      <c r="MCX518" s="500"/>
      <c r="MCY518" s="500"/>
      <c r="MCZ518" s="500"/>
      <c r="MDA518" s="500"/>
      <c r="MDB518" s="500"/>
      <c r="MDC518" s="500"/>
      <c r="MDD518" s="500"/>
      <c r="MDE518" s="500"/>
      <c r="MDF518" s="500"/>
      <c r="MDG518" s="500"/>
      <c r="MDH518" s="500"/>
      <c r="MDI518" s="500"/>
      <c r="MDJ518" s="500"/>
      <c r="MDK518" s="500"/>
      <c r="MDL518" s="500"/>
      <c r="MDM518" s="500"/>
      <c r="MDN518" s="500"/>
      <c r="MDO518" s="500"/>
      <c r="MDP518" s="500"/>
      <c r="MDQ518" s="500"/>
      <c r="MDR518" s="500"/>
      <c r="MDS518" s="500"/>
      <c r="MDT518" s="500"/>
      <c r="MDU518" s="500"/>
      <c r="MDV518" s="500"/>
      <c r="MDW518" s="500"/>
      <c r="MDX518" s="500"/>
      <c r="MDY518" s="500"/>
      <c r="MDZ518" s="500"/>
      <c r="MEA518" s="500"/>
      <c r="MEB518" s="500"/>
      <c r="MEC518" s="500"/>
      <c r="MED518" s="500"/>
      <c r="MEE518" s="500"/>
      <c r="MEF518" s="500"/>
      <c r="MEG518" s="500"/>
      <c r="MEH518" s="500"/>
      <c r="MEI518" s="500"/>
      <c r="MEJ518" s="500"/>
      <c r="MEK518" s="500"/>
      <c r="MEL518" s="500"/>
      <c r="MEM518" s="500"/>
      <c r="MEN518" s="500"/>
      <c r="MEO518" s="500"/>
      <c r="MEP518" s="500"/>
      <c r="MEQ518" s="500"/>
      <c r="MER518" s="500"/>
      <c r="MES518" s="500"/>
      <c r="MET518" s="500"/>
      <c r="MEU518" s="500"/>
      <c r="MEV518" s="500"/>
      <c r="MEW518" s="500"/>
      <c r="MEX518" s="500"/>
      <c r="MEY518" s="500"/>
      <c r="MEZ518" s="500"/>
      <c r="MFA518" s="500"/>
      <c r="MFB518" s="500"/>
      <c r="MFC518" s="500"/>
      <c r="MFD518" s="500"/>
      <c r="MFE518" s="500"/>
      <c r="MFF518" s="500"/>
      <c r="MFG518" s="500"/>
      <c r="MFH518" s="500"/>
      <c r="MFI518" s="500"/>
      <c r="MFJ518" s="500"/>
      <c r="MFK518" s="500"/>
      <c r="MFL518" s="500"/>
      <c r="MFM518" s="500"/>
      <c r="MFN518" s="500"/>
      <c r="MFO518" s="500"/>
      <c r="MFP518" s="500"/>
      <c r="MFQ518" s="500"/>
      <c r="MFR518" s="500"/>
      <c r="MFS518" s="500"/>
      <c r="MFT518" s="500"/>
      <c r="MFU518" s="500"/>
      <c r="MFV518" s="500"/>
      <c r="MFW518" s="500"/>
      <c r="MFX518" s="500"/>
      <c r="MFY518" s="500"/>
      <c r="MFZ518" s="500"/>
      <c r="MGA518" s="500"/>
      <c r="MGB518" s="500"/>
      <c r="MGC518" s="500"/>
      <c r="MGD518" s="500"/>
      <c r="MGE518" s="500"/>
      <c r="MGF518" s="500"/>
      <c r="MGG518" s="500"/>
      <c r="MGH518" s="500"/>
      <c r="MGI518" s="500"/>
      <c r="MGJ518" s="500"/>
      <c r="MGK518" s="500"/>
      <c r="MGL518" s="500"/>
      <c r="MGM518" s="500"/>
      <c r="MGN518" s="500"/>
      <c r="MGO518" s="500"/>
      <c r="MGP518" s="500"/>
      <c r="MGQ518" s="500"/>
      <c r="MGR518" s="500"/>
      <c r="MGS518" s="500"/>
      <c r="MGT518" s="500"/>
      <c r="MGU518" s="500"/>
      <c r="MGV518" s="500"/>
      <c r="MGW518" s="500"/>
      <c r="MGX518" s="500"/>
      <c r="MGY518" s="500"/>
      <c r="MGZ518" s="500"/>
      <c r="MHA518" s="500"/>
      <c r="MHB518" s="500"/>
      <c r="MHC518" s="500"/>
      <c r="MHD518" s="500"/>
      <c r="MHE518" s="500"/>
      <c r="MHF518" s="500"/>
      <c r="MHG518" s="500"/>
      <c r="MHH518" s="500"/>
      <c r="MHI518" s="500"/>
      <c r="MHJ518" s="500"/>
      <c r="MHK518" s="500"/>
      <c r="MHL518" s="500"/>
      <c r="MHM518" s="500"/>
      <c r="MHN518" s="500"/>
      <c r="MHO518" s="500"/>
      <c r="MHP518" s="500"/>
      <c r="MHQ518" s="500"/>
      <c r="MHR518" s="500"/>
      <c r="MHS518" s="500"/>
      <c r="MHT518" s="500"/>
      <c r="MHU518" s="500"/>
      <c r="MHV518" s="500"/>
      <c r="MHW518" s="500"/>
      <c r="MHX518" s="500"/>
      <c r="MHY518" s="500"/>
      <c r="MHZ518" s="500"/>
      <c r="MIA518" s="500"/>
      <c r="MIB518" s="500"/>
      <c r="MIC518" s="500"/>
      <c r="MID518" s="500"/>
      <c r="MIE518" s="500"/>
      <c r="MIF518" s="500"/>
      <c r="MIG518" s="500"/>
      <c r="MIH518" s="500"/>
      <c r="MII518" s="500"/>
      <c r="MIJ518" s="500"/>
      <c r="MIK518" s="500"/>
      <c r="MIL518" s="500"/>
      <c r="MIM518" s="500"/>
      <c r="MIN518" s="500"/>
      <c r="MIO518" s="500"/>
      <c r="MIP518" s="500"/>
      <c r="MIQ518" s="500"/>
      <c r="MIR518" s="500"/>
      <c r="MIS518" s="500"/>
      <c r="MIT518" s="500"/>
      <c r="MIU518" s="500"/>
      <c r="MIV518" s="500"/>
      <c r="MIW518" s="500"/>
      <c r="MIX518" s="500"/>
      <c r="MIY518" s="500"/>
      <c r="MIZ518" s="500"/>
      <c r="MJA518" s="500"/>
      <c r="MJB518" s="500"/>
      <c r="MJC518" s="500"/>
      <c r="MJD518" s="500"/>
      <c r="MJE518" s="500"/>
      <c r="MJF518" s="500"/>
      <c r="MJG518" s="500"/>
      <c r="MJH518" s="500"/>
      <c r="MJI518" s="500"/>
      <c r="MJJ518" s="500"/>
      <c r="MJK518" s="500"/>
      <c r="MJL518" s="500"/>
      <c r="MJM518" s="500"/>
      <c r="MJN518" s="500"/>
      <c r="MJO518" s="500"/>
      <c r="MJP518" s="500"/>
      <c r="MJQ518" s="500"/>
      <c r="MJR518" s="500"/>
      <c r="MJS518" s="500"/>
      <c r="MJT518" s="500"/>
      <c r="MJU518" s="500"/>
      <c r="MJV518" s="500"/>
      <c r="MJW518" s="500"/>
      <c r="MJX518" s="500"/>
      <c r="MJY518" s="500"/>
      <c r="MJZ518" s="500"/>
      <c r="MKA518" s="500"/>
      <c r="MKB518" s="500"/>
      <c r="MKC518" s="500"/>
      <c r="MKD518" s="500"/>
      <c r="MKE518" s="500"/>
      <c r="MKF518" s="500"/>
      <c r="MKG518" s="500"/>
      <c r="MKH518" s="500"/>
      <c r="MKI518" s="500"/>
      <c r="MKJ518" s="500"/>
      <c r="MKK518" s="500"/>
      <c r="MKL518" s="500"/>
      <c r="MKM518" s="500"/>
      <c r="MKN518" s="500"/>
      <c r="MKO518" s="500"/>
      <c r="MKP518" s="500"/>
      <c r="MKQ518" s="500"/>
      <c r="MKR518" s="500"/>
      <c r="MKS518" s="500"/>
      <c r="MKT518" s="500"/>
      <c r="MKU518" s="500"/>
      <c r="MKV518" s="500"/>
      <c r="MKW518" s="500"/>
      <c r="MKX518" s="500"/>
      <c r="MKY518" s="500"/>
      <c r="MKZ518" s="500"/>
      <c r="MLA518" s="500"/>
      <c r="MLB518" s="500"/>
      <c r="MLC518" s="500"/>
      <c r="MLD518" s="500"/>
      <c r="MLE518" s="500"/>
      <c r="MLF518" s="500"/>
      <c r="MLG518" s="500"/>
      <c r="MLH518" s="500"/>
      <c r="MLI518" s="500"/>
      <c r="MLJ518" s="500"/>
      <c r="MLK518" s="500"/>
      <c r="MLL518" s="500"/>
      <c r="MLM518" s="500"/>
      <c r="MLN518" s="500"/>
      <c r="MLO518" s="500"/>
      <c r="MLP518" s="500"/>
      <c r="MLQ518" s="500"/>
      <c r="MLR518" s="500"/>
      <c r="MLS518" s="500"/>
      <c r="MLT518" s="500"/>
      <c r="MLU518" s="500"/>
      <c r="MLV518" s="500"/>
      <c r="MLW518" s="500"/>
      <c r="MLX518" s="500"/>
      <c r="MLY518" s="500"/>
      <c r="MLZ518" s="500"/>
      <c r="MMA518" s="500"/>
      <c r="MMB518" s="500"/>
      <c r="MMC518" s="500"/>
      <c r="MMD518" s="500"/>
      <c r="MME518" s="500"/>
      <c r="MMF518" s="500"/>
      <c r="MMG518" s="500"/>
      <c r="MMH518" s="500"/>
      <c r="MMI518" s="500"/>
      <c r="MMJ518" s="500"/>
      <c r="MMK518" s="500"/>
      <c r="MML518" s="500"/>
      <c r="MMM518" s="500"/>
      <c r="MMN518" s="500"/>
      <c r="MMO518" s="500"/>
      <c r="MMP518" s="500"/>
      <c r="MMQ518" s="500"/>
      <c r="MMR518" s="500"/>
      <c r="MMS518" s="500"/>
      <c r="MMT518" s="500"/>
      <c r="MMU518" s="500"/>
      <c r="MMV518" s="500"/>
      <c r="MMW518" s="500"/>
      <c r="MMX518" s="500"/>
      <c r="MMY518" s="500"/>
      <c r="MMZ518" s="500"/>
      <c r="MNA518" s="500"/>
      <c r="MNB518" s="500"/>
      <c r="MNC518" s="500"/>
      <c r="MND518" s="500"/>
      <c r="MNE518" s="500"/>
      <c r="MNF518" s="500"/>
      <c r="MNG518" s="500"/>
      <c r="MNH518" s="500"/>
      <c r="MNI518" s="500"/>
      <c r="MNJ518" s="500"/>
      <c r="MNK518" s="500"/>
      <c r="MNL518" s="500"/>
      <c r="MNM518" s="500"/>
      <c r="MNN518" s="500"/>
      <c r="MNO518" s="500"/>
      <c r="MNP518" s="500"/>
      <c r="MNQ518" s="500"/>
      <c r="MNR518" s="500"/>
      <c r="MNS518" s="500"/>
      <c r="MNT518" s="500"/>
      <c r="MNU518" s="500"/>
      <c r="MNV518" s="500"/>
      <c r="MNW518" s="500"/>
      <c r="MNX518" s="500"/>
      <c r="MNY518" s="500"/>
      <c r="MNZ518" s="500"/>
      <c r="MOA518" s="500"/>
      <c r="MOB518" s="500"/>
      <c r="MOC518" s="500"/>
      <c r="MOD518" s="500"/>
      <c r="MOE518" s="500"/>
      <c r="MOF518" s="500"/>
      <c r="MOG518" s="500"/>
      <c r="MOH518" s="500"/>
      <c r="MOI518" s="500"/>
      <c r="MOJ518" s="500"/>
      <c r="MOK518" s="500"/>
      <c r="MOL518" s="500"/>
      <c r="MOM518" s="500"/>
      <c r="MON518" s="500"/>
      <c r="MOO518" s="500"/>
      <c r="MOP518" s="500"/>
      <c r="MOQ518" s="500"/>
      <c r="MOR518" s="500"/>
      <c r="MOS518" s="500"/>
      <c r="MOT518" s="500"/>
      <c r="MOU518" s="500"/>
      <c r="MOV518" s="500"/>
      <c r="MOW518" s="500"/>
      <c r="MOX518" s="500"/>
      <c r="MOY518" s="500"/>
      <c r="MOZ518" s="500"/>
      <c r="MPA518" s="500"/>
      <c r="MPB518" s="500"/>
      <c r="MPC518" s="500"/>
      <c r="MPD518" s="500"/>
      <c r="MPE518" s="500"/>
      <c r="MPF518" s="500"/>
      <c r="MPG518" s="500"/>
      <c r="MPH518" s="500"/>
      <c r="MPI518" s="500"/>
      <c r="MPJ518" s="500"/>
      <c r="MPK518" s="500"/>
      <c r="MPL518" s="500"/>
      <c r="MPM518" s="500"/>
      <c r="MPN518" s="500"/>
      <c r="MPO518" s="500"/>
      <c r="MPP518" s="500"/>
      <c r="MPQ518" s="500"/>
      <c r="MPR518" s="500"/>
      <c r="MPS518" s="500"/>
      <c r="MPT518" s="500"/>
      <c r="MPU518" s="500"/>
      <c r="MPV518" s="500"/>
      <c r="MPW518" s="500"/>
      <c r="MPX518" s="500"/>
      <c r="MPY518" s="500"/>
      <c r="MPZ518" s="500"/>
      <c r="MQA518" s="500"/>
      <c r="MQB518" s="500"/>
      <c r="MQC518" s="500"/>
      <c r="MQD518" s="500"/>
      <c r="MQE518" s="500"/>
      <c r="MQF518" s="500"/>
      <c r="MQG518" s="500"/>
      <c r="MQH518" s="500"/>
      <c r="MQI518" s="500"/>
      <c r="MQJ518" s="500"/>
      <c r="MQK518" s="500"/>
      <c r="MQL518" s="500"/>
      <c r="MQM518" s="500"/>
      <c r="MQN518" s="500"/>
      <c r="MQO518" s="500"/>
      <c r="MQP518" s="500"/>
      <c r="MQQ518" s="500"/>
      <c r="MQR518" s="500"/>
      <c r="MQS518" s="500"/>
      <c r="MQT518" s="500"/>
      <c r="MQU518" s="500"/>
      <c r="MQV518" s="500"/>
      <c r="MQW518" s="500"/>
      <c r="MQX518" s="500"/>
      <c r="MQY518" s="500"/>
      <c r="MQZ518" s="500"/>
      <c r="MRA518" s="500"/>
      <c r="MRB518" s="500"/>
      <c r="MRC518" s="500"/>
      <c r="MRD518" s="500"/>
      <c r="MRE518" s="500"/>
      <c r="MRF518" s="500"/>
      <c r="MRG518" s="500"/>
      <c r="MRH518" s="500"/>
      <c r="MRI518" s="500"/>
      <c r="MRJ518" s="500"/>
      <c r="MRK518" s="500"/>
      <c r="MRL518" s="500"/>
      <c r="MRM518" s="500"/>
      <c r="MRN518" s="500"/>
      <c r="MRO518" s="500"/>
      <c r="MRP518" s="500"/>
      <c r="MRQ518" s="500"/>
      <c r="MRR518" s="500"/>
      <c r="MRS518" s="500"/>
      <c r="MRT518" s="500"/>
      <c r="MRU518" s="500"/>
      <c r="MRV518" s="500"/>
      <c r="MRW518" s="500"/>
      <c r="MRX518" s="500"/>
      <c r="MRY518" s="500"/>
      <c r="MRZ518" s="500"/>
      <c r="MSA518" s="500"/>
      <c r="MSB518" s="500"/>
      <c r="MSC518" s="500"/>
      <c r="MSD518" s="500"/>
      <c r="MSE518" s="500"/>
      <c r="MSF518" s="500"/>
      <c r="MSG518" s="500"/>
      <c r="MSH518" s="500"/>
      <c r="MSI518" s="500"/>
      <c r="MSJ518" s="500"/>
      <c r="MSK518" s="500"/>
      <c r="MSL518" s="500"/>
      <c r="MSM518" s="500"/>
      <c r="MSN518" s="500"/>
      <c r="MSO518" s="500"/>
      <c r="MSP518" s="500"/>
      <c r="MSQ518" s="500"/>
      <c r="MSR518" s="500"/>
      <c r="MSS518" s="500"/>
      <c r="MST518" s="500"/>
      <c r="MSU518" s="500"/>
      <c r="MSV518" s="500"/>
      <c r="MSW518" s="500"/>
      <c r="MSX518" s="500"/>
      <c r="MSY518" s="500"/>
      <c r="MSZ518" s="500"/>
      <c r="MTA518" s="500"/>
      <c r="MTB518" s="500"/>
      <c r="MTC518" s="500"/>
      <c r="MTD518" s="500"/>
      <c r="MTE518" s="500"/>
      <c r="MTF518" s="500"/>
      <c r="MTG518" s="500"/>
      <c r="MTH518" s="500"/>
      <c r="MTI518" s="500"/>
      <c r="MTJ518" s="500"/>
      <c r="MTK518" s="500"/>
      <c r="MTL518" s="500"/>
      <c r="MTM518" s="500"/>
      <c r="MTN518" s="500"/>
      <c r="MTO518" s="500"/>
      <c r="MTP518" s="500"/>
      <c r="MTQ518" s="500"/>
      <c r="MTR518" s="500"/>
      <c r="MTS518" s="500"/>
      <c r="MTT518" s="500"/>
      <c r="MTU518" s="500"/>
      <c r="MTV518" s="500"/>
      <c r="MTW518" s="500"/>
      <c r="MTX518" s="500"/>
      <c r="MTY518" s="500"/>
      <c r="MTZ518" s="500"/>
      <c r="MUA518" s="500"/>
      <c r="MUB518" s="500"/>
      <c r="MUC518" s="500"/>
      <c r="MUD518" s="500"/>
      <c r="MUE518" s="500"/>
      <c r="MUF518" s="500"/>
      <c r="MUG518" s="500"/>
      <c r="MUH518" s="500"/>
      <c r="MUI518" s="500"/>
      <c r="MUJ518" s="500"/>
      <c r="MUK518" s="500"/>
      <c r="MUL518" s="500"/>
      <c r="MUM518" s="500"/>
      <c r="MUN518" s="500"/>
      <c r="MUO518" s="500"/>
      <c r="MUP518" s="500"/>
      <c r="MUQ518" s="500"/>
      <c r="MUR518" s="500"/>
      <c r="MUS518" s="500"/>
      <c r="MUT518" s="500"/>
      <c r="MUU518" s="500"/>
      <c r="MUV518" s="500"/>
      <c r="MUW518" s="500"/>
      <c r="MUX518" s="500"/>
      <c r="MUY518" s="500"/>
      <c r="MUZ518" s="500"/>
      <c r="MVA518" s="500"/>
      <c r="MVB518" s="500"/>
      <c r="MVC518" s="500"/>
      <c r="MVD518" s="500"/>
      <c r="MVE518" s="500"/>
      <c r="MVF518" s="500"/>
      <c r="MVG518" s="500"/>
      <c r="MVH518" s="500"/>
      <c r="MVI518" s="500"/>
      <c r="MVJ518" s="500"/>
      <c r="MVK518" s="500"/>
      <c r="MVL518" s="500"/>
      <c r="MVM518" s="500"/>
      <c r="MVN518" s="500"/>
      <c r="MVO518" s="500"/>
      <c r="MVP518" s="500"/>
      <c r="MVQ518" s="500"/>
      <c r="MVR518" s="500"/>
      <c r="MVS518" s="500"/>
      <c r="MVT518" s="500"/>
      <c r="MVU518" s="500"/>
      <c r="MVV518" s="500"/>
      <c r="MVW518" s="500"/>
      <c r="MVX518" s="500"/>
      <c r="MVY518" s="500"/>
      <c r="MVZ518" s="500"/>
      <c r="MWA518" s="500"/>
      <c r="MWB518" s="500"/>
      <c r="MWC518" s="500"/>
      <c r="MWD518" s="500"/>
      <c r="MWE518" s="500"/>
      <c r="MWF518" s="500"/>
      <c r="MWG518" s="500"/>
      <c r="MWH518" s="500"/>
      <c r="MWI518" s="500"/>
      <c r="MWJ518" s="500"/>
      <c r="MWK518" s="500"/>
      <c r="MWL518" s="500"/>
      <c r="MWM518" s="500"/>
      <c r="MWN518" s="500"/>
      <c r="MWO518" s="500"/>
      <c r="MWP518" s="500"/>
      <c r="MWQ518" s="500"/>
      <c r="MWR518" s="500"/>
      <c r="MWS518" s="500"/>
      <c r="MWT518" s="500"/>
      <c r="MWU518" s="500"/>
      <c r="MWV518" s="500"/>
      <c r="MWW518" s="500"/>
      <c r="MWX518" s="500"/>
      <c r="MWY518" s="500"/>
      <c r="MWZ518" s="500"/>
      <c r="MXA518" s="500"/>
      <c r="MXB518" s="500"/>
      <c r="MXC518" s="500"/>
      <c r="MXD518" s="500"/>
      <c r="MXE518" s="500"/>
      <c r="MXF518" s="500"/>
      <c r="MXG518" s="500"/>
      <c r="MXH518" s="500"/>
      <c r="MXI518" s="500"/>
      <c r="MXJ518" s="500"/>
      <c r="MXK518" s="500"/>
      <c r="MXL518" s="500"/>
      <c r="MXM518" s="500"/>
      <c r="MXN518" s="500"/>
      <c r="MXO518" s="500"/>
      <c r="MXP518" s="500"/>
      <c r="MXQ518" s="500"/>
      <c r="MXR518" s="500"/>
      <c r="MXS518" s="500"/>
      <c r="MXT518" s="500"/>
      <c r="MXU518" s="500"/>
      <c r="MXV518" s="500"/>
      <c r="MXW518" s="500"/>
      <c r="MXX518" s="500"/>
      <c r="MXY518" s="500"/>
      <c r="MXZ518" s="500"/>
      <c r="MYA518" s="500"/>
      <c r="MYB518" s="500"/>
      <c r="MYC518" s="500"/>
      <c r="MYD518" s="500"/>
      <c r="MYE518" s="500"/>
      <c r="MYF518" s="500"/>
      <c r="MYG518" s="500"/>
      <c r="MYH518" s="500"/>
      <c r="MYI518" s="500"/>
      <c r="MYJ518" s="500"/>
      <c r="MYK518" s="500"/>
      <c r="MYL518" s="500"/>
      <c r="MYM518" s="500"/>
      <c r="MYN518" s="500"/>
      <c r="MYO518" s="500"/>
      <c r="MYP518" s="500"/>
      <c r="MYQ518" s="500"/>
      <c r="MYR518" s="500"/>
      <c r="MYS518" s="500"/>
      <c r="MYT518" s="500"/>
      <c r="MYU518" s="500"/>
      <c r="MYV518" s="500"/>
      <c r="MYW518" s="500"/>
      <c r="MYX518" s="500"/>
      <c r="MYY518" s="500"/>
      <c r="MYZ518" s="500"/>
      <c r="MZA518" s="500"/>
      <c r="MZB518" s="500"/>
      <c r="MZC518" s="500"/>
      <c r="MZD518" s="500"/>
      <c r="MZE518" s="500"/>
      <c r="MZF518" s="500"/>
      <c r="MZG518" s="500"/>
      <c r="MZH518" s="500"/>
      <c r="MZI518" s="500"/>
      <c r="MZJ518" s="500"/>
      <c r="MZK518" s="500"/>
      <c r="MZL518" s="500"/>
      <c r="MZM518" s="500"/>
      <c r="MZN518" s="500"/>
      <c r="MZO518" s="500"/>
      <c r="MZP518" s="500"/>
      <c r="MZQ518" s="500"/>
      <c r="MZR518" s="500"/>
      <c r="MZS518" s="500"/>
      <c r="MZT518" s="500"/>
      <c r="MZU518" s="500"/>
      <c r="MZV518" s="500"/>
      <c r="MZW518" s="500"/>
      <c r="MZX518" s="500"/>
      <c r="MZY518" s="500"/>
      <c r="MZZ518" s="500"/>
      <c r="NAA518" s="500"/>
      <c r="NAB518" s="500"/>
      <c r="NAC518" s="500"/>
      <c r="NAD518" s="500"/>
      <c r="NAE518" s="500"/>
      <c r="NAF518" s="500"/>
      <c r="NAG518" s="500"/>
      <c r="NAH518" s="500"/>
      <c r="NAI518" s="500"/>
      <c r="NAJ518" s="500"/>
      <c r="NAK518" s="500"/>
      <c r="NAL518" s="500"/>
      <c r="NAM518" s="500"/>
      <c r="NAN518" s="500"/>
      <c r="NAO518" s="500"/>
      <c r="NAP518" s="500"/>
      <c r="NAQ518" s="500"/>
      <c r="NAR518" s="500"/>
      <c r="NAS518" s="500"/>
      <c r="NAT518" s="500"/>
      <c r="NAU518" s="500"/>
      <c r="NAV518" s="500"/>
      <c r="NAW518" s="500"/>
      <c r="NAX518" s="500"/>
      <c r="NAY518" s="500"/>
      <c r="NAZ518" s="500"/>
      <c r="NBA518" s="500"/>
      <c r="NBB518" s="500"/>
      <c r="NBC518" s="500"/>
      <c r="NBD518" s="500"/>
      <c r="NBE518" s="500"/>
      <c r="NBF518" s="500"/>
      <c r="NBG518" s="500"/>
      <c r="NBH518" s="500"/>
      <c r="NBI518" s="500"/>
      <c r="NBJ518" s="500"/>
      <c r="NBK518" s="500"/>
      <c r="NBL518" s="500"/>
      <c r="NBM518" s="500"/>
      <c r="NBN518" s="500"/>
      <c r="NBO518" s="500"/>
      <c r="NBP518" s="500"/>
      <c r="NBQ518" s="500"/>
      <c r="NBR518" s="500"/>
      <c r="NBS518" s="500"/>
      <c r="NBT518" s="500"/>
      <c r="NBU518" s="500"/>
      <c r="NBV518" s="500"/>
      <c r="NBW518" s="500"/>
      <c r="NBX518" s="500"/>
      <c r="NBY518" s="500"/>
      <c r="NBZ518" s="500"/>
      <c r="NCA518" s="500"/>
      <c r="NCB518" s="500"/>
      <c r="NCC518" s="500"/>
      <c r="NCD518" s="500"/>
      <c r="NCE518" s="500"/>
      <c r="NCF518" s="500"/>
      <c r="NCG518" s="500"/>
      <c r="NCH518" s="500"/>
      <c r="NCI518" s="500"/>
      <c r="NCJ518" s="500"/>
      <c r="NCK518" s="500"/>
      <c r="NCL518" s="500"/>
      <c r="NCM518" s="500"/>
      <c r="NCN518" s="500"/>
      <c r="NCO518" s="500"/>
      <c r="NCP518" s="500"/>
      <c r="NCQ518" s="500"/>
      <c r="NCR518" s="500"/>
      <c r="NCS518" s="500"/>
      <c r="NCT518" s="500"/>
      <c r="NCU518" s="500"/>
      <c r="NCV518" s="500"/>
      <c r="NCW518" s="500"/>
      <c r="NCX518" s="500"/>
      <c r="NCY518" s="500"/>
      <c r="NCZ518" s="500"/>
      <c r="NDA518" s="500"/>
      <c r="NDB518" s="500"/>
      <c r="NDC518" s="500"/>
      <c r="NDD518" s="500"/>
      <c r="NDE518" s="500"/>
      <c r="NDF518" s="500"/>
      <c r="NDG518" s="500"/>
      <c r="NDH518" s="500"/>
      <c r="NDI518" s="500"/>
      <c r="NDJ518" s="500"/>
      <c r="NDK518" s="500"/>
      <c r="NDL518" s="500"/>
      <c r="NDM518" s="500"/>
      <c r="NDN518" s="500"/>
      <c r="NDO518" s="500"/>
      <c r="NDP518" s="500"/>
      <c r="NDQ518" s="500"/>
      <c r="NDR518" s="500"/>
      <c r="NDS518" s="500"/>
      <c r="NDT518" s="500"/>
      <c r="NDU518" s="500"/>
      <c r="NDV518" s="500"/>
      <c r="NDW518" s="500"/>
      <c r="NDX518" s="500"/>
      <c r="NDY518" s="500"/>
      <c r="NDZ518" s="500"/>
      <c r="NEA518" s="500"/>
      <c r="NEB518" s="500"/>
      <c r="NEC518" s="500"/>
      <c r="NED518" s="500"/>
      <c r="NEE518" s="500"/>
      <c r="NEF518" s="500"/>
      <c r="NEG518" s="500"/>
      <c r="NEH518" s="500"/>
      <c r="NEI518" s="500"/>
      <c r="NEJ518" s="500"/>
      <c r="NEK518" s="500"/>
      <c r="NEL518" s="500"/>
      <c r="NEM518" s="500"/>
      <c r="NEN518" s="500"/>
      <c r="NEO518" s="500"/>
      <c r="NEP518" s="500"/>
      <c r="NEQ518" s="500"/>
      <c r="NER518" s="500"/>
      <c r="NES518" s="500"/>
      <c r="NET518" s="500"/>
      <c r="NEU518" s="500"/>
      <c r="NEV518" s="500"/>
      <c r="NEW518" s="500"/>
      <c r="NEX518" s="500"/>
      <c r="NEY518" s="500"/>
      <c r="NEZ518" s="500"/>
      <c r="NFA518" s="500"/>
      <c r="NFB518" s="500"/>
      <c r="NFC518" s="500"/>
      <c r="NFD518" s="500"/>
      <c r="NFE518" s="500"/>
      <c r="NFF518" s="500"/>
      <c r="NFG518" s="500"/>
      <c r="NFH518" s="500"/>
      <c r="NFI518" s="500"/>
      <c r="NFJ518" s="500"/>
      <c r="NFK518" s="500"/>
      <c r="NFL518" s="500"/>
      <c r="NFM518" s="500"/>
      <c r="NFN518" s="500"/>
      <c r="NFO518" s="500"/>
      <c r="NFP518" s="500"/>
      <c r="NFQ518" s="500"/>
      <c r="NFR518" s="500"/>
      <c r="NFS518" s="500"/>
      <c r="NFT518" s="500"/>
      <c r="NFU518" s="500"/>
      <c r="NFV518" s="500"/>
      <c r="NFW518" s="500"/>
      <c r="NFX518" s="500"/>
      <c r="NFY518" s="500"/>
      <c r="NFZ518" s="500"/>
      <c r="NGA518" s="500"/>
      <c r="NGB518" s="500"/>
      <c r="NGC518" s="500"/>
      <c r="NGD518" s="500"/>
      <c r="NGE518" s="500"/>
      <c r="NGF518" s="500"/>
      <c r="NGG518" s="500"/>
      <c r="NGH518" s="500"/>
      <c r="NGI518" s="500"/>
      <c r="NGJ518" s="500"/>
      <c r="NGK518" s="500"/>
      <c r="NGL518" s="500"/>
      <c r="NGM518" s="500"/>
      <c r="NGN518" s="500"/>
      <c r="NGO518" s="500"/>
      <c r="NGP518" s="500"/>
      <c r="NGQ518" s="500"/>
      <c r="NGR518" s="500"/>
      <c r="NGS518" s="500"/>
      <c r="NGT518" s="500"/>
      <c r="NGU518" s="500"/>
      <c r="NGV518" s="500"/>
      <c r="NGW518" s="500"/>
      <c r="NGX518" s="500"/>
      <c r="NGY518" s="500"/>
      <c r="NGZ518" s="500"/>
      <c r="NHA518" s="500"/>
      <c r="NHB518" s="500"/>
      <c r="NHC518" s="500"/>
      <c r="NHD518" s="500"/>
      <c r="NHE518" s="500"/>
      <c r="NHF518" s="500"/>
      <c r="NHG518" s="500"/>
      <c r="NHH518" s="500"/>
      <c r="NHI518" s="500"/>
      <c r="NHJ518" s="500"/>
      <c r="NHK518" s="500"/>
      <c r="NHL518" s="500"/>
      <c r="NHM518" s="500"/>
      <c r="NHN518" s="500"/>
      <c r="NHO518" s="500"/>
      <c r="NHP518" s="500"/>
      <c r="NHQ518" s="500"/>
      <c r="NHR518" s="500"/>
      <c r="NHS518" s="500"/>
      <c r="NHT518" s="500"/>
      <c r="NHU518" s="500"/>
      <c r="NHV518" s="500"/>
      <c r="NHW518" s="500"/>
      <c r="NHX518" s="500"/>
      <c r="NHY518" s="500"/>
      <c r="NHZ518" s="500"/>
      <c r="NIA518" s="500"/>
      <c r="NIB518" s="500"/>
      <c r="NIC518" s="500"/>
      <c r="NID518" s="500"/>
      <c r="NIE518" s="500"/>
      <c r="NIF518" s="500"/>
      <c r="NIG518" s="500"/>
      <c r="NIH518" s="500"/>
      <c r="NII518" s="500"/>
      <c r="NIJ518" s="500"/>
      <c r="NIK518" s="500"/>
      <c r="NIL518" s="500"/>
      <c r="NIM518" s="500"/>
      <c r="NIN518" s="500"/>
      <c r="NIO518" s="500"/>
      <c r="NIP518" s="500"/>
      <c r="NIQ518" s="500"/>
      <c r="NIR518" s="500"/>
      <c r="NIS518" s="500"/>
      <c r="NIT518" s="500"/>
      <c r="NIU518" s="500"/>
      <c r="NIV518" s="500"/>
      <c r="NIW518" s="500"/>
      <c r="NIX518" s="500"/>
      <c r="NIY518" s="500"/>
      <c r="NIZ518" s="500"/>
      <c r="NJA518" s="500"/>
      <c r="NJB518" s="500"/>
      <c r="NJC518" s="500"/>
      <c r="NJD518" s="500"/>
      <c r="NJE518" s="500"/>
      <c r="NJF518" s="500"/>
      <c r="NJG518" s="500"/>
      <c r="NJH518" s="500"/>
      <c r="NJI518" s="500"/>
      <c r="NJJ518" s="500"/>
      <c r="NJK518" s="500"/>
      <c r="NJL518" s="500"/>
      <c r="NJM518" s="500"/>
      <c r="NJN518" s="500"/>
      <c r="NJO518" s="500"/>
      <c r="NJP518" s="500"/>
      <c r="NJQ518" s="500"/>
      <c r="NJR518" s="500"/>
      <c r="NJS518" s="500"/>
      <c r="NJT518" s="500"/>
      <c r="NJU518" s="500"/>
      <c r="NJV518" s="500"/>
      <c r="NJW518" s="500"/>
      <c r="NJX518" s="500"/>
      <c r="NJY518" s="500"/>
      <c r="NJZ518" s="500"/>
      <c r="NKA518" s="500"/>
      <c r="NKB518" s="500"/>
      <c r="NKC518" s="500"/>
      <c r="NKD518" s="500"/>
      <c r="NKE518" s="500"/>
      <c r="NKF518" s="500"/>
      <c r="NKG518" s="500"/>
      <c r="NKH518" s="500"/>
      <c r="NKI518" s="500"/>
      <c r="NKJ518" s="500"/>
      <c r="NKK518" s="500"/>
      <c r="NKL518" s="500"/>
      <c r="NKM518" s="500"/>
      <c r="NKN518" s="500"/>
      <c r="NKO518" s="500"/>
      <c r="NKP518" s="500"/>
      <c r="NKQ518" s="500"/>
      <c r="NKR518" s="500"/>
      <c r="NKS518" s="500"/>
      <c r="NKT518" s="500"/>
      <c r="NKU518" s="500"/>
      <c r="NKV518" s="500"/>
      <c r="NKW518" s="500"/>
      <c r="NKX518" s="500"/>
      <c r="NKY518" s="500"/>
      <c r="NKZ518" s="500"/>
      <c r="NLA518" s="500"/>
      <c r="NLB518" s="500"/>
      <c r="NLC518" s="500"/>
      <c r="NLD518" s="500"/>
      <c r="NLE518" s="500"/>
      <c r="NLF518" s="500"/>
      <c r="NLG518" s="500"/>
      <c r="NLH518" s="500"/>
      <c r="NLI518" s="500"/>
      <c r="NLJ518" s="500"/>
      <c r="NLK518" s="500"/>
      <c r="NLL518" s="500"/>
      <c r="NLM518" s="500"/>
      <c r="NLN518" s="500"/>
      <c r="NLO518" s="500"/>
      <c r="NLP518" s="500"/>
      <c r="NLQ518" s="500"/>
      <c r="NLR518" s="500"/>
      <c r="NLS518" s="500"/>
      <c r="NLT518" s="500"/>
      <c r="NLU518" s="500"/>
      <c r="NLV518" s="500"/>
      <c r="NLW518" s="500"/>
      <c r="NLX518" s="500"/>
      <c r="NLY518" s="500"/>
      <c r="NLZ518" s="500"/>
      <c r="NMA518" s="500"/>
      <c r="NMB518" s="500"/>
      <c r="NMC518" s="500"/>
      <c r="NMD518" s="500"/>
      <c r="NME518" s="500"/>
      <c r="NMF518" s="500"/>
      <c r="NMG518" s="500"/>
      <c r="NMH518" s="500"/>
      <c r="NMI518" s="500"/>
      <c r="NMJ518" s="500"/>
      <c r="NMK518" s="500"/>
      <c r="NML518" s="500"/>
      <c r="NMM518" s="500"/>
      <c r="NMN518" s="500"/>
      <c r="NMO518" s="500"/>
      <c r="NMP518" s="500"/>
      <c r="NMQ518" s="500"/>
      <c r="NMR518" s="500"/>
      <c r="NMS518" s="500"/>
      <c r="NMT518" s="500"/>
      <c r="NMU518" s="500"/>
      <c r="NMV518" s="500"/>
      <c r="NMW518" s="500"/>
      <c r="NMX518" s="500"/>
      <c r="NMY518" s="500"/>
      <c r="NMZ518" s="500"/>
      <c r="NNA518" s="500"/>
      <c r="NNB518" s="500"/>
      <c r="NNC518" s="500"/>
      <c r="NND518" s="500"/>
      <c r="NNE518" s="500"/>
      <c r="NNF518" s="500"/>
      <c r="NNG518" s="500"/>
      <c r="NNH518" s="500"/>
      <c r="NNI518" s="500"/>
      <c r="NNJ518" s="500"/>
      <c r="NNK518" s="500"/>
      <c r="NNL518" s="500"/>
      <c r="NNM518" s="500"/>
      <c r="NNN518" s="500"/>
      <c r="NNO518" s="500"/>
      <c r="NNP518" s="500"/>
      <c r="NNQ518" s="500"/>
      <c r="NNR518" s="500"/>
      <c r="NNS518" s="500"/>
      <c r="NNT518" s="500"/>
      <c r="NNU518" s="500"/>
      <c r="NNV518" s="500"/>
      <c r="NNW518" s="500"/>
      <c r="NNX518" s="500"/>
      <c r="NNY518" s="500"/>
      <c r="NNZ518" s="500"/>
      <c r="NOA518" s="500"/>
      <c r="NOB518" s="500"/>
      <c r="NOC518" s="500"/>
      <c r="NOD518" s="500"/>
      <c r="NOE518" s="500"/>
      <c r="NOF518" s="500"/>
      <c r="NOG518" s="500"/>
      <c r="NOH518" s="500"/>
      <c r="NOI518" s="500"/>
      <c r="NOJ518" s="500"/>
      <c r="NOK518" s="500"/>
      <c r="NOL518" s="500"/>
      <c r="NOM518" s="500"/>
      <c r="NON518" s="500"/>
      <c r="NOO518" s="500"/>
      <c r="NOP518" s="500"/>
      <c r="NOQ518" s="500"/>
      <c r="NOR518" s="500"/>
      <c r="NOS518" s="500"/>
      <c r="NOT518" s="500"/>
      <c r="NOU518" s="500"/>
      <c r="NOV518" s="500"/>
      <c r="NOW518" s="500"/>
      <c r="NOX518" s="500"/>
      <c r="NOY518" s="500"/>
      <c r="NOZ518" s="500"/>
      <c r="NPA518" s="500"/>
      <c r="NPB518" s="500"/>
      <c r="NPC518" s="500"/>
      <c r="NPD518" s="500"/>
      <c r="NPE518" s="500"/>
      <c r="NPF518" s="500"/>
      <c r="NPG518" s="500"/>
      <c r="NPH518" s="500"/>
      <c r="NPI518" s="500"/>
      <c r="NPJ518" s="500"/>
      <c r="NPK518" s="500"/>
      <c r="NPL518" s="500"/>
      <c r="NPM518" s="500"/>
      <c r="NPN518" s="500"/>
      <c r="NPO518" s="500"/>
      <c r="NPP518" s="500"/>
      <c r="NPQ518" s="500"/>
      <c r="NPR518" s="500"/>
      <c r="NPS518" s="500"/>
      <c r="NPT518" s="500"/>
      <c r="NPU518" s="500"/>
      <c r="NPV518" s="500"/>
      <c r="NPW518" s="500"/>
      <c r="NPX518" s="500"/>
      <c r="NPY518" s="500"/>
      <c r="NPZ518" s="500"/>
      <c r="NQA518" s="500"/>
      <c r="NQB518" s="500"/>
      <c r="NQC518" s="500"/>
      <c r="NQD518" s="500"/>
      <c r="NQE518" s="500"/>
      <c r="NQF518" s="500"/>
      <c r="NQG518" s="500"/>
      <c r="NQH518" s="500"/>
      <c r="NQI518" s="500"/>
      <c r="NQJ518" s="500"/>
      <c r="NQK518" s="500"/>
      <c r="NQL518" s="500"/>
      <c r="NQM518" s="500"/>
      <c r="NQN518" s="500"/>
      <c r="NQO518" s="500"/>
      <c r="NQP518" s="500"/>
      <c r="NQQ518" s="500"/>
      <c r="NQR518" s="500"/>
      <c r="NQS518" s="500"/>
      <c r="NQT518" s="500"/>
      <c r="NQU518" s="500"/>
      <c r="NQV518" s="500"/>
      <c r="NQW518" s="500"/>
      <c r="NQX518" s="500"/>
      <c r="NQY518" s="500"/>
      <c r="NQZ518" s="500"/>
      <c r="NRA518" s="500"/>
      <c r="NRB518" s="500"/>
      <c r="NRC518" s="500"/>
      <c r="NRD518" s="500"/>
      <c r="NRE518" s="500"/>
      <c r="NRF518" s="500"/>
      <c r="NRG518" s="500"/>
      <c r="NRH518" s="500"/>
      <c r="NRI518" s="500"/>
      <c r="NRJ518" s="500"/>
      <c r="NRK518" s="500"/>
      <c r="NRL518" s="500"/>
      <c r="NRM518" s="500"/>
      <c r="NRN518" s="500"/>
      <c r="NRO518" s="500"/>
      <c r="NRP518" s="500"/>
      <c r="NRQ518" s="500"/>
      <c r="NRR518" s="500"/>
      <c r="NRS518" s="500"/>
      <c r="NRT518" s="500"/>
      <c r="NRU518" s="500"/>
      <c r="NRV518" s="500"/>
      <c r="NRW518" s="500"/>
      <c r="NRX518" s="500"/>
      <c r="NRY518" s="500"/>
      <c r="NRZ518" s="500"/>
      <c r="NSA518" s="500"/>
      <c r="NSB518" s="500"/>
      <c r="NSC518" s="500"/>
      <c r="NSD518" s="500"/>
      <c r="NSE518" s="500"/>
      <c r="NSF518" s="500"/>
      <c r="NSG518" s="500"/>
      <c r="NSH518" s="500"/>
      <c r="NSI518" s="500"/>
      <c r="NSJ518" s="500"/>
      <c r="NSK518" s="500"/>
      <c r="NSL518" s="500"/>
      <c r="NSM518" s="500"/>
      <c r="NSN518" s="500"/>
      <c r="NSO518" s="500"/>
      <c r="NSP518" s="500"/>
      <c r="NSQ518" s="500"/>
      <c r="NSR518" s="500"/>
      <c r="NSS518" s="500"/>
      <c r="NST518" s="500"/>
      <c r="NSU518" s="500"/>
      <c r="NSV518" s="500"/>
      <c r="NSW518" s="500"/>
      <c r="NSX518" s="500"/>
      <c r="NSY518" s="500"/>
      <c r="NSZ518" s="500"/>
      <c r="NTA518" s="500"/>
      <c r="NTB518" s="500"/>
      <c r="NTC518" s="500"/>
      <c r="NTD518" s="500"/>
      <c r="NTE518" s="500"/>
      <c r="NTF518" s="500"/>
      <c r="NTG518" s="500"/>
      <c r="NTH518" s="500"/>
      <c r="NTI518" s="500"/>
      <c r="NTJ518" s="500"/>
      <c r="NTK518" s="500"/>
      <c r="NTL518" s="500"/>
      <c r="NTM518" s="500"/>
      <c r="NTN518" s="500"/>
      <c r="NTO518" s="500"/>
      <c r="NTP518" s="500"/>
      <c r="NTQ518" s="500"/>
      <c r="NTR518" s="500"/>
      <c r="NTS518" s="500"/>
      <c r="NTT518" s="500"/>
      <c r="NTU518" s="500"/>
      <c r="NTV518" s="500"/>
      <c r="NTW518" s="500"/>
      <c r="NTX518" s="500"/>
      <c r="NTY518" s="500"/>
      <c r="NTZ518" s="500"/>
      <c r="NUA518" s="500"/>
      <c r="NUB518" s="500"/>
      <c r="NUC518" s="500"/>
      <c r="NUD518" s="500"/>
      <c r="NUE518" s="500"/>
      <c r="NUF518" s="500"/>
      <c r="NUG518" s="500"/>
      <c r="NUH518" s="500"/>
      <c r="NUI518" s="500"/>
      <c r="NUJ518" s="500"/>
      <c r="NUK518" s="500"/>
      <c r="NUL518" s="500"/>
      <c r="NUM518" s="500"/>
      <c r="NUN518" s="500"/>
      <c r="NUO518" s="500"/>
      <c r="NUP518" s="500"/>
      <c r="NUQ518" s="500"/>
      <c r="NUR518" s="500"/>
      <c r="NUS518" s="500"/>
      <c r="NUT518" s="500"/>
      <c r="NUU518" s="500"/>
      <c r="NUV518" s="500"/>
      <c r="NUW518" s="500"/>
      <c r="NUX518" s="500"/>
      <c r="NUY518" s="500"/>
      <c r="NUZ518" s="500"/>
      <c r="NVA518" s="500"/>
      <c r="NVB518" s="500"/>
      <c r="NVC518" s="500"/>
      <c r="NVD518" s="500"/>
      <c r="NVE518" s="500"/>
      <c r="NVF518" s="500"/>
      <c r="NVG518" s="500"/>
      <c r="NVH518" s="500"/>
      <c r="NVI518" s="500"/>
      <c r="NVJ518" s="500"/>
      <c r="NVK518" s="500"/>
      <c r="NVL518" s="500"/>
      <c r="NVM518" s="500"/>
      <c r="NVN518" s="500"/>
      <c r="NVO518" s="500"/>
      <c r="NVP518" s="500"/>
      <c r="NVQ518" s="500"/>
      <c r="NVR518" s="500"/>
      <c r="NVS518" s="500"/>
      <c r="NVT518" s="500"/>
      <c r="NVU518" s="500"/>
      <c r="NVV518" s="500"/>
      <c r="NVW518" s="500"/>
      <c r="NVX518" s="500"/>
      <c r="NVY518" s="500"/>
      <c r="NVZ518" s="500"/>
      <c r="NWA518" s="500"/>
      <c r="NWB518" s="500"/>
      <c r="NWC518" s="500"/>
      <c r="NWD518" s="500"/>
      <c r="NWE518" s="500"/>
      <c r="NWF518" s="500"/>
      <c r="NWG518" s="500"/>
      <c r="NWH518" s="500"/>
      <c r="NWI518" s="500"/>
      <c r="NWJ518" s="500"/>
      <c r="NWK518" s="500"/>
      <c r="NWL518" s="500"/>
      <c r="NWM518" s="500"/>
      <c r="NWN518" s="500"/>
      <c r="NWO518" s="500"/>
      <c r="NWP518" s="500"/>
      <c r="NWQ518" s="500"/>
      <c r="NWR518" s="500"/>
      <c r="NWS518" s="500"/>
      <c r="NWT518" s="500"/>
      <c r="NWU518" s="500"/>
      <c r="NWV518" s="500"/>
      <c r="NWW518" s="500"/>
      <c r="NWX518" s="500"/>
      <c r="NWY518" s="500"/>
      <c r="NWZ518" s="500"/>
      <c r="NXA518" s="500"/>
      <c r="NXB518" s="500"/>
      <c r="NXC518" s="500"/>
      <c r="NXD518" s="500"/>
      <c r="NXE518" s="500"/>
      <c r="NXF518" s="500"/>
      <c r="NXG518" s="500"/>
      <c r="NXH518" s="500"/>
      <c r="NXI518" s="500"/>
      <c r="NXJ518" s="500"/>
      <c r="NXK518" s="500"/>
      <c r="NXL518" s="500"/>
      <c r="NXM518" s="500"/>
      <c r="NXN518" s="500"/>
      <c r="NXO518" s="500"/>
      <c r="NXP518" s="500"/>
      <c r="NXQ518" s="500"/>
      <c r="NXR518" s="500"/>
      <c r="NXS518" s="500"/>
      <c r="NXT518" s="500"/>
      <c r="NXU518" s="500"/>
      <c r="NXV518" s="500"/>
      <c r="NXW518" s="500"/>
      <c r="NXX518" s="500"/>
      <c r="NXY518" s="500"/>
      <c r="NXZ518" s="500"/>
      <c r="NYA518" s="500"/>
      <c r="NYB518" s="500"/>
      <c r="NYC518" s="500"/>
      <c r="NYD518" s="500"/>
      <c r="NYE518" s="500"/>
      <c r="NYF518" s="500"/>
      <c r="NYG518" s="500"/>
      <c r="NYH518" s="500"/>
      <c r="NYI518" s="500"/>
      <c r="NYJ518" s="500"/>
      <c r="NYK518" s="500"/>
      <c r="NYL518" s="500"/>
      <c r="NYM518" s="500"/>
      <c r="NYN518" s="500"/>
      <c r="NYO518" s="500"/>
      <c r="NYP518" s="500"/>
      <c r="NYQ518" s="500"/>
      <c r="NYR518" s="500"/>
      <c r="NYS518" s="500"/>
      <c r="NYT518" s="500"/>
      <c r="NYU518" s="500"/>
      <c r="NYV518" s="500"/>
      <c r="NYW518" s="500"/>
      <c r="NYX518" s="500"/>
      <c r="NYY518" s="500"/>
      <c r="NYZ518" s="500"/>
      <c r="NZA518" s="500"/>
      <c r="NZB518" s="500"/>
      <c r="NZC518" s="500"/>
      <c r="NZD518" s="500"/>
      <c r="NZE518" s="500"/>
      <c r="NZF518" s="500"/>
      <c r="NZG518" s="500"/>
      <c r="NZH518" s="500"/>
      <c r="NZI518" s="500"/>
      <c r="NZJ518" s="500"/>
      <c r="NZK518" s="500"/>
      <c r="NZL518" s="500"/>
      <c r="NZM518" s="500"/>
      <c r="NZN518" s="500"/>
      <c r="NZO518" s="500"/>
      <c r="NZP518" s="500"/>
      <c r="NZQ518" s="500"/>
      <c r="NZR518" s="500"/>
      <c r="NZS518" s="500"/>
      <c r="NZT518" s="500"/>
      <c r="NZU518" s="500"/>
      <c r="NZV518" s="500"/>
      <c r="NZW518" s="500"/>
      <c r="NZX518" s="500"/>
      <c r="NZY518" s="500"/>
      <c r="NZZ518" s="500"/>
      <c r="OAA518" s="500"/>
      <c r="OAB518" s="500"/>
      <c r="OAC518" s="500"/>
      <c r="OAD518" s="500"/>
      <c r="OAE518" s="500"/>
      <c r="OAF518" s="500"/>
      <c r="OAG518" s="500"/>
      <c r="OAH518" s="500"/>
      <c r="OAI518" s="500"/>
      <c r="OAJ518" s="500"/>
      <c r="OAK518" s="500"/>
      <c r="OAL518" s="500"/>
      <c r="OAM518" s="500"/>
      <c r="OAN518" s="500"/>
      <c r="OAO518" s="500"/>
      <c r="OAP518" s="500"/>
      <c r="OAQ518" s="500"/>
      <c r="OAR518" s="500"/>
      <c r="OAS518" s="500"/>
      <c r="OAT518" s="500"/>
      <c r="OAU518" s="500"/>
      <c r="OAV518" s="500"/>
      <c r="OAW518" s="500"/>
      <c r="OAX518" s="500"/>
      <c r="OAY518" s="500"/>
      <c r="OAZ518" s="500"/>
      <c r="OBA518" s="500"/>
      <c r="OBB518" s="500"/>
      <c r="OBC518" s="500"/>
      <c r="OBD518" s="500"/>
      <c r="OBE518" s="500"/>
      <c r="OBF518" s="500"/>
      <c r="OBG518" s="500"/>
      <c r="OBH518" s="500"/>
      <c r="OBI518" s="500"/>
      <c r="OBJ518" s="500"/>
      <c r="OBK518" s="500"/>
      <c r="OBL518" s="500"/>
      <c r="OBM518" s="500"/>
      <c r="OBN518" s="500"/>
      <c r="OBO518" s="500"/>
      <c r="OBP518" s="500"/>
      <c r="OBQ518" s="500"/>
      <c r="OBR518" s="500"/>
      <c r="OBS518" s="500"/>
      <c r="OBT518" s="500"/>
      <c r="OBU518" s="500"/>
      <c r="OBV518" s="500"/>
      <c r="OBW518" s="500"/>
      <c r="OBX518" s="500"/>
      <c r="OBY518" s="500"/>
      <c r="OBZ518" s="500"/>
      <c r="OCA518" s="500"/>
      <c r="OCB518" s="500"/>
      <c r="OCC518" s="500"/>
      <c r="OCD518" s="500"/>
      <c r="OCE518" s="500"/>
      <c r="OCF518" s="500"/>
      <c r="OCG518" s="500"/>
      <c r="OCH518" s="500"/>
      <c r="OCI518" s="500"/>
      <c r="OCJ518" s="500"/>
      <c r="OCK518" s="500"/>
      <c r="OCL518" s="500"/>
      <c r="OCM518" s="500"/>
      <c r="OCN518" s="500"/>
      <c r="OCO518" s="500"/>
      <c r="OCP518" s="500"/>
      <c r="OCQ518" s="500"/>
      <c r="OCR518" s="500"/>
      <c r="OCS518" s="500"/>
      <c r="OCT518" s="500"/>
      <c r="OCU518" s="500"/>
      <c r="OCV518" s="500"/>
      <c r="OCW518" s="500"/>
      <c r="OCX518" s="500"/>
      <c r="OCY518" s="500"/>
      <c r="OCZ518" s="500"/>
      <c r="ODA518" s="500"/>
      <c r="ODB518" s="500"/>
      <c r="ODC518" s="500"/>
      <c r="ODD518" s="500"/>
      <c r="ODE518" s="500"/>
      <c r="ODF518" s="500"/>
      <c r="ODG518" s="500"/>
      <c r="ODH518" s="500"/>
      <c r="ODI518" s="500"/>
      <c r="ODJ518" s="500"/>
      <c r="ODK518" s="500"/>
      <c r="ODL518" s="500"/>
      <c r="ODM518" s="500"/>
      <c r="ODN518" s="500"/>
      <c r="ODO518" s="500"/>
      <c r="ODP518" s="500"/>
      <c r="ODQ518" s="500"/>
      <c r="ODR518" s="500"/>
      <c r="ODS518" s="500"/>
      <c r="ODT518" s="500"/>
      <c r="ODU518" s="500"/>
      <c r="ODV518" s="500"/>
      <c r="ODW518" s="500"/>
      <c r="ODX518" s="500"/>
      <c r="ODY518" s="500"/>
      <c r="ODZ518" s="500"/>
      <c r="OEA518" s="500"/>
      <c r="OEB518" s="500"/>
      <c r="OEC518" s="500"/>
      <c r="OED518" s="500"/>
      <c r="OEE518" s="500"/>
      <c r="OEF518" s="500"/>
      <c r="OEG518" s="500"/>
      <c r="OEH518" s="500"/>
      <c r="OEI518" s="500"/>
      <c r="OEJ518" s="500"/>
      <c r="OEK518" s="500"/>
      <c r="OEL518" s="500"/>
      <c r="OEM518" s="500"/>
      <c r="OEN518" s="500"/>
      <c r="OEO518" s="500"/>
      <c r="OEP518" s="500"/>
      <c r="OEQ518" s="500"/>
      <c r="OER518" s="500"/>
      <c r="OES518" s="500"/>
      <c r="OET518" s="500"/>
      <c r="OEU518" s="500"/>
      <c r="OEV518" s="500"/>
      <c r="OEW518" s="500"/>
      <c r="OEX518" s="500"/>
      <c r="OEY518" s="500"/>
      <c r="OEZ518" s="500"/>
      <c r="OFA518" s="500"/>
      <c r="OFB518" s="500"/>
      <c r="OFC518" s="500"/>
      <c r="OFD518" s="500"/>
      <c r="OFE518" s="500"/>
      <c r="OFF518" s="500"/>
      <c r="OFG518" s="500"/>
      <c r="OFH518" s="500"/>
      <c r="OFI518" s="500"/>
      <c r="OFJ518" s="500"/>
      <c r="OFK518" s="500"/>
      <c r="OFL518" s="500"/>
      <c r="OFM518" s="500"/>
      <c r="OFN518" s="500"/>
      <c r="OFO518" s="500"/>
      <c r="OFP518" s="500"/>
      <c r="OFQ518" s="500"/>
      <c r="OFR518" s="500"/>
      <c r="OFS518" s="500"/>
      <c r="OFT518" s="500"/>
      <c r="OFU518" s="500"/>
      <c r="OFV518" s="500"/>
      <c r="OFW518" s="500"/>
      <c r="OFX518" s="500"/>
      <c r="OFY518" s="500"/>
      <c r="OFZ518" s="500"/>
      <c r="OGA518" s="500"/>
      <c r="OGB518" s="500"/>
      <c r="OGC518" s="500"/>
      <c r="OGD518" s="500"/>
      <c r="OGE518" s="500"/>
      <c r="OGF518" s="500"/>
      <c r="OGG518" s="500"/>
      <c r="OGH518" s="500"/>
      <c r="OGI518" s="500"/>
      <c r="OGJ518" s="500"/>
      <c r="OGK518" s="500"/>
      <c r="OGL518" s="500"/>
      <c r="OGM518" s="500"/>
      <c r="OGN518" s="500"/>
      <c r="OGO518" s="500"/>
      <c r="OGP518" s="500"/>
      <c r="OGQ518" s="500"/>
      <c r="OGR518" s="500"/>
      <c r="OGS518" s="500"/>
      <c r="OGT518" s="500"/>
      <c r="OGU518" s="500"/>
      <c r="OGV518" s="500"/>
      <c r="OGW518" s="500"/>
      <c r="OGX518" s="500"/>
      <c r="OGY518" s="500"/>
      <c r="OGZ518" s="500"/>
      <c r="OHA518" s="500"/>
      <c r="OHB518" s="500"/>
      <c r="OHC518" s="500"/>
      <c r="OHD518" s="500"/>
      <c r="OHE518" s="500"/>
      <c r="OHF518" s="500"/>
      <c r="OHG518" s="500"/>
      <c r="OHH518" s="500"/>
      <c r="OHI518" s="500"/>
      <c r="OHJ518" s="500"/>
      <c r="OHK518" s="500"/>
      <c r="OHL518" s="500"/>
      <c r="OHM518" s="500"/>
      <c r="OHN518" s="500"/>
      <c r="OHO518" s="500"/>
      <c r="OHP518" s="500"/>
      <c r="OHQ518" s="500"/>
      <c r="OHR518" s="500"/>
      <c r="OHS518" s="500"/>
      <c r="OHT518" s="500"/>
      <c r="OHU518" s="500"/>
      <c r="OHV518" s="500"/>
      <c r="OHW518" s="500"/>
      <c r="OHX518" s="500"/>
      <c r="OHY518" s="500"/>
      <c r="OHZ518" s="500"/>
      <c r="OIA518" s="500"/>
      <c r="OIB518" s="500"/>
      <c r="OIC518" s="500"/>
      <c r="OID518" s="500"/>
      <c r="OIE518" s="500"/>
      <c r="OIF518" s="500"/>
      <c r="OIG518" s="500"/>
      <c r="OIH518" s="500"/>
      <c r="OII518" s="500"/>
      <c r="OIJ518" s="500"/>
      <c r="OIK518" s="500"/>
      <c r="OIL518" s="500"/>
      <c r="OIM518" s="500"/>
      <c r="OIN518" s="500"/>
      <c r="OIO518" s="500"/>
      <c r="OIP518" s="500"/>
      <c r="OIQ518" s="500"/>
      <c r="OIR518" s="500"/>
      <c r="OIS518" s="500"/>
      <c r="OIT518" s="500"/>
      <c r="OIU518" s="500"/>
      <c r="OIV518" s="500"/>
      <c r="OIW518" s="500"/>
      <c r="OIX518" s="500"/>
      <c r="OIY518" s="500"/>
      <c r="OIZ518" s="500"/>
      <c r="OJA518" s="500"/>
      <c r="OJB518" s="500"/>
      <c r="OJC518" s="500"/>
      <c r="OJD518" s="500"/>
      <c r="OJE518" s="500"/>
      <c r="OJF518" s="500"/>
      <c r="OJG518" s="500"/>
      <c r="OJH518" s="500"/>
      <c r="OJI518" s="500"/>
      <c r="OJJ518" s="500"/>
      <c r="OJK518" s="500"/>
      <c r="OJL518" s="500"/>
      <c r="OJM518" s="500"/>
      <c r="OJN518" s="500"/>
      <c r="OJO518" s="500"/>
      <c r="OJP518" s="500"/>
      <c r="OJQ518" s="500"/>
      <c r="OJR518" s="500"/>
      <c r="OJS518" s="500"/>
      <c r="OJT518" s="500"/>
      <c r="OJU518" s="500"/>
      <c r="OJV518" s="500"/>
      <c r="OJW518" s="500"/>
      <c r="OJX518" s="500"/>
      <c r="OJY518" s="500"/>
      <c r="OJZ518" s="500"/>
      <c r="OKA518" s="500"/>
      <c r="OKB518" s="500"/>
      <c r="OKC518" s="500"/>
      <c r="OKD518" s="500"/>
      <c r="OKE518" s="500"/>
      <c r="OKF518" s="500"/>
      <c r="OKG518" s="500"/>
      <c r="OKH518" s="500"/>
      <c r="OKI518" s="500"/>
      <c r="OKJ518" s="500"/>
      <c r="OKK518" s="500"/>
      <c r="OKL518" s="500"/>
      <c r="OKM518" s="500"/>
      <c r="OKN518" s="500"/>
      <c r="OKO518" s="500"/>
      <c r="OKP518" s="500"/>
      <c r="OKQ518" s="500"/>
      <c r="OKR518" s="500"/>
      <c r="OKS518" s="500"/>
      <c r="OKT518" s="500"/>
      <c r="OKU518" s="500"/>
      <c r="OKV518" s="500"/>
      <c r="OKW518" s="500"/>
      <c r="OKX518" s="500"/>
      <c r="OKY518" s="500"/>
      <c r="OKZ518" s="500"/>
      <c r="OLA518" s="500"/>
      <c r="OLB518" s="500"/>
      <c r="OLC518" s="500"/>
      <c r="OLD518" s="500"/>
      <c r="OLE518" s="500"/>
      <c r="OLF518" s="500"/>
      <c r="OLG518" s="500"/>
      <c r="OLH518" s="500"/>
      <c r="OLI518" s="500"/>
      <c r="OLJ518" s="500"/>
      <c r="OLK518" s="500"/>
      <c r="OLL518" s="500"/>
      <c r="OLM518" s="500"/>
      <c r="OLN518" s="500"/>
      <c r="OLO518" s="500"/>
      <c r="OLP518" s="500"/>
      <c r="OLQ518" s="500"/>
      <c r="OLR518" s="500"/>
      <c r="OLS518" s="500"/>
      <c r="OLT518" s="500"/>
      <c r="OLU518" s="500"/>
      <c r="OLV518" s="500"/>
      <c r="OLW518" s="500"/>
      <c r="OLX518" s="500"/>
      <c r="OLY518" s="500"/>
      <c r="OLZ518" s="500"/>
      <c r="OMA518" s="500"/>
      <c r="OMB518" s="500"/>
      <c r="OMC518" s="500"/>
      <c r="OMD518" s="500"/>
      <c r="OME518" s="500"/>
      <c r="OMF518" s="500"/>
      <c r="OMG518" s="500"/>
      <c r="OMH518" s="500"/>
      <c r="OMI518" s="500"/>
      <c r="OMJ518" s="500"/>
      <c r="OMK518" s="500"/>
      <c r="OML518" s="500"/>
      <c r="OMM518" s="500"/>
      <c r="OMN518" s="500"/>
      <c r="OMO518" s="500"/>
      <c r="OMP518" s="500"/>
      <c r="OMQ518" s="500"/>
      <c r="OMR518" s="500"/>
      <c r="OMS518" s="500"/>
      <c r="OMT518" s="500"/>
      <c r="OMU518" s="500"/>
      <c r="OMV518" s="500"/>
      <c r="OMW518" s="500"/>
      <c r="OMX518" s="500"/>
      <c r="OMY518" s="500"/>
      <c r="OMZ518" s="500"/>
      <c r="ONA518" s="500"/>
      <c r="ONB518" s="500"/>
      <c r="ONC518" s="500"/>
      <c r="OND518" s="500"/>
      <c r="ONE518" s="500"/>
      <c r="ONF518" s="500"/>
      <c r="ONG518" s="500"/>
      <c r="ONH518" s="500"/>
      <c r="ONI518" s="500"/>
      <c r="ONJ518" s="500"/>
      <c r="ONK518" s="500"/>
      <c r="ONL518" s="500"/>
      <c r="ONM518" s="500"/>
      <c r="ONN518" s="500"/>
      <c r="ONO518" s="500"/>
      <c r="ONP518" s="500"/>
      <c r="ONQ518" s="500"/>
      <c r="ONR518" s="500"/>
      <c r="ONS518" s="500"/>
      <c r="ONT518" s="500"/>
      <c r="ONU518" s="500"/>
      <c r="ONV518" s="500"/>
      <c r="ONW518" s="500"/>
      <c r="ONX518" s="500"/>
      <c r="ONY518" s="500"/>
      <c r="ONZ518" s="500"/>
      <c r="OOA518" s="500"/>
      <c r="OOB518" s="500"/>
      <c r="OOC518" s="500"/>
      <c r="OOD518" s="500"/>
      <c r="OOE518" s="500"/>
      <c r="OOF518" s="500"/>
      <c r="OOG518" s="500"/>
      <c r="OOH518" s="500"/>
      <c r="OOI518" s="500"/>
      <c r="OOJ518" s="500"/>
      <c r="OOK518" s="500"/>
      <c r="OOL518" s="500"/>
      <c r="OOM518" s="500"/>
      <c r="OON518" s="500"/>
      <c r="OOO518" s="500"/>
      <c r="OOP518" s="500"/>
      <c r="OOQ518" s="500"/>
      <c r="OOR518" s="500"/>
      <c r="OOS518" s="500"/>
      <c r="OOT518" s="500"/>
      <c r="OOU518" s="500"/>
      <c r="OOV518" s="500"/>
      <c r="OOW518" s="500"/>
      <c r="OOX518" s="500"/>
      <c r="OOY518" s="500"/>
      <c r="OOZ518" s="500"/>
      <c r="OPA518" s="500"/>
      <c r="OPB518" s="500"/>
      <c r="OPC518" s="500"/>
      <c r="OPD518" s="500"/>
      <c r="OPE518" s="500"/>
      <c r="OPF518" s="500"/>
      <c r="OPG518" s="500"/>
      <c r="OPH518" s="500"/>
      <c r="OPI518" s="500"/>
      <c r="OPJ518" s="500"/>
      <c r="OPK518" s="500"/>
      <c r="OPL518" s="500"/>
      <c r="OPM518" s="500"/>
      <c r="OPN518" s="500"/>
      <c r="OPO518" s="500"/>
      <c r="OPP518" s="500"/>
      <c r="OPQ518" s="500"/>
      <c r="OPR518" s="500"/>
      <c r="OPS518" s="500"/>
      <c r="OPT518" s="500"/>
      <c r="OPU518" s="500"/>
      <c r="OPV518" s="500"/>
      <c r="OPW518" s="500"/>
      <c r="OPX518" s="500"/>
      <c r="OPY518" s="500"/>
      <c r="OPZ518" s="500"/>
      <c r="OQA518" s="500"/>
      <c r="OQB518" s="500"/>
      <c r="OQC518" s="500"/>
      <c r="OQD518" s="500"/>
      <c r="OQE518" s="500"/>
      <c r="OQF518" s="500"/>
      <c r="OQG518" s="500"/>
      <c r="OQH518" s="500"/>
      <c r="OQI518" s="500"/>
      <c r="OQJ518" s="500"/>
      <c r="OQK518" s="500"/>
      <c r="OQL518" s="500"/>
      <c r="OQM518" s="500"/>
      <c r="OQN518" s="500"/>
      <c r="OQO518" s="500"/>
      <c r="OQP518" s="500"/>
      <c r="OQQ518" s="500"/>
      <c r="OQR518" s="500"/>
      <c r="OQS518" s="500"/>
      <c r="OQT518" s="500"/>
      <c r="OQU518" s="500"/>
      <c r="OQV518" s="500"/>
      <c r="OQW518" s="500"/>
      <c r="OQX518" s="500"/>
      <c r="OQY518" s="500"/>
      <c r="OQZ518" s="500"/>
      <c r="ORA518" s="500"/>
      <c r="ORB518" s="500"/>
      <c r="ORC518" s="500"/>
      <c r="ORD518" s="500"/>
      <c r="ORE518" s="500"/>
      <c r="ORF518" s="500"/>
      <c r="ORG518" s="500"/>
      <c r="ORH518" s="500"/>
      <c r="ORI518" s="500"/>
      <c r="ORJ518" s="500"/>
      <c r="ORK518" s="500"/>
      <c r="ORL518" s="500"/>
      <c r="ORM518" s="500"/>
      <c r="ORN518" s="500"/>
      <c r="ORO518" s="500"/>
      <c r="ORP518" s="500"/>
      <c r="ORQ518" s="500"/>
      <c r="ORR518" s="500"/>
      <c r="ORS518" s="500"/>
      <c r="ORT518" s="500"/>
      <c r="ORU518" s="500"/>
      <c r="ORV518" s="500"/>
      <c r="ORW518" s="500"/>
      <c r="ORX518" s="500"/>
      <c r="ORY518" s="500"/>
      <c r="ORZ518" s="500"/>
      <c r="OSA518" s="500"/>
      <c r="OSB518" s="500"/>
      <c r="OSC518" s="500"/>
      <c r="OSD518" s="500"/>
      <c r="OSE518" s="500"/>
      <c r="OSF518" s="500"/>
      <c r="OSG518" s="500"/>
      <c r="OSH518" s="500"/>
      <c r="OSI518" s="500"/>
      <c r="OSJ518" s="500"/>
      <c r="OSK518" s="500"/>
      <c r="OSL518" s="500"/>
      <c r="OSM518" s="500"/>
      <c r="OSN518" s="500"/>
      <c r="OSO518" s="500"/>
      <c r="OSP518" s="500"/>
      <c r="OSQ518" s="500"/>
      <c r="OSR518" s="500"/>
      <c r="OSS518" s="500"/>
      <c r="OST518" s="500"/>
      <c r="OSU518" s="500"/>
      <c r="OSV518" s="500"/>
      <c r="OSW518" s="500"/>
      <c r="OSX518" s="500"/>
      <c r="OSY518" s="500"/>
      <c r="OSZ518" s="500"/>
      <c r="OTA518" s="500"/>
      <c r="OTB518" s="500"/>
      <c r="OTC518" s="500"/>
      <c r="OTD518" s="500"/>
      <c r="OTE518" s="500"/>
      <c r="OTF518" s="500"/>
      <c r="OTG518" s="500"/>
      <c r="OTH518" s="500"/>
      <c r="OTI518" s="500"/>
      <c r="OTJ518" s="500"/>
      <c r="OTK518" s="500"/>
      <c r="OTL518" s="500"/>
      <c r="OTM518" s="500"/>
      <c r="OTN518" s="500"/>
      <c r="OTO518" s="500"/>
      <c r="OTP518" s="500"/>
      <c r="OTQ518" s="500"/>
      <c r="OTR518" s="500"/>
      <c r="OTS518" s="500"/>
      <c r="OTT518" s="500"/>
      <c r="OTU518" s="500"/>
      <c r="OTV518" s="500"/>
      <c r="OTW518" s="500"/>
      <c r="OTX518" s="500"/>
      <c r="OTY518" s="500"/>
      <c r="OTZ518" s="500"/>
      <c r="OUA518" s="500"/>
      <c r="OUB518" s="500"/>
      <c r="OUC518" s="500"/>
      <c r="OUD518" s="500"/>
      <c r="OUE518" s="500"/>
      <c r="OUF518" s="500"/>
      <c r="OUG518" s="500"/>
      <c r="OUH518" s="500"/>
      <c r="OUI518" s="500"/>
      <c r="OUJ518" s="500"/>
      <c r="OUK518" s="500"/>
      <c r="OUL518" s="500"/>
      <c r="OUM518" s="500"/>
      <c r="OUN518" s="500"/>
      <c r="OUO518" s="500"/>
      <c r="OUP518" s="500"/>
      <c r="OUQ518" s="500"/>
      <c r="OUR518" s="500"/>
      <c r="OUS518" s="500"/>
      <c r="OUT518" s="500"/>
      <c r="OUU518" s="500"/>
      <c r="OUV518" s="500"/>
      <c r="OUW518" s="500"/>
      <c r="OUX518" s="500"/>
      <c r="OUY518" s="500"/>
      <c r="OUZ518" s="500"/>
      <c r="OVA518" s="500"/>
      <c r="OVB518" s="500"/>
      <c r="OVC518" s="500"/>
      <c r="OVD518" s="500"/>
      <c r="OVE518" s="500"/>
      <c r="OVF518" s="500"/>
      <c r="OVG518" s="500"/>
      <c r="OVH518" s="500"/>
      <c r="OVI518" s="500"/>
      <c r="OVJ518" s="500"/>
      <c r="OVK518" s="500"/>
      <c r="OVL518" s="500"/>
      <c r="OVM518" s="500"/>
      <c r="OVN518" s="500"/>
      <c r="OVO518" s="500"/>
      <c r="OVP518" s="500"/>
      <c r="OVQ518" s="500"/>
      <c r="OVR518" s="500"/>
      <c r="OVS518" s="500"/>
      <c r="OVT518" s="500"/>
      <c r="OVU518" s="500"/>
      <c r="OVV518" s="500"/>
      <c r="OVW518" s="500"/>
      <c r="OVX518" s="500"/>
      <c r="OVY518" s="500"/>
      <c r="OVZ518" s="500"/>
      <c r="OWA518" s="500"/>
      <c r="OWB518" s="500"/>
      <c r="OWC518" s="500"/>
      <c r="OWD518" s="500"/>
      <c r="OWE518" s="500"/>
      <c r="OWF518" s="500"/>
      <c r="OWG518" s="500"/>
      <c r="OWH518" s="500"/>
      <c r="OWI518" s="500"/>
      <c r="OWJ518" s="500"/>
      <c r="OWK518" s="500"/>
      <c r="OWL518" s="500"/>
      <c r="OWM518" s="500"/>
      <c r="OWN518" s="500"/>
      <c r="OWO518" s="500"/>
      <c r="OWP518" s="500"/>
      <c r="OWQ518" s="500"/>
      <c r="OWR518" s="500"/>
      <c r="OWS518" s="500"/>
      <c r="OWT518" s="500"/>
      <c r="OWU518" s="500"/>
      <c r="OWV518" s="500"/>
      <c r="OWW518" s="500"/>
      <c r="OWX518" s="500"/>
      <c r="OWY518" s="500"/>
      <c r="OWZ518" s="500"/>
      <c r="OXA518" s="500"/>
      <c r="OXB518" s="500"/>
      <c r="OXC518" s="500"/>
      <c r="OXD518" s="500"/>
      <c r="OXE518" s="500"/>
      <c r="OXF518" s="500"/>
      <c r="OXG518" s="500"/>
      <c r="OXH518" s="500"/>
      <c r="OXI518" s="500"/>
      <c r="OXJ518" s="500"/>
      <c r="OXK518" s="500"/>
      <c r="OXL518" s="500"/>
      <c r="OXM518" s="500"/>
      <c r="OXN518" s="500"/>
      <c r="OXO518" s="500"/>
      <c r="OXP518" s="500"/>
      <c r="OXQ518" s="500"/>
      <c r="OXR518" s="500"/>
      <c r="OXS518" s="500"/>
      <c r="OXT518" s="500"/>
      <c r="OXU518" s="500"/>
      <c r="OXV518" s="500"/>
      <c r="OXW518" s="500"/>
      <c r="OXX518" s="500"/>
      <c r="OXY518" s="500"/>
      <c r="OXZ518" s="500"/>
      <c r="OYA518" s="500"/>
      <c r="OYB518" s="500"/>
      <c r="OYC518" s="500"/>
      <c r="OYD518" s="500"/>
      <c r="OYE518" s="500"/>
      <c r="OYF518" s="500"/>
      <c r="OYG518" s="500"/>
      <c r="OYH518" s="500"/>
      <c r="OYI518" s="500"/>
      <c r="OYJ518" s="500"/>
      <c r="OYK518" s="500"/>
      <c r="OYL518" s="500"/>
      <c r="OYM518" s="500"/>
      <c r="OYN518" s="500"/>
      <c r="OYO518" s="500"/>
      <c r="OYP518" s="500"/>
      <c r="OYQ518" s="500"/>
      <c r="OYR518" s="500"/>
      <c r="OYS518" s="500"/>
      <c r="OYT518" s="500"/>
      <c r="OYU518" s="500"/>
      <c r="OYV518" s="500"/>
      <c r="OYW518" s="500"/>
      <c r="OYX518" s="500"/>
      <c r="OYY518" s="500"/>
      <c r="OYZ518" s="500"/>
      <c r="OZA518" s="500"/>
      <c r="OZB518" s="500"/>
      <c r="OZC518" s="500"/>
      <c r="OZD518" s="500"/>
      <c r="OZE518" s="500"/>
      <c r="OZF518" s="500"/>
      <c r="OZG518" s="500"/>
      <c r="OZH518" s="500"/>
      <c r="OZI518" s="500"/>
      <c r="OZJ518" s="500"/>
      <c r="OZK518" s="500"/>
      <c r="OZL518" s="500"/>
      <c r="OZM518" s="500"/>
      <c r="OZN518" s="500"/>
      <c r="OZO518" s="500"/>
      <c r="OZP518" s="500"/>
      <c r="OZQ518" s="500"/>
      <c r="OZR518" s="500"/>
      <c r="OZS518" s="500"/>
      <c r="OZT518" s="500"/>
      <c r="OZU518" s="500"/>
      <c r="OZV518" s="500"/>
      <c r="OZW518" s="500"/>
      <c r="OZX518" s="500"/>
      <c r="OZY518" s="500"/>
      <c r="OZZ518" s="500"/>
      <c r="PAA518" s="500"/>
      <c r="PAB518" s="500"/>
      <c r="PAC518" s="500"/>
      <c r="PAD518" s="500"/>
      <c r="PAE518" s="500"/>
      <c r="PAF518" s="500"/>
      <c r="PAG518" s="500"/>
      <c r="PAH518" s="500"/>
      <c r="PAI518" s="500"/>
      <c r="PAJ518" s="500"/>
      <c r="PAK518" s="500"/>
      <c r="PAL518" s="500"/>
      <c r="PAM518" s="500"/>
      <c r="PAN518" s="500"/>
      <c r="PAO518" s="500"/>
      <c r="PAP518" s="500"/>
      <c r="PAQ518" s="500"/>
      <c r="PAR518" s="500"/>
      <c r="PAS518" s="500"/>
      <c r="PAT518" s="500"/>
      <c r="PAU518" s="500"/>
      <c r="PAV518" s="500"/>
      <c r="PAW518" s="500"/>
      <c r="PAX518" s="500"/>
      <c r="PAY518" s="500"/>
      <c r="PAZ518" s="500"/>
      <c r="PBA518" s="500"/>
      <c r="PBB518" s="500"/>
      <c r="PBC518" s="500"/>
      <c r="PBD518" s="500"/>
      <c r="PBE518" s="500"/>
      <c r="PBF518" s="500"/>
      <c r="PBG518" s="500"/>
      <c r="PBH518" s="500"/>
      <c r="PBI518" s="500"/>
      <c r="PBJ518" s="500"/>
      <c r="PBK518" s="500"/>
      <c r="PBL518" s="500"/>
      <c r="PBM518" s="500"/>
      <c r="PBN518" s="500"/>
      <c r="PBO518" s="500"/>
      <c r="PBP518" s="500"/>
      <c r="PBQ518" s="500"/>
      <c r="PBR518" s="500"/>
      <c r="PBS518" s="500"/>
      <c r="PBT518" s="500"/>
      <c r="PBU518" s="500"/>
      <c r="PBV518" s="500"/>
      <c r="PBW518" s="500"/>
      <c r="PBX518" s="500"/>
      <c r="PBY518" s="500"/>
      <c r="PBZ518" s="500"/>
      <c r="PCA518" s="500"/>
      <c r="PCB518" s="500"/>
      <c r="PCC518" s="500"/>
      <c r="PCD518" s="500"/>
      <c r="PCE518" s="500"/>
      <c r="PCF518" s="500"/>
      <c r="PCG518" s="500"/>
      <c r="PCH518" s="500"/>
      <c r="PCI518" s="500"/>
      <c r="PCJ518" s="500"/>
      <c r="PCK518" s="500"/>
      <c r="PCL518" s="500"/>
      <c r="PCM518" s="500"/>
      <c r="PCN518" s="500"/>
      <c r="PCO518" s="500"/>
      <c r="PCP518" s="500"/>
      <c r="PCQ518" s="500"/>
      <c r="PCR518" s="500"/>
      <c r="PCS518" s="500"/>
      <c r="PCT518" s="500"/>
      <c r="PCU518" s="500"/>
      <c r="PCV518" s="500"/>
      <c r="PCW518" s="500"/>
      <c r="PCX518" s="500"/>
      <c r="PCY518" s="500"/>
      <c r="PCZ518" s="500"/>
      <c r="PDA518" s="500"/>
      <c r="PDB518" s="500"/>
      <c r="PDC518" s="500"/>
      <c r="PDD518" s="500"/>
      <c r="PDE518" s="500"/>
      <c r="PDF518" s="500"/>
      <c r="PDG518" s="500"/>
      <c r="PDH518" s="500"/>
      <c r="PDI518" s="500"/>
      <c r="PDJ518" s="500"/>
      <c r="PDK518" s="500"/>
      <c r="PDL518" s="500"/>
      <c r="PDM518" s="500"/>
      <c r="PDN518" s="500"/>
      <c r="PDO518" s="500"/>
      <c r="PDP518" s="500"/>
      <c r="PDQ518" s="500"/>
      <c r="PDR518" s="500"/>
      <c r="PDS518" s="500"/>
      <c r="PDT518" s="500"/>
      <c r="PDU518" s="500"/>
      <c r="PDV518" s="500"/>
      <c r="PDW518" s="500"/>
      <c r="PDX518" s="500"/>
      <c r="PDY518" s="500"/>
      <c r="PDZ518" s="500"/>
      <c r="PEA518" s="500"/>
      <c r="PEB518" s="500"/>
      <c r="PEC518" s="500"/>
      <c r="PED518" s="500"/>
      <c r="PEE518" s="500"/>
      <c r="PEF518" s="500"/>
      <c r="PEG518" s="500"/>
      <c r="PEH518" s="500"/>
      <c r="PEI518" s="500"/>
      <c r="PEJ518" s="500"/>
      <c r="PEK518" s="500"/>
      <c r="PEL518" s="500"/>
      <c r="PEM518" s="500"/>
      <c r="PEN518" s="500"/>
      <c r="PEO518" s="500"/>
      <c r="PEP518" s="500"/>
      <c r="PEQ518" s="500"/>
      <c r="PER518" s="500"/>
      <c r="PES518" s="500"/>
      <c r="PET518" s="500"/>
      <c r="PEU518" s="500"/>
      <c r="PEV518" s="500"/>
      <c r="PEW518" s="500"/>
      <c r="PEX518" s="500"/>
      <c r="PEY518" s="500"/>
      <c r="PEZ518" s="500"/>
      <c r="PFA518" s="500"/>
      <c r="PFB518" s="500"/>
      <c r="PFC518" s="500"/>
      <c r="PFD518" s="500"/>
      <c r="PFE518" s="500"/>
      <c r="PFF518" s="500"/>
      <c r="PFG518" s="500"/>
      <c r="PFH518" s="500"/>
      <c r="PFI518" s="500"/>
      <c r="PFJ518" s="500"/>
      <c r="PFK518" s="500"/>
      <c r="PFL518" s="500"/>
      <c r="PFM518" s="500"/>
      <c r="PFN518" s="500"/>
      <c r="PFO518" s="500"/>
      <c r="PFP518" s="500"/>
      <c r="PFQ518" s="500"/>
      <c r="PFR518" s="500"/>
      <c r="PFS518" s="500"/>
      <c r="PFT518" s="500"/>
      <c r="PFU518" s="500"/>
      <c r="PFV518" s="500"/>
      <c r="PFW518" s="500"/>
      <c r="PFX518" s="500"/>
      <c r="PFY518" s="500"/>
      <c r="PFZ518" s="500"/>
      <c r="PGA518" s="500"/>
      <c r="PGB518" s="500"/>
      <c r="PGC518" s="500"/>
      <c r="PGD518" s="500"/>
      <c r="PGE518" s="500"/>
      <c r="PGF518" s="500"/>
      <c r="PGG518" s="500"/>
      <c r="PGH518" s="500"/>
      <c r="PGI518" s="500"/>
      <c r="PGJ518" s="500"/>
      <c r="PGK518" s="500"/>
      <c r="PGL518" s="500"/>
      <c r="PGM518" s="500"/>
      <c r="PGN518" s="500"/>
      <c r="PGO518" s="500"/>
      <c r="PGP518" s="500"/>
      <c r="PGQ518" s="500"/>
      <c r="PGR518" s="500"/>
      <c r="PGS518" s="500"/>
      <c r="PGT518" s="500"/>
      <c r="PGU518" s="500"/>
      <c r="PGV518" s="500"/>
      <c r="PGW518" s="500"/>
      <c r="PGX518" s="500"/>
      <c r="PGY518" s="500"/>
      <c r="PGZ518" s="500"/>
      <c r="PHA518" s="500"/>
      <c r="PHB518" s="500"/>
      <c r="PHC518" s="500"/>
      <c r="PHD518" s="500"/>
      <c r="PHE518" s="500"/>
      <c r="PHF518" s="500"/>
      <c r="PHG518" s="500"/>
      <c r="PHH518" s="500"/>
      <c r="PHI518" s="500"/>
      <c r="PHJ518" s="500"/>
      <c r="PHK518" s="500"/>
      <c r="PHL518" s="500"/>
      <c r="PHM518" s="500"/>
      <c r="PHN518" s="500"/>
      <c r="PHO518" s="500"/>
      <c r="PHP518" s="500"/>
      <c r="PHQ518" s="500"/>
      <c r="PHR518" s="500"/>
      <c r="PHS518" s="500"/>
      <c r="PHT518" s="500"/>
      <c r="PHU518" s="500"/>
      <c r="PHV518" s="500"/>
      <c r="PHW518" s="500"/>
      <c r="PHX518" s="500"/>
      <c r="PHY518" s="500"/>
      <c r="PHZ518" s="500"/>
      <c r="PIA518" s="500"/>
      <c r="PIB518" s="500"/>
      <c r="PIC518" s="500"/>
      <c r="PID518" s="500"/>
      <c r="PIE518" s="500"/>
      <c r="PIF518" s="500"/>
      <c r="PIG518" s="500"/>
      <c r="PIH518" s="500"/>
      <c r="PII518" s="500"/>
      <c r="PIJ518" s="500"/>
      <c r="PIK518" s="500"/>
      <c r="PIL518" s="500"/>
      <c r="PIM518" s="500"/>
      <c r="PIN518" s="500"/>
      <c r="PIO518" s="500"/>
      <c r="PIP518" s="500"/>
      <c r="PIQ518" s="500"/>
      <c r="PIR518" s="500"/>
      <c r="PIS518" s="500"/>
      <c r="PIT518" s="500"/>
      <c r="PIU518" s="500"/>
      <c r="PIV518" s="500"/>
      <c r="PIW518" s="500"/>
      <c r="PIX518" s="500"/>
      <c r="PIY518" s="500"/>
      <c r="PIZ518" s="500"/>
      <c r="PJA518" s="500"/>
      <c r="PJB518" s="500"/>
      <c r="PJC518" s="500"/>
      <c r="PJD518" s="500"/>
      <c r="PJE518" s="500"/>
      <c r="PJF518" s="500"/>
      <c r="PJG518" s="500"/>
      <c r="PJH518" s="500"/>
      <c r="PJI518" s="500"/>
      <c r="PJJ518" s="500"/>
      <c r="PJK518" s="500"/>
      <c r="PJL518" s="500"/>
      <c r="PJM518" s="500"/>
      <c r="PJN518" s="500"/>
      <c r="PJO518" s="500"/>
      <c r="PJP518" s="500"/>
      <c r="PJQ518" s="500"/>
      <c r="PJR518" s="500"/>
      <c r="PJS518" s="500"/>
      <c r="PJT518" s="500"/>
      <c r="PJU518" s="500"/>
      <c r="PJV518" s="500"/>
      <c r="PJW518" s="500"/>
      <c r="PJX518" s="500"/>
      <c r="PJY518" s="500"/>
      <c r="PJZ518" s="500"/>
      <c r="PKA518" s="500"/>
      <c r="PKB518" s="500"/>
      <c r="PKC518" s="500"/>
      <c r="PKD518" s="500"/>
      <c r="PKE518" s="500"/>
      <c r="PKF518" s="500"/>
      <c r="PKG518" s="500"/>
      <c r="PKH518" s="500"/>
      <c r="PKI518" s="500"/>
      <c r="PKJ518" s="500"/>
      <c r="PKK518" s="500"/>
      <c r="PKL518" s="500"/>
      <c r="PKM518" s="500"/>
      <c r="PKN518" s="500"/>
      <c r="PKO518" s="500"/>
      <c r="PKP518" s="500"/>
      <c r="PKQ518" s="500"/>
      <c r="PKR518" s="500"/>
      <c r="PKS518" s="500"/>
      <c r="PKT518" s="500"/>
      <c r="PKU518" s="500"/>
      <c r="PKV518" s="500"/>
      <c r="PKW518" s="500"/>
      <c r="PKX518" s="500"/>
      <c r="PKY518" s="500"/>
      <c r="PKZ518" s="500"/>
      <c r="PLA518" s="500"/>
      <c r="PLB518" s="500"/>
      <c r="PLC518" s="500"/>
      <c r="PLD518" s="500"/>
      <c r="PLE518" s="500"/>
      <c r="PLF518" s="500"/>
      <c r="PLG518" s="500"/>
      <c r="PLH518" s="500"/>
      <c r="PLI518" s="500"/>
      <c r="PLJ518" s="500"/>
      <c r="PLK518" s="500"/>
      <c r="PLL518" s="500"/>
      <c r="PLM518" s="500"/>
      <c r="PLN518" s="500"/>
      <c r="PLO518" s="500"/>
      <c r="PLP518" s="500"/>
      <c r="PLQ518" s="500"/>
      <c r="PLR518" s="500"/>
      <c r="PLS518" s="500"/>
      <c r="PLT518" s="500"/>
      <c r="PLU518" s="500"/>
      <c r="PLV518" s="500"/>
      <c r="PLW518" s="500"/>
      <c r="PLX518" s="500"/>
      <c r="PLY518" s="500"/>
      <c r="PLZ518" s="500"/>
      <c r="PMA518" s="500"/>
      <c r="PMB518" s="500"/>
      <c r="PMC518" s="500"/>
      <c r="PMD518" s="500"/>
      <c r="PME518" s="500"/>
      <c r="PMF518" s="500"/>
      <c r="PMG518" s="500"/>
      <c r="PMH518" s="500"/>
      <c r="PMI518" s="500"/>
      <c r="PMJ518" s="500"/>
      <c r="PMK518" s="500"/>
      <c r="PML518" s="500"/>
      <c r="PMM518" s="500"/>
      <c r="PMN518" s="500"/>
      <c r="PMO518" s="500"/>
      <c r="PMP518" s="500"/>
      <c r="PMQ518" s="500"/>
      <c r="PMR518" s="500"/>
      <c r="PMS518" s="500"/>
      <c r="PMT518" s="500"/>
      <c r="PMU518" s="500"/>
      <c r="PMV518" s="500"/>
      <c r="PMW518" s="500"/>
      <c r="PMX518" s="500"/>
      <c r="PMY518" s="500"/>
      <c r="PMZ518" s="500"/>
      <c r="PNA518" s="500"/>
      <c r="PNB518" s="500"/>
      <c r="PNC518" s="500"/>
      <c r="PND518" s="500"/>
      <c r="PNE518" s="500"/>
      <c r="PNF518" s="500"/>
      <c r="PNG518" s="500"/>
      <c r="PNH518" s="500"/>
      <c r="PNI518" s="500"/>
      <c r="PNJ518" s="500"/>
      <c r="PNK518" s="500"/>
      <c r="PNL518" s="500"/>
      <c r="PNM518" s="500"/>
      <c r="PNN518" s="500"/>
      <c r="PNO518" s="500"/>
      <c r="PNP518" s="500"/>
      <c r="PNQ518" s="500"/>
      <c r="PNR518" s="500"/>
      <c r="PNS518" s="500"/>
      <c r="PNT518" s="500"/>
      <c r="PNU518" s="500"/>
      <c r="PNV518" s="500"/>
      <c r="PNW518" s="500"/>
      <c r="PNX518" s="500"/>
      <c r="PNY518" s="500"/>
      <c r="PNZ518" s="500"/>
      <c r="POA518" s="500"/>
      <c r="POB518" s="500"/>
      <c r="POC518" s="500"/>
      <c r="POD518" s="500"/>
      <c r="POE518" s="500"/>
      <c r="POF518" s="500"/>
      <c r="POG518" s="500"/>
      <c r="POH518" s="500"/>
      <c r="POI518" s="500"/>
      <c r="POJ518" s="500"/>
      <c r="POK518" s="500"/>
      <c r="POL518" s="500"/>
      <c r="POM518" s="500"/>
      <c r="PON518" s="500"/>
      <c r="POO518" s="500"/>
      <c r="POP518" s="500"/>
      <c r="POQ518" s="500"/>
      <c r="POR518" s="500"/>
      <c r="POS518" s="500"/>
      <c r="POT518" s="500"/>
      <c r="POU518" s="500"/>
      <c r="POV518" s="500"/>
      <c r="POW518" s="500"/>
      <c r="POX518" s="500"/>
      <c r="POY518" s="500"/>
      <c r="POZ518" s="500"/>
      <c r="PPA518" s="500"/>
      <c r="PPB518" s="500"/>
      <c r="PPC518" s="500"/>
      <c r="PPD518" s="500"/>
      <c r="PPE518" s="500"/>
      <c r="PPF518" s="500"/>
      <c r="PPG518" s="500"/>
      <c r="PPH518" s="500"/>
      <c r="PPI518" s="500"/>
      <c r="PPJ518" s="500"/>
      <c r="PPK518" s="500"/>
      <c r="PPL518" s="500"/>
      <c r="PPM518" s="500"/>
      <c r="PPN518" s="500"/>
      <c r="PPO518" s="500"/>
      <c r="PPP518" s="500"/>
      <c r="PPQ518" s="500"/>
      <c r="PPR518" s="500"/>
      <c r="PPS518" s="500"/>
      <c r="PPT518" s="500"/>
      <c r="PPU518" s="500"/>
      <c r="PPV518" s="500"/>
      <c r="PPW518" s="500"/>
      <c r="PPX518" s="500"/>
      <c r="PPY518" s="500"/>
      <c r="PPZ518" s="500"/>
      <c r="PQA518" s="500"/>
      <c r="PQB518" s="500"/>
      <c r="PQC518" s="500"/>
      <c r="PQD518" s="500"/>
      <c r="PQE518" s="500"/>
      <c r="PQF518" s="500"/>
      <c r="PQG518" s="500"/>
      <c r="PQH518" s="500"/>
      <c r="PQI518" s="500"/>
      <c r="PQJ518" s="500"/>
      <c r="PQK518" s="500"/>
      <c r="PQL518" s="500"/>
      <c r="PQM518" s="500"/>
      <c r="PQN518" s="500"/>
      <c r="PQO518" s="500"/>
      <c r="PQP518" s="500"/>
      <c r="PQQ518" s="500"/>
      <c r="PQR518" s="500"/>
      <c r="PQS518" s="500"/>
      <c r="PQT518" s="500"/>
      <c r="PQU518" s="500"/>
      <c r="PQV518" s="500"/>
      <c r="PQW518" s="500"/>
      <c r="PQX518" s="500"/>
      <c r="PQY518" s="500"/>
      <c r="PQZ518" s="500"/>
      <c r="PRA518" s="500"/>
      <c r="PRB518" s="500"/>
      <c r="PRC518" s="500"/>
      <c r="PRD518" s="500"/>
      <c r="PRE518" s="500"/>
      <c r="PRF518" s="500"/>
      <c r="PRG518" s="500"/>
      <c r="PRH518" s="500"/>
      <c r="PRI518" s="500"/>
      <c r="PRJ518" s="500"/>
      <c r="PRK518" s="500"/>
      <c r="PRL518" s="500"/>
      <c r="PRM518" s="500"/>
      <c r="PRN518" s="500"/>
      <c r="PRO518" s="500"/>
      <c r="PRP518" s="500"/>
      <c r="PRQ518" s="500"/>
      <c r="PRR518" s="500"/>
      <c r="PRS518" s="500"/>
      <c r="PRT518" s="500"/>
      <c r="PRU518" s="500"/>
      <c r="PRV518" s="500"/>
      <c r="PRW518" s="500"/>
      <c r="PRX518" s="500"/>
      <c r="PRY518" s="500"/>
      <c r="PRZ518" s="500"/>
      <c r="PSA518" s="500"/>
      <c r="PSB518" s="500"/>
      <c r="PSC518" s="500"/>
      <c r="PSD518" s="500"/>
      <c r="PSE518" s="500"/>
      <c r="PSF518" s="500"/>
      <c r="PSG518" s="500"/>
      <c r="PSH518" s="500"/>
      <c r="PSI518" s="500"/>
      <c r="PSJ518" s="500"/>
      <c r="PSK518" s="500"/>
      <c r="PSL518" s="500"/>
      <c r="PSM518" s="500"/>
      <c r="PSN518" s="500"/>
      <c r="PSO518" s="500"/>
      <c r="PSP518" s="500"/>
      <c r="PSQ518" s="500"/>
      <c r="PSR518" s="500"/>
      <c r="PSS518" s="500"/>
      <c r="PST518" s="500"/>
      <c r="PSU518" s="500"/>
      <c r="PSV518" s="500"/>
      <c r="PSW518" s="500"/>
      <c r="PSX518" s="500"/>
      <c r="PSY518" s="500"/>
      <c r="PSZ518" s="500"/>
      <c r="PTA518" s="500"/>
      <c r="PTB518" s="500"/>
      <c r="PTC518" s="500"/>
      <c r="PTD518" s="500"/>
      <c r="PTE518" s="500"/>
      <c r="PTF518" s="500"/>
      <c r="PTG518" s="500"/>
      <c r="PTH518" s="500"/>
      <c r="PTI518" s="500"/>
      <c r="PTJ518" s="500"/>
      <c r="PTK518" s="500"/>
      <c r="PTL518" s="500"/>
      <c r="PTM518" s="500"/>
      <c r="PTN518" s="500"/>
      <c r="PTO518" s="500"/>
      <c r="PTP518" s="500"/>
      <c r="PTQ518" s="500"/>
      <c r="PTR518" s="500"/>
      <c r="PTS518" s="500"/>
      <c r="PTT518" s="500"/>
      <c r="PTU518" s="500"/>
      <c r="PTV518" s="500"/>
      <c r="PTW518" s="500"/>
      <c r="PTX518" s="500"/>
      <c r="PTY518" s="500"/>
      <c r="PTZ518" s="500"/>
      <c r="PUA518" s="500"/>
      <c r="PUB518" s="500"/>
      <c r="PUC518" s="500"/>
      <c r="PUD518" s="500"/>
      <c r="PUE518" s="500"/>
      <c r="PUF518" s="500"/>
      <c r="PUG518" s="500"/>
      <c r="PUH518" s="500"/>
      <c r="PUI518" s="500"/>
      <c r="PUJ518" s="500"/>
      <c r="PUK518" s="500"/>
      <c r="PUL518" s="500"/>
      <c r="PUM518" s="500"/>
      <c r="PUN518" s="500"/>
      <c r="PUO518" s="500"/>
      <c r="PUP518" s="500"/>
      <c r="PUQ518" s="500"/>
      <c r="PUR518" s="500"/>
      <c r="PUS518" s="500"/>
      <c r="PUT518" s="500"/>
      <c r="PUU518" s="500"/>
      <c r="PUV518" s="500"/>
      <c r="PUW518" s="500"/>
      <c r="PUX518" s="500"/>
      <c r="PUY518" s="500"/>
      <c r="PUZ518" s="500"/>
      <c r="PVA518" s="500"/>
      <c r="PVB518" s="500"/>
      <c r="PVC518" s="500"/>
      <c r="PVD518" s="500"/>
      <c r="PVE518" s="500"/>
      <c r="PVF518" s="500"/>
      <c r="PVG518" s="500"/>
      <c r="PVH518" s="500"/>
      <c r="PVI518" s="500"/>
      <c r="PVJ518" s="500"/>
      <c r="PVK518" s="500"/>
      <c r="PVL518" s="500"/>
      <c r="PVM518" s="500"/>
      <c r="PVN518" s="500"/>
      <c r="PVO518" s="500"/>
      <c r="PVP518" s="500"/>
      <c r="PVQ518" s="500"/>
      <c r="PVR518" s="500"/>
      <c r="PVS518" s="500"/>
      <c r="PVT518" s="500"/>
      <c r="PVU518" s="500"/>
      <c r="PVV518" s="500"/>
      <c r="PVW518" s="500"/>
      <c r="PVX518" s="500"/>
      <c r="PVY518" s="500"/>
      <c r="PVZ518" s="500"/>
      <c r="PWA518" s="500"/>
      <c r="PWB518" s="500"/>
      <c r="PWC518" s="500"/>
      <c r="PWD518" s="500"/>
      <c r="PWE518" s="500"/>
      <c r="PWF518" s="500"/>
      <c r="PWG518" s="500"/>
      <c r="PWH518" s="500"/>
      <c r="PWI518" s="500"/>
      <c r="PWJ518" s="500"/>
      <c r="PWK518" s="500"/>
      <c r="PWL518" s="500"/>
      <c r="PWM518" s="500"/>
      <c r="PWN518" s="500"/>
      <c r="PWO518" s="500"/>
      <c r="PWP518" s="500"/>
      <c r="PWQ518" s="500"/>
      <c r="PWR518" s="500"/>
      <c r="PWS518" s="500"/>
      <c r="PWT518" s="500"/>
      <c r="PWU518" s="500"/>
      <c r="PWV518" s="500"/>
      <c r="PWW518" s="500"/>
      <c r="PWX518" s="500"/>
      <c r="PWY518" s="500"/>
      <c r="PWZ518" s="500"/>
      <c r="PXA518" s="500"/>
      <c r="PXB518" s="500"/>
      <c r="PXC518" s="500"/>
      <c r="PXD518" s="500"/>
      <c r="PXE518" s="500"/>
      <c r="PXF518" s="500"/>
      <c r="PXG518" s="500"/>
      <c r="PXH518" s="500"/>
      <c r="PXI518" s="500"/>
      <c r="PXJ518" s="500"/>
      <c r="PXK518" s="500"/>
      <c r="PXL518" s="500"/>
      <c r="PXM518" s="500"/>
      <c r="PXN518" s="500"/>
      <c r="PXO518" s="500"/>
      <c r="PXP518" s="500"/>
      <c r="PXQ518" s="500"/>
      <c r="PXR518" s="500"/>
      <c r="PXS518" s="500"/>
      <c r="PXT518" s="500"/>
      <c r="PXU518" s="500"/>
      <c r="PXV518" s="500"/>
      <c r="PXW518" s="500"/>
      <c r="PXX518" s="500"/>
      <c r="PXY518" s="500"/>
      <c r="PXZ518" s="500"/>
      <c r="PYA518" s="500"/>
      <c r="PYB518" s="500"/>
      <c r="PYC518" s="500"/>
      <c r="PYD518" s="500"/>
      <c r="PYE518" s="500"/>
      <c r="PYF518" s="500"/>
      <c r="PYG518" s="500"/>
      <c r="PYH518" s="500"/>
      <c r="PYI518" s="500"/>
      <c r="PYJ518" s="500"/>
      <c r="PYK518" s="500"/>
      <c r="PYL518" s="500"/>
      <c r="PYM518" s="500"/>
      <c r="PYN518" s="500"/>
      <c r="PYO518" s="500"/>
      <c r="PYP518" s="500"/>
      <c r="PYQ518" s="500"/>
      <c r="PYR518" s="500"/>
      <c r="PYS518" s="500"/>
      <c r="PYT518" s="500"/>
      <c r="PYU518" s="500"/>
      <c r="PYV518" s="500"/>
      <c r="PYW518" s="500"/>
      <c r="PYX518" s="500"/>
      <c r="PYY518" s="500"/>
      <c r="PYZ518" s="500"/>
      <c r="PZA518" s="500"/>
      <c r="PZB518" s="500"/>
      <c r="PZC518" s="500"/>
      <c r="PZD518" s="500"/>
      <c r="PZE518" s="500"/>
      <c r="PZF518" s="500"/>
      <c r="PZG518" s="500"/>
      <c r="PZH518" s="500"/>
      <c r="PZI518" s="500"/>
      <c r="PZJ518" s="500"/>
      <c r="PZK518" s="500"/>
      <c r="PZL518" s="500"/>
      <c r="PZM518" s="500"/>
      <c r="PZN518" s="500"/>
      <c r="PZO518" s="500"/>
      <c r="PZP518" s="500"/>
      <c r="PZQ518" s="500"/>
      <c r="PZR518" s="500"/>
      <c r="PZS518" s="500"/>
      <c r="PZT518" s="500"/>
      <c r="PZU518" s="500"/>
      <c r="PZV518" s="500"/>
      <c r="PZW518" s="500"/>
      <c r="PZX518" s="500"/>
      <c r="PZY518" s="500"/>
      <c r="PZZ518" s="500"/>
      <c r="QAA518" s="500"/>
      <c r="QAB518" s="500"/>
      <c r="QAC518" s="500"/>
      <c r="QAD518" s="500"/>
      <c r="QAE518" s="500"/>
      <c r="QAF518" s="500"/>
      <c r="QAG518" s="500"/>
      <c r="QAH518" s="500"/>
      <c r="QAI518" s="500"/>
      <c r="QAJ518" s="500"/>
      <c r="QAK518" s="500"/>
      <c r="QAL518" s="500"/>
      <c r="QAM518" s="500"/>
      <c r="QAN518" s="500"/>
      <c r="QAO518" s="500"/>
      <c r="QAP518" s="500"/>
      <c r="QAQ518" s="500"/>
      <c r="QAR518" s="500"/>
      <c r="QAS518" s="500"/>
      <c r="QAT518" s="500"/>
      <c r="QAU518" s="500"/>
      <c r="QAV518" s="500"/>
      <c r="QAW518" s="500"/>
      <c r="QAX518" s="500"/>
      <c r="QAY518" s="500"/>
      <c r="QAZ518" s="500"/>
      <c r="QBA518" s="500"/>
      <c r="QBB518" s="500"/>
      <c r="QBC518" s="500"/>
      <c r="QBD518" s="500"/>
      <c r="QBE518" s="500"/>
      <c r="QBF518" s="500"/>
      <c r="QBG518" s="500"/>
      <c r="QBH518" s="500"/>
      <c r="QBI518" s="500"/>
      <c r="QBJ518" s="500"/>
      <c r="QBK518" s="500"/>
      <c r="QBL518" s="500"/>
      <c r="QBM518" s="500"/>
      <c r="QBN518" s="500"/>
      <c r="QBO518" s="500"/>
      <c r="QBP518" s="500"/>
      <c r="QBQ518" s="500"/>
      <c r="QBR518" s="500"/>
      <c r="QBS518" s="500"/>
      <c r="QBT518" s="500"/>
      <c r="QBU518" s="500"/>
      <c r="QBV518" s="500"/>
      <c r="QBW518" s="500"/>
      <c r="QBX518" s="500"/>
      <c r="QBY518" s="500"/>
      <c r="QBZ518" s="500"/>
      <c r="QCA518" s="500"/>
      <c r="QCB518" s="500"/>
      <c r="QCC518" s="500"/>
      <c r="QCD518" s="500"/>
      <c r="QCE518" s="500"/>
      <c r="QCF518" s="500"/>
      <c r="QCG518" s="500"/>
      <c r="QCH518" s="500"/>
      <c r="QCI518" s="500"/>
      <c r="QCJ518" s="500"/>
      <c r="QCK518" s="500"/>
      <c r="QCL518" s="500"/>
      <c r="QCM518" s="500"/>
      <c r="QCN518" s="500"/>
      <c r="QCO518" s="500"/>
      <c r="QCP518" s="500"/>
      <c r="QCQ518" s="500"/>
      <c r="QCR518" s="500"/>
      <c r="QCS518" s="500"/>
      <c r="QCT518" s="500"/>
      <c r="QCU518" s="500"/>
      <c r="QCV518" s="500"/>
      <c r="QCW518" s="500"/>
      <c r="QCX518" s="500"/>
      <c r="QCY518" s="500"/>
      <c r="QCZ518" s="500"/>
      <c r="QDA518" s="500"/>
      <c r="QDB518" s="500"/>
      <c r="QDC518" s="500"/>
      <c r="QDD518" s="500"/>
      <c r="QDE518" s="500"/>
      <c r="QDF518" s="500"/>
      <c r="QDG518" s="500"/>
      <c r="QDH518" s="500"/>
      <c r="QDI518" s="500"/>
      <c r="QDJ518" s="500"/>
      <c r="QDK518" s="500"/>
      <c r="QDL518" s="500"/>
      <c r="QDM518" s="500"/>
      <c r="QDN518" s="500"/>
      <c r="QDO518" s="500"/>
      <c r="QDP518" s="500"/>
      <c r="QDQ518" s="500"/>
      <c r="QDR518" s="500"/>
      <c r="QDS518" s="500"/>
      <c r="QDT518" s="500"/>
      <c r="QDU518" s="500"/>
      <c r="QDV518" s="500"/>
      <c r="QDW518" s="500"/>
      <c r="QDX518" s="500"/>
      <c r="QDY518" s="500"/>
      <c r="QDZ518" s="500"/>
      <c r="QEA518" s="500"/>
      <c r="QEB518" s="500"/>
      <c r="QEC518" s="500"/>
      <c r="QED518" s="500"/>
      <c r="QEE518" s="500"/>
      <c r="QEF518" s="500"/>
      <c r="QEG518" s="500"/>
      <c r="QEH518" s="500"/>
      <c r="QEI518" s="500"/>
      <c r="QEJ518" s="500"/>
      <c r="QEK518" s="500"/>
      <c r="QEL518" s="500"/>
      <c r="QEM518" s="500"/>
      <c r="QEN518" s="500"/>
      <c r="QEO518" s="500"/>
      <c r="QEP518" s="500"/>
      <c r="QEQ518" s="500"/>
      <c r="QER518" s="500"/>
      <c r="QES518" s="500"/>
      <c r="QET518" s="500"/>
      <c r="QEU518" s="500"/>
      <c r="QEV518" s="500"/>
      <c r="QEW518" s="500"/>
      <c r="QEX518" s="500"/>
      <c r="QEY518" s="500"/>
      <c r="QEZ518" s="500"/>
      <c r="QFA518" s="500"/>
      <c r="QFB518" s="500"/>
      <c r="QFC518" s="500"/>
      <c r="QFD518" s="500"/>
      <c r="QFE518" s="500"/>
      <c r="QFF518" s="500"/>
      <c r="QFG518" s="500"/>
      <c r="QFH518" s="500"/>
      <c r="QFI518" s="500"/>
      <c r="QFJ518" s="500"/>
      <c r="QFK518" s="500"/>
      <c r="QFL518" s="500"/>
      <c r="QFM518" s="500"/>
      <c r="QFN518" s="500"/>
      <c r="QFO518" s="500"/>
      <c r="QFP518" s="500"/>
      <c r="QFQ518" s="500"/>
      <c r="QFR518" s="500"/>
      <c r="QFS518" s="500"/>
      <c r="QFT518" s="500"/>
      <c r="QFU518" s="500"/>
      <c r="QFV518" s="500"/>
      <c r="QFW518" s="500"/>
      <c r="QFX518" s="500"/>
      <c r="QFY518" s="500"/>
      <c r="QFZ518" s="500"/>
      <c r="QGA518" s="500"/>
      <c r="QGB518" s="500"/>
      <c r="QGC518" s="500"/>
      <c r="QGD518" s="500"/>
      <c r="QGE518" s="500"/>
      <c r="QGF518" s="500"/>
      <c r="QGG518" s="500"/>
      <c r="QGH518" s="500"/>
      <c r="QGI518" s="500"/>
      <c r="QGJ518" s="500"/>
      <c r="QGK518" s="500"/>
      <c r="QGL518" s="500"/>
      <c r="QGM518" s="500"/>
      <c r="QGN518" s="500"/>
      <c r="QGO518" s="500"/>
      <c r="QGP518" s="500"/>
      <c r="QGQ518" s="500"/>
      <c r="QGR518" s="500"/>
      <c r="QGS518" s="500"/>
      <c r="QGT518" s="500"/>
      <c r="QGU518" s="500"/>
      <c r="QGV518" s="500"/>
      <c r="QGW518" s="500"/>
      <c r="QGX518" s="500"/>
      <c r="QGY518" s="500"/>
      <c r="QGZ518" s="500"/>
      <c r="QHA518" s="500"/>
      <c r="QHB518" s="500"/>
      <c r="QHC518" s="500"/>
      <c r="QHD518" s="500"/>
      <c r="QHE518" s="500"/>
      <c r="QHF518" s="500"/>
      <c r="QHG518" s="500"/>
      <c r="QHH518" s="500"/>
      <c r="QHI518" s="500"/>
      <c r="QHJ518" s="500"/>
      <c r="QHK518" s="500"/>
      <c r="QHL518" s="500"/>
      <c r="QHM518" s="500"/>
      <c r="QHN518" s="500"/>
      <c r="QHO518" s="500"/>
      <c r="QHP518" s="500"/>
      <c r="QHQ518" s="500"/>
      <c r="QHR518" s="500"/>
      <c r="QHS518" s="500"/>
      <c r="QHT518" s="500"/>
      <c r="QHU518" s="500"/>
      <c r="QHV518" s="500"/>
      <c r="QHW518" s="500"/>
      <c r="QHX518" s="500"/>
      <c r="QHY518" s="500"/>
      <c r="QHZ518" s="500"/>
      <c r="QIA518" s="500"/>
      <c r="QIB518" s="500"/>
      <c r="QIC518" s="500"/>
      <c r="QID518" s="500"/>
      <c r="QIE518" s="500"/>
      <c r="QIF518" s="500"/>
      <c r="QIG518" s="500"/>
      <c r="QIH518" s="500"/>
      <c r="QII518" s="500"/>
      <c r="QIJ518" s="500"/>
      <c r="QIK518" s="500"/>
      <c r="QIL518" s="500"/>
      <c r="QIM518" s="500"/>
      <c r="QIN518" s="500"/>
      <c r="QIO518" s="500"/>
      <c r="QIP518" s="500"/>
      <c r="QIQ518" s="500"/>
      <c r="QIR518" s="500"/>
      <c r="QIS518" s="500"/>
      <c r="QIT518" s="500"/>
      <c r="QIU518" s="500"/>
      <c r="QIV518" s="500"/>
      <c r="QIW518" s="500"/>
      <c r="QIX518" s="500"/>
      <c r="QIY518" s="500"/>
      <c r="QIZ518" s="500"/>
      <c r="QJA518" s="500"/>
      <c r="QJB518" s="500"/>
      <c r="QJC518" s="500"/>
      <c r="QJD518" s="500"/>
      <c r="QJE518" s="500"/>
      <c r="QJF518" s="500"/>
      <c r="QJG518" s="500"/>
      <c r="QJH518" s="500"/>
      <c r="QJI518" s="500"/>
      <c r="QJJ518" s="500"/>
      <c r="QJK518" s="500"/>
      <c r="QJL518" s="500"/>
      <c r="QJM518" s="500"/>
      <c r="QJN518" s="500"/>
      <c r="QJO518" s="500"/>
      <c r="QJP518" s="500"/>
      <c r="QJQ518" s="500"/>
      <c r="QJR518" s="500"/>
      <c r="QJS518" s="500"/>
      <c r="QJT518" s="500"/>
      <c r="QJU518" s="500"/>
      <c r="QJV518" s="500"/>
      <c r="QJW518" s="500"/>
      <c r="QJX518" s="500"/>
      <c r="QJY518" s="500"/>
      <c r="QJZ518" s="500"/>
      <c r="QKA518" s="500"/>
      <c r="QKB518" s="500"/>
      <c r="QKC518" s="500"/>
      <c r="QKD518" s="500"/>
      <c r="QKE518" s="500"/>
      <c r="QKF518" s="500"/>
      <c r="QKG518" s="500"/>
      <c r="QKH518" s="500"/>
      <c r="QKI518" s="500"/>
      <c r="QKJ518" s="500"/>
      <c r="QKK518" s="500"/>
      <c r="QKL518" s="500"/>
      <c r="QKM518" s="500"/>
      <c r="QKN518" s="500"/>
      <c r="QKO518" s="500"/>
      <c r="QKP518" s="500"/>
      <c r="QKQ518" s="500"/>
      <c r="QKR518" s="500"/>
      <c r="QKS518" s="500"/>
      <c r="QKT518" s="500"/>
      <c r="QKU518" s="500"/>
      <c r="QKV518" s="500"/>
      <c r="QKW518" s="500"/>
      <c r="QKX518" s="500"/>
      <c r="QKY518" s="500"/>
      <c r="QKZ518" s="500"/>
      <c r="QLA518" s="500"/>
      <c r="QLB518" s="500"/>
      <c r="QLC518" s="500"/>
      <c r="QLD518" s="500"/>
      <c r="QLE518" s="500"/>
      <c r="QLF518" s="500"/>
      <c r="QLG518" s="500"/>
      <c r="QLH518" s="500"/>
      <c r="QLI518" s="500"/>
      <c r="QLJ518" s="500"/>
      <c r="QLK518" s="500"/>
      <c r="QLL518" s="500"/>
      <c r="QLM518" s="500"/>
      <c r="QLN518" s="500"/>
      <c r="QLO518" s="500"/>
      <c r="QLP518" s="500"/>
      <c r="QLQ518" s="500"/>
      <c r="QLR518" s="500"/>
      <c r="QLS518" s="500"/>
      <c r="QLT518" s="500"/>
      <c r="QLU518" s="500"/>
      <c r="QLV518" s="500"/>
      <c r="QLW518" s="500"/>
      <c r="QLX518" s="500"/>
      <c r="QLY518" s="500"/>
      <c r="QLZ518" s="500"/>
      <c r="QMA518" s="500"/>
      <c r="QMB518" s="500"/>
      <c r="QMC518" s="500"/>
      <c r="QMD518" s="500"/>
      <c r="QME518" s="500"/>
      <c r="QMF518" s="500"/>
      <c r="QMG518" s="500"/>
      <c r="QMH518" s="500"/>
      <c r="QMI518" s="500"/>
      <c r="QMJ518" s="500"/>
      <c r="QMK518" s="500"/>
      <c r="QML518" s="500"/>
      <c r="QMM518" s="500"/>
      <c r="QMN518" s="500"/>
      <c r="QMO518" s="500"/>
      <c r="QMP518" s="500"/>
      <c r="QMQ518" s="500"/>
      <c r="QMR518" s="500"/>
      <c r="QMS518" s="500"/>
      <c r="QMT518" s="500"/>
      <c r="QMU518" s="500"/>
      <c r="QMV518" s="500"/>
      <c r="QMW518" s="500"/>
      <c r="QMX518" s="500"/>
      <c r="QMY518" s="500"/>
      <c r="QMZ518" s="500"/>
      <c r="QNA518" s="500"/>
      <c r="QNB518" s="500"/>
      <c r="QNC518" s="500"/>
      <c r="QND518" s="500"/>
      <c r="QNE518" s="500"/>
      <c r="QNF518" s="500"/>
      <c r="QNG518" s="500"/>
      <c r="QNH518" s="500"/>
      <c r="QNI518" s="500"/>
      <c r="QNJ518" s="500"/>
      <c r="QNK518" s="500"/>
      <c r="QNL518" s="500"/>
      <c r="QNM518" s="500"/>
      <c r="QNN518" s="500"/>
      <c r="QNO518" s="500"/>
      <c r="QNP518" s="500"/>
      <c r="QNQ518" s="500"/>
      <c r="QNR518" s="500"/>
      <c r="QNS518" s="500"/>
      <c r="QNT518" s="500"/>
      <c r="QNU518" s="500"/>
      <c r="QNV518" s="500"/>
      <c r="QNW518" s="500"/>
      <c r="QNX518" s="500"/>
      <c r="QNY518" s="500"/>
      <c r="QNZ518" s="500"/>
      <c r="QOA518" s="500"/>
      <c r="QOB518" s="500"/>
      <c r="QOC518" s="500"/>
      <c r="QOD518" s="500"/>
      <c r="QOE518" s="500"/>
      <c r="QOF518" s="500"/>
      <c r="QOG518" s="500"/>
      <c r="QOH518" s="500"/>
      <c r="QOI518" s="500"/>
      <c r="QOJ518" s="500"/>
      <c r="QOK518" s="500"/>
      <c r="QOL518" s="500"/>
      <c r="QOM518" s="500"/>
      <c r="QON518" s="500"/>
      <c r="QOO518" s="500"/>
      <c r="QOP518" s="500"/>
      <c r="QOQ518" s="500"/>
      <c r="QOR518" s="500"/>
      <c r="QOS518" s="500"/>
      <c r="QOT518" s="500"/>
      <c r="QOU518" s="500"/>
      <c r="QOV518" s="500"/>
      <c r="QOW518" s="500"/>
      <c r="QOX518" s="500"/>
      <c r="QOY518" s="500"/>
      <c r="QOZ518" s="500"/>
      <c r="QPA518" s="500"/>
      <c r="QPB518" s="500"/>
      <c r="QPC518" s="500"/>
      <c r="QPD518" s="500"/>
      <c r="QPE518" s="500"/>
      <c r="QPF518" s="500"/>
      <c r="QPG518" s="500"/>
      <c r="QPH518" s="500"/>
      <c r="QPI518" s="500"/>
      <c r="QPJ518" s="500"/>
      <c r="QPK518" s="500"/>
      <c r="QPL518" s="500"/>
      <c r="QPM518" s="500"/>
      <c r="QPN518" s="500"/>
      <c r="QPO518" s="500"/>
      <c r="QPP518" s="500"/>
      <c r="QPQ518" s="500"/>
      <c r="QPR518" s="500"/>
      <c r="QPS518" s="500"/>
      <c r="QPT518" s="500"/>
      <c r="QPU518" s="500"/>
      <c r="QPV518" s="500"/>
      <c r="QPW518" s="500"/>
      <c r="QPX518" s="500"/>
      <c r="QPY518" s="500"/>
      <c r="QPZ518" s="500"/>
      <c r="QQA518" s="500"/>
      <c r="QQB518" s="500"/>
      <c r="QQC518" s="500"/>
      <c r="QQD518" s="500"/>
      <c r="QQE518" s="500"/>
      <c r="QQF518" s="500"/>
      <c r="QQG518" s="500"/>
      <c r="QQH518" s="500"/>
      <c r="QQI518" s="500"/>
      <c r="QQJ518" s="500"/>
      <c r="QQK518" s="500"/>
      <c r="QQL518" s="500"/>
      <c r="QQM518" s="500"/>
      <c r="QQN518" s="500"/>
      <c r="QQO518" s="500"/>
      <c r="QQP518" s="500"/>
      <c r="QQQ518" s="500"/>
      <c r="QQR518" s="500"/>
      <c r="QQS518" s="500"/>
      <c r="QQT518" s="500"/>
      <c r="QQU518" s="500"/>
      <c r="QQV518" s="500"/>
      <c r="QQW518" s="500"/>
      <c r="QQX518" s="500"/>
      <c r="QQY518" s="500"/>
      <c r="QQZ518" s="500"/>
      <c r="QRA518" s="500"/>
      <c r="QRB518" s="500"/>
      <c r="QRC518" s="500"/>
      <c r="QRD518" s="500"/>
      <c r="QRE518" s="500"/>
      <c r="QRF518" s="500"/>
      <c r="QRG518" s="500"/>
      <c r="QRH518" s="500"/>
      <c r="QRI518" s="500"/>
      <c r="QRJ518" s="500"/>
      <c r="QRK518" s="500"/>
      <c r="QRL518" s="500"/>
      <c r="QRM518" s="500"/>
      <c r="QRN518" s="500"/>
      <c r="QRO518" s="500"/>
      <c r="QRP518" s="500"/>
      <c r="QRQ518" s="500"/>
      <c r="QRR518" s="500"/>
      <c r="QRS518" s="500"/>
      <c r="QRT518" s="500"/>
      <c r="QRU518" s="500"/>
      <c r="QRV518" s="500"/>
      <c r="QRW518" s="500"/>
      <c r="QRX518" s="500"/>
      <c r="QRY518" s="500"/>
      <c r="QRZ518" s="500"/>
      <c r="QSA518" s="500"/>
      <c r="QSB518" s="500"/>
      <c r="QSC518" s="500"/>
      <c r="QSD518" s="500"/>
      <c r="QSE518" s="500"/>
      <c r="QSF518" s="500"/>
      <c r="QSG518" s="500"/>
      <c r="QSH518" s="500"/>
      <c r="QSI518" s="500"/>
      <c r="QSJ518" s="500"/>
      <c r="QSK518" s="500"/>
      <c r="QSL518" s="500"/>
      <c r="QSM518" s="500"/>
      <c r="QSN518" s="500"/>
      <c r="QSO518" s="500"/>
      <c r="QSP518" s="500"/>
      <c r="QSQ518" s="500"/>
      <c r="QSR518" s="500"/>
      <c r="QSS518" s="500"/>
      <c r="QST518" s="500"/>
      <c r="QSU518" s="500"/>
      <c r="QSV518" s="500"/>
      <c r="QSW518" s="500"/>
      <c r="QSX518" s="500"/>
      <c r="QSY518" s="500"/>
      <c r="QSZ518" s="500"/>
      <c r="QTA518" s="500"/>
      <c r="QTB518" s="500"/>
      <c r="QTC518" s="500"/>
      <c r="QTD518" s="500"/>
      <c r="QTE518" s="500"/>
      <c r="QTF518" s="500"/>
      <c r="QTG518" s="500"/>
      <c r="QTH518" s="500"/>
      <c r="QTI518" s="500"/>
      <c r="QTJ518" s="500"/>
      <c r="QTK518" s="500"/>
      <c r="QTL518" s="500"/>
      <c r="QTM518" s="500"/>
      <c r="QTN518" s="500"/>
      <c r="QTO518" s="500"/>
      <c r="QTP518" s="500"/>
      <c r="QTQ518" s="500"/>
      <c r="QTR518" s="500"/>
      <c r="QTS518" s="500"/>
      <c r="QTT518" s="500"/>
      <c r="QTU518" s="500"/>
      <c r="QTV518" s="500"/>
      <c r="QTW518" s="500"/>
      <c r="QTX518" s="500"/>
      <c r="QTY518" s="500"/>
      <c r="QTZ518" s="500"/>
      <c r="QUA518" s="500"/>
      <c r="QUB518" s="500"/>
      <c r="QUC518" s="500"/>
      <c r="QUD518" s="500"/>
      <c r="QUE518" s="500"/>
      <c r="QUF518" s="500"/>
      <c r="QUG518" s="500"/>
      <c r="QUH518" s="500"/>
      <c r="QUI518" s="500"/>
      <c r="QUJ518" s="500"/>
      <c r="QUK518" s="500"/>
      <c r="QUL518" s="500"/>
      <c r="QUM518" s="500"/>
      <c r="QUN518" s="500"/>
      <c r="QUO518" s="500"/>
      <c r="QUP518" s="500"/>
      <c r="QUQ518" s="500"/>
      <c r="QUR518" s="500"/>
      <c r="QUS518" s="500"/>
      <c r="QUT518" s="500"/>
      <c r="QUU518" s="500"/>
      <c r="QUV518" s="500"/>
      <c r="QUW518" s="500"/>
      <c r="QUX518" s="500"/>
      <c r="QUY518" s="500"/>
      <c r="QUZ518" s="500"/>
      <c r="QVA518" s="500"/>
      <c r="QVB518" s="500"/>
      <c r="QVC518" s="500"/>
      <c r="QVD518" s="500"/>
      <c r="QVE518" s="500"/>
      <c r="QVF518" s="500"/>
      <c r="QVG518" s="500"/>
      <c r="QVH518" s="500"/>
      <c r="QVI518" s="500"/>
      <c r="QVJ518" s="500"/>
      <c r="QVK518" s="500"/>
      <c r="QVL518" s="500"/>
      <c r="QVM518" s="500"/>
      <c r="QVN518" s="500"/>
      <c r="QVO518" s="500"/>
      <c r="QVP518" s="500"/>
      <c r="QVQ518" s="500"/>
      <c r="QVR518" s="500"/>
      <c r="QVS518" s="500"/>
      <c r="QVT518" s="500"/>
      <c r="QVU518" s="500"/>
      <c r="QVV518" s="500"/>
      <c r="QVW518" s="500"/>
      <c r="QVX518" s="500"/>
      <c r="QVY518" s="500"/>
      <c r="QVZ518" s="500"/>
      <c r="QWA518" s="500"/>
      <c r="QWB518" s="500"/>
      <c r="QWC518" s="500"/>
      <c r="QWD518" s="500"/>
      <c r="QWE518" s="500"/>
      <c r="QWF518" s="500"/>
      <c r="QWG518" s="500"/>
      <c r="QWH518" s="500"/>
      <c r="QWI518" s="500"/>
      <c r="QWJ518" s="500"/>
      <c r="QWK518" s="500"/>
      <c r="QWL518" s="500"/>
      <c r="QWM518" s="500"/>
      <c r="QWN518" s="500"/>
      <c r="QWO518" s="500"/>
      <c r="QWP518" s="500"/>
      <c r="QWQ518" s="500"/>
      <c r="QWR518" s="500"/>
      <c r="QWS518" s="500"/>
      <c r="QWT518" s="500"/>
      <c r="QWU518" s="500"/>
      <c r="QWV518" s="500"/>
      <c r="QWW518" s="500"/>
      <c r="QWX518" s="500"/>
      <c r="QWY518" s="500"/>
      <c r="QWZ518" s="500"/>
      <c r="QXA518" s="500"/>
      <c r="QXB518" s="500"/>
      <c r="QXC518" s="500"/>
      <c r="QXD518" s="500"/>
      <c r="QXE518" s="500"/>
      <c r="QXF518" s="500"/>
      <c r="QXG518" s="500"/>
      <c r="QXH518" s="500"/>
      <c r="QXI518" s="500"/>
      <c r="QXJ518" s="500"/>
      <c r="QXK518" s="500"/>
      <c r="QXL518" s="500"/>
      <c r="QXM518" s="500"/>
      <c r="QXN518" s="500"/>
      <c r="QXO518" s="500"/>
      <c r="QXP518" s="500"/>
      <c r="QXQ518" s="500"/>
      <c r="QXR518" s="500"/>
      <c r="QXS518" s="500"/>
      <c r="QXT518" s="500"/>
      <c r="QXU518" s="500"/>
      <c r="QXV518" s="500"/>
      <c r="QXW518" s="500"/>
      <c r="QXX518" s="500"/>
      <c r="QXY518" s="500"/>
      <c r="QXZ518" s="500"/>
      <c r="QYA518" s="500"/>
      <c r="QYB518" s="500"/>
      <c r="QYC518" s="500"/>
      <c r="QYD518" s="500"/>
      <c r="QYE518" s="500"/>
      <c r="QYF518" s="500"/>
      <c r="QYG518" s="500"/>
      <c r="QYH518" s="500"/>
      <c r="QYI518" s="500"/>
      <c r="QYJ518" s="500"/>
      <c r="QYK518" s="500"/>
      <c r="QYL518" s="500"/>
      <c r="QYM518" s="500"/>
      <c r="QYN518" s="500"/>
      <c r="QYO518" s="500"/>
      <c r="QYP518" s="500"/>
      <c r="QYQ518" s="500"/>
      <c r="QYR518" s="500"/>
      <c r="QYS518" s="500"/>
      <c r="QYT518" s="500"/>
      <c r="QYU518" s="500"/>
      <c r="QYV518" s="500"/>
      <c r="QYW518" s="500"/>
      <c r="QYX518" s="500"/>
      <c r="QYY518" s="500"/>
      <c r="QYZ518" s="500"/>
      <c r="QZA518" s="500"/>
      <c r="QZB518" s="500"/>
      <c r="QZC518" s="500"/>
      <c r="QZD518" s="500"/>
      <c r="QZE518" s="500"/>
      <c r="QZF518" s="500"/>
      <c r="QZG518" s="500"/>
      <c r="QZH518" s="500"/>
      <c r="QZI518" s="500"/>
      <c r="QZJ518" s="500"/>
      <c r="QZK518" s="500"/>
      <c r="QZL518" s="500"/>
      <c r="QZM518" s="500"/>
      <c r="QZN518" s="500"/>
      <c r="QZO518" s="500"/>
      <c r="QZP518" s="500"/>
      <c r="QZQ518" s="500"/>
      <c r="QZR518" s="500"/>
      <c r="QZS518" s="500"/>
      <c r="QZT518" s="500"/>
      <c r="QZU518" s="500"/>
      <c r="QZV518" s="500"/>
      <c r="QZW518" s="500"/>
      <c r="QZX518" s="500"/>
      <c r="QZY518" s="500"/>
      <c r="QZZ518" s="500"/>
      <c r="RAA518" s="500"/>
      <c r="RAB518" s="500"/>
      <c r="RAC518" s="500"/>
      <c r="RAD518" s="500"/>
      <c r="RAE518" s="500"/>
      <c r="RAF518" s="500"/>
      <c r="RAG518" s="500"/>
      <c r="RAH518" s="500"/>
      <c r="RAI518" s="500"/>
      <c r="RAJ518" s="500"/>
      <c r="RAK518" s="500"/>
      <c r="RAL518" s="500"/>
      <c r="RAM518" s="500"/>
      <c r="RAN518" s="500"/>
      <c r="RAO518" s="500"/>
      <c r="RAP518" s="500"/>
      <c r="RAQ518" s="500"/>
      <c r="RAR518" s="500"/>
      <c r="RAS518" s="500"/>
      <c r="RAT518" s="500"/>
      <c r="RAU518" s="500"/>
      <c r="RAV518" s="500"/>
      <c r="RAW518" s="500"/>
      <c r="RAX518" s="500"/>
      <c r="RAY518" s="500"/>
      <c r="RAZ518" s="500"/>
      <c r="RBA518" s="500"/>
      <c r="RBB518" s="500"/>
      <c r="RBC518" s="500"/>
      <c r="RBD518" s="500"/>
      <c r="RBE518" s="500"/>
      <c r="RBF518" s="500"/>
      <c r="RBG518" s="500"/>
      <c r="RBH518" s="500"/>
      <c r="RBI518" s="500"/>
      <c r="RBJ518" s="500"/>
      <c r="RBK518" s="500"/>
      <c r="RBL518" s="500"/>
      <c r="RBM518" s="500"/>
      <c r="RBN518" s="500"/>
      <c r="RBO518" s="500"/>
      <c r="RBP518" s="500"/>
      <c r="RBQ518" s="500"/>
      <c r="RBR518" s="500"/>
      <c r="RBS518" s="500"/>
      <c r="RBT518" s="500"/>
      <c r="RBU518" s="500"/>
      <c r="RBV518" s="500"/>
      <c r="RBW518" s="500"/>
      <c r="RBX518" s="500"/>
      <c r="RBY518" s="500"/>
      <c r="RBZ518" s="500"/>
      <c r="RCA518" s="500"/>
      <c r="RCB518" s="500"/>
      <c r="RCC518" s="500"/>
      <c r="RCD518" s="500"/>
      <c r="RCE518" s="500"/>
      <c r="RCF518" s="500"/>
      <c r="RCG518" s="500"/>
      <c r="RCH518" s="500"/>
      <c r="RCI518" s="500"/>
      <c r="RCJ518" s="500"/>
      <c r="RCK518" s="500"/>
      <c r="RCL518" s="500"/>
      <c r="RCM518" s="500"/>
      <c r="RCN518" s="500"/>
      <c r="RCO518" s="500"/>
      <c r="RCP518" s="500"/>
      <c r="RCQ518" s="500"/>
      <c r="RCR518" s="500"/>
      <c r="RCS518" s="500"/>
      <c r="RCT518" s="500"/>
      <c r="RCU518" s="500"/>
      <c r="RCV518" s="500"/>
      <c r="RCW518" s="500"/>
      <c r="RCX518" s="500"/>
      <c r="RCY518" s="500"/>
      <c r="RCZ518" s="500"/>
      <c r="RDA518" s="500"/>
      <c r="RDB518" s="500"/>
      <c r="RDC518" s="500"/>
      <c r="RDD518" s="500"/>
      <c r="RDE518" s="500"/>
      <c r="RDF518" s="500"/>
      <c r="RDG518" s="500"/>
      <c r="RDH518" s="500"/>
      <c r="RDI518" s="500"/>
      <c r="RDJ518" s="500"/>
      <c r="RDK518" s="500"/>
      <c r="RDL518" s="500"/>
      <c r="RDM518" s="500"/>
      <c r="RDN518" s="500"/>
      <c r="RDO518" s="500"/>
      <c r="RDP518" s="500"/>
      <c r="RDQ518" s="500"/>
      <c r="RDR518" s="500"/>
      <c r="RDS518" s="500"/>
      <c r="RDT518" s="500"/>
      <c r="RDU518" s="500"/>
      <c r="RDV518" s="500"/>
      <c r="RDW518" s="500"/>
      <c r="RDX518" s="500"/>
      <c r="RDY518" s="500"/>
      <c r="RDZ518" s="500"/>
      <c r="REA518" s="500"/>
      <c r="REB518" s="500"/>
      <c r="REC518" s="500"/>
      <c r="RED518" s="500"/>
      <c r="REE518" s="500"/>
      <c r="REF518" s="500"/>
      <c r="REG518" s="500"/>
      <c r="REH518" s="500"/>
      <c r="REI518" s="500"/>
      <c r="REJ518" s="500"/>
      <c r="REK518" s="500"/>
      <c r="REL518" s="500"/>
      <c r="REM518" s="500"/>
      <c r="REN518" s="500"/>
      <c r="REO518" s="500"/>
      <c r="REP518" s="500"/>
      <c r="REQ518" s="500"/>
      <c r="RER518" s="500"/>
      <c r="RES518" s="500"/>
      <c r="RET518" s="500"/>
      <c r="REU518" s="500"/>
      <c r="REV518" s="500"/>
      <c r="REW518" s="500"/>
      <c r="REX518" s="500"/>
      <c r="REY518" s="500"/>
      <c r="REZ518" s="500"/>
      <c r="RFA518" s="500"/>
      <c r="RFB518" s="500"/>
      <c r="RFC518" s="500"/>
      <c r="RFD518" s="500"/>
      <c r="RFE518" s="500"/>
      <c r="RFF518" s="500"/>
      <c r="RFG518" s="500"/>
      <c r="RFH518" s="500"/>
      <c r="RFI518" s="500"/>
      <c r="RFJ518" s="500"/>
      <c r="RFK518" s="500"/>
      <c r="RFL518" s="500"/>
      <c r="RFM518" s="500"/>
      <c r="RFN518" s="500"/>
      <c r="RFO518" s="500"/>
      <c r="RFP518" s="500"/>
      <c r="RFQ518" s="500"/>
      <c r="RFR518" s="500"/>
      <c r="RFS518" s="500"/>
      <c r="RFT518" s="500"/>
      <c r="RFU518" s="500"/>
      <c r="RFV518" s="500"/>
      <c r="RFW518" s="500"/>
      <c r="RFX518" s="500"/>
      <c r="RFY518" s="500"/>
      <c r="RFZ518" s="500"/>
      <c r="RGA518" s="500"/>
      <c r="RGB518" s="500"/>
      <c r="RGC518" s="500"/>
      <c r="RGD518" s="500"/>
      <c r="RGE518" s="500"/>
      <c r="RGF518" s="500"/>
      <c r="RGG518" s="500"/>
      <c r="RGH518" s="500"/>
      <c r="RGI518" s="500"/>
      <c r="RGJ518" s="500"/>
      <c r="RGK518" s="500"/>
      <c r="RGL518" s="500"/>
      <c r="RGM518" s="500"/>
      <c r="RGN518" s="500"/>
      <c r="RGO518" s="500"/>
      <c r="RGP518" s="500"/>
      <c r="RGQ518" s="500"/>
      <c r="RGR518" s="500"/>
      <c r="RGS518" s="500"/>
      <c r="RGT518" s="500"/>
      <c r="RGU518" s="500"/>
      <c r="RGV518" s="500"/>
      <c r="RGW518" s="500"/>
      <c r="RGX518" s="500"/>
      <c r="RGY518" s="500"/>
      <c r="RGZ518" s="500"/>
      <c r="RHA518" s="500"/>
      <c r="RHB518" s="500"/>
      <c r="RHC518" s="500"/>
      <c r="RHD518" s="500"/>
      <c r="RHE518" s="500"/>
      <c r="RHF518" s="500"/>
      <c r="RHG518" s="500"/>
      <c r="RHH518" s="500"/>
      <c r="RHI518" s="500"/>
      <c r="RHJ518" s="500"/>
      <c r="RHK518" s="500"/>
      <c r="RHL518" s="500"/>
      <c r="RHM518" s="500"/>
      <c r="RHN518" s="500"/>
      <c r="RHO518" s="500"/>
      <c r="RHP518" s="500"/>
      <c r="RHQ518" s="500"/>
      <c r="RHR518" s="500"/>
      <c r="RHS518" s="500"/>
      <c r="RHT518" s="500"/>
      <c r="RHU518" s="500"/>
      <c r="RHV518" s="500"/>
      <c r="RHW518" s="500"/>
      <c r="RHX518" s="500"/>
      <c r="RHY518" s="500"/>
      <c r="RHZ518" s="500"/>
      <c r="RIA518" s="500"/>
      <c r="RIB518" s="500"/>
      <c r="RIC518" s="500"/>
      <c r="RID518" s="500"/>
      <c r="RIE518" s="500"/>
      <c r="RIF518" s="500"/>
      <c r="RIG518" s="500"/>
      <c r="RIH518" s="500"/>
      <c r="RII518" s="500"/>
      <c r="RIJ518" s="500"/>
      <c r="RIK518" s="500"/>
      <c r="RIL518" s="500"/>
      <c r="RIM518" s="500"/>
      <c r="RIN518" s="500"/>
      <c r="RIO518" s="500"/>
      <c r="RIP518" s="500"/>
      <c r="RIQ518" s="500"/>
      <c r="RIR518" s="500"/>
      <c r="RIS518" s="500"/>
      <c r="RIT518" s="500"/>
      <c r="RIU518" s="500"/>
      <c r="RIV518" s="500"/>
      <c r="RIW518" s="500"/>
      <c r="RIX518" s="500"/>
      <c r="RIY518" s="500"/>
      <c r="RIZ518" s="500"/>
      <c r="RJA518" s="500"/>
      <c r="RJB518" s="500"/>
      <c r="RJC518" s="500"/>
      <c r="RJD518" s="500"/>
      <c r="RJE518" s="500"/>
      <c r="RJF518" s="500"/>
      <c r="RJG518" s="500"/>
      <c r="RJH518" s="500"/>
      <c r="RJI518" s="500"/>
      <c r="RJJ518" s="500"/>
      <c r="RJK518" s="500"/>
      <c r="RJL518" s="500"/>
      <c r="RJM518" s="500"/>
      <c r="RJN518" s="500"/>
      <c r="RJO518" s="500"/>
      <c r="RJP518" s="500"/>
      <c r="RJQ518" s="500"/>
      <c r="RJR518" s="500"/>
      <c r="RJS518" s="500"/>
      <c r="RJT518" s="500"/>
      <c r="RJU518" s="500"/>
      <c r="RJV518" s="500"/>
      <c r="RJW518" s="500"/>
      <c r="RJX518" s="500"/>
      <c r="RJY518" s="500"/>
      <c r="RJZ518" s="500"/>
      <c r="RKA518" s="500"/>
      <c r="RKB518" s="500"/>
      <c r="RKC518" s="500"/>
      <c r="RKD518" s="500"/>
      <c r="RKE518" s="500"/>
      <c r="RKF518" s="500"/>
      <c r="RKG518" s="500"/>
      <c r="RKH518" s="500"/>
      <c r="RKI518" s="500"/>
      <c r="RKJ518" s="500"/>
      <c r="RKK518" s="500"/>
      <c r="RKL518" s="500"/>
      <c r="RKM518" s="500"/>
      <c r="RKN518" s="500"/>
      <c r="RKO518" s="500"/>
      <c r="RKP518" s="500"/>
      <c r="RKQ518" s="500"/>
      <c r="RKR518" s="500"/>
      <c r="RKS518" s="500"/>
      <c r="RKT518" s="500"/>
      <c r="RKU518" s="500"/>
      <c r="RKV518" s="500"/>
      <c r="RKW518" s="500"/>
      <c r="RKX518" s="500"/>
      <c r="RKY518" s="500"/>
      <c r="RKZ518" s="500"/>
      <c r="RLA518" s="500"/>
      <c r="RLB518" s="500"/>
      <c r="RLC518" s="500"/>
      <c r="RLD518" s="500"/>
      <c r="RLE518" s="500"/>
      <c r="RLF518" s="500"/>
      <c r="RLG518" s="500"/>
      <c r="RLH518" s="500"/>
      <c r="RLI518" s="500"/>
      <c r="RLJ518" s="500"/>
      <c r="RLK518" s="500"/>
      <c r="RLL518" s="500"/>
      <c r="RLM518" s="500"/>
      <c r="RLN518" s="500"/>
      <c r="RLO518" s="500"/>
      <c r="RLP518" s="500"/>
      <c r="RLQ518" s="500"/>
      <c r="RLR518" s="500"/>
      <c r="RLS518" s="500"/>
      <c r="RLT518" s="500"/>
      <c r="RLU518" s="500"/>
      <c r="RLV518" s="500"/>
      <c r="RLW518" s="500"/>
      <c r="RLX518" s="500"/>
      <c r="RLY518" s="500"/>
      <c r="RLZ518" s="500"/>
      <c r="RMA518" s="500"/>
      <c r="RMB518" s="500"/>
      <c r="RMC518" s="500"/>
      <c r="RMD518" s="500"/>
      <c r="RME518" s="500"/>
      <c r="RMF518" s="500"/>
      <c r="RMG518" s="500"/>
      <c r="RMH518" s="500"/>
      <c r="RMI518" s="500"/>
      <c r="RMJ518" s="500"/>
      <c r="RMK518" s="500"/>
      <c r="RML518" s="500"/>
      <c r="RMM518" s="500"/>
      <c r="RMN518" s="500"/>
      <c r="RMO518" s="500"/>
      <c r="RMP518" s="500"/>
      <c r="RMQ518" s="500"/>
      <c r="RMR518" s="500"/>
      <c r="RMS518" s="500"/>
      <c r="RMT518" s="500"/>
      <c r="RMU518" s="500"/>
      <c r="RMV518" s="500"/>
      <c r="RMW518" s="500"/>
      <c r="RMX518" s="500"/>
      <c r="RMY518" s="500"/>
      <c r="RMZ518" s="500"/>
      <c r="RNA518" s="500"/>
      <c r="RNB518" s="500"/>
      <c r="RNC518" s="500"/>
      <c r="RND518" s="500"/>
      <c r="RNE518" s="500"/>
      <c r="RNF518" s="500"/>
      <c r="RNG518" s="500"/>
      <c r="RNH518" s="500"/>
      <c r="RNI518" s="500"/>
      <c r="RNJ518" s="500"/>
      <c r="RNK518" s="500"/>
      <c r="RNL518" s="500"/>
      <c r="RNM518" s="500"/>
      <c r="RNN518" s="500"/>
      <c r="RNO518" s="500"/>
      <c r="RNP518" s="500"/>
      <c r="RNQ518" s="500"/>
      <c r="RNR518" s="500"/>
      <c r="RNS518" s="500"/>
      <c r="RNT518" s="500"/>
      <c r="RNU518" s="500"/>
      <c r="RNV518" s="500"/>
      <c r="RNW518" s="500"/>
      <c r="RNX518" s="500"/>
      <c r="RNY518" s="500"/>
      <c r="RNZ518" s="500"/>
      <c r="ROA518" s="500"/>
      <c r="ROB518" s="500"/>
      <c r="ROC518" s="500"/>
      <c r="ROD518" s="500"/>
      <c r="ROE518" s="500"/>
      <c r="ROF518" s="500"/>
      <c r="ROG518" s="500"/>
      <c r="ROH518" s="500"/>
      <c r="ROI518" s="500"/>
      <c r="ROJ518" s="500"/>
      <c r="ROK518" s="500"/>
      <c r="ROL518" s="500"/>
      <c r="ROM518" s="500"/>
      <c r="RON518" s="500"/>
      <c r="ROO518" s="500"/>
      <c r="ROP518" s="500"/>
      <c r="ROQ518" s="500"/>
      <c r="ROR518" s="500"/>
      <c r="ROS518" s="500"/>
      <c r="ROT518" s="500"/>
      <c r="ROU518" s="500"/>
      <c r="ROV518" s="500"/>
      <c r="ROW518" s="500"/>
      <c r="ROX518" s="500"/>
      <c r="ROY518" s="500"/>
      <c r="ROZ518" s="500"/>
      <c r="RPA518" s="500"/>
      <c r="RPB518" s="500"/>
      <c r="RPC518" s="500"/>
      <c r="RPD518" s="500"/>
      <c r="RPE518" s="500"/>
      <c r="RPF518" s="500"/>
      <c r="RPG518" s="500"/>
      <c r="RPH518" s="500"/>
      <c r="RPI518" s="500"/>
      <c r="RPJ518" s="500"/>
      <c r="RPK518" s="500"/>
      <c r="RPL518" s="500"/>
      <c r="RPM518" s="500"/>
      <c r="RPN518" s="500"/>
      <c r="RPO518" s="500"/>
      <c r="RPP518" s="500"/>
      <c r="RPQ518" s="500"/>
      <c r="RPR518" s="500"/>
      <c r="RPS518" s="500"/>
      <c r="RPT518" s="500"/>
      <c r="RPU518" s="500"/>
      <c r="RPV518" s="500"/>
      <c r="RPW518" s="500"/>
      <c r="RPX518" s="500"/>
      <c r="RPY518" s="500"/>
      <c r="RPZ518" s="500"/>
      <c r="RQA518" s="500"/>
      <c r="RQB518" s="500"/>
      <c r="RQC518" s="500"/>
      <c r="RQD518" s="500"/>
      <c r="RQE518" s="500"/>
      <c r="RQF518" s="500"/>
      <c r="RQG518" s="500"/>
      <c r="RQH518" s="500"/>
      <c r="RQI518" s="500"/>
      <c r="RQJ518" s="500"/>
      <c r="RQK518" s="500"/>
      <c r="RQL518" s="500"/>
      <c r="RQM518" s="500"/>
      <c r="RQN518" s="500"/>
      <c r="RQO518" s="500"/>
      <c r="RQP518" s="500"/>
      <c r="RQQ518" s="500"/>
      <c r="RQR518" s="500"/>
      <c r="RQS518" s="500"/>
      <c r="RQT518" s="500"/>
      <c r="RQU518" s="500"/>
      <c r="RQV518" s="500"/>
      <c r="RQW518" s="500"/>
      <c r="RQX518" s="500"/>
      <c r="RQY518" s="500"/>
      <c r="RQZ518" s="500"/>
      <c r="RRA518" s="500"/>
      <c r="RRB518" s="500"/>
      <c r="RRC518" s="500"/>
      <c r="RRD518" s="500"/>
      <c r="RRE518" s="500"/>
      <c r="RRF518" s="500"/>
      <c r="RRG518" s="500"/>
      <c r="RRH518" s="500"/>
      <c r="RRI518" s="500"/>
      <c r="RRJ518" s="500"/>
      <c r="RRK518" s="500"/>
      <c r="RRL518" s="500"/>
      <c r="RRM518" s="500"/>
      <c r="RRN518" s="500"/>
      <c r="RRO518" s="500"/>
      <c r="RRP518" s="500"/>
      <c r="RRQ518" s="500"/>
      <c r="RRR518" s="500"/>
      <c r="RRS518" s="500"/>
      <c r="RRT518" s="500"/>
      <c r="RRU518" s="500"/>
      <c r="RRV518" s="500"/>
      <c r="RRW518" s="500"/>
      <c r="RRX518" s="500"/>
      <c r="RRY518" s="500"/>
      <c r="RRZ518" s="500"/>
      <c r="RSA518" s="500"/>
      <c r="RSB518" s="500"/>
      <c r="RSC518" s="500"/>
      <c r="RSD518" s="500"/>
      <c r="RSE518" s="500"/>
      <c r="RSF518" s="500"/>
      <c r="RSG518" s="500"/>
      <c r="RSH518" s="500"/>
      <c r="RSI518" s="500"/>
      <c r="RSJ518" s="500"/>
      <c r="RSK518" s="500"/>
      <c r="RSL518" s="500"/>
      <c r="RSM518" s="500"/>
      <c r="RSN518" s="500"/>
      <c r="RSO518" s="500"/>
      <c r="RSP518" s="500"/>
      <c r="RSQ518" s="500"/>
      <c r="RSR518" s="500"/>
      <c r="RSS518" s="500"/>
      <c r="RST518" s="500"/>
      <c r="RSU518" s="500"/>
      <c r="RSV518" s="500"/>
      <c r="RSW518" s="500"/>
      <c r="RSX518" s="500"/>
      <c r="RSY518" s="500"/>
      <c r="RSZ518" s="500"/>
      <c r="RTA518" s="500"/>
      <c r="RTB518" s="500"/>
      <c r="RTC518" s="500"/>
      <c r="RTD518" s="500"/>
      <c r="RTE518" s="500"/>
      <c r="RTF518" s="500"/>
      <c r="RTG518" s="500"/>
      <c r="RTH518" s="500"/>
      <c r="RTI518" s="500"/>
      <c r="RTJ518" s="500"/>
      <c r="RTK518" s="500"/>
      <c r="RTL518" s="500"/>
      <c r="RTM518" s="500"/>
      <c r="RTN518" s="500"/>
      <c r="RTO518" s="500"/>
      <c r="RTP518" s="500"/>
      <c r="RTQ518" s="500"/>
      <c r="RTR518" s="500"/>
      <c r="RTS518" s="500"/>
      <c r="RTT518" s="500"/>
      <c r="RTU518" s="500"/>
      <c r="RTV518" s="500"/>
      <c r="RTW518" s="500"/>
      <c r="RTX518" s="500"/>
      <c r="RTY518" s="500"/>
      <c r="RTZ518" s="500"/>
      <c r="RUA518" s="500"/>
      <c r="RUB518" s="500"/>
      <c r="RUC518" s="500"/>
      <c r="RUD518" s="500"/>
      <c r="RUE518" s="500"/>
      <c r="RUF518" s="500"/>
      <c r="RUG518" s="500"/>
      <c r="RUH518" s="500"/>
      <c r="RUI518" s="500"/>
      <c r="RUJ518" s="500"/>
      <c r="RUK518" s="500"/>
      <c r="RUL518" s="500"/>
      <c r="RUM518" s="500"/>
      <c r="RUN518" s="500"/>
      <c r="RUO518" s="500"/>
      <c r="RUP518" s="500"/>
      <c r="RUQ518" s="500"/>
      <c r="RUR518" s="500"/>
      <c r="RUS518" s="500"/>
      <c r="RUT518" s="500"/>
      <c r="RUU518" s="500"/>
      <c r="RUV518" s="500"/>
      <c r="RUW518" s="500"/>
      <c r="RUX518" s="500"/>
      <c r="RUY518" s="500"/>
      <c r="RUZ518" s="500"/>
      <c r="RVA518" s="500"/>
      <c r="RVB518" s="500"/>
      <c r="RVC518" s="500"/>
      <c r="RVD518" s="500"/>
      <c r="RVE518" s="500"/>
      <c r="RVF518" s="500"/>
      <c r="RVG518" s="500"/>
      <c r="RVH518" s="500"/>
      <c r="RVI518" s="500"/>
      <c r="RVJ518" s="500"/>
      <c r="RVK518" s="500"/>
      <c r="RVL518" s="500"/>
      <c r="RVM518" s="500"/>
      <c r="RVN518" s="500"/>
      <c r="RVO518" s="500"/>
      <c r="RVP518" s="500"/>
      <c r="RVQ518" s="500"/>
      <c r="RVR518" s="500"/>
      <c r="RVS518" s="500"/>
      <c r="RVT518" s="500"/>
      <c r="RVU518" s="500"/>
      <c r="RVV518" s="500"/>
      <c r="RVW518" s="500"/>
      <c r="RVX518" s="500"/>
      <c r="RVY518" s="500"/>
      <c r="RVZ518" s="500"/>
      <c r="RWA518" s="500"/>
      <c r="RWB518" s="500"/>
      <c r="RWC518" s="500"/>
      <c r="RWD518" s="500"/>
      <c r="RWE518" s="500"/>
      <c r="RWF518" s="500"/>
      <c r="RWG518" s="500"/>
      <c r="RWH518" s="500"/>
      <c r="RWI518" s="500"/>
      <c r="RWJ518" s="500"/>
      <c r="RWK518" s="500"/>
      <c r="RWL518" s="500"/>
      <c r="RWM518" s="500"/>
      <c r="RWN518" s="500"/>
      <c r="RWO518" s="500"/>
      <c r="RWP518" s="500"/>
      <c r="RWQ518" s="500"/>
      <c r="RWR518" s="500"/>
      <c r="RWS518" s="500"/>
      <c r="RWT518" s="500"/>
      <c r="RWU518" s="500"/>
      <c r="RWV518" s="500"/>
      <c r="RWW518" s="500"/>
      <c r="RWX518" s="500"/>
      <c r="RWY518" s="500"/>
      <c r="RWZ518" s="500"/>
      <c r="RXA518" s="500"/>
      <c r="RXB518" s="500"/>
      <c r="RXC518" s="500"/>
      <c r="RXD518" s="500"/>
      <c r="RXE518" s="500"/>
      <c r="RXF518" s="500"/>
      <c r="RXG518" s="500"/>
      <c r="RXH518" s="500"/>
      <c r="RXI518" s="500"/>
      <c r="RXJ518" s="500"/>
      <c r="RXK518" s="500"/>
      <c r="RXL518" s="500"/>
      <c r="RXM518" s="500"/>
      <c r="RXN518" s="500"/>
      <c r="RXO518" s="500"/>
      <c r="RXP518" s="500"/>
      <c r="RXQ518" s="500"/>
      <c r="RXR518" s="500"/>
      <c r="RXS518" s="500"/>
      <c r="RXT518" s="500"/>
      <c r="RXU518" s="500"/>
      <c r="RXV518" s="500"/>
      <c r="RXW518" s="500"/>
      <c r="RXX518" s="500"/>
      <c r="RXY518" s="500"/>
      <c r="RXZ518" s="500"/>
      <c r="RYA518" s="500"/>
      <c r="RYB518" s="500"/>
      <c r="RYC518" s="500"/>
      <c r="RYD518" s="500"/>
      <c r="RYE518" s="500"/>
      <c r="RYF518" s="500"/>
      <c r="RYG518" s="500"/>
      <c r="RYH518" s="500"/>
      <c r="RYI518" s="500"/>
      <c r="RYJ518" s="500"/>
      <c r="RYK518" s="500"/>
      <c r="RYL518" s="500"/>
      <c r="RYM518" s="500"/>
      <c r="RYN518" s="500"/>
      <c r="RYO518" s="500"/>
      <c r="RYP518" s="500"/>
      <c r="RYQ518" s="500"/>
      <c r="RYR518" s="500"/>
      <c r="RYS518" s="500"/>
      <c r="RYT518" s="500"/>
      <c r="RYU518" s="500"/>
      <c r="RYV518" s="500"/>
      <c r="RYW518" s="500"/>
      <c r="RYX518" s="500"/>
      <c r="RYY518" s="500"/>
      <c r="RYZ518" s="500"/>
      <c r="RZA518" s="500"/>
      <c r="RZB518" s="500"/>
      <c r="RZC518" s="500"/>
      <c r="RZD518" s="500"/>
      <c r="RZE518" s="500"/>
      <c r="RZF518" s="500"/>
      <c r="RZG518" s="500"/>
      <c r="RZH518" s="500"/>
      <c r="RZI518" s="500"/>
      <c r="RZJ518" s="500"/>
      <c r="RZK518" s="500"/>
      <c r="RZL518" s="500"/>
      <c r="RZM518" s="500"/>
      <c r="RZN518" s="500"/>
      <c r="RZO518" s="500"/>
      <c r="RZP518" s="500"/>
      <c r="RZQ518" s="500"/>
      <c r="RZR518" s="500"/>
      <c r="RZS518" s="500"/>
      <c r="RZT518" s="500"/>
      <c r="RZU518" s="500"/>
      <c r="RZV518" s="500"/>
      <c r="RZW518" s="500"/>
      <c r="RZX518" s="500"/>
      <c r="RZY518" s="500"/>
      <c r="RZZ518" s="500"/>
      <c r="SAA518" s="500"/>
      <c r="SAB518" s="500"/>
      <c r="SAC518" s="500"/>
      <c r="SAD518" s="500"/>
      <c r="SAE518" s="500"/>
      <c r="SAF518" s="500"/>
      <c r="SAG518" s="500"/>
      <c r="SAH518" s="500"/>
      <c r="SAI518" s="500"/>
      <c r="SAJ518" s="500"/>
      <c r="SAK518" s="500"/>
      <c r="SAL518" s="500"/>
      <c r="SAM518" s="500"/>
      <c r="SAN518" s="500"/>
      <c r="SAO518" s="500"/>
      <c r="SAP518" s="500"/>
      <c r="SAQ518" s="500"/>
      <c r="SAR518" s="500"/>
      <c r="SAS518" s="500"/>
      <c r="SAT518" s="500"/>
      <c r="SAU518" s="500"/>
      <c r="SAV518" s="500"/>
      <c r="SAW518" s="500"/>
      <c r="SAX518" s="500"/>
      <c r="SAY518" s="500"/>
      <c r="SAZ518" s="500"/>
      <c r="SBA518" s="500"/>
      <c r="SBB518" s="500"/>
      <c r="SBC518" s="500"/>
      <c r="SBD518" s="500"/>
      <c r="SBE518" s="500"/>
      <c r="SBF518" s="500"/>
      <c r="SBG518" s="500"/>
      <c r="SBH518" s="500"/>
      <c r="SBI518" s="500"/>
      <c r="SBJ518" s="500"/>
      <c r="SBK518" s="500"/>
      <c r="SBL518" s="500"/>
      <c r="SBM518" s="500"/>
      <c r="SBN518" s="500"/>
      <c r="SBO518" s="500"/>
      <c r="SBP518" s="500"/>
      <c r="SBQ518" s="500"/>
      <c r="SBR518" s="500"/>
      <c r="SBS518" s="500"/>
      <c r="SBT518" s="500"/>
      <c r="SBU518" s="500"/>
      <c r="SBV518" s="500"/>
      <c r="SBW518" s="500"/>
      <c r="SBX518" s="500"/>
      <c r="SBY518" s="500"/>
      <c r="SBZ518" s="500"/>
      <c r="SCA518" s="500"/>
      <c r="SCB518" s="500"/>
      <c r="SCC518" s="500"/>
      <c r="SCD518" s="500"/>
      <c r="SCE518" s="500"/>
      <c r="SCF518" s="500"/>
      <c r="SCG518" s="500"/>
      <c r="SCH518" s="500"/>
      <c r="SCI518" s="500"/>
      <c r="SCJ518" s="500"/>
      <c r="SCK518" s="500"/>
      <c r="SCL518" s="500"/>
      <c r="SCM518" s="500"/>
      <c r="SCN518" s="500"/>
      <c r="SCO518" s="500"/>
      <c r="SCP518" s="500"/>
      <c r="SCQ518" s="500"/>
      <c r="SCR518" s="500"/>
      <c r="SCS518" s="500"/>
      <c r="SCT518" s="500"/>
      <c r="SCU518" s="500"/>
      <c r="SCV518" s="500"/>
      <c r="SCW518" s="500"/>
      <c r="SCX518" s="500"/>
      <c r="SCY518" s="500"/>
      <c r="SCZ518" s="500"/>
      <c r="SDA518" s="500"/>
      <c r="SDB518" s="500"/>
      <c r="SDC518" s="500"/>
      <c r="SDD518" s="500"/>
      <c r="SDE518" s="500"/>
      <c r="SDF518" s="500"/>
      <c r="SDG518" s="500"/>
      <c r="SDH518" s="500"/>
      <c r="SDI518" s="500"/>
      <c r="SDJ518" s="500"/>
      <c r="SDK518" s="500"/>
      <c r="SDL518" s="500"/>
      <c r="SDM518" s="500"/>
      <c r="SDN518" s="500"/>
      <c r="SDO518" s="500"/>
      <c r="SDP518" s="500"/>
      <c r="SDQ518" s="500"/>
      <c r="SDR518" s="500"/>
      <c r="SDS518" s="500"/>
      <c r="SDT518" s="500"/>
      <c r="SDU518" s="500"/>
      <c r="SDV518" s="500"/>
      <c r="SDW518" s="500"/>
      <c r="SDX518" s="500"/>
      <c r="SDY518" s="500"/>
      <c r="SDZ518" s="500"/>
      <c r="SEA518" s="500"/>
      <c r="SEB518" s="500"/>
      <c r="SEC518" s="500"/>
      <c r="SED518" s="500"/>
      <c r="SEE518" s="500"/>
      <c r="SEF518" s="500"/>
      <c r="SEG518" s="500"/>
      <c r="SEH518" s="500"/>
      <c r="SEI518" s="500"/>
      <c r="SEJ518" s="500"/>
      <c r="SEK518" s="500"/>
      <c r="SEL518" s="500"/>
      <c r="SEM518" s="500"/>
      <c r="SEN518" s="500"/>
      <c r="SEO518" s="500"/>
      <c r="SEP518" s="500"/>
      <c r="SEQ518" s="500"/>
      <c r="SER518" s="500"/>
      <c r="SES518" s="500"/>
      <c r="SET518" s="500"/>
      <c r="SEU518" s="500"/>
      <c r="SEV518" s="500"/>
      <c r="SEW518" s="500"/>
      <c r="SEX518" s="500"/>
      <c r="SEY518" s="500"/>
      <c r="SEZ518" s="500"/>
      <c r="SFA518" s="500"/>
      <c r="SFB518" s="500"/>
      <c r="SFC518" s="500"/>
      <c r="SFD518" s="500"/>
      <c r="SFE518" s="500"/>
      <c r="SFF518" s="500"/>
      <c r="SFG518" s="500"/>
      <c r="SFH518" s="500"/>
      <c r="SFI518" s="500"/>
      <c r="SFJ518" s="500"/>
      <c r="SFK518" s="500"/>
      <c r="SFL518" s="500"/>
      <c r="SFM518" s="500"/>
      <c r="SFN518" s="500"/>
      <c r="SFO518" s="500"/>
      <c r="SFP518" s="500"/>
      <c r="SFQ518" s="500"/>
      <c r="SFR518" s="500"/>
      <c r="SFS518" s="500"/>
      <c r="SFT518" s="500"/>
      <c r="SFU518" s="500"/>
      <c r="SFV518" s="500"/>
      <c r="SFW518" s="500"/>
      <c r="SFX518" s="500"/>
      <c r="SFY518" s="500"/>
      <c r="SFZ518" s="500"/>
      <c r="SGA518" s="500"/>
      <c r="SGB518" s="500"/>
      <c r="SGC518" s="500"/>
      <c r="SGD518" s="500"/>
      <c r="SGE518" s="500"/>
      <c r="SGF518" s="500"/>
      <c r="SGG518" s="500"/>
      <c r="SGH518" s="500"/>
      <c r="SGI518" s="500"/>
      <c r="SGJ518" s="500"/>
      <c r="SGK518" s="500"/>
      <c r="SGL518" s="500"/>
      <c r="SGM518" s="500"/>
      <c r="SGN518" s="500"/>
      <c r="SGO518" s="500"/>
      <c r="SGP518" s="500"/>
      <c r="SGQ518" s="500"/>
      <c r="SGR518" s="500"/>
      <c r="SGS518" s="500"/>
      <c r="SGT518" s="500"/>
      <c r="SGU518" s="500"/>
      <c r="SGV518" s="500"/>
      <c r="SGW518" s="500"/>
      <c r="SGX518" s="500"/>
      <c r="SGY518" s="500"/>
      <c r="SGZ518" s="500"/>
      <c r="SHA518" s="500"/>
      <c r="SHB518" s="500"/>
      <c r="SHC518" s="500"/>
      <c r="SHD518" s="500"/>
      <c r="SHE518" s="500"/>
      <c r="SHF518" s="500"/>
      <c r="SHG518" s="500"/>
      <c r="SHH518" s="500"/>
      <c r="SHI518" s="500"/>
      <c r="SHJ518" s="500"/>
      <c r="SHK518" s="500"/>
      <c r="SHL518" s="500"/>
      <c r="SHM518" s="500"/>
      <c r="SHN518" s="500"/>
      <c r="SHO518" s="500"/>
      <c r="SHP518" s="500"/>
      <c r="SHQ518" s="500"/>
      <c r="SHR518" s="500"/>
      <c r="SHS518" s="500"/>
      <c r="SHT518" s="500"/>
      <c r="SHU518" s="500"/>
      <c r="SHV518" s="500"/>
      <c r="SHW518" s="500"/>
      <c r="SHX518" s="500"/>
      <c r="SHY518" s="500"/>
      <c r="SHZ518" s="500"/>
      <c r="SIA518" s="500"/>
      <c r="SIB518" s="500"/>
      <c r="SIC518" s="500"/>
      <c r="SID518" s="500"/>
      <c r="SIE518" s="500"/>
      <c r="SIF518" s="500"/>
      <c r="SIG518" s="500"/>
      <c r="SIH518" s="500"/>
      <c r="SII518" s="500"/>
      <c r="SIJ518" s="500"/>
      <c r="SIK518" s="500"/>
      <c r="SIL518" s="500"/>
      <c r="SIM518" s="500"/>
      <c r="SIN518" s="500"/>
      <c r="SIO518" s="500"/>
      <c r="SIP518" s="500"/>
      <c r="SIQ518" s="500"/>
      <c r="SIR518" s="500"/>
      <c r="SIS518" s="500"/>
      <c r="SIT518" s="500"/>
      <c r="SIU518" s="500"/>
      <c r="SIV518" s="500"/>
      <c r="SIW518" s="500"/>
      <c r="SIX518" s="500"/>
      <c r="SIY518" s="500"/>
      <c r="SIZ518" s="500"/>
      <c r="SJA518" s="500"/>
      <c r="SJB518" s="500"/>
      <c r="SJC518" s="500"/>
      <c r="SJD518" s="500"/>
      <c r="SJE518" s="500"/>
      <c r="SJF518" s="500"/>
      <c r="SJG518" s="500"/>
      <c r="SJH518" s="500"/>
      <c r="SJI518" s="500"/>
      <c r="SJJ518" s="500"/>
      <c r="SJK518" s="500"/>
      <c r="SJL518" s="500"/>
      <c r="SJM518" s="500"/>
      <c r="SJN518" s="500"/>
      <c r="SJO518" s="500"/>
      <c r="SJP518" s="500"/>
      <c r="SJQ518" s="500"/>
      <c r="SJR518" s="500"/>
      <c r="SJS518" s="500"/>
      <c r="SJT518" s="500"/>
      <c r="SJU518" s="500"/>
      <c r="SJV518" s="500"/>
      <c r="SJW518" s="500"/>
      <c r="SJX518" s="500"/>
      <c r="SJY518" s="500"/>
      <c r="SJZ518" s="500"/>
      <c r="SKA518" s="500"/>
      <c r="SKB518" s="500"/>
      <c r="SKC518" s="500"/>
      <c r="SKD518" s="500"/>
      <c r="SKE518" s="500"/>
      <c r="SKF518" s="500"/>
      <c r="SKG518" s="500"/>
      <c r="SKH518" s="500"/>
      <c r="SKI518" s="500"/>
      <c r="SKJ518" s="500"/>
      <c r="SKK518" s="500"/>
      <c r="SKL518" s="500"/>
      <c r="SKM518" s="500"/>
      <c r="SKN518" s="500"/>
      <c r="SKO518" s="500"/>
      <c r="SKP518" s="500"/>
      <c r="SKQ518" s="500"/>
      <c r="SKR518" s="500"/>
      <c r="SKS518" s="500"/>
      <c r="SKT518" s="500"/>
      <c r="SKU518" s="500"/>
      <c r="SKV518" s="500"/>
      <c r="SKW518" s="500"/>
      <c r="SKX518" s="500"/>
      <c r="SKY518" s="500"/>
      <c r="SKZ518" s="500"/>
      <c r="SLA518" s="500"/>
      <c r="SLB518" s="500"/>
      <c r="SLC518" s="500"/>
      <c r="SLD518" s="500"/>
      <c r="SLE518" s="500"/>
      <c r="SLF518" s="500"/>
      <c r="SLG518" s="500"/>
      <c r="SLH518" s="500"/>
      <c r="SLI518" s="500"/>
      <c r="SLJ518" s="500"/>
      <c r="SLK518" s="500"/>
      <c r="SLL518" s="500"/>
      <c r="SLM518" s="500"/>
      <c r="SLN518" s="500"/>
      <c r="SLO518" s="500"/>
      <c r="SLP518" s="500"/>
      <c r="SLQ518" s="500"/>
      <c r="SLR518" s="500"/>
      <c r="SLS518" s="500"/>
      <c r="SLT518" s="500"/>
      <c r="SLU518" s="500"/>
      <c r="SLV518" s="500"/>
      <c r="SLW518" s="500"/>
      <c r="SLX518" s="500"/>
      <c r="SLY518" s="500"/>
      <c r="SLZ518" s="500"/>
      <c r="SMA518" s="500"/>
      <c r="SMB518" s="500"/>
      <c r="SMC518" s="500"/>
      <c r="SMD518" s="500"/>
      <c r="SME518" s="500"/>
      <c r="SMF518" s="500"/>
      <c r="SMG518" s="500"/>
      <c r="SMH518" s="500"/>
      <c r="SMI518" s="500"/>
      <c r="SMJ518" s="500"/>
      <c r="SMK518" s="500"/>
      <c r="SML518" s="500"/>
      <c r="SMM518" s="500"/>
      <c r="SMN518" s="500"/>
      <c r="SMO518" s="500"/>
      <c r="SMP518" s="500"/>
      <c r="SMQ518" s="500"/>
      <c r="SMR518" s="500"/>
      <c r="SMS518" s="500"/>
      <c r="SMT518" s="500"/>
      <c r="SMU518" s="500"/>
      <c r="SMV518" s="500"/>
      <c r="SMW518" s="500"/>
      <c r="SMX518" s="500"/>
      <c r="SMY518" s="500"/>
      <c r="SMZ518" s="500"/>
      <c r="SNA518" s="500"/>
      <c r="SNB518" s="500"/>
      <c r="SNC518" s="500"/>
      <c r="SND518" s="500"/>
      <c r="SNE518" s="500"/>
      <c r="SNF518" s="500"/>
      <c r="SNG518" s="500"/>
      <c r="SNH518" s="500"/>
      <c r="SNI518" s="500"/>
      <c r="SNJ518" s="500"/>
      <c r="SNK518" s="500"/>
      <c r="SNL518" s="500"/>
      <c r="SNM518" s="500"/>
      <c r="SNN518" s="500"/>
      <c r="SNO518" s="500"/>
      <c r="SNP518" s="500"/>
      <c r="SNQ518" s="500"/>
      <c r="SNR518" s="500"/>
      <c r="SNS518" s="500"/>
      <c r="SNT518" s="500"/>
      <c r="SNU518" s="500"/>
      <c r="SNV518" s="500"/>
      <c r="SNW518" s="500"/>
      <c r="SNX518" s="500"/>
      <c r="SNY518" s="500"/>
      <c r="SNZ518" s="500"/>
      <c r="SOA518" s="500"/>
      <c r="SOB518" s="500"/>
      <c r="SOC518" s="500"/>
      <c r="SOD518" s="500"/>
      <c r="SOE518" s="500"/>
      <c r="SOF518" s="500"/>
      <c r="SOG518" s="500"/>
      <c r="SOH518" s="500"/>
      <c r="SOI518" s="500"/>
      <c r="SOJ518" s="500"/>
      <c r="SOK518" s="500"/>
      <c r="SOL518" s="500"/>
      <c r="SOM518" s="500"/>
      <c r="SON518" s="500"/>
      <c r="SOO518" s="500"/>
      <c r="SOP518" s="500"/>
      <c r="SOQ518" s="500"/>
      <c r="SOR518" s="500"/>
      <c r="SOS518" s="500"/>
      <c r="SOT518" s="500"/>
      <c r="SOU518" s="500"/>
      <c r="SOV518" s="500"/>
      <c r="SOW518" s="500"/>
      <c r="SOX518" s="500"/>
      <c r="SOY518" s="500"/>
      <c r="SOZ518" s="500"/>
      <c r="SPA518" s="500"/>
      <c r="SPB518" s="500"/>
      <c r="SPC518" s="500"/>
      <c r="SPD518" s="500"/>
      <c r="SPE518" s="500"/>
      <c r="SPF518" s="500"/>
      <c r="SPG518" s="500"/>
      <c r="SPH518" s="500"/>
      <c r="SPI518" s="500"/>
      <c r="SPJ518" s="500"/>
      <c r="SPK518" s="500"/>
      <c r="SPL518" s="500"/>
      <c r="SPM518" s="500"/>
      <c r="SPN518" s="500"/>
      <c r="SPO518" s="500"/>
      <c r="SPP518" s="500"/>
      <c r="SPQ518" s="500"/>
      <c r="SPR518" s="500"/>
      <c r="SPS518" s="500"/>
      <c r="SPT518" s="500"/>
      <c r="SPU518" s="500"/>
      <c r="SPV518" s="500"/>
      <c r="SPW518" s="500"/>
      <c r="SPX518" s="500"/>
      <c r="SPY518" s="500"/>
      <c r="SPZ518" s="500"/>
      <c r="SQA518" s="500"/>
      <c r="SQB518" s="500"/>
      <c r="SQC518" s="500"/>
      <c r="SQD518" s="500"/>
      <c r="SQE518" s="500"/>
      <c r="SQF518" s="500"/>
      <c r="SQG518" s="500"/>
      <c r="SQH518" s="500"/>
      <c r="SQI518" s="500"/>
      <c r="SQJ518" s="500"/>
      <c r="SQK518" s="500"/>
      <c r="SQL518" s="500"/>
      <c r="SQM518" s="500"/>
      <c r="SQN518" s="500"/>
      <c r="SQO518" s="500"/>
      <c r="SQP518" s="500"/>
      <c r="SQQ518" s="500"/>
      <c r="SQR518" s="500"/>
      <c r="SQS518" s="500"/>
      <c r="SQT518" s="500"/>
      <c r="SQU518" s="500"/>
      <c r="SQV518" s="500"/>
      <c r="SQW518" s="500"/>
      <c r="SQX518" s="500"/>
      <c r="SQY518" s="500"/>
      <c r="SQZ518" s="500"/>
      <c r="SRA518" s="500"/>
      <c r="SRB518" s="500"/>
      <c r="SRC518" s="500"/>
      <c r="SRD518" s="500"/>
      <c r="SRE518" s="500"/>
      <c r="SRF518" s="500"/>
      <c r="SRG518" s="500"/>
      <c r="SRH518" s="500"/>
      <c r="SRI518" s="500"/>
      <c r="SRJ518" s="500"/>
      <c r="SRK518" s="500"/>
      <c r="SRL518" s="500"/>
      <c r="SRM518" s="500"/>
      <c r="SRN518" s="500"/>
      <c r="SRO518" s="500"/>
      <c r="SRP518" s="500"/>
      <c r="SRQ518" s="500"/>
      <c r="SRR518" s="500"/>
      <c r="SRS518" s="500"/>
      <c r="SRT518" s="500"/>
      <c r="SRU518" s="500"/>
      <c r="SRV518" s="500"/>
      <c r="SRW518" s="500"/>
      <c r="SRX518" s="500"/>
      <c r="SRY518" s="500"/>
      <c r="SRZ518" s="500"/>
      <c r="SSA518" s="500"/>
      <c r="SSB518" s="500"/>
      <c r="SSC518" s="500"/>
      <c r="SSD518" s="500"/>
      <c r="SSE518" s="500"/>
      <c r="SSF518" s="500"/>
      <c r="SSG518" s="500"/>
      <c r="SSH518" s="500"/>
      <c r="SSI518" s="500"/>
      <c r="SSJ518" s="500"/>
      <c r="SSK518" s="500"/>
      <c r="SSL518" s="500"/>
      <c r="SSM518" s="500"/>
      <c r="SSN518" s="500"/>
      <c r="SSO518" s="500"/>
      <c r="SSP518" s="500"/>
      <c r="SSQ518" s="500"/>
      <c r="SSR518" s="500"/>
      <c r="SSS518" s="500"/>
      <c r="SST518" s="500"/>
      <c r="SSU518" s="500"/>
      <c r="SSV518" s="500"/>
      <c r="SSW518" s="500"/>
      <c r="SSX518" s="500"/>
      <c r="SSY518" s="500"/>
      <c r="SSZ518" s="500"/>
      <c r="STA518" s="500"/>
      <c r="STB518" s="500"/>
      <c r="STC518" s="500"/>
      <c r="STD518" s="500"/>
      <c r="STE518" s="500"/>
      <c r="STF518" s="500"/>
      <c r="STG518" s="500"/>
      <c r="STH518" s="500"/>
      <c r="STI518" s="500"/>
      <c r="STJ518" s="500"/>
      <c r="STK518" s="500"/>
      <c r="STL518" s="500"/>
      <c r="STM518" s="500"/>
      <c r="STN518" s="500"/>
      <c r="STO518" s="500"/>
      <c r="STP518" s="500"/>
      <c r="STQ518" s="500"/>
      <c r="STR518" s="500"/>
      <c r="STS518" s="500"/>
      <c r="STT518" s="500"/>
      <c r="STU518" s="500"/>
      <c r="STV518" s="500"/>
      <c r="STW518" s="500"/>
      <c r="STX518" s="500"/>
      <c r="STY518" s="500"/>
      <c r="STZ518" s="500"/>
      <c r="SUA518" s="500"/>
      <c r="SUB518" s="500"/>
      <c r="SUC518" s="500"/>
      <c r="SUD518" s="500"/>
      <c r="SUE518" s="500"/>
      <c r="SUF518" s="500"/>
      <c r="SUG518" s="500"/>
      <c r="SUH518" s="500"/>
      <c r="SUI518" s="500"/>
      <c r="SUJ518" s="500"/>
      <c r="SUK518" s="500"/>
      <c r="SUL518" s="500"/>
      <c r="SUM518" s="500"/>
      <c r="SUN518" s="500"/>
      <c r="SUO518" s="500"/>
      <c r="SUP518" s="500"/>
      <c r="SUQ518" s="500"/>
      <c r="SUR518" s="500"/>
      <c r="SUS518" s="500"/>
      <c r="SUT518" s="500"/>
      <c r="SUU518" s="500"/>
      <c r="SUV518" s="500"/>
      <c r="SUW518" s="500"/>
      <c r="SUX518" s="500"/>
      <c r="SUY518" s="500"/>
      <c r="SUZ518" s="500"/>
      <c r="SVA518" s="500"/>
      <c r="SVB518" s="500"/>
      <c r="SVC518" s="500"/>
      <c r="SVD518" s="500"/>
      <c r="SVE518" s="500"/>
      <c r="SVF518" s="500"/>
      <c r="SVG518" s="500"/>
      <c r="SVH518" s="500"/>
      <c r="SVI518" s="500"/>
      <c r="SVJ518" s="500"/>
      <c r="SVK518" s="500"/>
      <c r="SVL518" s="500"/>
      <c r="SVM518" s="500"/>
      <c r="SVN518" s="500"/>
      <c r="SVO518" s="500"/>
      <c r="SVP518" s="500"/>
      <c r="SVQ518" s="500"/>
      <c r="SVR518" s="500"/>
      <c r="SVS518" s="500"/>
      <c r="SVT518" s="500"/>
      <c r="SVU518" s="500"/>
      <c r="SVV518" s="500"/>
      <c r="SVW518" s="500"/>
      <c r="SVX518" s="500"/>
      <c r="SVY518" s="500"/>
      <c r="SVZ518" s="500"/>
      <c r="SWA518" s="500"/>
      <c r="SWB518" s="500"/>
      <c r="SWC518" s="500"/>
      <c r="SWD518" s="500"/>
      <c r="SWE518" s="500"/>
      <c r="SWF518" s="500"/>
      <c r="SWG518" s="500"/>
      <c r="SWH518" s="500"/>
      <c r="SWI518" s="500"/>
      <c r="SWJ518" s="500"/>
      <c r="SWK518" s="500"/>
      <c r="SWL518" s="500"/>
      <c r="SWM518" s="500"/>
      <c r="SWN518" s="500"/>
      <c r="SWO518" s="500"/>
      <c r="SWP518" s="500"/>
      <c r="SWQ518" s="500"/>
      <c r="SWR518" s="500"/>
      <c r="SWS518" s="500"/>
      <c r="SWT518" s="500"/>
      <c r="SWU518" s="500"/>
      <c r="SWV518" s="500"/>
      <c r="SWW518" s="500"/>
      <c r="SWX518" s="500"/>
      <c r="SWY518" s="500"/>
      <c r="SWZ518" s="500"/>
      <c r="SXA518" s="500"/>
      <c r="SXB518" s="500"/>
      <c r="SXC518" s="500"/>
      <c r="SXD518" s="500"/>
      <c r="SXE518" s="500"/>
      <c r="SXF518" s="500"/>
      <c r="SXG518" s="500"/>
      <c r="SXH518" s="500"/>
      <c r="SXI518" s="500"/>
      <c r="SXJ518" s="500"/>
      <c r="SXK518" s="500"/>
      <c r="SXL518" s="500"/>
      <c r="SXM518" s="500"/>
      <c r="SXN518" s="500"/>
      <c r="SXO518" s="500"/>
      <c r="SXP518" s="500"/>
      <c r="SXQ518" s="500"/>
      <c r="SXR518" s="500"/>
      <c r="SXS518" s="500"/>
      <c r="SXT518" s="500"/>
      <c r="SXU518" s="500"/>
      <c r="SXV518" s="500"/>
      <c r="SXW518" s="500"/>
      <c r="SXX518" s="500"/>
      <c r="SXY518" s="500"/>
      <c r="SXZ518" s="500"/>
      <c r="SYA518" s="500"/>
      <c r="SYB518" s="500"/>
      <c r="SYC518" s="500"/>
      <c r="SYD518" s="500"/>
      <c r="SYE518" s="500"/>
      <c r="SYF518" s="500"/>
      <c r="SYG518" s="500"/>
      <c r="SYH518" s="500"/>
      <c r="SYI518" s="500"/>
      <c r="SYJ518" s="500"/>
      <c r="SYK518" s="500"/>
      <c r="SYL518" s="500"/>
      <c r="SYM518" s="500"/>
      <c r="SYN518" s="500"/>
      <c r="SYO518" s="500"/>
      <c r="SYP518" s="500"/>
      <c r="SYQ518" s="500"/>
      <c r="SYR518" s="500"/>
      <c r="SYS518" s="500"/>
      <c r="SYT518" s="500"/>
      <c r="SYU518" s="500"/>
      <c r="SYV518" s="500"/>
      <c r="SYW518" s="500"/>
      <c r="SYX518" s="500"/>
      <c r="SYY518" s="500"/>
      <c r="SYZ518" s="500"/>
      <c r="SZA518" s="500"/>
      <c r="SZB518" s="500"/>
      <c r="SZC518" s="500"/>
      <c r="SZD518" s="500"/>
      <c r="SZE518" s="500"/>
      <c r="SZF518" s="500"/>
      <c r="SZG518" s="500"/>
      <c r="SZH518" s="500"/>
      <c r="SZI518" s="500"/>
      <c r="SZJ518" s="500"/>
      <c r="SZK518" s="500"/>
      <c r="SZL518" s="500"/>
      <c r="SZM518" s="500"/>
      <c r="SZN518" s="500"/>
      <c r="SZO518" s="500"/>
      <c r="SZP518" s="500"/>
      <c r="SZQ518" s="500"/>
      <c r="SZR518" s="500"/>
      <c r="SZS518" s="500"/>
      <c r="SZT518" s="500"/>
      <c r="SZU518" s="500"/>
      <c r="SZV518" s="500"/>
      <c r="SZW518" s="500"/>
      <c r="SZX518" s="500"/>
      <c r="SZY518" s="500"/>
      <c r="SZZ518" s="500"/>
      <c r="TAA518" s="500"/>
      <c r="TAB518" s="500"/>
      <c r="TAC518" s="500"/>
      <c r="TAD518" s="500"/>
      <c r="TAE518" s="500"/>
      <c r="TAF518" s="500"/>
      <c r="TAG518" s="500"/>
      <c r="TAH518" s="500"/>
      <c r="TAI518" s="500"/>
      <c r="TAJ518" s="500"/>
      <c r="TAK518" s="500"/>
      <c r="TAL518" s="500"/>
      <c r="TAM518" s="500"/>
      <c r="TAN518" s="500"/>
      <c r="TAO518" s="500"/>
      <c r="TAP518" s="500"/>
      <c r="TAQ518" s="500"/>
      <c r="TAR518" s="500"/>
      <c r="TAS518" s="500"/>
      <c r="TAT518" s="500"/>
      <c r="TAU518" s="500"/>
      <c r="TAV518" s="500"/>
      <c r="TAW518" s="500"/>
      <c r="TAX518" s="500"/>
      <c r="TAY518" s="500"/>
      <c r="TAZ518" s="500"/>
      <c r="TBA518" s="500"/>
      <c r="TBB518" s="500"/>
      <c r="TBC518" s="500"/>
      <c r="TBD518" s="500"/>
      <c r="TBE518" s="500"/>
      <c r="TBF518" s="500"/>
      <c r="TBG518" s="500"/>
      <c r="TBH518" s="500"/>
      <c r="TBI518" s="500"/>
      <c r="TBJ518" s="500"/>
      <c r="TBK518" s="500"/>
      <c r="TBL518" s="500"/>
      <c r="TBM518" s="500"/>
      <c r="TBN518" s="500"/>
      <c r="TBO518" s="500"/>
      <c r="TBP518" s="500"/>
      <c r="TBQ518" s="500"/>
      <c r="TBR518" s="500"/>
      <c r="TBS518" s="500"/>
      <c r="TBT518" s="500"/>
      <c r="TBU518" s="500"/>
      <c r="TBV518" s="500"/>
      <c r="TBW518" s="500"/>
      <c r="TBX518" s="500"/>
      <c r="TBY518" s="500"/>
      <c r="TBZ518" s="500"/>
      <c r="TCA518" s="500"/>
      <c r="TCB518" s="500"/>
      <c r="TCC518" s="500"/>
      <c r="TCD518" s="500"/>
      <c r="TCE518" s="500"/>
      <c r="TCF518" s="500"/>
      <c r="TCG518" s="500"/>
      <c r="TCH518" s="500"/>
      <c r="TCI518" s="500"/>
      <c r="TCJ518" s="500"/>
      <c r="TCK518" s="500"/>
      <c r="TCL518" s="500"/>
      <c r="TCM518" s="500"/>
      <c r="TCN518" s="500"/>
      <c r="TCO518" s="500"/>
      <c r="TCP518" s="500"/>
      <c r="TCQ518" s="500"/>
      <c r="TCR518" s="500"/>
      <c r="TCS518" s="500"/>
      <c r="TCT518" s="500"/>
      <c r="TCU518" s="500"/>
      <c r="TCV518" s="500"/>
      <c r="TCW518" s="500"/>
      <c r="TCX518" s="500"/>
      <c r="TCY518" s="500"/>
      <c r="TCZ518" s="500"/>
      <c r="TDA518" s="500"/>
      <c r="TDB518" s="500"/>
      <c r="TDC518" s="500"/>
      <c r="TDD518" s="500"/>
      <c r="TDE518" s="500"/>
      <c r="TDF518" s="500"/>
      <c r="TDG518" s="500"/>
      <c r="TDH518" s="500"/>
      <c r="TDI518" s="500"/>
      <c r="TDJ518" s="500"/>
      <c r="TDK518" s="500"/>
      <c r="TDL518" s="500"/>
      <c r="TDM518" s="500"/>
      <c r="TDN518" s="500"/>
      <c r="TDO518" s="500"/>
      <c r="TDP518" s="500"/>
      <c r="TDQ518" s="500"/>
      <c r="TDR518" s="500"/>
      <c r="TDS518" s="500"/>
      <c r="TDT518" s="500"/>
      <c r="TDU518" s="500"/>
      <c r="TDV518" s="500"/>
      <c r="TDW518" s="500"/>
      <c r="TDX518" s="500"/>
      <c r="TDY518" s="500"/>
      <c r="TDZ518" s="500"/>
      <c r="TEA518" s="500"/>
      <c r="TEB518" s="500"/>
      <c r="TEC518" s="500"/>
      <c r="TED518" s="500"/>
      <c r="TEE518" s="500"/>
      <c r="TEF518" s="500"/>
      <c r="TEG518" s="500"/>
      <c r="TEH518" s="500"/>
      <c r="TEI518" s="500"/>
      <c r="TEJ518" s="500"/>
      <c r="TEK518" s="500"/>
      <c r="TEL518" s="500"/>
      <c r="TEM518" s="500"/>
      <c r="TEN518" s="500"/>
      <c r="TEO518" s="500"/>
      <c r="TEP518" s="500"/>
      <c r="TEQ518" s="500"/>
      <c r="TER518" s="500"/>
      <c r="TES518" s="500"/>
      <c r="TET518" s="500"/>
      <c r="TEU518" s="500"/>
      <c r="TEV518" s="500"/>
      <c r="TEW518" s="500"/>
      <c r="TEX518" s="500"/>
      <c r="TEY518" s="500"/>
      <c r="TEZ518" s="500"/>
      <c r="TFA518" s="500"/>
      <c r="TFB518" s="500"/>
      <c r="TFC518" s="500"/>
      <c r="TFD518" s="500"/>
      <c r="TFE518" s="500"/>
      <c r="TFF518" s="500"/>
      <c r="TFG518" s="500"/>
      <c r="TFH518" s="500"/>
      <c r="TFI518" s="500"/>
      <c r="TFJ518" s="500"/>
      <c r="TFK518" s="500"/>
      <c r="TFL518" s="500"/>
      <c r="TFM518" s="500"/>
      <c r="TFN518" s="500"/>
      <c r="TFO518" s="500"/>
      <c r="TFP518" s="500"/>
      <c r="TFQ518" s="500"/>
      <c r="TFR518" s="500"/>
      <c r="TFS518" s="500"/>
      <c r="TFT518" s="500"/>
      <c r="TFU518" s="500"/>
      <c r="TFV518" s="500"/>
      <c r="TFW518" s="500"/>
      <c r="TFX518" s="500"/>
      <c r="TFY518" s="500"/>
      <c r="TFZ518" s="500"/>
      <c r="TGA518" s="500"/>
      <c r="TGB518" s="500"/>
      <c r="TGC518" s="500"/>
      <c r="TGD518" s="500"/>
      <c r="TGE518" s="500"/>
      <c r="TGF518" s="500"/>
      <c r="TGG518" s="500"/>
      <c r="TGH518" s="500"/>
      <c r="TGI518" s="500"/>
      <c r="TGJ518" s="500"/>
      <c r="TGK518" s="500"/>
      <c r="TGL518" s="500"/>
      <c r="TGM518" s="500"/>
      <c r="TGN518" s="500"/>
      <c r="TGO518" s="500"/>
      <c r="TGP518" s="500"/>
      <c r="TGQ518" s="500"/>
      <c r="TGR518" s="500"/>
      <c r="TGS518" s="500"/>
      <c r="TGT518" s="500"/>
      <c r="TGU518" s="500"/>
      <c r="TGV518" s="500"/>
      <c r="TGW518" s="500"/>
      <c r="TGX518" s="500"/>
      <c r="TGY518" s="500"/>
      <c r="TGZ518" s="500"/>
      <c r="THA518" s="500"/>
      <c r="THB518" s="500"/>
      <c r="THC518" s="500"/>
      <c r="THD518" s="500"/>
      <c r="THE518" s="500"/>
      <c r="THF518" s="500"/>
      <c r="THG518" s="500"/>
      <c r="THH518" s="500"/>
      <c r="THI518" s="500"/>
      <c r="THJ518" s="500"/>
      <c r="THK518" s="500"/>
      <c r="THL518" s="500"/>
      <c r="THM518" s="500"/>
      <c r="THN518" s="500"/>
      <c r="THO518" s="500"/>
      <c r="THP518" s="500"/>
      <c r="THQ518" s="500"/>
      <c r="THR518" s="500"/>
      <c r="THS518" s="500"/>
      <c r="THT518" s="500"/>
      <c r="THU518" s="500"/>
      <c r="THV518" s="500"/>
      <c r="THW518" s="500"/>
      <c r="THX518" s="500"/>
      <c r="THY518" s="500"/>
      <c r="THZ518" s="500"/>
      <c r="TIA518" s="500"/>
      <c r="TIB518" s="500"/>
      <c r="TIC518" s="500"/>
      <c r="TID518" s="500"/>
      <c r="TIE518" s="500"/>
      <c r="TIF518" s="500"/>
      <c r="TIG518" s="500"/>
      <c r="TIH518" s="500"/>
      <c r="TII518" s="500"/>
      <c r="TIJ518" s="500"/>
      <c r="TIK518" s="500"/>
      <c r="TIL518" s="500"/>
      <c r="TIM518" s="500"/>
      <c r="TIN518" s="500"/>
      <c r="TIO518" s="500"/>
      <c r="TIP518" s="500"/>
      <c r="TIQ518" s="500"/>
      <c r="TIR518" s="500"/>
      <c r="TIS518" s="500"/>
      <c r="TIT518" s="500"/>
      <c r="TIU518" s="500"/>
      <c r="TIV518" s="500"/>
      <c r="TIW518" s="500"/>
      <c r="TIX518" s="500"/>
      <c r="TIY518" s="500"/>
      <c r="TIZ518" s="500"/>
      <c r="TJA518" s="500"/>
      <c r="TJB518" s="500"/>
      <c r="TJC518" s="500"/>
      <c r="TJD518" s="500"/>
      <c r="TJE518" s="500"/>
      <c r="TJF518" s="500"/>
      <c r="TJG518" s="500"/>
      <c r="TJH518" s="500"/>
      <c r="TJI518" s="500"/>
      <c r="TJJ518" s="500"/>
      <c r="TJK518" s="500"/>
      <c r="TJL518" s="500"/>
      <c r="TJM518" s="500"/>
      <c r="TJN518" s="500"/>
      <c r="TJO518" s="500"/>
      <c r="TJP518" s="500"/>
      <c r="TJQ518" s="500"/>
      <c r="TJR518" s="500"/>
      <c r="TJS518" s="500"/>
      <c r="TJT518" s="500"/>
      <c r="TJU518" s="500"/>
      <c r="TJV518" s="500"/>
      <c r="TJW518" s="500"/>
      <c r="TJX518" s="500"/>
      <c r="TJY518" s="500"/>
      <c r="TJZ518" s="500"/>
      <c r="TKA518" s="500"/>
      <c r="TKB518" s="500"/>
      <c r="TKC518" s="500"/>
      <c r="TKD518" s="500"/>
      <c r="TKE518" s="500"/>
      <c r="TKF518" s="500"/>
      <c r="TKG518" s="500"/>
      <c r="TKH518" s="500"/>
      <c r="TKI518" s="500"/>
      <c r="TKJ518" s="500"/>
      <c r="TKK518" s="500"/>
      <c r="TKL518" s="500"/>
      <c r="TKM518" s="500"/>
      <c r="TKN518" s="500"/>
      <c r="TKO518" s="500"/>
      <c r="TKP518" s="500"/>
      <c r="TKQ518" s="500"/>
      <c r="TKR518" s="500"/>
      <c r="TKS518" s="500"/>
      <c r="TKT518" s="500"/>
      <c r="TKU518" s="500"/>
      <c r="TKV518" s="500"/>
      <c r="TKW518" s="500"/>
      <c r="TKX518" s="500"/>
      <c r="TKY518" s="500"/>
      <c r="TKZ518" s="500"/>
      <c r="TLA518" s="500"/>
      <c r="TLB518" s="500"/>
      <c r="TLC518" s="500"/>
      <c r="TLD518" s="500"/>
      <c r="TLE518" s="500"/>
      <c r="TLF518" s="500"/>
      <c r="TLG518" s="500"/>
      <c r="TLH518" s="500"/>
      <c r="TLI518" s="500"/>
      <c r="TLJ518" s="500"/>
      <c r="TLK518" s="500"/>
      <c r="TLL518" s="500"/>
      <c r="TLM518" s="500"/>
      <c r="TLN518" s="500"/>
      <c r="TLO518" s="500"/>
      <c r="TLP518" s="500"/>
      <c r="TLQ518" s="500"/>
      <c r="TLR518" s="500"/>
      <c r="TLS518" s="500"/>
      <c r="TLT518" s="500"/>
      <c r="TLU518" s="500"/>
      <c r="TLV518" s="500"/>
      <c r="TLW518" s="500"/>
      <c r="TLX518" s="500"/>
      <c r="TLY518" s="500"/>
      <c r="TLZ518" s="500"/>
      <c r="TMA518" s="500"/>
      <c r="TMB518" s="500"/>
      <c r="TMC518" s="500"/>
      <c r="TMD518" s="500"/>
      <c r="TME518" s="500"/>
      <c r="TMF518" s="500"/>
      <c r="TMG518" s="500"/>
      <c r="TMH518" s="500"/>
      <c r="TMI518" s="500"/>
      <c r="TMJ518" s="500"/>
      <c r="TMK518" s="500"/>
      <c r="TML518" s="500"/>
      <c r="TMM518" s="500"/>
      <c r="TMN518" s="500"/>
      <c r="TMO518" s="500"/>
      <c r="TMP518" s="500"/>
      <c r="TMQ518" s="500"/>
      <c r="TMR518" s="500"/>
      <c r="TMS518" s="500"/>
      <c r="TMT518" s="500"/>
      <c r="TMU518" s="500"/>
      <c r="TMV518" s="500"/>
      <c r="TMW518" s="500"/>
      <c r="TMX518" s="500"/>
      <c r="TMY518" s="500"/>
      <c r="TMZ518" s="500"/>
      <c r="TNA518" s="500"/>
      <c r="TNB518" s="500"/>
      <c r="TNC518" s="500"/>
      <c r="TND518" s="500"/>
      <c r="TNE518" s="500"/>
      <c r="TNF518" s="500"/>
      <c r="TNG518" s="500"/>
      <c r="TNH518" s="500"/>
      <c r="TNI518" s="500"/>
      <c r="TNJ518" s="500"/>
      <c r="TNK518" s="500"/>
      <c r="TNL518" s="500"/>
      <c r="TNM518" s="500"/>
      <c r="TNN518" s="500"/>
      <c r="TNO518" s="500"/>
      <c r="TNP518" s="500"/>
      <c r="TNQ518" s="500"/>
      <c r="TNR518" s="500"/>
      <c r="TNS518" s="500"/>
      <c r="TNT518" s="500"/>
      <c r="TNU518" s="500"/>
      <c r="TNV518" s="500"/>
      <c r="TNW518" s="500"/>
      <c r="TNX518" s="500"/>
      <c r="TNY518" s="500"/>
      <c r="TNZ518" s="500"/>
      <c r="TOA518" s="500"/>
      <c r="TOB518" s="500"/>
      <c r="TOC518" s="500"/>
      <c r="TOD518" s="500"/>
      <c r="TOE518" s="500"/>
      <c r="TOF518" s="500"/>
      <c r="TOG518" s="500"/>
      <c r="TOH518" s="500"/>
      <c r="TOI518" s="500"/>
      <c r="TOJ518" s="500"/>
      <c r="TOK518" s="500"/>
      <c r="TOL518" s="500"/>
      <c r="TOM518" s="500"/>
      <c r="TON518" s="500"/>
      <c r="TOO518" s="500"/>
      <c r="TOP518" s="500"/>
      <c r="TOQ518" s="500"/>
      <c r="TOR518" s="500"/>
      <c r="TOS518" s="500"/>
      <c r="TOT518" s="500"/>
      <c r="TOU518" s="500"/>
      <c r="TOV518" s="500"/>
      <c r="TOW518" s="500"/>
      <c r="TOX518" s="500"/>
      <c r="TOY518" s="500"/>
      <c r="TOZ518" s="500"/>
      <c r="TPA518" s="500"/>
      <c r="TPB518" s="500"/>
      <c r="TPC518" s="500"/>
      <c r="TPD518" s="500"/>
      <c r="TPE518" s="500"/>
      <c r="TPF518" s="500"/>
      <c r="TPG518" s="500"/>
      <c r="TPH518" s="500"/>
      <c r="TPI518" s="500"/>
      <c r="TPJ518" s="500"/>
      <c r="TPK518" s="500"/>
      <c r="TPL518" s="500"/>
      <c r="TPM518" s="500"/>
      <c r="TPN518" s="500"/>
      <c r="TPO518" s="500"/>
      <c r="TPP518" s="500"/>
      <c r="TPQ518" s="500"/>
      <c r="TPR518" s="500"/>
      <c r="TPS518" s="500"/>
      <c r="TPT518" s="500"/>
      <c r="TPU518" s="500"/>
      <c r="TPV518" s="500"/>
      <c r="TPW518" s="500"/>
      <c r="TPX518" s="500"/>
      <c r="TPY518" s="500"/>
      <c r="TPZ518" s="500"/>
      <c r="TQA518" s="500"/>
      <c r="TQB518" s="500"/>
      <c r="TQC518" s="500"/>
      <c r="TQD518" s="500"/>
      <c r="TQE518" s="500"/>
      <c r="TQF518" s="500"/>
      <c r="TQG518" s="500"/>
      <c r="TQH518" s="500"/>
      <c r="TQI518" s="500"/>
      <c r="TQJ518" s="500"/>
      <c r="TQK518" s="500"/>
      <c r="TQL518" s="500"/>
      <c r="TQM518" s="500"/>
      <c r="TQN518" s="500"/>
      <c r="TQO518" s="500"/>
      <c r="TQP518" s="500"/>
      <c r="TQQ518" s="500"/>
      <c r="TQR518" s="500"/>
      <c r="TQS518" s="500"/>
      <c r="TQT518" s="500"/>
      <c r="TQU518" s="500"/>
      <c r="TQV518" s="500"/>
      <c r="TQW518" s="500"/>
      <c r="TQX518" s="500"/>
      <c r="TQY518" s="500"/>
      <c r="TQZ518" s="500"/>
      <c r="TRA518" s="500"/>
      <c r="TRB518" s="500"/>
      <c r="TRC518" s="500"/>
      <c r="TRD518" s="500"/>
      <c r="TRE518" s="500"/>
      <c r="TRF518" s="500"/>
      <c r="TRG518" s="500"/>
      <c r="TRH518" s="500"/>
      <c r="TRI518" s="500"/>
      <c r="TRJ518" s="500"/>
      <c r="TRK518" s="500"/>
      <c r="TRL518" s="500"/>
      <c r="TRM518" s="500"/>
      <c r="TRN518" s="500"/>
      <c r="TRO518" s="500"/>
      <c r="TRP518" s="500"/>
      <c r="TRQ518" s="500"/>
      <c r="TRR518" s="500"/>
      <c r="TRS518" s="500"/>
      <c r="TRT518" s="500"/>
      <c r="TRU518" s="500"/>
      <c r="TRV518" s="500"/>
      <c r="TRW518" s="500"/>
      <c r="TRX518" s="500"/>
      <c r="TRY518" s="500"/>
      <c r="TRZ518" s="500"/>
      <c r="TSA518" s="500"/>
      <c r="TSB518" s="500"/>
      <c r="TSC518" s="500"/>
      <c r="TSD518" s="500"/>
      <c r="TSE518" s="500"/>
      <c r="TSF518" s="500"/>
      <c r="TSG518" s="500"/>
      <c r="TSH518" s="500"/>
      <c r="TSI518" s="500"/>
      <c r="TSJ518" s="500"/>
      <c r="TSK518" s="500"/>
      <c r="TSL518" s="500"/>
      <c r="TSM518" s="500"/>
      <c r="TSN518" s="500"/>
      <c r="TSO518" s="500"/>
      <c r="TSP518" s="500"/>
      <c r="TSQ518" s="500"/>
      <c r="TSR518" s="500"/>
      <c r="TSS518" s="500"/>
      <c r="TST518" s="500"/>
      <c r="TSU518" s="500"/>
      <c r="TSV518" s="500"/>
      <c r="TSW518" s="500"/>
      <c r="TSX518" s="500"/>
      <c r="TSY518" s="500"/>
      <c r="TSZ518" s="500"/>
      <c r="TTA518" s="500"/>
      <c r="TTB518" s="500"/>
      <c r="TTC518" s="500"/>
      <c r="TTD518" s="500"/>
      <c r="TTE518" s="500"/>
      <c r="TTF518" s="500"/>
      <c r="TTG518" s="500"/>
      <c r="TTH518" s="500"/>
      <c r="TTI518" s="500"/>
      <c r="TTJ518" s="500"/>
      <c r="TTK518" s="500"/>
      <c r="TTL518" s="500"/>
      <c r="TTM518" s="500"/>
      <c r="TTN518" s="500"/>
      <c r="TTO518" s="500"/>
      <c r="TTP518" s="500"/>
      <c r="TTQ518" s="500"/>
      <c r="TTR518" s="500"/>
      <c r="TTS518" s="500"/>
      <c r="TTT518" s="500"/>
      <c r="TTU518" s="500"/>
      <c r="TTV518" s="500"/>
      <c r="TTW518" s="500"/>
      <c r="TTX518" s="500"/>
      <c r="TTY518" s="500"/>
      <c r="TTZ518" s="500"/>
      <c r="TUA518" s="500"/>
      <c r="TUB518" s="500"/>
      <c r="TUC518" s="500"/>
      <c r="TUD518" s="500"/>
      <c r="TUE518" s="500"/>
      <c r="TUF518" s="500"/>
      <c r="TUG518" s="500"/>
      <c r="TUH518" s="500"/>
      <c r="TUI518" s="500"/>
      <c r="TUJ518" s="500"/>
      <c r="TUK518" s="500"/>
      <c r="TUL518" s="500"/>
      <c r="TUM518" s="500"/>
      <c r="TUN518" s="500"/>
      <c r="TUO518" s="500"/>
      <c r="TUP518" s="500"/>
      <c r="TUQ518" s="500"/>
      <c r="TUR518" s="500"/>
      <c r="TUS518" s="500"/>
      <c r="TUT518" s="500"/>
      <c r="TUU518" s="500"/>
      <c r="TUV518" s="500"/>
      <c r="TUW518" s="500"/>
      <c r="TUX518" s="500"/>
      <c r="TUY518" s="500"/>
      <c r="TUZ518" s="500"/>
      <c r="TVA518" s="500"/>
      <c r="TVB518" s="500"/>
      <c r="TVC518" s="500"/>
      <c r="TVD518" s="500"/>
      <c r="TVE518" s="500"/>
      <c r="TVF518" s="500"/>
      <c r="TVG518" s="500"/>
      <c r="TVH518" s="500"/>
      <c r="TVI518" s="500"/>
      <c r="TVJ518" s="500"/>
      <c r="TVK518" s="500"/>
      <c r="TVL518" s="500"/>
      <c r="TVM518" s="500"/>
      <c r="TVN518" s="500"/>
      <c r="TVO518" s="500"/>
      <c r="TVP518" s="500"/>
      <c r="TVQ518" s="500"/>
      <c r="TVR518" s="500"/>
      <c r="TVS518" s="500"/>
      <c r="TVT518" s="500"/>
      <c r="TVU518" s="500"/>
      <c r="TVV518" s="500"/>
      <c r="TVW518" s="500"/>
      <c r="TVX518" s="500"/>
      <c r="TVY518" s="500"/>
      <c r="TVZ518" s="500"/>
      <c r="TWA518" s="500"/>
      <c r="TWB518" s="500"/>
      <c r="TWC518" s="500"/>
      <c r="TWD518" s="500"/>
      <c r="TWE518" s="500"/>
      <c r="TWF518" s="500"/>
      <c r="TWG518" s="500"/>
      <c r="TWH518" s="500"/>
      <c r="TWI518" s="500"/>
      <c r="TWJ518" s="500"/>
      <c r="TWK518" s="500"/>
      <c r="TWL518" s="500"/>
      <c r="TWM518" s="500"/>
      <c r="TWN518" s="500"/>
      <c r="TWO518" s="500"/>
      <c r="TWP518" s="500"/>
      <c r="TWQ518" s="500"/>
      <c r="TWR518" s="500"/>
      <c r="TWS518" s="500"/>
      <c r="TWT518" s="500"/>
      <c r="TWU518" s="500"/>
      <c r="TWV518" s="500"/>
      <c r="TWW518" s="500"/>
      <c r="TWX518" s="500"/>
      <c r="TWY518" s="500"/>
      <c r="TWZ518" s="500"/>
      <c r="TXA518" s="500"/>
      <c r="TXB518" s="500"/>
      <c r="TXC518" s="500"/>
      <c r="TXD518" s="500"/>
      <c r="TXE518" s="500"/>
      <c r="TXF518" s="500"/>
      <c r="TXG518" s="500"/>
      <c r="TXH518" s="500"/>
      <c r="TXI518" s="500"/>
      <c r="TXJ518" s="500"/>
      <c r="TXK518" s="500"/>
      <c r="TXL518" s="500"/>
      <c r="TXM518" s="500"/>
      <c r="TXN518" s="500"/>
      <c r="TXO518" s="500"/>
      <c r="TXP518" s="500"/>
      <c r="TXQ518" s="500"/>
      <c r="TXR518" s="500"/>
      <c r="TXS518" s="500"/>
      <c r="TXT518" s="500"/>
      <c r="TXU518" s="500"/>
      <c r="TXV518" s="500"/>
      <c r="TXW518" s="500"/>
      <c r="TXX518" s="500"/>
      <c r="TXY518" s="500"/>
      <c r="TXZ518" s="500"/>
      <c r="TYA518" s="500"/>
      <c r="TYB518" s="500"/>
      <c r="TYC518" s="500"/>
      <c r="TYD518" s="500"/>
      <c r="TYE518" s="500"/>
      <c r="TYF518" s="500"/>
      <c r="TYG518" s="500"/>
      <c r="TYH518" s="500"/>
      <c r="TYI518" s="500"/>
      <c r="TYJ518" s="500"/>
      <c r="TYK518" s="500"/>
      <c r="TYL518" s="500"/>
      <c r="TYM518" s="500"/>
      <c r="TYN518" s="500"/>
      <c r="TYO518" s="500"/>
      <c r="TYP518" s="500"/>
      <c r="TYQ518" s="500"/>
      <c r="TYR518" s="500"/>
      <c r="TYS518" s="500"/>
      <c r="TYT518" s="500"/>
      <c r="TYU518" s="500"/>
      <c r="TYV518" s="500"/>
      <c r="TYW518" s="500"/>
      <c r="TYX518" s="500"/>
      <c r="TYY518" s="500"/>
      <c r="TYZ518" s="500"/>
      <c r="TZA518" s="500"/>
      <c r="TZB518" s="500"/>
      <c r="TZC518" s="500"/>
      <c r="TZD518" s="500"/>
      <c r="TZE518" s="500"/>
      <c r="TZF518" s="500"/>
      <c r="TZG518" s="500"/>
      <c r="TZH518" s="500"/>
      <c r="TZI518" s="500"/>
      <c r="TZJ518" s="500"/>
      <c r="TZK518" s="500"/>
      <c r="TZL518" s="500"/>
      <c r="TZM518" s="500"/>
      <c r="TZN518" s="500"/>
      <c r="TZO518" s="500"/>
      <c r="TZP518" s="500"/>
      <c r="TZQ518" s="500"/>
      <c r="TZR518" s="500"/>
      <c r="TZS518" s="500"/>
      <c r="TZT518" s="500"/>
      <c r="TZU518" s="500"/>
      <c r="TZV518" s="500"/>
      <c r="TZW518" s="500"/>
      <c r="TZX518" s="500"/>
      <c r="TZY518" s="500"/>
      <c r="TZZ518" s="500"/>
      <c r="UAA518" s="500"/>
      <c r="UAB518" s="500"/>
      <c r="UAC518" s="500"/>
      <c r="UAD518" s="500"/>
      <c r="UAE518" s="500"/>
      <c r="UAF518" s="500"/>
      <c r="UAG518" s="500"/>
      <c r="UAH518" s="500"/>
      <c r="UAI518" s="500"/>
      <c r="UAJ518" s="500"/>
      <c r="UAK518" s="500"/>
      <c r="UAL518" s="500"/>
      <c r="UAM518" s="500"/>
      <c r="UAN518" s="500"/>
      <c r="UAO518" s="500"/>
      <c r="UAP518" s="500"/>
      <c r="UAQ518" s="500"/>
      <c r="UAR518" s="500"/>
      <c r="UAS518" s="500"/>
      <c r="UAT518" s="500"/>
      <c r="UAU518" s="500"/>
      <c r="UAV518" s="500"/>
      <c r="UAW518" s="500"/>
      <c r="UAX518" s="500"/>
      <c r="UAY518" s="500"/>
      <c r="UAZ518" s="500"/>
      <c r="UBA518" s="500"/>
      <c r="UBB518" s="500"/>
      <c r="UBC518" s="500"/>
      <c r="UBD518" s="500"/>
      <c r="UBE518" s="500"/>
      <c r="UBF518" s="500"/>
      <c r="UBG518" s="500"/>
      <c r="UBH518" s="500"/>
      <c r="UBI518" s="500"/>
      <c r="UBJ518" s="500"/>
      <c r="UBK518" s="500"/>
      <c r="UBL518" s="500"/>
      <c r="UBM518" s="500"/>
      <c r="UBN518" s="500"/>
      <c r="UBO518" s="500"/>
      <c r="UBP518" s="500"/>
      <c r="UBQ518" s="500"/>
      <c r="UBR518" s="500"/>
      <c r="UBS518" s="500"/>
      <c r="UBT518" s="500"/>
      <c r="UBU518" s="500"/>
      <c r="UBV518" s="500"/>
      <c r="UBW518" s="500"/>
      <c r="UBX518" s="500"/>
      <c r="UBY518" s="500"/>
      <c r="UBZ518" s="500"/>
      <c r="UCA518" s="500"/>
      <c r="UCB518" s="500"/>
      <c r="UCC518" s="500"/>
      <c r="UCD518" s="500"/>
      <c r="UCE518" s="500"/>
      <c r="UCF518" s="500"/>
      <c r="UCG518" s="500"/>
      <c r="UCH518" s="500"/>
      <c r="UCI518" s="500"/>
      <c r="UCJ518" s="500"/>
      <c r="UCK518" s="500"/>
      <c r="UCL518" s="500"/>
      <c r="UCM518" s="500"/>
      <c r="UCN518" s="500"/>
      <c r="UCO518" s="500"/>
      <c r="UCP518" s="500"/>
      <c r="UCQ518" s="500"/>
      <c r="UCR518" s="500"/>
      <c r="UCS518" s="500"/>
      <c r="UCT518" s="500"/>
      <c r="UCU518" s="500"/>
      <c r="UCV518" s="500"/>
      <c r="UCW518" s="500"/>
      <c r="UCX518" s="500"/>
      <c r="UCY518" s="500"/>
      <c r="UCZ518" s="500"/>
      <c r="UDA518" s="500"/>
      <c r="UDB518" s="500"/>
      <c r="UDC518" s="500"/>
      <c r="UDD518" s="500"/>
      <c r="UDE518" s="500"/>
      <c r="UDF518" s="500"/>
      <c r="UDG518" s="500"/>
      <c r="UDH518" s="500"/>
      <c r="UDI518" s="500"/>
      <c r="UDJ518" s="500"/>
      <c r="UDK518" s="500"/>
      <c r="UDL518" s="500"/>
      <c r="UDM518" s="500"/>
      <c r="UDN518" s="500"/>
      <c r="UDO518" s="500"/>
      <c r="UDP518" s="500"/>
      <c r="UDQ518" s="500"/>
      <c r="UDR518" s="500"/>
      <c r="UDS518" s="500"/>
      <c r="UDT518" s="500"/>
      <c r="UDU518" s="500"/>
      <c r="UDV518" s="500"/>
      <c r="UDW518" s="500"/>
      <c r="UDX518" s="500"/>
      <c r="UDY518" s="500"/>
      <c r="UDZ518" s="500"/>
      <c r="UEA518" s="500"/>
      <c r="UEB518" s="500"/>
      <c r="UEC518" s="500"/>
      <c r="UED518" s="500"/>
      <c r="UEE518" s="500"/>
      <c r="UEF518" s="500"/>
      <c r="UEG518" s="500"/>
      <c r="UEH518" s="500"/>
      <c r="UEI518" s="500"/>
      <c r="UEJ518" s="500"/>
      <c r="UEK518" s="500"/>
      <c r="UEL518" s="500"/>
      <c r="UEM518" s="500"/>
      <c r="UEN518" s="500"/>
      <c r="UEO518" s="500"/>
      <c r="UEP518" s="500"/>
      <c r="UEQ518" s="500"/>
      <c r="UER518" s="500"/>
      <c r="UES518" s="500"/>
      <c r="UET518" s="500"/>
      <c r="UEU518" s="500"/>
      <c r="UEV518" s="500"/>
      <c r="UEW518" s="500"/>
      <c r="UEX518" s="500"/>
      <c r="UEY518" s="500"/>
      <c r="UEZ518" s="500"/>
      <c r="UFA518" s="500"/>
      <c r="UFB518" s="500"/>
      <c r="UFC518" s="500"/>
      <c r="UFD518" s="500"/>
      <c r="UFE518" s="500"/>
      <c r="UFF518" s="500"/>
      <c r="UFG518" s="500"/>
      <c r="UFH518" s="500"/>
      <c r="UFI518" s="500"/>
      <c r="UFJ518" s="500"/>
      <c r="UFK518" s="500"/>
      <c r="UFL518" s="500"/>
      <c r="UFM518" s="500"/>
      <c r="UFN518" s="500"/>
      <c r="UFO518" s="500"/>
      <c r="UFP518" s="500"/>
      <c r="UFQ518" s="500"/>
      <c r="UFR518" s="500"/>
      <c r="UFS518" s="500"/>
      <c r="UFT518" s="500"/>
      <c r="UFU518" s="500"/>
      <c r="UFV518" s="500"/>
      <c r="UFW518" s="500"/>
      <c r="UFX518" s="500"/>
      <c r="UFY518" s="500"/>
      <c r="UFZ518" s="500"/>
      <c r="UGA518" s="500"/>
      <c r="UGB518" s="500"/>
      <c r="UGC518" s="500"/>
      <c r="UGD518" s="500"/>
      <c r="UGE518" s="500"/>
      <c r="UGF518" s="500"/>
      <c r="UGG518" s="500"/>
      <c r="UGH518" s="500"/>
      <c r="UGI518" s="500"/>
      <c r="UGJ518" s="500"/>
      <c r="UGK518" s="500"/>
      <c r="UGL518" s="500"/>
      <c r="UGM518" s="500"/>
      <c r="UGN518" s="500"/>
      <c r="UGO518" s="500"/>
      <c r="UGP518" s="500"/>
      <c r="UGQ518" s="500"/>
      <c r="UGR518" s="500"/>
      <c r="UGS518" s="500"/>
      <c r="UGT518" s="500"/>
      <c r="UGU518" s="500"/>
      <c r="UGV518" s="500"/>
      <c r="UGW518" s="500"/>
      <c r="UGX518" s="500"/>
      <c r="UGY518" s="500"/>
      <c r="UGZ518" s="500"/>
      <c r="UHA518" s="500"/>
      <c r="UHB518" s="500"/>
      <c r="UHC518" s="500"/>
      <c r="UHD518" s="500"/>
      <c r="UHE518" s="500"/>
      <c r="UHF518" s="500"/>
      <c r="UHG518" s="500"/>
      <c r="UHH518" s="500"/>
      <c r="UHI518" s="500"/>
      <c r="UHJ518" s="500"/>
      <c r="UHK518" s="500"/>
      <c r="UHL518" s="500"/>
      <c r="UHM518" s="500"/>
      <c r="UHN518" s="500"/>
      <c r="UHO518" s="500"/>
      <c r="UHP518" s="500"/>
      <c r="UHQ518" s="500"/>
      <c r="UHR518" s="500"/>
      <c r="UHS518" s="500"/>
      <c r="UHT518" s="500"/>
      <c r="UHU518" s="500"/>
      <c r="UHV518" s="500"/>
      <c r="UHW518" s="500"/>
      <c r="UHX518" s="500"/>
      <c r="UHY518" s="500"/>
      <c r="UHZ518" s="500"/>
      <c r="UIA518" s="500"/>
      <c r="UIB518" s="500"/>
      <c r="UIC518" s="500"/>
      <c r="UID518" s="500"/>
      <c r="UIE518" s="500"/>
      <c r="UIF518" s="500"/>
      <c r="UIG518" s="500"/>
      <c r="UIH518" s="500"/>
      <c r="UII518" s="500"/>
      <c r="UIJ518" s="500"/>
      <c r="UIK518" s="500"/>
      <c r="UIL518" s="500"/>
      <c r="UIM518" s="500"/>
      <c r="UIN518" s="500"/>
      <c r="UIO518" s="500"/>
      <c r="UIP518" s="500"/>
      <c r="UIQ518" s="500"/>
      <c r="UIR518" s="500"/>
      <c r="UIS518" s="500"/>
      <c r="UIT518" s="500"/>
      <c r="UIU518" s="500"/>
      <c r="UIV518" s="500"/>
      <c r="UIW518" s="500"/>
      <c r="UIX518" s="500"/>
      <c r="UIY518" s="500"/>
      <c r="UIZ518" s="500"/>
      <c r="UJA518" s="500"/>
      <c r="UJB518" s="500"/>
      <c r="UJC518" s="500"/>
      <c r="UJD518" s="500"/>
      <c r="UJE518" s="500"/>
      <c r="UJF518" s="500"/>
      <c r="UJG518" s="500"/>
      <c r="UJH518" s="500"/>
      <c r="UJI518" s="500"/>
      <c r="UJJ518" s="500"/>
      <c r="UJK518" s="500"/>
      <c r="UJL518" s="500"/>
      <c r="UJM518" s="500"/>
      <c r="UJN518" s="500"/>
      <c r="UJO518" s="500"/>
      <c r="UJP518" s="500"/>
      <c r="UJQ518" s="500"/>
      <c r="UJR518" s="500"/>
      <c r="UJS518" s="500"/>
      <c r="UJT518" s="500"/>
      <c r="UJU518" s="500"/>
      <c r="UJV518" s="500"/>
      <c r="UJW518" s="500"/>
      <c r="UJX518" s="500"/>
      <c r="UJY518" s="500"/>
      <c r="UJZ518" s="500"/>
      <c r="UKA518" s="500"/>
      <c r="UKB518" s="500"/>
      <c r="UKC518" s="500"/>
      <c r="UKD518" s="500"/>
      <c r="UKE518" s="500"/>
      <c r="UKF518" s="500"/>
      <c r="UKG518" s="500"/>
      <c r="UKH518" s="500"/>
      <c r="UKI518" s="500"/>
      <c r="UKJ518" s="500"/>
      <c r="UKK518" s="500"/>
      <c r="UKL518" s="500"/>
      <c r="UKM518" s="500"/>
      <c r="UKN518" s="500"/>
      <c r="UKO518" s="500"/>
      <c r="UKP518" s="500"/>
      <c r="UKQ518" s="500"/>
      <c r="UKR518" s="500"/>
      <c r="UKS518" s="500"/>
      <c r="UKT518" s="500"/>
      <c r="UKU518" s="500"/>
      <c r="UKV518" s="500"/>
      <c r="UKW518" s="500"/>
      <c r="UKX518" s="500"/>
      <c r="UKY518" s="500"/>
      <c r="UKZ518" s="500"/>
      <c r="ULA518" s="500"/>
      <c r="ULB518" s="500"/>
      <c r="ULC518" s="500"/>
      <c r="ULD518" s="500"/>
      <c r="ULE518" s="500"/>
      <c r="ULF518" s="500"/>
      <c r="ULG518" s="500"/>
      <c r="ULH518" s="500"/>
      <c r="ULI518" s="500"/>
      <c r="ULJ518" s="500"/>
      <c r="ULK518" s="500"/>
      <c r="ULL518" s="500"/>
      <c r="ULM518" s="500"/>
      <c r="ULN518" s="500"/>
      <c r="ULO518" s="500"/>
      <c r="ULP518" s="500"/>
      <c r="ULQ518" s="500"/>
      <c r="ULR518" s="500"/>
      <c r="ULS518" s="500"/>
      <c r="ULT518" s="500"/>
      <c r="ULU518" s="500"/>
      <c r="ULV518" s="500"/>
      <c r="ULW518" s="500"/>
      <c r="ULX518" s="500"/>
      <c r="ULY518" s="500"/>
      <c r="ULZ518" s="500"/>
      <c r="UMA518" s="500"/>
      <c r="UMB518" s="500"/>
      <c r="UMC518" s="500"/>
      <c r="UMD518" s="500"/>
      <c r="UME518" s="500"/>
      <c r="UMF518" s="500"/>
      <c r="UMG518" s="500"/>
      <c r="UMH518" s="500"/>
      <c r="UMI518" s="500"/>
      <c r="UMJ518" s="500"/>
      <c r="UMK518" s="500"/>
      <c r="UML518" s="500"/>
      <c r="UMM518" s="500"/>
      <c r="UMN518" s="500"/>
      <c r="UMO518" s="500"/>
      <c r="UMP518" s="500"/>
      <c r="UMQ518" s="500"/>
      <c r="UMR518" s="500"/>
      <c r="UMS518" s="500"/>
      <c r="UMT518" s="500"/>
      <c r="UMU518" s="500"/>
      <c r="UMV518" s="500"/>
      <c r="UMW518" s="500"/>
      <c r="UMX518" s="500"/>
      <c r="UMY518" s="500"/>
      <c r="UMZ518" s="500"/>
      <c r="UNA518" s="500"/>
      <c r="UNB518" s="500"/>
      <c r="UNC518" s="500"/>
      <c r="UND518" s="500"/>
      <c r="UNE518" s="500"/>
      <c r="UNF518" s="500"/>
      <c r="UNG518" s="500"/>
      <c r="UNH518" s="500"/>
      <c r="UNI518" s="500"/>
      <c r="UNJ518" s="500"/>
      <c r="UNK518" s="500"/>
      <c r="UNL518" s="500"/>
      <c r="UNM518" s="500"/>
      <c r="UNN518" s="500"/>
      <c r="UNO518" s="500"/>
      <c r="UNP518" s="500"/>
      <c r="UNQ518" s="500"/>
      <c r="UNR518" s="500"/>
      <c r="UNS518" s="500"/>
      <c r="UNT518" s="500"/>
      <c r="UNU518" s="500"/>
      <c r="UNV518" s="500"/>
      <c r="UNW518" s="500"/>
      <c r="UNX518" s="500"/>
      <c r="UNY518" s="500"/>
      <c r="UNZ518" s="500"/>
      <c r="UOA518" s="500"/>
      <c r="UOB518" s="500"/>
      <c r="UOC518" s="500"/>
      <c r="UOD518" s="500"/>
      <c r="UOE518" s="500"/>
      <c r="UOF518" s="500"/>
      <c r="UOG518" s="500"/>
      <c r="UOH518" s="500"/>
      <c r="UOI518" s="500"/>
      <c r="UOJ518" s="500"/>
      <c r="UOK518" s="500"/>
      <c r="UOL518" s="500"/>
      <c r="UOM518" s="500"/>
      <c r="UON518" s="500"/>
      <c r="UOO518" s="500"/>
      <c r="UOP518" s="500"/>
      <c r="UOQ518" s="500"/>
      <c r="UOR518" s="500"/>
      <c r="UOS518" s="500"/>
      <c r="UOT518" s="500"/>
      <c r="UOU518" s="500"/>
      <c r="UOV518" s="500"/>
      <c r="UOW518" s="500"/>
      <c r="UOX518" s="500"/>
      <c r="UOY518" s="500"/>
      <c r="UOZ518" s="500"/>
      <c r="UPA518" s="500"/>
      <c r="UPB518" s="500"/>
      <c r="UPC518" s="500"/>
      <c r="UPD518" s="500"/>
      <c r="UPE518" s="500"/>
      <c r="UPF518" s="500"/>
      <c r="UPG518" s="500"/>
      <c r="UPH518" s="500"/>
      <c r="UPI518" s="500"/>
      <c r="UPJ518" s="500"/>
      <c r="UPK518" s="500"/>
      <c r="UPL518" s="500"/>
      <c r="UPM518" s="500"/>
      <c r="UPN518" s="500"/>
      <c r="UPO518" s="500"/>
      <c r="UPP518" s="500"/>
      <c r="UPQ518" s="500"/>
      <c r="UPR518" s="500"/>
      <c r="UPS518" s="500"/>
      <c r="UPT518" s="500"/>
      <c r="UPU518" s="500"/>
      <c r="UPV518" s="500"/>
      <c r="UPW518" s="500"/>
      <c r="UPX518" s="500"/>
      <c r="UPY518" s="500"/>
      <c r="UPZ518" s="500"/>
      <c r="UQA518" s="500"/>
      <c r="UQB518" s="500"/>
      <c r="UQC518" s="500"/>
      <c r="UQD518" s="500"/>
      <c r="UQE518" s="500"/>
      <c r="UQF518" s="500"/>
      <c r="UQG518" s="500"/>
      <c r="UQH518" s="500"/>
      <c r="UQI518" s="500"/>
      <c r="UQJ518" s="500"/>
      <c r="UQK518" s="500"/>
      <c r="UQL518" s="500"/>
      <c r="UQM518" s="500"/>
      <c r="UQN518" s="500"/>
      <c r="UQO518" s="500"/>
      <c r="UQP518" s="500"/>
      <c r="UQQ518" s="500"/>
      <c r="UQR518" s="500"/>
      <c r="UQS518" s="500"/>
      <c r="UQT518" s="500"/>
      <c r="UQU518" s="500"/>
      <c r="UQV518" s="500"/>
      <c r="UQW518" s="500"/>
      <c r="UQX518" s="500"/>
      <c r="UQY518" s="500"/>
      <c r="UQZ518" s="500"/>
      <c r="URA518" s="500"/>
      <c r="URB518" s="500"/>
      <c r="URC518" s="500"/>
      <c r="URD518" s="500"/>
      <c r="URE518" s="500"/>
      <c r="URF518" s="500"/>
      <c r="URG518" s="500"/>
      <c r="URH518" s="500"/>
      <c r="URI518" s="500"/>
      <c r="URJ518" s="500"/>
      <c r="URK518" s="500"/>
      <c r="URL518" s="500"/>
      <c r="URM518" s="500"/>
      <c r="URN518" s="500"/>
      <c r="URO518" s="500"/>
      <c r="URP518" s="500"/>
      <c r="URQ518" s="500"/>
      <c r="URR518" s="500"/>
      <c r="URS518" s="500"/>
      <c r="URT518" s="500"/>
      <c r="URU518" s="500"/>
      <c r="URV518" s="500"/>
      <c r="URW518" s="500"/>
      <c r="URX518" s="500"/>
      <c r="URY518" s="500"/>
      <c r="URZ518" s="500"/>
      <c r="USA518" s="500"/>
      <c r="USB518" s="500"/>
      <c r="USC518" s="500"/>
      <c r="USD518" s="500"/>
      <c r="USE518" s="500"/>
      <c r="USF518" s="500"/>
      <c r="USG518" s="500"/>
      <c r="USH518" s="500"/>
      <c r="USI518" s="500"/>
      <c r="USJ518" s="500"/>
      <c r="USK518" s="500"/>
      <c r="USL518" s="500"/>
      <c r="USM518" s="500"/>
      <c r="USN518" s="500"/>
      <c r="USO518" s="500"/>
      <c r="USP518" s="500"/>
      <c r="USQ518" s="500"/>
      <c r="USR518" s="500"/>
      <c r="USS518" s="500"/>
      <c r="UST518" s="500"/>
      <c r="USU518" s="500"/>
      <c r="USV518" s="500"/>
      <c r="USW518" s="500"/>
      <c r="USX518" s="500"/>
      <c r="USY518" s="500"/>
      <c r="USZ518" s="500"/>
      <c r="UTA518" s="500"/>
      <c r="UTB518" s="500"/>
      <c r="UTC518" s="500"/>
      <c r="UTD518" s="500"/>
      <c r="UTE518" s="500"/>
      <c r="UTF518" s="500"/>
      <c r="UTG518" s="500"/>
      <c r="UTH518" s="500"/>
      <c r="UTI518" s="500"/>
      <c r="UTJ518" s="500"/>
      <c r="UTK518" s="500"/>
      <c r="UTL518" s="500"/>
      <c r="UTM518" s="500"/>
      <c r="UTN518" s="500"/>
      <c r="UTO518" s="500"/>
      <c r="UTP518" s="500"/>
      <c r="UTQ518" s="500"/>
      <c r="UTR518" s="500"/>
      <c r="UTS518" s="500"/>
      <c r="UTT518" s="500"/>
      <c r="UTU518" s="500"/>
      <c r="UTV518" s="500"/>
      <c r="UTW518" s="500"/>
      <c r="UTX518" s="500"/>
      <c r="UTY518" s="500"/>
      <c r="UTZ518" s="500"/>
      <c r="UUA518" s="500"/>
      <c r="UUB518" s="500"/>
      <c r="UUC518" s="500"/>
      <c r="UUD518" s="500"/>
      <c r="UUE518" s="500"/>
      <c r="UUF518" s="500"/>
      <c r="UUG518" s="500"/>
      <c r="UUH518" s="500"/>
      <c r="UUI518" s="500"/>
      <c r="UUJ518" s="500"/>
      <c r="UUK518" s="500"/>
      <c r="UUL518" s="500"/>
      <c r="UUM518" s="500"/>
      <c r="UUN518" s="500"/>
      <c r="UUO518" s="500"/>
      <c r="UUP518" s="500"/>
      <c r="UUQ518" s="500"/>
      <c r="UUR518" s="500"/>
      <c r="UUS518" s="500"/>
      <c r="UUT518" s="500"/>
      <c r="UUU518" s="500"/>
      <c r="UUV518" s="500"/>
      <c r="UUW518" s="500"/>
      <c r="UUX518" s="500"/>
      <c r="UUY518" s="500"/>
      <c r="UUZ518" s="500"/>
      <c r="UVA518" s="500"/>
      <c r="UVB518" s="500"/>
      <c r="UVC518" s="500"/>
      <c r="UVD518" s="500"/>
      <c r="UVE518" s="500"/>
      <c r="UVF518" s="500"/>
      <c r="UVG518" s="500"/>
      <c r="UVH518" s="500"/>
      <c r="UVI518" s="500"/>
      <c r="UVJ518" s="500"/>
      <c r="UVK518" s="500"/>
      <c r="UVL518" s="500"/>
      <c r="UVM518" s="500"/>
      <c r="UVN518" s="500"/>
      <c r="UVO518" s="500"/>
      <c r="UVP518" s="500"/>
      <c r="UVQ518" s="500"/>
      <c r="UVR518" s="500"/>
      <c r="UVS518" s="500"/>
      <c r="UVT518" s="500"/>
      <c r="UVU518" s="500"/>
      <c r="UVV518" s="500"/>
      <c r="UVW518" s="500"/>
      <c r="UVX518" s="500"/>
      <c r="UVY518" s="500"/>
      <c r="UVZ518" s="500"/>
      <c r="UWA518" s="500"/>
      <c r="UWB518" s="500"/>
      <c r="UWC518" s="500"/>
      <c r="UWD518" s="500"/>
      <c r="UWE518" s="500"/>
      <c r="UWF518" s="500"/>
      <c r="UWG518" s="500"/>
      <c r="UWH518" s="500"/>
      <c r="UWI518" s="500"/>
      <c r="UWJ518" s="500"/>
      <c r="UWK518" s="500"/>
      <c r="UWL518" s="500"/>
      <c r="UWM518" s="500"/>
      <c r="UWN518" s="500"/>
      <c r="UWO518" s="500"/>
      <c r="UWP518" s="500"/>
      <c r="UWQ518" s="500"/>
      <c r="UWR518" s="500"/>
      <c r="UWS518" s="500"/>
      <c r="UWT518" s="500"/>
      <c r="UWU518" s="500"/>
      <c r="UWV518" s="500"/>
      <c r="UWW518" s="500"/>
      <c r="UWX518" s="500"/>
      <c r="UWY518" s="500"/>
      <c r="UWZ518" s="500"/>
      <c r="UXA518" s="500"/>
      <c r="UXB518" s="500"/>
      <c r="UXC518" s="500"/>
      <c r="UXD518" s="500"/>
      <c r="UXE518" s="500"/>
      <c r="UXF518" s="500"/>
      <c r="UXG518" s="500"/>
      <c r="UXH518" s="500"/>
      <c r="UXI518" s="500"/>
      <c r="UXJ518" s="500"/>
      <c r="UXK518" s="500"/>
      <c r="UXL518" s="500"/>
      <c r="UXM518" s="500"/>
      <c r="UXN518" s="500"/>
      <c r="UXO518" s="500"/>
      <c r="UXP518" s="500"/>
      <c r="UXQ518" s="500"/>
      <c r="UXR518" s="500"/>
      <c r="UXS518" s="500"/>
      <c r="UXT518" s="500"/>
      <c r="UXU518" s="500"/>
      <c r="UXV518" s="500"/>
      <c r="UXW518" s="500"/>
      <c r="UXX518" s="500"/>
      <c r="UXY518" s="500"/>
      <c r="UXZ518" s="500"/>
      <c r="UYA518" s="500"/>
      <c r="UYB518" s="500"/>
      <c r="UYC518" s="500"/>
      <c r="UYD518" s="500"/>
      <c r="UYE518" s="500"/>
      <c r="UYF518" s="500"/>
      <c r="UYG518" s="500"/>
      <c r="UYH518" s="500"/>
      <c r="UYI518" s="500"/>
      <c r="UYJ518" s="500"/>
      <c r="UYK518" s="500"/>
      <c r="UYL518" s="500"/>
      <c r="UYM518" s="500"/>
      <c r="UYN518" s="500"/>
      <c r="UYO518" s="500"/>
      <c r="UYP518" s="500"/>
      <c r="UYQ518" s="500"/>
      <c r="UYR518" s="500"/>
      <c r="UYS518" s="500"/>
      <c r="UYT518" s="500"/>
      <c r="UYU518" s="500"/>
      <c r="UYV518" s="500"/>
      <c r="UYW518" s="500"/>
      <c r="UYX518" s="500"/>
      <c r="UYY518" s="500"/>
      <c r="UYZ518" s="500"/>
      <c r="UZA518" s="500"/>
      <c r="UZB518" s="500"/>
      <c r="UZC518" s="500"/>
      <c r="UZD518" s="500"/>
      <c r="UZE518" s="500"/>
      <c r="UZF518" s="500"/>
      <c r="UZG518" s="500"/>
      <c r="UZH518" s="500"/>
      <c r="UZI518" s="500"/>
      <c r="UZJ518" s="500"/>
      <c r="UZK518" s="500"/>
      <c r="UZL518" s="500"/>
      <c r="UZM518" s="500"/>
      <c r="UZN518" s="500"/>
      <c r="UZO518" s="500"/>
      <c r="UZP518" s="500"/>
      <c r="UZQ518" s="500"/>
      <c r="UZR518" s="500"/>
      <c r="UZS518" s="500"/>
      <c r="UZT518" s="500"/>
      <c r="UZU518" s="500"/>
      <c r="UZV518" s="500"/>
      <c r="UZW518" s="500"/>
      <c r="UZX518" s="500"/>
      <c r="UZY518" s="500"/>
      <c r="UZZ518" s="500"/>
      <c r="VAA518" s="500"/>
      <c r="VAB518" s="500"/>
      <c r="VAC518" s="500"/>
      <c r="VAD518" s="500"/>
      <c r="VAE518" s="500"/>
      <c r="VAF518" s="500"/>
      <c r="VAG518" s="500"/>
      <c r="VAH518" s="500"/>
      <c r="VAI518" s="500"/>
      <c r="VAJ518" s="500"/>
      <c r="VAK518" s="500"/>
      <c r="VAL518" s="500"/>
      <c r="VAM518" s="500"/>
      <c r="VAN518" s="500"/>
      <c r="VAO518" s="500"/>
      <c r="VAP518" s="500"/>
      <c r="VAQ518" s="500"/>
      <c r="VAR518" s="500"/>
      <c r="VAS518" s="500"/>
      <c r="VAT518" s="500"/>
      <c r="VAU518" s="500"/>
      <c r="VAV518" s="500"/>
      <c r="VAW518" s="500"/>
      <c r="VAX518" s="500"/>
      <c r="VAY518" s="500"/>
      <c r="VAZ518" s="500"/>
      <c r="VBA518" s="500"/>
      <c r="VBB518" s="500"/>
      <c r="VBC518" s="500"/>
      <c r="VBD518" s="500"/>
      <c r="VBE518" s="500"/>
      <c r="VBF518" s="500"/>
      <c r="VBG518" s="500"/>
      <c r="VBH518" s="500"/>
      <c r="VBI518" s="500"/>
      <c r="VBJ518" s="500"/>
      <c r="VBK518" s="500"/>
      <c r="VBL518" s="500"/>
      <c r="VBM518" s="500"/>
      <c r="VBN518" s="500"/>
      <c r="VBO518" s="500"/>
      <c r="VBP518" s="500"/>
      <c r="VBQ518" s="500"/>
      <c r="VBR518" s="500"/>
      <c r="VBS518" s="500"/>
      <c r="VBT518" s="500"/>
      <c r="VBU518" s="500"/>
      <c r="VBV518" s="500"/>
      <c r="VBW518" s="500"/>
      <c r="VBX518" s="500"/>
      <c r="VBY518" s="500"/>
      <c r="VBZ518" s="500"/>
      <c r="VCA518" s="500"/>
      <c r="VCB518" s="500"/>
      <c r="VCC518" s="500"/>
      <c r="VCD518" s="500"/>
      <c r="VCE518" s="500"/>
      <c r="VCF518" s="500"/>
      <c r="VCG518" s="500"/>
      <c r="VCH518" s="500"/>
      <c r="VCI518" s="500"/>
      <c r="VCJ518" s="500"/>
      <c r="VCK518" s="500"/>
      <c r="VCL518" s="500"/>
      <c r="VCM518" s="500"/>
      <c r="VCN518" s="500"/>
      <c r="VCO518" s="500"/>
      <c r="VCP518" s="500"/>
      <c r="VCQ518" s="500"/>
      <c r="VCR518" s="500"/>
      <c r="VCS518" s="500"/>
      <c r="VCT518" s="500"/>
      <c r="VCU518" s="500"/>
      <c r="VCV518" s="500"/>
      <c r="VCW518" s="500"/>
      <c r="VCX518" s="500"/>
      <c r="VCY518" s="500"/>
      <c r="VCZ518" s="500"/>
      <c r="VDA518" s="500"/>
      <c r="VDB518" s="500"/>
      <c r="VDC518" s="500"/>
      <c r="VDD518" s="500"/>
      <c r="VDE518" s="500"/>
      <c r="VDF518" s="500"/>
      <c r="VDG518" s="500"/>
      <c r="VDH518" s="500"/>
      <c r="VDI518" s="500"/>
      <c r="VDJ518" s="500"/>
      <c r="VDK518" s="500"/>
      <c r="VDL518" s="500"/>
      <c r="VDM518" s="500"/>
      <c r="VDN518" s="500"/>
      <c r="VDO518" s="500"/>
      <c r="VDP518" s="500"/>
      <c r="VDQ518" s="500"/>
      <c r="VDR518" s="500"/>
      <c r="VDS518" s="500"/>
      <c r="VDT518" s="500"/>
      <c r="VDU518" s="500"/>
      <c r="VDV518" s="500"/>
      <c r="VDW518" s="500"/>
      <c r="VDX518" s="500"/>
      <c r="VDY518" s="500"/>
      <c r="VDZ518" s="500"/>
      <c r="VEA518" s="500"/>
      <c r="VEB518" s="500"/>
      <c r="VEC518" s="500"/>
      <c r="VED518" s="500"/>
      <c r="VEE518" s="500"/>
      <c r="VEF518" s="500"/>
      <c r="VEG518" s="500"/>
      <c r="VEH518" s="500"/>
      <c r="VEI518" s="500"/>
      <c r="VEJ518" s="500"/>
      <c r="VEK518" s="500"/>
      <c r="VEL518" s="500"/>
      <c r="VEM518" s="500"/>
      <c r="VEN518" s="500"/>
      <c r="VEO518" s="500"/>
      <c r="VEP518" s="500"/>
      <c r="VEQ518" s="500"/>
      <c r="VER518" s="500"/>
      <c r="VES518" s="500"/>
      <c r="VET518" s="500"/>
      <c r="VEU518" s="500"/>
      <c r="VEV518" s="500"/>
      <c r="VEW518" s="500"/>
      <c r="VEX518" s="500"/>
      <c r="VEY518" s="500"/>
      <c r="VEZ518" s="500"/>
      <c r="VFA518" s="500"/>
      <c r="VFB518" s="500"/>
      <c r="VFC518" s="500"/>
      <c r="VFD518" s="500"/>
      <c r="VFE518" s="500"/>
      <c r="VFF518" s="500"/>
      <c r="VFG518" s="500"/>
      <c r="VFH518" s="500"/>
      <c r="VFI518" s="500"/>
      <c r="VFJ518" s="500"/>
      <c r="VFK518" s="500"/>
      <c r="VFL518" s="500"/>
      <c r="VFM518" s="500"/>
      <c r="VFN518" s="500"/>
      <c r="VFO518" s="500"/>
      <c r="VFP518" s="500"/>
      <c r="VFQ518" s="500"/>
      <c r="VFR518" s="500"/>
      <c r="VFS518" s="500"/>
      <c r="VFT518" s="500"/>
      <c r="VFU518" s="500"/>
      <c r="VFV518" s="500"/>
      <c r="VFW518" s="500"/>
      <c r="VFX518" s="500"/>
      <c r="VFY518" s="500"/>
      <c r="VFZ518" s="500"/>
      <c r="VGA518" s="500"/>
      <c r="VGB518" s="500"/>
      <c r="VGC518" s="500"/>
      <c r="VGD518" s="500"/>
      <c r="VGE518" s="500"/>
      <c r="VGF518" s="500"/>
      <c r="VGG518" s="500"/>
      <c r="VGH518" s="500"/>
      <c r="VGI518" s="500"/>
      <c r="VGJ518" s="500"/>
      <c r="VGK518" s="500"/>
      <c r="VGL518" s="500"/>
      <c r="VGM518" s="500"/>
      <c r="VGN518" s="500"/>
      <c r="VGO518" s="500"/>
      <c r="VGP518" s="500"/>
      <c r="VGQ518" s="500"/>
      <c r="VGR518" s="500"/>
      <c r="VGS518" s="500"/>
      <c r="VGT518" s="500"/>
      <c r="VGU518" s="500"/>
      <c r="VGV518" s="500"/>
      <c r="VGW518" s="500"/>
      <c r="VGX518" s="500"/>
      <c r="VGY518" s="500"/>
      <c r="VGZ518" s="500"/>
      <c r="VHA518" s="500"/>
      <c r="VHB518" s="500"/>
      <c r="VHC518" s="500"/>
      <c r="VHD518" s="500"/>
      <c r="VHE518" s="500"/>
      <c r="VHF518" s="500"/>
      <c r="VHG518" s="500"/>
      <c r="VHH518" s="500"/>
      <c r="VHI518" s="500"/>
      <c r="VHJ518" s="500"/>
      <c r="VHK518" s="500"/>
      <c r="VHL518" s="500"/>
      <c r="VHM518" s="500"/>
      <c r="VHN518" s="500"/>
      <c r="VHO518" s="500"/>
      <c r="VHP518" s="500"/>
      <c r="VHQ518" s="500"/>
      <c r="VHR518" s="500"/>
      <c r="VHS518" s="500"/>
      <c r="VHT518" s="500"/>
      <c r="VHU518" s="500"/>
      <c r="VHV518" s="500"/>
      <c r="VHW518" s="500"/>
      <c r="VHX518" s="500"/>
      <c r="VHY518" s="500"/>
      <c r="VHZ518" s="500"/>
      <c r="VIA518" s="500"/>
      <c r="VIB518" s="500"/>
      <c r="VIC518" s="500"/>
      <c r="VID518" s="500"/>
      <c r="VIE518" s="500"/>
      <c r="VIF518" s="500"/>
      <c r="VIG518" s="500"/>
      <c r="VIH518" s="500"/>
      <c r="VII518" s="500"/>
      <c r="VIJ518" s="500"/>
      <c r="VIK518" s="500"/>
      <c r="VIL518" s="500"/>
      <c r="VIM518" s="500"/>
      <c r="VIN518" s="500"/>
      <c r="VIO518" s="500"/>
      <c r="VIP518" s="500"/>
      <c r="VIQ518" s="500"/>
      <c r="VIR518" s="500"/>
      <c r="VIS518" s="500"/>
      <c r="VIT518" s="500"/>
      <c r="VIU518" s="500"/>
      <c r="VIV518" s="500"/>
      <c r="VIW518" s="500"/>
      <c r="VIX518" s="500"/>
      <c r="VIY518" s="500"/>
      <c r="VIZ518" s="500"/>
      <c r="VJA518" s="500"/>
      <c r="VJB518" s="500"/>
      <c r="VJC518" s="500"/>
      <c r="VJD518" s="500"/>
      <c r="VJE518" s="500"/>
      <c r="VJF518" s="500"/>
      <c r="VJG518" s="500"/>
      <c r="VJH518" s="500"/>
      <c r="VJI518" s="500"/>
      <c r="VJJ518" s="500"/>
      <c r="VJK518" s="500"/>
      <c r="VJL518" s="500"/>
      <c r="VJM518" s="500"/>
      <c r="VJN518" s="500"/>
      <c r="VJO518" s="500"/>
      <c r="VJP518" s="500"/>
      <c r="VJQ518" s="500"/>
      <c r="VJR518" s="500"/>
      <c r="VJS518" s="500"/>
      <c r="VJT518" s="500"/>
      <c r="VJU518" s="500"/>
      <c r="VJV518" s="500"/>
      <c r="VJW518" s="500"/>
      <c r="VJX518" s="500"/>
      <c r="VJY518" s="500"/>
      <c r="VJZ518" s="500"/>
      <c r="VKA518" s="500"/>
      <c r="VKB518" s="500"/>
      <c r="VKC518" s="500"/>
      <c r="VKD518" s="500"/>
      <c r="VKE518" s="500"/>
      <c r="VKF518" s="500"/>
      <c r="VKG518" s="500"/>
      <c r="VKH518" s="500"/>
      <c r="VKI518" s="500"/>
      <c r="VKJ518" s="500"/>
      <c r="VKK518" s="500"/>
      <c r="VKL518" s="500"/>
      <c r="VKM518" s="500"/>
      <c r="VKN518" s="500"/>
      <c r="VKO518" s="500"/>
      <c r="VKP518" s="500"/>
      <c r="VKQ518" s="500"/>
      <c r="VKR518" s="500"/>
      <c r="VKS518" s="500"/>
      <c r="VKT518" s="500"/>
      <c r="VKU518" s="500"/>
      <c r="VKV518" s="500"/>
      <c r="VKW518" s="500"/>
      <c r="VKX518" s="500"/>
      <c r="VKY518" s="500"/>
      <c r="VKZ518" s="500"/>
      <c r="VLA518" s="500"/>
      <c r="VLB518" s="500"/>
      <c r="VLC518" s="500"/>
      <c r="VLD518" s="500"/>
      <c r="VLE518" s="500"/>
      <c r="VLF518" s="500"/>
      <c r="VLG518" s="500"/>
      <c r="VLH518" s="500"/>
      <c r="VLI518" s="500"/>
      <c r="VLJ518" s="500"/>
      <c r="VLK518" s="500"/>
      <c r="VLL518" s="500"/>
      <c r="VLM518" s="500"/>
      <c r="VLN518" s="500"/>
      <c r="VLO518" s="500"/>
      <c r="VLP518" s="500"/>
      <c r="VLQ518" s="500"/>
      <c r="VLR518" s="500"/>
      <c r="VLS518" s="500"/>
      <c r="VLT518" s="500"/>
      <c r="VLU518" s="500"/>
      <c r="VLV518" s="500"/>
      <c r="VLW518" s="500"/>
      <c r="VLX518" s="500"/>
      <c r="VLY518" s="500"/>
      <c r="VLZ518" s="500"/>
      <c r="VMA518" s="500"/>
      <c r="VMB518" s="500"/>
      <c r="VMC518" s="500"/>
      <c r="VMD518" s="500"/>
      <c r="VME518" s="500"/>
      <c r="VMF518" s="500"/>
      <c r="VMG518" s="500"/>
      <c r="VMH518" s="500"/>
      <c r="VMI518" s="500"/>
      <c r="VMJ518" s="500"/>
      <c r="VMK518" s="500"/>
      <c r="VML518" s="500"/>
      <c r="VMM518" s="500"/>
      <c r="VMN518" s="500"/>
      <c r="VMO518" s="500"/>
      <c r="VMP518" s="500"/>
      <c r="VMQ518" s="500"/>
      <c r="VMR518" s="500"/>
      <c r="VMS518" s="500"/>
      <c r="VMT518" s="500"/>
      <c r="VMU518" s="500"/>
      <c r="VMV518" s="500"/>
      <c r="VMW518" s="500"/>
      <c r="VMX518" s="500"/>
      <c r="VMY518" s="500"/>
      <c r="VMZ518" s="500"/>
      <c r="VNA518" s="500"/>
      <c r="VNB518" s="500"/>
      <c r="VNC518" s="500"/>
      <c r="VND518" s="500"/>
      <c r="VNE518" s="500"/>
      <c r="VNF518" s="500"/>
      <c r="VNG518" s="500"/>
      <c r="VNH518" s="500"/>
      <c r="VNI518" s="500"/>
      <c r="VNJ518" s="500"/>
      <c r="VNK518" s="500"/>
      <c r="VNL518" s="500"/>
      <c r="VNM518" s="500"/>
      <c r="VNN518" s="500"/>
      <c r="VNO518" s="500"/>
      <c r="VNP518" s="500"/>
      <c r="VNQ518" s="500"/>
      <c r="VNR518" s="500"/>
      <c r="VNS518" s="500"/>
      <c r="VNT518" s="500"/>
      <c r="VNU518" s="500"/>
      <c r="VNV518" s="500"/>
      <c r="VNW518" s="500"/>
      <c r="VNX518" s="500"/>
      <c r="VNY518" s="500"/>
      <c r="VNZ518" s="500"/>
      <c r="VOA518" s="500"/>
      <c r="VOB518" s="500"/>
      <c r="VOC518" s="500"/>
      <c r="VOD518" s="500"/>
      <c r="VOE518" s="500"/>
      <c r="VOF518" s="500"/>
      <c r="VOG518" s="500"/>
      <c r="VOH518" s="500"/>
      <c r="VOI518" s="500"/>
      <c r="VOJ518" s="500"/>
      <c r="VOK518" s="500"/>
      <c r="VOL518" s="500"/>
      <c r="VOM518" s="500"/>
      <c r="VON518" s="500"/>
      <c r="VOO518" s="500"/>
      <c r="VOP518" s="500"/>
      <c r="VOQ518" s="500"/>
      <c r="VOR518" s="500"/>
      <c r="VOS518" s="500"/>
      <c r="VOT518" s="500"/>
      <c r="VOU518" s="500"/>
      <c r="VOV518" s="500"/>
      <c r="VOW518" s="500"/>
      <c r="VOX518" s="500"/>
      <c r="VOY518" s="500"/>
      <c r="VOZ518" s="500"/>
      <c r="VPA518" s="500"/>
      <c r="VPB518" s="500"/>
      <c r="VPC518" s="500"/>
      <c r="VPD518" s="500"/>
      <c r="VPE518" s="500"/>
      <c r="VPF518" s="500"/>
      <c r="VPG518" s="500"/>
      <c r="VPH518" s="500"/>
      <c r="VPI518" s="500"/>
      <c r="VPJ518" s="500"/>
      <c r="VPK518" s="500"/>
      <c r="VPL518" s="500"/>
      <c r="VPM518" s="500"/>
      <c r="VPN518" s="500"/>
      <c r="VPO518" s="500"/>
      <c r="VPP518" s="500"/>
      <c r="VPQ518" s="500"/>
      <c r="VPR518" s="500"/>
      <c r="VPS518" s="500"/>
      <c r="VPT518" s="500"/>
      <c r="VPU518" s="500"/>
      <c r="VPV518" s="500"/>
      <c r="VPW518" s="500"/>
      <c r="VPX518" s="500"/>
      <c r="VPY518" s="500"/>
      <c r="VPZ518" s="500"/>
      <c r="VQA518" s="500"/>
      <c r="VQB518" s="500"/>
      <c r="VQC518" s="500"/>
      <c r="VQD518" s="500"/>
      <c r="VQE518" s="500"/>
      <c r="VQF518" s="500"/>
      <c r="VQG518" s="500"/>
      <c r="VQH518" s="500"/>
      <c r="VQI518" s="500"/>
      <c r="VQJ518" s="500"/>
      <c r="VQK518" s="500"/>
      <c r="VQL518" s="500"/>
      <c r="VQM518" s="500"/>
      <c r="VQN518" s="500"/>
      <c r="VQO518" s="500"/>
      <c r="VQP518" s="500"/>
      <c r="VQQ518" s="500"/>
      <c r="VQR518" s="500"/>
      <c r="VQS518" s="500"/>
      <c r="VQT518" s="500"/>
      <c r="VQU518" s="500"/>
      <c r="VQV518" s="500"/>
      <c r="VQW518" s="500"/>
      <c r="VQX518" s="500"/>
      <c r="VQY518" s="500"/>
      <c r="VQZ518" s="500"/>
      <c r="VRA518" s="500"/>
      <c r="VRB518" s="500"/>
      <c r="VRC518" s="500"/>
      <c r="VRD518" s="500"/>
      <c r="VRE518" s="500"/>
      <c r="VRF518" s="500"/>
      <c r="VRG518" s="500"/>
      <c r="VRH518" s="500"/>
      <c r="VRI518" s="500"/>
      <c r="VRJ518" s="500"/>
      <c r="VRK518" s="500"/>
      <c r="VRL518" s="500"/>
      <c r="VRM518" s="500"/>
      <c r="VRN518" s="500"/>
      <c r="VRO518" s="500"/>
      <c r="VRP518" s="500"/>
      <c r="VRQ518" s="500"/>
      <c r="VRR518" s="500"/>
      <c r="VRS518" s="500"/>
      <c r="VRT518" s="500"/>
      <c r="VRU518" s="500"/>
      <c r="VRV518" s="500"/>
      <c r="VRW518" s="500"/>
      <c r="VRX518" s="500"/>
      <c r="VRY518" s="500"/>
      <c r="VRZ518" s="500"/>
      <c r="VSA518" s="500"/>
      <c r="VSB518" s="500"/>
      <c r="VSC518" s="500"/>
      <c r="VSD518" s="500"/>
      <c r="VSE518" s="500"/>
      <c r="VSF518" s="500"/>
      <c r="VSG518" s="500"/>
      <c r="VSH518" s="500"/>
      <c r="VSI518" s="500"/>
      <c r="VSJ518" s="500"/>
      <c r="VSK518" s="500"/>
      <c r="VSL518" s="500"/>
      <c r="VSM518" s="500"/>
      <c r="VSN518" s="500"/>
      <c r="VSO518" s="500"/>
      <c r="VSP518" s="500"/>
      <c r="VSQ518" s="500"/>
      <c r="VSR518" s="500"/>
      <c r="VSS518" s="500"/>
      <c r="VST518" s="500"/>
      <c r="VSU518" s="500"/>
      <c r="VSV518" s="500"/>
      <c r="VSW518" s="500"/>
      <c r="VSX518" s="500"/>
      <c r="VSY518" s="500"/>
      <c r="VSZ518" s="500"/>
      <c r="VTA518" s="500"/>
      <c r="VTB518" s="500"/>
      <c r="VTC518" s="500"/>
      <c r="VTD518" s="500"/>
      <c r="VTE518" s="500"/>
      <c r="VTF518" s="500"/>
      <c r="VTG518" s="500"/>
      <c r="VTH518" s="500"/>
      <c r="VTI518" s="500"/>
      <c r="VTJ518" s="500"/>
      <c r="VTK518" s="500"/>
      <c r="VTL518" s="500"/>
      <c r="VTM518" s="500"/>
      <c r="VTN518" s="500"/>
      <c r="VTO518" s="500"/>
      <c r="VTP518" s="500"/>
      <c r="VTQ518" s="500"/>
      <c r="VTR518" s="500"/>
      <c r="VTS518" s="500"/>
      <c r="VTT518" s="500"/>
      <c r="VTU518" s="500"/>
      <c r="VTV518" s="500"/>
      <c r="VTW518" s="500"/>
      <c r="VTX518" s="500"/>
      <c r="VTY518" s="500"/>
      <c r="VTZ518" s="500"/>
      <c r="VUA518" s="500"/>
      <c r="VUB518" s="500"/>
      <c r="VUC518" s="500"/>
      <c r="VUD518" s="500"/>
      <c r="VUE518" s="500"/>
      <c r="VUF518" s="500"/>
      <c r="VUG518" s="500"/>
      <c r="VUH518" s="500"/>
      <c r="VUI518" s="500"/>
      <c r="VUJ518" s="500"/>
      <c r="VUK518" s="500"/>
      <c r="VUL518" s="500"/>
      <c r="VUM518" s="500"/>
      <c r="VUN518" s="500"/>
      <c r="VUO518" s="500"/>
      <c r="VUP518" s="500"/>
      <c r="VUQ518" s="500"/>
      <c r="VUR518" s="500"/>
      <c r="VUS518" s="500"/>
      <c r="VUT518" s="500"/>
      <c r="VUU518" s="500"/>
      <c r="VUV518" s="500"/>
      <c r="VUW518" s="500"/>
      <c r="VUX518" s="500"/>
      <c r="VUY518" s="500"/>
      <c r="VUZ518" s="500"/>
      <c r="VVA518" s="500"/>
      <c r="VVB518" s="500"/>
      <c r="VVC518" s="500"/>
      <c r="VVD518" s="500"/>
      <c r="VVE518" s="500"/>
      <c r="VVF518" s="500"/>
      <c r="VVG518" s="500"/>
      <c r="VVH518" s="500"/>
      <c r="VVI518" s="500"/>
      <c r="VVJ518" s="500"/>
      <c r="VVK518" s="500"/>
      <c r="VVL518" s="500"/>
      <c r="VVM518" s="500"/>
      <c r="VVN518" s="500"/>
      <c r="VVO518" s="500"/>
      <c r="VVP518" s="500"/>
      <c r="VVQ518" s="500"/>
      <c r="VVR518" s="500"/>
      <c r="VVS518" s="500"/>
      <c r="VVT518" s="500"/>
      <c r="VVU518" s="500"/>
      <c r="VVV518" s="500"/>
      <c r="VVW518" s="500"/>
      <c r="VVX518" s="500"/>
      <c r="VVY518" s="500"/>
      <c r="VVZ518" s="500"/>
      <c r="VWA518" s="500"/>
      <c r="VWB518" s="500"/>
      <c r="VWC518" s="500"/>
      <c r="VWD518" s="500"/>
      <c r="VWE518" s="500"/>
      <c r="VWF518" s="500"/>
      <c r="VWG518" s="500"/>
      <c r="VWH518" s="500"/>
      <c r="VWI518" s="500"/>
      <c r="VWJ518" s="500"/>
      <c r="VWK518" s="500"/>
      <c r="VWL518" s="500"/>
      <c r="VWM518" s="500"/>
      <c r="VWN518" s="500"/>
      <c r="VWO518" s="500"/>
      <c r="VWP518" s="500"/>
      <c r="VWQ518" s="500"/>
      <c r="VWR518" s="500"/>
      <c r="VWS518" s="500"/>
      <c r="VWT518" s="500"/>
      <c r="VWU518" s="500"/>
      <c r="VWV518" s="500"/>
      <c r="VWW518" s="500"/>
      <c r="VWX518" s="500"/>
      <c r="VWY518" s="500"/>
      <c r="VWZ518" s="500"/>
      <c r="VXA518" s="500"/>
      <c r="VXB518" s="500"/>
      <c r="VXC518" s="500"/>
      <c r="VXD518" s="500"/>
      <c r="VXE518" s="500"/>
      <c r="VXF518" s="500"/>
      <c r="VXG518" s="500"/>
      <c r="VXH518" s="500"/>
      <c r="VXI518" s="500"/>
      <c r="VXJ518" s="500"/>
      <c r="VXK518" s="500"/>
      <c r="VXL518" s="500"/>
      <c r="VXM518" s="500"/>
      <c r="VXN518" s="500"/>
      <c r="VXO518" s="500"/>
      <c r="VXP518" s="500"/>
      <c r="VXQ518" s="500"/>
      <c r="VXR518" s="500"/>
      <c r="VXS518" s="500"/>
      <c r="VXT518" s="500"/>
      <c r="VXU518" s="500"/>
      <c r="VXV518" s="500"/>
      <c r="VXW518" s="500"/>
      <c r="VXX518" s="500"/>
      <c r="VXY518" s="500"/>
      <c r="VXZ518" s="500"/>
      <c r="VYA518" s="500"/>
      <c r="VYB518" s="500"/>
      <c r="VYC518" s="500"/>
      <c r="VYD518" s="500"/>
      <c r="VYE518" s="500"/>
      <c r="VYF518" s="500"/>
      <c r="VYG518" s="500"/>
      <c r="VYH518" s="500"/>
      <c r="VYI518" s="500"/>
      <c r="VYJ518" s="500"/>
      <c r="VYK518" s="500"/>
      <c r="VYL518" s="500"/>
      <c r="VYM518" s="500"/>
      <c r="VYN518" s="500"/>
      <c r="VYO518" s="500"/>
      <c r="VYP518" s="500"/>
      <c r="VYQ518" s="500"/>
      <c r="VYR518" s="500"/>
      <c r="VYS518" s="500"/>
      <c r="VYT518" s="500"/>
      <c r="VYU518" s="500"/>
      <c r="VYV518" s="500"/>
      <c r="VYW518" s="500"/>
      <c r="VYX518" s="500"/>
      <c r="VYY518" s="500"/>
      <c r="VYZ518" s="500"/>
      <c r="VZA518" s="500"/>
      <c r="VZB518" s="500"/>
      <c r="VZC518" s="500"/>
      <c r="VZD518" s="500"/>
      <c r="VZE518" s="500"/>
      <c r="VZF518" s="500"/>
      <c r="VZG518" s="500"/>
      <c r="VZH518" s="500"/>
      <c r="VZI518" s="500"/>
      <c r="VZJ518" s="500"/>
      <c r="VZK518" s="500"/>
      <c r="VZL518" s="500"/>
      <c r="VZM518" s="500"/>
      <c r="VZN518" s="500"/>
      <c r="VZO518" s="500"/>
      <c r="VZP518" s="500"/>
      <c r="VZQ518" s="500"/>
      <c r="VZR518" s="500"/>
      <c r="VZS518" s="500"/>
      <c r="VZT518" s="500"/>
      <c r="VZU518" s="500"/>
      <c r="VZV518" s="500"/>
      <c r="VZW518" s="500"/>
      <c r="VZX518" s="500"/>
      <c r="VZY518" s="500"/>
      <c r="VZZ518" s="500"/>
      <c r="WAA518" s="500"/>
      <c r="WAB518" s="500"/>
      <c r="WAC518" s="500"/>
      <c r="WAD518" s="500"/>
      <c r="WAE518" s="500"/>
      <c r="WAF518" s="500"/>
      <c r="WAG518" s="500"/>
      <c r="WAH518" s="500"/>
      <c r="WAI518" s="500"/>
      <c r="WAJ518" s="500"/>
      <c r="WAK518" s="500"/>
      <c r="WAL518" s="500"/>
      <c r="WAM518" s="500"/>
      <c r="WAN518" s="500"/>
      <c r="WAO518" s="500"/>
      <c r="WAP518" s="500"/>
      <c r="WAQ518" s="500"/>
      <c r="WAR518" s="500"/>
      <c r="WAS518" s="500"/>
      <c r="WAT518" s="500"/>
      <c r="WAU518" s="500"/>
      <c r="WAV518" s="500"/>
      <c r="WAW518" s="500"/>
      <c r="WAX518" s="500"/>
      <c r="WAY518" s="500"/>
      <c r="WAZ518" s="500"/>
      <c r="WBA518" s="500"/>
      <c r="WBB518" s="500"/>
      <c r="WBC518" s="500"/>
      <c r="WBD518" s="500"/>
      <c r="WBE518" s="500"/>
      <c r="WBF518" s="500"/>
      <c r="WBG518" s="500"/>
      <c r="WBH518" s="500"/>
      <c r="WBI518" s="500"/>
      <c r="WBJ518" s="500"/>
      <c r="WBK518" s="500"/>
      <c r="WBL518" s="500"/>
      <c r="WBM518" s="500"/>
      <c r="WBN518" s="500"/>
      <c r="WBO518" s="500"/>
      <c r="WBP518" s="500"/>
      <c r="WBQ518" s="500"/>
      <c r="WBR518" s="500"/>
      <c r="WBS518" s="500"/>
      <c r="WBT518" s="500"/>
      <c r="WBU518" s="500"/>
      <c r="WBV518" s="500"/>
      <c r="WBW518" s="500"/>
      <c r="WBX518" s="500"/>
      <c r="WBY518" s="500"/>
      <c r="WBZ518" s="500"/>
      <c r="WCA518" s="500"/>
      <c r="WCB518" s="500"/>
      <c r="WCC518" s="500"/>
      <c r="WCD518" s="500"/>
      <c r="WCE518" s="500"/>
      <c r="WCF518" s="500"/>
      <c r="WCG518" s="500"/>
      <c r="WCH518" s="500"/>
      <c r="WCI518" s="500"/>
      <c r="WCJ518" s="500"/>
      <c r="WCK518" s="500"/>
      <c r="WCL518" s="500"/>
      <c r="WCM518" s="500"/>
      <c r="WCN518" s="500"/>
      <c r="WCO518" s="500"/>
      <c r="WCP518" s="500"/>
      <c r="WCQ518" s="500"/>
      <c r="WCR518" s="500"/>
      <c r="WCS518" s="500"/>
      <c r="WCT518" s="500"/>
      <c r="WCU518" s="500"/>
      <c r="WCV518" s="500"/>
      <c r="WCW518" s="500"/>
      <c r="WCX518" s="500"/>
      <c r="WCY518" s="500"/>
      <c r="WCZ518" s="500"/>
      <c r="WDA518" s="500"/>
      <c r="WDB518" s="500"/>
      <c r="WDC518" s="500"/>
      <c r="WDD518" s="500"/>
      <c r="WDE518" s="500"/>
      <c r="WDF518" s="500"/>
      <c r="WDG518" s="500"/>
      <c r="WDH518" s="500"/>
      <c r="WDI518" s="500"/>
      <c r="WDJ518" s="500"/>
      <c r="WDK518" s="500"/>
      <c r="WDL518" s="500"/>
      <c r="WDM518" s="500"/>
      <c r="WDN518" s="500"/>
      <c r="WDO518" s="500"/>
      <c r="WDP518" s="500"/>
      <c r="WDQ518" s="500"/>
      <c r="WDR518" s="500"/>
      <c r="WDS518" s="500"/>
      <c r="WDT518" s="500"/>
      <c r="WDU518" s="500"/>
      <c r="WDV518" s="500"/>
      <c r="WDW518" s="500"/>
      <c r="WDX518" s="500"/>
      <c r="WDY518" s="500"/>
      <c r="WDZ518" s="500"/>
      <c r="WEA518" s="500"/>
      <c r="WEB518" s="500"/>
      <c r="WEC518" s="500"/>
      <c r="WED518" s="500"/>
      <c r="WEE518" s="500"/>
      <c r="WEF518" s="500"/>
      <c r="WEG518" s="500"/>
      <c r="WEH518" s="500"/>
      <c r="WEI518" s="500"/>
      <c r="WEJ518" s="500"/>
      <c r="WEK518" s="500"/>
      <c r="WEL518" s="500"/>
      <c r="WEM518" s="500"/>
      <c r="WEN518" s="500"/>
      <c r="WEO518" s="500"/>
      <c r="WEP518" s="500"/>
      <c r="WEQ518" s="500"/>
      <c r="WER518" s="500"/>
      <c r="WES518" s="500"/>
      <c r="WET518" s="500"/>
      <c r="WEU518" s="500"/>
      <c r="WEV518" s="500"/>
      <c r="WEW518" s="500"/>
      <c r="WEX518" s="500"/>
      <c r="WEY518" s="500"/>
      <c r="WEZ518" s="500"/>
      <c r="WFA518" s="500"/>
      <c r="WFB518" s="500"/>
      <c r="WFC518" s="500"/>
      <c r="WFD518" s="500"/>
      <c r="WFE518" s="500"/>
      <c r="WFF518" s="500"/>
      <c r="WFG518" s="500"/>
      <c r="WFH518" s="500"/>
      <c r="WFI518" s="500"/>
      <c r="WFJ518" s="500"/>
      <c r="WFK518" s="500"/>
      <c r="WFL518" s="500"/>
      <c r="WFM518" s="500"/>
      <c r="WFN518" s="500"/>
      <c r="WFO518" s="500"/>
      <c r="WFP518" s="500"/>
      <c r="WFQ518" s="500"/>
      <c r="WFR518" s="500"/>
      <c r="WFS518" s="500"/>
      <c r="WFT518" s="500"/>
      <c r="WFU518" s="500"/>
      <c r="WFV518" s="500"/>
      <c r="WFW518" s="500"/>
      <c r="WFX518" s="500"/>
      <c r="WFY518" s="500"/>
      <c r="WFZ518" s="500"/>
      <c r="WGA518" s="500"/>
      <c r="WGB518" s="500"/>
      <c r="WGC518" s="500"/>
      <c r="WGD518" s="500"/>
      <c r="WGE518" s="500"/>
      <c r="WGF518" s="500"/>
      <c r="WGG518" s="500"/>
      <c r="WGH518" s="500"/>
      <c r="WGI518" s="500"/>
      <c r="WGJ518" s="500"/>
      <c r="WGK518" s="500"/>
      <c r="WGL518" s="500"/>
      <c r="WGM518" s="500"/>
      <c r="WGN518" s="500"/>
      <c r="WGO518" s="500"/>
      <c r="WGP518" s="500"/>
      <c r="WGQ518" s="500"/>
      <c r="WGR518" s="500"/>
      <c r="WGS518" s="500"/>
      <c r="WGT518" s="500"/>
      <c r="WGU518" s="500"/>
      <c r="WGV518" s="500"/>
      <c r="WGW518" s="500"/>
      <c r="WGX518" s="500"/>
      <c r="WGY518" s="500"/>
      <c r="WGZ518" s="500"/>
      <c r="WHA518" s="500"/>
      <c r="WHB518" s="500"/>
      <c r="WHC518" s="500"/>
      <c r="WHD518" s="500"/>
      <c r="WHE518" s="500"/>
      <c r="WHF518" s="500"/>
      <c r="WHG518" s="500"/>
      <c r="WHH518" s="500"/>
      <c r="WHI518" s="500"/>
      <c r="WHJ518" s="500"/>
      <c r="WHK518" s="500"/>
      <c r="WHL518" s="500"/>
      <c r="WHM518" s="500"/>
      <c r="WHN518" s="500"/>
      <c r="WHO518" s="500"/>
      <c r="WHP518" s="500"/>
      <c r="WHQ518" s="500"/>
      <c r="WHR518" s="500"/>
      <c r="WHS518" s="500"/>
      <c r="WHT518" s="500"/>
      <c r="WHU518" s="500"/>
      <c r="WHV518" s="500"/>
      <c r="WHW518" s="500"/>
      <c r="WHX518" s="500"/>
      <c r="WHY518" s="500"/>
      <c r="WHZ518" s="500"/>
      <c r="WIA518" s="500"/>
      <c r="WIB518" s="500"/>
      <c r="WIC518" s="500"/>
      <c r="WID518" s="500"/>
      <c r="WIE518" s="500"/>
      <c r="WIF518" s="500"/>
      <c r="WIG518" s="500"/>
      <c r="WIH518" s="500"/>
      <c r="WII518" s="500"/>
      <c r="WIJ518" s="500"/>
      <c r="WIK518" s="500"/>
      <c r="WIL518" s="500"/>
      <c r="WIM518" s="500"/>
      <c r="WIN518" s="500"/>
      <c r="WIO518" s="500"/>
      <c r="WIP518" s="500"/>
      <c r="WIQ518" s="500"/>
      <c r="WIR518" s="500"/>
      <c r="WIS518" s="500"/>
      <c r="WIT518" s="500"/>
      <c r="WIU518" s="500"/>
      <c r="WIV518" s="500"/>
      <c r="WIW518" s="500"/>
      <c r="WIX518" s="500"/>
      <c r="WIY518" s="500"/>
      <c r="WIZ518" s="500"/>
      <c r="WJA518" s="500"/>
      <c r="WJB518" s="500"/>
      <c r="WJC518" s="500"/>
      <c r="WJD518" s="500"/>
      <c r="WJE518" s="500"/>
      <c r="WJF518" s="500"/>
      <c r="WJG518" s="500"/>
      <c r="WJH518" s="500"/>
      <c r="WJI518" s="500"/>
      <c r="WJJ518" s="500"/>
      <c r="WJK518" s="500"/>
      <c r="WJL518" s="500"/>
      <c r="WJM518" s="500"/>
      <c r="WJN518" s="500"/>
      <c r="WJO518" s="500"/>
      <c r="WJP518" s="500"/>
      <c r="WJQ518" s="500"/>
      <c r="WJR518" s="500"/>
      <c r="WJS518" s="500"/>
      <c r="WJT518" s="500"/>
      <c r="WJU518" s="500"/>
      <c r="WJV518" s="500"/>
      <c r="WJW518" s="500"/>
      <c r="WJX518" s="500"/>
      <c r="WJY518" s="500"/>
      <c r="WJZ518" s="500"/>
      <c r="WKA518" s="500"/>
      <c r="WKB518" s="500"/>
      <c r="WKC518" s="500"/>
      <c r="WKD518" s="500"/>
      <c r="WKE518" s="500"/>
      <c r="WKF518" s="500"/>
      <c r="WKG518" s="500"/>
      <c r="WKH518" s="500"/>
      <c r="WKI518" s="500"/>
      <c r="WKJ518" s="500"/>
      <c r="WKK518" s="500"/>
      <c r="WKL518" s="500"/>
      <c r="WKM518" s="500"/>
      <c r="WKN518" s="500"/>
      <c r="WKO518" s="500"/>
      <c r="WKP518" s="500"/>
      <c r="WKQ518" s="500"/>
      <c r="WKR518" s="500"/>
      <c r="WKS518" s="500"/>
      <c r="WKT518" s="500"/>
      <c r="WKU518" s="500"/>
      <c r="WKV518" s="500"/>
      <c r="WKW518" s="500"/>
      <c r="WKX518" s="500"/>
      <c r="WKY518" s="500"/>
      <c r="WKZ518" s="500"/>
      <c r="WLA518" s="500"/>
      <c r="WLB518" s="500"/>
      <c r="WLC518" s="500"/>
      <c r="WLD518" s="500"/>
      <c r="WLE518" s="500"/>
      <c r="WLF518" s="500"/>
      <c r="WLG518" s="500"/>
      <c r="WLH518" s="500"/>
      <c r="WLI518" s="500"/>
      <c r="WLJ518" s="500"/>
      <c r="WLK518" s="500"/>
      <c r="WLL518" s="500"/>
      <c r="WLM518" s="500"/>
      <c r="WLN518" s="500"/>
      <c r="WLO518" s="500"/>
      <c r="WLP518" s="500"/>
      <c r="WLQ518" s="500"/>
      <c r="WLR518" s="500"/>
      <c r="WLS518" s="500"/>
      <c r="WLT518" s="500"/>
      <c r="WLU518" s="500"/>
      <c r="WLV518" s="500"/>
      <c r="WLW518" s="500"/>
      <c r="WLX518" s="500"/>
      <c r="WLY518" s="500"/>
      <c r="WLZ518" s="500"/>
      <c r="WMA518" s="500"/>
      <c r="WMB518" s="500"/>
      <c r="WMC518" s="500"/>
      <c r="WMD518" s="500"/>
      <c r="WME518" s="500"/>
      <c r="WMF518" s="500"/>
      <c r="WMG518" s="500"/>
      <c r="WMH518" s="500"/>
      <c r="WMI518" s="500"/>
      <c r="WMJ518" s="500"/>
      <c r="WMK518" s="500"/>
      <c r="WML518" s="500"/>
      <c r="WMM518" s="500"/>
      <c r="WMN518" s="500"/>
      <c r="WMO518" s="500"/>
      <c r="WMP518" s="500"/>
      <c r="WMQ518" s="500"/>
      <c r="WMR518" s="500"/>
      <c r="WMS518" s="500"/>
      <c r="WMT518" s="500"/>
      <c r="WMU518" s="500"/>
      <c r="WMV518" s="500"/>
      <c r="WMW518" s="500"/>
      <c r="WMX518" s="500"/>
      <c r="WMY518" s="500"/>
      <c r="WMZ518" s="500"/>
      <c r="WNA518" s="500"/>
      <c r="WNB518" s="500"/>
      <c r="WNC518" s="500"/>
      <c r="WND518" s="500"/>
      <c r="WNE518" s="500"/>
      <c r="WNF518" s="500"/>
      <c r="WNG518" s="500"/>
      <c r="WNH518" s="500"/>
      <c r="WNI518" s="500"/>
      <c r="WNJ518" s="500"/>
      <c r="WNK518" s="500"/>
      <c r="WNL518" s="500"/>
      <c r="WNM518" s="500"/>
      <c r="WNN518" s="500"/>
      <c r="WNO518" s="500"/>
      <c r="WNP518" s="500"/>
      <c r="WNQ518" s="500"/>
      <c r="WNR518" s="500"/>
      <c r="WNS518" s="500"/>
      <c r="WNT518" s="500"/>
      <c r="WNU518" s="500"/>
      <c r="WNV518" s="500"/>
      <c r="WNW518" s="500"/>
      <c r="WNX518" s="500"/>
      <c r="WNY518" s="500"/>
      <c r="WNZ518" s="500"/>
      <c r="WOA518" s="500"/>
      <c r="WOB518" s="500"/>
      <c r="WOC518" s="500"/>
      <c r="WOD518" s="500"/>
      <c r="WOE518" s="500"/>
      <c r="WOF518" s="500"/>
      <c r="WOG518" s="500"/>
      <c r="WOH518" s="500"/>
      <c r="WOI518" s="500"/>
      <c r="WOJ518" s="500"/>
      <c r="WOK518" s="500"/>
      <c r="WOL518" s="500"/>
      <c r="WOM518" s="500"/>
      <c r="WON518" s="500"/>
      <c r="WOO518" s="500"/>
      <c r="WOP518" s="500"/>
      <c r="WOQ518" s="500"/>
      <c r="WOR518" s="500"/>
      <c r="WOS518" s="500"/>
      <c r="WOT518" s="500"/>
      <c r="WOU518" s="500"/>
      <c r="WOV518" s="500"/>
      <c r="WOW518" s="500"/>
      <c r="WOX518" s="500"/>
      <c r="WOY518" s="500"/>
      <c r="WOZ518" s="500"/>
      <c r="WPA518" s="500"/>
      <c r="WPB518" s="500"/>
      <c r="WPC518" s="500"/>
      <c r="WPD518" s="500"/>
      <c r="WPE518" s="500"/>
      <c r="WPF518" s="500"/>
      <c r="WPG518" s="500"/>
      <c r="WPH518" s="500"/>
      <c r="WPI518" s="500"/>
      <c r="WPJ518" s="500"/>
      <c r="WPK518" s="500"/>
      <c r="WPL518" s="500"/>
      <c r="WPM518" s="500"/>
      <c r="WPN518" s="500"/>
      <c r="WPO518" s="500"/>
      <c r="WPP518" s="500"/>
      <c r="WPQ518" s="500"/>
      <c r="WPR518" s="500"/>
      <c r="WPS518" s="500"/>
      <c r="WPT518" s="500"/>
      <c r="WPU518" s="500"/>
      <c r="WPV518" s="500"/>
      <c r="WPW518" s="500"/>
      <c r="WPX518" s="500"/>
      <c r="WPY518" s="500"/>
      <c r="WPZ518" s="500"/>
      <c r="WQA518" s="500"/>
      <c r="WQB518" s="500"/>
      <c r="WQC518" s="500"/>
      <c r="WQD518" s="500"/>
      <c r="WQE518" s="500"/>
      <c r="WQF518" s="500"/>
      <c r="WQG518" s="500"/>
      <c r="WQH518" s="500"/>
      <c r="WQI518" s="500"/>
      <c r="WQJ518" s="500"/>
      <c r="WQK518" s="500"/>
      <c r="WQL518" s="500"/>
      <c r="WQM518" s="500"/>
      <c r="WQN518" s="500"/>
      <c r="WQO518" s="500"/>
      <c r="WQP518" s="500"/>
      <c r="WQQ518" s="500"/>
      <c r="WQR518" s="500"/>
      <c r="WQS518" s="500"/>
      <c r="WQT518" s="500"/>
      <c r="WQU518" s="500"/>
      <c r="WQV518" s="500"/>
      <c r="WQW518" s="500"/>
      <c r="WQX518" s="500"/>
      <c r="WQY518" s="500"/>
      <c r="WQZ518" s="500"/>
      <c r="WRA518" s="500"/>
      <c r="WRB518" s="500"/>
      <c r="WRC518" s="500"/>
      <c r="WRD518" s="500"/>
      <c r="WRE518" s="500"/>
      <c r="WRF518" s="500"/>
      <c r="WRG518" s="500"/>
      <c r="WRH518" s="500"/>
      <c r="WRI518" s="500"/>
      <c r="WRJ518" s="500"/>
      <c r="WRK518" s="500"/>
      <c r="WRL518" s="500"/>
      <c r="WRM518" s="500"/>
      <c r="WRN518" s="500"/>
      <c r="WRO518" s="500"/>
      <c r="WRP518" s="500"/>
      <c r="WRQ518" s="500"/>
      <c r="WRR518" s="500"/>
      <c r="WRS518" s="500"/>
      <c r="WRT518" s="500"/>
      <c r="WRU518" s="500"/>
      <c r="WRV518" s="500"/>
      <c r="WRW518" s="500"/>
      <c r="WRX518" s="500"/>
      <c r="WRY518" s="500"/>
      <c r="WRZ518" s="500"/>
      <c r="WSA518" s="500"/>
      <c r="WSB518" s="500"/>
      <c r="WSC518" s="500"/>
      <c r="WSD518" s="500"/>
      <c r="WSE518" s="500"/>
      <c r="WSF518" s="500"/>
      <c r="WSG518" s="500"/>
      <c r="WSH518" s="500"/>
      <c r="WSI518" s="500"/>
      <c r="WSJ518" s="500"/>
      <c r="WSK518" s="500"/>
      <c r="WSL518" s="500"/>
      <c r="WSM518" s="500"/>
      <c r="WSN518" s="500"/>
      <c r="WSO518" s="500"/>
      <c r="WSP518" s="500"/>
      <c r="WSQ518" s="500"/>
      <c r="WSR518" s="500"/>
      <c r="WSS518" s="500"/>
      <c r="WST518" s="500"/>
      <c r="WSU518" s="500"/>
      <c r="WSV518" s="500"/>
      <c r="WSW518" s="500"/>
      <c r="WSX518" s="500"/>
      <c r="WSY518" s="500"/>
      <c r="WSZ518" s="500"/>
      <c r="WTA518" s="500"/>
      <c r="WTB518" s="500"/>
      <c r="WTC518" s="500"/>
      <c r="WTD518" s="500"/>
      <c r="WTE518" s="500"/>
      <c r="WTF518" s="500"/>
      <c r="WTG518" s="500"/>
      <c r="WTH518" s="500"/>
      <c r="WTI518" s="500"/>
      <c r="WTJ518" s="500"/>
      <c r="WTK518" s="500"/>
      <c r="WTL518" s="500"/>
      <c r="WTM518" s="500"/>
      <c r="WTN518" s="500"/>
      <c r="WTO518" s="500"/>
      <c r="WTP518" s="500"/>
      <c r="WTQ518" s="500"/>
      <c r="WTR518" s="500"/>
      <c r="WTS518" s="500"/>
      <c r="WTT518" s="500"/>
      <c r="WTU518" s="500"/>
      <c r="WTV518" s="500"/>
      <c r="WTW518" s="500"/>
      <c r="WTX518" s="500"/>
      <c r="WTY518" s="500"/>
      <c r="WTZ518" s="500"/>
      <c r="WUA518" s="500"/>
      <c r="WUB518" s="500"/>
      <c r="WUC518" s="500"/>
      <c r="WUD518" s="500"/>
      <c r="WUE518" s="500"/>
      <c r="WUF518" s="500"/>
      <c r="WUG518" s="500"/>
      <c r="WUH518" s="500"/>
      <c r="WUI518" s="500"/>
      <c r="WUJ518" s="500"/>
      <c r="WUK518" s="500"/>
      <c r="WUL518" s="500"/>
      <c r="WUM518" s="500"/>
      <c r="WUN518" s="500"/>
      <c r="WUO518" s="500"/>
      <c r="WUP518" s="500"/>
      <c r="WUQ518" s="500"/>
      <c r="WUR518" s="500"/>
      <c r="WUS518" s="500"/>
      <c r="WUT518" s="500"/>
      <c r="WUU518" s="500"/>
      <c r="WUV518" s="500"/>
      <c r="WUW518" s="500"/>
      <c r="WUX518" s="500"/>
      <c r="WUY518" s="500"/>
      <c r="WUZ518" s="500"/>
      <c r="WVA518" s="500"/>
      <c r="WVB518" s="500"/>
      <c r="WVC518" s="500"/>
      <c r="WVD518" s="500"/>
      <c r="WVE518" s="500"/>
      <c r="WVF518" s="500"/>
      <c r="WVG518" s="500"/>
      <c r="WVH518" s="500"/>
      <c r="WVI518" s="500"/>
      <c r="WVJ518" s="500"/>
      <c r="WVK518" s="500"/>
      <c r="WVL518" s="500"/>
      <c r="WVM518" s="500"/>
      <c r="WVN518" s="500"/>
      <c r="WVO518" s="500"/>
      <c r="WVP518" s="500"/>
      <c r="WVQ518" s="500"/>
      <c r="WVR518" s="500"/>
      <c r="WVS518" s="500"/>
      <c r="WVT518" s="500"/>
      <c r="WVU518" s="500"/>
      <c r="WVV518" s="500"/>
      <c r="WVW518" s="500"/>
      <c r="WVX518" s="500"/>
      <c r="WVY518" s="500"/>
      <c r="WVZ518" s="500"/>
      <c r="WWA518" s="500"/>
      <c r="WWB518" s="500"/>
      <c r="WWC518" s="500"/>
      <c r="WWD518" s="500"/>
      <c r="WWE518" s="500"/>
      <c r="WWF518" s="500"/>
      <c r="WWG518" s="500"/>
      <c r="WWH518" s="500"/>
      <c r="WWI518" s="500"/>
      <c r="WWJ518" s="500"/>
      <c r="WWK518" s="500"/>
      <c r="WWL518" s="500"/>
      <c r="WWM518" s="500"/>
      <c r="WWN518" s="500"/>
      <c r="WWO518" s="500"/>
      <c r="WWP518" s="500"/>
      <c r="WWQ518" s="500"/>
      <c r="WWR518" s="500"/>
      <c r="WWS518" s="500"/>
      <c r="WWT518" s="500"/>
      <c r="WWU518" s="500"/>
      <c r="WWV518" s="500"/>
      <c r="WWW518" s="500"/>
      <c r="WWX518" s="500"/>
      <c r="WWY518" s="500"/>
      <c r="WWZ518" s="500"/>
      <c r="WXA518" s="500"/>
      <c r="WXB518" s="500"/>
      <c r="WXC518" s="500"/>
      <c r="WXD518" s="500"/>
      <c r="WXE518" s="500"/>
      <c r="WXF518" s="500"/>
      <c r="WXG518" s="500"/>
      <c r="WXH518" s="500"/>
      <c r="WXI518" s="500"/>
      <c r="WXJ518" s="500"/>
      <c r="WXK518" s="500"/>
      <c r="WXL518" s="500"/>
      <c r="WXM518" s="500"/>
      <c r="WXN518" s="500"/>
      <c r="WXO518" s="500"/>
      <c r="WXP518" s="500"/>
      <c r="WXQ518" s="500"/>
      <c r="WXR518" s="500"/>
      <c r="WXS518" s="500"/>
      <c r="WXT518" s="500"/>
      <c r="WXU518" s="500"/>
      <c r="WXV518" s="500"/>
      <c r="WXW518" s="500"/>
      <c r="WXX518" s="500"/>
      <c r="WXY518" s="500"/>
      <c r="WXZ518" s="500"/>
      <c r="WYA518" s="500"/>
      <c r="WYB518" s="500"/>
      <c r="WYC518" s="500"/>
      <c r="WYD518" s="500"/>
      <c r="WYE518" s="500"/>
      <c r="WYF518" s="500"/>
      <c r="WYG518" s="500"/>
      <c r="WYH518" s="500"/>
      <c r="WYI518" s="500"/>
      <c r="WYJ518" s="500"/>
      <c r="WYK518" s="500"/>
      <c r="WYL518" s="500"/>
      <c r="WYM518" s="500"/>
      <c r="WYN518" s="500"/>
      <c r="WYO518" s="500"/>
      <c r="WYP518" s="500"/>
      <c r="WYQ518" s="500"/>
      <c r="WYR518" s="500"/>
      <c r="WYS518" s="500"/>
      <c r="WYT518" s="500"/>
      <c r="WYU518" s="500"/>
      <c r="WYV518" s="500"/>
      <c r="WYW518" s="500"/>
      <c r="WYX518" s="500"/>
      <c r="WYY518" s="500"/>
      <c r="WYZ518" s="500"/>
      <c r="WZA518" s="500"/>
      <c r="WZB518" s="500"/>
      <c r="WZC518" s="500"/>
      <c r="WZD518" s="500"/>
      <c r="WZE518" s="500"/>
      <c r="WZF518" s="500"/>
      <c r="WZG518" s="500"/>
      <c r="WZH518" s="500"/>
      <c r="WZI518" s="500"/>
      <c r="WZJ518" s="500"/>
      <c r="WZK518" s="500"/>
      <c r="WZL518" s="500"/>
      <c r="WZM518" s="500"/>
      <c r="WZN518" s="500"/>
      <c r="WZO518" s="500"/>
      <c r="WZP518" s="500"/>
      <c r="WZQ518" s="500"/>
      <c r="WZR518" s="500"/>
      <c r="WZS518" s="500"/>
      <c r="WZT518" s="500"/>
      <c r="WZU518" s="500"/>
      <c r="WZV518" s="500"/>
      <c r="WZW518" s="500"/>
      <c r="WZX518" s="500"/>
      <c r="WZY518" s="500"/>
      <c r="WZZ518" s="500"/>
      <c r="XAA518" s="500"/>
      <c r="XAB518" s="500"/>
      <c r="XAC518" s="500"/>
      <c r="XAD518" s="500"/>
      <c r="XAE518" s="500"/>
      <c r="XAF518" s="500"/>
      <c r="XAG518" s="500"/>
      <c r="XAH518" s="500"/>
      <c r="XAI518" s="500"/>
      <c r="XAJ518" s="500"/>
      <c r="XAK518" s="500"/>
      <c r="XAL518" s="500"/>
      <c r="XAM518" s="500"/>
      <c r="XAN518" s="500"/>
      <c r="XAO518" s="500"/>
      <c r="XAP518" s="500"/>
      <c r="XAQ518" s="500"/>
      <c r="XAR518" s="500"/>
      <c r="XAS518" s="500"/>
      <c r="XAT518" s="500"/>
      <c r="XAU518" s="500"/>
      <c r="XAV518" s="500"/>
      <c r="XAW518" s="500"/>
      <c r="XAX518" s="500"/>
      <c r="XAY518" s="500"/>
      <c r="XAZ518" s="500"/>
      <c r="XBA518" s="500"/>
      <c r="XBB518" s="500"/>
      <c r="XBC518" s="500"/>
      <c r="XBD518" s="500"/>
      <c r="XBE518" s="500"/>
      <c r="XBF518" s="500"/>
      <c r="XBG518" s="500"/>
      <c r="XBH518" s="500"/>
      <c r="XBI518" s="500"/>
      <c r="XBJ518" s="500"/>
      <c r="XBK518" s="500"/>
      <c r="XBL518" s="500"/>
      <c r="XBM518" s="500"/>
      <c r="XBN518" s="500"/>
      <c r="XBO518" s="500"/>
      <c r="XBP518" s="500"/>
      <c r="XBQ518" s="500"/>
      <c r="XBR518" s="500"/>
      <c r="XBS518" s="500"/>
      <c r="XBT518" s="500"/>
      <c r="XBU518" s="500"/>
      <c r="XBV518" s="500"/>
      <c r="XBW518" s="500"/>
      <c r="XBX518" s="500"/>
      <c r="XBY518" s="500"/>
      <c r="XBZ518" s="500"/>
      <c r="XCA518" s="500"/>
      <c r="XCB518" s="500"/>
      <c r="XCC518" s="500"/>
      <c r="XCD518" s="500"/>
      <c r="XCE518" s="500"/>
    </row>
    <row r="519" spans="1:16307" s="500" customFormat="1" x14ac:dyDescent="0.2">
      <c r="A519" s="833">
        <v>315</v>
      </c>
      <c r="B519" s="834" t="s">
        <v>895</v>
      </c>
      <c r="C519" s="835">
        <v>2171.15</v>
      </c>
      <c r="D519" s="835">
        <v>3005.4</v>
      </c>
      <c r="E519" s="835">
        <v>6059.1399999999994</v>
      </c>
      <c r="F519" s="835">
        <v>6220.42</v>
      </c>
      <c r="G519" s="835">
        <v>5153.51</v>
      </c>
      <c r="H519" s="835">
        <v>4559.95</v>
      </c>
      <c r="I519" s="835">
        <v>4010.19</v>
      </c>
      <c r="J519" s="835">
        <v>5442.32</v>
      </c>
      <c r="K519" s="835">
        <v>5560.96</v>
      </c>
      <c r="L519" s="835">
        <v>5620.45</v>
      </c>
      <c r="M519" s="835">
        <v>5571.26</v>
      </c>
      <c r="N519" s="835">
        <v>4483.21</v>
      </c>
      <c r="O519" s="835">
        <v>5050.33</v>
      </c>
      <c r="P519" s="835">
        <v>3921.26</v>
      </c>
      <c r="Q519" s="835">
        <v>8033.24</v>
      </c>
      <c r="R519" s="835">
        <v>6845.34</v>
      </c>
      <c r="S519" s="835">
        <v>6173.9</v>
      </c>
      <c r="T519" s="835">
        <v>6503.44</v>
      </c>
      <c r="U519" s="835">
        <v>4947.92</v>
      </c>
      <c r="V519" s="835">
        <v>7032.02</v>
      </c>
      <c r="W519" s="835">
        <v>6267.55</v>
      </c>
      <c r="X519" s="835">
        <v>7604.4362599999995</v>
      </c>
      <c r="Y519" s="835">
        <v>7345.7837400000008</v>
      </c>
      <c r="Z519" s="835">
        <v>6569.8953799999999</v>
      </c>
      <c r="AA519" s="835">
        <v>7773.3803900000003</v>
      </c>
      <c r="AB519" s="835">
        <v>8898.4196599999996</v>
      </c>
      <c r="AC519" s="835">
        <v>9941.2685099999999</v>
      </c>
      <c r="AD519" s="835">
        <v>8479.8905400000003</v>
      </c>
      <c r="AE519" s="835">
        <v>7451.2314999999999</v>
      </c>
      <c r="AF519" s="835">
        <v>7045.5272699999996</v>
      </c>
      <c r="AG519" s="835">
        <v>4741.0024800000001</v>
      </c>
      <c r="AH519" s="835">
        <v>7186.1607800000002</v>
      </c>
      <c r="AI519" s="835">
        <v>6173.8085499999997</v>
      </c>
      <c r="AJ519" s="835">
        <v>7059.0927099999999</v>
      </c>
      <c r="AK519" s="835">
        <v>6888.47091</v>
      </c>
      <c r="AL519" s="835">
        <v>9205.3587699999989</v>
      </c>
      <c r="AM519" s="835">
        <v>8520.2409399999997</v>
      </c>
      <c r="AN519" s="835">
        <v>8598.2021000000004</v>
      </c>
      <c r="AO519" s="835">
        <v>10227.898870000001</v>
      </c>
      <c r="AP519" s="835">
        <v>8508.3278799999989</v>
      </c>
      <c r="AQ519" s="835">
        <v>6649.7123899999997</v>
      </c>
      <c r="AR519" s="835">
        <v>6446.96126</v>
      </c>
      <c r="AS519" s="835">
        <v>5908.2048100000002</v>
      </c>
      <c r="AT519" s="835">
        <v>7624.8998100000008</v>
      </c>
      <c r="AU519" s="835">
        <v>5899.6244800000004</v>
      </c>
      <c r="AV519" s="835">
        <v>6712.9535100000003</v>
      </c>
      <c r="AW519" s="835">
        <v>7134.1322399999999</v>
      </c>
      <c r="AX519" s="835">
        <v>6494.8623899999993</v>
      </c>
      <c r="AY519" s="835">
        <v>7323.4779399999998</v>
      </c>
    </row>
    <row r="520" spans="1:16307" s="500" customFormat="1" x14ac:dyDescent="0.2">
      <c r="A520" s="833" t="s">
        <v>892</v>
      </c>
      <c r="B520" s="834" t="s">
        <v>896</v>
      </c>
      <c r="C520" s="835">
        <v>0</v>
      </c>
      <c r="D520" s="835">
        <v>0</v>
      </c>
      <c r="E520" s="835">
        <v>0</v>
      </c>
      <c r="F520" s="835">
        <v>0</v>
      </c>
      <c r="G520" s="835">
        <v>0</v>
      </c>
      <c r="H520" s="835">
        <v>0</v>
      </c>
      <c r="I520" s="835">
        <v>0</v>
      </c>
      <c r="J520" s="835">
        <v>0</v>
      </c>
      <c r="K520" s="835">
        <v>0</v>
      </c>
      <c r="L520" s="835">
        <v>0</v>
      </c>
      <c r="M520" s="835">
        <v>0</v>
      </c>
      <c r="N520" s="835">
        <v>0</v>
      </c>
      <c r="O520" s="835">
        <v>0</v>
      </c>
      <c r="P520" s="835">
        <v>0</v>
      </c>
      <c r="Q520" s="835">
        <v>0</v>
      </c>
      <c r="R520" s="835">
        <v>0</v>
      </c>
      <c r="S520" s="835">
        <v>0</v>
      </c>
      <c r="T520" s="835">
        <v>0</v>
      </c>
      <c r="U520" s="835">
        <v>0</v>
      </c>
      <c r="V520" s="835">
        <v>0</v>
      </c>
      <c r="W520" s="835">
        <v>2.0699999999999998</v>
      </c>
      <c r="X520" s="835">
        <v>392.96216000000004</v>
      </c>
      <c r="Y520" s="835">
        <v>890.98784000000001</v>
      </c>
      <c r="Z520" s="835">
        <v>1979.8020799999999</v>
      </c>
      <c r="AA520" s="835">
        <v>7087.7942400000002</v>
      </c>
      <c r="AB520" s="835">
        <v>8797.3265599999995</v>
      </c>
      <c r="AC520" s="835">
        <v>9659.2981600000003</v>
      </c>
      <c r="AD520" s="835">
        <v>8704.2166399999987</v>
      </c>
      <c r="AE520" s="835">
        <v>8435.6840000000011</v>
      </c>
      <c r="AF520" s="835">
        <v>7727.5203200000005</v>
      </c>
      <c r="AG520" s="835">
        <v>5244.5256799999997</v>
      </c>
      <c r="AH520" s="835">
        <v>8933.1384799999996</v>
      </c>
      <c r="AI520" s="835">
        <v>7953.5968000000003</v>
      </c>
      <c r="AJ520" s="835">
        <v>8926.5753600000007</v>
      </c>
      <c r="AK520" s="835">
        <v>8747.6765599999999</v>
      </c>
      <c r="AL520" s="835">
        <v>10137.864320000001</v>
      </c>
      <c r="AM520" s="835">
        <v>7867.4930399999994</v>
      </c>
      <c r="AN520" s="835">
        <v>9500.1636000000017</v>
      </c>
      <c r="AO520" s="835">
        <v>12473.995919999999</v>
      </c>
      <c r="AP520" s="835">
        <v>10394.32208</v>
      </c>
      <c r="AQ520" s="835">
        <v>8649.9062400000003</v>
      </c>
      <c r="AR520" s="835">
        <v>7939.75216</v>
      </c>
      <c r="AS520" s="835">
        <v>6503.6489599999995</v>
      </c>
      <c r="AT520" s="835">
        <v>9620.5389599999999</v>
      </c>
      <c r="AU520" s="835">
        <v>6814.5476799999997</v>
      </c>
      <c r="AV520" s="835">
        <v>8000.3181599999998</v>
      </c>
      <c r="AW520" s="835">
        <v>8603.7338400000008</v>
      </c>
      <c r="AX520" s="835">
        <v>7962.9562399999995</v>
      </c>
      <c r="AY520" s="835">
        <v>8147.8950400000003</v>
      </c>
      <c r="AZ520" s="501"/>
      <c r="BA520" s="501"/>
      <c r="BB520" s="501"/>
      <c r="BC520" s="501"/>
      <c r="BD520" s="501"/>
      <c r="BE520" s="501"/>
      <c r="BF520" s="501"/>
      <c r="BG520" s="501"/>
      <c r="BH520" s="501"/>
      <c r="BI520" s="501"/>
      <c r="BJ520" s="501"/>
      <c r="BK520" s="501"/>
      <c r="BL520" s="501"/>
      <c r="BM520" s="501"/>
      <c r="BN520" s="501"/>
      <c r="BO520" s="501"/>
      <c r="BP520" s="501"/>
      <c r="BQ520" s="501"/>
      <c r="BR520" s="501"/>
      <c r="BS520" s="501"/>
      <c r="BT520" s="501"/>
      <c r="BU520" s="501"/>
      <c r="BV520" s="501"/>
      <c r="BW520" s="501"/>
      <c r="BX520" s="501"/>
      <c r="BY520" s="501"/>
      <c r="BZ520" s="501"/>
      <c r="CA520" s="501"/>
      <c r="CB520" s="501"/>
      <c r="CC520" s="501"/>
      <c r="CD520" s="501"/>
      <c r="CE520" s="501"/>
      <c r="CF520" s="501"/>
      <c r="CG520" s="501"/>
      <c r="CH520" s="501"/>
      <c r="CI520" s="501"/>
      <c r="CJ520" s="501"/>
      <c r="CK520" s="501"/>
      <c r="CL520" s="501"/>
      <c r="CM520" s="501"/>
      <c r="CN520" s="501"/>
      <c r="CO520" s="501"/>
      <c r="CP520" s="501"/>
      <c r="CQ520" s="501"/>
      <c r="CR520" s="501"/>
      <c r="CS520" s="501"/>
      <c r="CT520" s="501"/>
      <c r="CU520" s="501"/>
      <c r="CV520" s="501"/>
      <c r="CW520" s="501"/>
      <c r="CX520" s="501"/>
      <c r="CY520" s="501"/>
      <c r="CZ520" s="501"/>
      <c r="DA520" s="501"/>
      <c r="DB520" s="501"/>
      <c r="DC520" s="501"/>
      <c r="DD520" s="501"/>
      <c r="DE520" s="501"/>
      <c r="DF520" s="501"/>
      <c r="DG520" s="501"/>
      <c r="DH520" s="501"/>
      <c r="DI520" s="501"/>
      <c r="DJ520" s="501"/>
      <c r="DK520" s="501"/>
      <c r="DL520" s="501"/>
      <c r="DM520" s="501"/>
      <c r="DN520" s="501"/>
      <c r="DO520" s="501"/>
      <c r="DP520" s="501"/>
      <c r="DQ520" s="501"/>
      <c r="DR520" s="501"/>
      <c r="DS520" s="501"/>
      <c r="DT520" s="501"/>
      <c r="DU520" s="501"/>
      <c r="DV520" s="501"/>
      <c r="DW520" s="501"/>
      <c r="DX520" s="501"/>
      <c r="DY520" s="501"/>
      <c r="DZ520" s="501"/>
      <c r="EA520" s="501"/>
      <c r="EB520" s="501"/>
      <c r="EC520" s="501"/>
      <c r="ED520" s="501"/>
      <c r="EE520" s="501"/>
      <c r="EF520" s="501"/>
      <c r="EG520" s="501"/>
      <c r="EH520" s="501"/>
      <c r="EI520" s="501"/>
      <c r="EJ520" s="501"/>
      <c r="EK520" s="501"/>
      <c r="EL520" s="501"/>
      <c r="EM520" s="501"/>
      <c r="EN520" s="501"/>
      <c r="EO520" s="501"/>
      <c r="EP520" s="501"/>
      <c r="EQ520" s="501"/>
      <c r="ER520" s="501"/>
      <c r="ES520" s="501"/>
      <c r="ET520" s="501"/>
      <c r="EU520" s="501"/>
      <c r="EV520" s="501"/>
      <c r="EW520" s="501"/>
      <c r="EX520" s="501"/>
      <c r="EY520" s="501"/>
      <c r="EZ520" s="501"/>
      <c r="FA520" s="501"/>
      <c r="FB520" s="501"/>
      <c r="FC520" s="501"/>
      <c r="FD520" s="501"/>
      <c r="FE520" s="501"/>
      <c r="FF520" s="501"/>
      <c r="FG520" s="501"/>
      <c r="FH520" s="501"/>
      <c r="FI520" s="501"/>
      <c r="FJ520" s="501"/>
      <c r="FK520" s="501"/>
      <c r="FL520" s="501"/>
      <c r="FM520" s="501"/>
      <c r="FN520" s="501"/>
      <c r="FO520" s="501"/>
      <c r="FP520" s="501"/>
      <c r="FQ520" s="501"/>
      <c r="FR520" s="501"/>
      <c r="FS520" s="501"/>
      <c r="FT520" s="501"/>
      <c r="FU520" s="501"/>
      <c r="FV520" s="501"/>
      <c r="FW520" s="501"/>
      <c r="FX520" s="501"/>
      <c r="FY520" s="501"/>
      <c r="FZ520" s="501"/>
      <c r="GA520" s="501"/>
      <c r="GB520" s="501"/>
      <c r="GC520" s="501"/>
      <c r="GD520" s="501"/>
      <c r="GE520" s="501"/>
      <c r="GF520" s="501"/>
      <c r="GG520" s="501"/>
      <c r="GH520" s="501"/>
      <c r="GI520" s="501"/>
      <c r="GJ520" s="501"/>
      <c r="GK520" s="501"/>
      <c r="GL520" s="501"/>
      <c r="GM520" s="501"/>
      <c r="GN520" s="501"/>
      <c r="GO520" s="501"/>
      <c r="GP520" s="501"/>
      <c r="GQ520" s="501"/>
      <c r="GR520" s="501"/>
      <c r="GS520" s="501"/>
      <c r="GT520" s="501"/>
      <c r="GU520" s="501"/>
      <c r="GV520" s="501"/>
      <c r="GW520" s="501"/>
      <c r="GX520" s="501"/>
      <c r="GY520" s="501"/>
      <c r="GZ520" s="501"/>
      <c r="HA520" s="501"/>
      <c r="HB520" s="501"/>
      <c r="HC520" s="501"/>
      <c r="HD520" s="501"/>
      <c r="HE520" s="501"/>
      <c r="HF520" s="501"/>
      <c r="HG520" s="501"/>
      <c r="HH520" s="501"/>
      <c r="HI520" s="501"/>
      <c r="HJ520" s="501"/>
      <c r="HK520" s="501"/>
      <c r="HL520" s="501"/>
      <c r="HM520" s="501"/>
      <c r="HN520" s="501"/>
      <c r="HO520" s="501"/>
      <c r="HP520" s="501"/>
      <c r="HQ520" s="501"/>
      <c r="HR520" s="501"/>
      <c r="HS520" s="501"/>
      <c r="HT520" s="501"/>
      <c r="HU520" s="501"/>
      <c r="HV520" s="501"/>
      <c r="HW520" s="501"/>
      <c r="HX520" s="501"/>
      <c r="HY520" s="501"/>
      <c r="HZ520" s="501"/>
      <c r="IA520" s="501"/>
      <c r="IB520" s="501"/>
      <c r="IC520" s="501"/>
      <c r="ID520" s="501"/>
      <c r="IE520" s="501"/>
      <c r="IF520" s="501"/>
      <c r="IG520" s="501"/>
      <c r="IH520" s="501"/>
      <c r="II520" s="501"/>
      <c r="IJ520" s="501"/>
      <c r="IK520" s="501"/>
      <c r="IL520" s="501"/>
      <c r="IM520" s="501"/>
      <c r="IN520" s="501"/>
      <c r="IO520" s="501"/>
      <c r="IP520" s="501"/>
      <c r="IQ520" s="501"/>
      <c r="IR520" s="501"/>
      <c r="IS520" s="501"/>
      <c r="IT520" s="501"/>
      <c r="IU520" s="501"/>
      <c r="IV520" s="501"/>
      <c r="IW520" s="501"/>
      <c r="IX520" s="501"/>
      <c r="IY520" s="501"/>
      <c r="IZ520" s="501"/>
      <c r="JA520" s="501"/>
      <c r="JB520" s="501"/>
      <c r="JC520" s="501"/>
      <c r="JD520" s="501"/>
      <c r="JE520" s="501"/>
      <c r="JF520" s="501"/>
      <c r="JG520" s="501"/>
      <c r="JH520" s="501"/>
      <c r="JI520" s="501"/>
      <c r="JJ520" s="501"/>
      <c r="JK520" s="501"/>
      <c r="JL520" s="501"/>
      <c r="JM520" s="501"/>
      <c r="JN520" s="501"/>
      <c r="JO520" s="501"/>
      <c r="JP520" s="501"/>
      <c r="JQ520" s="501"/>
      <c r="JR520" s="501"/>
      <c r="JS520" s="501"/>
      <c r="JT520" s="501"/>
      <c r="JU520" s="501"/>
      <c r="JV520" s="501"/>
      <c r="JW520" s="501"/>
      <c r="JX520" s="501"/>
      <c r="JY520" s="501"/>
      <c r="JZ520" s="501"/>
      <c r="KA520" s="501"/>
      <c r="KB520" s="501"/>
      <c r="KC520" s="501"/>
      <c r="KD520" s="501"/>
      <c r="KE520" s="501"/>
      <c r="KF520" s="501"/>
      <c r="KG520" s="501"/>
      <c r="KH520" s="501"/>
      <c r="KI520" s="501"/>
      <c r="KJ520" s="501"/>
      <c r="KK520" s="501"/>
      <c r="KL520" s="501"/>
      <c r="KM520" s="501"/>
      <c r="KN520" s="501"/>
      <c r="KO520" s="501"/>
      <c r="KP520" s="501"/>
      <c r="KQ520" s="501"/>
      <c r="KR520" s="501"/>
      <c r="KS520" s="501"/>
      <c r="KT520" s="501"/>
      <c r="KU520" s="501"/>
      <c r="KV520" s="501"/>
      <c r="KW520" s="501"/>
      <c r="KX520" s="501"/>
      <c r="KY520" s="501"/>
      <c r="KZ520" s="501"/>
      <c r="LA520" s="501"/>
      <c r="LB520" s="501"/>
      <c r="LC520" s="501"/>
      <c r="LD520" s="501"/>
      <c r="LE520" s="501"/>
      <c r="LF520" s="501"/>
      <c r="LG520" s="501"/>
      <c r="LH520" s="501"/>
      <c r="LI520" s="501"/>
      <c r="LJ520" s="501"/>
      <c r="LK520" s="501"/>
      <c r="LL520" s="501"/>
      <c r="LM520" s="501"/>
      <c r="LN520" s="501"/>
      <c r="LO520" s="501"/>
      <c r="LP520" s="501"/>
      <c r="LQ520" s="501"/>
      <c r="LR520" s="501"/>
      <c r="LS520" s="501"/>
      <c r="LT520" s="501"/>
      <c r="LU520" s="501"/>
      <c r="LV520" s="501"/>
      <c r="LW520" s="501"/>
      <c r="LX520" s="501"/>
      <c r="LY520" s="501"/>
      <c r="LZ520" s="501"/>
      <c r="MA520" s="501"/>
      <c r="MB520" s="501"/>
      <c r="MC520" s="501"/>
      <c r="MD520" s="501"/>
      <c r="ME520" s="501"/>
      <c r="MF520" s="501"/>
      <c r="MG520" s="501"/>
      <c r="MH520" s="501"/>
      <c r="MI520" s="501"/>
      <c r="MJ520" s="501"/>
      <c r="MK520" s="501"/>
      <c r="ML520" s="501"/>
      <c r="MM520" s="501"/>
      <c r="MN520" s="501"/>
      <c r="MO520" s="501"/>
      <c r="MP520" s="501"/>
      <c r="MQ520" s="501"/>
      <c r="MR520" s="501"/>
      <c r="MS520" s="501"/>
      <c r="MT520" s="501"/>
      <c r="MU520" s="501"/>
      <c r="MV520" s="501"/>
      <c r="MW520" s="501"/>
      <c r="MX520" s="501"/>
      <c r="MY520" s="501"/>
      <c r="MZ520" s="501"/>
      <c r="NA520" s="501"/>
      <c r="NB520" s="501"/>
      <c r="NC520" s="501"/>
      <c r="ND520" s="501"/>
      <c r="NE520" s="501"/>
      <c r="NF520" s="501"/>
      <c r="NG520" s="501"/>
      <c r="NH520" s="501"/>
      <c r="NI520" s="501"/>
      <c r="NJ520" s="501"/>
      <c r="NK520" s="501"/>
      <c r="NL520" s="501"/>
      <c r="NM520" s="501"/>
      <c r="NN520" s="501"/>
      <c r="NO520" s="501"/>
      <c r="NP520" s="501"/>
      <c r="NQ520" s="501"/>
      <c r="NR520" s="501"/>
      <c r="NS520" s="501"/>
      <c r="NT520" s="501"/>
      <c r="NU520" s="501"/>
      <c r="NV520" s="501"/>
      <c r="NW520" s="501"/>
      <c r="NX520" s="501"/>
      <c r="NY520" s="501"/>
      <c r="NZ520" s="501"/>
      <c r="OA520" s="501"/>
      <c r="OB520" s="501"/>
      <c r="OC520" s="501"/>
      <c r="OD520" s="501"/>
      <c r="OE520" s="501"/>
      <c r="OF520" s="501"/>
      <c r="OG520" s="501"/>
      <c r="OH520" s="501"/>
      <c r="OI520" s="501"/>
      <c r="OJ520" s="501"/>
      <c r="OK520" s="501"/>
      <c r="OL520" s="501"/>
      <c r="OM520" s="501"/>
      <c r="ON520" s="501"/>
      <c r="OO520" s="501"/>
      <c r="OP520" s="501"/>
      <c r="OQ520" s="501"/>
      <c r="OR520" s="501"/>
      <c r="OS520" s="501"/>
      <c r="OT520" s="501"/>
      <c r="OU520" s="501"/>
      <c r="OV520" s="501"/>
      <c r="OW520" s="501"/>
      <c r="OX520" s="501"/>
      <c r="OY520" s="501"/>
      <c r="OZ520" s="501"/>
      <c r="PA520" s="501"/>
      <c r="PB520" s="501"/>
      <c r="PC520" s="501"/>
      <c r="PD520" s="501"/>
      <c r="PE520" s="501"/>
      <c r="PF520" s="501"/>
      <c r="PG520" s="501"/>
      <c r="PH520" s="501"/>
      <c r="PI520" s="501"/>
      <c r="PJ520" s="501"/>
      <c r="PK520" s="501"/>
      <c r="PL520" s="501"/>
      <c r="PM520" s="501"/>
      <c r="PN520" s="501"/>
      <c r="PO520" s="501"/>
      <c r="PP520" s="501"/>
      <c r="PQ520" s="501"/>
      <c r="PR520" s="501"/>
      <c r="PS520" s="501"/>
      <c r="PT520" s="501"/>
      <c r="PU520" s="501"/>
      <c r="PV520" s="501"/>
      <c r="PW520" s="501"/>
      <c r="PX520" s="501"/>
      <c r="PY520" s="501"/>
      <c r="PZ520" s="501"/>
      <c r="QA520" s="501"/>
      <c r="QB520" s="501"/>
      <c r="QC520" s="501"/>
      <c r="QD520" s="501"/>
      <c r="QE520" s="501"/>
      <c r="QF520" s="501"/>
      <c r="QG520" s="501"/>
      <c r="QH520" s="501"/>
      <c r="QI520" s="501"/>
      <c r="QJ520" s="501"/>
      <c r="QK520" s="501"/>
      <c r="QL520" s="501"/>
      <c r="QM520" s="501"/>
      <c r="QN520" s="501"/>
      <c r="QO520" s="501"/>
      <c r="QP520" s="501"/>
      <c r="QQ520" s="501"/>
      <c r="QR520" s="501"/>
      <c r="QS520" s="501"/>
      <c r="QT520" s="501"/>
      <c r="QU520" s="501"/>
      <c r="QV520" s="501"/>
      <c r="QW520" s="501"/>
      <c r="QX520" s="501"/>
      <c r="QY520" s="501"/>
      <c r="QZ520" s="501"/>
      <c r="RA520" s="501"/>
      <c r="RB520" s="501"/>
      <c r="RC520" s="501"/>
      <c r="RD520" s="501"/>
      <c r="RE520" s="501"/>
      <c r="RF520" s="501"/>
      <c r="RG520" s="501"/>
      <c r="RH520" s="501"/>
      <c r="RI520" s="501"/>
      <c r="RJ520" s="501"/>
      <c r="RK520" s="501"/>
      <c r="RL520" s="501"/>
      <c r="RM520" s="501"/>
      <c r="RN520" s="501"/>
      <c r="RO520" s="501"/>
      <c r="RP520" s="501"/>
      <c r="RQ520" s="501"/>
      <c r="RR520" s="501"/>
      <c r="RS520" s="501"/>
      <c r="RT520" s="501"/>
      <c r="RU520" s="501"/>
      <c r="RV520" s="501"/>
      <c r="RW520" s="501"/>
      <c r="RX520" s="501"/>
      <c r="RY520" s="501"/>
      <c r="RZ520" s="501"/>
      <c r="SA520" s="501"/>
      <c r="SB520" s="501"/>
      <c r="SC520" s="501"/>
      <c r="SD520" s="501"/>
      <c r="SE520" s="501"/>
      <c r="SF520" s="501"/>
      <c r="SG520" s="501"/>
      <c r="SH520" s="501"/>
      <c r="SI520" s="501"/>
      <c r="SJ520" s="501"/>
      <c r="SK520" s="501"/>
      <c r="SL520" s="501"/>
      <c r="SM520" s="501"/>
      <c r="SN520" s="501"/>
      <c r="SO520" s="501"/>
      <c r="SP520" s="501"/>
      <c r="SQ520" s="501"/>
      <c r="SR520" s="501"/>
      <c r="SS520" s="501"/>
      <c r="ST520" s="501"/>
      <c r="SU520" s="501"/>
      <c r="SV520" s="501"/>
      <c r="SW520" s="501"/>
      <c r="SX520" s="501"/>
      <c r="SY520" s="501"/>
      <c r="SZ520" s="501"/>
      <c r="TA520" s="501"/>
      <c r="TB520" s="501"/>
      <c r="TC520" s="501"/>
      <c r="TD520" s="501"/>
      <c r="TE520" s="501"/>
      <c r="TF520" s="501"/>
      <c r="TG520" s="501"/>
      <c r="TH520" s="501"/>
      <c r="TI520" s="501"/>
      <c r="TJ520" s="501"/>
      <c r="TK520" s="501"/>
      <c r="TL520" s="501"/>
      <c r="TM520" s="501"/>
      <c r="TN520" s="501"/>
      <c r="TO520" s="501"/>
      <c r="TP520" s="501"/>
      <c r="TQ520" s="501"/>
      <c r="TR520" s="501"/>
      <c r="TS520" s="501"/>
      <c r="TT520" s="501"/>
      <c r="TU520" s="501"/>
      <c r="TV520" s="501"/>
      <c r="TW520" s="501"/>
      <c r="TX520" s="501"/>
      <c r="TY520" s="501"/>
      <c r="TZ520" s="501"/>
      <c r="UA520" s="501"/>
      <c r="UB520" s="501"/>
      <c r="UC520" s="501"/>
      <c r="UD520" s="501"/>
      <c r="UE520" s="501"/>
      <c r="UF520" s="501"/>
      <c r="UG520" s="501"/>
      <c r="UH520" s="501"/>
      <c r="UI520" s="501"/>
      <c r="UJ520" s="501"/>
      <c r="UK520" s="501"/>
      <c r="UL520" s="501"/>
      <c r="UM520" s="501"/>
      <c r="UN520" s="501"/>
      <c r="UO520" s="501"/>
      <c r="UP520" s="501"/>
      <c r="UQ520" s="501"/>
      <c r="UR520" s="501"/>
      <c r="US520" s="501"/>
      <c r="UT520" s="501"/>
      <c r="UU520" s="501"/>
      <c r="UV520" s="501"/>
      <c r="UW520" s="501"/>
      <c r="UX520" s="501"/>
      <c r="UY520" s="501"/>
      <c r="UZ520" s="501"/>
      <c r="VA520" s="501"/>
      <c r="VB520" s="501"/>
      <c r="VC520" s="501"/>
      <c r="VD520" s="501"/>
      <c r="VE520" s="501"/>
      <c r="VF520" s="501"/>
      <c r="VG520" s="501"/>
      <c r="VH520" s="501"/>
      <c r="VI520" s="501"/>
      <c r="VJ520" s="501"/>
      <c r="VK520" s="501"/>
      <c r="VL520" s="501"/>
      <c r="VM520" s="501"/>
      <c r="VN520" s="501"/>
      <c r="VO520" s="501"/>
      <c r="VP520" s="501"/>
      <c r="VQ520" s="501"/>
      <c r="VR520" s="501"/>
      <c r="VS520" s="501"/>
      <c r="VT520" s="501"/>
      <c r="VU520" s="501"/>
      <c r="VV520" s="501"/>
      <c r="VW520" s="501"/>
      <c r="VX520" s="501"/>
      <c r="VY520" s="501"/>
      <c r="VZ520" s="501"/>
      <c r="WA520" s="501"/>
      <c r="WB520" s="501"/>
      <c r="WC520" s="501"/>
      <c r="WD520" s="501"/>
      <c r="WE520" s="501"/>
      <c r="WF520" s="501"/>
      <c r="WG520" s="501"/>
      <c r="WH520" s="501"/>
      <c r="WI520" s="501"/>
      <c r="WJ520" s="501"/>
      <c r="WK520" s="501"/>
      <c r="WL520" s="501"/>
      <c r="WM520" s="501"/>
      <c r="WN520" s="501"/>
      <c r="WO520" s="501"/>
      <c r="WP520" s="501"/>
      <c r="WQ520" s="501"/>
      <c r="WR520" s="501"/>
      <c r="WS520" s="501"/>
      <c r="WT520" s="501"/>
      <c r="WU520" s="501"/>
      <c r="WV520" s="501"/>
      <c r="WW520" s="501"/>
      <c r="WX520" s="501"/>
      <c r="WY520" s="501"/>
      <c r="WZ520" s="501"/>
      <c r="XA520" s="501"/>
      <c r="XB520" s="501"/>
      <c r="XC520" s="501"/>
      <c r="XD520" s="501"/>
      <c r="XE520" s="501"/>
      <c r="XF520" s="501"/>
      <c r="XG520" s="501"/>
      <c r="XH520" s="501"/>
      <c r="XI520" s="501"/>
      <c r="XJ520" s="501"/>
      <c r="XK520" s="501"/>
      <c r="XL520" s="501"/>
      <c r="XM520" s="501"/>
      <c r="XN520" s="501"/>
      <c r="XO520" s="501"/>
      <c r="XP520" s="501"/>
      <c r="XQ520" s="501"/>
      <c r="XR520" s="501"/>
      <c r="XS520" s="501"/>
      <c r="XT520" s="501"/>
      <c r="XU520" s="501"/>
      <c r="XV520" s="501"/>
      <c r="XW520" s="501"/>
      <c r="XX520" s="501"/>
      <c r="XY520" s="501"/>
      <c r="XZ520" s="501"/>
      <c r="YA520" s="501"/>
      <c r="YB520" s="501"/>
      <c r="YC520" s="501"/>
      <c r="YD520" s="501"/>
      <c r="YE520" s="501"/>
      <c r="YF520" s="501"/>
      <c r="YG520" s="501"/>
      <c r="YH520" s="501"/>
      <c r="YI520" s="501"/>
      <c r="YJ520" s="501"/>
      <c r="YK520" s="501"/>
      <c r="YL520" s="501"/>
      <c r="YM520" s="501"/>
      <c r="YN520" s="501"/>
      <c r="YO520" s="501"/>
      <c r="YP520" s="501"/>
      <c r="YQ520" s="501"/>
      <c r="YR520" s="501"/>
      <c r="YS520" s="501"/>
      <c r="YT520" s="501"/>
      <c r="YU520" s="501"/>
      <c r="YV520" s="501"/>
      <c r="YW520" s="501"/>
      <c r="YX520" s="501"/>
      <c r="YY520" s="501"/>
      <c r="YZ520" s="501"/>
      <c r="ZA520" s="501"/>
      <c r="ZB520" s="501"/>
      <c r="ZC520" s="501"/>
      <c r="ZD520" s="501"/>
      <c r="ZE520" s="501"/>
      <c r="ZF520" s="501"/>
      <c r="ZG520" s="501"/>
      <c r="ZH520" s="501"/>
      <c r="ZI520" s="501"/>
      <c r="ZJ520" s="501"/>
      <c r="ZK520" s="501"/>
      <c r="ZL520" s="501"/>
      <c r="ZM520" s="501"/>
      <c r="ZN520" s="501"/>
      <c r="ZO520" s="501"/>
      <c r="ZP520" s="501"/>
      <c r="ZQ520" s="501"/>
      <c r="ZR520" s="501"/>
      <c r="ZS520" s="501"/>
      <c r="ZT520" s="501"/>
      <c r="ZU520" s="501"/>
      <c r="ZV520" s="501"/>
      <c r="ZW520" s="501"/>
      <c r="ZX520" s="501"/>
      <c r="ZY520" s="501"/>
      <c r="ZZ520" s="501"/>
      <c r="AAA520" s="501"/>
      <c r="AAB520" s="501"/>
      <c r="AAC520" s="501"/>
      <c r="AAD520" s="501"/>
      <c r="AAE520" s="501"/>
      <c r="AAF520" s="501"/>
      <c r="AAG520" s="501"/>
      <c r="AAH520" s="501"/>
      <c r="AAI520" s="501"/>
      <c r="AAJ520" s="501"/>
      <c r="AAK520" s="501"/>
      <c r="AAL520" s="501"/>
      <c r="AAM520" s="501"/>
      <c r="AAN520" s="501"/>
      <c r="AAO520" s="501"/>
      <c r="AAP520" s="501"/>
      <c r="AAQ520" s="501"/>
      <c r="AAR520" s="501"/>
      <c r="AAS520" s="501"/>
      <c r="AAT520" s="501"/>
      <c r="AAU520" s="501"/>
      <c r="AAV520" s="501"/>
      <c r="AAW520" s="501"/>
      <c r="AAX520" s="501"/>
      <c r="AAY520" s="501"/>
      <c r="AAZ520" s="501"/>
      <c r="ABA520" s="501"/>
      <c r="ABB520" s="501"/>
      <c r="ABC520" s="501"/>
      <c r="ABD520" s="501"/>
      <c r="ABE520" s="501"/>
      <c r="ABF520" s="501"/>
      <c r="ABG520" s="501"/>
      <c r="ABH520" s="501"/>
      <c r="ABI520" s="501"/>
      <c r="ABJ520" s="501"/>
      <c r="ABK520" s="501"/>
      <c r="ABL520" s="501"/>
      <c r="ABM520" s="501"/>
      <c r="ABN520" s="501"/>
      <c r="ABO520" s="501"/>
      <c r="ABP520" s="501"/>
      <c r="ABQ520" s="501"/>
      <c r="ABR520" s="501"/>
      <c r="ABS520" s="501"/>
      <c r="ABT520" s="501"/>
      <c r="ABU520" s="501"/>
      <c r="ABV520" s="501"/>
      <c r="ABW520" s="501"/>
      <c r="ABX520" s="501"/>
      <c r="ABY520" s="501"/>
      <c r="ABZ520" s="501"/>
      <c r="ACA520" s="501"/>
      <c r="ACB520" s="501"/>
      <c r="ACC520" s="501"/>
      <c r="ACD520" s="501"/>
      <c r="ACE520" s="501"/>
      <c r="ACF520" s="501"/>
      <c r="ACG520" s="501"/>
      <c r="ACH520" s="501"/>
      <c r="ACI520" s="501"/>
      <c r="ACJ520" s="501"/>
      <c r="ACK520" s="501"/>
      <c r="ACL520" s="501"/>
      <c r="ACM520" s="501"/>
      <c r="ACN520" s="501"/>
      <c r="ACO520" s="501"/>
      <c r="ACP520" s="501"/>
      <c r="ACQ520" s="501"/>
      <c r="ACR520" s="501"/>
      <c r="ACS520" s="501"/>
      <c r="ACT520" s="501"/>
      <c r="ACU520" s="501"/>
      <c r="ACV520" s="501"/>
      <c r="ACW520" s="501"/>
      <c r="ACX520" s="501"/>
      <c r="ACY520" s="501"/>
      <c r="ACZ520" s="501"/>
      <c r="ADA520" s="501"/>
      <c r="ADB520" s="501"/>
      <c r="ADC520" s="501"/>
      <c r="ADD520" s="501"/>
      <c r="ADE520" s="501"/>
      <c r="ADF520" s="501"/>
      <c r="ADG520" s="501"/>
      <c r="ADH520" s="501"/>
      <c r="ADI520" s="501"/>
      <c r="ADJ520" s="501"/>
      <c r="ADK520" s="501"/>
      <c r="ADL520" s="501"/>
      <c r="ADM520" s="501"/>
      <c r="ADN520" s="501"/>
      <c r="ADO520" s="501"/>
      <c r="ADP520" s="501"/>
      <c r="ADQ520" s="501"/>
      <c r="ADR520" s="501"/>
      <c r="ADS520" s="501"/>
      <c r="ADT520" s="501"/>
      <c r="ADU520" s="501"/>
      <c r="ADV520" s="501"/>
      <c r="ADW520" s="501"/>
      <c r="ADX520" s="501"/>
      <c r="ADY520" s="501"/>
      <c r="ADZ520" s="501"/>
      <c r="AEA520" s="501"/>
      <c r="AEB520" s="501"/>
      <c r="AEC520" s="501"/>
      <c r="AED520" s="501"/>
      <c r="AEE520" s="501"/>
      <c r="AEF520" s="501"/>
      <c r="AEG520" s="501"/>
      <c r="AEH520" s="501"/>
      <c r="AEI520" s="501"/>
      <c r="AEJ520" s="501"/>
      <c r="AEK520" s="501"/>
      <c r="AEL520" s="501"/>
      <c r="AEM520" s="501"/>
      <c r="AEN520" s="501"/>
      <c r="AEO520" s="501"/>
      <c r="AEP520" s="501"/>
      <c r="AEQ520" s="501"/>
      <c r="AER520" s="501"/>
      <c r="AES520" s="501"/>
      <c r="AET520" s="501"/>
      <c r="AEU520" s="501"/>
      <c r="AEV520" s="501"/>
      <c r="AEW520" s="501"/>
      <c r="AEX520" s="501"/>
      <c r="AEY520" s="501"/>
      <c r="AEZ520" s="501"/>
      <c r="AFA520" s="501"/>
      <c r="AFB520" s="501"/>
      <c r="AFC520" s="501"/>
      <c r="AFD520" s="501"/>
      <c r="AFE520" s="501"/>
      <c r="AFF520" s="501"/>
      <c r="AFG520" s="501"/>
      <c r="AFH520" s="501"/>
      <c r="AFI520" s="501"/>
      <c r="AFJ520" s="501"/>
      <c r="AFK520" s="501"/>
      <c r="AFL520" s="501"/>
      <c r="AFM520" s="501"/>
      <c r="AFN520" s="501"/>
      <c r="AFO520" s="501"/>
      <c r="AFP520" s="501"/>
      <c r="AFQ520" s="501"/>
      <c r="AFR520" s="501"/>
      <c r="AFS520" s="501"/>
      <c r="AFT520" s="501"/>
      <c r="AFU520" s="501"/>
      <c r="AFV520" s="501"/>
      <c r="AFW520" s="501"/>
      <c r="AFX520" s="501"/>
      <c r="AFY520" s="501"/>
      <c r="AFZ520" s="501"/>
      <c r="AGA520" s="501"/>
      <c r="AGB520" s="501"/>
      <c r="AGC520" s="501"/>
      <c r="AGD520" s="501"/>
      <c r="AGE520" s="501"/>
      <c r="AGF520" s="501"/>
      <c r="AGG520" s="501"/>
      <c r="AGH520" s="501"/>
      <c r="AGI520" s="501"/>
      <c r="AGJ520" s="501"/>
      <c r="AGK520" s="501"/>
      <c r="AGL520" s="501"/>
      <c r="AGM520" s="501"/>
      <c r="AGN520" s="501"/>
      <c r="AGO520" s="501"/>
      <c r="AGP520" s="501"/>
      <c r="AGQ520" s="501"/>
      <c r="AGR520" s="501"/>
      <c r="AGS520" s="501"/>
      <c r="AGT520" s="501"/>
      <c r="AGU520" s="501"/>
      <c r="AGV520" s="501"/>
      <c r="AGW520" s="501"/>
      <c r="AGX520" s="501"/>
      <c r="AGY520" s="501"/>
      <c r="AGZ520" s="501"/>
      <c r="AHA520" s="501"/>
      <c r="AHB520" s="501"/>
      <c r="AHC520" s="501"/>
      <c r="AHD520" s="501"/>
      <c r="AHE520" s="501"/>
      <c r="AHF520" s="501"/>
      <c r="AHG520" s="501"/>
      <c r="AHH520" s="501"/>
      <c r="AHI520" s="501"/>
      <c r="AHJ520" s="501"/>
      <c r="AHK520" s="501"/>
      <c r="AHL520" s="501"/>
      <c r="AHM520" s="501"/>
      <c r="AHN520" s="501"/>
      <c r="AHO520" s="501"/>
      <c r="AHP520" s="501"/>
      <c r="AHQ520" s="501"/>
      <c r="AHR520" s="501"/>
      <c r="AHS520" s="501"/>
      <c r="AHT520" s="501"/>
      <c r="AHU520" s="501"/>
      <c r="AHV520" s="501"/>
      <c r="AHW520" s="501"/>
      <c r="AHX520" s="501"/>
      <c r="AHY520" s="501"/>
      <c r="AHZ520" s="501"/>
      <c r="AIA520" s="501"/>
      <c r="AIB520" s="501"/>
      <c r="AIC520" s="501"/>
      <c r="AID520" s="501"/>
      <c r="AIE520" s="501"/>
      <c r="AIF520" s="501"/>
      <c r="AIG520" s="501"/>
      <c r="AIH520" s="501"/>
      <c r="AII520" s="501"/>
      <c r="AIJ520" s="501"/>
      <c r="AIK520" s="501"/>
      <c r="AIL520" s="501"/>
      <c r="AIM520" s="501"/>
      <c r="AIN520" s="501"/>
      <c r="AIO520" s="501"/>
      <c r="AIP520" s="501"/>
      <c r="AIQ520" s="501"/>
      <c r="AIR520" s="501"/>
      <c r="AIS520" s="501"/>
      <c r="AIT520" s="501"/>
      <c r="AIU520" s="501"/>
      <c r="AIV520" s="501"/>
      <c r="AIW520" s="501"/>
      <c r="AIX520" s="501"/>
      <c r="AIY520" s="501"/>
      <c r="AIZ520" s="501"/>
      <c r="AJA520" s="501"/>
      <c r="AJB520" s="501"/>
      <c r="AJC520" s="501"/>
      <c r="AJD520" s="501"/>
      <c r="AJE520" s="501"/>
      <c r="AJF520" s="501"/>
      <c r="AJG520" s="501"/>
      <c r="AJH520" s="501"/>
      <c r="AJI520" s="501"/>
      <c r="AJJ520" s="501"/>
      <c r="AJK520" s="501"/>
      <c r="AJL520" s="501"/>
      <c r="AJM520" s="501"/>
      <c r="AJN520" s="501"/>
      <c r="AJO520" s="501"/>
      <c r="AJP520" s="501"/>
      <c r="AJQ520" s="501"/>
      <c r="AJR520" s="501"/>
      <c r="AJS520" s="501"/>
      <c r="AJT520" s="501"/>
      <c r="AJU520" s="501"/>
      <c r="AJV520" s="501"/>
      <c r="AJW520" s="501"/>
      <c r="AJX520" s="501"/>
      <c r="AJY520" s="501"/>
      <c r="AJZ520" s="501"/>
      <c r="AKA520" s="501"/>
      <c r="AKB520" s="501"/>
      <c r="AKC520" s="501"/>
      <c r="AKD520" s="501"/>
      <c r="AKE520" s="501"/>
      <c r="AKF520" s="501"/>
      <c r="AKG520" s="501"/>
      <c r="AKH520" s="501"/>
      <c r="AKI520" s="501"/>
      <c r="AKJ520" s="501"/>
      <c r="AKK520" s="501"/>
      <c r="AKL520" s="501"/>
      <c r="AKM520" s="501"/>
      <c r="AKN520" s="501"/>
      <c r="AKO520" s="501"/>
      <c r="AKP520" s="501"/>
      <c r="AKQ520" s="501"/>
      <c r="AKR520" s="501"/>
      <c r="AKS520" s="501"/>
      <c r="AKT520" s="501"/>
      <c r="AKU520" s="501"/>
      <c r="AKV520" s="501"/>
      <c r="AKW520" s="501"/>
      <c r="AKX520" s="501"/>
      <c r="AKY520" s="501"/>
      <c r="AKZ520" s="501"/>
      <c r="ALA520" s="501"/>
      <c r="ALB520" s="501"/>
      <c r="ALC520" s="501"/>
      <c r="ALD520" s="501"/>
      <c r="ALE520" s="501"/>
      <c r="ALF520" s="501"/>
      <c r="ALG520" s="501"/>
      <c r="ALH520" s="501"/>
      <c r="ALI520" s="501"/>
      <c r="ALJ520" s="501"/>
      <c r="ALK520" s="501"/>
      <c r="ALL520" s="501"/>
      <c r="ALM520" s="501"/>
      <c r="ALN520" s="501"/>
      <c r="ALO520" s="501"/>
      <c r="ALP520" s="501"/>
      <c r="ALQ520" s="501"/>
      <c r="ALR520" s="501"/>
      <c r="ALS520" s="501"/>
      <c r="ALT520" s="501"/>
      <c r="ALU520" s="501"/>
      <c r="ALV520" s="501"/>
      <c r="ALW520" s="501"/>
      <c r="ALX520" s="501"/>
      <c r="ALY520" s="501"/>
      <c r="ALZ520" s="501"/>
      <c r="AMA520" s="501"/>
      <c r="AMB520" s="501"/>
      <c r="AMC520" s="501"/>
      <c r="AMD520" s="501"/>
      <c r="AME520" s="501"/>
      <c r="AMF520" s="501"/>
      <c r="AMG520" s="501"/>
      <c r="AMH520" s="501"/>
      <c r="AMI520" s="501"/>
      <c r="AMJ520" s="501"/>
      <c r="AMK520" s="501"/>
      <c r="AML520" s="501"/>
      <c r="AMM520" s="501"/>
      <c r="AMN520" s="501"/>
      <c r="AMO520" s="501"/>
      <c r="AMP520" s="501"/>
      <c r="AMQ520" s="501"/>
      <c r="AMR520" s="501"/>
      <c r="AMS520" s="501"/>
      <c r="AMT520" s="501"/>
      <c r="AMU520" s="501"/>
      <c r="AMV520" s="501"/>
      <c r="AMW520" s="501"/>
      <c r="AMX520" s="501"/>
      <c r="AMY520" s="501"/>
      <c r="AMZ520" s="501"/>
      <c r="ANA520" s="501"/>
      <c r="ANB520" s="501"/>
      <c r="ANC520" s="501"/>
      <c r="AND520" s="501"/>
      <c r="ANE520" s="501"/>
      <c r="ANF520" s="501"/>
      <c r="ANG520" s="501"/>
      <c r="ANH520" s="501"/>
      <c r="ANI520" s="501"/>
      <c r="ANJ520" s="501"/>
      <c r="ANK520" s="501"/>
      <c r="ANL520" s="501"/>
      <c r="ANM520" s="501"/>
      <c r="ANN520" s="501"/>
      <c r="ANO520" s="501"/>
      <c r="ANP520" s="501"/>
      <c r="ANQ520" s="501"/>
      <c r="ANR520" s="501"/>
      <c r="ANS520" s="501"/>
      <c r="ANT520" s="501"/>
      <c r="ANU520" s="501"/>
      <c r="ANV520" s="501"/>
      <c r="ANW520" s="501"/>
      <c r="ANX520" s="501"/>
      <c r="ANY520" s="501"/>
      <c r="ANZ520" s="501"/>
      <c r="AOA520" s="501"/>
      <c r="AOB520" s="501"/>
      <c r="AOC520" s="501"/>
      <c r="AOD520" s="501"/>
      <c r="AOE520" s="501"/>
      <c r="AOF520" s="501"/>
      <c r="AOG520" s="501"/>
      <c r="AOH520" s="501"/>
      <c r="AOI520" s="501"/>
      <c r="AOJ520" s="501"/>
      <c r="AOK520" s="501"/>
      <c r="AOL520" s="501"/>
      <c r="AOM520" s="501"/>
      <c r="AON520" s="501"/>
      <c r="AOO520" s="501"/>
      <c r="AOP520" s="501"/>
      <c r="AOQ520" s="501"/>
      <c r="AOR520" s="501"/>
      <c r="AOS520" s="501"/>
      <c r="AOT520" s="501"/>
      <c r="AOU520" s="501"/>
      <c r="AOV520" s="501"/>
      <c r="AOW520" s="501"/>
      <c r="AOX520" s="501"/>
      <c r="AOY520" s="501"/>
      <c r="AOZ520" s="501"/>
      <c r="APA520" s="501"/>
      <c r="APB520" s="501"/>
      <c r="APC520" s="501"/>
      <c r="APD520" s="501"/>
      <c r="APE520" s="501"/>
      <c r="APF520" s="501"/>
      <c r="APG520" s="501"/>
      <c r="APH520" s="501"/>
      <c r="API520" s="501"/>
      <c r="APJ520" s="501"/>
      <c r="APK520" s="501"/>
      <c r="APL520" s="501"/>
      <c r="APM520" s="501"/>
      <c r="APN520" s="501"/>
      <c r="APO520" s="501"/>
      <c r="APP520" s="501"/>
      <c r="APQ520" s="501"/>
      <c r="APR520" s="501"/>
      <c r="APS520" s="501"/>
      <c r="APT520" s="501"/>
      <c r="APU520" s="501"/>
      <c r="APV520" s="501"/>
      <c r="APW520" s="501"/>
      <c r="APX520" s="501"/>
      <c r="APY520" s="501"/>
      <c r="APZ520" s="501"/>
      <c r="AQA520" s="501"/>
      <c r="AQB520" s="501"/>
      <c r="AQC520" s="501"/>
      <c r="AQD520" s="501"/>
      <c r="AQE520" s="501"/>
      <c r="AQF520" s="501"/>
      <c r="AQG520" s="501"/>
      <c r="AQH520" s="501"/>
      <c r="AQI520" s="501"/>
      <c r="AQJ520" s="501"/>
      <c r="AQK520" s="501"/>
      <c r="AQL520" s="501"/>
      <c r="AQM520" s="501"/>
      <c r="AQN520" s="501"/>
      <c r="AQO520" s="501"/>
      <c r="AQP520" s="501"/>
      <c r="AQQ520" s="501"/>
      <c r="AQR520" s="501"/>
      <c r="AQS520" s="501"/>
      <c r="AQT520" s="501"/>
      <c r="AQU520" s="501"/>
      <c r="AQV520" s="501"/>
      <c r="AQW520" s="501"/>
      <c r="AQX520" s="501"/>
      <c r="AQY520" s="501"/>
      <c r="AQZ520" s="501"/>
      <c r="ARA520" s="501"/>
      <c r="ARB520" s="501"/>
      <c r="ARC520" s="501"/>
      <c r="ARD520" s="501"/>
      <c r="ARE520" s="501"/>
      <c r="ARF520" s="501"/>
      <c r="ARG520" s="501"/>
      <c r="ARH520" s="501"/>
      <c r="ARI520" s="501"/>
      <c r="ARJ520" s="501"/>
      <c r="ARK520" s="501"/>
      <c r="ARL520" s="501"/>
      <c r="ARM520" s="501"/>
      <c r="ARN520" s="501"/>
      <c r="ARO520" s="501"/>
      <c r="ARP520" s="501"/>
      <c r="ARQ520" s="501"/>
      <c r="ARR520" s="501"/>
      <c r="ARS520" s="501"/>
      <c r="ART520" s="501"/>
      <c r="ARU520" s="501"/>
      <c r="ARV520" s="501"/>
      <c r="ARW520" s="501"/>
      <c r="ARX520" s="501"/>
      <c r="ARY520" s="501"/>
      <c r="ARZ520" s="501"/>
      <c r="ASA520" s="501"/>
      <c r="ASB520" s="501"/>
      <c r="ASC520" s="501"/>
      <c r="ASD520" s="501"/>
      <c r="ASE520" s="501"/>
      <c r="ASF520" s="501"/>
      <c r="ASG520" s="501"/>
      <c r="ASH520" s="501"/>
      <c r="ASI520" s="501"/>
      <c r="ASJ520" s="501"/>
      <c r="ASK520" s="501"/>
      <c r="ASL520" s="501"/>
      <c r="ASM520" s="501"/>
      <c r="ASN520" s="501"/>
      <c r="ASO520" s="501"/>
      <c r="ASP520" s="501"/>
      <c r="ASQ520" s="501"/>
      <c r="ASR520" s="501"/>
      <c r="ASS520" s="501"/>
      <c r="AST520" s="501"/>
      <c r="ASU520" s="501"/>
      <c r="ASV520" s="501"/>
      <c r="ASW520" s="501"/>
      <c r="ASX520" s="501"/>
      <c r="ASY520" s="501"/>
      <c r="ASZ520" s="501"/>
      <c r="ATA520" s="501"/>
      <c r="ATB520" s="501"/>
      <c r="ATC520" s="501"/>
      <c r="ATD520" s="501"/>
      <c r="ATE520" s="501"/>
      <c r="ATF520" s="501"/>
      <c r="ATG520" s="501"/>
      <c r="ATH520" s="501"/>
      <c r="ATI520" s="501"/>
      <c r="ATJ520" s="501"/>
      <c r="ATK520" s="501"/>
      <c r="ATL520" s="501"/>
      <c r="ATM520" s="501"/>
      <c r="ATN520" s="501"/>
      <c r="ATO520" s="501"/>
      <c r="ATP520" s="501"/>
      <c r="ATQ520" s="501"/>
      <c r="ATR520" s="501"/>
      <c r="ATS520" s="501"/>
      <c r="ATT520" s="501"/>
      <c r="ATU520" s="501"/>
      <c r="ATV520" s="501"/>
      <c r="ATW520" s="501"/>
      <c r="ATX520" s="501"/>
      <c r="ATY520" s="501"/>
      <c r="ATZ520" s="501"/>
      <c r="AUA520" s="501"/>
      <c r="AUB520" s="501"/>
      <c r="AUC520" s="501"/>
      <c r="AUD520" s="501"/>
      <c r="AUE520" s="501"/>
      <c r="AUF520" s="501"/>
      <c r="AUG520" s="501"/>
      <c r="AUH520" s="501"/>
      <c r="AUI520" s="501"/>
      <c r="AUJ520" s="501"/>
      <c r="AUK520" s="501"/>
      <c r="AUL520" s="501"/>
      <c r="AUM520" s="501"/>
      <c r="AUN520" s="501"/>
      <c r="AUO520" s="501"/>
      <c r="AUP520" s="501"/>
      <c r="AUQ520" s="501"/>
      <c r="AUR520" s="501"/>
      <c r="AUS520" s="501"/>
      <c r="AUT520" s="501"/>
      <c r="AUU520" s="501"/>
      <c r="AUV520" s="501"/>
      <c r="AUW520" s="501"/>
      <c r="AUX520" s="501"/>
      <c r="AUY520" s="501"/>
      <c r="AUZ520" s="501"/>
      <c r="AVA520" s="501"/>
      <c r="AVB520" s="501"/>
      <c r="AVC520" s="501"/>
      <c r="AVD520" s="501"/>
      <c r="AVE520" s="501"/>
      <c r="AVF520" s="501"/>
      <c r="AVG520" s="501"/>
      <c r="AVH520" s="501"/>
      <c r="AVI520" s="501"/>
      <c r="AVJ520" s="501"/>
      <c r="AVK520" s="501"/>
      <c r="AVL520" s="501"/>
      <c r="AVM520" s="501"/>
      <c r="AVN520" s="501"/>
      <c r="AVO520" s="501"/>
      <c r="AVP520" s="501"/>
      <c r="AVQ520" s="501"/>
      <c r="AVR520" s="501"/>
      <c r="AVS520" s="501"/>
      <c r="AVT520" s="501"/>
      <c r="AVU520" s="501"/>
      <c r="AVV520" s="501"/>
      <c r="AVW520" s="501"/>
      <c r="AVX520" s="501"/>
      <c r="AVY520" s="501"/>
      <c r="AVZ520" s="501"/>
      <c r="AWA520" s="501"/>
      <c r="AWB520" s="501"/>
      <c r="AWC520" s="501"/>
      <c r="AWD520" s="501"/>
      <c r="AWE520" s="501"/>
      <c r="AWF520" s="501"/>
      <c r="AWG520" s="501"/>
      <c r="AWH520" s="501"/>
      <c r="AWI520" s="501"/>
      <c r="AWJ520" s="501"/>
      <c r="AWK520" s="501"/>
      <c r="AWL520" s="501"/>
      <c r="AWM520" s="501"/>
      <c r="AWN520" s="501"/>
      <c r="AWO520" s="501"/>
      <c r="AWP520" s="501"/>
      <c r="AWQ520" s="501"/>
      <c r="AWR520" s="501"/>
      <c r="AWS520" s="501"/>
      <c r="AWT520" s="501"/>
      <c r="AWU520" s="501"/>
      <c r="AWV520" s="501"/>
      <c r="AWW520" s="501"/>
      <c r="AWX520" s="501"/>
      <c r="AWY520" s="501"/>
      <c r="AWZ520" s="501"/>
      <c r="AXA520" s="501"/>
      <c r="AXB520" s="501"/>
      <c r="AXC520" s="501"/>
      <c r="AXD520" s="501"/>
      <c r="AXE520" s="501"/>
      <c r="AXF520" s="501"/>
      <c r="AXG520" s="501"/>
      <c r="AXH520" s="501"/>
      <c r="AXI520" s="501"/>
      <c r="AXJ520" s="501"/>
      <c r="AXK520" s="501"/>
      <c r="AXL520" s="501"/>
      <c r="AXM520" s="501"/>
      <c r="AXN520" s="501"/>
      <c r="AXO520" s="501"/>
      <c r="AXP520" s="501"/>
      <c r="AXQ520" s="501"/>
      <c r="AXR520" s="501"/>
      <c r="AXS520" s="501"/>
      <c r="AXT520" s="501"/>
      <c r="AXU520" s="501"/>
      <c r="AXV520" s="501"/>
      <c r="AXW520" s="501"/>
      <c r="AXX520" s="501"/>
      <c r="AXY520" s="501"/>
      <c r="AXZ520" s="501"/>
      <c r="AYA520" s="501"/>
      <c r="AYB520" s="501"/>
      <c r="AYC520" s="501"/>
      <c r="AYD520" s="501"/>
      <c r="AYE520" s="501"/>
      <c r="AYF520" s="501"/>
      <c r="AYG520" s="501"/>
      <c r="AYH520" s="501"/>
      <c r="AYI520" s="501"/>
      <c r="AYJ520" s="501"/>
      <c r="AYK520" s="501"/>
      <c r="AYL520" s="501"/>
      <c r="AYM520" s="501"/>
      <c r="AYN520" s="501"/>
      <c r="AYO520" s="501"/>
      <c r="AYP520" s="501"/>
      <c r="AYQ520" s="501"/>
      <c r="AYR520" s="501"/>
      <c r="AYS520" s="501"/>
      <c r="AYT520" s="501"/>
      <c r="AYU520" s="501"/>
      <c r="AYV520" s="501"/>
      <c r="AYW520" s="501"/>
      <c r="AYX520" s="501"/>
      <c r="AYY520" s="501"/>
      <c r="AYZ520" s="501"/>
      <c r="AZA520" s="501"/>
      <c r="AZB520" s="501"/>
      <c r="AZC520" s="501"/>
      <c r="AZD520" s="501"/>
      <c r="AZE520" s="501"/>
      <c r="AZF520" s="501"/>
      <c r="AZG520" s="501"/>
      <c r="AZH520" s="501"/>
      <c r="AZI520" s="501"/>
      <c r="AZJ520" s="501"/>
      <c r="AZK520" s="501"/>
      <c r="AZL520" s="501"/>
      <c r="AZM520" s="501"/>
      <c r="AZN520" s="501"/>
      <c r="AZO520" s="501"/>
      <c r="AZP520" s="501"/>
      <c r="AZQ520" s="501"/>
      <c r="AZR520" s="501"/>
      <c r="AZS520" s="501"/>
      <c r="AZT520" s="501"/>
      <c r="AZU520" s="501"/>
      <c r="AZV520" s="501"/>
      <c r="AZW520" s="501"/>
      <c r="AZX520" s="501"/>
      <c r="AZY520" s="501"/>
      <c r="AZZ520" s="501"/>
      <c r="BAA520" s="501"/>
      <c r="BAB520" s="501"/>
      <c r="BAC520" s="501"/>
      <c r="BAD520" s="501"/>
      <c r="BAE520" s="501"/>
      <c r="BAF520" s="501"/>
      <c r="BAG520" s="501"/>
      <c r="BAH520" s="501"/>
      <c r="BAI520" s="501"/>
      <c r="BAJ520" s="501"/>
      <c r="BAK520" s="501"/>
      <c r="BAL520" s="501"/>
      <c r="BAM520" s="501"/>
      <c r="BAN520" s="501"/>
      <c r="BAO520" s="501"/>
      <c r="BAP520" s="501"/>
      <c r="BAQ520" s="501"/>
      <c r="BAR520" s="501"/>
      <c r="BAS520" s="501"/>
      <c r="BAT520" s="501"/>
      <c r="BAU520" s="501"/>
      <c r="BAV520" s="501"/>
      <c r="BAW520" s="501"/>
      <c r="BAX520" s="501"/>
      <c r="BAY520" s="501"/>
      <c r="BAZ520" s="501"/>
      <c r="BBA520" s="501"/>
      <c r="BBB520" s="501"/>
      <c r="BBC520" s="501"/>
      <c r="BBD520" s="501"/>
      <c r="BBE520" s="501"/>
      <c r="BBF520" s="501"/>
      <c r="BBG520" s="501"/>
      <c r="BBH520" s="501"/>
      <c r="BBI520" s="501"/>
      <c r="BBJ520" s="501"/>
      <c r="BBK520" s="501"/>
      <c r="BBL520" s="501"/>
      <c r="BBM520" s="501"/>
      <c r="BBN520" s="501"/>
      <c r="BBO520" s="501"/>
      <c r="BBP520" s="501"/>
      <c r="BBQ520" s="501"/>
      <c r="BBR520" s="501"/>
      <c r="BBS520" s="501"/>
      <c r="BBT520" s="501"/>
      <c r="BBU520" s="501"/>
      <c r="BBV520" s="501"/>
      <c r="BBW520" s="501"/>
      <c r="BBX520" s="501"/>
      <c r="BBY520" s="501"/>
      <c r="BBZ520" s="501"/>
      <c r="BCA520" s="501"/>
      <c r="BCB520" s="501"/>
      <c r="BCC520" s="501"/>
      <c r="BCD520" s="501"/>
      <c r="BCE520" s="501"/>
      <c r="BCF520" s="501"/>
      <c r="BCG520" s="501"/>
      <c r="BCH520" s="501"/>
      <c r="BCI520" s="501"/>
      <c r="BCJ520" s="501"/>
      <c r="BCK520" s="501"/>
      <c r="BCL520" s="501"/>
      <c r="BCM520" s="501"/>
      <c r="BCN520" s="501"/>
      <c r="BCO520" s="501"/>
      <c r="BCP520" s="501"/>
      <c r="BCQ520" s="501"/>
      <c r="BCR520" s="501"/>
      <c r="BCS520" s="501"/>
      <c r="BCT520" s="501"/>
      <c r="BCU520" s="501"/>
      <c r="BCV520" s="501"/>
      <c r="BCW520" s="501"/>
      <c r="BCX520" s="501"/>
      <c r="BCY520" s="501"/>
      <c r="BCZ520" s="501"/>
      <c r="BDA520" s="501"/>
      <c r="BDB520" s="501"/>
      <c r="BDC520" s="501"/>
      <c r="BDD520" s="501"/>
      <c r="BDE520" s="501"/>
      <c r="BDF520" s="501"/>
      <c r="BDG520" s="501"/>
      <c r="BDH520" s="501"/>
      <c r="BDI520" s="501"/>
      <c r="BDJ520" s="501"/>
      <c r="BDK520" s="501"/>
      <c r="BDL520" s="501"/>
      <c r="BDM520" s="501"/>
      <c r="BDN520" s="501"/>
      <c r="BDO520" s="501"/>
      <c r="BDP520" s="501"/>
      <c r="BDQ520" s="501"/>
      <c r="BDR520" s="501"/>
      <c r="BDS520" s="501"/>
      <c r="BDT520" s="501"/>
      <c r="BDU520" s="501"/>
      <c r="BDV520" s="501"/>
      <c r="BDW520" s="501"/>
      <c r="BDX520" s="501"/>
      <c r="BDY520" s="501"/>
      <c r="BDZ520" s="501"/>
      <c r="BEA520" s="501"/>
      <c r="BEB520" s="501"/>
      <c r="BEC520" s="501"/>
      <c r="BED520" s="501"/>
      <c r="BEE520" s="501"/>
      <c r="BEF520" s="501"/>
      <c r="BEG520" s="501"/>
      <c r="BEH520" s="501"/>
      <c r="BEI520" s="501"/>
      <c r="BEJ520" s="501"/>
      <c r="BEK520" s="501"/>
      <c r="BEL520" s="501"/>
      <c r="BEM520" s="501"/>
      <c r="BEN520" s="501"/>
      <c r="BEO520" s="501"/>
      <c r="BEP520" s="501"/>
      <c r="BEQ520" s="501"/>
      <c r="BER520" s="501"/>
      <c r="BES520" s="501"/>
      <c r="BET520" s="501"/>
      <c r="BEU520" s="501"/>
      <c r="BEV520" s="501"/>
      <c r="BEW520" s="501"/>
      <c r="BEX520" s="501"/>
      <c r="BEY520" s="501"/>
      <c r="BEZ520" s="501"/>
      <c r="BFA520" s="501"/>
      <c r="BFB520" s="501"/>
      <c r="BFC520" s="501"/>
      <c r="BFD520" s="501"/>
      <c r="BFE520" s="501"/>
      <c r="BFF520" s="501"/>
      <c r="BFG520" s="501"/>
      <c r="BFH520" s="501"/>
      <c r="BFI520" s="501"/>
      <c r="BFJ520" s="501"/>
      <c r="BFK520" s="501"/>
      <c r="BFL520" s="501"/>
      <c r="BFM520" s="501"/>
      <c r="BFN520" s="501"/>
      <c r="BFO520" s="501"/>
      <c r="BFP520" s="501"/>
      <c r="BFQ520" s="501"/>
      <c r="BFR520" s="501"/>
      <c r="BFS520" s="501"/>
      <c r="BFT520" s="501"/>
      <c r="BFU520" s="501"/>
      <c r="BFV520" s="501"/>
      <c r="BFW520" s="501"/>
      <c r="BFX520" s="501"/>
      <c r="BFY520" s="501"/>
      <c r="BFZ520" s="501"/>
      <c r="BGA520" s="501"/>
      <c r="BGB520" s="501"/>
      <c r="BGC520" s="501"/>
      <c r="BGD520" s="501"/>
      <c r="BGE520" s="501"/>
      <c r="BGF520" s="501"/>
      <c r="BGG520" s="501"/>
      <c r="BGH520" s="501"/>
      <c r="BGI520" s="501"/>
      <c r="BGJ520" s="501"/>
      <c r="BGK520" s="501"/>
      <c r="BGL520" s="501"/>
      <c r="BGM520" s="501"/>
      <c r="BGN520" s="501"/>
      <c r="BGO520" s="501"/>
      <c r="BGP520" s="501"/>
      <c r="BGQ520" s="501"/>
      <c r="BGR520" s="501"/>
      <c r="BGS520" s="501"/>
      <c r="BGT520" s="501"/>
      <c r="BGU520" s="501"/>
      <c r="BGV520" s="501"/>
      <c r="BGW520" s="501"/>
      <c r="BGX520" s="501"/>
      <c r="BGY520" s="501"/>
      <c r="BGZ520" s="501"/>
      <c r="BHA520" s="501"/>
      <c r="BHB520" s="501"/>
      <c r="BHC520" s="501"/>
      <c r="BHD520" s="501"/>
      <c r="BHE520" s="501"/>
      <c r="BHF520" s="501"/>
      <c r="BHG520" s="501"/>
      <c r="BHH520" s="501"/>
      <c r="BHI520" s="501"/>
      <c r="BHJ520" s="501"/>
      <c r="BHK520" s="501"/>
      <c r="BHL520" s="501"/>
      <c r="BHM520" s="501"/>
      <c r="BHN520" s="501"/>
      <c r="BHO520" s="501"/>
      <c r="BHP520" s="501"/>
      <c r="BHQ520" s="501"/>
      <c r="BHR520" s="501"/>
      <c r="BHS520" s="501"/>
      <c r="BHT520" s="501"/>
      <c r="BHU520" s="501"/>
      <c r="BHV520" s="501"/>
      <c r="BHW520" s="501"/>
      <c r="BHX520" s="501"/>
      <c r="BHY520" s="501"/>
      <c r="BHZ520" s="501"/>
      <c r="BIA520" s="501"/>
      <c r="BIB520" s="501"/>
      <c r="BIC520" s="501"/>
      <c r="BID520" s="501"/>
      <c r="BIE520" s="501"/>
      <c r="BIF520" s="501"/>
      <c r="BIG520" s="501"/>
      <c r="BIH520" s="501"/>
      <c r="BII520" s="501"/>
      <c r="BIJ520" s="501"/>
      <c r="BIK520" s="501"/>
      <c r="BIL520" s="501"/>
      <c r="BIM520" s="501"/>
      <c r="BIN520" s="501"/>
      <c r="BIO520" s="501"/>
      <c r="BIP520" s="501"/>
      <c r="BIQ520" s="501"/>
      <c r="BIR520" s="501"/>
      <c r="BIS520" s="501"/>
      <c r="BIT520" s="501"/>
      <c r="BIU520" s="501"/>
      <c r="BIV520" s="501"/>
      <c r="BIW520" s="501"/>
      <c r="BIX520" s="501"/>
      <c r="BIY520" s="501"/>
      <c r="BIZ520" s="501"/>
      <c r="BJA520" s="501"/>
      <c r="BJB520" s="501"/>
      <c r="BJC520" s="501"/>
      <c r="BJD520" s="501"/>
      <c r="BJE520" s="501"/>
      <c r="BJF520" s="501"/>
      <c r="BJG520" s="501"/>
      <c r="BJH520" s="501"/>
      <c r="BJI520" s="501"/>
      <c r="BJJ520" s="501"/>
      <c r="BJK520" s="501"/>
      <c r="BJL520" s="501"/>
      <c r="BJM520" s="501"/>
      <c r="BJN520" s="501"/>
      <c r="BJO520" s="501"/>
      <c r="BJP520" s="501"/>
      <c r="BJQ520" s="501"/>
      <c r="BJR520" s="501"/>
      <c r="BJS520" s="501"/>
      <c r="BJT520" s="501"/>
      <c r="BJU520" s="501"/>
      <c r="BJV520" s="501"/>
      <c r="BJW520" s="501"/>
      <c r="BJX520" s="501"/>
      <c r="BJY520" s="501"/>
      <c r="BJZ520" s="501"/>
      <c r="BKA520" s="501"/>
      <c r="BKB520" s="501"/>
      <c r="BKC520" s="501"/>
      <c r="BKD520" s="501"/>
      <c r="BKE520" s="501"/>
      <c r="BKF520" s="501"/>
      <c r="BKG520" s="501"/>
      <c r="BKH520" s="501"/>
      <c r="BKI520" s="501"/>
      <c r="BKJ520" s="501"/>
      <c r="BKK520" s="501"/>
      <c r="BKL520" s="501"/>
      <c r="BKM520" s="501"/>
      <c r="BKN520" s="501"/>
      <c r="BKO520" s="501"/>
      <c r="BKP520" s="501"/>
      <c r="BKQ520" s="501"/>
      <c r="BKR520" s="501"/>
      <c r="BKS520" s="501"/>
      <c r="BKT520" s="501"/>
      <c r="BKU520" s="501"/>
      <c r="BKV520" s="501"/>
      <c r="BKW520" s="501"/>
      <c r="BKX520" s="501"/>
      <c r="BKY520" s="501"/>
      <c r="BKZ520" s="501"/>
      <c r="BLA520" s="501"/>
      <c r="BLB520" s="501"/>
      <c r="BLC520" s="501"/>
      <c r="BLD520" s="501"/>
      <c r="BLE520" s="501"/>
      <c r="BLF520" s="501"/>
      <c r="BLG520" s="501"/>
      <c r="BLH520" s="501"/>
      <c r="BLI520" s="501"/>
      <c r="BLJ520" s="501"/>
      <c r="BLK520" s="501"/>
      <c r="BLL520" s="501"/>
      <c r="BLM520" s="501"/>
      <c r="BLN520" s="501"/>
      <c r="BLO520" s="501"/>
      <c r="BLP520" s="501"/>
      <c r="BLQ520" s="501"/>
      <c r="BLR520" s="501"/>
      <c r="BLS520" s="501"/>
      <c r="BLT520" s="501"/>
      <c r="BLU520" s="501"/>
      <c r="BLV520" s="501"/>
      <c r="BLW520" s="501"/>
      <c r="BLX520" s="501"/>
      <c r="BLY520" s="501"/>
      <c r="BLZ520" s="501"/>
      <c r="BMA520" s="501"/>
      <c r="BMB520" s="501"/>
      <c r="BMC520" s="501"/>
      <c r="BMD520" s="501"/>
      <c r="BME520" s="501"/>
      <c r="BMF520" s="501"/>
      <c r="BMG520" s="501"/>
      <c r="BMH520" s="501"/>
      <c r="BMI520" s="501"/>
      <c r="BMJ520" s="501"/>
      <c r="BMK520" s="501"/>
      <c r="BML520" s="501"/>
      <c r="BMM520" s="501"/>
      <c r="BMN520" s="501"/>
      <c r="BMO520" s="501"/>
      <c r="BMP520" s="501"/>
      <c r="BMQ520" s="501"/>
      <c r="BMR520" s="501"/>
      <c r="BMS520" s="501"/>
      <c r="BMT520" s="501"/>
      <c r="BMU520" s="501"/>
      <c r="BMV520" s="501"/>
      <c r="BMW520" s="501"/>
      <c r="BMX520" s="501"/>
      <c r="BMY520" s="501"/>
      <c r="BMZ520" s="501"/>
      <c r="BNA520" s="501"/>
      <c r="BNB520" s="501"/>
      <c r="BNC520" s="501"/>
      <c r="BND520" s="501"/>
      <c r="BNE520" s="501"/>
      <c r="BNF520" s="501"/>
      <c r="BNG520" s="501"/>
      <c r="BNH520" s="501"/>
      <c r="BNI520" s="501"/>
      <c r="BNJ520" s="501"/>
      <c r="BNK520" s="501"/>
      <c r="BNL520" s="501"/>
      <c r="BNM520" s="501"/>
      <c r="BNN520" s="501"/>
      <c r="BNO520" s="501"/>
      <c r="BNP520" s="501"/>
      <c r="BNQ520" s="501"/>
      <c r="BNR520" s="501"/>
      <c r="BNS520" s="501"/>
      <c r="BNT520" s="501"/>
      <c r="BNU520" s="501"/>
      <c r="BNV520" s="501"/>
      <c r="BNW520" s="501"/>
      <c r="BNX520" s="501"/>
      <c r="BNY520" s="501"/>
      <c r="BNZ520" s="501"/>
      <c r="BOA520" s="501"/>
      <c r="BOB520" s="501"/>
      <c r="BOC520" s="501"/>
      <c r="BOD520" s="501"/>
      <c r="BOE520" s="501"/>
      <c r="BOF520" s="501"/>
      <c r="BOG520" s="501"/>
      <c r="BOH520" s="501"/>
      <c r="BOI520" s="501"/>
      <c r="BOJ520" s="501"/>
      <c r="BOK520" s="501"/>
      <c r="BOL520" s="501"/>
      <c r="BOM520" s="501"/>
      <c r="BON520" s="501"/>
      <c r="BOO520" s="501"/>
      <c r="BOP520" s="501"/>
      <c r="BOQ520" s="501"/>
      <c r="BOR520" s="501"/>
      <c r="BOS520" s="501"/>
      <c r="BOT520" s="501"/>
      <c r="BOU520" s="501"/>
      <c r="BOV520" s="501"/>
      <c r="BOW520" s="501"/>
      <c r="BOX520" s="501"/>
      <c r="BOY520" s="501"/>
      <c r="BOZ520" s="501"/>
      <c r="BPA520" s="501"/>
      <c r="BPB520" s="501"/>
      <c r="BPC520" s="501"/>
      <c r="BPD520" s="501"/>
      <c r="BPE520" s="501"/>
      <c r="BPF520" s="501"/>
      <c r="BPG520" s="501"/>
      <c r="BPH520" s="501"/>
      <c r="BPI520" s="501"/>
      <c r="BPJ520" s="501"/>
      <c r="BPK520" s="501"/>
      <c r="BPL520" s="501"/>
      <c r="BPM520" s="501"/>
      <c r="BPN520" s="501"/>
      <c r="BPO520" s="501"/>
      <c r="BPP520" s="501"/>
      <c r="BPQ520" s="501"/>
      <c r="BPR520" s="501"/>
      <c r="BPS520" s="501"/>
      <c r="BPT520" s="501"/>
      <c r="BPU520" s="501"/>
      <c r="BPV520" s="501"/>
      <c r="BPW520" s="501"/>
      <c r="BPX520" s="501"/>
      <c r="BPY520" s="501"/>
      <c r="BPZ520" s="501"/>
      <c r="BQA520" s="501"/>
      <c r="BQB520" s="501"/>
      <c r="BQC520" s="501"/>
      <c r="BQD520" s="501"/>
      <c r="BQE520" s="501"/>
      <c r="BQF520" s="501"/>
      <c r="BQG520" s="501"/>
      <c r="BQH520" s="501"/>
      <c r="BQI520" s="501"/>
      <c r="BQJ520" s="501"/>
      <c r="BQK520" s="501"/>
      <c r="BQL520" s="501"/>
      <c r="BQM520" s="501"/>
      <c r="BQN520" s="501"/>
      <c r="BQO520" s="501"/>
      <c r="BQP520" s="501"/>
      <c r="BQQ520" s="501"/>
      <c r="BQR520" s="501"/>
      <c r="BQS520" s="501"/>
      <c r="BQT520" s="501"/>
      <c r="BQU520" s="501"/>
      <c r="BQV520" s="501"/>
      <c r="BQW520" s="501"/>
      <c r="BQX520" s="501"/>
      <c r="BQY520" s="501"/>
      <c r="BQZ520" s="501"/>
      <c r="BRA520" s="501"/>
      <c r="BRB520" s="501"/>
      <c r="BRC520" s="501"/>
      <c r="BRD520" s="501"/>
      <c r="BRE520" s="501"/>
      <c r="BRF520" s="501"/>
      <c r="BRG520" s="501"/>
      <c r="BRH520" s="501"/>
      <c r="BRI520" s="501"/>
      <c r="BRJ520" s="501"/>
      <c r="BRK520" s="501"/>
      <c r="BRL520" s="501"/>
      <c r="BRM520" s="501"/>
      <c r="BRN520" s="501"/>
      <c r="BRO520" s="501"/>
      <c r="BRP520" s="501"/>
      <c r="BRQ520" s="501"/>
      <c r="BRR520" s="501"/>
      <c r="BRS520" s="501"/>
      <c r="BRT520" s="501"/>
      <c r="BRU520" s="501"/>
      <c r="BRV520" s="501"/>
      <c r="BRW520" s="501"/>
      <c r="BRX520" s="501"/>
      <c r="BRY520" s="501"/>
      <c r="BRZ520" s="501"/>
      <c r="BSA520" s="501"/>
      <c r="BSB520" s="501"/>
      <c r="BSC520" s="501"/>
      <c r="BSD520" s="501"/>
      <c r="BSE520" s="501"/>
      <c r="BSF520" s="501"/>
      <c r="BSG520" s="501"/>
      <c r="BSH520" s="501"/>
      <c r="BSI520" s="501"/>
      <c r="BSJ520" s="501"/>
      <c r="BSK520" s="501"/>
      <c r="BSL520" s="501"/>
      <c r="BSM520" s="501"/>
      <c r="BSN520" s="501"/>
      <c r="BSO520" s="501"/>
      <c r="BSP520" s="501"/>
      <c r="BSQ520" s="501"/>
      <c r="BSR520" s="501"/>
      <c r="BSS520" s="501"/>
      <c r="BST520" s="501"/>
      <c r="BSU520" s="501"/>
      <c r="BSV520" s="501"/>
      <c r="BSW520" s="501"/>
      <c r="BSX520" s="501"/>
      <c r="BSY520" s="501"/>
      <c r="BSZ520" s="501"/>
      <c r="BTA520" s="501"/>
      <c r="BTB520" s="501"/>
      <c r="BTC520" s="501"/>
      <c r="BTD520" s="501"/>
      <c r="BTE520" s="501"/>
      <c r="BTF520" s="501"/>
      <c r="BTG520" s="501"/>
      <c r="BTH520" s="501"/>
      <c r="BTI520" s="501"/>
      <c r="BTJ520" s="501"/>
      <c r="BTK520" s="501"/>
      <c r="BTL520" s="501"/>
      <c r="BTM520" s="501"/>
      <c r="BTN520" s="501"/>
      <c r="BTO520" s="501"/>
      <c r="BTP520" s="501"/>
      <c r="BTQ520" s="501"/>
      <c r="BTR520" s="501"/>
      <c r="BTS520" s="501"/>
      <c r="BTT520" s="501"/>
      <c r="BTU520" s="501"/>
      <c r="BTV520" s="501"/>
      <c r="BTW520" s="501"/>
      <c r="BTX520" s="501"/>
      <c r="BTY520" s="501"/>
      <c r="BTZ520" s="501"/>
      <c r="BUA520" s="501"/>
      <c r="BUB520" s="501"/>
      <c r="BUC520" s="501"/>
      <c r="BUD520" s="501"/>
      <c r="BUE520" s="501"/>
      <c r="BUF520" s="501"/>
      <c r="BUG520" s="501"/>
      <c r="BUH520" s="501"/>
      <c r="BUI520" s="501"/>
      <c r="BUJ520" s="501"/>
      <c r="BUK520" s="501"/>
      <c r="BUL520" s="501"/>
      <c r="BUM520" s="501"/>
      <c r="BUN520" s="501"/>
      <c r="BUO520" s="501"/>
      <c r="BUP520" s="501"/>
      <c r="BUQ520" s="501"/>
      <c r="BUR520" s="501"/>
      <c r="BUS520" s="501"/>
      <c r="BUT520" s="501"/>
      <c r="BUU520" s="501"/>
      <c r="BUV520" s="501"/>
      <c r="BUW520" s="501"/>
      <c r="BUX520" s="501"/>
      <c r="BUY520" s="501"/>
      <c r="BUZ520" s="501"/>
      <c r="BVA520" s="501"/>
      <c r="BVB520" s="501"/>
      <c r="BVC520" s="501"/>
      <c r="BVD520" s="501"/>
      <c r="BVE520" s="501"/>
      <c r="BVF520" s="501"/>
      <c r="BVG520" s="501"/>
      <c r="BVH520" s="501"/>
      <c r="BVI520" s="501"/>
      <c r="BVJ520" s="501"/>
      <c r="BVK520" s="501"/>
      <c r="BVL520" s="501"/>
      <c r="BVM520" s="501"/>
      <c r="BVN520" s="501"/>
      <c r="BVO520" s="501"/>
      <c r="BVP520" s="501"/>
      <c r="BVQ520" s="501"/>
      <c r="BVR520" s="501"/>
      <c r="BVS520" s="501"/>
      <c r="BVT520" s="501"/>
      <c r="BVU520" s="501"/>
      <c r="BVV520" s="501"/>
      <c r="BVW520" s="501"/>
      <c r="BVX520" s="501"/>
      <c r="BVY520" s="501"/>
      <c r="BVZ520" s="501"/>
      <c r="BWA520" s="501"/>
      <c r="BWB520" s="501"/>
      <c r="BWC520" s="501"/>
      <c r="BWD520" s="501"/>
      <c r="BWE520" s="501"/>
      <c r="BWF520" s="501"/>
      <c r="BWG520" s="501"/>
      <c r="BWH520" s="501"/>
      <c r="BWI520" s="501"/>
      <c r="BWJ520" s="501"/>
      <c r="BWK520" s="501"/>
      <c r="BWL520" s="501"/>
      <c r="BWM520" s="501"/>
      <c r="BWN520" s="501"/>
      <c r="BWO520" s="501"/>
      <c r="BWP520" s="501"/>
      <c r="BWQ520" s="501"/>
      <c r="BWR520" s="501"/>
      <c r="BWS520" s="501"/>
      <c r="BWT520" s="501"/>
      <c r="BWU520" s="501"/>
      <c r="BWV520" s="501"/>
      <c r="BWW520" s="501"/>
      <c r="BWX520" s="501"/>
      <c r="BWY520" s="501"/>
      <c r="BWZ520" s="501"/>
      <c r="BXA520" s="501"/>
      <c r="BXB520" s="501"/>
      <c r="BXC520" s="501"/>
      <c r="BXD520" s="501"/>
      <c r="BXE520" s="501"/>
      <c r="BXF520" s="501"/>
      <c r="BXG520" s="501"/>
      <c r="BXH520" s="501"/>
      <c r="BXI520" s="501"/>
      <c r="BXJ520" s="501"/>
      <c r="BXK520" s="501"/>
      <c r="BXL520" s="501"/>
      <c r="BXM520" s="501"/>
      <c r="BXN520" s="501"/>
      <c r="BXO520" s="501"/>
      <c r="BXP520" s="501"/>
      <c r="BXQ520" s="501"/>
      <c r="BXR520" s="501"/>
      <c r="BXS520" s="501"/>
      <c r="BXT520" s="501"/>
      <c r="BXU520" s="501"/>
      <c r="BXV520" s="501"/>
      <c r="BXW520" s="501"/>
      <c r="BXX520" s="501"/>
      <c r="BXY520" s="501"/>
      <c r="BXZ520" s="501"/>
      <c r="BYA520" s="501"/>
      <c r="BYB520" s="501"/>
      <c r="BYC520" s="501"/>
      <c r="BYD520" s="501"/>
      <c r="BYE520" s="501"/>
      <c r="BYF520" s="501"/>
      <c r="BYG520" s="501"/>
      <c r="BYH520" s="501"/>
      <c r="BYI520" s="501"/>
      <c r="BYJ520" s="501"/>
      <c r="BYK520" s="501"/>
      <c r="BYL520" s="501"/>
      <c r="BYM520" s="501"/>
      <c r="BYN520" s="501"/>
      <c r="BYO520" s="501"/>
      <c r="BYP520" s="501"/>
      <c r="BYQ520" s="501"/>
      <c r="BYR520" s="501"/>
      <c r="BYS520" s="501"/>
      <c r="BYT520" s="501"/>
      <c r="BYU520" s="501"/>
      <c r="BYV520" s="501"/>
      <c r="BYW520" s="501"/>
      <c r="BYX520" s="501"/>
      <c r="BYY520" s="501"/>
      <c r="BYZ520" s="501"/>
      <c r="BZA520" s="501"/>
      <c r="BZB520" s="501"/>
      <c r="BZC520" s="501"/>
      <c r="BZD520" s="501"/>
      <c r="BZE520" s="501"/>
      <c r="BZF520" s="501"/>
      <c r="BZG520" s="501"/>
      <c r="BZH520" s="501"/>
      <c r="BZI520" s="501"/>
      <c r="BZJ520" s="501"/>
      <c r="BZK520" s="501"/>
      <c r="BZL520" s="501"/>
      <c r="BZM520" s="501"/>
      <c r="BZN520" s="501"/>
      <c r="BZO520" s="501"/>
      <c r="BZP520" s="501"/>
      <c r="BZQ520" s="501"/>
      <c r="BZR520" s="501"/>
      <c r="BZS520" s="501"/>
      <c r="BZT520" s="501"/>
      <c r="BZU520" s="501"/>
      <c r="BZV520" s="501"/>
      <c r="BZW520" s="501"/>
      <c r="BZX520" s="501"/>
      <c r="BZY520" s="501"/>
      <c r="BZZ520" s="501"/>
      <c r="CAA520" s="501"/>
      <c r="CAB520" s="501"/>
      <c r="CAC520" s="501"/>
      <c r="CAD520" s="501"/>
      <c r="CAE520" s="501"/>
      <c r="CAF520" s="501"/>
      <c r="CAG520" s="501"/>
      <c r="CAH520" s="501"/>
      <c r="CAI520" s="501"/>
      <c r="CAJ520" s="501"/>
      <c r="CAK520" s="501"/>
      <c r="CAL520" s="501"/>
      <c r="CAM520" s="501"/>
      <c r="CAN520" s="501"/>
      <c r="CAO520" s="501"/>
      <c r="CAP520" s="501"/>
      <c r="CAQ520" s="501"/>
      <c r="CAR520" s="501"/>
      <c r="CAS520" s="501"/>
      <c r="CAT520" s="501"/>
      <c r="CAU520" s="501"/>
      <c r="CAV520" s="501"/>
      <c r="CAW520" s="501"/>
      <c r="CAX520" s="501"/>
      <c r="CAY520" s="501"/>
      <c r="CAZ520" s="501"/>
      <c r="CBA520" s="501"/>
      <c r="CBB520" s="501"/>
      <c r="CBC520" s="501"/>
      <c r="CBD520" s="501"/>
      <c r="CBE520" s="501"/>
      <c r="CBF520" s="501"/>
      <c r="CBG520" s="501"/>
      <c r="CBH520" s="501"/>
      <c r="CBI520" s="501"/>
      <c r="CBJ520" s="501"/>
      <c r="CBK520" s="501"/>
      <c r="CBL520" s="501"/>
      <c r="CBM520" s="501"/>
      <c r="CBN520" s="501"/>
      <c r="CBO520" s="501"/>
      <c r="CBP520" s="501"/>
      <c r="CBQ520" s="501"/>
      <c r="CBR520" s="501"/>
      <c r="CBS520" s="501"/>
      <c r="CBT520" s="501"/>
      <c r="CBU520" s="501"/>
      <c r="CBV520" s="501"/>
      <c r="CBW520" s="501"/>
      <c r="CBX520" s="501"/>
      <c r="CBY520" s="501"/>
      <c r="CBZ520" s="501"/>
      <c r="CCA520" s="501"/>
      <c r="CCB520" s="501"/>
      <c r="CCC520" s="501"/>
      <c r="CCD520" s="501"/>
      <c r="CCE520" s="501"/>
      <c r="CCF520" s="501"/>
      <c r="CCG520" s="501"/>
      <c r="CCH520" s="501"/>
      <c r="CCI520" s="501"/>
      <c r="CCJ520" s="501"/>
      <c r="CCK520" s="501"/>
      <c r="CCL520" s="501"/>
      <c r="CCM520" s="501"/>
      <c r="CCN520" s="501"/>
      <c r="CCO520" s="501"/>
      <c r="CCP520" s="501"/>
      <c r="CCQ520" s="501"/>
      <c r="CCR520" s="501"/>
      <c r="CCS520" s="501"/>
      <c r="CCT520" s="501"/>
      <c r="CCU520" s="501"/>
      <c r="CCV520" s="501"/>
      <c r="CCW520" s="501"/>
      <c r="CCX520" s="501"/>
      <c r="CCY520" s="501"/>
      <c r="CCZ520" s="501"/>
      <c r="CDA520" s="501"/>
      <c r="CDB520" s="501"/>
      <c r="CDC520" s="501"/>
      <c r="CDD520" s="501"/>
      <c r="CDE520" s="501"/>
      <c r="CDF520" s="501"/>
      <c r="CDG520" s="501"/>
      <c r="CDH520" s="501"/>
      <c r="CDI520" s="501"/>
      <c r="CDJ520" s="501"/>
      <c r="CDK520" s="501"/>
      <c r="CDL520" s="501"/>
      <c r="CDM520" s="501"/>
      <c r="CDN520" s="501"/>
      <c r="CDO520" s="501"/>
      <c r="CDP520" s="501"/>
      <c r="CDQ520" s="501"/>
      <c r="CDR520" s="501"/>
      <c r="CDS520" s="501"/>
      <c r="CDT520" s="501"/>
      <c r="CDU520" s="501"/>
      <c r="CDV520" s="501"/>
      <c r="CDW520" s="501"/>
      <c r="CDX520" s="501"/>
      <c r="CDY520" s="501"/>
      <c r="CDZ520" s="501"/>
      <c r="CEA520" s="501"/>
      <c r="CEB520" s="501"/>
      <c r="CEC520" s="501"/>
      <c r="CED520" s="501"/>
      <c r="CEE520" s="501"/>
      <c r="CEF520" s="501"/>
      <c r="CEG520" s="501"/>
      <c r="CEH520" s="501"/>
      <c r="CEI520" s="501"/>
      <c r="CEJ520" s="501"/>
      <c r="CEK520" s="501"/>
      <c r="CEL520" s="501"/>
      <c r="CEM520" s="501"/>
      <c r="CEN520" s="501"/>
      <c r="CEO520" s="501"/>
      <c r="CEP520" s="501"/>
      <c r="CEQ520" s="501"/>
      <c r="CER520" s="501"/>
      <c r="CES520" s="501"/>
      <c r="CET520" s="501"/>
      <c r="CEU520" s="501"/>
      <c r="CEV520" s="501"/>
      <c r="CEW520" s="501"/>
      <c r="CEX520" s="501"/>
      <c r="CEY520" s="501"/>
      <c r="CEZ520" s="501"/>
      <c r="CFA520" s="501"/>
      <c r="CFB520" s="501"/>
      <c r="CFC520" s="501"/>
      <c r="CFD520" s="501"/>
      <c r="CFE520" s="501"/>
      <c r="CFF520" s="501"/>
      <c r="CFG520" s="501"/>
      <c r="CFH520" s="501"/>
      <c r="CFI520" s="501"/>
      <c r="CFJ520" s="501"/>
      <c r="CFK520" s="501"/>
      <c r="CFL520" s="501"/>
      <c r="CFM520" s="501"/>
      <c r="CFN520" s="501"/>
      <c r="CFO520" s="501"/>
      <c r="CFP520" s="501"/>
      <c r="CFQ520" s="501"/>
      <c r="CFR520" s="501"/>
      <c r="CFS520" s="501"/>
      <c r="CFT520" s="501"/>
      <c r="CFU520" s="501"/>
      <c r="CFV520" s="501"/>
      <c r="CFW520" s="501"/>
      <c r="CFX520" s="501"/>
      <c r="CFY520" s="501"/>
      <c r="CFZ520" s="501"/>
      <c r="CGA520" s="501"/>
      <c r="CGB520" s="501"/>
      <c r="CGC520" s="501"/>
      <c r="CGD520" s="501"/>
      <c r="CGE520" s="501"/>
      <c r="CGF520" s="501"/>
      <c r="CGG520" s="501"/>
      <c r="CGH520" s="501"/>
      <c r="CGI520" s="501"/>
      <c r="CGJ520" s="501"/>
      <c r="CGK520" s="501"/>
      <c r="CGL520" s="501"/>
      <c r="CGM520" s="501"/>
      <c r="CGN520" s="501"/>
      <c r="CGO520" s="501"/>
      <c r="CGP520" s="501"/>
      <c r="CGQ520" s="501"/>
      <c r="CGR520" s="501"/>
      <c r="CGS520" s="501"/>
      <c r="CGT520" s="501"/>
      <c r="CGU520" s="501"/>
      <c r="CGV520" s="501"/>
      <c r="CGW520" s="501"/>
      <c r="CGX520" s="501"/>
      <c r="CGY520" s="501"/>
      <c r="CGZ520" s="501"/>
      <c r="CHA520" s="501"/>
      <c r="CHB520" s="501"/>
      <c r="CHC520" s="501"/>
      <c r="CHD520" s="501"/>
      <c r="CHE520" s="501"/>
      <c r="CHF520" s="501"/>
      <c r="CHG520" s="501"/>
      <c r="CHH520" s="501"/>
      <c r="CHI520" s="501"/>
      <c r="CHJ520" s="501"/>
      <c r="CHK520" s="501"/>
      <c r="CHL520" s="501"/>
      <c r="CHM520" s="501"/>
      <c r="CHN520" s="501"/>
      <c r="CHO520" s="501"/>
      <c r="CHP520" s="501"/>
      <c r="CHQ520" s="501"/>
      <c r="CHR520" s="501"/>
      <c r="CHS520" s="501"/>
      <c r="CHT520" s="501"/>
      <c r="CHU520" s="501"/>
      <c r="CHV520" s="501"/>
      <c r="CHW520" s="501"/>
      <c r="CHX520" s="501"/>
      <c r="CHY520" s="501"/>
      <c r="CHZ520" s="501"/>
      <c r="CIA520" s="501"/>
      <c r="CIB520" s="501"/>
      <c r="CIC520" s="501"/>
      <c r="CID520" s="501"/>
      <c r="CIE520" s="501"/>
      <c r="CIF520" s="501"/>
      <c r="CIG520" s="501"/>
      <c r="CIH520" s="501"/>
      <c r="CII520" s="501"/>
      <c r="CIJ520" s="501"/>
      <c r="CIK520" s="501"/>
      <c r="CIL520" s="501"/>
      <c r="CIM520" s="501"/>
      <c r="CIN520" s="501"/>
      <c r="CIO520" s="501"/>
      <c r="CIP520" s="501"/>
      <c r="CIQ520" s="501"/>
      <c r="CIR520" s="501"/>
      <c r="CIS520" s="501"/>
      <c r="CIT520" s="501"/>
      <c r="CIU520" s="501"/>
      <c r="CIV520" s="501"/>
      <c r="CIW520" s="501"/>
      <c r="CIX520" s="501"/>
      <c r="CIY520" s="501"/>
      <c r="CIZ520" s="501"/>
      <c r="CJA520" s="501"/>
      <c r="CJB520" s="501"/>
      <c r="CJC520" s="501"/>
      <c r="CJD520" s="501"/>
      <c r="CJE520" s="501"/>
      <c r="CJF520" s="501"/>
      <c r="CJG520" s="501"/>
      <c r="CJH520" s="501"/>
      <c r="CJI520" s="501"/>
      <c r="CJJ520" s="501"/>
      <c r="CJK520" s="501"/>
      <c r="CJL520" s="501"/>
      <c r="CJM520" s="501"/>
      <c r="CJN520" s="501"/>
      <c r="CJO520" s="501"/>
      <c r="CJP520" s="501"/>
      <c r="CJQ520" s="501"/>
      <c r="CJR520" s="501"/>
      <c r="CJS520" s="501"/>
      <c r="CJT520" s="501"/>
      <c r="CJU520" s="501"/>
      <c r="CJV520" s="501"/>
      <c r="CJW520" s="501"/>
      <c r="CJX520" s="501"/>
      <c r="CJY520" s="501"/>
      <c r="CJZ520" s="501"/>
      <c r="CKA520" s="501"/>
      <c r="CKB520" s="501"/>
      <c r="CKC520" s="501"/>
      <c r="CKD520" s="501"/>
      <c r="CKE520" s="501"/>
      <c r="CKF520" s="501"/>
      <c r="CKG520" s="501"/>
      <c r="CKH520" s="501"/>
      <c r="CKI520" s="501"/>
      <c r="CKJ520" s="501"/>
      <c r="CKK520" s="501"/>
      <c r="CKL520" s="501"/>
      <c r="CKM520" s="501"/>
      <c r="CKN520" s="501"/>
      <c r="CKO520" s="501"/>
      <c r="CKP520" s="501"/>
      <c r="CKQ520" s="501"/>
      <c r="CKR520" s="501"/>
      <c r="CKS520" s="501"/>
      <c r="CKT520" s="501"/>
      <c r="CKU520" s="501"/>
      <c r="CKV520" s="501"/>
      <c r="CKW520" s="501"/>
      <c r="CKX520" s="501"/>
      <c r="CKY520" s="501"/>
      <c r="CKZ520" s="501"/>
      <c r="CLA520" s="501"/>
      <c r="CLB520" s="501"/>
      <c r="CLC520" s="501"/>
      <c r="CLD520" s="501"/>
      <c r="CLE520" s="501"/>
      <c r="CLF520" s="501"/>
      <c r="CLG520" s="501"/>
      <c r="CLH520" s="501"/>
      <c r="CLI520" s="501"/>
      <c r="CLJ520" s="501"/>
      <c r="CLK520" s="501"/>
      <c r="CLL520" s="501"/>
      <c r="CLM520" s="501"/>
      <c r="CLN520" s="501"/>
      <c r="CLO520" s="501"/>
      <c r="CLP520" s="501"/>
      <c r="CLQ520" s="501"/>
      <c r="CLR520" s="501"/>
      <c r="CLS520" s="501"/>
      <c r="CLT520" s="501"/>
      <c r="CLU520" s="501"/>
      <c r="CLV520" s="501"/>
      <c r="CLW520" s="501"/>
      <c r="CLX520" s="501"/>
      <c r="CLY520" s="501"/>
      <c r="CLZ520" s="501"/>
      <c r="CMA520" s="501"/>
      <c r="CMB520" s="501"/>
      <c r="CMC520" s="501"/>
      <c r="CMD520" s="501"/>
      <c r="CME520" s="501"/>
      <c r="CMF520" s="501"/>
      <c r="CMG520" s="501"/>
      <c r="CMH520" s="501"/>
      <c r="CMI520" s="501"/>
      <c r="CMJ520" s="501"/>
      <c r="CMK520" s="501"/>
      <c r="CML520" s="501"/>
      <c r="CMM520" s="501"/>
      <c r="CMN520" s="501"/>
      <c r="CMO520" s="501"/>
      <c r="CMP520" s="501"/>
      <c r="CMQ520" s="501"/>
      <c r="CMR520" s="501"/>
      <c r="CMS520" s="501"/>
      <c r="CMT520" s="501"/>
      <c r="CMU520" s="501"/>
      <c r="CMV520" s="501"/>
      <c r="CMW520" s="501"/>
      <c r="CMX520" s="501"/>
      <c r="CMY520" s="501"/>
      <c r="CMZ520" s="501"/>
      <c r="CNA520" s="501"/>
      <c r="CNB520" s="501"/>
      <c r="CNC520" s="501"/>
      <c r="CND520" s="501"/>
      <c r="CNE520" s="501"/>
      <c r="CNF520" s="501"/>
      <c r="CNG520" s="501"/>
      <c r="CNH520" s="501"/>
      <c r="CNI520" s="501"/>
      <c r="CNJ520" s="501"/>
      <c r="CNK520" s="501"/>
      <c r="CNL520" s="501"/>
      <c r="CNM520" s="501"/>
      <c r="CNN520" s="501"/>
      <c r="CNO520" s="501"/>
      <c r="CNP520" s="501"/>
      <c r="CNQ520" s="501"/>
      <c r="CNR520" s="501"/>
      <c r="CNS520" s="501"/>
      <c r="CNT520" s="501"/>
      <c r="CNU520" s="501"/>
      <c r="CNV520" s="501"/>
      <c r="CNW520" s="501"/>
      <c r="CNX520" s="501"/>
      <c r="CNY520" s="501"/>
      <c r="CNZ520" s="501"/>
      <c r="COA520" s="501"/>
      <c r="COB520" s="501"/>
      <c r="COC520" s="501"/>
      <c r="COD520" s="501"/>
      <c r="COE520" s="501"/>
      <c r="COF520" s="501"/>
      <c r="COG520" s="501"/>
      <c r="COH520" s="501"/>
      <c r="COI520" s="501"/>
      <c r="COJ520" s="501"/>
      <c r="COK520" s="501"/>
      <c r="COL520" s="501"/>
      <c r="COM520" s="501"/>
      <c r="CON520" s="501"/>
      <c r="COO520" s="501"/>
      <c r="COP520" s="501"/>
      <c r="COQ520" s="501"/>
      <c r="COR520" s="501"/>
      <c r="COS520" s="501"/>
      <c r="COT520" s="501"/>
      <c r="COU520" s="501"/>
      <c r="COV520" s="501"/>
      <c r="COW520" s="501"/>
      <c r="COX520" s="501"/>
      <c r="COY520" s="501"/>
      <c r="COZ520" s="501"/>
      <c r="CPA520" s="501"/>
      <c r="CPB520" s="501"/>
      <c r="CPC520" s="501"/>
      <c r="CPD520" s="501"/>
      <c r="CPE520" s="501"/>
      <c r="CPF520" s="501"/>
      <c r="CPG520" s="501"/>
      <c r="CPH520" s="501"/>
      <c r="CPI520" s="501"/>
      <c r="CPJ520" s="501"/>
      <c r="CPK520" s="501"/>
      <c r="CPL520" s="501"/>
      <c r="CPM520" s="501"/>
      <c r="CPN520" s="501"/>
      <c r="CPO520" s="501"/>
      <c r="CPP520" s="501"/>
      <c r="CPQ520" s="501"/>
      <c r="CPR520" s="501"/>
      <c r="CPS520" s="501"/>
      <c r="CPT520" s="501"/>
      <c r="CPU520" s="501"/>
      <c r="CPV520" s="501"/>
      <c r="CPW520" s="501"/>
      <c r="CPX520" s="501"/>
      <c r="CPY520" s="501"/>
      <c r="CPZ520" s="501"/>
      <c r="CQA520" s="501"/>
      <c r="CQB520" s="501"/>
      <c r="CQC520" s="501"/>
      <c r="CQD520" s="501"/>
      <c r="CQE520" s="501"/>
      <c r="CQF520" s="501"/>
      <c r="CQG520" s="501"/>
      <c r="CQH520" s="501"/>
      <c r="CQI520" s="501"/>
      <c r="CQJ520" s="501"/>
      <c r="CQK520" s="501"/>
      <c r="CQL520" s="501"/>
      <c r="CQM520" s="501"/>
      <c r="CQN520" s="501"/>
      <c r="CQO520" s="501"/>
      <c r="CQP520" s="501"/>
      <c r="CQQ520" s="501"/>
      <c r="CQR520" s="501"/>
      <c r="CQS520" s="501"/>
      <c r="CQT520" s="501"/>
      <c r="CQU520" s="501"/>
      <c r="CQV520" s="501"/>
      <c r="CQW520" s="501"/>
      <c r="CQX520" s="501"/>
      <c r="CQY520" s="501"/>
      <c r="CQZ520" s="501"/>
      <c r="CRA520" s="501"/>
      <c r="CRB520" s="501"/>
      <c r="CRC520" s="501"/>
      <c r="CRD520" s="501"/>
      <c r="CRE520" s="501"/>
      <c r="CRF520" s="501"/>
      <c r="CRG520" s="501"/>
      <c r="CRH520" s="501"/>
      <c r="CRI520" s="501"/>
      <c r="CRJ520" s="501"/>
      <c r="CRK520" s="501"/>
      <c r="CRL520" s="501"/>
      <c r="CRM520" s="501"/>
      <c r="CRN520" s="501"/>
      <c r="CRO520" s="501"/>
      <c r="CRP520" s="501"/>
      <c r="CRQ520" s="501"/>
      <c r="CRR520" s="501"/>
      <c r="CRS520" s="501"/>
      <c r="CRT520" s="501"/>
      <c r="CRU520" s="501"/>
      <c r="CRV520" s="501"/>
      <c r="CRW520" s="501"/>
      <c r="CRX520" s="501"/>
      <c r="CRY520" s="501"/>
      <c r="CRZ520" s="501"/>
      <c r="CSA520" s="501"/>
      <c r="CSB520" s="501"/>
      <c r="CSC520" s="501"/>
      <c r="CSD520" s="501"/>
      <c r="CSE520" s="501"/>
      <c r="CSF520" s="501"/>
      <c r="CSG520" s="501"/>
      <c r="CSH520" s="501"/>
      <c r="CSI520" s="501"/>
      <c r="CSJ520" s="501"/>
      <c r="CSK520" s="501"/>
      <c r="CSL520" s="501"/>
      <c r="CSM520" s="501"/>
      <c r="CSN520" s="501"/>
      <c r="CSO520" s="501"/>
      <c r="CSP520" s="501"/>
      <c r="CSQ520" s="501"/>
      <c r="CSR520" s="501"/>
      <c r="CSS520" s="501"/>
      <c r="CST520" s="501"/>
      <c r="CSU520" s="501"/>
      <c r="CSV520" s="501"/>
      <c r="CSW520" s="501"/>
      <c r="CSX520" s="501"/>
      <c r="CSY520" s="501"/>
      <c r="CSZ520" s="501"/>
      <c r="CTA520" s="501"/>
      <c r="CTB520" s="501"/>
      <c r="CTC520" s="501"/>
      <c r="CTD520" s="501"/>
      <c r="CTE520" s="501"/>
      <c r="CTF520" s="501"/>
      <c r="CTG520" s="501"/>
      <c r="CTH520" s="501"/>
      <c r="CTI520" s="501"/>
      <c r="CTJ520" s="501"/>
      <c r="CTK520" s="501"/>
      <c r="CTL520" s="501"/>
      <c r="CTM520" s="501"/>
      <c r="CTN520" s="501"/>
      <c r="CTO520" s="501"/>
      <c r="CTP520" s="501"/>
      <c r="CTQ520" s="501"/>
      <c r="CTR520" s="501"/>
      <c r="CTS520" s="501"/>
      <c r="CTT520" s="501"/>
      <c r="CTU520" s="501"/>
      <c r="CTV520" s="501"/>
      <c r="CTW520" s="501"/>
      <c r="CTX520" s="501"/>
      <c r="CTY520" s="501"/>
      <c r="CTZ520" s="501"/>
      <c r="CUA520" s="501"/>
      <c r="CUB520" s="501"/>
      <c r="CUC520" s="501"/>
      <c r="CUD520" s="501"/>
      <c r="CUE520" s="501"/>
      <c r="CUF520" s="501"/>
      <c r="CUG520" s="501"/>
      <c r="CUH520" s="501"/>
      <c r="CUI520" s="501"/>
      <c r="CUJ520" s="501"/>
      <c r="CUK520" s="501"/>
      <c r="CUL520" s="501"/>
      <c r="CUM520" s="501"/>
      <c r="CUN520" s="501"/>
      <c r="CUO520" s="501"/>
      <c r="CUP520" s="501"/>
      <c r="CUQ520" s="501"/>
      <c r="CUR520" s="501"/>
      <c r="CUS520" s="501"/>
      <c r="CUT520" s="501"/>
      <c r="CUU520" s="501"/>
      <c r="CUV520" s="501"/>
      <c r="CUW520" s="501"/>
      <c r="CUX520" s="501"/>
      <c r="CUY520" s="501"/>
      <c r="CUZ520" s="501"/>
      <c r="CVA520" s="501"/>
      <c r="CVB520" s="501"/>
      <c r="CVC520" s="501"/>
      <c r="CVD520" s="501"/>
      <c r="CVE520" s="501"/>
      <c r="CVF520" s="501"/>
      <c r="CVG520" s="501"/>
      <c r="CVH520" s="501"/>
      <c r="CVI520" s="501"/>
      <c r="CVJ520" s="501"/>
      <c r="CVK520" s="501"/>
      <c r="CVL520" s="501"/>
      <c r="CVM520" s="501"/>
      <c r="CVN520" s="501"/>
      <c r="CVO520" s="501"/>
      <c r="CVP520" s="501"/>
      <c r="CVQ520" s="501"/>
      <c r="CVR520" s="501"/>
      <c r="CVS520" s="501"/>
      <c r="CVT520" s="501"/>
      <c r="CVU520" s="501"/>
      <c r="CVV520" s="501"/>
      <c r="CVW520" s="501"/>
      <c r="CVX520" s="501"/>
      <c r="CVY520" s="501"/>
      <c r="CVZ520" s="501"/>
      <c r="CWA520" s="501"/>
      <c r="CWB520" s="501"/>
      <c r="CWC520" s="501"/>
      <c r="CWD520" s="501"/>
      <c r="CWE520" s="501"/>
      <c r="CWF520" s="501"/>
      <c r="CWG520" s="501"/>
      <c r="CWH520" s="501"/>
      <c r="CWI520" s="501"/>
      <c r="CWJ520" s="501"/>
      <c r="CWK520" s="501"/>
      <c r="CWL520" s="501"/>
      <c r="CWM520" s="501"/>
      <c r="CWN520" s="501"/>
      <c r="CWO520" s="501"/>
      <c r="CWP520" s="501"/>
      <c r="CWQ520" s="501"/>
      <c r="CWR520" s="501"/>
      <c r="CWS520" s="501"/>
      <c r="CWT520" s="501"/>
      <c r="CWU520" s="501"/>
      <c r="CWV520" s="501"/>
      <c r="CWW520" s="501"/>
      <c r="CWX520" s="501"/>
      <c r="CWY520" s="501"/>
      <c r="CWZ520" s="501"/>
      <c r="CXA520" s="501"/>
      <c r="CXB520" s="501"/>
      <c r="CXC520" s="501"/>
      <c r="CXD520" s="501"/>
      <c r="CXE520" s="501"/>
      <c r="CXF520" s="501"/>
      <c r="CXG520" s="501"/>
      <c r="CXH520" s="501"/>
      <c r="CXI520" s="501"/>
      <c r="CXJ520" s="501"/>
      <c r="CXK520" s="501"/>
      <c r="CXL520" s="501"/>
      <c r="CXM520" s="501"/>
      <c r="CXN520" s="501"/>
      <c r="CXO520" s="501"/>
      <c r="CXP520" s="501"/>
      <c r="CXQ520" s="501"/>
      <c r="CXR520" s="501"/>
      <c r="CXS520" s="501"/>
      <c r="CXT520" s="501"/>
      <c r="CXU520" s="501"/>
      <c r="CXV520" s="501"/>
      <c r="CXW520" s="501"/>
      <c r="CXX520" s="501"/>
      <c r="CXY520" s="501"/>
      <c r="CXZ520" s="501"/>
      <c r="CYA520" s="501"/>
      <c r="CYB520" s="501"/>
      <c r="CYC520" s="501"/>
      <c r="CYD520" s="501"/>
      <c r="CYE520" s="501"/>
      <c r="CYF520" s="501"/>
      <c r="CYG520" s="501"/>
      <c r="CYH520" s="501"/>
      <c r="CYI520" s="501"/>
      <c r="CYJ520" s="501"/>
      <c r="CYK520" s="501"/>
      <c r="CYL520" s="501"/>
      <c r="CYM520" s="501"/>
      <c r="CYN520" s="501"/>
      <c r="CYO520" s="501"/>
      <c r="CYP520" s="501"/>
      <c r="CYQ520" s="501"/>
      <c r="CYR520" s="501"/>
      <c r="CYS520" s="501"/>
      <c r="CYT520" s="501"/>
      <c r="CYU520" s="501"/>
      <c r="CYV520" s="501"/>
      <c r="CYW520" s="501"/>
      <c r="CYX520" s="501"/>
      <c r="CYY520" s="501"/>
      <c r="CYZ520" s="501"/>
      <c r="CZA520" s="501"/>
      <c r="CZB520" s="501"/>
      <c r="CZC520" s="501"/>
      <c r="CZD520" s="501"/>
      <c r="CZE520" s="501"/>
      <c r="CZF520" s="501"/>
      <c r="CZG520" s="501"/>
      <c r="CZH520" s="501"/>
      <c r="CZI520" s="501"/>
      <c r="CZJ520" s="501"/>
      <c r="CZK520" s="501"/>
      <c r="CZL520" s="501"/>
      <c r="CZM520" s="501"/>
      <c r="CZN520" s="501"/>
      <c r="CZO520" s="501"/>
      <c r="CZP520" s="501"/>
      <c r="CZQ520" s="501"/>
      <c r="CZR520" s="501"/>
      <c r="CZS520" s="501"/>
      <c r="CZT520" s="501"/>
      <c r="CZU520" s="501"/>
      <c r="CZV520" s="501"/>
      <c r="CZW520" s="501"/>
      <c r="CZX520" s="501"/>
      <c r="CZY520" s="501"/>
      <c r="CZZ520" s="501"/>
      <c r="DAA520" s="501"/>
      <c r="DAB520" s="501"/>
      <c r="DAC520" s="501"/>
      <c r="DAD520" s="501"/>
      <c r="DAE520" s="501"/>
      <c r="DAF520" s="501"/>
      <c r="DAG520" s="501"/>
      <c r="DAH520" s="501"/>
      <c r="DAI520" s="501"/>
      <c r="DAJ520" s="501"/>
      <c r="DAK520" s="501"/>
      <c r="DAL520" s="501"/>
      <c r="DAM520" s="501"/>
      <c r="DAN520" s="501"/>
      <c r="DAO520" s="501"/>
      <c r="DAP520" s="501"/>
      <c r="DAQ520" s="501"/>
      <c r="DAR520" s="501"/>
      <c r="DAS520" s="501"/>
      <c r="DAT520" s="501"/>
      <c r="DAU520" s="501"/>
      <c r="DAV520" s="501"/>
      <c r="DAW520" s="501"/>
      <c r="DAX520" s="501"/>
      <c r="DAY520" s="501"/>
      <c r="DAZ520" s="501"/>
      <c r="DBA520" s="501"/>
      <c r="DBB520" s="501"/>
      <c r="DBC520" s="501"/>
      <c r="DBD520" s="501"/>
      <c r="DBE520" s="501"/>
      <c r="DBF520" s="501"/>
      <c r="DBG520" s="501"/>
      <c r="DBH520" s="501"/>
      <c r="DBI520" s="501"/>
      <c r="DBJ520" s="501"/>
      <c r="DBK520" s="501"/>
      <c r="DBL520" s="501"/>
      <c r="DBM520" s="501"/>
      <c r="DBN520" s="501"/>
      <c r="DBO520" s="501"/>
      <c r="DBP520" s="501"/>
      <c r="DBQ520" s="501"/>
      <c r="DBR520" s="501"/>
      <c r="DBS520" s="501"/>
      <c r="DBT520" s="501"/>
      <c r="DBU520" s="501"/>
      <c r="DBV520" s="501"/>
      <c r="DBW520" s="501"/>
      <c r="DBX520" s="501"/>
      <c r="DBY520" s="501"/>
      <c r="DBZ520" s="501"/>
      <c r="DCA520" s="501"/>
      <c r="DCB520" s="501"/>
      <c r="DCC520" s="501"/>
      <c r="DCD520" s="501"/>
      <c r="DCE520" s="501"/>
      <c r="DCF520" s="501"/>
      <c r="DCG520" s="501"/>
      <c r="DCH520" s="501"/>
      <c r="DCI520" s="501"/>
      <c r="DCJ520" s="501"/>
      <c r="DCK520" s="501"/>
      <c r="DCL520" s="501"/>
      <c r="DCM520" s="501"/>
      <c r="DCN520" s="501"/>
      <c r="DCO520" s="501"/>
      <c r="DCP520" s="501"/>
      <c r="DCQ520" s="501"/>
      <c r="DCR520" s="501"/>
      <c r="DCS520" s="501"/>
      <c r="DCT520" s="501"/>
      <c r="DCU520" s="501"/>
      <c r="DCV520" s="501"/>
      <c r="DCW520" s="501"/>
      <c r="DCX520" s="501"/>
      <c r="DCY520" s="501"/>
      <c r="DCZ520" s="501"/>
      <c r="DDA520" s="501"/>
      <c r="DDB520" s="501"/>
      <c r="DDC520" s="501"/>
      <c r="DDD520" s="501"/>
      <c r="DDE520" s="501"/>
      <c r="DDF520" s="501"/>
      <c r="DDG520" s="501"/>
      <c r="DDH520" s="501"/>
      <c r="DDI520" s="501"/>
      <c r="DDJ520" s="501"/>
      <c r="DDK520" s="501"/>
      <c r="DDL520" s="501"/>
      <c r="DDM520" s="501"/>
      <c r="DDN520" s="501"/>
      <c r="DDO520" s="501"/>
      <c r="DDP520" s="501"/>
      <c r="DDQ520" s="501"/>
      <c r="DDR520" s="501"/>
      <c r="DDS520" s="501"/>
      <c r="DDT520" s="501"/>
      <c r="DDU520" s="501"/>
      <c r="DDV520" s="501"/>
      <c r="DDW520" s="501"/>
      <c r="DDX520" s="501"/>
      <c r="DDY520" s="501"/>
      <c r="DDZ520" s="501"/>
      <c r="DEA520" s="501"/>
      <c r="DEB520" s="501"/>
      <c r="DEC520" s="501"/>
      <c r="DED520" s="501"/>
      <c r="DEE520" s="501"/>
      <c r="DEF520" s="501"/>
      <c r="DEG520" s="501"/>
      <c r="DEH520" s="501"/>
      <c r="DEI520" s="501"/>
      <c r="DEJ520" s="501"/>
      <c r="DEK520" s="501"/>
      <c r="DEL520" s="501"/>
      <c r="DEM520" s="501"/>
      <c r="DEN520" s="501"/>
      <c r="DEO520" s="501"/>
      <c r="DEP520" s="501"/>
      <c r="DEQ520" s="501"/>
      <c r="DER520" s="501"/>
      <c r="DES520" s="501"/>
      <c r="DET520" s="501"/>
      <c r="DEU520" s="501"/>
      <c r="DEV520" s="501"/>
      <c r="DEW520" s="501"/>
      <c r="DEX520" s="501"/>
      <c r="DEY520" s="501"/>
      <c r="DEZ520" s="501"/>
      <c r="DFA520" s="501"/>
      <c r="DFB520" s="501"/>
      <c r="DFC520" s="501"/>
      <c r="DFD520" s="501"/>
      <c r="DFE520" s="501"/>
      <c r="DFF520" s="501"/>
      <c r="DFG520" s="501"/>
      <c r="DFH520" s="501"/>
      <c r="DFI520" s="501"/>
      <c r="DFJ520" s="501"/>
      <c r="DFK520" s="501"/>
      <c r="DFL520" s="501"/>
      <c r="DFM520" s="501"/>
      <c r="DFN520" s="501"/>
      <c r="DFO520" s="501"/>
      <c r="DFP520" s="501"/>
      <c r="DFQ520" s="501"/>
      <c r="DFR520" s="501"/>
      <c r="DFS520" s="501"/>
      <c r="DFT520" s="501"/>
      <c r="DFU520" s="501"/>
      <c r="DFV520" s="501"/>
      <c r="DFW520" s="501"/>
      <c r="DFX520" s="501"/>
      <c r="DFY520" s="501"/>
      <c r="DFZ520" s="501"/>
      <c r="DGA520" s="501"/>
      <c r="DGB520" s="501"/>
      <c r="DGC520" s="501"/>
      <c r="DGD520" s="501"/>
      <c r="DGE520" s="501"/>
      <c r="DGF520" s="501"/>
      <c r="DGG520" s="501"/>
      <c r="DGH520" s="501"/>
      <c r="DGI520" s="501"/>
      <c r="DGJ520" s="501"/>
      <c r="DGK520" s="501"/>
      <c r="DGL520" s="501"/>
      <c r="DGM520" s="501"/>
      <c r="DGN520" s="501"/>
      <c r="DGO520" s="501"/>
      <c r="DGP520" s="501"/>
      <c r="DGQ520" s="501"/>
      <c r="DGR520" s="501"/>
      <c r="DGS520" s="501"/>
      <c r="DGT520" s="501"/>
      <c r="DGU520" s="501"/>
      <c r="DGV520" s="501"/>
      <c r="DGW520" s="501"/>
      <c r="DGX520" s="501"/>
      <c r="DGY520" s="501"/>
      <c r="DGZ520" s="501"/>
      <c r="DHA520" s="501"/>
      <c r="DHB520" s="501"/>
      <c r="DHC520" s="501"/>
      <c r="DHD520" s="501"/>
      <c r="DHE520" s="501"/>
      <c r="DHF520" s="501"/>
      <c r="DHG520" s="501"/>
      <c r="DHH520" s="501"/>
      <c r="DHI520" s="501"/>
      <c r="DHJ520" s="501"/>
      <c r="DHK520" s="501"/>
      <c r="DHL520" s="501"/>
      <c r="DHM520" s="501"/>
      <c r="DHN520" s="501"/>
      <c r="DHO520" s="501"/>
      <c r="DHP520" s="501"/>
      <c r="DHQ520" s="501"/>
      <c r="DHR520" s="501"/>
      <c r="DHS520" s="501"/>
      <c r="DHT520" s="501"/>
      <c r="DHU520" s="501"/>
      <c r="DHV520" s="501"/>
      <c r="DHW520" s="501"/>
      <c r="DHX520" s="501"/>
      <c r="DHY520" s="501"/>
      <c r="DHZ520" s="501"/>
      <c r="DIA520" s="501"/>
      <c r="DIB520" s="501"/>
      <c r="DIC520" s="501"/>
      <c r="DID520" s="501"/>
      <c r="DIE520" s="501"/>
      <c r="DIF520" s="501"/>
      <c r="DIG520" s="501"/>
      <c r="DIH520" s="501"/>
      <c r="DII520" s="501"/>
      <c r="DIJ520" s="501"/>
      <c r="DIK520" s="501"/>
      <c r="DIL520" s="501"/>
      <c r="DIM520" s="501"/>
      <c r="DIN520" s="501"/>
      <c r="DIO520" s="501"/>
      <c r="DIP520" s="501"/>
      <c r="DIQ520" s="501"/>
      <c r="DIR520" s="501"/>
      <c r="DIS520" s="501"/>
      <c r="DIT520" s="501"/>
      <c r="DIU520" s="501"/>
      <c r="DIV520" s="501"/>
      <c r="DIW520" s="501"/>
      <c r="DIX520" s="501"/>
      <c r="DIY520" s="501"/>
      <c r="DIZ520" s="501"/>
      <c r="DJA520" s="501"/>
      <c r="DJB520" s="501"/>
      <c r="DJC520" s="501"/>
      <c r="DJD520" s="501"/>
      <c r="DJE520" s="501"/>
      <c r="DJF520" s="501"/>
      <c r="DJG520" s="501"/>
      <c r="DJH520" s="501"/>
      <c r="DJI520" s="501"/>
      <c r="DJJ520" s="501"/>
      <c r="DJK520" s="501"/>
      <c r="DJL520" s="501"/>
      <c r="DJM520" s="501"/>
      <c r="DJN520" s="501"/>
      <c r="DJO520" s="501"/>
      <c r="DJP520" s="501"/>
      <c r="DJQ520" s="501"/>
      <c r="DJR520" s="501"/>
      <c r="DJS520" s="501"/>
      <c r="DJT520" s="501"/>
      <c r="DJU520" s="501"/>
      <c r="DJV520" s="501"/>
      <c r="DJW520" s="501"/>
      <c r="DJX520" s="501"/>
      <c r="DJY520" s="501"/>
      <c r="DJZ520" s="501"/>
      <c r="DKA520" s="501"/>
      <c r="DKB520" s="501"/>
      <c r="DKC520" s="501"/>
      <c r="DKD520" s="501"/>
      <c r="DKE520" s="501"/>
      <c r="DKF520" s="501"/>
      <c r="DKG520" s="501"/>
      <c r="DKH520" s="501"/>
      <c r="DKI520" s="501"/>
      <c r="DKJ520" s="501"/>
      <c r="DKK520" s="501"/>
      <c r="DKL520" s="501"/>
      <c r="DKM520" s="501"/>
      <c r="DKN520" s="501"/>
      <c r="DKO520" s="501"/>
      <c r="DKP520" s="501"/>
      <c r="DKQ520" s="501"/>
      <c r="DKR520" s="501"/>
      <c r="DKS520" s="501"/>
      <c r="DKT520" s="501"/>
      <c r="DKU520" s="501"/>
      <c r="DKV520" s="501"/>
      <c r="DKW520" s="501"/>
      <c r="DKX520" s="501"/>
      <c r="DKY520" s="501"/>
      <c r="DKZ520" s="501"/>
      <c r="DLA520" s="501"/>
      <c r="DLB520" s="501"/>
      <c r="DLC520" s="501"/>
      <c r="DLD520" s="501"/>
      <c r="DLE520" s="501"/>
      <c r="DLF520" s="501"/>
      <c r="DLG520" s="501"/>
      <c r="DLH520" s="501"/>
      <c r="DLI520" s="501"/>
      <c r="DLJ520" s="501"/>
      <c r="DLK520" s="501"/>
      <c r="DLL520" s="501"/>
      <c r="DLM520" s="501"/>
      <c r="DLN520" s="501"/>
      <c r="DLO520" s="501"/>
      <c r="DLP520" s="501"/>
      <c r="DLQ520" s="501"/>
      <c r="DLR520" s="501"/>
      <c r="DLS520" s="501"/>
      <c r="DLT520" s="501"/>
      <c r="DLU520" s="501"/>
      <c r="DLV520" s="501"/>
      <c r="DLW520" s="501"/>
      <c r="DLX520" s="501"/>
      <c r="DLY520" s="501"/>
      <c r="DLZ520" s="501"/>
      <c r="DMA520" s="501"/>
      <c r="DMB520" s="501"/>
      <c r="DMC520" s="501"/>
      <c r="DMD520" s="501"/>
      <c r="DME520" s="501"/>
      <c r="DMF520" s="501"/>
      <c r="DMG520" s="501"/>
      <c r="DMH520" s="501"/>
      <c r="DMI520" s="501"/>
      <c r="DMJ520" s="501"/>
      <c r="DMK520" s="501"/>
      <c r="DML520" s="501"/>
      <c r="DMM520" s="501"/>
      <c r="DMN520" s="501"/>
      <c r="DMO520" s="501"/>
      <c r="DMP520" s="501"/>
      <c r="DMQ520" s="501"/>
      <c r="DMR520" s="501"/>
      <c r="DMS520" s="501"/>
      <c r="DMT520" s="501"/>
      <c r="DMU520" s="501"/>
      <c r="DMV520" s="501"/>
      <c r="DMW520" s="501"/>
      <c r="DMX520" s="501"/>
      <c r="DMY520" s="501"/>
      <c r="DMZ520" s="501"/>
      <c r="DNA520" s="501"/>
      <c r="DNB520" s="501"/>
      <c r="DNC520" s="501"/>
      <c r="DND520" s="501"/>
      <c r="DNE520" s="501"/>
      <c r="DNF520" s="501"/>
      <c r="DNG520" s="501"/>
      <c r="DNH520" s="501"/>
      <c r="DNI520" s="501"/>
      <c r="DNJ520" s="501"/>
      <c r="DNK520" s="501"/>
      <c r="DNL520" s="501"/>
      <c r="DNM520" s="501"/>
      <c r="DNN520" s="501"/>
      <c r="DNO520" s="501"/>
      <c r="DNP520" s="501"/>
      <c r="DNQ520" s="501"/>
      <c r="DNR520" s="501"/>
      <c r="DNS520" s="501"/>
      <c r="DNT520" s="501"/>
      <c r="DNU520" s="501"/>
      <c r="DNV520" s="501"/>
      <c r="DNW520" s="501"/>
      <c r="DNX520" s="501"/>
      <c r="DNY520" s="501"/>
      <c r="DNZ520" s="501"/>
      <c r="DOA520" s="501"/>
      <c r="DOB520" s="501"/>
      <c r="DOC520" s="501"/>
      <c r="DOD520" s="501"/>
      <c r="DOE520" s="501"/>
      <c r="DOF520" s="501"/>
      <c r="DOG520" s="501"/>
      <c r="DOH520" s="501"/>
      <c r="DOI520" s="501"/>
      <c r="DOJ520" s="501"/>
      <c r="DOK520" s="501"/>
      <c r="DOL520" s="501"/>
      <c r="DOM520" s="501"/>
      <c r="DON520" s="501"/>
      <c r="DOO520" s="501"/>
      <c r="DOP520" s="501"/>
      <c r="DOQ520" s="501"/>
      <c r="DOR520" s="501"/>
      <c r="DOS520" s="501"/>
      <c r="DOT520" s="501"/>
      <c r="DOU520" s="501"/>
      <c r="DOV520" s="501"/>
      <c r="DOW520" s="501"/>
      <c r="DOX520" s="501"/>
      <c r="DOY520" s="501"/>
      <c r="DOZ520" s="501"/>
      <c r="DPA520" s="501"/>
      <c r="DPB520" s="501"/>
      <c r="DPC520" s="501"/>
      <c r="DPD520" s="501"/>
      <c r="DPE520" s="501"/>
      <c r="DPF520" s="501"/>
      <c r="DPG520" s="501"/>
      <c r="DPH520" s="501"/>
      <c r="DPI520" s="501"/>
      <c r="DPJ520" s="501"/>
      <c r="DPK520" s="501"/>
      <c r="DPL520" s="501"/>
      <c r="DPM520" s="501"/>
      <c r="DPN520" s="501"/>
      <c r="DPO520" s="501"/>
      <c r="DPP520" s="501"/>
      <c r="DPQ520" s="501"/>
      <c r="DPR520" s="501"/>
      <c r="DPS520" s="501"/>
      <c r="DPT520" s="501"/>
      <c r="DPU520" s="501"/>
      <c r="DPV520" s="501"/>
      <c r="DPW520" s="501"/>
      <c r="DPX520" s="501"/>
      <c r="DPY520" s="501"/>
      <c r="DPZ520" s="501"/>
      <c r="DQA520" s="501"/>
      <c r="DQB520" s="501"/>
      <c r="DQC520" s="501"/>
      <c r="DQD520" s="501"/>
      <c r="DQE520" s="501"/>
      <c r="DQF520" s="501"/>
      <c r="DQG520" s="501"/>
      <c r="DQH520" s="501"/>
      <c r="DQI520" s="501"/>
      <c r="DQJ520" s="501"/>
      <c r="DQK520" s="501"/>
      <c r="DQL520" s="501"/>
      <c r="DQM520" s="501"/>
      <c r="DQN520" s="501"/>
      <c r="DQO520" s="501"/>
      <c r="DQP520" s="501"/>
      <c r="DQQ520" s="501"/>
      <c r="DQR520" s="501"/>
      <c r="DQS520" s="501"/>
      <c r="DQT520" s="501"/>
      <c r="DQU520" s="501"/>
      <c r="DQV520" s="501"/>
      <c r="DQW520" s="501"/>
      <c r="DQX520" s="501"/>
      <c r="DQY520" s="501"/>
      <c r="DQZ520" s="501"/>
      <c r="DRA520" s="501"/>
      <c r="DRB520" s="501"/>
      <c r="DRC520" s="501"/>
      <c r="DRD520" s="501"/>
      <c r="DRE520" s="501"/>
      <c r="DRF520" s="501"/>
      <c r="DRG520" s="501"/>
      <c r="DRH520" s="501"/>
      <c r="DRI520" s="501"/>
      <c r="DRJ520" s="501"/>
      <c r="DRK520" s="501"/>
      <c r="DRL520" s="501"/>
      <c r="DRM520" s="501"/>
      <c r="DRN520" s="501"/>
      <c r="DRO520" s="501"/>
      <c r="DRP520" s="501"/>
      <c r="DRQ520" s="501"/>
      <c r="DRR520" s="501"/>
      <c r="DRS520" s="501"/>
      <c r="DRT520" s="501"/>
      <c r="DRU520" s="501"/>
      <c r="DRV520" s="501"/>
      <c r="DRW520" s="501"/>
      <c r="DRX520" s="501"/>
      <c r="DRY520" s="501"/>
      <c r="DRZ520" s="501"/>
      <c r="DSA520" s="501"/>
      <c r="DSB520" s="501"/>
      <c r="DSC520" s="501"/>
      <c r="DSD520" s="501"/>
      <c r="DSE520" s="501"/>
      <c r="DSF520" s="501"/>
      <c r="DSG520" s="501"/>
      <c r="DSH520" s="501"/>
      <c r="DSI520" s="501"/>
      <c r="DSJ520" s="501"/>
      <c r="DSK520" s="501"/>
      <c r="DSL520" s="501"/>
      <c r="DSM520" s="501"/>
      <c r="DSN520" s="501"/>
      <c r="DSO520" s="501"/>
      <c r="DSP520" s="501"/>
      <c r="DSQ520" s="501"/>
      <c r="DSR520" s="501"/>
      <c r="DSS520" s="501"/>
      <c r="DST520" s="501"/>
      <c r="DSU520" s="501"/>
      <c r="DSV520" s="501"/>
      <c r="DSW520" s="501"/>
      <c r="DSX520" s="501"/>
      <c r="DSY520" s="501"/>
      <c r="DSZ520" s="501"/>
      <c r="DTA520" s="501"/>
      <c r="DTB520" s="501"/>
      <c r="DTC520" s="501"/>
      <c r="DTD520" s="501"/>
      <c r="DTE520" s="501"/>
      <c r="DTF520" s="501"/>
      <c r="DTG520" s="501"/>
      <c r="DTH520" s="501"/>
      <c r="DTI520" s="501"/>
      <c r="DTJ520" s="501"/>
      <c r="DTK520" s="501"/>
      <c r="DTL520" s="501"/>
      <c r="DTM520" s="501"/>
      <c r="DTN520" s="501"/>
      <c r="DTO520" s="501"/>
      <c r="DTP520" s="501"/>
      <c r="DTQ520" s="501"/>
      <c r="DTR520" s="501"/>
      <c r="DTS520" s="501"/>
      <c r="DTT520" s="501"/>
      <c r="DTU520" s="501"/>
      <c r="DTV520" s="501"/>
      <c r="DTW520" s="501"/>
      <c r="DTX520" s="501"/>
      <c r="DTY520" s="501"/>
      <c r="DTZ520" s="501"/>
      <c r="DUA520" s="501"/>
      <c r="DUB520" s="501"/>
      <c r="DUC520" s="501"/>
      <c r="DUD520" s="501"/>
      <c r="DUE520" s="501"/>
      <c r="DUF520" s="501"/>
      <c r="DUG520" s="501"/>
      <c r="DUH520" s="501"/>
      <c r="DUI520" s="501"/>
      <c r="DUJ520" s="501"/>
      <c r="DUK520" s="501"/>
      <c r="DUL520" s="501"/>
      <c r="DUM520" s="501"/>
      <c r="DUN520" s="501"/>
      <c r="DUO520" s="501"/>
      <c r="DUP520" s="501"/>
      <c r="DUQ520" s="501"/>
      <c r="DUR520" s="501"/>
      <c r="DUS520" s="501"/>
      <c r="DUT520" s="501"/>
      <c r="DUU520" s="501"/>
      <c r="DUV520" s="501"/>
      <c r="DUW520" s="501"/>
      <c r="DUX520" s="501"/>
      <c r="DUY520" s="501"/>
      <c r="DUZ520" s="501"/>
      <c r="DVA520" s="501"/>
      <c r="DVB520" s="501"/>
      <c r="DVC520" s="501"/>
      <c r="DVD520" s="501"/>
      <c r="DVE520" s="501"/>
      <c r="DVF520" s="501"/>
      <c r="DVG520" s="501"/>
      <c r="DVH520" s="501"/>
      <c r="DVI520" s="501"/>
      <c r="DVJ520" s="501"/>
      <c r="DVK520" s="501"/>
      <c r="DVL520" s="501"/>
      <c r="DVM520" s="501"/>
      <c r="DVN520" s="501"/>
      <c r="DVO520" s="501"/>
      <c r="DVP520" s="501"/>
      <c r="DVQ520" s="501"/>
      <c r="DVR520" s="501"/>
      <c r="DVS520" s="501"/>
      <c r="DVT520" s="501"/>
      <c r="DVU520" s="501"/>
      <c r="DVV520" s="501"/>
      <c r="DVW520" s="501"/>
      <c r="DVX520" s="501"/>
      <c r="DVY520" s="501"/>
      <c r="DVZ520" s="501"/>
      <c r="DWA520" s="501"/>
      <c r="DWB520" s="501"/>
      <c r="DWC520" s="501"/>
      <c r="DWD520" s="501"/>
      <c r="DWE520" s="501"/>
      <c r="DWF520" s="501"/>
      <c r="DWG520" s="501"/>
      <c r="DWH520" s="501"/>
      <c r="DWI520" s="501"/>
      <c r="DWJ520" s="501"/>
      <c r="DWK520" s="501"/>
      <c r="DWL520" s="501"/>
      <c r="DWM520" s="501"/>
      <c r="DWN520" s="501"/>
      <c r="DWO520" s="501"/>
      <c r="DWP520" s="501"/>
      <c r="DWQ520" s="501"/>
      <c r="DWR520" s="501"/>
      <c r="DWS520" s="501"/>
      <c r="DWT520" s="501"/>
      <c r="DWU520" s="501"/>
      <c r="DWV520" s="501"/>
      <c r="DWW520" s="501"/>
      <c r="DWX520" s="501"/>
      <c r="DWY520" s="501"/>
      <c r="DWZ520" s="501"/>
      <c r="DXA520" s="501"/>
      <c r="DXB520" s="501"/>
      <c r="DXC520" s="501"/>
      <c r="DXD520" s="501"/>
      <c r="DXE520" s="501"/>
      <c r="DXF520" s="501"/>
      <c r="DXG520" s="501"/>
      <c r="DXH520" s="501"/>
      <c r="DXI520" s="501"/>
      <c r="DXJ520" s="501"/>
      <c r="DXK520" s="501"/>
      <c r="DXL520" s="501"/>
      <c r="DXM520" s="501"/>
      <c r="DXN520" s="501"/>
      <c r="DXO520" s="501"/>
      <c r="DXP520" s="501"/>
      <c r="DXQ520" s="501"/>
      <c r="DXR520" s="501"/>
      <c r="DXS520" s="501"/>
      <c r="DXT520" s="501"/>
      <c r="DXU520" s="501"/>
      <c r="DXV520" s="501"/>
      <c r="DXW520" s="501"/>
      <c r="DXX520" s="501"/>
      <c r="DXY520" s="501"/>
      <c r="DXZ520" s="501"/>
      <c r="DYA520" s="501"/>
      <c r="DYB520" s="501"/>
      <c r="DYC520" s="501"/>
      <c r="DYD520" s="501"/>
      <c r="DYE520" s="501"/>
      <c r="DYF520" s="501"/>
      <c r="DYG520" s="501"/>
      <c r="DYH520" s="501"/>
      <c r="DYI520" s="501"/>
      <c r="DYJ520" s="501"/>
      <c r="DYK520" s="501"/>
      <c r="DYL520" s="501"/>
      <c r="DYM520" s="501"/>
      <c r="DYN520" s="501"/>
      <c r="DYO520" s="501"/>
      <c r="DYP520" s="501"/>
      <c r="DYQ520" s="501"/>
      <c r="DYR520" s="501"/>
      <c r="DYS520" s="501"/>
      <c r="DYT520" s="501"/>
      <c r="DYU520" s="501"/>
      <c r="DYV520" s="501"/>
      <c r="DYW520" s="501"/>
      <c r="DYX520" s="501"/>
      <c r="DYY520" s="501"/>
      <c r="DYZ520" s="501"/>
      <c r="DZA520" s="501"/>
      <c r="DZB520" s="501"/>
      <c r="DZC520" s="501"/>
      <c r="DZD520" s="501"/>
      <c r="DZE520" s="501"/>
      <c r="DZF520" s="501"/>
      <c r="DZG520" s="501"/>
      <c r="DZH520" s="501"/>
      <c r="DZI520" s="501"/>
      <c r="DZJ520" s="501"/>
      <c r="DZK520" s="501"/>
      <c r="DZL520" s="501"/>
      <c r="DZM520" s="501"/>
      <c r="DZN520" s="501"/>
      <c r="DZO520" s="501"/>
      <c r="DZP520" s="501"/>
      <c r="DZQ520" s="501"/>
      <c r="DZR520" s="501"/>
      <c r="DZS520" s="501"/>
      <c r="DZT520" s="501"/>
      <c r="DZU520" s="501"/>
      <c r="DZV520" s="501"/>
      <c r="DZW520" s="501"/>
      <c r="DZX520" s="501"/>
      <c r="DZY520" s="501"/>
      <c r="DZZ520" s="501"/>
      <c r="EAA520" s="501"/>
      <c r="EAB520" s="501"/>
      <c r="EAC520" s="501"/>
      <c r="EAD520" s="501"/>
      <c r="EAE520" s="501"/>
      <c r="EAF520" s="501"/>
      <c r="EAG520" s="501"/>
      <c r="EAH520" s="501"/>
      <c r="EAI520" s="501"/>
      <c r="EAJ520" s="501"/>
      <c r="EAK520" s="501"/>
      <c r="EAL520" s="501"/>
      <c r="EAM520" s="501"/>
      <c r="EAN520" s="501"/>
      <c r="EAO520" s="501"/>
      <c r="EAP520" s="501"/>
      <c r="EAQ520" s="501"/>
      <c r="EAR520" s="501"/>
      <c r="EAS520" s="501"/>
      <c r="EAT520" s="501"/>
      <c r="EAU520" s="501"/>
      <c r="EAV520" s="501"/>
      <c r="EAW520" s="501"/>
      <c r="EAX520" s="501"/>
      <c r="EAY520" s="501"/>
      <c r="EAZ520" s="501"/>
      <c r="EBA520" s="501"/>
      <c r="EBB520" s="501"/>
      <c r="EBC520" s="501"/>
      <c r="EBD520" s="501"/>
      <c r="EBE520" s="501"/>
      <c r="EBF520" s="501"/>
      <c r="EBG520" s="501"/>
      <c r="EBH520" s="501"/>
      <c r="EBI520" s="501"/>
      <c r="EBJ520" s="501"/>
      <c r="EBK520" s="501"/>
      <c r="EBL520" s="501"/>
      <c r="EBM520" s="501"/>
      <c r="EBN520" s="501"/>
      <c r="EBO520" s="501"/>
      <c r="EBP520" s="501"/>
      <c r="EBQ520" s="501"/>
      <c r="EBR520" s="501"/>
      <c r="EBS520" s="501"/>
      <c r="EBT520" s="501"/>
      <c r="EBU520" s="501"/>
      <c r="EBV520" s="501"/>
      <c r="EBW520" s="501"/>
      <c r="EBX520" s="501"/>
      <c r="EBY520" s="501"/>
      <c r="EBZ520" s="501"/>
      <c r="ECA520" s="501"/>
      <c r="ECB520" s="501"/>
      <c r="ECC520" s="501"/>
      <c r="ECD520" s="501"/>
      <c r="ECE520" s="501"/>
      <c r="ECF520" s="501"/>
      <c r="ECG520" s="501"/>
      <c r="ECH520" s="501"/>
      <c r="ECI520" s="501"/>
      <c r="ECJ520" s="501"/>
      <c r="ECK520" s="501"/>
      <c r="ECL520" s="501"/>
      <c r="ECM520" s="501"/>
      <c r="ECN520" s="501"/>
      <c r="ECO520" s="501"/>
      <c r="ECP520" s="501"/>
      <c r="ECQ520" s="501"/>
      <c r="ECR520" s="501"/>
      <c r="ECS520" s="501"/>
      <c r="ECT520" s="501"/>
      <c r="ECU520" s="501"/>
      <c r="ECV520" s="501"/>
      <c r="ECW520" s="501"/>
      <c r="ECX520" s="501"/>
      <c r="ECY520" s="501"/>
      <c r="ECZ520" s="501"/>
      <c r="EDA520" s="501"/>
      <c r="EDB520" s="501"/>
      <c r="EDC520" s="501"/>
      <c r="EDD520" s="501"/>
      <c r="EDE520" s="501"/>
      <c r="EDF520" s="501"/>
      <c r="EDG520" s="501"/>
      <c r="EDH520" s="501"/>
      <c r="EDI520" s="501"/>
      <c r="EDJ520" s="501"/>
      <c r="EDK520" s="501"/>
      <c r="EDL520" s="501"/>
      <c r="EDM520" s="501"/>
      <c r="EDN520" s="501"/>
      <c r="EDO520" s="501"/>
      <c r="EDP520" s="501"/>
      <c r="EDQ520" s="501"/>
      <c r="EDR520" s="501"/>
      <c r="EDS520" s="501"/>
      <c r="EDT520" s="501"/>
      <c r="EDU520" s="501"/>
      <c r="EDV520" s="501"/>
      <c r="EDW520" s="501"/>
      <c r="EDX520" s="501"/>
      <c r="EDY520" s="501"/>
      <c r="EDZ520" s="501"/>
      <c r="EEA520" s="501"/>
      <c r="EEB520" s="501"/>
      <c r="EEC520" s="501"/>
      <c r="EED520" s="501"/>
      <c r="EEE520" s="501"/>
      <c r="EEF520" s="501"/>
      <c r="EEG520" s="501"/>
      <c r="EEH520" s="501"/>
      <c r="EEI520" s="501"/>
      <c r="EEJ520" s="501"/>
      <c r="EEK520" s="501"/>
      <c r="EEL520" s="501"/>
      <c r="EEM520" s="501"/>
      <c r="EEN520" s="501"/>
      <c r="EEO520" s="501"/>
      <c r="EEP520" s="501"/>
      <c r="EEQ520" s="501"/>
      <c r="EER520" s="501"/>
      <c r="EES520" s="501"/>
      <c r="EET520" s="501"/>
      <c r="EEU520" s="501"/>
      <c r="EEV520" s="501"/>
      <c r="EEW520" s="501"/>
      <c r="EEX520" s="501"/>
      <c r="EEY520" s="501"/>
      <c r="EEZ520" s="501"/>
      <c r="EFA520" s="501"/>
      <c r="EFB520" s="501"/>
      <c r="EFC520" s="501"/>
      <c r="EFD520" s="501"/>
      <c r="EFE520" s="501"/>
      <c r="EFF520" s="501"/>
      <c r="EFG520" s="501"/>
      <c r="EFH520" s="501"/>
      <c r="EFI520" s="501"/>
      <c r="EFJ520" s="501"/>
      <c r="EFK520" s="501"/>
      <c r="EFL520" s="501"/>
      <c r="EFM520" s="501"/>
      <c r="EFN520" s="501"/>
      <c r="EFO520" s="501"/>
      <c r="EFP520" s="501"/>
      <c r="EFQ520" s="501"/>
      <c r="EFR520" s="501"/>
      <c r="EFS520" s="501"/>
      <c r="EFT520" s="501"/>
      <c r="EFU520" s="501"/>
      <c r="EFV520" s="501"/>
      <c r="EFW520" s="501"/>
      <c r="EFX520" s="501"/>
      <c r="EFY520" s="501"/>
      <c r="EFZ520" s="501"/>
      <c r="EGA520" s="501"/>
      <c r="EGB520" s="501"/>
      <c r="EGC520" s="501"/>
      <c r="EGD520" s="501"/>
      <c r="EGE520" s="501"/>
      <c r="EGF520" s="501"/>
      <c r="EGG520" s="501"/>
      <c r="EGH520" s="501"/>
      <c r="EGI520" s="501"/>
      <c r="EGJ520" s="501"/>
      <c r="EGK520" s="501"/>
      <c r="EGL520" s="501"/>
      <c r="EGM520" s="501"/>
      <c r="EGN520" s="501"/>
      <c r="EGO520" s="501"/>
      <c r="EGP520" s="501"/>
      <c r="EGQ520" s="501"/>
      <c r="EGR520" s="501"/>
      <c r="EGS520" s="501"/>
      <c r="EGT520" s="501"/>
      <c r="EGU520" s="501"/>
      <c r="EGV520" s="501"/>
      <c r="EGW520" s="501"/>
      <c r="EGX520" s="501"/>
      <c r="EGY520" s="501"/>
      <c r="EGZ520" s="501"/>
      <c r="EHA520" s="501"/>
      <c r="EHB520" s="501"/>
      <c r="EHC520" s="501"/>
      <c r="EHD520" s="501"/>
      <c r="EHE520" s="501"/>
      <c r="EHF520" s="501"/>
      <c r="EHG520" s="501"/>
      <c r="EHH520" s="501"/>
      <c r="EHI520" s="501"/>
      <c r="EHJ520" s="501"/>
      <c r="EHK520" s="501"/>
      <c r="EHL520" s="501"/>
      <c r="EHM520" s="501"/>
      <c r="EHN520" s="501"/>
      <c r="EHO520" s="501"/>
      <c r="EHP520" s="501"/>
      <c r="EHQ520" s="501"/>
      <c r="EHR520" s="501"/>
      <c r="EHS520" s="501"/>
      <c r="EHT520" s="501"/>
      <c r="EHU520" s="501"/>
      <c r="EHV520" s="501"/>
      <c r="EHW520" s="501"/>
      <c r="EHX520" s="501"/>
      <c r="EHY520" s="501"/>
      <c r="EHZ520" s="501"/>
      <c r="EIA520" s="501"/>
      <c r="EIB520" s="501"/>
      <c r="EIC520" s="501"/>
      <c r="EID520" s="501"/>
      <c r="EIE520" s="501"/>
      <c r="EIF520" s="501"/>
      <c r="EIG520" s="501"/>
      <c r="EIH520" s="501"/>
      <c r="EII520" s="501"/>
      <c r="EIJ520" s="501"/>
      <c r="EIK520" s="501"/>
      <c r="EIL520" s="501"/>
      <c r="EIM520" s="501"/>
      <c r="EIN520" s="501"/>
      <c r="EIO520" s="501"/>
      <c r="EIP520" s="501"/>
      <c r="EIQ520" s="501"/>
      <c r="EIR520" s="501"/>
      <c r="EIS520" s="501"/>
      <c r="EIT520" s="501"/>
      <c r="EIU520" s="501"/>
      <c r="EIV520" s="501"/>
      <c r="EIW520" s="501"/>
      <c r="EIX520" s="501"/>
      <c r="EIY520" s="501"/>
      <c r="EIZ520" s="501"/>
      <c r="EJA520" s="501"/>
      <c r="EJB520" s="501"/>
      <c r="EJC520" s="501"/>
      <c r="EJD520" s="501"/>
      <c r="EJE520" s="501"/>
      <c r="EJF520" s="501"/>
      <c r="EJG520" s="501"/>
      <c r="EJH520" s="501"/>
      <c r="EJI520" s="501"/>
      <c r="EJJ520" s="501"/>
      <c r="EJK520" s="501"/>
      <c r="EJL520" s="501"/>
      <c r="EJM520" s="501"/>
      <c r="EJN520" s="501"/>
      <c r="EJO520" s="501"/>
      <c r="EJP520" s="501"/>
      <c r="EJQ520" s="501"/>
      <c r="EJR520" s="501"/>
      <c r="EJS520" s="501"/>
      <c r="EJT520" s="501"/>
      <c r="EJU520" s="501"/>
      <c r="EJV520" s="501"/>
      <c r="EJW520" s="501"/>
      <c r="EJX520" s="501"/>
      <c r="EJY520" s="501"/>
      <c r="EJZ520" s="501"/>
      <c r="EKA520" s="501"/>
      <c r="EKB520" s="501"/>
      <c r="EKC520" s="501"/>
      <c r="EKD520" s="501"/>
      <c r="EKE520" s="501"/>
      <c r="EKF520" s="501"/>
      <c r="EKG520" s="501"/>
      <c r="EKH520" s="501"/>
      <c r="EKI520" s="501"/>
      <c r="EKJ520" s="501"/>
      <c r="EKK520" s="501"/>
      <c r="EKL520" s="501"/>
      <c r="EKM520" s="501"/>
      <c r="EKN520" s="501"/>
      <c r="EKO520" s="501"/>
      <c r="EKP520" s="501"/>
      <c r="EKQ520" s="501"/>
      <c r="EKR520" s="501"/>
      <c r="EKS520" s="501"/>
      <c r="EKT520" s="501"/>
      <c r="EKU520" s="501"/>
      <c r="EKV520" s="501"/>
      <c r="EKW520" s="501"/>
      <c r="EKX520" s="501"/>
      <c r="EKY520" s="501"/>
      <c r="EKZ520" s="501"/>
      <c r="ELA520" s="501"/>
      <c r="ELB520" s="501"/>
      <c r="ELC520" s="501"/>
      <c r="ELD520" s="501"/>
      <c r="ELE520" s="501"/>
      <c r="ELF520" s="501"/>
      <c r="ELG520" s="501"/>
      <c r="ELH520" s="501"/>
      <c r="ELI520" s="501"/>
      <c r="ELJ520" s="501"/>
      <c r="ELK520" s="501"/>
      <c r="ELL520" s="501"/>
      <c r="ELM520" s="501"/>
      <c r="ELN520" s="501"/>
      <c r="ELO520" s="501"/>
      <c r="ELP520" s="501"/>
      <c r="ELQ520" s="501"/>
      <c r="ELR520" s="501"/>
      <c r="ELS520" s="501"/>
      <c r="ELT520" s="501"/>
      <c r="ELU520" s="501"/>
      <c r="ELV520" s="501"/>
      <c r="ELW520" s="501"/>
      <c r="ELX520" s="501"/>
      <c r="ELY520" s="501"/>
      <c r="ELZ520" s="501"/>
      <c r="EMA520" s="501"/>
      <c r="EMB520" s="501"/>
      <c r="EMC520" s="501"/>
      <c r="EMD520" s="501"/>
      <c r="EME520" s="501"/>
      <c r="EMF520" s="501"/>
      <c r="EMG520" s="501"/>
      <c r="EMH520" s="501"/>
      <c r="EMI520" s="501"/>
      <c r="EMJ520" s="501"/>
      <c r="EMK520" s="501"/>
      <c r="EML520" s="501"/>
      <c r="EMM520" s="501"/>
      <c r="EMN520" s="501"/>
      <c r="EMO520" s="501"/>
      <c r="EMP520" s="501"/>
      <c r="EMQ520" s="501"/>
      <c r="EMR520" s="501"/>
      <c r="EMS520" s="501"/>
      <c r="EMT520" s="501"/>
      <c r="EMU520" s="501"/>
      <c r="EMV520" s="501"/>
      <c r="EMW520" s="501"/>
      <c r="EMX520" s="501"/>
      <c r="EMY520" s="501"/>
      <c r="EMZ520" s="501"/>
      <c r="ENA520" s="501"/>
      <c r="ENB520" s="501"/>
      <c r="ENC520" s="501"/>
      <c r="END520" s="501"/>
      <c r="ENE520" s="501"/>
      <c r="ENF520" s="501"/>
      <c r="ENG520" s="501"/>
      <c r="ENH520" s="501"/>
      <c r="ENI520" s="501"/>
      <c r="ENJ520" s="501"/>
      <c r="ENK520" s="501"/>
      <c r="ENL520" s="501"/>
      <c r="ENM520" s="501"/>
      <c r="ENN520" s="501"/>
      <c r="ENO520" s="501"/>
      <c r="ENP520" s="501"/>
      <c r="ENQ520" s="501"/>
      <c r="ENR520" s="501"/>
      <c r="ENS520" s="501"/>
      <c r="ENT520" s="501"/>
      <c r="ENU520" s="501"/>
      <c r="ENV520" s="501"/>
      <c r="ENW520" s="501"/>
      <c r="ENX520" s="501"/>
      <c r="ENY520" s="501"/>
      <c r="ENZ520" s="501"/>
      <c r="EOA520" s="501"/>
      <c r="EOB520" s="501"/>
      <c r="EOC520" s="501"/>
      <c r="EOD520" s="501"/>
      <c r="EOE520" s="501"/>
      <c r="EOF520" s="501"/>
      <c r="EOG520" s="501"/>
      <c r="EOH520" s="501"/>
      <c r="EOI520" s="501"/>
      <c r="EOJ520" s="501"/>
      <c r="EOK520" s="501"/>
      <c r="EOL520" s="501"/>
      <c r="EOM520" s="501"/>
      <c r="EON520" s="501"/>
      <c r="EOO520" s="501"/>
      <c r="EOP520" s="501"/>
      <c r="EOQ520" s="501"/>
      <c r="EOR520" s="501"/>
      <c r="EOS520" s="501"/>
      <c r="EOT520" s="501"/>
      <c r="EOU520" s="501"/>
      <c r="EOV520" s="501"/>
      <c r="EOW520" s="501"/>
      <c r="EOX520" s="501"/>
      <c r="EOY520" s="501"/>
      <c r="EOZ520" s="501"/>
      <c r="EPA520" s="501"/>
      <c r="EPB520" s="501"/>
      <c r="EPC520" s="501"/>
      <c r="EPD520" s="501"/>
      <c r="EPE520" s="501"/>
      <c r="EPF520" s="501"/>
      <c r="EPG520" s="501"/>
      <c r="EPH520" s="501"/>
      <c r="EPI520" s="501"/>
      <c r="EPJ520" s="501"/>
      <c r="EPK520" s="501"/>
      <c r="EPL520" s="501"/>
      <c r="EPM520" s="501"/>
      <c r="EPN520" s="501"/>
      <c r="EPO520" s="501"/>
      <c r="EPP520" s="501"/>
      <c r="EPQ520" s="501"/>
      <c r="EPR520" s="501"/>
      <c r="EPS520" s="501"/>
      <c r="EPT520" s="501"/>
      <c r="EPU520" s="501"/>
      <c r="EPV520" s="501"/>
      <c r="EPW520" s="501"/>
      <c r="EPX520" s="501"/>
      <c r="EPY520" s="501"/>
      <c r="EPZ520" s="501"/>
      <c r="EQA520" s="501"/>
      <c r="EQB520" s="501"/>
      <c r="EQC520" s="501"/>
      <c r="EQD520" s="501"/>
      <c r="EQE520" s="501"/>
      <c r="EQF520" s="501"/>
      <c r="EQG520" s="501"/>
      <c r="EQH520" s="501"/>
      <c r="EQI520" s="501"/>
      <c r="EQJ520" s="501"/>
      <c r="EQK520" s="501"/>
      <c r="EQL520" s="501"/>
      <c r="EQM520" s="501"/>
      <c r="EQN520" s="501"/>
      <c r="EQO520" s="501"/>
      <c r="EQP520" s="501"/>
      <c r="EQQ520" s="501"/>
      <c r="EQR520" s="501"/>
      <c r="EQS520" s="501"/>
      <c r="EQT520" s="501"/>
      <c r="EQU520" s="501"/>
      <c r="EQV520" s="501"/>
      <c r="EQW520" s="501"/>
      <c r="EQX520" s="501"/>
      <c r="EQY520" s="501"/>
      <c r="EQZ520" s="501"/>
      <c r="ERA520" s="501"/>
      <c r="ERB520" s="501"/>
      <c r="ERC520" s="501"/>
      <c r="ERD520" s="501"/>
      <c r="ERE520" s="501"/>
      <c r="ERF520" s="501"/>
      <c r="ERG520" s="501"/>
      <c r="ERH520" s="501"/>
      <c r="ERI520" s="501"/>
      <c r="ERJ520" s="501"/>
      <c r="ERK520" s="501"/>
      <c r="ERL520" s="501"/>
      <c r="ERM520" s="501"/>
      <c r="ERN520" s="501"/>
      <c r="ERO520" s="501"/>
      <c r="ERP520" s="501"/>
      <c r="ERQ520" s="501"/>
      <c r="ERR520" s="501"/>
      <c r="ERS520" s="501"/>
      <c r="ERT520" s="501"/>
      <c r="ERU520" s="501"/>
      <c r="ERV520" s="501"/>
      <c r="ERW520" s="501"/>
      <c r="ERX520" s="501"/>
      <c r="ERY520" s="501"/>
      <c r="ERZ520" s="501"/>
      <c r="ESA520" s="501"/>
      <c r="ESB520" s="501"/>
      <c r="ESC520" s="501"/>
      <c r="ESD520" s="501"/>
      <c r="ESE520" s="501"/>
      <c r="ESF520" s="501"/>
      <c r="ESG520" s="501"/>
      <c r="ESH520" s="501"/>
      <c r="ESI520" s="501"/>
      <c r="ESJ520" s="501"/>
      <c r="ESK520" s="501"/>
      <c r="ESL520" s="501"/>
      <c r="ESM520" s="501"/>
      <c r="ESN520" s="501"/>
      <c r="ESO520" s="501"/>
      <c r="ESP520" s="501"/>
      <c r="ESQ520" s="501"/>
      <c r="ESR520" s="501"/>
      <c r="ESS520" s="501"/>
      <c r="EST520" s="501"/>
      <c r="ESU520" s="501"/>
      <c r="ESV520" s="501"/>
      <c r="ESW520" s="501"/>
      <c r="ESX520" s="501"/>
      <c r="ESY520" s="501"/>
      <c r="ESZ520" s="501"/>
      <c r="ETA520" s="501"/>
      <c r="ETB520" s="501"/>
      <c r="ETC520" s="501"/>
      <c r="ETD520" s="501"/>
      <c r="ETE520" s="501"/>
      <c r="ETF520" s="501"/>
      <c r="ETG520" s="501"/>
      <c r="ETH520" s="501"/>
      <c r="ETI520" s="501"/>
      <c r="ETJ520" s="501"/>
      <c r="ETK520" s="501"/>
      <c r="ETL520" s="501"/>
      <c r="ETM520" s="501"/>
      <c r="ETN520" s="501"/>
      <c r="ETO520" s="501"/>
      <c r="ETP520" s="501"/>
      <c r="ETQ520" s="501"/>
      <c r="ETR520" s="501"/>
      <c r="ETS520" s="501"/>
      <c r="ETT520" s="501"/>
      <c r="ETU520" s="501"/>
      <c r="ETV520" s="501"/>
      <c r="ETW520" s="501"/>
      <c r="ETX520" s="501"/>
      <c r="ETY520" s="501"/>
      <c r="ETZ520" s="501"/>
      <c r="EUA520" s="501"/>
      <c r="EUB520" s="501"/>
      <c r="EUC520" s="501"/>
      <c r="EUD520" s="501"/>
      <c r="EUE520" s="501"/>
      <c r="EUF520" s="501"/>
      <c r="EUG520" s="501"/>
      <c r="EUH520" s="501"/>
      <c r="EUI520" s="501"/>
      <c r="EUJ520" s="501"/>
      <c r="EUK520" s="501"/>
      <c r="EUL520" s="501"/>
      <c r="EUM520" s="501"/>
      <c r="EUN520" s="501"/>
      <c r="EUO520" s="501"/>
      <c r="EUP520" s="501"/>
      <c r="EUQ520" s="501"/>
      <c r="EUR520" s="501"/>
      <c r="EUS520" s="501"/>
      <c r="EUT520" s="501"/>
      <c r="EUU520" s="501"/>
      <c r="EUV520" s="501"/>
      <c r="EUW520" s="501"/>
      <c r="EUX520" s="501"/>
      <c r="EUY520" s="501"/>
      <c r="EUZ520" s="501"/>
      <c r="EVA520" s="501"/>
      <c r="EVB520" s="501"/>
      <c r="EVC520" s="501"/>
      <c r="EVD520" s="501"/>
      <c r="EVE520" s="501"/>
      <c r="EVF520" s="501"/>
      <c r="EVG520" s="501"/>
      <c r="EVH520" s="501"/>
      <c r="EVI520" s="501"/>
      <c r="EVJ520" s="501"/>
      <c r="EVK520" s="501"/>
      <c r="EVL520" s="501"/>
      <c r="EVM520" s="501"/>
      <c r="EVN520" s="501"/>
      <c r="EVO520" s="501"/>
      <c r="EVP520" s="501"/>
      <c r="EVQ520" s="501"/>
      <c r="EVR520" s="501"/>
      <c r="EVS520" s="501"/>
      <c r="EVT520" s="501"/>
      <c r="EVU520" s="501"/>
      <c r="EVV520" s="501"/>
      <c r="EVW520" s="501"/>
      <c r="EVX520" s="501"/>
      <c r="EVY520" s="501"/>
      <c r="EVZ520" s="501"/>
      <c r="EWA520" s="501"/>
      <c r="EWB520" s="501"/>
      <c r="EWC520" s="501"/>
      <c r="EWD520" s="501"/>
      <c r="EWE520" s="501"/>
      <c r="EWF520" s="501"/>
      <c r="EWG520" s="501"/>
      <c r="EWH520" s="501"/>
      <c r="EWI520" s="501"/>
      <c r="EWJ520" s="501"/>
      <c r="EWK520" s="501"/>
      <c r="EWL520" s="501"/>
      <c r="EWM520" s="501"/>
      <c r="EWN520" s="501"/>
      <c r="EWO520" s="501"/>
      <c r="EWP520" s="501"/>
      <c r="EWQ520" s="501"/>
      <c r="EWR520" s="501"/>
      <c r="EWS520" s="501"/>
      <c r="EWT520" s="501"/>
      <c r="EWU520" s="501"/>
      <c r="EWV520" s="501"/>
      <c r="EWW520" s="501"/>
      <c r="EWX520" s="501"/>
      <c r="EWY520" s="501"/>
      <c r="EWZ520" s="501"/>
      <c r="EXA520" s="501"/>
      <c r="EXB520" s="501"/>
      <c r="EXC520" s="501"/>
      <c r="EXD520" s="501"/>
      <c r="EXE520" s="501"/>
      <c r="EXF520" s="501"/>
      <c r="EXG520" s="501"/>
      <c r="EXH520" s="501"/>
      <c r="EXI520" s="501"/>
      <c r="EXJ520" s="501"/>
      <c r="EXK520" s="501"/>
      <c r="EXL520" s="501"/>
      <c r="EXM520" s="501"/>
      <c r="EXN520" s="501"/>
      <c r="EXO520" s="501"/>
      <c r="EXP520" s="501"/>
      <c r="EXQ520" s="501"/>
      <c r="EXR520" s="501"/>
      <c r="EXS520" s="501"/>
      <c r="EXT520" s="501"/>
      <c r="EXU520" s="501"/>
      <c r="EXV520" s="501"/>
      <c r="EXW520" s="501"/>
      <c r="EXX520" s="501"/>
      <c r="EXY520" s="501"/>
      <c r="EXZ520" s="501"/>
      <c r="EYA520" s="501"/>
      <c r="EYB520" s="501"/>
      <c r="EYC520" s="501"/>
      <c r="EYD520" s="501"/>
      <c r="EYE520" s="501"/>
      <c r="EYF520" s="501"/>
      <c r="EYG520" s="501"/>
      <c r="EYH520" s="501"/>
      <c r="EYI520" s="501"/>
      <c r="EYJ520" s="501"/>
      <c r="EYK520" s="501"/>
      <c r="EYL520" s="501"/>
      <c r="EYM520" s="501"/>
      <c r="EYN520" s="501"/>
      <c r="EYO520" s="501"/>
      <c r="EYP520" s="501"/>
      <c r="EYQ520" s="501"/>
      <c r="EYR520" s="501"/>
      <c r="EYS520" s="501"/>
      <c r="EYT520" s="501"/>
      <c r="EYU520" s="501"/>
      <c r="EYV520" s="501"/>
      <c r="EYW520" s="501"/>
      <c r="EYX520" s="501"/>
      <c r="EYY520" s="501"/>
      <c r="EYZ520" s="501"/>
      <c r="EZA520" s="501"/>
      <c r="EZB520" s="501"/>
      <c r="EZC520" s="501"/>
      <c r="EZD520" s="501"/>
      <c r="EZE520" s="501"/>
      <c r="EZF520" s="501"/>
      <c r="EZG520" s="501"/>
      <c r="EZH520" s="501"/>
      <c r="EZI520" s="501"/>
      <c r="EZJ520" s="501"/>
      <c r="EZK520" s="501"/>
      <c r="EZL520" s="501"/>
      <c r="EZM520" s="501"/>
      <c r="EZN520" s="501"/>
      <c r="EZO520" s="501"/>
      <c r="EZP520" s="501"/>
      <c r="EZQ520" s="501"/>
      <c r="EZR520" s="501"/>
      <c r="EZS520" s="501"/>
      <c r="EZT520" s="501"/>
      <c r="EZU520" s="501"/>
      <c r="EZV520" s="501"/>
      <c r="EZW520" s="501"/>
      <c r="EZX520" s="501"/>
      <c r="EZY520" s="501"/>
      <c r="EZZ520" s="501"/>
      <c r="FAA520" s="501"/>
      <c r="FAB520" s="501"/>
      <c r="FAC520" s="501"/>
      <c r="FAD520" s="501"/>
      <c r="FAE520" s="501"/>
      <c r="FAF520" s="501"/>
      <c r="FAG520" s="501"/>
      <c r="FAH520" s="501"/>
      <c r="FAI520" s="501"/>
      <c r="FAJ520" s="501"/>
      <c r="FAK520" s="501"/>
      <c r="FAL520" s="501"/>
      <c r="FAM520" s="501"/>
      <c r="FAN520" s="501"/>
      <c r="FAO520" s="501"/>
      <c r="FAP520" s="501"/>
      <c r="FAQ520" s="501"/>
      <c r="FAR520" s="501"/>
      <c r="FAS520" s="501"/>
      <c r="FAT520" s="501"/>
      <c r="FAU520" s="501"/>
      <c r="FAV520" s="501"/>
      <c r="FAW520" s="501"/>
      <c r="FAX520" s="501"/>
      <c r="FAY520" s="501"/>
      <c r="FAZ520" s="501"/>
      <c r="FBA520" s="501"/>
      <c r="FBB520" s="501"/>
      <c r="FBC520" s="501"/>
      <c r="FBD520" s="501"/>
      <c r="FBE520" s="501"/>
      <c r="FBF520" s="501"/>
      <c r="FBG520" s="501"/>
      <c r="FBH520" s="501"/>
      <c r="FBI520" s="501"/>
      <c r="FBJ520" s="501"/>
      <c r="FBK520" s="501"/>
      <c r="FBL520" s="501"/>
      <c r="FBM520" s="501"/>
      <c r="FBN520" s="501"/>
      <c r="FBO520" s="501"/>
      <c r="FBP520" s="501"/>
      <c r="FBQ520" s="501"/>
      <c r="FBR520" s="501"/>
      <c r="FBS520" s="501"/>
      <c r="FBT520" s="501"/>
      <c r="FBU520" s="501"/>
      <c r="FBV520" s="501"/>
      <c r="FBW520" s="501"/>
      <c r="FBX520" s="501"/>
      <c r="FBY520" s="501"/>
      <c r="FBZ520" s="501"/>
      <c r="FCA520" s="501"/>
      <c r="FCB520" s="501"/>
      <c r="FCC520" s="501"/>
      <c r="FCD520" s="501"/>
      <c r="FCE520" s="501"/>
      <c r="FCF520" s="501"/>
      <c r="FCG520" s="501"/>
      <c r="FCH520" s="501"/>
      <c r="FCI520" s="501"/>
      <c r="FCJ520" s="501"/>
      <c r="FCK520" s="501"/>
      <c r="FCL520" s="501"/>
      <c r="FCM520" s="501"/>
      <c r="FCN520" s="501"/>
      <c r="FCO520" s="501"/>
      <c r="FCP520" s="501"/>
      <c r="FCQ520" s="501"/>
      <c r="FCR520" s="501"/>
      <c r="FCS520" s="501"/>
      <c r="FCT520" s="501"/>
      <c r="FCU520" s="501"/>
      <c r="FCV520" s="501"/>
      <c r="FCW520" s="501"/>
      <c r="FCX520" s="501"/>
      <c r="FCY520" s="501"/>
      <c r="FCZ520" s="501"/>
      <c r="FDA520" s="501"/>
      <c r="FDB520" s="501"/>
      <c r="FDC520" s="501"/>
      <c r="FDD520" s="501"/>
      <c r="FDE520" s="501"/>
      <c r="FDF520" s="501"/>
      <c r="FDG520" s="501"/>
      <c r="FDH520" s="501"/>
      <c r="FDI520" s="501"/>
      <c r="FDJ520" s="501"/>
      <c r="FDK520" s="501"/>
      <c r="FDL520" s="501"/>
      <c r="FDM520" s="501"/>
      <c r="FDN520" s="501"/>
      <c r="FDO520" s="501"/>
      <c r="FDP520" s="501"/>
      <c r="FDQ520" s="501"/>
      <c r="FDR520" s="501"/>
      <c r="FDS520" s="501"/>
      <c r="FDT520" s="501"/>
      <c r="FDU520" s="501"/>
      <c r="FDV520" s="501"/>
      <c r="FDW520" s="501"/>
      <c r="FDX520" s="501"/>
      <c r="FDY520" s="501"/>
      <c r="FDZ520" s="501"/>
      <c r="FEA520" s="501"/>
      <c r="FEB520" s="501"/>
      <c r="FEC520" s="501"/>
      <c r="FED520" s="501"/>
      <c r="FEE520" s="501"/>
      <c r="FEF520" s="501"/>
      <c r="FEG520" s="501"/>
      <c r="FEH520" s="501"/>
      <c r="FEI520" s="501"/>
      <c r="FEJ520" s="501"/>
      <c r="FEK520" s="501"/>
      <c r="FEL520" s="501"/>
      <c r="FEM520" s="501"/>
      <c r="FEN520" s="501"/>
      <c r="FEO520" s="501"/>
      <c r="FEP520" s="501"/>
      <c r="FEQ520" s="501"/>
      <c r="FER520" s="501"/>
      <c r="FES520" s="501"/>
      <c r="FET520" s="501"/>
      <c r="FEU520" s="501"/>
      <c r="FEV520" s="501"/>
      <c r="FEW520" s="501"/>
      <c r="FEX520" s="501"/>
      <c r="FEY520" s="501"/>
      <c r="FEZ520" s="501"/>
      <c r="FFA520" s="501"/>
      <c r="FFB520" s="501"/>
      <c r="FFC520" s="501"/>
      <c r="FFD520" s="501"/>
      <c r="FFE520" s="501"/>
      <c r="FFF520" s="501"/>
      <c r="FFG520" s="501"/>
      <c r="FFH520" s="501"/>
      <c r="FFI520" s="501"/>
      <c r="FFJ520" s="501"/>
      <c r="FFK520" s="501"/>
      <c r="FFL520" s="501"/>
      <c r="FFM520" s="501"/>
      <c r="FFN520" s="501"/>
      <c r="FFO520" s="501"/>
      <c r="FFP520" s="501"/>
      <c r="FFQ520" s="501"/>
      <c r="FFR520" s="501"/>
      <c r="FFS520" s="501"/>
      <c r="FFT520" s="501"/>
      <c r="FFU520" s="501"/>
      <c r="FFV520" s="501"/>
      <c r="FFW520" s="501"/>
      <c r="FFX520" s="501"/>
      <c r="FFY520" s="501"/>
      <c r="FFZ520" s="501"/>
      <c r="FGA520" s="501"/>
      <c r="FGB520" s="501"/>
      <c r="FGC520" s="501"/>
      <c r="FGD520" s="501"/>
      <c r="FGE520" s="501"/>
      <c r="FGF520" s="501"/>
      <c r="FGG520" s="501"/>
      <c r="FGH520" s="501"/>
      <c r="FGI520" s="501"/>
      <c r="FGJ520" s="501"/>
      <c r="FGK520" s="501"/>
      <c r="FGL520" s="501"/>
      <c r="FGM520" s="501"/>
      <c r="FGN520" s="501"/>
      <c r="FGO520" s="501"/>
      <c r="FGP520" s="501"/>
      <c r="FGQ520" s="501"/>
      <c r="FGR520" s="501"/>
      <c r="FGS520" s="501"/>
      <c r="FGT520" s="501"/>
      <c r="FGU520" s="501"/>
      <c r="FGV520" s="501"/>
      <c r="FGW520" s="501"/>
      <c r="FGX520" s="501"/>
      <c r="FGY520" s="501"/>
      <c r="FGZ520" s="501"/>
      <c r="FHA520" s="501"/>
      <c r="FHB520" s="501"/>
      <c r="FHC520" s="501"/>
      <c r="FHD520" s="501"/>
      <c r="FHE520" s="501"/>
      <c r="FHF520" s="501"/>
      <c r="FHG520" s="501"/>
      <c r="FHH520" s="501"/>
      <c r="FHI520" s="501"/>
      <c r="FHJ520" s="501"/>
      <c r="FHK520" s="501"/>
      <c r="FHL520" s="501"/>
      <c r="FHM520" s="501"/>
      <c r="FHN520" s="501"/>
      <c r="FHO520" s="501"/>
      <c r="FHP520" s="501"/>
      <c r="FHQ520" s="501"/>
      <c r="FHR520" s="501"/>
      <c r="FHS520" s="501"/>
      <c r="FHT520" s="501"/>
      <c r="FHU520" s="501"/>
      <c r="FHV520" s="501"/>
      <c r="FHW520" s="501"/>
      <c r="FHX520" s="501"/>
      <c r="FHY520" s="501"/>
      <c r="FHZ520" s="501"/>
      <c r="FIA520" s="501"/>
      <c r="FIB520" s="501"/>
      <c r="FIC520" s="501"/>
      <c r="FID520" s="501"/>
      <c r="FIE520" s="501"/>
      <c r="FIF520" s="501"/>
      <c r="FIG520" s="501"/>
      <c r="FIH520" s="501"/>
      <c r="FII520" s="501"/>
      <c r="FIJ520" s="501"/>
      <c r="FIK520" s="501"/>
      <c r="FIL520" s="501"/>
      <c r="FIM520" s="501"/>
      <c r="FIN520" s="501"/>
      <c r="FIO520" s="501"/>
      <c r="FIP520" s="501"/>
      <c r="FIQ520" s="501"/>
      <c r="FIR520" s="501"/>
      <c r="FIS520" s="501"/>
      <c r="FIT520" s="501"/>
      <c r="FIU520" s="501"/>
      <c r="FIV520" s="501"/>
      <c r="FIW520" s="501"/>
      <c r="FIX520" s="501"/>
      <c r="FIY520" s="501"/>
      <c r="FIZ520" s="501"/>
      <c r="FJA520" s="501"/>
      <c r="FJB520" s="501"/>
      <c r="FJC520" s="501"/>
      <c r="FJD520" s="501"/>
      <c r="FJE520" s="501"/>
      <c r="FJF520" s="501"/>
      <c r="FJG520" s="501"/>
      <c r="FJH520" s="501"/>
      <c r="FJI520" s="501"/>
      <c r="FJJ520" s="501"/>
      <c r="FJK520" s="501"/>
      <c r="FJL520" s="501"/>
      <c r="FJM520" s="501"/>
      <c r="FJN520" s="501"/>
      <c r="FJO520" s="501"/>
      <c r="FJP520" s="501"/>
      <c r="FJQ520" s="501"/>
      <c r="FJR520" s="501"/>
      <c r="FJS520" s="501"/>
      <c r="FJT520" s="501"/>
      <c r="FJU520" s="501"/>
      <c r="FJV520" s="501"/>
      <c r="FJW520" s="501"/>
      <c r="FJX520" s="501"/>
      <c r="FJY520" s="501"/>
      <c r="FJZ520" s="501"/>
      <c r="FKA520" s="501"/>
      <c r="FKB520" s="501"/>
      <c r="FKC520" s="501"/>
      <c r="FKD520" s="501"/>
      <c r="FKE520" s="501"/>
      <c r="FKF520" s="501"/>
      <c r="FKG520" s="501"/>
      <c r="FKH520" s="501"/>
      <c r="FKI520" s="501"/>
      <c r="FKJ520" s="501"/>
      <c r="FKK520" s="501"/>
      <c r="FKL520" s="501"/>
      <c r="FKM520" s="501"/>
      <c r="FKN520" s="501"/>
      <c r="FKO520" s="501"/>
      <c r="FKP520" s="501"/>
      <c r="FKQ520" s="501"/>
      <c r="FKR520" s="501"/>
      <c r="FKS520" s="501"/>
      <c r="FKT520" s="501"/>
      <c r="FKU520" s="501"/>
      <c r="FKV520" s="501"/>
      <c r="FKW520" s="501"/>
      <c r="FKX520" s="501"/>
      <c r="FKY520" s="501"/>
      <c r="FKZ520" s="501"/>
      <c r="FLA520" s="501"/>
      <c r="FLB520" s="501"/>
      <c r="FLC520" s="501"/>
      <c r="FLD520" s="501"/>
      <c r="FLE520" s="501"/>
      <c r="FLF520" s="501"/>
      <c r="FLG520" s="501"/>
      <c r="FLH520" s="501"/>
      <c r="FLI520" s="501"/>
      <c r="FLJ520" s="501"/>
      <c r="FLK520" s="501"/>
      <c r="FLL520" s="501"/>
      <c r="FLM520" s="501"/>
      <c r="FLN520" s="501"/>
      <c r="FLO520" s="501"/>
      <c r="FLP520" s="501"/>
      <c r="FLQ520" s="501"/>
      <c r="FLR520" s="501"/>
      <c r="FLS520" s="501"/>
      <c r="FLT520" s="501"/>
      <c r="FLU520" s="501"/>
      <c r="FLV520" s="501"/>
      <c r="FLW520" s="501"/>
      <c r="FLX520" s="501"/>
      <c r="FLY520" s="501"/>
      <c r="FLZ520" s="501"/>
      <c r="FMA520" s="501"/>
      <c r="FMB520" s="501"/>
      <c r="FMC520" s="501"/>
      <c r="FMD520" s="501"/>
      <c r="FME520" s="501"/>
      <c r="FMF520" s="501"/>
      <c r="FMG520" s="501"/>
      <c r="FMH520" s="501"/>
      <c r="FMI520" s="501"/>
      <c r="FMJ520" s="501"/>
      <c r="FMK520" s="501"/>
      <c r="FML520" s="501"/>
      <c r="FMM520" s="501"/>
      <c r="FMN520" s="501"/>
      <c r="FMO520" s="501"/>
      <c r="FMP520" s="501"/>
      <c r="FMQ520" s="501"/>
      <c r="FMR520" s="501"/>
      <c r="FMS520" s="501"/>
      <c r="FMT520" s="501"/>
      <c r="FMU520" s="501"/>
      <c r="FMV520" s="501"/>
      <c r="FMW520" s="501"/>
      <c r="FMX520" s="501"/>
      <c r="FMY520" s="501"/>
      <c r="FMZ520" s="501"/>
      <c r="FNA520" s="501"/>
      <c r="FNB520" s="501"/>
      <c r="FNC520" s="501"/>
      <c r="FND520" s="501"/>
      <c r="FNE520" s="501"/>
      <c r="FNF520" s="501"/>
      <c r="FNG520" s="501"/>
      <c r="FNH520" s="501"/>
      <c r="FNI520" s="501"/>
      <c r="FNJ520" s="501"/>
      <c r="FNK520" s="501"/>
      <c r="FNL520" s="501"/>
      <c r="FNM520" s="501"/>
      <c r="FNN520" s="501"/>
      <c r="FNO520" s="501"/>
      <c r="FNP520" s="501"/>
      <c r="FNQ520" s="501"/>
      <c r="FNR520" s="501"/>
      <c r="FNS520" s="501"/>
      <c r="FNT520" s="501"/>
      <c r="FNU520" s="501"/>
      <c r="FNV520" s="501"/>
      <c r="FNW520" s="501"/>
      <c r="FNX520" s="501"/>
      <c r="FNY520" s="501"/>
      <c r="FNZ520" s="501"/>
      <c r="FOA520" s="501"/>
      <c r="FOB520" s="501"/>
      <c r="FOC520" s="501"/>
      <c r="FOD520" s="501"/>
      <c r="FOE520" s="501"/>
      <c r="FOF520" s="501"/>
      <c r="FOG520" s="501"/>
      <c r="FOH520" s="501"/>
      <c r="FOI520" s="501"/>
      <c r="FOJ520" s="501"/>
      <c r="FOK520" s="501"/>
      <c r="FOL520" s="501"/>
      <c r="FOM520" s="501"/>
      <c r="FON520" s="501"/>
      <c r="FOO520" s="501"/>
      <c r="FOP520" s="501"/>
      <c r="FOQ520" s="501"/>
      <c r="FOR520" s="501"/>
      <c r="FOS520" s="501"/>
      <c r="FOT520" s="501"/>
      <c r="FOU520" s="501"/>
      <c r="FOV520" s="501"/>
      <c r="FOW520" s="501"/>
      <c r="FOX520" s="501"/>
      <c r="FOY520" s="501"/>
      <c r="FOZ520" s="501"/>
      <c r="FPA520" s="501"/>
      <c r="FPB520" s="501"/>
      <c r="FPC520" s="501"/>
      <c r="FPD520" s="501"/>
      <c r="FPE520" s="501"/>
      <c r="FPF520" s="501"/>
      <c r="FPG520" s="501"/>
      <c r="FPH520" s="501"/>
      <c r="FPI520" s="501"/>
      <c r="FPJ520" s="501"/>
      <c r="FPK520" s="501"/>
      <c r="FPL520" s="501"/>
      <c r="FPM520" s="501"/>
      <c r="FPN520" s="501"/>
      <c r="FPO520" s="501"/>
      <c r="FPP520" s="501"/>
      <c r="FPQ520" s="501"/>
      <c r="FPR520" s="501"/>
      <c r="FPS520" s="501"/>
      <c r="FPT520" s="501"/>
      <c r="FPU520" s="501"/>
      <c r="FPV520" s="501"/>
      <c r="FPW520" s="501"/>
      <c r="FPX520" s="501"/>
      <c r="FPY520" s="501"/>
      <c r="FPZ520" s="501"/>
      <c r="FQA520" s="501"/>
      <c r="FQB520" s="501"/>
      <c r="FQC520" s="501"/>
      <c r="FQD520" s="501"/>
      <c r="FQE520" s="501"/>
      <c r="FQF520" s="501"/>
      <c r="FQG520" s="501"/>
      <c r="FQH520" s="501"/>
      <c r="FQI520" s="501"/>
      <c r="FQJ520" s="501"/>
      <c r="FQK520" s="501"/>
      <c r="FQL520" s="501"/>
      <c r="FQM520" s="501"/>
      <c r="FQN520" s="501"/>
      <c r="FQO520" s="501"/>
      <c r="FQP520" s="501"/>
      <c r="FQQ520" s="501"/>
      <c r="FQR520" s="501"/>
      <c r="FQS520" s="501"/>
      <c r="FQT520" s="501"/>
      <c r="FQU520" s="501"/>
      <c r="FQV520" s="501"/>
      <c r="FQW520" s="501"/>
      <c r="FQX520" s="501"/>
      <c r="FQY520" s="501"/>
      <c r="FQZ520" s="501"/>
      <c r="FRA520" s="501"/>
      <c r="FRB520" s="501"/>
      <c r="FRC520" s="501"/>
      <c r="FRD520" s="501"/>
      <c r="FRE520" s="501"/>
      <c r="FRF520" s="501"/>
      <c r="FRG520" s="501"/>
      <c r="FRH520" s="501"/>
      <c r="FRI520" s="501"/>
      <c r="FRJ520" s="501"/>
      <c r="FRK520" s="501"/>
      <c r="FRL520" s="501"/>
      <c r="FRM520" s="501"/>
      <c r="FRN520" s="501"/>
      <c r="FRO520" s="501"/>
      <c r="FRP520" s="501"/>
      <c r="FRQ520" s="501"/>
      <c r="FRR520" s="501"/>
      <c r="FRS520" s="501"/>
      <c r="FRT520" s="501"/>
      <c r="FRU520" s="501"/>
      <c r="FRV520" s="501"/>
      <c r="FRW520" s="501"/>
      <c r="FRX520" s="501"/>
      <c r="FRY520" s="501"/>
      <c r="FRZ520" s="501"/>
      <c r="FSA520" s="501"/>
      <c r="FSB520" s="501"/>
      <c r="FSC520" s="501"/>
      <c r="FSD520" s="501"/>
      <c r="FSE520" s="501"/>
      <c r="FSF520" s="501"/>
      <c r="FSG520" s="501"/>
      <c r="FSH520" s="501"/>
      <c r="FSI520" s="501"/>
      <c r="FSJ520" s="501"/>
      <c r="FSK520" s="501"/>
      <c r="FSL520" s="501"/>
      <c r="FSM520" s="501"/>
      <c r="FSN520" s="501"/>
      <c r="FSO520" s="501"/>
      <c r="FSP520" s="501"/>
      <c r="FSQ520" s="501"/>
      <c r="FSR520" s="501"/>
      <c r="FSS520" s="501"/>
      <c r="FST520" s="501"/>
      <c r="FSU520" s="501"/>
      <c r="FSV520" s="501"/>
      <c r="FSW520" s="501"/>
      <c r="FSX520" s="501"/>
      <c r="FSY520" s="501"/>
      <c r="FSZ520" s="501"/>
      <c r="FTA520" s="501"/>
      <c r="FTB520" s="501"/>
      <c r="FTC520" s="501"/>
      <c r="FTD520" s="501"/>
      <c r="FTE520" s="501"/>
      <c r="FTF520" s="501"/>
      <c r="FTG520" s="501"/>
      <c r="FTH520" s="501"/>
      <c r="FTI520" s="501"/>
      <c r="FTJ520" s="501"/>
      <c r="FTK520" s="501"/>
      <c r="FTL520" s="501"/>
      <c r="FTM520" s="501"/>
      <c r="FTN520" s="501"/>
      <c r="FTO520" s="501"/>
      <c r="FTP520" s="501"/>
      <c r="FTQ520" s="501"/>
      <c r="FTR520" s="501"/>
      <c r="FTS520" s="501"/>
      <c r="FTT520" s="501"/>
      <c r="FTU520" s="501"/>
      <c r="FTV520" s="501"/>
      <c r="FTW520" s="501"/>
      <c r="FTX520" s="501"/>
      <c r="FTY520" s="501"/>
      <c r="FTZ520" s="501"/>
      <c r="FUA520" s="501"/>
      <c r="FUB520" s="501"/>
      <c r="FUC520" s="501"/>
      <c r="FUD520" s="501"/>
      <c r="FUE520" s="501"/>
      <c r="FUF520" s="501"/>
      <c r="FUG520" s="501"/>
      <c r="FUH520" s="501"/>
      <c r="FUI520" s="501"/>
      <c r="FUJ520" s="501"/>
      <c r="FUK520" s="501"/>
      <c r="FUL520" s="501"/>
      <c r="FUM520" s="501"/>
      <c r="FUN520" s="501"/>
      <c r="FUO520" s="501"/>
      <c r="FUP520" s="501"/>
      <c r="FUQ520" s="501"/>
      <c r="FUR520" s="501"/>
      <c r="FUS520" s="501"/>
      <c r="FUT520" s="501"/>
      <c r="FUU520" s="501"/>
      <c r="FUV520" s="501"/>
      <c r="FUW520" s="501"/>
      <c r="FUX520" s="501"/>
      <c r="FUY520" s="501"/>
      <c r="FUZ520" s="501"/>
      <c r="FVA520" s="501"/>
      <c r="FVB520" s="501"/>
      <c r="FVC520" s="501"/>
      <c r="FVD520" s="501"/>
      <c r="FVE520" s="501"/>
      <c r="FVF520" s="501"/>
      <c r="FVG520" s="501"/>
      <c r="FVH520" s="501"/>
      <c r="FVI520" s="501"/>
      <c r="FVJ520" s="501"/>
      <c r="FVK520" s="501"/>
      <c r="FVL520" s="501"/>
      <c r="FVM520" s="501"/>
      <c r="FVN520" s="501"/>
      <c r="FVO520" s="501"/>
      <c r="FVP520" s="501"/>
      <c r="FVQ520" s="501"/>
      <c r="FVR520" s="501"/>
      <c r="FVS520" s="501"/>
      <c r="FVT520" s="501"/>
      <c r="FVU520" s="501"/>
      <c r="FVV520" s="501"/>
      <c r="FVW520" s="501"/>
      <c r="FVX520" s="501"/>
      <c r="FVY520" s="501"/>
      <c r="FVZ520" s="501"/>
      <c r="FWA520" s="501"/>
      <c r="FWB520" s="501"/>
      <c r="FWC520" s="501"/>
      <c r="FWD520" s="501"/>
      <c r="FWE520" s="501"/>
      <c r="FWF520" s="501"/>
      <c r="FWG520" s="501"/>
      <c r="FWH520" s="501"/>
      <c r="FWI520" s="501"/>
      <c r="FWJ520" s="501"/>
      <c r="FWK520" s="501"/>
      <c r="FWL520" s="501"/>
      <c r="FWM520" s="501"/>
      <c r="FWN520" s="501"/>
      <c r="FWO520" s="501"/>
      <c r="FWP520" s="501"/>
      <c r="FWQ520" s="501"/>
      <c r="FWR520" s="501"/>
      <c r="FWS520" s="501"/>
      <c r="FWT520" s="501"/>
      <c r="FWU520" s="501"/>
      <c r="FWV520" s="501"/>
      <c r="FWW520" s="501"/>
      <c r="FWX520" s="501"/>
      <c r="FWY520" s="501"/>
      <c r="FWZ520" s="501"/>
      <c r="FXA520" s="501"/>
      <c r="FXB520" s="501"/>
      <c r="FXC520" s="501"/>
      <c r="FXD520" s="501"/>
      <c r="FXE520" s="501"/>
      <c r="FXF520" s="501"/>
      <c r="FXG520" s="501"/>
      <c r="FXH520" s="501"/>
      <c r="FXI520" s="501"/>
      <c r="FXJ520" s="501"/>
      <c r="FXK520" s="501"/>
      <c r="FXL520" s="501"/>
      <c r="FXM520" s="501"/>
      <c r="FXN520" s="501"/>
      <c r="FXO520" s="501"/>
      <c r="FXP520" s="501"/>
      <c r="FXQ520" s="501"/>
      <c r="FXR520" s="501"/>
      <c r="FXS520" s="501"/>
      <c r="FXT520" s="501"/>
      <c r="FXU520" s="501"/>
      <c r="FXV520" s="501"/>
      <c r="FXW520" s="501"/>
      <c r="FXX520" s="501"/>
      <c r="FXY520" s="501"/>
      <c r="FXZ520" s="501"/>
      <c r="FYA520" s="501"/>
      <c r="FYB520" s="501"/>
      <c r="FYC520" s="501"/>
      <c r="FYD520" s="501"/>
      <c r="FYE520" s="501"/>
      <c r="FYF520" s="501"/>
      <c r="FYG520" s="501"/>
      <c r="FYH520" s="501"/>
      <c r="FYI520" s="501"/>
      <c r="FYJ520" s="501"/>
      <c r="FYK520" s="501"/>
      <c r="FYL520" s="501"/>
      <c r="FYM520" s="501"/>
      <c r="FYN520" s="501"/>
      <c r="FYO520" s="501"/>
      <c r="FYP520" s="501"/>
      <c r="FYQ520" s="501"/>
      <c r="FYR520" s="501"/>
      <c r="FYS520" s="501"/>
      <c r="FYT520" s="501"/>
      <c r="FYU520" s="501"/>
      <c r="FYV520" s="501"/>
      <c r="FYW520" s="501"/>
      <c r="FYX520" s="501"/>
      <c r="FYY520" s="501"/>
      <c r="FYZ520" s="501"/>
      <c r="FZA520" s="501"/>
      <c r="FZB520" s="501"/>
      <c r="FZC520" s="501"/>
      <c r="FZD520" s="501"/>
      <c r="FZE520" s="501"/>
      <c r="FZF520" s="501"/>
      <c r="FZG520" s="501"/>
      <c r="FZH520" s="501"/>
      <c r="FZI520" s="501"/>
      <c r="FZJ520" s="501"/>
      <c r="FZK520" s="501"/>
      <c r="FZL520" s="501"/>
      <c r="FZM520" s="501"/>
      <c r="FZN520" s="501"/>
      <c r="FZO520" s="501"/>
      <c r="FZP520" s="501"/>
      <c r="FZQ520" s="501"/>
      <c r="FZR520" s="501"/>
      <c r="FZS520" s="501"/>
      <c r="FZT520" s="501"/>
      <c r="FZU520" s="501"/>
      <c r="FZV520" s="501"/>
      <c r="FZW520" s="501"/>
      <c r="FZX520" s="501"/>
      <c r="FZY520" s="501"/>
      <c r="FZZ520" s="501"/>
      <c r="GAA520" s="501"/>
      <c r="GAB520" s="501"/>
      <c r="GAC520" s="501"/>
      <c r="GAD520" s="501"/>
      <c r="GAE520" s="501"/>
      <c r="GAF520" s="501"/>
      <c r="GAG520" s="501"/>
      <c r="GAH520" s="501"/>
      <c r="GAI520" s="501"/>
      <c r="GAJ520" s="501"/>
      <c r="GAK520" s="501"/>
      <c r="GAL520" s="501"/>
      <c r="GAM520" s="501"/>
      <c r="GAN520" s="501"/>
      <c r="GAO520" s="501"/>
      <c r="GAP520" s="501"/>
      <c r="GAQ520" s="501"/>
      <c r="GAR520" s="501"/>
      <c r="GAS520" s="501"/>
      <c r="GAT520" s="501"/>
      <c r="GAU520" s="501"/>
      <c r="GAV520" s="501"/>
      <c r="GAW520" s="501"/>
      <c r="GAX520" s="501"/>
      <c r="GAY520" s="501"/>
      <c r="GAZ520" s="501"/>
      <c r="GBA520" s="501"/>
      <c r="GBB520" s="501"/>
      <c r="GBC520" s="501"/>
      <c r="GBD520" s="501"/>
      <c r="GBE520" s="501"/>
      <c r="GBF520" s="501"/>
      <c r="GBG520" s="501"/>
      <c r="GBH520" s="501"/>
      <c r="GBI520" s="501"/>
      <c r="GBJ520" s="501"/>
      <c r="GBK520" s="501"/>
      <c r="GBL520" s="501"/>
      <c r="GBM520" s="501"/>
      <c r="GBN520" s="501"/>
      <c r="GBO520" s="501"/>
      <c r="GBP520" s="501"/>
      <c r="GBQ520" s="501"/>
      <c r="GBR520" s="501"/>
      <c r="GBS520" s="501"/>
      <c r="GBT520" s="501"/>
      <c r="GBU520" s="501"/>
      <c r="GBV520" s="501"/>
      <c r="GBW520" s="501"/>
      <c r="GBX520" s="501"/>
      <c r="GBY520" s="501"/>
      <c r="GBZ520" s="501"/>
      <c r="GCA520" s="501"/>
      <c r="GCB520" s="501"/>
      <c r="GCC520" s="501"/>
      <c r="GCD520" s="501"/>
      <c r="GCE520" s="501"/>
      <c r="GCF520" s="501"/>
      <c r="GCG520" s="501"/>
      <c r="GCH520" s="501"/>
      <c r="GCI520" s="501"/>
      <c r="GCJ520" s="501"/>
      <c r="GCK520" s="501"/>
      <c r="GCL520" s="501"/>
      <c r="GCM520" s="501"/>
      <c r="GCN520" s="501"/>
      <c r="GCO520" s="501"/>
      <c r="GCP520" s="501"/>
      <c r="GCQ520" s="501"/>
      <c r="GCR520" s="501"/>
      <c r="GCS520" s="501"/>
      <c r="GCT520" s="501"/>
      <c r="GCU520" s="501"/>
      <c r="GCV520" s="501"/>
      <c r="GCW520" s="501"/>
      <c r="GCX520" s="501"/>
      <c r="GCY520" s="501"/>
      <c r="GCZ520" s="501"/>
      <c r="GDA520" s="501"/>
      <c r="GDB520" s="501"/>
      <c r="GDC520" s="501"/>
      <c r="GDD520" s="501"/>
      <c r="GDE520" s="501"/>
      <c r="GDF520" s="501"/>
      <c r="GDG520" s="501"/>
      <c r="GDH520" s="501"/>
      <c r="GDI520" s="501"/>
      <c r="GDJ520" s="501"/>
      <c r="GDK520" s="501"/>
      <c r="GDL520" s="501"/>
      <c r="GDM520" s="501"/>
      <c r="GDN520" s="501"/>
      <c r="GDO520" s="501"/>
      <c r="GDP520" s="501"/>
      <c r="GDQ520" s="501"/>
      <c r="GDR520" s="501"/>
      <c r="GDS520" s="501"/>
      <c r="GDT520" s="501"/>
      <c r="GDU520" s="501"/>
      <c r="GDV520" s="501"/>
      <c r="GDW520" s="501"/>
      <c r="GDX520" s="501"/>
      <c r="GDY520" s="501"/>
      <c r="GDZ520" s="501"/>
      <c r="GEA520" s="501"/>
      <c r="GEB520" s="501"/>
      <c r="GEC520" s="501"/>
      <c r="GED520" s="501"/>
      <c r="GEE520" s="501"/>
      <c r="GEF520" s="501"/>
      <c r="GEG520" s="501"/>
      <c r="GEH520" s="501"/>
      <c r="GEI520" s="501"/>
      <c r="GEJ520" s="501"/>
      <c r="GEK520" s="501"/>
      <c r="GEL520" s="501"/>
      <c r="GEM520" s="501"/>
      <c r="GEN520" s="501"/>
      <c r="GEO520" s="501"/>
      <c r="GEP520" s="501"/>
      <c r="GEQ520" s="501"/>
      <c r="GER520" s="501"/>
      <c r="GES520" s="501"/>
      <c r="GET520" s="501"/>
      <c r="GEU520" s="501"/>
      <c r="GEV520" s="501"/>
      <c r="GEW520" s="501"/>
      <c r="GEX520" s="501"/>
      <c r="GEY520" s="501"/>
      <c r="GEZ520" s="501"/>
      <c r="GFA520" s="501"/>
      <c r="GFB520" s="501"/>
      <c r="GFC520" s="501"/>
      <c r="GFD520" s="501"/>
      <c r="GFE520" s="501"/>
      <c r="GFF520" s="501"/>
      <c r="GFG520" s="501"/>
      <c r="GFH520" s="501"/>
      <c r="GFI520" s="501"/>
      <c r="GFJ520" s="501"/>
      <c r="GFK520" s="501"/>
      <c r="GFL520" s="501"/>
      <c r="GFM520" s="501"/>
      <c r="GFN520" s="501"/>
      <c r="GFO520" s="501"/>
      <c r="GFP520" s="501"/>
      <c r="GFQ520" s="501"/>
      <c r="GFR520" s="501"/>
      <c r="GFS520" s="501"/>
      <c r="GFT520" s="501"/>
      <c r="GFU520" s="501"/>
      <c r="GFV520" s="501"/>
      <c r="GFW520" s="501"/>
      <c r="GFX520" s="501"/>
      <c r="GFY520" s="501"/>
      <c r="GFZ520" s="501"/>
      <c r="GGA520" s="501"/>
      <c r="GGB520" s="501"/>
      <c r="GGC520" s="501"/>
      <c r="GGD520" s="501"/>
      <c r="GGE520" s="501"/>
      <c r="GGF520" s="501"/>
      <c r="GGG520" s="501"/>
      <c r="GGH520" s="501"/>
      <c r="GGI520" s="501"/>
      <c r="GGJ520" s="501"/>
      <c r="GGK520" s="501"/>
      <c r="GGL520" s="501"/>
      <c r="GGM520" s="501"/>
      <c r="GGN520" s="501"/>
      <c r="GGO520" s="501"/>
      <c r="GGP520" s="501"/>
      <c r="GGQ520" s="501"/>
      <c r="GGR520" s="501"/>
      <c r="GGS520" s="501"/>
      <c r="GGT520" s="501"/>
      <c r="GGU520" s="501"/>
      <c r="GGV520" s="501"/>
      <c r="GGW520" s="501"/>
      <c r="GGX520" s="501"/>
      <c r="GGY520" s="501"/>
      <c r="GGZ520" s="501"/>
      <c r="GHA520" s="501"/>
      <c r="GHB520" s="501"/>
      <c r="GHC520" s="501"/>
      <c r="GHD520" s="501"/>
      <c r="GHE520" s="501"/>
      <c r="GHF520" s="501"/>
      <c r="GHG520" s="501"/>
      <c r="GHH520" s="501"/>
      <c r="GHI520" s="501"/>
      <c r="GHJ520" s="501"/>
      <c r="GHK520" s="501"/>
      <c r="GHL520" s="501"/>
      <c r="GHM520" s="501"/>
      <c r="GHN520" s="501"/>
      <c r="GHO520" s="501"/>
      <c r="GHP520" s="501"/>
      <c r="GHQ520" s="501"/>
      <c r="GHR520" s="501"/>
      <c r="GHS520" s="501"/>
      <c r="GHT520" s="501"/>
      <c r="GHU520" s="501"/>
      <c r="GHV520" s="501"/>
      <c r="GHW520" s="501"/>
      <c r="GHX520" s="501"/>
      <c r="GHY520" s="501"/>
      <c r="GHZ520" s="501"/>
      <c r="GIA520" s="501"/>
      <c r="GIB520" s="501"/>
      <c r="GIC520" s="501"/>
      <c r="GID520" s="501"/>
      <c r="GIE520" s="501"/>
      <c r="GIF520" s="501"/>
      <c r="GIG520" s="501"/>
      <c r="GIH520" s="501"/>
      <c r="GII520" s="501"/>
      <c r="GIJ520" s="501"/>
      <c r="GIK520" s="501"/>
      <c r="GIL520" s="501"/>
      <c r="GIM520" s="501"/>
      <c r="GIN520" s="501"/>
      <c r="GIO520" s="501"/>
      <c r="GIP520" s="501"/>
      <c r="GIQ520" s="501"/>
      <c r="GIR520" s="501"/>
      <c r="GIS520" s="501"/>
      <c r="GIT520" s="501"/>
      <c r="GIU520" s="501"/>
      <c r="GIV520" s="501"/>
      <c r="GIW520" s="501"/>
      <c r="GIX520" s="501"/>
      <c r="GIY520" s="501"/>
      <c r="GIZ520" s="501"/>
      <c r="GJA520" s="501"/>
      <c r="GJB520" s="501"/>
      <c r="GJC520" s="501"/>
      <c r="GJD520" s="501"/>
      <c r="GJE520" s="501"/>
      <c r="GJF520" s="501"/>
      <c r="GJG520" s="501"/>
      <c r="GJH520" s="501"/>
      <c r="GJI520" s="501"/>
      <c r="GJJ520" s="501"/>
      <c r="GJK520" s="501"/>
      <c r="GJL520" s="501"/>
      <c r="GJM520" s="501"/>
      <c r="GJN520" s="501"/>
      <c r="GJO520" s="501"/>
      <c r="GJP520" s="501"/>
      <c r="GJQ520" s="501"/>
      <c r="GJR520" s="501"/>
      <c r="GJS520" s="501"/>
      <c r="GJT520" s="501"/>
      <c r="GJU520" s="501"/>
      <c r="GJV520" s="501"/>
      <c r="GJW520" s="501"/>
      <c r="GJX520" s="501"/>
      <c r="GJY520" s="501"/>
      <c r="GJZ520" s="501"/>
      <c r="GKA520" s="501"/>
      <c r="GKB520" s="501"/>
      <c r="GKC520" s="501"/>
      <c r="GKD520" s="501"/>
      <c r="GKE520" s="501"/>
      <c r="GKF520" s="501"/>
      <c r="GKG520" s="501"/>
      <c r="GKH520" s="501"/>
      <c r="GKI520" s="501"/>
      <c r="GKJ520" s="501"/>
      <c r="GKK520" s="501"/>
      <c r="GKL520" s="501"/>
      <c r="GKM520" s="501"/>
      <c r="GKN520" s="501"/>
      <c r="GKO520" s="501"/>
      <c r="GKP520" s="501"/>
      <c r="GKQ520" s="501"/>
      <c r="GKR520" s="501"/>
      <c r="GKS520" s="501"/>
      <c r="GKT520" s="501"/>
      <c r="GKU520" s="501"/>
      <c r="GKV520" s="501"/>
      <c r="GKW520" s="501"/>
      <c r="GKX520" s="501"/>
      <c r="GKY520" s="501"/>
      <c r="GKZ520" s="501"/>
      <c r="GLA520" s="501"/>
      <c r="GLB520" s="501"/>
      <c r="GLC520" s="501"/>
      <c r="GLD520" s="501"/>
      <c r="GLE520" s="501"/>
      <c r="GLF520" s="501"/>
      <c r="GLG520" s="501"/>
      <c r="GLH520" s="501"/>
      <c r="GLI520" s="501"/>
      <c r="GLJ520" s="501"/>
      <c r="GLK520" s="501"/>
      <c r="GLL520" s="501"/>
      <c r="GLM520" s="501"/>
      <c r="GLN520" s="501"/>
      <c r="GLO520" s="501"/>
      <c r="GLP520" s="501"/>
      <c r="GLQ520" s="501"/>
      <c r="GLR520" s="501"/>
      <c r="GLS520" s="501"/>
      <c r="GLT520" s="501"/>
      <c r="GLU520" s="501"/>
      <c r="GLV520" s="501"/>
      <c r="GLW520" s="501"/>
      <c r="GLX520" s="501"/>
      <c r="GLY520" s="501"/>
      <c r="GLZ520" s="501"/>
      <c r="GMA520" s="501"/>
      <c r="GMB520" s="501"/>
      <c r="GMC520" s="501"/>
      <c r="GMD520" s="501"/>
      <c r="GME520" s="501"/>
      <c r="GMF520" s="501"/>
      <c r="GMG520" s="501"/>
      <c r="GMH520" s="501"/>
      <c r="GMI520" s="501"/>
      <c r="GMJ520" s="501"/>
      <c r="GMK520" s="501"/>
      <c r="GML520" s="501"/>
      <c r="GMM520" s="501"/>
      <c r="GMN520" s="501"/>
      <c r="GMO520" s="501"/>
      <c r="GMP520" s="501"/>
      <c r="GMQ520" s="501"/>
      <c r="GMR520" s="501"/>
      <c r="GMS520" s="501"/>
      <c r="GMT520" s="501"/>
      <c r="GMU520" s="501"/>
      <c r="GMV520" s="501"/>
      <c r="GMW520" s="501"/>
      <c r="GMX520" s="501"/>
      <c r="GMY520" s="501"/>
      <c r="GMZ520" s="501"/>
      <c r="GNA520" s="501"/>
      <c r="GNB520" s="501"/>
      <c r="GNC520" s="501"/>
      <c r="GND520" s="501"/>
      <c r="GNE520" s="501"/>
      <c r="GNF520" s="501"/>
      <c r="GNG520" s="501"/>
      <c r="GNH520" s="501"/>
      <c r="GNI520" s="501"/>
      <c r="GNJ520" s="501"/>
      <c r="GNK520" s="501"/>
      <c r="GNL520" s="501"/>
      <c r="GNM520" s="501"/>
      <c r="GNN520" s="501"/>
      <c r="GNO520" s="501"/>
      <c r="GNP520" s="501"/>
      <c r="GNQ520" s="501"/>
      <c r="GNR520" s="501"/>
      <c r="GNS520" s="501"/>
      <c r="GNT520" s="501"/>
      <c r="GNU520" s="501"/>
      <c r="GNV520" s="501"/>
      <c r="GNW520" s="501"/>
      <c r="GNX520" s="501"/>
      <c r="GNY520" s="501"/>
      <c r="GNZ520" s="501"/>
      <c r="GOA520" s="501"/>
      <c r="GOB520" s="501"/>
      <c r="GOC520" s="501"/>
      <c r="GOD520" s="501"/>
      <c r="GOE520" s="501"/>
      <c r="GOF520" s="501"/>
      <c r="GOG520" s="501"/>
      <c r="GOH520" s="501"/>
      <c r="GOI520" s="501"/>
      <c r="GOJ520" s="501"/>
      <c r="GOK520" s="501"/>
      <c r="GOL520" s="501"/>
      <c r="GOM520" s="501"/>
      <c r="GON520" s="501"/>
      <c r="GOO520" s="501"/>
      <c r="GOP520" s="501"/>
      <c r="GOQ520" s="501"/>
      <c r="GOR520" s="501"/>
      <c r="GOS520" s="501"/>
      <c r="GOT520" s="501"/>
      <c r="GOU520" s="501"/>
      <c r="GOV520" s="501"/>
      <c r="GOW520" s="501"/>
      <c r="GOX520" s="501"/>
      <c r="GOY520" s="501"/>
      <c r="GOZ520" s="501"/>
      <c r="GPA520" s="501"/>
      <c r="GPB520" s="501"/>
      <c r="GPC520" s="501"/>
      <c r="GPD520" s="501"/>
      <c r="GPE520" s="501"/>
      <c r="GPF520" s="501"/>
      <c r="GPG520" s="501"/>
      <c r="GPH520" s="501"/>
      <c r="GPI520" s="501"/>
      <c r="GPJ520" s="501"/>
      <c r="GPK520" s="501"/>
      <c r="GPL520" s="501"/>
      <c r="GPM520" s="501"/>
      <c r="GPN520" s="501"/>
      <c r="GPO520" s="501"/>
      <c r="GPP520" s="501"/>
      <c r="GPQ520" s="501"/>
      <c r="GPR520" s="501"/>
      <c r="GPS520" s="501"/>
      <c r="GPT520" s="501"/>
      <c r="GPU520" s="501"/>
      <c r="GPV520" s="501"/>
      <c r="GPW520" s="501"/>
      <c r="GPX520" s="501"/>
      <c r="GPY520" s="501"/>
      <c r="GPZ520" s="501"/>
      <c r="GQA520" s="501"/>
      <c r="GQB520" s="501"/>
      <c r="GQC520" s="501"/>
      <c r="GQD520" s="501"/>
      <c r="GQE520" s="501"/>
      <c r="GQF520" s="501"/>
      <c r="GQG520" s="501"/>
      <c r="GQH520" s="501"/>
      <c r="GQI520" s="501"/>
      <c r="GQJ520" s="501"/>
      <c r="GQK520" s="501"/>
      <c r="GQL520" s="501"/>
      <c r="GQM520" s="501"/>
      <c r="GQN520" s="501"/>
      <c r="GQO520" s="501"/>
      <c r="GQP520" s="501"/>
      <c r="GQQ520" s="501"/>
      <c r="GQR520" s="501"/>
      <c r="GQS520" s="501"/>
      <c r="GQT520" s="501"/>
      <c r="GQU520" s="501"/>
      <c r="GQV520" s="501"/>
      <c r="GQW520" s="501"/>
      <c r="GQX520" s="501"/>
      <c r="GQY520" s="501"/>
      <c r="GQZ520" s="501"/>
      <c r="GRA520" s="501"/>
      <c r="GRB520" s="501"/>
      <c r="GRC520" s="501"/>
      <c r="GRD520" s="501"/>
      <c r="GRE520" s="501"/>
      <c r="GRF520" s="501"/>
      <c r="GRG520" s="501"/>
      <c r="GRH520" s="501"/>
      <c r="GRI520" s="501"/>
      <c r="GRJ520" s="501"/>
      <c r="GRK520" s="501"/>
      <c r="GRL520" s="501"/>
      <c r="GRM520" s="501"/>
      <c r="GRN520" s="501"/>
      <c r="GRO520" s="501"/>
      <c r="GRP520" s="501"/>
      <c r="GRQ520" s="501"/>
      <c r="GRR520" s="501"/>
      <c r="GRS520" s="501"/>
      <c r="GRT520" s="501"/>
      <c r="GRU520" s="501"/>
      <c r="GRV520" s="501"/>
      <c r="GRW520" s="501"/>
      <c r="GRX520" s="501"/>
      <c r="GRY520" s="501"/>
      <c r="GRZ520" s="501"/>
      <c r="GSA520" s="501"/>
      <c r="GSB520" s="501"/>
      <c r="GSC520" s="501"/>
      <c r="GSD520" s="501"/>
      <c r="GSE520" s="501"/>
      <c r="GSF520" s="501"/>
      <c r="GSG520" s="501"/>
      <c r="GSH520" s="501"/>
      <c r="GSI520" s="501"/>
      <c r="GSJ520" s="501"/>
      <c r="GSK520" s="501"/>
      <c r="GSL520" s="501"/>
      <c r="GSM520" s="501"/>
      <c r="GSN520" s="501"/>
      <c r="GSO520" s="501"/>
      <c r="GSP520" s="501"/>
      <c r="GSQ520" s="501"/>
      <c r="GSR520" s="501"/>
      <c r="GSS520" s="501"/>
      <c r="GST520" s="501"/>
      <c r="GSU520" s="501"/>
      <c r="GSV520" s="501"/>
      <c r="GSW520" s="501"/>
      <c r="GSX520" s="501"/>
      <c r="GSY520" s="501"/>
      <c r="GSZ520" s="501"/>
      <c r="GTA520" s="501"/>
      <c r="GTB520" s="501"/>
      <c r="GTC520" s="501"/>
      <c r="GTD520" s="501"/>
      <c r="GTE520" s="501"/>
      <c r="GTF520" s="501"/>
      <c r="GTG520" s="501"/>
      <c r="GTH520" s="501"/>
      <c r="GTI520" s="501"/>
      <c r="GTJ520" s="501"/>
      <c r="GTK520" s="501"/>
      <c r="GTL520" s="501"/>
      <c r="GTM520" s="501"/>
      <c r="GTN520" s="501"/>
      <c r="GTO520" s="501"/>
      <c r="GTP520" s="501"/>
      <c r="GTQ520" s="501"/>
      <c r="GTR520" s="501"/>
      <c r="GTS520" s="501"/>
      <c r="GTT520" s="501"/>
      <c r="GTU520" s="501"/>
      <c r="GTV520" s="501"/>
      <c r="GTW520" s="501"/>
      <c r="GTX520" s="501"/>
      <c r="GTY520" s="501"/>
      <c r="GTZ520" s="501"/>
      <c r="GUA520" s="501"/>
      <c r="GUB520" s="501"/>
      <c r="GUC520" s="501"/>
      <c r="GUD520" s="501"/>
      <c r="GUE520" s="501"/>
      <c r="GUF520" s="501"/>
      <c r="GUG520" s="501"/>
      <c r="GUH520" s="501"/>
      <c r="GUI520" s="501"/>
      <c r="GUJ520" s="501"/>
      <c r="GUK520" s="501"/>
      <c r="GUL520" s="501"/>
      <c r="GUM520" s="501"/>
      <c r="GUN520" s="501"/>
      <c r="GUO520" s="501"/>
      <c r="GUP520" s="501"/>
      <c r="GUQ520" s="501"/>
      <c r="GUR520" s="501"/>
      <c r="GUS520" s="501"/>
      <c r="GUT520" s="501"/>
      <c r="GUU520" s="501"/>
      <c r="GUV520" s="501"/>
      <c r="GUW520" s="501"/>
      <c r="GUX520" s="501"/>
      <c r="GUY520" s="501"/>
      <c r="GUZ520" s="501"/>
      <c r="GVA520" s="501"/>
      <c r="GVB520" s="501"/>
      <c r="GVC520" s="501"/>
      <c r="GVD520" s="501"/>
      <c r="GVE520" s="501"/>
      <c r="GVF520" s="501"/>
      <c r="GVG520" s="501"/>
      <c r="GVH520" s="501"/>
      <c r="GVI520" s="501"/>
      <c r="GVJ520" s="501"/>
      <c r="GVK520" s="501"/>
      <c r="GVL520" s="501"/>
      <c r="GVM520" s="501"/>
      <c r="GVN520" s="501"/>
      <c r="GVO520" s="501"/>
      <c r="GVP520" s="501"/>
      <c r="GVQ520" s="501"/>
      <c r="GVR520" s="501"/>
      <c r="GVS520" s="501"/>
      <c r="GVT520" s="501"/>
      <c r="GVU520" s="501"/>
      <c r="GVV520" s="501"/>
      <c r="GVW520" s="501"/>
      <c r="GVX520" s="501"/>
      <c r="GVY520" s="501"/>
      <c r="GVZ520" s="501"/>
      <c r="GWA520" s="501"/>
      <c r="GWB520" s="501"/>
      <c r="GWC520" s="501"/>
      <c r="GWD520" s="501"/>
      <c r="GWE520" s="501"/>
      <c r="GWF520" s="501"/>
      <c r="GWG520" s="501"/>
      <c r="GWH520" s="501"/>
      <c r="GWI520" s="501"/>
      <c r="GWJ520" s="501"/>
      <c r="GWK520" s="501"/>
      <c r="GWL520" s="501"/>
      <c r="GWM520" s="501"/>
      <c r="GWN520" s="501"/>
      <c r="GWO520" s="501"/>
      <c r="GWP520" s="501"/>
      <c r="GWQ520" s="501"/>
      <c r="GWR520" s="501"/>
      <c r="GWS520" s="501"/>
      <c r="GWT520" s="501"/>
      <c r="GWU520" s="501"/>
      <c r="GWV520" s="501"/>
      <c r="GWW520" s="501"/>
      <c r="GWX520" s="501"/>
      <c r="GWY520" s="501"/>
      <c r="GWZ520" s="501"/>
      <c r="GXA520" s="501"/>
      <c r="GXB520" s="501"/>
      <c r="GXC520" s="501"/>
      <c r="GXD520" s="501"/>
      <c r="GXE520" s="501"/>
      <c r="GXF520" s="501"/>
      <c r="GXG520" s="501"/>
      <c r="GXH520" s="501"/>
      <c r="GXI520" s="501"/>
      <c r="GXJ520" s="501"/>
      <c r="GXK520" s="501"/>
      <c r="GXL520" s="501"/>
      <c r="GXM520" s="501"/>
      <c r="GXN520" s="501"/>
      <c r="GXO520" s="501"/>
      <c r="GXP520" s="501"/>
      <c r="GXQ520" s="501"/>
      <c r="GXR520" s="501"/>
      <c r="GXS520" s="501"/>
      <c r="GXT520" s="501"/>
      <c r="GXU520" s="501"/>
      <c r="GXV520" s="501"/>
      <c r="GXW520" s="501"/>
      <c r="GXX520" s="501"/>
      <c r="GXY520" s="501"/>
      <c r="GXZ520" s="501"/>
      <c r="GYA520" s="501"/>
      <c r="GYB520" s="501"/>
      <c r="GYC520" s="501"/>
      <c r="GYD520" s="501"/>
      <c r="GYE520" s="501"/>
      <c r="GYF520" s="501"/>
      <c r="GYG520" s="501"/>
      <c r="GYH520" s="501"/>
      <c r="GYI520" s="501"/>
      <c r="GYJ520" s="501"/>
      <c r="GYK520" s="501"/>
      <c r="GYL520" s="501"/>
      <c r="GYM520" s="501"/>
      <c r="GYN520" s="501"/>
      <c r="GYO520" s="501"/>
      <c r="GYP520" s="501"/>
      <c r="GYQ520" s="501"/>
      <c r="GYR520" s="501"/>
      <c r="GYS520" s="501"/>
      <c r="GYT520" s="501"/>
      <c r="GYU520" s="501"/>
      <c r="GYV520" s="501"/>
      <c r="GYW520" s="501"/>
      <c r="GYX520" s="501"/>
      <c r="GYY520" s="501"/>
      <c r="GYZ520" s="501"/>
      <c r="GZA520" s="501"/>
      <c r="GZB520" s="501"/>
      <c r="GZC520" s="501"/>
      <c r="GZD520" s="501"/>
      <c r="GZE520" s="501"/>
      <c r="GZF520" s="501"/>
      <c r="GZG520" s="501"/>
      <c r="GZH520" s="501"/>
      <c r="GZI520" s="501"/>
      <c r="GZJ520" s="501"/>
      <c r="GZK520" s="501"/>
      <c r="GZL520" s="501"/>
      <c r="GZM520" s="501"/>
      <c r="GZN520" s="501"/>
      <c r="GZO520" s="501"/>
      <c r="GZP520" s="501"/>
      <c r="GZQ520" s="501"/>
      <c r="GZR520" s="501"/>
      <c r="GZS520" s="501"/>
      <c r="GZT520" s="501"/>
      <c r="GZU520" s="501"/>
      <c r="GZV520" s="501"/>
      <c r="GZW520" s="501"/>
      <c r="GZX520" s="501"/>
      <c r="GZY520" s="501"/>
      <c r="GZZ520" s="501"/>
      <c r="HAA520" s="501"/>
      <c r="HAB520" s="501"/>
      <c r="HAC520" s="501"/>
      <c r="HAD520" s="501"/>
      <c r="HAE520" s="501"/>
      <c r="HAF520" s="501"/>
      <c r="HAG520" s="501"/>
      <c r="HAH520" s="501"/>
      <c r="HAI520" s="501"/>
      <c r="HAJ520" s="501"/>
      <c r="HAK520" s="501"/>
      <c r="HAL520" s="501"/>
      <c r="HAM520" s="501"/>
      <c r="HAN520" s="501"/>
      <c r="HAO520" s="501"/>
      <c r="HAP520" s="501"/>
      <c r="HAQ520" s="501"/>
      <c r="HAR520" s="501"/>
      <c r="HAS520" s="501"/>
      <c r="HAT520" s="501"/>
      <c r="HAU520" s="501"/>
      <c r="HAV520" s="501"/>
      <c r="HAW520" s="501"/>
      <c r="HAX520" s="501"/>
      <c r="HAY520" s="501"/>
      <c r="HAZ520" s="501"/>
      <c r="HBA520" s="501"/>
      <c r="HBB520" s="501"/>
      <c r="HBC520" s="501"/>
      <c r="HBD520" s="501"/>
      <c r="HBE520" s="501"/>
      <c r="HBF520" s="501"/>
      <c r="HBG520" s="501"/>
      <c r="HBH520" s="501"/>
      <c r="HBI520" s="501"/>
      <c r="HBJ520" s="501"/>
      <c r="HBK520" s="501"/>
      <c r="HBL520" s="501"/>
      <c r="HBM520" s="501"/>
      <c r="HBN520" s="501"/>
      <c r="HBO520" s="501"/>
      <c r="HBP520" s="501"/>
      <c r="HBQ520" s="501"/>
      <c r="HBR520" s="501"/>
      <c r="HBS520" s="501"/>
      <c r="HBT520" s="501"/>
      <c r="HBU520" s="501"/>
      <c r="HBV520" s="501"/>
      <c r="HBW520" s="501"/>
      <c r="HBX520" s="501"/>
      <c r="HBY520" s="501"/>
      <c r="HBZ520" s="501"/>
      <c r="HCA520" s="501"/>
      <c r="HCB520" s="501"/>
      <c r="HCC520" s="501"/>
      <c r="HCD520" s="501"/>
      <c r="HCE520" s="501"/>
      <c r="HCF520" s="501"/>
      <c r="HCG520" s="501"/>
      <c r="HCH520" s="501"/>
      <c r="HCI520" s="501"/>
      <c r="HCJ520" s="501"/>
      <c r="HCK520" s="501"/>
      <c r="HCL520" s="501"/>
      <c r="HCM520" s="501"/>
      <c r="HCN520" s="501"/>
      <c r="HCO520" s="501"/>
      <c r="HCP520" s="501"/>
      <c r="HCQ520" s="501"/>
      <c r="HCR520" s="501"/>
      <c r="HCS520" s="501"/>
      <c r="HCT520" s="501"/>
      <c r="HCU520" s="501"/>
      <c r="HCV520" s="501"/>
      <c r="HCW520" s="501"/>
      <c r="HCX520" s="501"/>
      <c r="HCY520" s="501"/>
      <c r="HCZ520" s="501"/>
      <c r="HDA520" s="501"/>
      <c r="HDB520" s="501"/>
      <c r="HDC520" s="501"/>
      <c r="HDD520" s="501"/>
      <c r="HDE520" s="501"/>
      <c r="HDF520" s="501"/>
      <c r="HDG520" s="501"/>
      <c r="HDH520" s="501"/>
      <c r="HDI520" s="501"/>
      <c r="HDJ520" s="501"/>
      <c r="HDK520" s="501"/>
      <c r="HDL520" s="501"/>
      <c r="HDM520" s="501"/>
      <c r="HDN520" s="501"/>
      <c r="HDO520" s="501"/>
      <c r="HDP520" s="501"/>
      <c r="HDQ520" s="501"/>
      <c r="HDR520" s="501"/>
      <c r="HDS520" s="501"/>
      <c r="HDT520" s="501"/>
      <c r="HDU520" s="501"/>
      <c r="HDV520" s="501"/>
      <c r="HDW520" s="501"/>
      <c r="HDX520" s="501"/>
      <c r="HDY520" s="501"/>
      <c r="HDZ520" s="501"/>
      <c r="HEA520" s="501"/>
      <c r="HEB520" s="501"/>
      <c r="HEC520" s="501"/>
      <c r="HED520" s="501"/>
      <c r="HEE520" s="501"/>
      <c r="HEF520" s="501"/>
      <c r="HEG520" s="501"/>
      <c r="HEH520" s="501"/>
      <c r="HEI520" s="501"/>
      <c r="HEJ520" s="501"/>
      <c r="HEK520" s="501"/>
      <c r="HEL520" s="501"/>
      <c r="HEM520" s="501"/>
      <c r="HEN520" s="501"/>
      <c r="HEO520" s="501"/>
      <c r="HEP520" s="501"/>
      <c r="HEQ520" s="501"/>
      <c r="HER520" s="501"/>
      <c r="HES520" s="501"/>
      <c r="HET520" s="501"/>
      <c r="HEU520" s="501"/>
      <c r="HEV520" s="501"/>
      <c r="HEW520" s="501"/>
      <c r="HEX520" s="501"/>
      <c r="HEY520" s="501"/>
      <c r="HEZ520" s="501"/>
      <c r="HFA520" s="501"/>
      <c r="HFB520" s="501"/>
      <c r="HFC520" s="501"/>
      <c r="HFD520" s="501"/>
      <c r="HFE520" s="501"/>
      <c r="HFF520" s="501"/>
      <c r="HFG520" s="501"/>
      <c r="HFH520" s="501"/>
      <c r="HFI520" s="501"/>
      <c r="HFJ520" s="501"/>
      <c r="HFK520" s="501"/>
      <c r="HFL520" s="501"/>
      <c r="HFM520" s="501"/>
      <c r="HFN520" s="501"/>
      <c r="HFO520" s="501"/>
      <c r="HFP520" s="501"/>
      <c r="HFQ520" s="501"/>
      <c r="HFR520" s="501"/>
      <c r="HFS520" s="501"/>
      <c r="HFT520" s="501"/>
      <c r="HFU520" s="501"/>
      <c r="HFV520" s="501"/>
      <c r="HFW520" s="501"/>
      <c r="HFX520" s="501"/>
      <c r="HFY520" s="501"/>
      <c r="HFZ520" s="501"/>
      <c r="HGA520" s="501"/>
      <c r="HGB520" s="501"/>
      <c r="HGC520" s="501"/>
      <c r="HGD520" s="501"/>
      <c r="HGE520" s="501"/>
      <c r="HGF520" s="501"/>
      <c r="HGG520" s="501"/>
      <c r="HGH520" s="501"/>
      <c r="HGI520" s="501"/>
      <c r="HGJ520" s="501"/>
      <c r="HGK520" s="501"/>
      <c r="HGL520" s="501"/>
      <c r="HGM520" s="501"/>
      <c r="HGN520" s="501"/>
      <c r="HGO520" s="501"/>
      <c r="HGP520" s="501"/>
      <c r="HGQ520" s="501"/>
      <c r="HGR520" s="501"/>
      <c r="HGS520" s="501"/>
      <c r="HGT520" s="501"/>
      <c r="HGU520" s="501"/>
      <c r="HGV520" s="501"/>
      <c r="HGW520" s="501"/>
      <c r="HGX520" s="501"/>
      <c r="HGY520" s="501"/>
      <c r="HGZ520" s="501"/>
      <c r="HHA520" s="501"/>
      <c r="HHB520" s="501"/>
      <c r="HHC520" s="501"/>
      <c r="HHD520" s="501"/>
      <c r="HHE520" s="501"/>
      <c r="HHF520" s="501"/>
      <c r="HHG520" s="501"/>
      <c r="HHH520" s="501"/>
      <c r="HHI520" s="501"/>
      <c r="HHJ520" s="501"/>
      <c r="HHK520" s="501"/>
      <c r="HHL520" s="501"/>
      <c r="HHM520" s="501"/>
      <c r="HHN520" s="501"/>
      <c r="HHO520" s="501"/>
      <c r="HHP520" s="501"/>
      <c r="HHQ520" s="501"/>
      <c r="HHR520" s="501"/>
      <c r="HHS520" s="501"/>
      <c r="HHT520" s="501"/>
      <c r="HHU520" s="501"/>
      <c r="HHV520" s="501"/>
      <c r="HHW520" s="501"/>
      <c r="HHX520" s="501"/>
      <c r="HHY520" s="501"/>
      <c r="HHZ520" s="501"/>
      <c r="HIA520" s="501"/>
      <c r="HIB520" s="501"/>
      <c r="HIC520" s="501"/>
      <c r="HID520" s="501"/>
      <c r="HIE520" s="501"/>
      <c r="HIF520" s="501"/>
      <c r="HIG520" s="501"/>
      <c r="HIH520" s="501"/>
      <c r="HII520" s="501"/>
      <c r="HIJ520" s="501"/>
      <c r="HIK520" s="501"/>
      <c r="HIL520" s="501"/>
      <c r="HIM520" s="501"/>
      <c r="HIN520" s="501"/>
      <c r="HIO520" s="501"/>
      <c r="HIP520" s="501"/>
      <c r="HIQ520" s="501"/>
      <c r="HIR520" s="501"/>
      <c r="HIS520" s="501"/>
      <c r="HIT520" s="501"/>
      <c r="HIU520" s="501"/>
      <c r="HIV520" s="501"/>
      <c r="HIW520" s="501"/>
      <c r="HIX520" s="501"/>
      <c r="HIY520" s="501"/>
      <c r="HIZ520" s="501"/>
      <c r="HJA520" s="501"/>
      <c r="HJB520" s="501"/>
      <c r="HJC520" s="501"/>
      <c r="HJD520" s="501"/>
      <c r="HJE520" s="501"/>
      <c r="HJF520" s="501"/>
      <c r="HJG520" s="501"/>
      <c r="HJH520" s="501"/>
      <c r="HJI520" s="501"/>
      <c r="HJJ520" s="501"/>
      <c r="HJK520" s="501"/>
      <c r="HJL520" s="501"/>
      <c r="HJM520" s="501"/>
      <c r="HJN520" s="501"/>
      <c r="HJO520" s="501"/>
      <c r="HJP520" s="501"/>
      <c r="HJQ520" s="501"/>
      <c r="HJR520" s="501"/>
      <c r="HJS520" s="501"/>
      <c r="HJT520" s="501"/>
      <c r="HJU520" s="501"/>
      <c r="HJV520" s="501"/>
      <c r="HJW520" s="501"/>
      <c r="HJX520" s="501"/>
      <c r="HJY520" s="501"/>
      <c r="HJZ520" s="501"/>
      <c r="HKA520" s="501"/>
      <c r="HKB520" s="501"/>
      <c r="HKC520" s="501"/>
      <c r="HKD520" s="501"/>
      <c r="HKE520" s="501"/>
      <c r="HKF520" s="501"/>
      <c r="HKG520" s="501"/>
      <c r="HKH520" s="501"/>
      <c r="HKI520" s="501"/>
      <c r="HKJ520" s="501"/>
      <c r="HKK520" s="501"/>
      <c r="HKL520" s="501"/>
      <c r="HKM520" s="501"/>
      <c r="HKN520" s="501"/>
      <c r="HKO520" s="501"/>
      <c r="HKP520" s="501"/>
      <c r="HKQ520" s="501"/>
      <c r="HKR520" s="501"/>
      <c r="HKS520" s="501"/>
      <c r="HKT520" s="501"/>
      <c r="HKU520" s="501"/>
      <c r="HKV520" s="501"/>
      <c r="HKW520" s="501"/>
      <c r="HKX520" s="501"/>
      <c r="HKY520" s="501"/>
      <c r="HKZ520" s="501"/>
      <c r="HLA520" s="501"/>
      <c r="HLB520" s="501"/>
      <c r="HLC520" s="501"/>
      <c r="HLD520" s="501"/>
      <c r="HLE520" s="501"/>
      <c r="HLF520" s="501"/>
      <c r="HLG520" s="501"/>
      <c r="HLH520" s="501"/>
      <c r="HLI520" s="501"/>
      <c r="HLJ520" s="501"/>
      <c r="HLK520" s="501"/>
      <c r="HLL520" s="501"/>
      <c r="HLM520" s="501"/>
      <c r="HLN520" s="501"/>
      <c r="HLO520" s="501"/>
      <c r="HLP520" s="501"/>
      <c r="HLQ520" s="501"/>
      <c r="HLR520" s="501"/>
      <c r="HLS520" s="501"/>
      <c r="HLT520" s="501"/>
      <c r="HLU520" s="501"/>
      <c r="HLV520" s="501"/>
      <c r="HLW520" s="501"/>
      <c r="HLX520" s="501"/>
      <c r="HLY520" s="501"/>
      <c r="HLZ520" s="501"/>
      <c r="HMA520" s="501"/>
      <c r="HMB520" s="501"/>
      <c r="HMC520" s="501"/>
      <c r="HMD520" s="501"/>
      <c r="HME520" s="501"/>
      <c r="HMF520" s="501"/>
      <c r="HMG520" s="501"/>
      <c r="HMH520" s="501"/>
      <c r="HMI520" s="501"/>
      <c r="HMJ520" s="501"/>
      <c r="HMK520" s="501"/>
      <c r="HML520" s="501"/>
      <c r="HMM520" s="501"/>
      <c r="HMN520" s="501"/>
      <c r="HMO520" s="501"/>
      <c r="HMP520" s="501"/>
      <c r="HMQ520" s="501"/>
      <c r="HMR520" s="501"/>
      <c r="HMS520" s="501"/>
      <c r="HMT520" s="501"/>
      <c r="HMU520" s="501"/>
      <c r="HMV520" s="501"/>
      <c r="HMW520" s="501"/>
      <c r="HMX520" s="501"/>
      <c r="HMY520" s="501"/>
      <c r="HMZ520" s="501"/>
      <c r="HNA520" s="501"/>
      <c r="HNB520" s="501"/>
      <c r="HNC520" s="501"/>
      <c r="HND520" s="501"/>
      <c r="HNE520" s="501"/>
      <c r="HNF520" s="501"/>
      <c r="HNG520" s="501"/>
      <c r="HNH520" s="501"/>
      <c r="HNI520" s="501"/>
      <c r="HNJ520" s="501"/>
      <c r="HNK520" s="501"/>
      <c r="HNL520" s="501"/>
      <c r="HNM520" s="501"/>
      <c r="HNN520" s="501"/>
      <c r="HNO520" s="501"/>
      <c r="HNP520" s="501"/>
      <c r="HNQ520" s="501"/>
      <c r="HNR520" s="501"/>
      <c r="HNS520" s="501"/>
      <c r="HNT520" s="501"/>
      <c r="HNU520" s="501"/>
      <c r="HNV520" s="501"/>
      <c r="HNW520" s="501"/>
      <c r="HNX520" s="501"/>
      <c r="HNY520" s="501"/>
      <c r="HNZ520" s="501"/>
      <c r="HOA520" s="501"/>
      <c r="HOB520" s="501"/>
      <c r="HOC520" s="501"/>
      <c r="HOD520" s="501"/>
      <c r="HOE520" s="501"/>
      <c r="HOF520" s="501"/>
      <c r="HOG520" s="501"/>
      <c r="HOH520" s="501"/>
      <c r="HOI520" s="501"/>
      <c r="HOJ520" s="501"/>
      <c r="HOK520" s="501"/>
      <c r="HOL520" s="501"/>
      <c r="HOM520" s="501"/>
      <c r="HON520" s="501"/>
      <c r="HOO520" s="501"/>
      <c r="HOP520" s="501"/>
      <c r="HOQ520" s="501"/>
      <c r="HOR520" s="501"/>
      <c r="HOS520" s="501"/>
      <c r="HOT520" s="501"/>
      <c r="HOU520" s="501"/>
      <c r="HOV520" s="501"/>
      <c r="HOW520" s="501"/>
      <c r="HOX520" s="501"/>
      <c r="HOY520" s="501"/>
      <c r="HOZ520" s="501"/>
      <c r="HPA520" s="501"/>
      <c r="HPB520" s="501"/>
      <c r="HPC520" s="501"/>
      <c r="HPD520" s="501"/>
      <c r="HPE520" s="501"/>
      <c r="HPF520" s="501"/>
      <c r="HPG520" s="501"/>
      <c r="HPH520" s="501"/>
      <c r="HPI520" s="501"/>
      <c r="HPJ520" s="501"/>
      <c r="HPK520" s="501"/>
      <c r="HPL520" s="501"/>
      <c r="HPM520" s="501"/>
      <c r="HPN520" s="501"/>
      <c r="HPO520" s="501"/>
      <c r="HPP520" s="501"/>
      <c r="HPQ520" s="501"/>
      <c r="HPR520" s="501"/>
      <c r="HPS520" s="501"/>
      <c r="HPT520" s="501"/>
      <c r="HPU520" s="501"/>
      <c r="HPV520" s="501"/>
      <c r="HPW520" s="501"/>
      <c r="HPX520" s="501"/>
      <c r="HPY520" s="501"/>
      <c r="HPZ520" s="501"/>
      <c r="HQA520" s="501"/>
      <c r="HQB520" s="501"/>
      <c r="HQC520" s="501"/>
      <c r="HQD520" s="501"/>
      <c r="HQE520" s="501"/>
      <c r="HQF520" s="501"/>
      <c r="HQG520" s="501"/>
      <c r="HQH520" s="501"/>
      <c r="HQI520" s="501"/>
      <c r="HQJ520" s="501"/>
      <c r="HQK520" s="501"/>
      <c r="HQL520" s="501"/>
      <c r="HQM520" s="501"/>
      <c r="HQN520" s="501"/>
      <c r="HQO520" s="501"/>
      <c r="HQP520" s="501"/>
      <c r="HQQ520" s="501"/>
      <c r="HQR520" s="501"/>
      <c r="HQS520" s="501"/>
      <c r="HQT520" s="501"/>
      <c r="HQU520" s="501"/>
      <c r="HQV520" s="501"/>
      <c r="HQW520" s="501"/>
      <c r="HQX520" s="501"/>
      <c r="HQY520" s="501"/>
      <c r="HQZ520" s="501"/>
      <c r="HRA520" s="501"/>
      <c r="HRB520" s="501"/>
      <c r="HRC520" s="501"/>
      <c r="HRD520" s="501"/>
      <c r="HRE520" s="501"/>
      <c r="HRF520" s="501"/>
      <c r="HRG520" s="501"/>
      <c r="HRH520" s="501"/>
      <c r="HRI520" s="501"/>
      <c r="HRJ520" s="501"/>
      <c r="HRK520" s="501"/>
      <c r="HRL520" s="501"/>
      <c r="HRM520" s="501"/>
      <c r="HRN520" s="501"/>
      <c r="HRO520" s="501"/>
      <c r="HRP520" s="501"/>
      <c r="HRQ520" s="501"/>
      <c r="HRR520" s="501"/>
      <c r="HRS520" s="501"/>
      <c r="HRT520" s="501"/>
      <c r="HRU520" s="501"/>
      <c r="HRV520" s="501"/>
      <c r="HRW520" s="501"/>
      <c r="HRX520" s="501"/>
      <c r="HRY520" s="501"/>
      <c r="HRZ520" s="501"/>
      <c r="HSA520" s="501"/>
      <c r="HSB520" s="501"/>
      <c r="HSC520" s="501"/>
      <c r="HSD520" s="501"/>
      <c r="HSE520" s="501"/>
      <c r="HSF520" s="501"/>
      <c r="HSG520" s="501"/>
      <c r="HSH520" s="501"/>
      <c r="HSI520" s="501"/>
      <c r="HSJ520" s="501"/>
      <c r="HSK520" s="501"/>
      <c r="HSL520" s="501"/>
      <c r="HSM520" s="501"/>
      <c r="HSN520" s="501"/>
      <c r="HSO520" s="501"/>
      <c r="HSP520" s="501"/>
      <c r="HSQ520" s="501"/>
      <c r="HSR520" s="501"/>
      <c r="HSS520" s="501"/>
      <c r="HST520" s="501"/>
      <c r="HSU520" s="501"/>
      <c r="HSV520" s="501"/>
      <c r="HSW520" s="501"/>
      <c r="HSX520" s="501"/>
      <c r="HSY520" s="501"/>
      <c r="HSZ520" s="501"/>
      <c r="HTA520" s="501"/>
      <c r="HTB520" s="501"/>
      <c r="HTC520" s="501"/>
      <c r="HTD520" s="501"/>
      <c r="HTE520" s="501"/>
      <c r="HTF520" s="501"/>
      <c r="HTG520" s="501"/>
      <c r="HTH520" s="501"/>
      <c r="HTI520" s="501"/>
      <c r="HTJ520" s="501"/>
      <c r="HTK520" s="501"/>
      <c r="HTL520" s="501"/>
      <c r="HTM520" s="501"/>
      <c r="HTN520" s="501"/>
      <c r="HTO520" s="501"/>
      <c r="HTP520" s="501"/>
      <c r="HTQ520" s="501"/>
      <c r="HTR520" s="501"/>
      <c r="HTS520" s="501"/>
      <c r="HTT520" s="501"/>
      <c r="HTU520" s="501"/>
      <c r="HTV520" s="501"/>
      <c r="HTW520" s="501"/>
      <c r="HTX520" s="501"/>
      <c r="HTY520" s="501"/>
      <c r="HTZ520" s="501"/>
      <c r="HUA520" s="501"/>
      <c r="HUB520" s="501"/>
      <c r="HUC520" s="501"/>
      <c r="HUD520" s="501"/>
      <c r="HUE520" s="501"/>
      <c r="HUF520" s="501"/>
      <c r="HUG520" s="501"/>
      <c r="HUH520" s="501"/>
      <c r="HUI520" s="501"/>
      <c r="HUJ520" s="501"/>
      <c r="HUK520" s="501"/>
      <c r="HUL520" s="501"/>
      <c r="HUM520" s="501"/>
      <c r="HUN520" s="501"/>
      <c r="HUO520" s="501"/>
      <c r="HUP520" s="501"/>
      <c r="HUQ520" s="501"/>
      <c r="HUR520" s="501"/>
      <c r="HUS520" s="501"/>
      <c r="HUT520" s="501"/>
      <c r="HUU520" s="501"/>
      <c r="HUV520" s="501"/>
      <c r="HUW520" s="501"/>
      <c r="HUX520" s="501"/>
      <c r="HUY520" s="501"/>
      <c r="HUZ520" s="501"/>
      <c r="HVA520" s="501"/>
      <c r="HVB520" s="501"/>
      <c r="HVC520" s="501"/>
      <c r="HVD520" s="501"/>
      <c r="HVE520" s="501"/>
      <c r="HVF520" s="501"/>
      <c r="HVG520" s="501"/>
      <c r="HVH520" s="501"/>
      <c r="HVI520" s="501"/>
      <c r="HVJ520" s="501"/>
      <c r="HVK520" s="501"/>
      <c r="HVL520" s="501"/>
      <c r="HVM520" s="501"/>
      <c r="HVN520" s="501"/>
      <c r="HVO520" s="501"/>
      <c r="HVP520" s="501"/>
      <c r="HVQ520" s="501"/>
      <c r="HVR520" s="501"/>
      <c r="HVS520" s="501"/>
      <c r="HVT520" s="501"/>
      <c r="HVU520" s="501"/>
      <c r="HVV520" s="501"/>
      <c r="HVW520" s="501"/>
      <c r="HVX520" s="501"/>
      <c r="HVY520" s="501"/>
      <c r="HVZ520" s="501"/>
      <c r="HWA520" s="501"/>
      <c r="HWB520" s="501"/>
      <c r="HWC520" s="501"/>
      <c r="HWD520" s="501"/>
      <c r="HWE520" s="501"/>
      <c r="HWF520" s="501"/>
      <c r="HWG520" s="501"/>
      <c r="HWH520" s="501"/>
      <c r="HWI520" s="501"/>
      <c r="HWJ520" s="501"/>
      <c r="HWK520" s="501"/>
      <c r="HWL520" s="501"/>
      <c r="HWM520" s="501"/>
      <c r="HWN520" s="501"/>
      <c r="HWO520" s="501"/>
      <c r="HWP520" s="501"/>
      <c r="HWQ520" s="501"/>
      <c r="HWR520" s="501"/>
      <c r="HWS520" s="501"/>
      <c r="HWT520" s="501"/>
      <c r="HWU520" s="501"/>
      <c r="HWV520" s="501"/>
      <c r="HWW520" s="501"/>
      <c r="HWX520" s="501"/>
      <c r="HWY520" s="501"/>
      <c r="HWZ520" s="501"/>
      <c r="HXA520" s="501"/>
      <c r="HXB520" s="501"/>
      <c r="HXC520" s="501"/>
      <c r="HXD520" s="501"/>
      <c r="HXE520" s="501"/>
      <c r="HXF520" s="501"/>
      <c r="HXG520" s="501"/>
      <c r="HXH520" s="501"/>
      <c r="HXI520" s="501"/>
      <c r="HXJ520" s="501"/>
      <c r="HXK520" s="501"/>
      <c r="HXL520" s="501"/>
      <c r="HXM520" s="501"/>
      <c r="HXN520" s="501"/>
      <c r="HXO520" s="501"/>
      <c r="HXP520" s="501"/>
      <c r="HXQ520" s="501"/>
      <c r="HXR520" s="501"/>
      <c r="HXS520" s="501"/>
      <c r="HXT520" s="501"/>
      <c r="HXU520" s="501"/>
      <c r="HXV520" s="501"/>
      <c r="HXW520" s="501"/>
      <c r="HXX520" s="501"/>
      <c r="HXY520" s="501"/>
      <c r="HXZ520" s="501"/>
      <c r="HYA520" s="501"/>
      <c r="HYB520" s="501"/>
      <c r="HYC520" s="501"/>
      <c r="HYD520" s="501"/>
      <c r="HYE520" s="501"/>
      <c r="HYF520" s="501"/>
      <c r="HYG520" s="501"/>
      <c r="HYH520" s="501"/>
      <c r="HYI520" s="501"/>
      <c r="HYJ520" s="501"/>
      <c r="HYK520" s="501"/>
      <c r="HYL520" s="501"/>
      <c r="HYM520" s="501"/>
      <c r="HYN520" s="501"/>
      <c r="HYO520" s="501"/>
      <c r="HYP520" s="501"/>
      <c r="HYQ520" s="501"/>
      <c r="HYR520" s="501"/>
      <c r="HYS520" s="501"/>
      <c r="HYT520" s="501"/>
      <c r="HYU520" s="501"/>
      <c r="HYV520" s="501"/>
      <c r="HYW520" s="501"/>
      <c r="HYX520" s="501"/>
      <c r="HYY520" s="501"/>
      <c r="HYZ520" s="501"/>
      <c r="HZA520" s="501"/>
      <c r="HZB520" s="501"/>
      <c r="HZC520" s="501"/>
      <c r="HZD520" s="501"/>
      <c r="HZE520" s="501"/>
      <c r="HZF520" s="501"/>
      <c r="HZG520" s="501"/>
      <c r="HZH520" s="501"/>
      <c r="HZI520" s="501"/>
      <c r="HZJ520" s="501"/>
      <c r="HZK520" s="501"/>
      <c r="HZL520" s="501"/>
      <c r="HZM520" s="501"/>
      <c r="HZN520" s="501"/>
      <c r="HZO520" s="501"/>
      <c r="HZP520" s="501"/>
      <c r="HZQ520" s="501"/>
      <c r="HZR520" s="501"/>
      <c r="HZS520" s="501"/>
      <c r="HZT520" s="501"/>
      <c r="HZU520" s="501"/>
      <c r="HZV520" s="501"/>
      <c r="HZW520" s="501"/>
      <c r="HZX520" s="501"/>
      <c r="HZY520" s="501"/>
      <c r="HZZ520" s="501"/>
      <c r="IAA520" s="501"/>
      <c r="IAB520" s="501"/>
      <c r="IAC520" s="501"/>
      <c r="IAD520" s="501"/>
      <c r="IAE520" s="501"/>
      <c r="IAF520" s="501"/>
      <c r="IAG520" s="501"/>
      <c r="IAH520" s="501"/>
      <c r="IAI520" s="501"/>
      <c r="IAJ520" s="501"/>
      <c r="IAK520" s="501"/>
      <c r="IAL520" s="501"/>
      <c r="IAM520" s="501"/>
      <c r="IAN520" s="501"/>
      <c r="IAO520" s="501"/>
      <c r="IAP520" s="501"/>
      <c r="IAQ520" s="501"/>
      <c r="IAR520" s="501"/>
      <c r="IAS520" s="501"/>
      <c r="IAT520" s="501"/>
      <c r="IAU520" s="501"/>
      <c r="IAV520" s="501"/>
      <c r="IAW520" s="501"/>
      <c r="IAX520" s="501"/>
      <c r="IAY520" s="501"/>
      <c r="IAZ520" s="501"/>
      <c r="IBA520" s="501"/>
      <c r="IBB520" s="501"/>
      <c r="IBC520" s="501"/>
      <c r="IBD520" s="501"/>
      <c r="IBE520" s="501"/>
      <c r="IBF520" s="501"/>
      <c r="IBG520" s="501"/>
      <c r="IBH520" s="501"/>
      <c r="IBI520" s="501"/>
      <c r="IBJ520" s="501"/>
      <c r="IBK520" s="501"/>
      <c r="IBL520" s="501"/>
      <c r="IBM520" s="501"/>
      <c r="IBN520" s="501"/>
      <c r="IBO520" s="501"/>
      <c r="IBP520" s="501"/>
      <c r="IBQ520" s="501"/>
      <c r="IBR520" s="501"/>
      <c r="IBS520" s="501"/>
      <c r="IBT520" s="501"/>
      <c r="IBU520" s="501"/>
      <c r="IBV520" s="501"/>
      <c r="IBW520" s="501"/>
      <c r="IBX520" s="501"/>
      <c r="IBY520" s="501"/>
      <c r="IBZ520" s="501"/>
      <c r="ICA520" s="501"/>
      <c r="ICB520" s="501"/>
      <c r="ICC520" s="501"/>
      <c r="ICD520" s="501"/>
      <c r="ICE520" s="501"/>
      <c r="ICF520" s="501"/>
      <c r="ICG520" s="501"/>
      <c r="ICH520" s="501"/>
      <c r="ICI520" s="501"/>
      <c r="ICJ520" s="501"/>
      <c r="ICK520" s="501"/>
      <c r="ICL520" s="501"/>
      <c r="ICM520" s="501"/>
      <c r="ICN520" s="501"/>
      <c r="ICO520" s="501"/>
      <c r="ICP520" s="501"/>
      <c r="ICQ520" s="501"/>
      <c r="ICR520" s="501"/>
      <c r="ICS520" s="501"/>
      <c r="ICT520" s="501"/>
      <c r="ICU520" s="501"/>
      <c r="ICV520" s="501"/>
      <c r="ICW520" s="501"/>
      <c r="ICX520" s="501"/>
      <c r="ICY520" s="501"/>
      <c r="ICZ520" s="501"/>
      <c r="IDA520" s="501"/>
      <c r="IDB520" s="501"/>
      <c r="IDC520" s="501"/>
      <c r="IDD520" s="501"/>
      <c r="IDE520" s="501"/>
      <c r="IDF520" s="501"/>
      <c r="IDG520" s="501"/>
      <c r="IDH520" s="501"/>
      <c r="IDI520" s="501"/>
      <c r="IDJ520" s="501"/>
      <c r="IDK520" s="501"/>
      <c r="IDL520" s="501"/>
      <c r="IDM520" s="501"/>
      <c r="IDN520" s="501"/>
      <c r="IDO520" s="501"/>
      <c r="IDP520" s="501"/>
      <c r="IDQ520" s="501"/>
      <c r="IDR520" s="501"/>
      <c r="IDS520" s="501"/>
      <c r="IDT520" s="501"/>
      <c r="IDU520" s="501"/>
      <c r="IDV520" s="501"/>
      <c r="IDW520" s="501"/>
      <c r="IDX520" s="501"/>
      <c r="IDY520" s="501"/>
      <c r="IDZ520" s="501"/>
      <c r="IEA520" s="501"/>
      <c r="IEB520" s="501"/>
      <c r="IEC520" s="501"/>
      <c r="IED520" s="501"/>
      <c r="IEE520" s="501"/>
      <c r="IEF520" s="501"/>
      <c r="IEG520" s="501"/>
      <c r="IEH520" s="501"/>
      <c r="IEI520" s="501"/>
      <c r="IEJ520" s="501"/>
      <c r="IEK520" s="501"/>
      <c r="IEL520" s="501"/>
      <c r="IEM520" s="501"/>
      <c r="IEN520" s="501"/>
      <c r="IEO520" s="501"/>
      <c r="IEP520" s="501"/>
      <c r="IEQ520" s="501"/>
      <c r="IER520" s="501"/>
      <c r="IES520" s="501"/>
      <c r="IET520" s="501"/>
      <c r="IEU520" s="501"/>
      <c r="IEV520" s="501"/>
      <c r="IEW520" s="501"/>
      <c r="IEX520" s="501"/>
      <c r="IEY520" s="501"/>
      <c r="IEZ520" s="501"/>
      <c r="IFA520" s="501"/>
      <c r="IFB520" s="501"/>
      <c r="IFC520" s="501"/>
      <c r="IFD520" s="501"/>
      <c r="IFE520" s="501"/>
      <c r="IFF520" s="501"/>
      <c r="IFG520" s="501"/>
      <c r="IFH520" s="501"/>
      <c r="IFI520" s="501"/>
      <c r="IFJ520" s="501"/>
      <c r="IFK520" s="501"/>
      <c r="IFL520" s="501"/>
      <c r="IFM520" s="501"/>
      <c r="IFN520" s="501"/>
      <c r="IFO520" s="501"/>
      <c r="IFP520" s="501"/>
      <c r="IFQ520" s="501"/>
      <c r="IFR520" s="501"/>
      <c r="IFS520" s="501"/>
      <c r="IFT520" s="501"/>
      <c r="IFU520" s="501"/>
      <c r="IFV520" s="501"/>
      <c r="IFW520" s="501"/>
      <c r="IFX520" s="501"/>
      <c r="IFY520" s="501"/>
      <c r="IFZ520" s="501"/>
      <c r="IGA520" s="501"/>
      <c r="IGB520" s="501"/>
      <c r="IGC520" s="501"/>
      <c r="IGD520" s="501"/>
      <c r="IGE520" s="501"/>
      <c r="IGF520" s="501"/>
      <c r="IGG520" s="501"/>
      <c r="IGH520" s="501"/>
      <c r="IGI520" s="501"/>
      <c r="IGJ520" s="501"/>
      <c r="IGK520" s="501"/>
      <c r="IGL520" s="501"/>
      <c r="IGM520" s="501"/>
      <c r="IGN520" s="501"/>
      <c r="IGO520" s="501"/>
      <c r="IGP520" s="501"/>
      <c r="IGQ520" s="501"/>
      <c r="IGR520" s="501"/>
      <c r="IGS520" s="501"/>
      <c r="IGT520" s="501"/>
      <c r="IGU520" s="501"/>
      <c r="IGV520" s="501"/>
      <c r="IGW520" s="501"/>
      <c r="IGX520" s="501"/>
      <c r="IGY520" s="501"/>
      <c r="IGZ520" s="501"/>
      <c r="IHA520" s="501"/>
      <c r="IHB520" s="501"/>
      <c r="IHC520" s="501"/>
      <c r="IHD520" s="501"/>
      <c r="IHE520" s="501"/>
      <c r="IHF520" s="501"/>
      <c r="IHG520" s="501"/>
      <c r="IHH520" s="501"/>
      <c r="IHI520" s="501"/>
      <c r="IHJ520" s="501"/>
      <c r="IHK520" s="501"/>
      <c r="IHL520" s="501"/>
      <c r="IHM520" s="501"/>
      <c r="IHN520" s="501"/>
      <c r="IHO520" s="501"/>
      <c r="IHP520" s="501"/>
      <c r="IHQ520" s="501"/>
      <c r="IHR520" s="501"/>
      <c r="IHS520" s="501"/>
      <c r="IHT520" s="501"/>
      <c r="IHU520" s="501"/>
      <c r="IHV520" s="501"/>
      <c r="IHW520" s="501"/>
      <c r="IHX520" s="501"/>
      <c r="IHY520" s="501"/>
      <c r="IHZ520" s="501"/>
      <c r="IIA520" s="501"/>
      <c r="IIB520" s="501"/>
      <c r="IIC520" s="501"/>
      <c r="IID520" s="501"/>
      <c r="IIE520" s="501"/>
      <c r="IIF520" s="501"/>
      <c r="IIG520" s="501"/>
      <c r="IIH520" s="501"/>
      <c r="III520" s="501"/>
      <c r="IIJ520" s="501"/>
      <c r="IIK520" s="501"/>
      <c r="IIL520" s="501"/>
      <c r="IIM520" s="501"/>
      <c r="IIN520" s="501"/>
      <c r="IIO520" s="501"/>
      <c r="IIP520" s="501"/>
      <c r="IIQ520" s="501"/>
      <c r="IIR520" s="501"/>
      <c r="IIS520" s="501"/>
      <c r="IIT520" s="501"/>
      <c r="IIU520" s="501"/>
      <c r="IIV520" s="501"/>
      <c r="IIW520" s="501"/>
      <c r="IIX520" s="501"/>
      <c r="IIY520" s="501"/>
      <c r="IIZ520" s="501"/>
      <c r="IJA520" s="501"/>
      <c r="IJB520" s="501"/>
      <c r="IJC520" s="501"/>
      <c r="IJD520" s="501"/>
      <c r="IJE520" s="501"/>
      <c r="IJF520" s="501"/>
      <c r="IJG520" s="501"/>
      <c r="IJH520" s="501"/>
      <c r="IJI520" s="501"/>
      <c r="IJJ520" s="501"/>
      <c r="IJK520" s="501"/>
      <c r="IJL520" s="501"/>
      <c r="IJM520" s="501"/>
      <c r="IJN520" s="501"/>
      <c r="IJO520" s="501"/>
      <c r="IJP520" s="501"/>
      <c r="IJQ520" s="501"/>
      <c r="IJR520" s="501"/>
      <c r="IJS520" s="501"/>
      <c r="IJT520" s="501"/>
      <c r="IJU520" s="501"/>
      <c r="IJV520" s="501"/>
      <c r="IJW520" s="501"/>
      <c r="IJX520" s="501"/>
      <c r="IJY520" s="501"/>
      <c r="IJZ520" s="501"/>
      <c r="IKA520" s="501"/>
      <c r="IKB520" s="501"/>
      <c r="IKC520" s="501"/>
      <c r="IKD520" s="501"/>
      <c r="IKE520" s="501"/>
      <c r="IKF520" s="501"/>
      <c r="IKG520" s="501"/>
      <c r="IKH520" s="501"/>
      <c r="IKI520" s="501"/>
      <c r="IKJ520" s="501"/>
      <c r="IKK520" s="501"/>
      <c r="IKL520" s="501"/>
      <c r="IKM520" s="501"/>
      <c r="IKN520" s="501"/>
      <c r="IKO520" s="501"/>
      <c r="IKP520" s="501"/>
      <c r="IKQ520" s="501"/>
      <c r="IKR520" s="501"/>
      <c r="IKS520" s="501"/>
      <c r="IKT520" s="501"/>
      <c r="IKU520" s="501"/>
      <c r="IKV520" s="501"/>
      <c r="IKW520" s="501"/>
      <c r="IKX520" s="501"/>
      <c r="IKY520" s="501"/>
      <c r="IKZ520" s="501"/>
      <c r="ILA520" s="501"/>
      <c r="ILB520" s="501"/>
      <c r="ILC520" s="501"/>
      <c r="ILD520" s="501"/>
      <c r="ILE520" s="501"/>
      <c r="ILF520" s="501"/>
      <c r="ILG520" s="501"/>
      <c r="ILH520" s="501"/>
      <c r="ILI520" s="501"/>
      <c r="ILJ520" s="501"/>
      <c r="ILK520" s="501"/>
      <c r="ILL520" s="501"/>
      <c r="ILM520" s="501"/>
      <c r="ILN520" s="501"/>
      <c r="ILO520" s="501"/>
      <c r="ILP520" s="501"/>
      <c r="ILQ520" s="501"/>
      <c r="ILR520" s="501"/>
      <c r="ILS520" s="501"/>
      <c r="ILT520" s="501"/>
      <c r="ILU520" s="501"/>
      <c r="ILV520" s="501"/>
      <c r="ILW520" s="501"/>
      <c r="ILX520" s="501"/>
      <c r="ILY520" s="501"/>
      <c r="ILZ520" s="501"/>
      <c r="IMA520" s="501"/>
      <c r="IMB520" s="501"/>
      <c r="IMC520" s="501"/>
      <c r="IMD520" s="501"/>
      <c r="IME520" s="501"/>
      <c r="IMF520" s="501"/>
      <c r="IMG520" s="501"/>
      <c r="IMH520" s="501"/>
      <c r="IMI520" s="501"/>
      <c r="IMJ520" s="501"/>
      <c r="IMK520" s="501"/>
      <c r="IML520" s="501"/>
      <c r="IMM520" s="501"/>
      <c r="IMN520" s="501"/>
      <c r="IMO520" s="501"/>
      <c r="IMP520" s="501"/>
      <c r="IMQ520" s="501"/>
      <c r="IMR520" s="501"/>
      <c r="IMS520" s="501"/>
      <c r="IMT520" s="501"/>
      <c r="IMU520" s="501"/>
      <c r="IMV520" s="501"/>
      <c r="IMW520" s="501"/>
      <c r="IMX520" s="501"/>
      <c r="IMY520" s="501"/>
      <c r="IMZ520" s="501"/>
      <c r="INA520" s="501"/>
      <c r="INB520" s="501"/>
      <c r="INC520" s="501"/>
      <c r="IND520" s="501"/>
      <c r="INE520" s="501"/>
      <c r="INF520" s="501"/>
      <c r="ING520" s="501"/>
      <c r="INH520" s="501"/>
      <c r="INI520" s="501"/>
      <c r="INJ520" s="501"/>
      <c r="INK520" s="501"/>
      <c r="INL520" s="501"/>
      <c r="INM520" s="501"/>
      <c r="INN520" s="501"/>
      <c r="INO520" s="501"/>
      <c r="INP520" s="501"/>
      <c r="INQ520" s="501"/>
      <c r="INR520" s="501"/>
      <c r="INS520" s="501"/>
      <c r="INT520" s="501"/>
      <c r="INU520" s="501"/>
      <c r="INV520" s="501"/>
      <c r="INW520" s="501"/>
      <c r="INX520" s="501"/>
      <c r="INY520" s="501"/>
      <c r="INZ520" s="501"/>
      <c r="IOA520" s="501"/>
      <c r="IOB520" s="501"/>
      <c r="IOC520" s="501"/>
      <c r="IOD520" s="501"/>
      <c r="IOE520" s="501"/>
      <c r="IOF520" s="501"/>
      <c r="IOG520" s="501"/>
      <c r="IOH520" s="501"/>
      <c r="IOI520" s="501"/>
      <c r="IOJ520" s="501"/>
      <c r="IOK520" s="501"/>
      <c r="IOL520" s="501"/>
      <c r="IOM520" s="501"/>
      <c r="ION520" s="501"/>
      <c r="IOO520" s="501"/>
      <c r="IOP520" s="501"/>
      <c r="IOQ520" s="501"/>
      <c r="IOR520" s="501"/>
      <c r="IOS520" s="501"/>
      <c r="IOT520" s="501"/>
      <c r="IOU520" s="501"/>
      <c r="IOV520" s="501"/>
      <c r="IOW520" s="501"/>
      <c r="IOX520" s="501"/>
      <c r="IOY520" s="501"/>
      <c r="IOZ520" s="501"/>
      <c r="IPA520" s="501"/>
      <c r="IPB520" s="501"/>
      <c r="IPC520" s="501"/>
      <c r="IPD520" s="501"/>
      <c r="IPE520" s="501"/>
      <c r="IPF520" s="501"/>
      <c r="IPG520" s="501"/>
      <c r="IPH520" s="501"/>
      <c r="IPI520" s="501"/>
      <c r="IPJ520" s="501"/>
      <c r="IPK520" s="501"/>
      <c r="IPL520" s="501"/>
      <c r="IPM520" s="501"/>
      <c r="IPN520" s="501"/>
      <c r="IPO520" s="501"/>
      <c r="IPP520" s="501"/>
      <c r="IPQ520" s="501"/>
      <c r="IPR520" s="501"/>
      <c r="IPS520" s="501"/>
      <c r="IPT520" s="501"/>
      <c r="IPU520" s="501"/>
      <c r="IPV520" s="501"/>
      <c r="IPW520" s="501"/>
      <c r="IPX520" s="501"/>
      <c r="IPY520" s="501"/>
      <c r="IPZ520" s="501"/>
      <c r="IQA520" s="501"/>
      <c r="IQB520" s="501"/>
      <c r="IQC520" s="501"/>
      <c r="IQD520" s="501"/>
      <c r="IQE520" s="501"/>
      <c r="IQF520" s="501"/>
      <c r="IQG520" s="501"/>
      <c r="IQH520" s="501"/>
      <c r="IQI520" s="501"/>
      <c r="IQJ520" s="501"/>
      <c r="IQK520" s="501"/>
      <c r="IQL520" s="501"/>
      <c r="IQM520" s="501"/>
      <c r="IQN520" s="501"/>
      <c r="IQO520" s="501"/>
      <c r="IQP520" s="501"/>
      <c r="IQQ520" s="501"/>
      <c r="IQR520" s="501"/>
      <c r="IQS520" s="501"/>
      <c r="IQT520" s="501"/>
      <c r="IQU520" s="501"/>
      <c r="IQV520" s="501"/>
      <c r="IQW520" s="501"/>
      <c r="IQX520" s="501"/>
      <c r="IQY520" s="501"/>
      <c r="IQZ520" s="501"/>
      <c r="IRA520" s="501"/>
      <c r="IRB520" s="501"/>
      <c r="IRC520" s="501"/>
      <c r="IRD520" s="501"/>
      <c r="IRE520" s="501"/>
      <c r="IRF520" s="501"/>
      <c r="IRG520" s="501"/>
      <c r="IRH520" s="501"/>
      <c r="IRI520" s="501"/>
      <c r="IRJ520" s="501"/>
      <c r="IRK520" s="501"/>
      <c r="IRL520" s="501"/>
      <c r="IRM520" s="501"/>
      <c r="IRN520" s="501"/>
      <c r="IRO520" s="501"/>
      <c r="IRP520" s="501"/>
      <c r="IRQ520" s="501"/>
      <c r="IRR520" s="501"/>
      <c r="IRS520" s="501"/>
      <c r="IRT520" s="501"/>
      <c r="IRU520" s="501"/>
      <c r="IRV520" s="501"/>
      <c r="IRW520" s="501"/>
      <c r="IRX520" s="501"/>
      <c r="IRY520" s="501"/>
      <c r="IRZ520" s="501"/>
      <c r="ISA520" s="501"/>
      <c r="ISB520" s="501"/>
      <c r="ISC520" s="501"/>
      <c r="ISD520" s="501"/>
      <c r="ISE520" s="501"/>
      <c r="ISF520" s="501"/>
      <c r="ISG520" s="501"/>
      <c r="ISH520" s="501"/>
      <c r="ISI520" s="501"/>
      <c r="ISJ520" s="501"/>
      <c r="ISK520" s="501"/>
      <c r="ISL520" s="501"/>
      <c r="ISM520" s="501"/>
      <c r="ISN520" s="501"/>
      <c r="ISO520" s="501"/>
      <c r="ISP520" s="501"/>
      <c r="ISQ520" s="501"/>
      <c r="ISR520" s="501"/>
      <c r="ISS520" s="501"/>
      <c r="IST520" s="501"/>
      <c r="ISU520" s="501"/>
      <c r="ISV520" s="501"/>
      <c r="ISW520" s="501"/>
      <c r="ISX520" s="501"/>
      <c r="ISY520" s="501"/>
      <c r="ISZ520" s="501"/>
      <c r="ITA520" s="501"/>
      <c r="ITB520" s="501"/>
      <c r="ITC520" s="501"/>
      <c r="ITD520" s="501"/>
      <c r="ITE520" s="501"/>
      <c r="ITF520" s="501"/>
      <c r="ITG520" s="501"/>
      <c r="ITH520" s="501"/>
      <c r="ITI520" s="501"/>
      <c r="ITJ520" s="501"/>
      <c r="ITK520" s="501"/>
      <c r="ITL520" s="501"/>
      <c r="ITM520" s="501"/>
      <c r="ITN520" s="501"/>
      <c r="ITO520" s="501"/>
      <c r="ITP520" s="501"/>
      <c r="ITQ520" s="501"/>
      <c r="ITR520" s="501"/>
      <c r="ITS520" s="501"/>
      <c r="ITT520" s="501"/>
      <c r="ITU520" s="501"/>
      <c r="ITV520" s="501"/>
      <c r="ITW520" s="501"/>
      <c r="ITX520" s="501"/>
      <c r="ITY520" s="501"/>
      <c r="ITZ520" s="501"/>
      <c r="IUA520" s="501"/>
      <c r="IUB520" s="501"/>
      <c r="IUC520" s="501"/>
      <c r="IUD520" s="501"/>
      <c r="IUE520" s="501"/>
      <c r="IUF520" s="501"/>
      <c r="IUG520" s="501"/>
      <c r="IUH520" s="501"/>
      <c r="IUI520" s="501"/>
      <c r="IUJ520" s="501"/>
      <c r="IUK520" s="501"/>
      <c r="IUL520" s="501"/>
      <c r="IUM520" s="501"/>
      <c r="IUN520" s="501"/>
      <c r="IUO520" s="501"/>
      <c r="IUP520" s="501"/>
      <c r="IUQ520" s="501"/>
      <c r="IUR520" s="501"/>
      <c r="IUS520" s="501"/>
      <c r="IUT520" s="501"/>
      <c r="IUU520" s="501"/>
      <c r="IUV520" s="501"/>
      <c r="IUW520" s="501"/>
      <c r="IUX520" s="501"/>
      <c r="IUY520" s="501"/>
      <c r="IUZ520" s="501"/>
      <c r="IVA520" s="501"/>
      <c r="IVB520" s="501"/>
      <c r="IVC520" s="501"/>
      <c r="IVD520" s="501"/>
      <c r="IVE520" s="501"/>
      <c r="IVF520" s="501"/>
      <c r="IVG520" s="501"/>
      <c r="IVH520" s="501"/>
      <c r="IVI520" s="501"/>
      <c r="IVJ520" s="501"/>
      <c r="IVK520" s="501"/>
      <c r="IVL520" s="501"/>
      <c r="IVM520" s="501"/>
      <c r="IVN520" s="501"/>
      <c r="IVO520" s="501"/>
      <c r="IVP520" s="501"/>
      <c r="IVQ520" s="501"/>
      <c r="IVR520" s="501"/>
      <c r="IVS520" s="501"/>
      <c r="IVT520" s="501"/>
      <c r="IVU520" s="501"/>
      <c r="IVV520" s="501"/>
      <c r="IVW520" s="501"/>
      <c r="IVX520" s="501"/>
      <c r="IVY520" s="501"/>
      <c r="IVZ520" s="501"/>
      <c r="IWA520" s="501"/>
      <c r="IWB520" s="501"/>
      <c r="IWC520" s="501"/>
      <c r="IWD520" s="501"/>
      <c r="IWE520" s="501"/>
      <c r="IWF520" s="501"/>
      <c r="IWG520" s="501"/>
      <c r="IWH520" s="501"/>
      <c r="IWI520" s="501"/>
      <c r="IWJ520" s="501"/>
      <c r="IWK520" s="501"/>
      <c r="IWL520" s="501"/>
      <c r="IWM520" s="501"/>
      <c r="IWN520" s="501"/>
      <c r="IWO520" s="501"/>
      <c r="IWP520" s="501"/>
      <c r="IWQ520" s="501"/>
      <c r="IWR520" s="501"/>
      <c r="IWS520" s="501"/>
      <c r="IWT520" s="501"/>
      <c r="IWU520" s="501"/>
      <c r="IWV520" s="501"/>
      <c r="IWW520" s="501"/>
      <c r="IWX520" s="501"/>
      <c r="IWY520" s="501"/>
      <c r="IWZ520" s="501"/>
      <c r="IXA520" s="501"/>
      <c r="IXB520" s="501"/>
      <c r="IXC520" s="501"/>
      <c r="IXD520" s="501"/>
      <c r="IXE520" s="501"/>
      <c r="IXF520" s="501"/>
      <c r="IXG520" s="501"/>
      <c r="IXH520" s="501"/>
      <c r="IXI520" s="501"/>
      <c r="IXJ520" s="501"/>
      <c r="IXK520" s="501"/>
      <c r="IXL520" s="501"/>
      <c r="IXM520" s="501"/>
      <c r="IXN520" s="501"/>
      <c r="IXO520" s="501"/>
      <c r="IXP520" s="501"/>
      <c r="IXQ520" s="501"/>
      <c r="IXR520" s="501"/>
      <c r="IXS520" s="501"/>
      <c r="IXT520" s="501"/>
      <c r="IXU520" s="501"/>
      <c r="IXV520" s="501"/>
      <c r="IXW520" s="501"/>
      <c r="IXX520" s="501"/>
      <c r="IXY520" s="501"/>
      <c r="IXZ520" s="501"/>
      <c r="IYA520" s="501"/>
      <c r="IYB520" s="501"/>
      <c r="IYC520" s="501"/>
      <c r="IYD520" s="501"/>
      <c r="IYE520" s="501"/>
      <c r="IYF520" s="501"/>
      <c r="IYG520" s="501"/>
      <c r="IYH520" s="501"/>
      <c r="IYI520" s="501"/>
      <c r="IYJ520" s="501"/>
      <c r="IYK520" s="501"/>
      <c r="IYL520" s="501"/>
      <c r="IYM520" s="501"/>
      <c r="IYN520" s="501"/>
      <c r="IYO520" s="501"/>
      <c r="IYP520" s="501"/>
      <c r="IYQ520" s="501"/>
      <c r="IYR520" s="501"/>
      <c r="IYS520" s="501"/>
      <c r="IYT520" s="501"/>
      <c r="IYU520" s="501"/>
      <c r="IYV520" s="501"/>
      <c r="IYW520" s="501"/>
      <c r="IYX520" s="501"/>
      <c r="IYY520" s="501"/>
      <c r="IYZ520" s="501"/>
      <c r="IZA520" s="501"/>
      <c r="IZB520" s="501"/>
      <c r="IZC520" s="501"/>
      <c r="IZD520" s="501"/>
      <c r="IZE520" s="501"/>
      <c r="IZF520" s="501"/>
      <c r="IZG520" s="501"/>
      <c r="IZH520" s="501"/>
      <c r="IZI520" s="501"/>
      <c r="IZJ520" s="501"/>
      <c r="IZK520" s="501"/>
      <c r="IZL520" s="501"/>
      <c r="IZM520" s="501"/>
      <c r="IZN520" s="501"/>
      <c r="IZO520" s="501"/>
      <c r="IZP520" s="501"/>
      <c r="IZQ520" s="501"/>
      <c r="IZR520" s="501"/>
      <c r="IZS520" s="501"/>
      <c r="IZT520" s="501"/>
      <c r="IZU520" s="501"/>
      <c r="IZV520" s="501"/>
      <c r="IZW520" s="501"/>
      <c r="IZX520" s="501"/>
      <c r="IZY520" s="501"/>
      <c r="IZZ520" s="501"/>
      <c r="JAA520" s="501"/>
      <c r="JAB520" s="501"/>
      <c r="JAC520" s="501"/>
      <c r="JAD520" s="501"/>
      <c r="JAE520" s="501"/>
      <c r="JAF520" s="501"/>
      <c r="JAG520" s="501"/>
      <c r="JAH520" s="501"/>
      <c r="JAI520" s="501"/>
      <c r="JAJ520" s="501"/>
      <c r="JAK520" s="501"/>
      <c r="JAL520" s="501"/>
      <c r="JAM520" s="501"/>
      <c r="JAN520" s="501"/>
      <c r="JAO520" s="501"/>
      <c r="JAP520" s="501"/>
      <c r="JAQ520" s="501"/>
      <c r="JAR520" s="501"/>
      <c r="JAS520" s="501"/>
      <c r="JAT520" s="501"/>
      <c r="JAU520" s="501"/>
      <c r="JAV520" s="501"/>
      <c r="JAW520" s="501"/>
      <c r="JAX520" s="501"/>
      <c r="JAY520" s="501"/>
      <c r="JAZ520" s="501"/>
      <c r="JBA520" s="501"/>
      <c r="JBB520" s="501"/>
      <c r="JBC520" s="501"/>
      <c r="JBD520" s="501"/>
      <c r="JBE520" s="501"/>
      <c r="JBF520" s="501"/>
      <c r="JBG520" s="501"/>
      <c r="JBH520" s="501"/>
      <c r="JBI520" s="501"/>
      <c r="JBJ520" s="501"/>
      <c r="JBK520" s="501"/>
      <c r="JBL520" s="501"/>
      <c r="JBM520" s="501"/>
      <c r="JBN520" s="501"/>
      <c r="JBO520" s="501"/>
      <c r="JBP520" s="501"/>
      <c r="JBQ520" s="501"/>
      <c r="JBR520" s="501"/>
      <c r="JBS520" s="501"/>
      <c r="JBT520" s="501"/>
      <c r="JBU520" s="501"/>
      <c r="JBV520" s="501"/>
      <c r="JBW520" s="501"/>
      <c r="JBX520" s="501"/>
      <c r="JBY520" s="501"/>
      <c r="JBZ520" s="501"/>
      <c r="JCA520" s="501"/>
      <c r="JCB520" s="501"/>
      <c r="JCC520" s="501"/>
      <c r="JCD520" s="501"/>
      <c r="JCE520" s="501"/>
      <c r="JCF520" s="501"/>
      <c r="JCG520" s="501"/>
      <c r="JCH520" s="501"/>
      <c r="JCI520" s="501"/>
      <c r="JCJ520" s="501"/>
      <c r="JCK520" s="501"/>
      <c r="JCL520" s="501"/>
      <c r="JCM520" s="501"/>
      <c r="JCN520" s="501"/>
      <c r="JCO520" s="501"/>
      <c r="JCP520" s="501"/>
      <c r="JCQ520" s="501"/>
      <c r="JCR520" s="501"/>
      <c r="JCS520" s="501"/>
      <c r="JCT520" s="501"/>
      <c r="JCU520" s="501"/>
      <c r="JCV520" s="501"/>
      <c r="JCW520" s="501"/>
      <c r="JCX520" s="501"/>
      <c r="JCY520" s="501"/>
      <c r="JCZ520" s="501"/>
      <c r="JDA520" s="501"/>
      <c r="JDB520" s="501"/>
      <c r="JDC520" s="501"/>
      <c r="JDD520" s="501"/>
      <c r="JDE520" s="501"/>
      <c r="JDF520" s="501"/>
      <c r="JDG520" s="501"/>
      <c r="JDH520" s="501"/>
      <c r="JDI520" s="501"/>
      <c r="JDJ520" s="501"/>
      <c r="JDK520" s="501"/>
      <c r="JDL520" s="501"/>
      <c r="JDM520" s="501"/>
      <c r="JDN520" s="501"/>
      <c r="JDO520" s="501"/>
      <c r="JDP520" s="501"/>
      <c r="JDQ520" s="501"/>
      <c r="JDR520" s="501"/>
      <c r="JDS520" s="501"/>
      <c r="JDT520" s="501"/>
      <c r="JDU520" s="501"/>
      <c r="JDV520" s="501"/>
      <c r="JDW520" s="501"/>
      <c r="JDX520" s="501"/>
      <c r="JDY520" s="501"/>
      <c r="JDZ520" s="501"/>
      <c r="JEA520" s="501"/>
      <c r="JEB520" s="501"/>
      <c r="JEC520" s="501"/>
      <c r="JED520" s="501"/>
      <c r="JEE520" s="501"/>
      <c r="JEF520" s="501"/>
      <c r="JEG520" s="501"/>
      <c r="JEH520" s="501"/>
      <c r="JEI520" s="501"/>
      <c r="JEJ520" s="501"/>
      <c r="JEK520" s="501"/>
      <c r="JEL520" s="501"/>
      <c r="JEM520" s="501"/>
      <c r="JEN520" s="501"/>
      <c r="JEO520" s="501"/>
      <c r="JEP520" s="501"/>
      <c r="JEQ520" s="501"/>
      <c r="JER520" s="501"/>
      <c r="JES520" s="501"/>
      <c r="JET520" s="501"/>
      <c r="JEU520" s="501"/>
      <c r="JEV520" s="501"/>
      <c r="JEW520" s="501"/>
      <c r="JEX520" s="501"/>
      <c r="JEY520" s="501"/>
      <c r="JEZ520" s="501"/>
      <c r="JFA520" s="501"/>
      <c r="JFB520" s="501"/>
      <c r="JFC520" s="501"/>
      <c r="JFD520" s="501"/>
      <c r="JFE520" s="501"/>
      <c r="JFF520" s="501"/>
      <c r="JFG520" s="501"/>
      <c r="JFH520" s="501"/>
      <c r="JFI520" s="501"/>
      <c r="JFJ520" s="501"/>
      <c r="JFK520" s="501"/>
      <c r="JFL520" s="501"/>
      <c r="JFM520" s="501"/>
      <c r="JFN520" s="501"/>
      <c r="JFO520" s="501"/>
      <c r="JFP520" s="501"/>
      <c r="JFQ520" s="501"/>
      <c r="JFR520" s="501"/>
      <c r="JFS520" s="501"/>
      <c r="JFT520" s="501"/>
      <c r="JFU520" s="501"/>
      <c r="JFV520" s="501"/>
      <c r="JFW520" s="501"/>
      <c r="JFX520" s="501"/>
      <c r="JFY520" s="501"/>
      <c r="JFZ520" s="501"/>
      <c r="JGA520" s="501"/>
      <c r="JGB520" s="501"/>
      <c r="JGC520" s="501"/>
      <c r="JGD520" s="501"/>
      <c r="JGE520" s="501"/>
      <c r="JGF520" s="501"/>
      <c r="JGG520" s="501"/>
      <c r="JGH520" s="501"/>
      <c r="JGI520" s="501"/>
      <c r="JGJ520" s="501"/>
      <c r="JGK520" s="501"/>
      <c r="JGL520" s="501"/>
      <c r="JGM520" s="501"/>
      <c r="JGN520" s="501"/>
      <c r="JGO520" s="501"/>
      <c r="JGP520" s="501"/>
      <c r="JGQ520" s="501"/>
      <c r="JGR520" s="501"/>
      <c r="JGS520" s="501"/>
      <c r="JGT520" s="501"/>
      <c r="JGU520" s="501"/>
      <c r="JGV520" s="501"/>
      <c r="JGW520" s="501"/>
      <c r="JGX520" s="501"/>
      <c r="JGY520" s="501"/>
      <c r="JGZ520" s="501"/>
      <c r="JHA520" s="501"/>
      <c r="JHB520" s="501"/>
      <c r="JHC520" s="501"/>
      <c r="JHD520" s="501"/>
      <c r="JHE520" s="501"/>
      <c r="JHF520" s="501"/>
      <c r="JHG520" s="501"/>
      <c r="JHH520" s="501"/>
      <c r="JHI520" s="501"/>
      <c r="JHJ520" s="501"/>
      <c r="JHK520" s="501"/>
      <c r="JHL520" s="501"/>
      <c r="JHM520" s="501"/>
      <c r="JHN520" s="501"/>
      <c r="JHO520" s="501"/>
      <c r="JHP520" s="501"/>
      <c r="JHQ520" s="501"/>
      <c r="JHR520" s="501"/>
      <c r="JHS520" s="501"/>
      <c r="JHT520" s="501"/>
      <c r="JHU520" s="501"/>
      <c r="JHV520" s="501"/>
      <c r="JHW520" s="501"/>
      <c r="JHX520" s="501"/>
      <c r="JHY520" s="501"/>
      <c r="JHZ520" s="501"/>
      <c r="JIA520" s="501"/>
      <c r="JIB520" s="501"/>
      <c r="JIC520" s="501"/>
      <c r="JID520" s="501"/>
      <c r="JIE520" s="501"/>
      <c r="JIF520" s="501"/>
      <c r="JIG520" s="501"/>
      <c r="JIH520" s="501"/>
      <c r="JII520" s="501"/>
      <c r="JIJ520" s="501"/>
      <c r="JIK520" s="501"/>
      <c r="JIL520" s="501"/>
      <c r="JIM520" s="501"/>
      <c r="JIN520" s="501"/>
      <c r="JIO520" s="501"/>
      <c r="JIP520" s="501"/>
      <c r="JIQ520" s="501"/>
      <c r="JIR520" s="501"/>
      <c r="JIS520" s="501"/>
      <c r="JIT520" s="501"/>
      <c r="JIU520" s="501"/>
      <c r="JIV520" s="501"/>
      <c r="JIW520" s="501"/>
      <c r="JIX520" s="501"/>
      <c r="JIY520" s="501"/>
      <c r="JIZ520" s="501"/>
      <c r="JJA520" s="501"/>
      <c r="JJB520" s="501"/>
      <c r="JJC520" s="501"/>
      <c r="JJD520" s="501"/>
      <c r="JJE520" s="501"/>
      <c r="JJF520" s="501"/>
      <c r="JJG520" s="501"/>
      <c r="JJH520" s="501"/>
      <c r="JJI520" s="501"/>
      <c r="JJJ520" s="501"/>
      <c r="JJK520" s="501"/>
      <c r="JJL520" s="501"/>
      <c r="JJM520" s="501"/>
      <c r="JJN520" s="501"/>
      <c r="JJO520" s="501"/>
      <c r="JJP520" s="501"/>
      <c r="JJQ520" s="501"/>
      <c r="JJR520" s="501"/>
      <c r="JJS520" s="501"/>
      <c r="JJT520" s="501"/>
      <c r="JJU520" s="501"/>
      <c r="JJV520" s="501"/>
      <c r="JJW520" s="501"/>
      <c r="JJX520" s="501"/>
      <c r="JJY520" s="501"/>
      <c r="JJZ520" s="501"/>
      <c r="JKA520" s="501"/>
      <c r="JKB520" s="501"/>
      <c r="JKC520" s="501"/>
      <c r="JKD520" s="501"/>
      <c r="JKE520" s="501"/>
      <c r="JKF520" s="501"/>
      <c r="JKG520" s="501"/>
      <c r="JKH520" s="501"/>
      <c r="JKI520" s="501"/>
      <c r="JKJ520" s="501"/>
      <c r="JKK520" s="501"/>
      <c r="JKL520" s="501"/>
      <c r="JKM520" s="501"/>
      <c r="JKN520" s="501"/>
      <c r="JKO520" s="501"/>
      <c r="JKP520" s="501"/>
      <c r="JKQ520" s="501"/>
      <c r="JKR520" s="501"/>
      <c r="JKS520" s="501"/>
      <c r="JKT520" s="501"/>
      <c r="JKU520" s="501"/>
      <c r="JKV520" s="501"/>
      <c r="JKW520" s="501"/>
      <c r="JKX520" s="501"/>
      <c r="JKY520" s="501"/>
      <c r="JKZ520" s="501"/>
      <c r="JLA520" s="501"/>
      <c r="JLB520" s="501"/>
      <c r="JLC520" s="501"/>
      <c r="JLD520" s="501"/>
      <c r="JLE520" s="501"/>
      <c r="JLF520" s="501"/>
      <c r="JLG520" s="501"/>
      <c r="JLH520" s="501"/>
      <c r="JLI520" s="501"/>
      <c r="JLJ520" s="501"/>
      <c r="JLK520" s="501"/>
      <c r="JLL520" s="501"/>
      <c r="JLM520" s="501"/>
      <c r="JLN520" s="501"/>
      <c r="JLO520" s="501"/>
      <c r="JLP520" s="501"/>
      <c r="JLQ520" s="501"/>
      <c r="JLR520" s="501"/>
      <c r="JLS520" s="501"/>
      <c r="JLT520" s="501"/>
      <c r="JLU520" s="501"/>
      <c r="JLV520" s="501"/>
      <c r="JLW520" s="501"/>
      <c r="JLX520" s="501"/>
      <c r="JLY520" s="501"/>
      <c r="JLZ520" s="501"/>
      <c r="JMA520" s="501"/>
      <c r="JMB520" s="501"/>
      <c r="JMC520" s="501"/>
      <c r="JMD520" s="501"/>
      <c r="JME520" s="501"/>
      <c r="JMF520" s="501"/>
      <c r="JMG520" s="501"/>
      <c r="JMH520" s="501"/>
      <c r="JMI520" s="501"/>
      <c r="JMJ520" s="501"/>
      <c r="JMK520" s="501"/>
      <c r="JML520" s="501"/>
      <c r="JMM520" s="501"/>
      <c r="JMN520" s="501"/>
      <c r="JMO520" s="501"/>
      <c r="JMP520" s="501"/>
      <c r="JMQ520" s="501"/>
      <c r="JMR520" s="501"/>
      <c r="JMS520" s="501"/>
      <c r="JMT520" s="501"/>
      <c r="JMU520" s="501"/>
      <c r="JMV520" s="501"/>
      <c r="JMW520" s="501"/>
      <c r="JMX520" s="501"/>
      <c r="JMY520" s="501"/>
      <c r="JMZ520" s="501"/>
      <c r="JNA520" s="501"/>
      <c r="JNB520" s="501"/>
      <c r="JNC520" s="501"/>
      <c r="JND520" s="501"/>
      <c r="JNE520" s="501"/>
      <c r="JNF520" s="501"/>
      <c r="JNG520" s="501"/>
      <c r="JNH520" s="501"/>
      <c r="JNI520" s="501"/>
      <c r="JNJ520" s="501"/>
      <c r="JNK520" s="501"/>
      <c r="JNL520" s="501"/>
      <c r="JNM520" s="501"/>
      <c r="JNN520" s="501"/>
      <c r="JNO520" s="501"/>
      <c r="JNP520" s="501"/>
      <c r="JNQ520" s="501"/>
      <c r="JNR520" s="501"/>
      <c r="JNS520" s="501"/>
      <c r="JNT520" s="501"/>
      <c r="JNU520" s="501"/>
      <c r="JNV520" s="501"/>
      <c r="JNW520" s="501"/>
      <c r="JNX520" s="501"/>
      <c r="JNY520" s="501"/>
      <c r="JNZ520" s="501"/>
      <c r="JOA520" s="501"/>
      <c r="JOB520" s="501"/>
      <c r="JOC520" s="501"/>
      <c r="JOD520" s="501"/>
      <c r="JOE520" s="501"/>
      <c r="JOF520" s="501"/>
      <c r="JOG520" s="501"/>
      <c r="JOH520" s="501"/>
      <c r="JOI520" s="501"/>
      <c r="JOJ520" s="501"/>
      <c r="JOK520" s="501"/>
      <c r="JOL520" s="501"/>
      <c r="JOM520" s="501"/>
      <c r="JON520" s="501"/>
      <c r="JOO520" s="501"/>
      <c r="JOP520" s="501"/>
      <c r="JOQ520" s="501"/>
      <c r="JOR520" s="501"/>
      <c r="JOS520" s="501"/>
      <c r="JOT520" s="501"/>
      <c r="JOU520" s="501"/>
      <c r="JOV520" s="501"/>
      <c r="JOW520" s="501"/>
      <c r="JOX520" s="501"/>
      <c r="JOY520" s="501"/>
      <c r="JOZ520" s="501"/>
      <c r="JPA520" s="501"/>
      <c r="JPB520" s="501"/>
      <c r="JPC520" s="501"/>
      <c r="JPD520" s="501"/>
      <c r="JPE520" s="501"/>
      <c r="JPF520" s="501"/>
      <c r="JPG520" s="501"/>
      <c r="JPH520" s="501"/>
      <c r="JPI520" s="501"/>
      <c r="JPJ520" s="501"/>
      <c r="JPK520" s="501"/>
      <c r="JPL520" s="501"/>
      <c r="JPM520" s="501"/>
      <c r="JPN520" s="501"/>
      <c r="JPO520" s="501"/>
      <c r="JPP520" s="501"/>
      <c r="JPQ520" s="501"/>
      <c r="JPR520" s="501"/>
      <c r="JPS520" s="501"/>
      <c r="JPT520" s="501"/>
      <c r="JPU520" s="501"/>
      <c r="JPV520" s="501"/>
      <c r="JPW520" s="501"/>
      <c r="JPX520" s="501"/>
      <c r="JPY520" s="501"/>
      <c r="JPZ520" s="501"/>
      <c r="JQA520" s="501"/>
      <c r="JQB520" s="501"/>
      <c r="JQC520" s="501"/>
      <c r="JQD520" s="501"/>
      <c r="JQE520" s="501"/>
      <c r="JQF520" s="501"/>
      <c r="JQG520" s="501"/>
      <c r="JQH520" s="501"/>
      <c r="JQI520" s="501"/>
      <c r="JQJ520" s="501"/>
      <c r="JQK520" s="501"/>
      <c r="JQL520" s="501"/>
      <c r="JQM520" s="501"/>
      <c r="JQN520" s="501"/>
      <c r="JQO520" s="501"/>
      <c r="JQP520" s="501"/>
      <c r="JQQ520" s="501"/>
      <c r="JQR520" s="501"/>
      <c r="JQS520" s="501"/>
      <c r="JQT520" s="501"/>
      <c r="JQU520" s="501"/>
      <c r="JQV520" s="501"/>
      <c r="JQW520" s="501"/>
      <c r="JQX520" s="501"/>
      <c r="JQY520" s="501"/>
      <c r="JQZ520" s="501"/>
      <c r="JRA520" s="501"/>
      <c r="JRB520" s="501"/>
      <c r="JRC520" s="501"/>
      <c r="JRD520" s="501"/>
      <c r="JRE520" s="501"/>
      <c r="JRF520" s="501"/>
      <c r="JRG520" s="501"/>
      <c r="JRH520" s="501"/>
      <c r="JRI520" s="501"/>
      <c r="JRJ520" s="501"/>
      <c r="JRK520" s="501"/>
      <c r="JRL520" s="501"/>
      <c r="JRM520" s="501"/>
      <c r="JRN520" s="501"/>
      <c r="JRO520" s="501"/>
      <c r="JRP520" s="501"/>
      <c r="JRQ520" s="501"/>
      <c r="JRR520" s="501"/>
      <c r="JRS520" s="501"/>
      <c r="JRT520" s="501"/>
      <c r="JRU520" s="501"/>
      <c r="JRV520" s="501"/>
      <c r="JRW520" s="501"/>
      <c r="JRX520" s="501"/>
      <c r="JRY520" s="501"/>
      <c r="JRZ520" s="501"/>
      <c r="JSA520" s="501"/>
      <c r="JSB520" s="501"/>
      <c r="JSC520" s="501"/>
      <c r="JSD520" s="501"/>
      <c r="JSE520" s="501"/>
      <c r="JSF520" s="501"/>
      <c r="JSG520" s="501"/>
      <c r="JSH520" s="501"/>
      <c r="JSI520" s="501"/>
      <c r="JSJ520" s="501"/>
      <c r="JSK520" s="501"/>
      <c r="JSL520" s="501"/>
      <c r="JSM520" s="501"/>
      <c r="JSN520" s="501"/>
      <c r="JSO520" s="501"/>
      <c r="JSP520" s="501"/>
      <c r="JSQ520" s="501"/>
      <c r="JSR520" s="501"/>
      <c r="JSS520" s="501"/>
      <c r="JST520" s="501"/>
      <c r="JSU520" s="501"/>
      <c r="JSV520" s="501"/>
      <c r="JSW520" s="501"/>
      <c r="JSX520" s="501"/>
      <c r="JSY520" s="501"/>
      <c r="JSZ520" s="501"/>
      <c r="JTA520" s="501"/>
      <c r="JTB520" s="501"/>
      <c r="JTC520" s="501"/>
      <c r="JTD520" s="501"/>
      <c r="JTE520" s="501"/>
      <c r="JTF520" s="501"/>
      <c r="JTG520" s="501"/>
      <c r="JTH520" s="501"/>
      <c r="JTI520" s="501"/>
      <c r="JTJ520" s="501"/>
      <c r="JTK520" s="501"/>
      <c r="JTL520" s="501"/>
      <c r="JTM520" s="501"/>
      <c r="JTN520" s="501"/>
      <c r="JTO520" s="501"/>
      <c r="JTP520" s="501"/>
      <c r="JTQ520" s="501"/>
      <c r="JTR520" s="501"/>
      <c r="JTS520" s="501"/>
      <c r="JTT520" s="501"/>
      <c r="JTU520" s="501"/>
      <c r="JTV520" s="501"/>
      <c r="JTW520" s="501"/>
      <c r="JTX520" s="501"/>
      <c r="JTY520" s="501"/>
      <c r="JTZ520" s="501"/>
      <c r="JUA520" s="501"/>
      <c r="JUB520" s="501"/>
      <c r="JUC520" s="501"/>
      <c r="JUD520" s="501"/>
      <c r="JUE520" s="501"/>
      <c r="JUF520" s="501"/>
      <c r="JUG520" s="501"/>
      <c r="JUH520" s="501"/>
      <c r="JUI520" s="501"/>
      <c r="JUJ520" s="501"/>
      <c r="JUK520" s="501"/>
      <c r="JUL520" s="501"/>
      <c r="JUM520" s="501"/>
      <c r="JUN520" s="501"/>
      <c r="JUO520" s="501"/>
      <c r="JUP520" s="501"/>
      <c r="JUQ520" s="501"/>
      <c r="JUR520" s="501"/>
      <c r="JUS520" s="501"/>
      <c r="JUT520" s="501"/>
      <c r="JUU520" s="501"/>
      <c r="JUV520" s="501"/>
      <c r="JUW520" s="501"/>
      <c r="JUX520" s="501"/>
      <c r="JUY520" s="501"/>
      <c r="JUZ520" s="501"/>
      <c r="JVA520" s="501"/>
      <c r="JVB520" s="501"/>
      <c r="JVC520" s="501"/>
      <c r="JVD520" s="501"/>
      <c r="JVE520" s="501"/>
      <c r="JVF520" s="501"/>
      <c r="JVG520" s="501"/>
      <c r="JVH520" s="501"/>
      <c r="JVI520" s="501"/>
      <c r="JVJ520" s="501"/>
      <c r="JVK520" s="501"/>
      <c r="JVL520" s="501"/>
      <c r="JVM520" s="501"/>
      <c r="JVN520" s="501"/>
      <c r="JVO520" s="501"/>
      <c r="JVP520" s="501"/>
      <c r="JVQ520" s="501"/>
      <c r="JVR520" s="501"/>
      <c r="JVS520" s="501"/>
      <c r="JVT520" s="501"/>
      <c r="JVU520" s="501"/>
      <c r="JVV520" s="501"/>
      <c r="JVW520" s="501"/>
      <c r="JVX520" s="501"/>
      <c r="JVY520" s="501"/>
      <c r="JVZ520" s="501"/>
      <c r="JWA520" s="501"/>
      <c r="JWB520" s="501"/>
      <c r="JWC520" s="501"/>
      <c r="JWD520" s="501"/>
      <c r="JWE520" s="501"/>
      <c r="JWF520" s="501"/>
      <c r="JWG520" s="501"/>
      <c r="JWH520" s="501"/>
      <c r="JWI520" s="501"/>
      <c r="JWJ520" s="501"/>
      <c r="JWK520" s="501"/>
      <c r="JWL520" s="501"/>
      <c r="JWM520" s="501"/>
      <c r="JWN520" s="501"/>
      <c r="JWO520" s="501"/>
      <c r="JWP520" s="501"/>
      <c r="JWQ520" s="501"/>
      <c r="JWR520" s="501"/>
      <c r="JWS520" s="501"/>
      <c r="JWT520" s="501"/>
      <c r="JWU520" s="501"/>
      <c r="JWV520" s="501"/>
      <c r="JWW520" s="501"/>
      <c r="JWX520" s="501"/>
      <c r="JWY520" s="501"/>
      <c r="JWZ520" s="501"/>
      <c r="JXA520" s="501"/>
      <c r="JXB520" s="501"/>
      <c r="JXC520" s="501"/>
      <c r="JXD520" s="501"/>
      <c r="JXE520" s="501"/>
      <c r="JXF520" s="501"/>
      <c r="JXG520" s="501"/>
      <c r="JXH520" s="501"/>
      <c r="JXI520" s="501"/>
      <c r="JXJ520" s="501"/>
      <c r="JXK520" s="501"/>
      <c r="JXL520" s="501"/>
      <c r="JXM520" s="501"/>
      <c r="JXN520" s="501"/>
      <c r="JXO520" s="501"/>
      <c r="JXP520" s="501"/>
      <c r="JXQ520" s="501"/>
      <c r="JXR520" s="501"/>
      <c r="JXS520" s="501"/>
      <c r="JXT520" s="501"/>
      <c r="JXU520" s="501"/>
      <c r="JXV520" s="501"/>
      <c r="JXW520" s="501"/>
      <c r="JXX520" s="501"/>
      <c r="JXY520" s="501"/>
      <c r="JXZ520" s="501"/>
      <c r="JYA520" s="501"/>
      <c r="JYB520" s="501"/>
      <c r="JYC520" s="501"/>
      <c r="JYD520" s="501"/>
      <c r="JYE520" s="501"/>
      <c r="JYF520" s="501"/>
      <c r="JYG520" s="501"/>
      <c r="JYH520" s="501"/>
      <c r="JYI520" s="501"/>
      <c r="JYJ520" s="501"/>
      <c r="JYK520" s="501"/>
      <c r="JYL520" s="501"/>
      <c r="JYM520" s="501"/>
      <c r="JYN520" s="501"/>
      <c r="JYO520" s="501"/>
      <c r="JYP520" s="501"/>
      <c r="JYQ520" s="501"/>
      <c r="JYR520" s="501"/>
      <c r="JYS520" s="501"/>
      <c r="JYT520" s="501"/>
      <c r="JYU520" s="501"/>
      <c r="JYV520" s="501"/>
      <c r="JYW520" s="501"/>
      <c r="JYX520" s="501"/>
      <c r="JYY520" s="501"/>
      <c r="JYZ520" s="501"/>
      <c r="JZA520" s="501"/>
      <c r="JZB520" s="501"/>
      <c r="JZC520" s="501"/>
      <c r="JZD520" s="501"/>
      <c r="JZE520" s="501"/>
      <c r="JZF520" s="501"/>
      <c r="JZG520" s="501"/>
      <c r="JZH520" s="501"/>
      <c r="JZI520" s="501"/>
      <c r="JZJ520" s="501"/>
      <c r="JZK520" s="501"/>
      <c r="JZL520" s="501"/>
      <c r="JZM520" s="501"/>
      <c r="JZN520" s="501"/>
      <c r="JZO520" s="501"/>
      <c r="JZP520" s="501"/>
      <c r="JZQ520" s="501"/>
      <c r="JZR520" s="501"/>
      <c r="JZS520" s="501"/>
      <c r="JZT520" s="501"/>
      <c r="JZU520" s="501"/>
      <c r="JZV520" s="501"/>
      <c r="JZW520" s="501"/>
      <c r="JZX520" s="501"/>
      <c r="JZY520" s="501"/>
      <c r="JZZ520" s="501"/>
      <c r="KAA520" s="501"/>
      <c r="KAB520" s="501"/>
      <c r="KAC520" s="501"/>
      <c r="KAD520" s="501"/>
      <c r="KAE520" s="501"/>
      <c r="KAF520" s="501"/>
      <c r="KAG520" s="501"/>
      <c r="KAH520" s="501"/>
      <c r="KAI520" s="501"/>
      <c r="KAJ520" s="501"/>
      <c r="KAK520" s="501"/>
      <c r="KAL520" s="501"/>
      <c r="KAM520" s="501"/>
      <c r="KAN520" s="501"/>
      <c r="KAO520" s="501"/>
      <c r="KAP520" s="501"/>
      <c r="KAQ520" s="501"/>
      <c r="KAR520" s="501"/>
      <c r="KAS520" s="501"/>
      <c r="KAT520" s="501"/>
      <c r="KAU520" s="501"/>
      <c r="KAV520" s="501"/>
      <c r="KAW520" s="501"/>
      <c r="KAX520" s="501"/>
      <c r="KAY520" s="501"/>
      <c r="KAZ520" s="501"/>
      <c r="KBA520" s="501"/>
      <c r="KBB520" s="501"/>
      <c r="KBC520" s="501"/>
      <c r="KBD520" s="501"/>
      <c r="KBE520" s="501"/>
      <c r="KBF520" s="501"/>
      <c r="KBG520" s="501"/>
      <c r="KBH520" s="501"/>
      <c r="KBI520" s="501"/>
      <c r="KBJ520" s="501"/>
      <c r="KBK520" s="501"/>
      <c r="KBL520" s="501"/>
      <c r="KBM520" s="501"/>
      <c r="KBN520" s="501"/>
      <c r="KBO520" s="501"/>
      <c r="KBP520" s="501"/>
      <c r="KBQ520" s="501"/>
      <c r="KBR520" s="501"/>
      <c r="KBS520" s="501"/>
      <c r="KBT520" s="501"/>
      <c r="KBU520" s="501"/>
      <c r="KBV520" s="501"/>
      <c r="KBW520" s="501"/>
      <c r="KBX520" s="501"/>
      <c r="KBY520" s="501"/>
      <c r="KBZ520" s="501"/>
      <c r="KCA520" s="501"/>
      <c r="KCB520" s="501"/>
      <c r="KCC520" s="501"/>
      <c r="KCD520" s="501"/>
      <c r="KCE520" s="501"/>
      <c r="KCF520" s="501"/>
      <c r="KCG520" s="501"/>
      <c r="KCH520" s="501"/>
      <c r="KCI520" s="501"/>
      <c r="KCJ520" s="501"/>
      <c r="KCK520" s="501"/>
      <c r="KCL520" s="501"/>
      <c r="KCM520" s="501"/>
      <c r="KCN520" s="501"/>
      <c r="KCO520" s="501"/>
      <c r="KCP520" s="501"/>
      <c r="KCQ520" s="501"/>
      <c r="KCR520" s="501"/>
      <c r="KCS520" s="501"/>
      <c r="KCT520" s="501"/>
      <c r="KCU520" s="501"/>
      <c r="KCV520" s="501"/>
      <c r="KCW520" s="501"/>
      <c r="KCX520" s="501"/>
      <c r="KCY520" s="501"/>
      <c r="KCZ520" s="501"/>
      <c r="KDA520" s="501"/>
      <c r="KDB520" s="501"/>
      <c r="KDC520" s="501"/>
      <c r="KDD520" s="501"/>
      <c r="KDE520" s="501"/>
      <c r="KDF520" s="501"/>
      <c r="KDG520" s="501"/>
      <c r="KDH520" s="501"/>
      <c r="KDI520" s="501"/>
      <c r="KDJ520" s="501"/>
      <c r="KDK520" s="501"/>
      <c r="KDL520" s="501"/>
      <c r="KDM520" s="501"/>
      <c r="KDN520" s="501"/>
      <c r="KDO520" s="501"/>
      <c r="KDP520" s="501"/>
      <c r="KDQ520" s="501"/>
      <c r="KDR520" s="501"/>
      <c r="KDS520" s="501"/>
      <c r="KDT520" s="501"/>
      <c r="KDU520" s="501"/>
      <c r="KDV520" s="501"/>
      <c r="KDW520" s="501"/>
      <c r="KDX520" s="501"/>
      <c r="KDY520" s="501"/>
      <c r="KDZ520" s="501"/>
      <c r="KEA520" s="501"/>
      <c r="KEB520" s="501"/>
      <c r="KEC520" s="501"/>
      <c r="KED520" s="501"/>
      <c r="KEE520" s="501"/>
      <c r="KEF520" s="501"/>
      <c r="KEG520" s="501"/>
      <c r="KEH520" s="501"/>
      <c r="KEI520" s="501"/>
      <c r="KEJ520" s="501"/>
      <c r="KEK520" s="501"/>
      <c r="KEL520" s="501"/>
      <c r="KEM520" s="501"/>
      <c r="KEN520" s="501"/>
      <c r="KEO520" s="501"/>
      <c r="KEP520" s="501"/>
      <c r="KEQ520" s="501"/>
      <c r="KER520" s="501"/>
      <c r="KES520" s="501"/>
      <c r="KET520" s="501"/>
      <c r="KEU520" s="501"/>
      <c r="KEV520" s="501"/>
      <c r="KEW520" s="501"/>
      <c r="KEX520" s="501"/>
      <c r="KEY520" s="501"/>
      <c r="KEZ520" s="501"/>
      <c r="KFA520" s="501"/>
      <c r="KFB520" s="501"/>
      <c r="KFC520" s="501"/>
      <c r="KFD520" s="501"/>
      <c r="KFE520" s="501"/>
      <c r="KFF520" s="501"/>
      <c r="KFG520" s="501"/>
      <c r="KFH520" s="501"/>
      <c r="KFI520" s="501"/>
      <c r="KFJ520" s="501"/>
      <c r="KFK520" s="501"/>
      <c r="KFL520" s="501"/>
      <c r="KFM520" s="501"/>
      <c r="KFN520" s="501"/>
      <c r="KFO520" s="501"/>
      <c r="KFP520" s="501"/>
      <c r="KFQ520" s="501"/>
      <c r="KFR520" s="501"/>
      <c r="KFS520" s="501"/>
      <c r="KFT520" s="501"/>
      <c r="KFU520" s="501"/>
      <c r="KFV520" s="501"/>
      <c r="KFW520" s="501"/>
      <c r="KFX520" s="501"/>
      <c r="KFY520" s="501"/>
      <c r="KFZ520" s="501"/>
      <c r="KGA520" s="501"/>
      <c r="KGB520" s="501"/>
      <c r="KGC520" s="501"/>
      <c r="KGD520" s="501"/>
      <c r="KGE520" s="501"/>
      <c r="KGF520" s="501"/>
      <c r="KGG520" s="501"/>
      <c r="KGH520" s="501"/>
      <c r="KGI520" s="501"/>
      <c r="KGJ520" s="501"/>
      <c r="KGK520" s="501"/>
      <c r="KGL520" s="501"/>
      <c r="KGM520" s="501"/>
      <c r="KGN520" s="501"/>
      <c r="KGO520" s="501"/>
      <c r="KGP520" s="501"/>
      <c r="KGQ520" s="501"/>
      <c r="KGR520" s="501"/>
      <c r="KGS520" s="501"/>
      <c r="KGT520" s="501"/>
      <c r="KGU520" s="501"/>
      <c r="KGV520" s="501"/>
      <c r="KGW520" s="501"/>
      <c r="KGX520" s="501"/>
      <c r="KGY520" s="501"/>
      <c r="KGZ520" s="501"/>
      <c r="KHA520" s="501"/>
      <c r="KHB520" s="501"/>
      <c r="KHC520" s="501"/>
      <c r="KHD520" s="501"/>
      <c r="KHE520" s="501"/>
      <c r="KHF520" s="501"/>
      <c r="KHG520" s="501"/>
      <c r="KHH520" s="501"/>
      <c r="KHI520" s="501"/>
      <c r="KHJ520" s="501"/>
      <c r="KHK520" s="501"/>
      <c r="KHL520" s="501"/>
      <c r="KHM520" s="501"/>
      <c r="KHN520" s="501"/>
      <c r="KHO520" s="501"/>
      <c r="KHP520" s="501"/>
      <c r="KHQ520" s="501"/>
      <c r="KHR520" s="501"/>
      <c r="KHS520" s="501"/>
      <c r="KHT520" s="501"/>
      <c r="KHU520" s="501"/>
      <c r="KHV520" s="501"/>
      <c r="KHW520" s="501"/>
      <c r="KHX520" s="501"/>
      <c r="KHY520" s="501"/>
      <c r="KHZ520" s="501"/>
      <c r="KIA520" s="501"/>
      <c r="KIB520" s="501"/>
      <c r="KIC520" s="501"/>
      <c r="KID520" s="501"/>
      <c r="KIE520" s="501"/>
      <c r="KIF520" s="501"/>
      <c r="KIG520" s="501"/>
      <c r="KIH520" s="501"/>
      <c r="KII520" s="501"/>
      <c r="KIJ520" s="501"/>
      <c r="KIK520" s="501"/>
      <c r="KIL520" s="501"/>
      <c r="KIM520" s="501"/>
      <c r="KIN520" s="501"/>
      <c r="KIO520" s="501"/>
      <c r="KIP520" s="501"/>
      <c r="KIQ520" s="501"/>
      <c r="KIR520" s="501"/>
      <c r="KIS520" s="501"/>
      <c r="KIT520" s="501"/>
      <c r="KIU520" s="501"/>
      <c r="KIV520" s="501"/>
      <c r="KIW520" s="501"/>
      <c r="KIX520" s="501"/>
      <c r="KIY520" s="501"/>
      <c r="KIZ520" s="501"/>
      <c r="KJA520" s="501"/>
      <c r="KJB520" s="501"/>
      <c r="KJC520" s="501"/>
      <c r="KJD520" s="501"/>
      <c r="KJE520" s="501"/>
      <c r="KJF520" s="501"/>
      <c r="KJG520" s="501"/>
      <c r="KJH520" s="501"/>
      <c r="KJI520" s="501"/>
      <c r="KJJ520" s="501"/>
      <c r="KJK520" s="501"/>
      <c r="KJL520" s="501"/>
      <c r="KJM520" s="501"/>
      <c r="KJN520" s="501"/>
      <c r="KJO520" s="501"/>
      <c r="KJP520" s="501"/>
      <c r="KJQ520" s="501"/>
      <c r="KJR520" s="501"/>
      <c r="KJS520" s="501"/>
      <c r="KJT520" s="501"/>
      <c r="KJU520" s="501"/>
      <c r="KJV520" s="501"/>
      <c r="KJW520" s="501"/>
      <c r="KJX520" s="501"/>
      <c r="KJY520" s="501"/>
      <c r="KJZ520" s="501"/>
      <c r="KKA520" s="501"/>
      <c r="KKB520" s="501"/>
      <c r="KKC520" s="501"/>
      <c r="KKD520" s="501"/>
      <c r="KKE520" s="501"/>
      <c r="KKF520" s="501"/>
      <c r="KKG520" s="501"/>
      <c r="KKH520" s="501"/>
      <c r="KKI520" s="501"/>
      <c r="KKJ520" s="501"/>
      <c r="KKK520" s="501"/>
      <c r="KKL520" s="501"/>
      <c r="KKM520" s="501"/>
      <c r="KKN520" s="501"/>
      <c r="KKO520" s="501"/>
      <c r="KKP520" s="501"/>
      <c r="KKQ520" s="501"/>
      <c r="KKR520" s="501"/>
      <c r="KKS520" s="501"/>
      <c r="KKT520" s="501"/>
      <c r="KKU520" s="501"/>
      <c r="KKV520" s="501"/>
      <c r="KKW520" s="501"/>
      <c r="KKX520" s="501"/>
      <c r="KKY520" s="501"/>
      <c r="KKZ520" s="501"/>
      <c r="KLA520" s="501"/>
      <c r="KLB520" s="501"/>
      <c r="KLC520" s="501"/>
      <c r="KLD520" s="501"/>
      <c r="KLE520" s="501"/>
      <c r="KLF520" s="501"/>
      <c r="KLG520" s="501"/>
      <c r="KLH520" s="501"/>
      <c r="KLI520" s="501"/>
      <c r="KLJ520" s="501"/>
      <c r="KLK520" s="501"/>
      <c r="KLL520" s="501"/>
      <c r="KLM520" s="501"/>
      <c r="KLN520" s="501"/>
      <c r="KLO520" s="501"/>
      <c r="KLP520" s="501"/>
      <c r="KLQ520" s="501"/>
      <c r="KLR520" s="501"/>
      <c r="KLS520" s="501"/>
      <c r="KLT520" s="501"/>
      <c r="KLU520" s="501"/>
      <c r="KLV520" s="501"/>
      <c r="KLW520" s="501"/>
      <c r="KLX520" s="501"/>
      <c r="KLY520" s="501"/>
      <c r="KLZ520" s="501"/>
      <c r="KMA520" s="501"/>
      <c r="KMB520" s="501"/>
      <c r="KMC520" s="501"/>
      <c r="KMD520" s="501"/>
      <c r="KME520" s="501"/>
      <c r="KMF520" s="501"/>
      <c r="KMG520" s="501"/>
      <c r="KMH520" s="501"/>
      <c r="KMI520" s="501"/>
      <c r="KMJ520" s="501"/>
      <c r="KMK520" s="501"/>
      <c r="KML520" s="501"/>
      <c r="KMM520" s="501"/>
      <c r="KMN520" s="501"/>
      <c r="KMO520" s="501"/>
      <c r="KMP520" s="501"/>
      <c r="KMQ520" s="501"/>
      <c r="KMR520" s="501"/>
      <c r="KMS520" s="501"/>
      <c r="KMT520" s="501"/>
      <c r="KMU520" s="501"/>
      <c r="KMV520" s="501"/>
      <c r="KMW520" s="501"/>
      <c r="KMX520" s="501"/>
      <c r="KMY520" s="501"/>
      <c r="KMZ520" s="501"/>
      <c r="KNA520" s="501"/>
      <c r="KNB520" s="501"/>
      <c r="KNC520" s="501"/>
      <c r="KND520" s="501"/>
      <c r="KNE520" s="501"/>
      <c r="KNF520" s="501"/>
      <c r="KNG520" s="501"/>
      <c r="KNH520" s="501"/>
      <c r="KNI520" s="501"/>
      <c r="KNJ520" s="501"/>
      <c r="KNK520" s="501"/>
      <c r="KNL520" s="501"/>
      <c r="KNM520" s="501"/>
      <c r="KNN520" s="501"/>
      <c r="KNO520" s="501"/>
      <c r="KNP520" s="501"/>
      <c r="KNQ520" s="501"/>
      <c r="KNR520" s="501"/>
      <c r="KNS520" s="501"/>
      <c r="KNT520" s="501"/>
      <c r="KNU520" s="501"/>
      <c r="KNV520" s="501"/>
      <c r="KNW520" s="501"/>
      <c r="KNX520" s="501"/>
      <c r="KNY520" s="501"/>
      <c r="KNZ520" s="501"/>
      <c r="KOA520" s="501"/>
      <c r="KOB520" s="501"/>
      <c r="KOC520" s="501"/>
      <c r="KOD520" s="501"/>
      <c r="KOE520" s="501"/>
      <c r="KOF520" s="501"/>
      <c r="KOG520" s="501"/>
      <c r="KOH520" s="501"/>
      <c r="KOI520" s="501"/>
      <c r="KOJ520" s="501"/>
      <c r="KOK520" s="501"/>
      <c r="KOL520" s="501"/>
      <c r="KOM520" s="501"/>
      <c r="KON520" s="501"/>
      <c r="KOO520" s="501"/>
      <c r="KOP520" s="501"/>
      <c r="KOQ520" s="501"/>
      <c r="KOR520" s="501"/>
      <c r="KOS520" s="501"/>
      <c r="KOT520" s="501"/>
      <c r="KOU520" s="501"/>
      <c r="KOV520" s="501"/>
      <c r="KOW520" s="501"/>
      <c r="KOX520" s="501"/>
      <c r="KOY520" s="501"/>
      <c r="KOZ520" s="501"/>
      <c r="KPA520" s="501"/>
      <c r="KPB520" s="501"/>
      <c r="KPC520" s="501"/>
      <c r="KPD520" s="501"/>
      <c r="KPE520" s="501"/>
      <c r="KPF520" s="501"/>
      <c r="KPG520" s="501"/>
      <c r="KPH520" s="501"/>
      <c r="KPI520" s="501"/>
      <c r="KPJ520" s="501"/>
      <c r="KPK520" s="501"/>
      <c r="KPL520" s="501"/>
      <c r="KPM520" s="501"/>
      <c r="KPN520" s="501"/>
      <c r="KPO520" s="501"/>
      <c r="KPP520" s="501"/>
      <c r="KPQ520" s="501"/>
      <c r="KPR520" s="501"/>
      <c r="KPS520" s="501"/>
      <c r="KPT520" s="501"/>
      <c r="KPU520" s="501"/>
      <c r="KPV520" s="501"/>
      <c r="KPW520" s="501"/>
      <c r="KPX520" s="501"/>
      <c r="KPY520" s="501"/>
      <c r="KPZ520" s="501"/>
      <c r="KQA520" s="501"/>
      <c r="KQB520" s="501"/>
      <c r="KQC520" s="501"/>
      <c r="KQD520" s="501"/>
      <c r="KQE520" s="501"/>
      <c r="KQF520" s="501"/>
      <c r="KQG520" s="501"/>
      <c r="KQH520" s="501"/>
      <c r="KQI520" s="501"/>
      <c r="KQJ520" s="501"/>
      <c r="KQK520" s="501"/>
      <c r="KQL520" s="501"/>
      <c r="KQM520" s="501"/>
      <c r="KQN520" s="501"/>
      <c r="KQO520" s="501"/>
      <c r="KQP520" s="501"/>
      <c r="KQQ520" s="501"/>
      <c r="KQR520" s="501"/>
      <c r="KQS520" s="501"/>
      <c r="KQT520" s="501"/>
      <c r="KQU520" s="501"/>
      <c r="KQV520" s="501"/>
      <c r="KQW520" s="501"/>
      <c r="KQX520" s="501"/>
      <c r="KQY520" s="501"/>
      <c r="KQZ520" s="501"/>
      <c r="KRA520" s="501"/>
      <c r="KRB520" s="501"/>
      <c r="KRC520" s="501"/>
      <c r="KRD520" s="501"/>
      <c r="KRE520" s="501"/>
      <c r="KRF520" s="501"/>
      <c r="KRG520" s="501"/>
      <c r="KRH520" s="501"/>
      <c r="KRI520" s="501"/>
      <c r="KRJ520" s="501"/>
      <c r="KRK520" s="501"/>
      <c r="KRL520" s="501"/>
      <c r="KRM520" s="501"/>
      <c r="KRN520" s="501"/>
      <c r="KRO520" s="501"/>
      <c r="KRP520" s="501"/>
      <c r="KRQ520" s="501"/>
      <c r="KRR520" s="501"/>
      <c r="KRS520" s="501"/>
      <c r="KRT520" s="501"/>
      <c r="KRU520" s="501"/>
      <c r="KRV520" s="501"/>
      <c r="KRW520" s="501"/>
      <c r="KRX520" s="501"/>
      <c r="KRY520" s="501"/>
      <c r="KRZ520" s="501"/>
      <c r="KSA520" s="501"/>
      <c r="KSB520" s="501"/>
      <c r="KSC520" s="501"/>
      <c r="KSD520" s="501"/>
      <c r="KSE520" s="501"/>
      <c r="KSF520" s="501"/>
      <c r="KSG520" s="501"/>
      <c r="KSH520" s="501"/>
      <c r="KSI520" s="501"/>
      <c r="KSJ520" s="501"/>
      <c r="KSK520" s="501"/>
      <c r="KSL520" s="501"/>
      <c r="KSM520" s="501"/>
      <c r="KSN520" s="501"/>
      <c r="KSO520" s="501"/>
      <c r="KSP520" s="501"/>
      <c r="KSQ520" s="501"/>
      <c r="KSR520" s="501"/>
      <c r="KSS520" s="501"/>
      <c r="KST520" s="501"/>
      <c r="KSU520" s="501"/>
      <c r="KSV520" s="501"/>
      <c r="KSW520" s="501"/>
      <c r="KSX520" s="501"/>
      <c r="KSY520" s="501"/>
      <c r="KSZ520" s="501"/>
      <c r="KTA520" s="501"/>
      <c r="KTB520" s="501"/>
      <c r="KTC520" s="501"/>
      <c r="KTD520" s="501"/>
      <c r="KTE520" s="501"/>
      <c r="KTF520" s="501"/>
      <c r="KTG520" s="501"/>
      <c r="KTH520" s="501"/>
      <c r="KTI520" s="501"/>
      <c r="KTJ520" s="501"/>
      <c r="KTK520" s="501"/>
      <c r="KTL520" s="501"/>
      <c r="KTM520" s="501"/>
      <c r="KTN520" s="501"/>
      <c r="KTO520" s="501"/>
      <c r="KTP520" s="501"/>
      <c r="KTQ520" s="501"/>
      <c r="KTR520" s="501"/>
      <c r="KTS520" s="501"/>
      <c r="KTT520" s="501"/>
      <c r="KTU520" s="501"/>
      <c r="KTV520" s="501"/>
      <c r="KTW520" s="501"/>
      <c r="KTX520" s="501"/>
      <c r="KTY520" s="501"/>
      <c r="KTZ520" s="501"/>
      <c r="KUA520" s="501"/>
      <c r="KUB520" s="501"/>
      <c r="KUC520" s="501"/>
      <c r="KUD520" s="501"/>
      <c r="KUE520" s="501"/>
      <c r="KUF520" s="501"/>
      <c r="KUG520" s="501"/>
      <c r="KUH520" s="501"/>
      <c r="KUI520" s="501"/>
      <c r="KUJ520" s="501"/>
      <c r="KUK520" s="501"/>
      <c r="KUL520" s="501"/>
      <c r="KUM520" s="501"/>
      <c r="KUN520" s="501"/>
      <c r="KUO520" s="501"/>
      <c r="KUP520" s="501"/>
      <c r="KUQ520" s="501"/>
      <c r="KUR520" s="501"/>
      <c r="KUS520" s="501"/>
      <c r="KUT520" s="501"/>
      <c r="KUU520" s="501"/>
      <c r="KUV520" s="501"/>
      <c r="KUW520" s="501"/>
      <c r="KUX520" s="501"/>
      <c r="KUY520" s="501"/>
      <c r="KUZ520" s="501"/>
      <c r="KVA520" s="501"/>
      <c r="KVB520" s="501"/>
      <c r="KVC520" s="501"/>
      <c r="KVD520" s="501"/>
      <c r="KVE520" s="501"/>
      <c r="KVF520" s="501"/>
      <c r="KVG520" s="501"/>
      <c r="KVH520" s="501"/>
      <c r="KVI520" s="501"/>
      <c r="KVJ520" s="501"/>
      <c r="KVK520" s="501"/>
      <c r="KVL520" s="501"/>
      <c r="KVM520" s="501"/>
      <c r="KVN520" s="501"/>
      <c r="KVO520" s="501"/>
      <c r="KVP520" s="501"/>
      <c r="KVQ520" s="501"/>
      <c r="KVR520" s="501"/>
      <c r="KVS520" s="501"/>
      <c r="KVT520" s="501"/>
      <c r="KVU520" s="501"/>
      <c r="KVV520" s="501"/>
      <c r="KVW520" s="501"/>
      <c r="KVX520" s="501"/>
      <c r="KVY520" s="501"/>
      <c r="KVZ520" s="501"/>
      <c r="KWA520" s="501"/>
      <c r="KWB520" s="501"/>
      <c r="KWC520" s="501"/>
      <c r="KWD520" s="501"/>
      <c r="KWE520" s="501"/>
      <c r="KWF520" s="501"/>
      <c r="KWG520" s="501"/>
      <c r="KWH520" s="501"/>
      <c r="KWI520" s="501"/>
      <c r="KWJ520" s="501"/>
      <c r="KWK520" s="501"/>
      <c r="KWL520" s="501"/>
      <c r="KWM520" s="501"/>
      <c r="KWN520" s="501"/>
      <c r="KWO520" s="501"/>
      <c r="KWP520" s="501"/>
      <c r="KWQ520" s="501"/>
      <c r="KWR520" s="501"/>
      <c r="KWS520" s="501"/>
      <c r="KWT520" s="501"/>
      <c r="KWU520" s="501"/>
      <c r="KWV520" s="501"/>
      <c r="KWW520" s="501"/>
      <c r="KWX520" s="501"/>
      <c r="KWY520" s="501"/>
      <c r="KWZ520" s="501"/>
      <c r="KXA520" s="501"/>
      <c r="KXB520" s="501"/>
      <c r="KXC520" s="501"/>
      <c r="KXD520" s="501"/>
      <c r="KXE520" s="501"/>
      <c r="KXF520" s="501"/>
      <c r="KXG520" s="501"/>
      <c r="KXH520" s="501"/>
      <c r="KXI520" s="501"/>
      <c r="KXJ520" s="501"/>
      <c r="KXK520" s="501"/>
      <c r="KXL520" s="501"/>
      <c r="KXM520" s="501"/>
      <c r="KXN520" s="501"/>
      <c r="KXO520" s="501"/>
      <c r="KXP520" s="501"/>
      <c r="KXQ520" s="501"/>
      <c r="KXR520" s="501"/>
      <c r="KXS520" s="501"/>
      <c r="KXT520" s="501"/>
      <c r="KXU520" s="501"/>
      <c r="KXV520" s="501"/>
      <c r="KXW520" s="501"/>
      <c r="KXX520" s="501"/>
      <c r="KXY520" s="501"/>
      <c r="KXZ520" s="501"/>
      <c r="KYA520" s="501"/>
      <c r="KYB520" s="501"/>
      <c r="KYC520" s="501"/>
      <c r="KYD520" s="501"/>
      <c r="KYE520" s="501"/>
      <c r="KYF520" s="501"/>
      <c r="KYG520" s="501"/>
      <c r="KYH520" s="501"/>
      <c r="KYI520" s="501"/>
      <c r="KYJ520" s="501"/>
      <c r="KYK520" s="501"/>
      <c r="KYL520" s="501"/>
      <c r="KYM520" s="501"/>
      <c r="KYN520" s="501"/>
      <c r="KYO520" s="501"/>
      <c r="KYP520" s="501"/>
      <c r="KYQ520" s="501"/>
      <c r="KYR520" s="501"/>
      <c r="KYS520" s="501"/>
      <c r="KYT520" s="501"/>
      <c r="KYU520" s="501"/>
      <c r="KYV520" s="501"/>
      <c r="KYW520" s="501"/>
      <c r="KYX520" s="501"/>
      <c r="KYY520" s="501"/>
      <c r="KYZ520" s="501"/>
      <c r="KZA520" s="501"/>
      <c r="KZB520" s="501"/>
      <c r="KZC520" s="501"/>
      <c r="KZD520" s="501"/>
      <c r="KZE520" s="501"/>
      <c r="KZF520" s="501"/>
      <c r="KZG520" s="501"/>
      <c r="KZH520" s="501"/>
      <c r="KZI520" s="501"/>
      <c r="KZJ520" s="501"/>
      <c r="KZK520" s="501"/>
      <c r="KZL520" s="501"/>
      <c r="KZM520" s="501"/>
      <c r="KZN520" s="501"/>
      <c r="KZO520" s="501"/>
      <c r="KZP520" s="501"/>
      <c r="KZQ520" s="501"/>
      <c r="KZR520" s="501"/>
      <c r="KZS520" s="501"/>
      <c r="KZT520" s="501"/>
      <c r="KZU520" s="501"/>
      <c r="KZV520" s="501"/>
      <c r="KZW520" s="501"/>
      <c r="KZX520" s="501"/>
      <c r="KZY520" s="501"/>
      <c r="KZZ520" s="501"/>
      <c r="LAA520" s="501"/>
      <c r="LAB520" s="501"/>
      <c r="LAC520" s="501"/>
      <c r="LAD520" s="501"/>
      <c r="LAE520" s="501"/>
      <c r="LAF520" s="501"/>
      <c r="LAG520" s="501"/>
      <c r="LAH520" s="501"/>
      <c r="LAI520" s="501"/>
      <c r="LAJ520" s="501"/>
      <c r="LAK520" s="501"/>
      <c r="LAL520" s="501"/>
      <c r="LAM520" s="501"/>
      <c r="LAN520" s="501"/>
      <c r="LAO520" s="501"/>
      <c r="LAP520" s="501"/>
      <c r="LAQ520" s="501"/>
      <c r="LAR520" s="501"/>
      <c r="LAS520" s="501"/>
      <c r="LAT520" s="501"/>
      <c r="LAU520" s="501"/>
      <c r="LAV520" s="501"/>
      <c r="LAW520" s="501"/>
      <c r="LAX520" s="501"/>
      <c r="LAY520" s="501"/>
      <c r="LAZ520" s="501"/>
      <c r="LBA520" s="501"/>
      <c r="LBB520" s="501"/>
      <c r="LBC520" s="501"/>
      <c r="LBD520" s="501"/>
      <c r="LBE520" s="501"/>
      <c r="LBF520" s="501"/>
      <c r="LBG520" s="501"/>
      <c r="LBH520" s="501"/>
      <c r="LBI520" s="501"/>
      <c r="LBJ520" s="501"/>
      <c r="LBK520" s="501"/>
      <c r="LBL520" s="501"/>
      <c r="LBM520" s="501"/>
      <c r="LBN520" s="501"/>
      <c r="LBO520" s="501"/>
      <c r="LBP520" s="501"/>
      <c r="LBQ520" s="501"/>
      <c r="LBR520" s="501"/>
      <c r="LBS520" s="501"/>
      <c r="LBT520" s="501"/>
      <c r="LBU520" s="501"/>
      <c r="LBV520" s="501"/>
      <c r="LBW520" s="501"/>
      <c r="LBX520" s="501"/>
      <c r="LBY520" s="501"/>
      <c r="LBZ520" s="501"/>
      <c r="LCA520" s="501"/>
      <c r="LCB520" s="501"/>
      <c r="LCC520" s="501"/>
      <c r="LCD520" s="501"/>
      <c r="LCE520" s="501"/>
      <c r="LCF520" s="501"/>
      <c r="LCG520" s="501"/>
      <c r="LCH520" s="501"/>
      <c r="LCI520" s="501"/>
      <c r="LCJ520" s="501"/>
      <c r="LCK520" s="501"/>
      <c r="LCL520" s="501"/>
      <c r="LCM520" s="501"/>
      <c r="LCN520" s="501"/>
      <c r="LCO520" s="501"/>
      <c r="LCP520" s="501"/>
      <c r="LCQ520" s="501"/>
      <c r="LCR520" s="501"/>
      <c r="LCS520" s="501"/>
      <c r="LCT520" s="501"/>
      <c r="LCU520" s="501"/>
      <c r="LCV520" s="501"/>
      <c r="LCW520" s="501"/>
      <c r="LCX520" s="501"/>
      <c r="LCY520" s="501"/>
      <c r="LCZ520" s="501"/>
      <c r="LDA520" s="501"/>
      <c r="LDB520" s="501"/>
      <c r="LDC520" s="501"/>
      <c r="LDD520" s="501"/>
      <c r="LDE520" s="501"/>
      <c r="LDF520" s="501"/>
      <c r="LDG520" s="501"/>
      <c r="LDH520" s="501"/>
      <c r="LDI520" s="501"/>
      <c r="LDJ520" s="501"/>
      <c r="LDK520" s="501"/>
      <c r="LDL520" s="501"/>
      <c r="LDM520" s="501"/>
      <c r="LDN520" s="501"/>
      <c r="LDO520" s="501"/>
      <c r="LDP520" s="501"/>
      <c r="LDQ520" s="501"/>
      <c r="LDR520" s="501"/>
      <c r="LDS520" s="501"/>
      <c r="LDT520" s="501"/>
      <c r="LDU520" s="501"/>
      <c r="LDV520" s="501"/>
      <c r="LDW520" s="501"/>
      <c r="LDX520" s="501"/>
      <c r="LDY520" s="501"/>
      <c r="LDZ520" s="501"/>
      <c r="LEA520" s="501"/>
      <c r="LEB520" s="501"/>
      <c r="LEC520" s="501"/>
      <c r="LED520" s="501"/>
      <c r="LEE520" s="501"/>
      <c r="LEF520" s="501"/>
      <c r="LEG520" s="501"/>
      <c r="LEH520" s="501"/>
      <c r="LEI520" s="501"/>
      <c r="LEJ520" s="501"/>
      <c r="LEK520" s="501"/>
      <c r="LEL520" s="501"/>
      <c r="LEM520" s="501"/>
      <c r="LEN520" s="501"/>
      <c r="LEO520" s="501"/>
      <c r="LEP520" s="501"/>
      <c r="LEQ520" s="501"/>
      <c r="LER520" s="501"/>
      <c r="LES520" s="501"/>
      <c r="LET520" s="501"/>
      <c r="LEU520" s="501"/>
      <c r="LEV520" s="501"/>
      <c r="LEW520" s="501"/>
      <c r="LEX520" s="501"/>
      <c r="LEY520" s="501"/>
      <c r="LEZ520" s="501"/>
      <c r="LFA520" s="501"/>
      <c r="LFB520" s="501"/>
      <c r="LFC520" s="501"/>
      <c r="LFD520" s="501"/>
      <c r="LFE520" s="501"/>
      <c r="LFF520" s="501"/>
      <c r="LFG520" s="501"/>
      <c r="LFH520" s="501"/>
      <c r="LFI520" s="501"/>
      <c r="LFJ520" s="501"/>
      <c r="LFK520" s="501"/>
      <c r="LFL520" s="501"/>
      <c r="LFM520" s="501"/>
      <c r="LFN520" s="501"/>
      <c r="LFO520" s="501"/>
      <c r="LFP520" s="501"/>
      <c r="LFQ520" s="501"/>
      <c r="LFR520" s="501"/>
      <c r="LFS520" s="501"/>
      <c r="LFT520" s="501"/>
      <c r="LFU520" s="501"/>
      <c r="LFV520" s="501"/>
      <c r="LFW520" s="501"/>
      <c r="LFX520" s="501"/>
      <c r="LFY520" s="501"/>
      <c r="LFZ520" s="501"/>
      <c r="LGA520" s="501"/>
      <c r="LGB520" s="501"/>
      <c r="LGC520" s="501"/>
      <c r="LGD520" s="501"/>
      <c r="LGE520" s="501"/>
      <c r="LGF520" s="501"/>
      <c r="LGG520" s="501"/>
      <c r="LGH520" s="501"/>
      <c r="LGI520" s="501"/>
      <c r="LGJ520" s="501"/>
      <c r="LGK520" s="501"/>
      <c r="LGL520" s="501"/>
      <c r="LGM520" s="501"/>
      <c r="LGN520" s="501"/>
      <c r="LGO520" s="501"/>
      <c r="LGP520" s="501"/>
      <c r="LGQ520" s="501"/>
      <c r="LGR520" s="501"/>
      <c r="LGS520" s="501"/>
      <c r="LGT520" s="501"/>
      <c r="LGU520" s="501"/>
      <c r="LGV520" s="501"/>
      <c r="LGW520" s="501"/>
      <c r="LGX520" s="501"/>
      <c r="LGY520" s="501"/>
      <c r="LGZ520" s="501"/>
      <c r="LHA520" s="501"/>
      <c r="LHB520" s="501"/>
      <c r="LHC520" s="501"/>
      <c r="LHD520" s="501"/>
      <c r="LHE520" s="501"/>
      <c r="LHF520" s="501"/>
      <c r="LHG520" s="501"/>
      <c r="LHH520" s="501"/>
      <c r="LHI520" s="501"/>
      <c r="LHJ520" s="501"/>
      <c r="LHK520" s="501"/>
      <c r="LHL520" s="501"/>
      <c r="LHM520" s="501"/>
      <c r="LHN520" s="501"/>
      <c r="LHO520" s="501"/>
      <c r="LHP520" s="501"/>
      <c r="LHQ520" s="501"/>
      <c r="LHR520" s="501"/>
      <c r="LHS520" s="501"/>
      <c r="LHT520" s="501"/>
      <c r="LHU520" s="501"/>
      <c r="LHV520" s="501"/>
      <c r="LHW520" s="501"/>
      <c r="LHX520" s="501"/>
      <c r="LHY520" s="501"/>
      <c r="LHZ520" s="501"/>
      <c r="LIA520" s="501"/>
      <c r="LIB520" s="501"/>
      <c r="LIC520" s="501"/>
      <c r="LID520" s="501"/>
      <c r="LIE520" s="501"/>
      <c r="LIF520" s="501"/>
      <c r="LIG520" s="501"/>
      <c r="LIH520" s="501"/>
      <c r="LII520" s="501"/>
      <c r="LIJ520" s="501"/>
      <c r="LIK520" s="501"/>
      <c r="LIL520" s="501"/>
      <c r="LIM520" s="501"/>
      <c r="LIN520" s="501"/>
      <c r="LIO520" s="501"/>
      <c r="LIP520" s="501"/>
      <c r="LIQ520" s="501"/>
      <c r="LIR520" s="501"/>
      <c r="LIS520" s="501"/>
      <c r="LIT520" s="501"/>
      <c r="LIU520" s="501"/>
      <c r="LIV520" s="501"/>
      <c r="LIW520" s="501"/>
      <c r="LIX520" s="501"/>
      <c r="LIY520" s="501"/>
      <c r="LIZ520" s="501"/>
      <c r="LJA520" s="501"/>
      <c r="LJB520" s="501"/>
      <c r="LJC520" s="501"/>
      <c r="LJD520" s="501"/>
      <c r="LJE520" s="501"/>
      <c r="LJF520" s="501"/>
      <c r="LJG520" s="501"/>
      <c r="LJH520" s="501"/>
      <c r="LJI520" s="501"/>
      <c r="LJJ520" s="501"/>
      <c r="LJK520" s="501"/>
      <c r="LJL520" s="501"/>
      <c r="LJM520" s="501"/>
      <c r="LJN520" s="501"/>
      <c r="LJO520" s="501"/>
      <c r="LJP520" s="501"/>
      <c r="LJQ520" s="501"/>
      <c r="LJR520" s="501"/>
      <c r="LJS520" s="501"/>
      <c r="LJT520" s="501"/>
      <c r="LJU520" s="501"/>
      <c r="LJV520" s="501"/>
      <c r="LJW520" s="501"/>
      <c r="LJX520" s="501"/>
      <c r="LJY520" s="501"/>
      <c r="LJZ520" s="501"/>
      <c r="LKA520" s="501"/>
      <c r="LKB520" s="501"/>
      <c r="LKC520" s="501"/>
      <c r="LKD520" s="501"/>
      <c r="LKE520" s="501"/>
      <c r="LKF520" s="501"/>
      <c r="LKG520" s="501"/>
      <c r="LKH520" s="501"/>
      <c r="LKI520" s="501"/>
      <c r="LKJ520" s="501"/>
      <c r="LKK520" s="501"/>
      <c r="LKL520" s="501"/>
      <c r="LKM520" s="501"/>
      <c r="LKN520" s="501"/>
      <c r="LKO520" s="501"/>
      <c r="LKP520" s="501"/>
      <c r="LKQ520" s="501"/>
      <c r="LKR520" s="501"/>
      <c r="LKS520" s="501"/>
      <c r="LKT520" s="501"/>
      <c r="LKU520" s="501"/>
      <c r="LKV520" s="501"/>
      <c r="LKW520" s="501"/>
      <c r="LKX520" s="501"/>
      <c r="LKY520" s="501"/>
      <c r="LKZ520" s="501"/>
      <c r="LLA520" s="501"/>
      <c r="LLB520" s="501"/>
      <c r="LLC520" s="501"/>
      <c r="LLD520" s="501"/>
      <c r="LLE520" s="501"/>
      <c r="LLF520" s="501"/>
      <c r="LLG520" s="501"/>
      <c r="LLH520" s="501"/>
      <c r="LLI520" s="501"/>
      <c r="LLJ520" s="501"/>
      <c r="LLK520" s="501"/>
      <c r="LLL520" s="501"/>
      <c r="LLM520" s="501"/>
      <c r="LLN520" s="501"/>
      <c r="LLO520" s="501"/>
      <c r="LLP520" s="501"/>
      <c r="LLQ520" s="501"/>
      <c r="LLR520" s="501"/>
      <c r="LLS520" s="501"/>
      <c r="LLT520" s="501"/>
      <c r="LLU520" s="501"/>
      <c r="LLV520" s="501"/>
      <c r="LLW520" s="501"/>
      <c r="LLX520" s="501"/>
      <c r="LLY520" s="501"/>
      <c r="LLZ520" s="501"/>
      <c r="LMA520" s="501"/>
      <c r="LMB520" s="501"/>
      <c r="LMC520" s="501"/>
      <c r="LMD520" s="501"/>
      <c r="LME520" s="501"/>
      <c r="LMF520" s="501"/>
      <c r="LMG520" s="501"/>
      <c r="LMH520" s="501"/>
      <c r="LMI520" s="501"/>
      <c r="LMJ520" s="501"/>
      <c r="LMK520" s="501"/>
      <c r="LML520" s="501"/>
      <c r="LMM520" s="501"/>
      <c r="LMN520" s="501"/>
      <c r="LMO520" s="501"/>
      <c r="LMP520" s="501"/>
      <c r="LMQ520" s="501"/>
      <c r="LMR520" s="501"/>
      <c r="LMS520" s="501"/>
      <c r="LMT520" s="501"/>
      <c r="LMU520" s="501"/>
      <c r="LMV520" s="501"/>
      <c r="LMW520" s="501"/>
      <c r="LMX520" s="501"/>
      <c r="LMY520" s="501"/>
      <c r="LMZ520" s="501"/>
      <c r="LNA520" s="501"/>
      <c r="LNB520" s="501"/>
      <c r="LNC520" s="501"/>
      <c r="LND520" s="501"/>
      <c r="LNE520" s="501"/>
      <c r="LNF520" s="501"/>
      <c r="LNG520" s="501"/>
      <c r="LNH520" s="501"/>
      <c r="LNI520" s="501"/>
      <c r="LNJ520" s="501"/>
      <c r="LNK520" s="501"/>
      <c r="LNL520" s="501"/>
      <c r="LNM520" s="501"/>
      <c r="LNN520" s="501"/>
      <c r="LNO520" s="501"/>
      <c r="LNP520" s="501"/>
      <c r="LNQ520" s="501"/>
      <c r="LNR520" s="501"/>
      <c r="LNS520" s="501"/>
      <c r="LNT520" s="501"/>
      <c r="LNU520" s="501"/>
      <c r="LNV520" s="501"/>
      <c r="LNW520" s="501"/>
      <c r="LNX520" s="501"/>
      <c r="LNY520" s="501"/>
      <c r="LNZ520" s="501"/>
      <c r="LOA520" s="501"/>
      <c r="LOB520" s="501"/>
      <c r="LOC520" s="501"/>
      <c r="LOD520" s="501"/>
      <c r="LOE520" s="501"/>
      <c r="LOF520" s="501"/>
      <c r="LOG520" s="501"/>
      <c r="LOH520" s="501"/>
      <c r="LOI520" s="501"/>
      <c r="LOJ520" s="501"/>
      <c r="LOK520" s="501"/>
      <c r="LOL520" s="501"/>
      <c r="LOM520" s="501"/>
      <c r="LON520" s="501"/>
      <c r="LOO520" s="501"/>
      <c r="LOP520" s="501"/>
      <c r="LOQ520" s="501"/>
      <c r="LOR520" s="501"/>
      <c r="LOS520" s="501"/>
      <c r="LOT520" s="501"/>
      <c r="LOU520" s="501"/>
      <c r="LOV520" s="501"/>
      <c r="LOW520" s="501"/>
      <c r="LOX520" s="501"/>
      <c r="LOY520" s="501"/>
      <c r="LOZ520" s="501"/>
      <c r="LPA520" s="501"/>
      <c r="LPB520" s="501"/>
      <c r="LPC520" s="501"/>
      <c r="LPD520" s="501"/>
      <c r="LPE520" s="501"/>
      <c r="LPF520" s="501"/>
      <c r="LPG520" s="501"/>
      <c r="LPH520" s="501"/>
      <c r="LPI520" s="501"/>
      <c r="LPJ520" s="501"/>
      <c r="LPK520" s="501"/>
      <c r="LPL520" s="501"/>
      <c r="LPM520" s="501"/>
      <c r="LPN520" s="501"/>
      <c r="LPO520" s="501"/>
      <c r="LPP520" s="501"/>
      <c r="LPQ520" s="501"/>
      <c r="LPR520" s="501"/>
      <c r="LPS520" s="501"/>
      <c r="LPT520" s="501"/>
      <c r="LPU520" s="501"/>
      <c r="LPV520" s="501"/>
      <c r="LPW520" s="501"/>
      <c r="LPX520" s="501"/>
      <c r="LPY520" s="501"/>
      <c r="LPZ520" s="501"/>
      <c r="LQA520" s="501"/>
      <c r="LQB520" s="501"/>
      <c r="LQC520" s="501"/>
      <c r="LQD520" s="501"/>
      <c r="LQE520" s="501"/>
      <c r="LQF520" s="501"/>
      <c r="LQG520" s="501"/>
      <c r="LQH520" s="501"/>
      <c r="LQI520" s="501"/>
      <c r="LQJ520" s="501"/>
      <c r="LQK520" s="501"/>
      <c r="LQL520" s="501"/>
      <c r="LQM520" s="501"/>
      <c r="LQN520" s="501"/>
      <c r="LQO520" s="501"/>
      <c r="LQP520" s="501"/>
      <c r="LQQ520" s="501"/>
      <c r="LQR520" s="501"/>
      <c r="LQS520" s="501"/>
      <c r="LQT520" s="501"/>
      <c r="LQU520" s="501"/>
      <c r="LQV520" s="501"/>
      <c r="LQW520" s="501"/>
      <c r="LQX520" s="501"/>
      <c r="LQY520" s="501"/>
      <c r="LQZ520" s="501"/>
      <c r="LRA520" s="501"/>
      <c r="LRB520" s="501"/>
      <c r="LRC520" s="501"/>
      <c r="LRD520" s="501"/>
      <c r="LRE520" s="501"/>
      <c r="LRF520" s="501"/>
      <c r="LRG520" s="501"/>
      <c r="LRH520" s="501"/>
      <c r="LRI520" s="501"/>
      <c r="LRJ520" s="501"/>
      <c r="LRK520" s="501"/>
      <c r="LRL520" s="501"/>
      <c r="LRM520" s="501"/>
      <c r="LRN520" s="501"/>
      <c r="LRO520" s="501"/>
      <c r="LRP520" s="501"/>
      <c r="LRQ520" s="501"/>
      <c r="LRR520" s="501"/>
      <c r="LRS520" s="501"/>
      <c r="LRT520" s="501"/>
      <c r="LRU520" s="501"/>
      <c r="LRV520" s="501"/>
      <c r="LRW520" s="501"/>
      <c r="LRX520" s="501"/>
      <c r="LRY520" s="501"/>
      <c r="LRZ520" s="501"/>
      <c r="LSA520" s="501"/>
      <c r="LSB520" s="501"/>
      <c r="LSC520" s="501"/>
      <c r="LSD520" s="501"/>
      <c r="LSE520" s="501"/>
      <c r="LSF520" s="501"/>
      <c r="LSG520" s="501"/>
      <c r="LSH520" s="501"/>
      <c r="LSI520" s="501"/>
      <c r="LSJ520" s="501"/>
      <c r="LSK520" s="501"/>
      <c r="LSL520" s="501"/>
      <c r="LSM520" s="501"/>
      <c r="LSN520" s="501"/>
      <c r="LSO520" s="501"/>
      <c r="LSP520" s="501"/>
      <c r="LSQ520" s="501"/>
      <c r="LSR520" s="501"/>
      <c r="LSS520" s="501"/>
      <c r="LST520" s="501"/>
      <c r="LSU520" s="501"/>
      <c r="LSV520" s="501"/>
      <c r="LSW520" s="501"/>
      <c r="LSX520" s="501"/>
      <c r="LSY520" s="501"/>
      <c r="LSZ520" s="501"/>
      <c r="LTA520" s="501"/>
      <c r="LTB520" s="501"/>
      <c r="LTC520" s="501"/>
      <c r="LTD520" s="501"/>
      <c r="LTE520" s="501"/>
      <c r="LTF520" s="501"/>
      <c r="LTG520" s="501"/>
      <c r="LTH520" s="501"/>
      <c r="LTI520" s="501"/>
      <c r="LTJ520" s="501"/>
      <c r="LTK520" s="501"/>
      <c r="LTL520" s="501"/>
      <c r="LTM520" s="501"/>
      <c r="LTN520" s="501"/>
      <c r="LTO520" s="501"/>
      <c r="LTP520" s="501"/>
      <c r="LTQ520" s="501"/>
      <c r="LTR520" s="501"/>
      <c r="LTS520" s="501"/>
      <c r="LTT520" s="501"/>
      <c r="LTU520" s="501"/>
      <c r="LTV520" s="501"/>
      <c r="LTW520" s="501"/>
      <c r="LTX520" s="501"/>
      <c r="LTY520" s="501"/>
      <c r="LTZ520" s="501"/>
      <c r="LUA520" s="501"/>
      <c r="LUB520" s="501"/>
      <c r="LUC520" s="501"/>
      <c r="LUD520" s="501"/>
      <c r="LUE520" s="501"/>
      <c r="LUF520" s="501"/>
      <c r="LUG520" s="501"/>
      <c r="LUH520" s="501"/>
      <c r="LUI520" s="501"/>
      <c r="LUJ520" s="501"/>
      <c r="LUK520" s="501"/>
      <c r="LUL520" s="501"/>
      <c r="LUM520" s="501"/>
      <c r="LUN520" s="501"/>
      <c r="LUO520" s="501"/>
      <c r="LUP520" s="501"/>
      <c r="LUQ520" s="501"/>
      <c r="LUR520" s="501"/>
      <c r="LUS520" s="501"/>
      <c r="LUT520" s="501"/>
      <c r="LUU520" s="501"/>
      <c r="LUV520" s="501"/>
      <c r="LUW520" s="501"/>
      <c r="LUX520" s="501"/>
      <c r="LUY520" s="501"/>
      <c r="LUZ520" s="501"/>
      <c r="LVA520" s="501"/>
      <c r="LVB520" s="501"/>
      <c r="LVC520" s="501"/>
      <c r="LVD520" s="501"/>
      <c r="LVE520" s="501"/>
      <c r="LVF520" s="501"/>
      <c r="LVG520" s="501"/>
      <c r="LVH520" s="501"/>
      <c r="LVI520" s="501"/>
      <c r="LVJ520" s="501"/>
      <c r="LVK520" s="501"/>
      <c r="LVL520" s="501"/>
      <c r="LVM520" s="501"/>
      <c r="LVN520" s="501"/>
      <c r="LVO520" s="501"/>
      <c r="LVP520" s="501"/>
      <c r="LVQ520" s="501"/>
      <c r="LVR520" s="501"/>
      <c r="LVS520" s="501"/>
      <c r="LVT520" s="501"/>
      <c r="LVU520" s="501"/>
      <c r="LVV520" s="501"/>
      <c r="LVW520" s="501"/>
      <c r="LVX520" s="501"/>
      <c r="LVY520" s="501"/>
      <c r="LVZ520" s="501"/>
      <c r="LWA520" s="501"/>
      <c r="LWB520" s="501"/>
      <c r="LWC520" s="501"/>
      <c r="LWD520" s="501"/>
      <c r="LWE520" s="501"/>
      <c r="LWF520" s="501"/>
      <c r="LWG520" s="501"/>
      <c r="LWH520" s="501"/>
      <c r="LWI520" s="501"/>
      <c r="LWJ520" s="501"/>
      <c r="LWK520" s="501"/>
      <c r="LWL520" s="501"/>
      <c r="LWM520" s="501"/>
      <c r="LWN520" s="501"/>
      <c r="LWO520" s="501"/>
      <c r="LWP520" s="501"/>
      <c r="LWQ520" s="501"/>
      <c r="LWR520" s="501"/>
      <c r="LWS520" s="501"/>
      <c r="LWT520" s="501"/>
      <c r="LWU520" s="501"/>
      <c r="LWV520" s="501"/>
      <c r="LWW520" s="501"/>
      <c r="LWX520" s="501"/>
      <c r="LWY520" s="501"/>
      <c r="LWZ520" s="501"/>
      <c r="LXA520" s="501"/>
      <c r="LXB520" s="501"/>
      <c r="LXC520" s="501"/>
      <c r="LXD520" s="501"/>
      <c r="LXE520" s="501"/>
      <c r="LXF520" s="501"/>
      <c r="LXG520" s="501"/>
      <c r="LXH520" s="501"/>
      <c r="LXI520" s="501"/>
      <c r="LXJ520" s="501"/>
      <c r="LXK520" s="501"/>
      <c r="LXL520" s="501"/>
      <c r="LXM520" s="501"/>
      <c r="LXN520" s="501"/>
      <c r="LXO520" s="501"/>
      <c r="LXP520" s="501"/>
      <c r="LXQ520" s="501"/>
      <c r="LXR520" s="501"/>
      <c r="LXS520" s="501"/>
      <c r="LXT520" s="501"/>
      <c r="LXU520" s="501"/>
      <c r="LXV520" s="501"/>
      <c r="LXW520" s="501"/>
      <c r="LXX520" s="501"/>
      <c r="LXY520" s="501"/>
      <c r="LXZ520" s="501"/>
      <c r="LYA520" s="501"/>
      <c r="LYB520" s="501"/>
      <c r="LYC520" s="501"/>
      <c r="LYD520" s="501"/>
      <c r="LYE520" s="501"/>
      <c r="LYF520" s="501"/>
      <c r="LYG520" s="501"/>
      <c r="LYH520" s="501"/>
      <c r="LYI520" s="501"/>
      <c r="LYJ520" s="501"/>
      <c r="LYK520" s="501"/>
      <c r="LYL520" s="501"/>
      <c r="LYM520" s="501"/>
      <c r="LYN520" s="501"/>
      <c r="LYO520" s="501"/>
      <c r="LYP520" s="501"/>
      <c r="LYQ520" s="501"/>
      <c r="LYR520" s="501"/>
      <c r="LYS520" s="501"/>
      <c r="LYT520" s="501"/>
      <c r="LYU520" s="501"/>
      <c r="LYV520" s="501"/>
      <c r="LYW520" s="501"/>
      <c r="LYX520" s="501"/>
      <c r="LYY520" s="501"/>
      <c r="LYZ520" s="501"/>
      <c r="LZA520" s="501"/>
      <c r="LZB520" s="501"/>
      <c r="LZC520" s="501"/>
      <c r="LZD520" s="501"/>
      <c r="LZE520" s="501"/>
      <c r="LZF520" s="501"/>
      <c r="LZG520" s="501"/>
      <c r="LZH520" s="501"/>
      <c r="LZI520" s="501"/>
      <c r="LZJ520" s="501"/>
      <c r="LZK520" s="501"/>
      <c r="LZL520" s="501"/>
      <c r="LZM520" s="501"/>
      <c r="LZN520" s="501"/>
      <c r="LZO520" s="501"/>
      <c r="LZP520" s="501"/>
      <c r="LZQ520" s="501"/>
      <c r="LZR520" s="501"/>
      <c r="LZS520" s="501"/>
      <c r="LZT520" s="501"/>
      <c r="LZU520" s="501"/>
      <c r="LZV520" s="501"/>
      <c r="LZW520" s="501"/>
      <c r="LZX520" s="501"/>
      <c r="LZY520" s="501"/>
      <c r="LZZ520" s="501"/>
      <c r="MAA520" s="501"/>
      <c r="MAB520" s="501"/>
      <c r="MAC520" s="501"/>
      <c r="MAD520" s="501"/>
      <c r="MAE520" s="501"/>
      <c r="MAF520" s="501"/>
      <c r="MAG520" s="501"/>
      <c r="MAH520" s="501"/>
      <c r="MAI520" s="501"/>
      <c r="MAJ520" s="501"/>
      <c r="MAK520" s="501"/>
      <c r="MAL520" s="501"/>
      <c r="MAM520" s="501"/>
      <c r="MAN520" s="501"/>
      <c r="MAO520" s="501"/>
      <c r="MAP520" s="501"/>
      <c r="MAQ520" s="501"/>
      <c r="MAR520" s="501"/>
      <c r="MAS520" s="501"/>
      <c r="MAT520" s="501"/>
      <c r="MAU520" s="501"/>
      <c r="MAV520" s="501"/>
      <c r="MAW520" s="501"/>
      <c r="MAX520" s="501"/>
      <c r="MAY520" s="501"/>
      <c r="MAZ520" s="501"/>
      <c r="MBA520" s="501"/>
      <c r="MBB520" s="501"/>
      <c r="MBC520" s="501"/>
      <c r="MBD520" s="501"/>
      <c r="MBE520" s="501"/>
      <c r="MBF520" s="501"/>
      <c r="MBG520" s="501"/>
      <c r="MBH520" s="501"/>
      <c r="MBI520" s="501"/>
      <c r="MBJ520" s="501"/>
      <c r="MBK520" s="501"/>
      <c r="MBL520" s="501"/>
      <c r="MBM520" s="501"/>
      <c r="MBN520" s="501"/>
      <c r="MBO520" s="501"/>
      <c r="MBP520" s="501"/>
      <c r="MBQ520" s="501"/>
      <c r="MBR520" s="501"/>
      <c r="MBS520" s="501"/>
      <c r="MBT520" s="501"/>
      <c r="MBU520" s="501"/>
      <c r="MBV520" s="501"/>
      <c r="MBW520" s="501"/>
      <c r="MBX520" s="501"/>
      <c r="MBY520" s="501"/>
      <c r="MBZ520" s="501"/>
      <c r="MCA520" s="501"/>
      <c r="MCB520" s="501"/>
      <c r="MCC520" s="501"/>
      <c r="MCD520" s="501"/>
      <c r="MCE520" s="501"/>
      <c r="MCF520" s="501"/>
      <c r="MCG520" s="501"/>
      <c r="MCH520" s="501"/>
      <c r="MCI520" s="501"/>
      <c r="MCJ520" s="501"/>
      <c r="MCK520" s="501"/>
      <c r="MCL520" s="501"/>
      <c r="MCM520" s="501"/>
      <c r="MCN520" s="501"/>
      <c r="MCO520" s="501"/>
      <c r="MCP520" s="501"/>
      <c r="MCQ520" s="501"/>
      <c r="MCR520" s="501"/>
      <c r="MCS520" s="501"/>
      <c r="MCT520" s="501"/>
      <c r="MCU520" s="501"/>
      <c r="MCV520" s="501"/>
      <c r="MCW520" s="501"/>
      <c r="MCX520" s="501"/>
      <c r="MCY520" s="501"/>
      <c r="MCZ520" s="501"/>
      <c r="MDA520" s="501"/>
      <c r="MDB520" s="501"/>
      <c r="MDC520" s="501"/>
      <c r="MDD520" s="501"/>
      <c r="MDE520" s="501"/>
      <c r="MDF520" s="501"/>
      <c r="MDG520" s="501"/>
      <c r="MDH520" s="501"/>
      <c r="MDI520" s="501"/>
      <c r="MDJ520" s="501"/>
      <c r="MDK520" s="501"/>
      <c r="MDL520" s="501"/>
      <c r="MDM520" s="501"/>
      <c r="MDN520" s="501"/>
      <c r="MDO520" s="501"/>
      <c r="MDP520" s="501"/>
      <c r="MDQ520" s="501"/>
      <c r="MDR520" s="501"/>
      <c r="MDS520" s="501"/>
      <c r="MDT520" s="501"/>
      <c r="MDU520" s="501"/>
      <c r="MDV520" s="501"/>
      <c r="MDW520" s="501"/>
      <c r="MDX520" s="501"/>
      <c r="MDY520" s="501"/>
      <c r="MDZ520" s="501"/>
      <c r="MEA520" s="501"/>
      <c r="MEB520" s="501"/>
      <c r="MEC520" s="501"/>
      <c r="MED520" s="501"/>
      <c r="MEE520" s="501"/>
      <c r="MEF520" s="501"/>
      <c r="MEG520" s="501"/>
      <c r="MEH520" s="501"/>
      <c r="MEI520" s="501"/>
      <c r="MEJ520" s="501"/>
      <c r="MEK520" s="501"/>
      <c r="MEL520" s="501"/>
      <c r="MEM520" s="501"/>
      <c r="MEN520" s="501"/>
      <c r="MEO520" s="501"/>
      <c r="MEP520" s="501"/>
      <c r="MEQ520" s="501"/>
      <c r="MER520" s="501"/>
      <c r="MES520" s="501"/>
      <c r="MET520" s="501"/>
      <c r="MEU520" s="501"/>
      <c r="MEV520" s="501"/>
      <c r="MEW520" s="501"/>
      <c r="MEX520" s="501"/>
      <c r="MEY520" s="501"/>
      <c r="MEZ520" s="501"/>
      <c r="MFA520" s="501"/>
      <c r="MFB520" s="501"/>
      <c r="MFC520" s="501"/>
      <c r="MFD520" s="501"/>
      <c r="MFE520" s="501"/>
      <c r="MFF520" s="501"/>
      <c r="MFG520" s="501"/>
      <c r="MFH520" s="501"/>
      <c r="MFI520" s="501"/>
      <c r="MFJ520" s="501"/>
      <c r="MFK520" s="501"/>
      <c r="MFL520" s="501"/>
      <c r="MFM520" s="501"/>
      <c r="MFN520" s="501"/>
      <c r="MFO520" s="501"/>
      <c r="MFP520" s="501"/>
      <c r="MFQ520" s="501"/>
      <c r="MFR520" s="501"/>
      <c r="MFS520" s="501"/>
      <c r="MFT520" s="501"/>
      <c r="MFU520" s="501"/>
      <c r="MFV520" s="501"/>
      <c r="MFW520" s="501"/>
      <c r="MFX520" s="501"/>
      <c r="MFY520" s="501"/>
      <c r="MFZ520" s="501"/>
      <c r="MGA520" s="501"/>
      <c r="MGB520" s="501"/>
      <c r="MGC520" s="501"/>
      <c r="MGD520" s="501"/>
      <c r="MGE520" s="501"/>
      <c r="MGF520" s="501"/>
      <c r="MGG520" s="501"/>
      <c r="MGH520" s="501"/>
      <c r="MGI520" s="501"/>
      <c r="MGJ520" s="501"/>
      <c r="MGK520" s="501"/>
      <c r="MGL520" s="501"/>
      <c r="MGM520" s="501"/>
      <c r="MGN520" s="501"/>
      <c r="MGO520" s="501"/>
      <c r="MGP520" s="501"/>
      <c r="MGQ520" s="501"/>
      <c r="MGR520" s="501"/>
      <c r="MGS520" s="501"/>
      <c r="MGT520" s="501"/>
      <c r="MGU520" s="501"/>
      <c r="MGV520" s="501"/>
      <c r="MGW520" s="501"/>
      <c r="MGX520" s="501"/>
      <c r="MGY520" s="501"/>
      <c r="MGZ520" s="501"/>
      <c r="MHA520" s="501"/>
      <c r="MHB520" s="501"/>
      <c r="MHC520" s="501"/>
      <c r="MHD520" s="501"/>
      <c r="MHE520" s="501"/>
      <c r="MHF520" s="501"/>
      <c r="MHG520" s="501"/>
      <c r="MHH520" s="501"/>
      <c r="MHI520" s="501"/>
      <c r="MHJ520" s="501"/>
      <c r="MHK520" s="501"/>
      <c r="MHL520" s="501"/>
      <c r="MHM520" s="501"/>
      <c r="MHN520" s="501"/>
      <c r="MHO520" s="501"/>
      <c r="MHP520" s="501"/>
      <c r="MHQ520" s="501"/>
      <c r="MHR520" s="501"/>
      <c r="MHS520" s="501"/>
      <c r="MHT520" s="501"/>
      <c r="MHU520" s="501"/>
      <c r="MHV520" s="501"/>
      <c r="MHW520" s="501"/>
      <c r="MHX520" s="501"/>
      <c r="MHY520" s="501"/>
      <c r="MHZ520" s="501"/>
      <c r="MIA520" s="501"/>
      <c r="MIB520" s="501"/>
      <c r="MIC520" s="501"/>
      <c r="MID520" s="501"/>
      <c r="MIE520" s="501"/>
      <c r="MIF520" s="501"/>
      <c r="MIG520" s="501"/>
      <c r="MIH520" s="501"/>
      <c r="MII520" s="501"/>
      <c r="MIJ520" s="501"/>
      <c r="MIK520" s="501"/>
      <c r="MIL520" s="501"/>
      <c r="MIM520" s="501"/>
      <c r="MIN520" s="501"/>
      <c r="MIO520" s="501"/>
      <c r="MIP520" s="501"/>
      <c r="MIQ520" s="501"/>
      <c r="MIR520" s="501"/>
      <c r="MIS520" s="501"/>
      <c r="MIT520" s="501"/>
      <c r="MIU520" s="501"/>
      <c r="MIV520" s="501"/>
      <c r="MIW520" s="501"/>
      <c r="MIX520" s="501"/>
      <c r="MIY520" s="501"/>
      <c r="MIZ520" s="501"/>
      <c r="MJA520" s="501"/>
      <c r="MJB520" s="501"/>
      <c r="MJC520" s="501"/>
      <c r="MJD520" s="501"/>
      <c r="MJE520" s="501"/>
      <c r="MJF520" s="501"/>
      <c r="MJG520" s="501"/>
      <c r="MJH520" s="501"/>
      <c r="MJI520" s="501"/>
      <c r="MJJ520" s="501"/>
      <c r="MJK520" s="501"/>
      <c r="MJL520" s="501"/>
      <c r="MJM520" s="501"/>
      <c r="MJN520" s="501"/>
      <c r="MJO520" s="501"/>
      <c r="MJP520" s="501"/>
      <c r="MJQ520" s="501"/>
      <c r="MJR520" s="501"/>
      <c r="MJS520" s="501"/>
      <c r="MJT520" s="501"/>
      <c r="MJU520" s="501"/>
      <c r="MJV520" s="501"/>
      <c r="MJW520" s="501"/>
      <c r="MJX520" s="501"/>
      <c r="MJY520" s="501"/>
      <c r="MJZ520" s="501"/>
      <c r="MKA520" s="501"/>
      <c r="MKB520" s="501"/>
      <c r="MKC520" s="501"/>
      <c r="MKD520" s="501"/>
      <c r="MKE520" s="501"/>
      <c r="MKF520" s="501"/>
      <c r="MKG520" s="501"/>
      <c r="MKH520" s="501"/>
      <c r="MKI520" s="501"/>
      <c r="MKJ520" s="501"/>
      <c r="MKK520" s="501"/>
      <c r="MKL520" s="501"/>
      <c r="MKM520" s="501"/>
      <c r="MKN520" s="501"/>
      <c r="MKO520" s="501"/>
      <c r="MKP520" s="501"/>
      <c r="MKQ520" s="501"/>
      <c r="MKR520" s="501"/>
      <c r="MKS520" s="501"/>
      <c r="MKT520" s="501"/>
      <c r="MKU520" s="501"/>
      <c r="MKV520" s="501"/>
      <c r="MKW520" s="501"/>
      <c r="MKX520" s="501"/>
      <c r="MKY520" s="501"/>
      <c r="MKZ520" s="501"/>
      <c r="MLA520" s="501"/>
      <c r="MLB520" s="501"/>
      <c r="MLC520" s="501"/>
      <c r="MLD520" s="501"/>
      <c r="MLE520" s="501"/>
      <c r="MLF520" s="501"/>
      <c r="MLG520" s="501"/>
      <c r="MLH520" s="501"/>
      <c r="MLI520" s="501"/>
      <c r="MLJ520" s="501"/>
      <c r="MLK520" s="501"/>
      <c r="MLL520" s="501"/>
      <c r="MLM520" s="501"/>
      <c r="MLN520" s="501"/>
      <c r="MLO520" s="501"/>
      <c r="MLP520" s="501"/>
      <c r="MLQ520" s="501"/>
      <c r="MLR520" s="501"/>
      <c r="MLS520" s="501"/>
      <c r="MLT520" s="501"/>
      <c r="MLU520" s="501"/>
      <c r="MLV520" s="501"/>
      <c r="MLW520" s="501"/>
      <c r="MLX520" s="501"/>
      <c r="MLY520" s="501"/>
      <c r="MLZ520" s="501"/>
      <c r="MMA520" s="501"/>
      <c r="MMB520" s="501"/>
      <c r="MMC520" s="501"/>
      <c r="MMD520" s="501"/>
      <c r="MME520" s="501"/>
      <c r="MMF520" s="501"/>
      <c r="MMG520" s="501"/>
      <c r="MMH520" s="501"/>
      <c r="MMI520" s="501"/>
      <c r="MMJ520" s="501"/>
      <c r="MMK520" s="501"/>
      <c r="MML520" s="501"/>
      <c r="MMM520" s="501"/>
      <c r="MMN520" s="501"/>
      <c r="MMO520" s="501"/>
      <c r="MMP520" s="501"/>
      <c r="MMQ520" s="501"/>
      <c r="MMR520" s="501"/>
      <c r="MMS520" s="501"/>
      <c r="MMT520" s="501"/>
      <c r="MMU520" s="501"/>
      <c r="MMV520" s="501"/>
      <c r="MMW520" s="501"/>
      <c r="MMX520" s="501"/>
      <c r="MMY520" s="501"/>
      <c r="MMZ520" s="501"/>
      <c r="MNA520" s="501"/>
      <c r="MNB520" s="501"/>
      <c r="MNC520" s="501"/>
      <c r="MND520" s="501"/>
      <c r="MNE520" s="501"/>
      <c r="MNF520" s="501"/>
      <c r="MNG520" s="501"/>
      <c r="MNH520" s="501"/>
      <c r="MNI520" s="501"/>
      <c r="MNJ520" s="501"/>
      <c r="MNK520" s="501"/>
      <c r="MNL520" s="501"/>
      <c r="MNM520" s="501"/>
      <c r="MNN520" s="501"/>
      <c r="MNO520" s="501"/>
      <c r="MNP520" s="501"/>
      <c r="MNQ520" s="501"/>
      <c r="MNR520" s="501"/>
      <c r="MNS520" s="501"/>
      <c r="MNT520" s="501"/>
      <c r="MNU520" s="501"/>
      <c r="MNV520" s="501"/>
      <c r="MNW520" s="501"/>
      <c r="MNX520" s="501"/>
      <c r="MNY520" s="501"/>
      <c r="MNZ520" s="501"/>
      <c r="MOA520" s="501"/>
      <c r="MOB520" s="501"/>
      <c r="MOC520" s="501"/>
      <c r="MOD520" s="501"/>
      <c r="MOE520" s="501"/>
      <c r="MOF520" s="501"/>
      <c r="MOG520" s="501"/>
      <c r="MOH520" s="501"/>
      <c r="MOI520" s="501"/>
      <c r="MOJ520" s="501"/>
      <c r="MOK520" s="501"/>
      <c r="MOL520" s="501"/>
      <c r="MOM520" s="501"/>
      <c r="MON520" s="501"/>
      <c r="MOO520" s="501"/>
      <c r="MOP520" s="501"/>
      <c r="MOQ520" s="501"/>
      <c r="MOR520" s="501"/>
      <c r="MOS520" s="501"/>
      <c r="MOT520" s="501"/>
      <c r="MOU520" s="501"/>
      <c r="MOV520" s="501"/>
      <c r="MOW520" s="501"/>
      <c r="MOX520" s="501"/>
      <c r="MOY520" s="501"/>
      <c r="MOZ520" s="501"/>
      <c r="MPA520" s="501"/>
      <c r="MPB520" s="501"/>
      <c r="MPC520" s="501"/>
      <c r="MPD520" s="501"/>
      <c r="MPE520" s="501"/>
      <c r="MPF520" s="501"/>
      <c r="MPG520" s="501"/>
      <c r="MPH520" s="501"/>
      <c r="MPI520" s="501"/>
      <c r="MPJ520" s="501"/>
      <c r="MPK520" s="501"/>
      <c r="MPL520" s="501"/>
      <c r="MPM520" s="501"/>
      <c r="MPN520" s="501"/>
      <c r="MPO520" s="501"/>
      <c r="MPP520" s="501"/>
      <c r="MPQ520" s="501"/>
      <c r="MPR520" s="501"/>
      <c r="MPS520" s="501"/>
      <c r="MPT520" s="501"/>
      <c r="MPU520" s="501"/>
      <c r="MPV520" s="501"/>
      <c r="MPW520" s="501"/>
      <c r="MPX520" s="501"/>
      <c r="MPY520" s="501"/>
      <c r="MPZ520" s="501"/>
      <c r="MQA520" s="501"/>
      <c r="MQB520" s="501"/>
      <c r="MQC520" s="501"/>
      <c r="MQD520" s="501"/>
      <c r="MQE520" s="501"/>
      <c r="MQF520" s="501"/>
      <c r="MQG520" s="501"/>
      <c r="MQH520" s="501"/>
      <c r="MQI520" s="501"/>
      <c r="MQJ520" s="501"/>
      <c r="MQK520" s="501"/>
      <c r="MQL520" s="501"/>
      <c r="MQM520" s="501"/>
      <c r="MQN520" s="501"/>
      <c r="MQO520" s="501"/>
      <c r="MQP520" s="501"/>
      <c r="MQQ520" s="501"/>
      <c r="MQR520" s="501"/>
      <c r="MQS520" s="501"/>
      <c r="MQT520" s="501"/>
      <c r="MQU520" s="501"/>
      <c r="MQV520" s="501"/>
      <c r="MQW520" s="501"/>
      <c r="MQX520" s="501"/>
      <c r="MQY520" s="501"/>
      <c r="MQZ520" s="501"/>
      <c r="MRA520" s="501"/>
      <c r="MRB520" s="501"/>
      <c r="MRC520" s="501"/>
      <c r="MRD520" s="501"/>
      <c r="MRE520" s="501"/>
      <c r="MRF520" s="501"/>
      <c r="MRG520" s="501"/>
      <c r="MRH520" s="501"/>
      <c r="MRI520" s="501"/>
      <c r="MRJ520" s="501"/>
      <c r="MRK520" s="501"/>
      <c r="MRL520" s="501"/>
      <c r="MRM520" s="501"/>
      <c r="MRN520" s="501"/>
      <c r="MRO520" s="501"/>
      <c r="MRP520" s="501"/>
      <c r="MRQ520" s="501"/>
      <c r="MRR520" s="501"/>
      <c r="MRS520" s="501"/>
      <c r="MRT520" s="501"/>
      <c r="MRU520" s="501"/>
      <c r="MRV520" s="501"/>
      <c r="MRW520" s="501"/>
      <c r="MRX520" s="501"/>
      <c r="MRY520" s="501"/>
      <c r="MRZ520" s="501"/>
      <c r="MSA520" s="501"/>
      <c r="MSB520" s="501"/>
      <c r="MSC520" s="501"/>
      <c r="MSD520" s="501"/>
      <c r="MSE520" s="501"/>
      <c r="MSF520" s="501"/>
      <c r="MSG520" s="501"/>
      <c r="MSH520" s="501"/>
      <c r="MSI520" s="501"/>
      <c r="MSJ520" s="501"/>
      <c r="MSK520" s="501"/>
      <c r="MSL520" s="501"/>
      <c r="MSM520" s="501"/>
      <c r="MSN520" s="501"/>
      <c r="MSO520" s="501"/>
      <c r="MSP520" s="501"/>
      <c r="MSQ520" s="501"/>
      <c r="MSR520" s="501"/>
      <c r="MSS520" s="501"/>
      <c r="MST520" s="501"/>
      <c r="MSU520" s="501"/>
      <c r="MSV520" s="501"/>
      <c r="MSW520" s="501"/>
      <c r="MSX520" s="501"/>
      <c r="MSY520" s="501"/>
      <c r="MSZ520" s="501"/>
      <c r="MTA520" s="501"/>
      <c r="MTB520" s="501"/>
      <c r="MTC520" s="501"/>
      <c r="MTD520" s="501"/>
      <c r="MTE520" s="501"/>
      <c r="MTF520" s="501"/>
      <c r="MTG520" s="501"/>
      <c r="MTH520" s="501"/>
      <c r="MTI520" s="501"/>
      <c r="MTJ520" s="501"/>
      <c r="MTK520" s="501"/>
      <c r="MTL520" s="501"/>
      <c r="MTM520" s="501"/>
      <c r="MTN520" s="501"/>
      <c r="MTO520" s="501"/>
      <c r="MTP520" s="501"/>
      <c r="MTQ520" s="501"/>
      <c r="MTR520" s="501"/>
      <c r="MTS520" s="501"/>
      <c r="MTT520" s="501"/>
      <c r="MTU520" s="501"/>
      <c r="MTV520" s="501"/>
      <c r="MTW520" s="501"/>
      <c r="MTX520" s="501"/>
      <c r="MTY520" s="501"/>
      <c r="MTZ520" s="501"/>
      <c r="MUA520" s="501"/>
      <c r="MUB520" s="501"/>
      <c r="MUC520" s="501"/>
      <c r="MUD520" s="501"/>
      <c r="MUE520" s="501"/>
      <c r="MUF520" s="501"/>
      <c r="MUG520" s="501"/>
      <c r="MUH520" s="501"/>
      <c r="MUI520" s="501"/>
      <c r="MUJ520" s="501"/>
      <c r="MUK520" s="501"/>
      <c r="MUL520" s="501"/>
      <c r="MUM520" s="501"/>
      <c r="MUN520" s="501"/>
      <c r="MUO520" s="501"/>
      <c r="MUP520" s="501"/>
      <c r="MUQ520" s="501"/>
      <c r="MUR520" s="501"/>
      <c r="MUS520" s="501"/>
      <c r="MUT520" s="501"/>
      <c r="MUU520" s="501"/>
      <c r="MUV520" s="501"/>
      <c r="MUW520" s="501"/>
      <c r="MUX520" s="501"/>
      <c r="MUY520" s="501"/>
      <c r="MUZ520" s="501"/>
      <c r="MVA520" s="501"/>
      <c r="MVB520" s="501"/>
      <c r="MVC520" s="501"/>
      <c r="MVD520" s="501"/>
      <c r="MVE520" s="501"/>
      <c r="MVF520" s="501"/>
      <c r="MVG520" s="501"/>
      <c r="MVH520" s="501"/>
      <c r="MVI520" s="501"/>
      <c r="MVJ520" s="501"/>
      <c r="MVK520" s="501"/>
      <c r="MVL520" s="501"/>
      <c r="MVM520" s="501"/>
      <c r="MVN520" s="501"/>
      <c r="MVO520" s="501"/>
      <c r="MVP520" s="501"/>
      <c r="MVQ520" s="501"/>
      <c r="MVR520" s="501"/>
      <c r="MVS520" s="501"/>
      <c r="MVT520" s="501"/>
      <c r="MVU520" s="501"/>
      <c r="MVV520" s="501"/>
      <c r="MVW520" s="501"/>
      <c r="MVX520" s="501"/>
      <c r="MVY520" s="501"/>
      <c r="MVZ520" s="501"/>
      <c r="MWA520" s="501"/>
      <c r="MWB520" s="501"/>
      <c r="MWC520" s="501"/>
      <c r="MWD520" s="501"/>
      <c r="MWE520" s="501"/>
      <c r="MWF520" s="501"/>
      <c r="MWG520" s="501"/>
      <c r="MWH520" s="501"/>
      <c r="MWI520" s="501"/>
      <c r="MWJ520" s="501"/>
      <c r="MWK520" s="501"/>
      <c r="MWL520" s="501"/>
      <c r="MWM520" s="501"/>
      <c r="MWN520" s="501"/>
      <c r="MWO520" s="501"/>
      <c r="MWP520" s="501"/>
      <c r="MWQ520" s="501"/>
      <c r="MWR520" s="501"/>
      <c r="MWS520" s="501"/>
      <c r="MWT520" s="501"/>
      <c r="MWU520" s="501"/>
      <c r="MWV520" s="501"/>
      <c r="MWW520" s="501"/>
      <c r="MWX520" s="501"/>
      <c r="MWY520" s="501"/>
      <c r="MWZ520" s="501"/>
      <c r="MXA520" s="501"/>
      <c r="MXB520" s="501"/>
      <c r="MXC520" s="501"/>
      <c r="MXD520" s="501"/>
      <c r="MXE520" s="501"/>
      <c r="MXF520" s="501"/>
      <c r="MXG520" s="501"/>
      <c r="MXH520" s="501"/>
      <c r="MXI520" s="501"/>
      <c r="MXJ520" s="501"/>
      <c r="MXK520" s="501"/>
      <c r="MXL520" s="501"/>
      <c r="MXM520" s="501"/>
      <c r="MXN520" s="501"/>
      <c r="MXO520" s="501"/>
      <c r="MXP520" s="501"/>
      <c r="MXQ520" s="501"/>
      <c r="MXR520" s="501"/>
      <c r="MXS520" s="501"/>
      <c r="MXT520" s="501"/>
      <c r="MXU520" s="501"/>
      <c r="MXV520" s="501"/>
      <c r="MXW520" s="501"/>
      <c r="MXX520" s="501"/>
      <c r="MXY520" s="501"/>
      <c r="MXZ520" s="501"/>
      <c r="MYA520" s="501"/>
      <c r="MYB520" s="501"/>
      <c r="MYC520" s="501"/>
      <c r="MYD520" s="501"/>
      <c r="MYE520" s="501"/>
      <c r="MYF520" s="501"/>
      <c r="MYG520" s="501"/>
      <c r="MYH520" s="501"/>
      <c r="MYI520" s="501"/>
      <c r="MYJ520" s="501"/>
      <c r="MYK520" s="501"/>
      <c r="MYL520" s="501"/>
      <c r="MYM520" s="501"/>
      <c r="MYN520" s="501"/>
      <c r="MYO520" s="501"/>
      <c r="MYP520" s="501"/>
      <c r="MYQ520" s="501"/>
      <c r="MYR520" s="501"/>
      <c r="MYS520" s="501"/>
      <c r="MYT520" s="501"/>
      <c r="MYU520" s="501"/>
      <c r="MYV520" s="501"/>
      <c r="MYW520" s="501"/>
      <c r="MYX520" s="501"/>
      <c r="MYY520" s="501"/>
      <c r="MYZ520" s="501"/>
      <c r="MZA520" s="501"/>
      <c r="MZB520" s="501"/>
      <c r="MZC520" s="501"/>
      <c r="MZD520" s="501"/>
      <c r="MZE520" s="501"/>
      <c r="MZF520" s="501"/>
      <c r="MZG520" s="501"/>
      <c r="MZH520" s="501"/>
      <c r="MZI520" s="501"/>
      <c r="MZJ520" s="501"/>
      <c r="MZK520" s="501"/>
      <c r="MZL520" s="501"/>
      <c r="MZM520" s="501"/>
      <c r="MZN520" s="501"/>
      <c r="MZO520" s="501"/>
      <c r="MZP520" s="501"/>
      <c r="MZQ520" s="501"/>
      <c r="MZR520" s="501"/>
      <c r="MZS520" s="501"/>
      <c r="MZT520" s="501"/>
      <c r="MZU520" s="501"/>
      <c r="MZV520" s="501"/>
      <c r="MZW520" s="501"/>
      <c r="MZX520" s="501"/>
      <c r="MZY520" s="501"/>
      <c r="MZZ520" s="501"/>
      <c r="NAA520" s="501"/>
      <c r="NAB520" s="501"/>
      <c r="NAC520" s="501"/>
      <c r="NAD520" s="501"/>
      <c r="NAE520" s="501"/>
      <c r="NAF520" s="501"/>
      <c r="NAG520" s="501"/>
      <c r="NAH520" s="501"/>
      <c r="NAI520" s="501"/>
      <c r="NAJ520" s="501"/>
      <c r="NAK520" s="501"/>
      <c r="NAL520" s="501"/>
      <c r="NAM520" s="501"/>
      <c r="NAN520" s="501"/>
      <c r="NAO520" s="501"/>
      <c r="NAP520" s="501"/>
      <c r="NAQ520" s="501"/>
      <c r="NAR520" s="501"/>
      <c r="NAS520" s="501"/>
      <c r="NAT520" s="501"/>
      <c r="NAU520" s="501"/>
      <c r="NAV520" s="501"/>
      <c r="NAW520" s="501"/>
      <c r="NAX520" s="501"/>
      <c r="NAY520" s="501"/>
      <c r="NAZ520" s="501"/>
      <c r="NBA520" s="501"/>
      <c r="NBB520" s="501"/>
      <c r="NBC520" s="501"/>
      <c r="NBD520" s="501"/>
      <c r="NBE520" s="501"/>
      <c r="NBF520" s="501"/>
      <c r="NBG520" s="501"/>
      <c r="NBH520" s="501"/>
      <c r="NBI520" s="501"/>
      <c r="NBJ520" s="501"/>
      <c r="NBK520" s="501"/>
      <c r="NBL520" s="501"/>
      <c r="NBM520" s="501"/>
      <c r="NBN520" s="501"/>
      <c r="NBO520" s="501"/>
      <c r="NBP520" s="501"/>
      <c r="NBQ520" s="501"/>
      <c r="NBR520" s="501"/>
      <c r="NBS520" s="501"/>
      <c r="NBT520" s="501"/>
      <c r="NBU520" s="501"/>
      <c r="NBV520" s="501"/>
      <c r="NBW520" s="501"/>
      <c r="NBX520" s="501"/>
      <c r="NBY520" s="501"/>
      <c r="NBZ520" s="501"/>
      <c r="NCA520" s="501"/>
      <c r="NCB520" s="501"/>
      <c r="NCC520" s="501"/>
      <c r="NCD520" s="501"/>
      <c r="NCE520" s="501"/>
      <c r="NCF520" s="501"/>
      <c r="NCG520" s="501"/>
      <c r="NCH520" s="501"/>
      <c r="NCI520" s="501"/>
      <c r="NCJ520" s="501"/>
      <c r="NCK520" s="501"/>
      <c r="NCL520" s="501"/>
      <c r="NCM520" s="501"/>
      <c r="NCN520" s="501"/>
      <c r="NCO520" s="501"/>
      <c r="NCP520" s="501"/>
      <c r="NCQ520" s="501"/>
      <c r="NCR520" s="501"/>
      <c r="NCS520" s="501"/>
      <c r="NCT520" s="501"/>
      <c r="NCU520" s="501"/>
      <c r="NCV520" s="501"/>
      <c r="NCW520" s="501"/>
      <c r="NCX520" s="501"/>
      <c r="NCY520" s="501"/>
      <c r="NCZ520" s="501"/>
      <c r="NDA520" s="501"/>
      <c r="NDB520" s="501"/>
      <c r="NDC520" s="501"/>
      <c r="NDD520" s="501"/>
      <c r="NDE520" s="501"/>
      <c r="NDF520" s="501"/>
      <c r="NDG520" s="501"/>
      <c r="NDH520" s="501"/>
      <c r="NDI520" s="501"/>
      <c r="NDJ520" s="501"/>
      <c r="NDK520" s="501"/>
      <c r="NDL520" s="501"/>
      <c r="NDM520" s="501"/>
      <c r="NDN520" s="501"/>
      <c r="NDO520" s="501"/>
      <c r="NDP520" s="501"/>
      <c r="NDQ520" s="501"/>
      <c r="NDR520" s="501"/>
      <c r="NDS520" s="501"/>
      <c r="NDT520" s="501"/>
      <c r="NDU520" s="501"/>
      <c r="NDV520" s="501"/>
      <c r="NDW520" s="501"/>
      <c r="NDX520" s="501"/>
      <c r="NDY520" s="501"/>
      <c r="NDZ520" s="501"/>
      <c r="NEA520" s="501"/>
      <c r="NEB520" s="501"/>
      <c r="NEC520" s="501"/>
      <c r="NED520" s="501"/>
      <c r="NEE520" s="501"/>
      <c r="NEF520" s="501"/>
      <c r="NEG520" s="501"/>
      <c r="NEH520" s="501"/>
      <c r="NEI520" s="501"/>
      <c r="NEJ520" s="501"/>
      <c r="NEK520" s="501"/>
      <c r="NEL520" s="501"/>
      <c r="NEM520" s="501"/>
      <c r="NEN520" s="501"/>
      <c r="NEO520" s="501"/>
      <c r="NEP520" s="501"/>
      <c r="NEQ520" s="501"/>
      <c r="NER520" s="501"/>
      <c r="NES520" s="501"/>
      <c r="NET520" s="501"/>
      <c r="NEU520" s="501"/>
      <c r="NEV520" s="501"/>
      <c r="NEW520" s="501"/>
      <c r="NEX520" s="501"/>
      <c r="NEY520" s="501"/>
      <c r="NEZ520" s="501"/>
      <c r="NFA520" s="501"/>
      <c r="NFB520" s="501"/>
      <c r="NFC520" s="501"/>
      <c r="NFD520" s="501"/>
      <c r="NFE520" s="501"/>
      <c r="NFF520" s="501"/>
      <c r="NFG520" s="501"/>
      <c r="NFH520" s="501"/>
      <c r="NFI520" s="501"/>
      <c r="NFJ520" s="501"/>
      <c r="NFK520" s="501"/>
      <c r="NFL520" s="501"/>
      <c r="NFM520" s="501"/>
      <c r="NFN520" s="501"/>
      <c r="NFO520" s="501"/>
      <c r="NFP520" s="501"/>
      <c r="NFQ520" s="501"/>
      <c r="NFR520" s="501"/>
      <c r="NFS520" s="501"/>
      <c r="NFT520" s="501"/>
      <c r="NFU520" s="501"/>
      <c r="NFV520" s="501"/>
      <c r="NFW520" s="501"/>
      <c r="NFX520" s="501"/>
      <c r="NFY520" s="501"/>
      <c r="NFZ520" s="501"/>
      <c r="NGA520" s="501"/>
      <c r="NGB520" s="501"/>
      <c r="NGC520" s="501"/>
      <c r="NGD520" s="501"/>
      <c r="NGE520" s="501"/>
      <c r="NGF520" s="501"/>
      <c r="NGG520" s="501"/>
      <c r="NGH520" s="501"/>
      <c r="NGI520" s="501"/>
      <c r="NGJ520" s="501"/>
      <c r="NGK520" s="501"/>
      <c r="NGL520" s="501"/>
      <c r="NGM520" s="501"/>
      <c r="NGN520" s="501"/>
      <c r="NGO520" s="501"/>
      <c r="NGP520" s="501"/>
      <c r="NGQ520" s="501"/>
      <c r="NGR520" s="501"/>
      <c r="NGS520" s="501"/>
      <c r="NGT520" s="501"/>
      <c r="NGU520" s="501"/>
      <c r="NGV520" s="501"/>
      <c r="NGW520" s="501"/>
      <c r="NGX520" s="501"/>
      <c r="NGY520" s="501"/>
      <c r="NGZ520" s="501"/>
      <c r="NHA520" s="501"/>
      <c r="NHB520" s="501"/>
      <c r="NHC520" s="501"/>
      <c r="NHD520" s="501"/>
      <c r="NHE520" s="501"/>
      <c r="NHF520" s="501"/>
      <c r="NHG520" s="501"/>
      <c r="NHH520" s="501"/>
      <c r="NHI520" s="501"/>
      <c r="NHJ520" s="501"/>
      <c r="NHK520" s="501"/>
      <c r="NHL520" s="501"/>
      <c r="NHM520" s="501"/>
      <c r="NHN520" s="501"/>
      <c r="NHO520" s="501"/>
      <c r="NHP520" s="501"/>
      <c r="NHQ520" s="501"/>
      <c r="NHR520" s="501"/>
      <c r="NHS520" s="501"/>
      <c r="NHT520" s="501"/>
      <c r="NHU520" s="501"/>
      <c r="NHV520" s="501"/>
      <c r="NHW520" s="501"/>
      <c r="NHX520" s="501"/>
      <c r="NHY520" s="501"/>
      <c r="NHZ520" s="501"/>
      <c r="NIA520" s="501"/>
      <c r="NIB520" s="501"/>
      <c r="NIC520" s="501"/>
      <c r="NID520" s="501"/>
      <c r="NIE520" s="501"/>
      <c r="NIF520" s="501"/>
      <c r="NIG520" s="501"/>
      <c r="NIH520" s="501"/>
      <c r="NII520" s="501"/>
      <c r="NIJ520" s="501"/>
      <c r="NIK520" s="501"/>
      <c r="NIL520" s="501"/>
      <c r="NIM520" s="501"/>
      <c r="NIN520" s="501"/>
      <c r="NIO520" s="501"/>
      <c r="NIP520" s="501"/>
      <c r="NIQ520" s="501"/>
      <c r="NIR520" s="501"/>
      <c r="NIS520" s="501"/>
      <c r="NIT520" s="501"/>
      <c r="NIU520" s="501"/>
      <c r="NIV520" s="501"/>
      <c r="NIW520" s="501"/>
      <c r="NIX520" s="501"/>
      <c r="NIY520" s="501"/>
      <c r="NIZ520" s="501"/>
      <c r="NJA520" s="501"/>
      <c r="NJB520" s="501"/>
      <c r="NJC520" s="501"/>
      <c r="NJD520" s="501"/>
      <c r="NJE520" s="501"/>
      <c r="NJF520" s="501"/>
      <c r="NJG520" s="501"/>
      <c r="NJH520" s="501"/>
      <c r="NJI520" s="501"/>
      <c r="NJJ520" s="501"/>
      <c r="NJK520" s="501"/>
      <c r="NJL520" s="501"/>
      <c r="NJM520" s="501"/>
      <c r="NJN520" s="501"/>
      <c r="NJO520" s="501"/>
      <c r="NJP520" s="501"/>
      <c r="NJQ520" s="501"/>
      <c r="NJR520" s="501"/>
      <c r="NJS520" s="501"/>
      <c r="NJT520" s="501"/>
      <c r="NJU520" s="501"/>
      <c r="NJV520" s="501"/>
      <c r="NJW520" s="501"/>
      <c r="NJX520" s="501"/>
      <c r="NJY520" s="501"/>
      <c r="NJZ520" s="501"/>
      <c r="NKA520" s="501"/>
      <c r="NKB520" s="501"/>
      <c r="NKC520" s="501"/>
      <c r="NKD520" s="501"/>
      <c r="NKE520" s="501"/>
      <c r="NKF520" s="501"/>
      <c r="NKG520" s="501"/>
      <c r="NKH520" s="501"/>
      <c r="NKI520" s="501"/>
      <c r="NKJ520" s="501"/>
      <c r="NKK520" s="501"/>
      <c r="NKL520" s="501"/>
      <c r="NKM520" s="501"/>
      <c r="NKN520" s="501"/>
      <c r="NKO520" s="501"/>
      <c r="NKP520" s="501"/>
      <c r="NKQ520" s="501"/>
      <c r="NKR520" s="501"/>
      <c r="NKS520" s="501"/>
      <c r="NKT520" s="501"/>
      <c r="NKU520" s="501"/>
      <c r="NKV520" s="501"/>
      <c r="NKW520" s="501"/>
      <c r="NKX520" s="501"/>
      <c r="NKY520" s="501"/>
      <c r="NKZ520" s="501"/>
      <c r="NLA520" s="501"/>
      <c r="NLB520" s="501"/>
      <c r="NLC520" s="501"/>
      <c r="NLD520" s="501"/>
      <c r="NLE520" s="501"/>
      <c r="NLF520" s="501"/>
      <c r="NLG520" s="501"/>
      <c r="NLH520" s="501"/>
      <c r="NLI520" s="501"/>
      <c r="NLJ520" s="501"/>
      <c r="NLK520" s="501"/>
      <c r="NLL520" s="501"/>
      <c r="NLM520" s="501"/>
      <c r="NLN520" s="501"/>
      <c r="NLO520" s="501"/>
      <c r="NLP520" s="501"/>
      <c r="NLQ520" s="501"/>
      <c r="NLR520" s="501"/>
      <c r="NLS520" s="501"/>
      <c r="NLT520" s="501"/>
      <c r="NLU520" s="501"/>
      <c r="NLV520" s="501"/>
      <c r="NLW520" s="501"/>
      <c r="NLX520" s="501"/>
      <c r="NLY520" s="501"/>
      <c r="NLZ520" s="501"/>
      <c r="NMA520" s="501"/>
      <c r="NMB520" s="501"/>
      <c r="NMC520" s="501"/>
      <c r="NMD520" s="501"/>
      <c r="NME520" s="501"/>
      <c r="NMF520" s="501"/>
      <c r="NMG520" s="501"/>
      <c r="NMH520" s="501"/>
      <c r="NMI520" s="501"/>
      <c r="NMJ520" s="501"/>
      <c r="NMK520" s="501"/>
      <c r="NML520" s="501"/>
      <c r="NMM520" s="501"/>
      <c r="NMN520" s="501"/>
      <c r="NMO520" s="501"/>
      <c r="NMP520" s="501"/>
      <c r="NMQ520" s="501"/>
      <c r="NMR520" s="501"/>
      <c r="NMS520" s="501"/>
      <c r="NMT520" s="501"/>
      <c r="NMU520" s="501"/>
      <c r="NMV520" s="501"/>
      <c r="NMW520" s="501"/>
      <c r="NMX520" s="501"/>
      <c r="NMY520" s="501"/>
      <c r="NMZ520" s="501"/>
      <c r="NNA520" s="501"/>
      <c r="NNB520" s="501"/>
      <c r="NNC520" s="501"/>
      <c r="NND520" s="501"/>
      <c r="NNE520" s="501"/>
      <c r="NNF520" s="501"/>
      <c r="NNG520" s="501"/>
      <c r="NNH520" s="501"/>
      <c r="NNI520" s="501"/>
      <c r="NNJ520" s="501"/>
      <c r="NNK520" s="501"/>
      <c r="NNL520" s="501"/>
      <c r="NNM520" s="501"/>
      <c r="NNN520" s="501"/>
      <c r="NNO520" s="501"/>
      <c r="NNP520" s="501"/>
      <c r="NNQ520" s="501"/>
      <c r="NNR520" s="501"/>
      <c r="NNS520" s="501"/>
      <c r="NNT520" s="501"/>
      <c r="NNU520" s="501"/>
      <c r="NNV520" s="501"/>
      <c r="NNW520" s="501"/>
      <c r="NNX520" s="501"/>
      <c r="NNY520" s="501"/>
      <c r="NNZ520" s="501"/>
      <c r="NOA520" s="501"/>
      <c r="NOB520" s="501"/>
      <c r="NOC520" s="501"/>
      <c r="NOD520" s="501"/>
      <c r="NOE520" s="501"/>
      <c r="NOF520" s="501"/>
      <c r="NOG520" s="501"/>
      <c r="NOH520" s="501"/>
      <c r="NOI520" s="501"/>
      <c r="NOJ520" s="501"/>
      <c r="NOK520" s="501"/>
      <c r="NOL520" s="501"/>
      <c r="NOM520" s="501"/>
      <c r="NON520" s="501"/>
      <c r="NOO520" s="501"/>
      <c r="NOP520" s="501"/>
      <c r="NOQ520" s="501"/>
      <c r="NOR520" s="501"/>
      <c r="NOS520" s="501"/>
      <c r="NOT520" s="501"/>
      <c r="NOU520" s="501"/>
      <c r="NOV520" s="501"/>
      <c r="NOW520" s="501"/>
      <c r="NOX520" s="501"/>
      <c r="NOY520" s="501"/>
      <c r="NOZ520" s="501"/>
      <c r="NPA520" s="501"/>
      <c r="NPB520" s="501"/>
      <c r="NPC520" s="501"/>
      <c r="NPD520" s="501"/>
      <c r="NPE520" s="501"/>
      <c r="NPF520" s="501"/>
      <c r="NPG520" s="501"/>
      <c r="NPH520" s="501"/>
      <c r="NPI520" s="501"/>
      <c r="NPJ520" s="501"/>
      <c r="NPK520" s="501"/>
      <c r="NPL520" s="501"/>
      <c r="NPM520" s="501"/>
      <c r="NPN520" s="501"/>
      <c r="NPO520" s="501"/>
      <c r="NPP520" s="501"/>
      <c r="NPQ520" s="501"/>
      <c r="NPR520" s="501"/>
      <c r="NPS520" s="501"/>
      <c r="NPT520" s="501"/>
      <c r="NPU520" s="501"/>
      <c r="NPV520" s="501"/>
      <c r="NPW520" s="501"/>
      <c r="NPX520" s="501"/>
      <c r="NPY520" s="501"/>
      <c r="NPZ520" s="501"/>
      <c r="NQA520" s="501"/>
      <c r="NQB520" s="501"/>
      <c r="NQC520" s="501"/>
      <c r="NQD520" s="501"/>
      <c r="NQE520" s="501"/>
      <c r="NQF520" s="501"/>
      <c r="NQG520" s="501"/>
      <c r="NQH520" s="501"/>
      <c r="NQI520" s="501"/>
      <c r="NQJ520" s="501"/>
      <c r="NQK520" s="501"/>
      <c r="NQL520" s="501"/>
      <c r="NQM520" s="501"/>
      <c r="NQN520" s="501"/>
      <c r="NQO520" s="501"/>
      <c r="NQP520" s="501"/>
      <c r="NQQ520" s="501"/>
      <c r="NQR520" s="501"/>
      <c r="NQS520" s="501"/>
      <c r="NQT520" s="501"/>
      <c r="NQU520" s="501"/>
      <c r="NQV520" s="501"/>
      <c r="NQW520" s="501"/>
      <c r="NQX520" s="501"/>
      <c r="NQY520" s="501"/>
      <c r="NQZ520" s="501"/>
      <c r="NRA520" s="501"/>
      <c r="NRB520" s="501"/>
      <c r="NRC520" s="501"/>
      <c r="NRD520" s="501"/>
      <c r="NRE520" s="501"/>
      <c r="NRF520" s="501"/>
      <c r="NRG520" s="501"/>
      <c r="NRH520" s="501"/>
      <c r="NRI520" s="501"/>
      <c r="NRJ520" s="501"/>
      <c r="NRK520" s="501"/>
      <c r="NRL520" s="501"/>
      <c r="NRM520" s="501"/>
      <c r="NRN520" s="501"/>
      <c r="NRO520" s="501"/>
      <c r="NRP520" s="501"/>
      <c r="NRQ520" s="501"/>
      <c r="NRR520" s="501"/>
      <c r="NRS520" s="501"/>
      <c r="NRT520" s="501"/>
      <c r="NRU520" s="501"/>
      <c r="NRV520" s="501"/>
      <c r="NRW520" s="501"/>
      <c r="NRX520" s="501"/>
      <c r="NRY520" s="501"/>
      <c r="NRZ520" s="501"/>
      <c r="NSA520" s="501"/>
      <c r="NSB520" s="501"/>
      <c r="NSC520" s="501"/>
      <c r="NSD520" s="501"/>
      <c r="NSE520" s="501"/>
      <c r="NSF520" s="501"/>
      <c r="NSG520" s="501"/>
      <c r="NSH520" s="501"/>
      <c r="NSI520" s="501"/>
      <c r="NSJ520" s="501"/>
      <c r="NSK520" s="501"/>
      <c r="NSL520" s="501"/>
      <c r="NSM520" s="501"/>
      <c r="NSN520" s="501"/>
      <c r="NSO520" s="501"/>
      <c r="NSP520" s="501"/>
      <c r="NSQ520" s="501"/>
      <c r="NSR520" s="501"/>
      <c r="NSS520" s="501"/>
      <c r="NST520" s="501"/>
      <c r="NSU520" s="501"/>
      <c r="NSV520" s="501"/>
      <c r="NSW520" s="501"/>
      <c r="NSX520" s="501"/>
      <c r="NSY520" s="501"/>
      <c r="NSZ520" s="501"/>
      <c r="NTA520" s="501"/>
      <c r="NTB520" s="501"/>
      <c r="NTC520" s="501"/>
      <c r="NTD520" s="501"/>
      <c r="NTE520" s="501"/>
      <c r="NTF520" s="501"/>
      <c r="NTG520" s="501"/>
      <c r="NTH520" s="501"/>
      <c r="NTI520" s="501"/>
      <c r="NTJ520" s="501"/>
      <c r="NTK520" s="501"/>
      <c r="NTL520" s="501"/>
      <c r="NTM520" s="501"/>
      <c r="NTN520" s="501"/>
      <c r="NTO520" s="501"/>
      <c r="NTP520" s="501"/>
      <c r="NTQ520" s="501"/>
      <c r="NTR520" s="501"/>
      <c r="NTS520" s="501"/>
      <c r="NTT520" s="501"/>
      <c r="NTU520" s="501"/>
      <c r="NTV520" s="501"/>
      <c r="NTW520" s="501"/>
      <c r="NTX520" s="501"/>
      <c r="NTY520" s="501"/>
      <c r="NTZ520" s="501"/>
      <c r="NUA520" s="501"/>
      <c r="NUB520" s="501"/>
      <c r="NUC520" s="501"/>
      <c r="NUD520" s="501"/>
      <c r="NUE520" s="501"/>
      <c r="NUF520" s="501"/>
      <c r="NUG520" s="501"/>
      <c r="NUH520" s="501"/>
      <c r="NUI520" s="501"/>
      <c r="NUJ520" s="501"/>
      <c r="NUK520" s="501"/>
      <c r="NUL520" s="501"/>
      <c r="NUM520" s="501"/>
      <c r="NUN520" s="501"/>
      <c r="NUO520" s="501"/>
      <c r="NUP520" s="501"/>
      <c r="NUQ520" s="501"/>
      <c r="NUR520" s="501"/>
      <c r="NUS520" s="501"/>
      <c r="NUT520" s="501"/>
      <c r="NUU520" s="501"/>
      <c r="NUV520" s="501"/>
      <c r="NUW520" s="501"/>
      <c r="NUX520" s="501"/>
      <c r="NUY520" s="501"/>
      <c r="NUZ520" s="501"/>
      <c r="NVA520" s="501"/>
      <c r="NVB520" s="501"/>
      <c r="NVC520" s="501"/>
      <c r="NVD520" s="501"/>
      <c r="NVE520" s="501"/>
      <c r="NVF520" s="501"/>
      <c r="NVG520" s="501"/>
      <c r="NVH520" s="501"/>
      <c r="NVI520" s="501"/>
      <c r="NVJ520" s="501"/>
      <c r="NVK520" s="501"/>
      <c r="NVL520" s="501"/>
      <c r="NVM520" s="501"/>
      <c r="NVN520" s="501"/>
      <c r="NVO520" s="501"/>
      <c r="NVP520" s="501"/>
      <c r="NVQ520" s="501"/>
      <c r="NVR520" s="501"/>
      <c r="NVS520" s="501"/>
      <c r="NVT520" s="501"/>
      <c r="NVU520" s="501"/>
      <c r="NVV520" s="501"/>
      <c r="NVW520" s="501"/>
      <c r="NVX520" s="501"/>
      <c r="NVY520" s="501"/>
      <c r="NVZ520" s="501"/>
      <c r="NWA520" s="501"/>
      <c r="NWB520" s="501"/>
      <c r="NWC520" s="501"/>
      <c r="NWD520" s="501"/>
      <c r="NWE520" s="501"/>
      <c r="NWF520" s="501"/>
      <c r="NWG520" s="501"/>
      <c r="NWH520" s="501"/>
      <c r="NWI520" s="501"/>
      <c r="NWJ520" s="501"/>
      <c r="NWK520" s="501"/>
      <c r="NWL520" s="501"/>
      <c r="NWM520" s="501"/>
      <c r="NWN520" s="501"/>
      <c r="NWO520" s="501"/>
      <c r="NWP520" s="501"/>
      <c r="NWQ520" s="501"/>
      <c r="NWR520" s="501"/>
      <c r="NWS520" s="501"/>
      <c r="NWT520" s="501"/>
      <c r="NWU520" s="501"/>
      <c r="NWV520" s="501"/>
      <c r="NWW520" s="501"/>
      <c r="NWX520" s="501"/>
      <c r="NWY520" s="501"/>
      <c r="NWZ520" s="501"/>
      <c r="NXA520" s="501"/>
      <c r="NXB520" s="501"/>
      <c r="NXC520" s="501"/>
      <c r="NXD520" s="501"/>
      <c r="NXE520" s="501"/>
      <c r="NXF520" s="501"/>
      <c r="NXG520" s="501"/>
      <c r="NXH520" s="501"/>
      <c r="NXI520" s="501"/>
      <c r="NXJ520" s="501"/>
      <c r="NXK520" s="501"/>
      <c r="NXL520" s="501"/>
      <c r="NXM520" s="501"/>
      <c r="NXN520" s="501"/>
      <c r="NXO520" s="501"/>
      <c r="NXP520" s="501"/>
      <c r="NXQ520" s="501"/>
      <c r="NXR520" s="501"/>
      <c r="NXS520" s="501"/>
      <c r="NXT520" s="501"/>
      <c r="NXU520" s="501"/>
      <c r="NXV520" s="501"/>
      <c r="NXW520" s="501"/>
      <c r="NXX520" s="501"/>
      <c r="NXY520" s="501"/>
      <c r="NXZ520" s="501"/>
      <c r="NYA520" s="501"/>
      <c r="NYB520" s="501"/>
      <c r="NYC520" s="501"/>
      <c r="NYD520" s="501"/>
      <c r="NYE520" s="501"/>
      <c r="NYF520" s="501"/>
      <c r="NYG520" s="501"/>
      <c r="NYH520" s="501"/>
      <c r="NYI520" s="501"/>
      <c r="NYJ520" s="501"/>
      <c r="NYK520" s="501"/>
      <c r="NYL520" s="501"/>
      <c r="NYM520" s="501"/>
      <c r="NYN520" s="501"/>
      <c r="NYO520" s="501"/>
      <c r="NYP520" s="501"/>
      <c r="NYQ520" s="501"/>
      <c r="NYR520" s="501"/>
      <c r="NYS520" s="501"/>
      <c r="NYT520" s="501"/>
      <c r="NYU520" s="501"/>
      <c r="NYV520" s="501"/>
      <c r="NYW520" s="501"/>
      <c r="NYX520" s="501"/>
      <c r="NYY520" s="501"/>
      <c r="NYZ520" s="501"/>
      <c r="NZA520" s="501"/>
      <c r="NZB520" s="501"/>
      <c r="NZC520" s="501"/>
      <c r="NZD520" s="501"/>
      <c r="NZE520" s="501"/>
      <c r="NZF520" s="501"/>
      <c r="NZG520" s="501"/>
      <c r="NZH520" s="501"/>
      <c r="NZI520" s="501"/>
      <c r="NZJ520" s="501"/>
      <c r="NZK520" s="501"/>
      <c r="NZL520" s="501"/>
      <c r="NZM520" s="501"/>
      <c r="NZN520" s="501"/>
      <c r="NZO520" s="501"/>
      <c r="NZP520" s="501"/>
      <c r="NZQ520" s="501"/>
      <c r="NZR520" s="501"/>
      <c r="NZS520" s="501"/>
      <c r="NZT520" s="501"/>
      <c r="NZU520" s="501"/>
      <c r="NZV520" s="501"/>
      <c r="NZW520" s="501"/>
      <c r="NZX520" s="501"/>
      <c r="NZY520" s="501"/>
      <c r="NZZ520" s="501"/>
      <c r="OAA520" s="501"/>
      <c r="OAB520" s="501"/>
      <c r="OAC520" s="501"/>
      <c r="OAD520" s="501"/>
      <c r="OAE520" s="501"/>
      <c r="OAF520" s="501"/>
      <c r="OAG520" s="501"/>
      <c r="OAH520" s="501"/>
      <c r="OAI520" s="501"/>
      <c r="OAJ520" s="501"/>
      <c r="OAK520" s="501"/>
      <c r="OAL520" s="501"/>
      <c r="OAM520" s="501"/>
      <c r="OAN520" s="501"/>
      <c r="OAO520" s="501"/>
      <c r="OAP520" s="501"/>
      <c r="OAQ520" s="501"/>
      <c r="OAR520" s="501"/>
      <c r="OAS520" s="501"/>
      <c r="OAT520" s="501"/>
      <c r="OAU520" s="501"/>
      <c r="OAV520" s="501"/>
      <c r="OAW520" s="501"/>
      <c r="OAX520" s="501"/>
      <c r="OAY520" s="501"/>
      <c r="OAZ520" s="501"/>
      <c r="OBA520" s="501"/>
      <c r="OBB520" s="501"/>
      <c r="OBC520" s="501"/>
      <c r="OBD520" s="501"/>
      <c r="OBE520" s="501"/>
      <c r="OBF520" s="501"/>
      <c r="OBG520" s="501"/>
      <c r="OBH520" s="501"/>
      <c r="OBI520" s="501"/>
      <c r="OBJ520" s="501"/>
      <c r="OBK520" s="501"/>
      <c r="OBL520" s="501"/>
      <c r="OBM520" s="501"/>
      <c r="OBN520" s="501"/>
      <c r="OBO520" s="501"/>
      <c r="OBP520" s="501"/>
      <c r="OBQ520" s="501"/>
      <c r="OBR520" s="501"/>
      <c r="OBS520" s="501"/>
      <c r="OBT520" s="501"/>
      <c r="OBU520" s="501"/>
      <c r="OBV520" s="501"/>
      <c r="OBW520" s="501"/>
      <c r="OBX520" s="501"/>
      <c r="OBY520" s="501"/>
      <c r="OBZ520" s="501"/>
      <c r="OCA520" s="501"/>
      <c r="OCB520" s="501"/>
      <c r="OCC520" s="501"/>
      <c r="OCD520" s="501"/>
      <c r="OCE520" s="501"/>
      <c r="OCF520" s="501"/>
      <c r="OCG520" s="501"/>
      <c r="OCH520" s="501"/>
      <c r="OCI520" s="501"/>
      <c r="OCJ520" s="501"/>
      <c r="OCK520" s="501"/>
      <c r="OCL520" s="501"/>
      <c r="OCM520" s="501"/>
      <c r="OCN520" s="501"/>
      <c r="OCO520" s="501"/>
      <c r="OCP520" s="501"/>
      <c r="OCQ520" s="501"/>
      <c r="OCR520" s="501"/>
      <c r="OCS520" s="501"/>
      <c r="OCT520" s="501"/>
      <c r="OCU520" s="501"/>
      <c r="OCV520" s="501"/>
      <c r="OCW520" s="501"/>
      <c r="OCX520" s="501"/>
      <c r="OCY520" s="501"/>
      <c r="OCZ520" s="501"/>
      <c r="ODA520" s="501"/>
      <c r="ODB520" s="501"/>
      <c r="ODC520" s="501"/>
      <c r="ODD520" s="501"/>
      <c r="ODE520" s="501"/>
      <c r="ODF520" s="501"/>
      <c r="ODG520" s="501"/>
      <c r="ODH520" s="501"/>
      <c r="ODI520" s="501"/>
      <c r="ODJ520" s="501"/>
      <c r="ODK520" s="501"/>
      <c r="ODL520" s="501"/>
      <c r="ODM520" s="501"/>
      <c r="ODN520" s="501"/>
      <c r="ODO520" s="501"/>
      <c r="ODP520" s="501"/>
      <c r="ODQ520" s="501"/>
      <c r="ODR520" s="501"/>
      <c r="ODS520" s="501"/>
      <c r="ODT520" s="501"/>
      <c r="ODU520" s="501"/>
      <c r="ODV520" s="501"/>
      <c r="ODW520" s="501"/>
      <c r="ODX520" s="501"/>
      <c r="ODY520" s="501"/>
      <c r="ODZ520" s="501"/>
      <c r="OEA520" s="501"/>
      <c r="OEB520" s="501"/>
      <c r="OEC520" s="501"/>
      <c r="OED520" s="501"/>
      <c r="OEE520" s="501"/>
      <c r="OEF520" s="501"/>
      <c r="OEG520" s="501"/>
      <c r="OEH520" s="501"/>
      <c r="OEI520" s="501"/>
      <c r="OEJ520" s="501"/>
      <c r="OEK520" s="501"/>
      <c r="OEL520" s="501"/>
      <c r="OEM520" s="501"/>
      <c r="OEN520" s="501"/>
      <c r="OEO520" s="501"/>
      <c r="OEP520" s="501"/>
      <c r="OEQ520" s="501"/>
      <c r="OER520" s="501"/>
      <c r="OES520" s="501"/>
      <c r="OET520" s="501"/>
      <c r="OEU520" s="501"/>
      <c r="OEV520" s="501"/>
      <c r="OEW520" s="501"/>
      <c r="OEX520" s="501"/>
      <c r="OEY520" s="501"/>
      <c r="OEZ520" s="501"/>
      <c r="OFA520" s="501"/>
      <c r="OFB520" s="501"/>
      <c r="OFC520" s="501"/>
      <c r="OFD520" s="501"/>
      <c r="OFE520" s="501"/>
      <c r="OFF520" s="501"/>
      <c r="OFG520" s="501"/>
      <c r="OFH520" s="501"/>
      <c r="OFI520" s="501"/>
      <c r="OFJ520" s="501"/>
      <c r="OFK520" s="501"/>
      <c r="OFL520" s="501"/>
      <c r="OFM520" s="501"/>
      <c r="OFN520" s="501"/>
      <c r="OFO520" s="501"/>
      <c r="OFP520" s="501"/>
      <c r="OFQ520" s="501"/>
      <c r="OFR520" s="501"/>
      <c r="OFS520" s="501"/>
      <c r="OFT520" s="501"/>
      <c r="OFU520" s="501"/>
      <c r="OFV520" s="501"/>
      <c r="OFW520" s="501"/>
      <c r="OFX520" s="501"/>
      <c r="OFY520" s="501"/>
      <c r="OFZ520" s="501"/>
      <c r="OGA520" s="501"/>
      <c r="OGB520" s="501"/>
      <c r="OGC520" s="501"/>
      <c r="OGD520" s="501"/>
      <c r="OGE520" s="501"/>
      <c r="OGF520" s="501"/>
      <c r="OGG520" s="501"/>
      <c r="OGH520" s="501"/>
      <c r="OGI520" s="501"/>
      <c r="OGJ520" s="501"/>
      <c r="OGK520" s="501"/>
      <c r="OGL520" s="501"/>
      <c r="OGM520" s="501"/>
      <c r="OGN520" s="501"/>
      <c r="OGO520" s="501"/>
      <c r="OGP520" s="501"/>
      <c r="OGQ520" s="501"/>
      <c r="OGR520" s="501"/>
      <c r="OGS520" s="501"/>
      <c r="OGT520" s="501"/>
      <c r="OGU520" s="501"/>
      <c r="OGV520" s="501"/>
      <c r="OGW520" s="501"/>
      <c r="OGX520" s="501"/>
      <c r="OGY520" s="501"/>
      <c r="OGZ520" s="501"/>
      <c r="OHA520" s="501"/>
      <c r="OHB520" s="501"/>
      <c r="OHC520" s="501"/>
      <c r="OHD520" s="501"/>
      <c r="OHE520" s="501"/>
      <c r="OHF520" s="501"/>
      <c r="OHG520" s="501"/>
      <c r="OHH520" s="501"/>
      <c r="OHI520" s="501"/>
      <c r="OHJ520" s="501"/>
      <c r="OHK520" s="501"/>
      <c r="OHL520" s="501"/>
      <c r="OHM520" s="501"/>
      <c r="OHN520" s="501"/>
      <c r="OHO520" s="501"/>
      <c r="OHP520" s="501"/>
      <c r="OHQ520" s="501"/>
      <c r="OHR520" s="501"/>
      <c r="OHS520" s="501"/>
      <c r="OHT520" s="501"/>
      <c r="OHU520" s="501"/>
      <c r="OHV520" s="501"/>
      <c r="OHW520" s="501"/>
      <c r="OHX520" s="501"/>
      <c r="OHY520" s="501"/>
      <c r="OHZ520" s="501"/>
      <c r="OIA520" s="501"/>
      <c r="OIB520" s="501"/>
      <c r="OIC520" s="501"/>
      <c r="OID520" s="501"/>
      <c r="OIE520" s="501"/>
      <c r="OIF520" s="501"/>
      <c r="OIG520" s="501"/>
      <c r="OIH520" s="501"/>
      <c r="OII520" s="501"/>
      <c r="OIJ520" s="501"/>
      <c r="OIK520" s="501"/>
      <c r="OIL520" s="501"/>
      <c r="OIM520" s="501"/>
      <c r="OIN520" s="501"/>
      <c r="OIO520" s="501"/>
      <c r="OIP520" s="501"/>
      <c r="OIQ520" s="501"/>
      <c r="OIR520" s="501"/>
      <c r="OIS520" s="501"/>
      <c r="OIT520" s="501"/>
      <c r="OIU520" s="501"/>
      <c r="OIV520" s="501"/>
      <c r="OIW520" s="501"/>
      <c r="OIX520" s="501"/>
      <c r="OIY520" s="501"/>
      <c r="OIZ520" s="501"/>
      <c r="OJA520" s="501"/>
      <c r="OJB520" s="501"/>
      <c r="OJC520" s="501"/>
      <c r="OJD520" s="501"/>
      <c r="OJE520" s="501"/>
      <c r="OJF520" s="501"/>
      <c r="OJG520" s="501"/>
      <c r="OJH520" s="501"/>
      <c r="OJI520" s="501"/>
      <c r="OJJ520" s="501"/>
      <c r="OJK520" s="501"/>
      <c r="OJL520" s="501"/>
      <c r="OJM520" s="501"/>
      <c r="OJN520" s="501"/>
      <c r="OJO520" s="501"/>
      <c r="OJP520" s="501"/>
      <c r="OJQ520" s="501"/>
      <c r="OJR520" s="501"/>
      <c r="OJS520" s="501"/>
      <c r="OJT520" s="501"/>
      <c r="OJU520" s="501"/>
      <c r="OJV520" s="501"/>
      <c r="OJW520" s="501"/>
      <c r="OJX520" s="501"/>
      <c r="OJY520" s="501"/>
      <c r="OJZ520" s="501"/>
      <c r="OKA520" s="501"/>
      <c r="OKB520" s="501"/>
      <c r="OKC520" s="501"/>
      <c r="OKD520" s="501"/>
      <c r="OKE520" s="501"/>
      <c r="OKF520" s="501"/>
      <c r="OKG520" s="501"/>
      <c r="OKH520" s="501"/>
      <c r="OKI520" s="501"/>
      <c r="OKJ520" s="501"/>
      <c r="OKK520" s="501"/>
      <c r="OKL520" s="501"/>
      <c r="OKM520" s="501"/>
      <c r="OKN520" s="501"/>
      <c r="OKO520" s="501"/>
      <c r="OKP520" s="501"/>
      <c r="OKQ520" s="501"/>
      <c r="OKR520" s="501"/>
      <c r="OKS520" s="501"/>
      <c r="OKT520" s="501"/>
      <c r="OKU520" s="501"/>
      <c r="OKV520" s="501"/>
      <c r="OKW520" s="501"/>
      <c r="OKX520" s="501"/>
      <c r="OKY520" s="501"/>
      <c r="OKZ520" s="501"/>
      <c r="OLA520" s="501"/>
      <c r="OLB520" s="501"/>
      <c r="OLC520" s="501"/>
      <c r="OLD520" s="501"/>
      <c r="OLE520" s="501"/>
      <c r="OLF520" s="501"/>
      <c r="OLG520" s="501"/>
      <c r="OLH520" s="501"/>
      <c r="OLI520" s="501"/>
      <c r="OLJ520" s="501"/>
      <c r="OLK520" s="501"/>
      <c r="OLL520" s="501"/>
      <c r="OLM520" s="501"/>
      <c r="OLN520" s="501"/>
      <c r="OLO520" s="501"/>
      <c r="OLP520" s="501"/>
      <c r="OLQ520" s="501"/>
      <c r="OLR520" s="501"/>
      <c r="OLS520" s="501"/>
      <c r="OLT520" s="501"/>
      <c r="OLU520" s="501"/>
      <c r="OLV520" s="501"/>
      <c r="OLW520" s="501"/>
      <c r="OLX520" s="501"/>
      <c r="OLY520" s="501"/>
      <c r="OLZ520" s="501"/>
      <c r="OMA520" s="501"/>
      <c r="OMB520" s="501"/>
      <c r="OMC520" s="501"/>
      <c r="OMD520" s="501"/>
      <c r="OME520" s="501"/>
      <c r="OMF520" s="501"/>
      <c r="OMG520" s="501"/>
      <c r="OMH520" s="501"/>
      <c r="OMI520" s="501"/>
      <c r="OMJ520" s="501"/>
      <c r="OMK520" s="501"/>
      <c r="OML520" s="501"/>
      <c r="OMM520" s="501"/>
      <c r="OMN520" s="501"/>
      <c r="OMO520" s="501"/>
      <c r="OMP520" s="501"/>
      <c r="OMQ520" s="501"/>
      <c r="OMR520" s="501"/>
      <c r="OMS520" s="501"/>
      <c r="OMT520" s="501"/>
      <c r="OMU520" s="501"/>
      <c r="OMV520" s="501"/>
      <c r="OMW520" s="501"/>
      <c r="OMX520" s="501"/>
      <c r="OMY520" s="501"/>
      <c r="OMZ520" s="501"/>
      <c r="ONA520" s="501"/>
      <c r="ONB520" s="501"/>
      <c r="ONC520" s="501"/>
      <c r="OND520" s="501"/>
      <c r="ONE520" s="501"/>
      <c r="ONF520" s="501"/>
      <c r="ONG520" s="501"/>
      <c r="ONH520" s="501"/>
      <c r="ONI520" s="501"/>
      <c r="ONJ520" s="501"/>
      <c r="ONK520" s="501"/>
      <c r="ONL520" s="501"/>
      <c r="ONM520" s="501"/>
      <c r="ONN520" s="501"/>
      <c r="ONO520" s="501"/>
      <c r="ONP520" s="501"/>
      <c r="ONQ520" s="501"/>
      <c r="ONR520" s="501"/>
      <c r="ONS520" s="501"/>
      <c r="ONT520" s="501"/>
      <c r="ONU520" s="501"/>
      <c r="ONV520" s="501"/>
      <c r="ONW520" s="501"/>
      <c r="ONX520" s="501"/>
      <c r="ONY520" s="501"/>
      <c r="ONZ520" s="501"/>
      <c r="OOA520" s="501"/>
      <c r="OOB520" s="501"/>
      <c r="OOC520" s="501"/>
      <c r="OOD520" s="501"/>
      <c r="OOE520" s="501"/>
      <c r="OOF520" s="501"/>
      <c r="OOG520" s="501"/>
      <c r="OOH520" s="501"/>
      <c r="OOI520" s="501"/>
      <c r="OOJ520" s="501"/>
      <c r="OOK520" s="501"/>
      <c r="OOL520" s="501"/>
      <c r="OOM520" s="501"/>
      <c r="OON520" s="501"/>
      <c r="OOO520" s="501"/>
      <c r="OOP520" s="501"/>
      <c r="OOQ520" s="501"/>
      <c r="OOR520" s="501"/>
      <c r="OOS520" s="501"/>
      <c r="OOT520" s="501"/>
      <c r="OOU520" s="501"/>
      <c r="OOV520" s="501"/>
      <c r="OOW520" s="501"/>
      <c r="OOX520" s="501"/>
      <c r="OOY520" s="501"/>
      <c r="OOZ520" s="501"/>
      <c r="OPA520" s="501"/>
      <c r="OPB520" s="501"/>
      <c r="OPC520" s="501"/>
      <c r="OPD520" s="501"/>
      <c r="OPE520" s="501"/>
      <c r="OPF520" s="501"/>
      <c r="OPG520" s="501"/>
      <c r="OPH520" s="501"/>
      <c r="OPI520" s="501"/>
      <c r="OPJ520" s="501"/>
      <c r="OPK520" s="501"/>
      <c r="OPL520" s="501"/>
      <c r="OPM520" s="501"/>
      <c r="OPN520" s="501"/>
      <c r="OPO520" s="501"/>
      <c r="OPP520" s="501"/>
      <c r="OPQ520" s="501"/>
      <c r="OPR520" s="501"/>
      <c r="OPS520" s="501"/>
      <c r="OPT520" s="501"/>
      <c r="OPU520" s="501"/>
      <c r="OPV520" s="501"/>
      <c r="OPW520" s="501"/>
      <c r="OPX520" s="501"/>
      <c r="OPY520" s="501"/>
      <c r="OPZ520" s="501"/>
      <c r="OQA520" s="501"/>
      <c r="OQB520" s="501"/>
      <c r="OQC520" s="501"/>
      <c r="OQD520" s="501"/>
      <c r="OQE520" s="501"/>
      <c r="OQF520" s="501"/>
      <c r="OQG520" s="501"/>
      <c r="OQH520" s="501"/>
      <c r="OQI520" s="501"/>
      <c r="OQJ520" s="501"/>
      <c r="OQK520" s="501"/>
      <c r="OQL520" s="501"/>
      <c r="OQM520" s="501"/>
      <c r="OQN520" s="501"/>
      <c r="OQO520" s="501"/>
      <c r="OQP520" s="501"/>
      <c r="OQQ520" s="501"/>
      <c r="OQR520" s="501"/>
      <c r="OQS520" s="501"/>
      <c r="OQT520" s="501"/>
      <c r="OQU520" s="501"/>
      <c r="OQV520" s="501"/>
      <c r="OQW520" s="501"/>
      <c r="OQX520" s="501"/>
      <c r="OQY520" s="501"/>
      <c r="OQZ520" s="501"/>
      <c r="ORA520" s="501"/>
      <c r="ORB520" s="501"/>
      <c r="ORC520" s="501"/>
      <c r="ORD520" s="501"/>
      <c r="ORE520" s="501"/>
      <c r="ORF520" s="501"/>
      <c r="ORG520" s="501"/>
      <c r="ORH520" s="501"/>
      <c r="ORI520" s="501"/>
      <c r="ORJ520" s="501"/>
      <c r="ORK520" s="501"/>
      <c r="ORL520" s="501"/>
      <c r="ORM520" s="501"/>
      <c r="ORN520" s="501"/>
      <c r="ORO520" s="501"/>
      <c r="ORP520" s="501"/>
      <c r="ORQ520" s="501"/>
      <c r="ORR520" s="501"/>
      <c r="ORS520" s="501"/>
      <c r="ORT520" s="501"/>
      <c r="ORU520" s="501"/>
      <c r="ORV520" s="501"/>
      <c r="ORW520" s="501"/>
      <c r="ORX520" s="501"/>
      <c r="ORY520" s="501"/>
      <c r="ORZ520" s="501"/>
      <c r="OSA520" s="501"/>
      <c r="OSB520" s="501"/>
      <c r="OSC520" s="501"/>
      <c r="OSD520" s="501"/>
      <c r="OSE520" s="501"/>
      <c r="OSF520" s="501"/>
      <c r="OSG520" s="501"/>
      <c r="OSH520" s="501"/>
      <c r="OSI520" s="501"/>
      <c r="OSJ520" s="501"/>
      <c r="OSK520" s="501"/>
      <c r="OSL520" s="501"/>
      <c r="OSM520" s="501"/>
      <c r="OSN520" s="501"/>
      <c r="OSO520" s="501"/>
      <c r="OSP520" s="501"/>
      <c r="OSQ520" s="501"/>
      <c r="OSR520" s="501"/>
      <c r="OSS520" s="501"/>
      <c r="OST520" s="501"/>
      <c r="OSU520" s="501"/>
      <c r="OSV520" s="501"/>
      <c r="OSW520" s="501"/>
      <c r="OSX520" s="501"/>
      <c r="OSY520" s="501"/>
      <c r="OSZ520" s="501"/>
      <c r="OTA520" s="501"/>
      <c r="OTB520" s="501"/>
      <c r="OTC520" s="501"/>
      <c r="OTD520" s="501"/>
      <c r="OTE520" s="501"/>
      <c r="OTF520" s="501"/>
      <c r="OTG520" s="501"/>
      <c r="OTH520" s="501"/>
      <c r="OTI520" s="501"/>
      <c r="OTJ520" s="501"/>
      <c r="OTK520" s="501"/>
      <c r="OTL520" s="501"/>
      <c r="OTM520" s="501"/>
      <c r="OTN520" s="501"/>
      <c r="OTO520" s="501"/>
      <c r="OTP520" s="501"/>
      <c r="OTQ520" s="501"/>
      <c r="OTR520" s="501"/>
      <c r="OTS520" s="501"/>
      <c r="OTT520" s="501"/>
      <c r="OTU520" s="501"/>
      <c r="OTV520" s="501"/>
      <c r="OTW520" s="501"/>
      <c r="OTX520" s="501"/>
      <c r="OTY520" s="501"/>
      <c r="OTZ520" s="501"/>
      <c r="OUA520" s="501"/>
      <c r="OUB520" s="501"/>
      <c r="OUC520" s="501"/>
      <c r="OUD520" s="501"/>
      <c r="OUE520" s="501"/>
      <c r="OUF520" s="501"/>
      <c r="OUG520" s="501"/>
      <c r="OUH520" s="501"/>
      <c r="OUI520" s="501"/>
      <c r="OUJ520" s="501"/>
      <c r="OUK520" s="501"/>
      <c r="OUL520" s="501"/>
      <c r="OUM520" s="501"/>
      <c r="OUN520" s="501"/>
      <c r="OUO520" s="501"/>
      <c r="OUP520" s="501"/>
      <c r="OUQ520" s="501"/>
      <c r="OUR520" s="501"/>
      <c r="OUS520" s="501"/>
      <c r="OUT520" s="501"/>
      <c r="OUU520" s="501"/>
      <c r="OUV520" s="501"/>
      <c r="OUW520" s="501"/>
      <c r="OUX520" s="501"/>
      <c r="OUY520" s="501"/>
      <c r="OUZ520" s="501"/>
      <c r="OVA520" s="501"/>
      <c r="OVB520" s="501"/>
      <c r="OVC520" s="501"/>
      <c r="OVD520" s="501"/>
      <c r="OVE520" s="501"/>
      <c r="OVF520" s="501"/>
      <c r="OVG520" s="501"/>
      <c r="OVH520" s="501"/>
      <c r="OVI520" s="501"/>
      <c r="OVJ520" s="501"/>
      <c r="OVK520" s="501"/>
      <c r="OVL520" s="501"/>
      <c r="OVM520" s="501"/>
      <c r="OVN520" s="501"/>
      <c r="OVO520" s="501"/>
      <c r="OVP520" s="501"/>
      <c r="OVQ520" s="501"/>
      <c r="OVR520" s="501"/>
      <c r="OVS520" s="501"/>
      <c r="OVT520" s="501"/>
      <c r="OVU520" s="501"/>
      <c r="OVV520" s="501"/>
      <c r="OVW520" s="501"/>
      <c r="OVX520" s="501"/>
      <c r="OVY520" s="501"/>
      <c r="OVZ520" s="501"/>
      <c r="OWA520" s="501"/>
      <c r="OWB520" s="501"/>
      <c r="OWC520" s="501"/>
      <c r="OWD520" s="501"/>
      <c r="OWE520" s="501"/>
      <c r="OWF520" s="501"/>
      <c r="OWG520" s="501"/>
      <c r="OWH520" s="501"/>
      <c r="OWI520" s="501"/>
      <c r="OWJ520" s="501"/>
      <c r="OWK520" s="501"/>
      <c r="OWL520" s="501"/>
      <c r="OWM520" s="501"/>
      <c r="OWN520" s="501"/>
      <c r="OWO520" s="501"/>
      <c r="OWP520" s="501"/>
      <c r="OWQ520" s="501"/>
      <c r="OWR520" s="501"/>
      <c r="OWS520" s="501"/>
      <c r="OWT520" s="501"/>
      <c r="OWU520" s="501"/>
      <c r="OWV520" s="501"/>
      <c r="OWW520" s="501"/>
      <c r="OWX520" s="501"/>
      <c r="OWY520" s="501"/>
      <c r="OWZ520" s="501"/>
      <c r="OXA520" s="501"/>
      <c r="OXB520" s="501"/>
      <c r="OXC520" s="501"/>
      <c r="OXD520" s="501"/>
      <c r="OXE520" s="501"/>
      <c r="OXF520" s="501"/>
      <c r="OXG520" s="501"/>
      <c r="OXH520" s="501"/>
      <c r="OXI520" s="501"/>
      <c r="OXJ520" s="501"/>
      <c r="OXK520" s="501"/>
      <c r="OXL520" s="501"/>
      <c r="OXM520" s="501"/>
      <c r="OXN520" s="501"/>
      <c r="OXO520" s="501"/>
      <c r="OXP520" s="501"/>
      <c r="OXQ520" s="501"/>
      <c r="OXR520" s="501"/>
      <c r="OXS520" s="501"/>
      <c r="OXT520" s="501"/>
      <c r="OXU520" s="501"/>
      <c r="OXV520" s="501"/>
      <c r="OXW520" s="501"/>
      <c r="OXX520" s="501"/>
      <c r="OXY520" s="501"/>
      <c r="OXZ520" s="501"/>
      <c r="OYA520" s="501"/>
      <c r="OYB520" s="501"/>
      <c r="OYC520" s="501"/>
      <c r="OYD520" s="501"/>
      <c r="OYE520" s="501"/>
      <c r="OYF520" s="501"/>
      <c r="OYG520" s="501"/>
      <c r="OYH520" s="501"/>
      <c r="OYI520" s="501"/>
      <c r="OYJ520" s="501"/>
      <c r="OYK520" s="501"/>
      <c r="OYL520" s="501"/>
      <c r="OYM520" s="501"/>
      <c r="OYN520" s="501"/>
      <c r="OYO520" s="501"/>
      <c r="OYP520" s="501"/>
      <c r="OYQ520" s="501"/>
      <c r="OYR520" s="501"/>
      <c r="OYS520" s="501"/>
      <c r="OYT520" s="501"/>
      <c r="OYU520" s="501"/>
      <c r="OYV520" s="501"/>
      <c r="OYW520" s="501"/>
      <c r="OYX520" s="501"/>
      <c r="OYY520" s="501"/>
      <c r="OYZ520" s="501"/>
      <c r="OZA520" s="501"/>
      <c r="OZB520" s="501"/>
      <c r="OZC520" s="501"/>
      <c r="OZD520" s="501"/>
      <c r="OZE520" s="501"/>
      <c r="OZF520" s="501"/>
      <c r="OZG520" s="501"/>
      <c r="OZH520" s="501"/>
      <c r="OZI520" s="501"/>
      <c r="OZJ520" s="501"/>
      <c r="OZK520" s="501"/>
      <c r="OZL520" s="501"/>
      <c r="OZM520" s="501"/>
      <c r="OZN520" s="501"/>
      <c r="OZO520" s="501"/>
      <c r="OZP520" s="501"/>
      <c r="OZQ520" s="501"/>
      <c r="OZR520" s="501"/>
      <c r="OZS520" s="501"/>
      <c r="OZT520" s="501"/>
      <c r="OZU520" s="501"/>
      <c r="OZV520" s="501"/>
      <c r="OZW520" s="501"/>
      <c r="OZX520" s="501"/>
      <c r="OZY520" s="501"/>
      <c r="OZZ520" s="501"/>
      <c r="PAA520" s="501"/>
      <c r="PAB520" s="501"/>
      <c r="PAC520" s="501"/>
      <c r="PAD520" s="501"/>
      <c r="PAE520" s="501"/>
      <c r="PAF520" s="501"/>
      <c r="PAG520" s="501"/>
      <c r="PAH520" s="501"/>
      <c r="PAI520" s="501"/>
      <c r="PAJ520" s="501"/>
      <c r="PAK520" s="501"/>
      <c r="PAL520" s="501"/>
      <c r="PAM520" s="501"/>
      <c r="PAN520" s="501"/>
      <c r="PAO520" s="501"/>
      <c r="PAP520" s="501"/>
      <c r="PAQ520" s="501"/>
      <c r="PAR520" s="501"/>
      <c r="PAS520" s="501"/>
      <c r="PAT520" s="501"/>
      <c r="PAU520" s="501"/>
      <c r="PAV520" s="501"/>
      <c r="PAW520" s="501"/>
      <c r="PAX520" s="501"/>
      <c r="PAY520" s="501"/>
      <c r="PAZ520" s="501"/>
      <c r="PBA520" s="501"/>
      <c r="PBB520" s="501"/>
      <c r="PBC520" s="501"/>
      <c r="PBD520" s="501"/>
      <c r="PBE520" s="501"/>
      <c r="PBF520" s="501"/>
      <c r="PBG520" s="501"/>
      <c r="PBH520" s="501"/>
      <c r="PBI520" s="501"/>
      <c r="PBJ520" s="501"/>
      <c r="PBK520" s="501"/>
      <c r="PBL520" s="501"/>
      <c r="PBM520" s="501"/>
      <c r="PBN520" s="501"/>
      <c r="PBO520" s="501"/>
      <c r="PBP520" s="501"/>
      <c r="PBQ520" s="501"/>
      <c r="PBR520" s="501"/>
      <c r="PBS520" s="501"/>
      <c r="PBT520" s="501"/>
      <c r="PBU520" s="501"/>
      <c r="PBV520" s="501"/>
      <c r="PBW520" s="501"/>
      <c r="PBX520" s="501"/>
      <c r="PBY520" s="501"/>
      <c r="PBZ520" s="501"/>
      <c r="PCA520" s="501"/>
      <c r="PCB520" s="501"/>
      <c r="PCC520" s="501"/>
      <c r="PCD520" s="501"/>
      <c r="PCE520" s="501"/>
      <c r="PCF520" s="501"/>
      <c r="PCG520" s="501"/>
      <c r="PCH520" s="501"/>
      <c r="PCI520" s="501"/>
      <c r="PCJ520" s="501"/>
      <c r="PCK520" s="501"/>
      <c r="PCL520" s="501"/>
      <c r="PCM520" s="501"/>
      <c r="PCN520" s="501"/>
      <c r="PCO520" s="501"/>
      <c r="PCP520" s="501"/>
      <c r="PCQ520" s="501"/>
      <c r="PCR520" s="501"/>
      <c r="PCS520" s="501"/>
      <c r="PCT520" s="501"/>
      <c r="PCU520" s="501"/>
      <c r="PCV520" s="501"/>
      <c r="PCW520" s="501"/>
      <c r="PCX520" s="501"/>
      <c r="PCY520" s="501"/>
      <c r="PCZ520" s="501"/>
      <c r="PDA520" s="501"/>
      <c r="PDB520" s="501"/>
      <c r="PDC520" s="501"/>
      <c r="PDD520" s="501"/>
      <c r="PDE520" s="501"/>
      <c r="PDF520" s="501"/>
      <c r="PDG520" s="501"/>
      <c r="PDH520" s="501"/>
      <c r="PDI520" s="501"/>
      <c r="PDJ520" s="501"/>
      <c r="PDK520" s="501"/>
      <c r="PDL520" s="501"/>
      <c r="PDM520" s="501"/>
      <c r="PDN520" s="501"/>
      <c r="PDO520" s="501"/>
      <c r="PDP520" s="501"/>
      <c r="PDQ520" s="501"/>
      <c r="PDR520" s="501"/>
      <c r="PDS520" s="501"/>
      <c r="PDT520" s="501"/>
      <c r="PDU520" s="501"/>
      <c r="PDV520" s="501"/>
      <c r="PDW520" s="501"/>
      <c r="PDX520" s="501"/>
      <c r="PDY520" s="501"/>
      <c r="PDZ520" s="501"/>
      <c r="PEA520" s="501"/>
      <c r="PEB520" s="501"/>
      <c r="PEC520" s="501"/>
      <c r="PED520" s="501"/>
      <c r="PEE520" s="501"/>
      <c r="PEF520" s="501"/>
      <c r="PEG520" s="501"/>
      <c r="PEH520" s="501"/>
      <c r="PEI520" s="501"/>
      <c r="PEJ520" s="501"/>
      <c r="PEK520" s="501"/>
      <c r="PEL520" s="501"/>
      <c r="PEM520" s="501"/>
      <c r="PEN520" s="501"/>
      <c r="PEO520" s="501"/>
      <c r="PEP520" s="501"/>
      <c r="PEQ520" s="501"/>
      <c r="PER520" s="501"/>
      <c r="PES520" s="501"/>
      <c r="PET520" s="501"/>
      <c r="PEU520" s="501"/>
      <c r="PEV520" s="501"/>
      <c r="PEW520" s="501"/>
      <c r="PEX520" s="501"/>
      <c r="PEY520" s="501"/>
      <c r="PEZ520" s="501"/>
      <c r="PFA520" s="501"/>
      <c r="PFB520" s="501"/>
      <c r="PFC520" s="501"/>
      <c r="PFD520" s="501"/>
      <c r="PFE520" s="501"/>
      <c r="PFF520" s="501"/>
      <c r="PFG520" s="501"/>
      <c r="PFH520" s="501"/>
      <c r="PFI520" s="501"/>
      <c r="PFJ520" s="501"/>
      <c r="PFK520" s="501"/>
      <c r="PFL520" s="501"/>
      <c r="PFM520" s="501"/>
      <c r="PFN520" s="501"/>
      <c r="PFO520" s="501"/>
      <c r="PFP520" s="501"/>
      <c r="PFQ520" s="501"/>
      <c r="PFR520" s="501"/>
      <c r="PFS520" s="501"/>
      <c r="PFT520" s="501"/>
      <c r="PFU520" s="501"/>
      <c r="PFV520" s="501"/>
      <c r="PFW520" s="501"/>
      <c r="PFX520" s="501"/>
      <c r="PFY520" s="501"/>
      <c r="PFZ520" s="501"/>
      <c r="PGA520" s="501"/>
      <c r="PGB520" s="501"/>
      <c r="PGC520" s="501"/>
      <c r="PGD520" s="501"/>
      <c r="PGE520" s="501"/>
      <c r="PGF520" s="501"/>
      <c r="PGG520" s="501"/>
      <c r="PGH520" s="501"/>
      <c r="PGI520" s="501"/>
      <c r="PGJ520" s="501"/>
      <c r="PGK520" s="501"/>
      <c r="PGL520" s="501"/>
      <c r="PGM520" s="501"/>
      <c r="PGN520" s="501"/>
      <c r="PGO520" s="501"/>
      <c r="PGP520" s="501"/>
      <c r="PGQ520" s="501"/>
      <c r="PGR520" s="501"/>
      <c r="PGS520" s="501"/>
      <c r="PGT520" s="501"/>
      <c r="PGU520" s="501"/>
      <c r="PGV520" s="501"/>
      <c r="PGW520" s="501"/>
      <c r="PGX520" s="501"/>
      <c r="PGY520" s="501"/>
      <c r="PGZ520" s="501"/>
      <c r="PHA520" s="501"/>
      <c r="PHB520" s="501"/>
      <c r="PHC520" s="501"/>
      <c r="PHD520" s="501"/>
      <c r="PHE520" s="501"/>
      <c r="PHF520" s="501"/>
      <c r="PHG520" s="501"/>
      <c r="PHH520" s="501"/>
      <c r="PHI520" s="501"/>
      <c r="PHJ520" s="501"/>
      <c r="PHK520" s="501"/>
      <c r="PHL520" s="501"/>
      <c r="PHM520" s="501"/>
      <c r="PHN520" s="501"/>
      <c r="PHO520" s="501"/>
      <c r="PHP520" s="501"/>
      <c r="PHQ520" s="501"/>
      <c r="PHR520" s="501"/>
      <c r="PHS520" s="501"/>
      <c r="PHT520" s="501"/>
      <c r="PHU520" s="501"/>
      <c r="PHV520" s="501"/>
      <c r="PHW520" s="501"/>
      <c r="PHX520" s="501"/>
      <c r="PHY520" s="501"/>
      <c r="PHZ520" s="501"/>
      <c r="PIA520" s="501"/>
      <c r="PIB520" s="501"/>
      <c r="PIC520" s="501"/>
      <c r="PID520" s="501"/>
      <c r="PIE520" s="501"/>
      <c r="PIF520" s="501"/>
      <c r="PIG520" s="501"/>
      <c r="PIH520" s="501"/>
      <c r="PII520" s="501"/>
      <c r="PIJ520" s="501"/>
      <c r="PIK520" s="501"/>
      <c r="PIL520" s="501"/>
      <c r="PIM520" s="501"/>
      <c r="PIN520" s="501"/>
      <c r="PIO520" s="501"/>
      <c r="PIP520" s="501"/>
      <c r="PIQ520" s="501"/>
      <c r="PIR520" s="501"/>
      <c r="PIS520" s="501"/>
      <c r="PIT520" s="501"/>
      <c r="PIU520" s="501"/>
      <c r="PIV520" s="501"/>
      <c r="PIW520" s="501"/>
      <c r="PIX520" s="501"/>
      <c r="PIY520" s="501"/>
      <c r="PIZ520" s="501"/>
      <c r="PJA520" s="501"/>
      <c r="PJB520" s="501"/>
      <c r="PJC520" s="501"/>
      <c r="PJD520" s="501"/>
      <c r="PJE520" s="501"/>
      <c r="PJF520" s="501"/>
      <c r="PJG520" s="501"/>
      <c r="PJH520" s="501"/>
      <c r="PJI520" s="501"/>
      <c r="PJJ520" s="501"/>
      <c r="PJK520" s="501"/>
      <c r="PJL520" s="501"/>
      <c r="PJM520" s="501"/>
      <c r="PJN520" s="501"/>
      <c r="PJO520" s="501"/>
      <c r="PJP520" s="501"/>
      <c r="PJQ520" s="501"/>
      <c r="PJR520" s="501"/>
      <c r="PJS520" s="501"/>
      <c r="PJT520" s="501"/>
      <c r="PJU520" s="501"/>
      <c r="PJV520" s="501"/>
      <c r="PJW520" s="501"/>
      <c r="PJX520" s="501"/>
      <c r="PJY520" s="501"/>
      <c r="PJZ520" s="501"/>
      <c r="PKA520" s="501"/>
      <c r="PKB520" s="501"/>
      <c r="PKC520" s="501"/>
      <c r="PKD520" s="501"/>
      <c r="PKE520" s="501"/>
      <c r="PKF520" s="501"/>
      <c r="PKG520" s="501"/>
      <c r="PKH520" s="501"/>
      <c r="PKI520" s="501"/>
      <c r="PKJ520" s="501"/>
      <c r="PKK520" s="501"/>
      <c r="PKL520" s="501"/>
      <c r="PKM520" s="501"/>
      <c r="PKN520" s="501"/>
      <c r="PKO520" s="501"/>
      <c r="PKP520" s="501"/>
      <c r="PKQ520" s="501"/>
      <c r="PKR520" s="501"/>
      <c r="PKS520" s="501"/>
      <c r="PKT520" s="501"/>
      <c r="PKU520" s="501"/>
      <c r="PKV520" s="501"/>
      <c r="PKW520" s="501"/>
      <c r="PKX520" s="501"/>
      <c r="PKY520" s="501"/>
      <c r="PKZ520" s="501"/>
      <c r="PLA520" s="501"/>
      <c r="PLB520" s="501"/>
      <c r="PLC520" s="501"/>
      <c r="PLD520" s="501"/>
      <c r="PLE520" s="501"/>
      <c r="PLF520" s="501"/>
      <c r="PLG520" s="501"/>
      <c r="PLH520" s="501"/>
      <c r="PLI520" s="501"/>
      <c r="PLJ520" s="501"/>
      <c r="PLK520" s="501"/>
      <c r="PLL520" s="501"/>
      <c r="PLM520" s="501"/>
      <c r="PLN520" s="501"/>
      <c r="PLO520" s="501"/>
      <c r="PLP520" s="501"/>
      <c r="PLQ520" s="501"/>
      <c r="PLR520" s="501"/>
      <c r="PLS520" s="501"/>
      <c r="PLT520" s="501"/>
      <c r="PLU520" s="501"/>
      <c r="PLV520" s="501"/>
      <c r="PLW520" s="501"/>
      <c r="PLX520" s="501"/>
      <c r="PLY520" s="501"/>
      <c r="PLZ520" s="501"/>
      <c r="PMA520" s="501"/>
      <c r="PMB520" s="501"/>
      <c r="PMC520" s="501"/>
      <c r="PMD520" s="501"/>
      <c r="PME520" s="501"/>
      <c r="PMF520" s="501"/>
      <c r="PMG520" s="501"/>
      <c r="PMH520" s="501"/>
      <c r="PMI520" s="501"/>
      <c r="PMJ520" s="501"/>
      <c r="PMK520" s="501"/>
      <c r="PML520" s="501"/>
      <c r="PMM520" s="501"/>
      <c r="PMN520" s="501"/>
      <c r="PMO520" s="501"/>
      <c r="PMP520" s="501"/>
      <c r="PMQ520" s="501"/>
      <c r="PMR520" s="501"/>
      <c r="PMS520" s="501"/>
      <c r="PMT520" s="501"/>
      <c r="PMU520" s="501"/>
      <c r="PMV520" s="501"/>
      <c r="PMW520" s="501"/>
      <c r="PMX520" s="501"/>
      <c r="PMY520" s="501"/>
      <c r="PMZ520" s="501"/>
      <c r="PNA520" s="501"/>
      <c r="PNB520" s="501"/>
      <c r="PNC520" s="501"/>
      <c r="PND520" s="501"/>
      <c r="PNE520" s="501"/>
      <c r="PNF520" s="501"/>
      <c r="PNG520" s="501"/>
      <c r="PNH520" s="501"/>
      <c r="PNI520" s="501"/>
      <c r="PNJ520" s="501"/>
      <c r="PNK520" s="501"/>
      <c r="PNL520" s="501"/>
      <c r="PNM520" s="501"/>
      <c r="PNN520" s="501"/>
      <c r="PNO520" s="501"/>
      <c r="PNP520" s="501"/>
      <c r="PNQ520" s="501"/>
      <c r="PNR520" s="501"/>
      <c r="PNS520" s="501"/>
      <c r="PNT520" s="501"/>
      <c r="PNU520" s="501"/>
      <c r="PNV520" s="501"/>
      <c r="PNW520" s="501"/>
      <c r="PNX520" s="501"/>
      <c r="PNY520" s="501"/>
      <c r="PNZ520" s="501"/>
      <c r="POA520" s="501"/>
      <c r="POB520" s="501"/>
      <c r="POC520" s="501"/>
      <c r="POD520" s="501"/>
      <c r="POE520" s="501"/>
      <c r="POF520" s="501"/>
      <c r="POG520" s="501"/>
      <c r="POH520" s="501"/>
      <c r="POI520" s="501"/>
      <c r="POJ520" s="501"/>
      <c r="POK520" s="501"/>
      <c r="POL520" s="501"/>
      <c r="POM520" s="501"/>
      <c r="PON520" s="501"/>
      <c r="POO520" s="501"/>
      <c r="POP520" s="501"/>
      <c r="POQ520" s="501"/>
      <c r="POR520" s="501"/>
      <c r="POS520" s="501"/>
      <c r="POT520" s="501"/>
      <c r="POU520" s="501"/>
      <c r="POV520" s="501"/>
      <c r="POW520" s="501"/>
      <c r="POX520" s="501"/>
      <c r="POY520" s="501"/>
      <c r="POZ520" s="501"/>
      <c r="PPA520" s="501"/>
      <c r="PPB520" s="501"/>
      <c r="PPC520" s="501"/>
      <c r="PPD520" s="501"/>
      <c r="PPE520" s="501"/>
      <c r="PPF520" s="501"/>
      <c r="PPG520" s="501"/>
      <c r="PPH520" s="501"/>
      <c r="PPI520" s="501"/>
      <c r="PPJ520" s="501"/>
      <c r="PPK520" s="501"/>
      <c r="PPL520" s="501"/>
      <c r="PPM520" s="501"/>
      <c r="PPN520" s="501"/>
      <c r="PPO520" s="501"/>
      <c r="PPP520" s="501"/>
      <c r="PPQ520" s="501"/>
      <c r="PPR520" s="501"/>
      <c r="PPS520" s="501"/>
      <c r="PPT520" s="501"/>
      <c r="PPU520" s="501"/>
      <c r="PPV520" s="501"/>
      <c r="PPW520" s="501"/>
      <c r="PPX520" s="501"/>
      <c r="PPY520" s="501"/>
      <c r="PPZ520" s="501"/>
      <c r="PQA520" s="501"/>
      <c r="PQB520" s="501"/>
      <c r="PQC520" s="501"/>
      <c r="PQD520" s="501"/>
      <c r="PQE520" s="501"/>
      <c r="PQF520" s="501"/>
      <c r="PQG520" s="501"/>
      <c r="PQH520" s="501"/>
      <c r="PQI520" s="501"/>
      <c r="PQJ520" s="501"/>
      <c r="PQK520" s="501"/>
      <c r="PQL520" s="501"/>
      <c r="PQM520" s="501"/>
      <c r="PQN520" s="501"/>
      <c r="PQO520" s="501"/>
      <c r="PQP520" s="501"/>
      <c r="PQQ520" s="501"/>
      <c r="PQR520" s="501"/>
      <c r="PQS520" s="501"/>
      <c r="PQT520" s="501"/>
      <c r="PQU520" s="501"/>
      <c r="PQV520" s="501"/>
      <c r="PQW520" s="501"/>
      <c r="PQX520" s="501"/>
      <c r="PQY520" s="501"/>
      <c r="PQZ520" s="501"/>
      <c r="PRA520" s="501"/>
      <c r="PRB520" s="501"/>
      <c r="PRC520" s="501"/>
      <c r="PRD520" s="501"/>
      <c r="PRE520" s="501"/>
      <c r="PRF520" s="501"/>
      <c r="PRG520" s="501"/>
      <c r="PRH520" s="501"/>
      <c r="PRI520" s="501"/>
      <c r="PRJ520" s="501"/>
      <c r="PRK520" s="501"/>
      <c r="PRL520" s="501"/>
      <c r="PRM520" s="501"/>
      <c r="PRN520" s="501"/>
      <c r="PRO520" s="501"/>
      <c r="PRP520" s="501"/>
      <c r="PRQ520" s="501"/>
      <c r="PRR520" s="501"/>
      <c r="PRS520" s="501"/>
      <c r="PRT520" s="501"/>
      <c r="PRU520" s="501"/>
      <c r="PRV520" s="501"/>
      <c r="PRW520" s="501"/>
      <c r="PRX520" s="501"/>
      <c r="PRY520" s="501"/>
      <c r="PRZ520" s="501"/>
      <c r="PSA520" s="501"/>
      <c r="PSB520" s="501"/>
      <c r="PSC520" s="501"/>
      <c r="PSD520" s="501"/>
      <c r="PSE520" s="501"/>
      <c r="PSF520" s="501"/>
      <c r="PSG520" s="501"/>
      <c r="PSH520" s="501"/>
      <c r="PSI520" s="501"/>
      <c r="PSJ520" s="501"/>
      <c r="PSK520" s="501"/>
      <c r="PSL520" s="501"/>
      <c r="PSM520" s="501"/>
      <c r="PSN520" s="501"/>
      <c r="PSO520" s="501"/>
      <c r="PSP520" s="501"/>
      <c r="PSQ520" s="501"/>
      <c r="PSR520" s="501"/>
      <c r="PSS520" s="501"/>
      <c r="PST520" s="501"/>
      <c r="PSU520" s="501"/>
      <c r="PSV520" s="501"/>
      <c r="PSW520" s="501"/>
      <c r="PSX520" s="501"/>
      <c r="PSY520" s="501"/>
      <c r="PSZ520" s="501"/>
      <c r="PTA520" s="501"/>
      <c r="PTB520" s="501"/>
      <c r="PTC520" s="501"/>
      <c r="PTD520" s="501"/>
      <c r="PTE520" s="501"/>
      <c r="PTF520" s="501"/>
      <c r="PTG520" s="501"/>
      <c r="PTH520" s="501"/>
      <c r="PTI520" s="501"/>
      <c r="PTJ520" s="501"/>
      <c r="PTK520" s="501"/>
      <c r="PTL520" s="501"/>
      <c r="PTM520" s="501"/>
      <c r="PTN520" s="501"/>
      <c r="PTO520" s="501"/>
      <c r="PTP520" s="501"/>
      <c r="PTQ520" s="501"/>
      <c r="PTR520" s="501"/>
      <c r="PTS520" s="501"/>
      <c r="PTT520" s="501"/>
      <c r="PTU520" s="501"/>
      <c r="PTV520" s="501"/>
      <c r="PTW520" s="501"/>
      <c r="PTX520" s="501"/>
      <c r="PTY520" s="501"/>
      <c r="PTZ520" s="501"/>
      <c r="PUA520" s="501"/>
      <c r="PUB520" s="501"/>
      <c r="PUC520" s="501"/>
      <c r="PUD520" s="501"/>
      <c r="PUE520" s="501"/>
      <c r="PUF520" s="501"/>
      <c r="PUG520" s="501"/>
      <c r="PUH520" s="501"/>
      <c r="PUI520" s="501"/>
      <c r="PUJ520" s="501"/>
      <c r="PUK520" s="501"/>
      <c r="PUL520" s="501"/>
      <c r="PUM520" s="501"/>
      <c r="PUN520" s="501"/>
      <c r="PUO520" s="501"/>
      <c r="PUP520" s="501"/>
      <c r="PUQ520" s="501"/>
      <c r="PUR520" s="501"/>
      <c r="PUS520" s="501"/>
      <c r="PUT520" s="501"/>
      <c r="PUU520" s="501"/>
      <c r="PUV520" s="501"/>
      <c r="PUW520" s="501"/>
      <c r="PUX520" s="501"/>
      <c r="PUY520" s="501"/>
      <c r="PUZ520" s="501"/>
      <c r="PVA520" s="501"/>
      <c r="PVB520" s="501"/>
      <c r="PVC520" s="501"/>
      <c r="PVD520" s="501"/>
      <c r="PVE520" s="501"/>
      <c r="PVF520" s="501"/>
      <c r="PVG520" s="501"/>
      <c r="PVH520" s="501"/>
      <c r="PVI520" s="501"/>
      <c r="PVJ520" s="501"/>
      <c r="PVK520" s="501"/>
      <c r="PVL520" s="501"/>
      <c r="PVM520" s="501"/>
      <c r="PVN520" s="501"/>
      <c r="PVO520" s="501"/>
      <c r="PVP520" s="501"/>
      <c r="PVQ520" s="501"/>
      <c r="PVR520" s="501"/>
      <c r="PVS520" s="501"/>
      <c r="PVT520" s="501"/>
      <c r="PVU520" s="501"/>
      <c r="PVV520" s="501"/>
      <c r="PVW520" s="501"/>
      <c r="PVX520" s="501"/>
      <c r="PVY520" s="501"/>
      <c r="PVZ520" s="501"/>
      <c r="PWA520" s="501"/>
      <c r="PWB520" s="501"/>
      <c r="PWC520" s="501"/>
      <c r="PWD520" s="501"/>
      <c r="PWE520" s="501"/>
      <c r="PWF520" s="501"/>
      <c r="PWG520" s="501"/>
      <c r="PWH520" s="501"/>
      <c r="PWI520" s="501"/>
      <c r="PWJ520" s="501"/>
      <c r="PWK520" s="501"/>
      <c r="PWL520" s="501"/>
      <c r="PWM520" s="501"/>
      <c r="PWN520" s="501"/>
      <c r="PWO520" s="501"/>
      <c r="PWP520" s="501"/>
      <c r="PWQ520" s="501"/>
      <c r="PWR520" s="501"/>
      <c r="PWS520" s="501"/>
      <c r="PWT520" s="501"/>
      <c r="PWU520" s="501"/>
      <c r="PWV520" s="501"/>
      <c r="PWW520" s="501"/>
      <c r="PWX520" s="501"/>
      <c r="PWY520" s="501"/>
      <c r="PWZ520" s="501"/>
      <c r="PXA520" s="501"/>
      <c r="PXB520" s="501"/>
      <c r="PXC520" s="501"/>
      <c r="PXD520" s="501"/>
      <c r="PXE520" s="501"/>
      <c r="PXF520" s="501"/>
      <c r="PXG520" s="501"/>
      <c r="PXH520" s="501"/>
      <c r="PXI520" s="501"/>
      <c r="PXJ520" s="501"/>
      <c r="PXK520" s="501"/>
      <c r="PXL520" s="501"/>
      <c r="PXM520" s="501"/>
      <c r="PXN520" s="501"/>
      <c r="PXO520" s="501"/>
      <c r="PXP520" s="501"/>
      <c r="PXQ520" s="501"/>
      <c r="PXR520" s="501"/>
      <c r="PXS520" s="501"/>
      <c r="PXT520" s="501"/>
      <c r="PXU520" s="501"/>
      <c r="PXV520" s="501"/>
      <c r="PXW520" s="501"/>
      <c r="PXX520" s="501"/>
      <c r="PXY520" s="501"/>
      <c r="PXZ520" s="501"/>
      <c r="PYA520" s="501"/>
      <c r="PYB520" s="501"/>
      <c r="PYC520" s="501"/>
      <c r="PYD520" s="501"/>
      <c r="PYE520" s="501"/>
      <c r="PYF520" s="501"/>
      <c r="PYG520" s="501"/>
      <c r="PYH520" s="501"/>
      <c r="PYI520" s="501"/>
      <c r="PYJ520" s="501"/>
      <c r="PYK520" s="501"/>
      <c r="PYL520" s="501"/>
      <c r="PYM520" s="501"/>
      <c r="PYN520" s="501"/>
      <c r="PYO520" s="501"/>
      <c r="PYP520" s="501"/>
      <c r="PYQ520" s="501"/>
      <c r="PYR520" s="501"/>
      <c r="PYS520" s="501"/>
      <c r="PYT520" s="501"/>
      <c r="PYU520" s="501"/>
      <c r="PYV520" s="501"/>
      <c r="PYW520" s="501"/>
      <c r="PYX520" s="501"/>
      <c r="PYY520" s="501"/>
      <c r="PYZ520" s="501"/>
      <c r="PZA520" s="501"/>
      <c r="PZB520" s="501"/>
      <c r="PZC520" s="501"/>
      <c r="PZD520" s="501"/>
      <c r="PZE520" s="501"/>
      <c r="PZF520" s="501"/>
      <c r="PZG520" s="501"/>
      <c r="PZH520" s="501"/>
      <c r="PZI520" s="501"/>
      <c r="PZJ520" s="501"/>
      <c r="PZK520" s="501"/>
      <c r="PZL520" s="501"/>
      <c r="PZM520" s="501"/>
      <c r="PZN520" s="501"/>
      <c r="PZO520" s="501"/>
      <c r="PZP520" s="501"/>
      <c r="PZQ520" s="501"/>
      <c r="PZR520" s="501"/>
      <c r="PZS520" s="501"/>
      <c r="PZT520" s="501"/>
      <c r="PZU520" s="501"/>
      <c r="PZV520" s="501"/>
      <c r="PZW520" s="501"/>
      <c r="PZX520" s="501"/>
      <c r="PZY520" s="501"/>
      <c r="PZZ520" s="501"/>
      <c r="QAA520" s="501"/>
      <c r="QAB520" s="501"/>
      <c r="QAC520" s="501"/>
      <c r="QAD520" s="501"/>
      <c r="QAE520" s="501"/>
      <c r="QAF520" s="501"/>
      <c r="QAG520" s="501"/>
      <c r="QAH520" s="501"/>
      <c r="QAI520" s="501"/>
      <c r="QAJ520" s="501"/>
      <c r="QAK520" s="501"/>
      <c r="QAL520" s="501"/>
      <c r="QAM520" s="501"/>
      <c r="QAN520" s="501"/>
      <c r="QAO520" s="501"/>
      <c r="QAP520" s="501"/>
      <c r="QAQ520" s="501"/>
      <c r="QAR520" s="501"/>
      <c r="QAS520" s="501"/>
      <c r="QAT520" s="501"/>
      <c r="QAU520" s="501"/>
      <c r="QAV520" s="501"/>
      <c r="QAW520" s="501"/>
      <c r="QAX520" s="501"/>
      <c r="QAY520" s="501"/>
      <c r="QAZ520" s="501"/>
      <c r="QBA520" s="501"/>
      <c r="QBB520" s="501"/>
      <c r="QBC520" s="501"/>
      <c r="QBD520" s="501"/>
      <c r="QBE520" s="501"/>
      <c r="QBF520" s="501"/>
      <c r="QBG520" s="501"/>
      <c r="QBH520" s="501"/>
      <c r="QBI520" s="501"/>
      <c r="QBJ520" s="501"/>
      <c r="QBK520" s="501"/>
      <c r="QBL520" s="501"/>
      <c r="QBM520" s="501"/>
      <c r="QBN520" s="501"/>
      <c r="QBO520" s="501"/>
      <c r="QBP520" s="501"/>
      <c r="QBQ520" s="501"/>
      <c r="QBR520" s="501"/>
      <c r="QBS520" s="501"/>
      <c r="QBT520" s="501"/>
      <c r="QBU520" s="501"/>
      <c r="QBV520" s="501"/>
      <c r="QBW520" s="501"/>
      <c r="QBX520" s="501"/>
      <c r="QBY520" s="501"/>
      <c r="QBZ520" s="501"/>
      <c r="QCA520" s="501"/>
      <c r="QCB520" s="501"/>
      <c r="QCC520" s="501"/>
      <c r="QCD520" s="501"/>
      <c r="QCE520" s="501"/>
      <c r="QCF520" s="501"/>
      <c r="QCG520" s="501"/>
      <c r="QCH520" s="501"/>
      <c r="QCI520" s="501"/>
      <c r="QCJ520" s="501"/>
      <c r="QCK520" s="501"/>
      <c r="QCL520" s="501"/>
      <c r="QCM520" s="501"/>
      <c r="QCN520" s="501"/>
      <c r="QCO520" s="501"/>
      <c r="QCP520" s="501"/>
      <c r="QCQ520" s="501"/>
      <c r="QCR520" s="501"/>
      <c r="QCS520" s="501"/>
      <c r="QCT520" s="501"/>
      <c r="QCU520" s="501"/>
      <c r="QCV520" s="501"/>
      <c r="QCW520" s="501"/>
      <c r="QCX520" s="501"/>
      <c r="QCY520" s="501"/>
      <c r="QCZ520" s="501"/>
      <c r="QDA520" s="501"/>
      <c r="QDB520" s="501"/>
      <c r="QDC520" s="501"/>
      <c r="QDD520" s="501"/>
      <c r="QDE520" s="501"/>
      <c r="QDF520" s="501"/>
      <c r="QDG520" s="501"/>
      <c r="QDH520" s="501"/>
      <c r="QDI520" s="501"/>
      <c r="QDJ520" s="501"/>
      <c r="QDK520" s="501"/>
      <c r="QDL520" s="501"/>
      <c r="QDM520" s="501"/>
      <c r="QDN520" s="501"/>
      <c r="QDO520" s="501"/>
      <c r="QDP520" s="501"/>
      <c r="QDQ520" s="501"/>
      <c r="QDR520" s="501"/>
      <c r="QDS520" s="501"/>
      <c r="QDT520" s="501"/>
      <c r="QDU520" s="501"/>
      <c r="QDV520" s="501"/>
      <c r="QDW520" s="501"/>
      <c r="QDX520" s="501"/>
      <c r="QDY520" s="501"/>
      <c r="QDZ520" s="501"/>
      <c r="QEA520" s="501"/>
      <c r="QEB520" s="501"/>
      <c r="QEC520" s="501"/>
      <c r="QED520" s="501"/>
      <c r="QEE520" s="501"/>
      <c r="QEF520" s="501"/>
      <c r="QEG520" s="501"/>
      <c r="QEH520" s="501"/>
      <c r="QEI520" s="501"/>
      <c r="QEJ520" s="501"/>
      <c r="QEK520" s="501"/>
      <c r="QEL520" s="501"/>
      <c r="QEM520" s="501"/>
      <c r="QEN520" s="501"/>
      <c r="QEO520" s="501"/>
      <c r="QEP520" s="501"/>
      <c r="QEQ520" s="501"/>
      <c r="QER520" s="501"/>
      <c r="QES520" s="501"/>
      <c r="QET520" s="501"/>
      <c r="QEU520" s="501"/>
      <c r="QEV520" s="501"/>
      <c r="QEW520" s="501"/>
      <c r="QEX520" s="501"/>
      <c r="QEY520" s="501"/>
      <c r="QEZ520" s="501"/>
      <c r="QFA520" s="501"/>
      <c r="QFB520" s="501"/>
      <c r="QFC520" s="501"/>
      <c r="QFD520" s="501"/>
      <c r="QFE520" s="501"/>
      <c r="QFF520" s="501"/>
      <c r="QFG520" s="501"/>
      <c r="QFH520" s="501"/>
      <c r="QFI520" s="501"/>
      <c r="QFJ520" s="501"/>
      <c r="QFK520" s="501"/>
      <c r="QFL520" s="501"/>
      <c r="QFM520" s="501"/>
      <c r="QFN520" s="501"/>
      <c r="QFO520" s="501"/>
      <c r="QFP520" s="501"/>
      <c r="QFQ520" s="501"/>
      <c r="QFR520" s="501"/>
      <c r="QFS520" s="501"/>
      <c r="QFT520" s="501"/>
      <c r="QFU520" s="501"/>
      <c r="QFV520" s="501"/>
      <c r="QFW520" s="501"/>
      <c r="QFX520" s="501"/>
      <c r="QFY520" s="501"/>
      <c r="QFZ520" s="501"/>
      <c r="QGA520" s="501"/>
      <c r="QGB520" s="501"/>
      <c r="QGC520" s="501"/>
      <c r="QGD520" s="501"/>
      <c r="QGE520" s="501"/>
      <c r="QGF520" s="501"/>
      <c r="QGG520" s="501"/>
      <c r="QGH520" s="501"/>
      <c r="QGI520" s="501"/>
      <c r="QGJ520" s="501"/>
      <c r="QGK520" s="501"/>
      <c r="QGL520" s="501"/>
      <c r="QGM520" s="501"/>
      <c r="QGN520" s="501"/>
      <c r="QGO520" s="501"/>
      <c r="QGP520" s="501"/>
      <c r="QGQ520" s="501"/>
      <c r="QGR520" s="501"/>
      <c r="QGS520" s="501"/>
      <c r="QGT520" s="501"/>
      <c r="QGU520" s="501"/>
      <c r="QGV520" s="501"/>
      <c r="QGW520" s="501"/>
      <c r="QGX520" s="501"/>
      <c r="QGY520" s="501"/>
      <c r="QGZ520" s="501"/>
      <c r="QHA520" s="501"/>
      <c r="QHB520" s="501"/>
      <c r="QHC520" s="501"/>
      <c r="QHD520" s="501"/>
      <c r="QHE520" s="501"/>
      <c r="QHF520" s="501"/>
      <c r="QHG520" s="501"/>
      <c r="QHH520" s="501"/>
      <c r="QHI520" s="501"/>
      <c r="QHJ520" s="501"/>
      <c r="QHK520" s="501"/>
      <c r="QHL520" s="501"/>
      <c r="QHM520" s="501"/>
      <c r="QHN520" s="501"/>
      <c r="QHO520" s="501"/>
      <c r="QHP520" s="501"/>
      <c r="QHQ520" s="501"/>
      <c r="QHR520" s="501"/>
      <c r="QHS520" s="501"/>
      <c r="QHT520" s="501"/>
      <c r="QHU520" s="501"/>
      <c r="QHV520" s="501"/>
      <c r="QHW520" s="501"/>
      <c r="QHX520" s="501"/>
      <c r="QHY520" s="501"/>
      <c r="QHZ520" s="501"/>
      <c r="QIA520" s="501"/>
      <c r="QIB520" s="501"/>
      <c r="QIC520" s="501"/>
      <c r="QID520" s="501"/>
      <c r="QIE520" s="501"/>
      <c r="QIF520" s="501"/>
      <c r="QIG520" s="501"/>
      <c r="QIH520" s="501"/>
      <c r="QII520" s="501"/>
      <c r="QIJ520" s="501"/>
      <c r="QIK520" s="501"/>
      <c r="QIL520" s="501"/>
      <c r="QIM520" s="501"/>
      <c r="QIN520" s="501"/>
      <c r="QIO520" s="501"/>
      <c r="QIP520" s="501"/>
      <c r="QIQ520" s="501"/>
      <c r="QIR520" s="501"/>
      <c r="QIS520" s="501"/>
      <c r="QIT520" s="501"/>
      <c r="QIU520" s="501"/>
      <c r="QIV520" s="501"/>
      <c r="QIW520" s="501"/>
      <c r="QIX520" s="501"/>
      <c r="QIY520" s="501"/>
      <c r="QIZ520" s="501"/>
      <c r="QJA520" s="501"/>
      <c r="QJB520" s="501"/>
      <c r="QJC520" s="501"/>
      <c r="QJD520" s="501"/>
      <c r="QJE520" s="501"/>
      <c r="QJF520" s="501"/>
      <c r="QJG520" s="501"/>
      <c r="QJH520" s="501"/>
      <c r="QJI520" s="501"/>
      <c r="QJJ520" s="501"/>
      <c r="QJK520" s="501"/>
      <c r="QJL520" s="501"/>
      <c r="QJM520" s="501"/>
      <c r="QJN520" s="501"/>
      <c r="QJO520" s="501"/>
      <c r="QJP520" s="501"/>
      <c r="QJQ520" s="501"/>
      <c r="QJR520" s="501"/>
      <c r="QJS520" s="501"/>
      <c r="QJT520" s="501"/>
      <c r="QJU520" s="501"/>
      <c r="QJV520" s="501"/>
      <c r="QJW520" s="501"/>
      <c r="QJX520" s="501"/>
      <c r="QJY520" s="501"/>
      <c r="QJZ520" s="501"/>
      <c r="QKA520" s="501"/>
      <c r="QKB520" s="501"/>
      <c r="QKC520" s="501"/>
      <c r="QKD520" s="501"/>
      <c r="QKE520" s="501"/>
      <c r="QKF520" s="501"/>
      <c r="QKG520" s="501"/>
      <c r="QKH520" s="501"/>
      <c r="QKI520" s="501"/>
      <c r="QKJ520" s="501"/>
      <c r="QKK520" s="501"/>
      <c r="QKL520" s="501"/>
      <c r="QKM520" s="501"/>
      <c r="QKN520" s="501"/>
      <c r="QKO520" s="501"/>
      <c r="QKP520" s="501"/>
      <c r="QKQ520" s="501"/>
      <c r="QKR520" s="501"/>
      <c r="QKS520" s="501"/>
      <c r="QKT520" s="501"/>
      <c r="QKU520" s="501"/>
      <c r="QKV520" s="501"/>
      <c r="QKW520" s="501"/>
      <c r="QKX520" s="501"/>
      <c r="QKY520" s="501"/>
      <c r="QKZ520" s="501"/>
      <c r="QLA520" s="501"/>
      <c r="QLB520" s="501"/>
      <c r="QLC520" s="501"/>
      <c r="QLD520" s="501"/>
      <c r="QLE520" s="501"/>
      <c r="QLF520" s="501"/>
      <c r="QLG520" s="501"/>
      <c r="QLH520" s="501"/>
      <c r="QLI520" s="501"/>
      <c r="QLJ520" s="501"/>
      <c r="QLK520" s="501"/>
      <c r="QLL520" s="501"/>
      <c r="QLM520" s="501"/>
      <c r="QLN520" s="501"/>
      <c r="QLO520" s="501"/>
      <c r="QLP520" s="501"/>
      <c r="QLQ520" s="501"/>
      <c r="QLR520" s="501"/>
      <c r="QLS520" s="501"/>
      <c r="QLT520" s="501"/>
      <c r="QLU520" s="501"/>
      <c r="QLV520" s="501"/>
      <c r="QLW520" s="501"/>
      <c r="QLX520" s="501"/>
      <c r="QLY520" s="501"/>
      <c r="QLZ520" s="501"/>
      <c r="QMA520" s="501"/>
      <c r="QMB520" s="501"/>
      <c r="QMC520" s="501"/>
      <c r="QMD520" s="501"/>
      <c r="QME520" s="501"/>
      <c r="QMF520" s="501"/>
      <c r="QMG520" s="501"/>
      <c r="QMH520" s="501"/>
      <c r="QMI520" s="501"/>
      <c r="QMJ520" s="501"/>
      <c r="QMK520" s="501"/>
      <c r="QML520" s="501"/>
      <c r="QMM520" s="501"/>
      <c r="QMN520" s="501"/>
      <c r="QMO520" s="501"/>
      <c r="QMP520" s="501"/>
      <c r="QMQ520" s="501"/>
      <c r="QMR520" s="501"/>
      <c r="QMS520" s="501"/>
      <c r="QMT520" s="501"/>
      <c r="QMU520" s="501"/>
      <c r="QMV520" s="501"/>
      <c r="QMW520" s="501"/>
      <c r="QMX520" s="501"/>
      <c r="QMY520" s="501"/>
      <c r="QMZ520" s="501"/>
      <c r="QNA520" s="501"/>
      <c r="QNB520" s="501"/>
      <c r="QNC520" s="501"/>
      <c r="QND520" s="501"/>
      <c r="QNE520" s="501"/>
      <c r="QNF520" s="501"/>
      <c r="QNG520" s="501"/>
      <c r="QNH520" s="501"/>
      <c r="QNI520" s="501"/>
      <c r="QNJ520" s="501"/>
      <c r="QNK520" s="501"/>
      <c r="QNL520" s="501"/>
      <c r="QNM520" s="501"/>
      <c r="QNN520" s="501"/>
      <c r="QNO520" s="501"/>
      <c r="QNP520" s="501"/>
      <c r="QNQ520" s="501"/>
      <c r="QNR520" s="501"/>
      <c r="QNS520" s="501"/>
      <c r="QNT520" s="501"/>
      <c r="QNU520" s="501"/>
      <c r="QNV520" s="501"/>
      <c r="QNW520" s="501"/>
      <c r="QNX520" s="501"/>
      <c r="QNY520" s="501"/>
      <c r="QNZ520" s="501"/>
      <c r="QOA520" s="501"/>
      <c r="QOB520" s="501"/>
      <c r="QOC520" s="501"/>
      <c r="QOD520" s="501"/>
      <c r="QOE520" s="501"/>
      <c r="QOF520" s="501"/>
      <c r="QOG520" s="501"/>
      <c r="QOH520" s="501"/>
      <c r="QOI520" s="501"/>
      <c r="QOJ520" s="501"/>
      <c r="QOK520" s="501"/>
      <c r="QOL520" s="501"/>
      <c r="QOM520" s="501"/>
      <c r="QON520" s="501"/>
      <c r="QOO520" s="501"/>
      <c r="QOP520" s="501"/>
      <c r="QOQ520" s="501"/>
      <c r="QOR520" s="501"/>
      <c r="QOS520" s="501"/>
      <c r="QOT520" s="501"/>
      <c r="QOU520" s="501"/>
      <c r="QOV520" s="501"/>
      <c r="QOW520" s="501"/>
      <c r="QOX520" s="501"/>
      <c r="QOY520" s="501"/>
      <c r="QOZ520" s="501"/>
      <c r="QPA520" s="501"/>
      <c r="QPB520" s="501"/>
      <c r="QPC520" s="501"/>
      <c r="QPD520" s="501"/>
      <c r="QPE520" s="501"/>
      <c r="QPF520" s="501"/>
      <c r="QPG520" s="501"/>
      <c r="QPH520" s="501"/>
      <c r="QPI520" s="501"/>
      <c r="QPJ520" s="501"/>
      <c r="QPK520" s="501"/>
      <c r="QPL520" s="501"/>
      <c r="QPM520" s="501"/>
      <c r="QPN520" s="501"/>
      <c r="QPO520" s="501"/>
      <c r="QPP520" s="501"/>
      <c r="QPQ520" s="501"/>
      <c r="QPR520" s="501"/>
      <c r="QPS520" s="501"/>
      <c r="QPT520" s="501"/>
      <c r="QPU520" s="501"/>
      <c r="QPV520" s="501"/>
      <c r="QPW520" s="501"/>
      <c r="QPX520" s="501"/>
      <c r="QPY520" s="501"/>
      <c r="QPZ520" s="501"/>
      <c r="QQA520" s="501"/>
      <c r="QQB520" s="501"/>
      <c r="QQC520" s="501"/>
      <c r="QQD520" s="501"/>
      <c r="QQE520" s="501"/>
      <c r="QQF520" s="501"/>
      <c r="QQG520" s="501"/>
      <c r="QQH520" s="501"/>
      <c r="QQI520" s="501"/>
      <c r="QQJ520" s="501"/>
      <c r="QQK520" s="501"/>
      <c r="QQL520" s="501"/>
      <c r="QQM520" s="501"/>
      <c r="QQN520" s="501"/>
      <c r="QQO520" s="501"/>
      <c r="QQP520" s="501"/>
      <c r="QQQ520" s="501"/>
      <c r="QQR520" s="501"/>
      <c r="QQS520" s="501"/>
      <c r="QQT520" s="501"/>
      <c r="QQU520" s="501"/>
      <c r="QQV520" s="501"/>
      <c r="QQW520" s="501"/>
      <c r="QQX520" s="501"/>
      <c r="QQY520" s="501"/>
      <c r="QQZ520" s="501"/>
      <c r="QRA520" s="501"/>
      <c r="QRB520" s="501"/>
      <c r="QRC520" s="501"/>
      <c r="QRD520" s="501"/>
      <c r="QRE520" s="501"/>
      <c r="QRF520" s="501"/>
      <c r="QRG520" s="501"/>
      <c r="QRH520" s="501"/>
      <c r="QRI520" s="501"/>
      <c r="QRJ520" s="501"/>
      <c r="QRK520" s="501"/>
      <c r="QRL520" s="501"/>
      <c r="QRM520" s="501"/>
      <c r="QRN520" s="501"/>
      <c r="QRO520" s="501"/>
      <c r="QRP520" s="501"/>
      <c r="QRQ520" s="501"/>
      <c r="QRR520" s="501"/>
      <c r="QRS520" s="501"/>
      <c r="QRT520" s="501"/>
      <c r="QRU520" s="501"/>
      <c r="QRV520" s="501"/>
      <c r="QRW520" s="501"/>
      <c r="QRX520" s="501"/>
      <c r="QRY520" s="501"/>
      <c r="QRZ520" s="501"/>
      <c r="QSA520" s="501"/>
      <c r="QSB520" s="501"/>
      <c r="QSC520" s="501"/>
      <c r="QSD520" s="501"/>
      <c r="QSE520" s="501"/>
      <c r="QSF520" s="501"/>
      <c r="QSG520" s="501"/>
      <c r="QSH520" s="501"/>
      <c r="QSI520" s="501"/>
      <c r="QSJ520" s="501"/>
      <c r="QSK520" s="501"/>
      <c r="QSL520" s="501"/>
      <c r="QSM520" s="501"/>
      <c r="QSN520" s="501"/>
      <c r="QSO520" s="501"/>
      <c r="QSP520" s="501"/>
      <c r="QSQ520" s="501"/>
      <c r="QSR520" s="501"/>
      <c r="QSS520" s="501"/>
      <c r="QST520" s="501"/>
      <c r="QSU520" s="501"/>
      <c r="QSV520" s="501"/>
      <c r="QSW520" s="501"/>
      <c r="QSX520" s="501"/>
      <c r="QSY520" s="501"/>
      <c r="QSZ520" s="501"/>
      <c r="QTA520" s="501"/>
      <c r="QTB520" s="501"/>
      <c r="QTC520" s="501"/>
      <c r="QTD520" s="501"/>
      <c r="QTE520" s="501"/>
      <c r="QTF520" s="501"/>
      <c r="QTG520" s="501"/>
      <c r="QTH520" s="501"/>
      <c r="QTI520" s="501"/>
      <c r="QTJ520" s="501"/>
      <c r="QTK520" s="501"/>
      <c r="QTL520" s="501"/>
      <c r="QTM520" s="501"/>
      <c r="QTN520" s="501"/>
      <c r="QTO520" s="501"/>
      <c r="QTP520" s="501"/>
      <c r="QTQ520" s="501"/>
      <c r="QTR520" s="501"/>
      <c r="QTS520" s="501"/>
      <c r="QTT520" s="501"/>
      <c r="QTU520" s="501"/>
      <c r="QTV520" s="501"/>
      <c r="QTW520" s="501"/>
      <c r="QTX520" s="501"/>
      <c r="QTY520" s="501"/>
      <c r="QTZ520" s="501"/>
      <c r="QUA520" s="501"/>
      <c r="QUB520" s="501"/>
      <c r="QUC520" s="501"/>
      <c r="QUD520" s="501"/>
      <c r="QUE520" s="501"/>
      <c r="QUF520" s="501"/>
      <c r="QUG520" s="501"/>
      <c r="QUH520" s="501"/>
      <c r="QUI520" s="501"/>
      <c r="QUJ520" s="501"/>
      <c r="QUK520" s="501"/>
      <c r="QUL520" s="501"/>
      <c r="QUM520" s="501"/>
      <c r="QUN520" s="501"/>
      <c r="QUO520" s="501"/>
      <c r="QUP520" s="501"/>
      <c r="QUQ520" s="501"/>
      <c r="QUR520" s="501"/>
      <c r="QUS520" s="501"/>
      <c r="QUT520" s="501"/>
      <c r="QUU520" s="501"/>
      <c r="QUV520" s="501"/>
      <c r="QUW520" s="501"/>
      <c r="QUX520" s="501"/>
      <c r="QUY520" s="501"/>
      <c r="QUZ520" s="501"/>
      <c r="QVA520" s="501"/>
      <c r="QVB520" s="501"/>
      <c r="QVC520" s="501"/>
      <c r="QVD520" s="501"/>
      <c r="QVE520" s="501"/>
      <c r="QVF520" s="501"/>
      <c r="QVG520" s="501"/>
      <c r="QVH520" s="501"/>
      <c r="QVI520" s="501"/>
      <c r="QVJ520" s="501"/>
      <c r="QVK520" s="501"/>
      <c r="QVL520" s="501"/>
      <c r="QVM520" s="501"/>
      <c r="QVN520" s="501"/>
      <c r="QVO520" s="501"/>
      <c r="QVP520" s="501"/>
      <c r="QVQ520" s="501"/>
      <c r="QVR520" s="501"/>
      <c r="QVS520" s="501"/>
      <c r="QVT520" s="501"/>
      <c r="QVU520" s="501"/>
      <c r="QVV520" s="501"/>
      <c r="QVW520" s="501"/>
      <c r="QVX520" s="501"/>
      <c r="QVY520" s="501"/>
      <c r="QVZ520" s="501"/>
      <c r="QWA520" s="501"/>
      <c r="QWB520" s="501"/>
      <c r="QWC520" s="501"/>
      <c r="QWD520" s="501"/>
      <c r="QWE520" s="501"/>
      <c r="QWF520" s="501"/>
      <c r="QWG520" s="501"/>
      <c r="QWH520" s="501"/>
      <c r="QWI520" s="501"/>
      <c r="QWJ520" s="501"/>
      <c r="QWK520" s="501"/>
      <c r="QWL520" s="501"/>
      <c r="QWM520" s="501"/>
      <c r="QWN520" s="501"/>
      <c r="QWO520" s="501"/>
      <c r="QWP520" s="501"/>
      <c r="QWQ520" s="501"/>
      <c r="QWR520" s="501"/>
      <c r="QWS520" s="501"/>
      <c r="QWT520" s="501"/>
      <c r="QWU520" s="501"/>
      <c r="QWV520" s="501"/>
      <c r="QWW520" s="501"/>
      <c r="QWX520" s="501"/>
      <c r="QWY520" s="501"/>
      <c r="QWZ520" s="501"/>
      <c r="QXA520" s="501"/>
      <c r="QXB520" s="501"/>
      <c r="QXC520" s="501"/>
      <c r="QXD520" s="501"/>
      <c r="QXE520" s="501"/>
      <c r="QXF520" s="501"/>
      <c r="QXG520" s="501"/>
      <c r="QXH520" s="501"/>
      <c r="QXI520" s="501"/>
      <c r="QXJ520" s="501"/>
      <c r="QXK520" s="501"/>
      <c r="QXL520" s="501"/>
      <c r="QXM520" s="501"/>
      <c r="QXN520" s="501"/>
      <c r="QXO520" s="501"/>
      <c r="QXP520" s="501"/>
      <c r="QXQ520" s="501"/>
      <c r="QXR520" s="501"/>
      <c r="QXS520" s="501"/>
      <c r="QXT520" s="501"/>
      <c r="QXU520" s="501"/>
      <c r="QXV520" s="501"/>
      <c r="QXW520" s="501"/>
      <c r="QXX520" s="501"/>
      <c r="QXY520" s="501"/>
      <c r="QXZ520" s="501"/>
      <c r="QYA520" s="501"/>
      <c r="QYB520" s="501"/>
      <c r="QYC520" s="501"/>
      <c r="QYD520" s="501"/>
      <c r="QYE520" s="501"/>
      <c r="QYF520" s="501"/>
      <c r="QYG520" s="501"/>
      <c r="QYH520" s="501"/>
      <c r="QYI520" s="501"/>
      <c r="QYJ520" s="501"/>
      <c r="QYK520" s="501"/>
      <c r="QYL520" s="501"/>
      <c r="QYM520" s="501"/>
      <c r="QYN520" s="501"/>
      <c r="QYO520" s="501"/>
      <c r="QYP520" s="501"/>
      <c r="QYQ520" s="501"/>
      <c r="QYR520" s="501"/>
      <c r="QYS520" s="501"/>
      <c r="QYT520" s="501"/>
      <c r="QYU520" s="501"/>
      <c r="QYV520" s="501"/>
      <c r="QYW520" s="501"/>
      <c r="QYX520" s="501"/>
      <c r="QYY520" s="501"/>
      <c r="QYZ520" s="501"/>
      <c r="QZA520" s="501"/>
      <c r="QZB520" s="501"/>
      <c r="QZC520" s="501"/>
      <c r="QZD520" s="501"/>
      <c r="QZE520" s="501"/>
      <c r="QZF520" s="501"/>
      <c r="QZG520" s="501"/>
      <c r="QZH520" s="501"/>
      <c r="QZI520" s="501"/>
      <c r="QZJ520" s="501"/>
      <c r="QZK520" s="501"/>
      <c r="QZL520" s="501"/>
      <c r="QZM520" s="501"/>
      <c r="QZN520" s="501"/>
      <c r="QZO520" s="501"/>
      <c r="QZP520" s="501"/>
      <c r="QZQ520" s="501"/>
      <c r="QZR520" s="501"/>
      <c r="QZS520" s="501"/>
      <c r="QZT520" s="501"/>
      <c r="QZU520" s="501"/>
      <c r="QZV520" s="501"/>
      <c r="QZW520" s="501"/>
      <c r="QZX520" s="501"/>
      <c r="QZY520" s="501"/>
      <c r="QZZ520" s="501"/>
      <c r="RAA520" s="501"/>
      <c r="RAB520" s="501"/>
      <c r="RAC520" s="501"/>
      <c r="RAD520" s="501"/>
      <c r="RAE520" s="501"/>
      <c r="RAF520" s="501"/>
      <c r="RAG520" s="501"/>
      <c r="RAH520" s="501"/>
      <c r="RAI520" s="501"/>
      <c r="RAJ520" s="501"/>
      <c r="RAK520" s="501"/>
      <c r="RAL520" s="501"/>
      <c r="RAM520" s="501"/>
      <c r="RAN520" s="501"/>
      <c r="RAO520" s="501"/>
      <c r="RAP520" s="501"/>
      <c r="RAQ520" s="501"/>
      <c r="RAR520" s="501"/>
      <c r="RAS520" s="501"/>
      <c r="RAT520" s="501"/>
      <c r="RAU520" s="501"/>
      <c r="RAV520" s="501"/>
      <c r="RAW520" s="501"/>
      <c r="RAX520" s="501"/>
      <c r="RAY520" s="501"/>
      <c r="RAZ520" s="501"/>
      <c r="RBA520" s="501"/>
      <c r="RBB520" s="501"/>
      <c r="RBC520" s="501"/>
      <c r="RBD520" s="501"/>
      <c r="RBE520" s="501"/>
      <c r="RBF520" s="501"/>
      <c r="RBG520" s="501"/>
      <c r="RBH520" s="501"/>
      <c r="RBI520" s="501"/>
      <c r="RBJ520" s="501"/>
      <c r="RBK520" s="501"/>
      <c r="RBL520" s="501"/>
      <c r="RBM520" s="501"/>
      <c r="RBN520" s="501"/>
      <c r="RBO520" s="501"/>
      <c r="RBP520" s="501"/>
      <c r="RBQ520" s="501"/>
      <c r="RBR520" s="501"/>
      <c r="RBS520" s="501"/>
      <c r="RBT520" s="501"/>
      <c r="RBU520" s="501"/>
      <c r="RBV520" s="501"/>
      <c r="RBW520" s="501"/>
      <c r="RBX520" s="501"/>
      <c r="RBY520" s="501"/>
      <c r="RBZ520" s="501"/>
      <c r="RCA520" s="501"/>
      <c r="RCB520" s="501"/>
      <c r="RCC520" s="501"/>
      <c r="RCD520" s="501"/>
      <c r="RCE520" s="501"/>
      <c r="RCF520" s="501"/>
      <c r="RCG520" s="501"/>
      <c r="RCH520" s="501"/>
      <c r="RCI520" s="501"/>
      <c r="RCJ520" s="501"/>
      <c r="RCK520" s="501"/>
      <c r="RCL520" s="501"/>
      <c r="RCM520" s="501"/>
      <c r="RCN520" s="501"/>
      <c r="RCO520" s="501"/>
      <c r="RCP520" s="501"/>
      <c r="RCQ520" s="501"/>
      <c r="RCR520" s="501"/>
      <c r="RCS520" s="501"/>
      <c r="RCT520" s="501"/>
      <c r="RCU520" s="501"/>
      <c r="RCV520" s="501"/>
      <c r="RCW520" s="501"/>
      <c r="RCX520" s="501"/>
      <c r="RCY520" s="501"/>
      <c r="RCZ520" s="501"/>
      <c r="RDA520" s="501"/>
      <c r="RDB520" s="501"/>
      <c r="RDC520" s="501"/>
      <c r="RDD520" s="501"/>
      <c r="RDE520" s="501"/>
      <c r="RDF520" s="501"/>
      <c r="RDG520" s="501"/>
      <c r="RDH520" s="501"/>
      <c r="RDI520" s="501"/>
      <c r="RDJ520" s="501"/>
      <c r="RDK520" s="501"/>
      <c r="RDL520" s="501"/>
      <c r="RDM520" s="501"/>
      <c r="RDN520" s="501"/>
      <c r="RDO520" s="501"/>
      <c r="RDP520" s="501"/>
      <c r="RDQ520" s="501"/>
      <c r="RDR520" s="501"/>
      <c r="RDS520" s="501"/>
      <c r="RDT520" s="501"/>
      <c r="RDU520" s="501"/>
      <c r="RDV520" s="501"/>
      <c r="RDW520" s="501"/>
      <c r="RDX520" s="501"/>
      <c r="RDY520" s="501"/>
      <c r="RDZ520" s="501"/>
      <c r="REA520" s="501"/>
      <c r="REB520" s="501"/>
      <c r="REC520" s="501"/>
      <c r="RED520" s="501"/>
      <c r="REE520" s="501"/>
      <c r="REF520" s="501"/>
      <c r="REG520" s="501"/>
      <c r="REH520" s="501"/>
      <c r="REI520" s="501"/>
      <c r="REJ520" s="501"/>
      <c r="REK520" s="501"/>
      <c r="REL520" s="501"/>
      <c r="REM520" s="501"/>
      <c r="REN520" s="501"/>
      <c r="REO520" s="501"/>
      <c r="REP520" s="501"/>
      <c r="REQ520" s="501"/>
      <c r="RER520" s="501"/>
      <c r="RES520" s="501"/>
      <c r="RET520" s="501"/>
      <c r="REU520" s="501"/>
      <c r="REV520" s="501"/>
      <c r="REW520" s="501"/>
      <c r="REX520" s="501"/>
      <c r="REY520" s="501"/>
      <c r="REZ520" s="501"/>
      <c r="RFA520" s="501"/>
      <c r="RFB520" s="501"/>
      <c r="RFC520" s="501"/>
      <c r="RFD520" s="501"/>
      <c r="RFE520" s="501"/>
      <c r="RFF520" s="501"/>
      <c r="RFG520" s="501"/>
      <c r="RFH520" s="501"/>
      <c r="RFI520" s="501"/>
      <c r="RFJ520" s="501"/>
      <c r="RFK520" s="501"/>
      <c r="RFL520" s="501"/>
      <c r="RFM520" s="501"/>
      <c r="RFN520" s="501"/>
      <c r="RFO520" s="501"/>
      <c r="RFP520" s="501"/>
      <c r="RFQ520" s="501"/>
      <c r="RFR520" s="501"/>
      <c r="RFS520" s="501"/>
      <c r="RFT520" s="501"/>
      <c r="RFU520" s="501"/>
      <c r="RFV520" s="501"/>
      <c r="RFW520" s="501"/>
      <c r="RFX520" s="501"/>
      <c r="RFY520" s="501"/>
      <c r="RFZ520" s="501"/>
      <c r="RGA520" s="501"/>
      <c r="RGB520" s="501"/>
      <c r="RGC520" s="501"/>
      <c r="RGD520" s="501"/>
      <c r="RGE520" s="501"/>
      <c r="RGF520" s="501"/>
      <c r="RGG520" s="501"/>
      <c r="RGH520" s="501"/>
      <c r="RGI520" s="501"/>
      <c r="RGJ520" s="501"/>
      <c r="RGK520" s="501"/>
      <c r="RGL520" s="501"/>
      <c r="RGM520" s="501"/>
      <c r="RGN520" s="501"/>
      <c r="RGO520" s="501"/>
      <c r="RGP520" s="501"/>
      <c r="RGQ520" s="501"/>
      <c r="RGR520" s="501"/>
      <c r="RGS520" s="501"/>
      <c r="RGT520" s="501"/>
      <c r="RGU520" s="501"/>
      <c r="RGV520" s="501"/>
      <c r="RGW520" s="501"/>
      <c r="RGX520" s="501"/>
      <c r="RGY520" s="501"/>
      <c r="RGZ520" s="501"/>
      <c r="RHA520" s="501"/>
      <c r="RHB520" s="501"/>
      <c r="RHC520" s="501"/>
      <c r="RHD520" s="501"/>
      <c r="RHE520" s="501"/>
      <c r="RHF520" s="501"/>
      <c r="RHG520" s="501"/>
      <c r="RHH520" s="501"/>
      <c r="RHI520" s="501"/>
      <c r="RHJ520" s="501"/>
      <c r="RHK520" s="501"/>
      <c r="RHL520" s="501"/>
      <c r="RHM520" s="501"/>
      <c r="RHN520" s="501"/>
      <c r="RHO520" s="501"/>
      <c r="RHP520" s="501"/>
      <c r="RHQ520" s="501"/>
      <c r="RHR520" s="501"/>
      <c r="RHS520" s="501"/>
      <c r="RHT520" s="501"/>
      <c r="RHU520" s="501"/>
      <c r="RHV520" s="501"/>
      <c r="RHW520" s="501"/>
      <c r="RHX520" s="501"/>
      <c r="RHY520" s="501"/>
      <c r="RHZ520" s="501"/>
      <c r="RIA520" s="501"/>
      <c r="RIB520" s="501"/>
      <c r="RIC520" s="501"/>
      <c r="RID520" s="501"/>
      <c r="RIE520" s="501"/>
      <c r="RIF520" s="501"/>
      <c r="RIG520" s="501"/>
      <c r="RIH520" s="501"/>
      <c r="RII520" s="501"/>
      <c r="RIJ520" s="501"/>
      <c r="RIK520" s="501"/>
      <c r="RIL520" s="501"/>
      <c r="RIM520" s="501"/>
      <c r="RIN520" s="501"/>
      <c r="RIO520" s="501"/>
      <c r="RIP520" s="501"/>
      <c r="RIQ520" s="501"/>
      <c r="RIR520" s="501"/>
      <c r="RIS520" s="501"/>
      <c r="RIT520" s="501"/>
      <c r="RIU520" s="501"/>
      <c r="RIV520" s="501"/>
      <c r="RIW520" s="501"/>
      <c r="RIX520" s="501"/>
      <c r="RIY520" s="501"/>
      <c r="RIZ520" s="501"/>
      <c r="RJA520" s="501"/>
      <c r="RJB520" s="501"/>
      <c r="RJC520" s="501"/>
      <c r="RJD520" s="501"/>
      <c r="RJE520" s="501"/>
      <c r="RJF520" s="501"/>
      <c r="RJG520" s="501"/>
      <c r="RJH520" s="501"/>
      <c r="RJI520" s="501"/>
      <c r="RJJ520" s="501"/>
      <c r="RJK520" s="501"/>
      <c r="RJL520" s="501"/>
      <c r="RJM520" s="501"/>
      <c r="RJN520" s="501"/>
      <c r="RJO520" s="501"/>
      <c r="RJP520" s="501"/>
      <c r="RJQ520" s="501"/>
      <c r="RJR520" s="501"/>
      <c r="RJS520" s="501"/>
      <c r="RJT520" s="501"/>
      <c r="RJU520" s="501"/>
      <c r="RJV520" s="501"/>
      <c r="RJW520" s="501"/>
      <c r="RJX520" s="501"/>
      <c r="RJY520" s="501"/>
      <c r="RJZ520" s="501"/>
      <c r="RKA520" s="501"/>
      <c r="RKB520" s="501"/>
      <c r="RKC520" s="501"/>
      <c r="RKD520" s="501"/>
      <c r="RKE520" s="501"/>
      <c r="RKF520" s="501"/>
      <c r="RKG520" s="501"/>
      <c r="RKH520" s="501"/>
      <c r="RKI520" s="501"/>
      <c r="RKJ520" s="501"/>
      <c r="RKK520" s="501"/>
      <c r="RKL520" s="501"/>
      <c r="RKM520" s="501"/>
      <c r="RKN520" s="501"/>
      <c r="RKO520" s="501"/>
      <c r="RKP520" s="501"/>
      <c r="RKQ520" s="501"/>
      <c r="RKR520" s="501"/>
      <c r="RKS520" s="501"/>
      <c r="RKT520" s="501"/>
      <c r="RKU520" s="501"/>
      <c r="RKV520" s="501"/>
      <c r="RKW520" s="501"/>
      <c r="RKX520" s="501"/>
      <c r="RKY520" s="501"/>
      <c r="RKZ520" s="501"/>
      <c r="RLA520" s="501"/>
      <c r="RLB520" s="501"/>
      <c r="RLC520" s="501"/>
      <c r="RLD520" s="501"/>
      <c r="RLE520" s="501"/>
      <c r="RLF520" s="501"/>
      <c r="RLG520" s="501"/>
      <c r="RLH520" s="501"/>
      <c r="RLI520" s="501"/>
      <c r="RLJ520" s="501"/>
      <c r="RLK520" s="501"/>
      <c r="RLL520" s="501"/>
      <c r="RLM520" s="501"/>
      <c r="RLN520" s="501"/>
      <c r="RLO520" s="501"/>
      <c r="RLP520" s="501"/>
      <c r="RLQ520" s="501"/>
      <c r="RLR520" s="501"/>
      <c r="RLS520" s="501"/>
      <c r="RLT520" s="501"/>
      <c r="RLU520" s="501"/>
      <c r="RLV520" s="501"/>
      <c r="RLW520" s="501"/>
      <c r="RLX520" s="501"/>
      <c r="RLY520" s="501"/>
      <c r="RLZ520" s="501"/>
      <c r="RMA520" s="501"/>
      <c r="RMB520" s="501"/>
      <c r="RMC520" s="501"/>
      <c r="RMD520" s="501"/>
      <c r="RME520" s="501"/>
      <c r="RMF520" s="501"/>
      <c r="RMG520" s="501"/>
      <c r="RMH520" s="501"/>
      <c r="RMI520" s="501"/>
      <c r="RMJ520" s="501"/>
      <c r="RMK520" s="501"/>
      <c r="RML520" s="501"/>
      <c r="RMM520" s="501"/>
      <c r="RMN520" s="501"/>
      <c r="RMO520" s="501"/>
      <c r="RMP520" s="501"/>
      <c r="RMQ520" s="501"/>
      <c r="RMR520" s="501"/>
      <c r="RMS520" s="501"/>
      <c r="RMT520" s="501"/>
      <c r="RMU520" s="501"/>
      <c r="RMV520" s="501"/>
      <c r="RMW520" s="501"/>
      <c r="RMX520" s="501"/>
      <c r="RMY520" s="501"/>
      <c r="RMZ520" s="501"/>
      <c r="RNA520" s="501"/>
      <c r="RNB520" s="501"/>
      <c r="RNC520" s="501"/>
      <c r="RND520" s="501"/>
      <c r="RNE520" s="501"/>
      <c r="RNF520" s="501"/>
      <c r="RNG520" s="501"/>
      <c r="RNH520" s="501"/>
      <c r="RNI520" s="501"/>
      <c r="RNJ520" s="501"/>
      <c r="RNK520" s="501"/>
      <c r="RNL520" s="501"/>
      <c r="RNM520" s="501"/>
      <c r="RNN520" s="501"/>
      <c r="RNO520" s="501"/>
      <c r="RNP520" s="501"/>
      <c r="RNQ520" s="501"/>
      <c r="RNR520" s="501"/>
      <c r="RNS520" s="501"/>
      <c r="RNT520" s="501"/>
      <c r="RNU520" s="501"/>
      <c r="RNV520" s="501"/>
      <c r="RNW520" s="501"/>
      <c r="RNX520" s="501"/>
      <c r="RNY520" s="501"/>
      <c r="RNZ520" s="501"/>
      <c r="ROA520" s="501"/>
      <c r="ROB520" s="501"/>
      <c r="ROC520" s="501"/>
      <c r="ROD520" s="501"/>
      <c r="ROE520" s="501"/>
      <c r="ROF520" s="501"/>
      <c r="ROG520" s="501"/>
      <c r="ROH520" s="501"/>
      <c r="ROI520" s="501"/>
      <c r="ROJ520" s="501"/>
      <c r="ROK520" s="501"/>
      <c r="ROL520" s="501"/>
      <c r="ROM520" s="501"/>
      <c r="RON520" s="501"/>
      <c r="ROO520" s="501"/>
      <c r="ROP520" s="501"/>
      <c r="ROQ520" s="501"/>
      <c r="ROR520" s="501"/>
      <c r="ROS520" s="501"/>
      <c r="ROT520" s="501"/>
      <c r="ROU520" s="501"/>
      <c r="ROV520" s="501"/>
      <c r="ROW520" s="501"/>
      <c r="ROX520" s="501"/>
      <c r="ROY520" s="501"/>
      <c r="ROZ520" s="501"/>
      <c r="RPA520" s="501"/>
      <c r="RPB520" s="501"/>
      <c r="RPC520" s="501"/>
      <c r="RPD520" s="501"/>
      <c r="RPE520" s="501"/>
      <c r="RPF520" s="501"/>
      <c r="RPG520" s="501"/>
      <c r="RPH520" s="501"/>
      <c r="RPI520" s="501"/>
      <c r="RPJ520" s="501"/>
      <c r="RPK520" s="501"/>
      <c r="RPL520" s="501"/>
      <c r="RPM520" s="501"/>
      <c r="RPN520" s="501"/>
      <c r="RPO520" s="501"/>
      <c r="RPP520" s="501"/>
      <c r="RPQ520" s="501"/>
      <c r="RPR520" s="501"/>
      <c r="RPS520" s="501"/>
      <c r="RPT520" s="501"/>
      <c r="RPU520" s="501"/>
      <c r="RPV520" s="501"/>
      <c r="RPW520" s="501"/>
      <c r="RPX520" s="501"/>
      <c r="RPY520" s="501"/>
      <c r="RPZ520" s="501"/>
      <c r="RQA520" s="501"/>
      <c r="RQB520" s="501"/>
      <c r="RQC520" s="501"/>
      <c r="RQD520" s="501"/>
      <c r="RQE520" s="501"/>
      <c r="RQF520" s="501"/>
      <c r="RQG520" s="501"/>
      <c r="RQH520" s="501"/>
      <c r="RQI520" s="501"/>
      <c r="RQJ520" s="501"/>
      <c r="RQK520" s="501"/>
      <c r="RQL520" s="501"/>
      <c r="RQM520" s="501"/>
      <c r="RQN520" s="501"/>
      <c r="RQO520" s="501"/>
      <c r="RQP520" s="501"/>
      <c r="RQQ520" s="501"/>
      <c r="RQR520" s="501"/>
      <c r="RQS520" s="501"/>
      <c r="RQT520" s="501"/>
      <c r="RQU520" s="501"/>
      <c r="RQV520" s="501"/>
      <c r="RQW520" s="501"/>
      <c r="RQX520" s="501"/>
      <c r="RQY520" s="501"/>
      <c r="RQZ520" s="501"/>
      <c r="RRA520" s="501"/>
      <c r="RRB520" s="501"/>
      <c r="RRC520" s="501"/>
      <c r="RRD520" s="501"/>
      <c r="RRE520" s="501"/>
      <c r="RRF520" s="501"/>
      <c r="RRG520" s="501"/>
      <c r="RRH520" s="501"/>
      <c r="RRI520" s="501"/>
      <c r="RRJ520" s="501"/>
      <c r="RRK520" s="501"/>
      <c r="RRL520" s="501"/>
      <c r="RRM520" s="501"/>
      <c r="RRN520" s="501"/>
      <c r="RRO520" s="501"/>
      <c r="RRP520" s="501"/>
      <c r="RRQ520" s="501"/>
      <c r="RRR520" s="501"/>
      <c r="RRS520" s="501"/>
      <c r="RRT520" s="501"/>
      <c r="RRU520" s="501"/>
      <c r="RRV520" s="501"/>
      <c r="RRW520" s="501"/>
      <c r="RRX520" s="501"/>
      <c r="RRY520" s="501"/>
      <c r="RRZ520" s="501"/>
      <c r="RSA520" s="501"/>
      <c r="RSB520" s="501"/>
      <c r="RSC520" s="501"/>
      <c r="RSD520" s="501"/>
      <c r="RSE520" s="501"/>
      <c r="RSF520" s="501"/>
      <c r="RSG520" s="501"/>
      <c r="RSH520" s="501"/>
      <c r="RSI520" s="501"/>
      <c r="RSJ520" s="501"/>
      <c r="RSK520" s="501"/>
      <c r="RSL520" s="501"/>
      <c r="RSM520" s="501"/>
      <c r="RSN520" s="501"/>
      <c r="RSO520" s="501"/>
      <c r="RSP520" s="501"/>
      <c r="RSQ520" s="501"/>
      <c r="RSR520" s="501"/>
      <c r="RSS520" s="501"/>
      <c r="RST520" s="501"/>
      <c r="RSU520" s="501"/>
      <c r="RSV520" s="501"/>
      <c r="RSW520" s="501"/>
      <c r="RSX520" s="501"/>
      <c r="RSY520" s="501"/>
      <c r="RSZ520" s="501"/>
      <c r="RTA520" s="501"/>
      <c r="RTB520" s="501"/>
      <c r="RTC520" s="501"/>
      <c r="RTD520" s="501"/>
      <c r="RTE520" s="501"/>
      <c r="RTF520" s="501"/>
      <c r="RTG520" s="501"/>
      <c r="RTH520" s="501"/>
      <c r="RTI520" s="501"/>
      <c r="RTJ520" s="501"/>
      <c r="RTK520" s="501"/>
      <c r="RTL520" s="501"/>
      <c r="RTM520" s="501"/>
      <c r="RTN520" s="501"/>
      <c r="RTO520" s="501"/>
      <c r="RTP520" s="501"/>
      <c r="RTQ520" s="501"/>
      <c r="RTR520" s="501"/>
      <c r="RTS520" s="501"/>
      <c r="RTT520" s="501"/>
      <c r="RTU520" s="501"/>
      <c r="RTV520" s="501"/>
      <c r="RTW520" s="501"/>
      <c r="RTX520" s="501"/>
      <c r="RTY520" s="501"/>
      <c r="RTZ520" s="501"/>
      <c r="RUA520" s="501"/>
      <c r="RUB520" s="501"/>
      <c r="RUC520" s="501"/>
      <c r="RUD520" s="501"/>
      <c r="RUE520" s="501"/>
      <c r="RUF520" s="501"/>
      <c r="RUG520" s="501"/>
      <c r="RUH520" s="501"/>
      <c r="RUI520" s="501"/>
      <c r="RUJ520" s="501"/>
      <c r="RUK520" s="501"/>
      <c r="RUL520" s="501"/>
      <c r="RUM520" s="501"/>
      <c r="RUN520" s="501"/>
      <c r="RUO520" s="501"/>
      <c r="RUP520" s="501"/>
      <c r="RUQ520" s="501"/>
      <c r="RUR520" s="501"/>
      <c r="RUS520" s="501"/>
      <c r="RUT520" s="501"/>
      <c r="RUU520" s="501"/>
      <c r="RUV520" s="501"/>
      <c r="RUW520" s="501"/>
      <c r="RUX520" s="501"/>
      <c r="RUY520" s="501"/>
      <c r="RUZ520" s="501"/>
      <c r="RVA520" s="501"/>
      <c r="RVB520" s="501"/>
      <c r="RVC520" s="501"/>
      <c r="RVD520" s="501"/>
      <c r="RVE520" s="501"/>
      <c r="RVF520" s="501"/>
      <c r="RVG520" s="501"/>
      <c r="RVH520" s="501"/>
      <c r="RVI520" s="501"/>
      <c r="RVJ520" s="501"/>
      <c r="RVK520" s="501"/>
      <c r="RVL520" s="501"/>
      <c r="RVM520" s="501"/>
      <c r="RVN520" s="501"/>
      <c r="RVO520" s="501"/>
      <c r="RVP520" s="501"/>
      <c r="RVQ520" s="501"/>
      <c r="RVR520" s="501"/>
      <c r="RVS520" s="501"/>
      <c r="RVT520" s="501"/>
      <c r="RVU520" s="501"/>
      <c r="RVV520" s="501"/>
      <c r="RVW520" s="501"/>
      <c r="RVX520" s="501"/>
      <c r="RVY520" s="501"/>
      <c r="RVZ520" s="501"/>
      <c r="RWA520" s="501"/>
      <c r="RWB520" s="501"/>
      <c r="RWC520" s="501"/>
      <c r="RWD520" s="501"/>
      <c r="RWE520" s="501"/>
      <c r="RWF520" s="501"/>
      <c r="RWG520" s="501"/>
      <c r="RWH520" s="501"/>
      <c r="RWI520" s="501"/>
      <c r="RWJ520" s="501"/>
      <c r="RWK520" s="501"/>
      <c r="RWL520" s="501"/>
      <c r="RWM520" s="501"/>
      <c r="RWN520" s="501"/>
      <c r="RWO520" s="501"/>
      <c r="RWP520" s="501"/>
      <c r="RWQ520" s="501"/>
      <c r="RWR520" s="501"/>
      <c r="RWS520" s="501"/>
      <c r="RWT520" s="501"/>
      <c r="RWU520" s="501"/>
      <c r="RWV520" s="501"/>
      <c r="RWW520" s="501"/>
      <c r="RWX520" s="501"/>
      <c r="RWY520" s="501"/>
      <c r="RWZ520" s="501"/>
      <c r="RXA520" s="501"/>
      <c r="RXB520" s="501"/>
      <c r="RXC520" s="501"/>
      <c r="RXD520" s="501"/>
      <c r="RXE520" s="501"/>
      <c r="RXF520" s="501"/>
      <c r="RXG520" s="501"/>
      <c r="RXH520" s="501"/>
      <c r="RXI520" s="501"/>
      <c r="RXJ520" s="501"/>
      <c r="RXK520" s="501"/>
      <c r="RXL520" s="501"/>
      <c r="RXM520" s="501"/>
      <c r="RXN520" s="501"/>
      <c r="RXO520" s="501"/>
      <c r="RXP520" s="501"/>
      <c r="RXQ520" s="501"/>
      <c r="RXR520" s="501"/>
      <c r="RXS520" s="501"/>
      <c r="RXT520" s="501"/>
      <c r="RXU520" s="501"/>
      <c r="RXV520" s="501"/>
      <c r="RXW520" s="501"/>
      <c r="RXX520" s="501"/>
      <c r="RXY520" s="501"/>
      <c r="RXZ520" s="501"/>
      <c r="RYA520" s="501"/>
      <c r="RYB520" s="501"/>
      <c r="RYC520" s="501"/>
      <c r="RYD520" s="501"/>
      <c r="RYE520" s="501"/>
      <c r="RYF520" s="501"/>
      <c r="RYG520" s="501"/>
      <c r="RYH520" s="501"/>
      <c r="RYI520" s="501"/>
      <c r="RYJ520" s="501"/>
      <c r="RYK520" s="501"/>
      <c r="RYL520" s="501"/>
      <c r="RYM520" s="501"/>
      <c r="RYN520" s="501"/>
      <c r="RYO520" s="501"/>
      <c r="RYP520" s="501"/>
      <c r="RYQ520" s="501"/>
      <c r="RYR520" s="501"/>
      <c r="RYS520" s="501"/>
      <c r="RYT520" s="501"/>
      <c r="RYU520" s="501"/>
      <c r="RYV520" s="501"/>
      <c r="RYW520" s="501"/>
      <c r="RYX520" s="501"/>
      <c r="RYY520" s="501"/>
      <c r="RYZ520" s="501"/>
      <c r="RZA520" s="501"/>
      <c r="RZB520" s="501"/>
      <c r="RZC520" s="501"/>
      <c r="RZD520" s="501"/>
      <c r="RZE520" s="501"/>
      <c r="RZF520" s="501"/>
      <c r="RZG520" s="501"/>
      <c r="RZH520" s="501"/>
      <c r="RZI520" s="501"/>
      <c r="RZJ520" s="501"/>
      <c r="RZK520" s="501"/>
      <c r="RZL520" s="501"/>
      <c r="RZM520" s="501"/>
      <c r="RZN520" s="501"/>
      <c r="RZO520" s="501"/>
      <c r="RZP520" s="501"/>
      <c r="RZQ520" s="501"/>
      <c r="RZR520" s="501"/>
      <c r="RZS520" s="501"/>
      <c r="RZT520" s="501"/>
      <c r="RZU520" s="501"/>
      <c r="RZV520" s="501"/>
      <c r="RZW520" s="501"/>
      <c r="RZX520" s="501"/>
      <c r="RZY520" s="501"/>
      <c r="RZZ520" s="501"/>
      <c r="SAA520" s="501"/>
      <c r="SAB520" s="501"/>
      <c r="SAC520" s="501"/>
      <c r="SAD520" s="501"/>
      <c r="SAE520" s="501"/>
      <c r="SAF520" s="501"/>
      <c r="SAG520" s="501"/>
      <c r="SAH520" s="501"/>
      <c r="SAI520" s="501"/>
      <c r="SAJ520" s="501"/>
      <c r="SAK520" s="501"/>
      <c r="SAL520" s="501"/>
      <c r="SAM520" s="501"/>
      <c r="SAN520" s="501"/>
      <c r="SAO520" s="501"/>
      <c r="SAP520" s="501"/>
      <c r="SAQ520" s="501"/>
      <c r="SAR520" s="501"/>
      <c r="SAS520" s="501"/>
      <c r="SAT520" s="501"/>
      <c r="SAU520" s="501"/>
      <c r="SAV520" s="501"/>
      <c r="SAW520" s="501"/>
      <c r="SAX520" s="501"/>
      <c r="SAY520" s="501"/>
      <c r="SAZ520" s="501"/>
      <c r="SBA520" s="501"/>
      <c r="SBB520" s="501"/>
      <c r="SBC520" s="501"/>
      <c r="SBD520" s="501"/>
      <c r="SBE520" s="501"/>
      <c r="SBF520" s="501"/>
      <c r="SBG520" s="501"/>
      <c r="SBH520" s="501"/>
      <c r="SBI520" s="501"/>
      <c r="SBJ520" s="501"/>
      <c r="SBK520" s="501"/>
      <c r="SBL520" s="501"/>
      <c r="SBM520" s="501"/>
      <c r="SBN520" s="501"/>
      <c r="SBO520" s="501"/>
      <c r="SBP520" s="501"/>
      <c r="SBQ520" s="501"/>
      <c r="SBR520" s="501"/>
      <c r="SBS520" s="501"/>
      <c r="SBT520" s="501"/>
      <c r="SBU520" s="501"/>
      <c r="SBV520" s="501"/>
      <c r="SBW520" s="501"/>
      <c r="SBX520" s="501"/>
      <c r="SBY520" s="501"/>
      <c r="SBZ520" s="501"/>
      <c r="SCA520" s="501"/>
      <c r="SCB520" s="501"/>
      <c r="SCC520" s="501"/>
      <c r="SCD520" s="501"/>
      <c r="SCE520" s="501"/>
      <c r="SCF520" s="501"/>
      <c r="SCG520" s="501"/>
      <c r="SCH520" s="501"/>
      <c r="SCI520" s="501"/>
      <c r="SCJ520" s="501"/>
      <c r="SCK520" s="501"/>
      <c r="SCL520" s="501"/>
      <c r="SCM520" s="501"/>
      <c r="SCN520" s="501"/>
      <c r="SCO520" s="501"/>
      <c r="SCP520" s="501"/>
      <c r="SCQ520" s="501"/>
      <c r="SCR520" s="501"/>
      <c r="SCS520" s="501"/>
      <c r="SCT520" s="501"/>
      <c r="SCU520" s="501"/>
      <c r="SCV520" s="501"/>
      <c r="SCW520" s="501"/>
      <c r="SCX520" s="501"/>
      <c r="SCY520" s="501"/>
      <c r="SCZ520" s="501"/>
      <c r="SDA520" s="501"/>
      <c r="SDB520" s="501"/>
      <c r="SDC520" s="501"/>
      <c r="SDD520" s="501"/>
      <c r="SDE520" s="501"/>
      <c r="SDF520" s="501"/>
      <c r="SDG520" s="501"/>
      <c r="SDH520" s="501"/>
      <c r="SDI520" s="501"/>
      <c r="SDJ520" s="501"/>
      <c r="SDK520" s="501"/>
      <c r="SDL520" s="501"/>
      <c r="SDM520" s="501"/>
      <c r="SDN520" s="501"/>
      <c r="SDO520" s="501"/>
      <c r="SDP520" s="501"/>
      <c r="SDQ520" s="501"/>
      <c r="SDR520" s="501"/>
      <c r="SDS520" s="501"/>
      <c r="SDT520" s="501"/>
      <c r="SDU520" s="501"/>
      <c r="SDV520" s="501"/>
      <c r="SDW520" s="501"/>
      <c r="SDX520" s="501"/>
      <c r="SDY520" s="501"/>
      <c r="SDZ520" s="501"/>
      <c r="SEA520" s="501"/>
      <c r="SEB520" s="501"/>
      <c r="SEC520" s="501"/>
      <c r="SED520" s="501"/>
      <c r="SEE520" s="501"/>
      <c r="SEF520" s="501"/>
      <c r="SEG520" s="501"/>
      <c r="SEH520" s="501"/>
      <c r="SEI520" s="501"/>
      <c r="SEJ520" s="501"/>
      <c r="SEK520" s="501"/>
      <c r="SEL520" s="501"/>
      <c r="SEM520" s="501"/>
      <c r="SEN520" s="501"/>
      <c r="SEO520" s="501"/>
      <c r="SEP520" s="501"/>
      <c r="SEQ520" s="501"/>
      <c r="SER520" s="501"/>
      <c r="SES520" s="501"/>
      <c r="SET520" s="501"/>
      <c r="SEU520" s="501"/>
      <c r="SEV520" s="501"/>
      <c r="SEW520" s="501"/>
      <c r="SEX520" s="501"/>
      <c r="SEY520" s="501"/>
      <c r="SEZ520" s="501"/>
      <c r="SFA520" s="501"/>
      <c r="SFB520" s="501"/>
      <c r="SFC520" s="501"/>
      <c r="SFD520" s="501"/>
      <c r="SFE520" s="501"/>
      <c r="SFF520" s="501"/>
      <c r="SFG520" s="501"/>
      <c r="SFH520" s="501"/>
      <c r="SFI520" s="501"/>
      <c r="SFJ520" s="501"/>
      <c r="SFK520" s="501"/>
      <c r="SFL520" s="501"/>
      <c r="SFM520" s="501"/>
      <c r="SFN520" s="501"/>
      <c r="SFO520" s="501"/>
      <c r="SFP520" s="501"/>
      <c r="SFQ520" s="501"/>
      <c r="SFR520" s="501"/>
      <c r="SFS520" s="501"/>
      <c r="SFT520" s="501"/>
      <c r="SFU520" s="501"/>
      <c r="SFV520" s="501"/>
      <c r="SFW520" s="501"/>
      <c r="SFX520" s="501"/>
      <c r="SFY520" s="501"/>
      <c r="SFZ520" s="501"/>
      <c r="SGA520" s="501"/>
      <c r="SGB520" s="501"/>
      <c r="SGC520" s="501"/>
      <c r="SGD520" s="501"/>
      <c r="SGE520" s="501"/>
      <c r="SGF520" s="501"/>
      <c r="SGG520" s="501"/>
      <c r="SGH520" s="501"/>
      <c r="SGI520" s="501"/>
      <c r="SGJ520" s="501"/>
      <c r="SGK520" s="501"/>
      <c r="SGL520" s="501"/>
      <c r="SGM520" s="501"/>
      <c r="SGN520" s="501"/>
      <c r="SGO520" s="501"/>
      <c r="SGP520" s="501"/>
      <c r="SGQ520" s="501"/>
      <c r="SGR520" s="501"/>
      <c r="SGS520" s="501"/>
      <c r="SGT520" s="501"/>
      <c r="SGU520" s="501"/>
      <c r="SGV520" s="501"/>
      <c r="SGW520" s="501"/>
      <c r="SGX520" s="501"/>
      <c r="SGY520" s="501"/>
      <c r="SGZ520" s="501"/>
      <c r="SHA520" s="501"/>
      <c r="SHB520" s="501"/>
      <c r="SHC520" s="501"/>
      <c r="SHD520" s="501"/>
      <c r="SHE520" s="501"/>
      <c r="SHF520" s="501"/>
      <c r="SHG520" s="501"/>
      <c r="SHH520" s="501"/>
      <c r="SHI520" s="501"/>
      <c r="SHJ520" s="501"/>
      <c r="SHK520" s="501"/>
      <c r="SHL520" s="501"/>
      <c r="SHM520" s="501"/>
      <c r="SHN520" s="501"/>
      <c r="SHO520" s="501"/>
      <c r="SHP520" s="501"/>
      <c r="SHQ520" s="501"/>
      <c r="SHR520" s="501"/>
      <c r="SHS520" s="501"/>
      <c r="SHT520" s="501"/>
      <c r="SHU520" s="501"/>
      <c r="SHV520" s="501"/>
      <c r="SHW520" s="501"/>
      <c r="SHX520" s="501"/>
      <c r="SHY520" s="501"/>
      <c r="SHZ520" s="501"/>
      <c r="SIA520" s="501"/>
      <c r="SIB520" s="501"/>
      <c r="SIC520" s="501"/>
      <c r="SID520" s="501"/>
      <c r="SIE520" s="501"/>
      <c r="SIF520" s="501"/>
      <c r="SIG520" s="501"/>
      <c r="SIH520" s="501"/>
      <c r="SII520" s="501"/>
      <c r="SIJ520" s="501"/>
      <c r="SIK520" s="501"/>
      <c r="SIL520" s="501"/>
      <c r="SIM520" s="501"/>
      <c r="SIN520" s="501"/>
      <c r="SIO520" s="501"/>
      <c r="SIP520" s="501"/>
      <c r="SIQ520" s="501"/>
      <c r="SIR520" s="501"/>
      <c r="SIS520" s="501"/>
      <c r="SIT520" s="501"/>
      <c r="SIU520" s="501"/>
      <c r="SIV520" s="501"/>
      <c r="SIW520" s="501"/>
      <c r="SIX520" s="501"/>
      <c r="SIY520" s="501"/>
      <c r="SIZ520" s="501"/>
      <c r="SJA520" s="501"/>
      <c r="SJB520" s="501"/>
      <c r="SJC520" s="501"/>
      <c r="SJD520" s="501"/>
      <c r="SJE520" s="501"/>
      <c r="SJF520" s="501"/>
      <c r="SJG520" s="501"/>
      <c r="SJH520" s="501"/>
      <c r="SJI520" s="501"/>
      <c r="SJJ520" s="501"/>
      <c r="SJK520" s="501"/>
      <c r="SJL520" s="501"/>
      <c r="SJM520" s="501"/>
      <c r="SJN520" s="501"/>
      <c r="SJO520" s="501"/>
      <c r="SJP520" s="501"/>
      <c r="SJQ520" s="501"/>
      <c r="SJR520" s="501"/>
      <c r="SJS520" s="501"/>
      <c r="SJT520" s="501"/>
      <c r="SJU520" s="501"/>
      <c r="SJV520" s="501"/>
      <c r="SJW520" s="501"/>
      <c r="SJX520" s="501"/>
      <c r="SJY520" s="501"/>
      <c r="SJZ520" s="501"/>
      <c r="SKA520" s="501"/>
      <c r="SKB520" s="501"/>
      <c r="SKC520" s="501"/>
      <c r="SKD520" s="501"/>
      <c r="SKE520" s="501"/>
      <c r="SKF520" s="501"/>
      <c r="SKG520" s="501"/>
      <c r="SKH520" s="501"/>
      <c r="SKI520" s="501"/>
      <c r="SKJ520" s="501"/>
      <c r="SKK520" s="501"/>
      <c r="SKL520" s="501"/>
      <c r="SKM520" s="501"/>
      <c r="SKN520" s="501"/>
      <c r="SKO520" s="501"/>
      <c r="SKP520" s="501"/>
      <c r="SKQ520" s="501"/>
      <c r="SKR520" s="501"/>
      <c r="SKS520" s="501"/>
      <c r="SKT520" s="501"/>
      <c r="SKU520" s="501"/>
      <c r="SKV520" s="501"/>
      <c r="SKW520" s="501"/>
      <c r="SKX520" s="501"/>
      <c r="SKY520" s="501"/>
      <c r="SKZ520" s="501"/>
      <c r="SLA520" s="501"/>
      <c r="SLB520" s="501"/>
      <c r="SLC520" s="501"/>
      <c r="SLD520" s="501"/>
      <c r="SLE520" s="501"/>
      <c r="SLF520" s="501"/>
      <c r="SLG520" s="501"/>
      <c r="SLH520" s="501"/>
      <c r="SLI520" s="501"/>
      <c r="SLJ520" s="501"/>
      <c r="SLK520" s="501"/>
      <c r="SLL520" s="501"/>
      <c r="SLM520" s="501"/>
      <c r="SLN520" s="501"/>
      <c r="SLO520" s="501"/>
      <c r="SLP520" s="501"/>
      <c r="SLQ520" s="501"/>
      <c r="SLR520" s="501"/>
      <c r="SLS520" s="501"/>
      <c r="SLT520" s="501"/>
      <c r="SLU520" s="501"/>
      <c r="SLV520" s="501"/>
      <c r="SLW520" s="501"/>
      <c r="SLX520" s="501"/>
      <c r="SLY520" s="501"/>
      <c r="SLZ520" s="501"/>
      <c r="SMA520" s="501"/>
      <c r="SMB520" s="501"/>
      <c r="SMC520" s="501"/>
      <c r="SMD520" s="501"/>
      <c r="SME520" s="501"/>
      <c r="SMF520" s="501"/>
      <c r="SMG520" s="501"/>
      <c r="SMH520" s="501"/>
      <c r="SMI520" s="501"/>
      <c r="SMJ520" s="501"/>
      <c r="SMK520" s="501"/>
      <c r="SML520" s="501"/>
      <c r="SMM520" s="501"/>
      <c r="SMN520" s="501"/>
      <c r="SMO520" s="501"/>
      <c r="SMP520" s="501"/>
      <c r="SMQ520" s="501"/>
      <c r="SMR520" s="501"/>
      <c r="SMS520" s="501"/>
      <c r="SMT520" s="501"/>
      <c r="SMU520" s="501"/>
      <c r="SMV520" s="501"/>
      <c r="SMW520" s="501"/>
      <c r="SMX520" s="501"/>
      <c r="SMY520" s="501"/>
      <c r="SMZ520" s="501"/>
      <c r="SNA520" s="501"/>
      <c r="SNB520" s="501"/>
      <c r="SNC520" s="501"/>
      <c r="SND520" s="501"/>
      <c r="SNE520" s="501"/>
      <c r="SNF520" s="501"/>
      <c r="SNG520" s="501"/>
      <c r="SNH520" s="501"/>
      <c r="SNI520" s="501"/>
      <c r="SNJ520" s="501"/>
      <c r="SNK520" s="501"/>
      <c r="SNL520" s="501"/>
      <c r="SNM520" s="501"/>
      <c r="SNN520" s="501"/>
      <c r="SNO520" s="501"/>
      <c r="SNP520" s="501"/>
      <c r="SNQ520" s="501"/>
      <c r="SNR520" s="501"/>
      <c r="SNS520" s="501"/>
      <c r="SNT520" s="501"/>
      <c r="SNU520" s="501"/>
      <c r="SNV520" s="501"/>
      <c r="SNW520" s="501"/>
      <c r="SNX520" s="501"/>
      <c r="SNY520" s="501"/>
      <c r="SNZ520" s="501"/>
      <c r="SOA520" s="501"/>
      <c r="SOB520" s="501"/>
      <c r="SOC520" s="501"/>
      <c r="SOD520" s="501"/>
      <c r="SOE520" s="501"/>
      <c r="SOF520" s="501"/>
      <c r="SOG520" s="501"/>
      <c r="SOH520" s="501"/>
      <c r="SOI520" s="501"/>
      <c r="SOJ520" s="501"/>
      <c r="SOK520" s="501"/>
      <c r="SOL520" s="501"/>
      <c r="SOM520" s="501"/>
      <c r="SON520" s="501"/>
      <c r="SOO520" s="501"/>
      <c r="SOP520" s="501"/>
      <c r="SOQ520" s="501"/>
      <c r="SOR520" s="501"/>
      <c r="SOS520" s="501"/>
      <c r="SOT520" s="501"/>
      <c r="SOU520" s="501"/>
      <c r="SOV520" s="501"/>
      <c r="SOW520" s="501"/>
      <c r="SOX520" s="501"/>
      <c r="SOY520" s="501"/>
      <c r="SOZ520" s="501"/>
      <c r="SPA520" s="501"/>
      <c r="SPB520" s="501"/>
      <c r="SPC520" s="501"/>
      <c r="SPD520" s="501"/>
      <c r="SPE520" s="501"/>
      <c r="SPF520" s="501"/>
      <c r="SPG520" s="501"/>
      <c r="SPH520" s="501"/>
      <c r="SPI520" s="501"/>
      <c r="SPJ520" s="501"/>
      <c r="SPK520" s="501"/>
      <c r="SPL520" s="501"/>
      <c r="SPM520" s="501"/>
      <c r="SPN520" s="501"/>
      <c r="SPO520" s="501"/>
      <c r="SPP520" s="501"/>
      <c r="SPQ520" s="501"/>
      <c r="SPR520" s="501"/>
      <c r="SPS520" s="501"/>
      <c r="SPT520" s="501"/>
      <c r="SPU520" s="501"/>
      <c r="SPV520" s="501"/>
      <c r="SPW520" s="501"/>
      <c r="SPX520" s="501"/>
      <c r="SPY520" s="501"/>
      <c r="SPZ520" s="501"/>
      <c r="SQA520" s="501"/>
      <c r="SQB520" s="501"/>
      <c r="SQC520" s="501"/>
      <c r="SQD520" s="501"/>
      <c r="SQE520" s="501"/>
      <c r="SQF520" s="501"/>
      <c r="SQG520" s="501"/>
      <c r="SQH520" s="501"/>
      <c r="SQI520" s="501"/>
      <c r="SQJ520" s="501"/>
      <c r="SQK520" s="501"/>
      <c r="SQL520" s="501"/>
      <c r="SQM520" s="501"/>
      <c r="SQN520" s="501"/>
      <c r="SQO520" s="501"/>
      <c r="SQP520" s="501"/>
      <c r="SQQ520" s="501"/>
      <c r="SQR520" s="501"/>
      <c r="SQS520" s="501"/>
      <c r="SQT520" s="501"/>
      <c r="SQU520" s="501"/>
      <c r="SQV520" s="501"/>
      <c r="SQW520" s="501"/>
      <c r="SQX520" s="501"/>
      <c r="SQY520" s="501"/>
      <c r="SQZ520" s="501"/>
      <c r="SRA520" s="501"/>
      <c r="SRB520" s="501"/>
      <c r="SRC520" s="501"/>
      <c r="SRD520" s="501"/>
      <c r="SRE520" s="501"/>
      <c r="SRF520" s="501"/>
      <c r="SRG520" s="501"/>
      <c r="SRH520" s="501"/>
      <c r="SRI520" s="501"/>
      <c r="SRJ520" s="501"/>
      <c r="SRK520" s="501"/>
      <c r="SRL520" s="501"/>
      <c r="SRM520" s="501"/>
      <c r="SRN520" s="501"/>
      <c r="SRO520" s="501"/>
      <c r="SRP520" s="501"/>
      <c r="SRQ520" s="501"/>
      <c r="SRR520" s="501"/>
      <c r="SRS520" s="501"/>
      <c r="SRT520" s="501"/>
      <c r="SRU520" s="501"/>
      <c r="SRV520" s="501"/>
      <c r="SRW520" s="501"/>
      <c r="SRX520" s="501"/>
      <c r="SRY520" s="501"/>
      <c r="SRZ520" s="501"/>
      <c r="SSA520" s="501"/>
      <c r="SSB520" s="501"/>
      <c r="SSC520" s="501"/>
      <c r="SSD520" s="501"/>
      <c r="SSE520" s="501"/>
      <c r="SSF520" s="501"/>
      <c r="SSG520" s="501"/>
      <c r="SSH520" s="501"/>
      <c r="SSI520" s="501"/>
      <c r="SSJ520" s="501"/>
      <c r="SSK520" s="501"/>
      <c r="SSL520" s="501"/>
      <c r="SSM520" s="501"/>
      <c r="SSN520" s="501"/>
      <c r="SSO520" s="501"/>
      <c r="SSP520" s="501"/>
      <c r="SSQ520" s="501"/>
      <c r="SSR520" s="501"/>
      <c r="SSS520" s="501"/>
      <c r="SST520" s="501"/>
      <c r="SSU520" s="501"/>
      <c r="SSV520" s="501"/>
      <c r="SSW520" s="501"/>
      <c r="SSX520" s="501"/>
      <c r="SSY520" s="501"/>
      <c r="SSZ520" s="501"/>
      <c r="STA520" s="501"/>
      <c r="STB520" s="501"/>
      <c r="STC520" s="501"/>
      <c r="STD520" s="501"/>
      <c r="STE520" s="501"/>
      <c r="STF520" s="501"/>
      <c r="STG520" s="501"/>
      <c r="STH520" s="501"/>
      <c r="STI520" s="501"/>
      <c r="STJ520" s="501"/>
      <c r="STK520" s="501"/>
      <c r="STL520" s="501"/>
      <c r="STM520" s="501"/>
      <c r="STN520" s="501"/>
      <c r="STO520" s="501"/>
      <c r="STP520" s="501"/>
      <c r="STQ520" s="501"/>
      <c r="STR520" s="501"/>
      <c r="STS520" s="501"/>
      <c r="STT520" s="501"/>
      <c r="STU520" s="501"/>
      <c r="STV520" s="501"/>
      <c r="STW520" s="501"/>
      <c r="STX520" s="501"/>
      <c r="STY520" s="501"/>
      <c r="STZ520" s="501"/>
      <c r="SUA520" s="501"/>
      <c r="SUB520" s="501"/>
      <c r="SUC520" s="501"/>
      <c r="SUD520" s="501"/>
      <c r="SUE520" s="501"/>
      <c r="SUF520" s="501"/>
      <c r="SUG520" s="501"/>
      <c r="SUH520" s="501"/>
      <c r="SUI520" s="501"/>
      <c r="SUJ520" s="501"/>
      <c r="SUK520" s="501"/>
      <c r="SUL520" s="501"/>
      <c r="SUM520" s="501"/>
      <c r="SUN520" s="501"/>
      <c r="SUO520" s="501"/>
      <c r="SUP520" s="501"/>
      <c r="SUQ520" s="501"/>
      <c r="SUR520" s="501"/>
      <c r="SUS520" s="501"/>
      <c r="SUT520" s="501"/>
      <c r="SUU520" s="501"/>
      <c r="SUV520" s="501"/>
      <c r="SUW520" s="501"/>
      <c r="SUX520" s="501"/>
      <c r="SUY520" s="501"/>
      <c r="SUZ520" s="501"/>
      <c r="SVA520" s="501"/>
      <c r="SVB520" s="501"/>
      <c r="SVC520" s="501"/>
      <c r="SVD520" s="501"/>
      <c r="SVE520" s="501"/>
      <c r="SVF520" s="501"/>
      <c r="SVG520" s="501"/>
      <c r="SVH520" s="501"/>
      <c r="SVI520" s="501"/>
      <c r="SVJ520" s="501"/>
      <c r="SVK520" s="501"/>
      <c r="SVL520" s="501"/>
      <c r="SVM520" s="501"/>
      <c r="SVN520" s="501"/>
      <c r="SVO520" s="501"/>
      <c r="SVP520" s="501"/>
      <c r="SVQ520" s="501"/>
      <c r="SVR520" s="501"/>
      <c r="SVS520" s="501"/>
      <c r="SVT520" s="501"/>
      <c r="SVU520" s="501"/>
      <c r="SVV520" s="501"/>
      <c r="SVW520" s="501"/>
      <c r="SVX520" s="501"/>
      <c r="SVY520" s="501"/>
      <c r="SVZ520" s="501"/>
      <c r="SWA520" s="501"/>
      <c r="SWB520" s="501"/>
      <c r="SWC520" s="501"/>
      <c r="SWD520" s="501"/>
      <c r="SWE520" s="501"/>
      <c r="SWF520" s="501"/>
      <c r="SWG520" s="501"/>
      <c r="SWH520" s="501"/>
      <c r="SWI520" s="501"/>
      <c r="SWJ520" s="501"/>
      <c r="SWK520" s="501"/>
      <c r="SWL520" s="501"/>
      <c r="SWM520" s="501"/>
      <c r="SWN520" s="501"/>
      <c r="SWO520" s="501"/>
      <c r="SWP520" s="501"/>
      <c r="SWQ520" s="501"/>
      <c r="SWR520" s="501"/>
      <c r="SWS520" s="501"/>
      <c r="SWT520" s="501"/>
      <c r="SWU520" s="501"/>
      <c r="SWV520" s="501"/>
      <c r="SWW520" s="501"/>
      <c r="SWX520" s="501"/>
      <c r="SWY520" s="501"/>
      <c r="SWZ520" s="501"/>
      <c r="SXA520" s="501"/>
      <c r="SXB520" s="501"/>
      <c r="SXC520" s="501"/>
      <c r="SXD520" s="501"/>
      <c r="SXE520" s="501"/>
      <c r="SXF520" s="501"/>
      <c r="SXG520" s="501"/>
      <c r="SXH520" s="501"/>
      <c r="SXI520" s="501"/>
      <c r="SXJ520" s="501"/>
      <c r="SXK520" s="501"/>
      <c r="SXL520" s="501"/>
      <c r="SXM520" s="501"/>
      <c r="SXN520" s="501"/>
      <c r="SXO520" s="501"/>
      <c r="SXP520" s="501"/>
      <c r="SXQ520" s="501"/>
      <c r="SXR520" s="501"/>
      <c r="SXS520" s="501"/>
      <c r="SXT520" s="501"/>
      <c r="SXU520" s="501"/>
      <c r="SXV520" s="501"/>
      <c r="SXW520" s="501"/>
      <c r="SXX520" s="501"/>
      <c r="SXY520" s="501"/>
      <c r="SXZ520" s="501"/>
      <c r="SYA520" s="501"/>
      <c r="SYB520" s="501"/>
      <c r="SYC520" s="501"/>
      <c r="SYD520" s="501"/>
      <c r="SYE520" s="501"/>
      <c r="SYF520" s="501"/>
      <c r="SYG520" s="501"/>
      <c r="SYH520" s="501"/>
      <c r="SYI520" s="501"/>
      <c r="SYJ520" s="501"/>
      <c r="SYK520" s="501"/>
      <c r="SYL520" s="501"/>
      <c r="SYM520" s="501"/>
      <c r="SYN520" s="501"/>
      <c r="SYO520" s="501"/>
      <c r="SYP520" s="501"/>
      <c r="SYQ520" s="501"/>
      <c r="SYR520" s="501"/>
      <c r="SYS520" s="501"/>
      <c r="SYT520" s="501"/>
      <c r="SYU520" s="501"/>
      <c r="SYV520" s="501"/>
      <c r="SYW520" s="501"/>
      <c r="SYX520" s="501"/>
      <c r="SYY520" s="501"/>
      <c r="SYZ520" s="501"/>
      <c r="SZA520" s="501"/>
      <c r="SZB520" s="501"/>
      <c r="SZC520" s="501"/>
      <c r="SZD520" s="501"/>
      <c r="SZE520" s="501"/>
      <c r="SZF520" s="501"/>
      <c r="SZG520" s="501"/>
      <c r="SZH520" s="501"/>
      <c r="SZI520" s="501"/>
      <c r="SZJ520" s="501"/>
      <c r="SZK520" s="501"/>
      <c r="SZL520" s="501"/>
      <c r="SZM520" s="501"/>
      <c r="SZN520" s="501"/>
      <c r="SZO520" s="501"/>
      <c r="SZP520" s="501"/>
      <c r="SZQ520" s="501"/>
      <c r="SZR520" s="501"/>
      <c r="SZS520" s="501"/>
      <c r="SZT520" s="501"/>
      <c r="SZU520" s="501"/>
      <c r="SZV520" s="501"/>
      <c r="SZW520" s="501"/>
      <c r="SZX520" s="501"/>
      <c r="SZY520" s="501"/>
      <c r="SZZ520" s="501"/>
      <c r="TAA520" s="501"/>
      <c r="TAB520" s="501"/>
      <c r="TAC520" s="501"/>
      <c r="TAD520" s="501"/>
      <c r="TAE520" s="501"/>
      <c r="TAF520" s="501"/>
      <c r="TAG520" s="501"/>
      <c r="TAH520" s="501"/>
      <c r="TAI520" s="501"/>
      <c r="TAJ520" s="501"/>
      <c r="TAK520" s="501"/>
      <c r="TAL520" s="501"/>
      <c r="TAM520" s="501"/>
      <c r="TAN520" s="501"/>
      <c r="TAO520" s="501"/>
      <c r="TAP520" s="501"/>
      <c r="TAQ520" s="501"/>
      <c r="TAR520" s="501"/>
      <c r="TAS520" s="501"/>
      <c r="TAT520" s="501"/>
      <c r="TAU520" s="501"/>
      <c r="TAV520" s="501"/>
      <c r="TAW520" s="501"/>
      <c r="TAX520" s="501"/>
      <c r="TAY520" s="501"/>
      <c r="TAZ520" s="501"/>
      <c r="TBA520" s="501"/>
      <c r="TBB520" s="501"/>
      <c r="TBC520" s="501"/>
      <c r="TBD520" s="501"/>
      <c r="TBE520" s="501"/>
      <c r="TBF520" s="501"/>
      <c r="TBG520" s="501"/>
      <c r="TBH520" s="501"/>
      <c r="TBI520" s="501"/>
      <c r="TBJ520" s="501"/>
      <c r="TBK520" s="501"/>
      <c r="TBL520" s="501"/>
      <c r="TBM520" s="501"/>
      <c r="TBN520" s="501"/>
      <c r="TBO520" s="501"/>
      <c r="TBP520" s="501"/>
      <c r="TBQ520" s="501"/>
      <c r="TBR520" s="501"/>
      <c r="TBS520" s="501"/>
      <c r="TBT520" s="501"/>
      <c r="TBU520" s="501"/>
      <c r="TBV520" s="501"/>
      <c r="TBW520" s="501"/>
      <c r="TBX520" s="501"/>
      <c r="TBY520" s="501"/>
      <c r="TBZ520" s="501"/>
      <c r="TCA520" s="501"/>
      <c r="TCB520" s="501"/>
      <c r="TCC520" s="501"/>
      <c r="TCD520" s="501"/>
      <c r="TCE520" s="501"/>
      <c r="TCF520" s="501"/>
      <c r="TCG520" s="501"/>
      <c r="TCH520" s="501"/>
      <c r="TCI520" s="501"/>
      <c r="TCJ520" s="501"/>
      <c r="TCK520" s="501"/>
      <c r="TCL520" s="501"/>
      <c r="TCM520" s="501"/>
      <c r="TCN520" s="501"/>
      <c r="TCO520" s="501"/>
      <c r="TCP520" s="501"/>
      <c r="TCQ520" s="501"/>
      <c r="TCR520" s="501"/>
      <c r="TCS520" s="501"/>
      <c r="TCT520" s="501"/>
      <c r="TCU520" s="501"/>
      <c r="TCV520" s="501"/>
      <c r="TCW520" s="501"/>
      <c r="TCX520" s="501"/>
      <c r="TCY520" s="501"/>
      <c r="TCZ520" s="501"/>
      <c r="TDA520" s="501"/>
      <c r="TDB520" s="501"/>
      <c r="TDC520" s="501"/>
      <c r="TDD520" s="501"/>
      <c r="TDE520" s="501"/>
      <c r="TDF520" s="501"/>
      <c r="TDG520" s="501"/>
      <c r="TDH520" s="501"/>
      <c r="TDI520" s="501"/>
      <c r="TDJ520" s="501"/>
      <c r="TDK520" s="501"/>
      <c r="TDL520" s="501"/>
      <c r="TDM520" s="501"/>
      <c r="TDN520" s="501"/>
      <c r="TDO520" s="501"/>
      <c r="TDP520" s="501"/>
      <c r="TDQ520" s="501"/>
      <c r="TDR520" s="501"/>
      <c r="TDS520" s="501"/>
      <c r="TDT520" s="501"/>
      <c r="TDU520" s="501"/>
      <c r="TDV520" s="501"/>
      <c r="TDW520" s="501"/>
      <c r="TDX520" s="501"/>
      <c r="TDY520" s="501"/>
      <c r="TDZ520" s="501"/>
      <c r="TEA520" s="501"/>
      <c r="TEB520" s="501"/>
      <c r="TEC520" s="501"/>
      <c r="TED520" s="501"/>
      <c r="TEE520" s="501"/>
      <c r="TEF520" s="501"/>
      <c r="TEG520" s="501"/>
      <c r="TEH520" s="501"/>
      <c r="TEI520" s="501"/>
      <c r="TEJ520" s="501"/>
      <c r="TEK520" s="501"/>
      <c r="TEL520" s="501"/>
      <c r="TEM520" s="501"/>
      <c r="TEN520" s="501"/>
      <c r="TEO520" s="501"/>
      <c r="TEP520" s="501"/>
      <c r="TEQ520" s="501"/>
      <c r="TER520" s="501"/>
      <c r="TES520" s="501"/>
      <c r="TET520" s="501"/>
      <c r="TEU520" s="501"/>
      <c r="TEV520" s="501"/>
      <c r="TEW520" s="501"/>
      <c r="TEX520" s="501"/>
      <c r="TEY520" s="501"/>
      <c r="TEZ520" s="501"/>
      <c r="TFA520" s="501"/>
      <c r="TFB520" s="501"/>
      <c r="TFC520" s="501"/>
      <c r="TFD520" s="501"/>
      <c r="TFE520" s="501"/>
      <c r="TFF520" s="501"/>
      <c r="TFG520" s="501"/>
      <c r="TFH520" s="501"/>
      <c r="TFI520" s="501"/>
      <c r="TFJ520" s="501"/>
      <c r="TFK520" s="501"/>
      <c r="TFL520" s="501"/>
      <c r="TFM520" s="501"/>
      <c r="TFN520" s="501"/>
      <c r="TFO520" s="501"/>
      <c r="TFP520" s="501"/>
      <c r="TFQ520" s="501"/>
      <c r="TFR520" s="501"/>
      <c r="TFS520" s="501"/>
      <c r="TFT520" s="501"/>
      <c r="TFU520" s="501"/>
      <c r="TFV520" s="501"/>
      <c r="TFW520" s="501"/>
      <c r="TFX520" s="501"/>
      <c r="TFY520" s="501"/>
      <c r="TFZ520" s="501"/>
      <c r="TGA520" s="501"/>
      <c r="TGB520" s="501"/>
      <c r="TGC520" s="501"/>
      <c r="TGD520" s="501"/>
      <c r="TGE520" s="501"/>
      <c r="TGF520" s="501"/>
      <c r="TGG520" s="501"/>
      <c r="TGH520" s="501"/>
      <c r="TGI520" s="501"/>
      <c r="TGJ520" s="501"/>
      <c r="TGK520" s="501"/>
      <c r="TGL520" s="501"/>
      <c r="TGM520" s="501"/>
      <c r="TGN520" s="501"/>
      <c r="TGO520" s="501"/>
      <c r="TGP520" s="501"/>
      <c r="TGQ520" s="501"/>
      <c r="TGR520" s="501"/>
      <c r="TGS520" s="501"/>
      <c r="TGT520" s="501"/>
      <c r="TGU520" s="501"/>
      <c r="TGV520" s="501"/>
      <c r="TGW520" s="501"/>
      <c r="TGX520" s="501"/>
      <c r="TGY520" s="501"/>
      <c r="TGZ520" s="501"/>
      <c r="THA520" s="501"/>
      <c r="THB520" s="501"/>
      <c r="THC520" s="501"/>
      <c r="THD520" s="501"/>
      <c r="THE520" s="501"/>
      <c r="THF520" s="501"/>
      <c r="THG520" s="501"/>
      <c r="THH520" s="501"/>
      <c r="THI520" s="501"/>
      <c r="THJ520" s="501"/>
      <c r="THK520" s="501"/>
      <c r="THL520" s="501"/>
      <c r="THM520" s="501"/>
      <c r="THN520" s="501"/>
      <c r="THO520" s="501"/>
      <c r="THP520" s="501"/>
      <c r="THQ520" s="501"/>
      <c r="THR520" s="501"/>
      <c r="THS520" s="501"/>
      <c r="THT520" s="501"/>
      <c r="THU520" s="501"/>
      <c r="THV520" s="501"/>
      <c r="THW520" s="501"/>
      <c r="THX520" s="501"/>
      <c r="THY520" s="501"/>
      <c r="THZ520" s="501"/>
      <c r="TIA520" s="501"/>
      <c r="TIB520" s="501"/>
      <c r="TIC520" s="501"/>
      <c r="TID520" s="501"/>
      <c r="TIE520" s="501"/>
      <c r="TIF520" s="501"/>
      <c r="TIG520" s="501"/>
      <c r="TIH520" s="501"/>
      <c r="TII520" s="501"/>
      <c r="TIJ520" s="501"/>
      <c r="TIK520" s="501"/>
      <c r="TIL520" s="501"/>
      <c r="TIM520" s="501"/>
      <c r="TIN520" s="501"/>
      <c r="TIO520" s="501"/>
      <c r="TIP520" s="501"/>
      <c r="TIQ520" s="501"/>
      <c r="TIR520" s="501"/>
      <c r="TIS520" s="501"/>
      <c r="TIT520" s="501"/>
      <c r="TIU520" s="501"/>
      <c r="TIV520" s="501"/>
      <c r="TIW520" s="501"/>
      <c r="TIX520" s="501"/>
      <c r="TIY520" s="501"/>
      <c r="TIZ520" s="501"/>
      <c r="TJA520" s="501"/>
      <c r="TJB520" s="501"/>
      <c r="TJC520" s="501"/>
      <c r="TJD520" s="501"/>
      <c r="TJE520" s="501"/>
      <c r="TJF520" s="501"/>
      <c r="TJG520" s="501"/>
      <c r="TJH520" s="501"/>
      <c r="TJI520" s="501"/>
      <c r="TJJ520" s="501"/>
      <c r="TJK520" s="501"/>
      <c r="TJL520" s="501"/>
      <c r="TJM520" s="501"/>
      <c r="TJN520" s="501"/>
      <c r="TJO520" s="501"/>
      <c r="TJP520" s="501"/>
      <c r="TJQ520" s="501"/>
      <c r="TJR520" s="501"/>
      <c r="TJS520" s="501"/>
      <c r="TJT520" s="501"/>
      <c r="TJU520" s="501"/>
      <c r="TJV520" s="501"/>
      <c r="TJW520" s="501"/>
      <c r="TJX520" s="501"/>
      <c r="TJY520" s="501"/>
      <c r="TJZ520" s="501"/>
      <c r="TKA520" s="501"/>
      <c r="TKB520" s="501"/>
      <c r="TKC520" s="501"/>
      <c r="TKD520" s="501"/>
      <c r="TKE520" s="501"/>
      <c r="TKF520" s="501"/>
      <c r="TKG520" s="501"/>
      <c r="TKH520" s="501"/>
      <c r="TKI520" s="501"/>
      <c r="TKJ520" s="501"/>
      <c r="TKK520" s="501"/>
      <c r="TKL520" s="501"/>
      <c r="TKM520" s="501"/>
      <c r="TKN520" s="501"/>
      <c r="TKO520" s="501"/>
      <c r="TKP520" s="501"/>
      <c r="TKQ520" s="501"/>
      <c r="TKR520" s="501"/>
      <c r="TKS520" s="501"/>
      <c r="TKT520" s="501"/>
      <c r="TKU520" s="501"/>
      <c r="TKV520" s="501"/>
      <c r="TKW520" s="501"/>
      <c r="TKX520" s="501"/>
      <c r="TKY520" s="501"/>
      <c r="TKZ520" s="501"/>
      <c r="TLA520" s="501"/>
      <c r="TLB520" s="501"/>
      <c r="TLC520" s="501"/>
      <c r="TLD520" s="501"/>
      <c r="TLE520" s="501"/>
      <c r="TLF520" s="501"/>
      <c r="TLG520" s="501"/>
      <c r="TLH520" s="501"/>
      <c r="TLI520" s="501"/>
      <c r="TLJ520" s="501"/>
      <c r="TLK520" s="501"/>
      <c r="TLL520" s="501"/>
      <c r="TLM520" s="501"/>
      <c r="TLN520" s="501"/>
      <c r="TLO520" s="501"/>
      <c r="TLP520" s="501"/>
      <c r="TLQ520" s="501"/>
      <c r="TLR520" s="501"/>
      <c r="TLS520" s="501"/>
      <c r="TLT520" s="501"/>
      <c r="TLU520" s="501"/>
      <c r="TLV520" s="501"/>
      <c r="TLW520" s="501"/>
      <c r="TLX520" s="501"/>
      <c r="TLY520" s="501"/>
      <c r="TLZ520" s="501"/>
      <c r="TMA520" s="501"/>
      <c r="TMB520" s="501"/>
      <c r="TMC520" s="501"/>
      <c r="TMD520" s="501"/>
      <c r="TME520" s="501"/>
      <c r="TMF520" s="501"/>
      <c r="TMG520" s="501"/>
      <c r="TMH520" s="501"/>
      <c r="TMI520" s="501"/>
      <c r="TMJ520" s="501"/>
      <c r="TMK520" s="501"/>
      <c r="TML520" s="501"/>
      <c r="TMM520" s="501"/>
      <c r="TMN520" s="501"/>
      <c r="TMO520" s="501"/>
      <c r="TMP520" s="501"/>
      <c r="TMQ520" s="501"/>
      <c r="TMR520" s="501"/>
      <c r="TMS520" s="501"/>
      <c r="TMT520" s="501"/>
      <c r="TMU520" s="501"/>
      <c r="TMV520" s="501"/>
      <c r="TMW520" s="501"/>
      <c r="TMX520" s="501"/>
      <c r="TMY520" s="501"/>
      <c r="TMZ520" s="501"/>
      <c r="TNA520" s="501"/>
      <c r="TNB520" s="501"/>
      <c r="TNC520" s="501"/>
      <c r="TND520" s="501"/>
      <c r="TNE520" s="501"/>
      <c r="TNF520" s="501"/>
      <c r="TNG520" s="501"/>
      <c r="TNH520" s="501"/>
      <c r="TNI520" s="501"/>
      <c r="TNJ520" s="501"/>
      <c r="TNK520" s="501"/>
      <c r="TNL520" s="501"/>
      <c r="TNM520" s="501"/>
      <c r="TNN520" s="501"/>
      <c r="TNO520" s="501"/>
      <c r="TNP520" s="501"/>
      <c r="TNQ520" s="501"/>
      <c r="TNR520" s="501"/>
      <c r="TNS520" s="501"/>
      <c r="TNT520" s="501"/>
      <c r="TNU520" s="501"/>
      <c r="TNV520" s="501"/>
      <c r="TNW520" s="501"/>
      <c r="TNX520" s="501"/>
      <c r="TNY520" s="501"/>
      <c r="TNZ520" s="501"/>
      <c r="TOA520" s="501"/>
      <c r="TOB520" s="501"/>
      <c r="TOC520" s="501"/>
      <c r="TOD520" s="501"/>
      <c r="TOE520" s="501"/>
      <c r="TOF520" s="501"/>
      <c r="TOG520" s="501"/>
      <c r="TOH520" s="501"/>
      <c r="TOI520" s="501"/>
      <c r="TOJ520" s="501"/>
      <c r="TOK520" s="501"/>
      <c r="TOL520" s="501"/>
      <c r="TOM520" s="501"/>
      <c r="TON520" s="501"/>
      <c r="TOO520" s="501"/>
      <c r="TOP520" s="501"/>
      <c r="TOQ520" s="501"/>
      <c r="TOR520" s="501"/>
      <c r="TOS520" s="501"/>
      <c r="TOT520" s="501"/>
      <c r="TOU520" s="501"/>
      <c r="TOV520" s="501"/>
      <c r="TOW520" s="501"/>
      <c r="TOX520" s="501"/>
      <c r="TOY520" s="501"/>
      <c r="TOZ520" s="501"/>
      <c r="TPA520" s="501"/>
      <c r="TPB520" s="501"/>
      <c r="TPC520" s="501"/>
      <c r="TPD520" s="501"/>
      <c r="TPE520" s="501"/>
      <c r="TPF520" s="501"/>
      <c r="TPG520" s="501"/>
      <c r="TPH520" s="501"/>
      <c r="TPI520" s="501"/>
      <c r="TPJ520" s="501"/>
      <c r="TPK520" s="501"/>
      <c r="TPL520" s="501"/>
      <c r="TPM520" s="501"/>
      <c r="TPN520" s="501"/>
      <c r="TPO520" s="501"/>
      <c r="TPP520" s="501"/>
      <c r="TPQ520" s="501"/>
      <c r="TPR520" s="501"/>
      <c r="TPS520" s="501"/>
      <c r="TPT520" s="501"/>
      <c r="TPU520" s="501"/>
      <c r="TPV520" s="501"/>
      <c r="TPW520" s="501"/>
      <c r="TPX520" s="501"/>
      <c r="TPY520" s="501"/>
      <c r="TPZ520" s="501"/>
      <c r="TQA520" s="501"/>
      <c r="TQB520" s="501"/>
      <c r="TQC520" s="501"/>
      <c r="TQD520" s="501"/>
      <c r="TQE520" s="501"/>
      <c r="TQF520" s="501"/>
      <c r="TQG520" s="501"/>
      <c r="TQH520" s="501"/>
      <c r="TQI520" s="501"/>
      <c r="TQJ520" s="501"/>
      <c r="TQK520" s="501"/>
      <c r="TQL520" s="501"/>
      <c r="TQM520" s="501"/>
      <c r="TQN520" s="501"/>
      <c r="TQO520" s="501"/>
      <c r="TQP520" s="501"/>
      <c r="TQQ520" s="501"/>
      <c r="TQR520" s="501"/>
      <c r="TQS520" s="501"/>
      <c r="TQT520" s="501"/>
      <c r="TQU520" s="501"/>
      <c r="TQV520" s="501"/>
      <c r="TQW520" s="501"/>
      <c r="TQX520" s="501"/>
      <c r="TQY520" s="501"/>
      <c r="TQZ520" s="501"/>
      <c r="TRA520" s="501"/>
      <c r="TRB520" s="501"/>
      <c r="TRC520" s="501"/>
      <c r="TRD520" s="501"/>
      <c r="TRE520" s="501"/>
      <c r="TRF520" s="501"/>
      <c r="TRG520" s="501"/>
      <c r="TRH520" s="501"/>
      <c r="TRI520" s="501"/>
      <c r="TRJ520" s="501"/>
      <c r="TRK520" s="501"/>
      <c r="TRL520" s="501"/>
      <c r="TRM520" s="501"/>
      <c r="TRN520" s="501"/>
      <c r="TRO520" s="501"/>
      <c r="TRP520" s="501"/>
      <c r="TRQ520" s="501"/>
      <c r="TRR520" s="501"/>
      <c r="TRS520" s="501"/>
      <c r="TRT520" s="501"/>
      <c r="TRU520" s="501"/>
      <c r="TRV520" s="501"/>
      <c r="TRW520" s="501"/>
      <c r="TRX520" s="501"/>
      <c r="TRY520" s="501"/>
      <c r="TRZ520" s="501"/>
      <c r="TSA520" s="501"/>
      <c r="TSB520" s="501"/>
      <c r="TSC520" s="501"/>
      <c r="TSD520" s="501"/>
      <c r="TSE520" s="501"/>
      <c r="TSF520" s="501"/>
      <c r="TSG520" s="501"/>
      <c r="TSH520" s="501"/>
      <c r="TSI520" s="501"/>
      <c r="TSJ520" s="501"/>
      <c r="TSK520" s="501"/>
      <c r="TSL520" s="501"/>
      <c r="TSM520" s="501"/>
      <c r="TSN520" s="501"/>
      <c r="TSO520" s="501"/>
      <c r="TSP520" s="501"/>
      <c r="TSQ520" s="501"/>
      <c r="TSR520" s="501"/>
      <c r="TSS520" s="501"/>
      <c r="TST520" s="501"/>
      <c r="TSU520" s="501"/>
      <c r="TSV520" s="501"/>
      <c r="TSW520" s="501"/>
      <c r="TSX520" s="501"/>
      <c r="TSY520" s="501"/>
      <c r="TSZ520" s="501"/>
      <c r="TTA520" s="501"/>
      <c r="TTB520" s="501"/>
      <c r="TTC520" s="501"/>
      <c r="TTD520" s="501"/>
      <c r="TTE520" s="501"/>
      <c r="TTF520" s="501"/>
      <c r="TTG520" s="501"/>
      <c r="TTH520" s="501"/>
      <c r="TTI520" s="501"/>
      <c r="TTJ520" s="501"/>
      <c r="TTK520" s="501"/>
      <c r="TTL520" s="501"/>
      <c r="TTM520" s="501"/>
      <c r="TTN520" s="501"/>
      <c r="TTO520" s="501"/>
      <c r="TTP520" s="501"/>
      <c r="TTQ520" s="501"/>
      <c r="TTR520" s="501"/>
      <c r="TTS520" s="501"/>
      <c r="TTT520" s="501"/>
      <c r="TTU520" s="501"/>
      <c r="TTV520" s="501"/>
      <c r="TTW520" s="501"/>
      <c r="TTX520" s="501"/>
      <c r="TTY520" s="501"/>
      <c r="TTZ520" s="501"/>
      <c r="TUA520" s="501"/>
      <c r="TUB520" s="501"/>
      <c r="TUC520" s="501"/>
      <c r="TUD520" s="501"/>
      <c r="TUE520" s="501"/>
      <c r="TUF520" s="501"/>
      <c r="TUG520" s="501"/>
      <c r="TUH520" s="501"/>
      <c r="TUI520" s="501"/>
      <c r="TUJ520" s="501"/>
      <c r="TUK520" s="501"/>
      <c r="TUL520" s="501"/>
      <c r="TUM520" s="501"/>
      <c r="TUN520" s="501"/>
      <c r="TUO520" s="501"/>
      <c r="TUP520" s="501"/>
      <c r="TUQ520" s="501"/>
      <c r="TUR520" s="501"/>
      <c r="TUS520" s="501"/>
      <c r="TUT520" s="501"/>
      <c r="TUU520" s="501"/>
      <c r="TUV520" s="501"/>
      <c r="TUW520" s="501"/>
      <c r="TUX520" s="501"/>
      <c r="TUY520" s="501"/>
      <c r="TUZ520" s="501"/>
      <c r="TVA520" s="501"/>
      <c r="TVB520" s="501"/>
      <c r="TVC520" s="501"/>
      <c r="TVD520" s="501"/>
      <c r="TVE520" s="501"/>
      <c r="TVF520" s="501"/>
      <c r="TVG520" s="501"/>
      <c r="TVH520" s="501"/>
      <c r="TVI520" s="501"/>
      <c r="TVJ520" s="501"/>
      <c r="TVK520" s="501"/>
      <c r="TVL520" s="501"/>
      <c r="TVM520" s="501"/>
      <c r="TVN520" s="501"/>
      <c r="TVO520" s="501"/>
      <c r="TVP520" s="501"/>
      <c r="TVQ520" s="501"/>
      <c r="TVR520" s="501"/>
      <c r="TVS520" s="501"/>
      <c r="TVT520" s="501"/>
      <c r="TVU520" s="501"/>
      <c r="TVV520" s="501"/>
      <c r="TVW520" s="501"/>
      <c r="TVX520" s="501"/>
      <c r="TVY520" s="501"/>
      <c r="TVZ520" s="501"/>
      <c r="TWA520" s="501"/>
      <c r="TWB520" s="501"/>
      <c r="TWC520" s="501"/>
      <c r="TWD520" s="501"/>
      <c r="TWE520" s="501"/>
      <c r="TWF520" s="501"/>
      <c r="TWG520" s="501"/>
      <c r="TWH520" s="501"/>
      <c r="TWI520" s="501"/>
      <c r="TWJ520" s="501"/>
      <c r="TWK520" s="501"/>
      <c r="TWL520" s="501"/>
      <c r="TWM520" s="501"/>
      <c r="TWN520" s="501"/>
      <c r="TWO520" s="501"/>
      <c r="TWP520" s="501"/>
      <c r="TWQ520" s="501"/>
      <c r="TWR520" s="501"/>
      <c r="TWS520" s="501"/>
      <c r="TWT520" s="501"/>
      <c r="TWU520" s="501"/>
      <c r="TWV520" s="501"/>
      <c r="TWW520" s="501"/>
      <c r="TWX520" s="501"/>
      <c r="TWY520" s="501"/>
      <c r="TWZ520" s="501"/>
      <c r="TXA520" s="501"/>
      <c r="TXB520" s="501"/>
      <c r="TXC520" s="501"/>
      <c r="TXD520" s="501"/>
      <c r="TXE520" s="501"/>
      <c r="TXF520" s="501"/>
      <c r="TXG520" s="501"/>
      <c r="TXH520" s="501"/>
      <c r="TXI520" s="501"/>
      <c r="TXJ520" s="501"/>
      <c r="TXK520" s="501"/>
      <c r="TXL520" s="501"/>
      <c r="TXM520" s="501"/>
      <c r="TXN520" s="501"/>
      <c r="TXO520" s="501"/>
      <c r="TXP520" s="501"/>
      <c r="TXQ520" s="501"/>
      <c r="TXR520" s="501"/>
      <c r="TXS520" s="501"/>
      <c r="TXT520" s="501"/>
      <c r="TXU520" s="501"/>
      <c r="TXV520" s="501"/>
      <c r="TXW520" s="501"/>
      <c r="TXX520" s="501"/>
      <c r="TXY520" s="501"/>
      <c r="TXZ520" s="501"/>
      <c r="TYA520" s="501"/>
      <c r="TYB520" s="501"/>
      <c r="TYC520" s="501"/>
      <c r="TYD520" s="501"/>
      <c r="TYE520" s="501"/>
      <c r="TYF520" s="501"/>
      <c r="TYG520" s="501"/>
      <c r="TYH520" s="501"/>
      <c r="TYI520" s="501"/>
      <c r="TYJ520" s="501"/>
      <c r="TYK520" s="501"/>
      <c r="TYL520" s="501"/>
      <c r="TYM520" s="501"/>
      <c r="TYN520" s="501"/>
      <c r="TYO520" s="501"/>
      <c r="TYP520" s="501"/>
      <c r="TYQ520" s="501"/>
      <c r="TYR520" s="501"/>
      <c r="TYS520" s="501"/>
      <c r="TYT520" s="501"/>
      <c r="TYU520" s="501"/>
      <c r="TYV520" s="501"/>
      <c r="TYW520" s="501"/>
      <c r="TYX520" s="501"/>
      <c r="TYY520" s="501"/>
      <c r="TYZ520" s="501"/>
      <c r="TZA520" s="501"/>
      <c r="TZB520" s="501"/>
      <c r="TZC520" s="501"/>
      <c r="TZD520" s="501"/>
      <c r="TZE520" s="501"/>
      <c r="TZF520" s="501"/>
      <c r="TZG520" s="501"/>
      <c r="TZH520" s="501"/>
      <c r="TZI520" s="501"/>
      <c r="TZJ520" s="501"/>
      <c r="TZK520" s="501"/>
      <c r="TZL520" s="501"/>
      <c r="TZM520" s="501"/>
      <c r="TZN520" s="501"/>
      <c r="TZO520" s="501"/>
      <c r="TZP520" s="501"/>
      <c r="TZQ520" s="501"/>
      <c r="TZR520" s="501"/>
      <c r="TZS520" s="501"/>
      <c r="TZT520" s="501"/>
      <c r="TZU520" s="501"/>
      <c r="TZV520" s="501"/>
      <c r="TZW520" s="501"/>
      <c r="TZX520" s="501"/>
      <c r="TZY520" s="501"/>
      <c r="TZZ520" s="501"/>
      <c r="UAA520" s="501"/>
      <c r="UAB520" s="501"/>
      <c r="UAC520" s="501"/>
      <c r="UAD520" s="501"/>
      <c r="UAE520" s="501"/>
      <c r="UAF520" s="501"/>
      <c r="UAG520" s="501"/>
      <c r="UAH520" s="501"/>
      <c r="UAI520" s="501"/>
      <c r="UAJ520" s="501"/>
      <c r="UAK520" s="501"/>
      <c r="UAL520" s="501"/>
      <c r="UAM520" s="501"/>
      <c r="UAN520" s="501"/>
      <c r="UAO520" s="501"/>
      <c r="UAP520" s="501"/>
      <c r="UAQ520" s="501"/>
      <c r="UAR520" s="501"/>
      <c r="UAS520" s="501"/>
      <c r="UAT520" s="501"/>
      <c r="UAU520" s="501"/>
      <c r="UAV520" s="501"/>
      <c r="UAW520" s="501"/>
      <c r="UAX520" s="501"/>
      <c r="UAY520" s="501"/>
      <c r="UAZ520" s="501"/>
      <c r="UBA520" s="501"/>
      <c r="UBB520" s="501"/>
      <c r="UBC520" s="501"/>
      <c r="UBD520" s="501"/>
      <c r="UBE520" s="501"/>
      <c r="UBF520" s="501"/>
      <c r="UBG520" s="501"/>
      <c r="UBH520" s="501"/>
      <c r="UBI520" s="501"/>
      <c r="UBJ520" s="501"/>
      <c r="UBK520" s="501"/>
      <c r="UBL520" s="501"/>
      <c r="UBM520" s="501"/>
      <c r="UBN520" s="501"/>
      <c r="UBO520" s="501"/>
      <c r="UBP520" s="501"/>
      <c r="UBQ520" s="501"/>
      <c r="UBR520" s="501"/>
      <c r="UBS520" s="501"/>
      <c r="UBT520" s="501"/>
      <c r="UBU520" s="501"/>
      <c r="UBV520" s="501"/>
      <c r="UBW520" s="501"/>
      <c r="UBX520" s="501"/>
      <c r="UBY520" s="501"/>
      <c r="UBZ520" s="501"/>
      <c r="UCA520" s="501"/>
      <c r="UCB520" s="501"/>
      <c r="UCC520" s="501"/>
      <c r="UCD520" s="501"/>
      <c r="UCE520" s="501"/>
      <c r="UCF520" s="501"/>
      <c r="UCG520" s="501"/>
      <c r="UCH520" s="501"/>
      <c r="UCI520" s="501"/>
      <c r="UCJ520" s="501"/>
      <c r="UCK520" s="501"/>
      <c r="UCL520" s="501"/>
      <c r="UCM520" s="501"/>
      <c r="UCN520" s="501"/>
      <c r="UCO520" s="501"/>
      <c r="UCP520" s="501"/>
      <c r="UCQ520" s="501"/>
      <c r="UCR520" s="501"/>
      <c r="UCS520" s="501"/>
      <c r="UCT520" s="501"/>
      <c r="UCU520" s="501"/>
      <c r="UCV520" s="501"/>
      <c r="UCW520" s="501"/>
      <c r="UCX520" s="501"/>
      <c r="UCY520" s="501"/>
      <c r="UCZ520" s="501"/>
      <c r="UDA520" s="501"/>
      <c r="UDB520" s="501"/>
      <c r="UDC520" s="501"/>
      <c r="UDD520" s="501"/>
      <c r="UDE520" s="501"/>
      <c r="UDF520" s="501"/>
      <c r="UDG520" s="501"/>
      <c r="UDH520" s="501"/>
      <c r="UDI520" s="501"/>
      <c r="UDJ520" s="501"/>
      <c r="UDK520" s="501"/>
      <c r="UDL520" s="501"/>
      <c r="UDM520" s="501"/>
      <c r="UDN520" s="501"/>
      <c r="UDO520" s="501"/>
      <c r="UDP520" s="501"/>
      <c r="UDQ520" s="501"/>
      <c r="UDR520" s="501"/>
      <c r="UDS520" s="501"/>
      <c r="UDT520" s="501"/>
      <c r="UDU520" s="501"/>
      <c r="UDV520" s="501"/>
      <c r="UDW520" s="501"/>
      <c r="UDX520" s="501"/>
      <c r="UDY520" s="501"/>
      <c r="UDZ520" s="501"/>
      <c r="UEA520" s="501"/>
      <c r="UEB520" s="501"/>
      <c r="UEC520" s="501"/>
      <c r="UED520" s="501"/>
      <c r="UEE520" s="501"/>
      <c r="UEF520" s="501"/>
      <c r="UEG520" s="501"/>
      <c r="UEH520" s="501"/>
      <c r="UEI520" s="501"/>
      <c r="UEJ520" s="501"/>
      <c r="UEK520" s="501"/>
      <c r="UEL520" s="501"/>
      <c r="UEM520" s="501"/>
      <c r="UEN520" s="501"/>
      <c r="UEO520" s="501"/>
      <c r="UEP520" s="501"/>
      <c r="UEQ520" s="501"/>
      <c r="UER520" s="501"/>
      <c r="UES520" s="501"/>
      <c r="UET520" s="501"/>
      <c r="UEU520" s="501"/>
      <c r="UEV520" s="501"/>
      <c r="UEW520" s="501"/>
      <c r="UEX520" s="501"/>
      <c r="UEY520" s="501"/>
      <c r="UEZ520" s="501"/>
      <c r="UFA520" s="501"/>
      <c r="UFB520" s="501"/>
      <c r="UFC520" s="501"/>
      <c r="UFD520" s="501"/>
      <c r="UFE520" s="501"/>
      <c r="UFF520" s="501"/>
      <c r="UFG520" s="501"/>
      <c r="UFH520" s="501"/>
      <c r="UFI520" s="501"/>
      <c r="UFJ520" s="501"/>
      <c r="UFK520" s="501"/>
      <c r="UFL520" s="501"/>
      <c r="UFM520" s="501"/>
      <c r="UFN520" s="501"/>
      <c r="UFO520" s="501"/>
      <c r="UFP520" s="501"/>
      <c r="UFQ520" s="501"/>
      <c r="UFR520" s="501"/>
      <c r="UFS520" s="501"/>
      <c r="UFT520" s="501"/>
      <c r="UFU520" s="501"/>
      <c r="UFV520" s="501"/>
      <c r="UFW520" s="501"/>
      <c r="UFX520" s="501"/>
      <c r="UFY520" s="501"/>
      <c r="UFZ520" s="501"/>
      <c r="UGA520" s="501"/>
      <c r="UGB520" s="501"/>
      <c r="UGC520" s="501"/>
      <c r="UGD520" s="501"/>
      <c r="UGE520" s="501"/>
      <c r="UGF520" s="501"/>
      <c r="UGG520" s="501"/>
      <c r="UGH520" s="501"/>
      <c r="UGI520" s="501"/>
      <c r="UGJ520" s="501"/>
      <c r="UGK520" s="501"/>
      <c r="UGL520" s="501"/>
      <c r="UGM520" s="501"/>
      <c r="UGN520" s="501"/>
      <c r="UGO520" s="501"/>
      <c r="UGP520" s="501"/>
      <c r="UGQ520" s="501"/>
      <c r="UGR520" s="501"/>
      <c r="UGS520" s="501"/>
      <c r="UGT520" s="501"/>
      <c r="UGU520" s="501"/>
      <c r="UGV520" s="501"/>
      <c r="UGW520" s="501"/>
      <c r="UGX520" s="501"/>
      <c r="UGY520" s="501"/>
      <c r="UGZ520" s="501"/>
      <c r="UHA520" s="501"/>
      <c r="UHB520" s="501"/>
      <c r="UHC520" s="501"/>
      <c r="UHD520" s="501"/>
      <c r="UHE520" s="501"/>
      <c r="UHF520" s="501"/>
      <c r="UHG520" s="501"/>
      <c r="UHH520" s="501"/>
      <c r="UHI520" s="501"/>
      <c r="UHJ520" s="501"/>
      <c r="UHK520" s="501"/>
      <c r="UHL520" s="501"/>
      <c r="UHM520" s="501"/>
      <c r="UHN520" s="501"/>
      <c r="UHO520" s="501"/>
      <c r="UHP520" s="501"/>
      <c r="UHQ520" s="501"/>
      <c r="UHR520" s="501"/>
      <c r="UHS520" s="501"/>
      <c r="UHT520" s="501"/>
      <c r="UHU520" s="501"/>
      <c r="UHV520" s="501"/>
      <c r="UHW520" s="501"/>
      <c r="UHX520" s="501"/>
      <c r="UHY520" s="501"/>
      <c r="UHZ520" s="501"/>
      <c r="UIA520" s="501"/>
      <c r="UIB520" s="501"/>
      <c r="UIC520" s="501"/>
      <c r="UID520" s="501"/>
      <c r="UIE520" s="501"/>
      <c r="UIF520" s="501"/>
      <c r="UIG520" s="501"/>
      <c r="UIH520" s="501"/>
      <c r="UII520" s="501"/>
      <c r="UIJ520" s="501"/>
      <c r="UIK520" s="501"/>
      <c r="UIL520" s="501"/>
      <c r="UIM520" s="501"/>
      <c r="UIN520" s="501"/>
      <c r="UIO520" s="501"/>
      <c r="UIP520" s="501"/>
      <c r="UIQ520" s="501"/>
      <c r="UIR520" s="501"/>
      <c r="UIS520" s="501"/>
      <c r="UIT520" s="501"/>
      <c r="UIU520" s="501"/>
      <c r="UIV520" s="501"/>
      <c r="UIW520" s="501"/>
      <c r="UIX520" s="501"/>
      <c r="UIY520" s="501"/>
      <c r="UIZ520" s="501"/>
      <c r="UJA520" s="501"/>
      <c r="UJB520" s="501"/>
      <c r="UJC520" s="501"/>
      <c r="UJD520" s="501"/>
      <c r="UJE520" s="501"/>
      <c r="UJF520" s="501"/>
      <c r="UJG520" s="501"/>
      <c r="UJH520" s="501"/>
      <c r="UJI520" s="501"/>
      <c r="UJJ520" s="501"/>
      <c r="UJK520" s="501"/>
      <c r="UJL520" s="501"/>
      <c r="UJM520" s="501"/>
      <c r="UJN520" s="501"/>
      <c r="UJO520" s="501"/>
      <c r="UJP520" s="501"/>
      <c r="UJQ520" s="501"/>
      <c r="UJR520" s="501"/>
      <c r="UJS520" s="501"/>
      <c r="UJT520" s="501"/>
      <c r="UJU520" s="501"/>
      <c r="UJV520" s="501"/>
      <c r="UJW520" s="501"/>
      <c r="UJX520" s="501"/>
      <c r="UJY520" s="501"/>
      <c r="UJZ520" s="501"/>
      <c r="UKA520" s="501"/>
      <c r="UKB520" s="501"/>
      <c r="UKC520" s="501"/>
      <c r="UKD520" s="501"/>
      <c r="UKE520" s="501"/>
      <c r="UKF520" s="501"/>
      <c r="UKG520" s="501"/>
      <c r="UKH520" s="501"/>
      <c r="UKI520" s="501"/>
      <c r="UKJ520" s="501"/>
      <c r="UKK520" s="501"/>
      <c r="UKL520" s="501"/>
      <c r="UKM520" s="501"/>
      <c r="UKN520" s="501"/>
      <c r="UKO520" s="501"/>
      <c r="UKP520" s="501"/>
      <c r="UKQ520" s="501"/>
      <c r="UKR520" s="501"/>
      <c r="UKS520" s="501"/>
      <c r="UKT520" s="501"/>
      <c r="UKU520" s="501"/>
      <c r="UKV520" s="501"/>
      <c r="UKW520" s="501"/>
      <c r="UKX520" s="501"/>
      <c r="UKY520" s="501"/>
      <c r="UKZ520" s="501"/>
      <c r="ULA520" s="501"/>
      <c r="ULB520" s="501"/>
      <c r="ULC520" s="501"/>
      <c r="ULD520" s="501"/>
      <c r="ULE520" s="501"/>
      <c r="ULF520" s="501"/>
      <c r="ULG520" s="501"/>
      <c r="ULH520" s="501"/>
      <c r="ULI520" s="501"/>
      <c r="ULJ520" s="501"/>
      <c r="ULK520" s="501"/>
      <c r="ULL520" s="501"/>
      <c r="ULM520" s="501"/>
      <c r="ULN520" s="501"/>
      <c r="ULO520" s="501"/>
      <c r="ULP520" s="501"/>
      <c r="ULQ520" s="501"/>
      <c r="ULR520" s="501"/>
      <c r="ULS520" s="501"/>
      <c r="ULT520" s="501"/>
      <c r="ULU520" s="501"/>
      <c r="ULV520" s="501"/>
      <c r="ULW520" s="501"/>
      <c r="ULX520" s="501"/>
      <c r="ULY520" s="501"/>
      <c r="ULZ520" s="501"/>
      <c r="UMA520" s="501"/>
      <c r="UMB520" s="501"/>
      <c r="UMC520" s="501"/>
      <c r="UMD520" s="501"/>
      <c r="UME520" s="501"/>
      <c r="UMF520" s="501"/>
      <c r="UMG520" s="501"/>
      <c r="UMH520" s="501"/>
      <c r="UMI520" s="501"/>
      <c r="UMJ520" s="501"/>
      <c r="UMK520" s="501"/>
      <c r="UML520" s="501"/>
      <c r="UMM520" s="501"/>
      <c r="UMN520" s="501"/>
      <c r="UMO520" s="501"/>
      <c r="UMP520" s="501"/>
      <c r="UMQ520" s="501"/>
      <c r="UMR520" s="501"/>
      <c r="UMS520" s="501"/>
      <c r="UMT520" s="501"/>
      <c r="UMU520" s="501"/>
      <c r="UMV520" s="501"/>
      <c r="UMW520" s="501"/>
      <c r="UMX520" s="501"/>
      <c r="UMY520" s="501"/>
      <c r="UMZ520" s="501"/>
      <c r="UNA520" s="501"/>
      <c r="UNB520" s="501"/>
      <c r="UNC520" s="501"/>
      <c r="UND520" s="501"/>
      <c r="UNE520" s="501"/>
      <c r="UNF520" s="501"/>
      <c r="UNG520" s="501"/>
      <c r="UNH520" s="501"/>
      <c r="UNI520" s="501"/>
      <c r="UNJ520" s="501"/>
      <c r="UNK520" s="501"/>
      <c r="UNL520" s="501"/>
      <c r="UNM520" s="501"/>
      <c r="UNN520" s="501"/>
      <c r="UNO520" s="501"/>
      <c r="UNP520" s="501"/>
      <c r="UNQ520" s="501"/>
      <c r="UNR520" s="501"/>
      <c r="UNS520" s="501"/>
      <c r="UNT520" s="501"/>
      <c r="UNU520" s="501"/>
      <c r="UNV520" s="501"/>
      <c r="UNW520" s="501"/>
      <c r="UNX520" s="501"/>
      <c r="UNY520" s="501"/>
      <c r="UNZ520" s="501"/>
      <c r="UOA520" s="501"/>
      <c r="UOB520" s="501"/>
      <c r="UOC520" s="501"/>
      <c r="UOD520" s="501"/>
      <c r="UOE520" s="501"/>
      <c r="UOF520" s="501"/>
      <c r="UOG520" s="501"/>
      <c r="UOH520" s="501"/>
      <c r="UOI520" s="501"/>
      <c r="UOJ520" s="501"/>
      <c r="UOK520" s="501"/>
      <c r="UOL520" s="501"/>
      <c r="UOM520" s="501"/>
      <c r="UON520" s="501"/>
      <c r="UOO520" s="501"/>
      <c r="UOP520" s="501"/>
      <c r="UOQ520" s="501"/>
      <c r="UOR520" s="501"/>
      <c r="UOS520" s="501"/>
      <c r="UOT520" s="501"/>
      <c r="UOU520" s="501"/>
      <c r="UOV520" s="501"/>
      <c r="UOW520" s="501"/>
      <c r="UOX520" s="501"/>
      <c r="UOY520" s="501"/>
      <c r="UOZ520" s="501"/>
      <c r="UPA520" s="501"/>
      <c r="UPB520" s="501"/>
      <c r="UPC520" s="501"/>
      <c r="UPD520" s="501"/>
      <c r="UPE520" s="501"/>
      <c r="UPF520" s="501"/>
      <c r="UPG520" s="501"/>
      <c r="UPH520" s="501"/>
      <c r="UPI520" s="501"/>
      <c r="UPJ520" s="501"/>
      <c r="UPK520" s="501"/>
      <c r="UPL520" s="501"/>
      <c r="UPM520" s="501"/>
      <c r="UPN520" s="501"/>
      <c r="UPO520" s="501"/>
      <c r="UPP520" s="501"/>
      <c r="UPQ520" s="501"/>
      <c r="UPR520" s="501"/>
      <c r="UPS520" s="501"/>
      <c r="UPT520" s="501"/>
      <c r="UPU520" s="501"/>
      <c r="UPV520" s="501"/>
      <c r="UPW520" s="501"/>
      <c r="UPX520" s="501"/>
      <c r="UPY520" s="501"/>
      <c r="UPZ520" s="501"/>
      <c r="UQA520" s="501"/>
      <c r="UQB520" s="501"/>
      <c r="UQC520" s="501"/>
      <c r="UQD520" s="501"/>
      <c r="UQE520" s="501"/>
      <c r="UQF520" s="501"/>
      <c r="UQG520" s="501"/>
      <c r="UQH520" s="501"/>
      <c r="UQI520" s="501"/>
      <c r="UQJ520" s="501"/>
      <c r="UQK520" s="501"/>
      <c r="UQL520" s="501"/>
      <c r="UQM520" s="501"/>
      <c r="UQN520" s="501"/>
      <c r="UQO520" s="501"/>
      <c r="UQP520" s="501"/>
      <c r="UQQ520" s="501"/>
      <c r="UQR520" s="501"/>
      <c r="UQS520" s="501"/>
      <c r="UQT520" s="501"/>
      <c r="UQU520" s="501"/>
      <c r="UQV520" s="501"/>
      <c r="UQW520" s="501"/>
      <c r="UQX520" s="501"/>
      <c r="UQY520" s="501"/>
      <c r="UQZ520" s="501"/>
      <c r="URA520" s="501"/>
      <c r="URB520" s="501"/>
      <c r="URC520" s="501"/>
      <c r="URD520" s="501"/>
      <c r="URE520" s="501"/>
      <c r="URF520" s="501"/>
      <c r="URG520" s="501"/>
      <c r="URH520" s="501"/>
      <c r="URI520" s="501"/>
      <c r="URJ520" s="501"/>
      <c r="URK520" s="501"/>
      <c r="URL520" s="501"/>
      <c r="URM520" s="501"/>
      <c r="URN520" s="501"/>
      <c r="URO520" s="501"/>
      <c r="URP520" s="501"/>
      <c r="URQ520" s="501"/>
      <c r="URR520" s="501"/>
      <c r="URS520" s="501"/>
      <c r="URT520" s="501"/>
      <c r="URU520" s="501"/>
      <c r="URV520" s="501"/>
      <c r="URW520" s="501"/>
      <c r="URX520" s="501"/>
      <c r="URY520" s="501"/>
      <c r="URZ520" s="501"/>
      <c r="USA520" s="501"/>
      <c r="USB520" s="501"/>
      <c r="USC520" s="501"/>
      <c r="USD520" s="501"/>
      <c r="USE520" s="501"/>
      <c r="USF520" s="501"/>
      <c r="USG520" s="501"/>
      <c r="USH520" s="501"/>
      <c r="USI520" s="501"/>
      <c r="USJ520" s="501"/>
      <c r="USK520" s="501"/>
      <c r="USL520" s="501"/>
      <c r="USM520" s="501"/>
      <c r="USN520" s="501"/>
      <c r="USO520" s="501"/>
      <c r="USP520" s="501"/>
      <c r="USQ520" s="501"/>
      <c r="USR520" s="501"/>
      <c r="USS520" s="501"/>
      <c r="UST520" s="501"/>
      <c r="USU520" s="501"/>
      <c r="USV520" s="501"/>
      <c r="USW520" s="501"/>
      <c r="USX520" s="501"/>
      <c r="USY520" s="501"/>
      <c r="USZ520" s="501"/>
      <c r="UTA520" s="501"/>
      <c r="UTB520" s="501"/>
      <c r="UTC520" s="501"/>
      <c r="UTD520" s="501"/>
      <c r="UTE520" s="501"/>
      <c r="UTF520" s="501"/>
      <c r="UTG520" s="501"/>
      <c r="UTH520" s="501"/>
      <c r="UTI520" s="501"/>
      <c r="UTJ520" s="501"/>
      <c r="UTK520" s="501"/>
      <c r="UTL520" s="501"/>
      <c r="UTM520" s="501"/>
      <c r="UTN520" s="501"/>
      <c r="UTO520" s="501"/>
      <c r="UTP520" s="501"/>
      <c r="UTQ520" s="501"/>
      <c r="UTR520" s="501"/>
      <c r="UTS520" s="501"/>
      <c r="UTT520" s="501"/>
      <c r="UTU520" s="501"/>
      <c r="UTV520" s="501"/>
      <c r="UTW520" s="501"/>
      <c r="UTX520" s="501"/>
      <c r="UTY520" s="501"/>
      <c r="UTZ520" s="501"/>
      <c r="UUA520" s="501"/>
      <c r="UUB520" s="501"/>
      <c r="UUC520" s="501"/>
      <c r="UUD520" s="501"/>
      <c r="UUE520" s="501"/>
      <c r="UUF520" s="501"/>
      <c r="UUG520" s="501"/>
      <c r="UUH520" s="501"/>
      <c r="UUI520" s="501"/>
      <c r="UUJ520" s="501"/>
      <c r="UUK520" s="501"/>
      <c r="UUL520" s="501"/>
      <c r="UUM520" s="501"/>
      <c r="UUN520" s="501"/>
      <c r="UUO520" s="501"/>
      <c r="UUP520" s="501"/>
      <c r="UUQ520" s="501"/>
      <c r="UUR520" s="501"/>
      <c r="UUS520" s="501"/>
      <c r="UUT520" s="501"/>
      <c r="UUU520" s="501"/>
      <c r="UUV520" s="501"/>
      <c r="UUW520" s="501"/>
      <c r="UUX520" s="501"/>
      <c r="UUY520" s="501"/>
      <c r="UUZ520" s="501"/>
      <c r="UVA520" s="501"/>
      <c r="UVB520" s="501"/>
      <c r="UVC520" s="501"/>
      <c r="UVD520" s="501"/>
      <c r="UVE520" s="501"/>
      <c r="UVF520" s="501"/>
      <c r="UVG520" s="501"/>
      <c r="UVH520" s="501"/>
      <c r="UVI520" s="501"/>
      <c r="UVJ520" s="501"/>
      <c r="UVK520" s="501"/>
      <c r="UVL520" s="501"/>
      <c r="UVM520" s="501"/>
      <c r="UVN520" s="501"/>
      <c r="UVO520" s="501"/>
      <c r="UVP520" s="501"/>
      <c r="UVQ520" s="501"/>
      <c r="UVR520" s="501"/>
      <c r="UVS520" s="501"/>
      <c r="UVT520" s="501"/>
      <c r="UVU520" s="501"/>
      <c r="UVV520" s="501"/>
      <c r="UVW520" s="501"/>
      <c r="UVX520" s="501"/>
      <c r="UVY520" s="501"/>
      <c r="UVZ520" s="501"/>
      <c r="UWA520" s="501"/>
      <c r="UWB520" s="501"/>
      <c r="UWC520" s="501"/>
      <c r="UWD520" s="501"/>
      <c r="UWE520" s="501"/>
      <c r="UWF520" s="501"/>
      <c r="UWG520" s="501"/>
      <c r="UWH520" s="501"/>
      <c r="UWI520" s="501"/>
      <c r="UWJ520" s="501"/>
      <c r="UWK520" s="501"/>
      <c r="UWL520" s="501"/>
      <c r="UWM520" s="501"/>
      <c r="UWN520" s="501"/>
      <c r="UWO520" s="501"/>
      <c r="UWP520" s="501"/>
      <c r="UWQ520" s="501"/>
      <c r="UWR520" s="501"/>
      <c r="UWS520" s="501"/>
      <c r="UWT520" s="501"/>
      <c r="UWU520" s="501"/>
      <c r="UWV520" s="501"/>
      <c r="UWW520" s="501"/>
      <c r="UWX520" s="501"/>
      <c r="UWY520" s="501"/>
      <c r="UWZ520" s="501"/>
      <c r="UXA520" s="501"/>
      <c r="UXB520" s="501"/>
      <c r="UXC520" s="501"/>
      <c r="UXD520" s="501"/>
      <c r="UXE520" s="501"/>
      <c r="UXF520" s="501"/>
      <c r="UXG520" s="501"/>
      <c r="UXH520" s="501"/>
      <c r="UXI520" s="501"/>
      <c r="UXJ520" s="501"/>
      <c r="UXK520" s="501"/>
      <c r="UXL520" s="501"/>
      <c r="UXM520" s="501"/>
      <c r="UXN520" s="501"/>
      <c r="UXO520" s="501"/>
      <c r="UXP520" s="501"/>
      <c r="UXQ520" s="501"/>
      <c r="UXR520" s="501"/>
      <c r="UXS520" s="501"/>
      <c r="UXT520" s="501"/>
      <c r="UXU520" s="501"/>
      <c r="UXV520" s="501"/>
      <c r="UXW520" s="501"/>
      <c r="UXX520" s="501"/>
      <c r="UXY520" s="501"/>
      <c r="UXZ520" s="501"/>
      <c r="UYA520" s="501"/>
      <c r="UYB520" s="501"/>
      <c r="UYC520" s="501"/>
      <c r="UYD520" s="501"/>
      <c r="UYE520" s="501"/>
      <c r="UYF520" s="501"/>
      <c r="UYG520" s="501"/>
      <c r="UYH520" s="501"/>
      <c r="UYI520" s="501"/>
      <c r="UYJ520" s="501"/>
      <c r="UYK520" s="501"/>
      <c r="UYL520" s="501"/>
      <c r="UYM520" s="501"/>
      <c r="UYN520" s="501"/>
      <c r="UYO520" s="501"/>
      <c r="UYP520" s="501"/>
      <c r="UYQ520" s="501"/>
      <c r="UYR520" s="501"/>
      <c r="UYS520" s="501"/>
      <c r="UYT520" s="501"/>
      <c r="UYU520" s="501"/>
      <c r="UYV520" s="501"/>
      <c r="UYW520" s="501"/>
      <c r="UYX520" s="501"/>
      <c r="UYY520" s="501"/>
      <c r="UYZ520" s="501"/>
      <c r="UZA520" s="501"/>
      <c r="UZB520" s="501"/>
      <c r="UZC520" s="501"/>
      <c r="UZD520" s="501"/>
      <c r="UZE520" s="501"/>
      <c r="UZF520" s="501"/>
      <c r="UZG520" s="501"/>
      <c r="UZH520" s="501"/>
      <c r="UZI520" s="501"/>
      <c r="UZJ520" s="501"/>
      <c r="UZK520" s="501"/>
      <c r="UZL520" s="501"/>
      <c r="UZM520" s="501"/>
      <c r="UZN520" s="501"/>
      <c r="UZO520" s="501"/>
      <c r="UZP520" s="501"/>
      <c r="UZQ520" s="501"/>
      <c r="UZR520" s="501"/>
      <c r="UZS520" s="501"/>
      <c r="UZT520" s="501"/>
      <c r="UZU520" s="501"/>
      <c r="UZV520" s="501"/>
      <c r="UZW520" s="501"/>
      <c r="UZX520" s="501"/>
      <c r="UZY520" s="501"/>
      <c r="UZZ520" s="501"/>
      <c r="VAA520" s="501"/>
      <c r="VAB520" s="501"/>
      <c r="VAC520" s="501"/>
      <c r="VAD520" s="501"/>
      <c r="VAE520" s="501"/>
      <c r="VAF520" s="501"/>
      <c r="VAG520" s="501"/>
      <c r="VAH520" s="501"/>
      <c r="VAI520" s="501"/>
      <c r="VAJ520" s="501"/>
      <c r="VAK520" s="501"/>
      <c r="VAL520" s="501"/>
      <c r="VAM520" s="501"/>
      <c r="VAN520" s="501"/>
      <c r="VAO520" s="501"/>
      <c r="VAP520" s="501"/>
      <c r="VAQ520" s="501"/>
      <c r="VAR520" s="501"/>
      <c r="VAS520" s="501"/>
      <c r="VAT520" s="501"/>
      <c r="VAU520" s="501"/>
      <c r="VAV520" s="501"/>
      <c r="VAW520" s="501"/>
      <c r="VAX520" s="501"/>
      <c r="VAY520" s="501"/>
      <c r="VAZ520" s="501"/>
      <c r="VBA520" s="501"/>
      <c r="VBB520" s="501"/>
      <c r="VBC520" s="501"/>
      <c r="VBD520" s="501"/>
      <c r="VBE520" s="501"/>
      <c r="VBF520" s="501"/>
      <c r="VBG520" s="501"/>
      <c r="VBH520" s="501"/>
      <c r="VBI520" s="501"/>
      <c r="VBJ520" s="501"/>
      <c r="VBK520" s="501"/>
      <c r="VBL520" s="501"/>
      <c r="VBM520" s="501"/>
      <c r="VBN520" s="501"/>
      <c r="VBO520" s="501"/>
      <c r="VBP520" s="501"/>
      <c r="VBQ520" s="501"/>
      <c r="VBR520" s="501"/>
      <c r="VBS520" s="501"/>
      <c r="VBT520" s="501"/>
      <c r="VBU520" s="501"/>
      <c r="VBV520" s="501"/>
      <c r="VBW520" s="501"/>
      <c r="VBX520" s="501"/>
      <c r="VBY520" s="501"/>
      <c r="VBZ520" s="501"/>
      <c r="VCA520" s="501"/>
      <c r="VCB520" s="501"/>
      <c r="VCC520" s="501"/>
      <c r="VCD520" s="501"/>
      <c r="VCE520" s="501"/>
      <c r="VCF520" s="501"/>
      <c r="VCG520" s="501"/>
      <c r="VCH520" s="501"/>
      <c r="VCI520" s="501"/>
      <c r="VCJ520" s="501"/>
      <c r="VCK520" s="501"/>
      <c r="VCL520" s="501"/>
      <c r="VCM520" s="501"/>
      <c r="VCN520" s="501"/>
      <c r="VCO520" s="501"/>
      <c r="VCP520" s="501"/>
      <c r="VCQ520" s="501"/>
      <c r="VCR520" s="501"/>
      <c r="VCS520" s="501"/>
      <c r="VCT520" s="501"/>
      <c r="VCU520" s="501"/>
      <c r="VCV520" s="501"/>
      <c r="VCW520" s="501"/>
      <c r="VCX520" s="501"/>
      <c r="VCY520" s="501"/>
      <c r="VCZ520" s="501"/>
      <c r="VDA520" s="501"/>
      <c r="VDB520" s="501"/>
      <c r="VDC520" s="501"/>
      <c r="VDD520" s="501"/>
      <c r="VDE520" s="501"/>
      <c r="VDF520" s="501"/>
      <c r="VDG520" s="501"/>
      <c r="VDH520" s="501"/>
      <c r="VDI520" s="501"/>
      <c r="VDJ520" s="501"/>
      <c r="VDK520" s="501"/>
      <c r="VDL520" s="501"/>
      <c r="VDM520" s="501"/>
      <c r="VDN520" s="501"/>
      <c r="VDO520" s="501"/>
      <c r="VDP520" s="501"/>
      <c r="VDQ520" s="501"/>
      <c r="VDR520" s="501"/>
      <c r="VDS520" s="501"/>
      <c r="VDT520" s="501"/>
      <c r="VDU520" s="501"/>
      <c r="VDV520" s="501"/>
      <c r="VDW520" s="501"/>
      <c r="VDX520" s="501"/>
      <c r="VDY520" s="501"/>
      <c r="VDZ520" s="501"/>
      <c r="VEA520" s="501"/>
      <c r="VEB520" s="501"/>
      <c r="VEC520" s="501"/>
      <c r="VED520" s="501"/>
      <c r="VEE520" s="501"/>
      <c r="VEF520" s="501"/>
      <c r="VEG520" s="501"/>
      <c r="VEH520" s="501"/>
      <c r="VEI520" s="501"/>
      <c r="VEJ520" s="501"/>
      <c r="VEK520" s="501"/>
      <c r="VEL520" s="501"/>
      <c r="VEM520" s="501"/>
      <c r="VEN520" s="501"/>
      <c r="VEO520" s="501"/>
      <c r="VEP520" s="501"/>
      <c r="VEQ520" s="501"/>
      <c r="VER520" s="501"/>
      <c r="VES520" s="501"/>
      <c r="VET520" s="501"/>
      <c r="VEU520" s="501"/>
      <c r="VEV520" s="501"/>
      <c r="VEW520" s="501"/>
      <c r="VEX520" s="501"/>
      <c r="VEY520" s="501"/>
      <c r="VEZ520" s="501"/>
      <c r="VFA520" s="501"/>
      <c r="VFB520" s="501"/>
      <c r="VFC520" s="501"/>
      <c r="VFD520" s="501"/>
      <c r="VFE520" s="501"/>
      <c r="VFF520" s="501"/>
      <c r="VFG520" s="501"/>
      <c r="VFH520" s="501"/>
      <c r="VFI520" s="501"/>
      <c r="VFJ520" s="501"/>
      <c r="VFK520" s="501"/>
      <c r="VFL520" s="501"/>
      <c r="VFM520" s="501"/>
      <c r="VFN520" s="501"/>
      <c r="VFO520" s="501"/>
      <c r="VFP520" s="501"/>
      <c r="VFQ520" s="501"/>
      <c r="VFR520" s="501"/>
      <c r="VFS520" s="501"/>
      <c r="VFT520" s="501"/>
      <c r="VFU520" s="501"/>
      <c r="VFV520" s="501"/>
      <c r="VFW520" s="501"/>
      <c r="VFX520" s="501"/>
      <c r="VFY520" s="501"/>
      <c r="VFZ520" s="501"/>
      <c r="VGA520" s="501"/>
      <c r="VGB520" s="501"/>
      <c r="VGC520" s="501"/>
      <c r="VGD520" s="501"/>
      <c r="VGE520" s="501"/>
      <c r="VGF520" s="501"/>
      <c r="VGG520" s="501"/>
      <c r="VGH520" s="501"/>
      <c r="VGI520" s="501"/>
      <c r="VGJ520" s="501"/>
      <c r="VGK520" s="501"/>
      <c r="VGL520" s="501"/>
      <c r="VGM520" s="501"/>
      <c r="VGN520" s="501"/>
      <c r="VGO520" s="501"/>
      <c r="VGP520" s="501"/>
      <c r="VGQ520" s="501"/>
      <c r="VGR520" s="501"/>
      <c r="VGS520" s="501"/>
      <c r="VGT520" s="501"/>
      <c r="VGU520" s="501"/>
      <c r="VGV520" s="501"/>
      <c r="VGW520" s="501"/>
      <c r="VGX520" s="501"/>
      <c r="VGY520" s="501"/>
      <c r="VGZ520" s="501"/>
      <c r="VHA520" s="501"/>
      <c r="VHB520" s="501"/>
      <c r="VHC520" s="501"/>
      <c r="VHD520" s="501"/>
      <c r="VHE520" s="501"/>
      <c r="VHF520" s="501"/>
      <c r="VHG520" s="501"/>
      <c r="VHH520" s="501"/>
      <c r="VHI520" s="501"/>
      <c r="VHJ520" s="501"/>
      <c r="VHK520" s="501"/>
      <c r="VHL520" s="501"/>
      <c r="VHM520" s="501"/>
      <c r="VHN520" s="501"/>
      <c r="VHO520" s="501"/>
      <c r="VHP520" s="501"/>
      <c r="VHQ520" s="501"/>
      <c r="VHR520" s="501"/>
      <c r="VHS520" s="501"/>
      <c r="VHT520" s="501"/>
      <c r="VHU520" s="501"/>
      <c r="VHV520" s="501"/>
      <c r="VHW520" s="501"/>
      <c r="VHX520" s="501"/>
      <c r="VHY520" s="501"/>
      <c r="VHZ520" s="501"/>
      <c r="VIA520" s="501"/>
      <c r="VIB520" s="501"/>
      <c r="VIC520" s="501"/>
      <c r="VID520" s="501"/>
      <c r="VIE520" s="501"/>
      <c r="VIF520" s="501"/>
      <c r="VIG520" s="501"/>
      <c r="VIH520" s="501"/>
      <c r="VII520" s="501"/>
      <c r="VIJ520" s="501"/>
      <c r="VIK520" s="501"/>
      <c r="VIL520" s="501"/>
      <c r="VIM520" s="501"/>
      <c r="VIN520" s="501"/>
      <c r="VIO520" s="501"/>
      <c r="VIP520" s="501"/>
      <c r="VIQ520" s="501"/>
      <c r="VIR520" s="501"/>
      <c r="VIS520" s="501"/>
      <c r="VIT520" s="501"/>
      <c r="VIU520" s="501"/>
      <c r="VIV520" s="501"/>
      <c r="VIW520" s="501"/>
      <c r="VIX520" s="501"/>
      <c r="VIY520" s="501"/>
      <c r="VIZ520" s="501"/>
      <c r="VJA520" s="501"/>
      <c r="VJB520" s="501"/>
      <c r="VJC520" s="501"/>
      <c r="VJD520" s="501"/>
      <c r="VJE520" s="501"/>
      <c r="VJF520" s="501"/>
      <c r="VJG520" s="501"/>
      <c r="VJH520" s="501"/>
      <c r="VJI520" s="501"/>
      <c r="VJJ520" s="501"/>
      <c r="VJK520" s="501"/>
      <c r="VJL520" s="501"/>
      <c r="VJM520" s="501"/>
      <c r="VJN520" s="501"/>
      <c r="VJO520" s="501"/>
      <c r="VJP520" s="501"/>
      <c r="VJQ520" s="501"/>
      <c r="VJR520" s="501"/>
      <c r="VJS520" s="501"/>
      <c r="VJT520" s="501"/>
      <c r="VJU520" s="501"/>
      <c r="VJV520" s="501"/>
      <c r="VJW520" s="501"/>
      <c r="VJX520" s="501"/>
      <c r="VJY520" s="501"/>
      <c r="VJZ520" s="501"/>
      <c r="VKA520" s="501"/>
      <c r="VKB520" s="501"/>
      <c r="VKC520" s="501"/>
      <c r="VKD520" s="501"/>
      <c r="VKE520" s="501"/>
      <c r="VKF520" s="501"/>
      <c r="VKG520" s="501"/>
      <c r="VKH520" s="501"/>
      <c r="VKI520" s="501"/>
      <c r="VKJ520" s="501"/>
      <c r="VKK520" s="501"/>
      <c r="VKL520" s="501"/>
      <c r="VKM520" s="501"/>
      <c r="VKN520" s="501"/>
      <c r="VKO520" s="501"/>
      <c r="VKP520" s="501"/>
      <c r="VKQ520" s="501"/>
      <c r="VKR520" s="501"/>
      <c r="VKS520" s="501"/>
      <c r="VKT520" s="501"/>
      <c r="VKU520" s="501"/>
      <c r="VKV520" s="501"/>
      <c r="VKW520" s="501"/>
      <c r="VKX520" s="501"/>
      <c r="VKY520" s="501"/>
      <c r="VKZ520" s="501"/>
      <c r="VLA520" s="501"/>
      <c r="VLB520" s="501"/>
      <c r="VLC520" s="501"/>
      <c r="VLD520" s="501"/>
      <c r="VLE520" s="501"/>
      <c r="VLF520" s="501"/>
      <c r="VLG520" s="501"/>
      <c r="VLH520" s="501"/>
      <c r="VLI520" s="501"/>
      <c r="VLJ520" s="501"/>
      <c r="VLK520" s="501"/>
      <c r="VLL520" s="501"/>
      <c r="VLM520" s="501"/>
      <c r="VLN520" s="501"/>
      <c r="VLO520" s="501"/>
      <c r="VLP520" s="501"/>
      <c r="VLQ520" s="501"/>
      <c r="VLR520" s="501"/>
      <c r="VLS520" s="501"/>
      <c r="VLT520" s="501"/>
      <c r="VLU520" s="501"/>
      <c r="VLV520" s="501"/>
      <c r="VLW520" s="501"/>
      <c r="VLX520" s="501"/>
      <c r="VLY520" s="501"/>
      <c r="VLZ520" s="501"/>
      <c r="VMA520" s="501"/>
      <c r="VMB520" s="501"/>
      <c r="VMC520" s="501"/>
      <c r="VMD520" s="501"/>
      <c r="VME520" s="501"/>
      <c r="VMF520" s="501"/>
      <c r="VMG520" s="501"/>
      <c r="VMH520" s="501"/>
      <c r="VMI520" s="501"/>
      <c r="VMJ520" s="501"/>
      <c r="VMK520" s="501"/>
      <c r="VML520" s="501"/>
      <c r="VMM520" s="501"/>
      <c r="VMN520" s="501"/>
      <c r="VMO520" s="501"/>
      <c r="VMP520" s="501"/>
      <c r="VMQ520" s="501"/>
      <c r="VMR520" s="501"/>
      <c r="VMS520" s="501"/>
      <c r="VMT520" s="501"/>
      <c r="VMU520" s="501"/>
      <c r="VMV520" s="501"/>
      <c r="VMW520" s="501"/>
      <c r="VMX520" s="501"/>
      <c r="VMY520" s="501"/>
      <c r="VMZ520" s="501"/>
      <c r="VNA520" s="501"/>
      <c r="VNB520" s="501"/>
      <c r="VNC520" s="501"/>
      <c r="VND520" s="501"/>
      <c r="VNE520" s="501"/>
      <c r="VNF520" s="501"/>
      <c r="VNG520" s="501"/>
      <c r="VNH520" s="501"/>
      <c r="VNI520" s="501"/>
      <c r="VNJ520" s="501"/>
      <c r="VNK520" s="501"/>
      <c r="VNL520" s="501"/>
      <c r="VNM520" s="501"/>
      <c r="VNN520" s="501"/>
      <c r="VNO520" s="501"/>
      <c r="VNP520" s="501"/>
      <c r="VNQ520" s="501"/>
      <c r="VNR520" s="501"/>
      <c r="VNS520" s="501"/>
      <c r="VNT520" s="501"/>
      <c r="VNU520" s="501"/>
      <c r="VNV520" s="501"/>
      <c r="VNW520" s="501"/>
      <c r="VNX520" s="501"/>
      <c r="VNY520" s="501"/>
      <c r="VNZ520" s="501"/>
      <c r="VOA520" s="501"/>
      <c r="VOB520" s="501"/>
      <c r="VOC520" s="501"/>
      <c r="VOD520" s="501"/>
      <c r="VOE520" s="501"/>
      <c r="VOF520" s="501"/>
      <c r="VOG520" s="501"/>
      <c r="VOH520" s="501"/>
      <c r="VOI520" s="501"/>
      <c r="VOJ520" s="501"/>
      <c r="VOK520" s="501"/>
      <c r="VOL520" s="501"/>
      <c r="VOM520" s="501"/>
      <c r="VON520" s="501"/>
      <c r="VOO520" s="501"/>
      <c r="VOP520" s="501"/>
      <c r="VOQ520" s="501"/>
      <c r="VOR520" s="501"/>
      <c r="VOS520" s="501"/>
      <c r="VOT520" s="501"/>
      <c r="VOU520" s="501"/>
      <c r="VOV520" s="501"/>
      <c r="VOW520" s="501"/>
      <c r="VOX520" s="501"/>
      <c r="VOY520" s="501"/>
      <c r="VOZ520" s="501"/>
      <c r="VPA520" s="501"/>
      <c r="VPB520" s="501"/>
      <c r="VPC520" s="501"/>
      <c r="VPD520" s="501"/>
      <c r="VPE520" s="501"/>
      <c r="VPF520" s="501"/>
      <c r="VPG520" s="501"/>
      <c r="VPH520" s="501"/>
      <c r="VPI520" s="501"/>
      <c r="VPJ520" s="501"/>
      <c r="VPK520" s="501"/>
      <c r="VPL520" s="501"/>
      <c r="VPM520" s="501"/>
      <c r="VPN520" s="501"/>
      <c r="VPO520" s="501"/>
      <c r="VPP520" s="501"/>
      <c r="VPQ520" s="501"/>
      <c r="VPR520" s="501"/>
      <c r="VPS520" s="501"/>
      <c r="VPT520" s="501"/>
      <c r="VPU520" s="501"/>
      <c r="VPV520" s="501"/>
      <c r="VPW520" s="501"/>
      <c r="VPX520" s="501"/>
      <c r="VPY520" s="501"/>
      <c r="VPZ520" s="501"/>
      <c r="VQA520" s="501"/>
      <c r="VQB520" s="501"/>
      <c r="VQC520" s="501"/>
      <c r="VQD520" s="501"/>
      <c r="VQE520" s="501"/>
      <c r="VQF520" s="501"/>
      <c r="VQG520" s="501"/>
      <c r="VQH520" s="501"/>
      <c r="VQI520" s="501"/>
      <c r="VQJ520" s="501"/>
      <c r="VQK520" s="501"/>
      <c r="VQL520" s="501"/>
      <c r="VQM520" s="501"/>
      <c r="VQN520" s="501"/>
      <c r="VQO520" s="501"/>
      <c r="VQP520" s="501"/>
      <c r="VQQ520" s="501"/>
      <c r="VQR520" s="501"/>
      <c r="VQS520" s="501"/>
      <c r="VQT520" s="501"/>
      <c r="VQU520" s="501"/>
      <c r="VQV520" s="501"/>
      <c r="VQW520" s="501"/>
      <c r="VQX520" s="501"/>
      <c r="VQY520" s="501"/>
      <c r="VQZ520" s="501"/>
      <c r="VRA520" s="501"/>
      <c r="VRB520" s="501"/>
      <c r="VRC520" s="501"/>
      <c r="VRD520" s="501"/>
      <c r="VRE520" s="501"/>
      <c r="VRF520" s="501"/>
      <c r="VRG520" s="501"/>
      <c r="VRH520" s="501"/>
      <c r="VRI520" s="501"/>
      <c r="VRJ520" s="501"/>
      <c r="VRK520" s="501"/>
      <c r="VRL520" s="501"/>
      <c r="VRM520" s="501"/>
      <c r="VRN520" s="501"/>
      <c r="VRO520" s="501"/>
      <c r="VRP520" s="501"/>
      <c r="VRQ520" s="501"/>
      <c r="VRR520" s="501"/>
      <c r="VRS520" s="501"/>
      <c r="VRT520" s="501"/>
      <c r="VRU520" s="501"/>
      <c r="VRV520" s="501"/>
      <c r="VRW520" s="501"/>
      <c r="VRX520" s="501"/>
      <c r="VRY520" s="501"/>
      <c r="VRZ520" s="501"/>
      <c r="VSA520" s="501"/>
      <c r="VSB520" s="501"/>
      <c r="VSC520" s="501"/>
      <c r="VSD520" s="501"/>
      <c r="VSE520" s="501"/>
      <c r="VSF520" s="501"/>
      <c r="VSG520" s="501"/>
      <c r="VSH520" s="501"/>
      <c r="VSI520" s="501"/>
      <c r="VSJ520" s="501"/>
      <c r="VSK520" s="501"/>
      <c r="VSL520" s="501"/>
      <c r="VSM520" s="501"/>
      <c r="VSN520" s="501"/>
      <c r="VSO520" s="501"/>
      <c r="VSP520" s="501"/>
      <c r="VSQ520" s="501"/>
      <c r="VSR520" s="501"/>
      <c r="VSS520" s="501"/>
      <c r="VST520" s="501"/>
      <c r="VSU520" s="501"/>
      <c r="VSV520" s="501"/>
      <c r="VSW520" s="501"/>
      <c r="VSX520" s="501"/>
      <c r="VSY520" s="501"/>
      <c r="VSZ520" s="501"/>
      <c r="VTA520" s="501"/>
      <c r="VTB520" s="501"/>
      <c r="VTC520" s="501"/>
      <c r="VTD520" s="501"/>
      <c r="VTE520" s="501"/>
      <c r="VTF520" s="501"/>
      <c r="VTG520" s="501"/>
      <c r="VTH520" s="501"/>
      <c r="VTI520" s="501"/>
      <c r="VTJ520" s="501"/>
      <c r="VTK520" s="501"/>
      <c r="VTL520" s="501"/>
      <c r="VTM520" s="501"/>
      <c r="VTN520" s="501"/>
      <c r="VTO520" s="501"/>
      <c r="VTP520" s="501"/>
      <c r="VTQ520" s="501"/>
      <c r="VTR520" s="501"/>
      <c r="VTS520" s="501"/>
      <c r="VTT520" s="501"/>
      <c r="VTU520" s="501"/>
      <c r="VTV520" s="501"/>
      <c r="VTW520" s="501"/>
      <c r="VTX520" s="501"/>
      <c r="VTY520" s="501"/>
      <c r="VTZ520" s="501"/>
      <c r="VUA520" s="501"/>
      <c r="VUB520" s="501"/>
      <c r="VUC520" s="501"/>
      <c r="VUD520" s="501"/>
      <c r="VUE520" s="501"/>
      <c r="VUF520" s="501"/>
      <c r="VUG520" s="501"/>
      <c r="VUH520" s="501"/>
      <c r="VUI520" s="501"/>
      <c r="VUJ520" s="501"/>
      <c r="VUK520" s="501"/>
      <c r="VUL520" s="501"/>
      <c r="VUM520" s="501"/>
      <c r="VUN520" s="501"/>
      <c r="VUO520" s="501"/>
      <c r="VUP520" s="501"/>
      <c r="VUQ520" s="501"/>
      <c r="VUR520" s="501"/>
      <c r="VUS520" s="501"/>
      <c r="VUT520" s="501"/>
      <c r="VUU520" s="501"/>
      <c r="VUV520" s="501"/>
      <c r="VUW520" s="501"/>
      <c r="VUX520" s="501"/>
      <c r="VUY520" s="501"/>
      <c r="VUZ520" s="501"/>
      <c r="VVA520" s="501"/>
      <c r="VVB520" s="501"/>
      <c r="VVC520" s="501"/>
      <c r="VVD520" s="501"/>
      <c r="VVE520" s="501"/>
      <c r="VVF520" s="501"/>
      <c r="VVG520" s="501"/>
      <c r="VVH520" s="501"/>
      <c r="VVI520" s="501"/>
      <c r="VVJ520" s="501"/>
      <c r="VVK520" s="501"/>
      <c r="VVL520" s="501"/>
      <c r="VVM520" s="501"/>
      <c r="VVN520" s="501"/>
      <c r="VVO520" s="501"/>
      <c r="VVP520" s="501"/>
      <c r="VVQ520" s="501"/>
      <c r="VVR520" s="501"/>
      <c r="VVS520" s="501"/>
      <c r="VVT520" s="501"/>
      <c r="VVU520" s="501"/>
      <c r="VVV520" s="501"/>
      <c r="VVW520" s="501"/>
      <c r="VVX520" s="501"/>
      <c r="VVY520" s="501"/>
      <c r="VVZ520" s="501"/>
      <c r="VWA520" s="501"/>
      <c r="VWB520" s="501"/>
      <c r="VWC520" s="501"/>
      <c r="VWD520" s="501"/>
      <c r="VWE520" s="501"/>
      <c r="VWF520" s="501"/>
      <c r="VWG520" s="501"/>
      <c r="VWH520" s="501"/>
      <c r="VWI520" s="501"/>
      <c r="VWJ520" s="501"/>
      <c r="VWK520" s="501"/>
      <c r="VWL520" s="501"/>
      <c r="VWM520" s="501"/>
      <c r="VWN520" s="501"/>
      <c r="VWO520" s="501"/>
      <c r="VWP520" s="501"/>
      <c r="VWQ520" s="501"/>
      <c r="VWR520" s="501"/>
      <c r="VWS520" s="501"/>
      <c r="VWT520" s="501"/>
      <c r="VWU520" s="501"/>
      <c r="VWV520" s="501"/>
      <c r="VWW520" s="501"/>
      <c r="VWX520" s="501"/>
      <c r="VWY520" s="501"/>
      <c r="VWZ520" s="501"/>
      <c r="VXA520" s="501"/>
      <c r="VXB520" s="501"/>
      <c r="VXC520" s="501"/>
      <c r="VXD520" s="501"/>
      <c r="VXE520" s="501"/>
      <c r="VXF520" s="501"/>
      <c r="VXG520" s="501"/>
      <c r="VXH520" s="501"/>
      <c r="VXI520" s="501"/>
      <c r="VXJ520" s="501"/>
      <c r="VXK520" s="501"/>
      <c r="VXL520" s="501"/>
      <c r="VXM520" s="501"/>
      <c r="VXN520" s="501"/>
      <c r="VXO520" s="501"/>
      <c r="VXP520" s="501"/>
      <c r="VXQ520" s="501"/>
      <c r="VXR520" s="501"/>
      <c r="VXS520" s="501"/>
      <c r="VXT520" s="501"/>
      <c r="VXU520" s="501"/>
      <c r="VXV520" s="501"/>
      <c r="VXW520" s="501"/>
      <c r="VXX520" s="501"/>
      <c r="VXY520" s="501"/>
      <c r="VXZ520" s="501"/>
      <c r="VYA520" s="501"/>
      <c r="VYB520" s="501"/>
      <c r="VYC520" s="501"/>
      <c r="VYD520" s="501"/>
      <c r="VYE520" s="501"/>
      <c r="VYF520" s="501"/>
      <c r="VYG520" s="501"/>
      <c r="VYH520" s="501"/>
      <c r="VYI520" s="501"/>
      <c r="VYJ520" s="501"/>
      <c r="VYK520" s="501"/>
      <c r="VYL520" s="501"/>
      <c r="VYM520" s="501"/>
      <c r="VYN520" s="501"/>
      <c r="VYO520" s="501"/>
      <c r="VYP520" s="501"/>
      <c r="VYQ520" s="501"/>
      <c r="VYR520" s="501"/>
      <c r="VYS520" s="501"/>
      <c r="VYT520" s="501"/>
      <c r="VYU520" s="501"/>
      <c r="VYV520" s="501"/>
      <c r="VYW520" s="501"/>
      <c r="VYX520" s="501"/>
      <c r="VYY520" s="501"/>
      <c r="VYZ520" s="501"/>
      <c r="VZA520" s="501"/>
      <c r="VZB520" s="501"/>
      <c r="VZC520" s="501"/>
      <c r="VZD520" s="501"/>
      <c r="VZE520" s="501"/>
      <c r="VZF520" s="501"/>
      <c r="VZG520" s="501"/>
      <c r="VZH520" s="501"/>
      <c r="VZI520" s="501"/>
      <c r="VZJ520" s="501"/>
      <c r="VZK520" s="501"/>
      <c r="VZL520" s="501"/>
      <c r="VZM520" s="501"/>
      <c r="VZN520" s="501"/>
      <c r="VZO520" s="501"/>
      <c r="VZP520" s="501"/>
      <c r="VZQ520" s="501"/>
      <c r="VZR520" s="501"/>
      <c r="VZS520" s="501"/>
      <c r="VZT520" s="501"/>
      <c r="VZU520" s="501"/>
      <c r="VZV520" s="501"/>
      <c r="VZW520" s="501"/>
      <c r="VZX520" s="501"/>
      <c r="VZY520" s="501"/>
      <c r="VZZ520" s="501"/>
      <c r="WAA520" s="501"/>
      <c r="WAB520" s="501"/>
      <c r="WAC520" s="501"/>
      <c r="WAD520" s="501"/>
      <c r="WAE520" s="501"/>
      <c r="WAF520" s="501"/>
      <c r="WAG520" s="501"/>
      <c r="WAH520" s="501"/>
      <c r="WAI520" s="501"/>
      <c r="WAJ520" s="501"/>
      <c r="WAK520" s="501"/>
      <c r="WAL520" s="501"/>
      <c r="WAM520" s="501"/>
      <c r="WAN520" s="501"/>
      <c r="WAO520" s="501"/>
      <c r="WAP520" s="501"/>
      <c r="WAQ520" s="501"/>
      <c r="WAR520" s="501"/>
      <c r="WAS520" s="501"/>
      <c r="WAT520" s="501"/>
      <c r="WAU520" s="501"/>
      <c r="WAV520" s="501"/>
      <c r="WAW520" s="501"/>
      <c r="WAX520" s="501"/>
      <c r="WAY520" s="501"/>
      <c r="WAZ520" s="501"/>
      <c r="WBA520" s="501"/>
      <c r="WBB520" s="501"/>
      <c r="WBC520" s="501"/>
      <c r="WBD520" s="501"/>
      <c r="WBE520" s="501"/>
      <c r="WBF520" s="501"/>
      <c r="WBG520" s="501"/>
      <c r="WBH520" s="501"/>
      <c r="WBI520" s="501"/>
      <c r="WBJ520" s="501"/>
      <c r="WBK520" s="501"/>
      <c r="WBL520" s="501"/>
      <c r="WBM520" s="501"/>
      <c r="WBN520" s="501"/>
      <c r="WBO520" s="501"/>
      <c r="WBP520" s="501"/>
      <c r="WBQ520" s="501"/>
      <c r="WBR520" s="501"/>
      <c r="WBS520" s="501"/>
      <c r="WBT520" s="501"/>
      <c r="WBU520" s="501"/>
      <c r="WBV520" s="501"/>
      <c r="WBW520" s="501"/>
      <c r="WBX520" s="501"/>
      <c r="WBY520" s="501"/>
      <c r="WBZ520" s="501"/>
      <c r="WCA520" s="501"/>
      <c r="WCB520" s="501"/>
      <c r="WCC520" s="501"/>
      <c r="WCD520" s="501"/>
      <c r="WCE520" s="501"/>
      <c r="WCF520" s="501"/>
      <c r="WCG520" s="501"/>
      <c r="WCH520" s="501"/>
      <c r="WCI520" s="501"/>
      <c r="WCJ520" s="501"/>
      <c r="WCK520" s="501"/>
      <c r="WCL520" s="501"/>
      <c r="WCM520" s="501"/>
      <c r="WCN520" s="501"/>
      <c r="WCO520" s="501"/>
      <c r="WCP520" s="501"/>
      <c r="WCQ520" s="501"/>
      <c r="WCR520" s="501"/>
      <c r="WCS520" s="501"/>
      <c r="WCT520" s="501"/>
      <c r="WCU520" s="501"/>
      <c r="WCV520" s="501"/>
      <c r="WCW520" s="501"/>
      <c r="WCX520" s="501"/>
      <c r="WCY520" s="501"/>
      <c r="WCZ520" s="501"/>
      <c r="WDA520" s="501"/>
      <c r="WDB520" s="501"/>
      <c r="WDC520" s="501"/>
      <c r="WDD520" s="501"/>
      <c r="WDE520" s="501"/>
      <c r="WDF520" s="501"/>
      <c r="WDG520" s="501"/>
      <c r="WDH520" s="501"/>
      <c r="WDI520" s="501"/>
      <c r="WDJ520" s="501"/>
      <c r="WDK520" s="501"/>
      <c r="WDL520" s="501"/>
      <c r="WDM520" s="501"/>
      <c r="WDN520" s="501"/>
      <c r="WDO520" s="501"/>
      <c r="WDP520" s="501"/>
      <c r="WDQ520" s="501"/>
      <c r="WDR520" s="501"/>
      <c r="WDS520" s="501"/>
      <c r="WDT520" s="501"/>
      <c r="WDU520" s="501"/>
      <c r="WDV520" s="501"/>
      <c r="WDW520" s="501"/>
      <c r="WDX520" s="501"/>
      <c r="WDY520" s="501"/>
      <c r="WDZ520" s="501"/>
      <c r="WEA520" s="501"/>
      <c r="WEB520" s="501"/>
      <c r="WEC520" s="501"/>
      <c r="WED520" s="501"/>
      <c r="WEE520" s="501"/>
      <c r="WEF520" s="501"/>
      <c r="WEG520" s="501"/>
      <c r="WEH520" s="501"/>
      <c r="WEI520" s="501"/>
      <c r="WEJ520" s="501"/>
      <c r="WEK520" s="501"/>
      <c r="WEL520" s="501"/>
      <c r="WEM520" s="501"/>
      <c r="WEN520" s="501"/>
      <c r="WEO520" s="501"/>
      <c r="WEP520" s="501"/>
      <c r="WEQ520" s="501"/>
      <c r="WER520" s="501"/>
      <c r="WES520" s="501"/>
      <c r="WET520" s="501"/>
      <c r="WEU520" s="501"/>
      <c r="WEV520" s="501"/>
      <c r="WEW520" s="501"/>
      <c r="WEX520" s="501"/>
      <c r="WEY520" s="501"/>
      <c r="WEZ520" s="501"/>
      <c r="WFA520" s="501"/>
      <c r="WFB520" s="501"/>
      <c r="WFC520" s="501"/>
      <c r="WFD520" s="501"/>
      <c r="WFE520" s="501"/>
      <c r="WFF520" s="501"/>
      <c r="WFG520" s="501"/>
      <c r="WFH520" s="501"/>
      <c r="WFI520" s="501"/>
      <c r="WFJ520" s="501"/>
      <c r="WFK520" s="501"/>
      <c r="WFL520" s="501"/>
      <c r="WFM520" s="501"/>
      <c r="WFN520" s="501"/>
      <c r="WFO520" s="501"/>
      <c r="WFP520" s="501"/>
      <c r="WFQ520" s="501"/>
      <c r="WFR520" s="501"/>
      <c r="WFS520" s="501"/>
      <c r="WFT520" s="501"/>
      <c r="WFU520" s="501"/>
      <c r="WFV520" s="501"/>
      <c r="WFW520" s="501"/>
      <c r="WFX520" s="501"/>
      <c r="WFY520" s="501"/>
      <c r="WFZ520" s="501"/>
      <c r="WGA520" s="501"/>
      <c r="WGB520" s="501"/>
      <c r="WGC520" s="501"/>
      <c r="WGD520" s="501"/>
      <c r="WGE520" s="501"/>
      <c r="WGF520" s="501"/>
      <c r="WGG520" s="501"/>
      <c r="WGH520" s="501"/>
      <c r="WGI520" s="501"/>
      <c r="WGJ520" s="501"/>
      <c r="WGK520" s="501"/>
      <c r="WGL520" s="501"/>
      <c r="WGM520" s="501"/>
      <c r="WGN520" s="501"/>
      <c r="WGO520" s="501"/>
      <c r="WGP520" s="501"/>
      <c r="WGQ520" s="501"/>
      <c r="WGR520" s="501"/>
      <c r="WGS520" s="501"/>
      <c r="WGT520" s="501"/>
      <c r="WGU520" s="501"/>
      <c r="WGV520" s="501"/>
      <c r="WGW520" s="501"/>
      <c r="WGX520" s="501"/>
      <c r="WGY520" s="501"/>
      <c r="WGZ520" s="501"/>
      <c r="WHA520" s="501"/>
      <c r="WHB520" s="501"/>
      <c r="WHC520" s="501"/>
      <c r="WHD520" s="501"/>
      <c r="WHE520" s="501"/>
      <c r="WHF520" s="501"/>
      <c r="WHG520" s="501"/>
      <c r="WHH520" s="501"/>
      <c r="WHI520" s="501"/>
      <c r="WHJ520" s="501"/>
      <c r="WHK520" s="501"/>
      <c r="WHL520" s="501"/>
      <c r="WHM520" s="501"/>
      <c r="WHN520" s="501"/>
      <c r="WHO520" s="501"/>
      <c r="WHP520" s="501"/>
      <c r="WHQ520" s="501"/>
      <c r="WHR520" s="501"/>
      <c r="WHS520" s="501"/>
      <c r="WHT520" s="501"/>
      <c r="WHU520" s="501"/>
      <c r="WHV520" s="501"/>
      <c r="WHW520" s="501"/>
      <c r="WHX520" s="501"/>
      <c r="WHY520" s="501"/>
      <c r="WHZ520" s="501"/>
      <c r="WIA520" s="501"/>
      <c r="WIB520" s="501"/>
      <c r="WIC520" s="501"/>
      <c r="WID520" s="501"/>
      <c r="WIE520" s="501"/>
      <c r="WIF520" s="501"/>
      <c r="WIG520" s="501"/>
      <c r="WIH520" s="501"/>
      <c r="WII520" s="501"/>
      <c r="WIJ520" s="501"/>
      <c r="WIK520" s="501"/>
      <c r="WIL520" s="501"/>
      <c r="WIM520" s="501"/>
      <c r="WIN520" s="501"/>
      <c r="WIO520" s="501"/>
      <c r="WIP520" s="501"/>
      <c r="WIQ520" s="501"/>
      <c r="WIR520" s="501"/>
      <c r="WIS520" s="501"/>
      <c r="WIT520" s="501"/>
      <c r="WIU520" s="501"/>
      <c r="WIV520" s="501"/>
      <c r="WIW520" s="501"/>
      <c r="WIX520" s="501"/>
      <c r="WIY520" s="501"/>
      <c r="WIZ520" s="501"/>
      <c r="WJA520" s="501"/>
      <c r="WJB520" s="501"/>
      <c r="WJC520" s="501"/>
      <c r="WJD520" s="501"/>
      <c r="WJE520" s="501"/>
      <c r="WJF520" s="501"/>
      <c r="WJG520" s="501"/>
      <c r="WJH520" s="501"/>
      <c r="WJI520" s="501"/>
      <c r="WJJ520" s="501"/>
      <c r="WJK520" s="501"/>
      <c r="WJL520" s="501"/>
      <c r="WJM520" s="501"/>
      <c r="WJN520" s="501"/>
      <c r="WJO520" s="501"/>
      <c r="WJP520" s="501"/>
      <c r="WJQ520" s="501"/>
      <c r="WJR520" s="501"/>
      <c r="WJS520" s="501"/>
      <c r="WJT520" s="501"/>
      <c r="WJU520" s="501"/>
      <c r="WJV520" s="501"/>
      <c r="WJW520" s="501"/>
      <c r="WJX520" s="501"/>
      <c r="WJY520" s="501"/>
      <c r="WJZ520" s="501"/>
      <c r="WKA520" s="501"/>
      <c r="WKB520" s="501"/>
      <c r="WKC520" s="501"/>
      <c r="WKD520" s="501"/>
      <c r="WKE520" s="501"/>
      <c r="WKF520" s="501"/>
      <c r="WKG520" s="501"/>
      <c r="WKH520" s="501"/>
      <c r="WKI520" s="501"/>
      <c r="WKJ520" s="501"/>
      <c r="WKK520" s="501"/>
      <c r="WKL520" s="501"/>
      <c r="WKM520" s="501"/>
      <c r="WKN520" s="501"/>
      <c r="WKO520" s="501"/>
      <c r="WKP520" s="501"/>
      <c r="WKQ520" s="501"/>
      <c r="WKR520" s="501"/>
      <c r="WKS520" s="501"/>
      <c r="WKT520" s="501"/>
      <c r="WKU520" s="501"/>
      <c r="WKV520" s="501"/>
      <c r="WKW520" s="501"/>
      <c r="WKX520" s="501"/>
      <c r="WKY520" s="501"/>
      <c r="WKZ520" s="501"/>
      <c r="WLA520" s="501"/>
      <c r="WLB520" s="501"/>
      <c r="WLC520" s="501"/>
      <c r="WLD520" s="501"/>
      <c r="WLE520" s="501"/>
      <c r="WLF520" s="501"/>
      <c r="WLG520" s="501"/>
      <c r="WLH520" s="501"/>
      <c r="WLI520" s="501"/>
      <c r="WLJ520" s="501"/>
      <c r="WLK520" s="501"/>
      <c r="WLL520" s="501"/>
      <c r="WLM520" s="501"/>
      <c r="WLN520" s="501"/>
      <c r="WLO520" s="501"/>
      <c r="WLP520" s="501"/>
      <c r="WLQ520" s="501"/>
      <c r="WLR520" s="501"/>
      <c r="WLS520" s="501"/>
      <c r="WLT520" s="501"/>
      <c r="WLU520" s="501"/>
      <c r="WLV520" s="501"/>
      <c r="WLW520" s="501"/>
      <c r="WLX520" s="501"/>
      <c r="WLY520" s="501"/>
      <c r="WLZ520" s="501"/>
      <c r="WMA520" s="501"/>
      <c r="WMB520" s="501"/>
      <c r="WMC520" s="501"/>
      <c r="WMD520" s="501"/>
      <c r="WME520" s="501"/>
      <c r="WMF520" s="501"/>
      <c r="WMG520" s="501"/>
      <c r="WMH520" s="501"/>
      <c r="WMI520" s="501"/>
      <c r="WMJ520" s="501"/>
      <c r="WMK520" s="501"/>
      <c r="WML520" s="501"/>
      <c r="WMM520" s="501"/>
      <c r="WMN520" s="501"/>
      <c r="WMO520" s="501"/>
      <c r="WMP520" s="501"/>
      <c r="WMQ520" s="501"/>
      <c r="WMR520" s="501"/>
      <c r="WMS520" s="501"/>
      <c r="WMT520" s="501"/>
      <c r="WMU520" s="501"/>
      <c r="WMV520" s="501"/>
      <c r="WMW520" s="501"/>
      <c r="WMX520" s="501"/>
      <c r="WMY520" s="501"/>
      <c r="WMZ520" s="501"/>
      <c r="WNA520" s="501"/>
      <c r="WNB520" s="501"/>
      <c r="WNC520" s="501"/>
      <c r="WND520" s="501"/>
      <c r="WNE520" s="501"/>
      <c r="WNF520" s="501"/>
      <c r="WNG520" s="501"/>
      <c r="WNH520" s="501"/>
      <c r="WNI520" s="501"/>
      <c r="WNJ520" s="501"/>
      <c r="WNK520" s="501"/>
      <c r="WNL520" s="501"/>
      <c r="WNM520" s="501"/>
      <c r="WNN520" s="501"/>
      <c r="WNO520" s="501"/>
      <c r="WNP520" s="501"/>
      <c r="WNQ520" s="501"/>
      <c r="WNR520" s="501"/>
      <c r="WNS520" s="501"/>
      <c r="WNT520" s="501"/>
      <c r="WNU520" s="501"/>
      <c r="WNV520" s="501"/>
      <c r="WNW520" s="501"/>
      <c r="WNX520" s="501"/>
      <c r="WNY520" s="501"/>
      <c r="WNZ520" s="501"/>
      <c r="WOA520" s="501"/>
      <c r="WOB520" s="501"/>
      <c r="WOC520" s="501"/>
      <c r="WOD520" s="501"/>
      <c r="WOE520" s="501"/>
      <c r="WOF520" s="501"/>
      <c r="WOG520" s="501"/>
      <c r="WOH520" s="501"/>
      <c r="WOI520" s="501"/>
      <c r="WOJ520" s="501"/>
      <c r="WOK520" s="501"/>
      <c r="WOL520" s="501"/>
      <c r="WOM520" s="501"/>
      <c r="WON520" s="501"/>
      <c r="WOO520" s="501"/>
      <c r="WOP520" s="501"/>
      <c r="WOQ520" s="501"/>
      <c r="WOR520" s="501"/>
      <c r="WOS520" s="501"/>
      <c r="WOT520" s="501"/>
      <c r="WOU520" s="501"/>
      <c r="WOV520" s="501"/>
      <c r="WOW520" s="501"/>
      <c r="WOX520" s="501"/>
      <c r="WOY520" s="501"/>
      <c r="WOZ520" s="501"/>
      <c r="WPA520" s="501"/>
      <c r="WPB520" s="501"/>
      <c r="WPC520" s="501"/>
      <c r="WPD520" s="501"/>
      <c r="WPE520" s="501"/>
      <c r="WPF520" s="501"/>
      <c r="WPG520" s="501"/>
      <c r="WPH520" s="501"/>
      <c r="WPI520" s="501"/>
      <c r="WPJ520" s="501"/>
      <c r="WPK520" s="501"/>
      <c r="WPL520" s="501"/>
      <c r="WPM520" s="501"/>
      <c r="WPN520" s="501"/>
      <c r="WPO520" s="501"/>
      <c r="WPP520" s="501"/>
      <c r="WPQ520" s="501"/>
      <c r="WPR520" s="501"/>
      <c r="WPS520" s="501"/>
      <c r="WPT520" s="501"/>
      <c r="WPU520" s="501"/>
      <c r="WPV520" s="501"/>
      <c r="WPW520" s="501"/>
      <c r="WPX520" s="501"/>
      <c r="WPY520" s="501"/>
      <c r="WPZ520" s="501"/>
      <c r="WQA520" s="501"/>
      <c r="WQB520" s="501"/>
      <c r="WQC520" s="501"/>
      <c r="WQD520" s="501"/>
      <c r="WQE520" s="501"/>
      <c r="WQF520" s="501"/>
      <c r="WQG520" s="501"/>
      <c r="WQH520" s="501"/>
      <c r="WQI520" s="501"/>
      <c r="WQJ520" s="501"/>
      <c r="WQK520" s="501"/>
      <c r="WQL520" s="501"/>
      <c r="WQM520" s="501"/>
      <c r="WQN520" s="501"/>
      <c r="WQO520" s="501"/>
      <c r="WQP520" s="501"/>
      <c r="WQQ520" s="501"/>
      <c r="WQR520" s="501"/>
      <c r="WQS520" s="501"/>
      <c r="WQT520" s="501"/>
      <c r="WQU520" s="501"/>
      <c r="WQV520" s="501"/>
      <c r="WQW520" s="501"/>
      <c r="WQX520" s="501"/>
      <c r="WQY520" s="501"/>
      <c r="WQZ520" s="501"/>
      <c r="WRA520" s="501"/>
      <c r="WRB520" s="501"/>
      <c r="WRC520" s="501"/>
      <c r="WRD520" s="501"/>
      <c r="WRE520" s="501"/>
      <c r="WRF520" s="501"/>
      <c r="WRG520" s="501"/>
      <c r="WRH520" s="501"/>
      <c r="WRI520" s="501"/>
      <c r="WRJ520" s="501"/>
      <c r="WRK520" s="501"/>
      <c r="WRL520" s="501"/>
      <c r="WRM520" s="501"/>
      <c r="WRN520" s="501"/>
      <c r="WRO520" s="501"/>
      <c r="WRP520" s="501"/>
      <c r="WRQ520" s="501"/>
      <c r="WRR520" s="501"/>
      <c r="WRS520" s="501"/>
      <c r="WRT520" s="501"/>
      <c r="WRU520" s="501"/>
      <c r="WRV520" s="501"/>
      <c r="WRW520" s="501"/>
      <c r="WRX520" s="501"/>
      <c r="WRY520" s="501"/>
      <c r="WRZ520" s="501"/>
      <c r="WSA520" s="501"/>
      <c r="WSB520" s="501"/>
      <c r="WSC520" s="501"/>
      <c r="WSD520" s="501"/>
      <c r="WSE520" s="501"/>
      <c r="WSF520" s="501"/>
      <c r="WSG520" s="501"/>
      <c r="WSH520" s="501"/>
      <c r="WSI520" s="501"/>
      <c r="WSJ520" s="501"/>
      <c r="WSK520" s="501"/>
      <c r="WSL520" s="501"/>
      <c r="WSM520" s="501"/>
      <c r="WSN520" s="501"/>
      <c r="WSO520" s="501"/>
      <c r="WSP520" s="501"/>
      <c r="WSQ520" s="501"/>
      <c r="WSR520" s="501"/>
      <c r="WSS520" s="501"/>
      <c r="WST520" s="501"/>
      <c r="WSU520" s="501"/>
      <c r="WSV520" s="501"/>
      <c r="WSW520" s="501"/>
      <c r="WSX520" s="501"/>
      <c r="WSY520" s="501"/>
      <c r="WSZ520" s="501"/>
      <c r="WTA520" s="501"/>
      <c r="WTB520" s="501"/>
      <c r="WTC520" s="501"/>
      <c r="WTD520" s="501"/>
      <c r="WTE520" s="501"/>
      <c r="WTF520" s="501"/>
      <c r="WTG520" s="501"/>
      <c r="WTH520" s="501"/>
      <c r="WTI520" s="501"/>
      <c r="WTJ520" s="501"/>
      <c r="WTK520" s="501"/>
      <c r="WTL520" s="501"/>
      <c r="WTM520" s="501"/>
      <c r="WTN520" s="501"/>
      <c r="WTO520" s="501"/>
      <c r="WTP520" s="501"/>
      <c r="WTQ520" s="501"/>
      <c r="WTR520" s="501"/>
      <c r="WTS520" s="501"/>
      <c r="WTT520" s="501"/>
      <c r="WTU520" s="501"/>
      <c r="WTV520" s="501"/>
      <c r="WTW520" s="501"/>
      <c r="WTX520" s="501"/>
      <c r="WTY520" s="501"/>
      <c r="WTZ520" s="501"/>
      <c r="WUA520" s="501"/>
      <c r="WUB520" s="501"/>
      <c r="WUC520" s="501"/>
      <c r="WUD520" s="501"/>
      <c r="WUE520" s="501"/>
      <c r="WUF520" s="501"/>
      <c r="WUG520" s="501"/>
      <c r="WUH520" s="501"/>
      <c r="WUI520" s="501"/>
      <c r="WUJ520" s="501"/>
      <c r="WUK520" s="501"/>
      <c r="WUL520" s="501"/>
      <c r="WUM520" s="501"/>
      <c r="WUN520" s="501"/>
      <c r="WUO520" s="501"/>
      <c r="WUP520" s="501"/>
      <c r="WUQ520" s="501"/>
      <c r="WUR520" s="501"/>
      <c r="WUS520" s="501"/>
      <c r="WUT520" s="501"/>
      <c r="WUU520" s="501"/>
      <c r="WUV520" s="501"/>
      <c r="WUW520" s="501"/>
      <c r="WUX520" s="501"/>
      <c r="WUY520" s="501"/>
      <c r="WUZ520" s="501"/>
      <c r="WVA520" s="501"/>
      <c r="WVB520" s="501"/>
      <c r="WVC520" s="501"/>
      <c r="WVD520" s="501"/>
      <c r="WVE520" s="501"/>
      <c r="WVF520" s="501"/>
      <c r="WVG520" s="501"/>
      <c r="WVH520" s="501"/>
      <c r="WVI520" s="501"/>
      <c r="WVJ520" s="501"/>
      <c r="WVK520" s="501"/>
      <c r="WVL520" s="501"/>
      <c r="WVM520" s="501"/>
      <c r="WVN520" s="501"/>
      <c r="WVO520" s="501"/>
      <c r="WVP520" s="501"/>
      <c r="WVQ520" s="501"/>
      <c r="WVR520" s="501"/>
      <c r="WVS520" s="501"/>
      <c r="WVT520" s="501"/>
      <c r="WVU520" s="501"/>
      <c r="WVV520" s="501"/>
      <c r="WVW520" s="501"/>
      <c r="WVX520" s="501"/>
      <c r="WVY520" s="501"/>
      <c r="WVZ520" s="501"/>
      <c r="WWA520" s="501"/>
      <c r="WWB520" s="501"/>
      <c r="WWC520" s="501"/>
      <c r="WWD520" s="501"/>
      <c r="WWE520" s="501"/>
      <c r="WWF520" s="501"/>
      <c r="WWG520" s="501"/>
      <c r="WWH520" s="501"/>
      <c r="WWI520" s="501"/>
      <c r="WWJ520" s="501"/>
      <c r="WWK520" s="501"/>
      <c r="WWL520" s="501"/>
      <c r="WWM520" s="501"/>
      <c r="WWN520" s="501"/>
      <c r="WWO520" s="501"/>
      <c r="WWP520" s="501"/>
      <c r="WWQ520" s="501"/>
      <c r="WWR520" s="501"/>
      <c r="WWS520" s="501"/>
      <c r="WWT520" s="501"/>
      <c r="WWU520" s="501"/>
      <c r="WWV520" s="501"/>
      <c r="WWW520" s="501"/>
      <c r="WWX520" s="501"/>
      <c r="WWY520" s="501"/>
      <c r="WWZ520" s="501"/>
      <c r="WXA520" s="501"/>
      <c r="WXB520" s="501"/>
      <c r="WXC520" s="501"/>
      <c r="WXD520" s="501"/>
      <c r="WXE520" s="501"/>
      <c r="WXF520" s="501"/>
      <c r="WXG520" s="501"/>
      <c r="WXH520" s="501"/>
      <c r="WXI520" s="501"/>
      <c r="WXJ520" s="501"/>
      <c r="WXK520" s="501"/>
      <c r="WXL520" s="501"/>
      <c r="WXM520" s="501"/>
      <c r="WXN520" s="501"/>
      <c r="WXO520" s="501"/>
      <c r="WXP520" s="501"/>
      <c r="WXQ520" s="501"/>
      <c r="WXR520" s="501"/>
      <c r="WXS520" s="501"/>
      <c r="WXT520" s="501"/>
      <c r="WXU520" s="501"/>
      <c r="WXV520" s="501"/>
      <c r="WXW520" s="501"/>
      <c r="WXX520" s="501"/>
      <c r="WXY520" s="501"/>
      <c r="WXZ520" s="501"/>
      <c r="WYA520" s="501"/>
      <c r="WYB520" s="501"/>
      <c r="WYC520" s="501"/>
      <c r="WYD520" s="501"/>
      <c r="WYE520" s="501"/>
      <c r="WYF520" s="501"/>
      <c r="WYG520" s="501"/>
      <c r="WYH520" s="501"/>
      <c r="WYI520" s="501"/>
      <c r="WYJ520" s="501"/>
      <c r="WYK520" s="501"/>
      <c r="WYL520" s="501"/>
      <c r="WYM520" s="501"/>
      <c r="WYN520" s="501"/>
      <c r="WYO520" s="501"/>
      <c r="WYP520" s="501"/>
      <c r="WYQ520" s="501"/>
      <c r="WYR520" s="501"/>
      <c r="WYS520" s="501"/>
      <c r="WYT520" s="501"/>
      <c r="WYU520" s="501"/>
      <c r="WYV520" s="501"/>
      <c r="WYW520" s="501"/>
      <c r="WYX520" s="501"/>
      <c r="WYY520" s="501"/>
      <c r="WYZ520" s="501"/>
      <c r="WZA520" s="501"/>
      <c r="WZB520" s="501"/>
      <c r="WZC520" s="501"/>
      <c r="WZD520" s="501"/>
      <c r="WZE520" s="501"/>
      <c r="WZF520" s="501"/>
      <c r="WZG520" s="501"/>
      <c r="WZH520" s="501"/>
      <c r="WZI520" s="501"/>
      <c r="WZJ520" s="501"/>
      <c r="WZK520" s="501"/>
      <c r="WZL520" s="501"/>
      <c r="WZM520" s="501"/>
      <c r="WZN520" s="501"/>
      <c r="WZO520" s="501"/>
      <c r="WZP520" s="501"/>
      <c r="WZQ520" s="501"/>
      <c r="WZR520" s="501"/>
      <c r="WZS520" s="501"/>
      <c r="WZT520" s="501"/>
      <c r="WZU520" s="501"/>
      <c r="WZV520" s="501"/>
      <c r="WZW520" s="501"/>
      <c r="WZX520" s="501"/>
      <c r="WZY520" s="501"/>
      <c r="WZZ520" s="501"/>
      <c r="XAA520" s="501"/>
      <c r="XAB520" s="501"/>
      <c r="XAC520" s="501"/>
      <c r="XAD520" s="501"/>
      <c r="XAE520" s="501"/>
      <c r="XAF520" s="501"/>
      <c r="XAG520" s="501"/>
      <c r="XAH520" s="501"/>
      <c r="XAI520" s="501"/>
      <c r="XAJ520" s="501"/>
      <c r="XAK520" s="501"/>
      <c r="XAL520" s="501"/>
      <c r="XAM520" s="501"/>
      <c r="XAN520" s="501"/>
      <c r="XAO520" s="501"/>
      <c r="XAP520" s="501"/>
      <c r="XAQ520" s="501"/>
      <c r="XAR520" s="501"/>
      <c r="XAS520" s="501"/>
      <c r="XAT520" s="501"/>
      <c r="XAU520" s="501"/>
      <c r="XAV520" s="501"/>
      <c r="XAW520" s="501"/>
      <c r="XAX520" s="501"/>
      <c r="XAY520" s="501"/>
      <c r="XAZ520" s="501"/>
      <c r="XBA520" s="501"/>
      <c r="XBB520" s="501"/>
      <c r="XBC520" s="501"/>
      <c r="XBD520" s="501"/>
      <c r="XBE520" s="501"/>
      <c r="XBF520" s="501"/>
      <c r="XBG520" s="501"/>
      <c r="XBH520" s="501"/>
      <c r="XBI520" s="501"/>
      <c r="XBJ520" s="501"/>
      <c r="XBK520" s="501"/>
      <c r="XBL520" s="501"/>
      <c r="XBM520" s="501"/>
      <c r="XBN520" s="501"/>
      <c r="XBO520" s="501"/>
      <c r="XBP520" s="501"/>
      <c r="XBQ520" s="501"/>
      <c r="XBR520" s="501"/>
      <c r="XBS520" s="501"/>
      <c r="XBT520" s="501"/>
      <c r="XBU520" s="501"/>
      <c r="XBV520" s="501"/>
      <c r="XBW520" s="501"/>
      <c r="XBX520" s="501"/>
      <c r="XBY520" s="501"/>
      <c r="XBZ520" s="501"/>
      <c r="XCA520" s="501"/>
      <c r="XCB520" s="501"/>
      <c r="XCC520" s="501"/>
      <c r="XCD520" s="501"/>
      <c r="XCE520" s="501"/>
    </row>
    <row r="521" spans="1:16307" s="26" customFormat="1" x14ac:dyDescent="0.2">
      <c r="A521" s="107"/>
      <c r="B521" s="500"/>
      <c r="C521" s="836"/>
      <c r="D521" s="836"/>
      <c r="E521" s="836"/>
      <c r="F521" s="836"/>
      <c r="G521" s="836"/>
      <c r="H521" s="836"/>
      <c r="I521" s="836"/>
      <c r="J521" s="836"/>
      <c r="K521" s="836"/>
      <c r="L521" s="836"/>
      <c r="M521" s="836"/>
      <c r="N521" s="836"/>
      <c r="O521" s="836"/>
      <c r="P521" s="836"/>
      <c r="Q521" s="836"/>
      <c r="R521" s="836"/>
      <c r="S521" s="836"/>
      <c r="T521" s="836"/>
      <c r="U521" s="836"/>
      <c r="V521" s="836"/>
      <c r="W521" s="836"/>
      <c r="X521" s="836"/>
      <c r="Y521" s="836"/>
      <c r="Z521" s="836"/>
      <c r="AA521" s="836"/>
      <c r="AB521" s="836"/>
      <c r="AC521" s="836"/>
      <c r="AD521" s="836"/>
      <c r="AE521" s="836"/>
      <c r="AF521" s="836"/>
      <c r="AG521" s="836"/>
      <c r="AH521" s="836"/>
      <c r="AI521" s="836"/>
      <c r="AJ521" s="836"/>
      <c r="AK521" s="836"/>
      <c r="AL521" s="836"/>
      <c r="AM521" s="836"/>
      <c r="AN521" s="836"/>
      <c r="AO521" s="836"/>
      <c r="AP521" s="836"/>
      <c r="AQ521" s="836"/>
      <c r="AR521" s="836"/>
      <c r="AS521" s="836"/>
      <c r="AT521" s="836"/>
      <c r="AU521" s="836"/>
      <c r="AV521" s="836"/>
      <c r="AW521" s="836"/>
      <c r="AX521" s="836"/>
      <c r="AY521" s="836"/>
    </row>
    <row r="522" spans="1:16307" s="26" customFormat="1" x14ac:dyDescent="0.2">
      <c r="A522" s="2256" t="s">
        <v>897</v>
      </c>
      <c r="B522" s="2257"/>
      <c r="C522" s="2257"/>
      <c r="D522" s="2257"/>
      <c r="E522" s="2257"/>
      <c r="F522" s="2257"/>
      <c r="G522" s="2257"/>
      <c r="H522" s="2257"/>
      <c r="I522" s="2257"/>
      <c r="J522" s="2257"/>
      <c r="K522" s="2257"/>
      <c r="L522" s="2257"/>
      <c r="M522" s="2257"/>
      <c r="N522" s="2257"/>
      <c r="O522" s="2257"/>
      <c r="P522" s="2257"/>
      <c r="Q522" s="2257"/>
      <c r="R522" s="2257"/>
      <c r="S522" s="2257"/>
      <c r="T522" s="2257"/>
      <c r="U522" s="2257"/>
      <c r="V522" s="2257"/>
      <c r="W522" s="2257"/>
      <c r="X522" s="2257"/>
      <c r="Y522" s="2257"/>
      <c r="Z522" s="2257"/>
      <c r="AA522" s="2257"/>
      <c r="AB522" s="2257"/>
      <c r="AC522" s="2257"/>
      <c r="AD522" s="2257"/>
      <c r="AE522" s="2257"/>
      <c r="AF522" s="2257"/>
      <c r="AG522" s="2257"/>
      <c r="AH522" s="2257"/>
      <c r="AI522" s="2257"/>
      <c r="AJ522" s="2257"/>
      <c r="AK522" s="2257"/>
      <c r="AL522" s="2257"/>
      <c r="AM522" s="2257"/>
      <c r="AN522" s="2257"/>
      <c r="AO522" s="2257"/>
      <c r="AP522" s="2257"/>
      <c r="AQ522" s="2257"/>
      <c r="AR522" s="2257"/>
      <c r="AS522" s="2257"/>
      <c r="AT522" s="2257"/>
      <c r="AU522" s="2257"/>
      <c r="AV522" s="2257"/>
      <c r="AW522" s="2257"/>
      <c r="AX522" s="2257"/>
      <c r="AY522" s="2258"/>
    </row>
    <row r="523" spans="1:16307" s="26" customFormat="1" x14ac:dyDescent="0.2">
      <c r="A523" s="824" t="s">
        <v>654</v>
      </c>
      <c r="B523" s="825" t="s">
        <v>655</v>
      </c>
      <c r="C523" s="826">
        <v>40360</v>
      </c>
      <c r="D523" s="826">
        <v>40391</v>
      </c>
      <c r="E523" s="826">
        <v>40422</v>
      </c>
      <c r="F523" s="826">
        <v>40452</v>
      </c>
      <c r="G523" s="826">
        <v>40483</v>
      </c>
      <c r="H523" s="826">
        <v>40513</v>
      </c>
      <c r="I523" s="826">
        <v>40544</v>
      </c>
      <c r="J523" s="826">
        <v>40575</v>
      </c>
      <c r="K523" s="826">
        <v>40603</v>
      </c>
      <c r="L523" s="826">
        <v>40634</v>
      </c>
      <c r="M523" s="826">
        <v>40664</v>
      </c>
      <c r="N523" s="826">
        <v>40695</v>
      </c>
      <c r="O523" s="826">
        <v>40725</v>
      </c>
      <c r="P523" s="826">
        <v>40756</v>
      </c>
      <c r="Q523" s="826">
        <v>40787</v>
      </c>
      <c r="R523" s="826">
        <v>40817</v>
      </c>
      <c r="S523" s="826">
        <v>40848</v>
      </c>
      <c r="T523" s="826">
        <v>40878</v>
      </c>
      <c r="U523" s="826">
        <v>40909</v>
      </c>
      <c r="V523" s="826">
        <v>40940</v>
      </c>
      <c r="W523" s="826">
        <v>40969</v>
      </c>
      <c r="X523" s="826">
        <v>41000</v>
      </c>
      <c r="Y523" s="826">
        <v>41030</v>
      </c>
      <c r="Z523" s="826">
        <v>41061</v>
      </c>
      <c r="AA523" s="826">
        <v>41091</v>
      </c>
      <c r="AB523" s="826">
        <v>41122</v>
      </c>
      <c r="AC523" s="826">
        <v>41153</v>
      </c>
      <c r="AD523" s="826">
        <v>41183</v>
      </c>
      <c r="AE523" s="826">
        <v>41214</v>
      </c>
      <c r="AF523" s="826">
        <v>41244</v>
      </c>
      <c r="AG523" s="826">
        <v>41275</v>
      </c>
      <c r="AH523" s="826">
        <v>41306</v>
      </c>
      <c r="AI523" s="826">
        <v>41334</v>
      </c>
      <c r="AJ523" s="826">
        <v>41365</v>
      </c>
      <c r="AK523" s="826">
        <v>41395</v>
      </c>
      <c r="AL523" s="826">
        <v>41426</v>
      </c>
      <c r="AM523" s="826">
        <v>41456</v>
      </c>
      <c r="AN523" s="826">
        <v>41487</v>
      </c>
      <c r="AO523" s="826">
        <v>41518</v>
      </c>
      <c r="AP523" s="826">
        <v>41548</v>
      </c>
      <c r="AQ523" s="826">
        <v>41579</v>
      </c>
      <c r="AR523" s="826">
        <v>41609</v>
      </c>
      <c r="AS523" s="826">
        <v>41640</v>
      </c>
      <c r="AT523" s="826">
        <v>41671</v>
      </c>
      <c r="AU523" s="826">
        <v>41699</v>
      </c>
      <c r="AV523" s="826">
        <v>41730</v>
      </c>
      <c r="AW523" s="826">
        <v>41760</v>
      </c>
      <c r="AX523" s="826">
        <v>41791</v>
      </c>
      <c r="AY523" s="826">
        <v>41821</v>
      </c>
    </row>
    <row r="524" spans="1:16307" s="500" customFormat="1" x14ac:dyDescent="0.2">
      <c r="A524" s="827" t="s">
        <v>889</v>
      </c>
      <c r="B524" s="828" t="s">
        <v>898</v>
      </c>
      <c r="C524" s="829">
        <v>519706.60000000003</v>
      </c>
      <c r="D524" s="829">
        <v>395410.80000000005</v>
      </c>
      <c r="E524" s="829">
        <v>316161.80000000005</v>
      </c>
      <c r="F524" s="829">
        <v>308654</v>
      </c>
      <c r="G524" s="829">
        <v>493012.2</v>
      </c>
      <c r="H524" s="829">
        <v>947651.20000000007</v>
      </c>
      <c r="I524" s="829">
        <v>982687.60000000009</v>
      </c>
      <c r="J524" s="829">
        <v>474659.80000000005</v>
      </c>
      <c r="K524" s="829">
        <v>401250.2</v>
      </c>
      <c r="L524" s="829">
        <v>322001.2</v>
      </c>
      <c r="M524" s="829">
        <v>351198.2</v>
      </c>
      <c r="N524" s="829">
        <v>274451.8</v>
      </c>
      <c r="O524" s="829">
        <v>37539</v>
      </c>
      <c r="P524" s="829">
        <v>404587</v>
      </c>
      <c r="Q524" s="829">
        <v>459644.2</v>
      </c>
      <c r="R524" s="829">
        <v>527214.4</v>
      </c>
      <c r="S524" s="829">
        <v>569758.60000000009</v>
      </c>
      <c r="T524" s="829">
        <v>608966</v>
      </c>
      <c r="U524" s="829">
        <v>654847</v>
      </c>
      <c r="V524" s="829">
        <v>620644.80000000005</v>
      </c>
      <c r="W524" s="829">
        <v>524711.80000000005</v>
      </c>
      <c r="X524" s="829">
        <v>1393948.2000000002</v>
      </c>
      <c r="Y524" s="829">
        <v>601458.20000000007</v>
      </c>
      <c r="Z524" s="829">
        <v>583105.80000000005</v>
      </c>
      <c r="AA524" s="829">
        <v>642334</v>
      </c>
      <c r="AB524" s="829">
        <v>733261.8</v>
      </c>
      <c r="AC524" s="829">
        <v>677370.4</v>
      </c>
      <c r="AD524" s="829">
        <v>742438</v>
      </c>
      <c r="AE524" s="829">
        <v>886754.60000000009</v>
      </c>
      <c r="AF524" s="829">
        <v>978516.60000000009</v>
      </c>
      <c r="AG524" s="829">
        <v>1117828</v>
      </c>
      <c r="AH524" s="829">
        <v>953490.60000000009</v>
      </c>
      <c r="AI524" s="829">
        <v>797495.20000000007</v>
      </c>
      <c r="AJ524" s="829">
        <v>533888</v>
      </c>
      <c r="AK524" s="829">
        <v>681541.4</v>
      </c>
      <c r="AL524" s="829">
        <v>413763.2</v>
      </c>
      <c r="AM524" s="829">
        <v>726588.20000000007</v>
      </c>
      <c r="AN524" s="829">
        <v>731593.4</v>
      </c>
      <c r="AO524" s="829">
        <v>461312.60000000003</v>
      </c>
      <c r="AP524" s="829">
        <v>842542</v>
      </c>
      <c r="AQ524" s="829">
        <v>674867.8</v>
      </c>
      <c r="AR524" s="829">
        <v>809174</v>
      </c>
      <c r="AS524" s="829">
        <v>1115325.4000000001</v>
      </c>
      <c r="AT524" s="829">
        <v>682375.60000000009</v>
      </c>
      <c r="AU524" s="829">
        <v>902604.4</v>
      </c>
      <c r="AV524" s="829">
        <v>724919.8</v>
      </c>
      <c r="AW524" s="829">
        <v>504691.00000000006</v>
      </c>
      <c r="AX524" s="829">
        <v>397913.4</v>
      </c>
      <c r="AY524" s="829">
        <v>470488.80000000005</v>
      </c>
    </row>
    <row r="525" spans="1:16307" s="500" customFormat="1" ht="12.75" customHeight="1" x14ac:dyDescent="0.2">
      <c r="A525" s="830">
        <v>315</v>
      </c>
      <c r="B525" s="831" t="s">
        <v>899</v>
      </c>
      <c r="C525" s="832">
        <v>41710</v>
      </c>
      <c r="D525" s="832">
        <v>62565.000000000007</v>
      </c>
      <c r="E525" s="832">
        <v>100104</v>
      </c>
      <c r="F525" s="832">
        <v>153492.80000000002</v>
      </c>
      <c r="G525" s="832">
        <v>163503.20000000001</v>
      </c>
      <c r="H525" s="832">
        <v>216892</v>
      </c>
      <c r="I525" s="832">
        <v>296141</v>
      </c>
      <c r="J525" s="832">
        <v>200208</v>
      </c>
      <c r="K525" s="832">
        <v>166840</v>
      </c>
      <c r="L525" s="832">
        <v>135140.4</v>
      </c>
      <c r="M525" s="832">
        <v>94264.6</v>
      </c>
      <c r="N525" s="832">
        <v>101772.40000000001</v>
      </c>
      <c r="O525" s="832">
        <v>79249</v>
      </c>
      <c r="P525" s="832">
        <v>165171.6</v>
      </c>
      <c r="Q525" s="832">
        <v>141814</v>
      </c>
      <c r="R525" s="832">
        <v>164337.40000000002</v>
      </c>
      <c r="S525" s="832">
        <v>206881.6</v>
      </c>
      <c r="T525" s="832">
        <v>207048.44</v>
      </c>
      <c r="U525" s="832">
        <v>208216.32000000001</v>
      </c>
      <c r="V525" s="832">
        <v>242752.2</v>
      </c>
      <c r="W525" s="832">
        <v>211052.6</v>
      </c>
      <c r="X525" s="832">
        <v>160166.40000000002</v>
      </c>
      <c r="Y525" s="832">
        <v>82585.8</v>
      </c>
      <c r="Z525" s="832">
        <v>59228.200000000004</v>
      </c>
      <c r="AA525" s="832">
        <v>65901.8</v>
      </c>
      <c r="AB525" s="832">
        <v>85922.6</v>
      </c>
      <c r="AC525" s="832">
        <v>171011</v>
      </c>
      <c r="AD525" s="832">
        <v>170176.80000000002</v>
      </c>
      <c r="AE525" s="832">
        <v>208550</v>
      </c>
      <c r="AF525" s="832">
        <v>219394.6</v>
      </c>
      <c r="AG525" s="832">
        <v>291970</v>
      </c>
      <c r="AH525" s="832">
        <v>254848.1</v>
      </c>
      <c r="AI525" s="832">
        <v>229405</v>
      </c>
      <c r="AJ525" s="832">
        <v>171011</v>
      </c>
      <c r="AK525" s="832">
        <v>145985</v>
      </c>
      <c r="AL525" s="832">
        <v>52554.600000000006</v>
      </c>
      <c r="AM525" s="832">
        <v>59228.200000000004</v>
      </c>
      <c r="AN525" s="832">
        <v>95933</v>
      </c>
      <c r="AO525" s="832">
        <v>132637.80000000002</v>
      </c>
      <c r="AP525" s="832">
        <v>192700.2</v>
      </c>
      <c r="AQ525" s="832">
        <v>214389.40000000002</v>
      </c>
      <c r="AR525" s="832">
        <v>207715.80000000002</v>
      </c>
      <c r="AS525" s="832">
        <v>381229.4</v>
      </c>
      <c r="AT525" s="832">
        <v>204379</v>
      </c>
      <c r="AU525" s="832">
        <v>255265.2</v>
      </c>
      <c r="AV525" s="832">
        <v>206881.6</v>
      </c>
      <c r="AW525" s="832">
        <v>81751.600000000006</v>
      </c>
      <c r="AX525" s="832">
        <v>45881</v>
      </c>
      <c r="AY525" s="832">
        <v>58394.000000000007</v>
      </c>
    </row>
    <row r="526" spans="1:16307" s="500" customFormat="1" ht="12.75" customHeight="1" x14ac:dyDescent="0.2">
      <c r="A526" s="830" t="s">
        <v>892</v>
      </c>
      <c r="B526" s="831" t="s">
        <v>900</v>
      </c>
      <c r="C526" s="832">
        <v>0</v>
      </c>
      <c r="D526" s="832">
        <v>0</v>
      </c>
      <c r="E526" s="832">
        <v>0</v>
      </c>
      <c r="F526" s="832">
        <v>0</v>
      </c>
      <c r="G526" s="832">
        <v>0</v>
      </c>
      <c r="H526" s="832">
        <v>0</v>
      </c>
      <c r="I526" s="832">
        <v>0</v>
      </c>
      <c r="J526" s="832">
        <v>0</v>
      </c>
      <c r="K526" s="832">
        <v>0</v>
      </c>
      <c r="L526" s="832">
        <v>0</v>
      </c>
      <c r="M526" s="832">
        <v>0</v>
      </c>
      <c r="N526" s="832">
        <v>0</v>
      </c>
      <c r="O526" s="832">
        <v>0</v>
      </c>
      <c r="P526" s="832">
        <v>0</v>
      </c>
      <c r="Q526" s="832">
        <v>0</v>
      </c>
      <c r="R526" s="832">
        <v>0</v>
      </c>
      <c r="S526" s="832">
        <v>0</v>
      </c>
      <c r="T526" s="832">
        <v>0</v>
      </c>
      <c r="U526" s="832">
        <v>0</v>
      </c>
      <c r="V526" s="832">
        <v>0</v>
      </c>
      <c r="W526" s="832">
        <v>0</v>
      </c>
      <c r="X526" s="832">
        <v>0</v>
      </c>
      <c r="Y526" s="832">
        <v>210652.18400000001</v>
      </c>
      <c r="Z526" s="832">
        <v>60696.392000000007</v>
      </c>
      <c r="AA526" s="832">
        <v>83545.13</v>
      </c>
      <c r="AB526" s="832">
        <v>170660.636</v>
      </c>
      <c r="AC526" s="832">
        <v>189229.92800000001</v>
      </c>
      <c r="AD526" s="832">
        <v>343473.50800000003</v>
      </c>
      <c r="AE526" s="832">
        <v>382747.64400000003</v>
      </c>
      <c r="AF526" s="832">
        <v>356320.18800000002</v>
      </c>
      <c r="AG526" s="832">
        <v>498426.15800000005</v>
      </c>
      <c r="AH526" s="832">
        <v>606463.4</v>
      </c>
      <c r="AI526" s="832">
        <v>623147.4</v>
      </c>
      <c r="AJ526" s="832">
        <v>367048</v>
      </c>
      <c r="AK526" s="832">
        <v>385400.4</v>
      </c>
      <c r="AL526" s="832">
        <v>272783.40000000002</v>
      </c>
      <c r="AM526" s="832">
        <v>340353.60000000003</v>
      </c>
      <c r="AN526" s="832">
        <v>437120.80000000005</v>
      </c>
      <c r="AO526" s="832">
        <v>359540.2</v>
      </c>
      <c r="AP526" s="832">
        <v>462981.00000000006</v>
      </c>
      <c r="AQ526" s="832">
        <v>530551.20000000007</v>
      </c>
      <c r="AR526" s="832">
        <v>387068.80000000005</v>
      </c>
      <c r="AS526" s="832">
        <v>846713</v>
      </c>
      <c r="AT526" s="832">
        <v>451302.2</v>
      </c>
      <c r="AU526" s="832">
        <v>542230</v>
      </c>
      <c r="AV526" s="832">
        <v>358706</v>
      </c>
      <c r="AW526" s="832">
        <v>216892</v>
      </c>
      <c r="AX526" s="832">
        <v>246923.2</v>
      </c>
      <c r="AY526" s="832">
        <v>286964.80000000005</v>
      </c>
    </row>
    <row r="527" spans="1:16307" s="501" customFormat="1" x14ac:dyDescent="0.2">
      <c r="A527" s="833" t="s">
        <v>889</v>
      </c>
      <c r="B527" s="834" t="s">
        <v>901</v>
      </c>
      <c r="C527" s="835">
        <v>22867.09</v>
      </c>
      <c r="D527" s="835">
        <v>17398.079999999998</v>
      </c>
      <c r="E527" s="835">
        <v>13911.12</v>
      </c>
      <c r="F527" s="835">
        <v>13580.779999999999</v>
      </c>
      <c r="G527" s="835">
        <v>21692.54</v>
      </c>
      <c r="H527" s="835">
        <v>41696.649999999994</v>
      </c>
      <c r="I527" s="835">
        <v>43238.25</v>
      </c>
      <c r="J527" s="835">
        <v>20885.04</v>
      </c>
      <c r="K527" s="835">
        <v>17655.009999999998</v>
      </c>
      <c r="L527" s="835">
        <v>14168.050000000001</v>
      </c>
      <c r="M527" s="835">
        <v>15452.72</v>
      </c>
      <c r="N527" s="835">
        <v>5764.08</v>
      </c>
      <c r="O527" s="835">
        <v>788.4</v>
      </c>
      <c r="P527" s="835">
        <v>8497.2000000000007</v>
      </c>
      <c r="Q527" s="835">
        <v>9653.52</v>
      </c>
      <c r="R527" s="835">
        <v>11072.64</v>
      </c>
      <c r="S527" s="835">
        <v>11966.16</v>
      </c>
      <c r="T527" s="835">
        <v>12789.6</v>
      </c>
      <c r="U527" s="835">
        <v>13753.199999999999</v>
      </c>
      <c r="V527" s="835">
        <v>13034.880000000001</v>
      </c>
      <c r="W527" s="835">
        <v>11020.08</v>
      </c>
      <c r="X527" s="835">
        <v>29275.919999999998</v>
      </c>
      <c r="Y527" s="835">
        <v>12631.92</v>
      </c>
      <c r="Z527" s="835">
        <v>12246.48</v>
      </c>
      <c r="AA527" s="835">
        <v>13490.4</v>
      </c>
      <c r="AB527" s="835">
        <v>15400.08</v>
      </c>
      <c r="AC527" s="835">
        <v>14226.24</v>
      </c>
      <c r="AD527" s="835">
        <v>15592.8</v>
      </c>
      <c r="AE527" s="835">
        <v>18623.760000000002</v>
      </c>
      <c r="AF527" s="835">
        <v>20550.96</v>
      </c>
      <c r="AG527" s="835">
        <v>23476.799999999999</v>
      </c>
      <c r="AH527" s="835">
        <v>20025.36</v>
      </c>
      <c r="AI527" s="835">
        <v>16749.12</v>
      </c>
      <c r="AJ527" s="835">
        <v>11212.8</v>
      </c>
      <c r="AK527" s="835">
        <v>14313.84</v>
      </c>
      <c r="AL527" s="835">
        <v>8689.92</v>
      </c>
      <c r="AM527" s="835">
        <v>15259.92</v>
      </c>
      <c r="AN527" s="835">
        <v>15365.04</v>
      </c>
      <c r="AO527" s="835">
        <v>9688.5600000000013</v>
      </c>
      <c r="AP527" s="835">
        <v>17695.2</v>
      </c>
      <c r="AQ527" s="835">
        <v>14173.679999999998</v>
      </c>
      <c r="AR527" s="835">
        <v>16994.400000000001</v>
      </c>
      <c r="AS527" s="835">
        <v>23424.239999999998</v>
      </c>
      <c r="AT527" s="835">
        <v>14331.36</v>
      </c>
      <c r="AU527" s="835">
        <v>18956.64</v>
      </c>
      <c r="AV527" s="835">
        <v>15224.88</v>
      </c>
      <c r="AW527" s="835">
        <v>10599.6</v>
      </c>
      <c r="AX527" s="835">
        <v>8357.0399999999991</v>
      </c>
      <c r="AY527" s="835">
        <v>9881.2800000000007</v>
      </c>
      <c r="AZ527" s="500"/>
      <c r="BA527" s="500"/>
      <c r="BB527" s="500"/>
      <c r="BC527" s="500"/>
      <c r="BD527" s="500"/>
      <c r="BE527" s="500"/>
      <c r="BF527" s="500"/>
      <c r="BG527" s="500"/>
      <c r="BH527" s="500"/>
      <c r="BI527" s="500"/>
      <c r="BJ527" s="500"/>
      <c r="BK527" s="500"/>
      <c r="BL527" s="500"/>
      <c r="BM527" s="500"/>
      <c r="BN527" s="500"/>
      <c r="BO527" s="500"/>
      <c r="BP527" s="500"/>
      <c r="BQ527" s="500"/>
      <c r="BR527" s="500"/>
      <c r="BS527" s="500"/>
      <c r="BT527" s="500"/>
      <c r="BU527" s="500"/>
      <c r="BV527" s="500"/>
      <c r="BW527" s="500"/>
      <c r="BX527" s="500"/>
      <c r="BY527" s="500"/>
      <c r="BZ527" s="500"/>
      <c r="CA527" s="500"/>
      <c r="CB527" s="500"/>
      <c r="CC527" s="500"/>
      <c r="CD527" s="500"/>
      <c r="CE527" s="500"/>
      <c r="CF527" s="500"/>
      <c r="CG527" s="500"/>
      <c r="CH527" s="500"/>
      <c r="CI527" s="500"/>
      <c r="CJ527" s="500"/>
      <c r="CK527" s="500"/>
      <c r="CL527" s="500"/>
      <c r="CM527" s="500"/>
      <c r="CN527" s="500"/>
      <c r="CO527" s="500"/>
      <c r="CP527" s="500"/>
      <c r="CQ527" s="500"/>
      <c r="CR527" s="500"/>
      <c r="CS527" s="500"/>
      <c r="CT527" s="500"/>
      <c r="CU527" s="500"/>
      <c r="CV527" s="500"/>
      <c r="CW527" s="500"/>
      <c r="CX527" s="500"/>
      <c r="CY527" s="500"/>
      <c r="CZ527" s="500"/>
      <c r="DA527" s="500"/>
      <c r="DB527" s="500"/>
      <c r="DC527" s="500"/>
      <c r="DD527" s="500"/>
      <c r="DE527" s="500"/>
      <c r="DF527" s="500"/>
      <c r="DG527" s="500"/>
      <c r="DH527" s="500"/>
      <c r="DI527" s="500"/>
      <c r="DJ527" s="500"/>
      <c r="DK527" s="500"/>
      <c r="DL527" s="500"/>
      <c r="DM527" s="500"/>
      <c r="DN527" s="500"/>
      <c r="DO527" s="500"/>
      <c r="DP527" s="500"/>
      <c r="DQ527" s="500"/>
      <c r="DR527" s="500"/>
      <c r="DS527" s="500"/>
      <c r="DT527" s="500"/>
      <c r="DU527" s="500"/>
      <c r="DV527" s="500"/>
      <c r="DW527" s="500"/>
      <c r="DX527" s="500"/>
      <c r="DY527" s="500"/>
      <c r="DZ527" s="500"/>
      <c r="EA527" s="500"/>
      <c r="EB527" s="500"/>
      <c r="EC527" s="500"/>
      <c r="ED527" s="500"/>
      <c r="EE527" s="500"/>
      <c r="EF527" s="500"/>
      <c r="EG527" s="500"/>
      <c r="EH527" s="500"/>
      <c r="EI527" s="500"/>
      <c r="EJ527" s="500"/>
      <c r="EK527" s="500"/>
      <c r="EL527" s="500"/>
      <c r="EM527" s="500"/>
      <c r="EN527" s="500"/>
      <c r="EO527" s="500"/>
      <c r="EP527" s="500"/>
      <c r="EQ527" s="500"/>
      <c r="ER527" s="500"/>
      <c r="ES527" s="500"/>
      <c r="ET527" s="500"/>
      <c r="EU527" s="500"/>
      <c r="EV527" s="500"/>
      <c r="EW527" s="500"/>
      <c r="EX527" s="500"/>
      <c r="EY527" s="500"/>
      <c r="EZ527" s="500"/>
      <c r="FA527" s="500"/>
      <c r="FB527" s="500"/>
      <c r="FC527" s="500"/>
      <c r="FD527" s="500"/>
      <c r="FE527" s="500"/>
      <c r="FF527" s="500"/>
      <c r="FG527" s="500"/>
      <c r="FH527" s="500"/>
      <c r="FI527" s="500"/>
      <c r="FJ527" s="500"/>
      <c r="FK527" s="500"/>
      <c r="FL527" s="500"/>
      <c r="FM527" s="500"/>
      <c r="FN527" s="500"/>
      <c r="FO527" s="500"/>
      <c r="FP527" s="500"/>
      <c r="FQ527" s="500"/>
      <c r="FR527" s="500"/>
      <c r="FS527" s="500"/>
      <c r="FT527" s="500"/>
      <c r="FU527" s="500"/>
      <c r="FV527" s="500"/>
      <c r="FW527" s="500"/>
      <c r="FX527" s="500"/>
      <c r="FY527" s="500"/>
      <c r="FZ527" s="500"/>
      <c r="GA527" s="500"/>
      <c r="GB527" s="500"/>
      <c r="GC527" s="500"/>
      <c r="GD527" s="500"/>
      <c r="GE527" s="500"/>
      <c r="GF527" s="500"/>
      <c r="GG527" s="500"/>
      <c r="GH527" s="500"/>
      <c r="GI527" s="500"/>
      <c r="GJ527" s="500"/>
      <c r="GK527" s="500"/>
      <c r="GL527" s="500"/>
      <c r="GM527" s="500"/>
      <c r="GN527" s="500"/>
      <c r="GO527" s="500"/>
      <c r="GP527" s="500"/>
      <c r="GQ527" s="500"/>
      <c r="GR527" s="500"/>
      <c r="GS527" s="500"/>
      <c r="GT527" s="500"/>
      <c r="GU527" s="500"/>
      <c r="GV527" s="500"/>
      <c r="GW527" s="500"/>
      <c r="GX527" s="500"/>
      <c r="GY527" s="500"/>
      <c r="GZ527" s="500"/>
      <c r="HA527" s="500"/>
      <c r="HB527" s="500"/>
      <c r="HC527" s="500"/>
      <c r="HD527" s="500"/>
      <c r="HE527" s="500"/>
      <c r="HF527" s="500"/>
      <c r="HG527" s="500"/>
      <c r="HH527" s="500"/>
      <c r="HI527" s="500"/>
      <c r="HJ527" s="500"/>
      <c r="HK527" s="500"/>
      <c r="HL527" s="500"/>
      <c r="HM527" s="500"/>
      <c r="HN527" s="500"/>
      <c r="HO527" s="500"/>
      <c r="HP527" s="500"/>
      <c r="HQ527" s="500"/>
      <c r="HR527" s="500"/>
      <c r="HS527" s="500"/>
      <c r="HT527" s="500"/>
      <c r="HU527" s="500"/>
      <c r="HV527" s="500"/>
      <c r="HW527" s="500"/>
      <c r="HX527" s="500"/>
      <c r="HY527" s="500"/>
      <c r="HZ527" s="500"/>
      <c r="IA527" s="500"/>
      <c r="IB527" s="500"/>
      <c r="IC527" s="500"/>
      <c r="ID527" s="500"/>
      <c r="IE527" s="500"/>
      <c r="IF527" s="500"/>
      <c r="IG527" s="500"/>
      <c r="IH527" s="500"/>
      <c r="II527" s="500"/>
      <c r="IJ527" s="500"/>
      <c r="IK527" s="500"/>
      <c r="IL527" s="500"/>
      <c r="IM527" s="500"/>
      <c r="IN527" s="500"/>
      <c r="IO527" s="500"/>
      <c r="IP527" s="500"/>
      <c r="IQ527" s="500"/>
      <c r="IR527" s="500"/>
      <c r="IS527" s="500"/>
      <c r="IT527" s="500"/>
      <c r="IU527" s="500"/>
      <c r="IV527" s="500"/>
      <c r="IW527" s="500"/>
      <c r="IX527" s="500"/>
      <c r="IY527" s="500"/>
      <c r="IZ527" s="500"/>
      <c r="JA527" s="500"/>
      <c r="JB527" s="500"/>
      <c r="JC527" s="500"/>
      <c r="JD527" s="500"/>
      <c r="JE527" s="500"/>
      <c r="JF527" s="500"/>
      <c r="JG527" s="500"/>
      <c r="JH527" s="500"/>
      <c r="JI527" s="500"/>
      <c r="JJ527" s="500"/>
      <c r="JK527" s="500"/>
      <c r="JL527" s="500"/>
      <c r="JM527" s="500"/>
      <c r="JN527" s="500"/>
      <c r="JO527" s="500"/>
      <c r="JP527" s="500"/>
      <c r="JQ527" s="500"/>
      <c r="JR527" s="500"/>
      <c r="JS527" s="500"/>
      <c r="JT527" s="500"/>
      <c r="JU527" s="500"/>
      <c r="JV527" s="500"/>
      <c r="JW527" s="500"/>
      <c r="JX527" s="500"/>
      <c r="JY527" s="500"/>
      <c r="JZ527" s="500"/>
      <c r="KA527" s="500"/>
      <c r="KB527" s="500"/>
      <c r="KC527" s="500"/>
      <c r="KD527" s="500"/>
      <c r="KE527" s="500"/>
      <c r="KF527" s="500"/>
      <c r="KG527" s="500"/>
      <c r="KH527" s="500"/>
      <c r="KI527" s="500"/>
      <c r="KJ527" s="500"/>
      <c r="KK527" s="500"/>
      <c r="KL527" s="500"/>
      <c r="KM527" s="500"/>
      <c r="KN527" s="500"/>
      <c r="KO527" s="500"/>
      <c r="KP527" s="500"/>
      <c r="KQ527" s="500"/>
      <c r="KR527" s="500"/>
      <c r="KS527" s="500"/>
      <c r="KT527" s="500"/>
      <c r="KU527" s="500"/>
      <c r="KV527" s="500"/>
      <c r="KW527" s="500"/>
      <c r="KX527" s="500"/>
      <c r="KY527" s="500"/>
      <c r="KZ527" s="500"/>
      <c r="LA527" s="500"/>
      <c r="LB527" s="500"/>
      <c r="LC527" s="500"/>
      <c r="LD527" s="500"/>
      <c r="LE527" s="500"/>
      <c r="LF527" s="500"/>
      <c r="LG527" s="500"/>
      <c r="LH527" s="500"/>
      <c r="LI527" s="500"/>
      <c r="LJ527" s="500"/>
      <c r="LK527" s="500"/>
      <c r="LL527" s="500"/>
      <c r="LM527" s="500"/>
      <c r="LN527" s="500"/>
      <c r="LO527" s="500"/>
      <c r="LP527" s="500"/>
      <c r="LQ527" s="500"/>
      <c r="LR527" s="500"/>
      <c r="LS527" s="500"/>
      <c r="LT527" s="500"/>
      <c r="LU527" s="500"/>
      <c r="LV527" s="500"/>
      <c r="LW527" s="500"/>
      <c r="LX527" s="500"/>
      <c r="LY527" s="500"/>
      <c r="LZ527" s="500"/>
      <c r="MA527" s="500"/>
      <c r="MB527" s="500"/>
      <c r="MC527" s="500"/>
      <c r="MD527" s="500"/>
      <c r="ME527" s="500"/>
      <c r="MF527" s="500"/>
      <c r="MG527" s="500"/>
      <c r="MH527" s="500"/>
      <c r="MI527" s="500"/>
      <c r="MJ527" s="500"/>
      <c r="MK527" s="500"/>
      <c r="ML527" s="500"/>
      <c r="MM527" s="500"/>
      <c r="MN527" s="500"/>
      <c r="MO527" s="500"/>
      <c r="MP527" s="500"/>
      <c r="MQ527" s="500"/>
      <c r="MR527" s="500"/>
      <c r="MS527" s="500"/>
      <c r="MT527" s="500"/>
      <c r="MU527" s="500"/>
      <c r="MV527" s="500"/>
      <c r="MW527" s="500"/>
      <c r="MX527" s="500"/>
      <c r="MY527" s="500"/>
      <c r="MZ527" s="500"/>
      <c r="NA527" s="500"/>
      <c r="NB527" s="500"/>
      <c r="NC527" s="500"/>
      <c r="ND527" s="500"/>
      <c r="NE527" s="500"/>
      <c r="NF527" s="500"/>
      <c r="NG527" s="500"/>
      <c r="NH527" s="500"/>
      <c r="NI527" s="500"/>
      <c r="NJ527" s="500"/>
      <c r="NK527" s="500"/>
      <c r="NL527" s="500"/>
      <c r="NM527" s="500"/>
      <c r="NN527" s="500"/>
      <c r="NO527" s="500"/>
      <c r="NP527" s="500"/>
      <c r="NQ527" s="500"/>
      <c r="NR527" s="500"/>
      <c r="NS527" s="500"/>
      <c r="NT527" s="500"/>
      <c r="NU527" s="500"/>
      <c r="NV527" s="500"/>
      <c r="NW527" s="500"/>
      <c r="NX527" s="500"/>
      <c r="NY527" s="500"/>
      <c r="NZ527" s="500"/>
      <c r="OA527" s="500"/>
      <c r="OB527" s="500"/>
      <c r="OC527" s="500"/>
      <c r="OD527" s="500"/>
      <c r="OE527" s="500"/>
      <c r="OF527" s="500"/>
      <c r="OG527" s="500"/>
      <c r="OH527" s="500"/>
      <c r="OI527" s="500"/>
      <c r="OJ527" s="500"/>
      <c r="OK527" s="500"/>
      <c r="OL527" s="500"/>
      <c r="OM527" s="500"/>
      <c r="ON527" s="500"/>
      <c r="OO527" s="500"/>
      <c r="OP527" s="500"/>
      <c r="OQ527" s="500"/>
      <c r="OR527" s="500"/>
      <c r="OS527" s="500"/>
      <c r="OT527" s="500"/>
      <c r="OU527" s="500"/>
      <c r="OV527" s="500"/>
      <c r="OW527" s="500"/>
      <c r="OX527" s="500"/>
      <c r="OY527" s="500"/>
      <c r="OZ527" s="500"/>
      <c r="PA527" s="500"/>
      <c r="PB527" s="500"/>
      <c r="PC527" s="500"/>
      <c r="PD527" s="500"/>
      <c r="PE527" s="500"/>
      <c r="PF527" s="500"/>
      <c r="PG527" s="500"/>
      <c r="PH527" s="500"/>
      <c r="PI527" s="500"/>
      <c r="PJ527" s="500"/>
      <c r="PK527" s="500"/>
      <c r="PL527" s="500"/>
      <c r="PM527" s="500"/>
      <c r="PN527" s="500"/>
      <c r="PO527" s="500"/>
      <c r="PP527" s="500"/>
      <c r="PQ527" s="500"/>
      <c r="PR527" s="500"/>
      <c r="PS527" s="500"/>
      <c r="PT527" s="500"/>
      <c r="PU527" s="500"/>
      <c r="PV527" s="500"/>
      <c r="PW527" s="500"/>
      <c r="PX527" s="500"/>
      <c r="PY527" s="500"/>
      <c r="PZ527" s="500"/>
      <c r="QA527" s="500"/>
      <c r="QB527" s="500"/>
      <c r="QC527" s="500"/>
      <c r="QD527" s="500"/>
      <c r="QE527" s="500"/>
      <c r="QF527" s="500"/>
      <c r="QG527" s="500"/>
      <c r="QH527" s="500"/>
      <c r="QI527" s="500"/>
      <c r="QJ527" s="500"/>
      <c r="QK527" s="500"/>
      <c r="QL527" s="500"/>
      <c r="QM527" s="500"/>
      <c r="QN527" s="500"/>
      <c r="QO527" s="500"/>
      <c r="QP527" s="500"/>
      <c r="QQ527" s="500"/>
      <c r="QR527" s="500"/>
      <c r="QS527" s="500"/>
      <c r="QT527" s="500"/>
      <c r="QU527" s="500"/>
      <c r="QV527" s="500"/>
      <c r="QW527" s="500"/>
      <c r="QX527" s="500"/>
      <c r="QY527" s="500"/>
      <c r="QZ527" s="500"/>
      <c r="RA527" s="500"/>
      <c r="RB527" s="500"/>
      <c r="RC527" s="500"/>
      <c r="RD527" s="500"/>
      <c r="RE527" s="500"/>
      <c r="RF527" s="500"/>
      <c r="RG527" s="500"/>
      <c r="RH527" s="500"/>
      <c r="RI527" s="500"/>
      <c r="RJ527" s="500"/>
      <c r="RK527" s="500"/>
      <c r="RL527" s="500"/>
      <c r="RM527" s="500"/>
      <c r="RN527" s="500"/>
      <c r="RO527" s="500"/>
      <c r="RP527" s="500"/>
      <c r="RQ527" s="500"/>
      <c r="RR527" s="500"/>
      <c r="RS527" s="500"/>
      <c r="RT527" s="500"/>
      <c r="RU527" s="500"/>
      <c r="RV527" s="500"/>
      <c r="RW527" s="500"/>
      <c r="RX527" s="500"/>
      <c r="RY527" s="500"/>
      <c r="RZ527" s="500"/>
      <c r="SA527" s="500"/>
      <c r="SB527" s="500"/>
      <c r="SC527" s="500"/>
      <c r="SD527" s="500"/>
      <c r="SE527" s="500"/>
      <c r="SF527" s="500"/>
      <c r="SG527" s="500"/>
      <c r="SH527" s="500"/>
      <c r="SI527" s="500"/>
      <c r="SJ527" s="500"/>
      <c r="SK527" s="500"/>
      <c r="SL527" s="500"/>
      <c r="SM527" s="500"/>
      <c r="SN527" s="500"/>
      <c r="SO527" s="500"/>
      <c r="SP527" s="500"/>
      <c r="SQ527" s="500"/>
      <c r="SR527" s="500"/>
      <c r="SS527" s="500"/>
      <c r="ST527" s="500"/>
      <c r="SU527" s="500"/>
      <c r="SV527" s="500"/>
      <c r="SW527" s="500"/>
      <c r="SX527" s="500"/>
      <c r="SY527" s="500"/>
      <c r="SZ527" s="500"/>
      <c r="TA527" s="500"/>
      <c r="TB527" s="500"/>
      <c r="TC527" s="500"/>
      <c r="TD527" s="500"/>
      <c r="TE527" s="500"/>
      <c r="TF527" s="500"/>
      <c r="TG527" s="500"/>
      <c r="TH527" s="500"/>
      <c r="TI527" s="500"/>
      <c r="TJ527" s="500"/>
      <c r="TK527" s="500"/>
      <c r="TL527" s="500"/>
      <c r="TM527" s="500"/>
      <c r="TN527" s="500"/>
      <c r="TO527" s="500"/>
      <c r="TP527" s="500"/>
      <c r="TQ527" s="500"/>
      <c r="TR527" s="500"/>
      <c r="TS527" s="500"/>
      <c r="TT527" s="500"/>
      <c r="TU527" s="500"/>
      <c r="TV527" s="500"/>
      <c r="TW527" s="500"/>
      <c r="TX527" s="500"/>
      <c r="TY527" s="500"/>
      <c r="TZ527" s="500"/>
      <c r="UA527" s="500"/>
      <c r="UB527" s="500"/>
      <c r="UC527" s="500"/>
      <c r="UD527" s="500"/>
      <c r="UE527" s="500"/>
      <c r="UF527" s="500"/>
      <c r="UG527" s="500"/>
      <c r="UH527" s="500"/>
      <c r="UI527" s="500"/>
      <c r="UJ527" s="500"/>
      <c r="UK527" s="500"/>
      <c r="UL527" s="500"/>
      <c r="UM527" s="500"/>
      <c r="UN527" s="500"/>
      <c r="UO527" s="500"/>
      <c r="UP527" s="500"/>
      <c r="UQ527" s="500"/>
      <c r="UR527" s="500"/>
      <c r="US527" s="500"/>
      <c r="UT527" s="500"/>
      <c r="UU527" s="500"/>
      <c r="UV527" s="500"/>
      <c r="UW527" s="500"/>
      <c r="UX527" s="500"/>
      <c r="UY527" s="500"/>
      <c r="UZ527" s="500"/>
      <c r="VA527" s="500"/>
      <c r="VB527" s="500"/>
      <c r="VC527" s="500"/>
      <c r="VD527" s="500"/>
      <c r="VE527" s="500"/>
      <c r="VF527" s="500"/>
      <c r="VG527" s="500"/>
      <c r="VH527" s="500"/>
      <c r="VI527" s="500"/>
      <c r="VJ527" s="500"/>
      <c r="VK527" s="500"/>
      <c r="VL527" s="500"/>
      <c r="VM527" s="500"/>
      <c r="VN527" s="500"/>
      <c r="VO527" s="500"/>
      <c r="VP527" s="500"/>
      <c r="VQ527" s="500"/>
      <c r="VR527" s="500"/>
      <c r="VS527" s="500"/>
      <c r="VT527" s="500"/>
      <c r="VU527" s="500"/>
      <c r="VV527" s="500"/>
      <c r="VW527" s="500"/>
      <c r="VX527" s="500"/>
      <c r="VY527" s="500"/>
      <c r="VZ527" s="500"/>
      <c r="WA527" s="500"/>
      <c r="WB527" s="500"/>
      <c r="WC527" s="500"/>
      <c r="WD527" s="500"/>
      <c r="WE527" s="500"/>
      <c r="WF527" s="500"/>
      <c r="WG527" s="500"/>
      <c r="WH527" s="500"/>
      <c r="WI527" s="500"/>
      <c r="WJ527" s="500"/>
      <c r="WK527" s="500"/>
      <c r="WL527" s="500"/>
      <c r="WM527" s="500"/>
      <c r="WN527" s="500"/>
      <c r="WO527" s="500"/>
      <c r="WP527" s="500"/>
      <c r="WQ527" s="500"/>
      <c r="WR527" s="500"/>
      <c r="WS527" s="500"/>
      <c r="WT527" s="500"/>
      <c r="WU527" s="500"/>
      <c r="WV527" s="500"/>
      <c r="WW527" s="500"/>
      <c r="WX527" s="500"/>
      <c r="WY527" s="500"/>
      <c r="WZ527" s="500"/>
      <c r="XA527" s="500"/>
      <c r="XB527" s="500"/>
      <c r="XC527" s="500"/>
      <c r="XD527" s="500"/>
      <c r="XE527" s="500"/>
      <c r="XF527" s="500"/>
      <c r="XG527" s="500"/>
      <c r="XH527" s="500"/>
      <c r="XI527" s="500"/>
      <c r="XJ527" s="500"/>
      <c r="XK527" s="500"/>
      <c r="XL527" s="500"/>
      <c r="XM527" s="500"/>
      <c r="XN527" s="500"/>
      <c r="XO527" s="500"/>
      <c r="XP527" s="500"/>
      <c r="XQ527" s="500"/>
      <c r="XR527" s="500"/>
      <c r="XS527" s="500"/>
      <c r="XT527" s="500"/>
      <c r="XU527" s="500"/>
      <c r="XV527" s="500"/>
      <c r="XW527" s="500"/>
      <c r="XX527" s="500"/>
      <c r="XY527" s="500"/>
      <c r="XZ527" s="500"/>
      <c r="YA527" s="500"/>
      <c r="YB527" s="500"/>
      <c r="YC527" s="500"/>
      <c r="YD527" s="500"/>
      <c r="YE527" s="500"/>
      <c r="YF527" s="500"/>
      <c r="YG527" s="500"/>
      <c r="YH527" s="500"/>
      <c r="YI527" s="500"/>
      <c r="YJ527" s="500"/>
      <c r="YK527" s="500"/>
      <c r="YL527" s="500"/>
      <c r="YM527" s="500"/>
      <c r="YN527" s="500"/>
      <c r="YO527" s="500"/>
      <c r="YP527" s="500"/>
      <c r="YQ527" s="500"/>
      <c r="YR527" s="500"/>
      <c r="YS527" s="500"/>
      <c r="YT527" s="500"/>
      <c r="YU527" s="500"/>
      <c r="YV527" s="500"/>
      <c r="YW527" s="500"/>
      <c r="YX527" s="500"/>
      <c r="YY527" s="500"/>
      <c r="YZ527" s="500"/>
      <c r="ZA527" s="500"/>
      <c r="ZB527" s="500"/>
      <c r="ZC527" s="500"/>
      <c r="ZD527" s="500"/>
      <c r="ZE527" s="500"/>
      <c r="ZF527" s="500"/>
      <c r="ZG527" s="500"/>
      <c r="ZH527" s="500"/>
      <c r="ZI527" s="500"/>
      <c r="ZJ527" s="500"/>
      <c r="ZK527" s="500"/>
      <c r="ZL527" s="500"/>
      <c r="ZM527" s="500"/>
      <c r="ZN527" s="500"/>
      <c r="ZO527" s="500"/>
      <c r="ZP527" s="500"/>
      <c r="ZQ527" s="500"/>
      <c r="ZR527" s="500"/>
      <c r="ZS527" s="500"/>
      <c r="ZT527" s="500"/>
      <c r="ZU527" s="500"/>
      <c r="ZV527" s="500"/>
      <c r="ZW527" s="500"/>
      <c r="ZX527" s="500"/>
      <c r="ZY527" s="500"/>
      <c r="ZZ527" s="500"/>
      <c r="AAA527" s="500"/>
      <c r="AAB527" s="500"/>
      <c r="AAC527" s="500"/>
      <c r="AAD527" s="500"/>
      <c r="AAE527" s="500"/>
      <c r="AAF527" s="500"/>
      <c r="AAG527" s="500"/>
      <c r="AAH527" s="500"/>
      <c r="AAI527" s="500"/>
      <c r="AAJ527" s="500"/>
      <c r="AAK527" s="500"/>
      <c r="AAL527" s="500"/>
      <c r="AAM527" s="500"/>
      <c r="AAN527" s="500"/>
      <c r="AAO527" s="500"/>
      <c r="AAP527" s="500"/>
      <c r="AAQ527" s="500"/>
      <c r="AAR527" s="500"/>
      <c r="AAS527" s="500"/>
      <c r="AAT527" s="500"/>
      <c r="AAU527" s="500"/>
      <c r="AAV527" s="500"/>
      <c r="AAW527" s="500"/>
      <c r="AAX527" s="500"/>
      <c r="AAY527" s="500"/>
      <c r="AAZ527" s="500"/>
      <c r="ABA527" s="500"/>
      <c r="ABB527" s="500"/>
      <c r="ABC527" s="500"/>
      <c r="ABD527" s="500"/>
      <c r="ABE527" s="500"/>
      <c r="ABF527" s="500"/>
      <c r="ABG527" s="500"/>
      <c r="ABH527" s="500"/>
      <c r="ABI527" s="500"/>
      <c r="ABJ527" s="500"/>
      <c r="ABK527" s="500"/>
      <c r="ABL527" s="500"/>
      <c r="ABM527" s="500"/>
      <c r="ABN527" s="500"/>
      <c r="ABO527" s="500"/>
      <c r="ABP527" s="500"/>
      <c r="ABQ527" s="500"/>
      <c r="ABR527" s="500"/>
      <c r="ABS527" s="500"/>
      <c r="ABT527" s="500"/>
      <c r="ABU527" s="500"/>
      <c r="ABV527" s="500"/>
      <c r="ABW527" s="500"/>
      <c r="ABX527" s="500"/>
      <c r="ABY527" s="500"/>
      <c r="ABZ527" s="500"/>
      <c r="ACA527" s="500"/>
      <c r="ACB527" s="500"/>
      <c r="ACC527" s="500"/>
      <c r="ACD527" s="500"/>
      <c r="ACE527" s="500"/>
      <c r="ACF527" s="500"/>
      <c r="ACG527" s="500"/>
      <c r="ACH527" s="500"/>
      <c r="ACI527" s="500"/>
      <c r="ACJ527" s="500"/>
      <c r="ACK527" s="500"/>
      <c r="ACL527" s="500"/>
      <c r="ACM527" s="500"/>
      <c r="ACN527" s="500"/>
      <c r="ACO527" s="500"/>
      <c r="ACP527" s="500"/>
      <c r="ACQ527" s="500"/>
      <c r="ACR527" s="500"/>
      <c r="ACS527" s="500"/>
      <c r="ACT527" s="500"/>
      <c r="ACU527" s="500"/>
      <c r="ACV527" s="500"/>
      <c r="ACW527" s="500"/>
      <c r="ACX527" s="500"/>
      <c r="ACY527" s="500"/>
      <c r="ACZ527" s="500"/>
      <c r="ADA527" s="500"/>
      <c r="ADB527" s="500"/>
      <c r="ADC527" s="500"/>
      <c r="ADD527" s="500"/>
      <c r="ADE527" s="500"/>
      <c r="ADF527" s="500"/>
      <c r="ADG527" s="500"/>
      <c r="ADH527" s="500"/>
      <c r="ADI527" s="500"/>
      <c r="ADJ527" s="500"/>
      <c r="ADK527" s="500"/>
      <c r="ADL527" s="500"/>
      <c r="ADM527" s="500"/>
      <c r="ADN527" s="500"/>
      <c r="ADO527" s="500"/>
      <c r="ADP527" s="500"/>
      <c r="ADQ527" s="500"/>
      <c r="ADR527" s="500"/>
      <c r="ADS527" s="500"/>
      <c r="ADT527" s="500"/>
      <c r="ADU527" s="500"/>
      <c r="ADV527" s="500"/>
      <c r="ADW527" s="500"/>
      <c r="ADX527" s="500"/>
      <c r="ADY527" s="500"/>
      <c r="ADZ527" s="500"/>
      <c r="AEA527" s="500"/>
      <c r="AEB527" s="500"/>
      <c r="AEC527" s="500"/>
      <c r="AED527" s="500"/>
      <c r="AEE527" s="500"/>
      <c r="AEF527" s="500"/>
      <c r="AEG527" s="500"/>
      <c r="AEH527" s="500"/>
      <c r="AEI527" s="500"/>
      <c r="AEJ527" s="500"/>
      <c r="AEK527" s="500"/>
      <c r="AEL527" s="500"/>
      <c r="AEM527" s="500"/>
      <c r="AEN527" s="500"/>
      <c r="AEO527" s="500"/>
      <c r="AEP527" s="500"/>
      <c r="AEQ527" s="500"/>
      <c r="AER527" s="500"/>
      <c r="AES527" s="500"/>
      <c r="AET527" s="500"/>
      <c r="AEU527" s="500"/>
      <c r="AEV527" s="500"/>
      <c r="AEW527" s="500"/>
      <c r="AEX527" s="500"/>
      <c r="AEY527" s="500"/>
      <c r="AEZ527" s="500"/>
      <c r="AFA527" s="500"/>
      <c r="AFB527" s="500"/>
      <c r="AFC527" s="500"/>
      <c r="AFD527" s="500"/>
      <c r="AFE527" s="500"/>
      <c r="AFF527" s="500"/>
      <c r="AFG527" s="500"/>
      <c r="AFH527" s="500"/>
      <c r="AFI527" s="500"/>
      <c r="AFJ527" s="500"/>
      <c r="AFK527" s="500"/>
      <c r="AFL527" s="500"/>
      <c r="AFM527" s="500"/>
      <c r="AFN527" s="500"/>
      <c r="AFO527" s="500"/>
      <c r="AFP527" s="500"/>
      <c r="AFQ527" s="500"/>
      <c r="AFR527" s="500"/>
      <c r="AFS527" s="500"/>
      <c r="AFT527" s="500"/>
      <c r="AFU527" s="500"/>
      <c r="AFV527" s="500"/>
      <c r="AFW527" s="500"/>
      <c r="AFX527" s="500"/>
      <c r="AFY527" s="500"/>
      <c r="AFZ527" s="500"/>
      <c r="AGA527" s="500"/>
      <c r="AGB527" s="500"/>
      <c r="AGC527" s="500"/>
      <c r="AGD527" s="500"/>
      <c r="AGE527" s="500"/>
      <c r="AGF527" s="500"/>
      <c r="AGG527" s="500"/>
      <c r="AGH527" s="500"/>
      <c r="AGI527" s="500"/>
      <c r="AGJ527" s="500"/>
      <c r="AGK527" s="500"/>
      <c r="AGL527" s="500"/>
      <c r="AGM527" s="500"/>
      <c r="AGN527" s="500"/>
      <c r="AGO527" s="500"/>
      <c r="AGP527" s="500"/>
      <c r="AGQ527" s="500"/>
      <c r="AGR527" s="500"/>
      <c r="AGS527" s="500"/>
      <c r="AGT527" s="500"/>
      <c r="AGU527" s="500"/>
      <c r="AGV527" s="500"/>
      <c r="AGW527" s="500"/>
      <c r="AGX527" s="500"/>
      <c r="AGY527" s="500"/>
      <c r="AGZ527" s="500"/>
      <c r="AHA527" s="500"/>
      <c r="AHB527" s="500"/>
      <c r="AHC527" s="500"/>
      <c r="AHD527" s="500"/>
      <c r="AHE527" s="500"/>
      <c r="AHF527" s="500"/>
      <c r="AHG527" s="500"/>
      <c r="AHH527" s="500"/>
      <c r="AHI527" s="500"/>
      <c r="AHJ527" s="500"/>
      <c r="AHK527" s="500"/>
      <c r="AHL527" s="500"/>
      <c r="AHM527" s="500"/>
      <c r="AHN527" s="500"/>
      <c r="AHO527" s="500"/>
      <c r="AHP527" s="500"/>
      <c r="AHQ527" s="500"/>
      <c r="AHR527" s="500"/>
      <c r="AHS527" s="500"/>
      <c r="AHT527" s="500"/>
      <c r="AHU527" s="500"/>
      <c r="AHV527" s="500"/>
      <c r="AHW527" s="500"/>
      <c r="AHX527" s="500"/>
      <c r="AHY527" s="500"/>
      <c r="AHZ527" s="500"/>
      <c r="AIA527" s="500"/>
      <c r="AIB527" s="500"/>
      <c r="AIC527" s="500"/>
      <c r="AID527" s="500"/>
      <c r="AIE527" s="500"/>
      <c r="AIF527" s="500"/>
      <c r="AIG527" s="500"/>
      <c r="AIH527" s="500"/>
      <c r="AII527" s="500"/>
      <c r="AIJ527" s="500"/>
      <c r="AIK527" s="500"/>
      <c r="AIL527" s="500"/>
      <c r="AIM527" s="500"/>
      <c r="AIN527" s="500"/>
      <c r="AIO527" s="500"/>
      <c r="AIP527" s="500"/>
      <c r="AIQ527" s="500"/>
      <c r="AIR527" s="500"/>
      <c r="AIS527" s="500"/>
      <c r="AIT527" s="500"/>
      <c r="AIU527" s="500"/>
      <c r="AIV527" s="500"/>
      <c r="AIW527" s="500"/>
      <c r="AIX527" s="500"/>
      <c r="AIY527" s="500"/>
      <c r="AIZ527" s="500"/>
      <c r="AJA527" s="500"/>
      <c r="AJB527" s="500"/>
      <c r="AJC527" s="500"/>
      <c r="AJD527" s="500"/>
      <c r="AJE527" s="500"/>
      <c r="AJF527" s="500"/>
      <c r="AJG527" s="500"/>
      <c r="AJH527" s="500"/>
      <c r="AJI527" s="500"/>
      <c r="AJJ527" s="500"/>
      <c r="AJK527" s="500"/>
      <c r="AJL527" s="500"/>
      <c r="AJM527" s="500"/>
      <c r="AJN527" s="500"/>
      <c r="AJO527" s="500"/>
      <c r="AJP527" s="500"/>
      <c r="AJQ527" s="500"/>
      <c r="AJR527" s="500"/>
      <c r="AJS527" s="500"/>
      <c r="AJT527" s="500"/>
      <c r="AJU527" s="500"/>
      <c r="AJV527" s="500"/>
      <c r="AJW527" s="500"/>
      <c r="AJX527" s="500"/>
      <c r="AJY527" s="500"/>
      <c r="AJZ527" s="500"/>
      <c r="AKA527" s="500"/>
      <c r="AKB527" s="500"/>
      <c r="AKC527" s="500"/>
      <c r="AKD527" s="500"/>
      <c r="AKE527" s="500"/>
      <c r="AKF527" s="500"/>
      <c r="AKG527" s="500"/>
      <c r="AKH527" s="500"/>
      <c r="AKI527" s="500"/>
      <c r="AKJ527" s="500"/>
      <c r="AKK527" s="500"/>
      <c r="AKL527" s="500"/>
      <c r="AKM527" s="500"/>
      <c r="AKN527" s="500"/>
      <c r="AKO527" s="500"/>
      <c r="AKP527" s="500"/>
      <c r="AKQ527" s="500"/>
      <c r="AKR527" s="500"/>
      <c r="AKS527" s="500"/>
      <c r="AKT527" s="500"/>
      <c r="AKU527" s="500"/>
      <c r="AKV527" s="500"/>
      <c r="AKW527" s="500"/>
      <c r="AKX527" s="500"/>
      <c r="AKY527" s="500"/>
      <c r="AKZ527" s="500"/>
      <c r="ALA527" s="500"/>
      <c r="ALB527" s="500"/>
      <c r="ALC527" s="500"/>
      <c r="ALD527" s="500"/>
      <c r="ALE527" s="500"/>
      <c r="ALF527" s="500"/>
      <c r="ALG527" s="500"/>
      <c r="ALH527" s="500"/>
      <c r="ALI527" s="500"/>
      <c r="ALJ527" s="500"/>
      <c r="ALK527" s="500"/>
      <c r="ALL527" s="500"/>
      <c r="ALM527" s="500"/>
      <c r="ALN527" s="500"/>
      <c r="ALO527" s="500"/>
      <c r="ALP527" s="500"/>
      <c r="ALQ527" s="500"/>
      <c r="ALR527" s="500"/>
      <c r="ALS527" s="500"/>
      <c r="ALT527" s="500"/>
      <c r="ALU527" s="500"/>
      <c r="ALV527" s="500"/>
      <c r="ALW527" s="500"/>
      <c r="ALX527" s="500"/>
      <c r="ALY527" s="500"/>
      <c r="ALZ527" s="500"/>
      <c r="AMA527" s="500"/>
      <c r="AMB527" s="500"/>
      <c r="AMC527" s="500"/>
      <c r="AMD527" s="500"/>
      <c r="AME527" s="500"/>
      <c r="AMF527" s="500"/>
      <c r="AMG527" s="500"/>
      <c r="AMH527" s="500"/>
      <c r="AMI527" s="500"/>
      <c r="AMJ527" s="500"/>
      <c r="AMK527" s="500"/>
      <c r="AML527" s="500"/>
      <c r="AMM527" s="500"/>
      <c r="AMN527" s="500"/>
      <c r="AMO527" s="500"/>
      <c r="AMP527" s="500"/>
      <c r="AMQ527" s="500"/>
      <c r="AMR527" s="500"/>
      <c r="AMS527" s="500"/>
      <c r="AMT527" s="500"/>
      <c r="AMU527" s="500"/>
      <c r="AMV527" s="500"/>
      <c r="AMW527" s="500"/>
      <c r="AMX527" s="500"/>
      <c r="AMY527" s="500"/>
      <c r="AMZ527" s="500"/>
      <c r="ANA527" s="500"/>
      <c r="ANB527" s="500"/>
      <c r="ANC527" s="500"/>
      <c r="AND527" s="500"/>
      <c r="ANE527" s="500"/>
      <c r="ANF527" s="500"/>
      <c r="ANG527" s="500"/>
      <c r="ANH527" s="500"/>
      <c r="ANI527" s="500"/>
      <c r="ANJ527" s="500"/>
      <c r="ANK527" s="500"/>
      <c r="ANL527" s="500"/>
      <c r="ANM527" s="500"/>
      <c r="ANN527" s="500"/>
      <c r="ANO527" s="500"/>
      <c r="ANP527" s="500"/>
      <c r="ANQ527" s="500"/>
      <c r="ANR527" s="500"/>
      <c r="ANS527" s="500"/>
      <c r="ANT527" s="500"/>
      <c r="ANU527" s="500"/>
      <c r="ANV527" s="500"/>
      <c r="ANW527" s="500"/>
      <c r="ANX527" s="500"/>
      <c r="ANY527" s="500"/>
      <c r="ANZ527" s="500"/>
      <c r="AOA527" s="500"/>
      <c r="AOB527" s="500"/>
      <c r="AOC527" s="500"/>
      <c r="AOD527" s="500"/>
      <c r="AOE527" s="500"/>
      <c r="AOF527" s="500"/>
      <c r="AOG527" s="500"/>
      <c r="AOH527" s="500"/>
      <c r="AOI527" s="500"/>
      <c r="AOJ527" s="500"/>
      <c r="AOK527" s="500"/>
      <c r="AOL527" s="500"/>
      <c r="AOM527" s="500"/>
      <c r="AON527" s="500"/>
      <c r="AOO527" s="500"/>
      <c r="AOP527" s="500"/>
      <c r="AOQ527" s="500"/>
      <c r="AOR527" s="500"/>
      <c r="AOS527" s="500"/>
      <c r="AOT527" s="500"/>
      <c r="AOU527" s="500"/>
      <c r="AOV527" s="500"/>
      <c r="AOW527" s="500"/>
      <c r="AOX527" s="500"/>
      <c r="AOY527" s="500"/>
      <c r="AOZ527" s="500"/>
      <c r="APA527" s="500"/>
      <c r="APB527" s="500"/>
      <c r="APC527" s="500"/>
      <c r="APD527" s="500"/>
      <c r="APE527" s="500"/>
      <c r="APF527" s="500"/>
      <c r="APG527" s="500"/>
      <c r="APH527" s="500"/>
      <c r="API527" s="500"/>
      <c r="APJ527" s="500"/>
      <c r="APK527" s="500"/>
      <c r="APL527" s="500"/>
      <c r="APM527" s="500"/>
      <c r="APN527" s="500"/>
      <c r="APO527" s="500"/>
      <c r="APP527" s="500"/>
      <c r="APQ527" s="500"/>
      <c r="APR527" s="500"/>
      <c r="APS527" s="500"/>
      <c r="APT527" s="500"/>
      <c r="APU527" s="500"/>
      <c r="APV527" s="500"/>
      <c r="APW527" s="500"/>
      <c r="APX527" s="500"/>
      <c r="APY527" s="500"/>
      <c r="APZ527" s="500"/>
      <c r="AQA527" s="500"/>
      <c r="AQB527" s="500"/>
      <c r="AQC527" s="500"/>
      <c r="AQD527" s="500"/>
      <c r="AQE527" s="500"/>
      <c r="AQF527" s="500"/>
      <c r="AQG527" s="500"/>
      <c r="AQH527" s="500"/>
      <c r="AQI527" s="500"/>
      <c r="AQJ527" s="500"/>
      <c r="AQK527" s="500"/>
      <c r="AQL527" s="500"/>
      <c r="AQM527" s="500"/>
      <c r="AQN527" s="500"/>
      <c r="AQO527" s="500"/>
      <c r="AQP527" s="500"/>
      <c r="AQQ527" s="500"/>
      <c r="AQR527" s="500"/>
      <c r="AQS527" s="500"/>
      <c r="AQT527" s="500"/>
      <c r="AQU527" s="500"/>
      <c r="AQV527" s="500"/>
      <c r="AQW527" s="500"/>
      <c r="AQX527" s="500"/>
      <c r="AQY527" s="500"/>
      <c r="AQZ527" s="500"/>
      <c r="ARA527" s="500"/>
      <c r="ARB527" s="500"/>
      <c r="ARC527" s="500"/>
      <c r="ARD527" s="500"/>
      <c r="ARE527" s="500"/>
      <c r="ARF527" s="500"/>
      <c r="ARG527" s="500"/>
      <c r="ARH527" s="500"/>
      <c r="ARI527" s="500"/>
      <c r="ARJ527" s="500"/>
      <c r="ARK527" s="500"/>
      <c r="ARL527" s="500"/>
      <c r="ARM527" s="500"/>
      <c r="ARN527" s="500"/>
      <c r="ARO527" s="500"/>
      <c r="ARP527" s="500"/>
      <c r="ARQ527" s="500"/>
      <c r="ARR527" s="500"/>
      <c r="ARS527" s="500"/>
      <c r="ART527" s="500"/>
      <c r="ARU527" s="500"/>
      <c r="ARV527" s="500"/>
      <c r="ARW527" s="500"/>
      <c r="ARX527" s="500"/>
      <c r="ARY527" s="500"/>
      <c r="ARZ527" s="500"/>
      <c r="ASA527" s="500"/>
      <c r="ASB527" s="500"/>
      <c r="ASC527" s="500"/>
      <c r="ASD527" s="500"/>
      <c r="ASE527" s="500"/>
      <c r="ASF527" s="500"/>
      <c r="ASG527" s="500"/>
      <c r="ASH527" s="500"/>
      <c r="ASI527" s="500"/>
      <c r="ASJ527" s="500"/>
      <c r="ASK527" s="500"/>
      <c r="ASL527" s="500"/>
      <c r="ASM527" s="500"/>
      <c r="ASN527" s="500"/>
      <c r="ASO527" s="500"/>
      <c r="ASP527" s="500"/>
      <c r="ASQ527" s="500"/>
      <c r="ASR527" s="500"/>
      <c r="ASS527" s="500"/>
      <c r="AST527" s="500"/>
      <c r="ASU527" s="500"/>
      <c r="ASV527" s="500"/>
      <c r="ASW527" s="500"/>
      <c r="ASX527" s="500"/>
      <c r="ASY527" s="500"/>
      <c r="ASZ527" s="500"/>
      <c r="ATA527" s="500"/>
      <c r="ATB527" s="500"/>
      <c r="ATC527" s="500"/>
      <c r="ATD527" s="500"/>
      <c r="ATE527" s="500"/>
      <c r="ATF527" s="500"/>
      <c r="ATG527" s="500"/>
      <c r="ATH527" s="500"/>
      <c r="ATI527" s="500"/>
      <c r="ATJ527" s="500"/>
      <c r="ATK527" s="500"/>
      <c r="ATL527" s="500"/>
      <c r="ATM527" s="500"/>
      <c r="ATN527" s="500"/>
      <c r="ATO527" s="500"/>
      <c r="ATP527" s="500"/>
      <c r="ATQ527" s="500"/>
      <c r="ATR527" s="500"/>
      <c r="ATS527" s="500"/>
      <c r="ATT527" s="500"/>
      <c r="ATU527" s="500"/>
      <c r="ATV527" s="500"/>
      <c r="ATW527" s="500"/>
      <c r="ATX527" s="500"/>
      <c r="ATY527" s="500"/>
      <c r="ATZ527" s="500"/>
      <c r="AUA527" s="500"/>
      <c r="AUB527" s="500"/>
      <c r="AUC527" s="500"/>
      <c r="AUD527" s="500"/>
      <c r="AUE527" s="500"/>
      <c r="AUF527" s="500"/>
      <c r="AUG527" s="500"/>
      <c r="AUH527" s="500"/>
      <c r="AUI527" s="500"/>
      <c r="AUJ527" s="500"/>
      <c r="AUK527" s="500"/>
      <c r="AUL527" s="500"/>
      <c r="AUM527" s="500"/>
      <c r="AUN527" s="500"/>
      <c r="AUO527" s="500"/>
      <c r="AUP527" s="500"/>
      <c r="AUQ527" s="500"/>
      <c r="AUR527" s="500"/>
      <c r="AUS527" s="500"/>
      <c r="AUT527" s="500"/>
      <c r="AUU527" s="500"/>
      <c r="AUV527" s="500"/>
      <c r="AUW527" s="500"/>
      <c r="AUX527" s="500"/>
      <c r="AUY527" s="500"/>
      <c r="AUZ527" s="500"/>
      <c r="AVA527" s="500"/>
      <c r="AVB527" s="500"/>
      <c r="AVC527" s="500"/>
      <c r="AVD527" s="500"/>
      <c r="AVE527" s="500"/>
      <c r="AVF527" s="500"/>
      <c r="AVG527" s="500"/>
      <c r="AVH527" s="500"/>
      <c r="AVI527" s="500"/>
      <c r="AVJ527" s="500"/>
      <c r="AVK527" s="500"/>
      <c r="AVL527" s="500"/>
      <c r="AVM527" s="500"/>
      <c r="AVN527" s="500"/>
      <c r="AVO527" s="500"/>
      <c r="AVP527" s="500"/>
      <c r="AVQ527" s="500"/>
      <c r="AVR527" s="500"/>
      <c r="AVS527" s="500"/>
      <c r="AVT527" s="500"/>
      <c r="AVU527" s="500"/>
      <c r="AVV527" s="500"/>
      <c r="AVW527" s="500"/>
      <c r="AVX527" s="500"/>
      <c r="AVY527" s="500"/>
      <c r="AVZ527" s="500"/>
      <c r="AWA527" s="500"/>
      <c r="AWB527" s="500"/>
      <c r="AWC527" s="500"/>
      <c r="AWD527" s="500"/>
      <c r="AWE527" s="500"/>
      <c r="AWF527" s="500"/>
      <c r="AWG527" s="500"/>
      <c r="AWH527" s="500"/>
      <c r="AWI527" s="500"/>
      <c r="AWJ527" s="500"/>
      <c r="AWK527" s="500"/>
      <c r="AWL527" s="500"/>
      <c r="AWM527" s="500"/>
      <c r="AWN527" s="500"/>
      <c r="AWO527" s="500"/>
      <c r="AWP527" s="500"/>
      <c r="AWQ527" s="500"/>
      <c r="AWR527" s="500"/>
      <c r="AWS527" s="500"/>
      <c r="AWT527" s="500"/>
      <c r="AWU527" s="500"/>
      <c r="AWV527" s="500"/>
      <c r="AWW527" s="500"/>
      <c r="AWX527" s="500"/>
      <c r="AWY527" s="500"/>
      <c r="AWZ527" s="500"/>
      <c r="AXA527" s="500"/>
      <c r="AXB527" s="500"/>
      <c r="AXC527" s="500"/>
      <c r="AXD527" s="500"/>
      <c r="AXE527" s="500"/>
      <c r="AXF527" s="500"/>
      <c r="AXG527" s="500"/>
      <c r="AXH527" s="500"/>
      <c r="AXI527" s="500"/>
      <c r="AXJ527" s="500"/>
      <c r="AXK527" s="500"/>
      <c r="AXL527" s="500"/>
      <c r="AXM527" s="500"/>
      <c r="AXN527" s="500"/>
      <c r="AXO527" s="500"/>
      <c r="AXP527" s="500"/>
      <c r="AXQ527" s="500"/>
      <c r="AXR527" s="500"/>
      <c r="AXS527" s="500"/>
      <c r="AXT527" s="500"/>
      <c r="AXU527" s="500"/>
      <c r="AXV527" s="500"/>
      <c r="AXW527" s="500"/>
      <c r="AXX527" s="500"/>
      <c r="AXY527" s="500"/>
      <c r="AXZ527" s="500"/>
      <c r="AYA527" s="500"/>
      <c r="AYB527" s="500"/>
      <c r="AYC527" s="500"/>
      <c r="AYD527" s="500"/>
      <c r="AYE527" s="500"/>
      <c r="AYF527" s="500"/>
      <c r="AYG527" s="500"/>
      <c r="AYH527" s="500"/>
      <c r="AYI527" s="500"/>
      <c r="AYJ527" s="500"/>
      <c r="AYK527" s="500"/>
      <c r="AYL527" s="500"/>
      <c r="AYM527" s="500"/>
      <c r="AYN527" s="500"/>
      <c r="AYO527" s="500"/>
      <c r="AYP527" s="500"/>
      <c r="AYQ527" s="500"/>
      <c r="AYR527" s="500"/>
      <c r="AYS527" s="500"/>
      <c r="AYT527" s="500"/>
      <c r="AYU527" s="500"/>
      <c r="AYV527" s="500"/>
      <c r="AYW527" s="500"/>
      <c r="AYX527" s="500"/>
      <c r="AYY527" s="500"/>
      <c r="AYZ527" s="500"/>
      <c r="AZA527" s="500"/>
      <c r="AZB527" s="500"/>
      <c r="AZC527" s="500"/>
      <c r="AZD527" s="500"/>
      <c r="AZE527" s="500"/>
      <c r="AZF527" s="500"/>
      <c r="AZG527" s="500"/>
      <c r="AZH527" s="500"/>
      <c r="AZI527" s="500"/>
      <c r="AZJ527" s="500"/>
      <c r="AZK527" s="500"/>
      <c r="AZL527" s="500"/>
      <c r="AZM527" s="500"/>
      <c r="AZN527" s="500"/>
      <c r="AZO527" s="500"/>
      <c r="AZP527" s="500"/>
      <c r="AZQ527" s="500"/>
      <c r="AZR527" s="500"/>
      <c r="AZS527" s="500"/>
      <c r="AZT527" s="500"/>
      <c r="AZU527" s="500"/>
      <c r="AZV527" s="500"/>
      <c r="AZW527" s="500"/>
      <c r="AZX527" s="500"/>
      <c r="AZY527" s="500"/>
      <c r="AZZ527" s="500"/>
      <c r="BAA527" s="500"/>
      <c r="BAB527" s="500"/>
      <c r="BAC527" s="500"/>
      <c r="BAD527" s="500"/>
      <c r="BAE527" s="500"/>
      <c r="BAF527" s="500"/>
      <c r="BAG527" s="500"/>
      <c r="BAH527" s="500"/>
      <c r="BAI527" s="500"/>
      <c r="BAJ527" s="500"/>
      <c r="BAK527" s="500"/>
      <c r="BAL527" s="500"/>
      <c r="BAM527" s="500"/>
      <c r="BAN527" s="500"/>
      <c r="BAO527" s="500"/>
      <c r="BAP527" s="500"/>
      <c r="BAQ527" s="500"/>
      <c r="BAR527" s="500"/>
      <c r="BAS527" s="500"/>
      <c r="BAT527" s="500"/>
      <c r="BAU527" s="500"/>
      <c r="BAV527" s="500"/>
      <c r="BAW527" s="500"/>
      <c r="BAX527" s="500"/>
      <c r="BAY527" s="500"/>
      <c r="BAZ527" s="500"/>
      <c r="BBA527" s="500"/>
      <c r="BBB527" s="500"/>
      <c r="BBC527" s="500"/>
      <c r="BBD527" s="500"/>
      <c r="BBE527" s="500"/>
      <c r="BBF527" s="500"/>
      <c r="BBG527" s="500"/>
      <c r="BBH527" s="500"/>
      <c r="BBI527" s="500"/>
      <c r="BBJ527" s="500"/>
      <c r="BBK527" s="500"/>
      <c r="BBL527" s="500"/>
      <c r="BBM527" s="500"/>
      <c r="BBN527" s="500"/>
      <c r="BBO527" s="500"/>
      <c r="BBP527" s="500"/>
      <c r="BBQ527" s="500"/>
      <c r="BBR527" s="500"/>
      <c r="BBS527" s="500"/>
      <c r="BBT527" s="500"/>
      <c r="BBU527" s="500"/>
      <c r="BBV527" s="500"/>
      <c r="BBW527" s="500"/>
      <c r="BBX527" s="500"/>
      <c r="BBY527" s="500"/>
      <c r="BBZ527" s="500"/>
      <c r="BCA527" s="500"/>
      <c r="BCB527" s="500"/>
      <c r="BCC527" s="500"/>
      <c r="BCD527" s="500"/>
      <c r="BCE527" s="500"/>
      <c r="BCF527" s="500"/>
      <c r="BCG527" s="500"/>
      <c r="BCH527" s="500"/>
      <c r="BCI527" s="500"/>
      <c r="BCJ527" s="500"/>
      <c r="BCK527" s="500"/>
      <c r="BCL527" s="500"/>
      <c r="BCM527" s="500"/>
      <c r="BCN527" s="500"/>
      <c r="BCO527" s="500"/>
      <c r="BCP527" s="500"/>
      <c r="BCQ527" s="500"/>
      <c r="BCR527" s="500"/>
      <c r="BCS527" s="500"/>
      <c r="BCT527" s="500"/>
      <c r="BCU527" s="500"/>
      <c r="BCV527" s="500"/>
      <c r="BCW527" s="500"/>
      <c r="BCX527" s="500"/>
      <c r="BCY527" s="500"/>
      <c r="BCZ527" s="500"/>
      <c r="BDA527" s="500"/>
      <c r="BDB527" s="500"/>
      <c r="BDC527" s="500"/>
      <c r="BDD527" s="500"/>
      <c r="BDE527" s="500"/>
      <c r="BDF527" s="500"/>
      <c r="BDG527" s="500"/>
      <c r="BDH527" s="500"/>
      <c r="BDI527" s="500"/>
      <c r="BDJ527" s="500"/>
      <c r="BDK527" s="500"/>
      <c r="BDL527" s="500"/>
      <c r="BDM527" s="500"/>
      <c r="BDN527" s="500"/>
      <c r="BDO527" s="500"/>
      <c r="BDP527" s="500"/>
      <c r="BDQ527" s="500"/>
      <c r="BDR527" s="500"/>
      <c r="BDS527" s="500"/>
      <c r="BDT527" s="500"/>
      <c r="BDU527" s="500"/>
      <c r="BDV527" s="500"/>
      <c r="BDW527" s="500"/>
      <c r="BDX527" s="500"/>
      <c r="BDY527" s="500"/>
      <c r="BDZ527" s="500"/>
      <c r="BEA527" s="500"/>
      <c r="BEB527" s="500"/>
      <c r="BEC527" s="500"/>
      <c r="BED527" s="500"/>
      <c r="BEE527" s="500"/>
      <c r="BEF527" s="500"/>
      <c r="BEG527" s="500"/>
      <c r="BEH527" s="500"/>
      <c r="BEI527" s="500"/>
      <c r="BEJ527" s="500"/>
      <c r="BEK527" s="500"/>
      <c r="BEL527" s="500"/>
      <c r="BEM527" s="500"/>
      <c r="BEN527" s="500"/>
      <c r="BEO527" s="500"/>
      <c r="BEP527" s="500"/>
      <c r="BEQ527" s="500"/>
      <c r="BER527" s="500"/>
      <c r="BES527" s="500"/>
      <c r="BET527" s="500"/>
      <c r="BEU527" s="500"/>
      <c r="BEV527" s="500"/>
      <c r="BEW527" s="500"/>
      <c r="BEX527" s="500"/>
      <c r="BEY527" s="500"/>
      <c r="BEZ527" s="500"/>
      <c r="BFA527" s="500"/>
      <c r="BFB527" s="500"/>
      <c r="BFC527" s="500"/>
      <c r="BFD527" s="500"/>
      <c r="BFE527" s="500"/>
      <c r="BFF527" s="500"/>
      <c r="BFG527" s="500"/>
      <c r="BFH527" s="500"/>
      <c r="BFI527" s="500"/>
      <c r="BFJ527" s="500"/>
      <c r="BFK527" s="500"/>
      <c r="BFL527" s="500"/>
      <c r="BFM527" s="500"/>
      <c r="BFN527" s="500"/>
      <c r="BFO527" s="500"/>
      <c r="BFP527" s="500"/>
      <c r="BFQ527" s="500"/>
      <c r="BFR527" s="500"/>
      <c r="BFS527" s="500"/>
      <c r="BFT527" s="500"/>
      <c r="BFU527" s="500"/>
      <c r="BFV527" s="500"/>
      <c r="BFW527" s="500"/>
      <c r="BFX527" s="500"/>
      <c r="BFY527" s="500"/>
      <c r="BFZ527" s="500"/>
      <c r="BGA527" s="500"/>
      <c r="BGB527" s="500"/>
      <c r="BGC527" s="500"/>
      <c r="BGD527" s="500"/>
      <c r="BGE527" s="500"/>
      <c r="BGF527" s="500"/>
      <c r="BGG527" s="500"/>
      <c r="BGH527" s="500"/>
      <c r="BGI527" s="500"/>
      <c r="BGJ527" s="500"/>
      <c r="BGK527" s="500"/>
      <c r="BGL527" s="500"/>
      <c r="BGM527" s="500"/>
      <c r="BGN527" s="500"/>
      <c r="BGO527" s="500"/>
      <c r="BGP527" s="500"/>
      <c r="BGQ527" s="500"/>
      <c r="BGR527" s="500"/>
      <c r="BGS527" s="500"/>
      <c r="BGT527" s="500"/>
      <c r="BGU527" s="500"/>
      <c r="BGV527" s="500"/>
      <c r="BGW527" s="500"/>
      <c r="BGX527" s="500"/>
      <c r="BGY527" s="500"/>
      <c r="BGZ527" s="500"/>
      <c r="BHA527" s="500"/>
      <c r="BHB527" s="500"/>
      <c r="BHC527" s="500"/>
      <c r="BHD527" s="500"/>
      <c r="BHE527" s="500"/>
      <c r="BHF527" s="500"/>
      <c r="BHG527" s="500"/>
      <c r="BHH527" s="500"/>
      <c r="BHI527" s="500"/>
      <c r="BHJ527" s="500"/>
      <c r="BHK527" s="500"/>
      <c r="BHL527" s="500"/>
      <c r="BHM527" s="500"/>
      <c r="BHN527" s="500"/>
      <c r="BHO527" s="500"/>
      <c r="BHP527" s="500"/>
      <c r="BHQ527" s="500"/>
      <c r="BHR527" s="500"/>
      <c r="BHS527" s="500"/>
      <c r="BHT527" s="500"/>
      <c r="BHU527" s="500"/>
      <c r="BHV527" s="500"/>
      <c r="BHW527" s="500"/>
      <c r="BHX527" s="500"/>
      <c r="BHY527" s="500"/>
      <c r="BHZ527" s="500"/>
      <c r="BIA527" s="500"/>
      <c r="BIB527" s="500"/>
      <c r="BIC527" s="500"/>
      <c r="BID527" s="500"/>
      <c r="BIE527" s="500"/>
      <c r="BIF527" s="500"/>
      <c r="BIG527" s="500"/>
      <c r="BIH527" s="500"/>
      <c r="BII527" s="500"/>
      <c r="BIJ527" s="500"/>
      <c r="BIK527" s="500"/>
      <c r="BIL527" s="500"/>
      <c r="BIM527" s="500"/>
      <c r="BIN527" s="500"/>
      <c r="BIO527" s="500"/>
      <c r="BIP527" s="500"/>
      <c r="BIQ527" s="500"/>
      <c r="BIR527" s="500"/>
      <c r="BIS527" s="500"/>
      <c r="BIT527" s="500"/>
      <c r="BIU527" s="500"/>
      <c r="BIV527" s="500"/>
      <c r="BIW527" s="500"/>
      <c r="BIX527" s="500"/>
      <c r="BIY527" s="500"/>
      <c r="BIZ527" s="500"/>
      <c r="BJA527" s="500"/>
      <c r="BJB527" s="500"/>
      <c r="BJC527" s="500"/>
      <c r="BJD527" s="500"/>
      <c r="BJE527" s="500"/>
      <c r="BJF527" s="500"/>
      <c r="BJG527" s="500"/>
      <c r="BJH527" s="500"/>
      <c r="BJI527" s="500"/>
      <c r="BJJ527" s="500"/>
      <c r="BJK527" s="500"/>
      <c r="BJL527" s="500"/>
      <c r="BJM527" s="500"/>
      <c r="BJN527" s="500"/>
      <c r="BJO527" s="500"/>
      <c r="BJP527" s="500"/>
      <c r="BJQ527" s="500"/>
      <c r="BJR527" s="500"/>
      <c r="BJS527" s="500"/>
      <c r="BJT527" s="500"/>
      <c r="BJU527" s="500"/>
      <c r="BJV527" s="500"/>
      <c r="BJW527" s="500"/>
      <c r="BJX527" s="500"/>
      <c r="BJY527" s="500"/>
      <c r="BJZ527" s="500"/>
      <c r="BKA527" s="500"/>
      <c r="BKB527" s="500"/>
      <c r="BKC527" s="500"/>
      <c r="BKD527" s="500"/>
      <c r="BKE527" s="500"/>
      <c r="BKF527" s="500"/>
      <c r="BKG527" s="500"/>
      <c r="BKH527" s="500"/>
      <c r="BKI527" s="500"/>
      <c r="BKJ527" s="500"/>
      <c r="BKK527" s="500"/>
      <c r="BKL527" s="500"/>
      <c r="BKM527" s="500"/>
      <c r="BKN527" s="500"/>
      <c r="BKO527" s="500"/>
      <c r="BKP527" s="500"/>
      <c r="BKQ527" s="500"/>
      <c r="BKR527" s="500"/>
      <c r="BKS527" s="500"/>
      <c r="BKT527" s="500"/>
      <c r="BKU527" s="500"/>
      <c r="BKV527" s="500"/>
      <c r="BKW527" s="500"/>
      <c r="BKX527" s="500"/>
      <c r="BKY527" s="500"/>
      <c r="BKZ527" s="500"/>
      <c r="BLA527" s="500"/>
      <c r="BLB527" s="500"/>
      <c r="BLC527" s="500"/>
      <c r="BLD527" s="500"/>
      <c r="BLE527" s="500"/>
      <c r="BLF527" s="500"/>
      <c r="BLG527" s="500"/>
      <c r="BLH527" s="500"/>
      <c r="BLI527" s="500"/>
      <c r="BLJ527" s="500"/>
      <c r="BLK527" s="500"/>
      <c r="BLL527" s="500"/>
      <c r="BLM527" s="500"/>
      <c r="BLN527" s="500"/>
      <c r="BLO527" s="500"/>
      <c r="BLP527" s="500"/>
      <c r="BLQ527" s="500"/>
      <c r="BLR527" s="500"/>
      <c r="BLS527" s="500"/>
      <c r="BLT527" s="500"/>
      <c r="BLU527" s="500"/>
      <c r="BLV527" s="500"/>
      <c r="BLW527" s="500"/>
      <c r="BLX527" s="500"/>
      <c r="BLY527" s="500"/>
      <c r="BLZ527" s="500"/>
      <c r="BMA527" s="500"/>
      <c r="BMB527" s="500"/>
      <c r="BMC527" s="500"/>
      <c r="BMD527" s="500"/>
      <c r="BME527" s="500"/>
      <c r="BMF527" s="500"/>
      <c r="BMG527" s="500"/>
      <c r="BMH527" s="500"/>
      <c r="BMI527" s="500"/>
      <c r="BMJ527" s="500"/>
      <c r="BMK527" s="500"/>
      <c r="BML527" s="500"/>
      <c r="BMM527" s="500"/>
      <c r="BMN527" s="500"/>
      <c r="BMO527" s="500"/>
      <c r="BMP527" s="500"/>
      <c r="BMQ527" s="500"/>
      <c r="BMR527" s="500"/>
      <c r="BMS527" s="500"/>
      <c r="BMT527" s="500"/>
      <c r="BMU527" s="500"/>
      <c r="BMV527" s="500"/>
      <c r="BMW527" s="500"/>
      <c r="BMX527" s="500"/>
      <c r="BMY527" s="500"/>
      <c r="BMZ527" s="500"/>
      <c r="BNA527" s="500"/>
      <c r="BNB527" s="500"/>
      <c r="BNC527" s="500"/>
      <c r="BND527" s="500"/>
      <c r="BNE527" s="500"/>
      <c r="BNF527" s="500"/>
      <c r="BNG527" s="500"/>
      <c r="BNH527" s="500"/>
      <c r="BNI527" s="500"/>
      <c r="BNJ527" s="500"/>
      <c r="BNK527" s="500"/>
      <c r="BNL527" s="500"/>
      <c r="BNM527" s="500"/>
      <c r="BNN527" s="500"/>
      <c r="BNO527" s="500"/>
      <c r="BNP527" s="500"/>
      <c r="BNQ527" s="500"/>
      <c r="BNR527" s="500"/>
      <c r="BNS527" s="500"/>
      <c r="BNT527" s="500"/>
      <c r="BNU527" s="500"/>
      <c r="BNV527" s="500"/>
      <c r="BNW527" s="500"/>
      <c r="BNX527" s="500"/>
      <c r="BNY527" s="500"/>
      <c r="BNZ527" s="500"/>
      <c r="BOA527" s="500"/>
      <c r="BOB527" s="500"/>
      <c r="BOC527" s="500"/>
      <c r="BOD527" s="500"/>
      <c r="BOE527" s="500"/>
      <c r="BOF527" s="500"/>
      <c r="BOG527" s="500"/>
      <c r="BOH527" s="500"/>
      <c r="BOI527" s="500"/>
      <c r="BOJ527" s="500"/>
      <c r="BOK527" s="500"/>
      <c r="BOL527" s="500"/>
      <c r="BOM527" s="500"/>
      <c r="BON527" s="500"/>
      <c r="BOO527" s="500"/>
      <c r="BOP527" s="500"/>
      <c r="BOQ527" s="500"/>
      <c r="BOR527" s="500"/>
      <c r="BOS527" s="500"/>
      <c r="BOT527" s="500"/>
      <c r="BOU527" s="500"/>
      <c r="BOV527" s="500"/>
      <c r="BOW527" s="500"/>
      <c r="BOX527" s="500"/>
      <c r="BOY527" s="500"/>
      <c r="BOZ527" s="500"/>
      <c r="BPA527" s="500"/>
      <c r="BPB527" s="500"/>
      <c r="BPC527" s="500"/>
      <c r="BPD527" s="500"/>
      <c r="BPE527" s="500"/>
      <c r="BPF527" s="500"/>
      <c r="BPG527" s="500"/>
      <c r="BPH527" s="500"/>
      <c r="BPI527" s="500"/>
      <c r="BPJ527" s="500"/>
      <c r="BPK527" s="500"/>
      <c r="BPL527" s="500"/>
      <c r="BPM527" s="500"/>
      <c r="BPN527" s="500"/>
      <c r="BPO527" s="500"/>
      <c r="BPP527" s="500"/>
      <c r="BPQ527" s="500"/>
      <c r="BPR527" s="500"/>
      <c r="BPS527" s="500"/>
      <c r="BPT527" s="500"/>
      <c r="BPU527" s="500"/>
      <c r="BPV527" s="500"/>
      <c r="BPW527" s="500"/>
      <c r="BPX527" s="500"/>
      <c r="BPY527" s="500"/>
      <c r="BPZ527" s="500"/>
      <c r="BQA527" s="500"/>
      <c r="BQB527" s="500"/>
      <c r="BQC527" s="500"/>
      <c r="BQD527" s="500"/>
      <c r="BQE527" s="500"/>
      <c r="BQF527" s="500"/>
      <c r="BQG527" s="500"/>
      <c r="BQH527" s="500"/>
      <c r="BQI527" s="500"/>
      <c r="BQJ527" s="500"/>
      <c r="BQK527" s="500"/>
      <c r="BQL527" s="500"/>
      <c r="BQM527" s="500"/>
      <c r="BQN527" s="500"/>
      <c r="BQO527" s="500"/>
      <c r="BQP527" s="500"/>
      <c r="BQQ527" s="500"/>
      <c r="BQR527" s="500"/>
      <c r="BQS527" s="500"/>
      <c r="BQT527" s="500"/>
      <c r="BQU527" s="500"/>
      <c r="BQV527" s="500"/>
      <c r="BQW527" s="500"/>
      <c r="BQX527" s="500"/>
      <c r="BQY527" s="500"/>
      <c r="BQZ527" s="500"/>
      <c r="BRA527" s="500"/>
      <c r="BRB527" s="500"/>
      <c r="BRC527" s="500"/>
      <c r="BRD527" s="500"/>
      <c r="BRE527" s="500"/>
      <c r="BRF527" s="500"/>
      <c r="BRG527" s="500"/>
      <c r="BRH527" s="500"/>
      <c r="BRI527" s="500"/>
      <c r="BRJ527" s="500"/>
      <c r="BRK527" s="500"/>
      <c r="BRL527" s="500"/>
      <c r="BRM527" s="500"/>
      <c r="BRN527" s="500"/>
      <c r="BRO527" s="500"/>
      <c r="BRP527" s="500"/>
      <c r="BRQ527" s="500"/>
      <c r="BRR527" s="500"/>
      <c r="BRS527" s="500"/>
      <c r="BRT527" s="500"/>
      <c r="BRU527" s="500"/>
      <c r="BRV527" s="500"/>
      <c r="BRW527" s="500"/>
      <c r="BRX527" s="500"/>
      <c r="BRY527" s="500"/>
      <c r="BRZ527" s="500"/>
      <c r="BSA527" s="500"/>
      <c r="BSB527" s="500"/>
      <c r="BSC527" s="500"/>
      <c r="BSD527" s="500"/>
      <c r="BSE527" s="500"/>
      <c r="BSF527" s="500"/>
      <c r="BSG527" s="500"/>
      <c r="BSH527" s="500"/>
      <c r="BSI527" s="500"/>
      <c r="BSJ527" s="500"/>
      <c r="BSK527" s="500"/>
      <c r="BSL527" s="500"/>
      <c r="BSM527" s="500"/>
      <c r="BSN527" s="500"/>
      <c r="BSO527" s="500"/>
      <c r="BSP527" s="500"/>
      <c r="BSQ527" s="500"/>
      <c r="BSR527" s="500"/>
      <c r="BSS527" s="500"/>
      <c r="BST527" s="500"/>
      <c r="BSU527" s="500"/>
      <c r="BSV527" s="500"/>
      <c r="BSW527" s="500"/>
      <c r="BSX527" s="500"/>
      <c r="BSY527" s="500"/>
      <c r="BSZ527" s="500"/>
      <c r="BTA527" s="500"/>
      <c r="BTB527" s="500"/>
      <c r="BTC527" s="500"/>
      <c r="BTD527" s="500"/>
      <c r="BTE527" s="500"/>
      <c r="BTF527" s="500"/>
      <c r="BTG527" s="500"/>
      <c r="BTH527" s="500"/>
      <c r="BTI527" s="500"/>
      <c r="BTJ527" s="500"/>
      <c r="BTK527" s="500"/>
      <c r="BTL527" s="500"/>
      <c r="BTM527" s="500"/>
      <c r="BTN527" s="500"/>
      <c r="BTO527" s="500"/>
      <c r="BTP527" s="500"/>
      <c r="BTQ527" s="500"/>
      <c r="BTR527" s="500"/>
      <c r="BTS527" s="500"/>
      <c r="BTT527" s="500"/>
      <c r="BTU527" s="500"/>
      <c r="BTV527" s="500"/>
      <c r="BTW527" s="500"/>
      <c r="BTX527" s="500"/>
      <c r="BTY527" s="500"/>
      <c r="BTZ527" s="500"/>
      <c r="BUA527" s="500"/>
      <c r="BUB527" s="500"/>
      <c r="BUC527" s="500"/>
      <c r="BUD527" s="500"/>
      <c r="BUE527" s="500"/>
      <c r="BUF527" s="500"/>
      <c r="BUG527" s="500"/>
      <c r="BUH527" s="500"/>
      <c r="BUI527" s="500"/>
      <c r="BUJ527" s="500"/>
      <c r="BUK527" s="500"/>
      <c r="BUL527" s="500"/>
      <c r="BUM527" s="500"/>
      <c r="BUN527" s="500"/>
      <c r="BUO527" s="500"/>
      <c r="BUP527" s="500"/>
      <c r="BUQ527" s="500"/>
      <c r="BUR527" s="500"/>
      <c r="BUS527" s="500"/>
      <c r="BUT527" s="500"/>
      <c r="BUU527" s="500"/>
      <c r="BUV527" s="500"/>
      <c r="BUW527" s="500"/>
      <c r="BUX527" s="500"/>
      <c r="BUY527" s="500"/>
      <c r="BUZ527" s="500"/>
      <c r="BVA527" s="500"/>
      <c r="BVB527" s="500"/>
      <c r="BVC527" s="500"/>
      <c r="BVD527" s="500"/>
      <c r="BVE527" s="500"/>
      <c r="BVF527" s="500"/>
      <c r="BVG527" s="500"/>
      <c r="BVH527" s="500"/>
      <c r="BVI527" s="500"/>
      <c r="BVJ527" s="500"/>
      <c r="BVK527" s="500"/>
      <c r="BVL527" s="500"/>
      <c r="BVM527" s="500"/>
      <c r="BVN527" s="500"/>
      <c r="BVO527" s="500"/>
      <c r="BVP527" s="500"/>
      <c r="BVQ527" s="500"/>
      <c r="BVR527" s="500"/>
      <c r="BVS527" s="500"/>
      <c r="BVT527" s="500"/>
      <c r="BVU527" s="500"/>
      <c r="BVV527" s="500"/>
      <c r="BVW527" s="500"/>
      <c r="BVX527" s="500"/>
      <c r="BVY527" s="500"/>
      <c r="BVZ527" s="500"/>
      <c r="BWA527" s="500"/>
      <c r="BWB527" s="500"/>
      <c r="BWC527" s="500"/>
      <c r="BWD527" s="500"/>
      <c r="BWE527" s="500"/>
      <c r="BWF527" s="500"/>
      <c r="BWG527" s="500"/>
      <c r="BWH527" s="500"/>
      <c r="BWI527" s="500"/>
      <c r="BWJ527" s="500"/>
      <c r="BWK527" s="500"/>
      <c r="BWL527" s="500"/>
      <c r="BWM527" s="500"/>
      <c r="BWN527" s="500"/>
      <c r="BWO527" s="500"/>
      <c r="BWP527" s="500"/>
      <c r="BWQ527" s="500"/>
      <c r="BWR527" s="500"/>
      <c r="BWS527" s="500"/>
      <c r="BWT527" s="500"/>
      <c r="BWU527" s="500"/>
      <c r="BWV527" s="500"/>
      <c r="BWW527" s="500"/>
      <c r="BWX527" s="500"/>
      <c r="BWY527" s="500"/>
      <c r="BWZ527" s="500"/>
      <c r="BXA527" s="500"/>
      <c r="BXB527" s="500"/>
      <c r="BXC527" s="500"/>
      <c r="BXD527" s="500"/>
      <c r="BXE527" s="500"/>
      <c r="BXF527" s="500"/>
      <c r="BXG527" s="500"/>
      <c r="BXH527" s="500"/>
      <c r="BXI527" s="500"/>
      <c r="BXJ527" s="500"/>
      <c r="BXK527" s="500"/>
      <c r="BXL527" s="500"/>
      <c r="BXM527" s="500"/>
      <c r="BXN527" s="500"/>
      <c r="BXO527" s="500"/>
      <c r="BXP527" s="500"/>
      <c r="BXQ527" s="500"/>
      <c r="BXR527" s="500"/>
      <c r="BXS527" s="500"/>
      <c r="BXT527" s="500"/>
      <c r="BXU527" s="500"/>
      <c r="BXV527" s="500"/>
      <c r="BXW527" s="500"/>
      <c r="BXX527" s="500"/>
      <c r="BXY527" s="500"/>
      <c r="BXZ527" s="500"/>
      <c r="BYA527" s="500"/>
      <c r="BYB527" s="500"/>
      <c r="BYC527" s="500"/>
      <c r="BYD527" s="500"/>
      <c r="BYE527" s="500"/>
      <c r="BYF527" s="500"/>
      <c r="BYG527" s="500"/>
      <c r="BYH527" s="500"/>
      <c r="BYI527" s="500"/>
      <c r="BYJ527" s="500"/>
      <c r="BYK527" s="500"/>
      <c r="BYL527" s="500"/>
      <c r="BYM527" s="500"/>
      <c r="BYN527" s="500"/>
      <c r="BYO527" s="500"/>
      <c r="BYP527" s="500"/>
      <c r="BYQ527" s="500"/>
      <c r="BYR527" s="500"/>
      <c r="BYS527" s="500"/>
      <c r="BYT527" s="500"/>
      <c r="BYU527" s="500"/>
      <c r="BYV527" s="500"/>
      <c r="BYW527" s="500"/>
      <c r="BYX527" s="500"/>
      <c r="BYY527" s="500"/>
      <c r="BYZ527" s="500"/>
      <c r="BZA527" s="500"/>
      <c r="BZB527" s="500"/>
      <c r="BZC527" s="500"/>
      <c r="BZD527" s="500"/>
      <c r="BZE527" s="500"/>
      <c r="BZF527" s="500"/>
      <c r="BZG527" s="500"/>
      <c r="BZH527" s="500"/>
      <c r="BZI527" s="500"/>
      <c r="BZJ527" s="500"/>
      <c r="BZK527" s="500"/>
      <c r="BZL527" s="500"/>
      <c r="BZM527" s="500"/>
      <c r="BZN527" s="500"/>
      <c r="BZO527" s="500"/>
      <c r="BZP527" s="500"/>
      <c r="BZQ527" s="500"/>
      <c r="BZR527" s="500"/>
      <c r="BZS527" s="500"/>
      <c r="BZT527" s="500"/>
      <c r="BZU527" s="500"/>
      <c r="BZV527" s="500"/>
      <c r="BZW527" s="500"/>
      <c r="BZX527" s="500"/>
      <c r="BZY527" s="500"/>
      <c r="BZZ527" s="500"/>
      <c r="CAA527" s="500"/>
      <c r="CAB527" s="500"/>
      <c r="CAC527" s="500"/>
      <c r="CAD527" s="500"/>
      <c r="CAE527" s="500"/>
      <c r="CAF527" s="500"/>
      <c r="CAG527" s="500"/>
      <c r="CAH527" s="500"/>
      <c r="CAI527" s="500"/>
      <c r="CAJ527" s="500"/>
      <c r="CAK527" s="500"/>
      <c r="CAL527" s="500"/>
      <c r="CAM527" s="500"/>
      <c r="CAN527" s="500"/>
      <c r="CAO527" s="500"/>
      <c r="CAP527" s="500"/>
      <c r="CAQ527" s="500"/>
      <c r="CAR527" s="500"/>
      <c r="CAS527" s="500"/>
      <c r="CAT527" s="500"/>
      <c r="CAU527" s="500"/>
      <c r="CAV527" s="500"/>
      <c r="CAW527" s="500"/>
      <c r="CAX527" s="500"/>
      <c r="CAY527" s="500"/>
      <c r="CAZ527" s="500"/>
      <c r="CBA527" s="500"/>
      <c r="CBB527" s="500"/>
      <c r="CBC527" s="500"/>
      <c r="CBD527" s="500"/>
      <c r="CBE527" s="500"/>
      <c r="CBF527" s="500"/>
      <c r="CBG527" s="500"/>
      <c r="CBH527" s="500"/>
      <c r="CBI527" s="500"/>
      <c r="CBJ527" s="500"/>
      <c r="CBK527" s="500"/>
      <c r="CBL527" s="500"/>
      <c r="CBM527" s="500"/>
      <c r="CBN527" s="500"/>
      <c r="CBO527" s="500"/>
      <c r="CBP527" s="500"/>
      <c r="CBQ527" s="500"/>
      <c r="CBR527" s="500"/>
      <c r="CBS527" s="500"/>
      <c r="CBT527" s="500"/>
      <c r="CBU527" s="500"/>
      <c r="CBV527" s="500"/>
      <c r="CBW527" s="500"/>
      <c r="CBX527" s="500"/>
      <c r="CBY527" s="500"/>
      <c r="CBZ527" s="500"/>
      <c r="CCA527" s="500"/>
      <c r="CCB527" s="500"/>
      <c r="CCC527" s="500"/>
      <c r="CCD527" s="500"/>
      <c r="CCE527" s="500"/>
      <c r="CCF527" s="500"/>
      <c r="CCG527" s="500"/>
      <c r="CCH527" s="500"/>
      <c r="CCI527" s="500"/>
      <c r="CCJ527" s="500"/>
      <c r="CCK527" s="500"/>
      <c r="CCL527" s="500"/>
      <c r="CCM527" s="500"/>
      <c r="CCN527" s="500"/>
      <c r="CCO527" s="500"/>
      <c r="CCP527" s="500"/>
      <c r="CCQ527" s="500"/>
      <c r="CCR527" s="500"/>
      <c r="CCS527" s="500"/>
      <c r="CCT527" s="500"/>
      <c r="CCU527" s="500"/>
      <c r="CCV527" s="500"/>
      <c r="CCW527" s="500"/>
      <c r="CCX527" s="500"/>
      <c r="CCY527" s="500"/>
      <c r="CCZ527" s="500"/>
      <c r="CDA527" s="500"/>
      <c r="CDB527" s="500"/>
      <c r="CDC527" s="500"/>
      <c r="CDD527" s="500"/>
      <c r="CDE527" s="500"/>
      <c r="CDF527" s="500"/>
      <c r="CDG527" s="500"/>
      <c r="CDH527" s="500"/>
      <c r="CDI527" s="500"/>
      <c r="CDJ527" s="500"/>
      <c r="CDK527" s="500"/>
      <c r="CDL527" s="500"/>
      <c r="CDM527" s="500"/>
      <c r="CDN527" s="500"/>
      <c r="CDO527" s="500"/>
      <c r="CDP527" s="500"/>
      <c r="CDQ527" s="500"/>
      <c r="CDR527" s="500"/>
      <c r="CDS527" s="500"/>
      <c r="CDT527" s="500"/>
      <c r="CDU527" s="500"/>
      <c r="CDV527" s="500"/>
      <c r="CDW527" s="500"/>
      <c r="CDX527" s="500"/>
      <c r="CDY527" s="500"/>
      <c r="CDZ527" s="500"/>
      <c r="CEA527" s="500"/>
      <c r="CEB527" s="500"/>
      <c r="CEC527" s="500"/>
      <c r="CED527" s="500"/>
      <c r="CEE527" s="500"/>
      <c r="CEF527" s="500"/>
      <c r="CEG527" s="500"/>
      <c r="CEH527" s="500"/>
      <c r="CEI527" s="500"/>
      <c r="CEJ527" s="500"/>
      <c r="CEK527" s="500"/>
      <c r="CEL527" s="500"/>
      <c r="CEM527" s="500"/>
      <c r="CEN527" s="500"/>
      <c r="CEO527" s="500"/>
      <c r="CEP527" s="500"/>
      <c r="CEQ527" s="500"/>
      <c r="CER527" s="500"/>
      <c r="CES527" s="500"/>
      <c r="CET527" s="500"/>
      <c r="CEU527" s="500"/>
      <c r="CEV527" s="500"/>
      <c r="CEW527" s="500"/>
      <c r="CEX527" s="500"/>
      <c r="CEY527" s="500"/>
      <c r="CEZ527" s="500"/>
      <c r="CFA527" s="500"/>
      <c r="CFB527" s="500"/>
      <c r="CFC527" s="500"/>
      <c r="CFD527" s="500"/>
      <c r="CFE527" s="500"/>
      <c r="CFF527" s="500"/>
      <c r="CFG527" s="500"/>
      <c r="CFH527" s="500"/>
      <c r="CFI527" s="500"/>
      <c r="CFJ527" s="500"/>
      <c r="CFK527" s="500"/>
      <c r="CFL527" s="500"/>
      <c r="CFM527" s="500"/>
      <c r="CFN527" s="500"/>
      <c r="CFO527" s="500"/>
      <c r="CFP527" s="500"/>
      <c r="CFQ527" s="500"/>
      <c r="CFR527" s="500"/>
      <c r="CFS527" s="500"/>
      <c r="CFT527" s="500"/>
      <c r="CFU527" s="500"/>
      <c r="CFV527" s="500"/>
      <c r="CFW527" s="500"/>
      <c r="CFX527" s="500"/>
      <c r="CFY527" s="500"/>
      <c r="CFZ527" s="500"/>
      <c r="CGA527" s="500"/>
      <c r="CGB527" s="500"/>
      <c r="CGC527" s="500"/>
      <c r="CGD527" s="500"/>
      <c r="CGE527" s="500"/>
      <c r="CGF527" s="500"/>
      <c r="CGG527" s="500"/>
      <c r="CGH527" s="500"/>
      <c r="CGI527" s="500"/>
      <c r="CGJ527" s="500"/>
      <c r="CGK527" s="500"/>
      <c r="CGL527" s="500"/>
      <c r="CGM527" s="500"/>
      <c r="CGN527" s="500"/>
      <c r="CGO527" s="500"/>
      <c r="CGP527" s="500"/>
      <c r="CGQ527" s="500"/>
      <c r="CGR527" s="500"/>
      <c r="CGS527" s="500"/>
      <c r="CGT527" s="500"/>
      <c r="CGU527" s="500"/>
      <c r="CGV527" s="500"/>
      <c r="CGW527" s="500"/>
      <c r="CGX527" s="500"/>
      <c r="CGY527" s="500"/>
      <c r="CGZ527" s="500"/>
      <c r="CHA527" s="500"/>
      <c r="CHB527" s="500"/>
      <c r="CHC527" s="500"/>
      <c r="CHD527" s="500"/>
      <c r="CHE527" s="500"/>
      <c r="CHF527" s="500"/>
      <c r="CHG527" s="500"/>
      <c r="CHH527" s="500"/>
      <c r="CHI527" s="500"/>
      <c r="CHJ527" s="500"/>
      <c r="CHK527" s="500"/>
      <c r="CHL527" s="500"/>
      <c r="CHM527" s="500"/>
      <c r="CHN527" s="500"/>
      <c r="CHO527" s="500"/>
      <c r="CHP527" s="500"/>
      <c r="CHQ527" s="500"/>
      <c r="CHR527" s="500"/>
      <c r="CHS527" s="500"/>
      <c r="CHT527" s="500"/>
      <c r="CHU527" s="500"/>
      <c r="CHV527" s="500"/>
      <c r="CHW527" s="500"/>
      <c r="CHX527" s="500"/>
      <c r="CHY527" s="500"/>
      <c r="CHZ527" s="500"/>
      <c r="CIA527" s="500"/>
      <c r="CIB527" s="500"/>
      <c r="CIC527" s="500"/>
      <c r="CID527" s="500"/>
      <c r="CIE527" s="500"/>
      <c r="CIF527" s="500"/>
      <c r="CIG527" s="500"/>
      <c r="CIH527" s="500"/>
      <c r="CII527" s="500"/>
      <c r="CIJ527" s="500"/>
      <c r="CIK527" s="500"/>
      <c r="CIL527" s="500"/>
      <c r="CIM527" s="500"/>
      <c r="CIN527" s="500"/>
      <c r="CIO527" s="500"/>
      <c r="CIP527" s="500"/>
      <c r="CIQ527" s="500"/>
      <c r="CIR527" s="500"/>
      <c r="CIS527" s="500"/>
      <c r="CIT527" s="500"/>
      <c r="CIU527" s="500"/>
      <c r="CIV527" s="500"/>
      <c r="CIW527" s="500"/>
      <c r="CIX527" s="500"/>
      <c r="CIY527" s="500"/>
      <c r="CIZ527" s="500"/>
      <c r="CJA527" s="500"/>
      <c r="CJB527" s="500"/>
      <c r="CJC527" s="500"/>
      <c r="CJD527" s="500"/>
      <c r="CJE527" s="500"/>
      <c r="CJF527" s="500"/>
      <c r="CJG527" s="500"/>
      <c r="CJH527" s="500"/>
      <c r="CJI527" s="500"/>
      <c r="CJJ527" s="500"/>
      <c r="CJK527" s="500"/>
      <c r="CJL527" s="500"/>
      <c r="CJM527" s="500"/>
      <c r="CJN527" s="500"/>
      <c r="CJO527" s="500"/>
      <c r="CJP527" s="500"/>
      <c r="CJQ527" s="500"/>
      <c r="CJR527" s="500"/>
      <c r="CJS527" s="500"/>
      <c r="CJT527" s="500"/>
      <c r="CJU527" s="500"/>
      <c r="CJV527" s="500"/>
      <c r="CJW527" s="500"/>
      <c r="CJX527" s="500"/>
      <c r="CJY527" s="500"/>
      <c r="CJZ527" s="500"/>
      <c r="CKA527" s="500"/>
      <c r="CKB527" s="500"/>
      <c r="CKC527" s="500"/>
      <c r="CKD527" s="500"/>
      <c r="CKE527" s="500"/>
      <c r="CKF527" s="500"/>
      <c r="CKG527" s="500"/>
      <c r="CKH527" s="500"/>
      <c r="CKI527" s="500"/>
      <c r="CKJ527" s="500"/>
      <c r="CKK527" s="500"/>
      <c r="CKL527" s="500"/>
      <c r="CKM527" s="500"/>
      <c r="CKN527" s="500"/>
      <c r="CKO527" s="500"/>
      <c r="CKP527" s="500"/>
      <c r="CKQ527" s="500"/>
      <c r="CKR527" s="500"/>
      <c r="CKS527" s="500"/>
      <c r="CKT527" s="500"/>
      <c r="CKU527" s="500"/>
      <c r="CKV527" s="500"/>
      <c r="CKW527" s="500"/>
      <c r="CKX527" s="500"/>
      <c r="CKY527" s="500"/>
      <c r="CKZ527" s="500"/>
      <c r="CLA527" s="500"/>
      <c r="CLB527" s="500"/>
      <c r="CLC527" s="500"/>
      <c r="CLD527" s="500"/>
      <c r="CLE527" s="500"/>
      <c r="CLF527" s="500"/>
      <c r="CLG527" s="500"/>
      <c r="CLH527" s="500"/>
      <c r="CLI527" s="500"/>
      <c r="CLJ527" s="500"/>
      <c r="CLK527" s="500"/>
      <c r="CLL527" s="500"/>
      <c r="CLM527" s="500"/>
      <c r="CLN527" s="500"/>
      <c r="CLO527" s="500"/>
      <c r="CLP527" s="500"/>
      <c r="CLQ527" s="500"/>
      <c r="CLR527" s="500"/>
      <c r="CLS527" s="500"/>
      <c r="CLT527" s="500"/>
      <c r="CLU527" s="500"/>
      <c r="CLV527" s="500"/>
      <c r="CLW527" s="500"/>
      <c r="CLX527" s="500"/>
      <c r="CLY527" s="500"/>
      <c r="CLZ527" s="500"/>
      <c r="CMA527" s="500"/>
      <c r="CMB527" s="500"/>
      <c r="CMC527" s="500"/>
      <c r="CMD527" s="500"/>
      <c r="CME527" s="500"/>
      <c r="CMF527" s="500"/>
      <c r="CMG527" s="500"/>
      <c r="CMH527" s="500"/>
      <c r="CMI527" s="500"/>
      <c r="CMJ527" s="500"/>
      <c r="CMK527" s="500"/>
      <c r="CML527" s="500"/>
      <c r="CMM527" s="500"/>
      <c r="CMN527" s="500"/>
      <c r="CMO527" s="500"/>
      <c r="CMP527" s="500"/>
      <c r="CMQ527" s="500"/>
      <c r="CMR527" s="500"/>
      <c r="CMS527" s="500"/>
      <c r="CMT527" s="500"/>
      <c r="CMU527" s="500"/>
      <c r="CMV527" s="500"/>
      <c r="CMW527" s="500"/>
      <c r="CMX527" s="500"/>
      <c r="CMY527" s="500"/>
      <c r="CMZ527" s="500"/>
      <c r="CNA527" s="500"/>
      <c r="CNB527" s="500"/>
      <c r="CNC527" s="500"/>
      <c r="CND527" s="500"/>
      <c r="CNE527" s="500"/>
      <c r="CNF527" s="500"/>
      <c r="CNG527" s="500"/>
      <c r="CNH527" s="500"/>
      <c r="CNI527" s="500"/>
      <c r="CNJ527" s="500"/>
      <c r="CNK527" s="500"/>
      <c r="CNL527" s="500"/>
      <c r="CNM527" s="500"/>
      <c r="CNN527" s="500"/>
      <c r="CNO527" s="500"/>
      <c r="CNP527" s="500"/>
      <c r="CNQ527" s="500"/>
      <c r="CNR527" s="500"/>
      <c r="CNS527" s="500"/>
      <c r="CNT527" s="500"/>
      <c r="CNU527" s="500"/>
      <c r="CNV527" s="500"/>
      <c r="CNW527" s="500"/>
      <c r="CNX527" s="500"/>
      <c r="CNY527" s="500"/>
      <c r="CNZ527" s="500"/>
      <c r="COA527" s="500"/>
      <c r="COB527" s="500"/>
      <c r="COC527" s="500"/>
      <c r="COD527" s="500"/>
      <c r="COE527" s="500"/>
      <c r="COF527" s="500"/>
      <c r="COG527" s="500"/>
      <c r="COH527" s="500"/>
      <c r="COI527" s="500"/>
      <c r="COJ527" s="500"/>
      <c r="COK527" s="500"/>
      <c r="COL527" s="500"/>
      <c r="COM527" s="500"/>
      <c r="CON527" s="500"/>
      <c r="COO527" s="500"/>
      <c r="COP527" s="500"/>
      <c r="COQ527" s="500"/>
      <c r="COR527" s="500"/>
      <c r="COS527" s="500"/>
      <c r="COT527" s="500"/>
      <c r="COU527" s="500"/>
      <c r="COV527" s="500"/>
      <c r="COW527" s="500"/>
      <c r="COX527" s="500"/>
      <c r="COY527" s="500"/>
      <c r="COZ527" s="500"/>
      <c r="CPA527" s="500"/>
      <c r="CPB527" s="500"/>
      <c r="CPC527" s="500"/>
      <c r="CPD527" s="500"/>
      <c r="CPE527" s="500"/>
      <c r="CPF527" s="500"/>
      <c r="CPG527" s="500"/>
      <c r="CPH527" s="500"/>
      <c r="CPI527" s="500"/>
      <c r="CPJ527" s="500"/>
      <c r="CPK527" s="500"/>
      <c r="CPL527" s="500"/>
      <c r="CPM527" s="500"/>
      <c r="CPN527" s="500"/>
      <c r="CPO527" s="500"/>
      <c r="CPP527" s="500"/>
      <c r="CPQ527" s="500"/>
      <c r="CPR527" s="500"/>
      <c r="CPS527" s="500"/>
      <c r="CPT527" s="500"/>
      <c r="CPU527" s="500"/>
      <c r="CPV527" s="500"/>
      <c r="CPW527" s="500"/>
      <c r="CPX527" s="500"/>
      <c r="CPY527" s="500"/>
      <c r="CPZ527" s="500"/>
      <c r="CQA527" s="500"/>
      <c r="CQB527" s="500"/>
      <c r="CQC527" s="500"/>
      <c r="CQD527" s="500"/>
      <c r="CQE527" s="500"/>
      <c r="CQF527" s="500"/>
      <c r="CQG527" s="500"/>
      <c r="CQH527" s="500"/>
      <c r="CQI527" s="500"/>
      <c r="CQJ527" s="500"/>
      <c r="CQK527" s="500"/>
      <c r="CQL527" s="500"/>
      <c r="CQM527" s="500"/>
      <c r="CQN527" s="500"/>
      <c r="CQO527" s="500"/>
      <c r="CQP527" s="500"/>
      <c r="CQQ527" s="500"/>
      <c r="CQR527" s="500"/>
      <c r="CQS527" s="500"/>
      <c r="CQT527" s="500"/>
      <c r="CQU527" s="500"/>
      <c r="CQV527" s="500"/>
      <c r="CQW527" s="500"/>
      <c r="CQX527" s="500"/>
      <c r="CQY527" s="500"/>
      <c r="CQZ527" s="500"/>
      <c r="CRA527" s="500"/>
      <c r="CRB527" s="500"/>
      <c r="CRC527" s="500"/>
      <c r="CRD527" s="500"/>
      <c r="CRE527" s="500"/>
      <c r="CRF527" s="500"/>
      <c r="CRG527" s="500"/>
      <c r="CRH527" s="500"/>
      <c r="CRI527" s="500"/>
      <c r="CRJ527" s="500"/>
      <c r="CRK527" s="500"/>
      <c r="CRL527" s="500"/>
      <c r="CRM527" s="500"/>
      <c r="CRN527" s="500"/>
      <c r="CRO527" s="500"/>
      <c r="CRP527" s="500"/>
      <c r="CRQ527" s="500"/>
      <c r="CRR527" s="500"/>
      <c r="CRS527" s="500"/>
      <c r="CRT527" s="500"/>
      <c r="CRU527" s="500"/>
      <c r="CRV527" s="500"/>
      <c r="CRW527" s="500"/>
      <c r="CRX527" s="500"/>
      <c r="CRY527" s="500"/>
      <c r="CRZ527" s="500"/>
      <c r="CSA527" s="500"/>
      <c r="CSB527" s="500"/>
      <c r="CSC527" s="500"/>
      <c r="CSD527" s="500"/>
      <c r="CSE527" s="500"/>
      <c r="CSF527" s="500"/>
      <c r="CSG527" s="500"/>
      <c r="CSH527" s="500"/>
      <c r="CSI527" s="500"/>
      <c r="CSJ527" s="500"/>
      <c r="CSK527" s="500"/>
      <c r="CSL527" s="500"/>
      <c r="CSM527" s="500"/>
      <c r="CSN527" s="500"/>
      <c r="CSO527" s="500"/>
      <c r="CSP527" s="500"/>
      <c r="CSQ527" s="500"/>
      <c r="CSR527" s="500"/>
      <c r="CSS527" s="500"/>
      <c r="CST527" s="500"/>
      <c r="CSU527" s="500"/>
      <c r="CSV527" s="500"/>
      <c r="CSW527" s="500"/>
      <c r="CSX527" s="500"/>
      <c r="CSY527" s="500"/>
      <c r="CSZ527" s="500"/>
      <c r="CTA527" s="500"/>
      <c r="CTB527" s="500"/>
      <c r="CTC527" s="500"/>
      <c r="CTD527" s="500"/>
      <c r="CTE527" s="500"/>
      <c r="CTF527" s="500"/>
      <c r="CTG527" s="500"/>
      <c r="CTH527" s="500"/>
      <c r="CTI527" s="500"/>
      <c r="CTJ527" s="500"/>
      <c r="CTK527" s="500"/>
      <c r="CTL527" s="500"/>
      <c r="CTM527" s="500"/>
      <c r="CTN527" s="500"/>
      <c r="CTO527" s="500"/>
      <c r="CTP527" s="500"/>
      <c r="CTQ527" s="500"/>
      <c r="CTR527" s="500"/>
      <c r="CTS527" s="500"/>
      <c r="CTT527" s="500"/>
      <c r="CTU527" s="500"/>
      <c r="CTV527" s="500"/>
      <c r="CTW527" s="500"/>
      <c r="CTX527" s="500"/>
      <c r="CTY527" s="500"/>
      <c r="CTZ527" s="500"/>
      <c r="CUA527" s="500"/>
      <c r="CUB527" s="500"/>
      <c r="CUC527" s="500"/>
      <c r="CUD527" s="500"/>
      <c r="CUE527" s="500"/>
      <c r="CUF527" s="500"/>
      <c r="CUG527" s="500"/>
      <c r="CUH527" s="500"/>
      <c r="CUI527" s="500"/>
      <c r="CUJ527" s="500"/>
      <c r="CUK527" s="500"/>
      <c r="CUL527" s="500"/>
      <c r="CUM527" s="500"/>
      <c r="CUN527" s="500"/>
      <c r="CUO527" s="500"/>
      <c r="CUP527" s="500"/>
      <c r="CUQ527" s="500"/>
      <c r="CUR527" s="500"/>
      <c r="CUS527" s="500"/>
      <c r="CUT527" s="500"/>
      <c r="CUU527" s="500"/>
      <c r="CUV527" s="500"/>
      <c r="CUW527" s="500"/>
      <c r="CUX527" s="500"/>
      <c r="CUY527" s="500"/>
      <c r="CUZ527" s="500"/>
      <c r="CVA527" s="500"/>
      <c r="CVB527" s="500"/>
      <c r="CVC527" s="500"/>
      <c r="CVD527" s="500"/>
      <c r="CVE527" s="500"/>
      <c r="CVF527" s="500"/>
      <c r="CVG527" s="500"/>
      <c r="CVH527" s="500"/>
      <c r="CVI527" s="500"/>
      <c r="CVJ527" s="500"/>
      <c r="CVK527" s="500"/>
      <c r="CVL527" s="500"/>
      <c r="CVM527" s="500"/>
      <c r="CVN527" s="500"/>
      <c r="CVO527" s="500"/>
      <c r="CVP527" s="500"/>
      <c r="CVQ527" s="500"/>
      <c r="CVR527" s="500"/>
      <c r="CVS527" s="500"/>
      <c r="CVT527" s="500"/>
      <c r="CVU527" s="500"/>
      <c r="CVV527" s="500"/>
      <c r="CVW527" s="500"/>
      <c r="CVX527" s="500"/>
      <c r="CVY527" s="500"/>
      <c r="CVZ527" s="500"/>
      <c r="CWA527" s="500"/>
      <c r="CWB527" s="500"/>
      <c r="CWC527" s="500"/>
      <c r="CWD527" s="500"/>
      <c r="CWE527" s="500"/>
      <c r="CWF527" s="500"/>
      <c r="CWG527" s="500"/>
      <c r="CWH527" s="500"/>
      <c r="CWI527" s="500"/>
      <c r="CWJ527" s="500"/>
      <c r="CWK527" s="500"/>
      <c r="CWL527" s="500"/>
      <c r="CWM527" s="500"/>
      <c r="CWN527" s="500"/>
      <c r="CWO527" s="500"/>
      <c r="CWP527" s="500"/>
      <c r="CWQ527" s="500"/>
      <c r="CWR527" s="500"/>
      <c r="CWS527" s="500"/>
      <c r="CWT527" s="500"/>
      <c r="CWU527" s="500"/>
      <c r="CWV527" s="500"/>
      <c r="CWW527" s="500"/>
      <c r="CWX527" s="500"/>
      <c r="CWY527" s="500"/>
      <c r="CWZ527" s="500"/>
      <c r="CXA527" s="500"/>
      <c r="CXB527" s="500"/>
      <c r="CXC527" s="500"/>
      <c r="CXD527" s="500"/>
      <c r="CXE527" s="500"/>
      <c r="CXF527" s="500"/>
      <c r="CXG527" s="500"/>
      <c r="CXH527" s="500"/>
      <c r="CXI527" s="500"/>
      <c r="CXJ527" s="500"/>
      <c r="CXK527" s="500"/>
      <c r="CXL527" s="500"/>
      <c r="CXM527" s="500"/>
      <c r="CXN527" s="500"/>
      <c r="CXO527" s="500"/>
      <c r="CXP527" s="500"/>
      <c r="CXQ527" s="500"/>
      <c r="CXR527" s="500"/>
      <c r="CXS527" s="500"/>
      <c r="CXT527" s="500"/>
      <c r="CXU527" s="500"/>
      <c r="CXV527" s="500"/>
      <c r="CXW527" s="500"/>
      <c r="CXX527" s="500"/>
      <c r="CXY527" s="500"/>
      <c r="CXZ527" s="500"/>
      <c r="CYA527" s="500"/>
      <c r="CYB527" s="500"/>
      <c r="CYC527" s="500"/>
      <c r="CYD527" s="500"/>
      <c r="CYE527" s="500"/>
      <c r="CYF527" s="500"/>
      <c r="CYG527" s="500"/>
      <c r="CYH527" s="500"/>
      <c r="CYI527" s="500"/>
      <c r="CYJ527" s="500"/>
      <c r="CYK527" s="500"/>
      <c r="CYL527" s="500"/>
      <c r="CYM527" s="500"/>
      <c r="CYN527" s="500"/>
      <c r="CYO527" s="500"/>
      <c r="CYP527" s="500"/>
      <c r="CYQ527" s="500"/>
      <c r="CYR527" s="500"/>
      <c r="CYS527" s="500"/>
      <c r="CYT527" s="500"/>
      <c r="CYU527" s="500"/>
      <c r="CYV527" s="500"/>
      <c r="CYW527" s="500"/>
      <c r="CYX527" s="500"/>
      <c r="CYY527" s="500"/>
      <c r="CYZ527" s="500"/>
      <c r="CZA527" s="500"/>
      <c r="CZB527" s="500"/>
      <c r="CZC527" s="500"/>
      <c r="CZD527" s="500"/>
      <c r="CZE527" s="500"/>
      <c r="CZF527" s="500"/>
      <c r="CZG527" s="500"/>
      <c r="CZH527" s="500"/>
      <c r="CZI527" s="500"/>
      <c r="CZJ527" s="500"/>
      <c r="CZK527" s="500"/>
      <c r="CZL527" s="500"/>
      <c r="CZM527" s="500"/>
      <c r="CZN527" s="500"/>
      <c r="CZO527" s="500"/>
      <c r="CZP527" s="500"/>
      <c r="CZQ527" s="500"/>
      <c r="CZR527" s="500"/>
      <c r="CZS527" s="500"/>
      <c r="CZT527" s="500"/>
      <c r="CZU527" s="500"/>
      <c r="CZV527" s="500"/>
      <c r="CZW527" s="500"/>
      <c r="CZX527" s="500"/>
      <c r="CZY527" s="500"/>
      <c r="CZZ527" s="500"/>
      <c r="DAA527" s="500"/>
      <c r="DAB527" s="500"/>
      <c r="DAC527" s="500"/>
      <c r="DAD527" s="500"/>
      <c r="DAE527" s="500"/>
      <c r="DAF527" s="500"/>
      <c r="DAG527" s="500"/>
      <c r="DAH527" s="500"/>
      <c r="DAI527" s="500"/>
      <c r="DAJ527" s="500"/>
      <c r="DAK527" s="500"/>
      <c r="DAL527" s="500"/>
      <c r="DAM527" s="500"/>
      <c r="DAN527" s="500"/>
      <c r="DAO527" s="500"/>
      <c r="DAP527" s="500"/>
      <c r="DAQ527" s="500"/>
      <c r="DAR527" s="500"/>
      <c r="DAS527" s="500"/>
      <c r="DAT527" s="500"/>
      <c r="DAU527" s="500"/>
      <c r="DAV527" s="500"/>
      <c r="DAW527" s="500"/>
      <c r="DAX527" s="500"/>
      <c r="DAY527" s="500"/>
      <c r="DAZ527" s="500"/>
      <c r="DBA527" s="500"/>
      <c r="DBB527" s="500"/>
      <c r="DBC527" s="500"/>
      <c r="DBD527" s="500"/>
      <c r="DBE527" s="500"/>
      <c r="DBF527" s="500"/>
      <c r="DBG527" s="500"/>
      <c r="DBH527" s="500"/>
      <c r="DBI527" s="500"/>
      <c r="DBJ527" s="500"/>
      <c r="DBK527" s="500"/>
      <c r="DBL527" s="500"/>
      <c r="DBM527" s="500"/>
      <c r="DBN527" s="500"/>
      <c r="DBO527" s="500"/>
      <c r="DBP527" s="500"/>
      <c r="DBQ527" s="500"/>
      <c r="DBR527" s="500"/>
      <c r="DBS527" s="500"/>
      <c r="DBT527" s="500"/>
      <c r="DBU527" s="500"/>
      <c r="DBV527" s="500"/>
      <c r="DBW527" s="500"/>
      <c r="DBX527" s="500"/>
      <c r="DBY527" s="500"/>
      <c r="DBZ527" s="500"/>
      <c r="DCA527" s="500"/>
      <c r="DCB527" s="500"/>
      <c r="DCC527" s="500"/>
      <c r="DCD527" s="500"/>
      <c r="DCE527" s="500"/>
      <c r="DCF527" s="500"/>
      <c r="DCG527" s="500"/>
      <c r="DCH527" s="500"/>
      <c r="DCI527" s="500"/>
      <c r="DCJ527" s="500"/>
      <c r="DCK527" s="500"/>
      <c r="DCL527" s="500"/>
      <c r="DCM527" s="500"/>
      <c r="DCN527" s="500"/>
      <c r="DCO527" s="500"/>
      <c r="DCP527" s="500"/>
      <c r="DCQ527" s="500"/>
      <c r="DCR527" s="500"/>
      <c r="DCS527" s="500"/>
      <c r="DCT527" s="500"/>
      <c r="DCU527" s="500"/>
      <c r="DCV527" s="500"/>
      <c r="DCW527" s="500"/>
      <c r="DCX527" s="500"/>
      <c r="DCY527" s="500"/>
      <c r="DCZ527" s="500"/>
      <c r="DDA527" s="500"/>
      <c r="DDB527" s="500"/>
      <c r="DDC527" s="500"/>
      <c r="DDD527" s="500"/>
      <c r="DDE527" s="500"/>
      <c r="DDF527" s="500"/>
      <c r="DDG527" s="500"/>
      <c r="DDH527" s="500"/>
      <c r="DDI527" s="500"/>
      <c r="DDJ527" s="500"/>
      <c r="DDK527" s="500"/>
      <c r="DDL527" s="500"/>
      <c r="DDM527" s="500"/>
      <c r="DDN527" s="500"/>
      <c r="DDO527" s="500"/>
      <c r="DDP527" s="500"/>
      <c r="DDQ527" s="500"/>
      <c r="DDR527" s="500"/>
      <c r="DDS527" s="500"/>
      <c r="DDT527" s="500"/>
      <c r="DDU527" s="500"/>
      <c r="DDV527" s="500"/>
      <c r="DDW527" s="500"/>
      <c r="DDX527" s="500"/>
      <c r="DDY527" s="500"/>
      <c r="DDZ527" s="500"/>
      <c r="DEA527" s="500"/>
      <c r="DEB527" s="500"/>
      <c r="DEC527" s="500"/>
      <c r="DED527" s="500"/>
      <c r="DEE527" s="500"/>
      <c r="DEF527" s="500"/>
      <c r="DEG527" s="500"/>
      <c r="DEH527" s="500"/>
      <c r="DEI527" s="500"/>
      <c r="DEJ527" s="500"/>
      <c r="DEK527" s="500"/>
      <c r="DEL527" s="500"/>
      <c r="DEM527" s="500"/>
      <c r="DEN527" s="500"/>
      <c r="DEO527" s="500"/>
      <c r="DEP527" s="500"/>
      <c r="DEQ527" s="500"/>
      <c r="DER527" s="500"/>
      <c r="DES527" s="500"/>
      <c r="DET527" s="500"/>
      <c r="DEU527" s="500"/>
      <c r="DEV527" s="500"/>
      <c r="DEW527" s="500"/>
      <c r="DEX527" s="500"/>
      <c r="DEY527" s="500"/>
      <c r="DEZ527" s="500"/>
      <c r="DFA527" s="500"/>
      <c r="DFB527" s="500"/>
      <c r="DFC527" s="500"/>
      <c r="DFD527" s="500"/>
      <c r="DFE527" s="500"/>
      <c r="DFF527" s="500"/>
      <c r="DFG527" s="500"/>
      <c r="DFH527" s="500"/>
      <c r="DFI527" s="500"/>
      <c r="DFJ527" s="500"/>
      <c r="DFK527" s="500"/>
      <c r="DFL527" s="500"/>
      <c r="DFM527" s="500"/>
      <c r="DFN527" s="500"/>
      <c r="DFO527" s="500"/>
      <c r="DFP527" s="500"/>
      <c r="DFQ527" s="500"/>
      <c r="DFR527" s="500"/>
      <c r="DFS527" s="500"/>
      <c r="DFT527" s="500"/>
      <c r="DFU527" s="500"/>
      <c r="DFV527" s="500"/>
      <c r="DFW527" s="500"/>
      <c r="DFX527" s="500"/>
      <c r="DFY527" s="500"/>
      <c r="DFZ527" s="500"/>
      <c r="DGA527" s="500"/>
      <c r="DGB527" s="500"/>
      <c r="DGC527" s="500"/>
      <c r="DGD527" s="500"/>
      <c r="DGE527" s="500"/>
      <c r="DGF527" s="500"/>
      <c r="DGG527" s="500"/>
      <c r="DGH527" s="500"/>
      <c r="DGI527" s="500"/>
      <c r="DGJ527" s="500"/>
      <c r="DGK527" s="500"/>
      <c r="DGL527" s="500"/>
      <c r="DGM527" s="500"/>
      <c r="DGN527" s="500"/>
      <c r="DGO527" s="500"/>
      <c r="DGP527" s="500"/>
      <c r="DGQ527" s="500"/>
      <c r="DGR527" s="500"/>
      <c r="DGS527" s="500"/>
      <c r="DGT527" s="500"/>
      <c r="DGU527" s="500"/>
      <c r="DGV527" s="500"/>
      <c r="DGW527" s="500"/>
      <c r="DGX527" s="500"/>
      <c r="DGY527" s="500"/>
      <c r="DGZ527" s="500"/>
      <c r="DHA527" s="500"/>
      <c r="DHB527" s="500"/>
      <c r="DHC527" s="500"/>
      <c r="DHD527" s="500"/>
      <c r="DHE527" s="500"/>
      <c r="DHF527" s="500"/>
      <c r="DHG527" s="500"/>
      <c r="DHH527" s="500"/>
      <c r="DHI527" s="500"/>
      <c r="DHJ527" s="500"/>
      <c r="DHK527" s="500"/>
      <c r="DHL527" s="500"/>
      <c r="DHM527" s="500"/>
      <c r="DHN527" s="500"/>
      <c r="DHO527" s="500"/>
      <c r="DHP527" s="500"/>
      <c r="DHQ527" s="500"/>
      <c r="DHR527" s="500"/>
      <c r="DHS527" s="500"/>
      <c r="DHT527" s="500"/>
      <c r="DHU527" s="500"/>
      <c r="DHV527" s="500"/>
      <c r="DHW527" s="500"/>
      <c r="DHX527" s="500"/>
      <c r="DHY527" s="500"/>
      <c r="DHZ527" s="500"/>
      <c r="DIA527" s="500"/>
      <c r="DIB527" s="500"/>
      <c r="DIC527" s="500"/>
      <c r="DID527" s="500"/>
      <c r="DIE527" s="500"/>
      <c r="DIF527" s="500"/>
      <c r="DIG527" s="500"/>
      <c r="DIH527" s="500"/>
      <c r="DII527" s="500"/>
      <c r="DIJ527" s="500"/>
      <c r="DIK527" s="500"/>
      <c r="DIL527" s="500"/>
      <c r="DIM527" s="500"/>
      <c r="DIN527" s="500"/>
      <c r="DIO527" s="500"/>
      <c r="DIP527" s="500"/>
      <c r="DIQ527" s="500"/>
      <c r="DIR527" s="500"/>
      <c r="DIS527" s="500"/>
      <c r="DIT527" s="500"/>
      <c r="DIU527" s="500"/>
      <c r="DIV527" s="500"/>
      <c r="DIW527" s="500"/>
      <c r="DIX527" s="500"/>
      <c r="DIY527" s="500"/>
      <c r="DIZ527" s="500"/>
      <c r="DJA527" s="500"/>
      <c r="DJB527" s="500"/>
      <c r="DJC527" s="500"/>
      <c r="DJD527" s="500"/>
      <c r="DJE527" s="500"/>
      <c r="DJF527" s="500"/>
      <c r="DJG527" s="500"/>
      <c r="DJH527" s="500"/>
      <c r="DJI527" s="500"/>
      <c r="DJJ527" s="500"/>
      <c r="DJK527" s="500"/>
      <c r="DJL527" s="500"/>
      <c r="DJM527" s="500"/>
      <c r="DJN527" s="500"/>
      <c r="DJO527" s="500"/>
      <c r="DJP527" s="500"/>
      <c r="DJQ527" s="500"/>
      <c r="DJR527" s="500"/>
      <c r="DJS527" s="500"/>
      <c r="DJT527" s="500"/>
      <c r="DJU527" s="500"/>
      <c r="DJV527" s="500"/>
      <c r="DJW527" s="500"/>
      <c r="DJX527" s="500"/>
      <c r="DJY527" s="500"/>
      <c r="DJZ527" s="500"/>
      <c r="DKA527" s="500"/>
      <c r="DKB527" s="500"/>
      <c r="DKC527" s="500"/>
      <c r="DKD527" s="500"/>
      <c r="DKE527" s="500"/>
      <c r="DKF527" s="500"/>
      <c r="DKG527" s="500"/>
      <c r="DKH527" s="500"/>
      <c r="DKI527" s="500"/>
      <c r="DKJ527" s="500"/>
      <c r="DKK527" s="500"/>
      <c r="DKL527" s="500"/>
      <c r="DKM527" s="500"/>
      <c r="DKN527" s="500"/>
      <c r="DKO527" s="500"/>
      <c r="DKP527" s="500"/>
      <c r="DKQ527" s="500"/>
      <c r="DKR527" s="500"/>
      <c r="DKS527" s="500"/>
      <c r="DKT527" s="500"/>
      <c r="DKU527" s="500"/>
      <c r="DKV527" s="500"/>
      <c r="DKW527" s="500"/>
      <c r="DKX527" s="500"/>
      <c r="DKY527" s="500"/>
      <c r="DKZ527" s="500"/>
      <c r="DLA527" s="500"/>
      <c r="DLB527" s="500"/>
      <c r="DLC527" s="500"/>
      <c r="DLD527" s="500"/>
      <c r="DLE527" s="500"/>
      <c r="DLF527" s="500"/>
      <c r="DLG527" s="500"/>
      <c r="DLH527" s="500"/>
      <c r="DLI527" s="500"/>
      <c r="DLJ527" s="500"/>
      <c r="DLK527" s="500"/>
      <c r="DLL527" s="500"/>
      <c r="DLM527" s="500"/>
      <c r="DLN527" s="500"/>
      <c r="DLO527" s="500"/>
      <c r="DLP527" s="500"/>
      <c r="DLQ527" s="500"/>
      <c r="DLR527" s="500"/>
      <c r="DLS527" s="500"/>
      <c r="DLT527" s="500"/>
      <c r="DLU527" s="500"/>
      <c r="DLV527" s="500"/>
      <c r="DLW527" s="500"/>
      <c r="DLX527" s="500"/>
      <c r="DLY527" s="500"/>
      <c r="DLZ527" s="500"/>
      <c r="DMA527" s="500"/>
      <c r="DMB527" s="500"/>
      <c r="DMC527" s="500"/>
      <c r="DMD527" s="500"/>
      <c r="DME527" s="500"/>
      <c r="DMF527" s="500"/>
      <c r="DMG527" s="500"/>
      <c r="DMH527" s="500"/>
      <c r="DMI527" s="500"/>
      <c r="DMJ527" s="500"/>
      <c r="DMK527" s="500"/>
      <c r="DML527" s="500"/>
      <c r="DMM527" s="500"/>
      <c r="DMN527" s="500"/>
      <c r="DMO527" s="500"/>
      <c r="DMP527" s="500"/>
      <c r="DMQ527" s="500"/>
      <c r="DMR527" s="500"/>
      <c r="DMS527" s="500"/>
      <c r="DMT527" s="500"/>
      <c r="DMU527" s="500"/>
      <c r="DMV527" s="500"/>
      <c r="DMW527" s="500"/>
      <c r="DMX527" s="500"/>
      <c r="DMY527" s="500"/>
      <c r="DMZ527" s="500"/>
      <c r="DNA527" s="500"/>
      <c r="DNB527" s="500"/>
      <c r="DNC527" s="500"/>
      <c r="DND527" s="500"/>
      <c r="DNE527" s="500"/>
      <c r="DNF527" s="500"/>
      <c r="DNG527" s="500"/>
      <c r="DNH527" s="500"/>
      <c r="DNI527" s="500"/>
      <c r="DNJ527" s="500"/>
      <c r="DNK527" s="500"/>
      <c r="DNL527" s="500"/>
      <c r="DNM527" s="500"/>
      <c r="DNN527" s="500"/>
      <c r="DNO527" s="500"/>
      <c r="DNP527" s="500"/>
      <c r="DNQ527" s="500"/>
      <c r="DNR527" s="500"/>
      <c r="DNS527" s="500"/>
      <c r="DNT527" s="500"/>
      <c r="DNU527" s="500"/>
      <c r="DNV527" s="500"/>
      <c r="DNW527" s="500"/>
      <c r="DNX527" s="500"/>
      <c r="DNY527" s="500"/>
      <c r="DNZ527" s="500"/>
      <c r="DOA527" s="500"/>
      <c r="DOB527" s="500"/>
      <c r="DOC527" s="500"/>
      <c r="DOD527" s="500"/>
      <c r="DOE527" s="500"/>
      <c r="DOF527" s="500"/>
      <c r="DOG527" s="500"/>
      <c r="DOH527" s="500"/>
      <c r="DOI527" s="500"/>
      <c r="DOJ527" s="500"/>
      <c r="DOK527" s="500"/>
      <c r="DOL527" s="500"/>
      <c r="DOM527" s="500"/>
      <c r="DON527" s="500"/>
      <c r="DOO527" s="500"/>
      <c r="DOP527" s="500"/>
      <c r="DOQ527" s="500"/>
      <c r="DOR527" s="500"/>
      <c r="DOS527" s="500"/>
      <c r="DOT527" s="500"/>
      <c r="DOU527" s="500"/>
      <c r="DOV527" s="500"/>
      <c r="DOW527" s="500"/>
      <c r="DOX527" s="500"/>
      <c r="DOY527" s="500"/>
      <c r="DOZ527" s="500"/>
      <c r="DPA527" s="500"/>
      <c r="DPB527" s="500"/>
      <c r="DPC527" s="500"/>
      <c r="DPD527" s="500"/>
      <c r="DPE527" s="500"/>
      <c r="DPF527" s="500"/>
      <c r="DPG527" s="500"/>
      <c r="DPH527" s="500"/>
      <c r="DPI527" s="500"/>
      <c r="DPJ527" s="500"/>
      <c r="DPK527" s="500"/>
      <c r="DPL527" s="500"/>
      <c r="DPM527" s="500"/>
      <c r="DPN527" s="500"/>
      <c r="DPO527" s="500"/>
      <c r="DPP527" s="500"/>
      <c r="DPQ527" s="500"/>
      <c r="DPR527" s="500"/>
      <c r="DPS527" s="500"/>
      <c r="DPT527" s="500"/>
      <c r="DPU527" s="500"/>
      <c r="DPV527" s="500"/>
      <c r="DPW527" s="500"/>
      <c r="DPX527" s="500"/>
      <c r="DPY527" s="500"/>
      <c r="DPZ527" s="500"/>
      <c r="DQA527" s="500"/>
      <c r="DQB527" s="500"/>
      <c r="DQC527" s="500"/>
      <c r="DQD527" s="500"/>
      <c r="DQE527" s="500"/>
      <c r="DQF527" s="500"/>
      <c r="DQG527" s="500"/>
      <c r="DQH527" s="500"/>
      <c r="DQI527" s="500"/>
      <c r="DQJ527" s="500"/>
      <c r="DQK527" s="500"/>
      <c r="DQL527" s="500"/>
      <c r="DQM527" s="500"/>
      <c r="DQN527" s="500"/>
      <c r="DQO527" s="500"/>
      <c r="DQP527" s="500"/>
      <c r="DQQ527" s="500"/>
      <c r="DQR527" s="500"/>
      <c r="DQS527" s="500"/>
      <c r="DQT527" s="500"/>
      <c r="DQU527" s="500"/>
      <c r="DQV527" s="500"/>
      <c r="DQW527" s="500"/>
      <c r="DQX527" s="500"/>
      <c r="DQY527" s="500"/>
      <c r="DQZ527" s="500"/>
      <c r="DRA527" s="500"/>
      <c r="DRB527" s="500"/>
      <c r="DRC527" s="500"/>
      <c r="DRD527" s="500"/>
      <c r="DRE527" s="500"/>
      <c r="DRF527" s="500"/>
      <c r="DRG527" s="500"/>
      <c r="DRH527" s="500"/>
      <c r="DRI527" s="500"/>
      <c r="DRJ527" s="500"/>
      <c r="DRK527" s="500"/>
      <c r="DRL527" s="500"/>
      <c r="DRM527" s="500"/>
      <c r="DRN527" s="500"/>
      <c r="DRO527" s="500"/>
      <c r="DRP527" s="500"/>
      <c r="DRQ527" s="500"/>
      <c r="DRR527" s="500"/>
      <c r="DRS527" s="500"/>
      <c r="DRT527" s="500"/>
      <c r="DRU527" s="500"/>
      <c r="DRV527" s="500"/>
      <c r="DRW527" s="500"/>
      <c r="DRX527" s="500"/>
      <c r="DRY527" s="500"/>
      <c r="DRZ527" s="500"/>
      <c r="DSA527" s="500"/>
      <c r="DSB527" s="500"/>
      <c r="DSC527" s="500"/>
      <c r="DSD527" s="500"/>
      <c r="DSE527" s="500"/>
      <c r="DSF527" s="500"/>
      <c r="DSG527" s="500"/>
      <c r="DSH527" s="500"/>
      <c r="DSI527" s="500"/>
      <c r="DSJ527" s="500"/>
      <c r="DSK527" s="500"/>
      <c r="DSL527" s="500"/>
      <c r="DSM527" s="500"/>
      <c r="DSN527" s="500"/>
      <c r="DSO527" s="500"/>
      <c r="DSP527" s="500"/>
      <c r="DSQ527" s="500"/>
      <c r="DSR527" s="500"/>
      <c r="DSS527" s="500"/>
      <c r="DST527" s="500"/>
      <c r="DSU527" s="500"/>
      <c r="DSV527" s="500"/>
      <c r="DSW527" s="500"/>
      <c r="DSX527" s="500"/>
      <c r="DSY527" s="500"/>
      <c r="DSZ527" s="500"/>
      <c r="DTA527" s="500"/>
      <c r="DTB527" s="500"/>
      <c r="DTC527" s="500"/>
      <c r="DTD527" s="500"/>
      <c r="DTE527" s="500"/>
      <c r="DTF527" s="500"/>
      <c r="DTG527" s="500"/>
      <c r="DTH527" s="500"/>
      <c r="DTI527" s="500"/>
      <c r="DTJ527" s="500"/>
      <c r="DTK527" s="500"/>
      <c r="DTL527" s="500"/>
      <c r="DTM527" s="500"/>
      <c r="DTN527" s="500"/>
      <c r="DTO527" s="500"/>
      <c r="DTP527" s="500"/>
      <c r="DTQ527" s="500"/>
      <c r="DTR527" s="500"/>
      <c r="DTS527" s="500"/>
      <c r="DTT527" s="500"/>
      <c r="DTU527" s="500"/>
      <c r="DTV527" s="500"/>
      <c r="DTW527" s="500"/>
      <c r="DTX527" s="500"/>
      <c r="DTY527" s="500"/>
      <c r="DTZ527" s="500"/>
      <c r="DUA527" s="500"/>
      <c r="DUB527" s="500"/>
      <c r="DUC527" s="500"/>
      <c r="DUD527" s="500"/>
      <c r="DUE527" s="500"/>
      <c r="DUF527" s="500"/>
      <c r="DUG527" s="500"/>
      <c r="DUH527" s="500"/>
      <c r="DUI527" s="500"/>
      <c r="DUJ527" s="500"/>
      <c r="DUK527" s="500"/>
      <c r="DUL527" s="500"/>
      <c r="DUM527" s="500"/>
      <c r="DUN527" s="500"/>
      <c r="DUO527" s="500"/>
      <c r="DUP527" s="500"/>
      <c r="DUQ527" s="500"/>
      <c r="DUR527" s="500"/>
      <c r="DUS527" s="500"/>
      <c r="DUT527" s="500"/>
      <c r="DUU527" s="500"/>
      <c r="DUV527" s="500"/>
      <c r="DUW527" s="500"/>
      <c r="DUX527" s="500"/>
      <c r="DUY527" s="500"/>
      <c r="DUZ527" s="500"/>
      <c r="DVA527" s="500"/>
      <c r="DVB527" s="500"/>
      <c r="DVC527" s="500"/>
      <c r="DVD527" s="500"/>
      <c r="DVE527" s="500"/>
      <c r="DVF527" s="500"/>
      <c r="DVG527" s="500"/>
      <c r="DVH527" s="500"/>
      <c r="DVI527" s="500"/>
      <c r="DVJ527" s="500"/>
      <c r="DVK527" s="500"/>
      <c r="DVL527" s="500"/>
      <c r="DVM527" s="500"/>
      <c r="DVN527" s="500"/>
      <c r="DVO527" s="500"/>
      <c r="DVP527" s="500"/>
      <c r="DVQ527" s="500"/>
      <c r="DVR527" s="500"/>
      <c r="DVS527" s="500"/>
      <c r="DVT527" s="500"/>
      <c r="DVU527" s="500"/>
      <c r="DVV527" s="500"/>
      <c r="DVW527" s="500"/>
      <c r="DVX527" s="500"/>
      <c r="DVY527" s="500"/>
      <c r="DVZ527" s="500"/>
      <c r="DWA527" s="500"/>
      <c r="DWB527" s="500"/>
      <c r="DWC527" s="500"/>
      <c r="DWD527" s="500"/>
      <c r="DWE527" s="500"/>
      <c r="DWF527" s="500"/>
      <c r="DWG527" s="500"/>
      <c r="DWH527" s="500"/>
      <c r="DWI527" s="500"/>
      <c r="DWJ527" s="500"/>
      <c r="DWK527" s="500"/>
      <c r="DWL527" s="500"/>
      <c r="DWM527" s="500"/>
      <c r="DWN527" s="500"/>
      <c r="DWO527" s="500"/>
      <c r="DWP527" s="500"/>
      <c r="DWQ527" s="500"/>
      <c r="DWR527" s="500"/>
      <c r="DWS527" s="500"/>
      <c r="DWT527" s="500"/>
      <c r="DWU527" s="500"/>
      <c r="DWV527" s="500"/>
      <c r="DWW527" s="500"/>
      <c r="DWX527" s="500"/>
      <c r="DWY527" s="500"/>
      <c r="DWZ527" s="500"/>
      <c r="DXA527" s="500"/>
      <c r="DXB527" s="500"/>
      <c r="DXC527" s="500"/>
      <c r="DXD527" s="500"/>
      <c r="DXE527" s="500"/>
      <c r="DXF527" s="500"/>
      <c r="DXG527" s="500"/>
      <c r="DXH527" s="500"/>
      <c r="DXI527" s="500"/>
      <c r="DXJ527" s="500"/>
      <c r="DXK527" s="500"/>
      <c r="DXL527" s="500"/>
      <c r="DXM527" s="500"/>
      <c r="DXN527" s="500"/>
      <c r="DXO527" s="500"/>
      <c r="DXP527" s="500"/>
      <c r="DXQ527" s="500"/>
      <c r="DXR527" s="500"/>
      <c r="DXS527" s="500"/>
      <c r="DXT527" s="500"/>
      <c r="DXU527" s="500"/>
      <c r="DXV527" s="500"/>
      <c r="DXW527" s="500"/>
      <c r="DXX527" s="500"/>
      <c r="DXY527" s="500"/>
      <c r="DXZ527" s="500"/>
      <c r="DYA527" s="500"/>
      <c r="DYB527" s="500"/>
      <c r="DYC527" s="500"/>
      <c r="DYD527" s="500"/>
      <c r="DYE527" s="500"/>
      <c r="DYF527" s="500"/>
      <c r="DYG527" s="500"/>
      <c r="DYH527" s="500"/>
      <c r="DYI527" s="500"/>
      <c r="DYJ527" s="500"/>
      <c r="DYK527" s="500"/>
      <c r="DYL527" s="500"/>
      <c r="DYM527" s="500"/>
      <c r="DYN527" s="500"/>
      <c r="DYO527" s="500"/>
      <c r="DYP527" s="500"/>
      <c r="DYQ527" s="500"/>
      <c r="DYR527" s="500"/>
      <c r="DYS527" s="500"/>
      <c r="DYT527" s="500"/>
      <c r="DYU527" s="500"/>
      <c r="DYV527" s="500"/>
      <c r="DYW527" s="500"/>
      <c r="DYX527" s="500"/>
      <c r="DYY527" s="500"/>
      <c r="DYZ527" s="500"/>
      <c r="DZA527" s="500"/>
      <c r="DZB527" s="500"/>
      <c r="DZC527" s="500"/>
      <c r="DZD527" s="500"/>
      <c r="DZE527" s="500"/>
      <c r="DZF527" s="500"/>
      <c r="DZG527" s="500"/>
      <c r="DZH527" s="500"/>
      <c r="DZI527" s="500"/>
      <c r="DZJ527" s="500"/>
      <c r="DZK527" s="500"/>
      <c r="DZL527" s="500"/>
      <c r="DZM527" s="500"/>
      <c r="DZN527" s="500"/>
      <c r="DZO527" s="500"/>
      <c r="DZP527" s="500"/>
      <c r="DZQ527" s="500"/>
      <c r="DZR527" s="500"/>
      <c r="DZS527" s="500"/>
      <c r="DZT527" s="500"/>
      <c r="DZU527" s="500"/>
      <c r="DZV527" s="500"/>
      <c r="DZW527" s="500"/>
      <c r="DZX527" s="500"/>
      <c r="DZY527" s="500"/>
      <c r="DZZ527" s="500"/>
      <c r="EAA527" s="500"/>
      <c r="EAB527" s="500"/>
      <c r="EAC527" s="500"/>
      <c r="EAD527" s="500"/>
      <c r="EAE527" s="500"/>
      <c r="EAF527" s="500"/>
      <c r="EAG527" s="500"/>
      <c r="EAH527" s="500"/>
      <c r="EAI527" s="500"/>
      <c r="EAJ527" s="500"/>
      <c r="EAK527" s="500"/>
      <c r="EAL527" s="500"/>
      <c r="EAM527" s="500"/>
      <c r="EAN527" s="500"/>
      <c r="EAO527" s="500"/>
      <c r="EAP527" s="500"/>
      <c r="EAQ527" s="500"/>
      <c r="EAR527" s="500"/>
      <c r="EAS527" s="500"/>
      <c r="EAT527" s="500"/>
      <c r="EAU527" s="500"/>
      <c r="EAV527" s="500"/>
      <c r="EAW527" s="500"/>
      <c r="EAX527" s="500"/>
      <c r="EAY527" s="500"/>
      <c r="EAZ527" s="500"/>
      <c r="EBA527" s="500"/>
      <c r="EBB527" s="500"/>
      <c r="EBC527" s="500"/>
      <c r="EBD527" s="500"/>
      <c r="EBE527" s="500"/>
      <c r="EBF527" s="500"/>
      <c r="EBG527" s="500"/>
      <c r="EBH527" s="500"/>
      <c r="EBI527" s="500"/>
      <c r="EBJ527" s="500"/>
      <c r="EBK527" s="500"/>
      <c r="EBL527" s="500"/>
      <c r="EBM527" s="500"/>
      <c r="EBN527" s="500"/>
      <c r="EBO527" s="500"/>
      <c r="EBP527" s="500"/>
      <c r="EBQ527" s="500"/>
      <c r="EBR527" s="500"/>
      <c r="EBS527" s="500"/>
      <c r="EBT527" s="500"/>
      <c r="EBU527" s="500"/>
      <c r="EBV527" s="500"/>
      <c r="EBW527" s="500"/>
      <c r="EBX527" s="500"/>
      <c r="EBY527" s="500"/>
      <c r="EBZ527" s="500"/>
      <c r="ECA527" s="500"/>
      <c r="ECB527" s="500"/>
      <c r="ECC527" s="500"/>
      <c r="ECD527" s="500"/>
      <c r="ECE527" s="500"/>
      <c r="ECF527" s="500"/>
      <c r="ECG527" s="500"/>
      <c r="ECH527" s="500"/>
      <c r="ECI527" s="500"/>
      <c r="ECJ527" s="500"/>
      <c r="ECK527" s="500"/>
      <c r="ECL527" s="500"/>
      <c r="ECM527" s="500"/>
      <c r="ECN527" s="500"/>
      <c r="ECO527" s="500"/>
      <c r="ECP527" s="500"/>
      <c r="ECQ527" s="500"/>
      <c r="ECR527" s="500"/>
      <c r="ECS527" s="500"/>
      <c r="ECT527" s="500"/>
      <c r="ECU527" s="500"/>
      <c r="ECV527" s="500"/>
      <c r="ECW527" s="500"/>
      <c r="ECX527" s="500"/>
      <c r="ECY527" s="500"/>
      <c r="ECZ527" s="500"/>
      <c r="EDA527" s="500"/>
      <c r="EDB527" s="500"/>
      <c r="EDC527" s="500"/>
      <c r="EDD527" s="500"/>
      <c r="EDE527" s="500"/>
      <c r="EDF527" s="500"/>
      <c r="EDG527" s="500"/>
      <c r="EDH527" s="500"/>
      <c r="EDI527" s="500"/>
      <c r="EDJ527" s="500"/>
      <c r="EDK527" s="500"/>
      <c r="EDL527" s="500"/>
      <c r="EDM527" s="500"/>
      <c r="EDN527" s="500"/>
      <c r="EDO527" s="500"/>
      <c r="EDP527" s="500"/>
      <c r="EDQ527" s="500"/>
      <c r="EDR527" s="500"/>
      <c r="EDS527" s="500"/>
      <c r="EDT527" s="500"/>
      <c r="EDU527" s="500"/>
      <c r="EDV527" s="500"/>
      <c r="EDW527" s="500"/>
      <c r="EDX527" s="500"/>
      <c r="EDY527" s="500"/>
      <c r="EDZ527" s="500"/>
      <c r="EEA527" s="500"/>
      <c r="EEB527" s="500"/>
      <c r="EEC527" s="500"/>
      <c r="EED527" s="500"/>
      <c r="EEE527" s="500"/>
      <c r="EEF527" s="500"/>
      <c r="EEG527" s="500"/>
      <c r="EEH527" s="500"/>
      <c r="EEI527" s="500"/>
      <c r="EEJ527" s="500"/>
      <c r="EEK527" s="500"/>
      <c r="EEL527" s="500"/>
      <c r="EEM527" s="500"/>
      <c r="EEN527" s="500"/>
      <c r="EEO527" s="500"/>
      <c r="EEP527" s="500"/>
      <c r="EEQ527" s="500"/>
      <c r="EER527" s="500"/>
      <c r="EES527" s="500"/>
      <c r="EET527" s="500"/>
      <c r="EEU527" s="500"/>
      <c r="EEV527" s="500"/>
      <c r="EEW527" s="500"/>
      <c r="EEX527" s="500"/>
      <c r="EEY527" s="500"/>
      <c r="EEZ527" s="500"/>
      <c r="EFA527" s="500"/>
      <c r="EFB527" s="500"/>
      <c r="EFC527" s="500"/>
      <c r="EFD527" s="500"/>
      <c r="EFE527" s="500"/>
      <c r="EFF527" s="500"/>
      <c r="EFG527" s="500"/>
      <c r="EFH527" s="500"/>
      <c r="EFI527" s="500"/>
      <c r="EFJ527" s="500"/>
      <c r="EFK527" s="500"/>
      <c r="EFL527" s="500"/>
      <c r="EFM527" s="500"/>
      <c r="EFN527" s="500"/>
      <c r="EFO527" s="500"/>
      <c r="EFP527" s="500"/>
      <c r="EFQ527" s="500"/>
      <c r="EFR527" s="500"/>
      <c r="EFS527" s="500"/>
      <c r="EFT527" s="500"/>
      <c r="EFU527" s="500"/>
      <c r="EFV527" s="500"/>
      <c r="EFW527" s="500"/>
      <c r="EFX527" s="500"/>
      <c r="EFY527" s="500"/>
      <c r="EFZ527" s="500"/>
      <c r="EGA527" s="500"/>
      <c r="EGB527" s="500"/>
      <c r="EGC527" s="500"/>
      <c r="EGD527" s="500"/>
      <c r="EGE527" s="500"/>
      <c r="EGF527" s="500"/>
      <c r="EGG527" s="500"/>
      <c r="EGH527" s="500"/>
      <c r="EGI527" s="500"/>
      <c r="EGJ527" s="500"/>
      <c r="EGK527" s="500"/>
      <c r="EGL527" s="500"/>
      <c r="EGM527" s="500"/>
      <c r="EGN527" s="500"/>
      <c r="EGO527" s="500"/>
      <c r="EGP527" s="500"/>
      <c r="EGQ527" s="500"/>
      <c r="EGR527" s="500"/>
      <c r="EGS527" s="500"/>
      <c r="EGT527" s="500"/>
      <c r="EGU527" s="500"/>
      <c r="EGV527" s="500"/>
      <c r="EGW527" s="500"/>
      <c r="EGX527" s="500"/>
      <c r="EGY527" s="500"/>
      <c r="EGZ527" s="500"/>
      <c r="EHA527" s="500"/>
      <c r="EHB527" s="500"/>
      <c r="EHC527" s="500"/>
      <c r="EHD527" s="500"/>
      <c r="EHE527" s="500"/>
      <c r="EHF527" s="500"/>
      <c r="EHG527" s="500"/>
      <c r="EHH527" s="500"/>
      <c r="EHI527" s="500"/>
      <c r="EHJ527" s="500"/>
      <c r="EHK527" s="500"/>
      <c r="EHL527" s="500"/>
      <c r="EHM527" s="500"/>
      <c r="EHN527" s="500"/>
      <c r="EHO527" s="500"/>
      <c r="EHP527" s="500"/>
      <c r="EHQ527" s="500"/>
      <c r="EHR527" s="500"/>
      <c r="EHS527" s="500"/>
      <c r="EHT527" s="500"/>
      <c r="EHU527" s="500"/>
      <c r="EHV527" s="500"/>
      <c r="EHW527" s="500"/>
      <c r="EHX527" s="500"/>
      <c r="EHY527" s="500"/>
      <c r="EHZ527" s="500"/>
      <c r="EIA527" s="500"/>
      <c r="EIB527" s="500"/>
      <c r="EIC527" s="500"/>
      <c r="EID527" s="500"/>
      <c r="EIE527" s="500"/>
      <c r="EIF527" s="500"/>
      <c r="EIG527" s="500"/>
      <c r="EIH527" s="500"/>
      <c r="EII527" s="500"/>
      <c r="EIJ527" s="500"/>
      <c r="EIK527" s="500"/>
      <c r="EIL527" s="500"/>
      <c r="EIM527" s="500"/>
      <c r="EIN527" s="500"/>
      <c r="EIO527" s="500"/>
      <c r="EIP527" s="500"/>
      <c r="EIQ527" s="500"/>
      <c r="EIR527" s="500"/>
      <c r="EIS527" s="500"/>
      <c r="EIT527" s="500"/>
      <c r="EIU527" s="500"/>
      <c r="EIV527" s="500"/>
      <c r="EIW527" s="500"/>
      <c r="EIX527" s="500"/>
      <c r="EIY527" s="500"/>
      <c r="EIZ527" s="500"/>
      <c r="EJA527" s="500"/>
      <c r="EJB527" s="500"/>
      <c r="EJC527" s="500"/>
      <c r="EJD527" s="500"/>
      <c r="EJE527" s="500"/>
      <c r="EJF527" s="500"/>
      <c r="EJG527" s="500"/>
      <c r="EJH527" s="500"/>
      <c r="EJI527" s="500"/>
      <c r="EJJ527" s="500"/>
      <c r="EJK527" s="500"/>
      <c r="EJL527" s="500"/>
      <c r="EJM527" s="500"/>
      <c r="EJN527" s="500"/>
      <c r="EJO527" s="500"/>
      <c r="EJP527" s="500"/>
      <c r="EJQ527" s="500"/>
      <c r="EJR527" s="500"/>
      <c r="EJS527" s="500"/>
      <c r="EJT527" s="500"/>
      <c r="EJU527" s="500"/>
      <c r="EJV527" s="500"/>
      <c r="EJW527" s="500"/>
      <c r="EJX527" s="500"/>
      <c r="EJY527" s="500"/>
      <c r="EJZ527" s="500"/>
      <c r="EKA527" s="500"/>
      <c r="EKB527" s="500"/>
      <c r="EKC527" s="500"/>
      <c r="EKD527" s="500"/>
      <c r="EKE527" s="500"/>
      <c r="EKF527" s="500"/>
      <c r="EKG527" s="500"/>
      <c r="EKH527" s="500"/>
      <c r="EKI527" s="500"/>
      <c r="EKJ527" s="500"/>
      <c r="EKK527" s="500"/>
      <c r="EKL527" s="500"/>
      <c r="EKM527" s="500"/>
      <c r="EKN527" s="500"/>
      <c r="EKO527" s="500"/>
      <c r="EKP527" s="500"/>
      <c r="EKQ527" s="500"/>
      <c r="EKR527" s="500"/>
      <c r="EKS527" s="500"/>
      <c r="EKT527" s="500"/>
      <c r="EKU527" s="500"/>
      <c r="EKV527" s="500"/>
      <c r="EKW527" s="500"/>
      <c r="EKX527" s="500"/>
      <c r="EKY527" s="500"/>
      <c r="EKZ527" s="500"/>
      <c r="ELA527" s="500"/>
      <c r="ELB527" s="500"/>
      <c r="ELC527" s="500"/>
      <c r="ELD527" s="500"/>
      <c r="ELE527" s="500"/>
      <c r="ELF527" s="500"/>
      <c r="ELG527" s="500"/>
      <c r="ELH527" s="500"/>
      <c r="ELI527" s="500"/>
      <c r="ELJ527" s="500"/>
      <c r="ELK527" s="500"/>
      <c r="ELL527" s="500"/>
      <c r="ELM527" s="500"/>
      <c r="ELN527" s="500"/>
      <c r="ELO527" s="500"/>
      <c r="ELP527" s="500"/>
      <c r="ELQ527" s="500"/>
      <c r="ELR527" s="500"/>
      <c r="ELS527" s="500"/>
      <c r="ELT527" s="500"/>
      <c r="ELU527" s="500"/>
      <c r="ELV527" s="500"/>
      <c r="ELW527" s="500"/>
      <c r="ELX527" s="500"/>
      <c r="ELY527" s="500"/>
      <c r="ELZ527" s="500"/>
      <c r="EMA527" s="500"/>
      <c r="EMB527" s="500"/>
      <c r="EMC527" s="500"/>
      <c r="EMD527" s="500"/>
      <c r="EME527" s="500"/>
      <c r="EMF527" s="500"/>
      <c r="EMG527" s="500"/>
      <c r="EMH527" s="500"/>
      <c r="EMI527" s="500"/>
      <c r="EMJ527" s="500"/>
      <c r="EMK527" s="500"/>
      <c r="EML527" s="500"/>
      <c r="EMM527" s="500"/>
      <c r="EMN527" s="500"/>
      <c r="EMO527" s="500"/>
      <c r="EMP527" s="500"/>
      <c r="EMQ527" s="500"/>
      <c r="EMR527" s="500"/>
      <c r="EMS527" s="500"/>
      <c r="EMT527" s="500"/>
      <c r="EMU527" s="500"/>
      <c r="EMV527" s="500"/>
      <c r="EMW527" s="500"/>
      <c r="EMX527" s="500"/>
      <c r="EMY527" s="500"/>
      <c r="EMZ527" s="500"/>
      <c r="ENA527" s="500"/>
      <c r="ENB527" s="500"/>
      <c r="ENC527" s="500"/>
      <c r="END527" s="500"/>
      <c r="ENE527" s="500"/>
      <c r="ENF527" s="500"/>
      <c r="ENG527" s="500"/>
      <c r="ENH527" s="500"/>
      <c r="ENI527" s="500"/>
      <c r="ENJ527" s="500"/>
      <c r="ENK527" s="500"/>
      <c r="ENL527" s="500"/>
      <c r="ENM527" s="500"/>
      <c r="ENN527" s="500"/>
      <c r="ENO527" s="500"/>
      <c r="ENP527" s="500"/>
      <c r="ENQ527" s="500"/>
      <c r="ENR527" s="500"/>
      <c r="ENS527" s="500"/>
      <c r="ENT527" s="500"/>
      <c r="ENU527" s="500"/>
      <c r="ENV527" s="500"/>
      <c r="ENW527" s="500"/>
      <c r="ENX527" s="500"/>
      <c r="ENY527" s="500"/>
      <c r="ENZ527" s="500"/>
      <c r="EOA527" s="500"/>
      <c r="EOB527" s="500"/>
      <c r="EOC527" s="500"/>
      <c r="EOD527" s="500"/>
      <c r="EOE527" s="500"/>
      <c r="EOF527" s="500"/>
      <c r="EOG527" s="500"/>
      <c r="EOH527" s="500"/>
      <c r="EOI527" s="500"/>
      <c r="EOJ527" s="500"/>
      <c r="EOK527" s="500"/>
      <c r="EOL527" s="500"/>
      <c r="EOM527" s="500"/>
      <c r="EON527" s="500"/>
      <c r="EOO527" s="500"/>
      <c r="EOP527" s="500"/>
      <c r="EOQ527" s="500"/>
      <c r="EOR527" s="500"/>
      <c r="EOS527" s="500"/>
      <c r="EOT527" s="500"/>
      <c r="EOU527" s="500"/>
      <c r="EOV527" s="500"/>
      <c r="EOW527" s="500"/>
      <c r="EOX527" s="500"/>
      <c r="EOY527" s="500"/>
      <c r="EOZ527" s="500"/>
      <c r="EPA527" s="500"/>
      <c r="EPB527" s="500"/>
      <c r="EPC527" s="500"/>
      <c r="EPD527" s="500"/>
      <c r="EPE527" s="500"/>
      <c r="EPF527" s="500"/>
      <c r="EPG527" s="500"/>
      <c r="EPH527" s="500"/>
      <c r="EPI527" s="500"/>
      <c r="EPJ527" s="500"/>
      <c r="EPK527" s="500"/>
      <c r="EPL527" s="500"/>
      <c r="EPM527" s="500"/>
      <c r="EPN527" s="500"/>
      <c r="EPO527" s="500"/>
      <c r="EPP527" s="500"/>
      <c r="EPQ527" s="500"/>
      <c r="EPR527" s="500"/>
      <c r="EPS527" s="500"/>
      <c r="EPT527" s="500"/>
      <c r="EPU527" s="500"/>
      <c r="EPV527" s="500"/>
      <c r="EPW527" s="500"/>
      <c r="EPX527" s="500"/>
      <c r="EPY527" s="500"/>
      <c r="EPZ527" s="500"/>
      <c r="EQA527" s="500"/>
      <c r="EQB527" s="500"/>
      <c r="EQC527" s="500"/>
      <c r="EQD527" s="500"/>
      <c r="EQE527" s="500"/>
      <c r="EQF527" s="500"/>
      <c r="EQG527" s="500"/>
      <c r="EQH527" s="500"/>
      <c r="EQI527" s="500"/>
      <c r="EQJ527" s="500"/>
      <c r="EQK527" s="500"/>
      <c r="EQL527" s="500"/>
      <c r="EQM527" s="500"/>
      <c r="EQN527" s="500"/>
      <c r="EQO527" s="500"/>
      <c r="EQP527" s="500"/>
      <c r="EQQ527" s="500"/>
      <c r="EQR527" s="500"/>
      <c r="EQS527" s="500"/>
      <c r="EQT527" s="500"/>
      <c r="EQU527" s="500"/>
      <c r="EQV527" s="500"/>
      <c r="EQW527" s="500"/>
      <c r="EQX527" s="500"/>
      <c r="EQY527" s="500"/>
      <c r="EQZ527" s="500"/>
      <c r="ERA527" s="500"/>
      <c r="ERB527" s="500"/>
      <c r="ERC527" s="500"/>
      <c r="ERD527" s="500"/>
      <c r="ERE527" s="500"/>
      <c r="ERF527" s="500"/>
      <c r="ERG527" s="500"/>
      <c r="ERH527" s="500"/>
      <c r="ERI527" s="500"/>
      <c r="ERJ527" s="500"/>
      <c r="ERK527" s="500"/>
      <c r="ERL527" s="500"/>
      <c r="ERM527" s="500"/>
      <c r="ERN527" s="500"/>
      <c r="ERO527" s="500"/>
      <c r="ERP527" s="500"/>
      <c r="ERQ527" s="500"/>
      <c r="ERR527" s="500"/>
      <c r="ERS527" s="500"/>
      <c r="ERT527" s="500"/>
      <c r="ERU527" s="500"/>
      <c r="ERV527" s="500"/>
      <c r="ERW527" s="500"/>
      <c r="ERX527" s="500"/>
      <c r="ERY527" s="500"/>
      <c r="ERZ527" s="500"/>
      <c r="ESA527" s="500"/>
      <c r="ESB527" s="500"/>
      <c r="ESC527" s="500"/>
      <c r="ESD527" s="500"/>
      <c r="ESE527" s="500"/>
      <c r="ESF527" s="500"/>
      <c r="ESG527" s="500"/>
      <c r="ESH527" s="500"/>
      <c r="ESI527" s="500"/>
      <c r="ESJ527" s="500"/>
      <c r="ESK527" s="500"/>
      <c r="ESL527" s="500"/>
      <c r="ESM527" s="500"/>
      <c r="ESN527" s="500"/>
      <c r="ESO527" s="500"/>
      <c r="ESP527" s="500"/>
      <c r="ESQ527" s="500"/>
      <c r="ESR527" s="500"/>
      <c r="ESS527" s="500"/>
      <c r="EST527" s="500"/>
      <c r="ESU527" s="500"/>
      <c r="ESV527" s="500"/>
      <c r="ESW527" s="500"/>
      <c r="ESX527" s="500"/>
      <c r="ESY527" s="500"/>
      <c r="ESZ527" s="500"/>
      <c r="ETA527" s="500"/>
      <c r="ETB527" s="500"/>
      <c r="ETC527" s="500"/>
      <c r="ETD527" s="500"/>
      <c r="ETE527" s="500"/>
      <c r="ETF527" s="500"/>
      <c r="ETG527" s="500"/>
      <c r="ETH527" s="500"/>
      <c r="ETI527" s="500"/>
      <c r="ETJ527" s="500"/>
      <c r="ETK527" s="500"/>
      <c r="ETL527" s="500"/>
      <c r="ETM527" s="500"/>
      <c r="ETN527" s="500"/>
      <c r="ETO527" s="500"/>
      <c r="ETP527" s="500"/>
      <c r="ETQ527" s="500"/>
      <c r="ETR527" s="500"/>
      <c r="ETS527" s="500"/>
      <c r="ETT527" s="500"/>
      <c r="ETU527" s="500"/>
      <c r="ETV527" s="500"/>
      <c r="ETW527" s="500"/>
      <c r="ETX527" s="500"/>
      <c r="ETY527" s="500"/>
      <c r="ETZ527" s="500"/>
      <c r="EUA527" s="500"/>
      <c r="EUB527" s="500"/>
      <c r="EUC527" s="500"/>
      <c r="EUD527" s="500"/>
      <c r="EUE527" s="500"/>
      <c r="EUF527" s="500"/>
      <c r="EUG527" s="500"/>
      <c r="EUH527" s="500"/>
      <c r="EUI527" s="500"/>
      <c r="EUJ527" s="500"/>
      <c r="EUK527" s="500"/>
      <c r="EUL527" s="500"/>
      <c r="EUM527" s="500"/>
      <c r="EUN527" s="500"/>
      <c r="EUO527" s="500"/>
      <c r="EUP527" s="500"/>
      <c r="EUQ527" s="500"/>
      <c r="EUR527" s="500"/>
      <c r="EUS527" s="500"/>
      <c r="EUT527" s="500"/>
      <c r="EUU527" s="500"/>
      <c r="EUV527" s="500"/>
      <c r="EUW527" s="500"/>
      <c r="EUX527" s="500"/>
      <c r="EUY527" s="500"/>
      <c r="EUZ527" s="500"/>
      <c r="EVA527" s="500"/>
      <c r="EVB527" s="500"/>
      <c r="EVC527" s="500"/>
      <c r="EVD527" s="500"/>
      <c r="EVE527" s="500"/>
      <c r="EVF527" s="500"/>
      <c r="EVG527" s="500"/>
      <c r="EVH527" s="500"/>
      <c r="EVI527" s="500"/>
      <c r="EVJ527" s="500"/>
      <c r="EVK527" s="500"/>
      <c r="EVL527" s="500"/>
      <c r="EVM527" s="500"/>
      <c r="EVN527" s="500"/>
      <c r="EVO527" s="500"/>
      <c r="EVP527" s="500"/>
      <c r="EVQ527" s="500"/>
      <c r="EVR527" s="500"/>
      <c r="EVS527" s="500"/>
      <c r="EVT527" s="500"/>
      <c r="EVU527" s="500"/>
      <c r="EVV527" s="500"/>
      <c r="EVW527" s="500"/>
      <c r="EVX527" s="500"/>
      <c r="EVY527" s="500"/>
      <c r="EVZ527" s="500"/>
      <c r="EWA527" s="500"/>
      <c r="EWB527" s="500"/>
      <c r="EWC527" s="500"/>
      <c r="EWD527" s="500"/>
      <c r="EWE527" s="500"/>
      <c r="EWF527" s="500"/>
      <c r="EWG527" s="500"/>
      <c r="EWH527" s="500"/>
      <c r="EWI527" s="500"/>
      <c r="EWJ527" s="500"/>
      <c r="EWK527" s="500"/>
      <c r="EWL527" s="500"/>
      <c r="EWM527" s="500"/>
      <c r="EWN527" s="500"/>
      <c r="EWO527" s="500"/>
      <c r="EWP527" s="500"/>
      <c r="EWQ527" s="500"/>
      <c r="EWR527" s="500"/>
      <c r="EWS527" s="500"/>
      <c r="EWT527" s="500"/>
      <c r="EWU527" s="500"/>
      <c r="EWV527" s="500"/>
      <c r="EWW527" s="500"/>
      <c r="EWX527" s="500"/>
      <c r="EWY527" s="500"/>
      <c r="EWZ527" s="500"/>
      <c r="EXA527" s="500"/>
      <c r="EXB527" s="500"/>
      <c r="EXC527" s="500"/>
      <c r="EXD527" s="500"/>
      <c r="EXE527" s="500"/>
      <c r="EXF527" s="500"/>
      <c r="EXG527" s="500"/>
      <c r="EXH527" s="500"/>
      <c r="EXI527" s="500"/>
      <c r="EXJ527" s="500"/>
      <c r="EXK527" s="500"/>
      <c r="EXL527" s="500"/>
      <c r="EXM527" s="500"/>
      <c r="EXN527" s="500"/>
      <c r="EXO527" s="500"/>
      <c r="EXP527" s="500"/>
      <c r="EXQ527" s="500"/>
      <c r="EXR527" s="500"/>
      <c r="EXS527" s="500"/>
      <c r="EXT527" s="500"/>
      <c r="EXU527" s="500"/>
      <c r="EXV527" s="500"/>
      <c r="EXW527" s="500"/>
      <c r="EXX527" s="500"/>
      <c r="EXY527" s="500"/>
      <c r="EXZ527" s="500"/>
      <c r="EYA527" s="500"/>
      <c r="EYB527" s="500"/>
      <c r="EYC527" s="500"/>
      <c r="EYD527" s="500"/>
      <c r="EYE527" s="500"/>
      <c r="EYF527" s="500"/>
      <c r="EYG527" s="500"/>
      <c r="EYH527" s="500"/>
      <c r="EYI527" s="500"/>
      <c r="EYJ527" s="500"/>
      <c r="EYK527" s="500"/>
      <c r="EYL527" s="500"/>
      <c r="EYM527" s="500"/>
      <c r="EYN527" s="500"/>
      <c r="EYO527" s="500"/>
      <c r="EYP527" s="500"/>
      <c r="EYQ527" s="500"/>
      <c r="EYR527" s="500"/>
      <c r="EYS527" s="500"/>
      <c r="EYT527" s="500"/>
      <c r="EYU527" s="500"/>
      <c r="EYV527" s="500"/>
      <c r="EYW527" s="500"/>
      <c r="EYX527" s="500"/>
      <c r="EYY527" s="500"/>
      <c r="EYZ527" s="500"/>
      <c r="EZA527" s="500"/>
      <c r="EZB527" s="500"/>
      <c r="EZC527" s="500"/>
      <c r="EZD527" s="500"/>
      <c r="EZE527" s="500"/>
      <c r="EZF527" s="500"/>
      <c r="EZG527" s="500"/>
      <c r="EZH527" s="500"/>
      <c r="EZI527" s="500"/>
      <c r="EZJ527" s="500"/>
      <c r="EZK527" s="500"/>
      <c r="EZL527" s="500"/>
      <c r="EZM527" s="500"/>
      <c r="EZN527" s="500"/>
      <c r="EZO527" s="500"/>
      <c r="EZP527" s="500"/>
      <c r="EZQ527" s="500"/>
      <c r="EZR527" s="500"/>
      <c r="EZS527" s="500"/>
      <c r="EZT527" s="500"/>
      <c r="EZU527" s="500"/>
      <c r="EZV527" s="500"/>
      <c r="EZW527" s="500"/>
      <c r="EZX527" s="500"/>
      <c r="EZY527" s="500"/>
      <c r="EZZ527" s="500"/>
      <c r="FAA527" s="500"/>
      <c r="FAB527" s="500"/>
      <c r="FAC527" s="500"/>
      <c r="FAD527" s="500"/>
      <c r="FAE527" s="500"/>
      <c r="FAF527" s="500"/>
      <c r="FAG527" s="500"/>
      <c r="FAH527" s="500"/>
      <c r="FAI527" s="500"/>
      <c r="FAJ527" s="500"/>
      <c r="FAK527" s="500"/>
      <c r="FAL527" s="500"/>
      <c r="FAM527" s="500"/>
      <c r="FAN527" s="500"/>
      <c r="FAO527" s="500"/>
      <c r="FAP527" s="500"/>
      <c r="FAQ527" s="500"/>
      <c r="FAR527" s="500"/>
      <c r="FAS527" s="500"/>
      <c r="FAT527" s="500"/>
      <c r="FAU527" s="500"/>
      <c r="FAV527" s="500"/>
      <c r="FAW527" s="500"/>
      <c r="FAX527" s="500"/>
      <c r="FAY527" s="500"/>
      <c r="FAZ527" s="500"/>
      <c r="FBA527" s="500"/>
      <c r="FBB527" s="500"/>
      <c r="FBC527" s="500"/>
      <c r="FBD527" s="500"/>
      <c r="FBE527" s="500"/>
      <c r="FBF527" s="500"/>
      <c r="FBG527" s="500"/>
      <c r="FBH527" s="500"/>
      <c r="FBI527" s="500"/>
      <c r="FBJ527" s="500"/>
      <c r="FBK527" s="500"/>
      <c r="FBL527" s="500"/>
      <c r="FBM527" s="500"/>
      <c r="FBN527" s="500"/>
      <c r="FBO527" s="500"/>
      <c r="FBP527" s="500"/>
      <c r="FBQ527" s="500"/>
      <c r="FBR527" s="500"/>
      <c r="FBS527" s="500"/>
      <c r="FBT527" s="500"/>
      <c r="FBU527" s="500"/>
      <c r="FBV527" s="500"/>
      <c r="FBW527" s="500"/>
      <c r="FBX527" s="500"/>
      <c r="FBY527" s="500"/>
      <c r="FBZ527" s="500"/>
      <c r="FCA527" s="500"/>
      <c r="FCB527" s="500"/>
      <c r="FCC527" s="500"/>
      <c r="FCD527" s="500"/>
      <c r="FCE527" s="500"/>
      <c r="FCF527" s="500"/>
      <c r="FCG527" s="500"/>
      <c r="FCH527" s="500"/>
      <c r="FCI527" s="500"/>
      <c r="FCJ527" s="500"/>
      <c r="FCK527" s="500"/>
      <c r="FCL527" s="500"/>
      <c r="FCM527" s="500"/>
      <c r="FCN527" s="500"/>
      <c r="FCO527" s="500"/>
      <c r="FCP527" s="500"/>
      <c r="FCQ527" s="500"/>
      <c r="FCR527" s="500"/>
      <c r="FCS527" s="500"/>
      <c r="FCT527" s="500"/>
      <c r="FCU527" s="500"/>
      <c r="FCV527" s="500"/>
      <c r="FCW527" s="500"/>
      <c r="FCX527" s="500"/>
      <c r="FCY527" s="500"/>
      <c r="FCZ527" s="500"/>
      <c r="FDA527" s="500"/>
      <c r="FDB527" s="500"/>
      <c r="FDC527" s="500"/>
      <c r="FDD527" s="500"/>
      <c r="FDE527" s="500"/>
      <c r="FDF527" s="500"/>
      <c r="FDG527" s="500"/>
      <c r="FDH527" s="500"/>
      <c r="FDI527" s="500"/>
      <c r="FDJ527" s="500"/>
      <c r="FDK527" s="500"/>
      <c r="FDL527" s="500"/>
      <c r="FDM527" s="500"/>
      <c r="FDN527" s="500"/>
      <c r="FDO527" s="500"/>
      <c r="FDP527" s="500"/>
      <c r="FDQ527" s="500"/>
      <c r="FDR527" s="500"/>
      <c r="FDS527" s="500"/>
      <c r="FDT527" s="500"/>
      <c r="FDU527" s="500"/>
      <c r="FDV527" s="500"/>
      <c r="FDW527" s="500"/>
      <c r="FDX527" s="500"/>
      <c r="FDY527" s="500"/>
      <c r="FDZ527" s="500"/>
      <c r="FEA527" s="500"/>
      <c r="FEB527" s="500"/>
      <c r="FEC527" s="500"/>
      <c r="FED527" s="500"/>
      <c r="FEE527" s="500"/>
      <c r="FEF527" s="500"/>
      <c r="FEG527" s="500"/>
      <c r="FEH527" s="500"/>
      <c r="FEI527" s="500"/>
      <c r="FEJ527" s="500"/>
      <c r="FEK527" s="500"/>
      <c r="FEL527" s="500"/>
      <c r="FEM527" s="500"/>
      <c r="FEN527" s="500"/>
      <c r="FEO527" s="500"/>
      <c r="FEP527" s="500"/>
      <c r="FEQ527" s="500"/>
      <c r="FER527" s="500"/>
      <c r="FES527" s="500"/>
      <c r="FET527" s="500"/>
      <c r="FEU527" s="500"/>
      <c r="FEV527" s="500"/>
      <c r="FEW527" s="500"/>
      <c r="FEX527" s="500"/>
      <c r="FEY527" s="500"/>
      <c r="FEZ527" s="500"/>
      <c r="FFA527" s="500"/>
      <c r="FFB527" s="500"/>
      <c r="FFC527" s="500"/>
      <c r="FFD527" s="500"/>
      <c r="FFE527" s="500"/>
      <c r="FFF527" s="500"/>
      <c r="FFG527" s="500"/>
      <c r="FFH527" s="500"/>
      <c r="FFI527" s="500"/>
      <c r="FFJ527" s="500"/>
      <c r="FFK527" s="500"/>
      <c r="FFL527" s="500"/>
      <c r="FFM527" s="500"/>
      <c r="FFN527" s="500"/>
      <c r="FFO527" s="500"/>
      <c r="FFP527" s="500"/>
      <c r="FFQ527" s="500"/>
      <c r="FFR527" s="500"/>
      <c r="FFS527" s="500"/>
      <c r="FFT527" s="500"/>
      <c r="FFU527" s="500"/>
      <c r="FFV527" s="500"/>
      <c r="FFW527" s="500"/>
      <c r="FFX527" s="500"/>
      <c r="FFY527" s="500"/>
      <c r="FFZ527" s="500"/>
      <c r="FGA527" s="500"/>
      <c r="FGB527" s="500"/>
      <c r="FGC527" s="500"/>
      <c r="FGD527" s="500"/>
      <c r="FGE527" s="500"/>
      <c r="FGF527" s="500"/>
      <c r="FGG527" s="500"/>
      <c r="FGH527" s="500"/>
      <c r="FGI527" s="500"/>
      <c r="FGJ527" s="500"/>
      <c r="FGK527" s="500"/>
      <c r="FGL527" s="500"/>
      <c r="FGM527" s="500"/>
      <c r="FGN527" s="500"/>
      <c r="FGO527" s="500"/>
      <c r="FGP527" s="500"/>
      <c r="FGQ527" s="500"/>
      <c r="FGR527" s="500"/>
      <c r="FGS527" s="500"/>
      <c r="FGT527" s="500"/>
      <c r="FGU527" s="500"/>
      <c r="FGV527" s="500"/>
      <c r="FGW527" s="500"/>
      <c r="FGX527" s="500"/>
      <c r="FGY527" s="500"/>
      <c r="FGZ527" s="500"/>
      <c r="FHA527" s="500"/>
      <c r="FHB527" s="500"/>
      <c r="FHC527" s="500"/>
      <c r="FHD527" s="500"/>
      <c r="FHE527" s="500"/>
      <c r="FHF527" s="500"/>
      <c r="FHG527" s="500"/>
      <c r="FHH527" s="500"/>
      <c r="FHI527" s="500"/>
      <c r="FHJ527" s="500"/>
      <c r="FHK527" s="500"/>
      <c r="FHL527" s="500"/>
      <c r="FHM527" s="500"/>
      <c r="FHN527" s="500"/>
      <c r="FHO527" s="500"/>
      <c r="FHP527" s="500"/>
      <c r="FHQ527" s="500"/>
      <c r="FHR527" s="500"/>
      <c r="FHS527" s="500"/>
      <c r="FHT527" s="500"/>
      <c r="FHU527" s="500"/>
      <c r="FHV527" s="500"/>
      <c r="FHW527" s="500"/>
      <c r="FHX527" s="500"/>
      <c r="FHY527" s="500"/>
      <c r="FHZ527" s="500"/>
      <c r="FIA527" s="500"/>
      <c r="FIB527" s="500"/>
      <c r="FIC527" s="500"/>
      <c r="FID527" s="500"/>
      <c r="FIE527" s="500"/>
      <c r="FIF527" s="500"/>
      <c r="FIG527" s="500"/>
      <c r="FIH527" s="500"/>
      <c r="FII527" s="500"/>
      <c r="FIJ527" s="500"/>
      <c r="FIK527" s="500"/>
      <c r="FIL527" s="500"/>
      <c r="FIM527" s="500"/>
      <c r="FIN527" s="500"/>
      <c r="FIO527" s="500"/>
      <c r="FIP527" s="500"/>
      <c r="FIQ527" s="500"/>
      <c r="FIR527" s="500"/>
      <c r="FIS527" s="500"/>
      <c r="FIT527" s="500"/>
      <c r="FIU527" s="500"/>
      <c r="FIV527" s="500"/>
      <c r="FIW527" s="500"/>
      <c r="FIX527" s="500"/>
      <c r="FIY527" s="500"/>
      <c r="FIZ527" s="500"/>
      <c r="FJA527" s="500"/>
      <c r="FJB527" s="500"/>
      <c r="FJC527" s="500"/>
      <c r="FJD527" s="500"/>
      <c r="FJE527" s="500"/>
      <c r="FJF527" s="500"/>
      <c r="FJG527" s="500"/>
      <c r="FJH527" s="500"/>
      <c r="FJI527" s="500"/>
      <c r="FJJ527" s="500"/>
      <c r="FJK527" s="500"/>
      <c r="FJL527" s="500"/>
      <c r="FJM527" s="500"/>
      <c r="FJN527" s="500"/>
      <c r="FJO527" s="500"/>
      <c r="FJP527" s="500"/>
      <c r="FJQ527" s="500"/>
      <c r="FJR527" s="500"/>
      <c r="FJS527" s="500"/>
      <c r="FJT527" s="500"/>
      <c r="FJU527" s="500"/>
      <c r="FJV527" s="500"/>
      <c r="FJW527" s="500"/>
      <c r="FJX527" s="500"/>
      <c r="FJY527" s="500"/>
      <c r="FJZ527" s="500"/>
      <c r="FKA527" s="500"/>
      <c r="FKB527" s="500"/>
      <c r="FKC527" s="500"/>
      <c r="FKD527" s="500"/>
      <c r="FKE527" s="500"/>
      <c r="FKF527" s="500"/>
      <c r="FKG527" s="500"/>
      <c r="FKH527" s="500"/>
      <c r="FKI527" s="500"/>
      <c r="FKJ527" s="500"/>
      <c r="FKK527" s="500"/>
      <c r="FKL527" s="500"/>
      <c r="FKM527" s="500"/>
      <c r="FKN527" s="500"/>
      <c r="FKO527" s="500"/>
      <c r="FKP527" s="500"/>
      <c r="FKQ527" s="500"/>
      <c r="FKR527" s="500"/>
      <c r="FKS527" s="500"/>
      <c r="FKT527" s="500"/>
      <c r="FKU527" s="500"/>
      <c r="FKV527" s="500"/>
      <c r="FKW527" s="500"/>
      <c r="FKX527" s="500"/>
      <c r="FKY527" s="500"/>
      <c r="FKZ527" s="500"/>
      <c r="FLA527" s="500"/>
      <c r="FLB527" s="500"/>
      <c r="FLC527" s="500"/>
      <c r="FLD527" s="500"/>
      <c r="FLE527" s="500"/>
      <c r="FLF527" s="500"/>
      <c r="FLG527" s="500"/>
      <c r="FLH527" s="500"/>
      <c r="FLI527" s="500"/>
      <c r="FLJ527" s="500"/>
      <c r="FLK527" s="500"/>
      <c r="FLL527" s="500"/>
      <c r="FLM527" s="500"/>
      <c r="FLN527" s="500"/>
      <c r="FLO527" s="500"/>
      <c r="FLP527" s="500"/>
      <c r="FLQ527" s="500"/>
      <c r="FLR527" s="500"/>
      <c r="FLS527" s="500"/>
      <c r="FLT527" s="500"/>
      <c r="FLU527" s="500"/>
      <c r="FLV527" s="500"/>
      <c r="FLW527" s="500"/>
      <c r="FLX527" s="500"/>
      <c r="FLY527" s="500"/>
      <c r="FLZ527" s="500"/>
      <c r="FMA527" s="500"/>
      <c r="FMB527" s="500"/>
      <c r="FMC527" s="500"/>
      <c r="FMD527" s="500"/>
      <c r="FME527" s="500"/>
      <c r="FMF527" s="500"/>
      <c r="FMG527" s="500"/>
      <c r="FMH527" s="500"/>
      <c r="FMI527" s="500"/>
      <c r="FMJ527" s="500"/>
      <c r="FMK527" s="500"/>
      <c r="FML527" s="500"/>
      <c r="FMM527" s="500"/>
      <c r="FMN527" s="500"/>
      <c r="FMO527" s="500"/>
      <c r="FMP527" s="500"/>
      <c r="FMQ527" s="500"/>
      <c r="FMR527" s="500"/>
      <c r="FMS527" s="500"/>
      <c r="FMT527" s="500"/>
      <c r="FMU527" s="500"/>
      <c r="FMV527" s="500"/>
      <c r="FMW527" s="500"/>
      <c r="FMX527" s="500"/>
      <c r="FMY527" s="500"/>
      <c r="FMZ527" s="500"/>
      <c r="FNA527" s="500"/>
      <c r="FNB527" s="500"/>
      <c r="FNC527" s="500"/>
      <c r="FND527" s="500"/>
      <c r="FNE527" s="500"/>
      <c r="FNF527" s="500"/>
      <c r="FNG527" s="500"/>
      <c r="FNH527" s="500"/>
      <c r="FNI527" s="500"/>
      <c r="FNJ527" s="500"/>
      <c r="FNK527" s="500"/>
      <c r="FNL527" s="500"/>
      <c r="FNM527" s="500"/>
      <c r="FNN527" s="500"/>
      <c r="FNO527" s="500"/>
      <c r="FNP527" s="500"/>
      <c r="FNQ527" s="500"/>
      <c r="FNR527" s="500"/>
      <c r="FNS527" s="500"/>
      <c r="FNT527" s="500"/>
      <c r="FNU527" s="500"/>
      <c r="FNV527" s="500"/>
      <c r="FNW527" s="500"/>
      <c r="FNX527" s="500"/>
      <c r="FNY527" s="500"/>
      <c r="FNZ527" s="500"/>
      <c r="FOA527" s="500"/>
      <c r="FOB527" s="500"/>
      <c r="FOC527" s="500"/>
      <c r="FOD527" s="500"/>
      <c r="FOE527" s="500"/>
      <c r="FOF527" s="500"/>
      <c r="FOG527" s="500"/>
      <c r="FOH527" s="500"/>
      <c r="FOI527" s="500"/>
      <c r="FOJ527" s="500"/>
      <c r="FOK527" s="500"/>
      <c r="FOL527" s="500"/>
      <c r="FOM527" s="500"/>
      <c r="FON527" s="500"/>
      <c r="FOO527" s="500"/>
      <c r="FOP527" s="500"/>
      <c r="FOQ527" s="500"/>
      <c r="FOR527" s="500"/>
      <c r="FOS527" s="500"/>
      <c r="FOT527" s="500"/>
      <c r="FOU527" s="500"/>
      <c r="FOV527" s="500"/>
      <c r="FOW527" s="500"/>
      <c r="FOX527" s="500"/>
      <c r="FOY527" s="500"/>
      <c r="FOZ527" s="500"/>
      <c r="FPA527" s="500"/>
      <c r="FPB527" s="500"/>
      <c r="FPC527" s="500"/>
      <c r="FPD527" s="500"/>
      <c r="FPE527" s="500"/>
      <c r="FPF527" s="500"/>
      <c r="FPG527" s="500"/>
      <c r="FPH527" s="500"/>
      <c r="FPI527" s="500"/>
      <c r="FPJ527" s="500"/>
      <c r="FPK527" s="500"/>
      <c r="FPL527" s="500"/>
      <c r="FPM527" s="500"/>
      <c r="FPN527" s="500"/>
      <c r="FPO527" s="500"/>
      <c r="FPP527" s="500"/>
      <c r="FPQ527" s="500"/>
      <c r="FPR527" s="500"/>
      <c r="FPS527" s="500"/>
      <c r="FPT527" s="500"/>
      <c r="FPU527" s="500"/>
      <c r="FPV527" s="500"/>
      <c r="FPW527" s="500"/>
      <c r="FPX527" s="500"/>
      <c r="FPY527" s="500"/>
      <c r="FPZ527" s="500"/>
      <c r="FQA527" s="500"/>
      <c r="FQB527" s="500"/>
      <c r="FQC527" s="500"/>
      <c r="FQD527" s="500"/>
      <c r="FQE527" s="500"/>
      <c r="FQF527" s="500"/>
      <c r="FQG527" s="500"/>
      <c r="FQH527" s="500"/>
      <c r="FQI527" s="500"/>
      <c r="FQJ527" s="500"/>
      <c r="FQK527" s="500"/>
      <c r="FQL527" s="500"/>
      <c r="FQM527" s="500"/>
      <c r="FQN527" s="500"/>
      <c r="FQO527" s="500"/>
      <c r="FQP527" s="500"/>
      <c r="FQQ527" s="500"/>
      <c r="FQR527" s="500"/>
      <c r="FQS527" s="500"/>
      <c r="FQT527" s="500"/>
      <c r="FQU527" s="500"/>
      <c r="FQV527" s="500"/>
      <c r="FQW527" s="500"/>
      <c r="FQX527" s="500"/>
      <c r="FQY527" s="500"/>
      <c r="FQZ527" s="500"/>
      <c r="FRA527" s="500"/>
      <c r="FRB527" s="500"/>
      <c r="FRC527" s="500"/>
      <c r="FRD527" s="500"/>
      <c r="FRE527" s="500"/>
      <c r="FRF527" s="500"/>
      <c r="FRG527" s="500"/>
      <c r="FRH527" s="500"/>
      <c r="FRI527" s="500"/>
      <c r="FRJ527" s="500"/>
      <c r="FRK527" s="500"/>
      <c r="FRL527" s="500"/>
      <c r="FRM527" s="500"/>
      <c r="FRN527" s="500"/>
      <c r="FRO527" s="500"/>
      <c r="FRP527" s="500"/>
      <c r="FRQ527" s="500"/>
      <c r="FRR527" s="500"/>
      <c r="FRS527" s="500"/>
      <c r="FRT527" s="500"/>
      <c r="FRU527" s="500"/>
      <c r="FRV527" s="500"/>
      <c r="FRW527" s="500"/>
      <c r="FRX527" s="500"/>
      <c r="FRY527" s="500"/>
      <c r="FRZ527" s="500"/>
      <c r="FSA527" s="500"/>
      <c r="FSB527" s="500"/>
      <c r="FSC527" s="500"/>
      <c r="FSD527" s="500"/>
      <c r="FSE527" s="500"/>
      <c r="FSF527" s="500"/>
      <c r="FSG527" s="500"/>
      <c r="FSH527" s="500"/>
      <c r="FSI527" s="500"/>
      <c r="FSJ527" s="500"/>
      <c r="FSK527" s="500"/>
      <c r="FSL527" s="500"/>
      <c r="FSM527" s="500"/>
      <c r="FSN527" s="500"/>
      <c r="FSO527" s="500"/>
      <c r="FSP527" s="500"/>
      <c r="FSQ527" s="500"/>
      <c r="FSR527" s="500"/>
      <c r="FSS527" s="500"/>
      <c r="FST527" s="500"/>
      <c r="FSU527" s="500"/>
      <c r="FSV527" s="500"/>
      <c r="FSW527" s="500"/>
      <c r="FSX527" s="500"/>
      <c r="FSY527" s="500"/>
      <c r="FSZ527" s="500"/>
      <c r="FTA527" s="500"/>
      <c r="FTB527" s="500"/>
      <c r="FTC527" s="500"/>
      <c r="FTD527" s="500"/>
      <c r="FTE527" s="500"/>
      <c r="FTF527" s="500"/>
      <c r="FTG527" s="500"/>
      <c r="FTH527" s="500"/>
      <c r="FTI527" s="500"/>
      <c r="FTJ527" s="500"/>
      <c r="FTK527" s="500"/>
      <c r="FTL527" s="500"/>
      <c r="FTM527" s="500"/>
      <c r="FTN527" s="500"/>
      <c r="FTO527" s="500"/>
      <c r="FTP527" s="500"/>
      <c r="FTQ527" s="500"/>
      <c r="FTR527" s="500"/>
      <c r="FTS527" s="500"/>
      <c r="FTT527" s="500"/>
      <c r="FTU527" s="500"/>
      <c r="FTV527" s="500"/>
      <c r="FTW527" s="500"/>
      <c r="FTX527" s="500"/>
      <c r="FTY527" s="500"/>
      <c r="FTZ527" s="500"/>
      <c r="FUA527" s="500"/>
      <c r="FUB527" s="500"/>
      <c r="FUC527" s="500"/>
      <c r="FUD527" s="500"/>
      <c r="FUE527" s="500"/>
      <c r="FUF527" s="500"/>
      <c r="FUG527" s="500"/>
      <c r="FUH527" s="500"/>
      <c r="FUI527" s="500"/>
      <c r="FUJ527" s="500"/>
      <c r="FUK527" s="500"/>
      <c r="FUL527" s="500"/>
      <c r="FUM527" s="500"/>
      <c r="FUN527" s="500"/>
      <c r="FUO527" s="500"/>
      <c r="FUP527" s="500"/>
      <c r="FUQ527" s="500"/>
      <c r="FUR527" s="500"/>
      <c r="FUS527" s="500"/>
      <c r="FUT527" s="500"/>
      <c r="FUU527" s="500"/>
      <c r="FUV527" s="500"/>
      <c r="FUW527" s="500"/>
      <c r="FUX527" s="500"/>
      <c r="FUY527" s="500"/>
      <c r="FUZ527" s="500"/>
      <c r="FVA527" s="500"/>
      <c r="FVB527" s="500"/>
      <c r="FVC527" s="500"/>
      <c r="FVD527" s="500"/>
      <c r="FVE527" s="500"/>
      <c r="FVF527" s="500"/>
      <c r="FVG527" s="500"/>
      <c r="FVH527" s="500"/>
      <c r="FVI527" s="500"/>
      <c r="FVJ527" s="500"/>
      <c r="FVK527" s="500"/>
      <c r="FVL527" s="500"/>
      <c r="FVM527" s="500"/>
      <c r="FVN527" s="500"/>
      <c r="FVO527" s="500"/>
      <c r="FVP527" s="500"/>
      <c r="FVQ527" s="500"/>
      <c r="FVR527" s="500"/>
      <c r="FVS527" s="500"/>
      <c r="FVT527" s="500"/>
      <c r="FVU527" s="500"/>
      <c r="FVV527" s="500"/>
      <c r="FVW527" s="500"/>
      <c r="FVX527" s="500"/>
      <c r="FVY527" s="500"/>
      <c r="FVZ527" s="500"/>
      <c r="FWA527" s="500"/>
      <c r="FWB527" s="500"/>
      <c r="FWC527" s="500"/>
      <c r="FWD527" s="500"/>
      <c r="FWE527" s="500"/>
      <c r="FWF527" s="500"/>
      <c r="FWG527" s="500"/>
      <c r="FWH527" s="500"/>
      <c r="FWI527" s="500"/>
      <c r="FWJ527" s="500"/>
      <c r="FWK527" s="500"/>
      <c r="FWL527" s="500"/>
      <c r="FWM527" s="500"/>
      <c r="FWN527" s="500"/>
      <c r="FWO527" s="500"/>
      <c r="FWP527" s="500"/>
      <c r="FWQ527" s="500"/>
      <c r="FWR527" s="500"/>
      <c r="FWS527" s="500"/>
      <c r="FWT527" s="500"/>
      <c r="FWU527" s="500"/>
      <c r="FWV527" s="500"/>
      <c r="FWW527" s="500"/>
      <c r="FWX527" s="500"/>
      <c r="FWY527" s="500"/>
      <c r="FWZ527" s="500"/>
      <c r="FXA527" s="500"/>
      <c r="FXB527" s="500"/>
      <c r="FXC527" s="500"/>
      <c r="FXD527" s="500"/>
      <c r="FXE527" s="500"/>
      <c r="FXF527" s="500"/>
      <c r="FXG527" s="500"/>
      <c r="FXH527" s="500"/>
      <c r="FXI527" s="500"/>
      <c r="FXJ527" s="500"/>
      <c r="FXK527" s="500"/>
      <c r="FXL527" s="500"/>
      <c r="FXM527" s="500"/>
      <c r="FXN527" s="500"/>
      <c r="FXO527" s="500"/>
      <c r="FXP527" s="500"/>
      <c r="FXQ527" s="500"/>
      <c r="FXR527" s="500"/>
      <c r="FXS527" s="500"/>
      <c r="FXT527" s="500"/>
      <c r="FXU527" s="500"/>
      <c r="FXV527" s="500"/>
      <c r="FXW527" s="500"/>
      <c r="FXX527" s="500"/>
      <c r="FXY527" s="500"/>
      <c r="FXZ527" s="500"/>
      <c r="FYA527" s="500"/>
      <c r="FYB527" s="500"/>
      <c r="FYC527" s="500"/>
      <c r="FYD527" s="500"/>
      <c r="FYE527" s="500"/>
      <c r="FYF527" s="500"/>
      <c r="FYG527" s="500"/>
      <c r="FYH527" s="500"/>
      <c r="FYI527" s="500"/>
      <c r="FYJ527" s="500"/>
      <c r="FYK527" s="500"/>
      <c r="FYL527" s="500"/>
      <c r="FYM527" s="500"/>
      <c r="FYN527" s="500"/>
      <c r="FYO527" s="500"/>
      <c r="FYP527" s="500"/>
      <c r="FYQ527" s="500"/>
      <c r="FYR527" s="500"/>
      <c r="FYS527" s="500"/>
      <c r="FYT527" s="500"/>
      <c r="FYU527" s="500"/>
      <c r="FYV527" s="500"/>
      <c r="FYW527" s="500"/>
      <c r="FYX527" s="500"/>
      <c r="FYY527" s="500"/>
      <c r="FYZ527" s="500"/>
      <c r="FZA527" s="500"/>
      <c r="FZB527" s="500"/>
      <c r="FZC527" s="500"/>
      <c r="FZD527" s="500"/>
      <c r="FZE527" s="500"/>
      <c r="FZF527" s="500"/>
      <c r="FZG527" s="500"/>
      <c r="FZH527" s="500"/>
      <c r="FZI527" s="500"/>
      <c r="FZJ527" s="500"/>
      <c r="FZK527" s="500"/>
      <c r="FZL527" s="500"/>
      <c r="FZM527" s="500"/>
      <c r="FZN527" s="500"/>
      <c r="FZO527" s="500"/>
      <c r="FZP527" s="500"/>
      <c r="FZQ527" s="500"/>
      <c r="FZR527" s="500"/>
      <c r="FZS527" s="500"/>
      <c r="FZT527" s="500"/>
      <c r="FZU527" s="500"/>
      <c r="FZV527" s="500"/>
      <c r="FZW527" s="500"/>
      <c r="FZX527" s="500"/>
      <c r="FZY527" s="500"/>
      <c r="FZZ527" s="500"/>
      <c r="GAA527" s="500"/>
      <c r="GAB527" s="500"/>
      <c r="GAC527" s="500"/>
      <c r="GAD527" s="500"/>
      <c r="GAE527" s="500"/>
      <c r="GAF527" s="500"/>
      <c r="GAG527" s="500"/>
      <c r="GAH527" s="500"/>
      <c r="GAI527" s="500"/>
      <c r="GAJ527" s="500"/>
      <c r="GAK527" s="500"/>
      <c r="GAL527" s="500"/>
      <c r="GAM527" s="500"/>
      <c r="GAN527" s="500"/>
      <c r="GAO527" s="500"/>
      <c r="GAP527" s="500"/>
      <c r="GAQ527" s="500"/>
      <c r="GAR527" s="500"/>
      <c r="GAS527" s="500"/>
      <c r="GAT527" s="500"/>
      <c r="GAU527" s="500"/>
      <c r="GAV527" s="500"/>
      <c r="GAW527" s="500"/>
      <c r="GAX527" s="500"/>
      <c r="GAY527" s="500"/>
      <c r="GAZ527" s="500"/>
      <c r="GBA527" s="500"/>
      <c r="GBB527" s="500"/>
      <c r="GBC527" s="500"/>
      <c r="GBD527" s="500"/>
      <c r="GBE527" s="500"/>
      <c r="GBF527" s="500"/>
      <c r="GBG527" s="500"/>
      <c r="GBH527" s="500"/>
      <c r="GBI527" s="500"/>
      <c r="GBJ527" s="500"/>
      <c r="GBK527" s="500"/>
      <c r="GBL527" s="500"/>
      <c r="GBM527" s="500"/>
      <c r="GBN527" s="500"/>
      <c r="GBO527" s="500"/>
      <c r="GBP527" s="500"/>
      <c r="GBQ527" s="500"/>
      <c r="GBR527" s="500"/>
      <c r="GBS527" s="500"/>
      <c r="GBT527" s="500"/>
      <c r="GBU527" s="500"/>
      <c r="GBV527" s="500"/>
      <c r="GBW527" s="500"/>
      <c r="GBX527" s="500"/>
      <c r="GBY527" s="500"/>
      <c r="GBZ527" s="500"/>
      <c r="GCA527" s="500"/>
      <c r="GCB527" s="500"/>
      <c r="GCC527" s="500"/>
      <c r="GCD527" s="500"/>
      <c r="GCE527" s="500"/>
      <c r="GCF527" s="500"/>
      <c r="GCG527" s="500"/>
      <c r="GCH527" s="500"/>
      <c r="GCI527" s="500"/>
      <c r="GCJ527" s="500"/>
      <c r="GCK527" s="500"/>
      <c r="GCL527" s="500"/>
      <c r="GCM527" s="500"/>
      <c r="GCN527" s="500"/>
      <c r="GCO527" s="500"/>
      <c r="GCP527" s="500"/>
      <c r="GCQ527" s="500"/>
      <c r="GCR527" s="500"/>
      <c r="GCS527" s="500"/>
      <c r="GCT527" s="500"/>
      <c r="GCU527" s="500"/>
      <c r="GCV527" s="500"/>
      <c r="GCW527" s="500"/>
      <c r="GCX527" s="500"/>
      <c r="GCY527" s="500"/>
      <c r="GCZ527" s="500"/>
      <c r="GDA527" s="500"/>
      <c r="GDB527" s="500"/>
      <c r="GDC527" s="500"/>
      <c r="GDD527" s="500"/>
      <c r="GDE527" s="500"/>
      <c r="GDF527" s="500"/>
      <c r="GDG527" s="500"/>
      <c r="GDH527" s="500"/>
      <c r="GDI527" s="500"/>
      <c r="GDJ527" s="500"/>
      <c r="GDK527" s="500"/>
      <c r="GDL527" s="500"/>
      <c r="GDM527" s="500"/>
      <c r="GDN527" s="500"/>
      <c r="GDO527" s="500"/>
      <c r="GDP527" s="500"/>
      <c r="GDQ527" s="500"/>
      <c r="GDR527" s="500"/>
      <c r="GDS527" s="500"/>
      <c r="GDT527" s="500"/>
      <c r="GDU527" s="500"/>
      <c r="GDV527" s="500"/>
      <c r="GDW527" s="500"/>
      <c r="GDX527" s="500"/>
      <c r="GDY527" s="500"/>
      <c r="GDZ527" s="500"/>
      <c r="GEA527" s="500"/>
      <c r="GEB527" s="500"/>
      <c r="GEC527" s="500"/>
      <c r="GED527" s="500"/>
      <c r="GEE527" s="500"/>
      <c r="GEF527" s="500"/>
      <c r="GEG527" s="500"/>
      <c r="GEH527" s="500"/>
      <c r="GEI527" s="500"/>
      <c r="GEJ527" s="500"/>
      <c r="GEK527" s="500"/>
      <c r="GEL527" s="500"/>
      <c r="GEM527" s="500"/>
      <c r="GEN527" s="500"/>
      <c r="GEO527" s="500"/>
      <c r="GEP527" s="500"/>
      <c r="GEQ527" s="500"/>
      <c r="GER527" s="500"/>
      <c r="GES527" s="500"/>
      <c r="GET527" s="500"/>
      <c r="GEU527" s="500"/>
      <c r="GEV527" s="500"/>
      <c r="GEW527" s="500"/>
      <c r="GEX527" s="500"/>
      <c r="GEY527" s="500"/>
      <c r="GEZ527" s="500"/>
      <c r="GFA527" s="500"/>
      <c r="GFB527" s="500"/>
      <c r="GFC527" s="500"/>
      <c r="GFD527" s="500"/>
      <c r="GFE527" s="500"/>
      <c r="GFF527" s="500"/>
      <c r="GFG527" s="500"/>
      <c r="GFH527" s="500"/>
      <c r="GFI527" s="500"/>
      <c r="GFJ527" s="500"/>
      <c r="GFK527" s="500"/>
      <c r="GFL527" s="500"/>
      <c r="GFM527" s="500"/>
      <c r="GFN527" s="500"/>
      <c r="GFO527" s="500"/>
      <c r="GFP527" s="500"/>
      <c r="GFQ527" s="500"/>
      <c r="GFR527" s="500"/>
      <c r="GFS527" s="500"/>
      <c r="GFT527" s="500"/>
      <c r="GFU527" s="500"/>
      <c r="GFV527" s="500"/>
      <c r="GFW527" s="500"/>
      <c r="GFX527" s="500"/>
      <c r="GFY527" s="500"/>
      <c r="GFZ527" s="500"/>
      <c r="GGA527" s="500"/>
      <c r="GGB527" s="500"/>
      <c r="GGC527" s="500"/>
      <c r="GGD527" s="500"/>
      <c r="GGE527" s="500"/>
      <c r="GGF527" s="500"/>
      <c r="GGG527" s="500"/>
      <c r="GGH527" s="500"/>
      <c r="GGI527" s="500"/>
      <c r="GGJ527" s="500"/>
      <c r="GGK527" s="500"/>
      <c r="GGL527" s="500"/>
      <c r="GGM527" s="500"/>
      <c r="GGN527" s="500"/>
      <c r="GGO527" s="500"/>
      <c r="GGP527" s="500"/>
      <c r="GGQ527" s="500"/>
      <c r="GGR527" s="500"/>
      <c r="GGS527" s="500"/>
      <c r="GGT527" s="500"/>
      <c r="GGU527" s="500"/>
      <c r="GGV527" s="500"/>
      <c r="GGW527" s="500"/>
      <c r="GGX527" s="500"/>
      <c r="GGY527" s="500"/>
      <c r="GGZ527" s="500"/>
      <c r="GHA527" s="500"/>
      <c r="GHB527" s="500"/>
      <c r="GHC527" s="500"/>
      <c r="GHD527" s="500"/>
      <c r="GHE527" s="500"/>
      <c r="GHF527" s="500"/>
      <c r="GHG527" s="500"/>
      <c r="GHH527" s="500"/>
      <c r="GHI527" s="500"/>
      <c r="GHJ527" s="500"/>
      <c r="GHK527" s="500"/>
      <c r="GHL527" s="500"/>
      <c r="GHM527" s="500"/>
      <c r="GHN527" s="500"/>
      <c r="GHO527" s="500"/>
      <c r="GHP527" s="500"/>
      <c r="GHQ527" s="500"/>
      <c r="GHR527" s="500"/>
      <c r="GHS527" s="500"/>
      <c r="GHT527" s="500"/>
      <c r="GHU527" s="500"/>
      <c r="GHV527" s="500"/>
      <c r="GHW527" s="500"/>
      <c r="GHX527" s="500"/>
      <c r="GHY527" s="500"/>
      <c r="GHZ527" s="500"/>
      <c r="GIA527" s="500"/>
      <c r="GIB527" s="500"/>
      <c r="GIC527" s="500"/>
      <c r="GID527" s="500"/>
      <c r="GIE527" s="500"/>
      <c r="GIF527" s="500"/>
      <c r="GIG527" s="500"/>
      <c r="GIH527" s="500"/>
      <c r="GII527" s="500"/>
      <c r="GIJ527" s="500"/>
      <c r="GIK527" s="500"/>
      <c r="GIL527" s="500"/>
      <c r="GIM527" s="500"/>
      <c r="GIN527" s="500"/>
      <c r="GIO527" s="500"/>
      <c r="GIP527" s="500"/>
      <c r="GIQ527" s="500"/>
      <c r="GIR527" s="500"/>
      <c r="GIS527" s="500"/>
      <c r="GIT527" s="500"/>
      <c r="GIU527" s="500"/>
      <c r="GIV527" s="500"/>
      <c r="GIW527" s="500"/>
      <c r="GIX527" s="500"/>
      <c r="GIY527" s="500"/>
      <c r="GIZ527" s="500"/>
      <c r="GJA527" s="500"/>
      <c r="GJB527" s="500"/>
      <c r="GJC527" s="500"/>
      <c r="GJD527" s="500"/>
      <c r="GJE527" s="500"/>
      <c r="GJF527" s="500"/>
      <c r="GJG527" s="500"/>
      <c r="GJH527" s="500"/>
      <c r="GJI527" s="500"/>
      <c r="GJJ527" s="500"/>
      <c r="GJK527" s="500"/>
      <c r="GJL527" s="500"/>
      <c r="GJM527" s="500"/>
      <c r="GJN527" s="500"/>
      <c r="GJO527" s="500"/>
      <c r="GJP527" s="500"/>
      <c r="GJQ527" s="500"/>
      <c r="GJR527" s="500"/>
      <c r="GJS527" s="500"/>
      <c r="GJT527" s="500"/>
      <c r="GJU527" s="500"/>
      <c r="GJV527" s="500"/>
      <c r="GJW527" s="500"/>
      <c r="GJX527" s="500"/>
      <c r="GJY527" s="500"/>
      <c r="GJZ527" s="500"/>
      <c r="GKA527" s="500"/>
      <c r="GKB527" s="500"/>
      <c r="GKC527" s="500"/>
      <c r="GKD527" s="500"/>
      <c r="GKE527" s="500"/>
      <c r="GKF527" s="500"/>
      <c r="GKG527" s="500"/>
      <c r="GKH527" s="500"/>
      <c r="GKI527" s="500"/>
      <c r="GKJ527" s="500"/>
      <c r="GKK527" s="500"/>
      <c r="GKL527" s="500"/>
      <c r="GKM527" s="500"/>
      <c r="GKN527" s="500"/>
      <c r="GKO527" s="500"/>
      <c r="GKP527" s="500"/>
      <c r="GKQ527" s="500"/>
      <c r="GKR527" s="500"/>
      <c r="GKS527" s="500"/>
      <c r="GKT527" s="500"/>
      <c r="GKU527" s="500"/>
      <c r="GKV527" s="500"/>
      <c r="GKW527" s="500"/>
      <c r="GKX527" s="500"/>
      <c r="GKY527" s="500"/>
      <c r="GKZ527" s="500"/>
      <c r="GLA527" s="500"/>
      <c r="GLB527" s="500"/>
      <c r="GLC527" s="500"/>
      <c r="GLD527" s="500"/>
      <c r="GLE527" s="500"/>
      <c r="GLF527" s="500"/>
      <c r="GLG527" s="500"/>
      <c r="GLH527" s="500"/>
      <c r="GLI527" s="500"/>
      <c r="GLJ527" s="500"/>
      <c r="GLK527" s="500"/>
      <c r="GLL527" s="500"/>
      <c r="GLM527" s="500"/>
      <c r="GLN527" s="500"/>
      <c r="GLO527" s="500"/>
      <c r="GLP527" s="500"/>
      <c r="GLQ527" s="500"/>
      <c r="GLR527" s="500"/>
      <c r="GLS527" s="500"/>
      <c r="GLT527" s="500"/>
      <c r="GLU527" s="500"/>
      <c r="GLV527" s="500"/>
      <c r="GLW527" s="500"/>
      <c r="GLX527" s="500"/>
      <c r="GLY527" s="500"/>
      <c r="GLZ527" s="500"/>
      <c r="GMA527" s="500"/>
      <c r="GMB527" s="500"/>
      <c r="GMC527" s="500"/>
      <c r="GMD527" s="500"/>
      <c r="GME527" s="500"/>
      <c r="GMF527" s="500"/>
      <c r="GMG527" s="500"/>
      <c r="GMH527" s="500"/>
      <c r="GMI527" s="500"/>
      <c r="GMJ527" s="500"/>
      <c r="GMK527" s="500"/>
      <c r="GML527" s="500"/>
      <c r="GMM527" s="500"/>
      <c r="GMN527" s="500"/>
      <c r="GMO527" s="500"/>
      <c r="GMP527" s="500"/>
      <c r="GMQ527" s="500"/>
      <c r="GMR527" s="500"/>
      <c r="GMS527" s="500"/>
      <c r="GMT527" s="500"/>
      <c r="GMU527" s="500"/>
      <c r="GMV527" s="500"/>
      <c r="GMW527" s="500"/>
      <c r="GMX527" s="500"/>
      <c r="GMY527" s="500"/>
      <c r="GMZ527" s="500"/>
      <c r="GNA527" s="500"/>
      <c r="GNB527" s="500"/>
      <c r="GNC527" s="500"/>
      <c r="GND527" s="500"/>
      <c r="GNE527" s="500"/>
      <c r="GNF527" s="500"/>
      <c r="GNG527" s="500"/>
      <c r="GNH527" s="500"/>
      <c r="GNI527" s="500"/>
      <c r="GNJ527" s="500"/>
      <c r="GNK527" s="500"/>
      <c r="GNL527" s="500"/>
      <c r="GNM527" s="500"/>
      <c r="GNN527" s="500"/>
      <c r="GNO527" s="500"/>
      <c r="GNP527" s="500"/>
      <c r="GNQ527" s="500"/>
      <c r="GNR527" s="500"/>
      <c r="GNS527" s="500"/>
      <c r="GNT527" s="500"/>
      <c r="GNU527" s="500"/>
      <c r="GNV527" s="500"/>
      <c r="GNW527" s="500"/>
      <c r="GNX527" s="500"/>
      <c r="GNY527" s="500"/>
      <c r="GNZ527" s="500"/>
      <c r="GOA527" s="500"/>
      <c r="GOB527" s="500"/>
      <c r="GOC527" s="500"/>
      <c r="GOD527" s="500"/>
      <c r="GOE527" s="500"/>
      <c r="GOF527" s="500"/>
      <c r="GOG527" s="500"/>
      <c r="GOH527" s="500"/>
      <c r="GOI527" s="500"/>
      <c r="GOJ527" s="500"/>
      <c r="GOK527" s="500"/>
      <c r="GOL527" s="500"/>
      <c r="GOM527" s="500"/>
      <c r="GON527" s="500"/>
      <c r="GOO527" s="500"/>
      <c r="GOP527" s="500"/>
      <c r="GOQ527" s="500"/>
      <c r="GOR527" s="500"/>
      <c r="GOS527" s="500"/>
      <c r="GOT527" s="500"/>
      <c r="GOU527" s="500"/>
      <c r="GOV527" s="500"/>
      <c r="GOW527" s="500"/>
      <c r="GOX527" s="500"/>
      <c r="GOY527" s="500"/>
      <c r="GOZ527" s="500"/>
      <c r="GPA527" s="500"/>
      <c r="GPB527" s="500"/>
      <c r="GPC527" s="500"/>
      <c r="GPD527" s="500"/>
      <c r="GPE527" s="500"/>
      <c r="GPF527" s="500"/>
      <c r="GPG527" s="500"/>
      <c r="GPH527" s="500"/>
      <c r="GPI527" s="500"/>
      <c r="GPJ527" s="500"/>
      <c r="GPK527" s="500"/>
      <c r="GPL527" s="500"/>
      <c r="GPM527" s="500"/>
      <c r="GPN527" s="500"/>
      <c r="GPO527" s="500"/>
      <c r="GPP527" s="500"/>
      <c r="GPQ527" s="500"/>
      <c r="GPR527" s="500"/>
      <c r="GPS527" s="500"/>
      <c r="GPT527" s="500"/>
      <c r="GPU527" s="500"/>
      <c r="GPV527" s="500"/>
      <c r="GPW527" s="500"/>
      <c r="GPX527" s="500"/>
      <c r="GPY527" s="500"/>
      <c r="GPZ527" s="500"/>
      <c r="GQA527" s="500"/>
      <c r="GQB527" s="500"/>
      <c r="GQC527" s="500"/>
      <c r="GQD527" s="500"/>
      <c r="GQE527" s="500"/>
      <c r="GQF527" s="500"/>
      <c r="GQG527" s="500"/>
      <c r="GQH527" s="500"/>
      <c r="GQI527" s="500"/>
      <c r="GQJ527" s="500"/>
      <c r="GQK527" s="500"/>
      <c r="GQL527" s="500"/>
      <c r="GQM527" s="500"/>
      <c r="GQN527" s="500"/>
      <c r="GQO527" s="500"/>
      <c r="GQP527" s="500"/>
      <c r="GQQ527" s="500"/>
      <c r="GQR527" s="500"/>
      <c r="GQS527" s="500"/>
      <c r="GQT527" s="500"/>
      <c r="GQU527" s="500"/>
      <c r="GQV527" s="500"/>
      <c r="GQW527" s="500"/>
      <c r="GQX527" s="500"/>
      <c r="GQY527" s="500"/>
      <c r="GQZ527" s="500"/>
      <c r="GRA527" s="500"/>
      <c r="GRB527" s="500"/>
      <c r="GRC527" s="500"/>
      <c r="GRD527" s="500"/>
      <c r="GRE527" s="500"/>
      <c r="GRF527" s="500"/>
      <c r="GRG527" s="500"/>
      <c r="GRH527" s="500"/>
      <c r="GRI527" s="500"/>
      <c r="GRJ527" s="500"/>
      <c r="GRK527" s="500"/>
      <c r="GRL527" s="500"/>
      <c r="GRM527" s="500"/>
      <c r="GRN527" s="500"/>
      <c r="GRO527" s="500"/>
      <c r="GRP527" s="500"/>
      <c r="GRQ527" s="500"/>
      <c r="GRR527" s="500"/>
      <c r="GRS527" s="500"/>
      <c r="GRT527" s="500"/>
      <c r="GRU527" s="500"/>
      <c r="GRV527" s="500"/>
      <c r="GRW527" s="500"/>
      <c r="GRX527" s="500"/>
      <c r="GRY527" s="500"/>
      <c r="GRZ527" s="500"/>
      <c r="GSA527" s="500"/>
      <c r="GSB527" s="500"/>
      <c r="GSC527" s="500"/>
      <c r="GSD527" s="500"/>
      <c r="GSE527" s="500"/>
      <c r="GSF527" s="500"/>
      <c r="GSG527" s="500"/>
      <c r="GSH527" s="500"/>
      <c r="GSI527" s="500"/>
      <c r="GSJ527" s="500"/>
      <c r="GSK527" s="500"/>
      <c r="GSL527" s="500"/>
      <c r="GSM527" s="500"/>
      <c r="GSN527" s="500"/>
      <c r="GSO527" s="500"/>
      <c r="GSP527" s="500"/>
      <c r="GSQ527" s="500"/>
      <c r="GSR527" s="500"/>
      <c r="GSS527" s="500"/>
      <c r="GST527" s="500"/>
      <c r="GSU527" s="500"/>
      <c r="GSV527" s="500"/>
      <c r="GSW527" s="500"/>
      <c r="GSX527" s="500"/>
      <c r="GSY527" s="500"/>
      <c r="GSZ527" s="500"/>
      <c r="GTA527" s="500"/>
      <c r="GTB527" s="500"/>
      <c r="GTC527" s="500"/>
      <c r="GTD527" s="500"/>
      <c r="GTE527" s="500"/>
      <c r="GTF527" s="500"/>
      <c r="GTG527" s="500"/>
      <c r="GTH527" s="500"/>
      <c r="GTI527" s="500"/>
      <c r="GTJ527" s="500"/>
      <c r="GTK527" s="500"/>
      <c r="GTL527" s="500"/>
      <c r="GTM527" s="500"/>
      <c r="GTN527" s="500"/>
      <c r="GTO527" s="500"/>
      <c r="GTP527" s="500"/>
      <c r="GTQ527" s="500"/>
      <c r="GTR527" s="500"/>
      <c r="GTS527" s="500"/>
      <c r="GTT527" s="500"/>
      <c r="GTU527" s="500"/>
      <c r="GTV527" s="500"/>
      <c r="GTW527" s="500"/>
      <c r="GTX527" s="500"/>
      <c r="GTY527" s="500"/>
      <c r="GTZ527" s="500"/>
      <c r="GUA527" s="500"/>
      <c r="GUB527" s="500"/>
      <c r="GUC527" s="500"/>
      <c r="GUD527" s="500"/>
      <c r="GUE527" s="500"/>
      <c r="GUF527" s="500"/>
      <c r="GUG527" s="500"/>
      <c r="GUH527" s="500"/>
      <c r="GUI527" s="500"/>
      <c r="GUJ527" s="500"/>
      <c r="GUK527" s="500"/>
      <c r="GUL527" s="500"/>
      <c r="GUM527" s="500"/>
      <c r="GUN527" s="500"/>
      <c r="GUO527" s="500"/>
      <c r="GUP527" s="500"/>
      <c r="GUQ527" s="500"/>
      <c r="GUR527" s="500"/>
      <c r="GUS527" s="500"/>
      <c r="GUT527" s="500"/>
      <c r="GUU527" s="500"/>
      <c r="GUV527" s="500"/>
      <c r="GUW527" s="500"/>
      <c r="GUX527" s="500"/>
      <c r="GUY527" s="500"/>
      <c r="GUZ527" s="500"/>
      <c r="GVA527" s="500"/>
      <c r="GVB527" s="500"/>
      <c r="GVC527" s="500"/>
      <c r="GVD527" s="500"/>
      <c r="GVE527" s="500"/>
      <c r="GVF527" s="500"/>
      <c r="GVG527" s="500"/>
      <c r="GVH527" s="500"/>
      <c r="GVI527" s="500"/>
      <c r="GVJ527" s="500"/>
      <c r="GVK527" s="500"/>
      <c r="GVL527" s="500"/>
      <c r="GVM527" s="500"/>
      <c r="GVN527" s="500"/>
      <c r="GVO527" s="500"/>
      <c r="GVP527" s="500"/>
      <c r="GVQ527" s="500"/>
      <c r="GVR527" s="500"/>
      <c r="GVS527" s="500"/>
      <c r="GVT527" s="500"/>
      <c r="GVU527" s="500"/>
      <c r="GVV527" s="500"/>
      <c r="GVW527" s="500"/>
      <c r="GVX527" s="500"/>
      <c r="GVY527" s="500"/>
      <c r="GVZ527" s="500"/>
      <c r="GWA527" s="500"/>
      <c r="GWB527" s="500"/>
      <c r="GWC527" s="500"/>
      <c r="GWD527" s="500"/>
      <c r="GWE527" s="500"/>
      <c r="GWF527" s="500"/>
      <c r="GWG527" s="500"/>
      <c r="GWH527" s="500"/>
      <c r="GWI527" s="500"/>
      <c r="GWJ527" s="500"/>
      <c r="GWK527" s="500"/>
      <c r="GWL527" s="500"/>
      <c r="GWM527" s="500"/>
      <c r="GWN527" s="500"/>
      <c r="GWO527" s="500"/>
      <c r="GWP527" s="500"/>
      <c r="GWQ527" s="500"/>
      <c r="GWR527" s="500"/>
      <c r="GWS527" s="500"/>
      <c r="GWT527" s="500"/>
      <c r="GWU527" s="500"/>
      <c r="GWV527" s="500"/>
      <c r="GWW527" s="500"/>
      <c r="GWX527" s="500"/>
      <c r="GWY527" s="500"/>
      <c r="GWZ527" s="500"/>
      <c r="GXA527" s="500"/>
      <c r="GXB527" s="500"/>
      <c r="GXC527" s="500"/>
      <c r="GXD527" s="500"/>
      <c r="GXE527" s="500"/>
      <c r="GXF527" s="500"/>
      <c r="GXG527" s="500"/>
      <c r="GXH527" s="500"/>
      <c r="GXI527" s="500"/>
      <c r="GXJ527" s="500"/>
      <c r="GXK527" s="500"/>
      <c r="GXL527" s="500"/>
      <c r="GXM527" s="500"/>
      <c r="GXN527" s="500"/>
      <c r="GXO527" s="500"/>
      <c r="GXP527" s="500"/>
      <c r="GXQ527" s="500"/>
      <c r="GXR527" s="500"/>
      <c r="GXS527" s="500"/>
      <c r="GXT527" s="500"/>
      <c r="GXU527" s="500"/>
      <c r="GXV527" s="500"/>
      <c r="GXW527" s="500"/>
      <c r="GXX527" s="500"/>
      <c r="GXY527" s="500"/>
      <c r="GXZ527" s="500"/>
      <c r="GYA527" s="500"/>
      <c r="GYB527" s="500"/>
      <c r="GYC527" s="500"/>
      <c r="GYD527" s="500"/>
      <c r="GYE527" s="500"/>
      <c r="GYF527" s="500"/>
      <c r="GYG527" s="500"/>
      <c r="GYH527" s="500"/>
      <c r="GYI527" s="500"/>
      <c r="GYJ527" s="500"/>
      <c r="GYK527" s="500"/>
      <c r="GYL527" s="500"/>
      <c r="GYM527" s="500"/>
      <c r="GYN527" s="500"/>
      <c r="GYO527" s="500"/>
      <c r="GYP527" s="500"/>
      <c r="GYQ527" s="500"/>
      <c r="GYR527" s="500"/>
      <c r="GYS527" s="500"/>
      <c r="GYT527" s="500"/>
      <c r="GYU527" s="500"/>
      <c r="GYV527" s="500"/>
      <c r="GYW527" s="500"/>
      <c r="GYX527" s="500"/>
      <c r="GYY527" s="500"/>
      <c r="GYZ527" s="500"/>
      <c r="GZA527" s="500"/>
      <c r="GZB527" s="500"/>
      <c r="GZC527" s="500"/>
      <c r="GZD527" s="500"/>
      <c r="GZE527" s="500"/>
      <c r="GZF527" s="500"/>
      <c r="GZG527" s="500"/>
      <c r="GZH527" s="500"/>
      <c r="GZI527" s="500"/>
      <c r="GZJ527" s="500"/>
      <c r="GZK527" s="500"/>
      <c r="GZL527" s="500"/>
      <c r="GZM527" s="500"/>
      <c r="GZN527" s="500"/>
      <c r="GZO527" s="500"/>
      <c r="GZP527" s="500"/>
      <c r="GZQ527" s="500"/>
      <c r="GZR527" s="500"/>
      <c r="GZS527" s="500"/>
      <c r="GZT527" s="500"/>
      <c r="GZU527" s="500"/>
      <c r="GZV527" s="500"/>
      <c r="GZW527" s="500"/>
      <c r="GZX527" s="500"/>
      <c r="GZY527" s="500"/>
      <c r="GZZ527" s="500"/>
      <c r="HAA527" s="500"/>
      <c r="HAB527" s="500"/>
      <c r="HAC527" s="500"/>
      <c r="HAD527" s="500"/>
      <c r="HAE527" s="500"/>
      <c r="HAF527" s="500"/>
      <c r="HAG527" s="500"/>
      <c r="HAH527" s="500"/>
      <c r="HAI527" s="500"/>
      <c r="HAJ527" s="500"/>
      <c r="HAK527" s="500"/>
      <c r="HAL527" s="500"/>
      <c r="HAM527" s="500"/>
      <c r="HAN527" s="500"/>
      <c r="HAO527" s="500"/>
      <c r="HAP527" s="500"/>
      <c r="HAQ527" s="500"/>
      <c r="HAR527" s="500"/>
      <c r="HAS527" s="500"/>
      <c r="HAT527" s="500"/>
      <c r="HAU527" s="500"/>
      <c r="HAV527" s="500"/>
      <c r="HAW527" s="500"/>
      <c r="HAX527" s="500"/>
      <c r="HAY527" s="500"/>
      <c r="HAZ527" s="500"/>
      <c r="HBA527" s="500"/>
      <c r="HBB527" s="500"/>
      <c r="HBC527" s="500"/>
      <c r="HBD527" s="500"/>
      <c r="HBE527" s="500"/>
      <c r="HBF527" s="500"/>
      <c r="HBG527" s="500"/>
      <c r="HBH527" s="500"/>
      <c r="HBI527" s="500"/>
      <c r="HBJ527" s="500"/>
      <c r="HBK527" s="500"/>
      <c r="HBL527" s="500"/>
      <c r="HBM527" s="500"/>
      <c r="HBN527" s="500"/>
      <c r="HBO527" s="500"/>
      <c r="HBP527" s="500"/>
      <c r="HBQ527" s="500"/>
      <c r="HBR527" s="500"/>
      <c r="HBS527" s="500"/>
      <c r="HBT527" s="500"/>
      <c r="HBU527" s="500"/>
      <c r="HBV527" s="500"/>
      <c r="HBW527" s="500"/>
      <c r="HBX527" s="500"/>
      <c r="HBY527" s="500"/>
      <c r="HBZ527" s="500"/>
      <c r="HCA527" s="500"/>
      <c r="HCB527" s="500"/>
      <c r="HCC527" s="500"/>
      <c r="HCD527" s="500"/>
      <c r="HCE527" s="500"/>
      <c r="HCF527" s="500"/>
      <c r="HCG527" s="500"/>
      <c r="HCH527" s="500"/>
      <c r="HCI527" s="500"/>
      <c r="HCJ527" s="500"/>
      <c r="HCK527" s="500"/>
      <c r="HCL527" s="500"/>
      <c r="HCM527" s="500"/>
      <c r="HCN527" s="500"/>
      <c r="HCO527" s="500"/>
      <c r="HCP527" s="500"/>
      <c r="HCQ527" s="500"/>
      <c r="HCR527" s="500"/>
      <c r="HCS527" s="500"/>
      <c r="HCT527" s="500"/>
      <c r="HCU527" s="500"/>
      <c r="HCV527" s="500"/>
      <c r="HCW527" s="500"/>
      <c r="HCX527" s="500"/>
      <c r="HCY527" s="500"/>
      <c r="HCZ527" s="500"/>
      <c r="HDA527" s="500"/>
      <c r="HDB527" s="500"/>
      <c r="HDC527" s="500"/>
      <c r="HDD527" s="500"/>
      <c r="HDE527" s="500"/>
      <c r="HDF527" s="500"/>
      <c r="HDG527" s="500"/>
      <c r="HDH527" s="500"/>
      <c r="HDI527" s="500"/>
      <c r="HDJ527" s="500"/>
      <c r="HDK527" s="500"/>
      <c r="HDL527" s="500"/>
      <c r="HDM527" s="500"/>
      <c r="HDN527" s="500"/>
      <c r="HDO527" s="500"/>
      <c r="HDP527" s="500"/>
      <c r="HDQ527" s="500"/>
      <c r="HDR527" s="500"/>
      <c r="HDS527" s="500"/>
      <c r="HDT527" s="500"/>
      <c r="HDU527" s="500"/>
      <c r="HDV527" s="500"/>
      <c r="HDW527" s="500"/>
      <c r="HDX527" s="500"/>
      <c r="HDY527" s="500"/>
      <c r="HDZ527" s="500"/>
      <c r="HEA527" s="500"/>
      <c r="HEB527" s="500"/>
      <c r="HEC527" s="500"/>
      <c r="HED527" s="500"/>
      <c r="HEE527" s="500"/>
      <c r="HEF527" s="500"/>
      <c r="HEG527" s="500"/>
      <c r="HEH527" s="500"/>
      <c r="HEI527" s="500"/>
      <c r="HEJ527" s="500"/>
      <c r="HEK527" s="500"/>
      <c r="HEL527" s="500"/>
      <c r="HEM527" s="500"/>
      <c r="HEN527" s="500"/>
      <c r="HEO527" s="500"/>
      <c r="HEP527" s="500"/>
      <c r="HEQ527" s="500"/>
      <c r="HER527" s="500"/>
      <c r="HES527" s="500"/>
      <c r="HET527" s="500"/>
      <c r="HEU527" s="500"/>
      <c r="HEV527" s="500"/>
      <c r="HEW527" s="500"/>
      <c r="HEX527" s="500"/>
      <c r="HEY527" s="500"/>
      <c r="HEZ527" s="500"/>
      <c r="HFA527" s="500"/>
      <c r="HFB527" s="500"/>
      <c r="HFC527" s="500"/>
      <c r="HFD527" s="500"/>
      <c r="HFE527" s="500"/>
      <c r="HFF527" s="500"/>
      <c r="HFG527" s="500"/>
      <c r="HFH527" s="500"/>
      <c r="HFI527" s="500"/>
      <c r="HFJ527" s="500"/>
      <c r="HFK527" s="500"/>
      <c r="HFL527" s="500"/>
      <c r="HFM527" s="500"/>
      <c r="HFN527" s="500"/>
      <c r="HFO527" s="500"/>
      <c r="HFP527" s="500"/>
      <c r="HFQ527" s="500"/>
      <c r="HFR527" s="500"/>
      <c r="HFS527" s="500"/>
      <c r="HFT527" s="500"/>
      <c r="HFU527" s="500"/>
      <c r="HFV527" s="500"/>
      <c r="HFW527" s="500"/>
      <c r="HFX527" s="500"/>
      <c r="HFY527" s="500"/>
      <c r="HFZ527" s="500"/>
      <c r="HGA527" s="500"/>
      <c r="HGB527" s="500"/>
      <c r="HGC527" s="500"/>
      <c r="HGD527" s="500"/>
      <c r="HGE527" s="500"/>
      <c r="HGF527" s="500"/>
      <c r="HGG527" s="500"/>
      <c r="HGH527" s="500"/>
      <c r="HGI527" s="500"/>
      <c r="HGJ527" s="500"/>
      <c r="HGK527" s="500"/>
      <c r="HGL527" s="500"/>
      <c r="HGM527" s="500"/>
      <c r="HGN527" s="500"/>
      <c r="HGO527" s="500"/>
      <c r="HGP527" s="500"/>
      <c r="HGQ527" s="500"/>
      <c r="HGR527" s="500"/>
      <c r="HGS527" s="500"/>
      <c r="HGT527" s="500"/>
      <c r="HGU527" s="500"/>
      <c r="HGV527" s="500"/>
      <c r="HGW527" s="500"/>
      <c r="HGX527" s="500"/>
      <c r="HGY527" s="500"/>
      <c r="HGZ527" s="500"/>
      <c r="HHA527" s="500"/>
      <c r="HHB527" s="500"/>
      <c r="HHC527" s="500"/>
      <c r="HHD527" s="500"/>
      <c r="HHE527" s="500"/>
      <c r="HHF527" s="500"/>
      <c r="HHG527" s="500"/>
      <c r="HHH527" s="500"/>
      <c r="HHI527" s="500"/>
      <c r="HHJ527" s="500"/>
      <c r="HHK527" s="500"/>
      <c r="HHL527" s="500"/>
      <c r="HHM527" s="500"/>
      <c r="HHN527" s="500"/>
      <c r="HHO527" s="500"/>
      <c r="HHP527" s="500"/>
      <c r="HHQ527" s="500"/>
      <c r="HHR527" s="500"/>
      <c r="HHS527" s="500"/>
      <c r="HHT527" s="500"/>
      <c r="HHU527" s="500"/>
      <c r="HHV527" s="500"/>
      <c r="HHW527" s="500"/>
      <c r="HHX527" s="500"/>
      <c r="HHY527" s="500"/>
      <c r="HHZ527" s="500"/>
      <c r="HIA527" s="500"/>
      <c r="HIB527" s="500"/>
      <c r="HIC527" s="500"/>
      <c r="HID527" s="500"/>
      <c r="HIE527" s="500"/>
      <c r="HIF527" s="500"/>
      <c r="HIG527" s="500"/>
      <c r="HIH527" s="500"/>
      <c r="HII527" s="500"/>
      <c r="HIJ527" s="500"/>
      <c r="HIK527" s="500"/>
      <c r="HIL527" s="500"/>
      <c r="HIM527" s="500"/>
      <c r="HIN527" s="500"/>
      <c r="HIO527" s="500"/>
      <c r="HIP527" s="500"/>
      <c r="HIQ527" s="500"/>
      <c r="HIR527" s="500"/>
      <c r="HIS527" s="500"/>
      <c r="HIT527" s="500"/>
      <c r="HIU527" s="500"/>
      <c r="HIV527" s="500"/>
      <c r="HIW527" s="500"/>
      <c r="HIX527" s="500"/>
      <c r="HIY527" s="500"/>
      <c r="HIZ527" s="500"/>
      <c r="HJA527" s="500"/>
      <c r="HJB527" s="500"/>
      <c r="HJC527" s="500"/>
      <c r="HJD527" s="500"/>
      <c r="HJE527" s="500"/>
      <c r="HJF527" s="500"/>
      <c r="HJG527" s="500"/>
      <c r="HJH527" s="500"/>
      <c r="HJI527" s="500"/>
      <c r="HJJ527" s="500"/>
      <c r="HJK527" s="500"/>
      <c r="HJL527" s="500"/>
      <c r="HJM527" s="500"/>
      <c r="HJN527" s="500"/>
      <c r="HJO527" s="500"/>
      <c r="HJP527" s="500"/>
      <c r="HJQ527" s="500"/>
      <c r="HJR527" s="500"/>
      <c r="HJS527" s="500"/>
      <c r="HJT527" s="500"/>
      <c r="HJU527" s="500"/>
      <c r="HJV527" s="500"/>
      <c r="HJW527" s="500"/>
      <c r="HJX527" s="500"/>
      <c r="HJY527" s="500"/>
      <c r="HJZ527" s="500"/>
      <c r="HKA527" s="500"/>
      <c r="HKB527" s="500"/>
      <c r="HKC527" s="500"/>
      <c r="HKD527" s="500"/>
      <c r="HKE527" s="500"/>
      <c r="HKF527" s="500"/>
      <c r="HKG527" s="500"/>
      <c r="HKH527" s="500"/>
      <c r="HKI527" s="500"/>
      <c r="HKJ527" s="500"/>
      <c r="HKK527" s="500"/>
      <c r="HKL527" s="500"/>
      <c r="HKM527" s="500"/>
      <c r="HKN527" s="500"/>
      <c r="HKO527" s="500"/>
      <c r="HKP527" s="500"/>
      <c r="HKQ527" s="500"/>
      <c r="HKR527" s="500"/>
      <c r="HKS527" s="500"/>
      <c r="HKT527" s="500"/>
      <c r="HKU527" s="500"/>
      <c r="HKV527" s="500"/>
      <c r="HKW527" s="500"/>
      <c r="HKX527" s="500"/>
      <c r="HKY527" s="500"/>
      <c r="HKZ527" s="500"/>
      <c r="HLA527" s="500"/>
      <c r="HLB527" s="500"/>
      <c r="HLC527" s="500"/>
      <c r="HLD527" s="500"/>
      <c r="HLE527" s="500"/>
      <c r="HLF527" s="500"/>
      <c r="HLG527" s="500"/>
      <c r="HLH527" s="500"/>
      <c r="HLI527" s="500"/>
      <c r="HLJ527" s="500"/>
      <c r="HLK527" s="500"/>
      <c r="HLL527" s="500"/>
      <c r="HLM527" s="500"/>
      <c r="HLN527" s="500"/>
      <c r="HLO527" s="500"/>
      <c r="HLP527" s="500"/>
      <c r="HLQ527" s="500"/>
      <c r="HLR527" s="500"/>
      <c r="HLS527" s="500"/>
      <c r="HLT527" s="500"/>
      <c r="HLU527" s="500"/>
      <c r="HLV527" s="500"/>
      <c r="HLW527" s="500"/>
      <c r="HLX527" s="500"/>
      <c r="HLY527" s="500"/>
      <c r="HLZ527" s="500"/>
      <c r="HMA527" s="500"/>
      <c r="HMB527" s="500"/>
      <c r="HMC527" s="500"/>
      <c r="HMD527" s="500"/>
      <c r="HME527" s="500"/>
      <c r="HMF527" s="500"/>
      <c r="HMG527" s="500"/>
      <c r="HMH527" s="500"/>
      <c r="HMI527" s="500"/>
      <c r="HMJ527" s="500"/>
      <c r="HMK527" s="500"/>
      <c r="HML527" s="500"/>
      <c r="HMM527" s="500"/>
      <c r="HMN527" s="500"/>
      <c r="HMO527" s="500"/>
      <c r="HMP527" s="500"/>
      <c r="HMQ527" s="500"/>
      <c r="HMR527" s="500"/>
      <c r="HMS527" s="500"/>
      <c r="HMT527" s="500"/>
      <c r="HMU527" s="500"/>
      <c r="HMV527" s="500"/>
      <c r="HMW527" s="500"/>
      <c r="HMX527" s="500"/>
      <c r="HMY527" s="500"/>
      <c r="HMZ527" s="500"/>
      <c r="HNA527" s="500"/>
      <c r="HNB527" s="500"/>
      <c r="HNC527" s="500"/>
      <c r="HND527" s="500"/>
      <c r="HNE527" s="500"/>
      <c r="HNF527" s="500"/>
      <c r="HNG527" s="500"/>
      <c r="HNH527" s="500"/>
      <c r="HNI527" s="500"/>
      <c r="HNJ527" s="500"/>
      <c r="HNK527" s="500"/>
      <c r="HNL527" s="500"/>
      <c r="HNM527" s="500"/>
      <c r="HNN527" s="500"/>
      <c r="HNO527" s="500"/>
      <c r="HNP527" s="500"/>
      <c r="HNQ527" s="500"/>
      <c r="HNR527" s="500"/>
      <c r="HNS527" s="500"/>
      <c r="HNT527" s="500"/>
      <c r="HNU527" s="500"/>
      <c r="HNV527" s="500"/>
      <c r="HNW527" s="500"/>
      <c r="HNX527" s="500"/>
      <c r="HNY527" s="500"/>
      <c r="HNZ527" s="500"/>
      <c r="HOA527" s="500"/>
      <c r="HOB527" s="500"/>
      <c r="HOC527" s="500"/>
      <c r="HOD527" s="500"/>
      <c r="HOE527" s="500"/>
      <c r="HOF527" s="500"/>
      <c r="HOG527" s="500"/>
      <c r="HOH527" s="500"/>
      <c r="HOI527" s="500"/>
      <c r="HOJ527" s="500"/>
      <c r="HOK527" s="500"/>
      <c r="HOL527" s="500"/>
      <c r="HOM527" s="500"/>
      <c r="HON527" s="500"/>
      <c r="HOO527" s="500"/>
      <c r="HOP527" s="500"/>
      <c r="HOQ527" s="500"/>
      <c r="HOR527" s="500"/>
      <c r="HOS527" s="500"/>
      <c r="HOT527" s="500"/>
      <c r="HOU527" s="500"/>
      <c r="HOV527" s="500"/>
      <c r="HOW527" s="500"/>
      <c r="HOX527" s="500"/>
      <c r="HOY527" s="500"/>
      <c r="HOZ527" s="500"/>
      <c r="HPA527" s="500"/>
      <c r="HPB527" s="500"/>
      <c r="HPC527" s="500"/>
      <c r="HPD527" s="500"/>
      <c r="HPE527" s="500"/>
      <c r="HPF527" s="500"/>
      <c r="HPG527" s="500"/>
      <c r="HPH527" s="500"/>
      <c r="HPI527" s="500"/>
      <c r="HPJ527" s="500"/>
      <c r="HPK527" s="500"/>
      <c r="HPL527" s="500"/>
      <c r="HPM527" s="500"/>
      <c r="HPN527" s="500"/>
      <c r="HPO527" s="500"/>
      <c r="HPP527" s="500"/>
      <c r="HPQ527" s="500"/>
      <c r="HPR527" s="500"/>
      <c r="HPS527" s="500"/>
      <c r="HPT527" s="500"/>
      <c r="HPU527" s="500"/>
      <c r="HPV527" s="500"/>
      <c r="HPW527" s="500"/>
      <c r="HPX527" s="500"/>
      <c r="HPY527" s="500"/>
      <c r="HPZ527" s="500"/>
      <c r="HQA527" s="500"/>
      <c r="HQB527" s="500"/>
      <c r="HQC527" s="500"/>
      <c r="HQD527" s="500"/>
      <c r="HQE527" s="500"/>
      <c r="HQF527" s="500"/>
      <c r="HQG527" s="500"/>
      <c r="HQH527" s="500"/>
      <c r="HQI527" s="500"/>
      <c r="HQJ527" s="500"/>
      <c r="HQK527" s="500"/>
      <c r="HQL527" s="500"/>
      <c r="HQM527" s="500"/>
      <c r="HQN527" s="500"/>
      <c r="HQO527" s="500"/>
      <c r="HQP527" s="500"/>
      <c r="HQQ527" s="500"/>
      <c r="HQR527" s="500"/>
      <c r="HQS527" s="500"/>
      <c r="HQT527" s="500"/>
      <c r="HQU527" s="500"/>
      <c r="HQV527" s="500"/>
      <c r="HQW527" s="500"/>
      <c r="HQX527" s="500"/>
      <c r="HQY527" s="500"/>
      <c r="HQZ527" s="500"/>
      <c r="HRA527" s="500"/>
      <c r="HRB527" s="500"/>
      <c r="HRC527" s="500"/>
      <c r="HRD527" s="500"/>
      <c r="HRE527" s="500"/>
      <c r="HRF527" s="500"/>
      <c r="HRG527" s="500"/>
      <c r="HRH527" s="500"/>
      <c r="HRI527" s="500"/>
      <c r="HRJ527" s="500"/>
      <c r="HRK527" s="500"/>
      <c r="HRL527" s="500"/>
      <c r="HRM527" s="500"/>
      <c r="HRN527" s="500"/>
      <c r="HRO527" s="500"/>
      <c r="HRP527" s="500"/>
      <c r="HRQ527" s="500"/>
      <c r="HRR527" s="500"/>
      <c r="HRS527" s="500"/>
      <c r="HRT527" s="500"/>
      <c r="HRU527" s="500"/>
      <c r="HRV527" s="500"/>
      <c r="HRW527" s="500"/>
      <c r="HRX527" s="500"/>
      <c r="HRY527" s="500"/>
      <c r="HRZ527" s="500"/>
      <c r="HSA527" s="500"/>
      <c r="HSB527" s="500"/>
      <c r="HSC527" s="500"/>
      <c r="HSD527" s="500"/>
      <c r="HSE527" s="500"/>
      <c r="HSF527" s="500"/>
      <c r="HSG527" s="500"/>
      <c r="HSH527" s="500"/>
      <c r="HSI527" s="500"/>
      <c r="HSJ527" s="500"/>
      <c r="HSK527" s="500"/>
      <c r="HSL527" s="500"/>
      <c r="HSM527" s="500"/>
      <c r="HSN527" s="500"/>
      <c r="HSO527" s="500"/>
      <c r="HSP527" s="500"/>
      <c r="HSQ527" s="500"/>
      <c r="HSR527" s="500"/>
      <c r="HSS527" s="500"/>
      <c r="HST527" s="500"/>
      <c r="HSU527" s="500"/>
      <c r="HSV527" s="500"/>
      <c r="HSW527" s="500"/>
      <c r="HSX527" s="500"/>
      <c r="HSY527" s="500"/>
      <c r="HSZ527" s="500"/>
      <c r="HTA527" s="500"/>
      <c r="HTB527" s="500"/>
      <c r="HTC527" s="500"/>
      <c r="HTD527" s="500"/>
      <c r="HTE527" s="500"/>
      <c r="HTF527" s="500"/>
      <c r="HTG527" s="500"/>
      <c r="HTH527" s="500"/>
      <c r="HTI527" s="500"/>
      <c r="HTJ527" s="500"/>
      <c r="HTK527" s="500"/>
      <c r="HTL527" s="500"/>
      <c r="HTM527" s="500"/>
      <c r="HTN527" s="500"/>
      <c r="HTO527" s="500"/>
      <c r="HTP527" s="500"/>
      <c r="HTQ527" s="500"/>
      <c r="HTR527" s="500"/>
      <c r="HTS527" s="500"/>
      <c r="HTT527" s="500"/>
      <c r="HTU527" s="500"/>
      <c r="HTV527" s="500"/>
      <c r="HTW527" s="500"/>
      <c r="HTX527" s="500"/>
      <c r="HTY527" s="500"/>
      <c r="HTZ527" s="500"/>
      <c r="HUA527" s="500"/>
      <c r="HUB527" s="500"/>
      <c r="HUC527" s="500"/>
      <c r="HUD527" s="500"/>
      <c r="HUE527" s="500"/>
      <c r="HUF527" s="500"/>
      <c r="HUG527" s="500"/>
      <c r="HUH527" s="500"/>
      <c r="HUI527" s="500"/>
      <c r="HUJ527" s="500"/>
      <c r="HUK527" s="500"/>
      <c r="HUL527" s="500"/>
      <c r="HUM527" s="500"/>
      <c r="HUN527" s="500"/>
      <c r="HUO527" s="500"/>
      <c r="HUP527" s="500"/>
      <c r="HUQ527" s="500"/>
      <c r="HUR527" s="500"/>
      <c r="HUS527" s="500"/>
      <c r="HUT527" s="500"/>
      <c r="HUU527" s="500"/>
      <c r="HUV527" s="500"/>
      <c r="HUW527" s="500"/>
      <c r="HUX527" s="500"/>
      <c r="HUY527" s="500"/>
      <c r="HUZ527" s="500"/>
      <c r="HVA527" s="500"/>
      <c r="HVB527" s="500"/>
      <c r="HVC527" s="500"/>
      <c r="HVD527" s="500"/>
      <c r="HVE527" s="500"/>
      <c r="HVF527" s="500"/>
      <c r="HVG527" s="500"/>
      <c r="HVH527" s="500"/>
      <c r="HVI527" s="500"/>
      <c r="HVJ527" s="500"/>
      <c r="HVK527" s="500"/>
      <c r="HVL527" s="500"/>
      <c r="HVM527" s="500"/>
      <c r="HVN527" s="500"/>
      <c r="HVO527" s="500"/>
      <c r="HVP527" s="500"/>
      <c r="HVQ527" s="500"/>
      <c r="HVR527" s="500"/>
      <c r="HVS527" s="500"/>
      <c r="HVT527" s="500"/>
      <c r="HVU527" s="500"/>
      <c r="HVV527" s="500"/>
      <c r="HVW527" s="500"/>
      <c r="HVX527" s="500"/>
      <c r="HVY527" s="500"/>
      <c r="HVZ527" s="500"/>
      <c r="HWA527" s="500"/>
      <c r="HWB527" s="500"/>
      <c r="HWC527" s="500"/>
      <c r="HWD527" s="500"/>
      <c r="HWE527" s="500"/>
      <c r="HWF527" s="500"/>
      <c r="HWG527" s="500"/>
      <c r="HWH527" s="500"/>
      <c r="HWI527" s="500"/>
      <c r="HWJ527" s="500"/>
      <c r="HWK527" s="500"/>
      <c r="HWL527" s="500"/>
      <c r="HWM527" s="500"/>
      <c r="HWN527" s="500"/>
      <c r="HWO527" s="500"/>
      <c r="HWP527" s="500"/>
      <c r="HWQ527" s="500"/>
      <c r="HWR527" s="500"/>
      <c r="HWS527" s="500"/>
      <c r="HWT527" s="500"/>
      <c r="HWU527" s="500"/>
      <c r="HWV527" s="500"/>
      <c r="HWW527" s="500"/>
      <c r="HWX527" s="500"/>
      <c r="HWY527" s="500"/>
      <c r="HWZ527" s="500"/>
      <c r="HXA527" s="500"/>
      <c r="HXB527" s="500"/>
      <c r="HXC527" s="500"/>
      <c r="HXD527" s="500"/>
      <c r="HXE527" s="500"/>
      <c r="HXF527" s="500"/>
      <c r="HXG527" s="500"/>
      <c r="HXH527" s="500"/>
      <c r="HXI527" s="500"/>
      <c r="HXJ527" s="500"/>
      <c r="HXK527" s="500"/>
      <c r="HXL527" s="500"/>
      <c r="HXM527" s="500"/>
      <c r="HXN527" s="500"/>
      <c r="HXO527" s="500"/>
      <c r="HXP527" s="500"/>
      <c r="HXQ527" s="500"/>
      <c r="HXR527" s="500"/>
      <c r="HXS527" s="500"/>
      <c r="HXT527" s="500"/>
      <c r="HXU527" s="500"/>
      <c r="HXV527" s="500"/>
      <c r="HXW527" s="500"/>
      <c r="HXX527" s="500"/>
      <c r="HXY527" s="500"/>
      <c r="HXZ527" s="500"/>
      <c r="HYA527" s="500"/>
      <c r="HYB527" s="500"/>
      <c r="HYC527" s="500"/>
      <c r="HYD527" s="500"/>
      <c r="HYE527" s="500"/>
      <c r="HYF527" s="500"/>
      <c r="HYG527" s="500"/>
      <c r="HYH527" s="500"/>
      <c r="HYI527" s="500"/>
      <c r="HYJ527" s="500"/>
      <c r="HYK527" s="500"/>
      <c r="HYL527" s="500"/>
      <c r="HYM527" s="500"/>
      <c r="HYN527" s="500"/>
      <c r="HYO527" s="500"/>
      <c r="HYP527" s="500"/>
      <c r="HYQ527" s="500"/>
      <c r="HYR527" s="500"/>
      <c r="HYS527" s="500"/>
      <c r="HYT527" s="500"/>
      <c r="HYU527" s="500"/>
      <c r="HYV527" s="500"/>
      <c r="HYW527" s="500"/>
      <c r="HYX527" s="500"/>
      <c r="HYY527" s="500"/>
      <c r="HYZ527" s="500"/>
      <c r="HZA527" s="500"/>
      <c r="HZB527" s="500"/>
      <c r="HZC527" s="500"/>
      <c r="HZD527" s="500"/>
      <c r="HZE527" s="500"/>
      <c r="HZF527" s="500"/>
      <c r="HZG527" s="500"/>
      <c r="HZH527" s="500"/>
      <c r="HZI527" s="500"/>
      <c r="HZJ527" s="500"/>
      <c r="HZK527" s="500"/>
      <c r="HZL527" s="500"/>
      <c r="HZM527" s="500"/>
      <c r="HZN527" s="500"/>
      <c r="HZO527" s="500"/>
      <c r="HZP527" s="500"/>
      <c r="HZQ527" s="500"/>
      <c r="HZR527" s="500"/>
      <c r="HZS527" s="500"/>
      <c r="HZT527" s="500"/>
      <c r="HZU527" s="500"/>
      <c r="HZV527" s="500"/>
      <c r="HZW527" s="500"/>
      <c r="HZX527" s="500"/>
      <c r="HZY527" s="500"/>
      <c r="HZZ527" s="500"/>
      <c r="IAA527" s="500"/>
      <c r="IAB527" s="500"/>
      <c r="IAC527" s="500"/>
      <c r="IAD527" s="500"/>
      <c r="IAE527" s="500"/>
      <c r="IAF527" s="500"/>
      <c r="IAG527" s="500"/>
      <c r="IAH527" s="500"/>
      <c r="IAI527" s="500"/>
      <c r="IAJ527" s="500"/>
      <c r="IAK527" s="500"/>
      <c r="IAL527" s="500"/>
      <c r="IAM527" s="500"/>
      <c r="IAN527" s="500"/>
      <c r="IAO527" s="500"/>
      <c r="IAP527" s="500"/>
      <c r="IAQ527" s="500"/>
      <c r="IAR527" s="500"/>
      <c r="IAS527" s="500"/>
      <c r="IAT527" s="500"/>
      <c r="IAU527" s="500"/>
      <c r="IAV527" s="500"/>
      <c r="IAW527" s="500"/>
      <c r="IAX527" s="500"/>
      <c r="IAY527" s="500"/>
      <c r="IAZ527" s="500"/>
      <c r="IBA527" s="500"/>
      <c r="IBB527" s="500"/>
      <c r="IBC527" s="500"/>
      <c r="IBD527" s="500"/>
      <c r="IBE527" s="500"/>
      <c r="IBF527" s="500"/>
      <c r="IBG527" s="500"/>
      <c r="IBH527" s="500"/>
      <c r="IBI527" s="500"/>
      <c r="IBJ527" s="500"/>
      <c r="IBK527" s="500"/>
      <c r="IBL527" s="500"/>
      <c r="IBM527" s="500"/>
      <c r="IBN527" s="500"/>
      <c r="IBO527" s="500"/>
      <c r="IBP527" s="500"/>
      <c r="IBQ527" s="500"/>
      <c r="IBR527" s="500"/>
      <c r="IBS527" s="500"/>
      <c r="IBT527" s="500"/>
      <c r="IBU527" s="500"/>
      <c r="IBV527" s="500"/>
      <c r="IBW527" s="500"/>
      <c r="IBX527" s="500"/>
      <c r="IBY527" s="500"/>
      <c r="IBZ527" s="500"/>
      <c r="ICA527" s="500"/>
      <c r="ICB527" s="500"/>
      <c r="ICC527" s="500"/>
      <c r="ICD527" s="500"/>
      <c r="ICE527" s="500"/>
      <c r="ICF527" s="500"/>
      <c r="ICG527" s="500"/>
      <c r="ICH527" s="500"/>
      <c r="ICI527" s="500"/>
      <c r="ICJ527" s="500"/>
      <c r="ICK527" s="500"/>
      <c r="ICL527" s="500"/>
      <c r="ICM527" s="500"/>
      <c r="ICN527" s="500"/>
      <c r="ICO527" s="500"/>
      <c r="ICP527" s="500"/>
      <c r="ICQ527" s="500"/>
      <c r="ICR527" s="500"/>
      <c r="ICS527" s="500"/>
      <c r="ICT527" s="500"/>
      <c r="ICU527" s="500"/>
      <c r="ICV527" s="500"/>
      <c r="ICW527" s="500"/>
      <c r="ICX527" s="500"/>
      <c r="ICY527" s="500"/>
      <c r="ICZ527" s="500"/>
      <c r="IDA527" s="500"/>
      <c r="IDB527" s="500"/>
      <c r="IDC527" s="500"/>
      <c r="IDD527" s="500"/>
      <c r="IDE527" s="500"/>
      <c r="IDF527" s="500"/>
      <c r="IDG527" s="500"/>
      <c r="IDH527" s="500"/>
      <c r="IDI527" s="500"/>
      <c r="IDJ527" s="500"/>
      <c r="IDK527" s="500"/>
      <c r="IDL527" s="500"/>
      <c r="IDM527" s="500"/>
      <c r="IDN527" s="500"/>
      <c r="IDO527" s="500"/>
      <c r="IDP527" s="500"/>
      <c r="IDQ527" s="500"/>
      <c r="IDR527" s="500"/>
      <c r="IDS527" s="500"/>
      <c r="IDT527" s="500"/>
      <c r="IDU527" s="500"/>
      <c r="IDV527" s="500"/>
      <c r="IDW527" s="500"/>
      <c r="IDX527" s="500"/>
      <c r="IDY527" s="500"/>
      <c r="IDZ527" s="500"/>
      <c r="IEA527" s="500"/>
      <c r="IEB527" s="500"/>
      <c r="IEC527" s="500"/>
      <c r="IED527" s="500"/>
      <c r="IEE527" s="500"/>
      <c r="IEF527" s="500"/>
      <c r="IEG527" s="500"/>
      <c r="IEH527" s="500"/>
      <c r="IEI527" s="500"/>
      <c r="IEJ527" s="500"/>
      <c r="IEK527" s="500"/>
      <c r="IEL527" s="500"/>
      <c r="IEM527" s="500"/>
      <c r="IEN527" s="500"/>
      <c r="IEO527" s="500"/>
      <c r="IEP527" s="500"/>
      <c r="IEQ527" s="500"/>
      <c r="IER527" s="500"/>
      <c r="IES527" s="500"/>
      <c r="IET527" s="500"/>
      <c r="IEU527" s="500"/>
      <c r="IEV527" s="500"/>
      <c r="IEW527" s="500"/>
      <c r="IEX527" s="500"/>
      <c r="IEY527" s="500"/>
      <c r="IEZ527" s="500"/>
      <c r="IFA527" s="500"/>
      <c r="IFB527" s="500"/>
      <c r="IFC527" s="500"/>
      <c r="IFD527" s="500"/>
      <c r="IFE527" s="500"/>
      <c r="IFF527" s="500"/>
      <c r="IFG527" s="500"/>
      <c r="IFH527" s="500"/>
      <c r="IFI527" s="500"/>
      <c r="IFJ527" s="500"/>
      <c r="IFK527" s="500"/>
      <c r="IFL527" s="500"/>
      <c r="IFM527" s="500"/>
      <c r="IFN527" s="500"/>
      <c r="IFO527" s="500"/>
      <c r="IFP527" s="500"/>
      <c r="IFQ527" s="500"/>
      <c r="IFR527" s="500"/>
      <c r="IFS527" s="500"/>
      <c r="IFT527" s="500"/>
      <c r="IFU527" s="500"/>
      <c r="IFV527" s="500"/>
      <c r="IFW527" s="500"/>
      <c r="IFX527" s="500"/>
      <c r="IFY527" s="500"/>
      <c r="IFZ527" s="500"/>
      <c r="IGA527" s="500"/>
      <c r="IGB527" s="500"/>
      <c r="IGC527" s="500"/>
      <c r="IGD527" s="500"/>
      <c r="IGE527" s="500"/>
      <c r="IGF527" s="500"/>
      <c r="IGG527" s="500"/>
      <c r="IGH527" s="500"/>
      <c r="IGI527" s="500"/>
      <c r="IGJ527" s="500"/>
      <c r="IGK527" s="500"/>
      <c r="IGL527" s="500"/>
      <c r="IGM527" s="500"/>
      <c r="IGN527" s="500"/>
      <c r="IGO527" s="500"/>
      <c r="IGP527" s="500"/>
      <c r="IGQ527" s="500"/>
      <c r="IGR527" s="500"/>
      <c r="IGS527" s="500"/>
      <c r="IGT527" s="500"/>
      <c r="IGU527" s="500"/>
      <c r="IGV527" s="500"/>
      <c r="IGW527" s="500"/>
      <c r="IGX527" s="500"/>
      <c r="IGY527" s="500"/>
      <c r="IGZ527" s="500"/>
      <c r="IHA527" s="500"/>
      <c r="IHB527" s="500"/>
      <c r="IHC527" s="500"/>
      <c r="IHD527" s="500"/>
      <c r="IHE527" s="500"/>
      <c r="IHF527" s="500"/>
      <c r="IHG527" s="500"/>
      <c r="IHH527" s="500"/>
      <c r="IHI527" s="500"/>
      <c r="IHJ527" s="500"/>
      <c r="IHK527" s="500"/>
      <c r="IHL527" s="500"/>
      <c r="IHM527" s="500"/>
      <c r="IHN527" s="500"/>
      <c r="IHO527" s="500"/>
      <c r="IHP527" s="500"/>
      <c r="IHQ527" s="500"/>
      <c r="IHR527" s="500"/>
      <c r="IHS527" s="500"/>
      <c r="IHT527" s="500"/>
      <c r="IHU527" s="500"/>
      <c r="IHV527" s="500"/>
      <c r="IHW527" s="500"/>
      <c r="IHX527" s="500"/>
      <c r="IHY527" s="500"/>
      <c r="IHZ527" s="500"/>
      <c r="IIA527" s="500"/>
      <c r="IIB527" s="500"/>
      <c r="IIC527" s="500"/>
      <c r="IID527" s="500"/>
      <c r="IIE527" s="500"/>
      <c r="IIF527" s="500"/>
      <c r="IIG527" s="500"/>
      <c r="IIH527" s="500"/>
      <c r="III527" s="500"/>
      <c r="IIJ527" s="500"/>
      <c r="IIK527" s="500"/>
      <c r="IIL527" s="500"/>
      <c r="IIM527" s="500"/>
      <c r="IIN527" s="500"/>
      <c r="IIO527" s="500"/>
      <c r="IIP527" s="500"/>
      <c r="IIQ527" s="500"/>
      <c r="IIR527" s="500"/>
      <c r="IIS527" s="500"/>
      <c r="IIT527" s="500"/>
      <c r="IIU527" s="500"/>
      <c r="IIV527" s="500"/>
      <c r="IIW527" s="500"/>
      <c r="IIX527" s="500"/>
      <c r="IIY527" s="500"/>
      <c r="IIZ527" s="500"/>
      <c r="IJA527" s="500"/>
      <c r="IJB527" s="500"/>
      <c r="IJC527" s="500"/>
      <c r="IJD527" s="500"/>
      <c r="IJE527" s="500"/>
      <c r="IJF527" s="500"/>
      <c r="IJG527" s="500"/>
      <c r="IJH527" s="500"/>
      <c r="IJI527" s="500"/>
      <c r="IJJ527" s="500"/>
      <c r="IJK527" s="500"/>
      <c r="IJL527" s="500"/>
      <c r="IJM527" s="500"/>
      <c r="IJN527" s="500"/>
      <c r="IJO527" s="500"/>
      <c r="IJP527" s="500"/>
      <c r="IJQ527" s="500"/>
      <c r="IJR527" s="500"/>
      <c r="IJS527" s="500"/>
      <c r="IJT527" s="500"/>
      <c r="IJU527" s="500"/>
      <c r="IJV527" s="500"/>
      <c r="IJW527" s="500"/>
      <c r="IJX527" s="500"/>
      <c r="IJY527" s="500"/>
      <c r="IJZ527" s="500"/>
      <c r="IKA527" s="500"/>
      <c r="IKB527" s="500"/>
      <c r="IKC527" s="500"/>
      <c r="IKD527" s="500"/>
      <c r="IKE527" s="500"/>
      <c r="IKF527" s="500"/>
      <c r="IKG527" s="500"/>
      <c r="IKH527" s="500"/>
      <c r="IKI527" s="500"/>
      <c r="IKJ527" s="500"/>
      <c r="IKK527" s="500"/>
      <c r="IKL527" s="500"/>
      <c r="IKM527" s="500"/>
      <c r="IKN527" s="500"/>
      <c r="IKO527" s="500"/>
      <c r="IKP527" s="500"/>
      <c r="IKQ527" s="500"/>
      <c r="IKR527" s="500"/>
      <c r="IKS527" s="500"/>
      <c r="IKT527" s="500"/>
      <c r="IKU527" s="500"/>
      <c r="IKV527" s="500"/>
      <c r="IKW527" s="500"/>
      <c r="IKX527" s="500"/>
      <c r="IKY527" s="500"/>
      <c r="IKZ527" s="500"/>
      <c r="ILA527" s="500"/>
      <c r="ILB527" s="500"/>
      <c r="ILC527" s="500"/>
      <c r="ILD527" s="500"/>
      <c r="ILE527" s="500"/>
      <c r="ILF527" s="500"/>
      <c r="ILG527" s="500"/>
      <c r="ILH527" s="500"/>
      <c r="ILI527" s="500"/>
      <c r="ILJ527" s="500"/>
      <c r="ILK527" s="500"/>
      <c r="ILL527" s="500"/>
      <c r="ILM527" s="500"/>
      <c r="ILN527" s="500"/>
      <c r="ILO527" s="500"/>
      <c r="ILP527" s="500"/>
      <c r="ILQ527" s="500"/>
      <c r="ILR527" s="500"/>
      <c r="ILS527" s="500"/>
      <c r="ILT527" s="500"/>
      <c r="ILU527" s="500"/>
      <c r="ILV527" s="500"/>
      <c r="ILW527" s="500"/>
      <c r="ILX527" s="500"/>
      <c r="ILY527" s="500"/>
      <c r="ILZ527" s="500"/>
      <c r="IMA527" s="500"/>
      <c r="IMB527" s="500"/>
      <c r="IMC527" s="500"/>
      <c r="IMD527" s="500"/>
      <c r="IME527" s="500"/>
      <c r="IMF527" s="500"/>
      <c r="IMG527" s="500"/>
      <c r="IMH527" s="500"/>
      <c r="IMI527" s="500"/>
      <c r="IMJ527" s="500"/>
      <c r="IMK527" s="500"/>
      <c r="IML527" s="500"/>
      <c r="IMM527" s="500"/>
      <c r="IMN527" s="500"/>
      <c r="IMO527" s="500"/>
      <c r="IMP527" s="500"/>
      <c r="IMQ527" s="500"/>
      <c r="IMR527" s="500"/>
      <c r="IMS527" s="500"/>
      <c r="IMT527" s="500"/>
      <c r="IMU527" s="500"/>
      <c r="IMV527" s="500"/>
      <c r="IMW527" s="500"/>
      <c r="IMX527" s="500"/>
      <c r="IMY527" s="500"/>
      <c r="IMZ527" s="500"/>
      <c r="INA527" s="500"/>
      <c r="INB527" s="500"/>
      <c r="INC527" s="500"/>
      <c r="IND527" s="500"/>
      <c r="INE527" s="500"/>
      <c r="INF527" s="500"/>
      <c r="ING527" s="500"/>
      <c r="INH527" s="500"/>
      <c r="INI527" s="500"/>
      <c r="INJ527" s="500"/>
      <c r="INK527" s="500"/>
      <c r="INL527" s="500"/>
      <c r="INM527" s="500"/>
      <c r="INN527" s="500"/>
      <c r="INO527" s="500"/>
      <c r="INP527" s="500"/>
      <c r="INQ527" s="500"/>
      <c r="INR527" s="500"/>
      <c r="INS527" s="500"/>
      <c r="INT527" s="500"/>
      <c r="INU527" s="500"/>
      <c r="INV527" s="500"/>
      <c r="INW527" s="500"/>
      <c r="INX527" s="500"/>
      <c r="INY527" s="500"/>
      <c r="INZ527" s="500"/>
      <c r="IOA527" s="500"/>
      <c r="IOB527" s="500"/>
      <c r="IOC527" s="500"/>
      <c r="IOD527" s="500"/>
      <c r="IOE527" s="500"/>
      <c r="IOF527" s="500"/>
      <c r="IOG527" s="500"/>
      <c r="IOH527" s="500"/>
      <c r="IOI527" s="500"/>
      <c r="IOJ527" s="500"/>
      <c r="IOK527" s="500"/>
      <c r="IOL527" s="500"/>
      <c r="IOM527" s="500"/>
      <c r="ION527" s="500"/>
      <c r="IOO527" s="500"/>
      <c r="IOP527" s="500"/>
      <c r="IOQ527" s="500"/>
      <c r="IOR527" s="500"/>
      <c r="IOS527" s="500"/>
      <c r="IOT527" s="500"/>
      <c r="IOU527" s="500"/>
      <c r="IOV527" s="500"/>
      <c r="IOW527" s="500"/>
      <c r="IOX527" s="500"/>
      <c r="IOY527" s="500"/>
      <c r="IOZ527" s="500"/>
      <c r="IPA527" s="500"/>
      <c r="IPB527" s="500"/>
      <c r="IPC527" s="500"/>
      <c r="IPD527" s="500"/>
      <c r="IPE527" s="500"/>
      <c r="IPF527" s="500"/>
      <c r="IPG527" s="500"/>
      <c r="IPH527" s="500"/>
      <c r="IPI527" s="500"/>
      <c r="IPJ527" s="500"/>
      <c r="IPK527" s="500"/>
      <c r="IPL527" s="500"/>
      <c r="IPM527" s="500"/>
      <c r="IPN527" s="500"/>
      <c r="IPO527" s="500"/>
      <c r="IPP527" s="500"/>
      <c r="IPQ527" s="500"/>
      <c r="IPR527" s="500"/>
      <c r="IPS527" s="500"/>
      <c r="IPT527" s="500"/>
      <c r="IPU527" s="500"/>
      <c r="IPV527" s="500"/>
      <c r="IPW527" s="500"/>
      <c r="IPX527" s="500"/>
      <c r="IPY527" s="500"/>
      <c r="IPZ527" s="500"/>
      <c r="IQA527" s="500"/>
      <c r="IQB527" s="500"/>
      <c r="IQC527" s="500"/>
      <c r="IQD527" s="500"/>
      <c r="IQE527" s="500"/>
      <c r="IQF527" s="500"/>
      <c r="IQG527" s="500"/>
      <c r="IQH527" s="500"/>
      <c r="IQI527" s="500"/>
      <c r="IQJ527" s="500"/>
      <c r="IQK527" s="500"/>
      <c r="IQL527" s="500"/>
      <c r="IQM527" s="500"/>
      <c r="IQN527" s="500"/>
      <c r="IQO527" s="500"/>
      <c r="IQP527" s="500"/>
      <c r="IQQ527" s="500"/>
      <c r="IQR527" s="500"/>
      <c r="IQS527" s="500"/>
      <c r="IQT527" s="500"/>
      <c r="IQU527" s="500"/>
      <c r="IQV527" s="500"/>
      <c r="IQW527" s="500"/>
      <c r="IQX527" s="500"/>
      <c r="IQY527" s="500"/>
      <c r="IQZ527" s="500"/>
      <c r="IRA527" s="500"/>
      <c r="IRB527" s="500"/>
      <c r="IRC527" s="500"/>
      <c r="IRD527" s="500"/>
      <c r="IRE527" s="500"/>
      <c r="IRF527" s="500"/>
      <c r="IRG527" s="500"/>
      <c r="IRH527" s="500"/>
      <c r="IRI527" s="500"/>
      <c r="IRJ527" s="500"/>
      <c r="IRK527" s="500"/>
      <c r="IRL527" s="500"/>
      <c r="IRM527" s="500"/>
      <c r="IRN527" s="500"/>
      <c r="IRO527" s="500"/>
      <c r="IRP527" s="500"/>
      <c r="IRQ527" s="500"/>
      <c r="IRR527" s="500"/>
      <c r="IRS527" s="500"/>
      <c r="IRT527" s="500"/>
      <c r="IRU527" s="500"/>
      <c r="IRV527" s="500"/>
      <c r="IRW527" s="500"/>
      <c r="IRX527" s="500"/>
      <c r="IRY527" s="500"/>
      <c r="IRZ527" s="500"/>
      <c r="ISA527" s="500"/>
      <c r="ISB527" s="500"/>
      <c r="ISC527" s="500"/>
      <c r="ISD527" s="500"/>
      <c r="ISE527" s="500"/>
      <c r="ISF527" s="500"/>
      <c r="ISG527" s="500"/>
      <c r="ISH527" s="500"/>
      <c r="ISI527" s="500"/>
      <c r="ISJ527" s="500"/>
      <c r="ISK527" s="500"/>
      <c r="ISL527" s="500"/>
      <c r="ISM527" s="500"/>
      <c r="ISN527" s="500"/>
      <c r="ISO527" s="500"/>
      <c r="ISP527" s="500"/>
      <c r="ISQ527" s="500"/>
      <c r="ISR527" s="500"/>
      <c r="ISS527" s="500"/>
      <c r="IST527" s="500"/>
      <c r="ISU527" s="500"/>
      <c r="ISV527" s="500"/>
      <c r="ISW527" s="500"/>
      <c r="ISX527" s="500"/>
      <c r="ISY527" s="500"/>
      <c r="ISZ527" s="500"/>
      <c r="ITA527" s="500"/>
      <c r="ITB527" s="500"/>
      <c r="ITC527" s="500"/>
      <c r="ITD527" s="500"/>
      <c r="ITE527" s="500"/>
      <c r="ITF527" s="500"/>
      <c r="ITG527" s="500"/>
      <c r="ITH527" s="500"/>
      <c r="ITI527" s="500"/>
      <c r="ITJ527" s="500"/>
      <c r="ITK527" s="500"/>
      <c r="ITL527" s="500"/>
      <c r="ITM527" s="500"/>
      <c r="ITN527" s="500"/>
      <c r="ITO527" s="500"/>
      <c r="ITP527" s="500"/>
      <c r="ITQ527" s="500"/>
      <c r="ITR527" s="500"/>
      <c r="ITS527" s="500"/>
      <c r="ITT527" s="500"/>
      <c r="ITU527" s="500"/>
      <c r="ITV527" s="500"/>
      <c r="ITW527" s="500"/>
      <c r="ITX527" s="500"/>
      <c r="ITY527" s="500"/>
      <c r="ITZ527" s="500"/>
      <c r="IUA527" s="500"/>
      <c r="IUB527" s="500"/>
      <c r="IUC527" s="500"/>
      <c r="IUD527" s="500"/>
      <c r="IUE527" s="500"/>
      <c r="IUF527" s="500"/>
      <c r="IUG527" s="500"/>
      <c r="IUH527" s="500"/>
      <c r="IUI527" s="500"/>
      <c r="IUJ527" s="500"/>
      <c r="IUK527" s="500"/>
      <c r="IUL527" s="500"/>
      <c r="IUM527" s="500"/>
      <c r="IUN527" s="500"/>
      <c r="IUO527" s="500"/>
      <c r="IUP527" s="500"/>
      <c r="IUQ527" s="500"/>
      <c r="IUR527" s="500"/>
      <c r="IUS527" s="500"/>
      <c r="IUT527" s="500"/>
      <c r="IUU527" s="500"/>
      <c r="IUV527" s="500"/>
      <c r="IUW527" s="500"/>
      <c r="IUX527" s="500"/>
      <c r="IUY527" s="500"/>
      <c r="IUZ527" s="500"/>
      <c r="IVA527" s="500"/>
      <c r="IVB527" s="500"/>
      <c r="IVC527" s="500"/>
      <c r="IVD527" s="500"/>
      <c r="IVE527" s="500"/>
      <c r="IVF527" s="500"/>
      <c r="IVG527" s="500"/>
      <c r="IVH527" s="500"/>
      <c r="IVI527" s="500"/>
      <c r="IVJ527" s="500"/>
      <c r="IVK527" s="500"/>
      <c r="IVL527" s="500"/>
      <c r="IVM527" s="500"/>
      <c r="IVN527" s="500"/>
      <c r="IVO527" s="500"/>
      <c r="IVP527" s="500"/>
      <c r="IVQ527" s="500"/>
      <c r="IVR527" s="500"/>
      <c r="IVS527" s="500"/>
      <c r="IVT527" s="500"/>
      <c r="IVU527" s="500"/>
      <c r="IVV527" s="500"/>
      <c r="IVW527" s="500"/>
      <c r="IVX527" s="500"/>
      <c r="IVY527" s="500"/>
      <c r="IVZ527" s="500"/>
      <c r="IWA527" s="500"/>
      <c r="IWB527" s="500"/>
      <c r="IWC527" s="500"/>
      <c r="IWD527" s="500"/>
      <c r="IWE527" s="500"/>
      <c r="IWF527" s="500"/>
      <c r="IWG527" s="500"/>
      <c r="IWH527" s="500"/>
      <c r="IWI527" s="500"/>
      <c r="IWJ527" s="500"/>
      <c r="IWK527" s="500"/>
      <c r="IWL527" s="500"/>
      <c r="IWM527" s="500"/>
      <c r="IWN527" s="500"/>
      <c r="IWO527" s="500"/>
      <c r="IWP527" s="500"/>
      <c r="IWQ527" s="500"/>
      <c r="IWR527" s="500"/>
      <c r="IWS527" s="500"/>
      <c r="IWT527" s="500"/>
      <c r="IWU527" s="500"/>
      <c r="IWV527" s="500"/>
      <c r="IWW527" s="500"/>
      <c r="IWX527" s="500"/>
      <c r="IWY527" s="500"/>
      <c r="IWZ527" s="500"/>
      <c r="IXA527" s="500"/>
      <c r="IXB527" s="500"/>
      <c r="IXC527" s="500"/>
      <c r="IXD527" s="500"/>
      <c r="IXE527" s="500"/>
      <c r="IXF527" s="500"/>
      <c r="IXG527" s="500"/>
      <c r="IXH527" s="500"/>
      <c r="IXI527" s="500"/>
      <c r="IXJ527" s="500"/>
      <c r="IXK527" s="500"/>
      <c r="IXL527" s="500"/>
      <c r="IXM527" s="500"/>
      <c r="IXN527" s="500"/>
      <c r="IXO527" s="500"/>
      <c r="IXP527" s="500"/>
      <c r="IXQ527" s="500"/>
      <c r="IXR527" s="500"/>
      <c r="IXS527" s="500"/>
      <c r="IXT527" s="500"/>
      <c r="IXU527" s="500"/>
      <c r="IXV527" s="500"/>
      <c r="IXW527" s="500"/>
      <c r="IXX527" s="500"/>
      <c r="IXY527" s="500"/>
      <c r="IXZ527" s="500"/>
      <c r="IYA527" s="500"/>
      <c r="IYB527" s="500"/>
      <c r="IYC527" s="500"/>
      <c r="IYD527" s="500"/>
      <c r="IYE527" s="500"/>
      <c r="IYF527" s="500"/>
      <c r="IYG527" s="500"/>
      <c r="IYH527" s="500"/>
      <c r="IYI527" s="500"/>
      <c r="IYJ527" s="500"/>
      <c r="IYK527" s="500"/>
      <c r="IYL527" s="500"/>
      <c r="IYM527" s="500"/>
      <c r="IYN527" s="500"/>
      <c r="IYO527" s="500"/>
      <c r="IYP527" s="500"/>
      <c r="IYQ527" s="500"/>
      <c r="IYR527" s="500"/>
      <c r="IYS527" s="500"/>
      <c r="IYT527" s="500"/>
      <c r="IYU527" s="500"/>
      <c r="IYV527" s="500"/>
      <c r="IYW527" s="500"/>
      <c r="IYX527" s="500"/>
      <c r="IYY527" s="500"/>
      <c r="IYZ527" s="500"/>
      <c r="IZA527" s="500"/>
      <c r="IZB527" s="500"/>
      <c r="IZC527" s="500"/>
      <c r="IZD527" s="500"/>
      <c r="IZE527" s="500"/>
      <c r="IZF527" s="500"/>
      <c r="IZG527" s="500"/>
      <c r="IZH527" s="500"/>
      <c r="IZI527" s="500"/>
      <c r="IZJ527" s="500"/>
      <c r="IZK527" s="500"/>
      <c r="IZL527" s="500"/>
      <c r="IZM527" s="500"/>
      <c r="IZN527" s="500"/>
      <c r="IZO527" s="500"/>
      <c r="IZP527" s="500"/>
      <c r="IZQ527" s="500"/>
      <c r="IZR527" s="500"/>
      <c r="IZS527" s="500"/>
      <c r="IZT527" s="500"/>
      <c r="IZU527" s="500"/>
      <c r="IZV527" s="500"/>
      <c r="IZW527" s="500"/>
      <c r="IZX527" s="500"/>
      <c r="IZY527" s="500"/>
      <c r="IZZ527" s="500"/>
      <c r="JAA527" s="500"/>
      <c r="JAB527" s="500"/>
      <c r="JAC527" s="500"/>
      <c r="JAD527" s="500"/>
      <c r="JAE527" s="500"/>
      <c r="JAF527" s="500"/>
      <c r="JAG527" s="500"/>
      <c r="JAH527" s="500"/>
      <c r="JAI527" s="500"/>
      <c r="JAJ527" s="500"/>
      <c r="JAK527" s="500"/>
      <c r="JAL527" s="500"/>
      <c r="JAM527" s="500"/>
      <c r="JAN527" s="500"/>
      <c r="JAO527" s="500"/>
      <c r="JAP527" s="500"/>
      <c r="JAQ527" s="500"/>
      <c r="JAR527" s="500"/>
      <c r="JAS527" s="500"/>
      <c r="JAT527" s="500"/>
      <c r="JAU527" s="500"/>
      <c r="JAV527" s="500"/>
      <c r="JAW527" s="500"/>
      <c r="JAX527" s="500"/>
      <c r="JAY527" s="500"/>
      <c r="JAZ527" s="500"/>
      <c r="JBA527" s="500"/>
      <c r="JBB527" s="500"/>
      <c r="JBC527" s="500"/>
      <c r="JBD527" s="500"/>
      <c r="JBE527" s="500"/>
      <c r="JBF527" s="500"/>
      <c r="JBG527" s="500"/>
      <c r="JBH527" s="500"/>
      <c r="JBI527" s="500"/>
      <c r="JBJ527" s="500"/>
      <c r="JBK527" s="500"/>
      <c r="JBL527" s="500"/>
      <c r="JBM527" s="500"/>
      <c r="JBN527" s="500"/>
      <c r="JBO527" s="500"/>
      <c r="JBP527" s="500"/>
      <c r="JBQ527" s="500"/>
      <c r="JBR527" s="500"/>
      <c r="JBS527" s="500"/>
      <c r="JBT527" s="500"/>
      <c r="JBU527" s="500"/>
      <c r="JBV527" s="500"/>
      <c r="JBW527" s="500"/>
      <c r="JBX527" s="500"/>
      <c r="JBY527" s="500"/>
      <c r="JBZ527" s="500"/>
      <c r="JCA527" s="500"/>
      <c r="JCB527" s="500"/>
      <c r="JCC527" s="500"/>
      <c r="JCD527" s="500"/>
      <c r="JCE527" s="500"/>
      <c r="JCF527" s="500"/>
      <c r="JCG527" s="500"/>
      <c r="JCH527" s="500"/>
      <c r="JCI527" s="500"/>
      <c r="JCJ527" s="500"/>
      <c r="JCK527" s="500"/>
      <c r="JCL527" s="500"/>
      <c r="JCM527" s="500"/>
      <c r="JCN527" s="500"/>
      <c r="JCO527" s="500"/>
      <c r="JCP527" s="500"/>
      <c r="JCQ527" s="500"/>
      <c r="JCR527" s="500"/>
      <c r="JCS527" s="500"/>
      <c r="JCT527" s="500"/>
      <c r="JCU527" s="500"/>
      <c r="JCV527" s="500"/>
      <c r="JCW527" s="500"/>
      <c r="JCX527" s="500"/>
      <c r="JCY527" s="500"/>
      <c r="JCZ527" s="500"/>
      <c r="JDA527" s="500"/>
      <c r="JDB527" s="500"/>
      <c r="JDC527" s="500"/>
      <c r="JDD527" s="500"/>
      <c r="JDE527" s="500"/>
      <c r="JDF527" s="500"/>
      <c r="JDG527" s="500"/>
      <c r="JDH527" s="500"/>
      <c r="JDI527" s="500"/>
      <c r="JDJ527" s="500"/>
      <c r="JDK527" s="500"/>
      <c r="JDL527" s="500"/>
      <c r="JDM527" s="500"/>
      <c r="JDN527" s="500"/>
      <c r="JDO527" s="500"/>
      <c r="JDP527" s="500"/>
      <c r="JDQ527" s="500"/>
      <c r="JDR527" s="500"/>
      <c r="JDS527" s="500"/>
      <c r="JDT527" s="500"/>
      <c r="JDU527" s="500"/>
      <c r="JDV527" s="500"/>
      <c r="JDW527" s="500"/>
      <c r="JDX527" s="500"/>
      <c r="JDY527" s="500"/>
      <c r="JDZ527" s="500"/>
      <c r="JEA527" s="500"/>
      <c r="JEB527" s="500"/>
      <c r="JEC527" s="500"/>
      <c r="JED527" s="500"/>
      <c r="JEE527" s="500"/>
      <c r="JEF527" s="500"/>
      <c r="JEG527" s="500"/>
      <c r="JEH527" s="500"/>
      <c r="JEI527" s="500"/>
      <c r="JEJ527" s="500"/>
      <c r="JEK527" s="500"/>
      <c r="JEL527" s="500"/>
      <c r="JEM527" s="500"/>
      <c r="JEN527" s="500"/>
      <c r="JEO527" s="500"/>
      <c r="JEP527" s="500"/>
      <c r="JEQ527" s="500"/>
      <c r="JER527" s="500"/>
      <c r="JES527" s="500"/>
      <c r="JET527" s="500"/>
      <c r="JEU527" s="500"/>
      <c r="JEV527" s="500"/>
      <c r="JEW527" s="500"/>
      <c r="JEX527" s="500"/>
      <c r="JEY527" s="500"/>
      <c r="JEZ527" s="500"/>
      <c r="JFA527" s="500"/>
      <c r="JFB527" s="500"/>
      <c r="JFC527" s="500"/>
      <c r="JFD527" s="500"/>
      <c r="JFE527" s="500"/>
      <c r="JFF527" s="500"/>
      <c r="JFG527" s="500"/>
      <c r="JFH527" s="500"/>
      <c r="JFI527" s="500"/>
      <c r="JFJ527" s="500"/>
      <c r="JFK527" s="500"/>
      <c r="JFL527" s="500"/>
      <c r="JFM527" s="500"/>
      <c r="JFN527" s="500"/>
      <c r="JFO527" s="500"/>
      <c r="JFP527" s="500"/>
      <c r="JFQ527" s="500"/>
      <c r="JFR527" s="500"/>
      <c r="JFS527" s="500"/>
      <c r="JFT527" s="500"/>
      <c r="JFU527" s="500"/>
      <c r="JFV527" s="500"/>
      <c r="JFW527" s="500"/>
      <c r="JFX527" s="500"/>
      <c r="JFY527" s="500"/>
      <c r="JFZ527" s="500"/>
      <c r="JGA527" s="500"/>
      <c r="JGB527" s="500"/>
      <c r="JGC527" s="500"/>
      <c r="JGD527" s="500"/>
      <c r="JGE527" s="500"/>
      <c r="JGF527" s="500"/>
      <c r="JGG527" s="500"/>
      <c r="JGH527" s="500"/>
      <c r="JGI527" s="500"/>
      <c r="JGJ527" s="500"/>
      <c r="JGK527" s="500"/>
      <c r="JGL527" s="500"/>
      <c r="JGM527" s="500"/>
      <c r="JGN527" s="500"/>
      <c r="JGO527" s="500"/>
      <c r="JGP527" s="500"/>
      <c r="JGQ527" s="500"/>
      <c r="JGR527" s="500"/>
      <c r="JGS527" s="500"/>
      <c r="JGT527" s="500"/>
      <c r="JGU527" s="500"/>
      <c r="JGV527" s="500"/>
      <c r="JGW527" s="500"/>
      <c r="JGX527" s="500"/>
      <c r="JGY527" s="500"/>
      <c r="JGZ527" s="500"/>
      <c r="JHA527" s="500"/>
      <c r="JHB527" s="500"/>
      <c r="JHC527" s="500"/>
      <c r="JHD527" s="500"/>
      <c r="JHE527" s="500"/>
      <c r="JHF527" s="500"/>
      <c r="JHG527" s="500"/>
      <c r="JHH527" s="500"/>
      <c r="JHI527" s="500"/>
      <c r="JHJ527" s="500"/>
      <c r="JHK527" s="500"/>
      <c r="JHL527" s="500"/>
      <c r="JHM527" s="500"/>
      <c r="JHN527" s="500"/>
      <c r="JHO527" s="500"/>
      <c r="JHP527" s="500"/>
      <c r="JHQ527" s="500"/>
      <c r="JHR527" s="500"/>
      <c r="JHS527" s="500"/>
      <c r="JHT527" s="500"/>
      <c r="JHU527" s="500"/>
      <c r="JHV527" s="500"/>
      <c r="JHW527" s="500"/>
      <c r="JHX527" s="500"/>
      <c r="JHY527" s="500"/>
      <c r="JHZ527" s="500"/>
      <c r="JIA527" s="500"/>
      <c r="JIB527" s="500"/>
      <c r="JIC527" s="500"/>
      <c r="JID527" s="500"/>
      <c r="JIE527" s="500"/>
      <c r="JIF527" s="500"/>
      <c r="JIG527" s="500"/>
      <c r="JIH527" s="500"/>
      <c r="JII527" s="500"/>
      <c r="JIJ527" s="500"/>
      <c r="JIK527" s="500"/>
      <c r="JIL527" s="500"/>
      <c r="JIM527" s="500"/>
      <c r="JIN527" s="500"/>
      <c r="JIO527" s="500"/>
      <c r="JIP527" s="500"/>
      <c r="JIQ527" s="500"/>
      <c r="JIR527" s="500"/>
      <c r="JIS527" s="500"/>
      <c r="JIT527" s="500"/>
      <c r="JIU527" s="500"/>
      <c r="JIV527" s="500"/>
      <c r="JIW527" s="500"/>
      <c r="JIX527" s="500"/>
      <c r="JIY527" s="500"/>
      <c r="JIZ527" s="500"/>
      <c r="JJA527" s="500"/>
      <c r="JJB527" s="500"/>
      <c r="JJC527" s="500"/>
      <c r="JJD527" s="500"/>
      <c r="JJE527" s="500"/>
      <c r="JJF527" s="500"/>
      <c r="JJG527" s="500"/>
      <c r="JJH527" s="500"/>
      <c r="JJI527" s="500"/>
      <c r="JJJ527" s="500"/>
      <c r="JJK527" s="500"/>
      <c r="JJL527" s="500"/>
      <c r="JJM527" s="500"/>
      <c r="JJN527" s="500"/>
      <c r="JJO527" s="500"/>
      <c r="JJP527" s="500"/>
      <c r="JJQ527" s="500"/>
      <c r="JJR527" s="500"/>
      <c r="JJS527" s="500"/>
      <c r="JJT527" s="500"/>
      <c r="JJU527" s="500"/>
      <c r="JJV527" s="500"/>
      <c r="JJW527" s="500"/>
      <c r="JJX527" s="500"/>
      <c r="JJY527" s="500"/>
      <c r="JJZ527" s="500"/>
      <c r="JKA527" s="500"/>
      <c r="JKB527" s="500"/>
      <c r="JKC527" s="500"/>
      <c r="JKD527" s="500"/>
      <c r="JKE527" s="500"/>
      <c r="JKF527" s="500"/>
      <c r="JKG527" s="500"/>
      <c r="JKH527" s="500"/>
      <c r="JKI527" s="500"/>
      <c r="JKJ527" s="500"/>
      <c r="JKK527" s="500"/>
      <c r="JKL527" s="500"/>
      <c r="JKM527" s="500"/>
      <c r="JKN527" s="500"/>
      <c r="JKO527" s="500"/>
      <c r="JKP527" s="500"/>
      <c r="JKQ527" s="500"/>
      <c r="JKR527" s="500"/>
      <c r="JKS527" s="500"/>
      <c r="JKT527" s="500"/>
      <c r="JKU527" s="500"/>
      <c r="JKV527" s="500"/>
      <c r="JKW527" s="500"/>
      <c r="JKX527" s="500"/>
      <c r="JKY527" s="500"/>
      <c r="JKZ527" s="500"/>
      <c r="JLA527" s="500"/>
      <c r="JLB527" s="500"/>
      <c r="JLC527" s="500"/>
      <c r="JLD527" s="500"/>
      <c r="JLE527" s="500"/>
      <c r="JLF527" s="500"/>
      <c r="JLG527" s="500"/>
      <c r="JLH527" s="500"/>
      <c r="JLI527" s="500"/>
      <c r="JLJ527" s="500"/>
      <c r="JLK527" s="500"/>
      <c r="JLL527" s="500"/>
      <c r="JLM527" s="500"/>
      <c r="JLN527" s="500"/>
      <c r="JLO527" s="500"/>
      <c r="JLP527" s="500"/>
      <c r="JLQ527" s="500"/>
      <c r="JLR527" s="500"/>
      <c r="JLS527" s="500"/>
      <c r="JLT527" s="500"/>
      <c r="JLU527" s="500"/>
      <c r="JLV527" s="500"/>
      <c r="JLW527" s="500"/>
      <c r="JLX527" s="500"/>
      <c r="JLY527" s="500"/>
      <c r="JLZ527" s="500"/>
      <c r="JMA527" s="500"/>
      <c r="JMB527" s="500"/>
      <c r="JMC527" s="500"/>
      <c r="JMD527" s="500"/>
      <c r="JME527" s="500"/>
      <c r="JMF527" s="500"/>
      <c r="JMG527" s="500"/>
      <c r="JMH527" s="500"/>
      <c r="JMI527" s="500"/>
      <c r="JMJ527" s="500"/>
      <c r="JMK527" s="500"/>
      <c r="JML527" s="500"/>
      <c r="JMM527" s="500"/>
      <c r="JMN527" s="500"/>
      <c r="JMO527" s="500"/>
      <c r="JMP527" s="500"/>
      <c r="JMQ527" s="500"/>
      <c r="JMR527" s="500"/>
      <c r="JMS527" s="500"/>
      <c r="JMT527" s="500"/>
      <c r="JMU527" s="500"/>
      <c r="JMV527" s="500"/>
      <c r="JMW527" s="500"/>
      <c r="JMX527" s="500"/>
      <c r="JMY527" s="500"/>
      <c r="JMZ527" s="500"/>
      <c r="JNA527" s="500"/>
      <c r="JNB527" s="500"/>
      <c r="JNC527" s="500"/>
      <c r="JND527" s="500"/>
      <c r="JNE527" s="500"/>
      <c r="JNF527" s="500"/>
      <c r="JNG527" s="500"/>
      <c r="JNH527" s="500"/>
      <c r="JNI527" s="500"/>
      <c r="JNJ527" s="500"/>
      <c r="JNK527" s="500"/>
      <c r="JNL527" s="500"/>
      <c r="JNM527" s="500"/>
      <c r="JNN527" s="500"/>
      <c r="JNO527" s="500"/>
      <c r="JNP527" s="500"/>
      <c r="JNQ527" s="500"/>
      <c r="JNR527" s="500"/>
      <c r="JNS527" s="500"/>
      <c r="JNT527" s="500"/>
      <c r="JNU527" s="500"/>
      <c r="JNV527" s="500"/>
      <c r="JNW527" s="500"/>
      <c r="JNX527" s="500"/>
      <c r="JNY527" s="500"/>
      <c r="JNZ527" s="500"/>
      <c r="JOA527" s="500"/>
      <c r="JOB527" s="500"/>
      <c r="JOC527" s="500"/>
      <c r="JOD527" s="500"/>
      <c r="JOE527" s="500"/>
      <c r="JOF527" s="500"/>
      <c r="JOG527" s="500"/>
      <c r="JOH527" s="500"/>
      <c r="JOI527" s="500"/>
      <c r="JOJ527" s="500"/>
      <c r="JOK527" s="500"/>
      <c r="JOL527" s="500"/>
      <c r="JOM527" s="500"/>
      <c r="JON527" s="500"/>
      <c r="JOO527" s="500"/>
      <c r="JOP527" s="500"/>
      <c r="JOQ527" s="500"/>
      <c r="JOR527" s="500"/>
      <c r="JOS527" s="500"/>
      <c r="JOT527" s="500"/>
      <c r="JOU527" s="500"/>
      <c r="JOV527" s="500"/>
      <c r="JOW527" s="500"/>
      <c r="JOX527" s="500"/>
      <c r="JOY527" s="500"/>
      <c r="JOZ527" s="500"/>
      <c r="JPA527" s="500"/>
      <c r="JPB527" s="500"/>
      <c r="JPC527" s="500"/>
      <c r="JPD527" s="500"/>
      <c r="JPE527" s="500"/>
      <c r="JPF527" s="500"/>
      <c r="JPG527" s="500"/>
      <c r="JPH527" s="500"/>
      <c r="JPI527" s="500"/>
      <c r="JPJ527" s="500"/>
      <c r="JPK527" s="500"/>
      <c r="JPL527" s="500"/>
      <c r="JPM527" s="500"/>
      <c r="JPN527" s="500"/>
      <c r="JPO527" s="500"/>
      <c r="JPP527" s="500"/>
      <c r="JPQ527" s="500"/>
      <c r="JPR527" s="500"/>
      <c r="JPS527" s="500"/>
      <c r="JPT527" s="500"/>
      <c r="JPU527" s="500"/>
      <c r="JPV527" s="500"/>
      <c r="JPW527" s="500"/>
      <c r="JPX527" s="500"/>
      <c r="JPY527" s="500"/>
      <c r="JPZ527" s="500"/>
      <c r="JQA527" s="500"/>
      <c r="JQB527" s="500"/>
      <c r="JQC527" s="500"/>
      <c r="JQD527" s="500"/>
      <c r="JQE527" s="500"/>
      <c r="JQF527" s="500"/>
      <c r="JQG527" s="500"/>
      <c r="JQH527" s="500"/>
      <c r="JQI527" s="500"/>
      <c r="JQJ527" s="500"/>
      <c r="JQK527" s="500"/>
      <c r="JQL527" s="500"/>
      <c r="JQM527" s="500"/>
      <c r="JQN527" s="500"/>
      <c r="JQO527" s="500"/>
      <c r="JQP527" s="500"/>
      <c r="JQQ527" s="500"/>
      <c r="JQR527" s="500"/>
      <c r="JQS527" s="500"/>
      <c r="JQT527" s="500"/>
      <c r="JQU527" s="500"/>
      <c r="JQV527" s="500"/>
      <c r="JQW527" s="500"/>
      <c r="JQX527" s="500"/>
      <c r="JQY527" s="500"/>
      <c r="JQZ527" s="500"/>
      <c r="JRA527" s="500"/>
      <c r="JRB527" s="500"/>
      <c r="JRC527" s="500"/>
      <c r="JRD527" s="500"/>
      <c r="JRE527" s="500"/>
      <c r="JRF527" s="500"/>
      <c r="JRG527" s="500"/>
      <c r="JRH527" s="500"/>
      <c r="JRI527" s="500"/>
      <c r="JRJ527" s="500"/>
      <c r="JRK527" s="500"/>
      <c r="JRL527" s="500"/>
      <c r="JRM527" s="500"/>
      <c r="JRN527" s="500"/>
      <c r="JRO527" s="500"/>
      <c r="JRP527" s="500"/>
      <c r="JRQ527" s="500"/>
      <c r="JRR527" s="500"/>
      <c r="JRS527" s="500"/>
      <c r="JRT527" s="500"/>
      <c r="JRU527" s="500"/>
      <c r="JRV527" s="500"/>
      <c r="JRW527" s="500"/>
      <c r="JRX527" s="500"/>
      <c r="JRY527" s="500"/>
      <c r="JRZ527" s="500"/>
      <c r="JSA527" s="500"/>
      <c r="JSB527" s="500"/>
      <c r="JSC527" s="500"/>
      <c r="JSD527" s="500"/>
      <c r="JSE527" s="500"/>
      <c r="JSF527" s="500"/>
      <c r="JSG527" s="500"/>
      <c r="JSH527" s="500"/>
      <c r="JSI527" s="500"/>
      <c r="JSJ527" s="500"/>
      <c r="JSK527" s="500"/>
      <c r="JSL527" s="500"/>
      <c r="JSM527" s="500"/>
      <c r="JSN527" s="500"/>
      <c r="JSO527" s="500"/>
      <c r="JSP527" s="500"/>
      <c r="JSQ527" s="500"/>
      <c r="JSR527" s="500"/>
      <c r="JSS527" s="500"/>
      <c r="JST527" s="500"/>
      <c r="JSU527" s="500"/>
      <c r="JSV527" s="500"/>
      <c r="JSW527" s="500"/>
      <c r="JSX527" s="500"/>
      <c r="JSY527" s="500"/>
      <c r="JSZ527" s="500"/>
      <c r="JTA527" s="500"/>
      <c r="JTB527" s="500"/>
      <c r="JTC527" s="500"/>
      <c r="JTD527" s="500"/>
      <c r="JTE527" s="500"/>
      <c r="JTF527" s="500"/>
      <c r="JTG527" s="500"/>
      <c r="JTH527" s="500"/>
      <c r="JTI527" s="500"/>
      <c r="JTJ527" s="500"/>
      <c r="JTK527" s="500"/>
      <c r="JTL527" s="500"/>
      <c r="JTM527" s="500"/>
      <c r="JTN527" s="500"/>
      <c r="JTO527" s="500"/>
      <c r="JTP527" s="500"/>
      <c r="JTQ527" s="500"/>
      <c r="JTR527" s="500"/>
      <c r="JTS527" s="500"/>
      <c r="JTT527" s="500"/>
      <c r="JTU527" s="500"/>
      <c r="JTV527" s="500"/>
      <c r="JTW527" s="500"/>
      <c r="JTX527" s="500"/>
      <c r="JTY527" s="500"/>
      <c r="JTZ527" s="500"/>
      <c r="JUA527" s="500"/>
      <c r="JUB527" s="500"/>
      <c r="JUC527" s="500"/>
      <c r="JUD527" s="500"/>
      <c r="JUE527" s="500"/>
      <c r="JUF527" s="500"/>
      <c r="JUG527" s="500"/>
      <c r="JUH527" s="500"/>
      <c r="JUI527" s="500"/>
      <c r="JUJ527" s="500"/>
      <c r="JUK527" s="500"/>
      <c r="JUL527" s="500"/>
      <c r="JUM527" s="500"/>
      <c r="JUN527" s="500"/>
      <c r="JUO527" s="500"/>
      <c r="JUP527" s="500"/>
      <c r="JUQ527" s="500"/>
      <c r="JUR527" s="500"/>
      <c r="JUS527" s="500"/>
      <c r="JUT527" s="500"/>
      <c r="JUU527" s="500"/>
      <c r="JUV527" s="500"/>
      <c r="JUW527" s="500"/>
      <c r="JUX527" s="500"/>
      <c r="JUY527" s="500"/>
      <c r="JUZ527" s="500"/>
      <c r="JVA527" s="500"/>
      <c r="JVB527" s="500"/>
      <c r="JVC527" s="500"/>
      <c r="JVD527" s="500"/>
      <c r="JVE527" s="500"/>
      <c r="JVF527" s="500"/>
      <c r="JVG527" s="500"/>
      <c r="JVH527" s="500"/>
      <c r="JVI527" s="500"/>
      <c r="JVJ527" s="500"/>
      <c r="JVK527" s="500"/>
      <c r="JVL527" s="500"/>
      <c r="JVM527" s="500"/>
      <c r="JVN527" s="500"/>
      <c r="JVO527" s="500"/>
      <c r="JVP527" s="500"/>
      <c r="JVQ527" s="500"/>
      <c r="JVR527" s="500"/>
      <c r="JVS527" s="500"/>
      <c r="JVT527" s="500"/>
      <c r="JVU527" s="500"/>
      <c r="JVV527" s="500"/>
      <c r="JVW527" s="500"/>
      <c r="JVX527" s="500"/>
      <c r="JVY527" s="500"/>
      <c r="JVZ527" s="500"/>
      <c r="JWA527" s="500"/>
      <c r="JWB527" s="500"/>
      <c r="JWC527" s="500"/>
      <c r="JWD527" s="500"/>
      <c r="JWE527" s="500"/>
      <c r="JWF527" s="500"/>
      <c r="JWG527" s="500"/>
      <c r="JWH527" s="500"/>
      <c r="JWI527" s="500"/>
      <c r="JWJ527" s="500"/>
      <c r="JWK527" s="500"/>
      <c r="JWL527" s="500"/>
      <c r="JWM527" s="500"/>
      <c r="JWN527" s="500"/>
      <c r="JWO527" s="500"/>
      <c r="JWP527" s="500"/>
      <c r="JWQ527" s="500"/>
      <c r="JWR527" s="500"/>
      <c r="JWS527" s="500"/>
      <c r="JWT527" s="500"/>
      <c r="JWU527" s="500"/>
      <c r="JWV527" s="500"/>
      <c r="JWW527" s="500"/>
      <c r="JWX527" s="500"/>
      <c r="JWY527" s="500"/>
      <c r="JWZ527" s="500"/>
      <c r="JXA527" s="500"/>
      <c r="JXB527" s="500"/>
      <c r="JXC527" s="500"/>
      <c r="JXD527" s="500"/>
      <c r="JXE527" s="500"/>
      <c r="JXF527" s="500"/>
      <c r="JXG527" s="500"/>
      <c r="JXH527" s="500"/>
      <c r="JXI527" s="500"/>
      <c r="JXJ527" s="500"/>
      <c r="JXK527" s="500"/>
      <c r="JXL527" s="500"/>
      <c r="JXM527" s="500"/>
      <c r="JXN527" s="500"/>
      <c r="JXO527" s="500"/>
      <c r="JXP527" s="500"/>
      <c r="JXQ527" s="500"/>
      <c r="JXR527" s="500"/>
      <c r="JXS527" s="500"/>
      <c r="JXT527" s="500"/>
      <c r="JXU527" s="500"/>
      <c r="JXV527" s="500"/>
      <c r="JXW527" s="500"/>
      <c r="JXX527" s="500"/>
      <c r="JXY527" s="500"/>
      <c r="JXZ527" s="500"/>
      <c r="JYA527" s="500"/>
      <c r="JYB527" s="500"/>
      <c r="JYC527" s="500"/>
      <c r="JYD527" s="500"/>
      <c r="JYE527" s="500"/>
      <c r="JYF527" s="500"/>
      <c r="JYG527" s="500"/>
      <c r="JYH527" s="500"/>
      <c r="JYI527" s="500"/>
      <c r="JYJ527" s="500"/>
      <c r="JYK527" s="500"/>
      <c r="JYL527" s="500"/>
      <c r="JYM527" s="500"/>
      <c r="JYN527" s="500"/>
      <c r="JYO527" s="500"/>
      <c r="JYP527" s="500"/>
      <c r="JYQ527" s="500"/>
      <c r="JYR527" s="500"/>
      <c r="JYS527" s="500"/>
      <c r="JYT527" s="500"/>
      <c r="JYU527" s="500"/>
      <c r="JYV527" s="500"/>
      <c r="JYW527" s="500"/>
      <c r="JYX527" s="500"/>
      <c r="JYY527" s="500"/>
      <c r="JYZ527" s="500"/>
      <c r="JZA527" s="500"/>
      <c r="JZB527" s="500"/>
      <c r="JZC527" s="500"/>
      <c r="JZD527" s="500"/>
      <c r="JZE527" s="500"/>
      <c r="JZF527" s="500"/>
      <c r="JZG527" s="500"/>
      <c r="JZH527" s="500"/>
      <c r="JZI527" s="500"/>
      <c r="JZJ527" s="500"/>
      <c r="JZK527" s="500"/>
      <c r="JZL527" s="500"/>
      <c r="JZM527" s="500"/>
      <c r="JZN527" s="500"/>
      <c r="JZO527" s="500"/>
      <c r="JZP527" s="500"/>
      <c r="JZQ527" s="500"/>
      <c r="JZR527" s="500"/>
      <c r="JZS527" s="500"/>
      <c r="JZT527" s="500"/>
      <c r="JZU527" s="500"/>
      <c r="JZV527" s="500"/>
      <c r="JZW527" s="500"/>
      <c r="JZX527" s="500"/>
      <c r="JZY527" s="500"/>
      <c r="JZZ527" s="500"/>
      <c r="KAA527" s="500"/>
      <c r="KAB527" s="500"/>
      <c r="KAC527" s="500"/>
      <c r="KAD527" s="500"/>
      <c r="KAE527" s="500"/>
      <c r="KAF527" s="500"/>
      <c r="KAG527" s="500"/>
      <c r="KAH527" s="500"/>
      <c r="KAI527" s="500"/>
      <c r="KAJ527" s="500"/>
      <c r="KAK527" s="500"/>
      <c r="KAL527" s="500"/>
      <c r="KAM527" s="500"/>
      <c r="KAN527" s="500"/>
      <c r="KAO527" s="500"/>
      <c r="KAP527" s="500"/>
      <c r="KAQ527" s="500"/>
      <c r="KAR527" s="500"/>
      <c r="KAS527" s="500"/>
      <c r="KAT527" s="500"/>
      <c r="KAU527" s="500"/>
      <c r="KAV527" s="500"/>
      <c r="KAW527" s="500"/>
      <c r="KAX527" s="500"/>
      <c r="KAY527" s="500"/>
      <c r="KAZ527" s="500"/>
      <c r="KBA527" s="500"/>
      <c r="KBB527" s="500"/>
      <c r="KBC527" s="500"/>
      <c r="KBD527" s="500"/>
      <c r="KBE527" s="500"/>
      <c r="KBF527" s="500"/>
      <c r="KBG527" s="500"/>
      <c r="KBH527" s="500"/>
      <c r="KBI527" s="500"/>
      <c r="KBJ527" s="500"/>
      <c r="KBK527" s="500"/>
      <c r="KBL527" s="500"/>
      <c r="KBM527" s="500"/>
      <c r="KBN527" s="500"/>
      <c r="KBO527" s="500"/>
      <c r="KBP527" s="500"/>
      <c r="KBQ527" s="500"/>
      <c r="KBR527" s="500"/>
      <c r="KBS527" s="500"/>
      <c r="KBT527" s="500"/>
      <c r="KBU527" s="500"/>
      <c r="KBV527" s="500"/>
      <c r="KBW527" s="500"/>
      <c r="KBX527" s="500"/>
      <c r="KBY527" s="500"/>
      <c r="KBZ527" s="500"/>
      <c r="KCA527" s="500"/>
      <c r="KCB527" s="500"/>
      <c r="KCC527" s="500"/>
      <c r="KCD527" s="500"/>
      <c r="KCE527" s="500"/>
      <c r="KCF527" s="500"/>
      <c r="KCG527" s="500"/>
      <c r="KCH527" s="500"/>
      <c r="KCI527" s="500"/>
      <c r="KCJ527" s="500"/>
      <c r="KCK527" s="500"/>
      <c r="KCL527" s="500"/>
      <c r="KCM527" s="500"/>
      <c r="KCN527" s="500"/>
      <c r="KCO527" s="500"/>
      <c r="KCP527" s="500"/>
      <c r="KCQ527" s="500"/>
      <c r="KCR527" s="500"/>
      <c r="KCS527" s="500"/>
      <c r="KCT527" s="500"/>
      <c r="KCU527" s="500"/>
      <c r="KCV527" s="500"/>
      <c r="KCW527" s="500"/>
      <c r="KCX527" s="500"/>
      <c r="KCY527" s="500"/>
      <c r="KCZ527" s="500"/>
      <c r="KDA527" s="500"/>
      <c r="KDB527" s="500"/>
      <c r="KDC527" s="500"/>
      <c r="KDD527" s="500"/>
      <c r="KDE527" s="500"/>
      <c r="KDF527" s="500"/>
      <c r="KDG527" s="500"/>
      <c r="KDH527" s="500"/>
      <c r="KDI527" s="500"/>
      <c r="KDJ527" s="500"/>
      <c r="KDK527" s="500"/>
      <c r="KDL527" s="500"/>
      <c r="KDM527" s="500"/>
      <c r="KDN527" s="500"/>
      <c r="KDO527" s="500"/>
      <c r="KDP527" s="500"/>
      <c r="KDQ527" s="500"/>
      <c r="KDR527" s="500"/>
      <c r="KDS527" s="500"/>
      <c r="KDT527" s="500"/>
      <c r="KDU527" s="500"/>
      <c r="KDV527" s="500"/>
      <c r="KDW527" s="500"/>
      <c r="KDX527" s="500"/>
      <c r="KDY527" s="500"/>
      <c r="KDZ527" s="500"/>
      <c r="KEA527" s="500"/>
      <c r="KEB527" s="500"/>
      <c r="KEC527" s="500"/>
      <c r="KED527" s="500"/>
      <c r="KEE527" s="500"/>
      <c r="KEF527" s="500"/>
      <c r="KEG527" s="500"/>
      <c r="KEH527" s="500"/>
      <c r="KEI527" s="500"/>
      <c r="KEJ527" s="500"/>
      <c r="KEK527" s="500"/>
      <c r="KEL527" s="500"/>
      <c r="KEM527" s="500"/>
      <c r="KEN527" s="500"/>
      <c r="KEO527" s="500"/>
      <c r="KEP527" s="500"/>
      <c r="KEQ527" s="500"/>
      <c r="KER527" s="500"/>
      <c r="KES527" s="500"/>
      <c r="KET527" s="500"/>
      <c r="KEU527" s="500"/>
      <c r="KEV527" s="500"/>
      <c r="KEW527" s="500"/>
      <c r="KEX527" s="500"/>
      <c r="KEY527" s="500"/>
      <c r="KEZ527" s="500"/>
      <c r="KFA527" s="500"/>
      <c r="KFB527" s="500"/>
      <c r="KFC527" s="500"/>
      <c r="KFD527" s="500"/>
      <c r="KFE527" s="500"/>
      <c r="KFF527" s="500"/>
      <c r="KFG527" s="500"/>
      <c r="KFH527" s="500"/>
      <c r="KFI527" s="500"/>
      <c r="KFJ527" s="500"/>
      <c r="KFK527" s="500"/>
      <c r="KFL527" s="500"/>
      <c r="KFM527" s="500"/>
      <c r="KFN527" s="500"/>
      <c r="KFO527" s="500"/>
      <c r="KFP527" s="500"/>
      <c r="KFQ527" s="500"/>
      <c r="KFR527" s="500"/>
      <c r="KFS527" s="500"/>
      <c r="KFT527" s="500"/>
      <c r="KFU527" s="500"/>
      <c r="KFV527" s="500"/>
      <c r="KFW527" s="500"/>
      <c r="KFX527" s="500"/>
      <c r="KFY527" s="500"/>
      <c r="KFZ527" s="500"/>
      <c r="KGA527" s="500"/>
      <c r="KGB527" s="500"/>
      <c r="KGC527" s="500"/>
      <c r="KGD527" s="500"/>
      <c r="KGE527" s="500"/>
      <c r="KGF527" s="500"/>
      <c r="KGG527" s="500"/>
      <c r="KGH527" s="500"/>
      <c r="KGI527" s="500"/>
      <c r="KGJ527" s="500"/>
      <c r="KGK527" s="500"/>
      <c r="KGL527" s="500"/>
      <c r="KGM527" s="500"/>
      <c r="KGN527" s="500"/>
      <c r="KGO527" s="500"/>
      <c r="KGP527" s="500"/>
      <c r="KGQ527" s="500"/>
      <c r="KGR527" s="500"/>
      <c r="KGS527" s="500"/>
      <c r="KGT527" s="500"/>
      <c r="KGU527" s="500"/>
      <c r="KGV527" s="500"/>
      <c r="KGW527" s="500"/>
      <c r="KGX527" s="500"/>
      <c r="KGY527" s="500"/>
      <c r="KGZ527" s="500"/>
      <c r="KHA527" s="500"/>
      <c r="KHB527" s="500"/>
      <c r="KHC527" s="500"/>
      <c r="KHD527" s="500"/>
      <c r="KHE527" s="500"/>
      <c r="KHF527" s="500"/>
      <c r="KHG527" s="500"/>
      <c r="KHH527" s="500"/>
      <c r="KHI527" s="500"/>
      <c r="KHJ527" s="500"/>
      <c r="KHK527" s="500"/>
      <c r="KHL527" s="500"/>
      <c r="KHM527" s="500"/>
      <c r="KHN527" s="500"/>
      <c r="KHO527" s="500"/>
      <c r="KHP527" s="500"/>
      <c r="KHQ527" s="500"/>
      <c r="KHR527" s="500"/>
      <c r="KHS527" s="500"/>
      <c r="KHT527" s="500"/>
      <c r="KHU527" s="500"/>
      <c r="KHV527" s="500"/>
      <c r="KHW527" s="500"/>
      <c r="KHX527" s="500"/>
      <c r="KHY527" s="500"/>
      <c r="KHZ527" s="500"/>
      <c r="KIA527" s="500"/>
      <c r="KIB527" s="500"/>
      <c r="KIC527" s="500"/>
      <c r="KID527" s="500"/>
      <c r="KIE527" s="500"/>
      <c r="KIF527" s="500"/>
      <c r="KIG527" s="500"/>
      <c r="KIH527" s="500"/>
      <c r="KII527" s="500"/>
      <c r="KIJ527" s="500"/>
      <c r="KIK527" s="500"/>
      <c r="KIL527" s="500"/>
      <c r="KIM527" s="500"/>
      <c r="KIN527" s="500"/>
      <c r="KIO527" s="500"/>
      <c r="KIP527" s="500"/>
      <c r="KIQ527" s="500"/>
      <c r="KIR527" s="500"/>
      <c r="KIS527" s="500"/>
      <c r="KIT527" s="500"/>
      <c r="KIU527" s="500"/>
      <c r="KIV527" s="500"/>
      <c r="KIW527" s="500"/>
      <c r="KIX527" s="500"/>
      <c r="KIY527" s="500"/>
      <c r="KIZ527" s="500"/>
      <c r="KJA527" s="500"/>
      <c r="KJB527" s="500"/>
      <c r="KJC527" s="500"/>
      <c r="KJD527" s="500"/>
      <c r="KJE527" s="500"/>
      <c r="KJF527" s="500"/>
      <c r="KJG527" s="500"/>
      <c r="KJH527" s="500"/>
      <c r="KJI527" s="500"/>
      <c r="KJJ527" s="500"/>
      <c r="KJK527" s="500"/>
      <c r="KJL527" s="500"/>
      <c r="KJM527" s="500"/>
      <c r="KJN527" s="500"/>
      <c r="KJO527" s="500"/>
      <c r="KJP527" s="500"/>
      <c r="KJQ527" s="500"/>
      <c r="KJR527" s="500"/>
      <c r="KJS527" s="500"/>
      <c r="KJT527" s="500"/>
      <c r="KJU527" s="500"/>
      <c r="KJV527" s="500"/>
      <c r="KJW527" s="500"/>
      <c r="KJX527" s="500"/>
      <c r="KJY527" s="500"/>
      <c r="KJZ527" s="500"/>
      <c r="KKA527" s="500"/>
      <c r="KKB527" s="500"/>
      <c r="KKC527" s="500"/>
      <c r="KKD527" s="500"/>
      <c r="KKE527" s="500"/>
      <c r="KKF527" s="500"/>
      <c r="KKG527" s="500"/>
      <c r="KKH527" s="500"/>
      <c r="KKI527" s="500"/>
      <c r="KKJ527" s="500"/>
      <c r="KKK527" s="500"/>
      <c r="KKL527" s="500"/>
      <c r="KKM527" s="500"/>
      <c r="KKN527" s="500"/>
      <c r="KKO527" s="500"/>
      <c r="KKP527" s="500"/>
      <c r="KKQ527" s="500"/>
      <c r="KKR527" s="500"/>
      <c r="KKS527" s="500"/>
      <c r="KKT527" s="500"/>
      <c r="KKU527" s="500"/>
      <c r="KKV527" s="500"/>
      <c r="KKW527" s="500"/>
      <c r="KKX527" s="500"/>
      <c r="KKY527" s="500"/>
      <c r="KKZ527" s="500"/>
      <c r="KLA527" s="500"/>
      <c r="KLB527" s="500"/>
      <c r="KLC527" s="500"/>
      <c r="KLD527" s="500"/>
      <c r="KLE527" s="500"/>
      <c r="KLF527" s="500"/>
      <c r="KLG527" s="500"/>
      <c r="KLH527" s="500"/>
      <c r="KLI527" s="500"/>
      <c r="KLJ527" s="500"/>
      <c r="KLK527" s="500"/>
      <c r="KLL527" s="500"/>
      <c r="KLM527" s="500"/>
      <c r="KLN527" s="500"/>
      <c r="KLO527" s="500"/>
      <c r="KLP527" s="500"/>
      <c r="KLQ527" s="500"/>
      <c r="KLR527" s="500"/>
      <c r="KLS527" s="500"/>
      <c r="KLT527" s="500"/>
      <c r="KLU527" s="500"/>
      <c r="KLV527" s="500"/>
      <c r="KLW527" s="500"/>
      <c r="KLX527" s="500"/>
      <c r="KLY527" s="500"/>
      <c r="KLZ527" s="500"/>
      <c r="KMA527" s="500"/>
      <c r="KMB527" s="500"/>
      <c r="KMC527" s="500"/>
      <c r="KMD527" s="500"/>
      <c r="KME527" s="500"/>
      <c r="KMF527" s="500"/>
      <c r="KMG527" s="500"/>
      <c r="KMH527" s="500"/>
      <c r="KMI527" s="500"/>
      <c r="KMJ527" s="500"/>
      <c r="KMK527" s="500"/>
      <c r="KML527" s="500"/>
      <c r="KMM527" s="500"/>
      <c r="KMN527" s="500"/>
      <c r="KMO527" s="500"/>
      <c r="KMP527" s="500"/>
      <c r="KMQ527" s="500"/>
      <c r="KMR527" s="500"/>
      <c r="KMS527" s="500"/>
      <c r="KMT527" s="500"/>
      <c r="KMU527" s="500"/>
      <c r="KMV527" s="500"/>
      <c r="KMW527" s="500"/>
      <c r="KMX527" s="500"/>
      <c r="KMY527" s="500"/>
      <c r="KMZ527" s="500"/>
      <c r="KNA527" s="500"/>
      <c r="KNB527" s="500"/>
      <c r="KNC527" s="500"/>
      <c r="KND527" s="500"/>
      <c r="KNE527" s="500"/>
      <c r="KNF527" s="500"/>
      <c r="KNG527" s="500"/>
      <c r="KNH527" s="500"/>
      <c r="KNI527" s="500"/>
      <c r="KNJ527" s="500"/>
      <c r="KNK527" s="500"/>
      <c r="KNL527" s="500"/>
      <c r="KNM527" s="500"/>
      <c r="KNN527" s="500"/>
      <c r="KNO527" s="500"/>
      <c r="KNP527" s="500"/>
      <c r="KNQ527" s="500"/>
      <c r="KNR527" s="500"/>
      <c r="KNS527" s="500"/>
      <c r="KNT527" s="500"/>
      <c r="KNU527" s="500"/>
      <c r="KNV527" s="500"/>
      <c r="KNW527" s="500"/>
      <c r="KNX527" s="500"/>
      <c r="KNY527" s="500"/>
      <c r="KNZ527" s="500"/>
      <c r="KOA527" s="500"/>
      <c r="KOB527" s="500"/>
      <c r="KOC527" s="500"/>
      <c r="KOD527" s="500"/>
      <c r="KOE527" s="500"/>
      <c r="KOF527" s="500"/>
      <c r="KOG527" s="500"/>
      <c r="KOH527" s="500"/>
      <c r="KOI527" s="500"/>
      <c r="KOJ527" s="500"/>
      <c r="KOK527" s="500"/>
      <c r="KOL527" s="500"/>
      <c r="KOM527" s="500"/>
      <c r="KON527" s="500"/>
      <c r="KOO527" s="500"/>
      <c r="KOP527" s="500"/>
      <c r="KOQ527" s="500"/>
      <c r="KOR527" s="500"/>
      <c r="KOS527" s="500"/>
      <c r="KOT527" s="500"/>
      <c r="KOU527" s="500"/>
      <c r="KOV527" s="500"/>
      <c r="KOW527" s="500"/>
      <c r="KOX527" s="500"/>
      <c r="KOY527" s="500"/>
      <c r="KOZ527" s="500"/>
      <c r="KPA527" s="500"/>
      <c r="KPB527" s="500"/>
      <c r="KPC527" s="500"/>
      <c r="KPD527" s="500"/>
      <c r="KPE527" s="500"/>
      <c r="KPF527" s="500"/>
      <c r="KPG527" s="500"/>
      <c r="KPH527" s="500"/>
      <c r="KPI527" s="500"/>
      <c r="KPJ527" s="500"/>
      <c r="KPK527" s="500"/>
      <c r="KPL527" s="500"/>
      <c r="KPM527" s="500"/>
      <c r="KPN527" s="500"/>
      <c r="KPO527" s="500"/>
      <c r="KPP527" s="500"/>
      <c r="KPQ527" s="500"/>
      <c r="KPR527" s="500"/>
      <c r="KPS527" s="500"/>
      <c r="KPT527" s="500"/>
      <c r="KPU527" s="500"/>
      <c r="KPV527" s="500"/>
      <c r="KPW527" s="500"/>
      <c r="KPX527" s="500"/>
      <c r="KPY527" s="500"/>
      <c r="KPZ527" s="500"/>
      <c r="KQA527" s="500"/>
      <c r="KQB527" s="500"/>
      <c r="KQC527" s="500"/>
      <c r="KQD527" s="500"/>
      <c r="KQE527" s="500"/>
      <c r="KQF527" s="500"/>
      <c r="KQG527" s="500"/>
      <c r="KQH527" s="500"/>
      <c r="KQI527" s="500"/>
      <c r="KQJ527" s="500"/>
      <c r="KQK527" s="500"/>
      <c r="KQL527" s="500"/>
      <c r="KQM527" s="500"/>
      <c r="KQN527" s="500"/>
      <c r="KQO527" s="500"/>
      <c r="KQP527" s="500"/>
      <c r="KQQ527" s="500"/>
      <c r="KQR527" s="500"/>
      <c r="KQS527" s="500"/>
      <c r="KQT527" s="500"/>
      <c r="KQU527" s="500"/>
      <c r="KQV527" s="500"/>
      <c r="KQW527" s="500"/>
      <c r="KQX527" s="500"/>
      <c r="KQY527" s="500"/>
      <c r="KQZ527" s="500"/>
      <c r="KRA527" s="500"/>
      <c r="KRB527" s="500"/>
      <c r="KRC527" s="500"/>
      <c r="KRD527" s="500"/>
      <c r="KRE527" s="500"/>
      <c r="KRF527" s="500"/>
      <c r="KRG527" s="500"/>
      <c r="KRH527" s="500"/>
      <c r="KRI527" s="500"/>
      <c r="KRJ527" s="500"/>
      <c r="KRK527" s="500"/>
      <c r="KRL527" s="500"/>
      <c r="KRM527" s="500"/>
      <c r="KRN527" s="500"/>
      <c r="KRO527" s="500"/>
      <c r="KRP527" s="500"/>
      <c r="KRQ527" s="500"/>
      <c r="KRR527" s="500"/>
      <c r="KRS527" s="500"/>
      <c r="KRT527" s="500"/>
      <c r="KRU527" s="500"/>
      <c r="KRV527" s="500"/>
      <c r="KRW527" s="500"/>
      <c r="KRX527" s="500"/>
      <c r="KRY527" s="500"/>
      <c r="KRZ527" s="500"/>
      <c r="KSA527" s="500"/>
      <c r="KSB527" s="500"/>
      <c r="KSC527" s="500"/>
      <c r="KSD527" s="500"/>
      <c r="KSE527" s="500"/>
      <c r="KSF527" s="500"/>
      <c r="KSG527" s="500"/>
      <c r="KSH527" s="500"/>
      <c r="KSI527" s="500"/>
      <c r="KSJ527" s="500"/>
      <c r="KSK527" s="500"/>
      <c r="KSL527" s="500"/>
      <c r="KSM527" s="500"/>
      <c r="KSN527" s="500"/>
      <c r="KSO527" s="500"/>
      <c r="KSP527" s="500"/>
      <c r="KSQ527" s="500"/>
      <c r="KSR527" s="500"/>
      <c r="KSS527" s="500"/>
      <c r="KST527" s="500"/>
      <c r="KSU527" s="500"/>
      <c r="KSV527" s="500"/>
      <c r="KSW527" s="500"/>
      <c r="KSX527" s="500"/>
      <c r="KSY527" s="500"/>
      <c r="KSZ527" s="500"/>
      <c r="KTA527" s="500"/>
      <c r="KTB527" s="500"/>
      <c r="KTC527" s="500"/>
      <c r="KTD527" s="500"/>
      <c r="KTE527" s="500"/>
      <c r="KTF527" s="500"/>
      <c r="KTG527" s="500"/>
      <c r="KTH527" s="500"/>
      <c r="KTI527" s="500"/>
      <c r="KTJ527" s="500"/>
      <c r="KTK527" s="500"/>
      <c r="KTL527" s="500"/>
      <c r="KTM527" s="500"/>
      <c r="KTN527" s="500"/>
      <c r="KTO527" s="500"/>
      <c r="KTP527" s="500"/>
      <c r="KTQ527" s="500"/>
      <c r="KTR527" s="500"/>
      <c r="KTS527" s="500"/>
      <c r="KTT527" s="500"/>
      <c r="KTU527" s="500"/>
      <c r="KTV527" s="500"/>
      <c r="KTW527" s="500"/>
      <c r="KTX527" s="500"/>
      <c r="KTY527" s="500"/>
      <c r="KTZ527" s="500"/>
      <c r="KUA527" s="500"/>
      <c r="KUB527" s="500"/>
      <c r="KUC527" s="500"/>
      <c r="KUD527" s="500"/>
      <c r="KUE527" s="500"/>
      <c r="KUF527" s="500"/>
      <c r="KUG527" s="500"/>
      <c r="KUH527" s="500"/>
      <c r="KUI527" s="500"/>
      <c r="KUJ527" s="500"/>
      <c r="KUK527" s="500"/>
      <c r="KUL527" s="500"/>
      <c r="KUM527" s="500"/>
      <c r="KUN527" s="500"/>
      <c r="KUO527" s="500"/>
      <c r="KUP527" s="500"/>
      <c r="KUQ527" s="500"/>
      <c r="KUR527" s="500"/>
      <c r="KUS527" s="500"/>
      <c r="KUT527" s="500"/>
      <c r="KUU527" s="500"/>
      <c r="KUV527" s="500"/>
      <c r="KUW527" s="500"/>
      <c r="KUX527" s="500"/>
      <c r="KUY527" s="500"/>
      <c r="KUZ527" s="500"/>
      <c r="KVA527" s="500"/>
      <c r="KVB527" s="500"/>
      <c r="KVC527" s="500"/>
      <c r="KVD527" s="500"/>
      <c r="KVE527" s="500"/>
      <c r="KVF527" s="500"/>
      <c r="KVG527" s="500"/>
      <c r="KVH527" s="500"/>
      <c r="KVI527" s="500"/>
      <c r="KVJ527" s="500"/>
      <c r="KVK527" s="500"/>
      <c r="KVL527" s="500"/>
      <c r="KVM527" s="500"/>
      <c r="KVN527" s="500"/>
      <c r="KVO527" s="500"/>
      <c r="KVP527" s="500"/>
      <c r="KVQ527" s="500"/>
      <c r="KVR527" s="500"/>
      <c r="KVS527" s="500"/>
      <c r="KVT527" s="500"/>
      <c r="KVU527" s="500"/>
      <c r="KVV527" s="500"/>
      <c r="KVW527" s="500"/>
      <c r="KVX527" s="500"/>
      <c r="KVY527" s="500"/>
      <c r="KVZ527" s="500"/>
      <c r="KWA527" s="500"/>
      <c r="KWB527" s="500"/>
      <c r="KWC527" s="500"/>
      <c r="KWD527" s="500"/>
      <c r="KWE527" s="500"/>
      <c r="KWF527" s="500"/>
      <c r="KWG527" s="500"/>
      <c r="KWH527" s="500"/>
      <c r="KWI527" s="500"/>
      <c r="KWJ527" s="500"/>
      <c r="KWK527" s="500"/>
      <c r="KWL527" s="500"/>
      <c r="KWM527" s="500"/>
      <c r="KWN527" s="500"/>
      <c r="KWO527" s="500"/>
      <c r="KWP527" s="500"/>
      <c r="KWQ527" s="500"/>
      <c r="KWR527" s="500"/>
      <c r="KWS527" s="500"/>
      <c r="KWT527" s="500"/>
      <c r="KWU527" s="500"/>
      <c r="KWV527" s="500"/>
      <c r="KWW527" s="500"/>
      <c r="KWX527" s="500"/>
      <c r="KWY527" s="500"/>
      <c r="KWZ527" s="500"/>
      <c r="KXA527" s="500"/>
      <c r="KXB527" s="500"/>
      <c r="KXC527" s="500"/>
      <c r="KXD527" s="500"/>
      <c r="KXE527" s="500"/>
      <c r="KXF527" s="500"/>
      <c r="KXG527" s="500"/>
      <c r="KXH527" s="500"/>
      <c r="KXI527" s="500"/>
      <c r="KXJ527" s="500"/>
      <c r="KXK527" s="500"/>
      <c r="KXL527" s="500"/>
      <c r="KXM527" s="500"/>
      <c r="KXN527" s="500"/>
      <c r="KXO527" s="500"/>
      <c r="KXP527" s="500"/>
      <c r="KXQ527" s="500"/>
      <c r="KXR527" s="500"/>
      <c r="KXS527" s="500"/>
      <c r="KXT527" s="500"/>
      <c r="KXU527" s="500"/>
      <c r="KXV527" s="500"/>
      <c r="KXW527" s="500"/>
      <c r="KXX527" s="500"/>
      <c r="KXY527" s="500"/>
      <c r="KXZ527" s="500"/>
      <c r="KYA527" s="500"/>
      <c r="KYB527" s="500"/>
      <c r="KYC527" s="500"/>
      <c r="KYD527" s="500"/>
      <c r="KYE527" s="500"/>
      <c r="KYF527" s="500"/>
      <c r="KYG527" s="500"/>
      <c r="KYH527" s="500"/>
      <c r="KYI527" s="500"/>
      <c r="KYJ527" s="500"/>
      <c r="KYK527" s="500"/>
      <c r="KYL527" s="500"/>
      <c r="KYM527" s="500"/>
      <c r="KYN527" s="500"/>
      <c r="KYO527" s="500"/>
      <c r="KYP527" s="500"/>
      <c r="KYQ527" s="500"/>
      <c r="KYR527" s="500"/>
      <c r="KYS527" s="500"/>
      <c r="KYT527" s="500"/>
      <c r="KYU527" s="500"/>
      <c r="KYV527" s="500"/>
      <c r="KYW527" s="500"/>
      <c r="KYX527" s="500"/>
      <c r="KYY527" s="500"/>
      <c r="KYZ527" s="500"/>
      <c r="KZA527" s="500"/>
      <c r="KZB527" s="500"/>
      <c r="KZC527" s="500"/>
      <c r="KZD527" s="500"/>
      <c r="KZE527" s="500"/>
      <c r="KZF527" s="500"/>
      <c r="KZG527" s="500"/>
      <c r="KZH527" s="500"/>
      <c r="KZI527" s="500"/>
      <c r="KZJ527" s="500"/>
      <c r="KZK527" s="500"/>
      <c r="KZL527" s="500"/>
      <c r="KZM527" s="500"/>
      <c r="KZN527" s="500"/>
      <c r="KZO527" s="500"/>
      <c r="KZP527" s="500"/>
      <c r="KZQ527" s="500"/>
      <c r="KZR527" s="500"/>
      <c r="KZS527" s="500"/>
      <c r="KZT527" s="500"/>
      <c r="KZU527" s="500"/>
      <c r="KZV527" s="500"/>
      <c r="KZW527" s="500"/>
      <c r="KZX527" s="500"/>
      <c r="KZY527" s="500"/>
      <c r="KZZ527" s="500"/>
      <c r="LAA527" s="500"/>
      <c r="LAB527" s="500"/>
      <c r="LAC527" s="500"/>
      <c r="LAD527" s="500"/>
      <c r="LAE527" s="500"/>
      <c r="LAF527" s="500"/>
      <c r="LAG527" s="500"/>
      <c r="LAH527" s="500"/>
      <c r="LAI527" s="500"/>
      <c r="LAJ527" s="500"/>
      <c r="LAK527" s="500"/>
      <c r="LAL527" s="500"/>
      <c r="LAM527" s="500"/>
      <c r="LAN527" s="500"/>
      <c r="LAO527" s="500"/>
      <c r="LAP527" s="500"/>
      <c r="LAQ527" s="500"/>
      <c r="LAR527" s="500"/>
      <c r="LAS527" s="500"/>
      <c r="LAT527" s="500"/>
      <c r="LAU527" s="500"/>
      <c r="LAV527" s="500"/>
      <c r="LAW527" s="500"/>
      <c r="LAX527" s="500"/>
      <c r="LAY527" s="500"/>
      <c r="LAZ527" s="500"/>
      <c r="LBA527" s="500"/>
      <c r="LBB527" s="500"/>
      <c r="LBC527" s="500"/>
      <c r="LBD527" s="500"/>
      <c r="LBE527" s="500"/>
      <c r="LBF527" s="500"/>
      <c r="LBG527" s="500"/>
      <c r="LBH527" s="500"/>
      <c r="LBI527" s="500"/>
      <c r="LBJ527" s="500"/>
      <c r="LBK527" s="500"/>
      <c r="LBL527" s="500"/>
      <c r="LBM527" s="500"/>
      <c r="LBN527" s="500"/>
      <c r="LBO527" s="500"/>
      <c r="LBP527" s="500"/>
      <c r="LBQ527" s="500"/>
      <c r="LBR527" s="500"/>
      <c r="LBS527" s="500"/>
      <c r="LBT527" s="500"/>
      <c r="LBU527" s="500"/>
      <c r="LBV527" s="500"/>
      <c r="LBW527" s="500"/>
      <c r="LBX527" s="500"/>
      <c r="LBY527" s="500"/>
      <c r="LBZ527" s="500"/>
      <c r="LCA527" s="500"/>
      <c r="LCB527" s="500"/>
      <c r="LCC527" s="500"/>
      <c r="LCD527" s="500"/>
      <c r="LCE527" s="500"/>
      <c r="LCF527" s="500"/>
      <c r="LCG527" s="500"/>
      <c r="LCH527" s="500"/>
      <c r="LCI527" s="500"/>
      <c r="LCJ527" s="500"/>
      <c r="LCK527" s="500"/>
      <c r="LCL527" s="500"/>
      <c r="LCM527" s="500"/>
      <c r="LCN527" s="500"/>
      <c r="LCO527" s="500"/>
      <c r="LCP527" s="500"/>
      <c r="LCQ527" s="500"/>
      <c r="LCR527" s="500"/>
      <c r="LCS527" s="500"/>
      <c r="LCT527" s="500"/>
      <c r="LCU527" s="500"/>
      <c r="LCV527" s="500"/>
      <c r="LCW527" s="500"/>
      <c r="LCX527" s="500"/>
      <c r="LCY527" s="500"/>
      <c r="LCZ527" s="500"/>
      <c r="LDA527" s="500"/>
      <c r="LDB527" s="500"/>
      <c r="LDC527" s="500"/>
      <c r="LDD527" s="500"/>
      <c r="LDE527" s="500"/>
      <c r="LDF527" s="500"/>
      <c r="LDG527" s="500"/>
      <c r="LDH527" s="500"/>
      <c r="LDI527" s="500"/>
      <c r="LDJ527" s="500"/>
      <c r="LDK527" s="500"/>
      <c r="LDL527" s="500"/>
      <c r="LDM527" s="500"/>
      <c r="LDN527" s="500"/>
      <c r="LDO527" s="500"/>
      <c r="LDP527" s="500"/>
      <c r="LDQ527" s="500"/>
      <c r="LDR527" s="500"/>
      <c r="LDS527" s="500"/>
      <c r="LDT527" s="500"/>
      <c r="LDU527" s="500"/>
      <c r="LDV527" s="500"/>
      <c r="LDW527" s="500"/>
      <c r="LDX527" s="500"/>
      <c r="LDY527" s="500"/>
      <c r="LDZ527" s="500"/>
      <c r="LEA527" s="500"/>
      <c r="LEB527" s="500"/>
      <c r="LEC527" s="500"/>
      <c r="LED527" s="500"/>
      <c r="LEE527" s="500"/>
      <c r="LEF527" s="500"/>
      <c r="LEG527" s="500"/>
      <c r="LEH527" s="500"/>
      <c r="LEI527" s="500"/>
      <c r="LEJ527" s="500"/>
      <c r="LEK527" s="500"/>
      <c r="LEL527" s="500"/>
      <c r="LEM527" s="500"/>
      <c r="LEN527" s="500"/>
      <c r="LEO527" s="500"/>
      <c r="LEP527" s="500"/>
      <c r="LEQ527" s="500"/>
      <c r="LER527" s="500"/>
      <c r="LES527" s="500"/>
      <c r="LET527" s="500"/>
      <c r="LEU527" s="500"/>
      <c r="LEV527" s="500"/>
      <c r="LEW527" s="500"/>
      <c r="LEX527" s="500"/>
      <c r="LEY527" s="500"/>
      <c r="LEZ527" s="500"/>
      <c r="LFA527" s="500"/>
      <c r="LFB527" s="500"/>
      <c r="LFC527" s="500"/>
      <c r="LFD527" s="500"/>
      <c r="LFE527" s="500"/>
      <c r="LFF527" s="500"/>
      <c r="LFG527" s="500"/>
      <c r="LFH527" s="500"/>
      <c r="LFI527" s="500"/>
      <c r="LFJ527" s="500"/>
      <c r="LFK527" s="500"/>
      <c r="LFL527" s="500"/>
      <c r="LFM527" s="500"/>
      <c r="LFN527" s="500"/>
      <c r="LFO527" s="500"/>
      <c r="LFP527" s="500"/>
      <c r="LFQ527" s="500"/>
      <c r="LFR527" s="500"/>
      <c r="LFS527" s="500"/>
      <c r="LFT527" s="500"/>
      <c r="LFU527" s="500"/>
      <c r="LFV527" s="500"/>
      <c r="LFW527" s="500"/>
      <c r="LFX527" s="500"/>
      <c r="LFY527" s="500"/>
      <c r="LFZ527" s="500"/>
      <c r="LGA527" s="500"/>
      <c r="LGB527" s="500"/>
      <c r="LGC527" s="500"/>
      <c r="LGD527" s="500"/>
      <c r="LGE527" s="500"/>
      <c r="LGF527" s="500"/>
      <c r="LGG527" s="500"/>
      <c r="LGH527" s="500"/>
      <c r="LGI527" s="500"/>
      <c r="LGJ527" s="500"/>
      <c r="LGK527" s="500"/>
      <c r="LGL527" s="500"/>
      <c r="LGM527" s="500"/>
      <c r="LGN527" s="500"/>
      <c r="LGO527" s="500"/>
      <c r="LGP527" s="500"/>
      <c r="LGQ527" s="500"/>
      <c r="LGR527" s="500"/>
      <c r="LGS527" s="500"/>
      <c r="LGT527" s="500"/>
      <c r="LGU527" s="500"/>
      <c r="LGV527" s="500"/>
      <c r="LGW527" s="500"/>
      <c r="LGX527" s="500"/>
      <c r="LGY527" s="500"/>
      <c r="LGZ527" s="500"/>
      <c r="LHA527" s="500"/>
      <c r="LHB527" s="500"/>
      <c r="LHC527" s="500"/>
      <c r="LHD527" s="500"/>
      <c r="LHE527" s="500"/>
      <c r="LHF527" s="500"/>
      <c r="LHG527" s="500"/>
      <c r="LHH527" s="500"/>
      <c r="LHI527" s="500"/>
      <c r="LHJ527" s="500"/>
      <c r="LHK527" s="500"/>
      <c r="LHL527" s="500"/>
      <c r="LHM527" s="500"/>
      <c r="LHN527" s="500"/>
      <c r="LHO527" s="500"/>
      <c r="LHP527" s="500"/>
      <c r="LHQ527" s="500"/>
      <c r="LHR527" s="500"/>
      <c r="LHS527" s="500"/>
      <c r="LHT527" s="500"/>
      <c r="LHU527" s="500"/>
      <c r="LHV527" s="500"/>
      <c r="LHW527" s="500"/>
      <c r="LHX527" s="500"/>
      <c r="LHY527" s="500"/>
      <c r="LHZ527" s="500"/>
      <c r="LIA527" s="500"/>
      <c r="LIB527" s="500"/>
      <c r="LIC527" s="500"/>
      <c r="LID527" s="500"/>
      <c r="LIE527" s="500"/>
      <c r="LIF527" s="500"/>
      <c r="LIG527" s="500"/>
      <c r="LIH527" s="500"/>
      <c r="LII527" s="500"/>
      <c r="LIJ527" s="500"/>
      <c r="LIK527" s="500"/>
      <c r="LIL527" s="500"/>
      <c r="LIM527" s="500"/>
      <c r="LIN527" s="500"/>
      <c r="LIO527" s="500"/>
      <c r="LIP527" s="500"/>
      <c r="LIQ527" s="500"/>
      <c r="LIR527" s="500"/>
      <c r="LIS527" s="500"/>
      <c r="LIT527" s="500"/>
      <c r="LIU527" s="500"/>
      <c r="LIV527" s="500"/>
      <c r="LIW527" s="500"/>
      <c r="LIX527" s="500"/>
      <c r="LIY527" s="500"/>
      <c r="LIZ527" s="500"/>
      <c r="LJA527" s="500"/>
      <c r="LJB527" s="500"/>
      <c r="LJC527" s="500"/>
      <c r="LJD527" s="500"/>
      <c r="LJE527" s="500"/>
      <c r="LJF527" s="500"/>
      <c r="LJG527" s="500"/>
      <c r="LJH527" s="500"/>
      <c r="LJI527" s="500"/>
      <c r="LJJ527" s="500"/>
      <c r="LJK527" s="500"/>
      <c r="LJL527" s="500"/>
      <c r="LJM527" s="500"/>
      <c r="LJN527" s="500"/>
      <c r="LJO527" s="500"/>
      <c r="LJP527" s="500"/>
      <c r="LJQ527" s="500"/>
      <c r="LJR527" s="500"/>
      <c r="LJS527" s="500"/>
      <c r="LJT527" s="500"/>
      <c r="LJU527" s="500"/>
      <c r="LJV527" s="500"/>
      <c r="LJW527" s="500"/>
      <c r="LJX527" s="500"/>
      <c r="LJY527" s="500"/>
      <c r="LJZ527" s="500"/>
      <c r="LKA527" s="500"/>
      <c r="LKB527" s="500"/>
      <c r="LKC527" s="500"/>
      <c r="LKD527" s="500"/>
      <c r="LKE527" s="500"/>
      <c r="LKF527" s="500"/>
      <c r="LKG527" s="500"/>
      <c r="LKH527" s="500"/>
      <c r="LKI527" s="500"/>
      <c r="LKJ527" s="500"/>
      <c r="LKK527" s="500"/>
      <c r="LKL527" s="500"/>
      <c r="LKM527" s="500"/>
      <c r="LKN527" s="500"/>
      <c r="LKO527" s="500"/>
      <c r="LKP527" s="500"/>
      <c r="LKQ527" s="500"/>
      <c r="LKR527" s="500"/>
      <c r="LKS527" s="500"/>
      <c r="LKT527" s="500"/>
      <c r="LKU527" s="500"/>
      <c r="LKV527" s="500"/>
      <c r="LKW527" s="500"/>
      <c r="LKX527" s="500"/>
      <c r="LKY527" s="500"/>
      <c r="LKZ527" s="500"/>
      <c r="LLA527" s="500"/>
      <c r="LLB527" s="500"/>
      <c r="LLC527" s="500"/>
      <c r="LLD527" s="500"/>
      <c r="LLE527" s="500"/>
      <c r="LLF527" s="500"/>
      <c r="LLG527" s="500"/>
      <c r="LLH527" s="500"/>
      <c r="LLI527" s="500"/>
      <c r="LLJ527" s="500"/>
      <c r="LLK527" s="500"/>
      <c r="LLL527" s="500"/>
      <c r="LLM527" s="500"/>
      <c r="LLN527" s="500"/>
      <c r="LLO527" s="500"/>
      <c r="LLP527" s="500"/>
      <c r="LLQ527" s="500"/>
      <c r="LLR527" s="500"/>
      <c r="LLS527" s="500"/>
      <c r="LLT527" s="500"/>
      <c r="LLU527" s="500"/>
      <c r="LLV527" s="500"/>
      <c r="LLW527" s="500"/>
      <c r="LLX527" s="500"/>
      <c r="LLY527" s="500"/>
      <c r="LLZ527" s="500"/>
      <c r="LMA527" s="500"/>
      <c r="LMB527" s="500"/>
      <c r="LMC527" s="500"/>
      <c r="LMD527" s="500"/>
      <c r="LME527" s="500"/>
      <c r="LMF527" s="500"/>
      <c r="LMG527" s="500"/>
      <c r="LMH527" s="500"/>
      <c r="LMI527" s="500"/>
      <c r="LMJ527" s="500"/>
      <c r="LMK527" s="500"/>
      <c r="LML527" s="500"/>
      <c r="LMM527" s="500"/>
      <c r="LMN527" s="500"/>
      <c r="LMO527" s="500"/>
      <c r="LMP527" s="500"/>
      <c r="LMQ527" s="500"/>
      <c r="LMR527" s="500"/>
      <c r="LMS527" s="500"/>
      <c r="LMT527" s="500"/>
      <c r="LMU527" s="500"/>
      <c r="LMV527" s="500"/>
      <c r="LMW527" s="500"/>
      <c r="LMX527" s="500"/>
      <c r="LMY527" s="500"/>
      <c r="LMZ527" s="500"/>
      <c r="LNA527" s="500"/>
      <c r="LNB527" s="500"/>
      <c r="LNC527" s="500"/>
      <c r="LND527" s="500"/>
      <c r="LNE527" s="500"/>
      <c r="LNF527" s="500"/>
      <c r="LNG527" s="500"/>
      <c r="LNH527" s="500"/>
      <c r="LNI527" s="500"/>
      <c r="LNJ527" s="500"/>
      <c r="LNK527" s="500"/>
      <c r="LNL527" s="500"/>
      <c r="LNM527" s="500"/>
      <c r="LNN527" s="500"/>
      <c r="LNO527" s="500"/>
      <c r="LNP527" s="500"/>
      <c r="LNQ527" s="500"/>
      <c r="LNR527" s="500"/>
      <c r="LNS527" s="500"/>
      <c r="LNT527" s="500"/>
      <c r="LNU527" s="500"/>
      <c r="LNV527" s="500"/>
      <c r="LNW527" s="500"/>
      <c r="LNX527" s="500"/>
      <c r="LNY527" s="500"/>
      <c r="LNZ527" s="500"/>
      <c r="LOA527" s="500"/>
      <c r="LOB527" s="500"/>
      <c r="LOC527" s="500"/>
      <c r="LOD527" s="500"/>
      <c r="LOE527" s="500"/>
      <c r="LOF527" s="500"/>
      <c r="LOG527" s="500"/>
      <c r="LOH527" s="500"/>
      <c r="LOI527" s="500"/>
      <c r="LOJ527" s="500"/>
      <c r="LOK527" s="500"/>
      <c r="LOL527" s="500"/>
      <c r="LOM527" s="500"/>
      <c r="LON527" s="500"/>
      <c r="LOO527" s="500"/>
      <c r="LOP527" s="500"/>
      <c r="LOQ527" s="500"/>
      <c r="LOR527" s="500"/>
      <c r="LOS527" s="500"/>
      <c r="LOT527" s="500"/>
      <c r="LOU527" s="500"/>
      <c r="LOV527" s="500"/>
      <c r="LOW527" s="500"/>
      <c r="LOX527" s="500"/>
      <c r="LOY527" s="500"/>
      <c r="LOZ527" s="500"/>
      <c r="LPA527" s="500"/>
      <c r="LPB527" s="500"/>
      <c r="LPC527" s="500"/>
      <c r="LPD527" s="500"/>
      <c r="LPE527" s="500"/>
      <c r="LPF527" s="500"/>
      <c r="LPG527" s="500"/>
      <c r="LPH527" s="500"/>
      <c r="LPI527" s="500"/>
      <c r="LPJ527" s="500"/>
      <c r="LPK527" s="500"/>
      <c r="LPL527" s="500"/>
      <c r="LPM527" s="500"/>
      <c r="LPN527" s="500"/>
      <c r="LPO527" s="500"/>
      <c r="LPP527" s="500"/>
      <c r="LPQ527" s="500"/>
      <c r="LPR527" s="500"/>
      <c r="LPS527" s="500"/>
      <c r="LPT527" s="500"/>
      <c r="LPU527" s="500"/>
      <c r="LPV527" s="500"/>
      <c r="LPW527" s="500"/>
      <c r="LPX527" s="500"/>
      <c r="LPY527" s="500"/>
      <c r="LPZ527" s="500"/>
      <c r="LQA527" s="500"/>
      <c r="LQB527" s="500"/>
      <c r="LQC527" s="500"/>
      <c r="LQD527" s="500"/>
      <c r="LQE527" s="500"/>
      <c r="LQF527" s="500"/>
      <c r="LQG527" s="500"/>
      <c r="LQH527" s="500"/>
      <c r="LQI527" s="500"/>
      <c r="LQJ527" s="500"/>
      <c r="LQK527" s="500"/>
      <c r="LQL527" s="500"/>
      <c r="LQM527" s="500"/>
      <c r="LQN527" s="500"/>
      <c r="LQO527" s="500"/>
      <c r="LQP527" s="500"/>
      <c r="LQQ527" s="500"/>
      <c r="LQR527" s="500"/>
      <c r="LQS527" s="500"/>
      <c r="LQT527" s="500"/>
      <c r="LQU527" s="500"/>
      <c r="LQV527" s="500"/>
      <c r="LQW527" s="500"/>
      <c r="LQX527" s="500"/>
      <c r="LQY527" s="500"/>
      <c r="LQZ527" s="500"/>
      <c r="LRA527" s="500"/>
      <c r="LRB527" s="500"/>
      <c r="LRC527" s="500"/>
      <c r="LRD527" s="500"/>
      <c r="LRE527" s="500"/>
      <c r="LRF527" s="500"/>
      <c r="LRG527" s="500"/>
      <c r="LRH527" s="500"/>
      <c r="LRI527" s="500"/>
      <c r="LRJ527" s="500"/>
      <c r="LRK527" s="500"/>
      <c r="LRL527" s="500"/>
      <c r="LRM527" s="500"/>
      <c r="LRN527" s="500"/>
      <c r="LRO527" s="500"/>
      <c r="LRP527" s="500"/>
      <c r="LRQ527" s="500"/>
      <c r="LRR527" s="500"/>
      <c r="LRS527" s="500"/>
      <c r="LRT527" s="500"/>
      <c r="LRU527" s="500"/>
      <c r="LRV527" s="500"/>
      <c r="LRW527" s="500"/>
      <c r="LRX527" s="500"/>
      <c r="LRY527" s="500"/>
      <c r="LRZ527" s="500"/>
      <c r="LSA527" s="500"/>
      <c r="LSB527" s="500"/>
      <c r="LSC527" s="500"/>
      <c r="LSD527" s="500"/>
      <c r="LSE527" s="500"/>
      <c r="LSF527" s="500"/>
      <c r="LSG527" s="500"/>
      <c r="LSH527" s="500"/>
      <c r="LSI527" s="500"/>
      <c r="LSJ527" s="500"/>
      <c r="LSK527" s="500"/>
      <c r="LSL527" s="500"/>
      <c r="LSM527" s="500"/>
      <c r="LSN527" s="500"/>
      <c r="LSO527" s="500"/>
      <c r="LSP527" s="500"/>
      <c r="LSQ527" s="500"/>
      <c r="LSR527" s="500"/>
      <c r="LSS527" s="500"/>
      <c r="LST527" s="500"/>
      <c r="LSU527" s="500"/>
      <c r="LSV527" s="500"/>
      <c r="LSW527" s="500"/>
      <c r="LSX527" s="500"/>
      <c r="LSY527" s="500"/>
      <c r="LSZ527" s="500"/>
      <c r="LTA527" s="500"/>
      <c r="LTB527" s="500"/>
      <c r="LTC527" s="500"/>
      <c r="LTD527" s="500"/>
      <c r="LTE527" s="500"/>
      <c r="LTF527" s="500"/>
      <c r="LTG527" s="500"/>
      <c r="LTH527" s="500"/>
      <c r="LTI527" s="500"/>
      <c r="LTJ527" s="500"/>
      <c r="LTK527" s="500"/>
      <c r="LTL527" s="500"/>
      <c r="LTM527" s="500"/>
      <c r="LTN527" s="500"/>
      <c r="LTO527" s="500"/>
      <c r="LTP527" s="500"/>
      <c r="LTQ527" s="500"/>
      <c r="LTR527" s="500"/>
      <c r="LTS527" s="500"/>
      <c r="LTT527" s="500"/>
      <c r="LTU527" s="500"/>
      <c r="LTV527" s="500"/>
      <c r="LTW527" s="500"/>
      <c r="LTX527" s="500"/>
      <c r="LTY527" s="500"/>
      <c r="LTZ527" s="500"/>
      <c r="LUA527" s="500"/>
      <c r="LUB527" s="500"/>
      <c r="LUC527" s="500"/>
      <c r="LUD527" s="500"/>
      <c r="LUE527" s="500"/>
      <c r="LUF527" s="500"/>
      <c r="LUG527" s="500"/>
      <c r="LUH527" s="500"/>
      <c r="LUI527" s="500"/>
      <c r="LUJ527" s="500"/>
      <c r="LUK527" s="500"/>
      <c r="LUL527" s="500"/>
      <c r="LUM527" s="500"/>
      <c r="LUN527" s="500"/>
      <c r="LUO527" s="500"/>
      <c r="LUP527" s="500"/>
      <c r="LUQ527" s="500"/>
      <c r="LUR527" s="500"/>
      <c r="LUS527" s="500"/>
      <c r="LUT527" s="500"/>
      <c r="LUU527" s="500"/>
      <c r="LUV527" s="500"/>
      <c r="LUW527" s="500"/>
      <c r="LUX527" s="500"/>
      <c r="LUY527" s="500"/>
      <c r="LUZ527" s="500"/>
      <c r="LVA527" s="500"/>
      <c r="LVB527" s="500"/>
      <c r="LVC527" s="500"/>
      <c r="LVD527" s="500"/>
      <c r="LVE527" s="500"/>
      <c r="LVF527" s="500"/>
      <c r="LVG527" s="500"/>
      <c r="LVH527" s="500"/>
      <c r="LVI527" s="500"/>
      <c r="LVJ527" s="500"/>
      <c r="LVK527" s="500"/>
      <c r="LVL527" s="500"/>
      <c r="LVM527" s="500"/>
      <c r="LVN527" s="500"/>
      <c r="LVO527" s="500"/>
      <c r="LVP527" s="500"/>
      <c r="LVQ527" s="500"/>
      <c r="LVR527" s="500"/>
      <c r="LVS527" s="500"/>
      <c r="LVT527" s="500"/>
      <c r="LVU527" s="500"/>
      <c r="LVV527" s="500"/>
      <c r="LVW527" s="500"/>
      <c r="LVX527" s="500"/>
      <c r="LVY527" s="500"/>
      <c r="LVZ527" s="500"/>
      <c r="LWA527" s="500"/>
      <c r="LWB527" s="500"/>
      <c r="LWC527" s="500"/>
      <c r="LWD527" s="500"/>
      <c r="LWE527" s="500"/>
      <c r="LWF527" s="500"/>
      <c r="LWG527" s="500"/>
      <c r="LWH527" s="500"/>
      <c r="LWI527" s="500"/>
      <c r="LWJ527" s="500"/>
      <c r="LWK527" s="500"/>
      <c r="LWL527" s="500"/>
      <c r="LWM527" s="500"/>
      <c r="LWN527" s="500"/>
      <c r="LWO527" s="500"/>
      <c r="LWP527" s="500"/>
      <c r="LWQ527" s="500"/>
      <c r="LWR527" s="500"/>
      <c r="LWS527" s="500"/>
      <c r="LWT527" s="500"/>
      <c r="LWU527" s="500"/>
      <c r="LWV527" s="500"/>
      <c r="LWW527" s="500"/>
      <c r="LWX527" s="500"/>
      <c r="LWY527" s="500"/>
      <c r="LWZ527" s="500"/>
      <c r="LXA527" s="500"/>
      <c r="LXB527" s="500"/>
      <c r="LXC527" s="500"/>
      <c r="LXD527" s="500"/>
      <c r="LXE527" s="500"/>
      <c r="LXF527" s="500"/>
      <c r="LXG527" s="500"/>
      <c r="LXH527" s="500"/>
      <c r="LXI527" s="500"/>
      <c r="LXJ527" s="500"/>
      <c r="LXK527" s="500"/>
      <c r="LXL527" s="500"/>
      <c r="LXM527" s="500"/>
      <c r="LXN527" s="500"/>
      <c r="LXO527" s="500"/>
      <c r="LXP527" s="500"/>
      <c r="LXQ527" s="500"/>
      <c r="LXR527" s="500"/>
      <c r="LXS527" s="500"/>
      <c r="LXT527" s="500"/>
      <c r="LXU527" s="500"/>
      <c r="LXV527" s="500"/>
      <c r="LXW527" s="500"/>
      <c r="LXX527" s="500"/>
      <c r="LXY527" s="500"/>
      <c r="LXZ527" s="500"/>
      <c r="LYA527" s="500"/>
      <c r="LYB527" s="500"/>
      <c r="LYC527" s="500"/>
      <c r="LYD527" s="500"/>
      <c r="LYE527" s="500"/>
      <c r="LYF527" s="500"/>
      <c r="LYG527" s="500"/>
      <c r="LYH527" s="500"/>
      <c r="LYI527" s="500"/>
      <c r="LYJ527" s="500"/>
      <c r="LYK527" s="500"/>
      <c r="LYL527" s="500"/>
      <c r="LYM527" s="500"/>
      <c r="LYN527" s="500"/>
      <c r="LYO527" s="500"/>
      <c r="LYP527" s="500"/>
      <c r="LYQ527" s="500"/>
      <c r="LYR527" s="500"/>
      <c r="LYS527" s="500"/>
      <c r="LYT527" s="500"/>
      <c r="LYU527" s="500"/>
      <c r="LYV527" s="500"/>
      <c r="LYW527" s="500"/>
      <c r="LYX527" s="500"/>
      <c r="LYY527" s="500"/>
      <c r="LYZ527" s="500"/>
      <c r="LZA527" s="500"/>
      <c r="LZB527" s="500"/>
      <c r="LZC527" s="500"/>
      <c r="LZD527" s="500"/>
      <c r="LZE527" s="500"/>
      <c r="LZF527" s="500"/>
      <c r="LZG527" s="500"/>
      <c r="LZH527" s="500"/>
      <c r="LZI527" s="500"/>
      <c r="LZJ527" s="500"/>
      <c r="LZK527" s="500"/>
      <c r="LZL527" s="500"/>
      <c r="LZM527" s="500"/>
      <c r="LZN527" s="500"/>
      <c r="LZO527" s="500"/>
      <c r="LZP527" s="500"/>
      <c r="LZQ527" s="500"/>
      <c r="LZR527" s="500"/>
      <c r="LZS527" s="500"/>
      <c r="LZT527" s="500"/>
      <c r="LZU527" s="500"/>
      <c r="LZV527" s="500"/>
      <c r="LZW527" s="500"/>
      <c r="LZX527" s="500"/>
      <c r="LZY527" s="500"/>
      <c r="LZZ527" s="500"/>
      <c r="MAA527" s="500"/>
      <c r="MAB527" s="500"/>
      <c r="MAC527" s="500"/>
      <c r="MAD527" s="500"/>
      <c r="MAE527" s="500"/>
      <c r="MAF527" s="500"/>
      <c r="MAG527" s="500"/>
      <c r="MAH527" s="500"/>
      <c r="MAI527" s="500"/>
      <c r="MAJ527" s="500"/>
      <c r="MAK527" s="500"/>
      <c r="MAL527" s="500"/>
      <c r="MAM527" s="500"/>
      <c r="MAN527" s="500"/>
      <c r="MAO527" s="500"/>
      <c r="MAP527" s="500"/>
      <c r="MAQ527" s="500"/>
      <c r="MAR527" s="500"/>
      <c r="MAS527" s="500"/>
      <c r="MAT527" s="500"/>
      <c r="MAU527" s="500"/>
      <c r="MAV527" s="500"/>
      <c r="MAW527" s="500"/>
      <c r="MAX527" s="500"/>
      <c r="MAY527" s="500"/>
      <c r="MAZ527" s="500"/>
      <c r="MBA527" s="500"/>
      <c r="MBB527" s="500"/>
      <c r="MBC527" s="500"/>
      <c r="MBD527" s="500"/>
      <c r="MBE527" s="500"/>
      <c r="MBF527" s="500"/>
      <c r="MBG527" s="500"/>
      <c r="MBH527" s="500"/>
      <c r="MBI527" s="500"/>
      <c r="MBJ527" s="500"/>
      <c r="MBK527" s="500"/>
      <c r="MBL527" s="500"/>
      <c r="MBM527" s="500"/>
      <c r="MBN527" s="500"/>
      <c r="MBO527" s="500"/>
      <c r="MBP527" s="500"/>
      <c r="MBQ527" s="500"/>
      <c r="MBR527" s="500"/>
      <c r="MBS527" s="500"/>
      <c r="MBT527" s="500"/>
      <c r="MBU527" s="500"/>
      <c r="MBV527" s="500"/>
      <c r="MBW527" s="500"/>
      <c r="MBX527" s="500"/>
      <c r="MBY527" s="500"/>
      <c r="MBZ527" s="500"/>
      <c r="MCA527" s="500"/>
      <c r="MCB527" s="500"/>
      <c r="MCC527" s="500"/>
      <c r="MCD527" s="500"/>
      <c r="MCE527" s="500"/>
      <c r="MCF527" s="500"/>
      <c r="MCG527" s="500"/>
      <c r="MCH527" s="500"/>
      <c r="MCI527" s="500"/>
      <c r="MCJ527" s="500"/>
      <c r="MCK527" s="500"/>
      <c r="MCL527" s="500"/>
      <c r="MCM527" s="500"/>
      <c r="MCN527" s="500"/>
      <c r="MCO527" s="500"/>
      <c r="MCP527" s="500"/>
      <c r="MCQ527" s="500"/>
      <c r="MCR527" s="500"/>
      <c r="MCS527" s="500"/>
      <c r="MCT527" s="500"/>
      <c r="MCU527" s="500"/>
      <c r="MCV527" s="500"/>
      <c r="MCW527" s="500"/>
      <c r="MCX527" s="500"/>
      <c r="MCY527" s="500"/>
      <c r="MCZ527" s="500"/>
      <c r="MDA527" s="500"/>
      <c r="MDB527" s="500"/>
      <c r="MDC527" s="500"/>
      <c r="MDD527" s="500"/>
      <c r="MDE527" s="500"/>
      <c r="MDF527" s="500"/>
      <c r="MDG527" s="500"/>
      <c r="MDH527" s="500"/>
      <c r="MDI527" s="500"/>
      <c r="MDJ527" s="500"/>
      <c r="MDK527" s="500"/>
      <c r="MDL527" s="500"/>
      <c r="MDM527" s="500"/>
      <c r="MDN527" s="500"/>
      <c r="MDO527" s="500"/>
      <c r="MDP527" s="500"/>
      <c r="MDQ527" s="500"/>
      <c r="MDR527" s="500"/>
      <c r="MDS527" s="500"/>
      <c r="MDT527" s="500"/>
      <c r="MDU527" s="500"/>
      <c r="MDV527" s="500"/>
      <c r="MDW527" s="500"/>
      <c r="MDX527" s="500"/>
      <c r="MDY527" s="500"/>
      <c r="MDZ527" s="500"/>
      <c r="MEA527" s="500"/>
      <c r="MEB527" s="500"/>
      <c r="MEC527" s="500"/>
      <c r="MED527" s="500"/>
      <c r="MEE527" s="500"/>
      <c r="MEF527" s="500"/>
      <c r="MEG527" s="500"/>
      <c r="MEH527" s="500"/>
      <c r="MEI527" s="500"/>
      <c r="MEJ527" s="500"/>
      <c r="MEK527" s="500"/>
      <c r="MEL527" s="500"/>
      <c r="MEM527" s="500"/>
      <c r="MEN527" s="500"/>
      <c r="MEO527" s="500"/>
      <c r="MEP527" s="500"/>
      <c r="MEQ527" s="500"/>
      <c r="MER527" s="500"/>
      <c r="MES527" s="500"/>
      <c r="MET527" s="500"/>
      <c r="MEU527" s="500"/>
      <c r="MEV527" s="500"/>
      <c r="MEW527" s="500"/>
      <c r="MEX527" s="500"/>
      <c r="MEY527" s="500"/>
      <c r="MEZ527" s="500"/>
      <c r="MFA527" s="500"/>
      <c r="MFB527" s="500"/>
      <c r="MFC527" s="500"/>
      <c r="MFD527" s="500"/>
      <c r="MFE527" s="500"/>
      <c r="MFF527" s="500"/>
      <c r="MFG527" s="500"/>
      <c r="MFH527" s="500"/>
      <c r="MFI527" s="500"/>
      <c r="MFJ527" s="500"/>
      <c r="MFK527" s="500"/>
      <c r="MFL527" s="500"/>
      <c r="MFM527" s="500"/>
      <c r="MFN527" s="500"/>
      <c r="MFO527" s="500"/>
      <c r="MFP527" s="500"/>
      <c r="MFQ527" s="500"/>
      <c r="MFR527" s="500"/>
      <c r="MFS527" s="500"/>
      <c r="MFT527" s="500"/>
      <c r="MFU527" s="500"/>
      <c r="MFV527" s="500"/>
      <c r="MFW527" s="500"/>
      <c r="MFX527" s="500"/>
      <c r="MFY527" s="500"/>
      <c r="MFZ527" s="500"/>
      <c r="MGA527" s="500"/>
      <c r="MGB527" s="500"/>
      <c r="MGC527" s="500"/>
      <c r="MGD527" s="500"/>
      <c r="MGE527" s="500"/>
      <c r="MGF527" s="500"/>
      <c r="MGG527" s="500"/>
      <c r="MGH527" s="500"/>
      <c r="MGI527" s="500"/>
      <c r="MGJ527" s="500"/>
      <c r="MGK527" s="500"/>
      <c r="MGL527" s="500"/>
      <c r="MGM527" s="500"/>
      <c r="MGN527" s="500"/>
      <c r="MGO527" s="500"/>
      <c r="MGP527" s="500"/>
      <c r="MGQ527" s="500"/>
      <c r="MGR527" s="500"/>
      <c r="MGS527" s="500"/>
      <c r="MGT527" s="500"/>
      <c r="MGU527" s="500"/>
      <c r="MGV527" s="500"/>
      <c r="MGW527" s="500"/>
      <c r="MGX527" s="500"/>
      <c r="MGY527" s="500"/>
      <c r="MGZ527" s="500"/>
      <c r="MHA527" s="500"/>
      <c r="MHB527" s="500"/>
      <c r="MHC527" s="500"/>
      <c r="MHD527" s="500"/>
      <c r="MHE527" s="500"/>
      <c r="MHF527" s="500"/>
      <c r="MHG527" s="500"/>
      <c r="MHH527" s="500"/>
      <c r="MHI527" s="500"/>
      <c r="MHJ527" s="500"/>
      <c r="MHK527" s="500"/>
      <c r="MHL527" s="500"/>
      <c r="MHM527" s="500"/>
      <c r="MHN527" s="500"/>
      <c r="MHO527" s="500"/>
      <c r="MHP527" s="500"/>
      <c r="MHQ527" s="500"/>
      <c r="MHR527" s="500"/>
      <c r="MHS527" s="500"/>
      <c r="MHT527" s="500"/>
      <c r="MHU527" s="500"/>
      <c r="MHV527" s="500"/>
      <c r="MHW527" s="500"/>
      <c r="MHX527" s="500"/>
      <c r="MHY527" s="500"/>
      <c r="MHZ527" s="500"/>
      <c r="MIA527" s="500"/>
      <c r="MIB527" s="500"/>
      <c r="MIC527" s="500"/>
      <c r="MID527" s="500"/>
      <c r="MIE527" s="500"/>
      <c r="MIF527" s="500"/>
      <c r="MIG527" s="500"/>
      <c r="MIH527" s="500"/>
      <c r="MII527" s="500"/>
      <c r="MIJ527" s="500"/>
      <c r="MIK527" s="500"/>
      <c r="MIL527" s="500"/>
      <c r="MIM527" s="500"/>
      <c r="MIN527" s="500"/>
      <c r="MIO527" s="500"/>
      <c r="MIP527" s="500"/>
      <c r="MIQ527" s="500"/>
      <c r="MIR527" s="500"/>
      <c r="MIS527" s="500"/>
      <c r="MIT527" s="500"/>
      <c r="MIU527" s="500"/>
      <c r="MIV527" s="500"/>
      <c r="MIW527" s="500"/>
      <c r="MIX527" s="500"/>
      <c r="MIY527" s="500"/>
      <c r="MIZ527" s="500"/>
      <c r="MJA527" s="500"/>
      <c r="MJB527" s="500"/>
      <c r="MJC527" s="500"/>
      <c r="MJD527" s="500"/>
      <c r="MJE527" s="500"/>
      <c r="MJF527" s="500"/>
      <c r="MJG527" s="500"/>
      <c r="MJH527" s="500"/>
      <c r="MJI527" s="500"/>
      <c r="MJJ527" s="500"/>
      <c r="MJK527" s="500"/>
      <c r="MJL527" s="500"/>
      <c r="MJM527" s="500"/>
      <c r="MJN527" s="500"/>
      <c r="MJO527" s="500"/>
      <c r="MJP527" s="500"/>
      <c r="MJQ527" s="500"/>
      <c r="MJR527" s="500"/>
      <c r="MJS527" s="500"/>
      <c r="MJT527" s="500"/>
      <c r="MJU527" s="500"/>
      <c r="MJV527" s="500"/>
      <c r="MJW527" s="500"/>
      <c r="MJX527" s="500"/>
      <c r="MJY527" s="500"/>
      <c r="MJZ527" s="500"/>
      <c r="MKA527" s="500"/>
      <c r="MKB527" s="500"/>
      <c r="MKC527" s="500"/>
      <c r="MKD527" s="500"/>
      <c r="MKE527" s="500"/>
      <c r="MKF527" s="500"/>
      <c r="MKG527" s="500"/>
      <c r="MKH527" s="500"/>
      <c r="MKI527" s="500"/>
      <c r="MKJ527" s="500"/>
      <c r="MKK527" s="500"/>
      <c r="MKL527" s="500"/>
      <c r="MKM527" s="500"/>
      <c r="MKN527" s="500"/>
      <c r="MKO527" s="500"/>
      <c r="MKP527" s="500"/>
      <c r="MKQ527" s="500"/>
      <c r="MKR527" s="500"/>
      <c r="MKS527" s="500"/>
      <c r="MKT527" s="500"/>
      <c r="MKU527" s="500"/>
      <c r="MKV527" s="500"/>
      <c r="MKW527" s="500"/>
      <c r="MKX527" s="500"/>
      <c r="MKY527" s="500"/>
      <c r="MKZ527" s="500"/>
      <c r="MLA527" s="500"/>
      <c r="MLB527" s="500"/>
      <c r="MLC527" s="500"/>
      <c r="MLD527" s="500"/>
      <c r="MLE527" s="500"/>
      <c r="MLF527" s="500"/>
      <c r="MLG527" s="500"/>
      <c r="MLH527" s="500"/>
      <c r="MLI527" s="500"/>
      <c r="MLJ527" s="500"/>
      <c r="MLK527" s="500"/>
      <c r="MLL527" s="500"/>
      <c r="MLM527" s="500"/>
      <c r="MLN527" s="500"/>
      <c r="MLO527" s="500"/>
      <c r="MLP527" s="500"/>
      <c r="MLQ527" s="500"/>
      <c r="MLR527" s="500"/>
      <c r="MLS527" s="500"/>
      <c r="MLT527" s="500"/>
      <c r="MLU527" s="500"/>
      <c r="MLV527" s="500"/>
      <c r="MLW527" s="500"/>
      <c r="MLX527" s="500"/>
      <c r="MLY527" s="500"/>
      <c r="MLZ527" s="500"/>
      <c r="MMA527" s="500"/>
      <c r="MMB527" s="500"/>
      <c r="MMC527" s="500"/>
      <c r="MMD527" s="500"/>
      <c r="MME527" s="500"/>
      <c r="MMF527" s="500"/>
      <c r="MMG527" s="500"/>
      <c r="MMH527" s="500"/>
      <c r="MMI527" s="500"/>
      <c r="MMJ527" s="500"/>
      <c r="MMK527" s="500"/>
      <c r="MML527" s="500"/>
      <c r="MMM527" s="500"/>
      <c r="MMN527" s="500"/>
      <c r="MMO527" s="500"/>
      <c r="MMP527" s="500"/>
      <c r="MMQ527" s="500"/>
      <c r="MMR527" s="500"/>
      <c r="MMS527" s="500"/>
      <c r="MMT527" s="500"/>
      <c r="MMU527" s="500"/>
      <c r="MMV527" s="500"/>
      <c r="MMW527" s="500"/>
      <c r="MMX527" s="500"/>
      <c r="MMY527" s="500"/>
      <c r="MMZ527" s="500"/>
      <c r="MNA527" s="500"/>
      <c r="MNB527" s="500"/>
      <c r="MNC527" s="500"/>
      <c r="MND527" s="500"/>
      <c r="MNE527" s="500"/>
      <c r="MNF527" s="500"/>
      <c r="MNG527" s="500"/>
      <c r="MNH527" s="500"/>
      <c r="MNI527" s="500"/>
      <c r="MNJ527" s="500"/>
      <c r="MNK527" s="500"/>
      <c r="MNL527" s="500"/>
      <c r="MNM527" s="500"/>
      <c r="MNN527" s="500"/>
      <c r="MNO527" s="500"/>
      <c r="MNP527" s="500"/>
      <c r="MNQ527" s="500"/>
      <c r="MNR527" s="500"/>
      <c r="MNS527" s="500"/>
      <c r="MNT527" s="500"/>
      <c r="MNU527" s="500"/>
      <c r="MNV527" s="500"/>
      <c r="MNW527" s="500"/>
      <c r="MNX527" s="500"/>
      <c r="MNY527" s="500"/>
      <c r="MNZ527" s="500"/>
      <c r="MOA527" s="500"/>
      <c r="MOB527" s="500"/>
      <c r="MOC527" s="500"/>
      <c r="MOD527" s="500"/>
      <c r="MOE527" s="500"/>
      <c r="MOF527" s="500"/>
      <c r="MOG527" s="500"/>
      <c r="MOH527" s="500"/>
      <c r="MOI527" s="500"/>
      <c r="MOJ527" s="500"/>
      <c r="MOK527" s="500"/>
      <c r="MOL527" s="500"/>
      <c r="MOM527" s="500"/>
      <c r="MON527" s="500"/>
      <c r="MOO527" s="500"/>
      <c r="MOP527" s="500"/>
      <c r="MOQ527" s="500"/>
      <c r="MOR527" s="500"/>
      <c r="MOS527" s="500"/>
      <c r="MOT527" s="500"/>
      <c r="MOU527" s="500"/>
      <c r="MOV527" s="500"/>
      <c r="MOW527" s="500"/>
      <c r="MOX527" s="500"/>
      <c r="MOY527" s="500"/>
      <c r="MOZ527" s="500"/>
      <c r="MPA527" s="500"/>
      <c r="MPB527" s="500"/>
      <c r="MPC527" s="500"/>
      <c r="MPD527" s="500"/>
      <c r="MPE527" s="500"/>
      <c r="MPF527" s="500"/>
      <c r="MPG527" s="500"/>
      <c r="MPH527" s="500"/>
      <c r="MPI527" s="500"/>
      <c r="MPJ527" s="500"/>
      <c r="MPK527" s="500"/>
      <c r="MPL527" s="500"/>
      <c r="MPM527" s="500"/>
      <c r="MPN527" s="500"/>
      <c r="MPO527" s="500"/>
      <c r="MPP527" s="500"/>
      <c r="MPQ527" s="500"/>
      <c r="MPR527" s="500"/>
      <c r="MPS527" s="500"/>
      <c r="MPT527" s="500"/>
      <c r="MPU527" s="500"/>
      <c r="MPV527" s="500"/>
      <c r="MPW527" s="500"/>
      <c r="MPX527" s="500"/>
      <c r="MPY527" s="500"/>
      <c r="MPZ527" s="500"/>
      <c r="MQA527" s="500"/>
      <c r="MQB527" s="500"/>
      <c r="MQC527" s="500"/>
      <c r="MQD527" s="500"/>
      <c r="MQE527" s="500"/>
      <c r="MQF527" s="500"/>
      <c r="MQG527" s="500"/>
      <c r="MQH527" s="500"/>
      <c r="MQI527" s="500"/>
      <c r="MQJ527" s="500"/>
      <c r="MQK527" s="500"/>
      <c r="MQL527" s="500"/>
      <c r="MQM527" s="500"/>
      <c r="MQN527" s="500"/>
      <c r="MQO527" s="500"/>
      <c r="MQP527" s="500"/>
      <c r="MQQ527" s="500"/>
      <c r="MQR527" s="500"/>
      <c r="MQS527" s="500"/>
      <c r="MQT527" s="500"/>
      <c r="MQU527" s="500"/>
      <c r="MQV527" s="500"/>
      <c r="MQW527" s="500"/>
      <c r="MQX527" s="500"/>
      <c r="MQY527" s="500"/>
      <c r="MQZ527" s="500"/>
      <c r="MRA527" s="500"/>
      <c r="MRB527" s="500"/>
      <c r="MRC527" s="500"/>
      <c r="MRD527" s="500"/>
      <c r="MRE527" s="500"/>
      <c r="MRF527" s="500"/>
      <c r="MRG527" s="500"/>
      <c r="MRH527" s="500"/>
      <c r="MRI527" s="500"/>
      <c r="MRJ527" s="500"/>
      <c r="MRK527" s="500"/>
      <c r="MRL527" s="500"/>
      <c r="MRM527" s="500"/>
      <c r="MRN527" s="500"/>
      <c r="MRO527" s="500"/>
      <c r="MRP527" s="500"/>
      <c r="MRQ527" s="500"/>
      <c r="MRR527" s="500"/>
      <c r="MRS527" s="500"/>
      <c r="MRT527" s="500"/>
      <c r="MRU527" s="500"/>
      <c r="MRV527" s="500"/>
      <c r="MRW527" s="500"/>
      <c r="MRX527" s="500"/>
      <c r="MRY527" s="500"/>
      <c r="MRZ527" s="500"/>
      <c r="MSA527" s="500"/>
      <c r="MSB527" s="500"/>
      <c r="MSC527" s="500"/>
      <c r="MSD527" s="500"/>
      <c r="MSE527" s="500"/>
      <c r="MSF527" s="500"/>
      <c r="MSG527" s="500"/>
      <c r="MSH527" s="500"/>
      <c r="MSI527" s="500"/>
      <c r="MSJ527" s="500"/>
      <c r="MSK527" s="500"/>
      <c r="MSL527" s="500"/>
      <c r="MSM527" s="500"/>
      <c r="MSN527" s="500"/>
      <c r="MSO527" s="500"/>
      <c r="MSP527" s="500"/>
      <c r="MSQ527" s="500"/>
      <c r="MSR527" s="500"/>
      <c r="MSS527" s="500"/>
      <c r="MST527" s="500"/>
      <c r="MSU527" s="500"/>
      <c r="MSV527" s="500"/>
      <c r="MSW527" s="500"/>
      <c r="MSX527" s="500"/>
      <c r="MSY527" s="500"/>
      <c r="MSZ527" s="500"/>
      <c r="MTA527" s="500"/>
      <c r="MTB527" s="500"/>
      <c r="MTC527" s="500"/>
      <c r="MTD527" s="500"/>
      <c r="MTE527" s="500"/>
      <c r="MTF527" s="500"/>
      <c r="MTG527" s="500"/>
      <c r="MTH527" s="500"/>
      <c r="MTI527" s="500"/>
      <c r="MTJ527" s="500"/>
      <c r="MTK527" s="500"/>
      <c r="MTL527" s="500"/>
      <c r="MTM527" s="500"/>
      <c r="MTN527" s="500"/>
      <c r="MTO527" s="500"/>
      <c r="MTP527" s="500"/>
      <c r="MTQ527" s="500"/>
      <c r="MTR527" s="500"/>
      <c r="MTS527" s="500"/>
      <c r="MTT527" s="500"/>
      <c r="MTU527" s="500"/>
      <c r="MTV527" s="500"/>
      <c r="MTW527" s="500"/>
      <c r="MTX527" s="500"/>
      <c r="MTY527" s="500"/>
      <c r="MTZ527" s="500"/>
      <c r="MUA527" s="500"/>
      <c r="MUB527" s="500"/>
      <c r="MUC527" s="500"/>
      <c r="MUD527" s="500"/>
      <c r="MUE527" s="500"/>
      <c r="MUF527" s="500"/>
      <c r="MUG527" s="500"/>
      <c r="MUH527" s="500"/>
      <c r="MUI527" s="500"/>
      <c r="MUJ527" s="500"/>
      <c r="MUK527" s="500"/>
      <c r="MUL527" s="500"/>
      <c r="MUM527" s="500"/>
      <c r="MUN527" s="500"/>
      <c r="MUO527" s="500"/>
      <c r="MUP527" s="500"/>
      <c r="MUQ527" s="500"/>
      <c r="MUR527" s="500"/>
      <c r="MUS527" s="500"/>
      <c r="MUT527" s="500"/>
      <c r="MUU527" s="500"/>
      <c r="MUV527" s="500"/>
      <c r="MUW527" s="500"/>
      <c r="MUX527" s="500"/>
      <c r="MUY527" s="500"/>
      <c r="MUZ527" s="500"/>
      <c r="MVA527" s="500"/>
      <c r="MVB527" s="500"/>
      <c r="MVC527" s="500"/>
      <c r="MVD527" s="500"/>
      <c r="MVE527" s="500"/>
      <c r="MVF527" s="500"/>
      <c r="MVG527" s="500"/>
      <c r="MVH527" s="500"/>
      <c r="MVI527" s="500"/>
      <c r="MVJ527" s="500"/>
      <c r="MVK527" s="500"/>
      <c r="MVL527" s="500"/>
      <c r="MVM527" s="500"/>
      <c r="MVN527" s="500"/>
      <c r="MVO527" s="500"/>
      <c r="MVP527" s="500"/>
      <c r="MVQ527" s="500"/>
      <c r="MVR527" s="500"/>
      <c r="MVS527" s="500"/>
      <c r="MVT527" s="500"/>
      <c r="MVU527" s="500"/>
      <c r="MVV527" s="500"/>
      <c r="MVW527" s="500"/>
      <c r="MVX527" s="500"/>
      <c r="MVY527" s="500"/>
      <c r="MVZ527" s="500"/>
      <c r="MWA527" s="500"/>
      <c r="MWB527" s="500"/>
      <c r="MWC527" s="500"/>
      <c r="MWD527" s="500"/>
      <c r="MWE527" s="500"/>
      <c r="MWF527" s="500"/>
      <c r="MWG527" s="500"/>
      <c r="MWH527" s="500"/>
      <c r="MWI527" s="500"/>
      <c r="MWJ527" s="500"/>
      <c r="MWK527" s="500"/>
      <c r="MWL527" s="500"/>
      <c r="MWM527" s="500"/>
      <c r="MWN527" s="500"/>
      <c r="MWO527" s="500"/>
      <c r="MWP527" s="500"/>
      <c r="MWQ527" s="500"/>
      <c r="MWR527" s="500"/>
      <c r="MWS527" s="500"/>
      <c r="MWT527" s="500"/>
      <c r="MWU527" s="500"/>
      <c r="MWV527" s="500"/>
      <c r="MWW527" s="500"/>
      <c r="MWX527" s="500"/>
      <c r="MWY527" s="500"/>
      <c r="MWZ527" s="500"/>
      <c r="MXA527" s="500"/>
      <c r="MXB527" s="500"/>
      <c r="MXC527" s="500"/>
      <c r="MXD527" s="500"/>
      <c r="MXE527" s="500"/>
      <c r="MXF527" s="500"/>
      <c r="MXG527" s="500"/>
      <c r="MXH527" s="500"/>
      <c r="MXI527" s="500"/>
      <c r="MXJ527" s="500"/>
      <c r="MXK527" s="500"/>
      <c r="MXL527" s="500"/>
      <c r="MXM527" s="500"/>
      <c r="MXN527" s="500"/>
      <c r="MXO527" s="500"/>
      <c r="MXP527" s="500"/>
      <c r="MXQ527" s="500"/>
      <c r="MXR527" s="500"/>
      <c r="MXS527" s="500"/>
      <c r="MXT527" s="500"/>
      <c r="MXU527" s="500"/>
      <c r="MXV527" s="500"/>
      <c r="MXW527" s="500"/>
      <c r="MXX527" s="500"/>
      <c r="MXY527" s="500"/>
      <c r="MXZ527" s="500"/>
      <c r="MYA527" s="500"/>
      <c r="MYB527" s="500"/>
      <c r="MYC527" s="500"/>
      <c r="MYD527" s="500"/>
      <c r="MYE527" s="500"/>
      <c r="MYF527" s="500"/>
      <c r="MYG527" s="500"/>
      <c r="MYH527" s="500"/>
      <c r="MYI527" s="500"/>
      <c r="MYJ527" s="500"/>
      <c r="MYK527" s="500"/>
      <c r="MYL527" s="500"/>
      <c r="MYM527" s="500"/>
      <c r="MYN527" s="500"/>
      <c r="MYO527" s="500"/>
      <c r="MYP527" s="500"/>
      <c r="MYQ527" s="500"/>
      <c r="MYR527" s="500"/>
      <c r="MYS527" s="500"/>
      <c r="MYT527" s="500"/>
      <c r="MYU527" s="500"/>
      <c r="MYV527" s="500"/>
      <c r="MYW527" s="500"/>
      <c r="MYX527" s="500"/>
      <c r="MYY527" s="500"/>
      <c r="MYZ527" s="500"/>
      <c r="MZA527" s="500"/>
      <c r="MZB527" s="500"/>
      <c r="MZC527" s="500"/>
      <c r="MZD527" s="500"/>
      <c r="MZE527" s="500"/>
      <c r="MZF527" s="500"/>
      <c r="MZG527" s="500"/>
      <c r="MZH527" s="500"/>
      <c r="MZI527" s="500"/>
      <c r="MZJ527" s="500"/>
      <c r="MZK527" s="500"/>
      <c r="MZL527" s="500"/>
      <c r="MZM527" s="500"/>
      <c r="MZN527" s="500"/>
      <c r="MZO527" s="500"/>
      <c r="MZP527" s="500"/>
      <c r="MZQ527" s="500"/>
      <c r="MZR527" s="500"/>
      <c r="MZS527" s="500"/>
      <c r="MZT527" s="500"/>
      <c r="MZU527" s="500"/>
      <c r="MZV527" s="500"/>
      <c r="MZW527" s="500"/>
      <c r="MZX527" s="500"/>
      <c r="MZY527" s="500"/>
      <c r="MZZ527" s="500"/>
      <c r="NAA527" s="500"/>
      <c r="NAB527" s="500"/>
      <c r="NAC527" s="500"/>
      <c r="NAD527" s="500"/>
      <c r="NAE527" s="500"/>
      <c r="NAF527" s="500"/>
      <c r="NAG527" s="500"/>
      <c r="NAH527" s="500"/>
      <c r="NAI527" s="500"/>
      <c r="NAJ527" s="500"/>
      <c r="NAK527" s="500"/>
      <c r="NAL527" s="500"/>
      <c r="NAM527" s="500"/>
      <c r="NAN527" s="500"/>
      <c r="NAO527" s="500"/>
      <c r="NAP527" s="500"/>
      <c r="NAQ527" s="500"/>
      <c r="NAR527" s="500"/>
      <c r="NAS527" s="500"/>
      <c r="NAT527" s="500"/>
      <c r="NAU527" s="500"/>
      <c r="NAV527" s="500"/>
      <c r="NAW527" s="500"/>
      <c r="NAX527" s="500"/>
      <c r="NAY527" s="500"/>
      <c r="NAZ527" s="500"/>
      <c r="NBA527" s="500"/>
      <c r="NBB527" s="500"/>
      <c r="NBC527" s="500"/>
      <c r="NBD527" s="500"/>
      <c r="NBE527" s="500"/>
      <c r="NBF527" s="500"/>
      <c r="NBG527" s="500"/>
      <c r="NBH527" s="500"/>
      <c r="NBI527" s="500"/>
      <c r="NBJ527" s="500"/>
      <c r="NBK527" s="500"/>
      <c r="NBL527" s="500"/>
      <c r="NBM527" s="500"/>
      <c r="NBN527" s="500"/>
      <c r="NBO527" s="500"/>
      <c r="NBP527" s="500"/>
      <c r="NBQ527" s="500"/>
      <c r="NBR527" s="500"/>
      <c r="NBS527" s="500"/>
      <c r="NBT527" s="500"/>
      <c r="NBU527" s="500"/>
      <c r="NBV527" s="500"/>
      <c r="NBW527" s="500"/>
      <c r="NBX527" s="500"/>
      <c r="NBY527" s="500"/>
      <c r="NBZ527" s="500"/>
      <c r="NCA527" s="500"/>
      <c r="NCB527" s="500"/>
      <c r="NCC527" s="500"/>
      <c r="NCD527" s="500"/>
      <c r="NCE527" s="500"/>
      <c r="NCF527" s="500"/>
      <c r="NCG527" s="500"/>
      <c r="NCH527" s="500"/>
      <c r="NCI527" s="500"/>
      <c r="NCJ527" s="500"/>
      <c r="NCK527" s="500"/>
      <c r="NCL527" s="500"/>
      <c r="NCM527" s="500"/>
      <c r="NCN527" s="500"/>
      <c r="NCO527" s="500"/>
      <c r="NCP527" s="500"/>
      <c r="NCQ527" s="500"/>
      <c r="NCR527" s="500"/>
      <c r="NCS527" s="500"/>
      <c r="NCT527" s="500"/>
      <c r="NCU527" s="500"/>
      <c r="NCV527" s="500"/>
      <c r="NCW527" s="500"/>
      <c r="NCX527" s="500"/>
      <c r="NCY527" s="500"/>
      <c r="NCZ527" s="500"/>
      <c r="NDA527" s="500"/>
      <c r="NDB527" s="500"/>
      <c r="NDC527" s="500"/>
      <c r="NDD527" s="500"/>
      <c r="NDE527" s="500"/>
      <c r="NDF527" s="500"/>
      <c r="NDG527" s="500"/>
      <c r="NDH527" s="500"/>
      <c r="NDI527" s="500"/>
      <c r="NDJ527" s="500"/>
      <c r="NDK527" s="500"/>
      <c r="NDL527" s="500"/>
      <c r="NDM527" s="500"/>
      <c r="NDN527" s="500"/>
      <c r="NDO527" s="500"/>
      <c r="NDP527" s="500"/>
      <c r="NDQ527" s="500"/>
      <c r="NDR527" s="500"/>
      <c r="NDS527" s="500"/>
      <c r="NDT527" s="500"/>
      <c r="NDU527" s="500"/>
      <c r="NDV527" s="500"/>
      <c r="NDW527" s="500"/>
      <c r="NDX527" s="500"/>
      <c r="NDY527" s="500"/>
      <c r="NDZ527" s="500"/>
      <c r="NEA527" s="500"/>
      <c r="NEB527" s="500"/>
      <c r="NEC527" s="500"/>
      <c r="NED527" s="500"/>
      <c r="NEE527" s="500"/>
      <c r="NEF527" s="500"/>
      <c r="NEG527" s="500"/>
      <c r="NEH527" s="500"/>
      <c r="NEI527" s="500"/>
      <c r="NEJ527" s="500"/>
      <c r="NEK527" s="500"/>
      <c r="NEL527" s="500"/>
      <c r="NEM527" s="500"/>
      <c r="NEN527" s="500"/>
      <c r="NEO527" s="500"/>
      <c r="NEP527" s="500"/>
      <c r="NEQ527" s="500"/>
      <c r="NER527" s="500"/>
      <c r="NES527" s="500"/>
      <c r="NET527" s="500"/>
      <c r="NEU527" s="500"/>
      <c r="NEV527" s="500"/>
      <c r="NEW527" s="500"/>
      <c r="NEX527" s="500"/>
      <c r="NEY527" s="500"/>
      <c r="NEZ527" s="500"/>
      <c r="NFA527" s="500"/>
      <c r="NFB527" s="500"/>
      <c r="NFC527" s="500"/>
      <c r="NFD527" s="500"/>
      <c r="NFE527" s="500"/>
      <c r="NFF527" s="500"/>
      <c r="NFG527" s="500"/>
      <c r="NFH527" s="500"/>
      <c r="NFI527" s="500"/>
      <c r="NFJ527" s="500"/>
      <c r="NFK527" s="500"/>
      <c r="NFL527" s="500"/>
      <c r="NFM527" s="500"/>
      <c r="NFN527" s="500"/>
      <c r="NFO527" s="500"/>
      <c r="NFP527" s="500"/>
      <c r="NFQ527" s="500"/>
      <c r="NFR527" s="500"/>
      <c r="NFS527" s="500"/>
      <c r="NFT527" s="500"/>
      <c r="NFU527" s="500"/>
      <c r="NFV527" s="500"/>
      <c r="NFW527" s="500"/>
      <c r="NFX527" s="500"/>
      <c r="NFY527" s="500"/>
      <c r="NFZ527" s="500"/>
      <c r="NGA527" s="500"/>
      <c r="NGB527" s="500"/>
      <c r="NGC527" s="500"/>
      <c r="NGD527" s="500"/>
      <c r="NGE527" s="500"/>
      <c r="NGF527" s="500"/>
      <c r="NGG527" s="500"/>
      <c r="NGH527" s="500"/>
      <c r="NGI527" s="500"/>
      <c r="NGJ527" s="500"/>
      <c r="NGK527" s="500"/>
      <c r="NGL527" s="500"/>
      <c r="NGM527" s="500"/>
      <c r="NGN527" s="500"/>
      <c r="NGO527" s="500"/>
      <c r="NGP527" s="500"/>
      <c r="NGQ527" s="500"/>
      <c r="NGR527" s="500"/>
      <c r="NGS527" s="500"/>
      <c r="NGT527" s="500"/>
      <c r="NGU527" s="500"/>
      <c r="NGV527" s="500"/>
      <c r="NGW527" s="500"/>
      <c r="NGX527" s="500"/>
      <c r="NGY527" s="500"/>
      <c r="NGZ527" s="500"/>
      <c r="NHA527" s="500"/>
      <c r="NHB527" s="500"/>
      <c r="NHC527" s="500"/>
      <c r="NHD527" s="500"/>
      <c r="NHE527" s="500"/>
      <c r="NHF527" s="500"/>
      <c r="NHG527" s="500"/>
      <c r="NHH527" s="500"/>
      <c r="NHI527" s="500"/>
      <c r="NHJ527" s="500"/>
      <c r="NHK527" s="500"/>
      <c r="NHL527" s="500"/>
      <c r="NHM527" s="500"/>
      <c r="NHN527" s="500"/>
      <c r="NHO527" s="500"/>
      <c r="NHP527" s="500"/>
      <c r="NHQ527" s="500"/>
      <c r="NHR527" s="500"/>
      <c r="NHS527" s="500"/>
      <c r="NHT527" s="500"/>
      <c r="NHU527" s="500"/>
      <c r="NHV527" s="500"/>
      <c r="NHW527" s="500"/>
      <c r="NHX527" s="500"/>
      <c r="NHY527" s="500"/>
      <c r="NHZ527" s="500"/>
      <c r="NIA527" s="500"/>
      <c r="NIB527" s="500"/>
      <c r="NIC527" s="500"/>
      <c r="NID527" s="500"/>
      <c r="NIE527" s="500"/>
      <c r="NIF527" s="500"/>
      <c r="NIG527" s="500"/>
      <c r="NIH527" s="500"/>
      <c r="NII527" s="500"/>
      <c r="NIJ527" s="500"/>
      <c r="NIK527" s="500"/>
      <c r="NIL527" s="500"/>
      <c r="NIM527" s="500"/>
      <c r="NIN527" s="500"/>
      <c r="NIO527" s="500"/>
      <c r="NIP527" s="500"/>
      <c r="NIQ527" s="500"/>
      <c r="NIR527" s="500"/>
      <c r="NIS527" s="500"/>
      <c r="NIT527" s="500"/>
      <c r="NIU527" s="500"/>
      <c r="NIV527" s="500"/>
      <c r="NIW527" s="500"/>
      <c r="NIX527" s="500"/>
      <c r="NIY527" s="500"/>
      <c r="NIZ527" s="500"/>
      <c r="NJA527" s="500"/>
      <c r="NJB527" s="500"/>
      <c r="NJC527" s="500"/>
      <c r="NJD527" s="500"/>
      <c r="NJE527" s="500"/>
      <c r="NJF527" s="500"/>
      <c r="NJG527" s="500"/>
      <c r="NJH527" s="500"/>
      <c r="NJI527" s="500"/>
      <c r="NJJ527" s="500"/>
      <c r="NJK527" s="500"/>
      <c r="NJL527" s="500"/>
      <c r="NJM527" s="500"/>
      <c r="NJN527" s="500"/>
      <c r="NJO527" s="500"/>
      <c r="NJP527" s="500"/>
      <c r="NJQ527" s="500"/>
      <c r="NJR527" s="500"/>
      <c r="NJS527" s="500"/>
      <c r="NJT527" s="500"/>
      <c r="NJU527" s="500"/>
      <c r="NJV527" s="500"/>
      <c r="NJW527" s="500"/>
      <c r="NJX527" s="500"/>
      <c r="NJY527" s="500"/>
      <c r="NJZ527" s="500"/>
      <c r="NKA527" s="500"/>
      <c r="NKB527" s="500"/>
      <c r="NKC527" s="500"/>
      <c r="NKD527" s="500"/>
      <c r="NKE527" s="500"/>
      <c r="NKF527" s="500"/>
      <c r="NKG527" s="500"/>
      <c r="NKH527" s="500"/>
      <c r="NKI527" s="500"/>
      <c r="NKJ527" s="500"/>
      <c r="NKK527" s="500"/>
      <c r="NKL527" s="500"/>
      <c r="NKM527" s="500"/>
      <c r="NKN527" s="500"/>
      <c r="NKO527" s="500"/>
      <c r="NKP527" s="500"/>
      <c r="NKQ527" s="500"/>
      <c r="NKR527" s="500"/>
      <c r="NKS527" s="500"/>
      <c r="NKT527" s="500"/>
      <c r="NKU527" s="500"/>
      <c r="NKV527" s="500"/>
      <c r="NKW527" s="500"/>
      <c r="NKX527" s="500"/>
      <c r="NKY527" s="500"/>
      <c r="NKZ527" s="500"/>
      <c r="NLA527" s="500"/>
      <c r="NLB527" s="500"/>
      <c r="NLC527" s="500"/>
      <c r="NLD527" s="500"/>
      <c r="NLE527" s="500"/>
      <c r="NLF527" s="500"/>
      <c r="NLG527" s="500"/>
      <c r="NLH527" s="500"/>
      <c r="NLI527" s="500"/>
      <c r="NLJ527" s="500"/>
      <c r="NLK527" s="500"/>
      <c r="NLL527" s="500"/>
      <c r="NLM527" s="500"/>
      <c r="NLN527" s="500"/>
      <c r="NLO527" s="500"/>
      <c r="NLP527" s="500"/>
      <c r="NLQ527" s="500"/>
      <c r="NLR527" s="500"/>
      <c r="NLS527" s="500"/>
      <c r="NLT527" s="500"/>
      <c r="NLU527" s="500"/>
      <c r="NLV527" s="500"/>
      <c r="NLW527" s="500"/>
      <c r="NLX527" s="500"/>
      <c r="NLY527" s="500"/>
      <c r="NLZ527" s="500"/>
      <c r="NMA527" s="500"/>
      <c r="NMB527" s="500"/>
      <c r="NMC527" s="500"/>
      <c r="NMD527" s="500"/>
      <c r="NME527" s="500"/>
      <c r="NMF527" s="500"/>
      <c r="NMG527" s="500"/>
      <c r="NMH527" s="500"/>
      <c r="NMI527" s="500"/>
      <c r="NMJ527" s="500"/>
      <c r="NMK527" s="500"/>
      <c r="NML527" s="500"/>
      <c r="NMM527" s="500"/>
      <c r="NMN527" s="500"/>
      <c r="NMO527" s="500"/>
      <c r="NMP527" s="500"/>
      <c r="NMQ527" s="500"/>
      <c r="NMR527" s="500"/>
      <c r="NMS527" s="500"/>
      <c r="NMT527" s="500"/>
      <c r="NMU527" s="500"/>
      <c r="NMV527" s="500"/>
      <c r="NMW527" s="500"/>
      <c r="NMX527" s="500"/>
      <c r="NMY527" s="500"/>
      <c r="NMZ527" s="500"/>
      <c r="NNA527" s="500"/>
      <c r="NNB527" s="500"/>
      <c r="NNC527" s="500"/>
      <c r="NND527" s="500"/>
      <c r="NNE527" s="500"/>
      <c r="NNF527" s="500"/>
      <c r="NNG527" s="500"/>
      <c r="NNH527" s="500"/>
      <c r="NNI527" s="500"/>
      <c r="NNJ527" s="500"/>
      <c r="NNK527" s="500"/>
      <c r="NNL527" s="500"/>
      <c r="NNM527" s="500"/>
      <c r="NNN527" s="500"/>
      <c r="NNO527" s="500"/>
      <c r="NNP527" s="500"/>
      <c r="NNQ527" s="500"/>
      <c r="NNR527" s="500"/>
      <c r="NNS527" s="500"/>
      <c r="NNT527" s="500"/>
      <c r="NNU527" s="500"/>
      <c r="NNV527" s="500"/>
      <c r="NNW527" s="500"/>
      <c r="NNX527" s="500"/>
      <c r="NNY527" s="500"/>
      <c r="NNZ527" s="500"/>
      <c r="NOA527" s="500"/>
      <c r="NOB527" s="500"/>
      <c r="NOC527" s="500"/>
      <c r="NOD527" s="500"/>
      <c r="NOE527" s="500"/>
      <c r="NOF527" s="500"/>
      <c r="NOG527" s="500"/>
      <c r="NOH527" s="500"/>
      <c r="NOI527" s="500"/>
      <c r="NOJ527" s="500"/>
      <c r="NOK527" s="500"/>
      <c r="NOL527" s="500"/>
      <c r="NOM527" s="500"/>
      <c r="NON527" s="500"/>
      <c r="NOO527" s="500"/>
      <c r="NOP527" s="500"/>
      <c r="NOQ527" s="500"/>
      <c r="NOR527" s="500"/>
      <c r="NOS527" s="500"/>
      <c r="NOT527" s="500"/>
      <c r="NOU527" s="500"/>
      <c r="NOV527" s="500"/>
      <c r="NOW527" s="500"/>
      <c r="NOX527" s="500"/>
      <c r="NOY527" s="500"/>
      <c r="NOZ527" s="500"/>
      <c r="NPA527" s="500"/>
      <c r="NPB527" s="500"/>
      <c r="NPC527" s="500"/>
      <c r="NPD527" s="500"/>
      <c r="NPE527" s="500"/>
      <c r="NPF527" s="500"/>
      <c r="NPG527" s="500"/>
      <c r="NPH527" s="500"/>
      <c r="NPI527" s="500"/>
      <c r="NPJ527" s="500"/>
      <c r="NPK527" s="500"/>
      <c r="NPL527" s="500"/>
      <c r="NPM527" s="500"/>
      <c r="NPN527" s="500"/>
      <c r="NPO527" s="500"/>
      <c r="NPP527" s="500"/>
      <c r="NPQ527" s="500"/>
      <c r="NPR527" s="500"/>
      <c r="NPS527" s="500"/>
      <c r="NPT527" s="500"/>
      <c r="NPU527" s="500"/>
      <c r="NPV527" s="500"/>
      <c r="NPW527" s="500"/>
      <c r="NPX527" s="500"/>
      <c r="NPY527" s="500"/>
      <c r="NPZ527" s="500"/>
      <c r="NQA527" s="500"/>
      <c r="NQB527" s="500"/>
      <c r="NQC527" s="500"/>
      <c r="NQD527" s="500"/>
      <c r="NQE527" s="500"/>
      <c r="NQF527" s="500"/>
      <c r="NQG527" s="500"/>
      <c r="NQH527" s="500"/>
      <c r="NQI527" s="500"/>
      <c r="NQJ527" s="500"/>
      <c r="NQK527" s="500"/>
      <c r="NQL527" s="500"/>
      <c r="NQM527" s="500"/>
      <c r="NQN527" s="500"/>
      <c r="NQO527" s="500"/>
      <c r="NQP527" s="500"/>
      <c r="NQQ527" s="500"/>
      <c r="NQR527" s="500"/>
      <c r="NQS527" s="500"/>
      <c r="NQT527" s="500"/>
      <c r="NQU527" s="500"/>
      <c r="NQV527" s="500"/>
      <c r="NQW527" s="500"/>
      <c r="NQX527" s="500"/>
      <c r="NQY527" s="500"/>
      <c r="NQZ527" s="500"/>
      <c r="NRA527" s="500"/>
      <c r="NRB527" s="500"/>
      <c r="NRC527" s="500"/>
      <c r="NRD527" s="500"/>
      <c r="NRE527" s="500"/>
      <c r="NRF527" s="500"/>
      <c r="NRG527" s="500"/>
      <c r="NRH527" s="500"/>
      <c r="NRI527" s="500"/>
      <c r="NRJ527" s="500"/>
      <c r="NRK527" s="500"/>
      <c r="NRL527" s="500"/>
      <c r="NRM527" s="500"/>
      <c r="NRN527" s="500"/>
      <c r="NRO527" s="500"/>
      <c r="NRP527" s="500"/>
      <c r="NRQ527" s="500"/>
      <c r="NRR527" s="500"/>
      <c r="NRS527" s="500"/>
      <c r="NRT527" s="500"/>
      <c r="NRU527" s="500"/>
      <c r="NRV527" s="500"/>
      <c r="NRW527" s="500"/>
      <c r="NRX527" s="500"/>
      <c r="NRY527" s="500"/>
      <c r="NRZ527" s="500"/>
      <c r="NSA527" s="500"/>
      <c r="NSB527" s="500"/>
      <c r="NSC527" s="500"/>
      <c r="NSD527" s="500"/>
      <c r="NSE527" s="500"/>
      <c r="NSF527" s="500"/>
      <c r="NSG527" s="500"/>
      <c r="NSH527" s="500"/>
      <c r="NSI527" s="500"/>
      <c r="NSJ527" s="500"/>
      <c r="NSK527" s="500"/>
      <c r="NSL527" s="500"/>
      <c r="NSM527" s="500"/>
      <c r="NSN527" s="500"/>
      <c r="NSO527" s="500"/>
      <c r="NSP527" s="500"/>
      <c r="NSQ527" s="500"/>
      <c r="NSR527" s="500"/>
      <c r="NSS527" s="500"/>
      <c r="NST527" s="500"/>
      <c r="NSU527" s="500"/>
      <c r="NSV527" s="500"/>
      <c r="NSW527" s="500"/>
      <c r="NSX527" s="500"/>
      <c r="NSY527" s="500"/>
      <c r="NSZ527" s="500"/>
      <c r="NTA527" s="500"/>
      <c r="NTB527" s="500"/>
      <c r="NTC527" s="500"/>
      <c r="NTD527" s="500"/>
      <c r="NTE527" s="500"/>
      <c r="NTF527" s="500"/>
      <c r="NTG527" s="500"/>
      <c r="NTH527" s="500"/>
      <c r="NTI527" s="500"/>
      <c r="NTJ527" s="500"/>
      <c r="NTK527" s="500"/>
      <c r="NTL527" s="500"/>
      <c r="NTM527" s="500"/>
      <c r="NTN527" s="500"/>
      <c r="NTO527" s="500"/>
      <c r="NTP527" s="500"/>
      <c r="NTQ527" s="500"/>
      <c r="NTR527" s="500"/>
      <c r="NTS527" s="500"/>
      <c r="NTT527" s="500"/>
      <c r="NTU527" s="500"/>
      <c r="NTV527" s="500"/>
      <c r="NTW527" s="500"/>
      <c r="NTX527" s="500"/>
      <c r="NTY527" s="500"/>
      <c r="NTZ527" s="500"/>
      <c r="NUA527" s="500"/>
      <c r="NUB527" s="500"/>
      <c r="NUC527" s="500"/>
      <c r="NUD527" s="500"/>
      <c r="NUE527" s="500"/>
      <c r="NUF527" s="500"/>
      <c r="NUG527" s="500"/>
      <c r="NUH527" s="500"/>
      <c r="NUI527" s="500"/>
      <c r="NUJ527" s="500"/>
      <c r="NUK527" s="500"/>
      <c r="NUL527" s="500"/>
      <c r="NUM527" s="500"/>
      <c r="NUN527" s="500"/>
      <c r="NUO527" s="500"/>
      <c r="NUP527" s="500"/>
      <c r="NUQ527" s="500"/>
      <c r="NUR527" s="500"/>
      <c r="NUS527" s="500"/>
      <c r="NUT527" s="500"/>
      <c r="NUU527" s="500"/>
      <c r="NUV527" s="500"/>
      <c r="NUW527" s="500"/>
      <c r="NUX527" s="500"/>
      <c r="NUY527" s="500"/>
      <c r="NUZ527" s="500"/>
      <c r="NVA527" s="500"/>
      <c r="NVB527" s="500"/>
      <c r="NVC527" s="500"/>
      <c r="NVD527" s="500"/>
      <c r="NVE527" s="500"/>
      <c r="NVF527" s="500"/>
      <c r="NVG527" s="500"/>
      <c r="NVH527" s="500"/>
      <c r="NVI527" s="500"/>
      <c r="NVJ527" s="500"/>
      <c r="NVK527" s="500"/>
      <c r="NVL527" s="500"/>
      <c r="NVM527" s="500"/>
      <c r="NVN527" s="500"/>
      <c r="NVO527" s="500"/>
      <c r="NVP527" s="500"/>
      <c r="NVQ527" s="500"/>
      <c r="NVR527" s="500"/>
      <c r="NVS527" s="500"/>
      <c r="NVT527" s="500"/>
      <c r="NVU527" s="500"/>
      <c r="NVV527" s="500"/>
      <c r="NVW527" s="500"/>
      <c r="NVX527" s="500"/>
      <c r="NVY527" s="500"/>
      <c r="NVZ527" s="500"/>
      <c r="NWA527" s="500"/>
      <c r="NWB527" s="500"/>
      <c r="NWC527" s="500"/>
      <c r="NWD527" s="500"/>
      <c r="NWE527" s="500"/>
      <c r="NWF527" s="500"/>
      <c r="NWG527" s="500"/>
      <c r="NWH527" s="500"/>
      <c r="NWI527" s="500"/>
      <c r="NWJ527" s="500"/>
      <c r="NWK527" s="500"/>
      <c r="NWL527" s="500"/>
      <c r="NWM527" s="500"/>
      <c r="NWN527" s="500"/>
      <c r="NWO527" s="500"/>
      <c r="NWP527" s="500"/>
      <c r="NWQ527" s="500"/>
      <c r="NWR527" s="500"/>
      <c r="NWS527" s="500"/>
      <c r="NWT527" s="500"/>
      <c r="NWU527" s="500"/>
      <c r="NWV527" s="500"/>
      <c r="NWW527" s="500"/>
      <c r="NWX527" s="500"/>
      <c r="NWY527" s="500"/>
      <c r="NWZ527" s="500"/>
      <c r="NXA527" s="500"/>
      <c r="NXB527" s="500"/>
      <c r="NXC527" s="500"/>
      <c r="NXD527" s="500"/>
      <c r="NXE527" s="500"/>
      <c r="NXF527" s="500"/>
      <c r="NXG527" s="500"/>
      <c r="NXH527" s="500"/>
      <c r="NXI527" s="500"/>
      <c r="NXJ527" s="500"/>
      <c r="NXK527" s="500"/>
      <c r="NXL527" s="500"/>
      <c r="NXM527" s="500"/>
      <c r="NXN527" s="500"/>
      <c r="NXO527" s="500"/>
      <c r="NXP527" s="500"/>
      <c r="NXQ527" s="500"/>
      <c r="NXR527" s="500"/>
      <c r="NXS527" s="500"/>
      <c r="NXT527" s="500"/>
      <c r="NXU527" s="500"/>
      <c r="NXV527" s="500"/>
      <c r="NXW527" s="500"/>
      <c r="NXX527" s="500"/>
      <c r="NXY527" s="500"/>
      <c r="NXZ527" s="500"/>
      <c r="NYA527" s="500"/>
      <c r="NYB527" s="500"/>
      <c r="NYC527" s="500"/>
      <c r="NYD527" s="500"/>
      <c r="NYE527" s="500"/>
      <c r="NYF527" s="500"/>
      <c r="NYG527" s="500"/>
      <c r="NYH527" s="500"/>
      <c r="NYI527" s="500"/>
      <c r="NYJ527" s="500"/>
      <c r="NYK527" s="500"/>
      <c r="NYL527" s="500"/>
      <c r="NYM527" s="500"/>
      <c r="NYN527" s="500"/>
      <c r="NYO527" s="500"/>
      <c r="NYP527" s="500"/>
      <c r="NYQ527" s="500"/>
      <c r="NYR527" s="500"/>
      <c r="NYS527" s="500"/>
      <c r="NYT527" s="500"/>
      <c r="NYU527" s="500"/>
      <c r="NYV527" s="500"/>
      <c r="NYW527" s="500"/>
      <c r="NYX527" s="500"/>
      <c r="NYY527" s="500"/>
      <c r="NYZ527" s="500"/>
      <c r="NZA527" s="500"/>
      <c r="NZB527" s="500"/>
      <c r="NZC527" s="500"/>
      <c r="NZD527" s="500"/>
      <c r="NZE527" s="500"/>
      <c r="NZF527" s="500"/>
      <c r="NZG527" s="500"/>
      <c r="NZH527" s="500"/>
      <c r="NZI527" s="500"/>
      <c r="NZJ527" s="500"/>
      <c r="NZK527" s="500"/>
      <c r="NZL527" s="500"/>
      <c r="NZM527" s="500"/>
      <c r="NZN527" s="500"/>
      <c r="NZO527" s="500"/>
      <c r="NZP527" s="500"/>
      <c r="NZQ527" s="500"/>
      <c r="NZR527" s="500"/>
      <c r="NZS527" s="500"/>
      <c r="NZT527" s="500"/>
      <c r="NZU527" s="500"/>
      <c r="NZV527" s="500"/>
      <c r="NZW527" s="500"/>
      <c r="NZX527" s="500"/>
      <c r="NZY527" s="500"/>
      <c r="NZZ527" s="500"/>
      <c r="OAA527" s="500"/>
      <c r="OAB527" s="500"/>
      <c r="OAC527" s="500"/>
      <c r="OAD527" s="500"/>
      <c r="OAE527" s="500"/>
      <c r="OAF527" s="500"/>
      <c r="OAG527" s="500"/>
      <c r="OAH527" s="500"/>
      <c r="OAI527" s="500"/>
      <c r="OAJ527" s="500"/>
      <c r="OAK527" s="500"/>
      <c r="OAL527" s="500"/>
      <c r="OAM527" s="500"/>
      <c r="OAN527" s="500"/>
      <c r="OAO527" s="500"/>
      <c r="OAP527" s="500"/>
      <c r="OAQ527" s="500"/>
      <c r="OAR527" s="500"/>
      <c r="OAS527" s="500"/>
      <c r="OAT527" s="500"/>
      <c r="OAU527" s="500"/>
      <c r="OAV527" s="500"/>
      <c r="OAW527" s="500"/>
      <c r="OAX527" s="500"/>
      <c r="OAY527" s="500"/>
      <c r="OAZ527" s="500"/>
      <c r="OBA527" s="500"/>
      <c r="OBB527" s="500"/>
      <c r="OBC527" s="500"/>
      <c r="OBD527" s="500"/>
      <c r="OBE527" s="500"/>
      <c r="OBF527" s="500"/>
      <c r="OBG527" s="500"/>
      <c r="OBH527" s="500"/>
      <c r="OBI527" s="500"/>
      <c r="OBJ527" s="500"/>
      <c r="OBK527" s="500"/>
      <c r="OBL527" s="500"/>
      <c r="OBM527" s="500"/>
      <c r="OBN527" s="500"/>
      <c r="OBO527" s="500"/>
      <c r="OBP527" s="500"/>
      <c r="OBQ527" s="500"/>
      <c r="OBR527" s="500"/>
      <c r="OBS527" s="500"/>
      <c r="OBT527" s="500"/>
      <c r="OBU527" s="500"/>
      <c r="OBV527" s="500"/>
      <c r="OBW527" s="500"/>
      <c r="OBX527" s="500"/>
      <c r="OBY527" s="500"/>
      <c r="OBZ527" s="500"/>
      <c r="OCA527" s="500"/>
      <c r="OCB527" s="500"/>
      <c r="OCC527" s="500"/>
      <c r="OCD527" s="500"/>
      <c r="OCE527" s="500"/>
      <c r="OCF527" s="500"/>
      <c r="OCG527" s="500"/>
      <c r="OCH527" s="500"/>
      <c r="OCI527" s="500"/>
      <c r="OCJ527" s="500"/>
      <c r="OCK527" s="500"/>
      <c r="OCL527" s="500"/>
      <c r="OCM527" s="500"/>
      <c r="OCN527" s="500"/>
      <c r="OCO527" s="500"/>
      <c r="OCP527" s="500"/>
      <c r="OCQ527" s="500"/>
      <c r="OCR527" s="500"/>
      <c r="OCS527" s="500"/>
      <c r="OCT527" s="500"/>
      <c r="OCU527" s="500"/>
      <c r="OCV527" s="500"/>
      <c r="OCW527" s="500"/>
      <c r="OCX527" s="500"/>
      <c r="OCY527" s="500"/>
      <c r="OCZ527" s="500"/>
      <c r="ODA527" s="500"/>
      <c r="ODB527" s="500"/>
      <c r="ODC527" s="500"/>
      <c r="ODD527" s="500"/>
      <c r="ODE527" s="500"/>
      <c r="ODF527" s="500"/>
      <c r="ODG527" s="500"/>
      <c r="ODH527" s="500"/>
      <c r="ODI527" s="500"/>
      <c r="ODJ527" s="500"/>
      <c r="ODK527" s="500"/>
      <c r="ODL527" s="500"/>
      <c r="ODM527" s="500"/>
      <c r="ODN527" s="500"/>
      <c r="ODO527" s="500"/>
      <c r="ODP527" s="500"/>
      <c r="ODQ527" s="500"/>
      <c r="ODR527" s="500"/>
      <c r="ODS527" s="500"/>
      <c r="ODT527" s="500"/>
      <c r="ODU527" s="500"/>
      <c r="ODV527" s="500"/>
      <c r="ODW527" s="500"/>
      <c r="ODX527" s="500"/>
      <c r="ODY527" s="500"/>
      <c r="ODZ527" s="500"/>
      <c r="OEA527" s="500"/>
      <c r="OEB527" s="500"/>
      <c r="OEC527" s="500"/>
      <c r="OED527" s="500"/>
      <c r="OEE527" s="500"/>
      <c r="OEF527" s="500"/>
      <c r="OEG527" s="500"/>
      <c r="OEH527" s="500"/>
      <c r="OEI527" s="500"/>
      <c r="OEJ527" s="500"/>
      <c r="OEK527" s="500"/>
      <c r="OEL527" s="500"/>
      <c r="OEM527" s="500"/>
      <c r="OEN527" s="500"/>
      <c r="OEO527" s="500"/>
      <c r="OEP527" s="500"/>
      <c r="OEQ527" s="500"/>
      <c r="OER527" s="500"/>
      <c r="OES527" s="500"/>
      <c r="OET527" s="500"/>
      <c r="OEU527" s="500"/>
      <c r="OEV527" s="500"/>
      <c r="OEW527" s="500"/>
      <c r="OEX527" s="500"/>
      <c r="OEY527" s="500"/>
      <c r="OEZ527" s="500"/>
      <c r="OFA527" s="500"/>
      <c r="OFB527" s="500"/>
      <c r="OFC527" s="500"/>
      <c r="OFD527" s="500"/>
      <c r="OFE527" s="500"/>
      <c r="OFF527" s="500"/>
      <c r="OFG527" s="500"/>
      <c r="OFH527" s="500"/>
      <c r="OFI527" s="500"/>
      <c r="OFJ527" s="500"/>
      <c r="OFK527" s="500"/>
      <c r="OFL527" s="500"/>
      <c r="OFM527" s="500"/>
      <c r="OFN527" s="500"/>
      <c r="OFO527" s="500"/>
      <c r="OFP527" s="500"/>
      <c r="OFQ527" s="500"/>
      <c r="OFR527" s="500"/>
      <c r="OFS527" s="500"/>
      <c r="OFT527" s="500"/>
      <c r="OFU527" s="500"/>
      <c r="OFV527" s="500"/>
      <c r="OFW527" s="500"/>
      <c r="OFX527" s="500"/>
      <c r="OFY527" s="500"/>
      <c r="OFZ527" s="500"/>
      <c r="OGA527" s="500"/>
      <c r="OGB527" s="500"/>
      <c r="OGC527" s="500"/>
      <c r="OGD527" s="500"/>
      <c r="OGE527" s="500"/>
      <c r="OGF527" s="500"/>
      <c r="OGG527" s="500"/>
      <c r="OGH527" s="500"/>
      <c r="OGI527" s="500"/>
      <c r="OGJ527" s="500"/>
      <c r="OGK527" s="500"/>
      <c r="OGL527" s="500"/>
      <c r="OGM527" s="500"/>
      <c r="OGN527" s="500"/>
      <c r="OGO527" s="500"/>
      <c r="OGP527" s="500"/>
      <c r="OGQ527" s="500"/>
      <c r="OGR527" s="500"/>
      <c r="OGS527" s="500"/>
      <c r="OGT527" s="500"/>
      <c r="OGU527" s="500"/>
      <c r="OGV527" s="500"/>
      <c r="OGW527" s="500"/>
      <c r="OGX527" s="500"/>
      <c r="OGY527" s="500"/>
      <c r="OGZ527" s="500"/>
      <c r="OHA527" s="500"/>
      <c r="OHB527" s="500"/>
      <c r="OHC527" s="500"/>
      <c r="OHD527" s="500"/>
      <c r="OHE527" s="500"/>
      <c r="OHF527" s="500"/>
      <c r="OHG527" s="500"/>
      <c r="OHH527" s="500"/>
      <c r="OHI527" s="500"/>
      <c r="OHJ527" s="500"/>
      <c r="OHK527" s="500"/>
      <c r="OHL527" s="500"/>
      <c r="OHM527" s="500"/>
      <c r="OHN527" s="500"/>
      <c r="OHO527" s="500"/>
      <c r="OHP527" s="500"/>
      <c r="OHQ527" s="500"/>
      <c r="OHR527" s="500"/>
      <c r="OHS527" s="500"/>
      <c r="OHT527" s="500"/>
      <c r="OHU527" s="500"/>
      <c r="OHV527" s="500"/>
      <c r="OHW527" s="500"/>
      <c r="OHX527" s="500"/>
      <c r="OHY527" s="500"/>
      <c r="OHZ527" s="500"/>
      <c r="OIA527" s="500"/>
      <c r="OIB527" s="500"/>
      <c r="OIC527" s="500"/>
      <c r="OID527" s="500"/>
      <c r="OIE527" s="500"/>
      <c r="OIF527" s="500"/>
      <c r="OIG527" s="500"/>
      <c r="OIH527" s="500"/>
      <c r="OII527" s="500"/>
      <c r="OIJ527" s="500"/>
      <c r="OIK527" s="500"/>
      <c r="OIL527" s="500"/>
      <c r="OIM527" s="500"/>
      <c r="OIN527" s="500"/>
      <c r="OIO527" s="500"/>
      <c r="OIP527" s="500"/>
      <c r="OIQ527" s="500"/>
      <c r="OIR527" s="500"/>
      <c r="OIS527" s="500"/>
      <c r="OIT527" s="500"/>
      <c r="OIU527" s="500"/>
      <c r="OIV527" s="500"/>
      <c r="OIW527" s="500"/>
      <c r="OIX527" s="500"/>
      <c r="OIY527" s="500"/>
      <c r="OIZ527" s="500"/>
      <c r="OJA527" s="500"/>
      <c r="OJB527" s="500"/>
      <c r="OJC527" s="500"/>
      <c r="OJD527" s="500"/>
      <c r="OJE527" s="500"/>
      <c r="OJF527" s="500"/>
      <c r="OJG527" s="500"/>
      <c r="OJH527" s="500"/>
      <c r="OJI527" s="500"/>
      <c r="OJJ527" s="500"/>
      <c r="OJK527" s="500"/>
      <c r="OJL527" s="500"/>
      <c r="OJM527" s="500"/>
      <c r="OJN527" s="500"/>
      <c r="OJO527" s="500"/>
      <c r="OJP527" s="500"/>
      <c r="OJQ527" s="500"/>
      <c r="OJR527" s="500"/>
      <c r="OJS527" s="500"/>
      <c r="OJT527" s="500"/>
      <c r="OJU527" s="500"/>
      <c r="OJV527" s="500"/>
      <c r="OJW527" s="500"/>
      <c r="OJX527" s="500"/>
      <c r="OJY527" s="500"/>
      <c r="OJZ527" s="500"/>
      <c r="OKA527" s="500"/>
      <c r="OKB527" s="500"/>
      <c r="OKC527" s="500"/>
      <c r="OKD527" s="500"/>
      <c r="OKE527" s="500"/>
      <c r="OKF527" s="500"/>
      <c r="OKG527" s="500"/>
      <c r="OKH527" s="500"/>
      <c r="OKI527" s="500"/>
      <c r="OKJ527" s="500"/>
      <c r="OKK527" s="500"/>
      <c r="OKL527" s="500"/>
      <c r="OKM527" s="500"/>
      <c r="OKN527" s="500"/>
      <c r="OKO527" s="500"/>
      <c r="OKP527" s="500"/>
      <c r="OKQ527" s="500"/>
      <c r="OKR527" s="500"/>
      <c r="OKS527" s="500"/>
      <c r="OKT527" s="500"/>
      <c r="OKU527" s="500"/>
      <c r="OKV527" s="500"/>
      <c r="OKW527" s="500"/>
      <c r="OKX527" s="500"/>
      <c r="OKY527" s="500"/>
      <c r="OKZ527" s="500"/>
      <c r="OLA527" s="500"/>
      <c r="OLB527" s="500"/>
      <c r="OLC527" s="500"/>
      <c r="OLD527" s="500"/>
      <c r="OLE527" s="500"/>
      <c r="OLF527" s="500"/>
      <c r="OLG527" s="500"/>
      <c r="OLH527" s="500"/>
      <c r="OLI527" s="500"/>
      <c r="OLJ527" s="500"/>
      <c r="OLK527" s="500"/>
      <c r="OLL527" s="500"/>
      <c r="OLM527" s="500"/>
      <c r="OLN527" s="500"/>
      <c r="OLO527" s="500"/>
      <c r="OLP527" s="500"/>
      <c r="OLQ527" s="500"/>
      <c r="OLR527" s="500"/>
      <c r="OLS527" s="500"/>
      <c r="OLT527" s="500"/>
      <c r="OLU527" s="500"/>
      <c r="OLV527" s="500"/>
      <c r="OLW527" s="500"/>
      <c r="OLX527" s="500"/>
      <c r="OLY527" s="500"/>
      <c r="OLZ527" s="500"/>
      <c r="OMA527" s="500"/>
      <c r="OMB527" s="500"/>
      <c r="OMC527" s="500"/>
      <c r="OMD527" s="500"/>
      <c r="OME527" s="500"/>
      <c r="OMF527" s="500"/>
      <c r="OMG527" s="500"/>
      <c r="OMH527" s="500"/>
      <c r="OMI527" s="500"/>
      <c r="OMJ527" s="500"/>
      <c r="OMK527" s="500"/>
      <c r="OML527" s="500"/>
      <c r="OMM527" s="500"/>
      <c r="OMN527" s="500"/>
      <c r="OMO527" s="500"/>
      <c r="OMP527" s="500"/>
      <c r="OMQ527" s="500"/>
      <c r="OMR527" s="500"/>
      <c r="OMS527" s="500"/>
      <c r="OMT527" s="500"/>
      <c r="OMU527" s="500"/>
      <c r="OMV527" s="500"/>
      <c r="OMW527" s="500"/>
      <c r="OMX527" s="500"/>
      <c r="OMY527" s="500"/>
      <c r="OMZ527" s="500"/>
      <c r="ONA527" s="500"/>
      <c r="ONB527" s="500"/>
      <c r="ONC527" s="500"/>
      <c r="OND527" s="500"/>
      <c r="ONE527" s="500"/>
      <c r="ONF527" s="500"/>
      <c r="ONG527" s="500"/>
      <c r="ONH527" s="500"/>
      <c r="ONI527" s="500"/>
      <c r="ONJ527" s="500"/>
      <c r="ONK527" s="500"/>
      <c r="ONL527" s="500"/>
      <c r="ONM527" s="500"/>
      <c r="ONN527" s="500"/>
      <c r="ONO527" s="500"/>
      <c r="ONP527" s="500"/>
      <c r="ONQ527" s="500"/>
      <c r="ONR527" s="500"/>
      <c r="ONS527" s="500"/>
      <c r="ONT527" s="500"/>
      <c r="ONU527" s="500"/>
      <c r="ONV527" s="500"/>
      <c r="ONW527" s="500"/>
      <c r="ONX527" s="500"/>
      <c r="ONY527" s="500"/>
      <c r="ONZ527" s="500"/>
      <c r="OOA527" s="500"/>
      <c r="OOB527" s="500"/>
      <c r="OOC527" s="500"/>
      <c r="OOD527" s="500"/>
      <c r="OOE527" s="500"/>
      <c r="OOF527" s="500"/>
      <c r="OOG527" s="500"/>
      <c r="OOH527" s="500"/>
      <c r="OOI527" s="500"/>
      <c r="OOJ527" s="500"/>
      <c r="OOK527" s="500"/>
      <c r="OOL527" s="500"/>
      <c r="OOM527" s="500"/>
      <c r="OON527" s="500"/>
      <c r="OOO527" s="500"/>
      <c r="OOP527" s="500"/>
      <c r="OOQ527" s="500"/>
      <c r="OOR527" s="500"/>
      <c r="OOS527" s="500"/>
      <c r="OOT527" s="500"/>
      <c r="OOU527" s="500"/>
      <c r="OOV527" s="500"/>
      <c r="OOW527" s="500"/>
      <c r="OOX527" s="500"/>
      <c r="OOY527" s="500"/>
      <c r="OOZ527" s="500"/>
      <c r="OPA527" s="500"/>
      <c r="OPB527" s="500"/>
      <c r="OPC527" s="500"/>
      <c r="OPD527" s="500"/>
      <c r="OPE527" s="500"/>
      <c r="OPF527" s="500"/>
      <c r="OPG527" s="500"/>
      <c r="OPH527" s="500"/>
      <c r="OPI527" s="500"/>
      <c r="OPJ527" s="500"/>
      <c r="OPK527" s="500"/>
      <c r="OPL527" s="500"/>
      <c r="OPM527" s="500"/>
      <c r="OPN527" s="500"/>
      <c r="OPO527" s="500"/>
      <c r="OPP527" s="500"/>
      <c r="OPQ527" s="500"/>
      <c r="OPR527" s="500"/>
      <c r="OPS527" s="500"/>
      <c r="OPT527" s="500"/>
      <c r="OPU527" s="500"/>
      <c r="OPV527" s="500"/>
      <c r="OPW527" s="500"/>
      <c r="OPX527" s="500"/>
      <c r="OPY527" s="500"/>
      <c r="OPZ527" s="500"/>
      <c r="OQA527" s="500"/>
      <c r="OQB527" s="500"/>
      <c r="OQC527" s="500"/>
      <c r="OQD527" s="500"/>
      <c r="OQE527" s="500"/>
      <c r="OQF527" s="500"/>
      <c r="OQG527" s="500"/>
      <c r="OQH527" s="500"/>
      <c r="OQI527" s="500"/>
      <c r="OQJ527" s="500"/>
      <c r="OQK527" s="500"/>
      <c r="OQL527" s="500"/>
      <c r="OQM527" s="500"/>
      <c r="OQN527" s="500"/>
      <c r="OQO527" s="500"/>
      <c r="OQP527" s="500"/>
      <c r="OQQ527" s="500"/>
      <c r="OQR527" s="500"/>
      <c r="OQS527" s="500"/>
      <c r="OQT527" s="500"/>
      <c r="OQU527" s="500"/>
      <c r="OQV527" s="500"/>
      <c r="OQW527" s="500"/>
      <c r="OQX527" s="500"/>
      <c r="OQY527" s="500"/>
      <c r="OQZ527" s="500"/>
      <c r="ORA527" s="500"/>
      <c r="ORB527" s="500"/>
      <c r="ORC527" s="500"/>
      <c r="ORD527" s="500"/>
      <c r="ORE527" s="500"/>
      <c r="ORF527" s="500"/>
      <c r="ORG527" s="500"/>
      <c r="ORH527" s="500"/>
      <c r="ORI527" s="500"/>
      <c r="ORJ527" s="500"/>
      <c r="ORK527" s="500"/>
      <c r="ORL527" s="500"/>
      <c r="ORM527" s="500"/>
      <c r="ORN527" s="500"/>
      <c r="ORO527" s="500"/>
      <c r="ORP527" s="500"/>
      <c r="ORQ527" s="500"/>
      <c r="ORR527" s="500"/>
      <c r="ORS527" s="500"/>
      <c r="ORT527" s="500"/>
      <c r="ORU527" s="500"/>
      <c r="ORV527" s="500"/>
      <c r="ORW527" s="500"/>
      <c r="ORX527" s="500"/>
      <c r="ORY527" s="500"/>
      <c r="ORZ527" s="500"/>
      <c r="OSA527" s="500"/>
      <c r="OSB527" s="500"/>
      <c r="OSC527" s="500"/>
      <c r="OSD527" s="500"/>
      <c r="OSE527" s="500"/>
      <c r="OSF527" s="500"/>
      <c r="OSG527" s="500"/>
      <c r="OSH527" s="500"/>
      <c r="OSI527" s="500"/>
      <c r="OSJ527" s="500"/>
      <c r="OSK527" s="500"/>
      <c r="OSL527" s="500"/>
      <c r="OSM527" s="500"/>
      <c r="OSN527" s="500"/>
      <c r="OSO527" s="500"/>
      <c r="OSP527" s="500"/>
      <c r="OSQ527" s="500"/>
      <c r="OSR527" s="500"/>
      <c r="OSS527" s="500"/>
      <c r="OST527" s="500"/>
      <c r="OSU527" s="500"/>
      <c r="OSV527" s="500"/>
      <c r="OSW527" s="500"/>
      <c r="OSX527" s="500"/>
      <c r="OSY527" s="500"/>
      <c r="OSZ527" s="500"/>
      <c r="OTA527" s="500"/>
      <c r="OTB527" s="500"/>
      <c r="OTC527" s="500"/>
      <c r="OTD527" s="500"/>
      <c r="OTE527" s="500"/>
      <c r="OTF527" s="500"/>
      <c r="OTG527" s="500"/>
      <c r="OTH527" s="500"/>
      <c r="OTI527" s="500"/>
      <c r="OTJ527" s="500"/>
      <c r="OTK527" s="500"/>
      <c r="OTL527" s="500"/>
      <c r="OTM527" s="500"/>
      <c r="OTN527" s="500"/>
      <c r="OTO527" s="500"/>
      <c r="OTP527" s="500"/>
      <c r="OTQ527" s="500"/>
      <c r="OTR527" s="500"/>
      <c r="OTS527" s="500"/>
      <c r="OTT527" s="500"/>
      <c r="OTU527" s="500"/>
      <c r="OTV527" s="500"/>
      <c r="OTW527" s="500"/>
      <c r="OTX527" s="500"/>
      <c r="OTY527" s="500"/>
      <c r="OTZ527" s="500"/>
      <c r="OUA527" s="500"/>
      <c r="OUB527" s="500"/>
      <c r="OUC527" s="500"/>
      <c r="OUD527" s="500"/>
      <c r="OUE527" s="500"/>
      <c r="OUF527" s="500"/>
      <c r="OUG527" s="500"/>
      <c r="OUH527" s="500"/>
      <c r="OUI527" s="500"/>
      <c r="OUJ527" s="500"/>
      <c r="OUK527" s="500"/>
      <c r="OUL527" s="500"/>
      <c r="OUM527" s="500"/>
      <c r="OUN527" s="500"/>
      <c r="OUO527" s="500"/>
      <c r="OUP527" s="500"/>
      <c r="OUQ527" s="500"/>
      <c r="OUR527" s="500"/>
      <c r="OUS527" s="500"/>
      <c r="OUT527" s="500"/>
      <c r="OUU527" s="500"/>
      <c r="OUV527" s="500"/>
      <c r="OUW527" s="500"/>
      <c r="OUX527" s="500"/>
      <c r="OUY527" s="500"/>
      <c r="OUZ527" s="500"/>
      <c r="OVA527" s="500"/>
      <c r="OVB527" s="500"/>
      <c r="OVC527" s="500"/>
      <c r="OVD527" s="500"/>
      <c r="OVE527" s="500"/>
      <c r="OVF527" s="500"/>
      <c r="OVG527" s="500"/>
      <c r="OVH527" s="500"/>
      <c r="OVI527" s="500"/>
      <c r="OVJ527" s="500"/>
      <c r="OVK527" s="500"/>
      <c r="OVL527" s="500"/>
      <c r="OVM527" s="500"/>
      <c r="OVN527" s="500"/>
      <c r="OVO527" s="500"/>
      <c r="OVP527" s="500"/>
      <c r="OVQ527" s="500"/>
      <c r="OVR527" s="500"/>
      <c r="OVS527" s="500"/>
      <c r="OVT527" s="500"/>
      <c r="OVU527" s="500"/>
      <c r="OVV527" s="500"/>
      <c r="OVW527" s="500"/>
      <c r="OVX527" s="500"/>
      <c r="OVY527" s="500"/>
      <c r="OVZ527" s="500"/>
      <c r="OWA527" s="500"/>
      <c r="OWB527" s="500"/>
      <c r="OWC527" s="500"/>
      <c r="OWD527" s="500"/>
      <c r="OWE527" s="500"/>
      <c r="OWF527" s="500"/>
      <c r="OWG527" s="500"/>
      <c r="OWH527" s="500"/>
      <c r="OWI527" s="500"/>
      <c r="OWJ527" s="500"/>
      <c r="OWK527" s="500"/>
      <c r="OWL527" s="500"/>
      <c r="OWM527" s="500"/>
      <c r="OWN527" s="500"/>
      <c r="OWO527" s="500"/>
      <c r="OWP527" s="500"/>
      <c r="OWQ527" s="500"/>
      <c r="OWR527" s="500"/>
      <c r="OWS527" s="500"/>
      <c r="OWT527" s="500"/>
      <c r="OWU527" s="500"/>
      <c r="OWV527" s="500"/>
      <c r="OWW527" s="500"/>
      <c r="OWX527" s="500"/>
      <c r="OWY527" s="500"/>
      <c r="OWZ527" s="500"/>
      <c r="OXA527" s="500"/>
      <c r="OXB527" s="500"/>
      <c r="OXC527" s="500"/>
      <c r="OXD527" s="500"/>
      <c r="OXE527" s="500"/>
      <c r="OXF527" s="500"/>
      <c r="OXG527" s="500"/>
      <c r="OXH527" s="500"/>
      <c r="OXI527" s="500"/>
      <c r="OXJ527" s="500"/>
      <c r="OXK527" s="500"/>
      <c r="OXL527" s="500"/>
      <c r="OXM527" s="500"/>
      <c r="OXN527" s="500"/>
      <c r="OXO527" s="500"/>
      <c r="OXP527" s="500"/>
      <c r="OXQ527" s="500"/>
      <c r="OXR527" s="500"/>
      <c r="OXS527" s="500"/>
      <c r="OXT527" s="500"/>
      <c r="OXU527" s="500"/>
      <c r="OXV527" s="500"/>
      <c r="OXW527" s="500"/>
      <c r="OXX527" s="500"/>
      <c r="OXY527" s="500"/>
      <c r="OXZ527" s="500"/>
      <c r="OYA527" s="500"/>
      <c r="OYB527" s="500"/>
      <c r="OYC527" s="500"/>
      <c r="OYD527" s="500"/>
      <c r="OYE527" s="500"/>
      <c r="OYF527" s="500"/>
      <c r="OYG527" s="500"/>
      <c r="OYH527" s="500"/>
      <c r="OYI527" s="500"/>
      <c r="OYJ527" s="500"/>
      <c r="OYK527" s="500"/>
      <c r="OYL527" s="500"/>
      <c r="OYM527" s="500"/>
      <c r="OYN527" s="500"/>
      <c r="OYO527" s="500"/>
      <c r="OYP527" s="500"/>
      <c r="OYQ527" s="500"/>
      <c r="OYR527" s="500"/>
      <c r="OYS527" s="500"/>
      <c r="OYT527" s="500"/>
      <c r="OYU527" s="500"/>
      <c r="OYV527" s="500"/>
      <c r="OYW527" s="500"/>
      <c r="OYX527" s="500"/>
      <c r="OYY527" s="500"/>
      <c r="OYZ527" s="500"/>
      <c r="OZA527" s="500"/>
      <c r="OZB527" s="500"/>
      <c r="OZC527" s="500"/>
      <c r="OZD527" s="500"/>
      <c r="OZE527" s="500"/>
      <c r="OZF527" s="500"/>
      <c r="OZG527" s="500"/>
      <c r="OZH527" s="500"/>
      <c r="OZI527" s="500"/>
      <c r="OZJ527" s="500"/>
      <c r="OZK527" s="500"/>
      <c r="OZL527" s="500"/>
      <c r="OZM527" s="500"/>
      <c r="OZN527" s="500"/>
      <c r="OZO527" s="500"/>
      <c r="OZP527" s="500"/>
      <c r="OZQ527" s="500"/>
      <c r="OZR527" s="500"/>
      <c r="OZS527" s="500"/>
      <c r="OZT527" s="500"/>
      <c r="OZU527" s="500"/>
      <c r="OZV527" s="500"/>
      <c r="OZW527" s="500"/>
      <c r="OZX527" s="500"/>
      <c r="OZY527" s="500"/>
      <c r="OZZ527" s="500"/>
      <c r="PAA527" s="500"/>
      <c r="PAB527" s="500"/>
      <c r="PAC527" s="500"/>
      <c r="PAD527" s="500"/>
      <c r="PAE527" s="500"/>
      <c r="PAF527" s="500"/>
      <c r="PAG527" s="500"/>
      <c r="PAH527" s="500"/>
      <c r="PAI527" s="500"/>
      <c r="PAJ527" s="500"/>
      <c r="PAK527" s="500"/>
      <c r="PAL527" s="500"/>
      <c r="PAM527" s="500"/>
      <c r="PAN527" s="500"/>
      <c r="PAO527" s="500"/>
      <c r="PAP527" s="500"/>
      <c r="PAQ527" s="500"/>
      <c r="PAR527" s="500"/>
      <c r="PAS527" s="500"/>
      <c r="PAT527" s="500"/>
      <c r="PAU527" s="500"/>
      <c r="PAV527" s="500"/>
      <c r="PAW527" s="500"/>
      <c r="PAX527" s="500"/>
      <c r="PAY527" s="500"/>
      <c r="PAZ527" s="500"/>
      <c r="PBA527" s="500"/>
      <c r="PBB527" s="500"/>
      <c r="PBC527" s="500"/>
      <c r="PBD527" s="500"/>
      <c r="PBE527" s="500"/>
      <c r="PBF527" s="500"/>
      <c r="PBG527" s="500"/>
      <c r="PBH527" s="500"/>
      <c r="PBI527" s="500"/>
      <c r="PBJ527" s="500"/>
      <c r="PBK527" s="500"/>
      <c r="PBL527" s="500"/>
      <c r="PBM527" s="500"/>
      <c r="PBN527" s="500"/>
      <c r="PBO527" s="500"/>
      <c r="PBP527" s="500"/>
      <c r="PBQ527" s="500"/>
      <c r="PBR527" s="500"/>
      <c r="PBS527" s="500"/>
      <c r="PBT527" s="500"/>
      <c r="PBU527" s="500"/>
      <c r="PBV527" s="500"/>
      <c r="PBW527" s="500"/>
      <c r="PBX527" s="500"/>
      <c r="PBY527" s="500"/>
      <c r="PBZ527" s="500"/>
      <c r="PCA527" s="500"/>
      <c r="PCB527" s="500"/>
      <c r="PCC527" s="500"/>
      <c r="PCD527" s="500"/>
      <c r="PCE527" s="500"/>
      <c r="PCF527" s="500"/>
      <c r="PCG527" s="500"/>
      <c r="PCH527" s="500"/>
      <c r="PCI527" s="500"/>
      <c r="PCJ527" s="500"/>
      <c r="PCK527" s="500"/>
      <c r="PCL527" s="500"/>
      <c r="PCM527" s="500"/>
      <c r="PCN527" s="500"/>
      <c r="PCO527" s="500"/>
      <c r="PCP527" s="500"/>
      <c r="PCQ527" s="500"/>
      <c r="PCR527" s="500"/>
      <c r="PCS527" s="500"/>
      <c r="PCT527" s="500"/>
      <c r="PCU527" s="500"/>
      <c r="PCV527" s="500"/>
      <c r="PCW527" s="500"/>
      <c r="PCX527" s="500"/>
      <c r="PCY527" s="500"/>
      <c r="PCZ527" s="500"/>
      <c r="PDA527" s="500"/>
      <c r="PDB527" s="500"/>
      <c r="PDC527" s="500"/>
      <c r="PDD527" s="500"/>
      <c r="PDE527" s="500"/>
      <c r="PDF527" s="500"/>
      <c r="PDG527" s="500"/>
      <c r="PDH527" s="500"/>
      <c r="PDI527" s="500"/>
      <c r="PDJ527" s="500"/>
      <c r="PDK527" s="500"/>
      <c r="PDL527" s="500"/>
      <c r="PDM527" s="500"/>
      <c r="PDN527" s="500"/>
      <c r="PDO527" s="500"/>
      <c r="PDP527" s="500"/>
      <c r="PDQ527" s="500"/>
      <c r="PDR527" s="500"/>
      <c r="PDS527" s="500"/>
      <c r="PDT527" s="500"/>
      <c r="PDU527" s="500"/>
      <c r="PDV527" s="500"/>
      <c r="PDW527" s="500"/>
      <c r="PDX527" s="500"/>
      <c r="PDY527" s="500"/>
      <c r="PDZ527" s="500"/>
      <c r="PEA527" s="500"/>
      <c r="PEB527" s="500"/>
      <c r="PEC527" s="500"/>
      <c r="PED527" s="500"/>
      <c r="PEE527" s="500"/>
      <c r="PEF527" s="500"/>
      <c r="PEG527" s="500"/>
      <c r="PEH527" s="500"/>
      <c r="PEI527" s="500"/>
      <c r="PEJ527" s="500"/>
      <c r="PEK527" s="500"/>
      <c r="PEL527" s="500"/>
      <c r="PEM527" s="500"/>
      <c r="PEN527" s="500"/>
      <c r="PEO527" s="500"/>
      <c r="PEP527" s="500"/>
      <c r="PEQ527" s="500"/>
      <c r="PER527" s="500"/>
      <c r="PES527" s="500"/>
      <c r="PET527" s="500"/>
      <c r="PEU527" s="500"/>
      <c r="PEV527" s="500"/>
      <c r="PEW527" s="500"/>
      <c r="PEX527" s="500"/>
      <c r="PEY527" s="500"/>
      <c r="PEZ527" s="500"/>
      <c r="PFA527" s="500"/>
      <c r="PFB527" s="500"/>
      <c r="PFC527" s="500"/>
      <c r="PFD527" s="500"/>
      <c r="PFE527" s="500"/>
      <c r="PFF527" s="500"/>
      <c r="PFG527" s="500"/>
      <c r="PFH527" s="500"/>
      <c r="PFI527" s="500"/>
      <c r="PFJ527" s="500"/>
      <c r="PFK527" s="500"/>
      <c r="PFL527" s="500"/>
      <c r="PFM527" s="500"/>
      <c r="PFN527" s="500"/>
      <c r="PFO527" s="500"/>
      <c r="PFP527" s="500"/>
      <c r="PFQ527" s="500"/>
      <c r="PFR527" s="500"/>
      <c r="PFS527" s="500"/>
      <c r="PFT527" s="500"/>
      <c r="PFU527" s="500"/>
      <c r="PFV527" s="500"/>
      <c r="PFW527" s="500"/>
      <c r="PFX527" s="500"/>
      <c r="PFY527" s="500"/>
      <c r="PFZ527" s="500"/>
      <c r="PGA527" s="500"/>
      <c r="PGB527" s="500"/>
      <c r="PGC527" s="500"/>
      <c r="PGD527" s="500"/>
      <c r="PGE527" s="500"/>
      <c r="PGF527" s="500"/>
      <c r="PGG527" s="500"/>
      <c r="PGH527" s="500"/>
      <c r="PGI527" s="500"/>
      <c r="PGJ527" s="500"/>
      <c r="PGK527" s="500"/>
      <c r="PGL527" s="500"/>
      <c r="PGM527" s="500"/>
      <c r="PGN527" s="500"/>
      <c r="PGO527" s="500"/>
      <c r="PGP527" s="500"/>
      <c r="PGQ527" s="500"/>
      <c r="PGR527" s="500"/>
      <c r="PGS527" s="500"/>
      <c r="PGT527" s="500"/>
      <c r="PGU527" s="500"/>
      <c r="PGV527" s="500"/>
      <c r="PGW527" s="500"/>
      <c r="PGX527" s="500"/>
      <c r="PGY527" s="500"/>
      <c r="PGZ527" s="500"/>
      <c r="PHA527" s="500"/>
      <c r="PHB527" s="500"/>
      <c r="PHC527" s="500"/>
      <c r="PHD527" s="500"/>
      <c r="PHE527" s="500"/>
      <c r="PHF527" s="500"/>
      <c r="PHG527" s="500"/>
      <c r="PHH527" s="500"/>
      <c r="PHI527" s="500"/>
      <c r="PHJ527" s="500"/>
      <c r="PHK527" s="500"/>
      <c r="PHL527" s="500"/>
      <c r="PHM527" s="500"/>
      <c r="PHN527" s="500"/>
      <c r="PHO527" s="500"/>
      <c r="PHP527" s="500"/>
      <c r="PHQ527" s="500"/>
      <c r="PHR527" s="500"/>
      <c r="PHS527" s="500"/>
      <c r="PHT527" s="500"/>
      <c r="PHU527" s="500"/>
      <c r="PHV527" s="500"/>
      <c r="PHW527" s="500"/>
      <c r="PHX527" s="500"/>
      <c r="PHY527" s="500"/>
      <c r="PHZ527" s="500"/>
      <c r="PIA527" s="500"/>
      <c r="PIB527" s="500"/>
      <c r="PIC527" s="500"/>
      <c r="PID527" s="500"/>
      <c r="PIE527" s="500"/>
      <c r="PIF527" s="500"/>
      <c r="PIG527" s="500"/>
      <c r="PIH527" s="500"/>
      <c r="PII527" s="500"/>
      <c r="PIJ527" s="500"/>
      <c r="PIK527" s="500"/>
      <c r="PIL527" s="500"/>
      <c r="PIM527" s="500"/>
      <c r="PIN527" s="500"/>
      <c r="PIO527" s="500"/>
      <c r="PIP527" s="500"/>
      <c r="PIQ527" s="500"/>
      <c r="PIR527" s="500"/>
      <c r="PIS527" s="500"/>
      <c r="PIT527" s="500"/>
      <c r="PIU527" s="500"/>
      <c r="PIV527" s="500"/>
      <c r="PIW527" s="500"/>
      <c r="PIX527" s="500"/>
      <c r="PIY527" s="500"/>
      <c r="PIZ527" s="500"/>
      <c r="PJA527" s="500"/>
      <c r="PJB527" s="500"/>
      <c r="PJC527" s="500"/>
      <c r="PJD527" s="500"/>
      <c r="PJE527" s="500"/>
      <c r="PJF527" s="500"/>
      <c r="PJG527" s="500"/>
      <c r="PJH527" s="500"/>
      <c r="PJI527" s="500"/>
      <c r="PJJ527" s="500"/>
      <c r="PJK527" s="500"/>
      <c r="PJL527" s="500"/>
      <c r="PJM527" s="500"/>
      <c r="PJN527" s="500"/>
      <c r="PJO527" s="500"/>
      <c r="PJP527" s="500"/>
      <c r="PJQ527" s="500"/>
      <c r="PJR527" s="500"/>
      <c r="PJS527" s="500"/>
      <c r="PJT527" s="500"/>
      <c r="PJU527" s="500"/>
      <c r="PJV527" s="500"/>
      <c r="PJW527" s="500"/>
      <c r="PJX527" s="500"/>
      <c r="PJY527" s="500"/>
      <c r="PJZ527" s="500"/>
      <c r="PKA527" s="500"/>
      <c r="PKB527" s="500"/>
      <c r="PKC527" s="500"/>
      <c r="PKD527" s="500"/>
      <c r="PKE527" s="500"/>
      <c r="PKF527" s="500"/>
      <c r="PKG527" s="500"/>
      <c r="PKH527" s="500"/>
      <c r="PKI527" s="500"/>
      <c r="PKJ527" s="500"/>
      <c r="PKK527" s="500"/>
      <c r="PKL527" s="500"/>
      <c r="PKM527" s="500"/>
      <c r="PKN527" s="500"/>
      <c r="PKO527" s="500"/>
      <c r="PKP527" s="500"/>
      <c r="PKQ527" s="500"/>
      <c r="PKR527" s="500"/>
      <c r="PKS527" s="500"/>
      <c r="PKT527" s="500"/>
      <c r="PKU527" s="500"/>
      <c r="PKV527" s="500"/>
      <c r="PKW527" s="500"/>
      <c r="PKX527" s="500"/>
      <c r="PKY527" s="500"/>
      <c r="PKZ527" s="500"/>
      <c r="PLA527" s="500"/>
      <c r="PLB527" s="500"/>
      <c r="PLC527" s="500"/>
      <c r="PLD527" s="500"/>
      <c r="PLE527" s="500"/>
      <c r="PLF527" s="500"/>
      <c r="PLG527" s="500"/>
      <c r="PLH527" s="500"/>
      <c r="PLI527" s="500"/>
      <c r="PLJ527" s="500"/>
      <c r="PLK527" s="500"/>
      <c r="PLL527" s="500"/>
      <c r="PLM527" s="500"/>
      <c r="PLN527" s="500"/>
      <c r="PLO527" s="500"/>
      <c r="PLP527" s="500"/>
      <c r="PLQ527" s="500"/>
      <c r="PLR527" s="500"/>
      <c r="PLS527" s="500"/>
      <c r="PLT527" s="500"/>
      <c r="PLU527" s="500"/>
      <c r="PLV527" s="500"/>
      <c r="PLW527" s="500"/>
      <c r="PLX527" s="500"/>
      <c r="PLY527" s="500"/>
      <c r="PLZ527" s="500"/>
      <c r="PMA527" s="500"/>
      <c r="PMB527" s="500"/>
      <c r="PMC527" s="500"/>
      <c r="PMD527" s="500"/>
      <c r="PME527" s="500"/>
      <c r="PMF527" s="500"/>
      <c r="PMG527" s="500"/>
      <c r="PMH527" s="500"/>
      <c r="PMI527" s="500"/>
      <c r="PMJ527" s="500"/>
      <c r="PMK527" s="500"/>
      <c r="PML527" s="500"/>
      <c r="PMM527" s="500"/>
      <c r="PMN527" s="500"/>
      <c r="PMO527" s="500"/>
      <c r="PMP527" s="500"/>
      <c r="PMQ527" s="500"/>
      <c r="PMR527" s="500"/>
      <c r="PMS527" s="500"/>
      <c r="PMT527" s="500"/>
      <c r="PMU527" s="500"/>
      <c r="PMV527" s="500"/>
      <c r="PMW527" s="500"/>
      <c r="PMX527" s="500"/>
      <c r="PMY527" s="500"/>
      <c r="PMZ527" s="500"/>
      <c r="PNA527" s="500"/>
      <c r="PNB527" s="500"/>
      <c r="PNC527" s="500"/>
      <c r="PND527" s="500"/>
      <c r="PNE527" s="500"/>
      <c r="PNF527" s="500"/>
      <c r="PNG527" s="500"/>
      <c r="PNH527" s="500"/>
      <c r="PNI527" s="500"/>
      <c r="PNJ527" s="500"/>
      <c r="PNK527" s="500"/>
      <c r="PNL527" s="500"/>
      <c r="PNM527" s="500"/>
      <c r="PNN527" s="500"/>
      <c r="PNO527" s="500"/>
      <c r="PNP527" s="500"/>
      <c r="PNQ527" s="500"/>
      <c r="PNR527" s="500"/>
      <c r="PNS527" s="500"/>
      <c r="PNT527" s="500"/>
      <c r="PNU527" s="500"/>
      <c r="PNV527" s="500"/>
      <c r="PNW527" s="500"/>
      <c r="PNX527" s="500"/>
      <c r="PNY527" s="500"/>
      <c r="PNZ527" s="500"/>
      <c r="POA527" s="500"/>
      <c r="POB527" s="500"/>
      <c r="POC527" s="500"/>
      <c r="POD527" s="500"/>
      <c r="POE527" s="500"/>
      <c r="POF527" s="500"/>
      <c r="POG527" s="500"/>
      <c r="POH527" s="500"/>
      <c r="POI527" s="500"/>
      <c r="POJ527" s="500"/>
      <c r="POK527" s="500"/>
      <c r="POL527" s="500"/>
      <c r="POM527" s="500"/>
      <c r="PON527" s="500"/>
      <c r="POO527" s="500"/>
      <c r="POP527" s="500"/>
      <c r="POQ527" s="500"/>
      <c r="POR527" s="500"/>
      <c r="POS527" s="500"/>
      <c r="POT527" s="500"/>
      <c r="POU527" s="500"/>
      <c r="POV527" s="500"/>
      <c r="POW527" s="500"/>
      <c r="POX527" s="500"/>
      <c r="POY527" s="500"/>
      <c r="POZ527" s="500"/>
      <c r="PPA527" s="500"/>
      <c r="PPB527" s="500"/>
      <c r="PPC527" s="500"/>
      <c r="PPD527" s="500"/>
      <c r="PPE527" s="500"/>
      <c r="PPF527" s="500"/>
      <c r="PPG527" s="500"/>
      <c r="PPH527" s="500"/>
      <c r="PPI527" s="500"/>
      <c r="PPJ527" s="500"/>
      <c r="PPK527" s="500"/>
      <c r="PPL527" s="500"/>
      <c r="PPM527" s="500"/>
      <c r="PPN527" s="500"/>
      <c r="PPO527" s="500"/>
      <c r="PPP527" s="500"/>
      <c r="PPQ527" s="500"/>
      <c r="PPR527" s="500"/>
      <c r="PPS527" s="500"/>
      <c r="PPT527" s="500"/>
      <c r="PPU527" s="500"/>
      <c r="PPV527" s="500"/>
      <c r="PPW527" s="500"/>
      <c r="PPX527" s="500"/>
      <c r="PPY527" s="500"/>
      <c r="PPZ527" s="500"/>
      <c r="PQA527" s="500"/>
      <c r="PQB527" s="500"/>
      <c r="PQC527" s="500"/>
      <c r="PQD527" s="500"/>
      <c r="PQE527" s="500"/>
      <c r="PQF527" s="500"/>
      <c r="PQG527" s="500"/>
      <c r="PQH527" s="500"/>
      <c r="PQI527" s="500"/>
      <c r="PQJ527" s="500"/>
      <c r="PQK527" s="500"/>
      <c r="PQL527" s="500"/>
      <c r="PQM527" s="500"/>
      <c r="PQN527" s="500"/>
      <c r="PQO527" s="500"/>
      <c r="PQP527" s="500"/>
      <c r="PQQ527" s="500"/>
      <c r="PQR527" s="500"/>
      <c r="PQS527" s="500"/>
      <c r="PQT527" s="500"/>
      <c r="PQU527" s="500"/>
      <c r="PQV527" s="500"/>
      <c r="PQW527" s="500"/>
      <c r="PQX527" s="500"/>
      <c r="PQY527" s="500"/>
      <c r="PQZ527" s="500"/>
      <c r="PRA527" s="500"/>
      <c r="PRB527" s="500"/>
      <c r="PRC527" s="500"/>
      <c r="PRD527" s="500"/>
      <c r="PRE527" s="500"/>
      <c r="PRF527" s="500"/>
      <c r="PRG527" s="500"/>
      <c r="PRH527" s="500"/>
      <c r="PRI527" s="500"/>
      <c r="PRJ527" s="500"/>
      <c r="PRK527" s="500"/>
      <c r="PRL527" s="500"/>
      <c r="PRM527" s="500"/>
      <c r="PRN527" s="500"/>
      <c r="PRO527" s="500"/>
      <c r="PRP527" s="500"/>
      <c r="PRQ527" s="500"/>
      <c r="PRR527" s="500"/>
      <c r="PRS527" s="500"/>
      <c r="PRT527" s="500"/>
      <c r="PRU527" s="500"/>
      <c r="PRV527" s="500"/>
      <c r="PRW527" s="500"/>
      <c r="PRX527" s="500"/>
      <c r="PRY527" s="500"/>
      <c r="PRZ527" s="500"/>
      <c r="PSA527" s="500"/>
      <c r="PSB527" s="500"/>
      <c r="PSC527" s="500"/>
      <c r="PSD527" s="500"/>
      <c r="PSE527" s="500"/>
      <c r="PSF527" s="500"/>
      <c r="PSG527" s="500"/>
      <c r="PSH527" s="500"/>
      <c r="PSI527" s="500"/>
      <c r="PSJ527" s="500"/>
      <c r="PSK527" s="500"/>
      <c r="PSL527" s="500"/>
      <c r="PSM527" s="500"/>
      <c r="PSN527" s="500"/>
      <c r="PSO527" s="500"/>
      <c r="PSP527" s="500"/>
      <c r="PSQ527" s="500"/>
      <c r="PSR527" s="500"/>
      <c r="PSS527" s="500"/>
      <c r="PST527" s="500"/>
      <c r="PSU527" s="500"/>
      <c r="PSV527" s="500"/>
      <c r="PSW527" s="500"/>
      <c r="PSX527" s="500"/>
      <c r="PSY527" s="500"/>
      <c r="PSZ527" s="500"/>
      <c r="PTA527" s="500"/>
      <c r="PTB527" s="500"/>
      <c r="PTC527" s="500"/>
      <c r="PTD527" s="500"/>
      <c r="PTE527" s="500"/>
      <c r="PTF527" s="500"/>
      <c r="PTG527" s="500"/>
      <c r="PTH527" s="500"/>
      <c r="PTI527" s="500"/>
      <c r="PTJ527" s="500"/>
      <c r="PTK527" s="500"/>
      <c r="PTL527" s="500"/>
      <c r="PTM527" s="500"/>
      <c r="PTN527" s="500"/>
      <c r="PTO527" s="500"/>
      <c r="PTP527" s="500"/>
      <c r="PTQ527" s="500"/>
      <c r="PTR527" s="500"/>
      <c r="PTS527" s="500"/>
      <c r="PTT527" s="500"/>
      <c r="PTU527" s="500"/>
      <c r="PTV527" s="500"/>
      <c r="PTW527" s="500"/>
      <c r="PTX527" s="500"/>
      <c r="PTY527" s="500"/>
      <c r="PTZ527" s="500"/>
      <c r="PUA527" s="500"/>
      <c r="PUB527" s="500"/>
      <c r="PUC527" s="500"/>
      <c r="PUD527" s="500"/>
      <c r="PUE527" s="500"/>
      <c r="PUF527" s="500"/>
      <c r="PUG527" s="500"/>
      <c r="PUH527" s="500"/>
      <c r="PUI527" s="500"/>
      <c r="PUJ527" s="500"/>
      <c r="PUK527" s="500"/>
      <c r="PUL527" s="500"/>
      <c r="PUM527" s="500"/>
      <c r="PUN527" s="500"/>
      <c r="PUO527" s="500"/>
      <c r="PUP527" s="500"/>
      <c r="PUQ527" s="500"/>
      <c r="PUR527" s="500"/>
      <c r="PUS527" s="500"/>
      <c r="PUT527" s="500"/>
      <c r="PUU527" s="500"/>
      <c r="PUV527" s="500"/>
      <c r="PUW527" s="500"/>
      <c r="PUX527" s="500"/>
      <c r="PUY527" s="500"/>
      <c r="PUZ527" s="500"/>
      <c r="PVA527" s="500"/>
      <c r="PVB527" s="500"/>
      <c r="PVC527" s="500"/>
      <c r="PVD527" s="500"/>
      <c r="PVE527" s="500"/>
      <c r="PVF527" s="500"/>
      <c r="PVG527" s="500"/>
      <c r="PVH527" s="500"/>
      <c r="PVI527" s="500"/>
      <c r="PVJ527" s="500"/>
      <c r="PVK527" s="500"/>
      <c r="PVL527" s="500"/>
      <c r="PVM527" s="500"/>
      <c r="PVN527" s="500"/>
      <c r="PVO527" s="500"/>
      <c r="PVP527" s="500"/>
      <c r="PVQ527" s="500"/>
      <c r="PVR527" s="500"/>
      <c r="PVS527" s="500"/>
      <c r="PVT527" s="500"/>
      <c r="PVU527" s="500"/>
      <c r="PVV527" s="500"/>
      <c r="PVW527" s="500"/>
      <c r="PVX527" s="500"/>
      <c r="PVY527" s="500"/>
      <c r="PVZ527" s="500"/>
      <c r="PWA527" s="500"/>
      <c r="PWB527" s="500"/>
      <c r="PWC527" s="500"/>
      <c r="PWD527" s="500"/>
      <c r="PWE527" s="500"/>
      <c r="PWF527" s="500"/>
      <c r="PWG527" s="500"/>
      <c r="PWH527" s="500"/>
      <c r="PWI527" s="500"/>
      <c r="PWJ527" s="500"/>
      <c r="PWK527" s="500"/>
      <c r="PWL527" s="500"/>
      <c r="PWM527" s="500"/>
      <c r="PWN527" s="500"/>
      <c r="PWO527" s="500"/>
      <c r="PWP527" s="500"/>
      <c r="PWQ527" s="500"/>
      <c r="PWR527" s="500"/>
      <c r="PWS527" s="500"/>
      <c r="PWT527" s="500"/>
      <c r="PWU527" s="500"/>
      <c r="PWV527" s="500"/>
      <c r="PWW527" s="500"/>
      <c r="PWX527" s="500"/>
      <c r="PWY527" s="500"/>
      <c r="PWZ527" s="500"/>
      <c r="PXA527" s="500"/>
      <c r="PXB527" s="500"/>
      <c r="PXC527" s="500"/>
      <c r="PXD527" s="500"/>
      <c r="PXE527" s="500"/>
      <c r="PXF527" s="500"/>
      <c r="PXG527" s="500"/>
      <c r="PXH527" s="500"/>
      <c r="PXI527" s="500"/>
      <c r="PXJ527" s="500"/>
      <c r="PXK527" s="500"/>
      <c r="PXL527" s="500"/>
      <c r="PXM527" s="500"/>
      <c r="PXN527" s="500"/>
      <c r="PXO527" s="500"/>
      <c r="PXP527" s="500"/>
      <c r="PXQ527" s="500"/>
      <c r="PXR527" s="500"/>
      <c r="PXS527" s="500"/>
      <c r="PXT527" s="500"/>
      <c r="PXU527" s="500"/>
      <c r="PXV527" s="500"/>
      <c r="PXW527" s="500"/>
      <c r="PXX527" s="500"/>
      <c r="PXY527" s="500"/>
      <c r="PXZ527" s="500"/>
      <c r="PYA527" s="500"/>
      <c r="PYB527" s="500"/>
      <c r="PYC527" s="500"/>
      <c r="PYD527" s="500"/>
      <c r="PYE527" s="500"/>
      <c r="PYF527" s="500"/>
      <c r="PYG527" s="500"/>
      <c r="PYH527" s="500"/>
      <c r="PYI527" s="500"/>
      <c r="PYJ527" s="500"/>
      <c r="PYK527" s="500"/>
      <c r="PYL527" s="500"/>
      <c r="PYM527" s="500"/>
      <c r="PYN527" s="500"/>
      <c r="PYO527" s="500"/>
      <c r="PYP527" s="500"/>
      <c r="PYQ527" s="500"/>
      <c r="PYR527" s="500"/>
      <c r="PYS527" s="500"/>
      <c r="PYT527" s="500"/>
      <c r="PYU527" s="500"/>
      <c r="PYV527" s="500"/>
      <c r="PYW527" s="500"/>
      <c r="PYX527" s="500"/>
      <c r="PYY527" s="500"/>
      <c r="PYZ527" s="500"/>
      <c r="PZA527" s="500"/>
      <c r="PZB527" s="500"/>
      <c r="PZC527" s="500"/>
      <c r="PZD527" s="500"/>
      <c r="PZE527" s="500"/>
      <c r="PZF527" s="500"/>
      <c r="PZG527" s="500"/>
      <c r="PZH527" s="500"/>
      <c r="PZI527" s="500"/>
      <c r="PZJ527" s="500"/>
      <c r="PZK527" s="500"/>
      <c r="PZL527" s="500"/>
      <c r="PZM527" s="500"/>
      <c r="PZN527" s="500"/>
      <c r="PZO527" s="500"/>
      <c r="PZP527" s="500"/>
      <c r="PZQ527" s="500"/>
      <c r="PZR527" s="500"/>
      <c r="PZS527" s="500"/>
      <c r="PZT527" s="500"/>
      <c r="PZU527" s="500"/>
      <c r="PZV527" s="500"/>
      <c r="PZW527" s="500"/>
      <c r="PZX527" s="500"/>
      <c r="PZY527" s="500"/>
      <c r="PZZ527" s="500"/>
      <c r="QAA527" s="500"/>
      <c r="QAB527" s="500"/>
      <c r="QAC527" s="500"/>
      <c r="QAD527" s="500"/>
      <c r="QAE527" s="500"/>
      <c r="QAF527" s="500"/>
      <c r="QAG527" s="500"/>
      <c r="QAH527" s="500"/>
      <c r="QAI527" s="500"/>
      <c r="QAJ527" s="500"/>
      <c r="QAK527" s="500"/>
      <c r="QAL527" s="500"/>
      <c r="QAM527" s="500"/>
      <c r="QAN527" s="500"/>
      <c r="QAO527" s="500"/>
      <c r="QAP527" s="500"/>
      <c r="QAQ527" s="500"/>
      <c r="QAR527" s="500"/>
      <c r="QAS527" s="500"/>
      <c r="QAT527" s="500"/>
      <c r="QAU527" s="500"/>
      <c r="QAV527" s="500"/>
      <c r="QAW527" s="500"/>
      <c r="QAX527" s="500"/>
      <c r="QAY527" s="500"/>
      <c r="QAZ527" s="500"/>
      <c r="QBA527" s="500"/>
      <c r="QBB527" s="500"/>
      <c r="QBC527" s="500"/>
      <c r="QBD527" s="500"/>
      <c r="QBE527" s="500"/>
      <c r="QBF527" s="500"/>
      <c r="QBG527" s="500"/>
      <c r="QBH527" s="500"/>
      <c r="QBI527" s="500"/>
      <c r="QBJ527" s="500"/>
      <c r="QBK527" s="500"/>
      <c r="QBL527" s="500"/>
      <c r="QBM527" s="500"/>
      <c r="QBN527" s="500"/>
      <c r="QBO527" s="500"/>
      <c r="QBP527" s="500"/>
      <c r="QBQ527" s="500"/>
      <c r="QBR527" s="500"/>
      <c r="QBS527" s="500"/>
      <c r="QBT527" s="500"/>
      <c r="QBU527" s="500"/>
      <c r="QBV527" s="500"/>
      <c r="QBW527" s="500"/>
      <c r="QBX527" s="500"/>
      <c r="QBY527" s="500"/>
      <c r="QBZ527" s="500"/>
      <c r="QCA527" s="500"/>
      <c r="QCB527" s="500"/>
      <c r="QCC527" s="500"/>
      <c r="QCD527" s="500"/>
      <c r="QCE527" s="500"/>
      <c r="QCF527" s="500"/>
      <c r="QCG527" s="500"/>
      <c r="QCH527" s="500"/>
      <c r="QCI527" s="500"/>
      <c r="QCJ527" s="500"/>
      <c r="QCK527" s="500"/>
      <c r="QCL527" s="500"/>
      <c r="QCM527" s="500"/>
      <c r="QCN527" s="500"/>
      <c r="QCO527" s="500"/>
      <c r="QCP527" s="500"/>
      <c r="QCQ527" s="500"/>
      <c r="QCR527" s="500"/>
      <c r="QCS527" s="500"/>
      <c r="QCT527" s="500"/>
      <c r="QCU527" s="500"/>
      <c r="QCV527" s="500"/>
      <c r="QCW527" s="500"/>
      <c r="QCX527" s="500"/>
      <c r="QCY527" s="500"/>
      <c r="QCZ527" s="500"/>
      <c r="QDA527" s="500"/>
      <c r="QDB527" s="500"/>
      <c r="QDC527" s="500"/>
      <c r="QDD527" s="500"/>
      <c r="QDE527" s="500"/>
      <c r="QDF527" s="500"/>
      <c r="QDG527" s="500"/>
      <c r="QDH527" s="500"/>
      <c r="QDI527" s="500"/>
      <c r="QDJ527" s="500"/>
      <c r="QDK527" s="500"/>
      <c r="QDL527" s="500"/>
      <c r="QDM527" s="500"/>
      <c r="QDN527" s="500"/>
      <c r="QDO527" s="500"/>
      <c r="QDP527" s="500"/>
      <c r="QDQ527" s="500"/>
      <c r="QDR527" s="500"/>
      <c r="QDS527" s="500"/>
      <c r="QDT527" s="500"/>
      <c r="QDU527" s="500"/>
      <c r="QDV527" s="500"/>
      <c r="QDW527" s="500"/>
      <c r="QDX527" s="500"/>
      <c r="QDY527" s="500"/>
      <c r="QDZ527" s="500"/>
      <c r="QEA527" s="500"/>
      <c r="QEB527" s="500"/>
      <c r="QEC527" s="500"/>
      <c r="QED527" s="500"/>
      <c r="QEE527" s="500"/>
      <c r="QEF527" s="500"/>
      <c r="QEG527" s="500"/>
      <c r="QEH527" s="500"/>
      <c r="QEI527" s="500"/>
      <c r="QEJ527" s="500"/>
      <c r="QEK527" s="500"/>
      <c r="QEL527" s="500"/>
      <c r="QEM527" s="500"/>
      <c r="QEN527" s="500"/>
      <c r="QEO527" s="500"/>
      <c r="QEP527" s="500"/>
      <c r="QEQ527" s="500"/>
      <c r="QER527" s="500"/>
      <c r="QES527" s="500"/>
      <c r="QET527" s="500"/>
      <c r="QEU527" s="500"/>
      <c r="QEV527" s="500"/>
      <c r="QEW527" s="500"/>
      <c r="QEX527" s="500"/>
      <c r="QEY527" s="500"/>
      <c r="QEZ527" s="500"/>
      <c r="QFA527" s="500"/>
      <c r="QFB527" s="500"/>
      <c r="QFC527" s="500"/>
      <c r="QFD527" s="500"/>
      <c r="QFE527" s="500"/>
      <c r="QFF527" s="500"/>
      <c r="QFG527" s="500"/>
      <c r="QFH527" s="500"/>
      <c r="QFI527" s="500"/>
      <c r="QFJ527" s="500"/>
      <c r="QFK527" s="500"/>
      <c r="QFL527" s="500"/>
      <c r="QFM527" s="500"/>
      <c r="QFN527" s="500"/>
      <c r="QFO527" s="500"/>
      <c r="QFP527" s="500"/>
      <c r="QFQ527" s="500"/>
      <c r="QFR527" s="500"/>
      <c r="QFS527" s="500"/>
      <c r="QFT527" s="500"/>
      <c r="QFU527" s="500"/>
      <c r="QFV527" s="500"/>
      <c r="QFW527" s="500"/>
      <c r="QFX527" s="500"/>
      <c r="QFY527" s="500"/>
      <c r="QFZ527" s="500"/>
      <c r="QGA527" s="500"/>
      <c r="QGB527" s="500"/>
      <c r="QGC527" s="500"/>
      <c r="QGD527" s="500"/>
      <c r="QGE527" s="500"/>
      <c r="QGF527" s="500"/>
      <c r="QGG527" s="500"/>
      <c r="QGH527" s="500"/>
      <c r="QGI527" s="500"/>
      <c r="QGJ527" s="500"/>
      <c r="QGK527" s="500"/>
      <c r="QGL527" s="500"/>
      <c r="QGM527" s="500"/>
      <c r="QGN527" s="500"/>
      <c r="QGO527" s="500"/>
      <c r="QGP527" s="500"/>
      <c r="QGQ527" s="500"/>
      <c r="QGR527" s="500"/>
      <c r="QGS527" s="500"/>
      <c r="QGT527" s="500"/>
      <c r="QGU527" s="500"/>
      <c r="QGV527" s="500"/>
      <c r="QGW527" s="500"/>
      <c r="QGX527" s="500"/>
      <c r="QGY527" s="500"/>
      <c r="QGZ527" s="500"/>
      <c r="QHA527" s="500"/>
      <c r="QHB527" s="500"/>
      <c r="QHC527" s="500"/>
      <c r="QHD527" s="500"/>
      <c r="QHE527" s="500"/>
      <c r="QHF527" s="500"/>
      <c r="QHG527" s="500"/>
      <c r="QHH527" s="500"/>
      <c r="QHI527" s="500"/>
      <c r="QHJ527" s="500"/>
      <c r="QHK527" s="500"/>
      <c r="QHL527" s="500"/>
      <c r="QHM527" s="500"/>
      <c r="QHN527" s="500"/>
      <c r="QHO527" s="500"/>
      <c r="QHP527" s="500"/>
      <c r="QHQ527" s="500"/>
      <c r="QHR527" s="500"/>
      <c r="QHS527" s="500"/>
      <c r="QHT527" s="500"/>
      <c r="QHU527" s="500"/>
      <c r="QHV527" s="500"/>
      <c r="QHW527" s="500"/>
      <c r="QHX527" s="500"/>
      <c r="QHY527" s="500"/>
      <c r="QHZ527" s="500"/>
      <c r="QIA527" s="500"/>
      <c r="QIB527" s="500"/>
      <c r="QIC527" s="500"/>
      <c r="QID527" s="500"/>
      <c r="QIE527" s="500"/>
      <c r="QIF527" s="500"/>
      <c r="QIG527" s="500"/>
      <c r="QIH527" s="500"/>
      <c r="QII527" s="500"/>
      <c r="QIJ527" s="500"/>
      <c r="QIK527" s="500"/>
      <c r="QIL527" s="500"/>
      <c r="QIM527" s="500"/>
      <c r="QIN527" s="500"/>
      <c r="QIO527" s="500"/>
      <c r="QIP527" s="500"/>
      <c r="QIQ527" s="500"/>
      <c r="QIR527" s="500"/>
      <c r="QIS527" s="500"/>
      <c r="QIT527" s="500"/>
      <c r="QIU527" s="500"/>
      <c r="QIV527" s="500"/>
      <c r="QIW527" s="500"/>
      <c r="QIX527" s="500"/>
      <c r="QIY527" s="500"/>
      <c r="QIZ527" s="500"/>
      <c r="QJA527" s="500"/>
      <c r="QJB527" s="500"/>
      <c r="QJC527" s="500"/>
      <c r="QJD527" s="500"/>
      <c r="QJE527" s="500"/>
      <c r="QJF527" s="500"/>
      <c r="QJG527" s="500"/>
      <c r="QJH527" s="500"/>
      <c r="QJI527" s="500"/>
      <c r="QJJ527" s="500"/>
      <c r="QJK527" s="500"/>
      <c r="QJL527" s="500"/>
      <c r="QJM527" s="500"/>
      <c r="QJN527" s="500"/>
      <c r="QJO527" s="500"/>
      <c r="QJP527" s="500"/>
      <c r="QJQ527" s="500"/>
      <c r="QJR527" s="500"/>
      <c r="QJS527" s="500"/>
      <c r="QJT527" s="500"/>
      <c r="QJU527" s="500"/>
      <c r="QJV527" s="500"/>
      <c r="QJW527" s="500"/>
      <c r="QJX527" s="500"/>
      <c r="QJY527" s="500"/>
      <c r="QJZ527" s="500"/>
      <c r="QKA527" s="500"/>
      <c r="QKB527" s="500"/>
      <c r="QKC527" s="500"/>
      <c r="QKD527" s="500"/>
      <c r="QKE527" s="500"/>
      <c r="QKF527" s="500"/>
      <c r="QKG527" s="500"/>
      <c r="QKH527" s="500"/>
      <c r="QKI527" s="500"/>
      <c r="QKJ527" s="500"/>
      <c r="QKK527" s="500"/>
      <c r="QKL527" s="500"/>
      <c r="QKM527" s="500"/>
      <c r="QKN527" s="500"/>
      <c r="QKO527" s="500"/>
      <c r="QKP527" s="500"/>
      <c r="QKQ527" s="500"/>
      <c r="QKR527" s="500"/>
      <c r="QKS527" s="500"/>
      <c r="QKT527" s="500"/>
      <c r="QKU527" s="500"/>
      <c r="QKV527" s="500"/>
      <c r="QKW527" s="500"/>
      <c r="QKX527" s="500"/>
      <c r="QKY527" s="500"/>
      <c r="QKZ527" s="500"/>
      <c r="QLA527" s="500"/>
      <c r="QLB527" s="500"/>
      <c r="QLC527" s="500"/>
      <c r="QLD527" s="500"/>
      <c r="QLE527" s="500"/>
      <c r="QLF527" s="500"/>
      <c r="QLG527" s="500"/>
      <c r="QLH527" s="500"/>
      <c r="QLI527" s="500"/>
      <c r="QLJ527" s="500"/>
      <c r="QLK527" s="500"/>
      <c r="QLL527" s="500"/>
      <c r="QLM527" s="500"/>
      <c r="QLN527" s="500"/>
      <c r="QLO527" s="500"/>
      <c r="QLP527" s="500"/>
      <c r="QLQ527" s="500"/>
      <c r="QLR527" s="500"/>
      <c r="QLS527" s="500"/>
      <c r="QLT527" s="500"/>
      <c r="QLU527" s="500"/>
      <c r="QLV527" s="500"/>
      <c r="QLW527" s="500"/>
      <c r="QLX527" s="500"/>
      <c r="QLY527" s="500"/>
      <c r="QLZ527" s="500"/>
      <c r="QMA527" s="500"/>
      <c r="QMB527" s="500"/>
      <c r="QMC527" s="500"/>
      <c r="QMD527" s="500"/>
      <c r="QME527" s="500"/>
      <c r="QMF527" s="500"/>
      <c r="QMG527" s="500"/>
      <c r="QMH527" s="500"/>
      <c r="QMI527" s="500"/>
      <c r="QMJ527" s="500"/>
      <c r="QMK527" s="500"/>
      <c r="QML527" s="500"/>
      <c r="QMM527" s="500"/>
      <c r="QMN527" s="500"/>
      <c r="QMO527" s="500"/>
      <c r="QMP527" s="500"/>
      <c r="QMQ527" s="500"/>
      <c r="QMR527" s="500"/>
      <c r="QMS527" s="500"/>
      <c r="QMT527" s="500"/>
      <c r="QMU527" s="500"/>
      <c r="QMV527" s="500"/>
      <c r="QMW527" s="500"/>
      <c r="QMX527" s="500"/>
      <c r="QMY527" s="500"/>
      <c r="QMZ527" s="500"/>
      <c r="QNA527" s="500"/>
      <c r="QNB527" s="500"/>
      <c r="QNC527" s="500"/>
      <c r="QND527" s="500"/>
      <c r="QNE527" s="500"/>
      <c r="QNF527" s="500"/>
      <c r="QNG527" s="500"/>
      <c r="QNH527" s="500"/>
      <c r="QNI527" s="500"/>
      <c r="QNJ527" s="500"/>
      <c r="QNK527" s="500"/>
      <c r="QNL527" s="500"/>
      <c r="QNM527" s="500"/>
      <c r="QNN527" s="500"/>
      <c r="QNO527" s="500"/>
      <c r="QNP527" s="500"/>
      <c r="QNQ527" s="500"/>
      <c r="QNR527" s="500"/>
      <c r="QNS527" s="500"/>
      <c r="QNT527" s="500"/>
      <c r="QNU527" s="500"/>
      <c r="QNV527" s="500"/>
      <c r="QNW527" s="500"/>
      <c r="QNX527" s="500"/>
      <c r="QNY527" s="500"/>
      <c r="QNZ527" s="500"/>
      <c r="QOA527" s="500"/>
      <c r="QOB527" s="500"/>
      <c r="QOC527" s="500"/>
      <c r="QOD527" s="500"/>
      <c r="QOE527" s="500"/>
      <c r="QOF527" s="500"/>
      <c r="QOG527" s="500"/>
      <c r="QOH527" s="500"/>
      <c r="QOI527" s="500"/>
      <c r="QOJ527" s="500"/>
      <c r="QOK527" s="500"/>
      <c r="QOL527" s="500"/>
      <c r="QOM527" s="500"/>
      <c r="QON527" s="500"/>
      <c r="QOO527" s="500"/>
      <c r="QOP527" s="500"/>
      <c r="QOQ527" s="500"/>
      <c r="QOR527" s="500"/>
      <c r="QOS527" s="500"/>
      <c r="QOT527" s="500"/>
      <c r="QOU527" s="500"/>
      <c r="QOV527" s="500"/>
      <c r="QOW527" s="500"/>
      <c r="QOX527" s="500"/>
      <c r="QOY527" s="500"/>
      <c r="QOZ527" s="500"/>
      <c r="QPA527" s="500"/>
      <c r="QPB527" s="500"/>
      <c r="QPC527" s="500"/>
      <c r="QPD527" s="500"/>
      <c r="QPE527" s="500"/>
      <c r="QPF527" s="500"/>
      <c r="QPG527" s="500"/>
      <c r="QPH527" s="500"/>
      <c r="QPI527" s="500"/>
      <c r="QPJ527" s="500"/>
      <c r="QPK527" s="500"/>
      <c r="QPL527" s="500"/>
      <c r="QPM527" s="500"/>
      <c r="QPN527" s="500"/>
      <c r="QPO527" s="500"/>
      <c r="QPP527" s="500"/>
      <c r="QPQ527" s="500"/>
      <c r="QPR527" s="500"/>
      <c r="QPS527" s="500"/>
      <c r="QPT527" s="500"/>
      <c r="QPU527" s="500"/>
      <c r="QPV527" s="500"/>
      <c r="QPW527" s="500"/>
      <c r="QPX527" s="500"/>
      <c r="QPY527" s="500"/>
      <c r="QPZ527" s="500"/>
      <c r="QQA527" s="500"/>
      <c r="QQB527" s="500"/>
      <c r="QQC527" s="500"/>
      <c r="QQD527" s="500"/>
      <c r="QQE527" s="500"/>
      <c r="QQF527" s="500"/>
      <c r="QQG527" s="500"/>
      <c r="QQH527" s="500"/>
      <c r="QQI527" s="500"/>
      <c r="QQJ527" s="500"/>
      <c r="QQK527" s="500"/>
      <c r="QQL527" s="500"/>
      <c r="QQM527" s="500"/>
      <c r="QQN527" s="500"/>
      <c r="QQO527" s="500"/>
      <c r="QQP527" s="500"/>
      <c r="QQQ527" s="500"/>
      <c r="QQR527" s="500"/>
      <c r="QQS527" s="500"/>
      <c r="QQT527" s="500"/>
      <c r="QQU527" s="500"/>
      <c r="QQV527" s="500"/>
      <c r="QQW527" s="500"/>
      <c r="QQX527" s="500"/>
      <c r="QQY527" s="500"/>
      <c r="QQZ527" s="500"/>
      <c r="QRA527" s="500"/>
      <c r="QRB527" s="500"/>
      <c r="QRC527" s="500"/>
      <c r="QRD527" s="500"/>
      <c r="QRE527" s="500"/>
      <c r="QRF527" s="500"/>
      <c r="QRG527" s="500"/>
      <c r="QRH527" s="500"/>
      <c r="QRI527" s="500"/>
      <c r="QRJ527" s="500"/>
      <c r="QRK527" s="500"/>
      <c r="QRL527" s="500"/>
      <c r="QRM527" s="500"/>
      <c r="QRN527" s="500"/>
      <c r="QRO527" s="500"/>
      <c r="QRP527" s="500"/>
      <c r="QRQ527" s="500"/>
      <c r="QRR527" s="500"/>
      <c r="QRS527" s="500"/>
      <c r="QRT527" s="500"/>
      <c r="QRU527" s="500"/>
      <c r="QRV527" s="500"/>
      <c r="QRW527" s="500"/>
      <c r="QRX527" s="500"/>
      <c r="QRY527" s="500"/>
      <c r="QRZ527" s="500"/>
      <c r="QSA527" s="500"/>
      <c r="QSB527" s="500"/>
      <c r="QSC527" s="500"/>
      <c r="QSD527" s="500"/>
      <c r="QSE527" s="500"/>
      <c r="QSF527" s="500"/>
      <c r="QSG527" s="500"/>
      <c r="QSH527" s="500"/>
      <c r="QSI527" s="500"/>
      <c r="QSJ527" s="500"/>
      <c r="QSK527" s="500"/>
      <c r="QSL527" s="500"/>
      <c r="QSM527" s="500"/>
      <c r="QSN527" s="500"/>
      <c r="QSO527" s="500"/>
      <c r="QSP527" s="500"/>
      <c r="QSQ527" s="500"/>
      <c r="QSR527" s="500"/>
      <c r="QSS527" s="500"/>
      <c r="QST527" s="500"/>
      <c r="QSU527" s="500"/>
      <c r="QSV527" s="500"/>
      <c r="QSW527" s="500"/>
      <c r="QSX527" s="500"/>
      <c r="QSY527" s="500"/>
      <c r="QSZ527" s="500"/>
      <c r="QTA527" s="500"/>
      <c r="QTB527" s="500"/>
      <c r="QTC527" s="500"/>
      <c r="QTD527" s="500"/>
      <c r="QTE527" s="500"/>
      <c r="QTF527" s="500"/>
      <c r="QTG527" s="500"/>
      <c r="QTH527" s="500"/>
      <c r="QTI527" s="500"/>
      <c r="QTJ527" s="500"/>
      <c r="QTK527" s="500"/>
      <c r="QTL527" s="500"/>
      <c r="QTM527" s="500"/>
      <c r="QTN527" s="500"/>
      <c r="QTO527" s="500"/>
      <c r="QTP527" s="500"/>
      <c r="QTQ527" s="500"/>
      <c r="QTR527" s="500"/>
      <c r="QTS527" s="500"/>
      <c r="QTT527" s="500"/>
      <c r="QTU527" s="500"/>
      <c r="QTV527" s="500"/>
      <c r="QTW527" s="500"/>
      <c r="QTX527" s="500"/>
      <c r="QTY527" s="500"/>
      <c r="QTZ527" s="500"/>
      <c r="QUA527" s="500"/>
      <c r="QUB527" s="500"/>
      <c r="QUC527" s="500"/>
      <c r="QUD527" s="500"/>
      <c r="QUE527" s="500"/>
      <c r="QUF527" s="500"/>
      <c r="QUG527" s="500"/>
      <c r="QUH527" s="500"/>
      <c r="QUI527" s="500"/>
      <c r="QUJ527" s="500"/>
      <c r="QUK527" s="500"/>
      <c r="QUL527" s="500"/>
      <c r="QUM527" s="500"/>
      <c r="QUN527" s="500"/>
      <c r="QUO527" s="500"/>
      <c r="QUP527" s="500"/>
      <c r="QUQ527" s="500"/>
      <c r="QUR527" s="500"/>
      <c r="QUS527" s="500"/>
      <c r="QUT527" s="500"/>
      <c r="QUU527" s="500"/>
      <c r="QUV527" s="500"/>
      <c r="QUW527" s="500"/>
      <c r="QUX527" s="500"/>
      <c r="QUY527" s="500"/>
      <c r="QUZ527" s="500"/>
      <c r="QVA527" s="500"/>
      <c r="QVB527" s="500"/>
      <c r="QVC527" s="500"/>
      <c r="QVD527" s="500"/>
      <c r="QVE527" s="500"/>
      <c r="QVF527" s="500"/>
      <c r="QVG527" s="500"/>
      <c r="QVH527" s="500"/>
      <c r="QVI527" s="500"/>
      <c r="QVJ527" s="500"/>
      <c r="QVK527" s="500"/>
      <c r="QVL527" s="500"/>
      <c r="QVM527" s="500"/>
      <c r="QVN527" s="500"/>
      <c r="QVO527" s="500"/>
      <c r="QVP527" s="500"/>
      <c r="QVQ527" s="500"/>
      <c r="QVR527" s="500"/>
      <c r="QVS527" s="500"/>
      <c r="QVT527" s="500"/>
      <c r="QVU527" s="500"/>
      <c r="QVV527" s="500"/>
      <c r="QVW527" s="500"/>
      <c r="QVX527" s="500"/>
      <c r="QVY527" s="500"/>
      <c r="QVZ527" s="500"/>
      <c r="QWA527" s="500"/>
      <c r="QWB527" s="500"/>
      <c r="QWC527" s="500"/>
      <c r="QWD527" s="500"/>
      <c r="QWE527" s="500"/>
      <c r="QWF527" s="500"/>
      <c r="QWG527" s="500"/>
      <c r="QWH527" s="500"/>
      <c r="QWI527" s="500"/>
      <c r="QWJ527" s="500"/>
      <c r="QWK527" s="500"/>
      <c r="QWL527" s="500"/>
      <c r="QWM527" s="500"/>
      <c r="QWN527" s="500"/>
      <c r="QWO527" s="500"/>
      <c r="QWP527" s="500"/>
      <c r="QWQ527" s="500"/>
      <c r="QWR527" s="500"/>
      <c r="QWS527" s="500"/>
      <c r="QWT527" s="500"/>
      <c r="QWU527" s="500"/>
      <c r="QWV527" s="500"/>
      <c r="QWW527" s="500"/>
      <c r="QWX527" s="500"/>
      <c r="QWY527" s="500"/>
      <c r="QWZ527" s="500"/>
      <c r="QXA527" s="500"/>
      <c r="QXB527" s="500"/>
      <c r="QXC527" s="500"/>
      <c r="QXD527" s="500"/>
      <c r="QXE527" s="500"/>
      <c r="QXF527" s="500"/>
      <c r="QXG527" s="500"/>
      <c r="QXH527" s="500"/>
      <c r="QXI527" s="500"/>
      <c r="QXJ527" s="500"/>
      <c r="QXK527" s="500"/>
      <c r="QXL527" s="500"/>
      <c r="QXM527" s="500"/>
      <c r="QXN527" s="500"/>
      <c r="QXO527" s="500"/>
      <c r="QXP527" s="500"/>
      <c r="QXQ527" s="500"/>
      <c r="QXR527" s="500"/>
      <c r="QXS527" s="500"/>
      <c r="QXT527" s="500"/>
      <c r="QXU527" s="500"/>
      <c r="QXV527" s="500"/>
      <c r="QXW527" s="500"/>
      <c r="QXX527" s="500"/>
      <c r="QXY527" s="500"/>
      <c r="QXZ527" s="500"/>
      <c r="QYA527" s="500"/>
      <c r="QYB527" s="500"/>
      <c r="QYC527" s="500"/>
      <c r="QYD527" s="500"/>
      <c r="QYE527" s="500"/>
      <c r="QYF527" s="500"/>
      <c r="QYG527" s="500"/>
      <c r="QYH527" s="500"/>
      <c r="QYI527" s="500"/>
      <c r="QYJ527" s="500"/>
      <c r="QYK527" s="500"/>
      <c r="QYL527" s="500"/>
      <c r="QYM527" s="500"/>
      <c r="QYN527" s="500"/>
      <c r="QYO527" s="500"/>
      <c r="QYP527" s="500"/>
      <c r="QYQ527" s="500"/>
      <c r="QYR527" s="500"/>
      <c r="QYS527" s="500"/>
      <c r="QYT527" s="500"/>
      <c r="QYU527" s="500"/>
      <c r="QYV527" s="500"/>
      <c r="QYW527" s="500"/>
      <c r="QYX527" s="500"/>
      <c r="QYY527" s="500"/>
      <c r="QYZ527" s="500"/>
      <c r="QZA527" s="500"/>
      <c r="QZB527" s="500"/>
      <c r="QZC527" s="500"/>
      <c r="QZD527" s="500"/>
      <c r="QZE527" s="500"/>
      <c r="QZF527" s="500"/>
      <c r="QZG527" s="500"/>
      <c r="QZH527" s="500"/>
      <c r="QZI527" s="500"/>
      <c r="QZJ527" s="500"/>
      <c r="QZK527" s="500"/>
      <c r="QZL527" s="500"/>
      <c r="QZM527" s="500"/>
      <c r="QZN527" s="500"/>
      <c r="QZO527" s="500"/>
      <c r="QZP527" s="500"/>
      <c r="QZQ527" s="500"/>
      <c r="QZR527" s="500"/>
      <c r="QZS527" s="500"/>
      <c r="QZT527" s="500"/>
      <c r="QZU527" s="500"/>
      <c r="QZV527" s="500"/>
      <c r="QZW527" s="500"/>
      <c r="QZX527" s="500"/>
      <c r="QZY527" s="500"/>
      <c r="QZZ527" s="500"/>
      <c r="RAA527" s="500"/>
      <c r="RAB527" s="500"/>
      <c r="RAC527" s="500"/>
      <c r="RAD527" s="500"/>
      <c r="RAE527" s="500"/>
      <c r="RAF527" s="500"/>
      <c r="RAG527" s="500"/>
      <c r="RAH527" s="500"/>
      <c r="RAI527" s="500"/>
      <c r="RAJ527" s="500"/>
      <c r="RAK527" s="500"/>
      <c r="RAL527" s="500"/>
      <c r="RAM527" s="500"/>
      <c r="RAN527" s="500"/>
      <c r="RAO527" s="500"/>
      <c r="RAP527" s="500"/>
      <c r="RAQ527" s="500"/>
      <c r="RAR527" s="500"/>
      <c r="RAS527" s="500"/>
      <c r="RAT527" s="500"/>
      <c r="RAU527" s="500"/>
      <c r="RAV527" s="500"/>
      <c r="RAW527" s="500"/>
      <c r="RAX527" s="500"/>
      <c r="RAY527" s="500"/>
      <c r="RAZ527" s="500"/>
      <c r="RBA527" s="500"/>
      <c r="RBB527" s="500"/>
      <c r="RBC527" s="500"/>
      <c r="RBD527" s="500"/>
      <c r="RBE527" s="500"/>
      <c r="RBF527" s="500"/>
      <c r="RBG527" s="500"/>
      <c r="RBH527" s="500"/>
      <c r="RBI527" s="500"/>
      <c r="RBJ527" s="500"/>
      <c r="RBK527" s="500"/>
      <c r="RBL527" s="500"/>
      <c r="RBM527" s="500"/>
      <c r="RBN527" s="500"/>
      <c r="RBO527" s="500"/>
      <c r="RBP527" s="500"/>
      <c r="RBQ527" s="500"/>
      <c r="RBR527" s="500"/>
      <c r="RBS527" s="500"/>
      <c r="RBT527" s="500"/>
      <c r="RBU527" s="500"/>
      <c r="RBV527" s="500"/>
      <c r="RBW527" s="500"/>
      <c r="RBX527" s="500"/>
      <c r="RBY527" s="500"/>
      <c r="RBZ527" s="500"/>
      <c r="RCA527" s="500"/>
      <c r="RCB527" s="500"/>
      <c r="RCC527" s="500"/>
      <c r="RCD527" s="500"/>
      <c r="RCE527" s="500"/>
      <c r="RCF527" s="500"/>
      <c r="RCG527" s="500"/>
      <c r="RCH527" s="500"/>
      <c r="RCI527" s="500"/>
      <c r="RCJ527" s="500"/>
      <c r="RCK527" s="500"/>
      <c r="RCL527" s="500"/>
      <c r="RCM527" s="500"/>
      <c r="RCN527" s="500"/>
      <c r="RCO527" s="500"/>
      <c r="RCP527" s="500"/>
      <c r="RCQ527" s="500"/>
      <c r="RCR527" s="500"/>
      <c r="RCS527" s="500"/>
      <c r="RCT527" s="500"/>
      <c r="RCU527" s="500"/>
      <c r="RCV527" s="500"/>
      <c r="RCW527" s="500"/>
      <c r="RCX527" s="500"/>
      <c r="RCY527" s="500"/>
      <c r="RCZ527" s="500"/>
      <c r="RDA527" s="500"/>
      <c r="RDB527" s="500"/>
      <c r="RDC527" s="500"/>
      <c r="RDD527" s="500"/>
      <c r="RDE527" s="500"/>
      <c r="RDF527" s="500"/>
      <c r="RDG527" s="500"/>
      <c r="RDH527" s="500"/>
      <c r="RDI527" s="500"/>
      <c r="RDJ527" s="500"/>
      <c r="RDK527" s="500"/>
      <c r="RDL527" s="500"/>
      <c r="RDM527" s="500"/>
      <c r="RDN527" s="500"/>
      <c r="RDO527" s="500"/>
      <c r="RDP527" s="500"/>
      <c r="RDQ527" s="500"/>
      <c r="RDR527" s="500"/>
      <c r="RDS527" s="500"/>
      <c r="RDT527" s="500"/>
      <c r="RDU527" s="500"/>
      <c r="RDV527" s="500"/>
      <c r="RDW527" s="500"/>
      <c r="RDX527" s="500"/>
      <c r="RDY527" s="500"/>
      <c r="RDZ527" s="500"/>
      <c r="REA527" s="500"/>
      <c r="REB527" s="500"/>
      <c r="REC527" s="500"/>
      <c r="RED527" s="500"/>
      <c r="REE527" s="500"/>
      <c r="REF527" s="500"/>
      <c r="REG527" s="500"/>
      <c r="REH527" s="500"/>
      <c r="REI527" s="500"/>
      <c r="REJ527" s="500"/>
      <c r="REK527" s="500"/>
      <c r="REL527" s="500"/>
      <c r="REM527" s="500"/>
      <c r="REN527" s="500"/>
      <c r="REO527" s="500"/>
      <c r="REP527" s="500"/>
      <c r="REQ527" s="500"/>
      <c r="RER527" s="500"/>
      <c r="RES527" s="500"/>
      <c r="RET527" s="500"/>
      <c r="REU527" s="500"/>
      <c r="REV527" s="500"/>
      <c r="REW527" s="500"/>
      <c r="REX527" s="500"/>
      <c r="REY527" s="500"/>
      <c r="REZ527" s="500"/>
      <c r="RFA527" s="500"/>
      <c r="RFB527" s="500"/>
      <c r="RFC527" s="500"/>
      <c r="RFD527" s="500"/>
      <c r="RFE527" s="500"/>
      <c r="RFF527" s="500"/>
      <c r="RFG527" s="500"/>
      <c r="RFH527" s="500"/>
      <c r="RFI527" s="500"/>
      <c r="RFJ527" s="500"/>
      <c r="RFK527" s="500"/>
      <c r="RFL527" s="500"/>
      <c r="RFM527" s="500"/>
      <c r="RFN527" s="500"/>
      <c r="RFO527" s="500"/>
      <c r="RFP527" s="500"/>
      <c r="RFQ527" s="500"/>
      <c r="RFR527" s="500"/>
      <c r="RFS527" s="500"/>
      <c r="RFT527" s="500"/>
      <c r="RFU527" s="500"/>
      <c r="RFV527" s="500"/>
      <c r="RFW527" s="500"/>
      <c r="RFX527" s="500"/>
      <c r="RFY527" s="500"/>
      <c r="RFZ527" s="500"/>
      <c r="RGA527" s="500"/>
      <c r="RGB527" s="500"/>
      <c r="RGC527" s="500"/>
      <c r="RGD527" s="500"/>
      <c r="RGE527" s="500"/>
      <c r="RGF527" s="500"/>
      <c r="RGG527" s="500"/>
      <c r="RGH527" s="500"/>
      <c r="RGI527" s="500"/>
      <c r="RGJ527" s="500"/>
      <c r="RGK527" s="500"/>
      <c r="RGL527" s="500"/>
      <c r="RGM527" s="500"/>
      <c r="RGN527" s="500"/>
      <c r="RGO527" s="500"/>
      <c r="RGP527" s="500"/>
      <c r="RGQ527" s="500"/>
      <c r="RGR527" s="500"/>
      <c r="RGS527" s="500"/>
      <c r="RGT527" s="500"/>
      <c r="RGU527" s="500"/>
      <c r="RGV527" s="500"/>
      <c r="RGW527" s="500"/>
      <c r="RGX527" s="500"/>
      <c r="RGY527" s="500"/>
      <c r="RGZ527" s="500"/>
      <c r="RHA527" s="500"/>
      <c r="RHB527" s="500"/>
      <c r="RHC527" s="500"/>
      <c r="RHD527" s="500"/>
      <c r="RHE527" s="500"/>
      <c r="RHF527" s="500"/>
      <c r="RHG527" s="500"/>
      <c r="RHH527" s="500"/>
      <c r="RHI527" s="500"/>
      <c r="RHJ527" s="500"/>
      <c r="RHK527" s="500"/>
      <c r="RHL527" s="500"/>
      <c r="RHM527" s="500"/>
      <c r="RHN527" s="500"/>
      <c r="RHO527" s="500"/>
      <c r="RHP527" s="500"/>
      <c r="RHQ527" s="500"/>
      <c r="RHR527" s="500"/>
      <c r="RHS527" s="500"/>
      <c r="RHT527" s="500"/>
      <c r="RHU527" s="500"/>
      <c r="RHV527" s="500"/>
      <c r="RHW527" s="500"/>
      <c r="RHX527" s="500"/>
      <c r="RHY527" s="500"/>
      <c r="RHZ527" s="500"/>
      <c r="RIA527" s="500"/>
      <c r="RIB527" s="500"/>
      <c r="RIC527" s="500"/>
      <c r="RID527" s="500"/>
      <c r="RIE527" s="500"/>
      <c r="RIF527" s="500"/>
      <c r="RIG527" s="500"/>
      <c r="RIH527" s="500"/>
      <c r="RII527" s="500"/>
      <c r="RIJ527" s="500"/>
      <c r="RIK527" s="500"/>
      <c r="RIL527" s="500"/>
      <c r="RIM527" s="500"/>
      <c r="RIN527" s="500"/>
      <c r="RIO527" s="500"/>
      <c r="RIP527" s="500"/>
      <c r="RIQ527" s="500"/>
      <c r="RIR527" s="500"/>
      <c r="RIS527" s="500"/>
      <c r="RIT527" s="500"/>
      <c r="RIU527" s="500"/>
      <c r="RIV527" s="500"/>
      <c r="RIW527" s="500"/>
      <c r="RIX527" s="500"/>
      <c r="RIY527" s="500"/>
      <c r="RIZ527" s="500"/>
      <c r="RJA527" s="500"/>
      <c r="RJB527" s="500"/>
      <c r="RJC527" s="500"/>
      <c r="RJD527" s="500"/>
      <c r="RJE527" s="500"/>
      <c r="RJF527" s="500"/>
      <c r="RJG527" s="500"/>
      <c r="RJH527" s="500"/>
      <c r="RJI527" s="500"/>
      <c r="RJJ527" s="500"/>
      <c r="RJK527" s="500"/>
      <c r="RJL527" s="500"/>
      <c r="RJM527" s="500"/>
      <c r="RJN527" s="500"/>
      <c r="RJO527" s="500"/>
      <c r="RJP527" s="500"/>
      <c r="RJQ527" s="500"/>
      <c r="RJR527" s="500"/>
      <c r="RJS527" s="500"/>
      <c r="RJT527" s="500"/>
      <c r="RJU527" s="500"/>
      <c r="RJV527" s="500"/>
      <c r="RJW527" s="500"/>
      <c r="RJX527" s="500"/>
      <c r="RJY527" s="500"/>
      <c r="RJZ527" s="500"/>
      <c r="RKA527" s="500"/>
      <c r="RKB527" s="500"/>
      <c r="RKC527" s="500"/>
      <c r="RKD527" s="500"/>
      <c r="RKE527" s="500"/>
      <c r="RKF527" s="500"/>
      <c r="RKG527" s="500"/>
      <c r="RKH527" s="500"/>
      <c r="RKI527" s="500"/>
      <c r="RKJ527" s="500"/>
      <c r="RKK527" s="500"/>
      <c r="RKL527" s="500"/>
      <c r="RKM527" s="500"/>
      <c r="RKN527" s="500"/>
      <c r="RKO527" s="500"/>
      <c r="RKP527" s="500"/>
      <c r="RKQ527" s="500"/>
      <c r="RKR527" s="500"/>
      <c r="RKS527" s="500"/>
      <c r="RKT527" s="500"/>
      <c r="RKU527" s="500"/>
      <c r="RKV527" s="500"/>
      <c r="RKW527" s="500"/>
      <c r="RKX527" s="500"/>
      <c r="RKY527" s="500"/>
      <c r="RKZ527" s="500"/>
      <c r="RLA527" s="500"/>
      <c r="RLB527" s="500"/>
      <c r="RLC527" s="500"/>
      <c r="RLD527" s="500"/>
      <c r="RLE527" s="500"/>
      <c r="RLF527" s="500"/>
      <c r="RLG527" s="500"/>
      <c r="RLH527" s="500"/>
      <c r="RLI527" s="500"/>
      <c r="RLJ527" s="500"/>
      <c r="RLK527" s="500"/>
      <c r="RLL527" s="500"/>
      <c r="RLM527" s="500"/>
      <c r="RLN527" s="500"/>
      <c r="RLO527" s="500"/>
      <c r="RLP527" s="500"/>
      <c r="RLQ527" s="500"/>
      <c r="RLR527" s="500"/>
      <c r="RLS527" s="500"/>
      <c r="RLT527" s="500"/>
      <c r="RLU527" s="500"/>
      <c r="RLV527" s="500"/>
      <c r="RLW527" s="500"/>
      <c r="RLX527" s="500"/>
      <c r="RLY527" s="500"/>
      <c r="RLZ527" s="500"/>
      <c r="RMA527" s="500"/>
      <c r="RMB527" s="500"/>
      <c r="RMC527" s="500"/>
      <c r="RMD527" s="500"/>
      <c r="RME527" s="500"/>
      <c r="RMF527" s="500"/>
      <c r="RMG527" s="500"/>
      <c r="RMH527" s="500"/>
      <c r="RMI527" s="500"/>
      <c r="RMJ527" s="500"/>
      <c r="RMK527" s="500"/>
      <c r="RML527" s="500"/>
      <c r="RMM527" s="500"/>
      <c r="RMN527" s="500"/>
      <c r="RMO527" s="500"/>
      <c r="RMP527" s="500"/>
      <c r="RMQ527" s="500"/>
      <c r="RMR527" s="500"/>
      <c r="RMS527" s="500"/>
      <c r="RMT527" s="500"/>
      <c r="RMU527" s="500"/>
      <c r="RMV527" s="500"/>
      <c r="RMW527" s="500"/>
      <c r="RMX527" s="500"/>
      <c r="RMY527" s="500"/>
      <c r="RMZ527" s="500"/>
      <c r="RNA527" s="500"/>
      <c r="RNB527" s="500"/>
      <c r="RNC527" s="500"/>
      <c r="RND527" s="500"/>
      <c r="RNE527" s="500"/>
      <c r="RNF527" s="500"/>
      <c r="RNG527" s="500"/>
      <c r="RNH527" s="500"/>
      <c r="RNI527" s="500"/>
      <c r="RNJ527" s="500"/>
      <c r="RNK527" s="500"/>
      <c r="RNL527" s="500"/>
      <c r="RNM527" s="500"/>
      <c r="RNN527" s="500"/>
      <c r="RNO527" s="500"/>
      <c r="RNP527" s="500"/>
      <c r="RNQ527" s="500"/>
      <c r="RNR527" s="500"/>
      <c r="RNS527" s="500"/>
      <c r="RNT527" s="500"/>
      <c r="RNU527" s="500"/>
      <c r="RNV527" s="500"/>
      <c r="RNW527" s="500"/>
      <c r="RNX527" s="500"/>
      <c r="RNY527" s="500"/>
      <c r="RNZ527" s="500"/>
      <c r="ROA527" s="500"/>
      <c r="ROB527" s="500"/>
      <c r="ROC527" s="500"/>
      <c r="ROD527" s="500"/>
      <c r="ROE527" s="500"/>
      <c r="ROF527" s="500"/>
      <c r="ROG527" s="500"/>
      <c r="ROH527" s="500"/>
      <c r="ROI527" s="500"/>
      <c r="ROJ527" s="500"/>
      <c r="ROK527" s="500"/>
      <c r="ROL527" s="500"/>
      <c r="ROM527" s="500"/>
      <c r="RON527" s="500"/>
      <c r="ROO527" s="500"/>
      <c r="ROP527" s="500"/>
      <c r="ROQ527" s="500"/>
      <c r="ROR527" s="500"/>
      <c r="ROS527" s="500"/>
      <c r="ROT527" s="500"/>
      <c r="ROU527" s="500"/>
      <c r="ROV527" s="500"/>
      <c r="ROW527" s="500"/>
      <c r="ROX527" s="500"/>
      <c r="ROY527" s="500"/>
      <c r="ROZ527" s="500"/>
      <c r="RPA527" s="500"/>
      <c r="RPB527" s="500"/>
      <c r="RPC527" s="500"/>
      <c r="RPD527" s="500"/>
      <c r="RPE527" s="500"/>
      <c r="RPF527" s="500"/>
      <c r="RPG527" s="500"/>
      <c r="RPH527" s="500"/>
      <c r="RPI527" s="500"/>
      <c r="RPJ527" s="500"/>
      <c r="RPK527" s="500"/>
      <c r="RPL527" s="500"/>
      <c r="RPM527" s="500"/>
      <c r="RPN527" s="500"/>
      <c r="RPO527" s="500"/>
      <c r="RPP527" s="500"/>
      <c r="RPQ527" s="500"/>
      <c r="RPR527" s="500"/>
      <c r="RPS527" s="500"/>
      <c r="RPT527" s="500"/>
      <c r="RPU527" s="500"/>
      <c r="RPV527" s="500"/>
      <c r="RPW527" s="500"/>
      <c r="RPX527" s="500"/>
      <c r="RPY527" s="500"/>
      <c r="RPZ527" s="500"/>
      <c r="RQA527" s="500"/>
      <c r="RQB527" s="500"/>
      <c r="RQC527" s="500"/>
      <c r="RQD527" s="500"/>
      <c r="RQE527" s="500"/>
      <c r="RQF527" s="500"/>
      <c r="RQG527" s="500"/>
      <c r="RQH527" s="500"/>
      <c r="RQI527" s="500"/>
      <c r="RQJ527" s="500"/>
      <c r="RQK527" s="500"/>
      <c r="RQL527" s="500"/>
      <c r="RQM527" s="500"/>
      <c r="RQN527" s="500"/>
      <c r="RQO527" s="500"/>
      <c r="RQP527" s="500"/>
      <c r="RQQ527" s="500"/>
      <c r="RQR527" s="500"/>
      <c r="RQS527" s="500"/>
      <c r="RQT527" s="500"/>
      <c r="RQU527" s="500"/>
      <c r="RQV527" s="500"/>
      <c r="RQW527" s="500"/>
      <c r="RQX527" s="500"/>
      <c r="RQY527" s="500"/>
      <c r="RQZ527" s="500"/>
      <c r="RRA527" s="500"/>
      <c r="RRB527" s="500"/>
      <c r="RRC527" s="500"/>
      <c r="RRD527" s="500"/>
      <c r="RRE527" s="500"/>
      <c r="RRF527" s="500"/>
      <c r="RRG527" s="500"/>
      <c r="RRH527" s="500"/>
      <c r="RRI527" s="500"/>
      <c r="RRJ527" s="500"/>
      <c r="RRK527" s="500"/>
      <c r="RRL527" s="500"/>
      <c r="RRM527" s="500"/>
      <c r="RRN527" s="500"/>
      <c r="RRO527" s="500"/>
      <c r="RRP527" s="500"/>
      <c r="RRQ527" s="500"/>
      <c r="RRR527" s="500"/>
      <c r="RRS527" s="500"/>
      <c r="RRT527" s="500"/>
      <c r="RRU527" s="500"/>
      <c r="RRV527" s="500"/>
      <c r="RRW527" s="500"/>
      <c r="RRX527" s="500"/>
      <c r="RRY527" s="500"/>
      <c r="RRZ527" s="500"/>
      <c r="RSA527" s="500"/>
      <c r="RSB527" s="500"/>
      <c r="RSC527" s="500"/>
      <c r="RSD527" s="500"/>
      <c r="RSE527" s="500"/>
      <c r="RSF527" s="500"/>
      <c r="RSG527" s="500"/>
      <c r="RSH527" s="500"/>
      <c r="RSI527" s="500"/>
      <c r="RSJ527" s="500"/>
      <c r="RSK527" s="500"/>
      <c r="RSL527" s="500"/>
      <c r="RSM527" s="500"/>
      <c r="RSN527" s="500"/>
      <c r="RSO527" s="500"/>
      <c r="RSP527" s="500"/>
      <c r="RSQ527" s="500"/>
      <c r="RSR527" s="500"/>
      <c r="RSS527" s="500"/>
      <c r="RST527" s="500"/>
      <c r="RSU527" s="500"/>
      <c r="RSV527" s="500"/>
      <c r="RSW527" s="500"/>
      <c r="RSX527" s="500"/>
      <c r="RSY527" s="500"/>
      <c r="RSZ527" s="500"/>
      <c r="RTA527" s="500"/>
      <c r="RTB527" s="500"/>
      <c r="RTC527" s="500"/>
      <c r="RTD527" s="500"/>
      <c r="RTE527" s="500"/>
      <c r="RTF527" s="500"/>
      <c r="RTG527" s="500"/>
      <c r="RTH527" s="500"/>
      <c r="RTI527" s="500"/>
      <c r="RTJ527" s="500"/>
      <c r="RTK527" s="500"/>
      <c r="RTL527" s="500"/>
      <c r="RTM527" s="500"/>
      <c r="RTN527" s="500"/>
      <c r="RTO527" s="500"/>
      <c r="RTP527" s="500"/>
      <c r="RTQ527" s="500"/>
      <c r="RTR527" s="500"/>
      <c r="RTS527" s="500"/>
      <c r="RTT527" s="500"/>
      <c r="RTU527" s="500"/>
      <c r="RTV527" s="500"/>
      <c r="RTW527" s="500"/>
      <c r="RTX527" s="500"/>
      <c r="RTY527" s="500"/>
      <c r="RTZ527" s="500"/>
      <c r="RUA527" s="500"/>
      <c r="RUB527" s="500"/>
      <c r="RUC527" s="500"/>
      <c r="RUD527" s="500"/>
      <c r="RUE527" s="500"/>
      <c r="RUF527" s="500"/>
      <c r="RUG527" s="500"/>
      <c r="RUH527" s="500"/>
      <c r="RUI527" s="500"/>
      <c r="RUJ527" s="500"/>
      <c r="RUK527" s="500"/>
      <c r="RUL527" s="500"/>
      <c r="RUM527" s="500"/>
      <c r="RUN527" s="500"/>
      <c r="RUO527" s="500"/>
      <c r="RUP527" s="500"/>
      <c r="RUQ527" s="500"/>
      <c r="RUR527" s="500"/>
      <c r="RUS527" s="500"/>
      <c r="RUT527" s="500"/>
      <c r="RUU527" s="500"/>
      <c r="RUV527" s="500"/>
      <c r="RUW527" s="500"/>
      <c r="RUX527" s="500"/>
      <c r="RUY527" s="500"/>
      <c r="RUZ527" s="500"/>
      <c r="RVA527" s="500"/>
      <c r="RVB527" s="500"/>
      <c r="RVC527" s="500"/>
      <c r="RVD527" s="500"/>
      <c r="RVE527" s="500"/>
      <c r="RVF527" s="500"/>
      <c r="RVG527" s="500"/>
      <c r="RVH527" s="500"/>
      <c r="RVI527" s="500"/>
      <c r="RVJ527" s="500"/>
      <c r="RVK527" s="500"/>
      <c r="RVL527" s="500"/>
      <c r="RVM527" s="500"/>
      <c r="RVN527" s="500"/>
      <c r="RVO527" s="500"/>
      <c r="RVP527" s="500"/>
      <c r="RVQ527" s="500"/>
      <c r="RVR527" s="500"/>
      <c r="RVS527" s="500"/>
      <c r="RVT527" s="500"/>
      <c r="RVU527" s="500"/>
      <c r="RVV527" s="500"/>
      <c r="RVW527" s="500"/>
      <c r="RVX527" s="500"/>
      <c r="RVY527" s="500"/>
      <c r="RVZ527" s="500"/>
      <c r="RWA527" s="500"/>
      <c r="RWB527" s="500"/>
      <c r="RWC527" s="500"/>
      <c r="RWD527" s="500"/>
      <c r="RWE527" s="500"/>
      <c r="RWF527" s="500"/>
      <c r="RWG527" s="500"/>
      <c r="RWH527" s="500"/>
      <c r="RWI527" s="500"/>
      <c r="RWJ527" s="500"/>
      <c r="RWK527" s="500"/>
      <c r="RWL527" s="500"/>
      <c r="RWM527" s="500"/>
      <c r="RWN527" s="500"/>
      <c r="RWO527" s="500"/>
      <c r="RWP527" s="500"/>
      <c r="RWQ527" s="500"/>
      <c r="RWR527" s="500"/>
      <c r="RWS527" s="500"/>
      <c r="RWT527" s="500"/>
      <c r="RWU527" s="500"/>
      <c r="RWV527" s="500"/>
      <c r="RWW527" s="500"/>
      <c r="RWX527" s="500"/>
      <c r="RWY527" s="500"/>
      <c r="RWZ527" s="500"/>
      <c r="RXA527" s="500"/>
      <c r="RXB527" s="500"/>
      <c r="RXC527" s="500"/>
      <c r="RXD527" s="500"/>
      <c r="RXE527" s="500"/>
      <c r="RXF527" s="500"/>
      <c r="RXG527" s="500"/>
      <c r="RXH527" s="500"/>
      <c r="RXI527" s="500"/>
      <c r="RXJ527" s="500"/>
      <c r="RXK527" s="500"/>
      <c r="RXL527" s="500"/>
      <c r="RXM527" s="500"/>
      <c r="RXN527" s="500"/>
      <c r="RXO527" s="500"/>
      <c r="RXP527" s="500"/>
      <c r="RXQ527" s="500"/>
      <c r="RXR527" s="500"/>
      <c r="RXS527" s="500"/>
      <c r="RXT527" s="500"/>
      <c r="RXU527" s="500"/>
      <c r="RXV527" s="500"/>
      <c r="RXW527" s="500"/>
      <c r="RXX527" s="500"/>
      <c r="RXY527" s="500"/>
      <c r="RXZ527" s="500"/>
      <c r="RYA527" s="500"/>
      <c r="RYB527" s="500"/>
      <c r="RYC527" s="500"/>
      <c r="RYD527" s="500"/>
      <c r="RYE527" s="500"/>
      <c r="RYF527" s="500"/>
      <c r="RYG527" s="500"/>
      <c r="RYH527" s="500"/>
      <c r="RYI527" s="500"/>
      <c r="RYJ527" s="500"/>
      <c r="RYK527" s="500"/>
      <c r="RYL527" s="500"/>
      <c r="RYM527" s="500"/>
      <c r="RYN527" s="500"/>
      <c r="RYO527" s="500"/>
      <c r="RYP527" s="500"/>
      <c r="RYQ527" s="500"/>
      <c r="RYR527" s="500"/>
      <c r="RYS527" s="500"/>
      <c r="RYT527" s="500"/>
      <c r="RYU527" s="500"/>
      <c r="RYV527" s="500"/>
      <c r="RYW527" s="500"/>
      <c r="RYX527" s="500"/>
      <c r="RYY527" s="500"/>
      <c r="RYZ527" s="500"/>
      <c r="RZA527" s="500"/>
      <c r="RZB527" s="500"/>
      <c r="RZC527" s="500"/>
      <c r="RZD527" s="500"/>
      <c r="RZE527" s="500"/>
      <c r="RZF527" s="500"/>
      <c r="RZG527" s="500"/>
      <c r="RZH527" s="500"/>
      <c r="RZI527" s="500"/>
      <c r="RZJ527" s="500"/>
      <c r="RZK527" s="500"/>
      <c r="RZL527" s="500"/>
      <c r="RZM527" s="500"/>
      <c r="RZN527" s="500"/>
      <c r="RZO527" s="500"/>
      <c r="RZP527" s="500"/>
      <c r="RZQ527" s="500"/>
      <c r="RZR527" s="500"/>
      <c r="RZS527" s="500"/>
      <c r="RZT527" s="500"/>
      <c r="RZU527" s="500"/>
      <c r="RZV527" s="500"/>
      <c r="RZW527" s="500"/>
      <c r="RZX527" s="500"/>
      <c r="RZY527" s="500"/>
      <c r="RZZ527" s="500"/>
      <c r="SAA527" s="500"/>
      <c r="SAB527" s="500"/>
      <c r="SAC527" s="500"/>
      <c r="SAD527" s="500"/>
      <c r="SAE527" s="500"/>
      <c r="SAF527" s="500"/>
      <c r="SAG527" s="500"/>
      <c r="SAH527" s="500"/>
      <c r="SAI527" s="500"/>
      <c r="SAJ527" s="500"/>
      <c r="SAK527" s="500"/>
      <c r="SAL527" s="500"/>
      <c r="SAM527" s="500"/>
      <c r="SAN527" s="500"/>
      <c r="SAO527" s="500"/>
      <c r="SAP527" s="500"/>
      <c r="SAQ527" s="500"/>
      <c r="SAR527" s="500"/>
      <c r="SAS527" s="500"/>
      <c r="SAT527" s="500"/>
      <c r="SAU527" s="500"/>
      <c r="SAV527" s="500"/>
      <c r="SAW527" s="500"/>
      <c r="SAX527" s="500"/>
      <c r="SAY527" s="500"/>
      <c r="SAZ527" s="500"/>
      <c r="SBA527" s="500"/>
      <c r="SBB527" s="500"/>
      <c r="SBC527" s="500"/>
      <c r="SBD527" s="500"/>
      <c r="SBE527" s="500"/>
      <c r="SBF527" s="500"/>
      <c r="SBG527" s="500"/>
      <c r="SBH527" s="500"/>
      <c r="SBI527" s="500"/>
      <c r="SBJ527" s="500"/>
      <c r="SBK527" s="500"/>
      <c r="SBL527" s="500"/>
      <c r="SBM527" s="500"/>
      <c r="SBN527" s="500"/>
      <c r="SBO527" s="500"/>
      <c r="SBP527" s="500"/>
      <c r="SBQ527" s="500"/>
      <c r="SBR527" s="500"/>
      <c r="SBS527" s="500"/>
      <c r="SBT527" s="500"/>
      <c r="SBU527" s="500"/>
      <c r="SBV527" s="500"/>
      <c r="SBW527" s="500"/>
      <c r="SBX527" s="500"/>
      <c r="SBY527" s="500"/>
      <c r="SBZ527" s="500"/>
      <c r="SCA527" s="500"/>
      <c r="SCB527" s="500"/>
      <c r="SCC527" s="500"/>
      <c r="SCD527" s="500"/>
      <c r="SCE527" s="500"/>
      <c r="SCF527" s="500"/>
      <c r="SCG527" s="500"/>
      <c r="SCH527" s="500"/>
      <c r="SCI527" s="500"/>
      <c r="SCJ527" s="500"/>
      <c r="SCK527" s="500"/>
      <c r="SCL527" s="500"/>
      <c r="SCM527" s="500"/>
      <c r="SCN527" s="500"/>
      <c r="SCO527" s="500"/>
      <c r="SCP527" s="500"/>
      <c r="SCQ527" s="500"/>
      <c r="SCR527" s="500"/>
      <c r="SCS527" s="500"/>
      <c r="SCT527" s="500"/>
      <c r="SCU527" s="500"/>
      <c r="SCV527" s="500"/>
      <c r="SCW527" s="500"/>
      <c r="SCX527" s="500"/>
      <c r="SCY527" s="500"/>
      <c r="SCZ527" s="500"/>
      <c r="SDA527" s="500"/>
      <c r="SDB527" s="500"/>
      <c r="SDC527" s="500"/>
      <c r="SDD527" s="500"/>
      <c r="SDE527" s="500"/>
      <c r="SDF527" s="500"/>
      <c r="SDG527" s="500"/>
      <c r="SDH527" s="500"/>
      <c r="SDI527" s="500"/>
      <c r="SDJ527" s="500"/>
      <c r="SDK527" s="500"/>
      <c r="SDL527" s="500"/>
      <c r="SDM527" s="500"/>
      <c r="SDN527" s="500"/>
      <c r="SDO527" s="500"/>
      <c r="SDP527" s="500"/>
      <c r="SDQ527" s="500"/>
      <c r="SDR527" s="500"/>
      <c r="SDS527" s="500"/>
      <c r="SDT527" s="500"/>
      <c r="SDU527" s="500"/>
      <c r="SDV527" s="500"/>
      <c r="SDW527" s="500"/>
      <c r="SDX527" s="500"/>
      <c r="SDY527" s="500"/>
      <c r="SDZ527" s="500"/>
      <c r="SEA527" s="500"/>
      <c r="SEB527" s="500"/>
      <c r="SEC527" s="500"/>
      <c r="SED527" s="500"/>
      <c r="SEE527" s="500"/>
      <c r="SEF527" s="500"/>
      <c r="SEG527" s="500"/>
      <c r="SEH527" s="500"/>
      <c r="SEI527" s="500"/>
      <c r="SEJ527" s="500"/>
      <c r="SEK527" s="500"/>
      <c r="SEL527" s="500"/>
      <c r="SEM527" s="500"/>
      <c r="SEN527" s="500"/>
      <c r="SEO527" s="500"/>
      <c r="SEP527" s="500"/>
      <c r="SEQ527" s="500"/>
      <c r="SER527" s="500"/>
      <c r="SES527" s="500"/>
      <c r="SET527" s="500"/>
      <c r="SEU527" s="500"/>
      <c r="SEV527" s="500"/>
      <c r="SEW527" s="500"/>
      <c r="SEX527" s="500"/>
      <c r="SEY527" s="500"/>
      <c r="SEZ527" s="500"/>
      <c r="SFA527" s="500"/>
      <c r="SFB527" s="500"/>
      <c r="SFC527" s="500"/>
      <c r="SFD527" s="500"/>
      <c r="SFE527" s="500"/>
      <c r="SFF527" s="500"/>
      <c r="SFG527" s="500"/>
      <c r="SFH527" s="500"/>
      <c r="SFI527" s="500"/>
      <c r="SFJ527" s="500"/>
      <c r="SFK527" s="500"/>
      <c r="SFL527" s="500"/>
      <c r="SFM527" s="500"/>
      <c r="SFN527" s="500"/>
      <c r="SFO527" s="500"/>
      <c r="SFP527" s="500"/>
      <c r="SFQ527" s="500"/>
      <c r="SFR527" s="500"/>
      <c r="SFS527" s="500"/>
      <c r="SFT527" s="500"/>
      <c r="SFU527" s="500"/>
      <c r="SFV527" s="500"/>
      <c r="SFW527" s="500"/>
      <c r="SFX527" s="500"/>
      <c r="SFY527" s="500"/>
      <c r="SFZ527" s="500"/>
      <c r="SGA527" s="500"/>
      <c r="SGB527" s="500"/>
      <c r="SGC527" s="500"/>
      <c r="SGD527" s="500"/>
      <c r="SGE527" s="500"/>
      <c r="SGF527" s="500"/>
      <c r="SGG527" s="500"/>
      <c r="SGH527" s="500"/>
      <c r="SGI527" s="500"/>
      <c r="SGJ527" s="500"/>
      <c r="SGK527" s="500"/>
      <c r="SGL527" s="500"/>
      <c r="SGM527" s="500"/>
      <c r="SGN527" s="500"/>
      <c r="SGO527" s="500"/>
      <c r="SGP527" s="500"/>
      <c r="SGQ527" s="500"/>
      <c r="SGR527" s="500"/>
      <c r="SGS527" s="500"/>
      <c r="SGT527" s="500"/>
      <c r="SGU527" s="500"/>
      <c r="SGV527" s="500"/>
      <c r="SGW527" s="500"/>
      <c r="SGX527" s="500"/>
      <c r="SGY527" s="500"/>
      <c r="SGZ527" s="500"/>
      <c r="SHA527" s="500"/>
      <c r="SHB527" s="500"/>
      <c r="SHC527" s="500"/>
      <c r="SHD527" s="500"/>
      <c r="SHE527" s="500"/>
      <c r="SHF527" s="500"/>
      <c r="SHG527" s="500"/>
      <c r="SHH527" s="500"/>
      <c r="SHI527" s="500"/>
      <c r="SHJ527" s="500"/>
      <c r="SHK527" s="500"/>
      <c r="SHL527" s="500"/>
      <c r="SHM527" s="500"/>
      <c r="SHN527" s="500"/>
      <c r="SHO527" s="500"/>
      <c r="SHP527" s="500"/>
      <c r="SHQ527" s="500"/>
      <c r="SHR527" s="500"/>
      <c r="SHS527" s="500"/>
      <c r="SHT527" s="500"/>
      <c r="SHU527" s="500"/>
      <c r="SHV527" s="500"/>
      <c r="SHW527" s="500"/>
      <c r="SHX527" s="500"/>
      <c r="SHY527" s="500"/>
      <c r="SHZ527" s="500"/>
      <c r="SIA527" s="500"/>
      <c r="SIB527" s="500"/>
      <c r="SIC527" s="500"/>
      <c r="SID527" s="500"/>
      <c r="SIE527" s="500"/>
      <c r="SIF527" s="500"/>
      <c r="SIG527" s="500"/>
      <c r="SIH527" s="500"/>
      <c r="SII527" s="500"/>
      <c r="SIJ527" s="500"/>
      <c r="SIK527" s="500"/>
      <c r="SIL527" s="500"/>
      <c r="SIM527" s="500"/>
      <c r="SIN527" s="500"/>
      <c r="SIO527" s="500"/>
      <c r="SIP527" s="500"/>
      <c r="SIQ527" s="500"/>
      <c r="SIR527" s="500"/>
      <c r="SIS527" s="500"/>
      <c r="SIT527" s="500"/>
      <c r="SIU527" s="500"/>
      <c r="SIV527" s="500"/>
      <c r="SIW527" s="500"/>
      <c r="SIX527" s="500"/>
      <c r="SIY527" s="500"/>
      <c r="SIZ527" s="500"/>
      <c r="SJA527" s="500"/>
      <c r="SJB527" s="500"/>
      <c r="SJC527" s="500"/>
      <c r="SJD527" s="500"/>
      <c r="SJE527" s="500"/>
      <c r="SJF527" s="500"/>
      <c r="SJG527" s="500"/>
      <c r="SJH527" s="500"/>
      <c r="SJI527" s="500"/>
      <c r="SJJ527" s="500"/>
      <c r="SJK527" s="500"/>
      <c r="SJL527" s="500"/>
      <c r="SJM527" s="500"/>
      <c r="SJN527" s="500"/>
      <c r="SJO527" s="500"/>
      <c r="SJP527" s="500"/>
      <c r="SJQ527" s="500"/>
      <c r="SJR527" s="500"/>
      <c r="SJS527" s="500"/>
      <c r="SJT527" s="500"/>
      <c r="SJU527" s="500"/>
      <c r="SJV527" s="500"/>
      <c r="SJW527" s="500"/>
      <c r="SJX527" s="500"/>
      <c r="SJY527" s="500"/>
      <c r="SJZ527" s="500"/>
      <c r="SKA527" s="500"/>
      <c r="SKB527" s="500"/>
      <c r="SKC527" s="500"/>
      <c r="SKD527" s="500"/>
      <c r="SKE527" s="500"/>
      <c r="SKF527" s="500"/>
      <c r="SKG527" s="500"/>
      <c r="SKH527" s="500"/>
      <c r="SKI527" s="500"/>
      <c r="SKJ527" s="500"/>
      <c r="SKK527" s="500"/>
      <c r="SKL527" s="500"/>
      <c r="SKM527" s="500"/>
      <c r="SKN527" s="500"/>
      <c r="SKO527" s="500"/>
      <c r="SKP527" s="500"/>
      <c r="SKQ527" s="500"/>
      <c r="SKR527" s="500"/>
      <c r="SKS527" s="500"/>
      <c r="SKT527" s="500"/>
      <c r="SKU527" s="500"/>
      <c r="SKV527" s="500"/>
      <c r="SKW527" s="500"/>
      <c r="SKX527" s="500"/>
      <c r="SKY527" s="500"/>
      <c r="SKZ527" s="500"/>
      <c r="SLA527" s="500"/>
      <c r="SLB527" s="500"/>
      <c r="SLC527" s="500"/>
      <c r="SLD527" s="500"/>
      <c r="SLE527" s="500"/>
      <c r="SLF527" s="500"/>
      <c r="SLG527" s="500"/>
      <c r="SLH527" s="500"/>
      <c r="SLI527" s="500"/>
      <c r="SLJ527" s="500"/>
      <c r="SLK527" s="500"/>
      <c r="SLL527" s="500"/>
      <c r="SLM527" s="500"/>
      <c r="SLN527" s="500"/>
      <c r="SLO527" s="500"/>
      <c r="SLP527" s="500"/>
      <c r="SLQ527" s="500"/>
      <c r="SLR527" s="500"/>
      <c r="SLS527" s="500"/>
      <c r="SLT527" s="500"/>
      <c r="SLU527" s="500"/>
      <c r="SLV527" s="500"/>
      <c r="SLW527" s="500"/>
      <c r="SLX527" s="500"/>
      <c r="SLY527" s="500"/>
      <c r="SLZ527" s="500"/>
      <c r="SMA527" s="500"/>
      <c r="SMB527" s="500"/>
      <c r="SMC527" s="500"/>
      <c r="SMD527" s="500"/>
      <c r="SME527" s="500"/>
      <c r="SMF527" s="500"/>
      <c r="SMG527" s="500"/>
      <c r="SMH527" s="500"/>
      <c r="SMI527" s="500"/>
      <c r="SMJ527" s="500"/>
      <c r="SMK527" s="500"/>
      <c r="SML527" s="500"/>
      <c r="SMM527" s="500"/>
      <c r="SMN527" s="500"/>
      <c r="SMO527" s="500"/>
      <c r="SMP527" s="500"/>
      <c r="SMQ527" s="500"/>
      <c r="SMR527" s="500"/>
      <c r="SMS527" s="500"/>
      <c r="SMT527" s="500"/>
      <c r="SMU527" s="500"/>
      <c r="SMV527" s="500"/>
      <c r="SMW527" s="500"/>
      <c r="SMX527" s="500"/>
      <c r="SMY527" s="500"/>
      <c r="SMZ527" s="500"/>
      <c r="SNA527" s="500"/>
      <c r="SNB527" s="500"/>
      <c r="SNC527" s="500"/>
      <c r="SND527" s="500"/>
      <c r="SNE527" s="500"/>
      <c r="SNF527" s="500"/>
      <c r="SNG527" s="500"/>
      <c r="SNH527" s="500"/>
      <c r="SNI527" s="500"/>
      <c r="SNJ527" s="500"/>
      <c r="SNK527" s="500"/>
      <c r="SNL527" s="500"/>
      <c r="SNM527" s="500"/>
      <c r="SNN527" s="500"/>
      <c r="SNO527" s="500"/>
      <c r="SNP527" s="500"/>
      <c r="SNQ527" s="500"/>
      <c r="SNR527" s="500"/>
      <c r="SNS527" s="500"/>
      <c r="SNT527" s="500"/>
      <c r="SNU527" s="500"/>
      <c r="SNV527" s="500"/>
      <c r="SNW527" s="500"/>
      <c r="SNX527" s="500"/>
      <c r="SNY527" s="500"/>
      <c r="SNZ527" s="500"/>
      <c r="SOA527" s="500"/>
      <c r="SOB527" s="500"/>
      <c r="SOC527" s="500"/>
      <c r="SOD527" s="500"/>
      <c r="SOE527" s="500"/>
      <c r="SOF527" s="500"/>
      <c r="SOG527" s="500"/>
      <c r="SOH527" s="500"/>
      <c r="SOI527" s="500"/>
      <c r="SOJ527" s="500"/>
      <c r="SOK527" s="500"/>
      <c r="SOL527" s="500"/>
      <c r="SOM527" s="500"/>
      <c r="SON527" s="500"/>
      <c r="SOO527" s="500"/>
      <c r="SOP527" s="500"/>
      <c r="SOQ527" s="500"/>
      <c r="SOR527" s="500"/>
      <c r="SOS527" s="500"/>
      <c r="SOT527" s="500"/>
      <c r="SOU527" s="500"/>
      <c r="SOV527" s="500"/>
      <c r="SOW527" s="500"/>
      <c r="SOX527" s="500"/>
      <c r="SOY527" s="500"/>
      <c r="SOZ527" s="500"/>
      <c r="SPA527" s="500"/>
      <c r="SPB527" s="500"/>
      <c r="SPC527" s="500"/>
      <c r="SPD527" s="500"/>
      <c r="SPE527" s="500"/>
      <c r="SPF527" s="500"/>
      <c r="SPG527" s="500"/>
      <c r="SPH527" s="500"/>
      <c r="SPI527" s="500"/>
      <c r="SPJ527" s="500"/>
      <c r="SPK527" s="500"/>
      <c r="SPL527" s="500"/>
      <c r="SPM527" s="500"/>
      <c r="SPN527" s="500"/>
      <c r="SPO527" s="500"/>
      <c r="SPP527" s="500"/>
      <c r="SPQ527" s="500"/>
      <c r="SPR527" s="500"/>
      <c r="SPS527" s="500"/>
      <c r="SPT527" s="500"/>
      <c r="SPU527" s="500"/>
      <c r="SPV527" s="500"/>
      <c r="SPW527" s="500"/>
      <c r="SPX527" s="500"/>
      <c r="SPY527" s="500"/>
      <c r="SPZ527" s="500"/>
      <c r="SQA527" s="500"/>
      <c r="SQB527" s="500"/>
      <c r="SQC527" s="500"/>
      <c r="SQD527" s="500"/>
      <c r="SQE527" s="500"/>
      <c r="SQF527" s="500"/>
      <c r="SQG527" s="500"/>
      <c r="SQH527" s="500"/>
      <c r="SQI527" s="500"/>
      <c r="SQJ527" s="500"/>
      <c r="SQK527" s="500"/>
      <c r="SQL527" s="500"/>
      <c r="SQM527" s="500"/>
      <c r="SQN527" s="500"/>
      <c r="SQO527" s="500"/>
      <c r="SQP527" s="500"/>
      <c r="SQQ527" s="500"/>
      <c r="SQR527" s="500"/>
      <c r="SQS527" s="500"/>
      <c r="SQT527" s="500"/>
      <c r="SQU527" s="500"/>
      <c r="SQV527" s="500"/>
      <c r="SQW527" s="500"/>
      <c r="SQX527" s="500"/>
      <c r="SQY527" s="500"/>
      <c r="SQZ527" s="500"/>
      <c r="SRA527" s="500"/>
      <c r="SRB527" s="500"/>
      <c r="SRC527" s="500"/>
      <c r="SRD527" s="500"/>
      <c r="SRE527" s="500"/>
      <c r="SRF527" s="500"/>
      <c r="SRG527" s="500"/>
      <c r="SRH527" s="500"/>
      <c r="SRI527" s="500"/>
      <c r="SRJ527" s="500"/>
      <c r="SRK527" s="500"/>
      <c r="SRL527" s="500"/>
      <c r="SRM527" s="500"/>
      <c r="SRN527" s="500"/>
      <c r="SRO527" s="500"/>
      <c r="SRP527" s="500"/>
      <c r="SRQ527" s="500"/>
      <c r="SRR527" s="500"/>
      <c r="SRS527" s="500"/>
      <c r="SRT527" s="500"/>
      <c r="SRU527" s="500"/>
      <c r="SRV527" s="500"/>
      <c r="SRW527" s="500"/>
      <c r="SRX527" s="500"/>
      <c r="SRY527" s="500"/>
      <c r="SRZ527" s="500"/>
      <c r="SSA527" s="500"/>
      <c r="SSB527" s="500"/>
      <c r="SSC527" s="500"/>
      <c r="SSD527" s="500"/>
      <c r="SSE527" s="500"/>
      <c r="SSF527" s="500"/>
      <c r="SSG527" s="500"/>
      <c r="SSH527" s="500"/>
      <c r="SSI527" s="500"/>
      <c r="SSJ527" s="500"/>
      <c r="SSK527" s="500"/>
      <c r="SSL527" s="500"/>
      <c r="SSM527" s="500"/>
      <c r="SSN527" s="500"/>
      <c r="SSO527" s="500"/>
      <c r="SSP527" s="500"/>
      <c r="SSQ527" s="500"/>
      <c r="SSR527" s="500"/>
      <c r="SSS527" s="500"/>
      <c r="SST527" s="500"/>
      <c r="SSU527" s="500"/>
      <c r="SSV527" s="500"/>
      <c r="SSW527" s="500"/>
      <c r="SSX527" s="500"/>
      <c r="SSY527" s="500"/>
      <c r="SSZ527" s="500"/>
      <c r="STA527" s="500"/>
      <c r="STB527" s="500"/>
      <c r="STC527" s="500"/>
      <c r="STD527" s="500"/>
      <c r="STE527" s="500"/>
      <c r="STF527" s="500"/>
      <c r="STG527" s="500"/>
      <c r="STH527" s="500"/>
      <c r="STI527" s="500"/>
      <c r="STJ527" s="500"/>
      <c r="STK527" s="500"/>
      <c r="STL527" s="500"/>
      <c r="STM527" s="500"/>
      <c r="STN527" s="500"/>
      <c r="STO527" s="500"/>
      <c r="STP527" s="500"/>
      <c r="STQ527" s="500"/>
      <c r="STR527" s="500"/>
      <c r="STS527" s="500"/>
      <c r="STT527" s="500"/>
      <c r="STU527" s="500"/>
      <c r="STV527" s="500"/>
      <c r="STW527" s="500"/>
      <c r="STX527" s="500"/>
      <c r="STY527" s="500"/>
      <c r="STZ527" s="500"/>
      <c r="SUA527" s="500"/>
      <c r="SUB527" s="500"/>
      <c r="SUC527" s="500"/>
      <c r="SUD527" s="500"/>
      <c r="SUE527" s="500"/>
      <c r="SUF527" s="500"/>
      <c r="SUG527" s="500"/>
      <c r="SUH527" s="500"/>
      <c r="SUI527" s="500"/>
      <c r="SUJ527" s="500"/>
      <c r="SUK527" s="500"/>
      <c r="SUL527" s="500"/>
      <c r="SUM527" s="500"/>
      <c r="SUN527" s="500"/>
      <c r="SUO527" s="500"/>
      <c r="SUP527" s="500"/>
      <c r="SUQ527" s="500"/>
      <c r="SUR527" s="500"/>
      <c r="SUS527" s="500"/>
      <c r="SUT527" s="500"/>
      <c r="SUU527" s="500"/>
      <c r="SUV527" s="500"/>
      <c r="SUW527" s="500"/>
      <c r="SUX527" s="500"/>
      <c r="SUY527" s="500"/>
      <c r="SUZ527" s="500"/>
      <c r="SVA527" s="500"/>
      <c r="SVB527" s="500"/>
      <c r="SVC527" s="500"/>
      <c r="SVD527" s="500"/>
      <c r="SVE527" s="500"/>
      <c r="SVF527" s="500"/>
      <c r="SVG527" s="500"/>
      <c r="SVH527" s="500"/>
      <c r="SVI527" s="500"/>
      <c r="SVJ527" s="500"/>
      <c r="SVK527" s="500"/>
      <c r="SVL527" s="500"/>
      <c r="SVM527" s="500"/>
      <c r="SVN527" s="500"/>
      <c r="SVO527" s="500"/>
      <c r="SVP527" s="500"/>
      <c r="SVQ527" s="500"/>
      <c r="SVR527" s="500"/>
      <c r="SVS527" s="500"/>
      <c r="SVT527" s="500"/>
      <c r="SVU527" s="500"/>
      <c r="SVV527" s="500"/>
      <c r="SVW527" s="500"/>
      <c r="SVX527" s="500"/>
      <c r="SVY527" s="500"/>
      <c r="SVZ527" s="500"/>
      <c r="SWA527" s="500"/>
      <c r="SWB527" s="500"/>
      <c r="SWC527" s="500"/>
      <c r="SWD527" s="500"/>
      <c r="SWE527" s="500"/>
      <c r="SWF527" s="500"/>
      <c r="SWG527" s="500"/>
      <c r="SWH527" s="500"/>
      <c r="SWI527" s="500"/>
      <c r="SWJ527" s="500"/>
      <c r="SWK527" s="500"/>
      <c r="SWL527" s="500"/>
      <c r="SWM527" s="500"/>
      <c r="SWN527" s="500"/>
      <c r="SWO527" s="500"/>
      <c r="SWP527" s="500"/>
      <c r="SWQ527" s="500"/>
      <c r="SWR527" s="500"/>
      <c r="SWS527" s="500"/>
      <c r="SWT527" s="500"/>
      <c r="SWU527" s="500"/>
      <c r="SWV527" s="500"/>
      <c r="SWW527" s="500"/>
      <c r="SWX527" s="500"/>
      <c r="SWY527" s="500"/>
      <c r="SWZ527" s="500"/>
      <c r="SXA527" s="500"/>
      <c r="SXB527" s="500"/>
      <c r="SXC527" s="500"/>
      <c r="SXD527" s="500"/>
      <c r="SXE527" s="500"/>
      <c r="SXF527" s="500"/>
      <c r="SXG527" s="500"/>
      <c r="SXH527" s="500"/>
      <c r="SXI527" s="500"/>
      <c r="SXJ527" s="500"/>
      <c r="SXK527" s="500"/>
      <c r="SXL527" s="500"/>
      <c r="SXM527" s="500"/>
      <c r="SXN527" s="500"/>
      <c r="SXO527" s="500"/>
      <c r="SXP527" s="500"/>
      <c r="SXQ527" s="500"/>
      <c r="SXR527" s="500"/>
      <c r="SXS527" s="500"/>
      <c r="SXT527" s="500"/>
      <c r="SXU527" s="500"/>
      <c r="SXV527" s="500"/>
      <c r="SXW527" s="500"/>
      <c r="SXX527" s="500"/>
      <c r="SXY527" s="500"/>
      <c r="SXZ527" s="500"/>
      <c r="SYA527" s="500"/>
      <c r="SYB527" s="500"/>
      <c r="SYC527" s="500"/>
      <c r="SYD527" s="500"/>
      <c r="SYE527" s="500"/>
      <c r="SYF527" s="500"/>
      <c r="SYG527" s="500"/>
      <c r="SYH527" s="500"/>
      <c r="SYI527" s="500"/>
      <c r="SYJ527" s="500"/>
      <c r="SYK527" s="500"/>
      <c r="SYL527" s="500"/>
      <c r="SYM527" s="500"/>
      <c r="SYN527" s="500"/>
      <c r="SYO527" s="500"/>
      <c r="SYP527" s="500"/>
      <c r="SYQ527" s="500"/>
      <c r="SYR527" s="500"/>
      <c r="SYS527" s="500"/>
      <c r="SYT527" s="500"/>
      <c r="SYU527" s="500"/>
      <c r="SYV527" s="500"/>
      <c r="SYW527" s="500"/>
      <c r="SYX527" s="500"/>
      <c r="SYY527" s="500"/>
      <c r="SYZ527" s="500"/>
      <c r="SZA527" s="500"/>
      <c r="SZB527" s="500"/>
      <c r="SZC527" s="500"/>
      <c r="SZD527" s="500"/>
      <c r="SZE527" s="500"/>
      <c r="SZF527" s="500"/>
      <c r="SZG527" s="500"/>
      <c r="SZH527" s="500"/>
      <c r="SZI527" s="500"/>
      <c r="SZJ527" s="500"/>
      <c r="SZK527" s="500"/>
      <c r="SZL527" s="500"/>
      <c r="SZM527" s="500"/>
      <c r="SZN527" s="500"/>
      <c r="SZO527" s="500"/>
      <c r="SZP527" s="500"/>
      <c r="SZQ527" s="500"/>
      <c r="SZR527" s="500"/>
      <c r="SZS527" s="500"/>
      <c r="SZT527" s="500"/>
      <c r="SZU527" s="500"/>
      <c r="SZV527" s="500"/>
      <c r="SZW527" s="500"/>
      <c r="SZX527" s="500"/>
      <c r="SZY527" s="500"/>
      <c r="SZZ527" s="500"/>
      <c r="TAA527" s="500"/>
      <c r="TAB527" s="500"/>
      <c r="TAC527" s="500"/>
      <c r="TAD527" s="500"/>
      <c r="TAE527" s="500"/>
      <c r="TAF527" s="500"/>
      <c r="TAG527" s="500"/>
      <c r="TAH527" s="500"/>
      <c r="TAI527" s="500"/>
      <c r="TAJ527" s="500"/>
      <c r="TAK527" s="500"/>
      <c r="TAL527" s="500"/>
      <c r="TAM527" s="500"/>
      <c r="TAN527" s="500"/>
      <c r="TAO527" s="500"/>
      <c r="TAP527" s="500"/>
      <c r="TAQ527" s="500"/>
      <c r="TAR527" s="500"/>
      <c r="TAS527" s="500"/>
      <c r="TAT527" s="500"/>
      <c r="TAU527" s="500"/>
      <c r="TAV527" s="500"/>
      <c r="TAW527" s="500"/>
      <c r="TAX527" s="500"/>
      <c r="TAY527" s="500"/>
      <c r="TAZ527" s="500"/>
      <c r="TBA527" s="500"/>
      <c r="TBB527" s="500"/>
      <c r="TBC527" s="500"/>
      <c r="TBD527" s="500"/>
      <c r="TBE527" s="500"/>
      <c r="TBF527" s="500"/>
      <c r="TBG527" s="500"/>
      <c r="TBH527" s="500"/>
      <c r="TBI527" s="500"/>
      <c r="TBJ527" s="500"/>
      <c r="TBK527" s="500"/>
      <c r="TBL527" s="500"/>
      <c r="TBM527" s="500"/>
      <c r="TBN527" s="500"/>
      <c r="TBO527" s="500"/>
      <c r="TBP527" s="500"/>
      <c r="TBQ527" s="500"/>
      <c r="TBR527" s="500"/>
      <c r="TBS527" s="500"/>
      <c r="TBT527" s="500"/>
      <c r="TBU527" s="500"/>
      <c r="TBV527" s="500"/>
      <c r="TBW527" s="500"/>
      <c r="TBX527" s="500"/>
      <c r="TBY527" s="500"/>
      <c r="TBZ527" s="500"/>
      <c r="TCA527" s="500"/>
      <c r="TCB527" s="500"/>
      <c r="TCC527" s="500"/>
      <c r="TCD527" s="500"/>
      <c r="TCE527" s="500"/>
      <c r="TCF527" s="500"/>
      <c r="TCG527" s="500"/>
      <c r="TCH527" s="500"/>
      <c r="TCI527" s="500"/>
      <c r="TCJ527" s="500"/>
      <c r="TCK527" s="500"/>
      <c r="TCL527" s="500"/>
      <c r="TCM527" s="500"/>
      <c r="TCN527" s="500"/>
      <c r="TCO527" s="500"/>
      <c r="TCP527" s="500"/>
      <c r="TCQ527" s="500"/>
      <c r="TCR527" s="500"/>
      <c r="TCS527" s="500"/>
      <c r="TCT527" s="500"/>
      <c r="TCU527" s="500"/>
      <c r="TCV527" s="500"/>
      <c r="TCW527" s="500"/>
      <c r="TCX527" s="500"/>
      <c r="TCY527" s="500"/>
      <c r="TCZ527" s="500"/>
      <c r="TDA527" s="500"/>
      <c r="TDB527" s="500"/>
      <c r="TDC527" s="500"/>
      <c r="TDD527" s="500"/>
      <c r="TDE527" s="500"/>
      <c r="TDF527" s="500"/>
      <c r="TDG527" s="500"/>
      <c r="TDH527" s="500"/>
      <c r="TDI527" s="500"/>
      <c r="TDJ527" s="500"/>
      <c r="TDK527" s="500"/>
      <c r="TDL527" s="500"/>
      <c r="TDM527" s="500"/>
      <c r="TDN527" s="500"/>
      <c r="TDO527" s="500"/>
      <c r="TDP527" s="500"/>
      <c r="TDQ527" s="500"/>
      <c r="TDR527" s="500"/>
      <c r="TDS527" s="500"/>
      <c r="TDT527" s="500"/>
      <c r="TDU527" s="500"/>
      <c r="TDV527" s="500"/>
      <c r="TDW527" s="500"/>
      <c r="TDX527" s="500"/>
      <c r="TDY527" s="500"/>
      <c r="TDZ527" s="500"/>
      <c r="TEA527" s="500"/>
      <c r="TEB527" s="500"/>
      <c r="TEC527" s="500"/>
      <c r="TED527" s="500"/>
      <c r="TEE527" s="500"/>
      <c r="TEF527" s="500"/>
      <c r="TEG527" s="500"/>
      <c r="TEH527" s="500"/>
      <c r="TEI527" s="500"/>
      <c r="TEJ527" s="500"/>
      <c r="TEK527" s="500"/>
      <c r="TEL527" s="500"/>
      <c r="TEM527" s="500"/>
      <c r="TEN527" s="500"/>
      <c r="TEO527" s="500"/>
      <c r="TEP527" s="500"/>
      <c r="TEQ527" s="500"/>
      <c r="TER527" s="500"/>
      <c r="TES527" s="500"/>
      <c r="TET527" s="500"/>
      <c r="TEU527" s="500"/>
      <c r="TEV527" s="500"/>
      <c r="TEW527" s="500"/>
      <c r="TEX527" s="500"/>
      <c r="TEY527" s="500"/>
      <c r="TEZ527" s="500"/>
      <c r="TFA527" s="500"/>
      <c r="TFB527" s="500"/>
      <c r="TFC527" s="500"/>
      <c r="TFD527" s="500"/>
      <c r="TFE527" s="500"/>
      <c r="TFF527" s="500"/>
      <c r="TFG527" s="500"/>
      <c r="TFH527" s="500"/>
      <c r="TFI527" s="500"/>
      <c r="TFJ527" s="500"/>
      <c r="TFK527" s="500"/>
      <c r="TFL527" s="500"/>
      <c r="TFM527" s="500"/>
      <c r="TFN527" s="500"/>
      <c r="TFO527" s="500"/>
      <c r="TFP527" s="500"/>
      <c r="TFQ527" s="500"/>
      <c r="TFR527" s="500"/>
      <c r="TFS527" s="500"/>
      <c r="TFT527" s="500"/>
      <c r="TFU527" s="500"/>
      <c r="TFV527" s="500"/>
      <c r="TFW527" s="500"/>
      <c r="TFX527" s="500"/>
      <c r="TFY527" s="500"/>
      <c r="TFZ527" s="500"/>
      <c r="TGA527" s="500"/>
      <c r="TGB527" s="500"/>
      <c r="TGC527" s="500"/>
      <c r="TGD527" s="500"/>
      <c r="TGE527" s="500"/>
      <c r="TGF527" s="500"/>
      <c r="TGG527" s="500"/>
      <c r="TGH527" s="500"/>
      <c r="TGI527" s="500"/>
      <c r="TGJ527" s="500"/>
      <c r="TGK527" s="500"/>
      <c r="TGL527" s="500"/>
      <c r="TGM527" s="500"/>
      <c r="TGN527" s="500"/>
      <c r="TGO527" s="500"/>
      <c r="TGP527" s="500"/>
      <c r="TGQ527" s="500"/>
      <c r="TGR527" s="500"/>
      <c r="TGS527" s="500"/>
      <c r="TGT527" s="500"/>
      <c r="TGU527" s="500"/>
      <c r="TGV527" s="500"/>
      <c r="TGW527" s="500"/>
      <c r="TGX527" s="500"/>
      <c r="TGY527" s="500"/>
      <c r="TGZ527" s="500"/>
      <c r="THA527" s="500"/>
      <c r="THB527" s="500"/>
      <c r="THC527" s="500"/>
      <c r="THD527" s="500"/>
      <c r="THE527" s="500"/>
      <c r="THF527" s="500"/>
      <c r="THG527" s="500"/>
      <c r="THH527" s="500"/>
      <c r="THI527" s="500"/>
      <c r="THJ527" s="500"/>
      <c r="THK527" s="500"/>
      <c r="THL527" s="500"/>
      <c r="THM527" s="500"/>
      <c r="THN527" s="500"/>
      <c r="THO527" s="500"/>
      <c r="THP527" s="500"/>
      <c r="THQ527" s="500"/>
      <c r="THR527" s="500"/>
      <c r="THS527" s="500"/>
      <c r="THT527" s="500"/>
      <c r="THU527" s="500"/>
      <c r="THV527" s="500"/>
      <c r="THW527" s="500"/>
      <c r="THX527" s="500"/>
      <c r="THY527" s="500"/>
      <c r="THZ527" s="500"/>
      <c r="TIA527" s="500"/>
      <c r="TIB527" s="500"/>
      <c r="TIC527" s="500"/>
      <c r="TID527" s="500"/>
      <c r="TIE527" s="500"/>
      <c r="TIF527" s="500"/>
      <c r="TIG527" s="500"/>
      <c r="TIH527" s="500"/>
      <c r="TII527" s="500"/>
      <c r="TIJ527" s="500"/>
      <c r="TIK527" s="500"/>
      <c r="TIL527" s="500"/>
      <c r="TIM527" s="500"/>
      <c r="TIN527" s="500"/>
      <c r="TIO527" s="500"/>
      <c r="TIP527" s="500"/>
      <c r="TIQ527" s="500"/>
      <c r="TIR527" s="500"/>
      <c r="TIS527" s="500"/>
      <c r="TIT527" s="500"/>
      <c r="TIU527" s="500"/>
      <c r="TIV527" s="500"/>
      <c r="TIW527" s="500"/>
      <c r="TIX527" s="500"/>
      <c r="TIY527" s="500"/>
      <c r="TIZ527" s="500"/>
      <c r="TJA527" s="500"/>
      <c r="TJB527" s="500"/>
      <c r="TJC527" s="500"/>
      <c r="TJD527" s="500"/>
      <c r="TJE527" s="500"/>
      <c r="TJF527" s="500"/>
      <c r="TJG527" s="500"/>
      <c r="TJH527" s="500"/>
      <c r="TJI527" s="500"/>
      <c r="TJJ527" s="500"/>
      <c r="TJK527" s="500"/>
      <c r="TJL527" s="500"/>
      <c r="TJM527" s="500"/>
      <c r="TJN527" s="500"/>
      <c r="TJO527" s="500"/>
      <c r="TJP527" s="500"/>
      <c r="TJQ527" s="500"/>
      <c r="TJR527" s="500"/>
      <c r="TJS527" s="500"/>
      <c r="TJT527" s="500"/>
      <c r="TJU527" s="500"/>
      <c r="TJV527" s="500"/>
      <c r="TJW527" s="500"/>
      <c r="TJX527" s="500"/>
      <c r="TJY527" s="500"/>
      <c r="TJZ527" s="500"/>
      <c r="TKA527" s="500"/>
      <c r="TKB527" s="500"/>
      <c r="TKC527" s="500"/>
      <c r="TKD527" s="500"/>
      <c r="TKE527" s="500"/>
      <c r="TKF527" s="500"/>
      <c r="TKG527" s="500"/>
      <c r="TKH527" s="500"/>
      <c r="TKI527" s="500"/>
      <c r="TKJ527" s="500"/>
      <c r="TKK527" s="500"/>
      <c r="TKL527" s="500"/>
      <c r="TKM527" s="500"/>
      <c r="TKN527" s="500"/>
      <c r="TKO527" s="500"/>
      <c r="TKP527" s="500"/>
      <c r="TKQ527" s="500"/>
      <c r="TKR527" s="500"/>
      <c r="TKS527" s="500"/>
      <c r="TKT527" s="500"/>
      <c r="TKU527" s="500"/>
      <c r="TKV527" s="500"/>
      <c r="TKW527" s="500"/>
      <c r="TKX527" s="500"/>
      <c r="TKY527" s="500"/>
      <c r="TKZ527" s="500"/>
      <c r="TLA527" s="500"/>
      <c r="TLB527" s="500"/>
      <c r="TLC527" s="500"/>
      <c r="TLD527" s="500"/>
      <c r="TLE527" s="500"/>
      <c r="TLF527" s="500"/>
      <c r="TLG527" s="500"/>
      <c r="TLH527" s="500"/>
      <c r="TLI527" s="500"/>
      <c r="TLJ527" s="500"/>
      <c r="TLK527" s="500"/>
      <c r="TLL527" s="500"/>
      <c r="TLM527" s="500"/>
      <c r="TLN527" s="500"/>
      <c r="TLO527" s="500"/>
      <c r="TLP527" s="500"/>
      <c r="TLQ527" s="500"/>
      <c r="TLR527" s="500"/>
      <c r="TLS527" s="500"/>
      <c r="TLT527" s="500"/>
      <c r="TLU527" s="500"/>
      <c r="TLV527" s="500"/>
      <c r="TLW527" s="500"/>
      <c r="TLX527" s="500"/>
      <c r="TLY527" s="500"/>
      <c r="TLZ527" s="500"/>
      <c r="TMA527" s="500"/>
      <c r="TMB527" s="500"/>
      <c r="TMC527" s="500"/>
      <c r="TMD527" s="500"/>
      <c r="TME527" s="500"/>
      <c r="TMF527" s="500"/>
      <c r="TMG527" s="500"/>
      <c r="TMH527" s="500"/>
      <c r="TMI527" s="500"/>
      <c r="TMJ527" s="500"/>
      <c r="TMK527" s="500"/>
      <c r="TML527" s="500"/>
      <c r="TMM527" s="500"/>
      <c r="TMN527" s="500"/>
      <c r="TMO527" s="500"/>
      <c r="TMP527" s="500"/>
      <c r="TMQ527" s="500"/>
      <c r="TMR527" s="500"/>
      <c r="TMS527" s="500"/>
      <c r="TMT527" s="500"/>
      <c r="TMU527" s="500"/>
      <c r="TMV527" s="500"/>
      <c r="TMW527" s="500"/>
      <c r="TMX527" s="500"/>
      <c r="TMY527" s="500"/>
      <c r="TMZ527" s="500"/>
      <c r="TNA527" s="500"/>
      <c r="TNB527" s="500"/>
      <c r="TNC527" s="500"/>
      <c r="TND527" s="500"/>
      <c r="TNE527" s="500"/>
      <c r="TNF527" s="500"/>
      <c r="TNG527" s="500"/>
      <c r="TNH527" s="500"/>
      <c r="TNI527" s="500"/>
      <c r="TNJ527" s="500"/>
      <c r="TNK527" s="500"/>
      <c r="TNL527" s="500"/>
      <c r="TNM527" s="500"/>
      <c r="TNN527" s="500"/>
      <c r="TNO527" s="500"/>
      <c r="TNP527" s="500"/>
      <c r="TNQ527" s="500"/>
      <c r="TNR527" s="500"/>
      <c r="TNS527" s="500"/>
      <c r="TNT527" s="500"/>
      <c r="TNU527" s="500"/>
      <c r="TNV527" s="500"/>
      <c r="TNW527" s="500"/>
      <c r="TNX527" s="500"/>
      <c r="TNY527" s="500"/>
      <c r="TNZ527" s="500"/>
      <c r="TOA527" s="500"/>
      <c r="TOB527" s="500"/>
      <c r="TOC527" s="500"/>
      <c r="TOD527" s="500"/>
      <c r="TOE527" s="500"/>
      <c r="TOF527" s="500"/>
      <c r="TOG527" s="500"/>
      <c r="TOH527" s="500"/>
      <c r="TOI527" s="500"/>
      <c r="TOJ527" s="500"/>
      <c r="TOK527" s="500"/>
      <c r="TOL527" s="500"/>
      <c r="TOM527" s="500"/>
      <c r="TON527" s="500"/>
      <c r="TOO527" s="500"/>
      <c r="TOP527" s="500"/>
      <c r="TOQ527" s="500"/>
      <c r="TOR527" s="500"/>
      <c r="TOS527" s="500"/>
      <c r="TOT527" s="500"/>
      <c r="TOU527" s="500"/>
      <c r="TOV527" s="500"/>
      <c r="TOW527" s="500"/>
      <c r="TOX527" s="500"/>
      <c r="TOY527" s="500"/>
      <c r="TOZ527" s="500"/>
      <c r="TPA527" s="500"/>
      <c r="TPB527" s="500"/>
      <c r="TPC527" s="500"/>
      <c r="TPD527" s="500"/>
      <c r="TPE527" s="500"/>
      <c r="TPF527" s="500"/>
      <c r="TPG527" s="500"/>
      <c r="TPH527" s="500"/>
      <c r="TPI527" s="500"/>
      <c r="TPJ527" s="500"/>
      <c r="TPK527" s="500"/>
      <c r="TPL527" s="500"/>
      <c r="TPM527" s="500"/>
      <c r="TPN527" s="500"/>
      <c r="TPO527" s="500"/>
      <c r="TPP527" s="500"/>
      <c r="TPQ527" s="500"/>
      <c r="TPR527" s="500"/>
      <c r="TPS527" s="500"/>
      <c r="TPT527" s="500"/>
      <c r="TPU527" s="500"/>
      <c r="TPV527" s="500"/>
      <c r="TPW527" s="500"/>
      <c r="TPX527" s="500"/>
      <c r="TPY527" s="500"/>
      <c r="TPZ527" s="500"/>
      <c r="TQA527" s="500"/>
      <c r="TQB527" s="500"/>
      <c r="TQC527" s="500"/>
      <c r="TQD527" s="500"/>
      <c r="TQE527" s="500"/>
      <c r="TQF527" s="500"/>
      <c r="TQG527" s="500"/>
      <c r="TQH527" s="500"/>
      <c r="TQI527" s="500"/>
      <c r="TQJ527" s="500"/>
      <c r="TQK527" s="500"/>
      <c r="TQL527" s="500"/>
      <c r="TQM527" s="500"/>
      <c r="TQN527" s="500"/>
      <c r="TQO527" s="500"/>
      <c r="TQP527" s="500"/>
      <c r="TQQ527" s="500"/>
      <c r="TQR527" s="500"/>
      <c r="TQS527" s="500"/>
      <c r="TQT527" s="500"/>
      <c r="TQU527" s="500"/>
      <c r="TQV527" s="500"/>
      <c r="TQW527" s="500"/>
      <c r="TQX527" s="500"/>
      <c r="TQY527" s="500"/>
      <c r="TQZ527" s="500"/>
      <c r="TRA527" s="500"/>
      <c r="TRB527" s="500"/>
      <c r="TRC527" s="500"/>
      <c r="TRD527" s="500"/>
      <c r="TRE527" s="500"/>
      <c r="TRF527" s="500"/>
      <c r="TRG527" s="500"/>
      <c r="TRH527" s="500"/>
      <c r="TRI527" s="500"/>
      <c r="TRJ527" s="500"/>
      <c r="TRK527" s="500"/>
      <c r="TRL527" s="500"/>
      <c r="TRM527" s="500"/>
      <c r="TRN527" s="500"/>
      <c r="TRO527" s="500"/>
      <c r="TRP527" s="500"/>
      <c r="TRQ527" s="500"/>
      <c r="TRR527" s="500"/>
      <c r="TRS527" s="500"/>
      <c r="TRT527" s="500"/>
      <c r="TRU527" s="500"/>
      <c r="TRV527" s="500"/>
      <c r="TRW527" s="500"/>
      <c r="TRX527" s="500"/>
      <c r="TRY527" s="500"/>
      <c r="TRZ527" s="500"/>
      <c r="TSA527" s="500"/>
      <c r="TSB527" s="500"/>
      <c r="TSC527" s="500"/>
      <c r="TSD527" s="500"/>
      <c r="TSE527" s="500"/>
      <c r="TSF527" s="500"/>
      <c r="TSG527" s="500"/>
      <c r="TSH527" s="500"/>
      <c r="TSI527" s="500"/>
      <c r="TSJ527" s="500"/>
      <c r="TSK527" s="500"/>
      <c r="TSL527" s="500"/>
      <c r="TSM527" s="500"/>
      <c r="TSN527" s="500"/>
      <c r="TSO527" s="500"/>
      <c r="TSP527" s="500"/>
      <c r="TSQ527" s="500"/>
      <c r="TSR527" s="500"/>
      <c r="TSS527" s="500"/>
      <c r="TST527" s="500"/>
      <c r="TSU527" s="500"/>
      <c r="TSV527" s="500"/>
      <c r="TSW527" s="500"/>
      <c r="TSX527" s="500"/>
      <c r="TSY527" s="500"/>
      <c r="TSZ527" s="500"/>
      <c r="TTA527" s="500"/>
      <c r="TTB527" s="500"/>
      <c r="TTC527" s="500"/>
      <c r="TTD527" s="500"/>
      <c r="TTE527" s="500"/>
      <c r="TTF527" s="500"/>
      <c r="TTG527" s="500"/>
      <c r="TTH527" s="500"/>
      <c r="TTI527" s="500"/>
      <c r="TTJ527" s="500"/>
      <c r="TTK527" s="500"/>
      <c r="TTL527" s="500"/>
      <c r="TTM527" s="500"/>
      <c r="TTN527" s="500"/>
      <c r="TTO527" s="500"/>
      <c r="TTP527" s="500"/>
      <c r="TTQ527" s="500"/>
      <c r="TTR527" s="500"/>
      <c r="TTS527" s="500"/>
      <c r="TTT527" s="500"/>
      <c r="TTU527" s="500"/>
      <c r="TTV527" s="500"/>
      <c r="TTW527" s="500"/>
      <c r="TTX527" s="500"/>
      <c r="TTY527" s="500"/>
      <c r="TTZ527" s="500"/>
      <c r="TUA527" s="500"/>
      <c r="TUB527" s="500"/>
      <c r="TUC527" s="500"/>
      <c r="TUD527" s="500"/>
      <c r="TUE527" s="500"/>
      <c r="TUF527" s="500"/>
      <c r="TUG527" s="500"/>
      <c r="TUH527" s="500"/>
      <c r="TUI527" s="500"/>
      <c r="TUJ527" s="500"/>
      <c r="TUK527" s="500"/>
      <c r="TUL527" s="500"/>
      <c r="TUM527" s="500"/>
      <c r="TUN527" s="500"/>
      <c r="TUO527" s="500"/>
      <c r="TUP527" s="500"/>
      <c r="TUQ527" s="500"/>
      <c r="TUR527" s="500"/>
      <c r="TUS527" s="500"/>
      <c r="TUT527" s="500"/>
      <c r="TUU527" s="500"/>
      <c r="TUV527" s="500"/>
      <c r="TUW527" s="500"/>
      <c r="TUX527" s="500"/>
      <c r="TUY527" s="500"/>
      <c r="TUZ527" s="500"/>
      <c r="TVA527" s="500"/>
      <c r="TVB527" s="500"/>
      <c r="TVC527" s="500"/>
      <c r="TVD527" s="500"/>
      <c r="TVE527" s="500"/>
      <c r="TVF527" s="500"/>
      <c r="TVG527" s="500"/>
      <c r="TVH527" s="500"/>
      <c r="TVI527" s="500"/>
      <c r="TVJ527" s="500"/>
      <c r="TVK527" s="500"/>
      <c r="TVL527" s="500"/>
      <c r="TVM527" s="500"/>
      <c r="TVN527" s="500"/>
      <c r="TVO527" s="500"/>
      <c r="TVP527" s="500"/>
      <c r="TVQ527" s="500"/>
      <c r="TVR527" s="500"/>
      <c r="TVS527" s="500"/>
      <c r="TVT527" s="500"/>
      <c r="TVU527" s="500"/>
      <c r="TVV527" s="500"/>
      <c r="TVW527" s="500"/>
      <c r="TVX527" s="500"/>
      <c r="TVY527" s="500"/>
      <c r="TVZ527" s="500"/>
      <c r="TWA527" s="500"/>
      <c r="TWB527" s="500"/>
      <c r="TWC527" s="500"/>
      <c r="TWD527" s="500"/>
      <c r="TWE527" s="500"/>
      <c r="TWF527" s="500"/>
      <c r="TWG527" s="500"/>
      <c r="TWH527" s="500"/>
      <c r="TWI527" s="500"/>
      <c r="TWJ527" s="500"/>
      <c r="TWK527" s="500"/>
      <c r="TWL527" s="500"/>
      <c r="TWM527" s="500"/>
      <c r="TWN527" s="500"/>
      <c r="TWO527" s="500"/>
      <c r="TWP527" s="500"/>
      <c r="TWQ527" s="500"/>
      <c r="TWR527" s="500"/>
      <c r="TWS527" s="500"/>
      <c r="TWT527" s="500"/>
      <c r="TWU527" s="500"/>
      <c r="TWV527" s="500"/>
      <c r="TWW527" s="500"/>
      <c r="TWX527" s="500"/>
      <c r="TWY527" s="500"/>
      <c r="TWZ527" s="500"/>
      <c r="TXA527" s="500"/>
      <c r="TXB527" s="500"/>
      <c r="TXC527" s="500"/>
      <c r="TXD527" s="500"/>
      <c r="TXE527" s="500"/>
      <c r="TXF527" s="500"/>
      <c r="TXG527" s="500"/>
      <c r="TXH527" s="500"/>
      <c r="TXI527" s="500"/>
      <c r="TXJ527" s="500"/>
      <c r="TXK527" s="500"/>
      <c r="TXL527" s="500"/>
      <c r="TXM527" s="500"/>
      <c r="TXN527" s="500"/>
      <c r="TXO527" s="500"/>
      <c r="TXP527" s="500"/>
      <c r="TXQ527" s="500"/>
      <c r="TXR527" s="500"/>
      <c r="TXS527" s="500"/>
      <c r="TXT527" s="500"/>
      <c r="TXU527" s="500"/>
      <c r="TXV527" s="500"/>
      <c r="TXW527" s="500"/>
      <c r="TXX527" s="500"/>
      <c r="TXY527" s="500"/>
      <c r="TXZ527" s="500"/>
      <c r="TYA527" s="500"/>
      <c r="TYB527" s="500"/>
      <c r="TYC527" s="500"/>
      <c r="TYD527" s="500"/>
      <c r="TYE527" s="500"/>
      <c r="TYF527" s="500"/>
      <c r="TYG527" s="500"/>
      <c r="TYH527" s="500"/>
      <c r="TYI527" s="500"/>
      <c r="TYJ527" s="500"/>
      <c r="TYK527" s="500"/>
      <c r="TYL527" s="500"/>
      <c r="TYM527" s="500"/>
      <c r="TYN527" s="500"/>
      <c r="TYO527" s="500"/>
      <c r="TYP527" s="500"/>
      <c r="TYQ527" s="500"/>
      <c r="TYR527" s="500"/>
      <c r="TYS527" s="500"/>
      <c r="TYT527" s="500"/>
      <c r="TYU527" s="500"/>
      <c r="TYV527" s="500"/>
      <c r="TYW527" s="500"/>
      <c r="TYX527" s="500"/>
      <c r="TYY527" s="500"/>
      <c r="TYZ527" s="500"/>
      <c r="TZA527" s="500"/>
      <c r="TZB527" s="500"/>
      <c r="TZC527" s="500"/>
      <c r="TZD527" s="500"/>
      <c r="TZE527" s="500"/>
      <c r="TZF527" s="500"/>
      <c r="TZG527" s="500"/>
      <c r="TZH527" s="500"/>
      <c r="TZI527" s="500"/>
      <c r="TZJ527" s="500"/>
      <c r="TZK527" s="500"/>
      <c r="TZL527" s="500"/>
      <c r="TZM527" s="500"/>
      <c r="TZN527" s="500"/>
      <c r="TZO527" s="500"/>
      <c r="TZP527" s="500"/>
      <c r="TZQ527" s="500"/>
      <c r="TZR527" s="500"/>
      <c r="TZS527" s="500"/>
      <c r="TZT527" s="500"/>
      <c r="TZU527" s="500"/>
      <c r="TZV527" s="500"/>
      <c r="TZW527" s="500"/>
      <c r="TZX527" s="500"/>
      <c r="TZY527" s="500"/>
      <c r="TZZ527" s="500"/>
      <c r="UAA527" s="500"/>
      <c r="UAB527" s="500"/>
      <c r="UAC527" s="500"/>
      <c r="UAD527" s="500"/>
      <c r="UAE527" s="500"/>
      <c r="UAF527" s="500"/>
      <c r="UAG527" s="500"/>
      <c r="UAH527" s="500"/>
      <c r="UAI527" s="500"/>
      <c r="UAJ527" s="500"/>
      <c r="UAK527" s="500"/>
      <c r="UAL527" s="500"/>
      <c r="UAM527" s="500"/>
      <c r="UAN527" s="500"/>
      <c r="UAO527" s="500"/>
      <c r="UAP527" s="500"/>
      <c r="UAQ527" s="500"/>
      <c r="UAR527" s="500"/>
      <c r="UAS527" s="500"/>
      <c r="UAT527" s="500"/>
      <c r="UAU527" s="500"/>
      <c r="UAV527" s="500"/>
      <c r="UAW527" s="500"/>
      <c r="UAX527" s="500"/>
      <c r="UAY527" s="500"/>
      <c r="UAZ527" s="500"/>
      <c r="UBA527" s="500"/>
      <c r="UBB527" s="500"/>
      <c r="UBC527" s="500"/>
      <c r="UBD527" s="500"/>
      <c r="UBE527" s="500"/>
      <c r="UBF527" s="500"/>
      <c r="UBG527" s="500"/>
      <c r="UBH527" s="500"/>
      <c r="UBI527" s="500"/>
      <c r="UBJ527" s="500"/>
      <c r="UBK527" s="500"/>
      <c r="UBL527" s="500"/>
      <c r="UBM527" s="500"/>
      <c r="UBN527" s="500"/>
      <c r="UBO527" s="500"/>
      <c r="UBP527" s="500"/>
      <c r="UBQ527" s="500"/>
      <c r="UBR527" s="500"/>
      <c r="UBS527" s="500"/>
      <c r="UBT527" s="500"/>
      <c r="UBU527" s="500"/>
      <c r="UBV527" s="500"/>
      <c r="UBW527" s="500"/>
      <c r="UBX527" s="500"/>
      <c r="UBY527" s="500"/>
      <c r="UBZ527" s="500"/>
      <c r="UCA527" s="500"/>
      <c r="UCB527" s="500"/>
      <c r="UCC527" s="500"/>
      <c r="UCD527" s="500"/>
      <c r="UCE527" s="500"/>
      <c r="UCF527" s="500"/>
      <c r="UCG527" s="500"/>
      <c r="UCH527" s="500"/>
      <c r="UCI527" s="500"/>
      <c r="UCJ527" s="500"/>
      <c r="UCK527" s="500"/>
      <c r="UCL527" s="500"/>
      <c r="UCM527" s="500"/>
      <c r="UCN527" s="500"/>
      <c r="UCO527" s="500"/>
      <c r="UCP527" s="500"/>
      <c r="UCQ527" s="500"/>
      <c r="UCR527" s="500"/>
      <c r="UCS527" s="500"/>
      <c r="UCT527" s="500"/>
      <c r="UCU527" s="500"/>
      <c r="UCV527" s="500"/>
      <c r="UCW527" s="500"/>
      <c r="UCX527" s="500"/>
      <c r="UCY527" s="500"/>
      <c r="UCZ527" s="500"/>
      <c r="UDA527" s="500"/>
      <c r="UDB527" s="500"/>
      <c r="UDC527" s="500"/>
      <c r="UDD527" s="500"/>
      <c r="UDE527" s="500"/>
      <c r="UDF527" s="500"/>
      <c r="UDG527" s="500"/>
      <c r="UDH527" s="500"/>
      <c r="UDI527" s="500"/>
      <c r="UDJ527" s="500"/>
      <c r="UDK527" s="500"/>
      <c r="UDL527" s="500"/>
      <c r="UDM527" s="500"/>
      <c r="UDN527" s="500"/>
      <c r="UDO527" s="500"/>
      <c r="UDP527" s="500"/>
      <c r="UDQ527" s="500"/>
      <c r="UDR527" s="500"/>
      <c r="UDS527" s="500"/>
      <c r="UDT527" s="500"/>
      <c r="UDU527" s="500"/>
      <c r="UDV527" s="500"/>
      <c r="UDW527" s="500"/>
      <c r="UDX527" s="500"/>
      <c r="UDY527" s="500"/>
      <c r="UDZ527" s="500"/>
      <c r="UEA527" s="500"/>
      <c r="UEB527" s="500"/>
      <c r="UEC527" s="500"/>
      <c r="UED527" s="500"/>
      <c r="UEE527" s="500"/>
      <c r="UEF527" s="500"/>
      <c r="UEG527" s="500"/>
      <c r="UEH527" s="500"/>
      <c r="UEI527" s="500"/>
      <c r="UEJ527" s="500"/>
      <c r="UEK527" s="500"/>
      <c r="UEL527" s="500"/>
      <c r="UEM527" s="500"/>
      <c r="UEN527" s="500"/>
      <c r="UEO527" s="500"/>
      <c r="UEP527" s="500"/>
      <c r="UEQ527" s="500"/>
      <c r="UER527" s="500"/>
      <c r="UES527" s="500"/>
      <c r="UET527" s="500"/>
      <c r="UEU527" s="500"/>
      <c r="UEV527" s="500"/>
      <c r="UEW527" s="500"/>
      <c r="UEX527" s="500"/>
      <c r="UEY527" s="500"/>
      <c r="UEZ527" s="500"/>
      <c r="UFA527" s="500"/>
      <c r="UFB527" s="500"/>
      <c r="UFC527" s="500"/>
      <c r="UFD527" s="500"/>
      <c r="UFE527" s="500"/>
      <c r="UFF527" s="500"/>
      <c r="UFG527" s="500"/>
      <c r="UFH527" s="500"/>
      <c r="UFI527" s="500"/>
      <c r="UFJ527" s="500"/>
      <c r="UFK527" s="500"/>
      <c r="UFL527" s="500"/>
      <c r="UFM527" s="500"/>
      <c r="UFN527" s="500"/>
      <c r="UFO527" s="500"/>
      <c r="UFP527" s="500"/>
      <c r="UFQ527" s="500"/>
      <c r="UFR527" s="500"/>
      <c r="UFS527" s="500"/>
      <c r="UFT527" s="500"/>
      <c r="UFU527" s="500"/>
      <c r="UFV527" s="500"/>
      <c r="UFW527" s="500"/>
      <c r="UFX527" s="500"/>
      <c r="UFY527" s="500"/>
      <c r="UFZ527" s="500"/>
      <c r="UGA527" s="500"/>
      <c r="UGB527" s="500"/>
      <c r="UGC527" s="500"/>
      <c r="UGD527" s="500"/>
      <c r="UGE527" s="500"/>
      <c r="UGF527" s="500"/>
      <c r="UGG527" s="500"/>
      <c r="UGH527" s="500"/>
      <c r="UGI527" s="500"/>
      <c r="UGJ527" s="500"/>
      <c r="UGK527" s="500"/>
      <c r="UGL527" s="500"/>
      <c r="UGM527" s="500"/>
      <c r="UGN527" s="500"/>
      <c r="UGO527" s="500"/>
      <c r="UGP527" s="500"/>
      <c r="UGQ527" s="500"/>
      <c r="UGR527" s="500"/>
      <c r="UGS527" s="500"/>
      <c r="UGT527" s="500"/>
      <c r="UGU527" s="500"/>
      <c r="UGV527" s="500"/>
      <c r="UGW527" s="500"/>
      <c r="UGX527" s="500"/>
      <c r="UGY527" s="500"/>
      <c r="UGZ527" s="500"/>
      <c r="UHA527" s="500"/>
      <c r="UHB527" s="500"/>
      <c r="UHC527" s="500"/>
      <c r="UHD527" s="500"/>
      <c r="UHE527" s="500"/>
      <c r="UHF527" s="500"/>
      <c r="UHG527" s="500"/>
      <c r="UHH527" s="500"/>
      <c r="UHI527" s="500"/>
      <c r="UHJ527" s="500"/>
      <c r="UHK527" s="500"/>
      <c r="UHL527" s="500"/>
      <c r="UHM527" s="500"/>
      <c r="UHN527" s="500"/>
      <c r="UHO527" s="500"/>
      <c r="UHP527" s="500"/>
      <c r="UHQ527" s="500"/>
      <c r="UHR527" s="500"/>
      <c r="UHS527" s="500"/>
      <c r="UHT527" s="500"/>
      <c r="UHU527" s="500"/>
      <c r="UHV527" s="500"/>
      <c r="UHW527" s="500"/>
      <c r="UHX527" s="500"/>
      <c r="UHY527" s="500"/>
      <c r="UHZ527" s="500"/>
      <c r="UIA527" s="500"/>
      <c r="UIB527" s="500"/>
      <c r="UIC527" s="500"/>
      <c r="UID527" s="500"/>
      <c r="UIE527" s="500"/>
      <c r="UIF527" s="500"/>
      <c r="UIG527" s="500"/>
      <c r="UIH527" s="500"/>
      <c r="UII527" s="500"/>
      <c r="UIJ527" s="500"/>
      <c r="UIK527" s="500"/>
      <c r="UIL527" s="500"/>
      <c r="UIM527" s="500"/>
      <c r="UIN527" s="500"/>
      <c r="UIO527" s="500"/>
      <c r="UIP527" s="500"/>
      <c r="UIQ527" s="500"/>
      <c r="UIR527" s="500"/>
      <c r="UIS527" s="500"/>
      <c r="UIT527" s="500"/>
      <c r="UIU527" s="500"/>
      <c r="UIV527" s="500"/>
      <c r="UIW527" s="500"/>
      <c r="UIX527" s="500"/>
      <c r="UIY527" s="500"/>
      <c r="UIZ527" s="500"/>
      <c r="UJA527" s="500"/>
      <c r="UJB527" s="500"/>
      <c r="UJC527" s="500"/>
      <c r="UJD527" s="500"/>
      <c r="UJE527" s="500"/>
      <c r="UJF527" s="500"/>
      <c r="UJG527" s="500"/>
      <c r="UJH527" s="500"/>
      <c r="UJI527" s="500"/>
      <c r="UJJ527" s="500"/>
      <c r="UJK527" s="500"/>
      <c r="UJL527" s="500"/>
      <c r="UJM527" s="500"/>
      <c r="UJN527" s="500"/>
      <c r="UJO527" s="500"/>
      <c r="UJP527" s="500"/>
      <c r="UJQ527" s="500"/>
      <c r="UJR527" s="500"/>
      <c r="UJS527" s="500"/>
      <c r="UJT527" s="500"/>
      <c r="UJU527" s="500"/>
      <c r="UJV527" s="500"/>
      <c r="UJW527" s="500"/>
      <c r="UJX527" s="500"/>
      <c r="UJY527" s="500"/>
      <c r="UJZ527" s="500"/>
      <c r="UKA527" s="500"/>
      <c r="UKB527" s="500"/>
      <c r="UKC527" s="500"/>
      <c r="UKD527" s="500"/>
      <c r="UKE527" s="500"/>
      <c r="UKF527" s="500"/>
      <c r="UKG527" s="500"/>
      <c r="UKH527" s="500"/>
      <c r="UKI527" s="500"/>
      <c r="UKJ527" s="500"/>
      <c r="UKK527" s="500"/>
      <c r="UKL527" s="500"/>
      <c r="UKM527" s="500"/>
      <c r="UKN527" s="500"/>
      <c r="UKO527" s="500"/>
      <c r="UKP527" s="500"/>
      <c r="UKQ527" s="500"/>
      <c r="UKR527" s="500"/>
      <c r="UKS527" s="500"/>
      <c r="UKT527" s="500"/>
      <c r="UKU527" s="500"/>
      <c r="UKV527" s="500"/>
      <c r="UKW527" s="500"/>
      <c r="UKX527" s="500"/>
      <c r="UKY527" s="500"/>
      <c r="UKZ527" s="500"/>
      <c r="ULA527" s="500"/>
      <c r="ULB527" s="500"/>
      <c r="ULC527" s="500"/>
      <c r="ULD527" s="500"/>
      <c r="ULE527" s="500"/>
      <c r="ULF527" s="500"/>
      <c r="ULG527" s="500"/>
      <c r="ULH527" s="500"/>
      <c r="ULI527" s="500"/>
      <c r="ULJ527" s="500"/>
      <c r="ULK527" s="500"/>
      <c r="ULL527" s="500"/>
      <c r="ULM527" s="500"/>
      <c r="ULN527" s="500"/>
      <c r="ULO527" s="500"/>
      <c r="ULP527" s="500"/>
      <c r="ULQ527" s="500"/>
      <c r="ULR527" s="500"/>
      <c r="ULS527" s="500"/>
      <c r="ULT527" s="500"/>
      <c r="ULU527" s="500"/>
      <c r="ULV527" s="500"/>
      <c r="ULW527" s="500"/>
      <c r="ULX527" s="500"/>
      <c r="ULY527" s="500"/>
      <c r="ULZ527" s="500"/>
      <c r="UMA527" s="500"/>
      <c r="UMB527" s="500"/>
      <c r="UMC527" s="500"/>
      <c r="UMD527" s="500"/>
      <c r="UME527" s="500"/>
      <c r="UMF527" s="500"/>
      <c r="UMG527" s="500"/>
      <c r="UMH527" s="500"/>
      <c r="UMI527" s="500"/>
      <c r="UMJ527" s="500"/>
      <c r="UMK527" s="500"/>
      <c r="UML527" s="500"/>
      <c r="UMM527" s="500"/>
      <c r="UMN527" s="500"/>
      <c r="UMO527" s="500"/>
      <c r="UMP527" s="500"/>
      <c r="UMQ527" s="500"/>
      <c r="UMR527" s="500"/>
      <c r="UMS527" s="500"/>
      <c r="UMT527" s="500"/>
      <c r="UMU527" s="500"/>
      <c r="UMV527" s="500"/>
      <c r="UMW527" s="500"/>
      <c r="UMX527" s="500"/>
      <c r="UMY527" s="500"/>
      <c r="UMZ527" s="500"/>
      <c r="UNA527" s="500"/>
      <c r="UNB527" s="500"/>
      <c r="UNC527" s="500"/>
      <c r="UND527" s="500"/>
      <c r="UNE527" s="500"/>
      <c r="UNF527" s="500"/>
      <c r="UNG527" s="500"/>
      <c r="UNH527" s="500"/>
      <c r="UNI527" s="500"/>
      <c r="UNJ527" s="500"/>
      <c r="UNK527" s="500"/>
      <c r="UNL527" s="500"/>
      <c r="UNM527" s="500"/>
      <c r="UNN527" s="500"/>
      <c r="UNO527" s="500"/>
      <c r="UNP527" s="500"/>
      <c r="UNQ527" s="500"/>
      <c r="UNR527" s="500"/>
      <c r="UNS527" s="500"/>
      <c r="UNT527" s="500"/>
      <c r="UNU527" s="500"/>
      <c r="UNV527" s="500"/>
      <c r="UNW527" s="500"/>
      <c r="UNX527" s="500"/>
      <c r="UNY527" s="500"/>
      <c r="UNZ527" s="500"/>
      <c r="UOA527" s="500"/>
      <c r="UOB527" s="500"/>
      <c r="UOC527" s="500"/>
      <c r="UOD527" s="500"/>
      <c r="UOE527" s="500"/>
      <c r="UOF527" s="500"/>
      <c r="UOG527" s="500"/>
      <c r="UOH527" s="500"/>
      <c r="UOI527" s="500"/>
      <c r="UOJ527" s="500"/>
      <c r="UOK527" s="500"/>
      <c r="UOL527" s="500"/>
      <c r="UOM527" s="500"/>
      <c r="UON527" s="500"/>
      <c r="UOO527" s="500"/>
      <c r="UOP527" s="500"/>
      <c r="UOQ527" s="500"/>
      <c r="UOR527" s="500"/>
      <c r="UOS527" s="500"/>
      <c r="UOT527" s="500"/>
      <c r="UOU527" s="500"/>
      <c r="UOV527" s="500"/>
      <c r="UOW527" s="500"/>
      <c r="UOX527" s="500"/>
      <c r="UOY527" s="500"/>
      <c r="UOZ527" s="500"/>
      <c r="UPA527" s="500"/>
      <c r="UPB527" s="500"/>
      <c r="UPC527" s="500"/>
      <c r="UPD527" s="500"/>
      <c r="UPE527" s="500"/>
      <c r="UPF527" s="500"/>
      <c r="UPG527" s="500"/>
      <c r="UPH527" s="500"/>
      <c r="UPI527" s="500"/>
      <c r="UPJ527" s="500"/>
      <c r="UPK527" s="500"/>
      <c r="UPL527" s="500"/>
      <c r="UPM527" s="500"/>
      <c r="UPN527" s="500"/>
      <c r="UPO527" s="500"/>
      <c r="UPP527" s="500"/>
      <c r="UPQ527" s="500"/>
      <c r="UPR527" s="500"/>
      <c r="UPS527" s="500"/>
      <c r="UPT527" s="500"/>
      <c r="UPU527" s="500"/>
      <c r="UPV527" s="500"/>
      <c r="UPW527" s="500"/>
      <c r="UPX527" s="500"/>
      <c r="UPY527" s="500"/>
      <c r="UPZ527" s="500"/>
      <c r="UQA527" s="500"/>
      <c r="UQB527" s="500"/>
      <c r="UQC527" s="500"/>
      <c r="UQD527" s="500"/>
      <c r="UQE527" s="500"/>
      <c r="UQF527" s="500"/>
      <c r="UQG527" s="500"/>
      <c r="UQH527" s="500"/>
      <c r="UQI527" s="500"/>
      <c r="UQJ527" s="500"/>
      <c r="UQK527" s="500"/>
      <c r="UQL527" s="500"/>
      <c r="UQM527" s="500"/>
      <c r="UQN527" s="500"/>
      <c r="UQO527" s="500"/>
      <c r="UQP527" s="500"/>
      <c r="UQQ527" s="500"/>
      <c r="UQR527" s="500"/>
      <c r="UQS527" s="500"/>
      <c r="UQT527" s="500"/>
      <c r="UQU527" s="500"/>
      <c r="UQV527" s="500"/>
      <c r="UQW527" s="500"/>
      <c r="UQX527" s="500"/>
      <c r="UQY527" s="500"/>
      <c r="UQZ527" s="500"/>
      <c r="URA527" s="500"/>
      <c r="URB527" s="500"/>
      <c r="URC527" s="500"/>
      <c r="URD527" s="500"/>
      <c r="URE527" s="500"/>
      <c r="URF527" s="500"/>
      <c r="URG527" s="500"/>
      <c r="URH527" s="500"/>
      <c r="URI527" s="500"/>
      <c r="URJ527" s="500"/>
      <c r="URK527" s="500"/>
      <c r="URL527" s="500"/>
      <c r="URM527" s="500"/>
      <c r="URN527" s="500"/>
      <c r="URO527" s="500"/>
      <c r="URP527" s="500"/>
      <c r="URQ527" s="500"/>
      <c r="URR527" s="500"/>
      <c r="URS527" s="500"/>
      <c r="URT527" s="500"/>
      <c r="URU527" s="500"/>
      <c r="URV527" s="500"/>
      <c r="URW527" s="500"/>
      <c r="URX527" s="500"/>
      <c r="URY527" s="500"/>
      <c r="URZ527" s="500"/>
      <c r="USA527" s="500"/>
      <c r="USB527" s="500"/>
      <c r="USC527" s="500"/>
      <c r="USD527" s="500"/>
      <c r="USE527" s="500"/>
      <c r="USF527" s="500"/>
      <c r="USG527" s="500"/>
      <c r="USH527" s="500"/>
      <c r="USI527" s="500"/>
      <c r="USJ527" s="500"/>
      <c r="USK527" s="500"/>
      <c r="USL527" s="500"/>
      <c r="USM527" s="500"/>
      <c r="USN527" s="500"/>
      <c r="USO527" s="500"/>
      <c r="USP527" s="500"/>
      <c r="USQ527" s="500"/>
      <c r="USR527" s="500"/>
      <c r="USS527" s="500"/>
      <c r="UST527" s="500"/>
      <c r="USU527" s="500"/>
      <c r="USV527" s="500"/>
      <c r="USW527" s="500"/>
      <c r="USX527" s="500"/>
      <c r="USY527" s="500"/>
      <c r="USZ527" s="500"/>
      <c r="UTA527" s="500"/>
      <c r="UTB527" s="500"/>
      <c r="UTC527" s="500"/>
      <c r="UTD527" s="500"/>
      <c r="UTE527" s="500"/>
      <c r="UTF527" s="500"/>
      <c r="UTG527" s="500"/>
      <c r="UTH527" s="500"/>
      <c r="UTI527" s="500"/>
      <c r="UTJ527" s="500"/>
      <c r="UTK527" s="500"/>
      <c r="UTL527" s="500"/>
      <c r="UTM527" s="500"/>
      <c r="UTN527" s="500"/>
      <c r="UTO527" s="500"/>
      <c r="UTP527" s="500"/>
      <c r="UTQ527" s="500"/>
      <c r="UTR527" s="500"/>
      <c r="UTS527" s="500"/>
      <c r="UTT527" s="500"/>
      <c r="UTU527" s="500"/>
      <c r="UTV527" s="500"/>
      <c r="UTW527" s="500"/>
      <c r="UTX527" s="500"/>
      <c r="UTY527" s="500"/>
      <c r="UTZ527" s="500"/>
      <c r="UUA527" s="500"/>
      <c r="UUB527" s="500"/>
      <c r="UUC527" s="500"/>
      <c r="UUD527" s="500"/>
      <c r="UUE527" s="500"/>
      <c r="UUF527" s="500"/>
      <c r="UUG527" s="500"/>
      <c r="UUH527" s="500"/>
      <c r="UUI527" s="500"/>
      <c r="UUJ527" s="500"/>
      <c r="UUK527" s="500"/>
      <c r="UUL527" s="500"/>
      <c r="UUM527" s="500"/>
      <c r="UUN527" s="500"/>
      <c r="UUO527" s="500"/>
      <c r="UUP527" s="500"/>
      <c r="UUQ527" s="500"/>
      <c r="UUR527" s="500"/>
      <c r="UUS527" s="500"/>
      <c r="UUT527" s="500"/>
      <c r="UUU527" s="500"/>
      <c r="UUV527" s="500"/>
      <c r="UUW527" s="500"/>
      <c r="UUX527" s="500"/>
      <c r="UUY527" s="500"/>
      <c r="UUZ527" s="500"/>
      <c r="UVA527" s="500"/>
      <c r="UVB527" s="500"/>
      <c r="UVC527" s="500"/>
      <c r="UVD527" s="500"/>
      <c r="UVE527" s="500"/>
      <c r="UVF527" s="500"/>
      <c r="UVG527" s="500"/>
      <c r="UVH527" s="500"/>
      <c r="UVI527" s="500"/>
      <c r="UVJ527" s="500"/>
      <c r="UVK527" s="500"/>
      <c r="UVL527" s="500"/>
      <c r="UVM527" s="500"/>
      <c r="UVN527" s="500"/>
      <c r="UVO527" s="500"/>
      <c r="UVP527" s="500"/>
      <c r="UVQ527" s="500"/>
      <c r="UVR527" s="500"/>
      <c r="UVS527" s="500"/>
      <c r="UVT527" s="500"/>
      <c r="UVU527" s="500"/>
      <c r="UVV527" s="500"/>
      <c r="UVW527" s="500"/>
      <c r="UVX527" s="500"/>
      <c r="UVY527" s="500"/>
      <c r="UVZ527" s="500"/>
      <c r="UWA527" s="500"/>
      <c r="UWB527" s="500"/>
      <c r="UWC527" s="500"/>
      <c r="UWD527" s="500"/>
      <c r="UWE527" s="500"/>
      <c r="UWF527" s="500"/>
      <c r="UWG527" s="500"/>
      <c r="UWH527" s="500"/>
      <c r="UWI527" s="500"/>
      <c r="UWJ527" s="500"/>
      <c r="UWK527" s="500"/>
      <c r="UWL527" s="500"/>
      <c r="UWM527" s="500"/>
      <c r="UWN527" s="500"/>
      <c r="UWO527" s="500"/>
      <c r="UWP527" s="500"/>
      <c r="UWQ527" s="500"/>
      <c r="UWR527" s="500"/>
      <c r="UWS527" s="500"/>
      <c r="UWT527" s="500"/>
      <c r="UWU527" s="500"/>
      <c r="UWV527" s="500"/>
      <c r="UWW527" s="500"/>
      <c r="UWX527" s="500"/>
      <c r="UWY527" s="500"/>
      <c r="UWZ527" s="500"/>
      <c r="UXA527" s="500"/>
      <c r="UXB527" s="500"/>
      <c r="UXC527" s="500"/>
      <c r="UXD527" s="500"/>
      <c r="UXE527" s="500"/>
      <c r="UXF527" s="500"/>
      <c r="UXG527" s="500"/>
      <c r="UXH527" s="500"/>
      <c r="UXI527" s="500"/>
      <c r="UXJ527" s="500"/>
      <c r="UXK527" s="500"/>
      <c r="UXL527" s="500"/>
      <c r="UXM527" s="500"/>
      <c r="UXN527" s="500"/>
      <c r="UXO527" s="500"/>
      <c r="UXP527" s="500"/>
      <c r="UXQ527" s="500"/>
      <c r="UXR527" s="500"/>
      <c r="UXS527" s="500"/>
      <c r="UXT527" s="500"/>
      <c r="UXU527" s="500"/>
      <c r="UXV527" s="500"/>
      <c r="UXW527" s="500"/>
      <c r="UXX527" s="500"/>
      <c r="UXY527" s="500"/>
      <c r="UXZ527" s="500"/>
      <c r="UYA527" s="500"/>
      <c r="UYB527" s="500"/>
      <c r="UYC527" s="500"/>
      <c r="UYD527" s="500"/>
      <c r="UYE527" s="500"/>
      <c r="UYF527" s="500"/>
      <c r="UYG527" s="500"/>
      <c r="UYH527" s="500"/>
      <c r="UYI527" s="500"/>
      <c r="UYJ527" s="500"/>
      <c r="UYK527" s="500"/>
      <c r="UYL527" s="500"/>
      <c r="UYM527" s="500"/>
      <c r="UYN527" s="500"/>
      <c r="UYO527" s="500"/>
      <c r="UYP527" s="500"/>
      <c r="UYQ527" s="500"/>
      <c r="UYR527" s="500"/>
      <c r="UYS527" s="500"/>
      <c r="UYT527" s="500"/>
      <c r="UYU527" s="500"/>
      <c r="UYV527" s="500"/>
      <c r="UYW527" s="500"/>
      <c r="UYX527" s="500"/>
      <c r="UYY527" s="500"/>
      <c r="UYZ527" s="500"/>
      <c r="UZA527" s="500"/>
      <c r="UZB527" s="500"/>
      <c r="UZC527" s="500"/>
      <c r="UZD527" s="500"/>
      <c r="UZE527" s="500"/>
      <c r="UZF527" s="500"/>
      <c r="UZG527" s="500"/>
      <c r="UZH527" s="500"/>
      <c r="UZI527" s="500"/>
      <c r="UZJ527" s="500"/>
      <c r="UZK527" s="500"/>
      <c r="UZL527" s="500"/>
      <c r="UZM527" s="500"/>
      <c r="UZN527" s="500"/>
      <c r="UZO527" s="500"/>
      <c r="UZP527" s="500"/>
      <c r="UZQ527" s="500"/>
      <c r="UZR527" s="500"/>
      <c r="UZS527" s="500"/>
      <c r="UZT527" s="500"/>
      <c r="UZU527" s="500"/>
      <c r="UZV527" s="500"/>
      <c r="UZW527" s="500"/>
      <c r="UZX527" s="500"/>
      <c r="UZY527" s="500"/>
      <c r="UZZ527" s="500"/>
      <c r="VAA527" s="500"/>
      <c r="VAB527" s="500"/>
      <c r="VAC527" s="500"/>
      <c r="VAD527" s="500"/>
      <c r="VAE527" s="500"/>
      <c r="VAF527" s="500"/>
      <c r="VAG527" s="500"/>
      <c r="VAH527" s="500"/>
      <c r="VAI527" s="500"/>
      <c r="VAJ527" s="500"/>
      <c r="VAK527" s="500"/>
      <c r="VAL527" s="500"/>
      <c r="VAM527" s="500"/>
      <c r="VAN527" s="500"/>
      <c r="VAO527" s="500"/>
      <c r="VAP527" s="500"/>
      <c r="VAQ527" s="500"/>
      <c r="VAR527" s="500"/>
      <c r="VAS527" s="500"/>
      <c r="VAT527" s="500"/>
      <c r="VAU527" s="500"/>
      <c r="VAV527" s="500"/>
      <c r="VAW527" s="500"/>
      <c r="VAX527" s="500"/>
      <c r="VAY527" s="500"/>
      <c r="VAZ527" s="500"/>
      <c r="VBA527" s="500"/>
      <c r="VBB527" s="500"/>
      <c r="VBC527" s="500"/>
      <c r="VBD527" s="500"/>
      <c r="VBE527" s="500"/>
      <c r="VBF527" s="500"/>
      <c r="VBG527" s="500"/>
      <c r="VBH527" s="500"/>
      <c r="VBI527" s="500"/>
      <c r="VBJ527" s="500"/>
      <c r="VBK527" s="500"/>
      <c r="VBL527" s="500"/>
      <c r="VBM527" s="500"/>
      <c r="VBN527" s="500"/>
      <c r="VBO527" s="500"/>
      <c r="VBP527" s="500"/>
      <c r="VBQ527" s="500"/>
      <c r="VBR527" s="500"/>
      <c r="VBS527" s="500"/>
      <c r="VBT527" s="500"/>
      <c r="VBU527" s="500"/>
      <c r="VBV527" s="500"/>
      <c r="VBW527" s="500"/>
      <c r="VBX527" s="500"/>
      <c r="VBY527" s="500"/>
      <c r="VBZ527" s="500"/>
      <c r="VCA527" s="500"/>
      <c r="VCB527" s="500"/>
      <c r="VCC527" s="500"/>
      <c r="VCD527" s="500"/>
      <c r="VCE527" s="500"/>
      <c r="VCF527" s="500"/>
      <c r="VCG527" s="500"/>
      <c r="VCH527" s="500"/>
      <c r="VCI527" s="500"/>
      <c r="VCJ527" s="500"/>
      <c r="VCK527" s="500"/>
      <c r="VCL527" s="500"/>
      <c r="VCM527" s="500"/>
      <c r="VCN527" s="500"/>
      <c r="VCO527" s="500"/>
      <c r="VCP527" s="500"/>
      <c r="VCQ527" s="500"/>
      <c r="VCR527" s="500"/>
      <c r="VCS527" s="500"/>
      <c r="VCT527" s="500"/>
      <c r="VCU527" s="500"/>
      <c r="VCV527" s="500"/>
      <c r="VCW527" s="500"/>
      <c r="VCX527" s="500"/>
      <c r="VCY527" s="500"/>
      <c r="VCZ527" s="500"/>
      <c r="VDA527" s="500"/>
      <c r="VDB527" s="500"/>
      <c r="VDC527" s="500"/>
      <c r="VDD527" s="500"/>
      <c r="VDE527" s="500"/>
      <c r="VDF527" s="500"/>
      <c r="VDG527" s="500"/>
      <c r="VDH527" s="500"/>
      <c r="VDI527" s="500"/>
      <c r="VDJ527" s="500"/>
      <c r="VDK527" s="500"/>
      <c r="VDL527" s="500"/>
      <c r="VDM527" s="500"/>
      <c r="VDN527" s="500"/>
      <c r="VDO527" s="500"/>
      <c r="VDP527" s="500"/>
      <c r="VDQ527" s="500"/>
      <c r="VDR527" s="500"/>
      <c r="VDS527" s="500"/>
      <c r="VDT527" s="500"/>
      <c r="VDU527" s="500"/>
      <c r="VDV527" s="500"/>
      <c r="VDW527" s="500"/>
      <c r="VDX527" s="500"/>
      <c r="VDY527" s="500"/>
      <c r="VDZ527" s="500"/>
      <c r="VEA527" s="500"/>
      <c r="VEB527" s="500"/>
      <c r="VEC527" s="500"/>
      <c r="VED527" s="500"/>
      <c r="VEE527" s="500"/>
      <c r="VEF527" s="500"/>
      <c r="VEG527" s="500"/>
      <c r="VEH527" s="500"/>
      <c r="VEI527" s="500"/>
      <c r="VEJ527" s="500"/>
      <c r="VEK527" s="500"/>
      <c r="VEL527" s="500"/>
      <c r="VEM527" s="500"/>
      <c r="VEN527" s="500"/>
      <c r="VEO527" s="500"/>
      <c r="VEP527" s="500"/>
      <c r="VEQ527" s="500"/>
      <c r="VER527" s="500"/>
      <c r="VES527" s="500"/>
      <c r="VET527" s="500"/>
      <c r="VEU527" s="500"/>
      <c r="VEV527" s="500"/>
      <c r="VEW527" s="500"/>
      <c r="VEX527" s="500"/>
      <c r="VEY527" s="500"/>
      <c r="VEZ527" s="500"/>
      <c r="VFA527" s="500"/>
      <c r="VFB527" s="500"/>
      <c r="VFC527" s="500"/>
      <c r="VFD527" s="500"/>
      <c r="VFE527" s="500"/>
      <c r="VFF527" s="500"/>
      <c r="VFG527" s="500"/>
      <c r="VFH527" s="500"/>
      <c r="VFI527" s="500"/>
      <c r="VFJ527" s="500"/>
      <c r="VFK527" s="500"/>
      <c r="VFL527" s="500"/>
      <c r="VFM527" s="500"/>
      <c r="VFN527" s="500"/>
      <c r="VFO527" s="500"/>
      <c r="VFP527" s="500"/>
      <c r="VFQ527" s="500"/>
      <c r="VFR527" s="500"/>
      <c r="VFS527" s="500"/>
      <c r="VFT527" s="500"/>
      <c r="VFU527" s="500"/>
      <c r="VFV527" s="500"/>
      <c r="VFW527" s="500"/>
      <c r="VFX527" s="500"/>
      <c r="VFY527" s="500"/>
      <c r="VFZ527" s="500"/>
      <c r="VGA527" s="500"/>
      <c r="VGB527" s="500"/>
      <c r="VGC527" s="500"/>
      <c r="VGD527" s="500"/>
      <c r="VGE527" s="500"/>
      <c r="VGF527" s="500"/>
      <c r="VGG527" s="500"/>
      <c r="VGH527" s="500"/>
      <c r="VGI527" s="500"/>
      <c r="VGJ527" s="500"/>
      <c r="VGK527" s="500"/>
      <c r="VGL527" s="500"/>
      <c r="VGM527" s="500"/>
      <c r="VGN527" s="500"/>
      <c r="VGO527" s="500"/>
      <c r="VGP527" s="500"/>
      <c r="VGQ527" s="500"/>
      <c r="VGR527" s="500"/>
      <c r="VGS527" s="500"/>
      <c r="VGT527" s="500"/>
      <c r="VGU527" s="500"/>
      <c r="VGV527" s="500"/>
      <c r="VGW527" s="500"/>
      <c r="VGX527" s="500"/>
      <c r="VGY527" s="500"/>
      <c r="VGZ527" s="500"/>
      <c r="VHA527" s="500"/>
      <c r="VHB527" s="500"/>
      <c r="VHC527" s="500"/>
      <c r="VHD527" s="500"/>
      <c r="VHE527" s="500"/>
      <c r="VHF527" s="500"/>
      <c r="VHG527" s="500"/>
      <c r="VHH527" s="500"/>
      <c r="VHI527" s="500"/>
      <c r="VHJ527" s="500"/>
      <c r="VHK527" s="500"/>
      <c r="VHL527" s="500"/>
      <c r="VHM527" s="500"/>
      <c r="VHN527" s="500"/>
      <c r="VHO527" s="500"/>
      <c r="VHP527" s="500"/>
      <c r="VHQ527" s="500"/>
      <c r="VHR527" s="500"/>
      <c r="VHS527" s="500"/>
      <c r="VHT527" s="500"/>
      <c r="VHU527" s="500"/>
      <c r="VHV527" s="500"/>
      <c r="VHW527" s="500"/>
      <c r="VHX527" s="500"/>
      <c r="VHY527" s="500"/>
      <c r="VHZ527" s="500"/>
      <c r="VIA527" s="500"/>
      <c r="VIB527" s="500"/>
      <c r="VIC527" s="500"/>
      <c r="VID527" s="500"/>
      <c r="VIE527" s="500"/>
      <c r="VIF527" s="500"/>
      <c r="VIG527" s="500"/>
      <c r="VIH527" s="500"/>
      <c r="VII527" s="500"/>
      <c r="VIJ527" s="500"/>
      <c r="VIK527" s="500"/>
      <c r="VIL527" s="500"/>
      <c r="VIM527" s="500"/>
      <c r="VIN527" s="500"/>
      <c r="VIO527" s="500"/>
      <c r="VIP527" s="500"/>
      <c r="VIQ527" s="500"/>
      <c r="VIR527" s="500"/>
      <c r="VIS527" s="500"/>
      <c r="VIT527" s="500"/>
      <c r="VIU527" s="500"/>
      <c r="VIV527" s="500"/>
      <c r="VIW527" s="500"/>
      <c r="VIX527" s="500"/>
      <c r="VIY527" s="500"/>
      <c r="VIZ527" s="500"/>
      <c r="VJA527" s="500"/>
      <c r="VJB527" s="500"/>
      <c r="VJC527" s="500"/>
      <c r="VJD527" s="500"/>
      <c r="VJE527" s="500"/>
      <c r="VJF527" s="500"/>
      <c r="VJG527" s="500"/>
      <c r="VJH527" s="500"/>
      <c r="VJI527" s="500"/>
      <c r="VJJ527" s="500"/>
      <c r="VJK527" s="500"/>
      <c r="VJL527" s="500"/>
      <c r="VJM527" s="500"/>
      <c r="VJN527" s="500"/>
      <c r="VJO527" s="500"/>
      <c r="VJP527" s="500"/>
      <c r="VJQ527" s="500"/>
      <c r="VJR527" s="500"/>
      <c r="VJS527" s="500"/>
      <c r="VJT527" s="500"/>
      <c r="VJU527" s="500"/>
      <c r="VJV527" s="500"/>
      <c r="VJW527" s="500"/>
      <c r="VJX527" s="500"/>
      <c r="VJY527" s="500"/>
      <c r="VJZ527" s="500"/>
      <c r="VKA527" s="500"/>
      <c r="VKB527" s="500"/>
      <c r="VKC527" s="500"/>
      <c r="VKD527" s="500"/>
      <c r="VKE527" s="500"/>
      <c r="VKF527" s="500"/>
      <c r="VKG527" s="500"/>
      <c r="VKH527" s="500"/>
      <c r="VKI527" s="500"/>
      <c r="VKJ527" s="500"/>
      <c r="VKK527" s="500"/>
      <c r="VKL527" s="500"/>
      <c r="VKM527" s="500"/>
      <c r="VKN527" s="500"/>
      <c r="VKO527" s="500"/>
      <c r="VKP527" s="500"/>
      <c r="VKQ527" s="500"/>
      <c r="VKR527" s="500"/>
      <c r="VKS527" s="500"/>
      <c r="VKT527" s="500"/>
      <c r="VKU527" s="500"/>
      <c r="VKV527" s="500"/>
      <c r="VKW527" s="500"/>
      <c r="VKX527" s="500"/>
      <c r="VKY527" s="500"/>
      <c r="VKZ527" s="500"/>
      <c r="VLA527" s="500"/>
      <c r="VLB527" s="500"/>
      <c r="VLC527" s="500"/>
      <c r="VLD527" s="500"/>
      <c r="VLE527" s="500"/>
      <c r="VLF527" s="500"/>
      <c r="VLG527" s="500"/>
      <c r="VLH527" s="500"/>
      <c r="VLI527" s="500"/>
      <c r="VLJ527" s="500"/>
      <c r="VLK527" s="500"/>
      <c r="VLL527" s="500"/>
      <c r="VLM527" s="500"/>
      <c r="VLN527" s="500"/>
      <c r="VLO527" s="500"/>
      <c r="VLP527" s="500"/>
      <c r="VLQ527" s="500"/>
      <c r="VLR527" s="500"/>
      <c r="VLS527" s="500"/>
      <c r="VLT527" s="500"/>
      <c r="VLU527" s="500"/>
      <c r="VLV527" s="500"/>
      <c r="VLW527" s="500"/>
      <c r="VLX527" s="500"/>
      <c r="VLY527" s="500"/>
      <c r="VLZ527" s="500"/>
      <c r="VMA527" s="500"/>
      <c r="VMB527" s="500"/>
      <c r="VMC527" s="500"/>
      <c r="VMD527" s="500"/>
      <c r="VME527" s="500"/>
      <c r="VMF527" s="500"/>
      <c r="VMG527" s="500"/>
      <c r="VMH527" s="500"/>
      <c r="VMI527" s="500"/>
      <c r="VMJ527" s="500"/>
      <c r="VMK527" s="500"/>
      <c r="VML527" s="500"/>
      <c r="VMM527" s="500"/>
      <c r="VMN527" s="500"/>
      <c r="VMO527" s="500"/>
      <c r="VMP527" s="500"/>
      <c r="VMQ527" s="500"/>
      <c r="VMR527" s="500"/>
      <c r="VMS527" s="500"/>
      <c r="VMT527" s="500"/>
      <c r="VMU527" s="500"/>
      <c r="VMV527" s="500"/>
      <c r="VMW527" s="500"/>
      <c r="VMX527" s="500"/>
      <c r="VMY527" s="500"/>
      <c r="VMZ527" s="500"/>
      <c r="VNA527" s="500"/>
      <c r="VNB527" s="500"/>
      <c r="VNC527" s="500"/>
      <c r="VND527" s="500"/>
      <c r="VNE527" s="500"/>
      <c r="VNF527" s="500"/>
      <c r="VNG527" s="500"/>
      <c r="VNH527" s="500"/>
      <c r="VNI527" s="500"/>
      <c r="VNJ527" s="500"/>
      <c r="VNK527" s="500"/>
      <c r="VNL527" s="500"/>
      <c r="VNM527" s="500"/>
      <c r="VNN527" s="500"/>
      <c r="VNO527" s="500"/>
      <c r="VNP527" s="500"/>
      <c r="VNQ527" s="500"/>
      <c r="VNR527" s="500"/>
      <c r="VNS527" s="500"/>
      <c r="VNT527" s="500"/>
      <c r="VNU527" s="500"/>
      <c r="VNV527" s="500"/>
      <c r="VNW527" s="500"/>
      <c r="VNX527" s="500"/>
      <c r="VNY527" s="500"/>
      <c r="VNZ527" s="500"/>
      <c r="VOA527" s="500"/>
      <c r="VOB527" s="500"/>
      <c r="VOC527" s="500"/>
      <c r="VOD527" s="500"/>
      <c r="VOE527" s="500"/>
      <c r="VOF527" s="500"/>
      <c r="VOG527" s="500"/>
      <c r="VOH527" s="500"/>
      <c r="VOI527" s="500"/>
      <c r="VOJ527" s="500"/>
      <c r="VOK527" s="500"/>
      <c r="VOL527" s="500"/>
      <c r="VOM527" s="500"/>
      <c r="VON527" s="500"/>
      <c r="VOO527" s="500"/>
      <c r="VOP527" s="500"/>
      <c r="VOQ527" s="500"/>
      <c r="VOR527" s="500"/>
      <c r="VOS527" s="500"/>
      <c r="VOT527" s="500"/>
      <c r="VOU527" s="500"/>
      <c r="VOV527" s="500"/>
      <c r="VOW527" s="500"/>
      <c r="VOX527" s="500"/>
      <c r="VOY527" s="500"/>
      <c r="VOZ527" s="500"/>
      <c r="VPA527" s="500"/>
      <c r="VPB527" s="500"/>
      <c r="VPC527" s="500"/>
      <c r="VPD527" s="500"/>
      <c r="VPE527" s="500"/>
      <c r="VPF527" s="500"/>
      <c r="VPG527" s="500"/>
      <c r="VPH527" s="500"/>
      <c r="VPI527" s="500"/>
      <c r="VPJ527" s="500"/>
      <c r="VPK527" s="500"/>
      <c r="VPL527" s="500"/>
      <c r="VPM527" s="500"/>
      <c r="VPN527" s="500"/>
      <c r="VPO527" s="500"/>
      <c r="VPP527" s="500"/>
      <c r="VPQ527" s="500"/>
      <c r="VPR527" s="500"/>
      <c r="VPS527" s="500"/>
      <c r="VPT527" s="500"/>
      <c r="VPU527" s="500"/>
      <c r="VPV527" s="500"/>
      <c r="VPW527" s="500"/>
      <c r="VPX527" s="500"/>
      <c r="VPY527" s="500"/>
      <c r="VPZ527" s="500"/>
      <c r="VQA527" s="500"/>
      <c r="VQB527" s="500"/>
      <c r="VQC527" s="500"/>
      <c r="VQD527" s="500"/>
      <c r="VQE527" s="500"/>
      <c r="VQF527" s="500"/>
      <c r="VQG527" s="500"/>
      <c r="VQH527" s="500"/>
      <c r="VQI527" s="500"/>
      <c r="VQJ527" s="500"/>
      <c r="VQK527" s="500"/>
      <c r="VQL527" s="500"/>
      <c r="VQM527" s="500"/>
      <c r="VQN527" s="500"/>
      <c r="VQO527" s="500"/>
      <c r="VQP527" s="500"/>
      <c r="VQQ527" s="500"/>
      <c r="VQR527" s="500"/>
      <c r="VQS527" s="500"/>
      <c r="VQT527" s="500"/>
      <c r="VQU527" s="500"/>
      <c r="VQV527" s="500"/>
      <c r="VQW527" s="500"/>
      <c r="VQX527" s="500"/>
      <c r="VQY527" s="500"/>
      <c r="VQZ527" s="500"/>
      <c r="VRA527" s="500"/>
      <c r="VRB527" s="500"/>
      <c r="VRC527" s="500"/>
      <c r="VRD527" s="500"/>
      <c r="VRE527" s="500"/>
      <c r="VRF527" s="500"/>
      <c r="VRG527" s="500"/>
      <c r="VRH527" s="500"/>
      <c r="VRI527" s="500"/>
      <c r="VRJ527" s="500"/>
      <c r="VRK527" s="500"/>
      <c r="VRL527" s="500"/>
      <c r="VRM527" s="500"/>
      <c r="VRN527" s="500"/>
      <c r="VRO527" s="500"/>
      <c r="VRP527" s="500"/>
      <c r="VRQ527" s="500"/>
      <c r="VRR527" s="500"/>
      <c r="VRS527" s="500"/>
      <c r="VRT527" s="500"/>
      <c r="VRU527" s="500"/>
      <c r="VRV527" s="500"/>
      <c r="VRW527" s="500"/>
      <c r="VRX527" s="500"/>
      <c r="VRY527" s="500"/>
      <c r="VRZ527" s="500"/>
      <c r="VSA527" s="500"/>
      <c r="VSB527" s="500"/>
      <c r="VSC527" s="500"/>
      <c r="VSD527" s="500"/>
      <c r="VSE527" s="500"/>
      <c r="VSF527" s="500"/>
      <c r="VSG527" s="500"/>
      <c r="VSH527" s="500"/>
      <c r="VSI527" s="500"/>
      <c r="VSJ527" s="500"/>
      <c r="VSK527" s="500"/>
      <c r="VSL527" s="500"/>
      <c r="VSM527" s="500"/>
      <c r="VSN527" s="500"/>
      <c r="VSO527" s="500"/>
      <c r="VSP527" s="500"/>
      <c r="VSQ527" s="500"/>
      <c r="VSR527" s="500"/>
      <c r="VSS527" s="500"/>
      <c r="VST527" s="500"/>
      <c r="VSU527" s="500"/>
      <c r="VSV527" s="500"/>
      <c r="VSW527" s="500"/>
      <c r="VSX527" s="500"/>
      <c r="VSY527" s="500"/>
      <c r="VSZ527" s="500"/>
      <c r="VTA527" s="500"/>
      <c r="VTB527" s="500"/>
      <c r="VTC527" s="500"/>
      <c r="VTD527" s="500"/>
      <c r="VTE527" s="500"/>
      <c r="VTF527" s="500"/>
      <c r="VTG527" s="500"/>
      <c r="VTH527" s="500"/>
      <c r="VTI527" s="500"/>
      <c r="VTJ527" s="500"/>
      <c r="VTK527" s="500"/>
      <c r="VTL527" s="500"/>
      <c r="VTM527" s="500"/>
      <c r="VTN527" s="500"/>
      <c r="VTO527" s="500"/>
      <c r="VTP527" s="500"/>
      <c r="VTQ527" s="500"/>
      <c r="VTR527" s="500"/>
      <c r="VTS527" s="500"/>
      <c r="VTT527" s="500"/>
      <c r="VTU527" s="500"/>
      <c r="VTV527" s="500"/>
      <c r="VTW527" s="500"/>
      <c r="VTX527" s="500"/>
      <c r="VTY527" s="500"/>
      <c r="VTZ527" s="500"/>
      <c r="VUA527" s="500"/>
      <c r="VUB527" s="500"/>
      <c r="VUC527" s="500"/>
      <c r="VUD527" s="500"/>
      <c r="VUE527" s="500"/>
      <c r="VUF527" s="500"/>
      <c r="VUG527" s="500"/>
      <c r="VUH527" s="500"/>
      <c r="VUI527" s="500"/>
      <c r="VUJ527" s="500"/>
      <c r="VUK527" s="500"/>
      <c r="VUL527" s="500"/>
      <c r="VUM527" s="500"/>
      <c r="VUN527" s="500"/>
      <c r="VUO527" s="500"/>
      <c r="VUP527" s="500"/>
      <c r="VUQ527" s="500"/>
      <c r="VUR527" s="500"/>
      <c r="VUS527" s="500"/>
      <c r="VUT527" s="500"/>
      <c r="VUU527" s="500"/>
      <c r="VUV527" s="500"/>
      <c r="VUW527" s="500"/>
      <c r="VUX527" s="500"/>
      <c r="VUY527" s="500"/>
      <c r="VUZ527" s="500"/>
      <c r="VVA527" s="500"/>
      <c r="VVB527" s="500"/>
      <c r="VVC527" s="500"/>
      <c r="VVD527" s="500"/>
      <c r="VVE527" s="500"/>
      <c r="VVF527" s="500"/>
      <c r="VVG527" s="500"/>
      <c r="VVH527" s="500"/>
      <c r="VVI527" s="500"/>
      <c r="VVJ527" s="500"/>
      <c r="VVK527" s="500"/>
      <c r="VVL527" s="500"/>
      <c r="VVM527" s="500"/>
      <c r="VVN527" s="500"/>
      <c r="VVO527" s="500"/>
      <c r="VVP527" s="500"/>
      <c r="VVQ527" s="500"/>
      <c r="VVR527" s="500"/>
      <c r="VVS527" s="500"/>
      <c r="VVT527" s="500"/>
      <c r="VVU527" s="500"/>
      <c r="VVV527" s="500"/>
      <c r="VVW527" s="500"/>
      <c r="VVX527" s="500"/>
      <c r="VVY527" s="500"/>
      <c r="VVZ527" s="500"/>
      <c r="VWA527" s="500"/>
      <c r="VWB527" s="500"/>
      <c r="VWC527" s="500"/>
      <c r="VWD527" s="500"/>
      <c r="VWE527" s="500"/>
      <c r="VWF527" s="500"/>
      <c r="VWG527" s="500"/>
      <c r="VWH527" s="500"/>
      <c r="VWI527" s="500"/>
      <c r="VWJ527" s="500"/>
      <c r="VWK527" s="500"/>
      <c r="VWL527" s="500"/>
      <c r="VWM527" s="500"/>
      <c r="VWN527" s="500"/>
      <c r="VWO527" s="500"/>
      <c r="VWP527" s="500"/>
      <c r="VWQ527" s="500"/>
      <c r="VWR527" s="500"/>
      <c r="VWS527" s="500"/>
      <c r="VWT527" s="500"/>
      <c r="VWU527" s="500"/>
      <c r="VWV527" s="500"/>
      <c r="VWW527" s="500"/>
      <c r="VWX527" s="500"/>
      <c r="VWY527" s="500"/>
      <c r="VWZ527" s="500"/>
      <c r="VXA527" s="500"/>
      <c r="VXB527" s="500"/>
      <c r="VXC527" s="500"/>
      <c r="VXD527" s="500"/>
      <c r="VXE527" s="500"/>
      <c r="VXF527" s="500"/>
      <c r="VXG527" s="500"/>
      <c r="VXH527" s="500"/>
      <c r="VXI527" s="500"/>
      <c r="VXJ527" s="500"/>
      <c r="VXK527" s="500"/>
      <c r="VXL527" s="500"/>
      <c r="VXM527" s="500"/>
      <c r="VXN527" s="500"/>
      <c r="VXO527" s="500"/>
      <c r="VXP527" s="500"/>
      <c r="VXQ527" s="500"/>
      <c r="VXR527" s="500"/>
      <c r="VXS527" s="500"/>
      <c r="VXT527" s="500"/>
      <c r="VXU527" s="500"/>
      <c r="VXV527" s="500"/>
      <c r="VXW527" s="500"/>
      <c r="VXX527" s="500"/>
      <c r="VXY527" s="500"/>
      <c r="VXZ527" s="500"/>
      <c r="VYA527" s="500"/>
      <c r="VYB527" s="500"/>
      <c r="VYC527" s="500"/>
      <c r="VYD527" s="500"/>
      <c r="VYE527" s="500"/>
      <c r="VYF527" s="500"/>
      <c r="VYG527" s="500"/>
      <c r="VYH527" s="500"/>
      <c r="VYI527" s="500"/>
      <c r="VYJ527" s="500"/>
      <c r="VYK527" s="500"/>
      <c r="VYL527" s="500"/>
      <c r="VYM527" s="500"/>
      <c r="VYN527" s="500"/>
      <c r="VYO527" s="500"/>
      <c r="VYP527" s="500"/>
      <c r="VYQ527" s="500"/>
      <c r="VYR527" s="500"/>
      <c r="VYS527" s="500"/>
      <c r="VYT527" s="500"/>
      <c r="VYU527" s="500"/>
      <c r="VYV527" s="500"/>
      <c r="VYW527" s="500"/>
      <c r="VYX527" s="500"/>
      <c r="VYY527" s="500"/>
      <c r="VYZ527" s="500"/>
      <c r="VZA527" s="500"/>
      <c r="VZB527" s="500"/>
      <c r="VZC527" s="500"/>
      <c r="VZD527" s="500"/>
      <c r="VZE527" s="500"/>
      <c r="VZF527" s="500"/>
      <c r="VZG527" s="500"/>
      <c r="VZH527" s="500"/>
      <c r="VZI527" s="500"/>
      <c r="VZJ527" s="500"/>
      <c r="VZK527" s="500"/>
      <c r="VZL527" s="500"/>
      <c r="VZM527" s="500"/>
      <c r="VZN527" s="500"/>
      <c r="VZO527" s="500"/>
      <c r="VZP527" s="500"/>
      <c r="VZQ527" s="500"/>
      <c r="VZR527" s="500"/>
      <c r="VZS527" s="500"/>
      <c r="VZT527" s="500"/>
      <c r="VZU527" s="500"/>
      <c r="VZV527" s="500"/>
      <c r="VZW527" s="500"/>
      <c r="VZX527" s="500"/>
      <c r="VZY527" s="500"/>
      <c r="VZZ527" s="500"/>
      <c r="WAA527" s="500"/>
      <c r="WAB527" s="500"/>
      <c r="WAC527" s="500"/>
      <c r="WAD527" s="500"/>
      <c r="WAE527" s="500"/>
      <c r="WAF527" s="500"/>
      <c r="WAG527" s="500"/>
      <c r="WAH527" s="500"/>
      <c r="WAI527" s="500"/>
      <c r="WAJ527" s="500"/>
      <c r="WAK527" s="500"/>
      <c r="WAL527" s="500"/>
      <c r="WAM527" s="500"/>
      <c r="WAN527" s="500"/>
      <c r="WAO527" s="500"/>
      <c r="WAP527" s="500"/>
      <c r="WAQ527" s="500"/>
      <c r="WAR527" s="500"/>
      <c r="WAS527" s="500"/>
      <c r="WAT527" s="500"/>
      <c r="WAU527" s="500"/>
      <c r="WAV527" s="500"/>
      <c r="WAW527" s="500"/>
      <c r="WAX527" s="500"/>
      <c r="WAY527" s="500"/>
      <c r="WAZ527" s="500"/>
      <c r="WBA527" s="500"/>
      <c r="WBB527" s="500"/>
      <c r="WBC527" s="500"/>
      <c r="WBD527" s="500"/>
      <c r="WBE527" s="500"/>
      <c r="WBF527" s="500"/>
      <c r="WBG527" s="500"/>
      <c r="WBH527" s="500"/>
      <c r="WBI527" s="500"/>
      <c r="WBJ527" s="500"/>
      <c r="WBK527" s="500"/>
      <c r="WBL527" s="500"/>
      <c r="WBM527" s="500"/>
      <c r="WBN527" s="500"/>
      <c r="WBO527" s="500"/>
      <c r="WBP527" s="500"/>
      <c r="WBQ527" s="500"/>
      <c r="WBR527" s="500"/>
      <c r="WBS527" s="500"/>
      <c r="WBT527" s="500"/>
      <c r="WBU527" s="500"/>
      <c r="WBV527" s="500"/>
      <c r="WBW527" s="500"/>
      <c r="WBX527" s="500"/>
      <c r="WBY527" s="500"/>
      <c r="WBZ527" s="500"/>
      <c r="WCA527" s="500"/>
      <c r="WCB527" s="500"/>
      <c r="WCC527" s="500"/>
      <c r="WCD527" s="500"/>
      <c r="WCE527" s="500"/>
      <c r="WCF527" s="500"/>
      <c r="WCG527" s="500"/>
      <c r="WCH527" s="500"/>
      <c r="WCI527" s="500"/>
      <c r="WCJ527" s="500"/>
      <c r="WCK527" s="500"/>
      <c r="WCL527" s="500"/>
      <c r="WCM527" s="500"/>
      <c r="WCN527" s="500"/>
      <c r="WCO527" s="500"/>
      <c r="WCP527" s="500"/>
      <c r="WCQ527" s="500"/>
      <c r="WCR527" s="500"/>
      <c r="WCS527" s="500"/>
      <c r="WCT527" s="500"/>
      <c r="WCU527" s="500"/>
      <c r="WCV527" s="500"/>
      <c r="WCW527" s="500"/>
      <c r="WCX527" s="500"/>
      <c r="WCY527" s="500"/>
      <c r="WCZ527" s="500"/>
      <c r="WDA527" s="500"/>
      <c r="WDB527" s="500"/>
      <c r="WDC527" s="500"/>
      <c r="WDD527" s="500"/>
      <c r="WDE527" s="500"/>
      <c r="WDF527" s="500"/>
      <c r="WDG527" s="500"/>
      <c r="WDH527" s="500"/>
      <c r="WDI527" s="500"/>
      <c r="WDJ527" s="500"/>
      <c r="WDK527" s="500"/>
      <c r="WDL527" s="500"/>
      <c r="WDM527" s="500"/>
      <c r="WDN527" s="500"/>
      <c r="WDO527" s="500"/>
      <c r="WDP527" s="500"/>
      <c r="WDQ527" s="500"/>
      <c r="WDR527" s="500"/>
      <c r="WDS527" s="500"/>
      <c r="WDT527" s="500"/>
      <c r="WDU527" s="500"/>
      <c r="WDV527" s="500"/>
      <c r="WDW527" s="500"/>
      <c r="WDX527" s="500"/>
      <c r="WDY527" s="500"/>
      <c r="WDZ527" s="500"/>
      <c r="WEA527" s="500"/>
      <c r="WEB527" s="500"/>
      <c r="WEC527" s="500"/>
      <c r="WED527" s="500"/>
      <c r="WEE527" s="500"/>
      <c r="WEF527" s="500"/>
      <c r="WEG527" s="500"/>
      <c r="WEH527" s="500"/>
      <c r="WEI527" s="500"/>
      <c r="WEJ527" s="500"/>
      <c r="WEK527" s="500"/>
      <c r="WEL527" s="500"/>
      <c r="WEM527" s="500"/>
      <c r="WEN527" s="500"/>
      <c r="WEO527" s="500"/>
      <c r="WEP527" s="500"/>
      <c r="WEQ527" s="500"/>
      <c r="WER527" s="500"/>
      <c r="WES527" s="500"/>
      <c r="WET527" s="500"/>
      <c r="WEU527" s="500"/>
      <c r="WEV527" s="500"/>
      <c r="WEW527" s="500"/>
      <c r="WEX527" s="500"/>
      <c r="WEY527" s="500"/>
      <c r="WEZ527" s="500"/>
      <c r="WFA527" s="500"/>
      <c r="WFB527" s="500"/>
      <c r="WFC527" s="500"/>
      <c r="WFD527" s="500"/>
      <c r="WFE527" s="500"/>
      <c r="WFF527" s="500"/>
      <c r="WFG527" s="500"/>
      <c r="WFH527" s="500"/>
      <c r="WFI527" s="500"/>
      <c r="WFJ527" s="500"/>
      <c r="WFK527" s="500"/>
      <c r="WFL527" s="500"/>
      <c r="WFM527" s="500"/>
      <c r="WFN527" s="500"/>
      <c r="WFO527" s="500"/>
      <c r="WFP527" s="500"/>
      <c r="WFQ527" s="500"/>
      <c r="WFR527" s="500"/>
      <c r="WFS527" s="500"/>
      <c r="WFT527" s="500"/>
      <c r="WFU527" s="500"/>
      <c r="WFV527" s="500"/>
      <c r="WFW527" s="500"/>
      <c r="WFX527" s="500"/>
      <c r="WFY527" s="500"/>
      <c r="WFZ527" s="500"/>
      <c r="WGA527" s="500"/>
      <c r="WGB527" s="500"/>
      <c r="WGC527" s="500"/>
      <c r="WGD527" s="500"/>
      <c r="WGE527" s="500"/>
      <c r="WGF527" s="500"/>
      <c r="WGG527" s="500"/>
      <c r="WGH527" s="500"/>
      <c r="WGI527" s="500"/>
      <c r="WGJ527" s="500"/>
      <c r="WGK527" s="500"/>
      <c r="WGL527" s="500"/>
      <c r="WGM527" s="500"/>
      <c r="WGN527" s="500"/>
      <c r="WGO527" s="500"/>
      <c r="WGP527" s="500"/>
      <c r="WGQ527" s="500"/>
      <c r="WGR527" s="500"/>
      <c r="WGS527" s="500"/>
      <c r="WGT527" s="500"/>
      <c r="WGU527" s="500"/>
      <c r="WGV527" s="500"/>
      <c r="WGW527" s="500"/>
      <c r="WGX527" s="500"/>
      <c r="WGY527" s="500"/>
      <c r="WGZ527" s="500"/>
      <c r="WHA527" s="500"/>
      <c r="WHB527" s="500"/>
      <c r="WHC527" s="500"/>
      <c r="WHD527" s="500"/>
      <c r="WHE527" s="500"/>
      <c r="WHF527" s="500"/>
      <c r="WHG527" s="500"/>
      <c r="WHH527" s="500"/>
      <c r="WHI527" s="500"/>
      <c r="WHJ527" s="500"/>
      <c r="WHK527" s="500"/>
      <c r="WHL527" s="500"/>
      <c r="WHM527" s="500"/>
      <c r="WHN527" s="500"/>
      <c r="WHO527" s="500"/>
      <c r="WHP527" s="500"/>
      <c r="WHQ527" s="500"/>
      <c r="WHR527" s="500"/>
      <c r="WHS527" s="500"/>
      <c r="WHT527" s="500"/>
      <c r="WHU527" s="500"/>
      <c r="WHV527" s="500"/>
      <c r="WHW527" s="500"/>
      <c r="WHX527" s="500"/>
      <c r="WHY527" s="500"/>
      <c r="WHZ527" s="500"/>
      <c r="WIA527" s="500"/>
      <c r="WIB527" s="500"/>
      <c r="WIC527" s="500"/>
      <c r="WID527" s="500"/>
      <c r="WIE527" s="500"/>
      <c r="WIF527" s="500"/>
      <c r="WIG527" s="500"/>
      <c r="WIH527" s="500"/>
      <c r="WII527" s="500"/>
      <c r="WIJ527" s="500"/>
      <c r="WIK527" s="500"/>
      <c r="WIL527" s="500"/>
      <c r="WIM527" s="500"/>
      <c r="WIN527" s="500"/>
      <c r="WIO527" s="500"/>
      <c r="WIP527" s="500"/>
      <c r="WIQ527" s="500"/>
      <c r="WIR527" s="500"/>
      <c r="WIS527" s="500"/>
      <c r="WIT527" s="500"/>
      <c r="WIU527" s="500"/>
      <c r="WIV527" s="500"/>
      <c r="WIW527" s="500"/>
      <c r="WIX527" s="500"/>
      <c r="WIY527" s="500"/>
      <c r="WIZ527" s="500"/>
      <c r="WJA527" s="500"/>
      <c r="WJB527" s="500"/>
      <c r="WJC527" s="500"/>
      <c r="WJD527" s="500"/>
      <c r="WJE527" s="500"/>
      <c r="WJF527" s="500"/>
      <c r="WJG527" s="500"/>
      <c r="WJH527" s="500"/>
      <c r="WJI527" s="500"/>
      <c r="WJJ527" s="500"/>
      <c r="WJK527" s="500"/>
      <c r="WJL527" s="500"/>
      <c r="WJM527" s="500"/>
      <c r="WJN527" s="500"/>
      <c r="WJO527" s="500"/>
      <c r="WJP527" s="500"/>
      <c r="WJQ527" s="500"/>
      <c r="WJR527" s="500"/>
      <c r="WJS527" s="500"/>
      <c r="WJT527" s="500"/>
      <c r="WJU527" s="500"/>
      <c r="WJV527" s="500"/>
      <c r="WJW527" s="500"/>
      <c r="WJX527" s="500"/>
      <c r="WJY527" s="500"/>
      <c r="WJZ527" s="500"/>
      <c r="WKA527" s="500"/>
      <c r="WKB527" s="500"/>
      <c r="WKC527" s="500"/>
      <c r="WKD527" s="500"/>
      <c r="WKE527" s="500"/>
      <c r="WKF527" s="500"/>
      <c r="WKG527" s="500"/>
      <c r="WKH527" s="500"/>
      <c r="WKI527" s="500"/>
      <c r="WKJ527" s="500"/>
      <c r="WKK527" s="500"/>
      <c r="WKL527" s="500"/>
      <c r="WKM527" s="500"/>
      <c r="WKN527" s="500"/>
      <c r="WKO527" s="500"/>
      <c r="WKP527" s="500"/>
      <c r="WKQ527" s="500"/>
      <c r="WKR527" s="500"/>
      <c r="WKS527" s="500"/>
      <c r="WKT527" s="500"/>
      <c r="WKU527" s="500"/>
      <c r="WKV527" s="500"/>
      <c r="WKW527" s="500"/>
      <c r="WKX527" s="500"/>
      <c r="WKY527" s="500"/>
      <c r="WKZ527" s="500"/>
      <c r="WLA527" s="500"/>
      <c r="WLB527" s="500"/>
      <c r="WLC527" s="500"/>
      <c r="WLD527" s="500"/>
      <c r="WLE527" s="500"/>
      <c r="WLF527" s="500"/>
      <c r="WLG527" s="500"/>
      <c r="WLH527" s="500"/>
      <c r="WLI527" s="500"/>
      <c r="WLJ527" s="500"/>
      <c r="WLK527" s="500"/>
      <c r="WLL527" s="500"/>
      <c r="WLM527" s="500"/>
      <c r="WLN527" s="500"/>
      <c r="WLO527" s="500"/>
      <c r="WLP527" s="500"/>
      <c r="WLQ527" s="500"/>
      <c r="WLR527" s="500"/>
      <c r="WLS527" s="500"/>
      <c r="WLT527" s="500"/>
      <c r="WLU527" s="500"/>
      <c r="WLV527" s="500"/>
      <c r="WLW527" s="500"/>
      <c r="WLX527" s="500"/>
      <c r="WLY527" s="500"/>
      <c r="WLZ527" s="500"/>
      <c r="WMA527" s="500"/>
      <c r="WMB527" s="500"/>
      <c r="WMC527" s="500"/>
      <c r="WMD527" s="500"/>
      <c r="WME527" s="500"/>
      <c r="WMF527" s="500"/>
      <c r="WMG527" s="500"/>
      <c r="WMH527" s="500"/>
      <c r="WMI527" s="500"/>
      <c r="WMJ527" s="500"/>
      <c r="WMK527" s="500"/>
      <c r="WML527" s="500"/>
      <c r="WMM527" s="500"/>
      <c r="WMN527" s="500"/>
      <c r="WMO527" s="500"/>
      <c r="WMP527" s="500"/>
      <c r="WMQ527" s="500"/>
      <c r="WMR527" s="500"/>
      <c r="WMS527" s="500"/>
      <c r="WMT527" s="500"/>
      <c r="WMU527" s="500"/>
      <c r="WMV527" s="500"/>
      <c r="WMW527" s="500"/>
      <c r="WMX527" s="500"/>
      <c r="WMY527" s="500"/>
      <c r="WMZ527" s="500"/>
      <c r="WNA527" s="500"/>
      <c r="WNB527" s="500"/>
      <c r="WNC527" s="500"/>
      <c r="WND527" s="500"/>
      <c r="WNE527" s="500"/>
      <c r="WNF527" s="500"/>
      <c r="WNG527" s="500"/>
      <c r="WNH527" s="500"/>
      <c r="WNI527" s="500"/>
      <c r="WNJ527" s="500"/>
      <c r="WNK527" s="500"/>
      <c r="WNL527" s="500"/>
      <c r="WNM527" s="500"/>
      <c r="WNN527" s="500"/>
      <c r="WNO527" s="500"/>
      <c r="WNP527" s="500"/>
      <c r="WNQ527" s="500"/>
      <c r="WNR527" s="500"/>
      <c r="WNS527" s="500"/>
      <c r="WNT527" s="500"/>
      <c r="WNU527" s="500"/>
      <c r="WNV527" s="500"/>
      <c r="WNW527" s="500"/>
      <c r="WNX527" s="500"/>
      <c r="WNY527" s="500"/>
      <c r="WNZ527" s="500"/>
      <c r="WOA527" s="500"/>
      <c r="WOB527" s="500"/>
      <c r="WOC527" s="500"/>
      <c r="WOD527" s="500"/>
      <c r="WOE527" s="500"/>
      <c r="WOF527" s="500"/>
      <c r="WOG527" s="500"/>
      <c r="WOH527" s="500"/>
      <c r="WOI527" s="500"/>
      <c r="WOJ527" s="500"/>
      <c r="WOK527" s="500"/>
      <c r="WOL527" s="500"/>
      <c r="WOM527" s="500"/>
      <c r="WON527" s="500"/>
      <c r="WOO527" s="500"/>
      <c r="WOP527" s="500"/>
      <c r="WOQ527" s="500"/>
      <c r="WOR527" s="500"/>
      <c r="WOS527" s="500"/>
      <c r="WOT527" s="500"/>
      <c r="WOU527" s="500"/>
      <c r="WOV527" s="500"/>
      <c r="WOW527" s="500"/>
      <c r="WOX527" s="500"/>
      <c r="WOY527" s="500"/>
      <c r="WOZ527" s="500"/>
      <c r="WPA527" s="500"/>
      <c r="WPB527" s="500"/>
      <c r="WPC527" s="500"/>
      <c r="WPD527" s="500"/>
      <c r="WPE527" s="500"/>
      <c r="WPF527" s="500"/>
      <c r="WPG527" s="500"/>
      <c r="WPH527" s="500"/>
      <c r="WPI527" s="500"/>
      <c r="WPJ527" s="500"/>
      <c r="WPK527" s="500"/>
      <c r="WPL527" s="500"/>
      <c r="WPM527" s="500"/>
      <c r="WPN527" s="500"/>
      <c r="WPO527" s="500"/>
      <c r="WPP527" s="500"/>
      <c r="WPQ527" s="500"/>
      <c r="WPR527" s="500"/>
      <c r="WPS527" s="500"/>
      <c r="WPT527" s="500"/>
      <c r="WPU527" s="500"/>
      <c r="WPV527" s="500"/>
      <c r="WPW527" s="500"/>
      <c r="WPX527" s="500"/>
      <c r="WPY527" s="500"/>
      <c r="WPZ527" s="500"/>
      <c r="WQA527" s="500"/>
      <c r="WQB527" s="500"/>
      <c r="WQC527" s="500"/>
      <c r="WQD527" s="500"/>
      <c r="WQE527" s="500"/>
      <c r="WQF527" s="500"/>
      <c r="WQG527" s="500"/>
      <c r="WQH527" s="500"/>
      <c r="WQI527" s="500"/>
      <c r="WQJ527" s="500"/>
      <c r="WQK527" s="500"/>
      <c r="WQL527" s="500"/>
      <c r="WQM527" s="500"/>
      <c r="WQN527" s="500"/>
      <c r="WQO527" s="500"/>
      <c r="WQP527" s="500"/>
      <c r="WQQ527" s="500"/>
      <c r="WQR527" s="500"/>
      <c r="WQS527" s="500"/>
      <c r="WQT527" s="500"/>
      <c r="WQU527" s="500"/>
      <c r="WQV527" s="500"/>
      <c r="WQW527" s="500"/>
      <c r="WQX527" s="500"/>
      <c r="WQY527" s="500"/>
      <c r="WQZ527" s="500"/>
      <c r="WRA527" s="500"/>
      <c r="WRB527" s="500"/>
      <c r="WRC527" s="500"/>
      <c r="WRD527" s="500"/>
      <c r="WRE527" s="500"/>
      <c r="WRF527" s="500"/>
      <c r="WRG527" s="500"/>
      <c r="WRH527" s="500"/>
      <c r="WRI527" s="500"/>
      <c r="WRJ527" s="500"/>
      <c r="WRK527" s="500"/>
      <c r="WRL527" s="500"/>
      <c r="WRM527" s="500"/>
      <c r="WRN527" s="500"/>
      <c r="WRO527" s="500"/>
      <c r="WRP527" s="500"/>
      <c r="WRQ527" s="500"/>
      <c r="WRR527" s="500"/>
      <c r="WRS527" s="500"/>
      <c r="WRT527" s="500"/>
      <c r="WRU527" s="500"/>
      <c r="WRV527" s="500"/>
      <c r="WRW527" s="500"/>
      <c r="WRX527" s="500"/>
      <c r="WRY527" s="500"/>
      <c r="WRZ527" s="500"/>
      <c r="WSA527" s="500"/>
      <c r="WSB527" s="500"/>
      <c r="WSC527" s="500"/>
      <c r="WSD527" s="500"/>
      <c r="WSE527" s="500"/>
      <c r="WSF527" s="500"/>
      <c r="WSG527" s="500"/>
      <c r="WSH527" s="500"/>
      <c r="WSI527" s="500"/>
      <c r="WSJ527" s="500"/>
      <c r="WSK527" s="500"/>
      <c r="WSL527" s="500"/>
      <c r="WSM527" s="500"/>
      <c r="WSN527" s="500"/>
      <c r="WSO527" s="500"/>
      <c r="WSP527" s="500"/>
      <c r="WSQ527" s="500"/>
      <c r="WSR527" s="500"/>
      <c r="WSS527" s="500"/>
      <c r="WST527" s="500"/>
      <c r="WSU527" s="500"/>
      <c r="WSV527" s="500"/>
      <c r="WSW527" s="500"/>
      <c r="WSX527" s="500"/>
      <c r="WSY527" s="500"/>
      <c r="WSZ527" s="500"/>
      <c r="WTA527" s="500"/>
      <c r="WTB527" s="500"/>
      <c r="WTC527" s="500"/>
      <c r="WTD527" s="500"/>
      <c r="WTE527" s="500"/>
      <c r="WTF527" s="500"/>
      <c r="WTG527" s="500"/>
      <c r="WTH527" s="500"/>
      <c r="WTI527" s="500"/>
      <c r="WTJ527" s="500"/>
      <c r="WTK527" s="500"/>
      <c r="WTL527" s="500"/>
      <c r="WTM527" s="500"/>
      <c r="WTN527" s="500"/>
      <c r="WTO527" s="500"/>
      <c r="WTP527" s="500"/>
      <c r="WTQ527" s="500"/>
      <c r="WTR527" s="500"/>
      <c r="WTS527" s="500"/>
      <c r="WTT527" s="500"/>
      <c r="WTU527" s="500"/>
      <c r="WTV527" s="500"/>
      <c r="WTW527" s="500"/>
      <c r="WTX527" s="500"/>
      <c r="WTY527" s="500"/>
      <c r="WTZ527" s="500"/>
      <c r="WUA527" s="500"/>
      <c r="WUB527" s="500"/>
      <c r="WUC527" s="500"/>
      <c r="WUD527" s="500"/>
      <c r="WUE527" s="500"/>
      <c r="WUF527" s="500"/>
      <c r="WUG527" s="500"/>
      <c r="WUH527" s="500"/>
      <c r="WUI527" s="500"/>
      <c r="WUJ527" s="500"/>
      <c r="WUK527" s="500"/>
      <c r="WUL527" s="500"/>
      <c r="WUM527" s="500"/>
      <c r="WUN527" s="500"/>
      <c r="WUO527" s="500"/>
      <c r="WUP527" s="500"/>
      <c r="WUQ527" s="500"/>
      <c r="WUR527" s="500"/>
      <c r="WUS527" s="500"/>
      <c r="WUT527" s="500"/>
      <c r="WUU527" s="500"/>
      <c r="WUV527" s="500"/>
      <c r="WUW527" s="500"/>
      <c r="WUX527" s="500"/>
      <c r="WUY527" s="500"/>
      <c r="WUZ527" s="500"/>
      <c r="WVA527" s="500"/>
      <c r="WVB527" s="500"/>
      <c r="WVC527" s="500"/>
      <c r="WVD527" s="500"/>
      <c r="WVE527" s="500"/>
      <c r="WVF527" s="500"/>
      <c r="WVG527" s="500"/>
      <c r="WVH527" s="500"/>
      <c r="WVI527" s="500"/>
      <c r="WVJ527" s="500"/>
      <c r="WVK527" s="500"/>
      <c r="WVL527" s="500"/>
      <c r="WVM527" s="500"/>
      <c r="WVN527" s="500"/>
      <c r="WVO527" s="500"/>
      <c r="WVP527" s="500"/>
      <c r="WVQ527" s="500"/>
      <c r="WVR527" s="500"/>
      <c r="WVS527" s="500"/>
      <c r="WVT527" s="500"/>
      <c r="WVU527" s="500"/>
      <c r="WVV527" s="500"/>
      <c r="WVW527" s="500"/>
      <c r="WVX527" s="500"/>
      <c r="WVY527" s="500"/>
      <c r="WVZ527" s="500"/>
      <c r="WWA527" s="500"/>
      <c r="WWB527" s="500"/>
      <c r="WWC527" s="500"/>
      <c r="WWD527" s="500"/>
      <c r="WWE527" s="500"/>
      <c r="WWF527" s="500"/>
      <c r="WWG527" s="500"/>
      <c r="WWH527" s="500"/>
      <c r="WWI527" s="500"/>
      <c r="WWJ527" s="500"/>
      <c r="WWK527" s="500"/>
      <c r="WWL527" s="500"/>
      <c r="WWM527" s="500"/>
      <c r="WWN527" s="500"/>
      <c r="WWO527" s="500"/>
      <c r="WWP527" s="500"/>
      <c r="WWQ527" s="500"/>
      <c r="WWR527" s="500"/>
      <c r="WWS527" s="500"/>
      <c r="WWT527" s="500"/>
      <c r="WWU527" s="500"/>
      <c r="WWV527" s="500"/>
      <c r="WWW527" s="500"/>
      <c r="WWX527" s="500"/>
      <c r="WWY527" s="500"/>
      <c r="WWZ527" s="500"/>
      <c r="WXA527" s="500"/>
      <c r="WXB527" s="500"/>
      <c r="WXC527" s="500"/>
      <c r="WXD527" s="500"/>
      <c r="WXE527" s="500"/>
      <c r="WXF527" s="500"/>
      <c r="WXG527" s="500"/>
      <c r="WXH527" s="500"/>
      <c r="WXI527" s="500"/>
      <c r="WXJ527" s="500"/>
      <c r="WXK527" s="500"/>
      <c r="WXL527" s="500"/>
      <c r="WXM527" s="500"/>
      <c r="WXN527" s="500"/>
      <c r="WXO527" s="500"/>
      <c r="WXP527" s="500"/>
      <c r="WXQ527" s="500"/>
      <c r="WXR527" s="500"/>
      <c r="WXS527" s="500"/>
      <c r="WXT527" s="500"/>
      <c r="WXU527" s="500"/>
      <c r="WXV527" s="500"/>
      <c r="WXW527" s="500"/>
      <c r="WXX527" s="500"/>
      <c r="WXY527" s="500"/>
      <c r="WXZ527" s="500"/>
      <c r="WYA527" s="500"/>
      <c r="WYB527" s="500"/>
      <c r="WYC527" s="500"/>
      <c r="WYD527" s="500"/>
      <c r="WYE527" s="500"/>
      <c r="WYF527" s="500"/>
      <c r="WYG527" s="500"/>
      <c r="WYH527" s="500"/>
      <c r="WYI527" s="500"/>
      <c r="WYJ527" s="500"/>
      <c r="WYK527" s="500"/>
      <c r="WYL527" s="500"/>
      <c r="WYM527" s="500"/>
      <c r="WYN527" s="500"/>
      <c r="WYO527" s="500"/>
      <c r="WYP527" s="500"/>
      <c r="WYQ527" s="500"/>
      <c r="WYR527" s="500"/>
      <c r="WYS527" s="500"/>
      <c r="WYT527" s="500"/>
      <c r="WYU527" s="500"/>
      <c r="WYV527" s="500"/>
      <c r="WYW527" s="500"/>
      <c r="WYX527" s="500"/>
      <c r="WYY527" s="500"/>
      <c r="WYZ527" s="500"/>
      <c r="WZA527" s="500"/>
      <c r="WZB527" s="500"/>
      <c r="WZC527" s="500"/>
      <c r="WZD527" s="500"/>
      <c r="WZE527" s="500"/>
      <c r="WZF527" s="500"/>
      <c r="WZG527" s="500"/>
      <c r="WZH527" s="500"/>
      <c r="WZI527" s="500"/>
      <c r="WZJ527" s="500"/>
      <c r="WZK527" s="500"/>
      <c r="WZL527" s="500"/>
      <c r="WZM527" s="500"/>
      <c r="WZN527" s="500"/>
      <c r="WZO527" s="500"/>
      <c r="WZP527" s="500"/>
      <c r="WZQ527" s="500"/>
      <c r="WZR527" s="500"/>
      <c r="WZS527" s="500"/>
      <c r="WZT527" s="500"/>
      <c r="WZU527" s="500"/>
      <c r="WZV527" s="500"/>
      <c r="WZW527" s="500"/>
      <c r="WZX527" s="500"/>
      <c r="WZY527" s="500"/>
      <c r="WZZ527" s="500"/>
      <c r="XAA527" s="500"/>
      <c r="XAB527" s="500"/>
      <c r="XAC527" s="500"/>
      <c r="XAD527" s="500"/>
      <c r="XAE527" s="500"/>
      <c r="XAF527" s="500"/>
      <c r="XAG527" s="500"/>
      <c r="XAH527" s="500"/>
      <c r="XAI527" s="500"/>
      <c r="XAJ527" s="500"/>
      <c r="XAK527" s="500"/>
      <c r="XAL527" s="500"/>
      <c r="XAM527" s="500"/>
      <c r="XAN527" s="500"/>
      <c r="XAO527" s="500"/>
      <c r="XAP527" s="500"/>
      <c r="XAQ527" s="500"/>
      <c r="XAR527" s="500"/>
      <c r="XAS527" s="500"/>
      <c r="XAT527" s="500"/>
      <c r="XAU527" s="500"/>
      <c r="XAV527" s="500"/>
      <c r="XAW527" s="500"/>
      <c r="XAX527" s="500"/>
      <c r="XAY527" s="500"/>
      <c r="XAZ527" s="500"/>
      <c r="XBA527" s="500"/>
      <c r="XBB527" s="500"/>
      <c r="XBC527" s="500"/>
      <c r="XBD527" s="500"/>
      <c r="XBE527" s="500"/>
      <c r="XBF527" s="500"/>
      <c r="XBG527" s="500"/>
      <c r="XBH527" s="500"/>
      <c r="XBI527" s="500"/>
      <c r="XBJ527" s="500"/>
      <c r="XBK527" s="500"/>
      <c r="XBL527" s="500"/>
      <c r="XBM527" s="500"/>
      <c r="XBN527" s="500"/>
      <c r="XBO527" s="500"/>
      <c r="XBP527" s="500"/>
      <c r="XBQ527" s="500"/>
      <c r="XBR527" s="500"/>
      <c r="XBS527" s="500"/>
      <c r="XBT527" s="500"/>
      <c r="XBU527" s="500"/>
      <c r="XBV527" s="500"/>
      <c r="XBW527" s="500"/>
      <c r="XBX527" s="500"/>
      <c r="XBY527" s="500"/>
      <c r="XBZ527" s="500"/>
      <c r="XCA527" s="500"/>
      <c r="XCB527" s="500"/>
      <c r="XCC527" s="500"/>
      <c r="XCD527" s="500"/>
      <c r="XCE527" s="500"/>
    </row>
    <row r="528" spans="1:16307" s="500" customFormat="1" x14ac:dyDescent="0.2">
      <c r="A528" s="833">
        <v>315</v>
      </c>
      <c r="B528" s="834" t="s">
        <v>902</v>
      </c>
      <c r="C528" s="835">
        <v>1835.24</v>
      </c>
      <c r="D528" s="835">
        <v>2752.86</v>
      </c>
      <c r="E528" s="835">
        <v>4404.58</v>
      </c>
      <c r="F528" s="835">
        <v>6753.68</v>
      </c>
      <c r="G528" s="835">
        <v>7194.14</v>
      </c>
      <c r="H528" s="835">
        <v>9543.25</v>
      </c>
      <c r="I528" s="835">
        <v>13030.2</v>
      </c>
      <c r="J528" s="835">
        <v>8809.15</v>
      </c>
      <c r="K528" s="835">
        <v>7340.96</v>
      </c>
      <c r="L528" s="835">
        <v>5946.18</v>
      </c>
      <c r="M528" s="835">
        <v>4147.6400000000003</v>
      </c>
      <c r="N528" s="835">
        <v>2137.44</v>
      </c>
      <c r="O528" s="835">
        <v>1664.4</v>
      </c>
      <c r="P528" s="835">
        <v>3468.96</v>
      </c>
      <c r="Q528" s="835">
        <v>2978.4</v>
      </c>
      <c r="R528" s="835">
        <v>3451.44</v>
      </c>
      <c r="S528" s="835">
        <v>4344.96</v>
      </c>
      <c r="T528" s="835">
        <v>4348.46</v>
      </c>
      <c r="U528" s="835">
        <v>4372.99</v>
      </c>
      <c r="V528" s="835">
        <v>5098.32</v>
      </c>
      <c r="W528" s="835">
        <v>4432.5600000000004</v>
      </c>
      <c r="X528" s="835">
        <v>3363.84</v>
      </c>
      <c r="Y528" s="835">
        <v>1734.48</v>
      </c>
      <c r="Z528" s="835">
        <v>1243.92</v>
      </c>
      <c r="AA528" s="835">
        <v>1384.08</v>
      </c>
      <c r="AB528" s="835">
        <v>1804.56</v>
      </c>
      <c r="AC528" s="835">
        <v>3591.6</v>
      </c>
      <c r="AD528" s="835">
        <v>3574.08</v>
      </c>
      <c r="AE528" s="835">
        <v>4380</v>
      </c>
      <c r="AF528" s="835">
        <v>4607.76</v>
      </c>
      <c r="AG528" s="835">
        <v>6132</v>
      </c>
      <c r="AH528" s="835">
        <v>5352.36</v>
      </c>
      <c r="AI528" s="835">
        <v>4818</v>
      </c>
      <c r="AJ528" s="835">
        <v>3591.6</v>
      </c>
      <c r="AK528" s="835">
        <v>3066</v>
      </c>
      <c r="AL528" s="835">
        <v>1103.76</v>
      </c>
      <c r="AM528" s="835">
        <v>1243.92</v>
      </c>
      <c r="AN528" s="835">
        <v>2014.8</v>
      </c>
      <c r="AO528" s="835">
        <v>2785.68</v>
      </c>
      <c r="AP528" s="835">
        <v>4047.12</v>
      </c>
      <c r="AQ528" s="835">
        <v>4502.6400000000003</v>
      </c>
      <c r="AR528" s="835">
        <v>4362.4799999999996</v>
      </c>
      <c r="AS528" s="835">
        <v>8006.64</v>
      </c>
      <c r="AT528" s="835">
        <v>4292.3999999999996</v>
      </c>
      <c r="AU528" s="835">
        <v>5361.12</v>
      </c>
      <c r="AV528" s="835">
        <v>4344.96</v>
      </c>
      <c r="AW528" s="835">
        <v>1716.96</v>
      </c>
      <c r="AX528" s="835">
        <v>963.6</v>
      </c>
      <c r="AY528" s="835">
        <v>1226.4000000000001</v>
      </c>
    </row>
    <row r="529" spans="1:16307" s="500" customFormat="1" x14ac:dyDescent="0.2">
      <c r="A529" s="833" t="s">
        <v>892</v>
      </c>
      <c r="B529" s="834" t="s">
        <v>903</v>
      </c>
      <c r="C529" s="835">
        <v>0</v>
      </c>
      <c r="D529" s="835">
        <v>0</v>
      </c>
      <c r="E529" s="835">
        <v>0</v>
      </c>
      <c r="F529" s="835">
        <v>0</v>
      </c>
      <c r="G529" s="835">
        <v>0</v>
      </c>
      <c r="H529" s="835">
        <v>0</v>
      </c>
      <c r="I529" s="835">
        <v>0</v>
      </c>
      <c r="J529" s="835">
        <v>0</v>
      </c>
      <c r="K529" s="835">
        <v>0</v>
      </c>
      <c r="L529" s="835">
        <v>0</v>
      </c>
      <c r="M529" s="835">
        <v>0</v>
      </c>
      <c r="N529" s="835">
        <v>0</v>
      </c>
      <c r="O529" s="835">
        <v>0</v>
      </c>
      <c r="P529" s="835">
        <v>0</v>
      </c>
      <c r="Q529" s="835">
        <v>0</v>
      </c>
      <c r="R529" s="835">
        <v>0</v>
      </c>
      <c r="S529" s="835">
        <v>0</v>
      </c>
      <c r="T529" s="835">
        <v>0</v>
      </c>
      <c r="U529" s="835">
        <v>0</v>
      </c>
      <c r="V529" s="835">
        <v>0</v>
      </c>
      <c r="W529" s="835">
        <v>0</v>
      </c>
      <c r="X529" s="835">
        <v>0</v>
      </c>
      <c r="Y529" s="835">
        <v>4424.1499999999996</v>
      </c>
      <c r="Z529" s="835">
        <v>1274.76</v>
      </c>
      <c r="AA529" s="835">
        <v>1754.66</v>
      </c>
      <c r="AB529" s="835">
        <v>3584.31</v>
      </c>
      <c r="AC529" s="835">
        <v>3974.24</v>
      </c>
      <c r="AD529" s="835">
        <v>7213.61</v>
      </c>
      <c r="AE529" s="835">
        <v>8038.46</v>
      </c>
      <c r="AF529" s="835">
        <v>7483.56</v>
      </c>
      <c r="AG529" s="835">
        <v>10467.99</v>
      </c>
      <c r="AH529" s="835">
        <v>14829.71</v>
      </c>
      <c r="AI529" s="835">
        <v>15237.68</v>
      </c>
      <c r="AJ529" s="835">
        <v>8975.34</v>
      </c>
      <c r="AK529" s="835">
        <v>9424.1</v>
      </c>
      <c r="AL529" s="835">
        <v>6670.31</v>
      </c>
      <c r="AM529" s="835">
        <v>8322.59</v>
      </c>
      <c r="AN529" s="835">
        <v>10688.82</v>
      </c>
      <c r="AO529" s="835">
        <v>8791.75</v>
      </c>
      <c r="AP529" s="835">
        <v>11321.17</v>
      </c>
      <c r="AQ529" s="835">
        <v>12973.439999999999</v>
      </c>
      <c r="AR529" s="835">
        <v>9464.91</v>
      </c>
      <c r="AS529" s="835">
        <v>19687.449999999997</v>
      </c>
      <c r="AT529" s="835">
        <v>11035.59</v>
      </c>
      <c r="AU529" s="835">
        <v>13259.029999999999</v>
      </c>
      <c r="AV529" s="835">
        <v>8771.36</v>
      </c>
      <c r="AW529" s="835">
        <v>5303.6100000000006</v>
      </c>
      <c r="AX529" s="835">
        <v>6037.95</v>
      </c>
      <c r="AY529" s="835">
        <v>7017.09</v>
      </c>
      <c r="AZ529" s="501"/>
      <c r="BA529" s="501"/>
      <c r="BB529" s="501"/>
      <c r="BC529" s="501"/>
      <c r="BD529" s="501"/>
      <c r="BE529" s="501"/>
      <c r="BF529" s="501"/>
      <c r="BG529" s="501"/>
      <c r="BH529" s="501"/>
      <c r="BI529" s="501"/>
      <c r="BJ529" s="501"/>
      <c r="BK529" s="501"/>
      <c r="BL529" s="501"/>
      <c r="BM529" s="501"/>
      <c r="BN529" s="501"/>
      <c r="BO529" s="501"/>
      <c r="BP529" s="501"/>
      <c r="BQ529" s="501"/>
      <c r="BR529" s="501"/>
      <c r="BS529" s="501"/>
      <c r="BT529" s="501"/>
      <c r="BU529" s="501"/>
      <c r="BV529" s="501"/>
      <c r="BW529" s="501"/>
      <c r="BX529" s="501"/>
      <c r="BY529" s="501"/>
      <c r="BZ529" s="501"/>
      <c r="CA529" s="501"/>
      <c r="CB529" s="501"/>
      <c r="CC529" s="501"/>
      <c r="CD529" s="501"/>
      <c r="CE529" s="501"/>
      <c r="CF529" s="501"/>
      <c r="CG529" s="501"/>
      <c r="CH529" s="501"/>
      <c r="CI529" s="501"/>
      <c r="CJ529" s="501"/>
      <c r="CK529" s="501"/>
      <c r="CL529" s="501"/>
      <c r="CM529" s="501"/>
      <c r="CN529" s="501"/>
      <c r="CO529" s="501"/>
      <c r="CP529" s="501"/>
      <c r="CQ529" s="501"/>
      <c r="CR529" s="501"/>
      <c r="CS529" s="501"/>
      <c r="CT529" s="501"/>
      <c r="CU529" s="501"/>
      <c r="CV529" s="501"/>
      <c r="CW529" s="501"/>
      <c r="CX529" s="501"/>
      <c r="CY529" s="501"/>
      <c r="CZ529" s="501"/>
      <c r="DA529" s="501"/>
      <c r="DB529" s="501"/>
      <c r="DC529" s="501"/>
      <c r="DD529" s="501"/>
      <c r="DE529" s="501"/>
      <c r="DF529" s="501"/>
      <c r="DG529" s="501"/>
      <c r="DH529" s="501"/>
      <c r="DI529" s="501"/>
      <c r="DJ529" s="501"/>
      <c r="DK529" s="501"/>
      <c r="DL529" s="501"/>
      <c r="DM529" s="501"/>
      <c r="DN529" s="501"/>
      <c r="DO529" s="501"/>
      <c r="DP529" s="501"/>
      <c r="DQ529" s="501"/>
      <c r="DR529" s="501"/>
      <c r="DS529" s="501"/>
      <c r="DT529" s="501"/>
      <c r="DU529" s="501"/>
      <c r="DV529" s="501"/>
      <c r="DW529" s="501"/>
      <c r="DX529" s="501"/>
      <c r="DY529" s="501"/>
      <c r="DZ529" s="501"/>
      <c r="EA529" s="501"/>
      <c r="EB529" s="501"/>
      <c r="EC529" s="501"/>
      <c r="ED529" s="501"/>
      <c r="EE529" s="501"/>
      <c r="EF529" s="501"/>
      <c r="EG529" s="501"/>
      <c r="EH529" s="501"/>
      <c r="EI529" s="501"/>
      <c r="EJ529" s="501"/>
      <c r="EK529" s="501"/>
      <c r="EL529" s="501"/>
      <c r="EM529" s="501"/>
      <c r="EN529" s="501"/>
      <c r="EO529" s="501"/>
      <c r="EP529" s="501"/>
      <c r="EQ529" s="501"/>
      <c r="ER529" s="501"/>
      <c r="ES529" s="501"/>
      <c r="ET529" s="501"/>
      <c r="EU529" s="501"/>
      <c r="EV529" s="501"/>
      <c r="EW529" s="501"/>
      <c r="EX529" s="501"/>
      <c r="EY529" s="501"/>
      <c r="EZ529" s="501"/>
      <c r="FA529" s="501"/>
      <c r="FB529" s="501"/>
      <c r="FC529" s="501"/>
      <c r="FD529" s="501"/>
      <c r="FE529" s="501"/>
      <c r="FF529" s="501"/>
      <c r="FG529" s="501"/>
      <c r="FH529" s="501"/>
      <c r="FI529" s="501"/>
      <c r="FJ529" s="501"/>
      <c r="FK529" s="501"/>
      <c r="FL529" s="501"/>
      <c r="FM529" s="501"/>
      <c r="FN529" s="501"/>
      <c r="FO529" s="501"/>
      <c r="FP529" s="501"/>
      <c r="FQ529" s="501"/>
      <c r="FR529" s="501"/>
      <c r="FS529" s="501"/>
      <c r="FT529" s="501"/>
      <c r="FU529" s="501"/>
      <c r="FV529" s="501"/>
      <c r="FW529" s="501"/>
      <c r="FX529" s="501"/>
      <c r="FY529" s="501"/>
      <c r="FZ529" s="501"/>
      <c r="GA529" s="501"/>
      <c r="GB529" s="501"/>
      <c r="GC529" s="501"/>
      <c r="GD529" s="501"/>
      <c r="GE529" s="501"/>
      <c r="GF529" s="501"/>
      <c r="GG529" s="501"/>
      <c r="GH529" s="501"/>
      <c r="GI529" s="501"/>
      <c r="GJ529" s="501"/>
      <c r="GK529" s="501"/>
      <c r="GL529" s="501"/>
      <c r="GM529" s="501"/>
      <c r="GN529" s="501"/>
      <c r="GO529" s="501"/>
      <c r="GP529" s="501"/>
      <c r="GQ529" s="501"/>
      <c r="GR529" s="501"/>
      <c r="GS529" s="501"/>
      <c r="GT529" s="501"/>
      <c r="GU529" s="501"/>
      <c r="GV529" s="501"/>
      <c r="GW529" s="501"/>
      <c r="GX529" s="501"/>
      <c r="GY529" s="501"/>
      <c r="GZ529" s="501"/>
      <c r="HA529" s="501"/>
      <c r="HB529" s="501"/>
      <c r="HC529" s="501"/>
      <c r="HD529" s="501"/>
      <c r="HE529" s="501"/>
      <c r="HF529" s="501"/>
      <c r="HG529" s="501"/>
      <c r="HH529" s="501"/>
      <c r="HI529" s="501"/>
      <c r="HJ529" s="501"/>
      <c r="HK529" s="501"/>
      <c r="HL529" s="501"/>
      <c r="HM529" s="501"/>
      <c r="HN529" s="501"/>
      <c r="HO529" s="501"/>
      <c r="HP529" s="501"/>
      <c r="HQ529" s="501"/>
      <c r="HR529" s="501"/>
      <c r="HS529" s="501"/>
      <c r="HT529" s="501"/>
      <c r="HU529" s="501"/>
      <c r="HV529" s="501"/>
      <c r="HW529" s="501"/>
      <c r="HX529" s="501"/>
      <c r="HY529" s="501"/>
      <c r="HZ529" s="501"/>
      <c r="IA529" s="501"/>
      <c r="IB529" s="501"/>
      <c r="IC529" s="501"/>
      <c r="ID529" s="501"/>
      <c r="IE529" s="501"/>
      <c r="IF529" s="501"/>
      <c r="IG529" s="501"/>
      <c r="IH529" s="501"/>
      <c r="II529" s="501"/>
      <c r="IJ529" s="501"/>
      <c r="IK529" s="501"/>
      <c r="IL529" s="501"/>
      <c r="IM529" s="501"/>
      <c r="IN529" s="501"/>
      <c r="IO529" s="501"/>
      <c r="IP529" s="501"/>
      <c r="IQ529" s="501"/>
      <c r="IR529" s="501"/>
      <c r="IS529" s="501"/>
      <c r="IT529" s="501"/>
      <c r="IU529" s="501"/>
      <c r="IV529" s="501"/>
      <c r="IW529" s="501"/>
      <c r="IX529" s="501"/>
      <c r="IY529" s="501"/>
      <c r="IZ529" s="501"/>
      <c r="JA529" s="501"/>
      <c r="JB529" s="501"/>
      <c r="JC529" s="501"/>
      <c r="JD529" s="501"/>
      <c r="JE529" s="501"/>
      <c r="JF529" s="501"/>
      <c r="JG529" s="501"/>
      <c r="JH529" s="501"/>
      <c r="JI529" s="501"/>
      <c r="JJ529" s="501"/>
      <c r="JK529" s="501"/>
      <c r="JL529" s="501"/>
      <c r="JM529" s="501"/>
      <c r="JN529" s="501"/>
      <c r="JO529" s="501"/>
      <c r="JP529" s="501"/>
      <c r="JQ529" s="501"/>
      <c r="JR529" s="501"/>
      <c r="JS529" s="501"/>
      <c r="JT529" s="501"/>
      <c r="JU529" s="501"/>
      <c r="JV529" s="501"/>
      <c r="JW529" s="501"/>
      <c r="JX529" s="501"/>
      <c r="JY529" s="501"/>
      <c r="JZ529" s="501"/>
      <c r="KA529" s="501"/>
      <c r="KB529" s="501"/>
      <c r="KC529" s="501"/>
      <c r="KD529" s="501"/>
      <c r="KE529" s="501"/>
      <c r="KF529" s="501"/>
      <c r="KG529" s="501"/>
      <c r="KH529" s="501"/>
      <c r="KI529" s="501"/>
      <c r="KJ529" s="501"/>
      <c r="KK529" s="501"/>
      <c r="KL529" s="501"/>
      <c r="KM529" s="501"/>
      <c r="KN529" s="501"/>
      <c r="KO529" s="501"/>
      <c r="KP529" s="501"/>
      <c r="KQ529" s="501"/>
      <c r="KR529" s="501"/>
      <c r="KS529" s="501"/>
      <c r="KT529" s="501"/>
      <c r="KU529" s="501"/>
      <c r="KV529" s="501"/>
      <c r="KW529" s="501"/>
      <c r="KX529" s="501"/>
      <c r="KY529" s="501"/>
      <c r="KZ529" s="501"/>
      <c r="LA529" s="501"/>
      <c r="LB529" s="501"/>
      <c r="LC529" s="501"/>
      <c r="LD529" s="501"/>
      <c r="LE529" s="501"/>
      <c r="LF529" s="501"/>
      <c r="LG529" s="501"/>
      <c r="LH529" s="501"/>
      <c r="LI529" s="501"/>
      <c r="LJ529" s="501"/>
      <c r="LK529" s="501"/>
      <c r="LL529" s="501"/>
      <c r="LM529" s="501"/>
      <c r="LN529" s="501"/>
      <c r="LO529" s="501"/>
      <c r="LP529" s="501"/>
      <c r="LQ529" s="501"/>
      <c r="LR529" s="501"/>
      <c r="LS529" s="501"/>
      <c r="LT529" s="501"/>
      <c r="LU529" s="501"/>
      <c r="LV529" s="501"/>
      <c r="LW529" s="501"/>
      <c r="LX529" s="501"/>
      <c r="LY529" s="501"/>
      <c r="LZ529" s="501"/>
      <c r="MA529" s="501"/>
      <c r="MB529" s="501"/>
      <c r="MC529" s="501"/>
      <c r="MD529" s="501"/>
      <c r="ME529" s="501"/>
      <c r="MF529" s="501"/>
      <c r="MG529" s="501"/>
      <c r="MH529" s="501"/>
      <c r="MI529" s="501"/>
      <c r="MJ529" s="501"/>
      <c r="MK529" s="501"/>
      <c r="ML529" s="501"/>
      <c r="MM529" s="501"/>
      <c r="MN529" s="501"/>
      <c r="MO529" s="501"/>
      <c r="MP529" s="501"/>
      <c r="MQ529" s="501"/>
      <c r="MR529" s="501"/>
      <c r="MS529" s="501"/>
      <c r="MT529" s="501"/>
      <c r="MU529" s="501"/>
      <c r="MV529" s="501"/>
      <c r="MW529" s="501"/>
      <c r="MX529" s="501"/>
      <c r="MY529" s="501"/>
      <c r="MZ529" s="501"/>
      <c r="NA529" s="501"/>
      <c r="NB529" s="501"/>
      <c r="NC529" s="501"/>
      <c r="ND529" s="501"/>
      <c r="NE529" s="501"/>
      <c r="NF529" s="501"/>
      <c r="NG529" s="501"/>
      <c r="NH529" s="501"/>
      <c r="NI529" s="501"/>
      <c r="NJ529" s="501"/>
      <c r="NK529" s="501"/>
      <c r="NL529" s="501"/>
      <c r="NM529" s="501"/>
      <c r="NN529" s="501"/>
      <c r="NO529" s="501"/>
      <c r="NP529" s="501"/>
      <c r="NQ529" s="501"/>
      <c r="NR529" s="501"/>
      <c r="NS529" s="501"/>
      <c r="NT529" s="501"/>
      <c r="NU529" s="501"/>
      <c r="NV529" s="501"/>
      <c r="NW529" s="501"/>
      <c r="NX529" s="501"/>
      <c r="NY529" s="501"/>
      <c r="NZ529" s="501"/>
      <c r="OA529" s="501"/>
      <c r="OB529" s="501"/>
      <c r="OC529" s="501"/>
      <c r="OD529" s="501"/>
      <c r="OE529" s="501"/>
      <c r="OF529" s="501"/>
      <c r="OG529" s="501"/>
      <c r="OH529" s="501"/>
      <c r="OI529" s="501"/>
      <c r="OJ529" s="501"/>
      <c r="OK529" s="501"/>
      <c r="OL529" s="501"/>
      <c r="OM529" s="501"/>
      <c r="ON529" s="501"/>
      <c r="OO529" s="501"/>
      <c r="OP529" s="501"/>
      <c r="OQ529" s="501"/>
      <c r="OR529" s="501"/>
      <c r="OS529" s="501"/>
      <c r="OT529" s="501"/>
      <c r="OU529" s="501"/>
      <c r="OV529" s="501"/>
      <c r="OW529" s="501"/>
      <c r="OX529" s="501"/>
      <c r="OY529" s="501"/>
      <c r="OZ529" s="501"/>
      <c r="PA529" s="501"/>
      <c r="PB529" s="501"/>
      <c r="PC529" s="501"/>
      <c r="PD529" s="501"/>
      <c r="PE529" s="501"/>
      <c r="PF529" s="501"/>
      <c r="PG529" s="501"/>
      <c r="PH529" s="501"/>
      <c r="PI529" s="501"/>
      <c r="PJ529" s="501"/>
      <c r="PK529" s="501"/>
      <c r="PL529" s="501"/>
      <c r="PM529" s="501"/>
      <c r="PN529" s="501"/>
      <c r="PO529" s="501"/>
      <c r="PP529" s="501"/>
      <c r="PQ529" s="501"/>
      <c r="PR529" s="501"/>
      <c r="PS529" s="501"/>
      <c r="PT529" s="501"/>
      <c r="PU529" s="501"/>
      <c r="PV529" s="501"/>
      <c r="PW529" s="501"/>
      <c r="PX529" s="501"/>
      <c r="PY529" s="501"/>
      <c r="PZ529" s="501"/>
      <c r="QA529" s="501"/>
      <c r="QB529" s="501"/>
      <c r="QC529" s="501"/>
      <c r="QD529" s="501"/>
      <c r="QE529" s="501"/>
      <c r="QF529" s="501"/>
      <c r="QG529" s="501"/>
      <c r="QH529" s="501"/>
      <c r="QI529" s="501"/>
      <c r="QJ529" s="501"/>
      <c r="QK529" s="501"/>
      <c r="QL529" s="501"/>
      <c r="QM529" s="501"/>
      <c r="QN529" s="501"/>
      <c r="QO529" s="501"/>
      <c r="QP529" s="501"/>
      <c r="QQ529" s="501"/>
      <c r="QR529" s="501"/>
      <c r="QS529" s="501"/>
      <c r="QT529" s="501"/>
      <c r="QU529" s="501"/>
      <c r="QV529" s="501"/>
      <c r="QW529" s="501"/>
      <c r="QX529" s="501"/>
      <c r="QY529" s="501"/>
      <c r="QZ529" s="501"/>
      <c r="RA529" s="501"/>
      <c r="RB529" s="501"/>
      <c r="RC529" s="501"/>
      <c r="RD529" s="501"/>
      <c r="RE529" s="501"/>
      <c r="RF529" s="501"/>
      <c r="RG529" s="501"/>
      <c r="RH529" s="501"/>
      <c r="RI529" s="501"/>
      <c r="RJ529" s="501"/>
      <c r="RK529" s="501"/>
      <c r="RL529" s="501"/>
      <c r="RM529" s="501"/>
      <c r="RN529" s="501"/>
      <c r="RO529" s="501"/>
      <c r="RP529" s="501"/>
      <c r="RQ529" s="501"/>
      <c r="RR529" s="501"/>
      <c r="RS529" s="501"/>
      <c r="RT529" s="501"/>
      <c r="RU529" s="501"/>
      <c r="RV529" s="501"/>
      <c r="RW529" s="501"/>
      <c r="RX529" s="501"/>
      <c r="RY529" s="501"/>
      <c r="RZ529" s="501"/>
      <c r="SA529" s="501"/>
      <c r="SB529" s="501"/>
      <c r="SC529" s="501"/>
      <c r="SD529" s="501"/>
      <c r="SE529" s="501"/>
      <c r="SF529" s="501"/>
      <c r="SG529" s="501"/>
      <c r="SH529" s="501"/>
      <c r="SI529" s="501"/>
      <c r="SJ529" s="501"/>
      <c r="SK529" s="501"/>
      <c r="SL529" s="501"/>
      <c r="SM529" s="501"/>
      <c r="SN529" s="501"/>
      <c r="SO529" s="501"/>
      <c r="SP529" s="501"/>
      <c r="SQ529" s="501"/>
      <c r="SR529" s="501"/>
      <c r="SS529" s="501"/>
      <c r="ST529" s="501"/>
      <c r="SU529" s="501"/>
      <c r="SV529" s="501"/>
      <c r="SW529" s="501"/>
      <c r="SX529" s="501"/>
      <c r="SY529" s="501"/>
      <c r="SZ529" s="501"/>
      <c r="TA529" s="501"/>
      <c r="TB529" s="501"/>
      <c r="TC529" s="501"/>
      <c r="TD529" s="501"/>
      <c r="TE529" s="501"/>
      <c r="TF529" s="501"/>
      <c r="TG529" s="501"/>
      <c r="TH529" s="501"/>
      <c r="TI529" s="501"/>
      <c r="TJ529" s="501"/>
      <c r="TK529" s="501"/>
      <c r="TL529" s="501"/>
      <c r="TM529" s="501"/>
      <c r="TN529" s="501"/>
      <c r="TO529" s="501"/>
      <c r="TP529" s="501"/>
      <c r="TQ529" s="501"/>
      <c r="TR529" s="501"/>
      <c r="TS529" s="501"/>
      <c r="TT529" s="501"/>
      <c r="TU529" s="501"/>
      <c r="TV529" s="501"/>
      <c r="TW529" s="501"/>
      <c r="TX529" s="501"/>
      <c r="TY529" s="501"/>
      <c r="TZ529" s="501"/>
      <c r="UA529" s="501"/>
      <c r="UB529" s="501"/>
      <c r="UC529" s="501"/>
      <c r="UD529" s="501"/>
      <c r="UE529" s="501"/>
      <c r="UF529" s="501"/>
      <c r="UG529" s="501"/>
      <c r="UH529" s="501"/>
      <c r="UI529" s="501"/>
      <c r="UJ529" s="501"/>
      <c r="UK529" s="501"/>
      <c r="UL529" s="501"/>
      <c r="UM529" s="501"/>
      <c r="UN529" s="501"/>
      <c r="UO529" s="501"/>
      <c r="UP529" s="501"/>
      <c r="UQ529" s="501"/>
      <c r="UR529" s="501"/>
      <c r="US529" s="501"/>
      <c r="UT529" s="501"/>
      <c r="UU529" s="501"/>
      <c r="UV529" s="501"/>
      <c r="UW529" s="501"/>
      <c r="UX529" s="501"/>
      <c r="UY529" s="501"/>
      <c r="UZ529" s="501"/>
      <c r="VA529" s="501"/>
      <c r="VB529" s="501"/>
      <c r="VC529" s="501"/>
      <c r="VD529" s="501"/>
      <c r="VE529" s="501"/>
      <c r="VF529" s="501"/>
      <c r="VG529" s="501"/>
      <c r="VH529" s="501"/>
      <c r="VI529" s="501"/>
      <c r="VJ529" s="501"/>
      <c r="VK529" s="501"/>
      <c r="VL529" s="501"/>
      <c r="VM529" s="501"/>
      <c r="VN529" s="501"/>
      <c r="VO529" s="501"/>
      <c r="VP529" s="501"/>
      <c r="VQ529" s="501"/>
      <c r="VR529" s="501"/>
      <c r="VS529" s="501"/>
      <c r="VT529" s="501"/>
      <c r="VU529" s="501"/>
      <c r="VV529" s="501"/>
      <c r="VW529" s="501"/>
      <c r="VX529" s="501"/>
      <c r="VY529" s="501"/>
      <c r="VZ529" s="501"/>
      <c r="WA529" s="501"/>
      <c r="WB529" s="501"/>
      <c r="WC529" s="501"/>
      <c r="WD529" s="501"/>
      <c r="WE529" s="501"/>
      <c r="WF529" s="501"/>
      <c r="WG529" s="501"/>
      <c r="WH529" s="501"/>
      <c r="WI529" s="501"/>
      <c r="WJ529" s="501"/>
      <c r="WK529" s="501"/>
      <c r="WL529" s="501"/>
      <c r="WM529" s="501"/>
      <c r="WN529" s="501"/>
      <c r="WO529" s="501"/>
      <c r="WP529" s="501"/>
      <c r="WQ529" s="501"/>
      <c r="WR529" s="501"/>
      <c r="WS529" s="501"/>
      <c r="WT529" s="501"/>
      <c r="WU529" s="501"/>
      <c r="WV529" s="501"/>
      <c r="WW529" s="501"/>
      <c r="WX529" s="501"/>
      <c r="WY529" s="501"/>
      <c r="WZ529" s="501"/>
      <c r="XA529" s="501"/>
      <c r="XB529" s="501"/>
      <c r="XC529" s="501"/>
      <c r="XD529" s="501"/>
      <c r="XE529" s="501"/>
      <c r="XF529" s="501"/>
      <c r="XG529" s="501"/>
      <c r="XH529" s="501"/>
      <c r="XI529" s="501"/>
      <c r="XJ529" s="501"/>
      <c r="XK529" s="501"/>
      <c r="XL529" s="501"/>
      <c r="XM529" s="501"/>
      <c r="XN529" s="501"/>
      <c r="XO529" s="501"/>
      <c r="XP529" s="501"/>
      <c r="XQ529" s="501"/>
      <c r="XR529" s="501"/>
      <c r="XS529" s="501"/>
      <c r="XT529" s="501"/>
      <c r="XU529" s="501"/>
      <c r="XV529" s="501"/>
      <c r="XW529" s="501"/>
      <c r="XX529" s="501"/>
      <c r="XY529" s="501"/>
      <c r="XZ529" s="501"/>
      <c r="YA529" s="501"/>
      <c r="YB529" s="501"/>
      <c r="YC529" s="501"/>
      <c r="YD529" s="501"/>
      <c r="YE529" s="501"/>
      <c r="YF529" s="501"/>
      <c r="YG529" s="501"/>
      <c r="YH529" s="501"/>
      <c r="YI529" s="501"/>
      <c r="YJ529" s="501"/>
      <c r="YK529" s="501"/>
      <c r="YL529" s="501"/>
      <c r="YM529" s="501"/>
      <c r="YN529" s="501"/>
      <c r="YO529" s="501"/>
      <c r="YP529" s="501"/>
      <c r="YQ529" s="501"/>
      <c r="YR529" s="501"/>
      <c r="YS529" s="501"/>
      <c r="YT529" s="501"/>
      <c r="YU529" s="501"/>
      <c r="YV529" s="501"/>
      <c r="YW529" s="501"/>
      <c r="YX529" s="501"/>
      <c r="YY529" s="501"/>
      <c r="YZ529" s="501"/>
      <c r="ZA529" s="501"/>
      <c r="ZB529" s="501"/>
      <c r="ZC529" s="501"/>
      <c r="ZD529" s="501"/>
      <c r="ZE529" s="501"/>
      <c r="ZF529" s="501"/>
      <c r="ZG529" s="501"/>
      <c r="ZH529" s="501"/>
      <c r="ZI529" s="501"/>
      <c r="ZJ529" s="501"/>
      <c r="ZK529" s="501"/>
      <c r="ZL529" s="501"/>
      <c r="ZM529" s="501"/>
      <c r="ZN529" s="501"/>
      <c r="ZO529" s="501"/>
      <c r="ZP529" s="501"/>
      <c r="ZQ529" s="501"/>
      <c r="ZR529" s="501"/>
      <c r="ZS529" s="501"/>
      <c r="ZT529" s="501"/>
      <c r="ZU529" s="501"/>
      <c r="ZV529" s="501"/>
      <c r="ZW529" s="501"/>
      <c r="ZX529" s="501"/>
      <c r="ZY529" s="501"/>
      <c r="ZZ529" s="501"/>
      <c r="AAA529" s="501"/>
      <c r="AAB529" s="501"/>
      <c r="AAC529" s="501"/>
      <c r="AAD529" s="501"/>
      <c r="AAE529" s="501"/>
      <c r="AAF529" s="501"/>
      <c r="AAG529" s="501"/>
      <c r="AAH529" s="501"/>
      <c r="AAI529" s="501"/>
      <c r="AAJ529" s="501"/>
      <c r="AAK529" s="501"/>
      <c r="AAL529" s="501"/>
      <c r="AAM529" s="501"/>
      <c r="AAN529" s="501"/>
      <c r="AAO529" s="501"/>
      <c r="AAP529" s="501"/>
      <c r="AAQ529" s="501"/>
      <c r="AAR529" s="501"/>
      <c r="AAS529" s="501"/>
      <c r="AAT529" s="501"/>
      <c r="AAU529" s="501"/>
      <c r="AAV529" s="501"/>
      <c r="AAW529" s="501"/>
      <c r="AAX529" s="501"/>
      <c r="AAY529" s="501"/>
      <c r="AAZ529" s="501"/>
      <c r="ABA529" s="501"/>
      <c r="ABB529" s="501"/>
      <c r="ABC529" s="501"/>
      <c r="ABD529" s="501"/>
      <c r="ABE529" s="501"/>
      <c r="ABF529" s="501"/>
      <c r="ABG529" s="501"/>
      <c r="ABH529" s="501"/>
      <c r="ABI529" s="501"/>
      <c r="ABJ529" s="501"/>
      <c r="ABK529" s="501"/>
      <c r="ABL529" s="501"/>
      <c r="ABM529" s="501"/>
      <c r="ABN529" s="501"/>
      <c r="ABO529" s="501"/>
      <c r="ABP529" s="501"/>
      <c r="ABQ529" s="501"/>
      <c r="ABR529" s="501"/>
      <c r="ABS529" s="501"/>
      <c r="ABT529" s="501"/>
      <c r="ABU529" s="501"/>
      <c r="ABV529" s="501"/>
      <c r="ABW529" s="501"/>
      <c r="ABX529" s="501"/>
      <c r="ABY529" s="501"/>
      <c r="ABZ529" s="501"/>
      <c r="ACA529" s="501"/>
      <c r="ACB529" s="501"/>
      <c r="ACC529" s="501"/>
      <c r="ACD529" s="501"/>
      <c r="ACE529" s="501"/>
      <c r="ACF529" s="501"/>
      <c r="ACG529" s="501"/>
      <c r="ACH529" s="501"/>
      <c r="ACI529" s="501"/>
      <c r="ACJ529" s="501"/>
      <c r="ACK529" s="501"/>
      <c r="ACL529" s="501"/>
      <c r="ACM529" s="501"/>
      <c r="ACN529" s="501"/>
      <c r="ACO529" s="501"/>
      <c r="ACP529" s="501"/>
      <c r="ACQ529" s="501"/>
      <c r="ACR529" s="501"/>
      <c r="ACS529" s="501"/>
      <c r="ACT529" s="501"/>
      <c r="ACU529" s="501"/>
      <c r="ACV529" s="501"/>
      <c r="ACW529" s="501"/>
      <c r="ACX529" s="501"/>
      <c r="ACY529" s="501"/>
      <c r="ACZ529" s="501"/>
      <c r="ADA529" s="501"/>
      <c r="ADB529" s="501"/>
      <c r="ADC529" s="501"/>
      <c r="ADD529" s="501"/>
      <c r="ADE529" s="501"/>
      <c r="ADF529" s="501"/>
      <c r="ADG529" s="501"/>
      <c r="ADH529" s="501"/>
      <c r="ADI529" s="501"/>
      <c r="ADJ529" s="501"/>
      <c r="ADK529" s="501"/>
      <c r="ADL529" s="501"/>
      <c r="ADM529" s="501"/>
      <c r="ADN529" s="501"/>
      <c r="ADO529" s="501"/>
      <c r="ADP529" s="501"/>
      <c r="ADQ529" s="501"/>
      <c r="ADR529" s="501"/>
      <c r="ADS529" s="501"/>
      <c r="ADT529" s="501"/>
      <c r="ADU529" s="501"/>
      <c r="ADV529" s="501"/>
      <c r="ADW529" s="501"/>
      <c r="ADX529" s="501"/>
      <c r="ADY529" s="501"/>
      <c r="ADZ529" s="501"/>
      <c r="AEA529" s="501"/>
      <c r="AEB529" s="501"/>
      <c r="AEC529" s="501"/>
      <c r="AED529" s="501"/>
      <c r="AEE529" s="501"/>
      <c r="AEF529" s="501"/>
      <c r="AEG529" s="501"/>
      <c r="AEH529" s="501"/>
      <c r="AEI529" s="501"/>
      <c r="AEJ529" s="501"/>
      <c r="AEK529" s="501"/>
      <c r="AEL529" s="501"/>
      <c r="AEM529" s="501"/>
      <c r="AEN529" s="501"/>
      <c r="AEO529" s="501"/>
      <c r="AEP529" s="501"/>
      <c r="AEQ529" s="501"/>
      <c r="AER529" s="501"/>
      <c r="AES529" s="501"/>
      <c r="AET529" s="501"/>
      <c r="AEU529" s="501"/>
      <c r="AEV529" s="501"/>
      <c r="AEW529" s="501"/>
      <c r="AEX529" s="501"/>
      <c r="AEY529" s="501"/>
      <c r="AEZ529" s="501"/>
      <c r="AFA529" s="501"/>
      <c r="AFB529" s="501"/>
      <c r="AFC529" s="501"/>
      <c r="AFD529" s="501"/>
      <c r="AFE529" s="501"/>
      <c r="AFF529" s="501"/>
      <c r="AFG529" s="501"/>
      <c r="AFH529" s="501"/>
      <c r="AFI529" s="501"/>
      <c r="AFJ529" s="501"/>
      <c r="AFK529" s="501"/>
      <c r="AFL529" s="501"/>
      <c r="AFM529" s="501"/>
      <c r="AFN529" s="501"/>
      <c r="AFO529" s="501"/>
      <c r="AFP529" s="501"/>
      <c r="AFQ529" s="501"/>
      <c r="AFR529" s="501"/>
      <c r="AFS529" s="501"/>
      <c r="AFT529" s="501"/>
      <c r="AFU529" s="501"/>
      <c r="AFV529" s="501"/>
      <c r="AFW529" s="501"/>
      <c r="AFX529" s="501"/>
      <c r="AFY529" s="501"/>
      <c r="AFZ529" s="501"/>
      <c r="AGA529" s="501"/>
      <c r="AGB529" s="501"/>
      <c r="AGC529" s="501"/>
      <c r="AGD529" s="501"/>
      <c r="AGE529" s="501"/>
      <c r="AGF529" s="501"/>
      <c r="AGG529" s="501"/>
      <c r="AGH529" s="501"/>
      <c r="AGI529" s="501"/>
      <c r="AGJ529" s="501"/>
      <c r="AGK529" s="501"/>
      <c r="AGL529" s="501"/>
      <c r="AGM529" s="501"/>
      <c r="AGN529" s="501"/>
      <c r="AGO529" s="501"/>
      <c r="AGP529" s="501"/>
      <c r="AGQ529" s="501"/>
      <c r="AGR529" s="501"/>
      <c r="AGS529" s="501"/>
      <c r="AGT529" s="501"/>
      <c r="AGU529" s="501"/>
      <c r="AGV529" s="501"/>
      <c r="AGW529" s="501"/>
      <c r="AGX529" s="501"/>
      <c r="AGY529" s="501"/>
      <c r="AGZ529" s="501"/>
      <c r="AHA529" s="501"/>
      <c r="AHB529" s="501"/>
      <c r="AHC529" s="501"/>
      <c r="AHD529" s="501"/>
      <c r="AHE529" s="501"/>
      <c r="AHF529" s="501"/>
      <c r="AHG529" s="501"/>
      <c r="AHH529" s="501"/>
      <c r="AHI529" s="501"/>
      <c r="AHJ529" s="501"/>
      <c r="AHK529" s="501"/>
      <c r="AHL529" s="501"/>
      <c r="AHM529" s="501"/>
      <c r="AHN529" s="501"/>
      <c r="AHO529" s="501"/>
      <c r="AHP529" s="501"/>
      <c r="AHQ529" s="501"/>
      <c r="AHR529" s="501"/>
      <c r="AHS529" s="501"/>
      <c r="AHT529" s="501"/>
      <c r="AHU529" s="501"/>
      <c r="AHV529" s="501"/>
      <c r="AHW529" s="501"/>
      <c r="AHX529" s="501"/>
      <c r="AHY529" s="501"/>
      <c r="AHZ529" s="501"/>
      <c r="AIA529" s="501"/>
      <c r="AIB529" s="501"/>
      <c r="AIC529" s="501"/>
      <c r="AID529" s="501"/>
      <c r="AIE529" s="501"/>
      <c r="AIF529" s="501"/>
      <c r="AIG529" s="501"/>
      <c r="AIH529" s="501"/>
      <c r="AII529" s="501"/>
      <c r="AIJ529" s="501"/>
      <c r="AIK529" s="501"/>
      <c r="AIL529" s="501"/>
      <c r="AIM529" s="501"/>
      <c r="AIN529" s="501"/>
      <c r="AIO529" s="501"/>
      <c r="AIP529" s="501"/>
      <c r="AIQ529" s="501"/>
      <c r="AIR529" s="501"/>
      <c r="AIS529" s="501"/>
      <c r="AIT529" s="501"/>
      <c r="AIU529" s="501"/>
      <c r="AIV529" s="501"/>
      <c r="AIW529" s="501"/>
      <c r="AIX529" s="501"/>
      <c r="AIY529" s="501"/>
      <c r="AIZ529" s="501"/>
      <c r="AJA529" s="501"/>
      <c r="AJB529" s="501"/>
      <c r="AJC529" s="501"/>
      <c r="AJD529" s="501"/>
      <c r="AJE529" s="501"/>
      <c r="AJF529" s="501"/>
      <c r="AJG529" s="501"/>
      <c r="AJH529" s="501"/>
      <c r="AJI529" s="501"/>
      <c r="AJJ529" s="501"/>
      <c r="AJK529" s="501"/>
      <c r="AJL529" s="501"/>
      <c r="AJM529" s="501"/>
      <c r="AJN529" s="501"/>
      <c r="AJO529" s="501"/>
      <c r="AJP529" s="501"/>
      <c r="AJQ529" s="501"/>
      <c r="AJR529" s="501"/>
      <c r="AJS529" s="501"/>
      <c r="AJT529" s="501"/>
      <c r="AJU529" s="501"/>
      <c r="AJV529" s="501"/>
      <c r="AJW529" s="501"/>
      <c r="AJX529" s="501"/>
      <c r="AJY529" s="501"/>
      <c r="AJZ529" s="501"/>
      <c r="AKA529" s="501"/>
      <c r="AKB529" s="501"/>
      <c r="AKC529" s="501"/>
      <c r="AKD529" s="501"/>
      <c r="AKE529" s="501"/>
      <c r="AKF529" s="501"/>
      <c r="AKG529" s="501"/>
      <c r="AKH529" s="501"/>
      <c r="AKI529" s="501"/>
      <c r="AKJ529" s="501"/>
      <c r="AKK529" s="501"/>
      <c r="AKL529" s="501"/>
      <c r="AKM529" s="501"/>
      <c r="AKN529" s="501"/>
      <c r="AKO529" s="501"/>
      <c r="AKP529" s="501"/>
      <c r="AKQ529" s="501"/>
      <c r="AKR529" s="501"/>
      <c r="AKS529" s="501"/>
      <c r="AKT529" s="501"/>
      <c r="AKU529" s="501"/>
      <c r="AKV529" s="501"/>
      <c r="AKW529" s="501"/>
      <c r="AKX529" s="501"/>
      <c r="AKY529" s="501"/>
      <c r="AKZ529" s="501"/>
      <c r="ALA529" s="501"/>
      <c r="ALB529" s="501"/>
      <c r="ALC529" s="501"/>
      <c r="ALD529" s="501"/>
      <c r="ALE529" s="501"/>
      <c r="ALF529" s="501"/>
      <c r="ALG529" s="501"/>
      <c r="ALH529" s="501"/>
      <c r="ALI529" s="501"/>
      <c r="ALJ529" s="501"/>
      <c r="ALK529" s="501"/>
      <c r="ALL529" s="501"/>
      <c r="ALM529" s="501"/>
      <c r="ALN529" s="501"/>
      <c r="ALO529" s="501"/>
      <c r="ALP529" s="501"/>
      <c r="ALQ529" s="501"/>
      <c r="ALR529" s="501"/>
      <c r="ALS529" s="501"/>
      <c r="ALT529" s="501"/>
      <c r="ALU529" s="501"/>
      <c r="ALV529" s="501"/>
      <c r="ALW529" s="501"/>
      <c r="ALX529" s="501"/>
      <c r="ALY529" s="501"/>
      <c r="ALZ529" s="501"/>
      <c r="AMA529" s="501"/>
      <c r="AMB529" s="501"/>
      <c r="AMC529" s="501"/>
      <c r="AMD529" s="501"/>
      <c r="AME529" s="501"/>
      <c r="AMF529" s="501"/>
      <c r="AMG529" s="501"/>
      <c r="AMH529" s="501"/>
      <c r="AMI529" s="501"/>
      <c r="AMJ529" s="501"/>
      <c r="AMK529" s="501"/>
      <c r="AML529" s="501"/>
      <c r="AMM529" s="501"/>
      <c r="AMN529" s="501"/>
      <c r="AMO529" s="501"/>
      <c r="AMP529" s="501"/>
      <c r="AMQ529" s="501"/>
      <c r="AMR529" s="501"/>
      <c r="AMS529" s="501"/>
      <c r="AMT529" s="501"/>
      <c r="AMU529" s="501"/>
      <c r="AMV529" s="501"/>
      <c r="AMW529" s="501"/>
      <c r="AMX529" s="501"/>
      <c r="AMY529" s="501"/>
      <c r="AMZ529" s="501"/>
      <c r="ANA529" s="501"/>
      <c r="ANB529" s="501"/>
      <c r="ANC529" s="501"/>
      <c r="AND529" s="501"/>
      <c r="ANE529" s="501"/>
      <c r="ANF529" s="501"/>
      <c r="ANG529" s="501"/>
      <c r="ANH529" s="501"/>
      <c r="ANI529" s="501"/>
      <c r="ANJ529" s="501"/>
      <c r="ANK529" s="501"/>
      <c r="ANL529" s="501"/>
      <c r="ANM529" s="501"/>
      <c r="ANN529" s="501"/>
      <c r="ANO529" s="501"/>
      <c r="ANP529" s="501"/>
      <c r="ANQ529" s="501"/>
      <c r="ANR529" s="501"/>
      <c r="ANS529" s="501"/>
      <c r="ANT529" s="501"/>
      <c r="ANU529" s="501"/>
      <c r="ANV529" s="501"/>
      <c r="ANW529" s="501"/>
      <c r="ANX529" s="501"/>
      <c r="ANY529" s="501"/>
      <c r="ANZ529" s="501"/>
      <c r="AOA529" s="501"/>
      <c r="AOB529" s="501"/>
      <c r="AOC529" s="501"/>
      <c r="AOD529" s="501"/>
      <c r="AOE529" s="501"/>
      <c r="AOF529" s="501"/>
      <c r="AOG529" s="501"/>
      <c r="AOH529" s="501"/>
      <c r="AOI529" s="501"/>
      <c r="AOJ529" s="501"/>
      <c r="AOK529" s="501"/>
      <c r="AOL529" s="501"/>
      <c r="AOM529" s="501"/>
      <c r="AON529" s="501"/>
      <c r="AOO529" s="501"/>
      <c r="AOP529" s="501"/>
      <c r="AOQ529" s="501"/>
      <c r="AOR529" s="501"/>
      <c r="AOS529" s="501"/>
      <c r="AOT529" s="501"/>
      <c r="AOU529" s="501"/>
      <c r="AOV529" s="501"/>
      <c r="AOW529" s="501"/>
      <c r="AOX529" s="501"/>
      <c r="AOY529" s="501"/>
      <c r="AOZ529" s="501"/>
      <c r="APA529" s="501"/>
      <c r="APB529" s="501"/>
      <c r="APC529" s="501"/>
      <c r="APD529" s="501"/>
      <c r="APE529" s="501"/>
      <c r="APF529" s="501"/>
      <c r="APG529" s="501"/>
      <c r="APH529" s="501"/>
      <c r="API529" s="501"/>
      <c r="APJ529" s="501"/>
      <c r="APK529" s="501"/>
      <c r="APL529" s="501"/>
      <c r="APM529" s="501"/>
      <c r="APN529" s="501"/>
      <c r="APO529" s="501"/>
      <c r="APP529" s="501"/>
      <c r="APQ529" s="501"/>
      <c r="APR529" s="501"/>
      <c r="APS529" s="501"/>
      <c r="APT529" s="501"/>
      <c r="APU529" s="501"/>
      <c r="APV529" s="501"/>
      <c r="APW529" s="501"/>
      <c r="APX529" s="501"/>
      <c r="APY529" s="501"/>
      <c r="APZ529" s="501"/>
      <c r="AQA529" s="501"/>
      <c r="AQB529" s="501"/>
      <c r="AQC529" s="501"/>
      <c r="AQD529" s="501"/>
      <c r="AQE529" s="501"/>
      <c r="AQF529" s="501"/>
      <c r="AQG529" s="501"/>
      <c r="AQH529" s="501"/>
      <c r="AQI529" s="501"/>
      <c r="AQJ529" s="501"/>
      <c r="AQK529" s="501"/>
      <c r="AQL529" s="501"/>
      <c r="AQM529" s="501"/>
      <c r="AQN529" s="501"/>
      <c r="AQO529" s="501"/>
      <c r="AQP529" s="501"/>
      <c r="AQQ529" s="501"/>
      <c r="AQR529" s="501"/>
      <c r="AQS529" s="501"/>
      <c r="AQT529" s="501"/>
      <c r="AQU529" s="501"/>
      <c r="AQV529" s="501"/>
      <c r="AQW529" s="501"/>
      <c r="AQX529" s="501"/>
      <c r="AQY529" s="501"/>
      <c r="AQZ529" s="501"/>
      <c r="ARA529" s="501"/>
      <c r="ARB529" s="501"/>
      <c r="ARC529" s="501"/>
      <c r="ARD529" s="501"/>
      <c r="ARE529" s="501"/>
      <c r="ARF529" s="501"/>
      <c r="ARG529" s="501"/>
      <c r="ARH529" s="501"/>
      <c r="ARI529" s="501"/>
      <c r="ARJ529" s="501"/>
      <c r="ARK529" s="501"/>
      <c r="ARL529" s="501"/>
      <c r="ARM529" s="501"/>
      <c r="ARN529" s="501"/>
      <c r="ARO529" s="501"/>
      <c r="ARP529" s="501"/>
      <c r="ARQ529" s="501"/>
      <c r="ARR529" s="501"/>
      <c r="ARS529" s="501"/>
      <c r="ART529" s="501"/>
      <c r="ARU529" s="501"/>
      <c r="ARV529" s="501"/>
      <c r="ARW529" s="501"/>
      <c r="ARX529" s="501"/>
      <c r="ARY529" s="501"/>
      <c r="ARZ529" s="501"/>
      <c r="ASA529" s="501"/>
      <c r="ASB529" s="501"/>
      <c r="ASC529" s="501"/>
      <c r="ASD529" s="501"/>
      <c r="ASE529" s="501"/>
      <c r="ASF529" s="501"/>
      <c r="ASG529" s="501"/>
      <c r="ASH529" s="501"/>
      <c r="ASI529" s="501"/>
      <c r="ASJ529" s="501"/>
      <c r="ASK529" s="501"/>
      <c r="ASL529" s="501"/>
      <c r="ASM529" s="501"/>
      <c r="ASN529" s="501"/>
      <c r="ASO529" s="501"/>
      <c r="ASP529" s="501"/>
      <c r="ASQ529" s="501"/>
      <c r="ASR529" s="501"/>
      <c r="ASS529" s="501"/>
      <c r="AST529" s="501"/>
      <c r="ASU529" s="501"/>
      <c r="ASV529" s="501"/>
      <c r="ASW529" s="501"/>
      <c r="ASX529" s="501"/>
      <c r="ASY529" s="501"/>
      <c r="ASZ529" s="501"/>
      <c r="ATA529" s="501"/>
      <c r="ATB529" s="501"/>
      <c r="ATC529" s="501"/>
      <c r="ATD529" s="501"/>
      <c r="ATE529" s="501"/>
      <c r="ATF529" s="501"/>
      <c r="ATG529" s="501"/>
      <c r="ATH529" s="501"/>
      <c r="ATI529" s="501"/>
      <c r="ATJ529" s="501"/>
      <c r="ATK529" s="501"/>
      <c r="ATL529" s="501"/>
      <c r="ATM529" s="501"/>
      <c r="ATN529" s="501"/>
      <c r="ATO529" s="501"/>
      <c r="ATP529" s="501"/>
      <c r="ATQ529" s="501"/>
      <c r="ATR529" s="501"/>
      <c r="ATS529" s="501"/>
      <c r="ATT529" s="501"/>
      <c r="ATU529" s="501"/>
      <c r="ATV529" s="501"/>
      <c r="ATW529" s="501"/>
      <c r="ATX529" s="501"/>
      <c r="ATY529" s="501"/>
      <c r="ATZ529" s="501"/>
      <c r="AUA529" s="501"/>
      <c r="AUB529" s="501"/>
      <c r="AUC529" s="501"/>
      <c r="AUD529" s="501"/>
      <c r="AUE529" s="501"/>
      <c r="AUF529" s="501"/>
      <c r="AUG529" s="501"/>
      <c r="AUH529" s="501"/>
      <c r="AUI529" s="501"/>
      <c r="AUJ529" s="501"/>
      <c r="AUK529" s="501"/>
      <c r="AUL529" s="501"/>
      <c r="AUM529" s="501"/>
      <c r="AUN529" s="501"/>
      <c r="AUO529" s="501"/>
      <c r="AUP529" s="501"/>
      <c r="AUQ529" s="501"/>
      <c r="AUR529" s="501"/>
      <c r="AUS529" s="501"/>
      <c r="AUT529" s="501"/>
      <c r="AUU529" s="501"/>
      <c r="AUV529" s="501"/>
      <c r="AUW529" s="501"/>
      <c r="AUX529" s="501"/>
      <c r="AUY529" s="501"/>
      <c r="AUZ529" s="501"/>
      <c r="AVA529" s="501"/>
      <c r="AVB529" s="501"/>
      <c r="AVC529" s="501"/>
      <c r="AVD529" s="501"/>
      <c r="AVE529" s="501"/>
      <c r="AVF529" s="501"/>
      <c r="AVG529" s="501"/>
      <c r="AVH529" s="501"/>
      <c r="AVI529" s="501"/>
      <c r="AVJ529" s="501"/>
      <c r="AVK529" s="501"/>
      <c r="AVL529" s="501"/>
      <c r="AVM529" s="501"/>
      <c r="AVN529" s="501"/>
      <c r="AVO529" s="501"/>
      <c r="AVP529" s="501"/>
      <c r="AVQ529" s="501"/>
      <c r="AVR529" s="501"/>
      <c r="AVS529" s="501"/>
      <c r="AVT529" s="501"/>
      <c r="AVU529" s="501"/>
      <c r="AVV529" s="501"/>
      <c r="AVW529" s="501"/>
      <c r="AVX529" s="501"/>
      <c r="AVY529" s="501"/>
      <c r="AVZ529" s="501"/>
      <c r="AWA529" s="501"/>
      <c r="AWB529" s="501"/>
      <c r="AWC529" s="501"/>
      <c r="AWD529" s="501"/>
      <c r="AWE529" s="501"/>
      <c r="AWF529" s="501"/>
      <c r="AWG529" s="501"/>
      <c r="AWH529" s="501"/>
      <c r="AWI529" s="501"/>
      <c r="AWJ529" s="501"/>
      <c r="AWK529" s="501"/>
      <c r="AWL529" s="501"/>
      <c r="AWM529" s="501"/>
      <c r="AWN529" s="501"/>
      <c r="AWO529" s="501"/>
      <c r="AWP529" s="501"/>
      <c r="AWQ529" s="501"/>
      <c r="AWR529" s="501"/>
      <c r="AWS529" s="501"/>
      <c r="AWT529" s="501"/>
      <c r="AWU529" s="501"/>
      <c r="AWV529" s="501"/>
      <c r="AWW529" s="501"/>
      <c r="AWX529" s="501"/>
      <c r="AWY529" s="501"/>
      <c r="AWZ529" s="501"/>
      <c r="AXA529" s="501"/>
      <c r="AXB529" s="501"/>
      <c r="AXC529" s="501"/>
      <c r="AXD529" s="501"/>
      <c r="AXE529" s="501"/>
      <c r="AXF529" s="501"/>
      <c r="AXG529" s="501"/>
      <c r="AXH529" s="501"/>
      <c r="AXI529" s="501"/>
      <c r="AXJ529" s="501"/>
      <c r="AXK529" s="501"/>
      <c r="AXL529" s="501"/>
      <c r="AXM529" s="501"/>
      <c r="AXN529" s="501"/>
      <c r="AXO529" s="501"/>
      <c r="AXP529" s="501"/>
      <c r="AXQ529" s="501"/>
      <c r="AXR529" s="501"/>
      <c r="AXS529" s="501"/>
      <c r="AXT529" s="501"/>
      <c r="AXU529" s="501"/>
      <c r="AXV529" s="501"/>
      <c r="AXW529" s="501"/>
      <c r="AXX529" s="501"/>
      <c r="AXY529" s="501"/>
      <c r="AXZ529" s="501"/>
      <c r="AYA529" s="501"/>
      <c r="AYB529" s="501"/>
      <c r="AYC529" s="501"/>
      <c r="AYD529" s="501"/>
      <c r="AYE529" s="501"/>
      <c r="AYF529" s="501"/>
      <c r="AYG529" s="501"/>
      <c r="AYH529" s="501"/>
      <c r="AYI529" s="501"/>
      <c r="AYJ529" s="501"/>
      <c r="AYK529" s="501"/>
      <c r="AYL529" s="501"/>
      <c r="AYM529" s="501"/>
      <c r="AYN529" s="501"/>
      <c r="AYO529" s="501"/>
      <c r="AYP529" s="501"/>
      <c r="AYQ529" s="501"/>
      <c r="AYR529" s="501"/>
      <c r="AYS529" s="501"/>
      <c r="AYT529" s="501"/>
      <c r="AYU529" s="501"/>
      <c r="AYV529" s="501"/>
      <c r="AYW529" s="501"/>
      <c r="AYX529" s="501"/>
      <c r="AYY529" s="501"/>
      <c r="AYZ529" s="501"/>
      <c r="AZA529" s="501"/>
      <c r="AZB529" s="501"/>
      <c r="AZC529" s="501"/>
      <c r="AZD529" s="501"/>
      <c r="AZE529" s="501"/>
      <c r="AZF529" s="501"/>
      <c r="AZG529" s="501"/>
      <c r="AZH529" s="501"/>
      <c r="AZI529" s="501"/>
      <c r="AZJ529" s="501"/>
      <c r="AZK529" s="501"/>
      <c r="AZL529" s="501"/>
      <c r="AZM529" s="501"/>
      <c r="AZN529" s="501"/>
      <c r="AZO529" s="501"/>
      <c r="AZP529" s="501"/>
      <c r="AZQ529" s="501"/>
      <c r="AZR529" s="501"/>
      <c r="AZS529" s="501"/>
      <c r="AZT529" s="501"/>
      <c r="AZU529" s="501"/>
      <c r="AZV529" s="501"/>
      <c r="AZW529" s="501"/>
      <c r="AZX529" s="501"/>
      <c r="AZY529" s="501"/>
      <c r="AZZ529" s="501"/>
      <c r="BAA529" s="501"/>
      <c r="BAB529" s="501"/>
      <c r="BAC529" s="501"/>
      <c r="BAD529" s="501"/>
      <c r="BAE529" s="501"/>
      <c r="BAF529" s="501"/>
      <c r="BAG529" s="501"/>
      <c r="BAH529" s="501"/>
      <c r="BAI529" s="501"/>
      <c r="BAJ529" s="501"/>
      <c r="BAK529" s="501"/>
      <c r="BAL529" s="501"/>
      <c r="BAM529" s="501"/>
      <c r="BAN529" s="501"/>
      <c r="BAO529" s="501"/>
      <c r="BAP529" s="501"/>
      <c r="BAQ529" s="501"/>
      <c r="BAR529" s="501"/>
      <c r="BAS529" s="501"/>
      <c r="BAT529" s="501"/>
      <c r="BAU529" s="501"/>
      <c r="BAV529" s="501"/>
      <c r="BAW529" s="501"/>
      <c r="BAX529" s="501"/>
      <c r="BAY529" s="501"/>
      <c r="BAZ529" s="501"/>
      <c r="BBA529" s="501"/>
      <c r="BBB529" s="501"/>
      <c r="BBC529" s="501"/>
      <c r="BBD529" s="501"/>
      <c r="BBE529" s="501"/>
      <c r="BBF529" s="501"/>
      <c r="BBG529" s="501"/>
      <c r="BBH529" s="501"/>
      <c r="BBI529" s="501"/>
      <c r="BBJ529" s="501"/>
      <c r="BBK529" s="501"/>
      <c r="BBL529" s="501"/>
      <c r="BBM529" s="501"/>
      <c r="BBN529" s="501"/>
      <c r="BBO529" s="501"/>
      <c r="BBP529" s="501"/>
      <c r="BBQ529" s="501"/>
      <c r="BBR529" s="501"/>
      <c r="BBS529" s="501"/>
      <c r="BBT529" s="501"/>
      <c r="BBU529" s="501"/>
      <c r="BBV529" s="501"/>
      <c r="BBW529" s="501"/>
      <c r="BBX529" s="501"/>
      <c r="BBY529" s="501"/>
      <c r="BBZ529" s="501"/>
      <c r="BCA529" s="501"/>
      <c r="BCB529" s="501"/>
      <c r="BCC529" s="501"/>
      <c r="BCD529" s="501"/>
      <c r="BCE529" s="501"/>
      <c r="BCF529" s="501"/>
      <c r="BCG529" s="501"/>
      <c r="BCH529" s="501"/>
      <c r="BCI529" s="501"/>
      <c r="BCJ529" s="501"/>
      <c r="BCK529" s="501"/>
      <c r="BCL529" s="501"/>
      <c r="BCM529" s="501"/>
      <c r="BCN529" s="501"/>
      <c r="BCO529" s="501"/>
      <c r="BCP529" s="501"/>
      <c r="BCQ529" s="501"/>
      <c r="BCR529" s="501"/>
      <c r="BCS529" s="501"/>
      <c r="BCT529" s="501"/>
      <c r="BCU529" s="501"/>
      <c r="BCV529" s="501"/>
      <c r="BCW529" s="501"/>
      <c r="BCX529" s="501"/>
      <c r="BCY529" s="501"/>
      <c r="BCZ529" s="501"/>
      <c r="BDA529" s="501"/>
      <c r="BDB529" s="501"/>
      <c r="BDC529" s="501"/>
      <c r="BDD529" s="501"/>
      <c r="BDE529" s="501"/>
      <c r="BDF529" s="501"/>
      <c r="BDG529" s="501"/>
      <c r="BDH529" s="501"/>
      <c r="BDI529" s="501"/>
      <c r="BDJ529" s="501"/>
      <c r="BDK529" s="501"/>
      <c r="BDL529" s="501"/>
      <c r="BDM529" s="501"/>
      <c r="BDN529" s="501"/>
      <c r="BDO529" s="501"/>
      <c r="BDP529" s="501"/>
      <c r="BDQ529" s="501"/>
      <c r="BDR529" s="501"/>
      <c r="BDS529" s="501"/>
      <c r="BDT529" s="501"/>
      <c r="BDU529" s="501"/>
      <c r="BDV529" s="501"/>
      <c r="BDW529" s="501"/>
      <c r="BDX529" s="501"/>
      <c r="BDY529" s="501"/>
      <c r="BDZ529" s="501"/>
      <c r="BEA529" s="501"/>
      <c r="BEB529" s="501"/>
      <c r="BEC529" s="501"/>
      <c r="BED529" s="501"/>
      <c r="BEE529" s="501"/>
      <c r="BEF529" s="501"/>
      <c r="BEG529" s="501"/>
      <c r="BEH529" s="501"/>
      <c r="BEI529" s="501"/>
      <c r="BEJ529" s="501"/>
      <c r="BEK529" s="501"/>
      <c r="BEL529" s="501"/>
      <c r="BEM529" s="501"/>
      <c r="BEN529" s="501"/>
      <c r="BEO529" s="501"/>
      <c r="BEP529" s="501"/>
      <c r="BEQ529" s="501"/>
      <c r="BER529" s="501"/>
      <c r="BES529" s="501"/>
      <c r="BET529" s="501"/>
      <c r="BEU529" s="501"/>
      <c r="BEV529" s="501"/>
      <c r="BEW529" s="501"/>
      <c r="BEX529" s="501"/>
      <c r="BEY529" s="501"/>
      <c r="BEZ529" s="501"/>
      <c r="BFA529" s="501"/>
      <c r="BFB529" s="501"/>
      <c r="BFC529" s="501"/>
      <c r="BFD529" s="501"/>
      <c r="BFE529" s="501"/>
      <c r="BFF529" s="501"/>
      <c r="BFG529" s="501"/>
      <c r="BFH529" s="501"/>
      <c r="BFI529" s="501"/>
      <c r="BFJ529" s="501"/>
      <c r="BFK529" s="501"/>
      <c r="BFL529" s="501"/>
      <c r="BFM529" s="501"/>
      <c r="BFN529" s="501"/>
      <c r="BFO529" s="501"/>
      <c r="BFP529" s="501"/>
      <c r="BFQ529" s="501"/>
      <c r="BFR529" s="501"/>
      <c r="BFS529" s="501"/>
      <c r="BFT529" s="501"/>
      <c r="BFU529" s="501"/>
      <c r="BFV529" s="501"/>
      <c r="BFW529" s="501"/>
      <c r="BFX529" s="501"/>
      <c r="BFY529" s="501"/>
      <c r="BFZ529" s="501"/>
      <c r="BGA529" s="501"/>
      <c r="BGB529" s="501"/>
      <c r="BGC529" s="501"/>
      <c r="BGD529" s="501"/>
      <c r="BGE529" s="501"/>
      <c r="BGF529" s="501"/>
      <c r="BGG529" s="501"/>
      <c r="BGH529" s="501"/>
      <c r="BGI529" s="501"/>
      <c r="BGJ529" s="501"/>
      <c r="BGK529" s="501"/>
      <c r="BGL529" s="501"/>
      <c r="BGM529" s="501"/>
      <c r="BGN529" s="501"/>
      <c r="BGO529" s="501"/>
      <c r="BGP529" s="501"/>
      <c r="BGQ529" s="501"/>
      <c r="BGR529" s="501"/>
      <c r="BGS529" s="501"/>
      <c r="BGT529" s="501"/>
      <c r="BGU529" s="501"/>
      <c r="BGV529" s="501"/>
      <c r="BGW529" s="501"/>
      <c r="BGX529" s="501"/>
      <c r="BGY529" s="501"/>
      <c r="BGZ529" s="501"/>
      <c r="BHA529" s="501"/>
      <c r="BHB529" s="501"/>
      <c r="BHC529" s="501"/>
      <c r="BHD529" s="501"/>
      <c r="BHE529" s="501"/>
      <c r="BHF529" s="501"/>
      <c r="BHG529" s="501"/>
      <c r="BHH529" s="501"/>
      <c r="BHI529" s="501"/>
      <c r="BHJ529" s="501"/>
      <c r="BHK529" s="501"/>
      <c r="BHL529" s="501"/>
      <c r="BHM529" s="501"/>
      <c r="BHN529" s="501"/>
      <c r="BHO529" s="501"/>
      <c r="BHP529" s="501"/>
      <c r="BHQ529" s="501"/>
      <c r="BHR529" s="501"/>
      <c r="BHS529" s="501"/>
      <c r="BHT529" s="501"/>
      <c r="BHU529" s="501"/>
      <c r="BHV529" s="501"/>
      <c r="BHW529" s="501"/>
      <c r="BHX529" s="501"/>
      <c r="BHY529" s="501"/>
      <c r="BHZ529" s="501"/>
      <c r="BIA529" s="501"/>
      <c r="BIB529" s="501"/>
      <c r="BIC529" s="501"/>
      <c r="BID529" s="501"/>
      <c r="BIE529" s="501"/>
      <c r="BIF529" s="501"/>
      <c r="BIG529" s="501"/>
      <c r="BIH529" s="501"/>
      <c r="BII529" s="501"/>
      <c r="BIJ529" s="501"/>
      <c r="BIK529" s="501"/>
      <c r="BIL529" s="501"/>
      <c r="BIM529" s="501"/>
      <c r="BIN529" s="501"/>
      <c r="BIO529" s="501"/>
      <c r="BIP529" s="501"/>
      <c r="BIQ529" s="501"/>
      <c r="BIR529" s="501"/>
      <c r="BIS529" s="501"/>
      <c r="BIT529" s="501"/>
      <c r="BIU529" s="501"/>
      <c r="BIV529" s="501"/>
      <c r="BIW529" s="501"/>
      <c r="BIX529" s="501"/>
      <c r="BIY529" s="501"/>
      <c r="BIZ529" s="501"/>
      <c r="BJA529" s="501"/>
      <c r="BJB529" s="501"/>
      <c r="BJC529" s="501"/>
      <c r="BJD529" s="501"/>
      <c r="BJE529" s="501"/>
      <c r="BJF529" s="501"/>
      <c r="BJG529" s="501"/>
      <c r="BJH529" s="501"/>
      <c r="BJI529" s="501"/>
      <c r="BJJ529" s="501"/>
      <c r="BJK529" s="501"/>
      <c r="BJL529" s="501"/>
      <c r="BJM529" s="501"/>
      <c r="BJN529" s="501"/>
      <c r="BJO529" s="501"/>
      <c r="BJP529" s="501"/>
      <c r="BJQ529" s="501"/>
      <c r="BJR529" s="501"/>
      <c r="BJS529" s="501"/>
      <c r="BJT529" s="501"/>
      <c r="BJU529" s="501"/>
      <c r="BJV529" s="501"/>
      <c r="BJW529" s="501"/>
      <c r="BJX529" s="501"/>
      <c r="BJY529" s="501"/>
      <c r="BJZ529" s="501"/>
      <c r="BKA529" s="501"/>
      <c r="BKB529" s="501"/>
      <c r="BKC529" s="501"/>
      <c r="BKD529" s="501"/>
      <c r="BKE529" s="501"/>
      <c r="BKF529" s="501"/>
      <c r="BKG529" s="501"/>
      <c r="BKH529" s="501"/>
      <c r="BKI529" s="501"/>
      <c r="BKJ529" s="501"/>
      <c r="BKK529" s="501"/>
      <c r="BKL529" s="501"/>
      <c r="BKM529" s="501"/>
      <c r="BKN529" s="501"/>
      <c r="BKO529" s="501"/>
      <c r="BKP529" s="501"/>
      <c r="BKQ529" s="501"/>
      <c r="BKR529" s="501"/>
      <c r="BKS529" s="501"/>
      <c r="BKT529" s="501"/>
      <c r="BKU529" s="501"/>
      <c r="BKV529" s="501"/>
      <c r="BKW529" s="501"/>
      <c r="BKX529" s="501"/>
      <c r="BKY529" s="501"/>
      <c r="BKZ529" s="501"/>
      <c r="BLA529" s="501"/>
      <c r="BLB529" s="501"/>
      <c r="BLC529" s="501"/>
      <c r="BLD529" s="501"/>
      <c r="BLE529" s="501"/>
      <c r="BLF529" s="501"/>
      <c r="BLG529" s="501"/>
      <c r="BLH529" s="501"/>
      <c r="BLI529" s="501"/>
      <c r="BLJ529" s="501"/>
      <c r="BLK529" s="501"/>
      <c r="BLL529" s="501"/>
      <c r="BLM529" s="501"/>
      <c r="BLN529" s="501"/>
      <c r="BLO529" s="501"/>
      <c r="BLP529" s="501"/>
      <c r="BLQ529" s="501"/>
      <c r="BLR529" s="501"/>
      <c r="BLS529" s="501"/>
      <c r="BLT529" s="501"/>
      <c r="BLU529" s="501"/>
      <c r="BLV529" s="501"/>
      <c r="BLW529" s="501"/>
      <c r="BLX529" s="501"/>
      <c r="BLY529" s="501"/>
      <c r="BLZ529" s="501"/>
      <c r="BMA529" s="501"/>
      <c r="BMB529" s="501"/>
      <c r="BMC529" s="501"/>
      <c r="BMD529" s="501"/>
      <c r="BME529" s="501"/>
      <c r="BMF529" s="501"/>
      <c r="BMG529" s="501"/>
      <c r="BMH529" s="501"/>
      <c r="BMI529" s="501"/>
      <c r="BMJ529" s="501"/>
      <c r="BMK529" s="501"/>
      <c r="BML529" s="501"/>
      <c r="BMM529" s="501"/>
      <c r="BMN529" s="501"/>
      <c r="BMO529" s="501"/>
      <c r="BMP529" s="501"/>
      <c r="BMQ529" s="501"/>
      <c r="BMR529" s="501"/>
      <c r="BMS529" s="501"/>
      <c r="BMT529" s="501"/>
      <c r="BMU529" s="501"/>
      <c r="BMV529" s="501"/>
      <c r="BMW529" s="501"/>
      <c r="BMX529" s="501"/>
      <c r="BMY529" s="501"/>
      <c r="BMZ529" s="501"/>
      <c r="BNA529" s="501"/>
      <c r="BNB529" s="501"/>
      <c r="BNC529" s="501"/>
      <c r="BND529" s="501"/>
      <c r="BNE529" s="501"/>
      <c r="BNF529" s="501"/>
      <c r="BNG529" s="501"/>
      <c r="BNH529" s="501"/>
      <c r="BNI529" s="501"/>
      <c r="BNJ529" s="501"/>
      <c r="BNK529" s="501"/>
      <c r="BNL529" s="501"/>
      <c r="BNM529" s="501"/>
      <c r="BNN529" s="501"/>
      <c r="BNO529" s="501"/>
      <c r="BNP529" s="501"/>
      <c r="BNQ529" s="501"/>
      <c r="BNR529" s="501"/>
      <c r="BNS529" s="501"/>
      <c r="BNT529" s="501"/>
      <c r="BNU529" s="501"/>
      <c r="BNV529" s="501"/>
      <c r="BNW529" s="501"/>
      <c r="BNX529" s="501"/>
      <c r="BNY529" s="501"/>
      <c r="BNZ529" s="501"/>
      <c r="BOA529" s="501"/>
      <c r="BOB529" s="501"/>
      <c r="BOC529" s="501"/>
      <c r="BOD529" s="501"/>
      <c r="BOE529" s="501"/>
      <c r="BOF529" s="501"/>
      <c r="BOG529" s="501"/>
      <c r="BOH529" s="501"/>
      <c r="BOI529" s="501"/>
      <c r="BOJ529" s="501"/>
      <c r="BOK529" s="501"/>
      <c r="BOL529" s="501"/>
      <c r="BOM529" s="501"/>
      <c r="BON529" s="501"/>
      <c r="BOO529" s="501"/>
      <c r="BOP529" s="501"/>
      <c r="BOQ529" s="501"/>
      <c r="BOR529" s="501"/>
      <c r="BOS529" s="501"/>
      <c r="BOT529" s="501"/>
      <c r="BOU529" s="501"/>
      <c r="BOV529" s="501"/>
      <c r="BOW529" s="501"/>
      <c r="BOX529" s="501"/>
      <c r="BOY529" s="501"/>
      <c r="BOZ529" s="501"/>
      <c r="BPA529" s="501"/>
      <c r="BPB529" s="501"/>
      <c r="BPC529" s="501"/>
      <c r="BPD529" s="501"/>
      <c r="BPE529" s="501"/>
      <c r="BPF529" s="501"/>
      <c r="BPG529" s="501"/>
      <c r="BPH529" s="501"/>
      <c r="BPI529" s="501"/>
      <c r="BPJ529" s="501"/>
      <c r="BPK529" s="501"/>
      <c r="BPL529" s="501"/>
      <c r="BPM529" s="501"/>
      <c r="BPN529" s="501"/>
      <c r="BPO529" s="501"/>
      <c r="BPP529" s="501"/>
      <c r="BPQ529" s="501"/>
      <c r="BPR529" s="501"/>
      <c r="BPS529" s="501"/>
      <c r="BPT529" s="501"/>
      <c r="BPU529" s="501"/>
      <c r="BPV529" s="501"/>
      <c r="BPW529" s="501"/>
      <c r="BPX529" s="501"/>
      <c r="BPY529" s="501"/>
      <c r="BPZ529" s="501"/>
      <c r="BQA529" s="501"/>
      <c r="BQB529" s="501"/>
      <c r="BQC529" s="501"/>
      <c r="BQD529" s="501"/>
      <c r="BQE529" s="501"/>
      <c r="BQF529" s="501"/>
      <c r="BQG529" s="501"/>
      <c r="BQH529" s="501"/>
      <c r="BQI529" s="501"/>
      <c r="BQJ529" s="501"/>
      <c r="BQK529" s="501"/>
      <c r="BQL529" s="501"/>
      <c r="BQM529" s="501"/>
      <c r="BQN529" s="501"/>
      <c r="BQO529" s="501"/>
      <c r="BQP529" s="501"/>
      <c r="BQQ529" s="501"/>
      <c r="BQR529" s="501"/>
      <c r="BQS529" s="501"/>
      <c r="BQT529" s="501"/>
      <c r="BQU529" s="501"/>
      <c r="BQV529" s="501"/>
      <c r="BQW529" s="501"/>
      <c r="BQX529" s="501"/>
      <c r="BQY529" s="501"/>
      <c r="BQZ529" s="501"/>
      <c r="BRA529" s="501"/>
      <c r="BRB529" s="501"/>
      <c r="BRC529" s="501"/>
      <c r="BRD529" s="501"/>
      <c r="BRE529" s="501"/>
      <c r="BRF529" s="501"/>
      <c r="BRG529" s="501"/>
      <c r="BRH529" s="501"/>
      <c r="BRI529" s="501"/>
      <c r="BRJ529" s="501"/>
      <c r="BRK529" s="501"/>
      <c r="BRL529" s="501"/>
      <c r="BRM529" s="501"/>
      <c r="BRN529" s="501"/>
      <c r="BRO529" s="501"/>
      <c r="BRP529" s="501"/>
      <c r="BRQ529" s="501"/>
      <c r="BRR529" s="501"/>
      <c r="BRS529" s="501"/>
      <c r="BRT529" s="501"/>
      <c r="BRU529" s="501"/>
      <c r="BRV529" s="501"/>
      <c r="BRW529" s="501"/>
      <c r="BRX529" s="501"/>
      <c r="BRY529" s="501"/>
      <c r="BRZ529" s="501"/>
      <c r="BSA529" s="501"/>
      <c r="BSB529" s="501"/>
      <c r="BSC529" s="501"/>
      <c r="BSD529" s="501"/>
      <c r="BSE529" s="501"/>
      <c r="BSF529" s="501"/>
      <c r="BSG529" s="501"/>
      <c r="BSH529" s="501"/>
      <c r="BSI529" s="501"/>
      <c r="BSJ529" s="501"/>
      <c r="BSK529" s="501"/>
      <c r="BSL529" s="501"/>
      <c r="BSM529" s="501"/>
      <c r="BSN529" s="501"/>
      <c r="BSO529" s="501"/>
      <c r="BSP529" s="501"/>
      <c r="BSQ529" s="501"/>
      <c r="BSR529" s="501"/>
      <c r="BSS529" s="501"/>
      <c r="BST529" s="501"/>
      <c r="BSU529" s="501"/>
      <c r="BSV529" s="501"/>
      <c r="BSW529" s="501"/>
      <c r="BSX529" s="501"/>
      <c r="BSY529" s="501"/>
      <c r="BSZ529" s="501"/>
      <c r="BTA529" s="501"/>
      <c r="BTB529" s="501"/>
      <c r="BTC529" s="501"/>
      <c r="BTD529" s="501"/>
      <c r="BTE529" s="501"/>
      <c r="BTF529" s="501"/>
      <c r="BTG529" s="501"/>
      <c r="BTH529" s="501"/>
      <c r="BTI529" s="501"/>
      <c r="BTJ529" s="501"/>
      <c r="BTK529" s="501"/>
      <c r="BTL529" s="501"/>
      <c r="BTM529" s="501"/>
      <c r="BTN529" s="501"/>
      <c r="BTO529" s="501"/>
      <c r="BTP529" s="501"/>
      <c r="BTQ529" s="501"/>
      <c r="BTR529" s="501"/>
      <c r="BTS529" s="501"/>
      <c r="BTT529" s="501"/>
      <c r="BTU529" s="501"/>
      <c r="BTV529" s="501"/>
      <c r="BTW529" s="501"/>
      <c r="BTX529" s="501"/>
      <c r="BTY529" s="501"/>
      <c r="BTZ529" s="501"/>
      <c r="BUA529" s="501"/>
      <c r="BUB529" s="501"/>
      <c r="BUC529" s="501"/>
      <c r="BUD529" s="501"/>
      <c r="BUE529" s="501"/>
      <c r="BUF529" s="501"/>
      <c r="BUG529" s="501"/>
      <c r="BUH529" s="501"/>
      <c r="BUI529" s="501"/>
      <c r="BUJ529" s="501"/>
      <c r="BUK529" s="501"/>
      <c r="BUL529" s="501"/>
      <c r="BUM529" s="501"/>
      <c r="BUN529" s="501"/>
      <c r="BUO529" s="501"/>
      <c r="BUP529" s="501"/>
      <c r="BUQ529" s="501"/>
      <c r="BUR529" s="501"/>
      <c r="BUS529" s="501"/>
      <c r="BUT529" s="501"/>
      <c r="BUU529" s="501"/>
      <c r="BUV529" s="501"/>
      <c r="BUW529" s="501"/>
      <c r="BUX529" s="501"/>
      <c r="BUY529" s="501"/>
      <c r="BUZ529" s="501"/>
      <c r="BVA529" s="501"/>
      <c r="BVB529" s="501"/>
      <c r="BVC529" s="501"/>
      <c r="BVD529" s="501"/>
      <c r="BVE529" s="501"/>
      <c r="BVF529" s="501"/>
      <c r="BVG529" s="501"/>
      <c r="BVH529" s="501"/>
      <c r="BVI529" s="501"/>
      <c r="BVJ529" s="501"/>
      <c r="BVK529" s="501"/>
      <c r="BVL529" s="501"/>
      <c r="BVM529" s="501"/>
      <c r="BVN529" s="501"/>
      <c r="BVO529" s="501"/>
      <c r="BVP529" s="501"/>
      <c r="BVQ529" s="501"/>
      <c r="BVR529" s="501"/>
      <c r="BVS529" s="501"/>
      <c r="BVT529" s="501"/>
      <c r="BVU529" s="501"/>
      <c r="BVV529" s="501"/>
      <c r="BVW529" s="501"/>
      <c r="BVX529" s="501"/>
      <c r="BVY529" s="501"/>
      <c r="BVZ529" s="501"/>
      <c r="BWA529" s="501"/>
      <c r="BWB529" s="501"/>
      <c r="BWC529" s="501"/>
      <c r="BWD529" s="501"/>
      <c r="BWE529" s="501"/>
      <c r="BWF529" s="501"/>
      <c r="BWG529" s="501"/>
      <c r="BWH529" s="501"/>
      <c r="BWI529" s="501"/>
      <c r="BWJ529" s="501"/>
      <c r="BWK529" s="501"/>
      <c r="BWL529" s="501"/>
      <c r="BWM529" s="501"/>
      <c r="BWN529" s="501"/>
      <c r="BWO529" s="501"/>
      <c r="BWP529" s="501"/>
      <c r="BWQ529" s="501"/>
      <c r="BWR529" s="501"/>
      <c r="BWS529" s="501"/>
      <c r="BWT529" s="501"/>
      <c r="BWU529" s="501"/>
      <c r="BWV529" s="501"/>
      <c r="BWW529" s="501"/>
      <c r="BWX529" s="501"/>
      <c r="BWY529" s="501"/>
      <c r="BWZ529" s="501"/>
      <c r="BXA529" s="501"/>
      <c r="BXB529" s="501"/>
      <c r="BXC529" s="501"/>
      <c r="BXD529" s="501"/>
      <c r="BXE529" s="501"/>
      <c r="BXF529" s="501"/>
      <c r="BXG529" s="501"/>
      <c r="BXH529" s="501"/>
      <c r="BXI529" s="501"/>
      <c r="BXJ529" s="501"/>
      <c r="BXK529" s="501"/>
      <c r="BXL529" s="501"/>
      <c r="BXM529" s="501"/>
      <c r="BXN529" s="501"/>
      <c r="BXO529" s="501"/>
      <c r="BXP529" s="501"/>
      <c r="BXQ529" s="501"/>
      <c r="BXR529" s="501"/>
      <c r="BXS529" s="501"/>
      <c r="BXT529" s="501"/>
      <c r="BXU529" s="501"/>
      <c r="BXV529" s="501"/>
      <c r="BXW529" s="501"/>
      <c r="BXX529" s="501"/>
      <c r="BXY529" s="501"/>
      <c r="BXZ529" s="501"/>
      <c r="BYA529" s="501"/>
      <c r="BYB529" s="501"/>
      <c r="BYC529" s="501"/>
      <c r="BYD529" s="501"/>
      <c r="BYE529" s="501"/>
      <c r="BYF529" s="501"/>
      <c r="BYG529" s="501"/>
      <c r="BYH529" s="501"/>
      <c r="BYI529" s="501"/>
      <c r="BYJ529" s="501"/>
      <c r="BYK529" s="501"/>
      <c r="BYL529" s="501"/>
      <c r="BYM529" s="501"/>
      <c r="BYN529" s="501"/>
      <c r="BYO529" s="501"/>
      <c r="BYP529" s="501"/>
      <c r="BYQ529" s="501"/>
      <c r="BYR529" s="501"/>
      <c r="BYS529" s="501"/>
      <c r="BYT529" s="501"/>
      <c r="BYU529" s="501"/>
      <c r="BYV529" s="501"/>
      <c r="BYW529" s="501"/>
      <c r="BYX529" s="501"/>
      <c r="BYY529" s="501"/>
      <c r="BYZ529" s="501"/>
      <c r="BZA529" s="501"/>
      <c r="BZB529" s="501"/>
      <c r="BZC529" s="501"/>
      <c r="BZD529" s="501"/>
      <c r="BZE529" s="501"/>
      <c r="BZF529" s="501"/>
      <c r="BZG529" s="501"/>
      <c r="BZH529" s="501"/>
      <c r="BZI529" s="501"/>
      <c r="BZJ529" s="501"/>
      <c r="BZK529" s="501"/>
      <c r="BZL529" s="501"/>
      <c r="BZM529" s="501"/>
      <c r="BZN529" s="501"/>
      <c r="BZO529" s="501"/>
      <c r="BZP529" s="501"/>
      <c r="BZQ529" s="501"/>
      <c r="BZR529" s="501"/>
      <c r="BZS529" s="501"/>
      <c r="BZT529" s="501"/>
      <c r="BZU529" s="501"/>
      <c r="BZV529" s="501"/>
      <c r="BZW529" s="501"/>
      <c r="BZX529" s="501"/>
      <c r="BZY529" s="501"/>
      <c r="BZZ529" s="501"/>
      <c r="CAA529" s="501"/>
      <c r="CAB529" s="501"/>
      <c r="CAC529" s="501"/>
      <c r="CAD529" s="501"/>
      <c r="CAE529" s="501"/>
      <c r="CAF529" s="501"/>
      <c r="CAG529" s="501"/>
      <c r="CAH529" s="501"/>
      <c r="CAI529" s="501"/>
      <c r="CAJ529" s="501"/>
      <c r="CAK529" s="501"/>
      <c r="CAL529" s="501"/>
      <c r="CAM529" s="501"/>
      <c r="CAN529" s="501"/>
      <c r="CAO529" s="501"/>
      <c r="CAP529" s="501"/>
      <c r="CAQ529" s="501"/>
      <c r="CAR529" s="501"/>
      <c r="CAS529" s="501"/>
      <c r="CAT529" s="501"/>
      <c r="CAU529" s="501"/>
      <c r="CAV529" s="501"/>
      <c r="CAW529" s="501"/>
      <c r="CAX529" s="501"/>
      <c r="CAY529" s="501"/>
      <c r="CAZ529" s="501"/>
      <c r="CBA529" s="501"/>
      <c r="CBB529" s="501"/>
      <c r="CBC529" s="501"/>
      <c r="CBD529" s="501"/>
      <c r="CBE529" s="501"/>
      <c r="CBF529" s="501"/>
      <c r="CBG529" s="501"/>
      <c r="CBH529" s="501"/>
      <c r="CBI529" s="501"/>
      <c r="CBJ529" s="501"/>
      <c r="CBK529" s="501"/>
      <c r="CBL529" s="501"/>
      <c r="CBM529" s="501"/>
      <c r="CBN529" s="501"/>
      <c r="CBO529" s="501"/>
      <c r="CBP529" s="501"/>
      <c r="CBQ529" s="501"/>
      <c r="CBR529" s="501"/>
      <c r="CBS529" s="501"/>
      <c r="CBT529" s="501"/>
      <c r="CBU529" s="501"/>
      <c r="CBV529" s="501"/>
      <c r="CBW529" s="501"/>
      <c r="CBX529" s="501"/>
      <c r="CBY529" s="501"/>
      <c r="CBZ529" s="501"/>
      <c r="CCA529" s="501"/>
      <c r="CCB529" s="501"/>
      <c r="CCC529" s="501"/>
      <c r="CCD529" s="501"/>
      <c r="CCE529" s="501"/>
      <c r="CCF529" s="501"/>
      <c r="CCG529" s="501"/>
      <c r="CCH529" s="501"/>
      <c r="CCI529" s="501"/>
      <c r="CCJ529" s="501"/>
      <c r="CCK529" s="501"/>
      <c r="CCL529" s="501"/>
      <c r="CCM529" s="501"/>
      <c r="CCN529" s="501"/>
      <c r="CCO529" s="501"/>
      <c r="CCP529" s="501"/>
      <c r="CCQ529" s="501"/>
      <c r="CCR529" s="501"/>
      <c r="CCS529" s="501"/>
      <c r="CCT529" s="501"/>
      <c r="CCU529" s="501"/>
      <c r="CCV529" s="501"/>
      <c r="CCW529" s="501"/>
      <c r="CCX529" s="501"/>
      <c r="CCY529" s="501"/>
      <c r="CCZ529" s="501"/>
      <c r="CDA529" s="501"/>
      <c r="CDB529" s="501"/>
      <c r="CDC529" s="501"/>
      <c r="CDD529" s="501"/>
      <c r="CDE529" s="501"/>
      <c r="CDF529" s="501"/>
      <c r="CDG529" s="501"/>
      <c r="CDH529" s="501"/>
      <c r="CDI529" s="501"/>
      <c r="CDJ529" s="501"/>
      <c r="CDK529" s="501"/>
      <c r="CDL529" s="501"/>
      <c r="CDM529" s="501"/>
      <c r="CDN529" s="501"/>
      <c r="CDO529" s="501"/>
      <c r="CDP529" s="501"/>
      <c r="CDQ529" s="501"/>
      <c r="CDR529" s="501"/>
      <c r="CDS529" s="501"/>
      <c r="CDT529" s="501"/>
      <c r="CDU529" s="501"/>
      <c r="CDV529" s="501"/>
      <c r="CDW529" s="501"/>
      <c r="CDX529" s="501"/>
      <c r="CDY529" s="501"/>
      <c r="CDZ529" s="501"/>
      <c r="CEA529" s="501"/>
      <c r="CEB529" s="501"/>
      <c r="CEC529" s="501"/>
      <c r="CED529" s="501"/>
      <c r="CEE529" s="501"/>
      <c r="CEF529" s="501"/>
      <c r="CEG529" s="501"/>
      <c r="CEH529" s="501"/>
      <c r="CEI529" s="501"/>
      <c r="CEJ529" s="501"/>
      <c r="CEK529" s="501"/>
      <c r="CEL529" s="501"/>
      <c r="CEM529" s="501"/>
      <c r="CEN529" s="501"/>
      <c r="CEO529" s="501"/>
      <c r="CEP529" s="501"/>
      <c r="CEQ529" s="501"/>
      <c r="CER529" s="501"/>
      <c r="CES529" s="501"/>
      <c r="CET529" s="501"/>
      <c r="CEU529" s="501"/>
      <c r="CEV529" s="501"/>
      <c r="CEW529" s="501"/>
      <c r="CEX529" s="501"/>
      <c r="CEY529" s="501"/>
      <c r="CEZ529" s="501"/>
      <c r="CFA529" s="501"/>
      <c r="CFB529" s="501"/>
      <c r="CFC529" s="501"/>
      <c r="CFD529" s="501"/>
      <c r="CFE529" s="501"/>
      <c r="CFF529" s="501"/>
      <c r="CFG529" s="501"/>
      <c r="CFH529" s="501"/>
      <c r="CFI529" s="501"/>
      <c r="CFJ529" s="501"/>
      <c r="CFK529" s="501"/>
      <c r="CFL529" s="501"/>
      <c r="CFM529" s="501"/>
      <c r="CFN529" s="501"/>
      <c r="CFO529" s="501"/>
      <c r="CFP529" s="501"/>
      <c r="CFQ529" s="501"/>
      <c r="CFR529" s="501"/>
      <c r="CFS529" s="501"/>
      <c r="CFT529" s="501"/>
      <c r="CFU529" s="501"/>
      <c r="CFV529" s="501"/>
      <c r="CFW529" s="501"/>
      <c r="CFX529" s="501"/>
      <c r="CFY529" s="501"/>
      <c r="CFZ529" s="501"/>
      <c r="CGA529" s="501"/>
      <c r="CGB529" s="501"/>
      <c r="CGC529" s="501"/>
      <c r="CGD529" s="501"/>
      <c r="CGE529" s="501"/>
      <c r="CGF529" s="501"/>
      <c r="CGG529" s="501"/>
      <c r="CGH529" s="501"/>
      <c r="CGI529" s="501"/>
      <c r="CGJ529" s="501"/>
      <c r="CGK529" s="501"/>
      <c r="CGL529" s="501"/>
      <c r="CGM529" s="501"/>
      <c r="CGN529" s="501"/>
      <c r="CGO529" s="501"/>
      <c r="CGP529" s="501"/>
      <c r="CGQ529" s="501"/>
      <c r="CGR529" s="501"/>
      <c r="CGS529" s="501"/>
      <c r="CGT529" s="501"/>
      <c r="CGU529" s="501"/>
      <c r="CGV529" s="501"/>
      <c r="CGW529" s="501"/>
      <c r="CGX529" s="501"/>
      <c r="CGY529" s="501"/>
      <c r="CGZ529" s="501"/>
      <c r="CHA529" s="501"/>
      <c r="CHB529" s="501"/>
      <c r="CHC529" s="501"/>
      <c r="CHD529" s="501"/>
      <c r="CHE529" s="501"/>
      <c r="CHF529" s="501"/>
      <c r="CHG529" s="501"/>
      <c r="CHH529" s="501"/>
      <c r="CHI529" s="501"/>
      <c r="CHJ529" s="501"/>
      <c r="CHK529" s="501"/>
      <c r="CHL529" s="501"/>
      <c r="CHM529" s="501"/>
      <c r="CHN529" s="501"/>
      <c r="CHO529" s="501"/>
      <c r="CHP529" s="501"/>
      <c r="CHQ529" s="501"/>
      <c r="CHR529" s="501"/>
      <c r="CHS529" s="501"/>
      <c r="CHT529" s="501"/>
      <c r="CHU529" s="501"/>
      <c r="CHV529" s="501"/>
      <c r="CHW529" s="501"/>
      <c r="CHX529" s="501"/>
      <c r="CHY529" s="501"/>
      <c r="CHZ529" s="501"/>
      <c r="CIA529" s="501"/>
      <c r="CIB529" s="501"/>
      <c r="CIC529" s="501"/>
      <c r="CID529" s="501"/>
      <c r="CIE529" s="501"/>
      <c r="CIF529" s="501"/>
      <c r="CIG529" s="501"/>
      <c r="CIH529" s="501"/>
      <c r="CII529" s="501"/>
      <c r="CIJ529" s="501"/>
      <c r="CIK529" s="501"/>
      <c r="CIL529" s="501"/>
      <c r="CIM529" s="501"/>
      <c r="CIN529" s="501"/>
      <c r="CIO529" s="501"/>
      <c r="CIP529" s="501"/>
      <c r="CIQ529" s="501"/>
      <c r="CIR529" s="501"/>
      <c r="CIS529" s="501"/>
      <c r="CIT529" s="501"/>
      <c r="CIU529" s="501"/>
      <c r="CIV529" s="501"/>
      <c r="CIW529" s="501"/>
      <c r="CIX529" s="501"/>
      <c r="CIY529" s="501"/>
      <c r="CIZ529" s="501"/>
      <c r="CJA529" s="501"/>
      <c r="CJB529" s="501"/>
      <c r="CJC529" s="501"/>
      <c r="CJD529" s="501"/>
      <c r="CJE529" s="501"/>
      <c r="CJF529" s="501"/>
      <c r="CJG529" s="501"/>
      <c r="CJH529" s="501"/>
      <c r="CJI529" s="501"/>
      <c r="CJJ529" s="501"/>
      <c r="CJK529" s="501"/>
      <c r="CJL529" s="501"/>
      <c r="CJM529" s="501"/>
      <c r="CJN529" s="501"/>
      <c r="CJO529" s="501"/>
      <c r="CJP529" s="501"/>
      <c r="CJQ529" s="501"/>
      <c r="CJR529" s="501"/>
      <c r="CJS529" s="501"/>
      <c r="CJT529" s="501"/>
      <c r="CJU529" s="501"/>
      <c r="CJV529" s="501"/>
      <c r="CJW529" s="501"/>
      <c r="CJX529" s="501"/>
      <c r="CJY529" s="501"/>
      <c r="CJZ529" s="501"/>
      <c r="CKA529" s="501"/>
      <c r="CKB529" s="501"/>
      <c r="CKC529" s="501"/>
      <c r="CKD529" s="501"/>
      <c r="CKE529" s="501"/>
      <c r="CKF529" s="501"/>
      <c r="CKG529" s="501"/>
      <c r="CKH529" s="501"/>
      <c r="CKI529" s="501"/>
      <c r="CKJ529" s="501"/>
      <c r="CKK529" s="501"/>
      <c r="CKL529" s="501"/>
      <c r="CKM529" s="501"/>
      <c r="CKN529" s="501"/>
      <c r="CKO529" s="501"/>
      <c r="CKP529" s="501"/>
      <c r="CKQ529" s="501"/>
      <c r="CKR529" s="501"/>
      <c r="CKS529" s="501"/>
      <c r="CKT529" s="501"/>
      <c r="CKU529" s="501"/>
      <c r="CKV529" s="501"/>
      <c r="CKW529" s="501"/>
      <c r="CKX529" s="501"/>
      <c r="CKY529" s="501"/>
      <c r="CKZ529" s="501"/>
      <c r="CLA529" s="501"/>
      <c r="CLB529" s="501"/>
      <c r="CLC529" s="501"/>
      <c r="CLD529" s="501"/>
      <c r="CLE529" s="501"/>
      <c r="CLF529" s="501"/>
      <c r="CLG529" s="501"/>
      <c r="CLH529" s="501"/>
      <c r="CLI529" s="501"/>
      <c r="CLJ529" s="501"/>
      <c r="CLK529" s="501"/>
      <c r="CLL529" s="501"/>
      <c r="CLM529" s="501"/>
      <c r="CLN529" s="501"/>
      <c r="CLO529" s="501"/>
      <c r="CLP529" s="501"/>
      <c r="CLQ529" s="501"/>
      <c r="CLR529" s="501"/>
      <c r="CLS529" s="501"/>
      <c r="CLT529" s="501"/>
      <c r="CLU529" s="501"/>
      <c r="CLV529" s="501"/>
      <c r="CLW529" s="501"/>
      <c r="CLX529" s="501"/>
      <c r="CLY529" s="501"/>
      <c r="CLZ529" s="501"/>
      <c r="CMA529" s="501"/>
      <c r="CMB529" s="501"/>
      <c r="CMC529" s="501"/>
      <c r="CMD529" s="501"/>
      <c r="CME529" s="501"/>
      <c r="CMF529" s="501"/>
      <c r="CMG529" s="501"/>
      <c r="CMH529" s="501"/>
      <c r="CMI529" s="501"/>
      <c r="CMJ529" s="501"/>
      <c r="CMK529" s="501"/>
      <c r="CML529" s="501"/>
      <c r="CMM529" s="501"/>
      <c r="CMN529" s="501"/>
      <c r="CMO529" s="501"/>
      <c r="CMP529" s="501"/>
      <c r="CMQ529" s="501"/>
      <c r="CMR529" s="501"/>
      <c r="CMS529" s="501"/>
      <c r="CMT529" s="501"/>
      <c r="CMU529" s="501"/>
      <c r="CMV529" s="501"/>
      <c r="CMW529" s="501"/>
      <c r="CMX529" s="501"/>
      <c r="CMY529" s="501"/>
      <c r="CMZ529" s="501"/>
      <c r="CNA529" s="501"/>
      <c r="CNB529" s="501"/>
      <c r="CNC529" s="501"/>
      <c r="CND529" s="501"/>
      <c r="CNE529" s="501"/>
      <c r="CNF529" s="501"/>
      <c r="CNG529" s="501"/>
      <c r="CNH529" s="501"/>
      <c r="CNI529" s="501"/>
      <c r="CNJ529" s="501"/>
      <c r="CNK529" s="501"/>
      <c r="CNL529" s="501"/>
      <c r="CNM529" s="501"/>
      <c r="CNN529" s="501"/>
      <c r="CNO529" s="501"/>
      <c r="CNP529" s="501"/>
      <c r="CNQ529" s="501"/>
      <c r="CNR529" s="501"/>
      <c r="CNS529" s="501"/>
      <c r="CNT529" s="501"/>
      <c r="CNU529" s="501"/>
      <c r="CNV529" s="501"/>
      <c r="CNW529" s="501"/>
      <c r="CNX529" s="501"/>
      <c r="CNY529" s="501"/>
      <c r="CNZ529" s="501"/>
      <c r="COA529" s="501"/>
      <c r="COB529" s="501"/>
      <c r="COC529" s="501"/>
      <c r="COD529" s="501"/>
      <c r="COE529" s="501"/>
      <c r="COF529" s="501"/>
      <c r="COG529" s="501"/>
      <c r="COH529" s="501"/>
      <c r="COI529" s="501"/>
      <c r="COJ529" s="501"/>
      <c r="COK529" s="501"/>
      <c r="COL529" s="501"/>
      <c r="COM529" s="501"/>
      <c r="CON529" s="501"/>
      <c r="COO529" s="501"/>
      <c r="COP529" s="501"/>
      <c r="COQ529" s="501"/>
      <c r="COR529" s="501"/>
      <c r="COS529" s="501"/>
      <c r="COT529" s="501"/>
      <c r="COU529" s="501"/>
      <c r="COV529" s="501"/>
      <c r="COW529" s="501"/>
      <c r="COX529" s="501"/>
      <c r="COY529" s="501"/>
      <c r="COZ529" s="501"/>
      <c r="CPA529" s="501"/>
      <c r="CPB529" s="501"/>
      <c r="CPC529" s="501"/>
      <c r="CPD529" s="501"/>
      <c r="CPE529" s="501"/>
      <c r="CPF529" s="501"/>
      <c r="CPG529" s="501"/>
      <c r="CPH529" s="501"/>
      <c r="CPI529" s="501"/>
      <c r="CPJ529" s="501"/>
      <c r="CPK529" s="501"/>
      <c r="CPL529" s="501"/>
      <c r="CPM529" s="501"/>
      <c r="CPN529" s="501"/>
      <c r="CPO529" s="501"/>
      <c r="CPP529" s="501"/>
      <c r="CPQ529" s="501"/>
      <c r="CPR529" s="501"/>
      <c r="CPS529" s="501"/>
      <c r="CPT529" s="501"/>
      <c r="CPU529" s="501"/>
      <c r="CPV529" s="501"/>
      <c r="CPW529" s="501"/>
      <c r="CPX529" s="501"/>
      <c r="CPY529" s="501"/>
      <c r="CPZ529" s="501"/>
      <c r="CQA529" s="501"/>
      <c r="CQB529" s="501"/>
      <c r="CQC529" s="501"/>
      <c r="CQD529" s="501"/>
      <c r="CQE529" s="501"/>
      <c r="CQF529" s="501"/>
      <c r="CQG529" s="501"/>
      <c r="CQH529" s="501"/>
      <c r="CQI529" s="501"/>
      <c r="CQJ529" s="501"/>
      <c r="CQK529" s="501"/>
      <c r="CQL529" s="501"/>
      <c r="CQM529" s="501"/>
      <c r="CQN529" s="501"/>
      <c r="CQO529" s="501"/>
      <c r="CQP529" s="501"/>
      <c r="CQQ529" s="501"/>
      <c r="CQR529" s="501"/>
      <c r="CQS529" s="501"/>
      <c r="CQT529" s="501"/>
      <c r="CQU529" s="501"/>
      <c r="CQV529" s="501"/>
      <c r="CQW529" s="501"/>
      <c r="CQX529" s="501"/>
      <c r="CQY529" s="501"/>
      <c r="CQZ529" s="501"/>
      <c r="CRA529" s="501"/>
      <c r="CRB529" s="501"/>
      <c r="CRC529" s="501"/>
      <c r="CRD529" s="501"/>
      <c r="CRE529" s="501"/>
      <c r="CRF529" s="501"/>
      <c r="CRG529" s="501"/>
      <c r="CRH529" s="501"/>
      <c r="CRI529" s="501"/>
      <c r="CRJ529" s="501"/>
      <c r="CRK529" s="501"/>
      <c r="CRL529" s="501"/>
      <c r="CRM529" s="501"/>
      <c r="CRN529" s="501"/>
      <c r="CRO529" s="501"/>
      <c r="CRP529" s="501"/>
      <c r="CRQ529" s="501"/>
      <c r="CRR529" s="501"/>
      <c r="CRS529" s="501"/>
      <c r="CRT529" s="501"/>
      <c r="CRU529" s="501"/>
      <c r="CRV529" s="501"/>
      <c r="CRW529" s="501"/>
      <c r="CRX529" s="501"/>
      <c r="CRY529" s="501"/>
      <c r="CRZ529" s="501"/>
      <c r="CSA529" s="501"/>
      <c r="CSB529" s="501"/>
      <c r="CSC529" s="501"/>
      <c r="CSD529" s="501"/>
      <c r="CSE529" s="501"/>
      <c r="CSF529" s="501"/>
      <c r="CSG529" s="501"/>
      <c r="CSH529" s="501"/>
      <c r="CSI529" s="501"/>
      <c r="CSJ529" s="501"/>
      <c r="CSK529" s="501"/>
      <c r="CSL529" s="501"/>
      <c r="CSM529" s="501"/>
      <c r="CSN529" s="501"/>
      <c r="CSO529" s="501"/>
      <c r="CSP529" s="501"/>
      <c r="CSQ529" s="501"/>
      <c r="CSR529" s="501"/>
      <c r="CSS529" s="501"/>
      <c r="CST529" s="501"/>
      <c r="CSU529" s="501"/>
      <c r="CSV529" s="501"/>
      <c r="CSW529" s="501"/>
      <c r="CSX529" s="501"/>
      <c r="CSY529" s="501"/>
      <c r="CSZ529" s="501"/>
      <c r="CTA529" s="501"/>
      <c r="CTB529" s="501"/>
      <c r="CTC529" s="501"/>
      <c r="CTD529" s="501"/>
      <c r="CTE529" s="501"/>
      <c r="CTF529" s="501"/>
      <c r="CTG529" s="501"/>
      <c r="CTH529" s="501"/>
      <c r="CTI529" s="501"/>
      <c r="CTJ529" s="501"/>
      <c r="CTK529" s="501"/>
      <c r="CTL529" s="501"/>
      <c r="CTM529" s="501"/>
      <c r="CTN529" s="501"/>
      <c r="CTO529" s="501"/>
      <c r="CTP529" s="501"/>
      <c r="CTQ529" s="501"/>
      <c r="CTR529" s="501"/>
      <c r="CTS529" s="501"/>
      <c r="CTT529" s="501"/>
      <c r="CTU529" s="501"/>
      <c r="CTV529" s="501"/>
      <c r="CTW529" s="501"/>
      <c r="CTX529" s="501"/>
      <c r="CTY529" s="501"/>
      <c r="CTZ529" s="501"/>
      <c r="CUA529" s="501"/>
      <c r="CUB529" s="501"/>
      <c r="CUC529" s="501"/>
      <c r="CUD529" s="501"/>
      <c r="CUE529" s="501"/>
      <c r="CUF529" s="501"/>
      <c r="CUG529" s="501"/>
      <c r="CUH529" s="501"/>
      <c r="CUI529" s="501"/>
      <c r="CUJ529" s="501"/>
      <c r="CUK529" s="501"/>
      <c r="CUL529" s="501"/>
      <c r="CUM529" s="501"/>
      <c r="CUN529" s="501"/>
      <c r="CUO529" s="501"/>
      <c r="CUP529" s="501"/>
      <c r="CUQ529" s="501"/>
      <c r="CUR529" s="501"/>
      <c r="CUS529" s="501"/>
      <c r="CUT529" s="501"/>
      <c r="CUU529" s="501"/>
      <c r="CUV529" s="501"/>
      <c r="CUW529" s="501"/>
      <c r="CUX529" s="501"/>
      <c r="CUY529" s="501"/>
      <c r="CUZ529" s="501"/>
      <c r="CVA529" s="501"/>
      <c r="CVB529" s="501"/>
      <c r="CVC529" s="501"/>
      <c r="CVD529" s="501"/>
      <c r="CVE529" s="501"/>
      <c r="CVF529" s="501"/>
      <c r="CVG529" s="501"/>
      <c r="CVH529" s="501"/>
      <c r="CVI529" s="501"/>
      <c r="CVJ529" s="501"/>
      <c r="CVK529" s="501"/>
      <c r="CVL529" s="501"/>
      <c r="CVM529" s="501"/>
      <c r="CVN529" s="501"/>
      <c r="CVO529" s="501"/>
      <c r="CVP529" s="501"/>
      <c r="CVQ529" s="501"/>
      <c r="CVR529" s="501"/>
      <c r="CVS529" s="501"/>
      <c r="CVT529" s="501"/>
      <c r="CVU529" s="501"/>
      <c r="CVV529" s="501"/>
      <c r="CVW529" s="501"/>
      <c r="CVX529" s="501"/>
      <c r="CVY529" s="501"/>
      <c r="CVZ529" s="501"/>
      <c r="CWA529" s="501"/>
      <c r="CWB529" s="501"/>
      <c r="CWC529" s="501"/>
      <c r="CWD529" s="501"/>
      <c r="CWE529" s="501"/>
      <c r="CWF529" s="501"/>
      <c r="CWG529" s="501"/>
      <c r="CWH529" s="501"/>
      <c r="CWI529" s="501"/>
      <c r="CWJ529" s="501"/>
      <c r="CWK529" s="501"/>
      <c r="CWL529" s="501"/>
      <c r="CWM529" s="501"/>
      <c r="CWN529" s="501"/>
      <c r="CWO529" s="501"/>
      <c r="CWP529" s="501"/>
      <c r="CWQ529" s="501"/>
      <c r="CWR529" s="501"/>
      <c r="CWS529" s="501"/>
      <c r="CWT529" s="501"/>
      <c r="CWU529" s="501"/>
      <c r="CWV529" s="501"/>
      <c r="CWW529" s="501"/>
      <c r="CWX529" s="501"/>
      <c r="CWY529" s="501"/>
      <c r="CWZ529" s="501"/>
      <c r="CXA529" s="501"/>
      <c r="CXB529" s="501"/>
      <c r="CXC529" s="501"/>
      <c r="CXD529" s="501"/>
      <c r="CXE529" s="501"/>
      <c r="CXF529" s="501"/>
      <c r="CXG529" s="501"/>
      <c r="CXH529" s="501"/>
      <c r="CXI529" s="501"/>
      <c r="CXJ529" s="501"/>
      <c r="CXK529" s="501"/>
      <c r="CXL529" s="501"/>
      <c r="CXM529" s="501"/>
      <c r="CXN529" s="501"/>
      <c r="CXO529" s="501"/>
      <c r="CXP529" s="501"/>
      <c r="CXQ529" s="501"/>
      <c r="CXR529" s="501"/>
      <c r="CXS529" s="501"/>
      <c r="CXT529" s="501"/>
      <c r="CXU529" s="501"/>
      <c r="CXV529" s="501"/>
      <c r="CXW529" s="501"/>
      <c r="CXX529" s="501"/>
      <c r="CXY529" s="501"/>
      <c r="CXZ529" s="501"/>
      <c r="CYA529" s="501"/>
      <c r="CYB529" s="501"/>
      <c r="CYC529" s="501"/>
      <c r="CYD529" s="501"/>
      <c r="CYE529" s="501"/>
      <c r="CYF529" s="501"/>
      <c r="CYG529" s="501"/>
      <c r="CYH529" s="501"/>
      <c r="CYI529" s="501"/>
      <c r="CYJ529" s="501"/>
      <c r="CYK529" s="501"/>
      <c r="CYL529" s="501"/>
      <c r="CYM529" s="501"/>
      <c r="CYN529" s="501"/>
      <c r="CYO529" s="501"/>
      <c r="CYP529" s="501"/>
      <c r="CYQ529" s="501"/>
      <c r="CYR529" s="501"/>
      <c r="CYS529" s="501"/>
      <c r="CYT529" s="501"/>
      <c r="CYU529" s="501"/>
      <c r="CYV529" s="501"/>
      <c r="CYW529" s="501"/>
      <c r="CYX529" s="501"/>
      <c r="CYY529" s="501"/>
      <c r="CYZ529" s="501"/>
      <c r="CZA529" s="501"/>
      <c r="CZB529" s="501"/>
      <c r="CZC529" s="501"/>
      <c r="CZD529" s="501"/>
      <c r="CZE529" s="501"/>
      <c r="CZF529" s="501"/>
      <c r="CZG529" s="501"/>
      <c r="CZH529" s="501"/>
      <c r="CZI529" s="501"/>
      <c r="CZJ529" s="501"/>
      <c r="CZK529" s="501"/>
      <c r="CZL529" s="501"/>
      <c r="CZM529" s="501"/>
      <c r="CZN529" s="501"/>
      <c r="CZO529" s="501"/>
      <c r="CZP529" s="501"/>
      <c r="CZQ529" s="501"/>
      <c r="CZR529" s="501"/>
      <c r="CZS529" s="501"/>
      <c r="CZT529" s="501"/>
      <c r="CZU529" s="501"/>
      <c r="CZV529" s="501"/>
      <c r="CZW529" s="501"/>
      <c r="CZX529" s="501"/>
      <c r="CZY529" s="501"/>
      <c r="CZZ529" s="501"/>
      <c r="DAA529" s="501"/>
      <c r="DAB529" s="501"/>
      <c r="DAC529" s="501"/>
      <c r="DAD529" s="501"/>
      <c r="DAE529" s="501"/>
      <c r="DAF529" s="501"/>
      <c r="DAG529" s="501"/>
      <c r="DAH529" s="501"/>
      <c r="DAI529" s="501"/>
      <c r="DAJ529" s="501"/>
      <c r="DAK529" s="501"/>
      <c r="DAL529" s="501"/>
      <c r="DAM529" s="501"/>
      <c r="DAN529" s="501"/>
      <c r="DAO529" s="501"/>
      <c r="DAP529" s="501"/>
      <c r="DAQ529" s="501"/>
      <c r="DAR529" s="501"/>
      <c r="DAS529" s="501"/>
      <c r="DAT529" s="501"/>
      <c r="DAU529" s="501"/>
      <c r="DAV529" s="501"/>
      <c r="DAW529" s="501"/>
      <c r="DAX529" s="501"/>
      <c r="DAY529" s="501"/>
      <c r="DAZ529" s="501"/>
      <c r="DBA529" s="501"/>
      <c r="DBB529" s="501"/>
      <c r="DBC529" s="501"/>
      <c r="DBD529" s="501"/>
      <c r="DBE529" s="501"/>
      <c r="DBF529" s="501"/>
      <c r="DBG529" s="501"/>
      <c r="DBH529" s="501"/>
      <c r="DBI529" s="501"/>
      <c r="DBJ529" s="501"/>
      <c r="DBK529" s="501"/>
      <c r="DBL529" s="501"/>
      <c r="DBM529" s="501"/>
      <c r="DBN529" s="501"/>
      <c r="DBO529" s="501"/>
      <c r="DBP529" s="501"/>
      <c r="DBQ529" s="501"/>
      <c r="DBR529" s="501"/>
      <c r="DBS529" s="501"/>
      <c r="DBT529" s="501"/>
      <c r="DBU529" s="501"/>
      <c r="DBV529" s="501"/>
      <c r="DBW529" s="501"/>
      <c r="DBX529" s="501"/>
      <c r="DBY529" s="501"/>
      <c r="DBZ529" s="501"/>
      <c r="DCA529" s="501"/>
      <c r="DCB529" s="501"/>
      <c r="DCC529" s="501"/>
      <c r="DCD529" s="501"/>
      <c r="DCE529" s="501"/>
      <c r="DCF529" s="501"/>
      <c r="DCG529" s="501"/>
      <c r="DCH529" s="501"/>
      <c r="DCI529" s="501"/>
      <c r="DCJ529" s="501"/>
      <c r="DCK529" s="501"/>
      <c r="DCL529" s="501"/>
      <c r="DCM529" s="501"/>
      <c r="DCN529" s="501"/>
      <c r="DCO529" s="501"/>
      <c r="DCP529" s="501"/>
      <c r="DCQ529" s="501"/>
      <c r="DCR529" s="501"/>
      <c r="DCS529" s="501"/>
      <c r="DCT529" s="501"/>
      <c r="DCU529" s="501"/>
      <c r="DCV529" s="501"/>
      <c r="DCW529" s="501"/>
      <c r="DCX529" s="501"/>
      <c r="DCY529" s="501"/>
      <c r="DCZ529" s="501"/>
      <c r="DDA529" s="501"/>
      <c r="DDB529" s="501"/>
      <c r="DDC529" s="501"/>
      <c r="DDD529" s="501"/>
      <c r="DDE529" s="501"/>
      <c r="DDF529" s="501"/>
      <c r="DDG529" s="501"/>
      <c r="DDH529" s="501"/>
      <c r="DDI529" s="501"/>
      <c r="DDJ529" s="501"/>
      <c r="DDK529" s="501"/>
      <c r="DDL529" s="501"/>
      <c r="DDM529" s="501"/>
      <c r="DDN529" s="501"/>
      <c r="DDO529" s="501"/>
      <c r="DDP529" s="501"/>
      <c r="DDQ529" s="501"/>
      <c r="DDR529" s="501"/>
      <c r="DDS529" s="501"/>
      <c r="DDT529" s="501"/>
      <c r="DDU529" s="501"/>
      <c r="DDV529" s="501"/>
      <c r="DDW529" s="501"/>
      <c r="DDX529" s="501"/>
      <c r="DDY529" s="501"/>
      <c r="DDZ529" s="501"/>
      <c r="DEA529" s="501"/>
      <c r="DEB529" s="501"/>
      <c r="DEC529" s="501"/>
      <c r="DED529" s="501"/>
      <c r="DEE529" s="501"/>
      <c r="DEF529" s="501"/>
      <c r="DEG529" s="501"/>
      <c r="DEH529" s="501"/>
      <c r="DEI529" s="501"/>
      <c r="DEJ529" s="501"/>
      <c r="DEK529" s="501"/>
      <c r="DEL529" s="501"/>
      <c r="DEM529" s="501"/>
      <c r="DEN529" s="501"/>
      <c r="DEO529" s="501"/>
      <c r="DEP529" s="501"/>
      <c r="DEQ529" s="501"/>
      <c r="DER529" s="501"/>
      <c r="DES529" s="501"/>
      <c r="DET529" s="501"/>
      <c r="DEU529" s="501"/>
      <c r="DEV529" s="501"/>
      <c r="DEW529" s="501"/>
      <c r="DEX529" s="501"/>
      <c r="DEY529" s="501"/>
      <c r="DEZ529" s="501"/>
      <c r="DFA529" s="501"/>
      <c r="DFB529" s="501"/>
      <c r="DFC529" s="501"/>
      <c r="DFD529" s="501"/>
      <c r="DFE529" s="501"/>
      <c r="DFF529" s="501"/>
      <c r="DFG529" s="501"/>
      <c r="DFH529" s="501"/>
      <c r="DFI529" s="501"/>
      <c r="DFJ529" s="501"/>
      <c r="DFK529" s="501"/>
      <c r="DFL529" s="501"/>
      <c r="DFM529" s="501"/>
      <c r="DFN529" s="501"/>
      <c r="DFO529" s="501"/>
      <c r="DFP529" s="501"/>
      <c r="DFQ529" s="501"/>
      <c r="DFR529" s="501"/>
      <c r="DFS529" s="501"/>
      <c r="DFT529" s="501"/>
      <c r="DFU529" s="501"/>
      <c r="DFV529" s="501"/>
      <c r="DFW529" s="501"/>
      <c r="DFX529" s="501"/>
      <c r="DFY529" s="501"/>
      <c r="DFZ529" s="501"/>
      <c r="DGA529" s="501"/>
      <c r="DGB529" s="501"/>
      <c r="DGC529" s="501"/>
      <c r="DGD529" s="501"/>
      <c r="DGE529" s="501"/>
      <c r="DGF529" s="501"/>
      <c r="DGG529" s="501"/>
      <c r="DGH529" s="501"/>
      <c r="DGI529" s="501"/>
      <c r="DGJ529" s="501"/>
      <c r="DGK529" s="501"/>
      <c r="DGL529" s="501"/>
      <c r="DGM529" s="501"/>
      <c r="DGN529" s="501"/>
      <c r="DGO529" s="501"/>
      <c r="DGP529" s="501"/>
      <c r="DGQ529" s="501"/>
      <c r="DGR529" s="501"/>
      <c r="DGS529" s="501"/>
      <c r="DGT529" s="501"/>
      <c r="DGU529" s="501"/>
      <c r="DGV529" s="501"/>
      <c r="DGW529" s="501"/>
      <c r="DGX529" s="501"/>
      <c r="DGY529" s="501"/>
      <c r="DGZ529" s="501"/>
      <c r="DHA529" s="501"/>
      <c r="DHB529" s="501"/>
      <c r="DHC529" s="501"/>
      <c r="DHD529" s="501"/>
      <c r="DHE529" s="501"/>
      <c r="DHF529" s="501"/>
      <c r="DHG529" s="501"/>
      <c r="DHH529" s="501"/>
      <c r="DHI529" s="501"/>
      <c r="DHJ529" s="501"/>
      <c r="DHK529" s="501"/>
      <c r="DHL529" s="501"/>
      <c r="DHM529" s="501"/>
      <c r="DHN529" s="501"/>
      <c r="DHO529" s="501"/>
      <c r="DHP529" s="501"/>
      <c r="DHQ529" s="501"/>
      <c r="DHR529" s="501"/>
      <c r="DHS529" s="501"/>
      <c r="DHT529" s="501"/>
      <c r="DHU529" s="501"/>
      <c r="DHV529" s="501"/>
      <c r="DHW529" s="501"/>
      <c r="DHX529" s="501"/>
      <c r="DHY529" s="501"/>
      <c r="DHZ529" s="501"/>
      <c r="DIA529" s="501"/>
      <c r="DIB529" s="501"/>
      <c r="DIC529" s="501"/>
      <c r="DID529" s="501"/>
      <c r="DIE529" s="501"/>
      <c r="DIF529" s="501"/>
      <c r="DIG529" s="501"/>
      <c r="DIH529" s="501"/>
      <c r="DII529" s="501"/>
      <c r="DIJ529" s="501"/>
      <c r="DIK529" s="501"/>
      <c r="DIL529" s="501"/>
      <c r="DIM529" s="501"/>
      <c r="DIN529" s="501"/>
      <c r="DIO529" s="501"/>
      <c r="DIP529" s="501"/>
      <c r="DIQ529" s="501"/>
      <c r="DIR529" s="501"/>
      <c r="DIS529" s="501"/>
      <c r="DIT529" s="501"/>
      <c r="DIU529" s="501"/>
      <c r="DIV529" s="501"/>
      <c r="DIW529" s="501"/>
      <c r="DIX529" s="501"/>
      <c r="DIY529" s="501"/>
      <c r="DIZ529" s="501"/>
      <c r="DJA529" s="501"/>
      <c r="DJB529" s="501"/>
      <c r="DJC529" s="501"/>
      <c r="DJD529" s="501"/>
      <c r="DJE529" s="501"/>
      <c r="DJF529" s="501"/>
      <c r="DJG529" s="501"/>
      <c r="DJH529" s="501"/>
      <c r="DJI529" s="501"/>
      <c r="DJJ529" s="501"/>
      <c r="DJK529" s="501"/>
      <c r="DJL529" s="501"/>
      <c r="DJM529" s="501"/>
      <c r="DJN529" s="501"/>
      <c r="DJO529" s="501"/>
      <c r="DJP529" s="501"/>
      <c r="DJQ529" s="501"/>
      <c r="DJR529" s="501"/>
      <c r="DJS529" s="501"/>
      <c r="DJT529" s="501"/>
      <c r="DJU529" s="501"/>
      <c r="DJV529" s="501"/>
      <c r="DJW529" s="501"/>
      <c r="DJX529" s="501"/>
      <c r="DJY529" s="501"/>
      <c r="DJZ529" s="501"/>
      <c r="DKA529" s="501"/>
      <c r="DKB529" s="501"/>
      <c r="DKC529" s="501"/>
      <c r="DKD529" s="501"/>
      <c r="DKE529" s="501"/>
      <c r="DKF529" s="501"/>
      <c r="DKG529" s="501"/>
      <c r="DKH529" s="501"/>
      <c r="DKI529" s="501"/>
      <c r="DKJ529" s="501"/>
      <c r="DKK529" s="501"/>
      <c r="DKL529" s="501"/>
      <c r="DKM529" s="501"/>
      <c r="DKN529" s="501"/>
      <c r="DKO529" s="501"/>
      <c r="DKP529" s="501"/>
      <c r="DKQ529" s="501"/>
      <c r="DKR529" s="501"/>
      <c r="DKS529" s="501"/>
      <c r="DKT529" s="501"/>
      <c r="DKU529" s="501"/>
      <c r="DKV529" s="501"/>
      <c r="DKW529" s="501"/>
      <c r="DKX529" s="501"/>
      <c r="DKY529" s="501"/>
      <c r="DKZ529" s="501"/>
      <c r="DLA529" s="501"/>
      <c r="DLB529" s="501"/>
      <c r="DLC529" s="501"/>
      <c r="DLD529" s="501"/>
      <c r="DLE529" s="501"/>
      <c r="DLF529" s="501"/>
      <c r="DLG529" s="501"/>
      <c r="DLH529" s="501"/>
      <c r="DLI529" s="501"/>
      <c r="DLJ529" s="501"/>
      <c r="DLK529" s="501"/>
      <c r="DLL529" s="501"/>
      <c r="DLM529" s="501"/>
      <c r="DLN529" s="501"/>
      <c r="DLO529" s="501"/>
      <c r="DLP529" s="501"/>
      <c r="DLQ529" s="501"/>
      <c r="DLR529" s="501"/>
      <c r="DLS529" s="501"/>
      <c r="DLT529" s="501"/>
      <c r="DLU529" s="501"/>
      <c r="DLV529" s="501"/>
      <c r="DLW529" s="501"/>
      <c r="DLX529" s="501"/>
      <c r="DLY529" s="501"/>
      <c r="DLZ529" s="501"/>
      <c r="DMA529" s="501"/>
      <c r="DMB529" s="501"/>
      <c r="DMC529" s="501"/>
      <c r="DMD529" s="501"/>
      <c r="DME529" s="501"/>
      <c r="DMF529" s="501"/>
      <c r="DMG529" s="501"/>
      <c r="DMH529" s="501"/>
      <c r="DMI529" s="501"/>
      <c r="DMJ529" s="501"/>
      <c r="DMK529" s="501"/>
      <c r="DML529" s="501"/>
      <c r="DMM529" s="501"/>
      <c r="DMN529" s="501"/>
      <c r="DMO529" s="501"/>
      <c r="DMP529" s="501"/>
      <c r="DMQ529" s="501"/>
      <c r="DMR529" s="501"/>
      <c r="DMS529" s="501"/>
      <c r="DMT529" s="501"/>
      <c r="DMU529" s="501"/>
      <c r="DMV529" s="501"/>
      <c r="DMW529" s="501"/>
      <c r="DMX529" s="501"/>
      <c r="DMY529" s="501"/>
      <c r="DMZ529" s="501"/>
      <c r="DNA529" s="501"/>
      <c r="DNB529" s="501"/>
      <c r="DNC529" s="501"/>
      <c r="DND529" s="501"/>
      <c r="DNE529" s="501"/>
      <c r="DNF529" s="501"/>
      <c r="DNG529" s="501"/>
      <c r="DNH529" s="501"/>
      <c r="DNI529" s="501"/>
      <c r="DNJ529" s="501"/>
      <c r="DNK529" s="501"/>
      <c r="DNL529" s="501"/>
      <c r="DNM529" s="501"/>
      <c r="DNN529" s="501"/>
      <c r="DNO529" s="501"/>
      <c r="DNP529" s="501"/>
      <c r="DNQ529" s="501"/>
      <c r="DNR529" s="501"/>
      <c r="DNS529" s="501"/>
      <c r="DNT529" s="501"/>
      <c r="DNU529" s="501"/>
      <c r="DNV529" s="501"/>
      <c r="DNW529" s="501"/>
      <c r="DNX529" s="501"/>
      <c r="DNY529" s="501"/>
      <c r="DNZ529" s="501"/>
      <c r="DOA529" s="501"/>
      <c r="DOB529" s="501"/>
      <c r="DOC529" s="501"/>
      <c r="DOD529" s="501"/>
      <c r="DOE529" s="501"/>
      <c r="DOF529" s="501"/>
      <c r="DOG529" s="501"/>
      <c r="DOH529" s="501"/>
      <c r="DOI529" s="501"/>
      <c r="DOJ529" s="501"/>
      <c r="DOK529" s="501"/>
      <c r="DOL529" s="501"/>
      <c r="DOM529" s="501"/>
      <c r="DON529" s="501"/>
      <c r="DOO529" s="501"/>
      <c r="DOP529" s="501"/>
      <c r="DOQ529" s="501"/>
      <c r="DOR529" s="501"/>
      <c r="DOS529" s="501"/>
      <c r="DOT529" s="501"/>
      <c r="DOU529" s="501"/>
      <c r="DOV529" s="501"/>
      <c r="DOW529" s="501"/>
      <c r="DOX529" s="501"/>
      <c r="DOY529" s="501"/>
      <c r="DOZ529" s="501"/>
      <c r="DPA529" s="501"/>
      <c r="DPB529" s="501"/>
      <c r="DPC529" s="501"/>
      <c r="DPD529" s="501"/>
      <c r="DPE529" s="501"/>
      <c r="DPF529" s="501"/>
      <c r="DPG529" s="501"/>
      <c r="DPH529" s="501"/>
      <c r="DPI529" s="501"/>
      <c r="DPJ529" s="501"/>
      <c r="DPK529" s="501"/>
      <c r="DPL529" s="501"/>
      <c r="DPM529" s="501"/>
      <c r="DPN529" s="501"/>
      <c r="DPO529" s="501"/>
      <c r="DPP529" s="501"/>
      <c r="DPQ529" s="501"/>
      <c r="DPR529" s="501"/>
      <c r="DPS529" s="501"/>
      <c r="DPT529" s="501"/>
      <c r="DPU529" s="501"/>
      <c r="DPV529" s="501"/>
      <c r="DPW529" s="501"/>
      <c r="DPX529" s="501"/>
      <c r="DPY529" s="501"/>
      <c r="DPZ529" s="501"/>
      <c r="DQA529" s="501"/>
      <c r="DQB529" s="501"/>
      <c r="DQC529" s="501"/>
      <c r="DQD529" s="501"/>
      <c r="DQE529" s="501"/>
      <c r="DQF529" s="501"/>
      <c r="DQG529" s="501"/>
      <c r="DQH529" s="501"/>
      <c r="DQI529" s="501"/>
      <c r="DQJ529" s="501"/>
      <c r="DQK529" s="501"/>
      <c r="DQL529" s="501"/>
      <c r="DQM529" s="501"/>
      <c r="DQN529" s="501"/>
      <c r="DQO529" s="501"/>
      <c r="DQP529" s="501"/>
      <c r="DQQ529" s="501"/>
      <c r="DQR529" s="501"/>
      <c r="DQS529" s="501"/>
      <c r="DQT529" s="501"/>
      <c r="DQU529" s="501"/>
      <c r="DQV529" s="501"/>
      <c r="DQW529" s="501"/>
      <c r="DQX529" s="501"/>
      <c r="DQY529" s="501"/>
      <c r="DQZ529" s="501"/>
      <c r="DRA529" s="501"/>
      <c r="DRB529" s="501"/>
      <c r="DRC529" s="501"/>
      <c r="DRD529" s="501"/>
      <c r="DRE529" s="501"/>
      <c r="DRF529" s="501"/>
      <c r="DRG529" s="501"/>
      <c r="DRH529" s="501"/>
      <c r="DRI529" s="501"/>
      <c r="DRJ529" s="501"/>
      <c r="DRK529" s="501"/>
      <c r="DRL529" s="501"/>
      <c r="DRM529" s="501"/>
      <c r="DRN529" s="501"/>
      <c r="DRO529" s="501"/>
      <c r="DRP529" s="501"/>
      <c r="DRQ529" s="501"/>
      <c r="DRR529" s="501"/>
      <c r="DRS529" s="501"/>
      <c r="DRT529" s="501"/>
      <c r="DRU529" s="501"/>
      <c r="DRV529" s="501"/>
      <c r="DRW529" s="501"/>
      <c r="DRX529" s="501"/>
      <c r="DRY529" s="501"/>
      <c r="DRZ529" s="501"/>
      <c r="DSA529" s="501"/>
      <c r="DSB529" s="501"/>
      <c r="DSC529" s="501"/>
      <c r="DSD529" s="501"/>
      <c r="DSE529" s="501"/>
      <c r="DSF529" s="501"/>
      <c r="DSG529" s="501"/>
      <c r="DSH529" s="501"/>
      <c r="DSI529" s="501"/>
      <c r="DSJ529" s="501"/>
      <c r="DSK529" s="501"/>
      <c r="DSL529" s="501"/>
      <c r="DSM529" s="501"/>
      <c r="DSN529" s="501"/>
      <c r="DSO529" s="501"/>
      <c r="DSP529" s="501"/>
      <c r="DSQ529" s="501"/>
      <c r="DSR529" s="501"/>
      <c r="DSS529" s="501"/>
      <c r="DST529" s="501"/>
      <c r="DSU529" s="501"/>
      <c r="DSV529" s="501"/>
      <c r="DSW529" s="501"/>
      <c r="DSX529" s="501"/>
      <c r="DSY529" s="501"/>
      <c r="DSZ529" s="501"/>
      <c r="DTA529" s="501"/>
      <c r="DTB529" s="501"/>
      <c r="DTC529" s="501"/>
      <c r="DTD529" s="501"/>
      <c r="DTE529" s="501"/>
      <c r="DTF529" s="501"/>
      <c r="DTG529" s="501"/>
      <c r="DTH529" s="501"/>
      <c r="DTI529" s="501"/>
      <c r="DTJ529" s="501"/>
      <c r="DTK529" s="501"/>
      <c r="DTL529" s="501"/>
      <c r="DTM529" s="501"/>
      <c r="DTN529" s="501"/>
      <c r="DTO529" s="501"/>
      <c r="DTP529" s="501"/>
      <c r="DTQ529" s="501"/>
      <c r="DTR529" s="501"/>
      <c r="DTS529" s="501"/>
      <c r="DTT529" s="501"/>
      <c r="DTU529" s="501"/>
      <c r="DTV529" s="501"/>
      <c r="DTW529" s="501"/>
      <c r="DTX529" s="501"/>
      <c r="DTY529" s="501"/>
      <c r="DTZ529" s="501"/>
      <c r="DUA529" s="501"/>
      <c r="DUB529" s="501"/>
      <c r="DUC529" s="501"/>
      <c r="DUD529" s="501"/>
      <c r="DUE529" s="501"/>
      <c r="DUF529" s="501"/>
      <c r="DUG529" s="501"/>
      <c r="DUH529" s="501"/>
      <c r="DUI529" s="501"/>
      <c r="DUJ529" s="501"/>
      <c r="DUK529" s="501"/>
      <c r="DUL529" s="501"/>
      <c r="DUM529" s="501"/>
      <c r="DUN529" s="501"/>
      <c r="DUO529" s="501"/>
      <c r="DUP529" s="501"/>
      <c r="DUQ529" s="501"/>
      <c r="DUR529" s="501"/>
      <c r="DUS529" s="501"/>
      <c r="DUT529" s="501"/>
      <c r="DUU529" s="501"/>
      <c r="DUV529" s="501"/>
      <c r="DUW529" s="501"/>
      <c r="DUX529" s="501"/>
      <c r="DUY529" s="501"/>
      <c r="DUZ529" s="501"/>
      <c r="DVA529" s="501"/>
      <c r="DVB529" s="501"/>
      <c r="DVC529" s="501"/>
      <c r="DVD529" s="501"/>
      <c r="DVE529" s="501"/>
      <c r="DVF529" s="501"/>
      <c r="DVG529" s="501"/>
      <c r="DVH529" s="501"/>
      <c r="DVI529" s="501"/>
      <c r="DVJ529" s="501"/>
      <c r="DVK529" s="501"/>
      <c r="DVL529" s="501"/>
      <c r="DVM529" s="501"/>
      <c r="DVN529" s="501"/>
      <c r="DVO529" s="501"/>
      <c r="DVP529" s="501"/>
      <c r="DVQ529" s="501"/>
      <c r="DVR529" s="501"/>
      <c r="DVS529" s="501"/>
      <c r="DVT529" s="501"/>
      <c r="DVU529" s="501"/>
      <c r="DVV529" s="501"/>
      <c r="DVW529" s="501"/>
      <c r="DVX529" s="501"/>
      <c r="DVY529" s="501"/>
      <c r="DVZ529" s="501"/>
      <c r="DWA529" s="501"/>
      <c r="DWB529" s="501"/>
      <c r="DWC529" s="501"/>
      <c r="DWD529" s="501"/>
      <c r="DWE529" s="501"/>
      <c r="DWF529" s="501"/>
      <c r="DWG529" s="501"/>
      <c r="DWH529" s="501"/>
      <c r="DWI529" s="501"/>
      <c r="DWJ529" s="501"/>
      <c r="DWK529" s="501"/>
      <c r="DWL529" s="501"/>
      <c r="DWM529" s="501"/>
      <c r="DWN529" s="501"/>
      <c r="DWO529" s="501"/>
      <c r="DWP529" s="501"/>
      <c r="DWQ529" s="501"/>
      <c r="DWR529" s="501"/>
      <c r="DWS529" s="501"/>
      <c r="DWT529" s="501"/>
      <c r="DWU529" s="501"/>
      <c r="DWV529" s="501"/>
      <c r="DWW529" s="501"/>
      <c r="DWX529" s="501"/>
      <c r="DWY529" s="501"/>
      <c r="DWZ529" s="501"/>
      <c r="DXA529" s="501"/>
      <c r="DXB529" s="501"/>
      <c r="DXC529" s="501"/>
      <c r="DXD529" s="501"/>
      <c r="DXE529" s="501"/>
      <c r="DXF529" s="501"/>
      <c r="DXG529" s="501"/>
      <c r="DXH529" s="501"/>
      <c r="DXI529" s="501"/>
      <c r="DXJ529" s="501"/>
      <c r="DXK529" s="501"/>
      <c r="DXL529" s="501"/>
      <c r="DXM529" s="501"/>
      <c r="DXN529" s="501"/>
      <c r="DXO529" s="501"/>
      <c r="DXP529" s="501"/>
      <c r="DXQ529" s="501"/>
      <c r="DXR529" s="501"/>
      <c r="DXS529" s="501"/>
      <c r="DXT529" s="501"/>
      <c r="DXU529" s="501"/>
      <c r="DXV529" s="501"/>
      <c r="DXW529" s="501"/>
      <c r="DXX529" s="501"/>
      <c r="DXY529" s="501"/>
      <c r="DXZ529" s="501"/>
      <c r="DYA529" s="501"/>
      <c r="DYB529" s="501"/>
      <c r="DYC529" s="501"/>
      <c r="DYD529" s="501"/>
      <c r="DYE529" s="501"/>
      <c r="DYF529" s="501"/>
      <c r="DYG529" s="501"/>
      <c r="DYH529" s="501"/>
      <c r="DYI529" s="501"/>
      <c r="DYJ529" s="501"/>
      <c r="DYK529" s="501"/>
      <c r="DYL529" s="501"/>
      <c r="DYM529" s="501"/>
      <c r="DYN529" s="501"/>
      <c r="DYO529" s="501"/>
      <c r="DYP529" s="501"/>
      <c r="DYQ529" s="501"/>
      <c r="DYR529" s="501"/>
      <c r="DYS529" s="501"/>
      <c r="DYT529" s="501"/>
      <c r="DYU529" s="501"/>
      <c r="DYV529" s="501"/>
      <c r="DYW529" s="501"/>
      <c r="DYX529" s="501"/>
      <c r="DYY529" s="501"/>
      <c r="DYZ529" s="501"/>
      <c r="DZA529" s="501"/>
      <c r="DZB529" s="501"/>
      <c r="DZC529" s="501"/>
      <c r="DZD529" s="501"/>
      <c r="DZE529" s="501"/>
      <c r="DZF529" s="501"/>
      <c r="DZG529" s="501"/>
      <c r="DZH529" s="501"/>
      <c r="DZI529" s="501"/>
      <c r="DZJ529" s="501"/>
      <c r="DZK529" s="501"/>
      <c r="DZL529" s="501"/>
      <c r="DZM529" s="501"/>
      <c r="DZN529" s="501"/>
      <c r="DZO529" s="501"/>
      <c r="DZP529" s="501"/>
      <c r="DZQ529" s="501"/>
      <c r="DZR529" s="501"/>
      <c r="DZS529" s="501"/>
      <c r="DZT529" s="501"/>
      <c r="DZU529" s="501"/>
      <c r="DZV529" s="501"/>
      <c r="DZW529" s="501"/>
      <c r="DZX529" s="501"/>
      <c r="DZY529" s="501"/>
      <c r="DZZ529" s="501"/>
      <c r="EAA529" s="501"/>
      <c r="EAB529" s="501"/>
      <c r="EAC529" s="501"/>
      <c r="EAD529" s="501"/>
      <c r="EAE529" s="501"/>
      <c r="EAF529" s="501"/>
      <c r="EAG529" s="501"/>
      <c r="EAH529" s="501"/>
      <c r="EAI529" s="501"/>
      <c r="EAJ529" s="501"/>
      <c r="EAK529" s="501"/>
      <c r="EAL529" s="501"/>
      <c r="EAM529" s="501"/>
      <c r="EAN529" s="501"/>
      <c r="EAO529" s="501"/>
      <c r="EAP529" s="501"/>
      <c r="EAQ529" s="501"/>
      <c r="EAR529" s="501"/>
      <c r="EAS529" s="501"/>
      <c r="EAT529" s="501"/>
      <c r="EAU529" s="501"/>
      <c r="EAV529" s="501"/>
      <c r="EAW529" s="501"/>
      <c r="EAX529" s="501"/>
      <c r="EAY529" s="501"/>
      <c r="EAZ529" s="501"/>
      <c r="EBA529" s="501"/>
      <c r="EBB529" s="501"/>
      <c r="EBC529" s="501"/>
      <c r="EBD529" s="501"/>
      <c r="EBE529" s="501"/>
      <c r="EBF529" s="501"/>
      <c r="EBG529" s="501"/>
      <c r="EBH529" s="501"/>
      <c r="EBI529" s="501"/>
      <c r="EBJ529" s="501"/>
      <c r="EBK529" s="501"/>
      <c r="EBL529" s="501"/>
      <c r="EBM529" s="501"/>
      <c r="EBN529" s="501"/>
      <c r="EBO529" s="501"/>
      <c r="EBP529" s="501"/>
      <c r="EBQ529" s="501"/>
      <c r="EBR529" s="501"/>
      <c r="EBS529" s="501"/>
      <c r="EBT529" s="501"/>
      <c r="EBU529" s="501"/>
      <c r="EBV529" s="501"/>
      <c r="EBW529" s="501"/>
      <c r="EBX529" s="501"/>
      <c r="EBY529" s="501"/>
      <c r="EBZ529" s="501"/>
      <c r="ECA529" s="501"/>
      <c r="ECB529" s="501"/>
      <c r="ECC529" s="501"/>
      <c r="ECD529" s="501"/>
      <c r="ECE529" s="501"/>
      <c r="ECF529" s="501"/>
      <c r="ECG529" s="501"/>
      <c r="ECH529" s="501"/>
      <c r="ECI529" s="501"/>
      <c r="ECJ529" s="501"/>
      <c r="ECK529" s="501"/>
      <c r="ECL529" s="501"/>
      <c r="ECM529" s="501"/>
      <c r="ECN529" s="501"/>
      <c r="ECO529" s="501"/>
      <c r="ECP529" s="501"/>
      <c r="ECQ529" s="501"/>
      <c r="ECR529" s="501"/>
      <c r="ECS529" s="501"/>
      <c r="ECT529" s="501"/>
      <c r="ECU529" s="501"/>
      <c r="ECV529" s="501"/>
      <c r="ECW529" s="501"/>
      <c r="ECX529" s="501"/>
      <c r="ECY529" s="501"/>
      <c r="ECZ529" s="501"/>
      <c r="EDA529" s="501"/>
      <c r="EDB529" s="501"/>
      <c r="EDC529" s="501"/>
      <c r="EDD529" s="501"/>
      <c r="EDE529" s="501"/>
      <c r="EDF529" s="501"/>
      <c r="EDG529" s="501"/>
      <c r="EDH529" s="501"/>
      <c r="EDI529" s="501"/>
      <c r="EDJ529" s="501"/>
      <c r="EDK529" s="501"/>
      <c r="EDL529" s="501"/>
      <c r="EDM529" s="501"/>
      <c r="EDN529" s="501"/>
      <c r="EDO529" s="501"/>
      <c r="EDP529" s="501"/>
      <c r="EDQ529" s="501"/>
      <c r="EDR529" s="501"/>
      <c r="EDS529" s="501"/>
      <c r="EDT529" s="501"/>
      <c r="EDU529" s="501"/>
      <c r="EDV529" s="501"/>
      <c r="EDW529" s="501"/>
      <c r="EDX529" s="501"/>
      <c r="EDY529" s="501"/>
      <c r="EDZ529" s="501"/>
      <c r="EEA529" s="501"/>
      <c r="EEB529" s="501"/>
      <c r="EEC529" s="501"/>
      <c r="EED529" s="501"/>
      <c r="EEE529" s="501"/>
      <c r="EEF529" s="501"/>
      <c r="EEG529" s="501"/>
      <c r="EEH529" s="501"/>
      <c r="EEI529" s="501"/>
      <c r="EEJ529" s="501"/>
      <c r="EEK529" s="501"/>
      <c r="EEL529" s="501"/>
      <c r="EEM529" s="501"/>
      <c r="EEN529" s="501"/>
      <c r="EEO529" s="501"/>
      <c r="EEP529" s="501"/>
      <c r="EEQ529" s="501"/>
      <c r="EER529" s="501"/>
      <c r="EES529" s="501"/>
      <c r="EET529" s="501"/>
      <c r="EEU529" s="501"/>
      <c r="EEV529" s="501"/>
      <c r="EEW529" s="501"/>
      <c r="EEX529" s="501"/>
      <c r="EEY529" s="501"/>
      <c r="EEZ529" s="501"/>
      <c r="EFA529" s="501"/>
      <c r="EFB529" s="501"/>
      <c r="EFC529" s="501"/>
      <c r="EFD529" s="501"/>
      <c r="EFE529" s="501"/>
      <c r="EFF529" s="501"/>
      <c r="EFG529" s="501"/>
      <c r="EFH529" s="501"/>
      <c r="EFI529" s="501"/>
      <c r="EFJ529" s="501"/>
      <c r="EFK529" s="501"/>
      <c r="EFL529" s="501"/>
      <c r="EFM529" s="501"/>
      <c r="EFN529" s="501"/>
      <c r="EFO529" s="501"/>
      <c r="EFP529" s="501"/>
      <c r="EFQ529" s="501"/>
      <c r="EFR529" s="501"/>
      <c r="EFS529" s="501"/>
      <c r="EFT529" s="501"/>
      <c r="EFU529" s="501"/>
      <c r="EFV529" s="501"/>
      <c r="EFW529" s="501"/>
      <c r="EFX529" s="501"/>
      <c r="EFY529" s="501"/>
      <c r="EFZ529" s="501"/>
      <c r="EGA529" s="501"/>
      <c r="EGB529" s="501"/>
      <c r="EGC529" s="501"/>
      <c r="EGD529" s="501"/>
      <c r="EGE529" s="501"/>
      <c r="EGF529" s="501"/>
      <c r="EGG529" s="501"/>
      <c r="EGH529" s="501"/>
      <c r="EGI529" s="501"/>
      <c r="EGJ529" s="501"/>
      <c r="EGK529" s="501"/>
      <c r="EGL529" s="501"/>
      <c r="EGM529" s="501"/>
      <c r="EGN529" s="501"/>
      <c r="EGO529" s="501"/>
      <c r="EGP529" s="501"/>
      <c r="EGQ529" s="501"/>
      <c r="EGR529" s="501"/>
      <c r="EGS529" s="501"/>
      <c r="EGT529" s="501"/>
      <c r="EGU529" s="501"/>
      <c r="EGV529" s="501"/>
      <c r="EGW529" s="501"/>
      <c r="EGX529" s="501"/>
      <c r="EGY529" s="501"/>
      <c r="EGZ529" s="501"/>
      <c r="EHA529" s="501"/>
      <c r="EHB529" s="501"/>
      <c r="EHC529" s="501"/>
      <c r="EHD529" s="501"/>
      <c r="EHE529" s="501"/>
      <c r="EHF529" s="501"/>
      <c r="EHG529" s="501"/>
      <c r="EHH529" s="501"/>
      <c r="EHI529" s="501"/>
      <c r="EHJ529" s="501"/>
      <c r="EHK529" s="501"/>
      <c r="EHL529" s="501"/>
      <c r="EHM529" s="501"/>
      <c r="EHN529" s="501"/>
      <c r="EHO529" s="501"/>
      <c r="EHP529" s="501"/>
      <c r="EHQ529" s="501"/>
      <c r="EHR529" s="501"/>
      <c r="EHS529" s="501"/>
      <c r="EHT529" s="501"/>
      <c r="EHU529" s="501"/>
      <c r="EHV529" s="501"/>
      <c r="EHW529" s="501"/>
      <c r="EHX529" s="501"/>
      <c r="EHY529" s="501"/>
      <c r="EHZ529" s="501"/>
      <c r="EIA529" s="501"/>
      <c r="EIB529" s="501"/>
      <c r="EIC529" s="501"/>
      <c r="EID529" s="501"/>
      <c r="EIE529" s="501"/>
      <c r="EIF529" s="501"/>
      <c r="EIG529" s="501"/>
      <c r="EIH529" s="501"/>
      <c r="EII529" s="501"/>
      <c r="EIJ529" s="501"/>
      <c r="EIK529" s="501"/>
      <c r="EIL529" s="501"/>
      <c r="EIM529" s="501"/>
      <c r="EIN529" s="501"/>
      <c r="EIO529" s="501"/>
      <c r="EIP529" s="501"/>
      <c r="EIQ529" s="501"/>
      <c r="EIR529" s="501"/>
      <c r="EIS529" s="501"/>
      <c r="EIT529" s="501"/>
      <c r="EIU529" s="501"/>
      <c r="EIV529" s="501"/>
      <c r="EIW529" s="501"/>
      <c r="EIX529" s="501"/>
      <c r="EIY529" s="501"/>
      <c r="EIZ529" s="501"/>
      <c r="EJA529" s="501"/>
      <c r="EJB529" s="501"/>
      <c r="EJC529" s="501"/>
      <c r="EJD529" s="501"/>
      <c r="EJE529" s="501"/>
      <c r="EJF529" s="501"/>
      <c r="EJG529" s="501"/>
      <c r="EJH529" s="501"/>
      <c r="EJI529" s="501"/>
      <c r="EJJ529" s="501"/>
      <c r="EJK529" s="501"/>
      <c r="EJL529" s="501"/>
      <c r="EJM529" s="501"/>
      <c r="EJN529" s="501"/>
      <c r="EJO529" s="501"/>
      <c r="EJP529" s="501"/>
      <c r="EJQ529" s="501"/>
      <c r="EJR529" s="501"/>
      <c r="EJS529" s="501"/>
      <c r="EJT529" s="501"/>
      <c r="EJU529" s="501"/>
      <c r="EJV529" s="501"/>
      <c r="EJW529" s="501"/>
      <c r="EJX529" s="501"/>
      <c r="EJY529" s="501"/>
      <c r="EJZ529" s="501"/>
      <c r="EKA529" s="501"/>
      <c r="EKB529" s="501"/>
      <c r="EKC529" s="501"/>
      <c r="EKD529" s="501"/>
      <c r="EKE529" s="501"/>
      <c r="EKF529" s="501"/>
      <c r="EKG529" s="501"/>
      <c r="EKH529" s="501"/>
      <c r="EKI529" s="501"/>
      <c r="EKJ529" s="501"/>
      <c r="EKK529" s="501"/>
      <c r="EKL529" s="501"/>
      <c r="EKM529" s="501"/>
      <c r="EKN529" s="501"/>
      <c r="EKO529" s="501"/>
      <c r="EKP529" s="501"/>
      <c r="EKQ529" s="501"/>
      <c r="EKR529" s="501"/>
      <c r="EKS529" s="501"/>
      <c r="EKT529" s="501"/>
      <c r="EKU529" s="501"/>
      <c r="EKV529" s="501"/>
      <c r="EKW529" s="501"/>
      <c r="EKX529" s="501"/>
      <c r="EKY529" s="501"/>
      <c r="EKZ529" s="501"/>
      <c r="ELA529" s="501"/>
      <c r="ELB529" s="501"/>
      <c r="ELC529" s="501"/>
      <c r="ELD529" s="501"/>
      <c r="ELE529" s="501"/>
      <c r="ELF529" s="501"/>
      <c r="ELG529" s="501"/>
      <c r="ELH529" s="501"/>
      <c r="ELI529" s="501"/>
      <c r="ELJ529" s="501"/>
      <c r="ELK529" s="501"/>
      <c r="ELL529" s="501"/>
      <c r="ELM529" s="501"/>
      <c r="ELN529" s="501"/>
      <c r="ELO529" s="501"/>
      <c r="ELP529" s="501"/>
      <c r="ELQ529" s="501"/>
      <c r="ELR529" s="501"/>
      <c r="ELS529" s="501"/>
      <c r="ELT529" s="501"/>
      <c r="ELU529" s="501"/>
      <c r="ELV529" s="501"/>
      <c r="ELW529" s="501"/>
      <c r="ELX529" s="501"/>
      <c r="ELY529" s="501"/>
      <c r="ELZ529" s="501"/>
      <c r="EMA529" s="501"/>
      <c r="EMB529" s="501"/>
      <c r="EMC529" s="501"/>
      <c r="EMD529" s="501"/>
      <c r="EME529" s="501"/>
      <c r="EMF529" s="501"/>
      <c r="EMG529" s="501"/>
      <c r="EMH529" s="501"/>
      <c r="EMI529" s="501"/>
      <c r="EMJ529" s="501"/>
      <c r="EMK529" s="501"/>
      <c r="EML529" s="501"/>
      <c r="EMM529" s="501"/>
      <c r="EMN529" s="501"/>
      <c r="EMO529" s="501"/>
      <c r="EMP529" s="501"/>
      <c r="EMQ529" s="501"/>
      <c r="EMR529" s="501"/>
      <c r="EMS529" s="501"/>
      <c r="EMT529" s="501"/>
      <c r="EMU529" s="501"/>
      <c r="EMV529" s="501"/>
      <c r="EMW529" s="501"/>
      <c r="EMX529" s="501"/>
      <c r="EMY529" s="501"/>
      <c r="EMZ529" s="501"/>
      <c r="ENA529" s="501"/>
      <c r="ENB529" s="501"/>
      <c r="ENC529" s="501"/>
      <c r="END529" s="501"/>
      <c r="ENE529" s="501"/>
      <c r="ENF529" s="501"/>
      <c r="ENG529" s="501"/>
      <c r="ENH529" s="501"/>
      <c r="ENI529" s="501"/>
      <c r="ENJ529" s="501"/>
      <c r="ENK529" s="501"/>
      <c r="ENL529" s="501"/>
      <c r="ENM529" s="501"/>
      <c r="ENN529" s="501"/>
      <c r="ENO529" s="501"/>
      <c r="ENP529" s="501"/>
      <c r="ENQ529" s="501"/>
      <c r="ENR529" s="501"/>
      <c r="ENS529" s="501"/>
      <c r="ENT529" s="501"/>
      <c r="ENU529" s="501"/>
      <c r="ENV529" s="501"/>
      <c r="ENW529" s="501"/>
      <c r="ENX529" s="501"/>
      <c r="ENY529" s="501"/>
      <c r="ENZ529" s="501"/>
      <c r="EOA529" s="501"/>
      <c r="EOB529" s="501"/>
      <c r="EOC529" s="501"/>
      <c r="EOD529" s="501"/>
      <c r="EOE529" s="501"/>
      <c r="EOF529" s="501"/>
      <c r="EOG529" s="501"/>
      <c r="EOH529" s="501"/>
      <c r="EOI529" s="501"/>
      <c r="EOJ529" s="501"/>
      <c r="EOK529" s="501"/>
      <c r="EOL529" s="501"/>
      <c r="EOM529" s="501"/>
      <c r="EON529" s="501"/>
      <c r="EOO529" s="501"/>
      <c r="EOP529" s="501"/>
      <c r="EOQ529" s="501"/>
      <c r="EOR529" s="501"/>
      <c r="EOS529" s="501"/>
      <c r="EOT529" s="501"/>
      <c r="EOU529" s="501"/>
      <c r="EOV529" s="501"/>
      <c r="EOW529" s="501"/>
      <c r="EOX529" s="501"/>
      <c r="EOY529" s="501"/>
      <c r="EOZ529" s="501"/>
      <c r="EPA529" s="501"/>
      <c r="EPB529" s="501"/>
      <c r="EPC529" s="501"/>
      <c r="EPD529" s="501"/>
      <c r="EPE529" s="501"/>
      <c r="EPF529" s="501"/>
      <c r="EPG529" s="501"/>
      <c r="EPH529" s="501"/>
      <c r="EPI529" s="501"/>
      <c r="EPJ529" s="501"/>
      <c r="EPK529" s="501"/>
      <c r="EPL529" s="501"/>
      <c r="EPM529" s="501"/>
      <c r="EPN529" s="501"/>
      <c r="EPO529" s="501"/>
      <c r="EPP529" s="501"/>
      <c r="EPQ529" s="501"/>
      <c r="EPR529" s="501"/>
      <c r="EPS529" s="501"/>
      <c r="EPT529" s="501"/>
      <c r="EPU529" s="501"/>
      <c r="EPV529" s="501"/>
      <c r="EPW529" s="501"/>
      <c r="EPX529" s="501"/>
      <c r="EPY529" s="501"/>
      <c r="EPZ529" s="501"/>
      <c r="EQA529" s="501"/>
      <c r="EQB529" s="501"/>
      <c r="EQC529" s="501"/>
      <c r="EQD529" s="501"/>
      <c r="EQE529" s="501"/>
      <c r="EQF529" s="501"/>
      <c r="EQG529" s="501"/>
      <c r="EQH529" s="501"/>
      <c r="EQI529" s="501"/>
      <c r="EQJ529" s="501"/>
      <c r="EQK529" s="501"/>
      <c r="EQL529" s="501"/>
      <c r="EQM529" s="501"/>
      <c r="EQN529" s="501"/>
      <c r="EQO529" s="501"/>
      <c r="EQP529" s="501"/>
      <c r="EQQ529" s="501"/>
      <c r="EQR529" s="501"/>
      <c r="EQS529" s="501"/>
      <c r="EQT529" s="501"/>
      <c r="EQU529" s="501"/>
      <c r="EQV529" s="501"/>
      <c r="EQW529" s="501"/>
      <c r="EQX529" s="501"/>
      <c r="EQY529" s="501"/>
      <c r="EQZ529" s="501"/>
      <c r="ERA529" s="501"/>
      <c r="ERB529" s="501"/>
      <c r="ERC529" s="501"/>
      <c r="ERD529" s="501"/>
      <c r="ERE529" s="501"/>
      <c r="ERF529" s="501"/>
      <c r="ERG529" s="501"/>
      <c r="ERH529" s="501"/>
      <c r="ERI529" s="501"/>
      <c r="ERJ529" s="501"/>
      <c r="ERK529" s="501"/>
      <c r="ERL529" s="501"/>
      <c r="ERM529" s="501"/>
      <c r="ERN529" s="501"/>
      <c r="ERO529" s="501"/>
      <c r="ERP529" s="501"/>
      <c r="ERQ529" s="501"/>
      <c r="ERR529" s="501"/>
      <c r="ERS529" s="501"/>
      <c r="ERT529" s="501"/>
      <c r="ERU529" s="501"/>
      <c r="ERV529" s="501"/>
      <c r="ERW529" s="501"/>
      <c r="ERX529" s="501"/>
      <c r="ERY529" s="501"/>
      <c r="ERZ529" s="501"/>
      <c r="ESA529" s="501"/>
      <c r="ESB529" s="501"/>
      <c r="ESC529" s="501"/>
      <c r="ESD529" s="501"/>
      <c r="ESE529" s="501"/>
      <c r="ESF529" s="501"/>
      <c r="ESG529" s="501"/>
      <c r="ESH529" s="501"/>
      <c r="ESI529" s="501"/>
      <c r="ESJ529" s="501"/>
      <c r="ESK529" s="501"/>
      <c r="ESL529" s="501"/>
      <c r="ESM529" s="501"/>
      <c r="ESN529" s="501"/>
      <c r="ESO529" s="501"/>
      <c r="ESP529" s="501"/>
      <c r="ESQ529" s="501"/>
      <c r="ESR529" s="501"/>
      <c r="ESS529" s="501"/>
      <c r="EST529" s="501"/>
      <c r="ESU529" s="501"/>
      <c r="ESV529" s="501"/>
      <c r="ESW529" s="501"/>
      <c r="ESX529" s="501"/>
      <c r="ESY529" s="501"/>
      <c r="ESZ529" s="501"/>
      <c r="ETA529" s="501"/>
      <c r="ETB529" s="501"/>
      <c r="ETC529" s="501"/>
      <c r="ETD529" s="501"/>
      <c r="ETE529" s="501"/>
      <c r="ETF529" s="501"/>
      <c r="ETG529" s="501"/>
      <c r="ETH529" s="501"/>
      <c r="ETI529" s="501"/>
      <c r="ETJ529" s="501"/>
      <c r="ETK529" s="501"/>
      <c r="ETL529" s="501"/>
      <c r="ETM529" s="501"/>
      <c r="ETN529" s="501"/>
      <c r="ETO529" s="501"/>
      <c r="ETP529" s="501"/>
      <c r="ETQ529" s="501"/>
      <c r="ETR529" s="501"/>
      <c r="ETS529" s="501"/>
      <c r="ETT529" s="501"/>
      <c r="ETU529" s="501"/>
      <c r="ETV529" s="501"/>
      <c r="ETW529" s="501"/>
      <c r="ETX529" s="501"/>
      <c r="ETY529" s="501"/>
      <c r="ETZ529" s="501"/>
      <c r="EUA529" s="501"/>
      <c r="EUB529" s="501"/>
      <c r="EUC529" s="501"/>
      <c r="EUD529" s="501"/>
      <c r="EUE529" s="501"/>
      <c r="EUF529" s="501"/>
      <c r="EUG529" s="501"/>
      <c r="EUH529" s="501"/>
      <c r="EUI529" s="501"/>
      <c r="EUJ529" s="501"/>
      <c r="EUK529" s="501"/>
      <c r="EUL529" s="501"/>
      <c r="EUM529" s="501"/>
      <c r="EUN529" s="501"/>
      <c r="EUO529" s="501"/>
      <c r="EUP529" s="501"/>
      <c r="EUQ529" s="501"/>
      <c r="EUR529" s="501"/>
      <c r="EUS529" s="501"/>
      <c r="EUT529" s="501"/>
      <c r="EUU529" s="501"/>
      <c r="EUV529" s="501"/>
      <c r="EUW529" s="501"/>
      <c r="EUX529" s="501"/>
      <c r="EUY529" s="501"/>
      <c r="EUZ529" s="501"/>
      <c r="EVA529" s="501"/>
      <c r="EVB529" s="501"/>
      <c r="EVC529" s="501"/>
      <c r="EVD529" s="501"/>
      <c r="EVE529" s="501"/>
      <c r="EVF529" s="501"/>
      <c r="EVG529" s="501"/>
      <c r="EVH529" s="501"/>
      <c r="EVI529" s="501"/>
      <c r="EVJ529" s="501"/>
      <c r="EVK529" s="501"/>
      <c r="EVL529" s="501"/>
      <c r="EVM529" s="501"/>
      <c r="EVN529" s="501"/>
      <c r="EVO529" s="501"/>
      <c r="EVP529" s="501"/>
      <c r="EVQ529" s="501"/>
      <c r="EVR529" s="501"/>
      <c r="EVS529" s="501"/>
      <c r="EVT529" s="501"/>
      <c r="EVU529" s="501"/>
      <c r="EVV529" s="501"/>
      <c r="EVW529" s="501"/>
      <c r="EVX529" s="501"/>
      <c r="EVY529" s="501"/>
      <c r="EVZ529" s="501"/>
      <c r="EWA529" s="501"/>
      <c r="EWB529" s="501"/>
      <c r="EWC529" s="501"/>
      <c r="EWD529" s="501"/>
      <c r="EWE529" s="501"/>
      <c r="EWF529" s="501"/>
      <c r="EWG529" s="501"/>
      <c r="EWH529" s="501"/>
      <c r="EWI529" s="501"/>
      <c r="EWJ529" s="501"/>
      <c r="EWK529" s="501"/>
      <c r="EWL529" s="501"/>
      <c r="EWM529" s="501"/>
      <c r="EWN529" s="501"/>
      <c r="EWO529" s="501"/>
      <c r="EWP529" s="501"/>
      <c r="EWQ529" s="501"/>
      <c r="EWR529" s="501"/>
      <c r="EWS529" s="501"/>
      <c r="EWT529" s="501"/>
      <c r="EWU529" s="501"/>
      <c r="EWV529" s="501"/>
      <c r="EWW529" s="501"/>
      <c r="EWX529" s="501"/>
      <c r="EWY529" s="501"/>
      <c r="EWZ529" s="501"/>
      <c r="EXA529" s="501"/>
      <c r="EXB529" s="501"/>
      <c r="EXC529" s="501"/>
      <c r="EXD529" s="501"/>
      <c r="EXE529" s="501"/>
      <c r="EXF529" s="501"/>
      <c r="EXG529" s="501"/>
      <c r="EXH529" s="501"/>
      <c r="EXI529" s="501"/>
      <c r="EXJ529" s="501"/>
      <c r="EXK529" s="501"/>
      <c r="EXL529" s="501"/>
      <c r="EXM529" s="501"/>
      <c r="EXN529" s="501"/>
      <c r="EXO529" s="501"/>
      <c r="EXP529" s="501"/>
      <c r="EXQ529" s="501"/>
      <c r="EXR529" s="501"/>
      <c r="EXS529" s="501"/>
      <c r="EXT529" s="501"/>
      <c r="EXU529" s="501"/>
      <c r="EXV529" s="501"/>
      <c r="EXW529" s="501"/>
      <c r="EXX529" s="501"/>
      <c r="EXY529" s="501"/>
      <c r="EXZ529" s="501"/>
      <c r="EYA529" s="501"/>
      <c r="EYB529" s="501"/>
      <c r="EYC529" s="501"/>
      <c r="EYD529" s="501"/>
      <c r="EYE529" s="501"/>
      <c r="EYF529" s="501"/>
      <c r="EYG529" s="501"/>
      <c r="EYH529" s="501"/>
      <c r="EYI529" s="501"/>
      <c r="EYJ529" s="501"/>
      <c r="EYK529" s="501"/>
      <c r="EYL529" s="501"/>
      <c r="EYM529" s="501"/>
      <c r="EYN529" s="501"/>
      <c r="EYO529" s="501"/>
      <c r="EYP529" s="501"/>
      <c r="EYQ529" s="501"/>
      <c r="EYR529" s="501"/>
      <c r="EYS529" s="501"/>
      <c r="EYT529" s="501"/>
      <c r="EYU529" s="501"/>
      <c r="EYV529" s="501"/>
      <c r="EYW529" s="501"/>
      <c r="EYX529" s="501"/>
      <c r="EYY529" s="501"/>
      <c r="EYZ529" s="501"/>
      <c r="EZA529" s="501"/>
      <c r="EZB529" s="501"/>
      <c r="EZC529" s="501"/>
      <c r="EZD529" s="501"/>
      <c r="EZE529" s="501"/>
      <c r="EZF529" s="501"/>
      <c r="EZG529" s="501"/>
      <c r="EZH529" s="501"/>
      <c r="EZI529" s="501"/>
      <c r="EZJ529" s="501"/>
      <c r="EZK529" s="501"/>
      <c r="EZL529" s="501"/>
      <c r="EZM529" s="501"/>
      <c r="EZN529" s="501"/>
      <c r="EZO529" s="501"/>
      <c r="EZP529" s="501"/>
      <c r="EZQ529" s="501"/>
      <c r="EZR529" s="501"/>
      <c r="EZS529" s="501"/>
      <c r="EZT529" s="501"/>
      <c r="EZU529" s="501"/>
      <c r="EZV529" s="501"/>
      <c r="EZW529" s="501"/>
      <c r="EZX529" s="501"/>
      <c r="EZY529" s="501"/>
      <c r="EZZ529" s="501"/>
      <c r="FAA529" s="501"/>
      <c r="FAB529" s="501"/>
      <c r="FAC529" s="501"/>
      <c r="FAD529" s="501"/>
      <c r="FAE529" s="501"/>
      <c r="FAF529" s="501"/>
      <c r="FAG529" s="501"/>
      <c r="FAH529" s="501"/>
      <c r="FAI529" s="501"/>
      <c r="FAJ529" s="501"/>
      <c r="FAK529" s="501"/>
      <c r="FAL529" s="501"/>
      <c r="FAM529" s="501"/>
      <c r="FAN529" s="501"/>
      <c r="FAO529" s="501"/>
      <c r="FAP529" s="501"/>
      <c r="FAQ529" s="501"/>
      <c r="FAR529" s="501"/>
      <c r="FAS529" s="501"/>
      <c r="FAT529" s="501"/>
      <c r="FAU529" s="501"/>
      <c r="FAV529" s="501"/>
      <c r="FAW529" s="501"/>
      <c r="FAX529" s="501"/>
      <c r="FAY529" s="501"/>
      <c r="FAZ529" s="501"/>
      <c r="FBA529" s="501"/>
      <c r="FBB529" s="501"/>
      <c r="FBC529" s="501"/>
      <c r="FBD529" s="501"/>
      <c r="FBE529" s="501"/>
      <c r="FBF529" s="501"/>
      <c r="FBG529" s="501"/>
      <c r="FBH529" s="501"/>
      <c r="FBI529" s="501"/>
      <c r="FBJ529" s="501"/>
      <c r="FBK529" s="501"/>
      <c r="FBL529" s="501"/>
      <c r="FBM529" s="501"/>
      <c r="FBN529" s="501"/>
      <c r="FBO529" s="501"/>
      <c r="FBP529" s="501"/>
      <c r="FBQ529" s="501"/>
      <c r="FBR529" s="501"/>
      <c r="FBS529" s="501"/>
      <c r="FBT529" s="501"/>
      <c r="FBU529" s="501"/>
      <c r="FBV529" s="501"/>
      <c r="FBW529" s="501"/>
      <c r="FBX529" s="501"/>
      <c r="FBY529" s="501"/>
      <c r="FBZ529" s="501"/>
      <c r="FCA529" s="501"/>
      <c r="FCB529" s="501"/>
      <c r="FCC529" s="501"/>
      <c r="FCD529" s="501"/>
      <c r="FCE529" s="501"/>
      <c r="FCF529" s="501"/>
      <c r="FCG529" s="501"/>
      <c r="FCH529" s="501"/>
      <c r="FCI529" s="501"/>
      <c r="FCJ529" s="501"/>
      <c r="FCK529" s="501"/>
      <c r="FCL529" s="501"/>
      <c r="FCM529" s="501"/>
      <c r="FCN529" s="501"/>
      <c r="FCO529" s="501"/>
      <c r="FCP529" s="501"/>
      <c r="FCQ529" s="501"/>
      <c r="FCR529" s="501"/>
      <c r="FCS529" s="501"/>
      <c r="FCT529" s="501"/>
      <c r="FCU529" s="501"/>
      <c r="FCV529" s="501"/>
      <c r="FCW529" s="501"/>
      <c r="FCX529" s="501"/>
      <c r="FCY529" s="501"/>
      <c r="FCZ529" s="501"/>
      <c r="FDA529" s="501"/>
      <c r="FDB529" s="501"/>
      <c r="FDC529" s="501"/>
      <c r="FDD529" s="501"/>
      <c r="FDE529" s="501"/>
      <c r="FDF529" s="501"/>
      <c r="FDG529" s="501"/>
      <c r="FDH529" s="501"/>
      <c r="FDI529" s="501"/>
      <c r="FDJ529" s="501"/>
      <c r="FDK529" s="501"/>
      <c r="FDL529" s="501"/>
      <c r="FDM529" s="501"/>
      <c r="FDN529" s="501"/>
      <c r="FDO529" s="501"/>
      <c r="FDP529" s="501"/>
      <c r="FDQ529" s="501"/>
      <c r="FDR529" s="501"/>
      <c r="FDS529" s="501"/>
      <c r="FDT529" s="501"/>
      <c r="FDU529" s="501"/>
      <c r="FDV529" s="501"/>
      <c r="FDW529" s="501"/>
      <c r="FDX529" s="501"/>
      <c r="FDY529" s="501"/>
      <c r="FDZ529" s="501"/>
      <c r="FEA529" s="501"/>
      <c r="FEB529" s="501"/>
      <c r="FEC529" s="501"/>
      <c r="FED529" s="501"/>
      <c r="FEE529" s="501"/>
      <c r="FEF529" s="501"/>
      <c r="FEG529" s="501"/>
      <c r="FEH529" s="501"/>
      <c r="FEI529" s="501"/>
      <c r="FEJ529" s="501"/>
      <c r="FEK529" s="501"/>
      <c r="FEL529" s="501"/>
      <c r="FEM529" s="501"/>
      <c r="FEN529" s="501"/>
      <c r="FEO529" s="501"/>
      <c r="FEP529" s="501"/>
      <c r="FEQ529" s="501"/>
      <c r="FER529" s="501"/>
      <c r="FES529" s="501"/>
      <c r="FET529" s="501"/>
      <c r="FEU529" s="501"/>
      <c r="FEV529" s="501"/>
      <c r="FEW529" s="501"/>
      <c r="FEX529" s="501"/>
      <c r="FEY529" s="501"/>
      <c r="FEZ529" s="501"/>
      <c r="FFA529" s="501"/>
      <c r="FFB529" s="501"/>
      <c r="FFC529" s="501"/>
      <c r="FFD529" s="501"/>
      <c r="FFE529" s="501"/>
      <c r="FFF529" s="501"/>
      <c r="FFG529" s="501"/>
      <c r="FFH529" s="501"/>
      <c r="FFI529" s="501"/>
      <c r="FFJ529" s="501"/>
      <c r="FFK529" s="501"/>
      <c r="FFL529" s="501"/>
      <c r="FFM529" s="501"/>
      <c r="FFN529" s="501"/>
      <c r="FFO529" s="501"/>
      <c r="FFP529" s="501"/>
      <c r="FFQ529" s="501"/>
      <c r="FFR529" s="501"/>
      <c r="FFS529" s="501"/>
      <c r="FFT529" s="501"/>
      <c r="FFU529" s="501"/>
      <c r="FFV529" s="501"/>
      <c r="FFW529" s="501"/>
      <c r="FFX529" s="501"/>
      <c r="FFY529" s="501"/>
      <c r="FFZ529" s="501"/>
      <c r="FGA529" s="501"/>
      <c r="FGB529" s="501"/>
      <c r="FGC529" s="501"/>
      <c r="FGD529" s="501"/>
      <c r="FGE529" s="501"/>
      <c r="FGF529" s="501"/>
      <c r="FGG529" s="501"/>
      <c r="FGH529" s="501"/>
      <c r="FGI529" s="501"/>
      <c r="FGJ529" s="501"/>
      <c r="FGK529" s="501"/>
      <c r="FGL529" s="501"/>
      <c r="FGM529" s="501"/>
      <c r="FGN529" s="501"/>
      <c r="FGO529" s="501"/>
      <c r="FGP529" s="501"/>
      <c r="FGQ529" s="501"/>
      <c r="FGR529" s="501"/>
      <c r="FGS529" s="501"/>
      <c r="FGT529" s="501"/>
      <c r="FGU529" s="501"/>
      <c r="FGV529" s="501"/>
      <c r="FGW529" s="501"/>
      <c r="FGX529" s="501"/>
      <c r="FGY529" s="501"/>
      <c r="FGZ529" s="501"/>
      <c r="FHA529" s="501"/>
      <c r="FHB529" s="501"/>
      <c r="FHC529" s="501"/>
      <c r="FHD529" s="501"/>
      <c r="FHE529" s="501"/>
      <c r="FHF529" s="501"/>
      <c r="FHG529" s="501"/>
      <c r="FHH529" s="501"/>
      <c r="FHI529" s="501"/>
      <c r="FHJ529" s="501"/>
      <c r="FHK529" s="501"/>
      <c r="FHL529" s="501"/>
      <c r="FHM529" s="501"/>
      <c r="FHN529" s="501"/>
      <c r="FHO529" s="501"/>
      <c r="FHP529" s="501"/>
      <c r="FHQ529" s="501"/>
      <c r="FHR529" s="501"/>
      <c r="FHS529" s="501"/>
      <c r="FHT529" s="501"/>
      <c r="FHU529" s="501"/>
      <c r="FHV529" s="501"/>
      <c r="FHW529" s="501"/>
      <c r="FHX529" s="501"/>
      <c r="FHY529" s="501"/>
      <c r="FHZ529" s="501"/>
      <c r="FIA529" s="501"/>
      <c r="FIB529" s="501"/>
      <c r="FIC529" s="501"/>
      <c r="FID529" s="501"/>
      <c r="FIE529" s="501"/>
      <c r="FIF529" s="501"/>
      <c r="FIG529" s="501"/>
      <c r="FIH529" s="501"/>
      <c r="FII529" s="501"/>
      <c r="FIJ529" s="501"/>
      <c r="FIK529" s="501"/>
      <c r="FIL529" s="501"/>
      <c r="FIM529" s="501"/>
      <c r="FIN529" s="501"/>
      <c r="FIO529" s="501"/>
      <c r="FIP529" s="501"/>
      <c r="FIQ529" s="501"/>
      <c r="FIR529" s="501"/>
      <c r="FIS529" s="501"/>
      <c r="FIT529" s="501"/>
      <c r="FIU529" s="501"/>
      <c r="FIV529" s="501"/>
      <c r="FIW529" s="501"/>
      <c r="FIX529" s="501"/>
      <c r="FIY529" s="501"/>
      <c r="FIZ529" s="501"/>
      <c r="FJA529" s="501"/>
      <c r="FJB529" s="501"/>
      <c r="FJC529" s="501"/>
      <c r="FJD529" s="501"/>
      <c r="FJE529" s="501"/>
      <c r="FJF529" s="501"/>
      <c r="FJG529" s="501"/>
      <c r="FJH529" s="501"/>
      <c r="FJI529" s="501"/>
      <c r="FJJ529" s="501"/>
      <c r="FJK529" s="501"/>
      <c r="FJL529" s="501"/>
      <c r="FJM529" s="501"/>
      <c r="FJN529" s="501"/>
      <c r="FJO529" s="501"/>
      <c r="FJP529" s="501"/>
      <c r="FJQ529" s="501"/>
      <c r="FJR529" s="501"/>
      <c r="FJS529" s="501"/>
      <c r="FJT529" s="501"/>
      <c r="FJU529" s="501"/>
      <c r="FJV529" s="501"/>
      <c r="FJW529" s="501"/>
      <c r="FJX529" s="501"/>
      <c r="FJY529" s="501"/>
      <c r="FJZ529" s="501"/>
      <c r="FKA529" s="501"/>
      <c r="FKB529" s="501"/>
      <c r="FKC529" s="501"/>
      <c r="FKD529" s="501"/>
      <c r="FKE529" s="501"/>
      <c r="FKF529" s="501"/>
      <c r="FKG529" s="501"/>
      <c r="FKH529" s="501"/>
      <c r="FKI529" s="501"/>
      <c r="FKJ529" s="501"/>
      <c r="FKK529" s="501"/>
      <c r="FKL529" s="501"/>
      <c r="FKM529" s="501"/>
      <c r="FKN529" s="501"/>
      <c r="FKO529" s="501"/>
      <c r="FKP529" s="501"/>
      <c r="FKQ529" s="501"/>
      <c r="FKR529" s="501"/>
      <c r="FKS529" s="501"/>
      <c r="FKT529" s="501"/>
      <c r="FKU529" s="501"/>
      <c r="FKV529" s="501"/>
      <c r="FKW529" s="501"/>
      <c r="FKX529" s="501"/>
      <c r="FKY529" s="501"/>
      <c r="FKZ529" s="501"/>
      <c r="FLA529" s="501"/>
      <c r="FLB529" s="501"/>
      <c r="FLC529" s="501"/>
      <c r="FLD529" s="501"/>
      <c r="FLE529" s="501"/>
      <c r="FLF529" s="501"/>
      <c r="FLG529" s="501"/>
      <c r="FLH529" s="501"/>
      <c r="FLI529" s="501"/>
      <c r="FLJ529" s="501"/>
      <c r="FLK529" s="501"/>
      <c r="FLL529" s="501"/>
      <c r="FLM529" s="501"/>
      <c r="FLN529" s="501"/>
      <c r="FLO529" s="501"/>
      <c r="FLP529" s="501"/>
      <c r="FLQ529" s="501"/>
      <c r="FLR529" s="501"/>
      <c r="FLS529" s="501"/>
      <c r="FLT529" s="501"/>
      <c r="FLU529" s="501"/>
      <c r="FLV529" s="501"/>
      <c r="FLW529" s="501"/>
      <c r="FLX529" s="501"/>
      <c r="FLY529" s="501"/>
      <c r="FLZ529" s="501"/>
      <c r="FMA529" s="501"/>
      <c r="FMB529" s="501"/>
      <c r="FMC529" s="501"/>
      <c r="FMD529" s="501"/>
      <c r="FME529" s="501"/>
      <c r="FMF529" s="501"/>
      <c r="FMG529" s="501"/>
      <c r="FMH529" s="501"/>
      <c r="FMI529" s="501"/>
      <c r="FMJ529" s="501"/>
      <c r="FMK529" s="501"/>
      <c r="FML529" s="501"/>
      <c r="FMM529" s="501"/>
      <c r="FMN529" s="501"/>
      <c r="FMO529" s="501"/>
      <c r="FMP529" s="501"/>
      <c r="FMQ529" s="501"/>
      <c r="FMR529" s="501"/>
      <c r="FMS529" s="501"/>
      <c r="FMT529" s="501"/>
      <c r="FMU529" s="501"/>
      <c r="FMV529" s="501"/>
      <c r="FMW529" s="501"/>
      <c r="FMX529" s="501"/>
      <c r="FMY529" s="501"/>
      <c r="FMZ529" s="501"/>
      <c r="FNA529" s="501"/>
      <c r="FNB529" s="501"/>
      <c r="FNC529" s="501"/>
      <c r="FND529" s="501"/>
      <c r="FNE529" s="501"/>
      <c r="FNF529" s="501"/>
      <c r="FNG529" s="501"/>
      <c r="FNH529" s="501"/>
      <c r="FNI529" s="501"/>
      <c r="FNJ529" s="501"/>
      <c r="FNK529" s="501"/>
      <c r="FNL529" s="501"/>
      <c r="FNM529" s="501"/>
      <c r="FNN529" s="501"/>
      <c r="FNO529" s="501"/>
      <c r="FNP529" s="501"/>
      <c r="FNQ529" s="501"/>
      <c r="FNR529" s="501"/>
      <c r="FNS529" s="501"/>
      <c r="FNT529" s="501"/>
      <c r="FNU529" s="501"/>
      <c r="FNV529" s="501"/>
      <c r="FNW529" s="501"/>
      <c r="FNX529" s="501"/>
      <c r="FNY529" s="501"/>
      <c r="FNZ529" s="501"/>
      <c r="FOA529" s="501"/>
      <c r="FOB529" s="501"/>
      <c r="FOC529" s="501"/>
      <c r="FOD529" s="501"/>
      <c r="FOE529" s="501"/>
      <c r="FOF529" s="501"/>
      <c r="FOG529" s="501"/>
      <c r="FOH529" s="501"/>
      <c r="FOI529" s="501"/>
      <c r="FOJ529" s="501"/>
      <c r="FOK529" s="501"/>
      <c r="FOL529" s="501"/>
      <c r="FOM529" s="501"/>
      <c r="FON529" s="501"/>
      <c r="FOO529" s="501"/>
      <c r="FOP529" s="501"/>
      <c r="FOQ529" s="501"/>
      <c r="FOR529" s="501"/>
      <c r="FOS529" s="501"/>
      <c r="FOT529" s="501"/>
      <c r="FOU529" s="501"/>
      <c r="FOV529" s="501"/>
      <c r="FOW529" s="501"/>
      <c r="FOX529" s="501"/>
      <c r="FOY529" s="501"/>
      <c r="FOZ529" s="501"/>
      <c r="FPA529" s="501"/>
      <c r="FPB529" s="501"/>
      <c r="FPC529" s="501"/>
      <c r="FPD529" s="501"/>
      <c r="FPE529" s="501"/>
      <c r="FPF529" s="501"/>
      <c r="FPG529" s="501"/>
      <c r="FPH529" s="501"/>
      <c r="FPI529" s="501"/>
      <c r="FPJ529" s="501"/>
      <c r="FPK529" s="501"/>
      <c r="FPL529" s="501"/>
      <c r="FPM529" s="501"/>
      <c r="FPN529" s="501"/>
      <c r="FPO529" s="501"/>
      <c r="FPP529" s="501"/>
      <c r="FPQ529" s="501"/>
      <c r="FPR529" s="501"/>
      <c r="FPS529" s="501"/>
      <c r="FPT529" s="501"/>
      <c r="FPU529" s="501"/>
      <c r="FPV529" s="501"/>
      <c r="FPW529" s="501"/>
      <c r="FPX529" s="501"/>
      <c r="FPY529" s="501"/>
      <c r="FPZ529" s="501"/>
      <c r="FQA529" s="501"/>
      <c r="FQB529" s="501"/>
      <c r="FQC529" s="501"/>
      <c r="FQD529" s="501"/>
      <c r="FQE529" s="501"/>
      <c r="FQF529" s="501"/>
      <c r="FQG529" s="501"/>
      <c r="FQH529" s="501"/>
      <c r="FQI529" s="501"/>
      <c r="FQJ529" s="501"/>
      <c r="FQK529" s="501"/>
      <c r="FQL529" s="501"/>
      <c r="FQM529" s="501"/>
      <c r="FQN529" s="501"/>
      <c r="FQO529" s="501"/>
      <c r="FQP529" s="501"/>
      <c r="FQQ529" s="501"/>
      <c r="FQR529" s="501"/>
      <c r="FQS529" s="501"/>
      <c r="FQT529" s="501"/>
      <c r="FQU529" s="501"/>
      <c r="FQV529" s="501"/>
      <c r="FQW529" s="501"/>
      <c r="FQX529" s="501"/>
      <c r="FQY529" s="501"/>
      <c r="FQZ529" s="501"/>
      <c r="FRA529" s="501"/>
      <c r="FRB529" s="501"/>
      <c r="FRC529" s="501"/>
      <c r="FRD529" s="501"/>
      <c r="FRE529" s="501"/>
      <c r="FRF529" s="501"/>
      <c r="FRG529" s="501"/>
      <c r="FRH529" s="501"/>
      <c r="FRI529" s="501"/>
      <c r="FRJ529" s="501"/>
      <c r="FRK529" s="501"/>
      <c r="FRL529" s="501"/>
      <c r="FRM529" s="501"/>
      <c r="FRN529" s="501"/>
      <c r="FRO529" s="501"/>
      <c r="FRP529" s="501"/>
      <c r="FRQ529" s="501"/>
      <c r="FRR529" s="501"/>
      <c r="FRS529" s="501"/>
      <c r="FRT529" s="501"/>
      <c r="FRU529" s="501"/>
      <c r="FRV529" s="501"/>
      <c r="FRW529" s="501"/>
      <c r="FRX529" s="501"/>
      <c r="FRY529" s="501"/>
      <c r="FRZ529" s="501"/>
      <c r="FSA529" s="501"/>
      <c r="FSB529" s="501"/>
      <c r="FSC529" s="501"/>
      <c r="FSD529" s="501"/>
      <c r="FSE529" s="501"/>
      <c r="FSF529" s="501"/>
      <c r="FSG529" s="501"/>
      <c r="FSH529" s="501"/>
      <c r="FSI529" s="501"/>
      <c r="FSJ529" s="501"/>
      <c r="FSK529" s="501"/>
      <c r="FSL529" s="501"/>
      <c r="FSM529" s="501"/>
      <c r="FSN529" s="501"/>
      <c r="FSO529" s="501"/>
      <c r="FSP529" s="501"/>
      <c r="FSQ529" s="501"/>
      <c r="FSR529" s="501"/>
      <c r="FSS529" s="501"/>
      <c r="FST529" s="501"/>
      <c r="FSU529" s="501"/>
      <c r="FSV529" s="501"/>
      <c r="FSW529" s="501"/>
      <c r="FSX529" s="501"/>
      <c r="FSY529" s="501"/>
      <c r="FSZ529" s="501"/>
      <c r="FTA529" s="501"/>
      <c r="FTB529" s="501"/>
      <c r="FTC529" s="501"/>
      <c r="FTD529" s="501"/>
      <c r="FTE529" s="501"/>
      <c r="FTF529" s="501"/>
      <c r="FTG529" s="501"/>
      <c r="FTH529" s="501"/>
      <c r="FTI529" s="501"/>
      <c r="FTJ529" s="501"/>
      <c r="FTK529" s="501"/>
      <c r="FTL529" s="501"/>
      <c r="FTM529" s="501"/>
      <c r="FTN529" s="501"/>
      <c r="FTO529" s="501"/>
      <c r="FTP529" s="501"/>
      <c r="FTQ529" s="501"/>
      <c r="FTR529" s="501"/>
      <c r="FTS529" s="501"/>
      <c r="FTT529" s="501"/>
      <c r="FTU529" s="501"/>
      <c r="FTV529" s="501"/>
      <c r="FTW529" s="501"/>
      <c r="FTX529" s="501"/>
      <c r="FTY529" s="501"/>
      <c r="FTZ529" s="501"/>
      <c r="FUA529" s="501"/>
      <c r="FUB529" s="501"/>
      <c r="FUC529" s="501"/>
      <c r="FUD529" s="501"/>
      <c r="FUE529" s="501"/>
      <c r="FUF529" s="501"/>
      <c r="FUG529" s="501"/>
      <c r="FUH529" s="501"/>
      <c r="FUI529" s="501"/>
      <c r="FUJ529" s="501"/>
      <c r="FUK529" s="501"/>
      <c r="FUL529" s="501"/>
      <c r="FUM529" s="501"/>
      <c r="FUN529" s="501"/>
      <c r="FUO529" s="501"/>
      <c r="FUP529" s="501"/>
      <c r="FUQ529" s="501"/>
      <c r="FUR529" s="501"/>
      <c r="FUS529" s="501"/>
      <c r="FUT529" s="501"/>
      <c r="FUU529" s="501"/>
      <c r="FUV529" s="501"/>
      <c r="FUW529" s="501"/>
      <c r="FUX529" s="501"/>
      <c r="FUY529" s="501"/>
      <c r="FUZ529" s="501"/>
      <c r="FVA529" s="501"/>
      <c r="FVB529" s="501"/>
      <c r="FVC529" s="501"/>
      <c r="FVD529" s="501"/>
      <c r="FVE529" s="501"/>
      <c r="FVF529" s="501"/>
      <c r="FVG529" s="501"/>
      <c r="FVH529" s="501"/>
      <c r="FVI529" s="501"/>
      <c r="FVJ529" s="501"/>
      <c r="FVK529" s="501"/>
      <c r="FVL529" s="501"/>
      <c r="FVM529" s="501"/>
      <c r="FVN529" s="501"/>
      <c r="FVO529" s="501"/>
      <c r="FVP529" s="501"/>
      <c r="FVQ529" s="501"/>
      <c r="FVR529" s="501"/>
      <c r="FVS529" s="501"/>
      <c r="FVT529" s="501"/>
      <c r="FVU529" s="501"/>
      <c r="FVV529" s="501"/>
      <c r="FVW529" s="501"/>
      <c r="FVX529" s="501"/>
      <c r="FVY529" s="501"/>
      <c r="FVZ529" s="501"/>
      <c r="FWA529" s="501"/>
      <c r="FWB529" s="501"/>
      <c r="FWC529" s="501"/>
      <c r="FWD529" s="501"/>
      <c r="FWE529" s="501"/>
      <c r="FWF529" s="501"/>
      <c r="FWG529" s="501"/>
      <c r="FWH529" s="501"/>
      <c r="FWI529" s="501"/>
      <c r="FWJ529" s="501"/>
      <c r="FWK529" s="501"/>
      <c r="FWL529" s="501"/>
      <c r="FWM529" s="501"/>
      <c r="FWN529" s="501"/>
      <c r="FWO529" s="501"/>
      <c r="FWP529" s="501"/>
      <c r="FWQ529" s="501"/>
      <c r="FWR529" s="501"/>
      <c r="FWS529" s="501"/>
      <c r="FWT529" s="501"/>
      <c r="FWU529" s="501"/>
      <c r="FWV529" s="501"/>
      <c r="FWW529" s="501"/>
      <c r="FWX529" s="501"/>
      <c r="FWY529" s="501"/>
      <c r="FWZ529" s="501"/>
      <c r="FXA529" s="501"/>
      <c r="FXB529" s="501"/>
      <c r="FXC529" s="501"/>
      <c r="FXD529" s="501"/>
      <c r="FXE529" s="501"/>
      <c r="FXF529" s="501"/>
      <c r="FXG529" s="501"/>
      <c r="FXH529" s="501"/>
      <c r="FXI529" s="501"/>
      <c r="FXJ529" s="501"/>
      <c r="FXK529" s="501"/>
      <c r="FXL529" s="501"/>
      <c r="FXM529" s="501"/>
      <c r="FXN529" s="501"/>
      <c r="FXO529" s="501"/>
      <c r="FXP529" s="501"/>
      <c r="FXQ529" s="501"/>
      <c r="FXR529" s="501"/>
      <c r="FXS529" s="501"/>
      <c r="FXT529" s="501"/>
      <c r="FXU529" s="501"/>
      <c r="FXV529" s="501"/>
      <c r="FXW529" s="501"/>
      <c r="FXX529" s="501"/>
      <c r="FXY529" s="501"/>
      <c r="FXZ529" s="501"/>
      <c r="FYA529" s="501"/>
      <c r="FYB529" s="501"/>
      <c r="FYC529" s="501"/>
      <c r="FYD529" s="501"/>
      <c r="FYE529" s="501"/>
      <c r="FYF529" s="501"/>
      <c r="FYG529" s="501"/>
      <c r="FYH529" s="501"/>
      <c r="FYI529" s="501"/>
      <c r="FYJ529" s="501"/>
      <c r="FYK529" s="501"/>
      <c r="FYL529" s="501"/>
      <c r="FYM529" s="501"/>
      <c r="FYN529" s="501"/>
      <c r="FYO529" s="501"/>
      <c r="FYP529" s="501"/>
      <c r="FYQ529" s="501"/>
      <c r="FYR529" s="501"/>
      <c r="FYS529" s="501"/>
      <c r="FYT529" s="501"/>
      <c r="FYU529" s="501"/>
      <c r="FYV529" s="501"/>
      <c r="FYW529" s="501"/>
      <c r="FYX529" s="501"/>
      <c r="FYY529" s="501"/>
      <c r="FYZ529" s="501"/>
      <c r="FZA529" s="501"/>
      <c r="FZB529" s="501"/>
      <c r="FZC529" s="501"/>
      <c r="FZD529" s="501"/>
      <c r="FZE529" s="501"/>
      <c r="FZF529" s="501"/>
      <c r="FZG529" s="501"/>
      <c r="FZH529" s="501"/>
      <c r="FZI529" s="501"/>
      <c r="FZJ529" s="501"/>
      <c r="FZK529" s="501"/>
      <c r="FZL529" s="501"/>
      <c r="FZM529" s="501"/>
      <c r="FZN529" s="501"/>
      <c r="FZO529" s="501"/>
      <c r="FZP529" s="501"/>
      <c r="FZQ529" s="501"/>
      <c r="FZR529" s="501"/>
      <c r="FZS529" s="501"/>
      <c r="FZT529" s="501"/>
      <c r="FZU529" s="501"/>
      <c r="FZV529" s="501"/>
      <c r="FZW529" s="501"/>
      <c r="FZX529" s="501"/>
      <c r="FZY529" s="501"/>
      <c r="FZZ529" s="501"/>
      <c r="GAA529" s="501"/>
      <c r="GAB529" s="501"/>
      <c r="GAC529" s="501"/>
      <c r="GAD529" s="501"/>
      <c r="GAE529" s="501"/>
      <c r="GAF529" s="501"/>
      <c r="GAG529" s="501"/>
      <c r="GAH529" s="501"/>
      <c r="GAI529" s="501"/>
      <c r="GAJ529" s="501"/>
      <c r="GAK529" s="501"/>
      <c r="GAL529" s="501"/>
      <c r="GAM529" s="501"/>
      <c r="GAN529" s="501"/>
      <c r="GAO529" s="501"/>
      <c r="GAP529" s="501"/>
      <c r="GAQ529" s="501"/>
      <c r="GAR529" s="501"/>
      <c r="GAS529" s="501"/>
      <c r="GAT529" s="501"/>
      <c r="GAU529" s="501"/>
      <c r="GAV529" s="501"/>
      <c r="GAW529" s="501"/>
      <c r="GAX529" s="501"/>
      <c r="GAY529" s="501"/>
      <c r="GAZ529" s="501"/>
      <c r="GBA529" s="501"/>
      <c r="GBB529" s="501"/>
      <c r="GBC529" s="501"/>
      <c r="GBD529" s="501"/>
      <c r="GBE529" s="501"/>
      <c r="GBF529" s="501"/>
      <c r="GBG529" s="501"/>
      <c r="GBH529" s="501"/>
      <c r="GBI529" s="501"/>
      <c r="GBJ529" s="501"/>
      <c r="GBK529" s="501"/>
      <c r="GBL529" s="501"/>
      <c r="GBM529" s="501"/>
      <c r="GBN529" s="501"/>
      <c r="GBO529" s="501"/>
      <c r="GBP529" s="501"/>
      <c r="GBQ529" s="501"/>
      <c r="GBR529" s="501"/>
      <c r="GBS529" s="501"/>
      <c r="GBT529" s="501"/>
      <c r="GBU529" s="501"/>
      <c r="GBV529" s="501"/>
      <c r="GBW529" s="501"/>
      <c r="GBX529" s="501"/>
      <c r="GBY529" s="501"/>
      <c r="GBZ529" s="501"/>
      <c r="GCA529" s="501"/>
      <c r="GCB529" s="501"/>
      <c r="GCC529" s="501"/>
      <c r="GCD529" s="501"/>
      <c r="GCE529" s="501"/>
      <c r="GCF529" s="501"/>
      <c r="GCG529" s="501"/>
      <c r="GCH529" s="501"/>
      <c r="GCI529" s="501"/>
      <c r="GCJ529" s="501"/>
      <c r="GCK529" s="501"/>
      <c r="GCL529" s="501"/>
      <c r="GCM529" s="501"/>
      <c r="GCN529" s="501"/>
      <c r="GCO529" s="501"/>
      <c r="GCP529" s="501"/>
      <c r="GCQ529" s="501"/>
      <c r="GCR529" s="501"/>
      <c r="GCS529" s="501"/>
      <c r="GCT529" s="501"/>
      <c r="GCU529" s="501"/>
      <c r="GCV529" s="501"/>
      <c r="GCW529" s="501"/>
      <c r="GCX529" s="501"/>
      <c r="GCY529" s="501"/>
      <c r="GCZ529" s="501"/>
      <c r="GDA529" s="501"/>
      <c r="GDB529" s="501"/>
      <c r="GDC529" s="501"/>
      <c r="GDD529" s="501"/>
      <c r="GDE529" s="501"/>
      <c r="GDF529" s="501"/>
      <c r="GDG529" s="501"/>
      <c r="GDH529" s="501"/>
      <c r="GDI529" s="501"/>
      <c r="GDJ529" s="501"/>
      <c r="GDK529" s="501"/>
      <c r="GDL529" s="501"/>
      <c r="GDM529" s="501"/>
      <c r="GDN529" s="501"/>
      <c r="GDO529" s="501"/>
      <c r="GDP529" s="501"/>
      <c r="GDQ529" s="501"/>
      <c r="GDR529" s="501"/>
      <c r="GDS529" s="501"/>
      <c r="GDT529" s="501"/>
      <c r="GDU529" s="501"/>
      <c r="GDV529" s="501"/>
      <c r="GDW529" s="501"/>
      <c r="GDX529" s="501"/>
      <c r="GDY529" s="501"/>
      <c r="GDZ529" s="501"/>
      <c r="GEA529" s="501"/>
      <c r="GEB529" s="501"/>
      <c r="GEC529" s="501"/>
      <c r="GED529" s="501"/>
      <c r="GEE529" s="501"/>
      <c r="GEF529" s="501"/>
      <c r="GEG529" s="501"/>
      <c r="GEH529" s="501"/>
      <c r="GEI529" s="501"/>
      <c r="GEJ529" s="501"/>
      <c r="GEK529" s="501"/>
      <c r="GEL529" s="501"/>
      <c r="GEM529" s="501"/>
      <c r="GEN529" s="501"/>
      <c r="GEO529" s="501"/>
      <c r="GEP529" s="501"/>
      <c r="GEQ529" s="501"/>
      <c r="GER529" s="501"/>
      <c r="GES529" s="501"/>
      <c r="GET529" s="501"/>
      <c r="GEU529" s="501"/>
      <c r="GEV529" s="501"/>
      <c r="GEW529" s="501"/>
      <c r="GEX529" s="501"/>
      <c r="GEY529" s="501"/>
      <c r="GEZ529" s="501"/>
      <c r="GFA529" s="501"/>
      <c r="GFB529" s="501"/>
      <c r="GFC529" s="501"/>
      <c r="GFD529" s="501"/>
      <c r="GFE529" s="501"/>
      <c r="GFF529" s="501"/>
      <c r="GFG529" s="501"/>
      <c r="GFH529" s="501"/>
      <c r="GFI529" s="501"/>
      <c r="GFJ529" s="501"/>
      <c r="GFK529" s="501"/>
      <c r="GFL529" s="501"/>
      <c r="GFM529" s="501"/>
      <c r="GFN529" s="501"/>
      <c r="GFO529" s="501"/>
      <c r="GFP529" s="501"/>
      <c r="GFQ529" s="501"/>
      <c r="GFR529" s="501"/>
      <c r="GFS529" s="501"/>
      <c r="GFT529" s="501"/>
      <c r="GFU529" s="501"/>
      <c r="GFV529" s="501"/>
      <c r="GFW529" s="501"/>
      <c r="GFX529" s="501"/>
      <c r="GFY529" s="501"/>
      <c r="GFZ529" s="501"/>
      <c r="GGA529" s="501"/>
      <c r="GGB529" s="501"/>
      <c r="GGC529" s="501"/>
      <c r="GGD529" s="501"/>
      <c r="GGE529" s="501"/>
      <c r="GGF529" s="501"/>
      <c r="GGG529" s="501"/>
      <c r="GGH529" s="501"/>
      <c r="GGI529" s="501"/>
      <c r="GGJ529" s="501"/>
      <c r="GGK529" s="501"/>
      <c r="GGL529" s="501"/>
      <c r="GGM529" s="501"/>
      <c r="GGN529" s="501"/>
      <c r="GGO529" s="501"/>
      <c r="GGP529" s="501"/>
      <c r="GGQ529" s="501"/>
      <c r="GGR529" s="501"/>
      <c r="GGS529" s="501"/>
      <c r="GGT529" s="501"/>
      <c r="GGU529" s="501"/>
      <c r="GGV529" s="501"/>
      <c r="GGW529" s="501"/>
      <c r="GGX529" s="501"/>
      <c r="GGY529" s="501"/>
      <c r="GGZ529" s="501"/>
      <c r="GHA529" s="501"/>
      <c r="GHB529" s="501"/>
      <c r="GHC529" s="501"/>
      <c r="GHD529" s="501"/>
      <c r="GHE529" s="501"/>
      <c r="GHF529" s="501"/>
      <c r="GHG529" s="501"/>
      <c r="GHH529" s="501"/>
      <c r="GHI529" s="501"/>
      <c r="GHJ529" s="501"/>
      <c r="GHK529" s="501"/>
      <c r="GHL529" s="501"/>
      <c r="GHM529" s="501"/>
      <c r="GHN529" s="501"/>
      <c r="GHO529" s="501"/>
      <c r="GHP529" s="501"/>
      <c r="GHQ529" s="501"/>
      <c r="GHR529" s="501"/>
      <c r="GHS529" s="501"/>
      <c r="GHT529" s="501"/>
      <c r="GHU529" s="501"/>
      <c r="GHV529" s="501"/>
      <c r="GHW529" s="501"/>
      <c r="GHX529" s="501"/>
      <c r="GHY529" s="501"/>
      <c r="GHZ529" s="501"/>
      <c r="GIA529" s="501"/>
      <c r="GIB529" s="501"/>
      <c r="GIC529" s="501"/>
      <c r="GID529" s="501"/>
      <c r="GIE529" s="501"/>
      <c r="GIF529" s="501"/>
      <c r="GIG529" s="501"/>
      <c r="GIH529" s="501"/>
      <c r="GII529" s="501"/>
      <c r="GIJ529" s="501"/>
      <c r="GIK529" s="501"/>
      <c r="GIL529" s="501"/>
      <c r="GIM529" s="501"/>
      <c r="GIN529" s="501"/>
      <c r="GIO529" s="501"/>
      <c r="GIP529" s="501"/>
      <c r="GIQ529" s="501"/>
      <c r="GIR529" s="501"/>
      <c r="GIS529" s="501"/>
      <c r="GIT529" s="501"/>
      <c r="GIU529" s="501"/>
      <c r="GIV529" s="501"/>
      <c r="GIW529" s="501"/>
      <c r="GIX529" s="501"/>
      <c r="GIY529" s="501"/>
      <c r="GIZ529" s="501"/>
      <c r="GJA529" s="501"/>
      <c r="GJB529" s="501"/>
      <c r="GJC529" s="501"/>
      <c r="GJD529" s="501"/>
      <c r="GJE529" s="501"/>
      <c r="GJF529" s="501"/>
      <c r="GJG529" s="501"/>
      <c r="GJH529" s="501"/>
      <c r="GJI529" s="501"/>
      <c r="GJJ529" s="501"/>
      <c r="GJK529" s="501"/>
      <c r="GJL529" s="501"/>
      <c r="GJM529" s="501"/>
      <c r="GJN529" s="501"/>
      <c r="GJO529" s="501"/>
      <c r="GJP529" s="501"/>
      <c r="GJQ529" s="501"/>
      <c r="GJR529" s="501"/>
      <c r="GJS529" s="501"/>
      <c r="GJT529" s="501"/>
      <c r="GJU529" s="501"/>
      <c r="GJV529" s="501"/>
      <c r="GJW529" s="501"/>
      <c r="GJX529" s="501"/>
      <c r="GJY529" s="501"/>
      <c r="GJZ529" s="501"/>
      <c r="GKA529" s="501"/>
      <c r="GKB529" s="501"/>
      <c r="GKC529" s="501"/>
      <c r="GKD529" s="501"/>
      <c r="GKE529" s="501"/>
      <c r="GKF529" s="501"/>
      <c r="GKG529" s="501"/>
      <c r="GKH529" s="501"/>
      <c r="GKI529" s="501"/>
      <c r="GKJ529" s="501"/>
      <c r="GKK529" s="501"/>
      <c r="GKL529" s="501"/>
      <c r="GKM529" s="501"/>
      <c r="GKN529" s="501"/>
      <c r="GKO529" s="501"/>
      <c r="GKP529" s="501"/>
      <c r="GKQ529" s="501"/>
      <c r="GKR529" s="501"/>
      <c r="GKS529" s="501"/>
      <c r="GKT529" s="501"/>
      <c r="GKU529" s="501"/>
      <c r="GKV529" s="501"/>
      <c r="GKW529" s="501"/>
      <c r="GKX529" s="501"/>
      <c r="GKY529" s="501"/>
      <c r="GKZ529" s="501"/>
      <c r="GLA529" s="501"/>
      <c r="GLB529" s="501"/>
      <c r="GLC529" s="501"/>
      <c r="GLD529" s="501"/>
      <c r="GLE529" s="501"/>
      <c r="GLF529" s="501"/>
      <c r="GLG529" s="501"/>
      <c r="GLH529" s="501"/>
      <c r="GLI529" s="501"/>
      <c r="GLJ529" s="501"/>
      <c r="GLK529" s="501"/>
      <c r="GLL529" s="501"/>
      <c r="GLM529" s="501"/>
      <c r="GLN529" s="501"/>
      <c r="GLO529" s="501"/>
      <c r="GLP529" s="501"/>
      <c r="GLQ529" s="501"/>
      <c r="GLR529" s="501"/>
      <c r="GLS529" s="501"/>
      <c r="GLT529" s="501"/>
      <c r="GLU529" s="501"/>
      <c r="GLV529" s="501"/>
      <c r="GLW529" s="501"/>
      <c r="GLX529" s="501"/>
      <c r="GLY529" s="501"/>
      <c r="GLZ529" s="501"/>
      <c r="GMA529" s="501"/>
      <c r="GMB529" s="501"/>
      <c r="GMC529" s="501"/>
      <c r="GMD529" s="501"/>
      <c r="GME529" s="501"/>
      <c r="GMF529" s="501"/>
      <c r="GMG529" s="501"/>
      <c r="GMH529" s="501"/>
      <c r="GMI529" s="501"/>
      <c r="GMJ529" s="501"/>
      <c r="GMK529" s="501"/>
      <c r="GML529" s="501"/>
      <c r="GMM529" s="501"/>
      <c r="GMN529" s="501"/>
      <c r="GMO529" s="501"/>
      <c r="GMP529" s="501"/>
      <c r="GMQ529" s="501"/>
      <c r="GMR529" s="501"/>
      <c r="GMS529" s="501"/>
      <c r="GMT529" s="501"/>
      <c r="GMU529" s="501"/>
      <c r="GMV529" s="501"/>
      <c r="GMW529" s="501"/>
      <c r="GMX529" s="501"/>
      <c r="GMY529" s="501"/>
      <c r="GMZ529" s="501"/>
      <c r="GNA529" s="501"/>
      <c r="GNB529" s="501"/>
      <c r="GNC529" s="501"/>
      <c r="GND529" s="501"/>
      <c r="GNE529" s="501"/>
      <c r="GNF529" s="501"/>
      <c r="GNG529" s="501"/>
      <c r="GNH529" s="501"/>
      <c r="GNI529" s="501"/>
      <c r="GNJ529" s="501"/>
      <c r="GNK529" s="501"/>
      <c r="GNL529" s="501"/>
      <c r="GNM529" s="501"/>
      <c r="GNN529" s="501"/>
      <c r="GNO529" s="501"/>
      <c r="GNP529" s="501"/>
      <c r="GNQ529" s="501"/>
      <c r="GNR529" s="501"/>
      <c r="GNS529" s="501"/>
      <c r="GNT529" s="501"/>
      <c r="GNU529" s="501"/>
      <c r="GNV529" s="501"/>
      <c r="GNW529" s="501"/>
      <c r="GNX529" s="501"/>
      <c r="GNY529" s="501"/>
      <c r="GNZ529" s="501"/>
      <c r="GOA529" s="501"/>
      <c r="GOB529" s="501"/>
      <c r="GOC529" s="501"/>
      <c r="GOD529" s="501"/>
      <c r="GOE529" s="501"/>
      <c r="GOF529" s="501"/>
      <c r="GOG529" s="501"/>
      <c r="GOH529" s="501"/>
      <c r="GOI529" s="501"/>
      <c r="GOJ529" s="501"/>
      <c r="GOK529" s="501"/>
      <c r="GOL529" s="501"/>
      <c r="GOM529" s="501"/>
      <c r="GON529" s="501"/>
      <c r="GOO529" s="501"/>
      <c r="GOP529" s="501"/>
      <c r="GOQ529" s="501"/>
      <c r="GOR529" s="501"/>
      <c r="GOS529" s="501"/>
      <c r="GOT529" s="501"/>
      <c r="GOU529" s="501"/>
      <c r="GOV529" s="501"/>
      <c r="GOW529" s="501"/>
      <c r="GOX529" s="501"/>
      <c r="GOY529" s="501"/>
      <c r="GOZ529" s="501"/>
      <c r="GPA529" s="501"/>
      <c r="GPB529" s="501"/>
      <c r="GPC529" s="501"/>
      <c r="GPD529" s="501"/>
      <c r="GPE529" s="501"/>
      <c r="GPF529" s="501"/>
      <c r="GPG529" s="501"/>
      <c r="GPH529" s="501"/>
      <c r="GPI529" s="501"/>
      <c r="GPJ529" s="501"/>
      <c r="GPK529" s="501"/>
      <c r="GPL529" s="501"/>
      <c r="GPM529" s="501"/>
      <c r="GPN529" s="501"/>
      <c r="GPO529" s="501"/>
      <c r="GPP529" s="501"/>
      <c r="GPQ529" s="501"/>
      <c r="GPR529" s="501"/>
      <c r="GPS529" s="501"/>
      <c r="GPT529" s="501"/>
      <c r="GPU529" s="501"/>
      <c r="GPV529" s="501"/>
      <c r="GPW529" s="501"/>
      <c r="GPX529" s="501"/>
      <c r="GPY529" s="501"/>
      <c r="GPZ529" s="501"/>
      <c r="GQA529" s="501"/>
      <c r="GQB529" s="501"/>
      <c r="GQC529" s="501"/>
      <c r="GQD529" s="501"/>
      <c r="GQE529" s="501"/>
      <c r="GQF529" s="501"/>
      <c r="GQG529" s="501"/>
      <c r="GQH529" s="501"/>
      <c r="GQI529" s="501"/>
      <c r="GQJ529" s="501"/>
      <c r="GQK529" s="501"/>
      <c r="GQL529" s="501"/>
      <c r="GQM529" s="501"/>
      <c r="GQN529" s="501"/>
      <c r="GQO529" s="501"/>
      <c r="GQP529" s="501"/>
      <c r="GQQ529" s="501"/>
      <c r="GQR529" s="501"/>
      <c r="GQS529" s="501"/>
      <c r="GQT529" s="501"/>
      <c r="GQU529" s="501"/>
      <c r="GQV529" s="501"/>
      <c r="GQW529" s="501"/>
      <c r="GQX529" s="501"/>
      <c r="GQY529" s="501"/>
      <c r="GQZ529" s="501"/>
      <c r="GRA529" s="501"/>
      <c r="GRB529" s="501"/>
      <c r="GRC529" s="501"/>
      <c r="GRD529" s="501"/>
      <c r="GRE529" s="501"/>
      <c r="GRF529" s="501"/>
      <c r="GRG529" s="501"/>
      <c r="GRH529" s="501"/>
      <c r="GRI529" s="501"/>
      <c r="GRJ529" s="501"/>
      <c r="GRK529" s="501"/>
      <c r="GRL529" s="501"/>
      <c r="GRM529" s="501"/>
      <c r="GRN529" s="501"/>
      <c r="GRO529" s="501"/>
      <c r="GRP529" s="501"/>
      <c r="GRQ529" s="501"/>
      <c r="GRR529" s="501"/>
      <c r="GRS529" s="501"/>
      <c r="GRT529" s="501"/>
      <c r="GRU529" s="501"/>
      <c r="GRV529" s="501"/>
      <c r="GRW529" s="501"/>
      <c r="GRX529" s="501"/>
      <c r="GRY529" s="501"/>
      <c r="GRZ529" s="501"/>
      <c r="GSA529" s="501"/>
      <c r="GSB529" s="501"/>
      <c r="GSC529" s="501"/>
      <c r="GSD529" s="501"/>
      <c r="GSE529" s="501"/>
      <c r="GSF529" s="501"/>
      <c r="GSG529" s="501"/>
      <c r="GSH529" s="501"/>
      <c r="GSI529" s="501"/>
      <c r="GSJ529" s="501"/>
      <c r="GSK529" s="501"/>
      <c r="GSL529" s="501"/>
      <c r="GSM529" s="501"/>
      <c r="GSN529" s="501"/>
      <c r="GSO529" s="501"/>
      <c r="GSP529" s="501"/>
      <c r="GSQ529" s="501"/>
      <c r="GSR529" s="501"/>
      <c r="GSS529" s="501"/>
      <c r="GST529" s="501"/>
      <c r="GSU529" s="501"/>
      <c r="GSV529" s="501"/>
      <c r="GSW529" s="501"/>
      <c r="GSX529" s="501"/>
      <c r="GSY529" s="501"/>
      <c r="GSZ529" s="501"/>
      <c r="GTA529" s="501"/>
      <c r="GTB529" s="501"/>
      <c r="GTC529" s="501"/>
      <c r="GTD529" s="501"/>
      <c r="GTE529" s="501"/>
      <c r="GTF529" s="501"/>
      <c r="GTG529" s="501"/>
      <c r="GTH529" s="501"/>
      <c r="GTI529" s="501"/>
      <c r="GTJ529" s="501"/>
      <c r="GTK529" s="501"/>
      <c r="GTL529" s="501"/>
      <c r="GTM529" s="501"/>
      <c r="GTN529" s="501"/>
      <c r="GTO529" s="501"/>
      <c r="GTP529" s="501"/>
      <c r="GTQ529" s="501"/>
      <c r="GTR529" s="501"/>
      <c r="GTS529" s="501"/>
      <c r="GTT529" s="501"/>
      <c r="GTU529" s="501"/>
      <c r="GTV529" s="501"/>
      <c r="GTW529" s="501"/>
      <c r="GTX529" s="501"/>
      <c r="GTY529" s="501"/>
      <c r="GTZ529" s="501"/>
      <c r="GUA529" s="501"/>
      <c r="GUB529" s="501"/>
      <c r="GUC529" s="501"/>
      <c r="GUD529" s="501"/>
      <c r="GUE529" s="501"/>
      <c r="GUF529" s="501"/>
      <c r="GUG529" s="501"/>
      <c r="GUH529" s="501"/>
      <c r="GUI529" s="501"/>
      <c r="GUJ529" s="501"/>
      <c r="GUK529" s="501"/>
      <c r="GUL529" s="501"/>
      <c r="GUM529" s="501"/>
      <c r="GUN529" s="501"/>
      <c r="GUO529" s="501"/>
      <c r="GUP529" s="501"/>
      <c r="GUQ529" s="501"/>
      <c r="GUR529" s="501"/>
      <c r="GUS529" s="501"/>
      <c r="GUT529" s="501"/>
      <c r="GUU529" s="501"/>
      <c r="GUV529" s="501"/>
      <c r="GUW529" s="501"/>
      <c r="GUX529" s="501"/>
      <c r="GUY529" s="501"/>
      <c r="GUZ529" s="501"/>
      <c r="GVA529" s="501"/>
      <c r="GVB529" s="501"/>
      <c r="GVC529" s="501"/>
      <c r="GVD529" s="501"/>
      <c r="GVE529" s="501"/>
      <c r="GVF529" s="501"/>
      <c r="GVG529" s="501"/>
      <c r="GVH529" s="501"/>
      <c r="GVI529" s="501"/>
      <c r="GVJ529" s="501"/>
      <c r="GVK529" s="501"/>
      <c r="GVL529" s="501"/>
      <c r="GVM529" s="501"/>
      <c r="GVN529" s="501"/>
      <c r="GVO529" s="501"/>
      <c r="GVP529" s="501"/>
      <c r="GVQ529" s="501"/>
      <c r="GVR529" s="501"/>
      <c r="GVS529" s="501"/>
      <c r="GVT529" s="501"/>
      <c r="GVU529" s="501"/>
      <c r="GVV529" s="501"/>
      <c r="GVW529" s="501"/>
      <c r="GVX529" s="501"/>
      <c r="GVY529" s="501"/>
      <c r="GVZ529" s="501"/>
      <c r="GWA529" s="501"/>
      <c r="GWB529" s="501"/>
      <c r="GWC529" s="501"/>
      <c r="GWD529" s="501"/>
      <c r="GWE529" s="501"/>
      <c r="GWF529" s="501"/>
      <c r="GWG529" s="501"/>
      <c r="GWH529" s="501"/>
      <c r="GWI529" s="501"/>
      <c r="GWJ529" s="501"/>
      <c r="GWK529" s="501"/>
      <c r="GWL529" s="501"/>
      <c r="GWM529" s="501"/>
      <c r="GWN529" s="501"/>
      <c r="GWO529" s="501"/>
      <c r="GWP529" s="501"/>
      <c r="GWQ529" s="501"/>
      <c r="GWR529" s="501"/>
      <c r="GWS529" s="501"/>
      <c r="GWT529" s="501"/>
      <c r="GWU529" s="501"/>
      <c r="GWV529" s="501"/>
      <c r="GWW529" s="501"/>
      <c r="GWX529" s="501"/>
      <c r="GWY529" s="501"/>
      <c r="GWZ529" s="501"/>
      <c r="GXA529" s="501"/>
      <c r="GXB529" s="501"/>
      <c r="GXC529" s="501"/>
      <c r="GXD529" s="501"/>
      <c r="GXE529" s="501"/>
      <c r="GXF529" s="501"/>
      <c r="GXG529" s="501"/>
      <c r="GXH529" s="501"/>
      <c r="GXI529" s="501"/>
      <c r="GXJ529" s="501"/>
      <c r="GXK529" s="501"/>
      <c r="GXL529" s="501"/>
      <c r="GXM529" s="501"/>
      <c r="GXN529" s="501"/>
      <c r="GXO529" s="501"/>
      <c r="GXP529" s="501"/>
      <c r="GXQ529" s="501"/>
      <c r="GXR529" s="501"/>
      <c r="GXS529" s="501"/>
      <c r="GXT529" s="501"/>
      <c r="GXU529" s="501"/>
      <c r="GXV529" s="501"/>
      <c r="GXW529" s="501"/>
      <c r="GXX529" s="501"/>
      <c r="GXY529" s="501"/>
      <c r="GXZ529" s="501"/>
      <c r="GYA529" s="501"/>
      <c r="GYB529" s="501"/>
      <c r="GYC529" s="501"/>
      <c r="GYD529" s="501"/>
      <c r="GYE529" s="501"/>
      <c r="GYF529" s="501"/>
      <c r="GYG529" s="501"/>
      <c r="GYH529" s="501"/>
      <c r="GYI529" s="501"/>
      <c r="GYJ529" s="501"/>
      <c r="GYK529" s="501"/>
      <c r="GYL529" s="501"/>
      <c r="GYM529" s="501"/>
      <c r="GYN529" s="501"/>
      <c r="GYO529" s="501"/>
      <c r="GYP529" s="501"/>
      <c r="GYQ529" s="501"/>
      <c r="GYR529" s="501"/>
      <c r="GYS529" s="501"/>
      <c r="GYT529" s="501"/>
      <c r="GYU529" s="501"/>
      <c r="GYV529" s="501"/>
      <c r="GYW529" s="501"/>
      <c r="GYX529" s="501"/>
      <c r="GYY529" s="501"/>
      <c r="GYZ529" s="501"/>
      <c r="GZA529" s="501"/>
      <c r="GZB529" s="501"/>
      <c r="GZC529" s="501"/>
      <c r="GZD529" s="501"/>
      <c r="GZE529" s="501"/>
      <c r="GZF529" s="501"/>
      <c r="GZG529" s="501"/>
      <c r="GZH529" s="501"/>
      <c r="GZI529" s="501"/>
      <c r="GZJ529" s="501"/>
      <c r="GZK529" s="501"/>
      <c r="GZL529" s="501"/>
      <c r="GZM529" s="501"/>
      <c r="GZN529" s="501"/>
      <c r="GZO529" s="501"/>
      <c r="GZP529" s="501"/>
      <c r="GZQ529" s="501"/>
      <c r="GZR529" s="501"/>
      <c r="GZS529" s="501"/>
      <c r="GZT529" s="501"/>
      <c r="GZU529" s="501"/>
      <c r="GZV529" s="501"/>
      <c r="GZW529" s="501"/>
      <c r="GZX529" s="501"/>
      <c r="GZY529" s="501"/>
      <c r="GZZ529" s="501"/>
      <c r="HAA529" s="501"/>
      <c r="HAB529" s="501"/>
      <c r="HAC529" s="501"/>
      <c r="HAD529" s="501"/>
      <c r="HAE529" s="501"/>
      <c r="HAF529" s="501"/>
      <c r="HAG529" s="501"/>
      <c r="HAH529" s="501"/>
      <c r="HAI529" s="501"/>
      <c r="HAJ529" s="501"/>
      <c r="HAK529" s="501"/>
      <c r="HAL529" s="501"/>
      <c r="HAM529" s="501"/>
      <c r="HAN529" s="501"/>
      <c r="HAO529" s="501"/>
      <c r="HAP529" s="501"/>
      <c r="HAQ529" s="501"/>
      <c r="HAR529" s="501"/>
      <c r="HAS529" s="501"/>
      <c r="HAT529" s="501"/>
      <c r="HAU529" s="501"/>
      <c r="HAV529" s="501"/>
      <c r="HAW529" s="501"/>
      <c r="HAX529" s="501"/>
      <c r="HAY529" s="501"/>
      <c r="HAZ529" s="501"/>
      <c r="HBA529" s="501"/>
      <c r="HBB529" s="501"/>
      <c r="HBC529" s="501"/>
      <c r="HBD529" s="501"/>
      <c r="HBE529" s="501"/>
      <c r="HBF529" s="501"/>
      <c r="HBG529" s="501"/>
      <c r="HBH529" s="501"/>
      <c r="HBI529" s="501"/>
      <c r="HBJ529" s="501"/>
      <c r="HBK529" s="501"/>
      <c r="HBL529" s="501"/>
      <c r="HBM529" s="501"/>
      <c r="HBN529" s="501"/>
      <c r="HBO529" s="501"/>
      <c r="HBP529" s="501"/>
      <c r="HBQ529" s="501"/>
      <c r="HBR529" s="501"/>
      <c r="HBS529" s="501"/>
      <c r="HBT529" s="501"/>
      <c r="HBU529" s="501"/>
      <c r="HBV529" s="501"/>
      <c r="HBW529" s="501"/>
      <c r="HBX529" s="501"/>
      <c r="HBY529" s="501"/>
      <c r="HBZ529" s="501"/>
      <c r="HCA529" s="501"/>
      <c r="HCB529" s="501"/>
      <c r="HCC529" s="501"/>
      <c r="HCD529" s="501"/>
      <c r="HCE529" s="501"/>
      <c r="HCF529" s="501"/>
      <c r="HCG529" s="501"/>
      <c r="HCH529" s="501"/>
      <c r="HCI529" s="501"/>
      <c r="HCJ529" s="501"/>
      <c r="HCK529" s="501"/>
      <c r="HCL529" s="501"/>
      <c r="HCM529" s="501"/>
      <c r="HCN529" s="501"/>
      <c r="HCO529" s="501"/>
      <c r="HCP529" s="501"/>
      <c r="HCQ529" s="501"/>
      <c r="HCR529" s="501"/>
      <c r="HCS529" s="501"/>
      <c r="HCT529" s="501"/>
      <c r="HCU529" s="501"/>
      <c r="HCV529" s="501"/>
      <c r="HCW529" s="501"/>
      <c r="HCX529" s="501"/>
      <c r="HCY529" s="501"/>
      <c r="HCZ529" s="501"/>
      <c r="HDA529" s="501"/>
      <c r="HDB529" s="501"/>
      <c r="HDC529" s="501"/>
      <c r="HDD529" s="501"/>
      <c r="HDE529" s="501"/>
      <c r="HDF529" s="501"/>
      <c r="HDG529" s="501"/>
      <c r="HDH529" s="501"/>
      <c r="HDI529" s="501"/>
      <c r="HDJ529" s="501"/>
      <c r="HDK529" s="501"/>
      <c r="HDL529" s="501"/>
      <c r="HDM529" s="501"/>
      <c r="HDN529" s="501"/>
      <c r="HDO529" s="501"/>
      <c r="HDP529" s="501"/>
      <c r="HDQ529" s="501"/>
      <c r="HDR529" s="501"/>
      <c r="HDS529" s="501"/>
      <c r="HDT529" s="501"/>
      <c r="HDU529" s="501"/>
      <c r="HDV529" s="501"/>
      <c r="HDW529" s="501"/>
      <c r="HDX529" s="501"/>
      <c r="HDY529" s="501"/>
      <c r="HDZ529" s="501"/>
      <c r="HEA529" s="501"/>
      <c r="HEB529" s="501"/>
      <c r="HEC529" s="501"/>
      <c r="HED529" s="501"/>
      <c r="HEE529" s="501"/>
      <c r="HEF529" s="501"/>
      <c r="HEG529" s="501"/>
      <c r="HEH529" s="501"/>
      <c r="HEI529" s="501"/>
      <c r="HEJ529" s="501"/>
      <c r="HEK529" s="501"/>
      <c r="HEL529" s="501"/>
      <c r="HEM529" s="501"/>
      <c r="HEN529" s="501"/>
      <c r="HEO529" s="501"/>
      <c r="HEP529" s="501"/>
      <c r="HEQ529" s="501"/>
      <c r="HER529" s="501"/>
      <c r="HES529" s="501"/>
      <c r="HET529" s="501"/>
      <c r="HEU529" s="501"/>
      <c r="HEV529" s="501"/>
      <c r="HEW529" s="501"/>
      <c r="HEX529" s="501"/>
      <c r="HEY529" s="501"/>
      <c r="HEZ529" s="501"/>
      <c r="HFA529" s="501"/>
      <c r="HFB529" s="501"/>
      <c r="HFC529" s="501"/>
      <c r="HFD529" s="501"/>
      <c r="HFE529" s="501"/>
      <c r="HFF529" s="501"/>
      <c r="HFG529" s="501"/>
      <c r="HFH529" s="501"/>
      <c r="HFI529" s="501"/>
      <c r="HFJ529" s="501"/>
      <c r="HFK529" s="501"/>
      <c r="HFL529" s="501"/>
      <c r="HFM529" s="501"/>
      <c r="HFN529" s="501"/>
      <c r="HFO529" s="501"/>
      <c r="HFP529" s="501"/>
      <c r="HFQ529" s="501"/>
      <c r="HFR529" s="501"/>
      <c r="HFS529" s="501"/>
      <c r="HFT529" s="501"/>
      <c r="HFU529" s="501"/>
      <c r="HFV529" s="501"/>
      <c r="HFW529" s="501"/>
      <c r="HFX529" s="501"/>
      <c r="HFY529" s="501"/>
      <c r="HFZ529" s="501"/>
      <c r="HGA529" s="501"/>
      <c r="HGB529" s="501"/>
      <c r="HGC529" s="501"/>
      <c r="HGD529" s="501"/>
      <c r="HGE529" s="501"/>
      <c r="HGF529" s="501"/>
      <c r="HGG529" s="501"/>
      <c r="HGH529" s="501"/>
      <c r="HGI529" s="501"/>
      <c r="HGJ529" s="501"/>
      <c r="HGK529" s="501"/>
      <c r="HGL529" s="501"/>
      <c r="HGM529" s="501"/>
      <c r="HGN529" s="501"/>
      <c r="HGO529" s="501"/>
      <c r="HGP529" s="501"/>
      <c r="HGQ529" s="501"/>
      <c r="HGR529" s="501"/>
      <c r="HGS529" s="501"/>
      <c r="HGT529" s="501"/>
      <c r="HGU529" s="501"/>
      <c r="HGV529" s="501"/>
      <c r="HGW529" s="501"/>
      <c r="HGX529" s="501"/>
      <c r="HGY529" s="501"/>
      <c r="HGZ529" s="501"/>
      <c r="HHA529" s="501"/>
      <c r="HHB529" s="501"/>
      <c r="HHC529" s="501"/>
      <c r="HHD529" s="501"/>
      <c r="HHE529" s="501"/>
      <c r="HHF529" s="501"/>
      <c r="HHG529" s="501"/>
      <c r="HHH529" s="501"/>
      <c r="HHI529" s="501"/>
      <c r="HHJ529" s="501"/>
      <c r="HHK529" s="501"/>
      <c r="HHL529" s="501"/>
      <c r="HHM529" s="501"/>
      <c r="HHN529" s="501"/>
      <c r="HHO529" s="501"/>
      <c r="HHP529" s="501"/>
      <c r="HHQ529" s="501"/>
      <c r="HHR529" s="501"/>
      <c r="HHS529" s="501"/>
      <c r="HHT529" s="501"/>
      <c r="HHU529" s="501"/>
      <c r="HHV529" s="501"/>
      <c r="HHW529" s="501"/>
      <c r="HHX529" s="501"/>
      <c r="HHY529" s="501"/>
      <c r="HHZ529" s="501"/>
      <c r="HIA529" s="501"/>
      <c r="HIB529" s="501"/>
      <c r="HIC529" s="501"/>
      <c r="HID529" s="501"/>
      <c r="HIE529" s="501"/>
      <c r="HIF529" s="501"/>
      <c r="HIG529" s="501"/>
      <c r="HIH529" s="501"/>
      <c r="HII529" s="501"/>
      <c r="HIJ529" s="501"/>
      <c r="HIK529" s="501"/>
      <c r="HIL529" s="501"/>
      <c r="HIM529" s="501"/>
      <c r="HIN529" s="501"/>
      <c r="HIO529" s="501"/>
      <c r="HIP529" s="501"/>
      <c r="HIQ529" s="501"/>
      <c r="HIR529" s="501"/>
      <c r="HIS529" s="501"/>
      <c r="HIT529" s="501"/>
      <c r="HIU529" s="501"/>
      <c r="HIV529" s="501"/>
      <c r="HIW529" s="501"/>
      <c r="HIX529" s="501"/>
      <c r="HIY529" s="501"/>
      <c r="HIZ529" s="501"/>
      <c r="HJA529" s="501"/>
      <c r="HJB529" s="501"/>
      <c r="HJC529" s="501"/>
      <c r="HJD529" s="501"/>
      <c r="HJE529" s="501"/>
      <c r="HJF529" s="501"/>
      <c r="HJG529" s="501"/>
      <c r="HJH529" s="501"/>
      <c r="HJI529" s="501"/>
      <c r="HJJ529" s="501"/>
      <c r="HJK529" s="501"/>
      <c r="HJL529" s="501"/>
      <c r="HJM529" s="501"/>
      <c r="HJN529" s="501"/>
      <c r="HJO529" s="501"/>
      <c r="HJP529" s="501"/>
      <c r="HJQ529" s="501"/>
      <c r="HJR529" s="501"/>
      <c r="HJS529" s="501"/>
      <c r="HJT529" s="501"/>
      <c r="HJU529" s="501"/>
      <c r="HJV529" s="501"/>
      <c r="HJW529" s="501"/>
      <c r="HJX529" s="501"/>
      <c r="HJY529" s="501"/>
      <c r="HJZ529" s="501"/>
      <c r="HKA529" s="501"/>
      <c r="HKB529" s="501"/>
      <c r="HKC529" s="501"/>
      <c r="HKD529" s="501"/>
      <c r="HKE529" s="501"/>
      <c r="HKF529" s="501"/>
      <c r="HKG529" s="501"/>
      <c r="HKH529" s="501"/>
      <c r="HKI529" s="501"/>
      <c r="HKJ529" s="501"/>
      <c r="HKK529" s="501"/>
      <c r="HKL529" s="501"/>
      <c r="HKM529" s="501"/>
      <c r="HKN529" s="501"/>
      <c r="HKO529" s="501"/>
      <c r="HKP529" s="501"/>
      <c r="HKQ529" s="501"/>
      <c r="HKR529" s="501"/>
      <c r="HKS529" s="501"/>
      <c r="HKT529" s="501"/>
      <c r="HKU529" s="501"/>
      <c r="HKV529" s="501"/>
      <c r="HKW529" s="501"/>
      <c r="HKX529" s="501"/>
      <c r="HKY529" s="501"/>
      <c r="HKZ529" s="501"/>
      <c r="HLA529" s="501"/>
      <c r="HLB529" s="501"/>
      <c r="HLC529" s="501"/>
      <c r="HLD529" s="501"/>
      <c r="HLE529" s="501"/>
      <c r="HLF529" s="501"/>
      <c r="HLG529" s="501"/>
      <c r="HLH529" s="501"/>
      <c r="HLI529" s="501"/>
      <c r="HLJ529" s="501"/>
      <c r="HLK529" s="501"/>
      <c r="HLL529" s="501"/>
      <c r="HLM529" s="501"/>
      <c r="HLN529" s="501"/>
      <c r="HLO529" s="501"/>
      <c r="HLP529" s="501"/>
      <c r="HLQ529" s="501"/>
      <c r="HLR529" s="501"/>
      <c r="HLS529" s="501"/>
      <c r="HLT529" s="501"/>
      <c r="HLU529" s="501"/>
      <c r="HLV529" s="501"/>
      <c r="HLW529" s="501"/>
      <c r="HLX529" s="501"/>
      <c r="HLY529" s="501"/>
      <c r="HLZ529" s="501"/>
      <c r="HMA529" s="501"/>
      <c r="HMB529" s="501"/>
      <c r="HMC529" s="501"/>
      <c r="HMD529" s="501"/>
      <c r="HME529" s="501"/>
      <c r="HMF529" s="501"/>
      <c r="HMG529" s="501"/>
      <c r="HMH529" s="501"/>
      <c r="HMI529" s="501"/>
      <c r="HMJ529" s="501"/>
      <c r="HMK529" s="501"/>
      <c r="HML529" s="501"/>
      <c r="HMM529" s="501"/>
      <c r="HMN529" s="501"/>
      <c r="HMO529" s="501"/>
      <c r="HMP529" s="501"/>
      <c r="HMQ529" s="501"/>
      <c r="HMR529" s="501"/>
      <c r="HMS529" s="501"/>
      <c r="HMT529" s="501"/>
      <c r="HMU529" s="501"/>
      <c r="HMV529" s="501"/>
      <c r="HMW529" s="501"/>
      <c r="HMX529" s="501"/>
      <c r="HMY529" s="501"/>
      <c r="HMZ529" s="501"/>
      <c r="HNA529" s="501"/>
      <c r="HNB529" s="501"/>
      <c r="HNC529" s="501"/>
      <c r="HND529" s="501"/>
      <c r="HNE529" s="501"/>
      <c r="HNF529" s="501"/>
      <c r="HNG529" s="501"/>
      <c r="HNH529" s="501"/>
      <c r="HNI529" s="501"/>
      <c r="HNJ529" s="501"/>
      <c r="HNK529" s="501"/>
      <c r="HNL529" s="501"/>
      <c r="HNM529" s="501"/>
      <c r="HNN529" s="501"/>
      <c r="HNO529" s="501"/>
      <c r="HNP529" s="501"/>
      <c r="HNQ529" s="501"/>
      <c r="HNR529" s="501"/>
      <c r="HNS529" s="501"/>
      <c r="HNT529" s="501"/>
      <c r="HNU529" s="501"/>
      <c r="HNV529" s="501"/>
      <c r="HNW529" s="501"/>
      <c r="HNX529" s="501"/>
      <c r="HNY529" s="501"/>
      <c r="HNZ529" s="501"/>
      <c r="HOA529" s="501"/>
      <c r="HOB529" s="501"/>
      <c r="HOC529" s="501"/>
      <c r="HOD529" s="501"/>
      <c r="HOE529" s="501"/>
      <c r="HOF529" s="501"/>
      <c r="HOG529" s="501"/>
      <c r="HOH529" s="501"/>
      <c r="HOI529" s="501"/>
      <c r="HOJ529" s="501"/>
      <c r="HOK529" s="501"/>
      <c r="HOL529" s="501"/>
      <c r="HOM529" s="501"/>
      <c r="HON529" s="501"/>
      <c r="HOO529" s="501"/>
      <c r="HOP529" s="501"/>
      <c r="HOQ529" s="501"/>
      <c r="HOR529" s="501"/>
      <c r="HOS529" s="501"/>
      <c r="HOT529" s="501"/>
      <c r="HOU529" s="501"/>
      <c r="HOV529" s="501"/>
      <c r="HOW529" s="501"/>
      <c r="HOX529" s="501"/>
      <c r="HOY529" s="501"/>
      <c r="HOZ529" s="501"/>
      <c r="HPA529" s="501"/>
      <c r="HPB529" s="501"/>
      <c r="HPC529" s="501"/>
      <c r="HPD529" s="501"/>
      <c r="HPE529" s="501"/>
      <c r="HPF529" s="501"/>
      <c r="HPG529" s="501"/>
      <c r="HPH529" s="501"/>
      <c r="HPI529" s="501"/>
      <c r="HPJ529" s="501"/>
      <c r="HPK529" s="501"/>
      <c r="HPL529" s="501"/>
      <c r="HPM529" s="501"/>
      <c r="HPN529" s="501"/>
      <c r="HPO529" s="501"/>
      <c r="HPP529" s="501"/>
      <c r="HPQ529" s="501"/>
      <c r="HPR529" s="501"/>
      <c r="HPS529" s="501"/>
      <c r="HPT529" s="501"/>
      <c r="HPU529" s="501"/>
      <c r="HPV529" s="501"/>
      <c r="HPW529" s="501"/>
      <c r="HPX529" s="501"/>
      <c r="HPY529" s="501"/>
      <c r="HPZ529" s="501"/>
      <c r="HQA529" s="501"/>
      <c r="HQB529" s="501"/>
      <c r="HQC529" s="501"/>
      <c r="HQD529" s="501"/>
      <c r="HQE529" s="501"/>
      <c r="HQF529" s="501"/>
      <c r="HQG529" s="501"/>
      <c r="HQH529" s="501"/>
      <c r="HQI529" s="501"/>
      <c r="HQJ529" s="501"/>
      <c r="HQK529" s="501"/>
      <c r="HQL529" s="501"/>
      <c r="HQM529" s="501"/>
      <c r="HQN529" s="501"/>
      <c r="HQO529" s="501"/>
      <c r="HQP529" s="501"/>
      <c r="HQQ529" s="501"/>
      <c r="HQR529" s="501"/>
      <c r="HQS529" s="501"/>
      <c r="HQT529" s="501"/>
      <c r="HQU529" s="501"/>
      <c r="HQV529" s="501"/>
      <c r="HQW529" s="501"/>
      <c r="HQX529" s="501"/>
      <c r="HQY529" s="501"/>
      <c r="HQZ529" s="501"/>
      <c r="HRA529" s="501"/>
      <c r="HRB529" s="501"/>
      <c r="HRC529" s="501"/>
      <c r="HRD529" s="501"/>
      <c r="HRE529" s="501"/>
      <c r="HRF529" s="501"/>
      <c r="HRG529" s="501"/>
      <c r="HRH529" s="501"/>
      <c r="HRI529" s="501"/>
      <c r="HRJ529" s="501"/>
      <c r="HRK529" s="501"/>
      <c r="HRL529" s="501"/>
      <c r="HRM529" s="501"/>
      <c r="HRN529" s="501"/>
      <c r="HRO529" s="501"/>
      <c r="HRP529" s="501"/>
      <c r="HRQ529" s="501"/>
      <c r="HRR529" s="501"/>
      <c r="HRS529" s="501"/>
      <c r="HRT529" s="501"/>
      <c r="HRU529" s="501"/>
      <c r="HRV529" s="501"/>
      <c r="HRW529" s="501"/>
      <c r="HRX529" s="501"/>
      <c r="HRY529" s="501"/>
      <c r="HRZ529" s="501"/>
      <c r="HSA529" s="501"/>
      <c r="HSB529" s="501"/>
      <c r="HSC529" s="501"/>
      <c r="HSD529" s="501"/>
      <c r="HSE529" s="501"/>
      <c r="HSF529" s="501"/>
      <c r="HSG529" s="501"/>
      <c r="HSH529" s="501"/>
      <c r="HSI529" s="501"/>
      <c r="HSJ529" s="501"/>
      <c r="HSK529" s="501"/>
      <c r="HSL529" s="501"/>
      <c r="HSM529" s="501"/>
      <c r="HSN529" s="501"/>
      <c r="HSO529" s="501"/>
      <c r="HSP529" s="501"/>
      <c r="HSQ529" s="501"/>
      <c r="HSR529" s="501"/>
      <c r="HSS529" s="501"/>
      <c r="HST529" s="501"/>
      <c r="HSU529" s="501"/>
      <c r="HSV529" s="501"/>
      <c r="HSW529" s="501"/>
      <c r="HSX529" s="501"/>
      <c r="HSY529" s="501"/>
      <c r="HSZ529" s="501"/>
      <c r="HTA529" s="501"/>
      <c r="HTB529" s="501"/>
      <c r="HTC529" s="501"/>
      <c r="HTD529" s="501"/>
      <c r="HTE529" s="501"/>
      <c r="HTF529" s="501"/>
      <c r="HTG529" s="501"/>
      <c r="HTH529" s="501"/>
      <c r="HTI529" s="501"/>
      <c r="HTJ529" s="501"/>
      <c r="HTK529" s="501"/>
      <c r="HTL529" s="501"/>
      <c r="HTM529" s="501"/>
      <c r="HTN529" s="501"/>
      <c r="HTO529" s="501"/>
      <c r="HTP529" s="501"/>
      <c r="HTQ529" s="501"/>
      <c r="HTR529" s="501"/>
      <c r="HTS529" s="501"/>
      <c r="HTT529" s="501"/>
      <c r="HTU529" s="501"/>
      <c r="HTV529" s="501"/>
      <c r="HTW529" s="501"/>
      <c r="HTX529" s="501"/>
      <c r="HTY529" s="501"/>
      <c r="HTZ529" s="501"/>
      <c r="HUA529" s="501"/>
      <c r="HUB529" s="501"/>
      <c r="HUC529" s="501"/>
      <c r="HUD529" s="501"/>
      <c r="HUE529" s="501"/>
      <c r="HUF529" s="501"/>
      <c r="HUG529" s="501"/>
      <c r="HUH529" s="501"/>
      <c r="HUI529" s="501"/>
      <c r="HUJ529" s="501"/>
      <c r="HUK529" s="501"/>
      <c r="HUL529" s="501"/>
      <c r="HUM529" s="501"/>
      <c r="HUN529" s="501"/>
      <c r="HUO529" s="501"/>
      <c r="HUP529" s="501"/>
      <c r="HUQ529" s="501"/>
      <c r="HUR529" s="501"/>
      <c r="HUS529" s="501"/>
      <c r="HUT529" s="501"/>
      <c r="HUU529" s="501"/>
      <c r="HUV529" s="501"/>
      <c r="HUW529" s="501"/>
      <c r="HUX529" s="501"/>
      <c r="HUY529" s="501"/>
      <c r="HUZ529" s="501"/>
      <c r="HVA529" s="501"/>
      <c r="HVB529" s="501"/>
      <c r="HVC529" s="501"/>
      <c r="HVD529" s="501"/>
      <c r="HVE529" s="501"/>
      <c r="HVF529" s="501"/>
      <c r="HVG529" s="501"/>
      <c r="HVH529" s="501"/>
      <c r="HVI529" s="501"/>
      <c r="HVJ529" s="501"/>
      <c r="HVK529" s="501"/>
      <c r="HVL529" s="501"/>
      <c r="HVM529" s="501"/>
      <c r="HVN529" s="501"/>
      <c r="HVO529" s="501"/>
      <c r="HVP529" s="501"/>
      <c r="HVQ529" s="501"/>
      <c r="HVR529" s="501"/>
      <c r="HVS529" s="501"/>
      <c r="HVT529" s="501"/>
      <c r="HVU529" s="501"/>
      <c r="HVV529" s="501"/>
      <c r="HVW529" s="501"/>
      <c r="HVX529" s="501"/>
      <c r="HVY529" s="501"/>
      <c r="HVZ529" s="501"/>
      <c r="HWA529" s="501"/>
      <c r="HWB529" s="501"/>
      <c r="HWC529" s="501"/>
      <c r="HWD529" s="501"/>
      <c r="HWE529" s="501"/>
      <c r="HWF529" s="501"/>
      <c r="HWG529" s="501"/>
      <c r="HWH529" s="501"/>
      <c r="HWI529" s="501"/>
      <c r="HWJ529" s="501"/>
      <c r="HWK529" s="501"/>
      <c r="HWL529" s="501"/>
      <c r="HWM529" s="501"/>
      <c r="HWN529" s="501"/>
      <c r="HWO529" s="501"/>
      <c r="HWP529" s="501"/>
      <c r="HWQ529" s="501"/>
      <c r="HWR529" s="501"/>
      <c r="HWS529" s="501"/>
      <c r="HWT529" s="501"/>
      <c r="HWU529" s="501"/>
      <c r="HWV529" s="501"/>
      <c r="HWW529" s="501"/>
      <c r="HWX529" s="501"/>
      <c r="HWY529" s="501"/>
      <c r="HWZ529" s="501"/>
      <c r="HXA529" s="501"/>
      <c r="HXB529" s="501"/>
      <c r="HXC529" s="501"/>
      <c r="HXD529" s="501"/>
      <c r="HXE529" s="501"/>
      <c r="HXF529" s="501"/>
      <c r="HXG529" s="501"/>
      <c r="HXH529" s="501"/>
      <c r="HXI529" s="501"/>
      <c r="HXJ529" s="501"/>
      <c r="HXK529" s="501"/>
      <c r="HXL529" s="501"/>
      <c r="HXM529" s="501"/>
      <c r="HXN529" s="501"/>
      <c r="HXO529" s="501"/>
      <c r="HXP529" s="501"/>
      <c r="HXQ529" s="501"/>
      <c r="HXR529" s="501"/>
      <c r="HXS529" s="501"/>
      <c r="HXT529" s="501"/>
      <c r="HXU529" s="501"/>
      <c r="HXV529" s="501"/>
      <c r="HXW529" s="501"/>
      <c r="HXX529" s="501"/>
      <c r="HXY529" s="501"/>
      <c r="HXZ529" s="501"/>
      <c r="HYA529" s="501"/>
      <c r="HYB529" s="501"/>
      <c r="HYC529" s="501"/>
      <c r="HYD529" s="501"/>
      <c r="HYE529" s="501"/>
      <c r="HYF529" s="501"/>
      <c r="HYG529" s="501"/>
      <c r="HYH529" s="501"/>
      <c r="HYI529" s="501"/>
      <c r="HYJ529" s="501"/>
      <c r="HYK529" s="501"/>
      <c r="HYL529" s="501"/>
      <c r="HYM529" s="501"/>
      <c r="HYN529" s="501"/>
      <c r="HYO529" s="501"/>
      <c r="HYP529" s="501"/>
      <c r="HYQ529" s="501"/>
      <c r="HYR529" s="501"/>
      <c r="HYS529" s="501"/>
      <c r="HYT529" s="501"/>
      <c r="HYU529" s="501"/>
      <c r="HYV529" s="501"/>
      <c r="HYW529" s="501"/>
      <c r="HYX529" s="501"/>
      <c r="HYY529" s="501"/>
      <c r="HYZ529" s="501"/>
      <c r="HZA529" s="501"/>
      <c r="HZB529" s="501"/>
      <c r="HZC529" s="501"/>
      <c r="HZD529" s="501"/>
      <c r="HZE529" s="501"/>
      <c r="HZF529" s="501"/>
      <c r="HZG529" s="501"/>
      <c r="HZH529" s="501"/>
      <c r="HZI529" s="501"/>
      <c r="HZJ529" s="501"/>
      <c r="HZK529" s="501"/>
      <c r="HZL529" s="501"/>
      <c r="HZM529" s="501"/>
      <c r="HZN529" s="501"/>
      <c r="HZO529" s="501"/>
      <c r="HZP529" s="501"/>
      <c r="HZQ529" s="501"/>
      <c r="HZR529" s="501"/>
      <c r="HZS529" s="501"/>
      <c r="HZT529" s="501"/>
      <c r="HZU529" s="501"/>
      <c r="HZV529" s="501"/>
      <c r="HZW529" s="501"/>
      <c r="HZX529" s="501"/>
      <c r="HZY529" s="501"/>
      <c r="HZZ529" s="501"/>
      <c r="IAA529" s="501"/>
      <c r="IAB529" s="501"/>
      <c r="IAC529" s="501"/>
      <c r="IAD529" s="501"/>
      <c r="IAE529" s="501"/>
      <c r="IAF529" s="501"/>
      <c r="IAG529" s="501"/>
      <c r="IAH529" s="501"/>
      <c r="IAI529" s="501"/>
      <c r="IAJ529" s="501"/>
      <c r="IAK529" s="501"/>
      <c r="IAL529" s="501"/>
      <c r="IAM529" s="501"/>
      <c r="IAN529" s="501"/>
      <c r="IAO529" s="501"/>
      <c r="IAP529" s="501"/>
      <c r="IAQ529" s="501"/>
      <c r="IAR529" s="501"/>
      <c r="IAS529" s="501"/>
      <c r="IAT529" s="501"/>
      <c r="IAU529" s="501"/>
      <c r="IAV529" s="501"/>
      <c r="IAW529" s="501"/>
      <c r="IAX529" s="501"/>
      <c r="IAY529" s="501"/>
      <c r="IAZ529" s="501"/>
      <c r="IBA529" s="501"/>
      <c r="IBB529" s="501"/>
      <c r="IBC529" s="501"/>
      <c r="IBD529" s="501"/>
      <c r="IBE529" s="501"/>
      <c r="IBF529" s="501"/>
      <c r="IBG529" s="501"/>
      <c r="IBH529" s="501"/>
      <c r="IBI529" s="501"/>
      <c r="IBJ529" s="501"/>
      <c r="IBK529" s="501"/>
      <c r="IBL529" s="501"/>
      <c r="IBM529" s="501"/>
      <c r="IBN529" s="501"/>
      <c r="IBO529" s="501"/>
      <c r="IBP529" s="501"/>
      <c r="IBQ529" s="501"/>
      <c r="IBR529" s="501"/>
      <c r="IBS529" s="501"/>
      <c r="IBT529" s="501"/>
      <c r="IBU529" s="501"/>
      <c r="IBV529" s="501"/>
      <c r="IBW529" s="501"/>
      <c r="IBX529" s="501"/>
      <c r="IBY529" s="501"/>
      <c r="IBZ529" s="501"/>
      <c r="ICA529" s="501"/>
      <c r="ICB529" s="501"/>
      <c r="ICC529" s="501"/>
      <c r="ICD529" s="501"/>
      <c r="ICE529" s="501"/>
      <c r="ICF529" s="501"/>
      <c r="ICG529" s="501"/>
      <c r="ICH529" s="501"/>
      <c r="ICI529" s="501"/>
      <c r="ICJ529" s="501"/>
      <c r="ICK529" s="501"/>
      <c r="ICL529" s="501"/>
      <c r="ICM529" s="501"/>
      <c r="ICN529" s="501"/>
      <c r="ICO529" s="501"/>
      <c r="ICP529" s="501"/>
      <c r="ICQ529" s="501"/>
      <c r="ICR529" s="501"/>
      <c r="ICS529" s="501"/>
      <c r="ICT529" s="501"/>
      <c r="ICU529" s="501"/>
      <c r="ICV529" s="501"/>
      <c r="ICW529" s="501"/>
      <c r="ICX529" s="501"/>
      <c r="ICY529" s="501"/>
      <c r="ICZ529" s="501"/>
      <c r="IDA529" s="501"/>
      <c r="IDB529" s="501"/>
      <c r="IDC529" s="501"/>
      <c r="IDD529" s="501"/>
      <c r="IDE529" s="501"/>
      <c r="IDF529" s="501"/>
      <c r="IDG529" s="501"/>
      <c r="IDH529" s="501"/>
      <c r="IDI529" s="501"/>
      <c r="IDJ529" s="501"/>
      <c r="IDK529" s="501"/>
      <c r="IDL529" s="501"/>
      <c r="IDM529" s="501"/>
      <c r="IDN529" s="501"/>
      <c r="IDO529" s="501"/>
      <c r="IDP529" s="501"/>
      <c r="IDQ529" s="501"/>
      <c r="IDR529" s="501"/>
      <c r="IDS529" s="501"/>
      <c r="IDT529" s="501"/>
      <c r="IDU529" s="501"/>
      <c r="IDV529" s="501"/>
      <c r="IDW529" s="501"/>
      <c r="IDX529" s="501"/>
      <c r="IDY529" s="501"/>
      <c r="IDZ529" s="501"/>
      <c r="IEA529" s="501"/>
      <c r="IEB529" s="501"/>
      <c r="IEC529" s="501"/>
      <c r="IED529" s="501"/>
      <c r="IEE529" s="501"/>
      <c r="IEF529" s="501"/>
      <c r="IEG529" s="501"/>
      <c r="IEH529" s="501"/>
      <c r="IEI529" s="501"/>
      <c r="IEJ529" s="501"/>
      <c r="IEK529" s="501"/>
      <c r="IEL529" s="501"/>
      <c r="IEM529" s="501"/>
      <c r="IEN529" s="501"/>
      <c r="IEO529" s="501"/>
      <c r="IEP529" s="501"/>
      <c r="IEQ529" s="501"/>
      <c r="IER529" s="501"/>
      <c r="IES529" s="501"/>
      <c r="IET529" s="501"/>
      <c r="IEU529" s="501"/>
      <c r="IEV529" s="501"/>
      <c r="IEW529" s="501"/>
      <c r="IEX529" s="501"/>
      <c r="IEY529" s="501"/>
      <c r="IEZ529" s="501"/>
      <c r="IFA529" s="501"/>
      <c r="IFB529" s="501"/>
      <c r="IFC529" s="501"/>
      <c r="IFD529" s="501"/>
      <c r="IFE529" s="501"/>
      <c r="IFF529" s="501"/>
      <c r="IFG529" s="501"/>
      <c r="IFH529" s="501"/>
      <c r="IFI529" s="501"/>
      <c r="IFJ529" s="501"/>
      <c r="IFK529" s="501"/>
      <c r="IFL529" s="501"/>
      <c r="IFM529" s="501"/>
      <c r="IFN529" s="501"/>
      <c r="IFO529" s="501"/>
      <c r="IFP529" s="501"/>
      <c r="IFQ529" s="501"/>
      <c r="IFR529" s="501"/>
      <c r="IFS529" s="501"/>
      <c r="IFT529" s="501"/>
      <c r="IFU529" s="501"/>
      <c r="IFV529" s="501"/>
      <c r="IFW529" s="501"/>
      <c r="IFX529" s="501"/>
      <c r="IFY529" s="501"/>
      <c r="IFZ529" s="501"/>
      <c r="IGA529" s="501"/>
      <c r="IGB529" s="501"/>
      <c r="IGC529" s="501"/>
      <c r="IGD529" s="501"/>
      <c r="IGE529" s="501"/>
      <c r="IGF529" s="501"/>
      <c r="IGG529" s="501"/>
      <c r="IGH529" s="501"/>
      <c r="IGI529" s="501"/>
      <c r="IGJ529" s="501"/>
      <c r="IGK529" s="501"/>
      <c r="IGL529" s="501"/>
      <c r="IGM529" s="501"/>
      <c r="IGN529" s="501"/>
      <c r="IGO529" s="501"/>
      <c r="IGP529" s="501"/>
      <c r="IGQ529" s="501"/>
      <c r="IGR529" s="501"/>
      <c r="IGS529" s="501"/>
      <c r="IGT529" s="501"/>
      <c r="IGU529" s="501"/>
      <c r="IGV529" s="501"/>
      <c r="IGW529" s="501"/>
      <c r="IGX529" s="501"/>
      <c r="IGY529" s="501"/>
      <c r="IGZ529" s="501"/>
      <c r="IHA529" s="501"/>
      <c r="IHB529" s="501"/>
      <c r="IHC529" s="501"/>
      <c r="IHD529" s="501"/>
      <c r="IHE529" s="501"/>
      <c r="IHF529" s="501"/>
      <c r="IHG529" s="501"/>
      <c r="IHH529" s="501"/>
      <c r="IHI529" s="501"/>
      <c r="IHJ529" s="501"/>
      <c r="IHK529" s="501"/>
      <c r="IHL529" s="501"/>
      <c r="IHM529" s="501"/>
      <c r="IHN529" s="501"/>
      <c r="IHO529" s="501"/>
      <c r="IHP529" s="501"/>
      <c r="IHQ529" s="501"/>
      <c r="IHR529" s="501"/>
      <c r="IHS529" s="501"/>
      <c r="IHT529" s="501"/>
      <c r="IHU529" s="501"/>
      <c r="IHV529" s="501"/>
      <c r="IHW529" s="501"/>
      <c r="IHX529" s="501"/>
      <c r="IHY529" s="501"/>
      <c r="IHZ529" s="501"/>
      <c r="IIA529" s="501"/>
      <c r="IIB529" s="501"/>
      <c r="IIC529" s="501"/>
      <c r="IID529" s="501"/>
      <c r="IIE529" s="501"/>
      <c r="IIF529" s="501"/>
      <c r="IIG529" s="501"/>
      <c r="IIH529" s="501"/>
      <c r="III529" s="501"/>
      <c r="IIJ529" s="501"/>
      <c r="IIK529" s="501"/>
      <c r="IIL529" s="501"/>
      <c r="IIM529" s="501"/>
      <c r="IIN529" s="501"/>
      <c r="IIO529" s="501"/>
      <c r="IIP529" s="501"/>
      <c r="IIQ529" s="501"/>
      <c r="IIR529" s="501"/>
      <c r="IIS529" s="501"/>
      <c r="IIT529" s="501"/>
      <c r="IIU529" s="501"/>
      <c r="IIV529" s="501"/>
      <c r="IIW529" s="501"/>
      <c r="IIX529" s="501"/>
      <c r="IIY529" s="501"/>
      <c r="IIZ529" s="501"/>
      <c r="IJA529" s="501"/>
      <c r="IJB529" s="501"/>
      <c r="IJC529" s="501"/>
      <c r="IJD529" s="501"/>
      <c r="IJE529" s="501"/>
      <c r="IJF529" s="501"/>
      <c r="IJG529" s="501"/>
      <c r="IJH529" s="501"/>
      <c r="IJI529" s="501"/>
      <c r="IJJ529" s="501"/>
      <c r="IJK529" s="501"/>
      <c r="IJL529" s="501"/>
      <c r="IJM529" s="501"/>
      <c r="IJN529" s="501"/>
      <c r="IJO529" s="501"/>
      <c r="IJP529" s="501"/>
      <c r="IJQ529" s="501"/>
      <c r="IJR529" s="501"/>
      <c r="IJS529" s="501"/>
      <c r="IJT529" s="501"/>
      <c r="IJU529" s="501"/>
      <c r="IJV529" s="501"/>
      <c r="IJW529" s="501"/>
      <c r="IJX529" s="501"/>
      <c r="IJY529" s="501"/>
      <c r="IJZ529" s="501"/>
      <c r="IKA529" s="501"/>
      <c r="IKB529" s="501"/>
      <c r="IKC529" s="501"/>
      <c r="IKD529" s="501"/>
      <c r="IKE529" s="501"/>
      <c r="IKF529" s="501"/>
      <c r="IKG529" s="501"/>
      <c r="IKH529" s="501"/>
      <c r="IKI529" s="501"/>
      <c r="IKJ529" s="501"/>
      <c r="IKK529" s="501"/>
      <c r="IKL529" s="501"/>
      <c r="IKM529" s="501"/>
      <c r="IKN529" s="501"/>
      <c r="IKO529" s="501"/>
      <c r="IKP529" s="501"/>
      <c r="IKQ529" s="501"/>
      <c r="IKR529" s="501"/>
      <c r="IKS529" s="501"/>
      <c r="IKT529" s="501"/>
      <c r="IKU529" s="501"/>
      <c r="IKV529" s="501"/>
      <c r="IKW529" s="501"/>
      <c r="IKX529" s="501"/>
      <c r="IKY529" s="501"/>
      <c r="IKZ529" s="501"/>
      <c r="ILA529" s="501"/>
      <c r="ILB529" s="501"/>
      <c r="ILC529" s="501"/>
      <c r="ILD529" s="501"/>
      <c r="ILE529" s="501"/>
      <c r="ILF529" s="501"/>
      <c r="ILG529" s="501"/>
      <c r="ILH529" s="501"/>
      <c r="ILI529" s="501"/>
      <c r="ILJ529" s="501"/>
      <c r="ILK529" s="501"/>
      <c r="ILL529" s="501"/>
      <c r="ILM529" s="501"/>
      <c r="ILN529" s="501"/>
      <c r="ILO529" s="501"/>
      <c r="ILP529" s="501"/>
      <c r="ILQ529" s="501"/>
      <c r="ILR529" s="501"/>
      <c r="ILS529" s="501"/>
      <c r="ILT529" s="501"/>
      <c r="ILU529" s="501"/>
      <c r="ILV529" s="501"/>
      <c r="ILW529" s="501"/>
      <c r="ILX529" s="501"/>
      <c r="ILY529" s="501"/>
      <c r="ILZ529" s="501"/>
      <c r="IMA529" s="501"/>
      <c r="IMB529" s="501"/>
      <c r="IMC529" s="501"/>
      <c r="IMD529" s="501"/>
      <c r="IME529" s="501"/>
      <c r="IMF529" s="501"/>
      <c r="IMG529" s="501"/>
      <c r="IMH529" s="501"/>
      <c r="IMI529" s="501"/>
      <c r="IMJ529" s="501"/>
      <c r="IMK529" s="501"/>
      <c r="IML529" s="501"/>
      <c r="IMM529" s="501"/>
      <c r="IMN529" s="501"/>
      <c r="IMO529" s="501"/>
      <c r="IMP529" s="501"/>
      <c r="IMQ529" s="501"/>
      <c r="IMR529" s="501"/>
      <c r="IMS529" s="501"/>
      <c r="IMT529" s="501"/>
      <c r="IMU529" s="501"/>
      <c r="IMV529" s="501"/>
      <c r="IMW529" s="501"/>
      <c r="IMX529" s="501"/>
      <c r="IMY529" s="501"/>
      <c r="IMZ529" s="501"/>
      <c r="INA529" s="501"/>
      <c r="INB529" s="501"/>
      <c r="INC529" s="501"/>
      <c r="IND529" s="501"/>
      <c r="INE529" s="501"/>
      <c r="INF529" s="501"/>
      <c r="ING529" s="501"/>
      <c r="INH529" s="501"/>
      <c r="INI529" s="501"/>
      <c r="INJ529" s="501"/>
      <c r="INK529" s="501"/>
      <c r="INL529" s="501"/>
      <c r="INM529" s="501"/>
      <c r="INN529" s="501"/>
      <c r="INO529" s="501"/>
      <c r="INP529" s="501"/>
      <c r="INQ529" s="501"/>
      <c r="INR529" s="501"/>
      <c r="INS529" s="501"/>
      <c r="INT529" s="501"/>
      <c r="INU529" s="501"/>
      <c r="INV529" s="501"/>
      <c r="INW529" s="501"/>
      <c r="INX529" s="501"/>
      <c r="INY529" s="501"/>
      <c r="INZ529" s="501"/>
      <c r="IOA529" s="501"/>
      <c r="IOB529" s="501"/>
      <c r="IOC529" s="501"/>
      <c r="IOD529" s="501"/>
      <c r="IOE529" s="501"/>
      <c r="IOF529" s="501"/>
      <c r="IOG529" s="501"/>
      <c r="IOH529" s="501"/>
      <c r="IOI529" s="501"/>
      <c r="IOJ529" s="501"/>
      <c r="IOK529" s="501"/>
      <c r="IOL529" s="501"/>
      <c r="IOM529" s="501"/>
      <c r="ION529" s="501"/>
      <c r="IOO529" s="501"/>
      <c r="IOP529" s="501"/>
      <c r="IOQ529" s="501"/>
      <c r="IOR529" s="501"/>
      <c r="IOS529" s="501"/>
      <c r="IOT529" s="501"/>
      <c r="IOU529" s="501"/>
      <c r="IOV529" s="501"/>
      <c r="IOW529" s="501"/>
      <c r="IOX529" s="501"/>
      <c r="IOY529" s="501"/>
      <c r="IOZ529" s="501"/>
      <c r="IPA529" s="501"/>
      <c r="IPB529" s="501"/>
      <c r="IPC529" s="501"/>
      <c r="IPD529" s="501"/>
      <c r="IPE529" s="501"/>
      <c r="IPF529" s="501"/>
      <c r="IPG529" s="501"/>
      <c r="IPH529" s="501"/>
      <c r="IPI529" s="501"/>
      <c r="IPJ529" s="501"/>
      <c r="IPK529" s="501"/>
      <c r="IPL529" s="501"/>
      <c r="IPM529" s="501"/>
      <c r="IPN529" s="501"/>
      <c r="IPO529" s="501"/>
      <c r="IPP529" s="501"/>
      <c r="IPQ529" s="501"/>
      <c r="IPR529" s="501"/>
      <c r="IPS529" s="501"/>
      <c r="IPT529" s="501"/>
      <c r="IPU529" s="501"/>
      <c r="IPV529" s="501"/>
      <c r="IPW529" s="501"/>
      <c r="IPX529" s="501"/>
      <c r="IPY529" s="501"/>
      <c r="IPZ529" s="501"/>
      <c r="IQA529" s="501"/>
      <c r="IQB529" s="501"/>
      <c r="IQC529" s="501"/>
      <c r="IQD529" s="501"/>
      <c r="IQE529" s="501"/>
      <c r="IQF529" s="501"/>
      <c r="IQG529" s="501"/>
      <c r="IQH529" s="501"/>
      <c r="IQI529" s="501"/>
      <c r="IQJ529" s="501"/>
      <c r="IQK529" s="501"/>
      <c r="IQL529" s="501"/>
      <c r="IQM529" s="501"/>
      <c r="IQN529" s="501"/>
      <c r="IQO529" s="501"/>
      <c r="IQP529" s="501"/>
      <c r="IQQ529" s="501"/>
      <c r="IQR529" s="501"/>
      <c r="IQS529" s="501"/>
      <c r="IQT529" s="501"/>
      <c r="IQU529" s="501"/>
      <c r="IQV529" s="501"/>
      <c r="IQW529" s="501"/>
      <c r="IQX529" s="501"/>
      <c r="IQY529" s="501"/>
      <c r="IQZ529" s="501"/>
      <c r="IRA529" s="501"/>
      <c r="IRB529" s="501"/>
      <c r="IRC529" s="501"/>
      <c r="IRD529" s="501"/>
      <c r="IRE529" s="501"/>
      <c r="IRF529" s="501"/>
      <c r="IRG529" s="501"/>
      <c r="IRH529" s="501"/>
      <c r="IRI529" s="501"/>
      <c r="IRJ529" s="501"/>
      <c r="IRK529" s="501"/>
      <c r="IRL529" s="501"/>
      <c r="IRM529" s="501"/>
      <c r="IRN529" s="501"/>
      <c r="IRO529" s="501"/>
      <c r="IRP529" s="501"/>
      <c r="IRQ529" s="501"/>
      <c r="IRR529" s="501"/>
      <c r="IRS529" s="501"/>
      <c r="IRT529" s="501"/>
      <c r="IRU529" s="501"/>
      <c r="IRV529" s="501"/>
      <c r="IRW529" s="501"/>
      <c r="IRX529" s="501"/>
      <c r="IRY529" s="501"/>
      <c r="IRZ529" s="501"/>
      <c r="ISA529" s="501"/>
      <c r="ISB529" s="501"/>
      <c r="ISC529" s="501"/>
      <c r="ISD529" s="501"/>
      <c r="ISE529" s="501"/>
      <c r="ISF529" s="501"/>
      <c r="ISG529" s="501"/>
      <c r="ISH529" s="501"/>
      <c r="ISI529" s="501"/>
      <c r="ISJ529" s="501"/>
      <c r="ISK529" s="501"/>
      <c r="ISL529" s="501"/>
      <c r="ISM529" s="501"/>
      <c r="ISN529" s="501"/>
      <c r="ISO529" s="501"/>
      <c r="ISP529" s="501"/>
      <c r="ISQ529" s="501"/>
      <c r="ISR529" s="501"/>
      <c r="ISS529" s="501"/>
      <c r="IST529" s="501"/>
      <c r="ISU529" s="501"/>
      <c r="ISV529" s="501"/>
      <c r="ISW529" s="501"/>
      <c r="ISX529" s="501"/>
      <c r="ISY529" s="501"/>
      <c r="ISZ529" s="501"/>
      <c r="ITA529" s="501"/>
      <c r="ITB529" s="501"/>
      <c r="ITC529" s="501"/>
      <c r="ITD529" s="501"/>
      <c r="ITE529" s="501"/>
      <c r="ITF529" s="501"/>
      <c r="ITG529" s="501"/>
      <c r="ITH529" s="501"/>
      <c r="ITI529" s="501"/>
      <c r="ITJ529" s="501"/>
      <c r="ITK529" s="501"/>
      <c r="ITL529" s="501"/>
      <c r="ITM529" s="501"/>
      <c r="ITN529" s="501"/>
      <c r="ITO529" s="501"/>
      <c r="ITP529" s="501"/>
      <c r="ITQ529" s="501"/>
      <c r="ITR529" s="501"/>
      <c r="ITS529" s="501"/>
      <c r="ITT529" s="501"/>
      <c r="ITU529" s="501"/>
      <c r="ITV529" s="501"/>
      <c r="ITW529" s="501"/>
      <c r="ITX529" s="501"/>
      <c r="ITY529" s="501"/>
      <c r="ITZ529" s="501"/>
      <c r="IUA529" s="501"/>
      <c r="IUB529" s="501"/>
      <c r="IUC529" s="501"/>
      <c r="IUD529" s="501"/>
      <c r="IUE529" s="501"/>
      <c r="IUF529" s="501"/>
      <c r="IUG529" s="501"/>
      <c r="IUH529" s="501"/>
      <c r="IUI529" s="501"/>
      <c r="IUJ529" s="501"/>
      <c r="IUK529" s="501"/>
      <c r="IUL529" s="501"/>
      <c r="IUM529" s="501"/>
      <c r="IUN529" s="501"/>
      <c r="IUO529" s="501"/>
      <c r="IUP529" s="501"/>
      <c r="IUQ529" s="501"/>
      <c r="IUR529" s="501"/>
      <c r="IUS529" s="501"/>
      <c r="IUT529" s="501"/>
      <c r="IUU529" s="501"/>
      <c r="IUV529" s="501"/>
      <c r="IUW529" s="501"/>
      <c r="IUX529" s="501"/>
      <c r="IUY529" s="501"/>
      <c r="IUZ529" s="501"/>
      <c r="IVA529" s="501"/>
      <c r="IVB529" s="501"/>
      <c r="IVC529" s="501"/>
      <c r="IVD529" s="501"/>
      <c r="IVE529" s="501"/>
      <c r="IVF529" s="501"/>
      <c r="IVG529" s="501"/>
      <c r="IVH529" s="501"/>
      <c r="IVI529" s="501"/>
      <c r="IVJ529" s="501"/>
      <c r="IVK529" s="501"/>
      <c r="IVL529" s="501"/>
      <c r="IVM529" s="501"/>
      <c r="IVN529" s="501"/>
      <c r="IVO529" s="501"/>
      <c r="IVP529" s="501"/>
      <c r="IVQ529" s="501"/>
      <c r="IVR529" s="501"/>
      <c r="IVS529" s="501"/>
      <c r="IVT529" s="501"/>
      <c r="IVU529" s="501"/>
      <c r="IVV529" s="501"/>
      <c r="IVW529" s="501"/>
      <c r="IVX529" s="501"/>
      <c r="IVY529" s="501"/>
      <c r="IVZ529" s="501"/>
      <c r="IWA529" s="501"/>
      <c r="IWB529" s="501"/>
      <c r="IWC529" s="501"/>
      <c r="IWD529" s="501"/>
      <c r="IWE529" s="501"/>
      <c r="IWF529" s="501"/>
      <c r="IWG529" s="501"/>
      <c r="IWH529" s="501"/>
      <c r="IWI529" s="501"/>
      <c r="IWJ529" s="501"/>
      <c r="IWK529" s="501"/>
      <c r="IWL529" s="501"/>
      <c r="IWM529" s="501"/>
      <c r="IWN529" s="501"/>
      <c r="IWO529" s="501"/>
      <c r="IWP529" s="501"/>
      <c r="IWQ529" s="501"/>
      <c r="IWR529" s="501"/>
      <c r="IWS529" s="501"/>
      <c r="IWT529" s="501"/>
      <c r="IWU529" s="501"/>
      <c r="IWV529" s="501"/>
      <c r="IWW529" s="501"/>
      <c r="IWX529" s="501"/>
      <c r="IWY529" s="501"/>
      <c r="IWZ529" s="501"/>
      <c r="IXA529" s="501"/>
      <c r="IXB529" s="501"/>
      <c r="IXC529" s="501"/>
      <c r="IXD529" s="501"/>
      <c r="IXE529" s="501"/>
      <c r="IXF529" s="501"/>
      <c r="IXG529" s="501"/>
      <c r="IXH529" s="501"/>
      <c r="IXI529" s="501"/>
      <c r="IXJ529" s="501"/>
      <c r="IXK529" s="501"/>
      <c r="IXL529" s="501"/>
      <c r="IXM529" s="501"/>
      <c r="IXN529" s="501"/>
      <c r="IXO529" s="501"/>
      <c r="IXP529" s="501"/>
      <c r="IXQ529" s="501"/>
      <c r="IXR529" s="501"/>
      <c r="IXS529" s="501"/>
      <c r="IXT529" s="501"/>
      <c r="IXU529" s="501"/>
      <c r="IXV529" s="501"/>
      <c r="IXW529" s="501"/>
      <c r="IXX529" s="501"/>
      <c r="IXY529" s="501"/>
      <c r="IXZ529" s="501"/>
      <c r="IYA529" s="501"/>
      <c r="IYB529" s="501"/>
      <c r="IYC529" s="501"/>
      <c r="IYD529" s="501"/>
      <c r="IYE529" s="501"/>
      <c r="IYF529" s="501"/>
      <c r="IYG529" s="501"/>
      <c r="IYH529" s="501"/>
      <c r="IYI529" s="501"/>
      <c r="IYJ529" s="501"/>
      <c r="IYK529" s="501"/>
      <c r="IYL529" s="501"/>
      <c r="IYM529" s="501"/>
      <c r="IYN529" s="501"/>
      <c r="IYO529" s="501"/>
      <c r="IYP529" s="501"/>
      <c r="IYQ529" s="501"/>
      <c r="IYR529" s="501"/>
      <c r="IYS529" s="501"/>
      <c r="IYT529" s="501"/>
      <c r="IYU529" s="501"/>
      <c r="IYV529" s="501"/>
      <c r="IYW529" s="501"/>
      <c r="IYX529" s="501"/>
      <c r="IYY529" s="501"/>
      <c r="IYZ529" s="501"/>
      <c r="IZA529" s="501"/>
      <c r="IZB529" s="501"/>
      <c r="IZC529" s="501"/>
      <c r="IZD529" s="501"/>
      <c r="IZE529" s="501"/>
      <c r="IZF529" s="501"/>
      <c r="IZG529" s="501"/>
      <c r="IZH529" s="501"/>
      <c r="IZI529" s="501"/>
      <c r="IZJ529" s="501"/>
      <c r="IZK529" s="501"/>
      <c r="IZL529" s="501"/>
      <c r="IZM529" s="501"/>
      <c r="IZN529" s="501"/>
      <c r="IZO529" s="501"/>
      <c r="IZP529" s="501"/>
      <c r="IZQ529" s="501"/>
      <c r="IZR529" s="501"/>
      <c r="IZS529" s="501"/>
      <c r="IZT529" s="501"/>
      <c r="IZU529" s="501"/>
      <c r="IZV529" s="501"/>
      <c r="IZW529" s="501"/>
      <c r="IZX529" s="501"/>
      <c r="IZY529" s="501"/>
      <c r="IZZ529" s="501"/>
      <c r="JAA529" s="501"/>
      <c r="JAB529" s="501"/>
      <c r="JAC529" s="501"/>
      <c r="JAD529" s="501"/>
      <c r="JAE529" s="501"/>
      <c r="JAF529" s="501"/>
      <c r="JAG529" s="501"/>
      <c r="JAH529" s="501"/>
      <c r="JAI529" s="501"/>
      <c r="JAJ529" s="501"/>
      <c r="JAK529" s="501"/>
      <c r="JAL529" s="501"/>
      <c r="JAM529" s="501"/>
      <c r="JAN529" s="501"/>
      <c r="JAO529" s="501"/>
      <c r="JAP529" s="501"/>
      <c r="JAQ529" s="501"/>
      <c r="JAR529" s="501"/>
      <c r="JAS529" s="501"/>
      <c r="JAT529" s="501"/>
      <c r="JAU529" s="501"/>
      <c r="JAV529" s="501"/>
      <c r="JAW529" s="501"/>
      <c r="JAX529" s="501"/>
      <c r="JAY529" s="501"/>
      <c r="JAZ529" s="501"/>
      <c r="JBA529" s="501"/>
      <c r="JBB529" s="501"/>
      <c r="JBC529" s="501"/>
      <c r="JBD529" s="501"/>
      <c r="JBE529" s="501"/>
      <c r="JBF529" s="501"/>
      <c r="JBG529" s="501"/>
      <c r="JBH529" s="501"/>
      <c r="JBI529" s="501"/>
      <c r="JBJ529" s="501"/>
      <c r="JBK529" s="501"/>
      <c r="JBL529" s="501"/>
      <c r="JBM529" s="501"/>
      <c r="JBN529" s="501"/>
      <c r="JBO529" s="501"/>
      <c r="JBP529" s="501"/>
      <c r="JBQ529" s="501"/>
      <c r="JBR529" s="501"/>
      <c r="JBS529" s="501"/>
      <c r="JBT529" s="501"/>
      <c r="JBU529" s="501"/>
      <c r="JBV529" s="501"/>
      <c r="JBW529" s="501"/>
      <c r="JBX529" s="501"/>
      <c r="JBY529" s="501"/>
      <c r="JBZ529" s="501"/>
      <c r="JCA529" s="501"/>
      <c r="JCB529" s="501"/>
      <c r="JCC529" s="501"/>
      <c r="JCD529" s="501"/>
      <c r="JCE529" s="501"/>
      <c r="JCF529" s="501"/>
      <c r="JCG529" s="501"/>
      <c r="JCH529" s="501"/>
      <c r="JCI529" s="501"/>
      <c r="JCJ529" s="501"/>
      <c r="JCK529" s="501"/>
      <c r="JCL529" s="501"/>
      <c r="JCM529" s="501"/>
      <c r="JCN529" s="501"/>
      <c r="JCO529" s="501"/>
      <c r="JCP529" s="501"/>
      <c r="JCQ529" s="501"/>
      <c r="JCR529" s="501"/>
      <c r="JCS529" s="501"/>
      <c r="JCT529" s="501"/>
      <c r="JCU529" s="501"/>
      <c r="JCV529" s="501"/>
      <c r="JCW529" s="501"/>
      <c r="JCX529" s="501"/>
      <c r="JCY529" s="501"/>
      <c r="JCZ529" s="501"/>
      <c r="JDA529" s="501"/>
      <c r="JDB529" s="501"/>
      <c r="JDC529" s="501"/>
      <c r="JDD529" s="501"/>
      <c r="JDE529" s="501"/>
      <c r="JDF529" s="501"/>
      <c r="JDG529" s="501"/>
      <c r="JDH529" s="501"/>
      <c r="JDI529" s="501"/>
      <c r="JDJ529" s="501"/>
      <c r="JDK529" s="501"/>
      <c r="JDL529" s="501"/>
      <c r="JDM529" s="501"/>
      <c r="JDN529" s="501"/>
      <c r="JDO529" s="501"/>
      <c r="JDP529" s="501"/>
      <c r="JDQ529" s="501"/>
      <c r="JDR529" s="501"/>
      <c r="JDS529" s="501"/>
      <c r="JDT529" s="501"/>
      <c r="JDU529" s="501"/>
      <c r="JDV529" s="501"/>
      <c r="JDW529" s="501"/>
      <c r="JDX529" s="501"/>
      <c r="JDY529" s="501"/>
      <c r="JDZ529" s="501"/>
      <c r="JEA529" s="501"/>
      <c r="JEB529" s="501"/>
      <c r="JEC529" s="501"/>
      <c r="JED529" s="501"/>
      <c r="JEE529" s="501"/>
      <c r="JEF529" s="501"/>
      <c r="JEG529" s="501"/>
      <c r="JEH529" s="501"/>
      <c r="JEI529" s="501"/>
      <c r="JEJ529" s="501"/>
      <c r="JEK529" s="501"/>
      <c r="JEL529" s="501"/>
      <c r="JEM529" s="501"/>
      <c r="JEN529" s="501"/>
      <c r="JEO529" s="501"/>
      <c r="JEP529" s="501"/>
      <c r="JEQ529" s="501"/>
      <c r="JER529" s="501"/>
      <c r="JES529" s="501"/>
      <c r="JET529" s="501"/>
      <c r="JEU529" s="501"/>
      <c r="JEV529" s="501"/>
      <c r="JEW529" s="501"/>
      <c r="JEX529" s="501"/>
      <c r="JEY529" s="501"/>
      <c r="JEZ529" s="501"/>
      <c r="JFA529" s="501"/>
      <c r="JFB529" s="501"/>
      <c r="JFC529" s="501"/>
      <c r="JFD529" s="501"/>
      <c r="JFE529" s="501"/>
      <c r="JFF529" s="501"/>
      <c r="JFG529" s="501"/>
      <c r="JFH529" s="501"/>
      <c r="JFI529" s="501"/>
      <c r="JFJ529" s="501"/>
      <c r="JFK529" s="501"/>
      <c r="JFL529" s="501"/>
      <c r="JFM529" s="501"/>
      <c r="JFN529" s="501"/>
      <c r="JFO529" s="501"/>
      <c r="JFP529" s="501"/>
      <c r="JFQ529" s="501"/>
      <c r="JFR529" s="501"/>
      <c r="JFS529" s="501"/>
      <c r="JFT529" s="501"/>
      <c r="JFU529" s="501"/>
      <c r="JFV529" s="501"/>
      <c r="JFW529" s="501"/>
      <c r="JFX529" s="501"/>
      <c r="JFY529" s="501"/>
      <c r="JFZ529" s="501"/>
      <c r="JGA529" s="501"/>
      <c r="JGB529" s="501"/>
      <c r="JGC529" s="501"/>
      <c r="JGD529" s="501"/>
      <c r="JGE529" s="501"/>
      <c r="JGF529" s="501"/>
      <c r="JGG529" s="501"/>
      <c r="JGH529" s="501"/>
      <c r="JGI529" s="501"/>
      <c r="JGJ529" s="501"/>
      <c r="JGK529" s="501"/>
      <c r="JGL529" s="501"/>
      <c r="JGM529" s="501"/>
      <c r="JGN529" s="501"/>
      <c r="JGO529" s="501"/>
      <c r="JGP529" s="501"/>
      <c r="JGQ529" s="501"/>
      <c r="JGR529" s="501"/>
      <c r="JGS529" s="501"/>
      <c r="JGT529" s="501"/>
      <c r="JGU529" s="501"/>
      <c r="JGV529" s="501"/>
      <c r="JGW529" s="501"/>
      <c r="JGX529" s="501"/>
      <c r="JGY529" s="501"/>
      <c r="JGZ529" s="501"/>
      <c r="JHA529" s="501"/>
      <c r="JHB529" s="501"/>
      <c r="JHC529" s="501"/>
      <c r="JHD529" s="501"/>
      <c r="JHE529" s="501"/>
      <c r="JHF529" s="501"/>
      <c r="JHG529" s="501"/>
      <c r="JHH529" s="501"/>
      <c r="JHI529" s="501"/>
      <c r="JHJ529" s="501"/>
      <c r="JHK529" s="501"/>
      <c r="JHL529" s="501"/>
      <c r="JHM529" s="501"/>
      <c r="JHN529" s="501"/>
      <c r="JHO529" s="501"/>
      <c r="JHP529" s="501"/>
      <c r="JHQ529" s="501"/>
      <c r="JHR529" s="501"/>
      <c r="JHS529" s="501"/>
      <c r="JHT529" s="501"/>
      <c r="JHU529" s="501"/>
      <c r="JHV529" s="501"/>
      <c r="JHW529" s="501"/>
      <c r="JHX529" s="501"/>
      <c r="JHY529" s="501"/>
      <c r="JHZ529" s="501"/>
      <c r="JIA529" s="501"/>
      <c r="JIB529" s="501"/>
      <c r="JIC529" s="501"/>
      <c r="JID529" s="501"/>
      <c r="JIE529" s="501"/>
      <c r="JIF529" s="501"/>
      <c r="JIG529" s="501"/>
      <c r="JIH529" s="501"/>
      <c r="JII529" s="501"/>
      <c r="JIJ529" s="501"/>
      <c r="JIK529" s="501"/>
      <c r="JIL529" s="501"/>
      <c r="JIM529" s="501"/>
      <c r="JIN529" s="501"/>
      <c r="JIO529" s="501"/>
      <c r="JIP529" s="501"/>
      <c r="JIQ529" s="501"/>
      <c r="JIR529" s="501"/>
      <c r="JIS529" s="501"/>
      <c r="JIT529" s="501"/>
      <c r="JIU529" s="501"/>
      <c r="JIV529" s="501"/>
      <c r="JIW529" s="501"/>
      <c r="JIX529" s="501"/>
      <c r="JIY529" s="501"/>
      <c r="JIZ529" s="501"/>
      <c r="JJA529" s="501"/>
      <c r="JJB529" s="501"/>
      <c r="JJC529" s="501"/>
      <c r="JJD529" s="501"/>
      <c r="JJE529" s="501"/>
      <c r="JJF529" s="501"/>
      <c r="JJG529" s="501"/>
      <c r="JJH529" s="501"/>
      <c r="JJI529" s="501"/>
      <c r="JJJ529" s="501"/>
      <c r="JJK529" s="501"/>
      <c r="JJL529" s="501"/>
      <c r="JJM529" s="501"/>
      <c r="JJN529" s="501"/>
      <c r="JJO529" s="501"/>
      <c r="JJP529" s="501"/>
      <c r="JJQ529" s="501"/>
      <c r="JJR529" s="501"/>
      <c r="JJS529" s="501"/>
      <c r="JJT529" s="501"/>
      <c r="JJU529" s="501"/>
      <c r="JJV529" s="501"/>
      <c r="JJW529" s="501"/>
      <c r="JJX529" s="501"/>
      <c r="JJY529" s="501"/>
      <c r="JJZ529" s="501"/>
      <c r="JKA529" s="501"/>
      <c r="JKB529" s="501"/>
      <c r="JKC529" s="501"/>
      <c r="JKD529" s="501"/>
      <c r="JKE529" s="501"/>
      <c r="JKF529" s="501"/>
      <c r="JKG529" s="501"/>
      <c r="JKH529" s="501"/>
      <c r="JKI529" s="501"/>
      <c r="JKJ529" s="501"/>
      <c r="JKK529" s="501"/>
      <c r="JKL529" s="501"/>
      <c r="JKM529" s="501"/>
      <c r="JKN529" s="501"/>
      <c r="JKO529" s="501"/>
      <c r="JKP529" s="501"/>
      <c r="JKQ529" s="501"/>
      <c r="JKR529" s="501"/>
      <c r="JKS529" s="501"/>
      <c r="JKT529" s="501"/>
      <c r="JKU529" s="501"/>
      <c r="JKV529" s="501"/>
      <c r="JKW529" s="501"/>
      <c r="JKX529" s="501"/>
      <c r="JKY529" s="501"/>
      <c r="JKZ529" s="501"/>
      <c r="JLA529" s="501"/>
      <c r="JLB529" s="501"/>
      <c r="JLC529" s="501"/>
      <c r="JLD529" s="501"/>
      <c r="JLE529" s="501"/>
      <c r="JLF529" s="501"/>
      <c r="JLG529" s="501"/>
      <c r="JLH529" s="501"/>
      <c r="JLI529" s="501"/>
      <c r="JLJ529" s="501"/>
      <c r="JLK529" s="501"/>
      <c r="JLL529" s="501"/>
      <c r="JLM529" s="501"/>
      <c r="JLN529" s="501"/>
      <c r="JLO529" s="501"/>
      <c r="JLP529" s="501"/>
      <c r="JLQ529" s="501"/>
      <c r="JLR529" s="501"/>
      <c r="JLS529" s="501"/>
      <c r="JLT529" s="501"/>
      <c r="JLU529" s="501"/>
      <c r="JLV529" s="501"/>
      <c r="JLW529" s="501"/>
      <c r="JLX529" s="501"/>
      <c r="JLY529" s="501"/>
      <c r="JLZ529" s="501"/>
      <c r="JMA529" s="501"/>
      <c r="JMB529" s="501"/>
      <c r="JMC529" s="501"/>
      <c r="JMD529" s="501"/>
      <c r="JME529" s="501"/>
      <c r="JMF529" s="501"/>
      <c r="JMG529" s="501"/>
      <c r="JMH529" s="501"/>
      <c r="JMI529" s="501"/>
      <c r="JMJ529" s="501"/>
      <c r="JMK529" s="501"/>
      <c r="JML529" s="501"/>
      <c r="JMM529" s="501"/>
      <c r="JMN529" s="501"/>
      <c r="JMO529" s="501"/>
      <c r="JMP529" s="501"/>
      <c r="JMQ529" s="501"/>
      <c r="JMR529" s="501"/>
      <c r="JMS529" s="501"/>
      <c r="JMT529" s="501"/>
      <c r="JMU529" s="501"/>
      <c r="JMV529" s="501"/>
      <c r="JMW529" s="501"/>
      <c r="JMX529" s="501"/>
      <c r="JMY529" s="501"/>
      <c r="JMZ529" s="501"/>
      <c r="JNA529" s="501"/>
      <c r="JNB529" s="501"/>
      <c r="JNC529" s="501"/>
      <c r="JND529" s="501"/>
      <c r="JNE529" s="501"/>
      <c r="JNF529" s="501"/>
      <c r="JNG529" s="501"/>
      <c r="JNH529" s="501"/>
      <c r="JNI529" s="501"/>
      <c r="JNJ529" s="501"/>
      <c r="JNK529" s="501"/>
      <c r="JNL529" s="501"/>
      <c r="JNM529" s="501"/>
      <c r="JNN529" s="501"/>
      <c r="JNO529" s="501"/>
      <c r="JNP529" s="501"/>
      <c r="JNQ529" s="501"/>
      <c r="JNR529" s="501"/>
      <c r="JNS529" s="501"/>
      <c r="JNT529" s="501"/>
      <c r="JNU529" s="501"/>
      <c r="JNV529" s="501"/>
      <c r="JNW529" s="501"/>
      <c r="JNX529" s="501"/>
      <c r="JNY529" s="501"/>
      <c r="JNZ529" s="501"/>
      <c r="JOA529" s="501"/>
      <c r="JOB529" s="501"/>
      <c r="JOC529" s="501"/>
      <c r="JOD529" s="501"/>
      <c r="JOE529" s="501"/>
      <c r="JOF529" s="501"/>
      <c r="JOG529" s="501"/>
      <c r="JOH529" s="501"/>
      <c r="JOI529" s="501"/>
      <c r="JOJ529" s="501"/>
      <c r="JOK529" s="501"/>
      <c r="JOL529" s="501"/>
      <c r="JOM529" s="501"/>
      <c r="JON529" s="501"/>
      <c r="JOO529" s="501"/>
      <c r="JOP529" s="501"/>
      <c r="JOQ529" s="501"/>
      <c r="JOR529" s="501"/>
      <c r="JOS529" s="501"/>
      <c r="JOT529" s="501"/>
      <c r="JOU529" s="501"/>
      <c r="JOV529" s="501"/>
      <c r="JOW529" s="501"/>
      <c r="JOX529" s="501"/>
      <c r="JOY529" s="501"/>
      <c r="JOZ529" s="501"/>
      <c r="JPA529" s="501"/>
      <c r="JPB529" s="501"/>
      <c r="JPC529" s="501"/>
      <c r="JPD529" s="501"/>
      <c r="JPE529" s="501"/>
      <c r="JPF529" s="501"/>
      <c r="JPG529" s="501"/>
      <c r="JPH529" s="501"/>
      <c r="JPI529" s="501"/>
      <c r="JPJ529" s="501"/>
      <c r="JPK529" s="501"/>
      <c r="JPL529" s="501"/>
      <c r="JPM529" s="501"/>
      <c r="JPN529" s="501"/>
      <c r="JPO529" s="501"/>
      <c r="JPP529" s="501"/>
      <c r="JPQ529" s="501"/>
      <c r="JPR529" s="501"/>
      <c r="JPS529" s="501"/>
      <c r="JPT529" s="501"/>
      <c r="JPU529" s="501"/>
      <c r="JPV529" s="501"/>
      <c r="JPW529" s="501"/>
      <c r="JPX529" s="501"/>
      <c r="JPY529" s="501"/>
      <c r="JPZ529" s="501"/>
      <c r="JQA529" s="501"/>
      <c r="JQB529" s="501"/>
      <c r="JQC529" s="501"/>
      <c r="JQD529" s="501"/>
      <c r="JQE529" s="501"/>
      <c r="JQF529" s="501"/>
      <c r="JQG529" s="501"/>
      <c r="JQH529" s="501"/>
      <c r="JQI529" s="501"/>
      <c r="JQJ529" s="501"/>
      <c r="JQK529" s="501"/>
      <c r="JQL529" s="501"/>
      <c r="JQM529" s="501"/>
      <c r="JQN529" s="501"/>
      <c r="JQO529" s="501"/>
      <c r="JQP529" s="501"/>
      <c r="JQQ529" s="501"/>
      <c r="JQR529" s="501"/>
      <c r="JQS529" s="501"/>
      <c r="JQT529" s="501"/>
      <c r="JQU529" s="501"/>
      <c r="JQV529" s="501"/>
      <c r="JQW529" s="501"/>
      <c r="JQX529" s="501"/>
      <c r="JQY529" s="501"/>
      <c r="JQZ529" s="501"/>
      <c r="JRA529" s="501"/>
      <c r="JRB529" s="501"/>
      <c r="JRC529" s="501"/>
      <c r="JRD529" s="501"/>
      <c r="JRE529" s="501"/>
      <c r="JRF529" s="501"/>
      <c r="JRG529" s="501"/>
      <c r="JRH529" s="501"/>
      <c r="JRI529" s="501"/>
      <c r="JRJ529" s="501"/>
      <c r="JRK529" s="501"/>
      <c r="JRL529" s="501"/>
      <c r="JRM529" s="501"/>
      <c r="JRN529" s="501"/>
      <c r="JRO529" s="501"/>
      <c r="JRP529" s="501"/>
      <c r="JRQ529" s="501"/>
      <c r="JRR529" s="501"/>
      <c r="JRS529" s="501"/>
      <c r="JRT529" s="501"/>
      <c r="JRU529" s="501"/>
      <c r="JRV529" s="501"/>
      <c r="JRW529" s="501"/>
      <c r="JRX529" s="501"/>
      <c r="JRY529" s="501"/>
      <c r="JRZ529" s="501"/>
      <c r="JSA529" s="501"/>
      <c r="JSB529" s="501"/>
      <c r="JSC529" s="501"/>
      <c r="JSD529" s="501"/>
      <c r="JSE529" s="501"/>
      <c r="JSF529" s="501"/>
      <c r="JSG529" s="501"/>
      <c r="JSH529" s="501"/>
      <c r="JSI529" s="501"/>
      <c r="JSJ529" s="501"/>
      <c r="JSK529" s="501"/>
      <c r="JSL529" s="501"/>
      <c r="JSM529" s="501"/>
      <c r="JSN529" s="501"/>
      <c r="JSO529" s="501"/>
      <c r="JSP529" s="501"/>
      <c r="JSQ529" s="501"/>
      <c r="JSR529" s="501"/>
      <c r="JSS529" s="501"/>
      <c r="JST529" s="501"/>
      <c r="JSU529" s="501"/>
      <c r="JSV529" s="501"/>
      <c r="JSW529" s="501"/>
      <c r="JSX529" s="501"/>
      <c r="JSY529" s="501"/>
      <c r="JSZ529" s="501"/>
      <c r="JTA529" s="501"/>
      <c r="JTB529" s="501"/>
      <c r="JTC529" s="501"/>
      <c r="JTD529" s="501"/>
      <c r="JTE529" s="501"/>
      <c r="JTF529" s="501"/>
      <c r="JTG529" s="501"/>
      <c r="JTH529" s="501"/>
      <c r="JTI529" s="501"/>
      <c r="JTJ529" s="501"/>
      <c r="JTK529" s="501"/>
      <c r="JTL529" s="501"/>
      <c r="JTM529" s="501"/>
      <c r="JTN529" s="501"/>
      <c r="JTO529" s="501"/>
      <c r="JTP529" s="501"/>
      <c r="JTQ529" s="501"/>
      <c r="JTR529" s="501"/>
      <c r="JTS529" s="501"/>
      <c r="JTT529" s="501"/>
      <c r="JTU529" s="501"/>
      <c r="JTV529" s="501"/>
      <c r="JTW529" s="501"/>
      <c r="JTX529" s="501"/>
      <c r="JTY529" s="501"/>
      <c r="JTZ529" s="501"/>
      <c r="JUA529" s="501"/>
      <c r="JUB529" s="501"/>
      <c r="JUC529" s="501"/>
      <c r="JUD529" s="501"/>
      <c r="JUE529" s="501"/>
      <c r="JUF529" s="501"/>
      <c r="JUG529" s="501"/>
      <c r="JUH529" s="501"/>
      <c r="JUI529" s="501"/>
      <c r="JUJ529" s="501"/>
      <c r="JUK529" s="501"/>
      <c r="JUL529" s="501"/>
      <c r="JUM529" s="501"/>
      <c r="JUN529" s="501"/>
      <c r="JUO529" s="501"/>
      <c r="JUP529" s="501"/>
      <c r="JUQ529" s="501"/>
      <c r="JUR529" s="501"/>
      <c r="JUS529" s="501"/>
      <c r="JUT529" s="501"/>
      <c r="JUU529" s="501"/>
      <c r="JUV529" s="501"/>
      <c r="JUW529" s="501"/>
      <c r="JUX529" s="501"/>
      <c r="JUY529" s="501"/>
      <c r="JUZ529" s="501"/>
      <c r="JVA529" s="501"/>
      <c r="JVB529" s="501"/>
      <c r="JVC529" s="501"/>
      <c r="JVD529" s="501"/>
      <c r="JVE529" s="501"/>
      <c r="JVF529" s="501"/>
      <c r="JVG529" s="501"/>
      <c r="JVH529" s="501"/>
      <c r="JVI529" s="501"/>
      <c r="JVJ529" s="501"/>
      <c r="JVK529" s="501"/>
      <c r="JVL529" s="501"/>
      <c r="JVM529" s="501"/>
      <c r="JVN529" s="501"/>
      <c r="JVO529" s="501"/>
      <c r="JVP529" s="501"/>
      <c r="JVQ529" s="501"/>
      <c r="JVR529" s="501"/>
      <c r="JVS529" s="501"/>
      <c r="JVT529" s="501"/>
      <c r="JVU529" s="501"/>
      <c r="JVV529" s="501"/>
      <c r="JVW529" s="501"/>
      <c r="JVX529" s="501"/>
      <c r="JVY529" s="501"/>
      <c r="JVZ529" s="501"/>
      <c r="JWA529" s="501"/>
      <c r="JWB529" s="501"/>
      <c r="JWC529" s="501"/>
      <c r="JWD529" s="501"/>
      <c r="JWE529" s="501"/>
      <c r="JWF529" s="501"/>
      <c r="JWG529" s="501"/>
      <c r="JWH529" s="501"/>
      <c r="JWI529" s="501"/>
      <c r="JWJ529" s="501"/>
      <c r="JWK529" s="501"/>
      <c r="JWL529" s="501"/>
      <c r="JWM529" s="501"/>
      <c r="JWN529" s="501"/>
      <c r="JWO529" s="501"/>
      <c r="JWP529" s="501"/>
      <c r="JWQ529" s="501"/>
      <c r="JWR529" s="501"/>
      <c r="JWS529" s="501"/>
      <c r="JWT529" s="501"/>
      <c r="JWU529" s="501"/>
      <c r="JWV529" s="501"/>
      <c r="JWW529" s="501"/>
      <c r="JWX529" s="501"/>
      <c r="JWY529" s="501"/>
      <c r="JWZ529" s="501"/>
      <c r="JXA529" s="501"/>
      <c r="JXB529" s="501"/>
      <c r="JXC529" s="501"/>
      <c r="JXD529" s="501"/>
      <c r="JXE529" s="501"/>
      <c r="JXF529" s="501"/>
      <c r="JXG529" s="501"/>
      <c r="JXH529" s="501"/>
      <c r="JXI529" s="501"/>
      <c r="JXJ529" s="501"/>
      <c r="JXK529" s="501"/>
      <c r="JXL529" s="501"/>
      <c r="JXM529" s="501"/>
      <c r="JXN529" s="501"/>
      <c r="JXO529" s="501"/>
      <c r="JXP529" s="501"/>
      <c r="JXQ529" s="501"/>
      <c r="JXR529" s="501"/>
      <c r="JXS529" s="501"/>
      <c r="JXT529" s="501"/>
      <c r="JXU529" s="501"/>
      <c r="JXV529" s="501"/>
      <c r="JXW529" s="501"/>
      <c r="JXX529" s="501"/>
      <c r="JXY529" s="501"/>
      <c r="JXZ529" s="501"/>
      <c r="JYA529" s="501"/>
      <c r="JYB529" s="501"/>
      <c r="JYC529" s="501"/>
      <c r="JYD529" s="501"/>
      <c r="JYE529" s="501"/>
      <c r="JYF529" s="501"/>
      <c r="JYG529" s="501"/>
      <c r="JYH529" s="501"/>
      <c r="JYI529" s="501"/>
      <c r="JYJ529" s="501"/>
      <c r="JYK529" s="501"/>
      <c r="JYL529" s="501"/>
      <c r="JYM529" s="501"/>
      <c r="JYN529" s="501"/>
      <c r="JYO529" s="501"/>
      <c r="JYP529" s="501"/>
      <c r="JYQ529" s="501"/>
      <c r="JYR529" s="501"/>
      <c r="JYS529" s="501"/>
      <c r="JYT529" s="501"/>
      <c r="JYU529" s="501"/>
      <c r="JYV529" s="501"/>
      <c r="JYW529" s="501"/>
      <c r="JYX529" s="501"/>
      <c r="JYY529" s="501"/>
      <c r="JYZ529" s="501"/>
      <c r="JZA529" s="501"/>
      <c r="JZB529" s="501"/>
      <c r="JZC529" s="501"/>
      <c r="JZD529" s="501"/>
      <c r="JZE529" s="501"/>
      <c r="JZF529" s="501"/>
      <c r="JZG529" s="501"/>
      <c r="JZH529" s="501"/>
      <c r="JZI529" s="501"/>
      <c r="JZJ529" s="501"/>
      <c r="JZK529" s="501"/>
      <c r="JZL529" s="501"/>
      <c r="JZM529" s="501"/>
      <c r="JZN529" s="501"/>
      <c r="JZO529" s="501"/>
      <c r="JZP529" s="501"/>
      <c r="JZQ529" s="501"/>
      <c r="JZR529" s="501"/>
      <c r="JZS529" s="501"/>
      <c r="JZT529" s="501"/>
      <c r="JZU529" s="501"/>
      <c r="JZV529" s="501"/>
      <c r="JZW529" s="501"/>
      <c r="JZX529" s="501"/>
      <c r="JZY529" s="501"/>
      <c r="JZZ529" s="501"/>
      <c r="KAA529" s="501"/>
      <c r="KAB529" s="501"/>
      <c r="KAC529" s="501"/>
      <c r="KAD529" s="501"/>
      <c r="KAE529" s="501"/>
      <c r="KAF529" s="501"/>
      <c r="KAG529" s="501"/>
      <c r="KAH529" s="501"/>
      <c r="KAI529" s="501"/>
      <c r="KAJ529" s="501"/>
      <c r="KAK529" s="501"/>
      <c r="KAL529" s="501"/>
      <c r="KAM529" s="501"/>
      <c r="KAN529" s="501"/>
      <c r="KAO529" s="501"/>
      <c r="KAP529" s="501"/>
      <c r="KAQ529" s="501"/>
      <c r="KAR529" s="501"/>
      <c r="KAS529" s="501"/>
      <c r="KAT529" s="501"/>
      <c r="KAU529" s="501"/>
      <c r="KAV529" s="501"/>
      <c r="KAW529" s="501"/>
      <c r="KAX529" s="501"/>
      <c r="KAY529" s="501"/>
      <c r="KAZ529" s="501"/>
      <c r="KBA529" s="501"/>
      <c r="KBB529" s="501"/>
      <c r="KBC529" s="501"/>
      <c r="KBD529" s="501"/>
      <c r="KBE529" s="501"/>
      <c r="KBF529" s="501"/>
      <c r="KBG529" s="501"/>
      <c r="KBH529" s="501"/>
      <c r="KBI529" s="501"/>
      <c r="KBJ529" s="501"/>
      <c r="KBK529" s="501"/>
      <c r="KBL529" s="501"/>
      <c r="KBM529" s="501"/>
      <c r="KBN529" s="501"/>
      <c r="KBO529" s="501"/>
      <c r="KBP529" s="501"/>
      <c r="KBQ529" s="501"/>
      <c r="KBR529" s="501"/>
      <c r="KBS529" s="501"/>
      <c r="KBT529" s="501"/>
      <c r="KBU529" s="501"/>
      <c r="KBV529" s="501"/>
      <c r="KBW529" s="501"/>
      <c r="KBX529" s="501"/>
      <c r="KBY529" s="501"/>
      <c r="KBZ529" s="501"/>
      <c r="KCA529" s="501"/>
      <c r="KCB529" s="501"/>
      <c r="KCC529" s="501"/>
      <c r="KCD529" s="501"/>
      <c r="KCE529" s="501"/>
      <c r="KCF529" s="501"/>
      <c r="KCG529" s="501"/>
      <c r="KCH529" s="501"/>
      <c r="KCI529" s="501"/>
      <c r="KCJ529" s="501"/>
      <c r="KCK529" s="501"/>
      <c r="KCL529" s="501"/>
      <c r="KCM529" s="501"/>
      <c r="KCN529" s="501"/>
      <c r="KCO529" s="501"/>
      <c r="KCP529" s="501"/>
      <c r="KCQ529" s="501"/>
      <c r="KCR529" s="501"/>
      <c r="KCS529" s="501"/>
      <c r="KCT529" s="501"/>
      <c r="KCU529" s="501"/>
      <c r="KCV529" s="501"/>
      <c r="KCW529" s="501"/>
      <c r="KCX529" s="501"/>
      <c r="KCY529" s="501"/>
      <c r="KCZ529" s="501"/>
      <c r="KDA529" s="501"/>
      <c r="KDB529" s="501"/>
      <c r="KDC529" s="501"/>
      <c r="KDD529" s="501"/>
      <c r="KDE529" s="501"/>
      <c r="KDF529" s="501"/>
      <c r="KDG529" s="501"/>
      <c r="KDH529" s="501"/>
      <c r="KDI529" s="501"/>
      <c r="KDJ529" s="501"/>
      <c r="KDK529" s="501"/>
      <c r="KDL529" s="501"/>
      <c r="KDM529" s="501"/>
      <c r="KDN529" s="501"/>
      <c r="KDO529" s="501"/>
      <c r="KDP529" s="501"/>
      <c r="KDQ529" s="501"/>
      <c r="KDR529" s="501"/>
      <c r="KDS529" s="501"/>
      <c r="KDT529" s="501"/>
      <c r="KDU529" s="501"/>
      <c r="KDV529" s="501"/>
      <c r="KDW529" s="501"/>
      <c r="KDX529" s="501"/>
      <c r="KDY529" s="501"/>
      <c r="KDZ529" s="501"/>
      <c r="KEA529" s="501"/>
      <c r="KEB529" s="501"/>
      <c r="KEC529" s="501"/>
      <c r="KED529" s="501"/>
      <c r="KEE529" s="501"/>
      <c r="KEF529" s="501"/>
      <c r="KEG529" s="501"/>
      <c r="KEH529" s="501"/>
      <c r="KEI529" s="501"/>
      <c r="KEJ529" s="501"/>
      <c r="KEK529" s="501"/>
      <c r="KEL529" s="501"/>
      <c r="KEM529" s="501"/>
      <c r="KEN529" s="501"/>
      <c r="KEO529" s="501"/>
      <c r="KEP529" s="501"/>
      <c r="KEQ529" s="501"/>
      <c r="KER529" s="501"/>
      <c r="KES529" s="501"/>
      <c r="KET529" s="501"/>
      <c r="KEU529" s="501"/>
      <c r="KEV529" s="501"/>
      <c r="KEW529" s="501"/>
      <c r="KEX529" s="501"/>
      <c r="KEY529" s="501"/>
      <c r="KEZ529" s="501"/>
      <c r="KFA529" s="501"/>
      <c r="KFB529" s="501"/>
      <c r="KFC529" s="501"/>
      <c r="KFD529" s="501"/>
      <c r="KFE529" s="501"/>
      <c r="KFF529" s="501"/>
      <c r="KFG529" s="501"/>
      <c r="KFH529" s="501"/>
      <c r="KFI529" s="501"/>
      <c r="KFJ529" s="501"/>
      <c r="KFK529" s="501"/>
      <c r="KFL529" s="501"/>
      <c r="KFM529" s="501"/>
      <c r="KFN529" s="501"/>
      <c r="KFO529" s="501"/>
      <c r="KFP529" s="501"/>
      <c r="KFQ529" s="501"/>
      <c r="KFR529" s="501"/>
      <c r="KFS529" s="501"/>
      <c r="KFT529" s="501"/>
      <c r="KFU529" s="501"/>
      <c r="KFV529" s="501"/>
      <c r="KFW529" s="501"/>
      <c r="KFX529" s="501"/>
      <c r="KFY529" s="501"/>
      <c r="KFZ529" s="501"/>
      <c r="KGA529" s="501"/>
      <c r="KGB529" s="501"/>
      <c r="KGC529" s="501"/>
      <c r="KGD529" s="501"/>
      <c r="KGE529" s="501"/>
      <c r="KGF529" s="501"/>
      <c r="KGG529" s="501"/>
      <c r="KGH529" s="501"/>
      <c r="KGI529" s="501"/>
      <c r="KGJ529" s="501"/>
      <c r="KGK529" s="501"/>
      <c r="KGL529" s="501"/>
      <c r="KGM529" s="501"/>
      <c r="KGN529" s="501"/>
      <c r="KGO529" s="501"/>
      <c r="KGP529" s="501"/>
      <c r="KGQ529" s="501"/>
      <c r="KGR529" s="501"/>
      <c r="KGS529" s="501"/>
      <c r="KGT529" s="501"/>
      <c r="KGU529" s="501"/>
      <c r="KGV529" s="501"/>
      <c r="KGW529" s="501"/>
      <c r="KGX529" s="501"/>
      <c r="KGY529" s="501"/>
      <c r="KGZ529" s="501"/>
      <c r="KHA529" s="501"/>
      <c r="KHB529" s="501"/>
      <c r="KHC529" s="501"/>
      <c r="KHD529" s="501"/>
      <c r="KHE529" s="501"/>
      <c r="KHF529" s="501"/>
      <c r="KHG529" s="501"/>
      <c r="KHH529" s="501"/>
      <c r="KHI529" s="501"/>
      <c r="KHJ529" s="501"/>
      <c r="KHK529" s="501"/>
      <c r="KHL529" s="501"/>
      <c r="KHM529" s="501"/>
      <c r="KHN529" s="501"/>
      <c r="KHO529" s="501"/>
      <c r="KHP529" s="501"/>
      <c r="KHQ529" s="501"/>
      <c r="KHR529" s="501"/>
      <c r="KHS529" s="501"/>
      <c r="KHT529" s="501"/>
      <c r="KHU529" s="501"/>
      <c r="KHV529" s="501"/>
      <c r="KHW529" s="501"/>
      <c r="KHX529" s="501"/>
      <c r="KHY529" s="501"/>
      <c r="KHZ529" s="501"/>
      <c r="KIA529" s="501"/>
      <c r="KIB529" s="501"/>
      <c r="KIC529" s="501"/>
      <c r="KID529" s="501"/>
      <c r="KIE529" s="501"/>
      <c r="KIF529" s="501"/>
      <c r="KIG529" s="501"/>
      <c r="KIH529" s="501"/>
      <c r="KII529" s="501"/>
      <c r="KIJ529" s="501"/>
      <c r="KIK529" s="501"/>
      <c r="KIL529" s="501"/>
      <c r="KIM529" s="501"/>
      <c r="KIN529" s="501"/>
      <c r="KIO529" s="501"/>
      <c r="KIP529" s="501"/>
      <c r="KIQ529" s="501"/>
      <c r="KIR529" s="501"/>
      <c r="KIS529" s="501"/>
      <c r="KIT529" s="501"/>
      <c r="KIU529" s="501"/>
      <c r="KIV529" s="501"/>
      <c r="KIW529" s="501"/>
      <c r="KIX529" s="501"/>
      <c r="KIY529" s="501"/>
      <c r="KIZ529" s="501"/>
      <c r="KJA529" s="501"/>
      <c r="KJB529" s="501"/>
      <c r="KJC529" s="501"/>
      <c r="KJD529" s="501"/>
      <c r="KJE529" s="501"/>
      <c r="KJF529" s="501"/>
      <c r="KJG529" s="501"/>
      <c r="KJH529" s="501"/>
      <c r="KJI529" s="501"/>
      <c r="KJJ529" s="501"/>
      <c r="KJK529" s="501"/>
      <c r="KJL529" s="501"/>
      <c r="KJM529" s="501"/>
      <c r="KJN529" s="501"/>
      <c r="KJO529" s="501"/>
      <c r="KJP529" s="501"/>
      <c r="KJQ529" s="501"/>
      <c r="KJR529" s="501"/>
      <c r="KJS529" s="501"/>
      <c r="KJT529" s="501"/>
      <c r="KJU529" s="501"/>
      <c r="KJV529" s="501"/>
      <c r="KJW529" s="501"/>
      <c r="KJX529" s="501"/>
      <c r="KJY529" s="501"/>
      <c r="KJZ529" s="501"/>
      <c r="KKA529" s="501"/>
      <c r="KKB529" s="501"/>
      <c r="KKC529" s="501"/>
      <c r="KKD529" s="501"/>
      <c r="KKE529" s="501"/>
      <c r="KKF529" s="501"/>
      <c r="KKG529" s="501"/>
      <c r="KKH529" s="501"/>
      <c r="KKI529" s="501"/>
      <c r="KKJ529" s="501"/>
      <c r="KKK529" s="501"/>
      <c r="KKL529" s="501"/>
      <c r="KKM529" s="501"/>
      <c r="KKN529" s="501"/>
      <c r="KKO529" s="501"/>
      <c r="KKP529" s="501"/>
      <c r="KKQ529" s="501"/>
      <c r="KKR529" s="501"/>
      <c r="KKS529" s="501"/>
      <c r="KKT529" s="501"/>
      <c r="KKU529" s="501"/>
      <c r="KKV529" s="501"/>
      <c r="KKW529" s="501"/>
      <c r="KKX529" s="501"/>
      <c r="KKY529" s="501"/>
      <c r="KKZ529" s="501"/>
      <c r="KLA529" s="501"/>
      <c r="KLB529" s="501"/>
      <c r="KLC529" s="501"/>
      <c r="KLD529" s="501"/>
      <c r="KLE529" s="501"/>
      <c r="KLF529" s="501"/>
      <c r="KLG529" s="501"/>
      <c r="KLH529" s="501"/>
      <c r="KLI529" s="501"/>
      <c r="KLJ529" s="501"/>
      <c r="KLK529" s="501"/>
      <c r="KLL529" s="501"/>
      <c r="KLM529" s="501"/>
      <c r="KLN529" s="501"/>
      <c r="KLO529" s="501"/>
      <c r="KLP529" s="501"/>
      <c r="KLQ529" s="501"/>
      <c r="KLR529" s="501"/>
      <c r="KLS529" s="501"/>
      <c r="KLT529" s="501"/>
      <c r="KLU529" s="501"/>
      <c r="KLV529" s="501"/>
      <c r="KLW529" s="501"/>
      <c r="KLX529" s="501"/>
      <c r="KLY529" s="501"/>
      <c r="KLZ529" s="501"/>
      <c r="KMA529" s="501"/>
      <c r="KMB529" s="501"/>
      <c r="KMC529" s="501"/>
      <c r="KMD529" s="501"/>
      <c r="KME529" s="501"/>
      <c r="KMF529" s="501"/>
      <c r="KMG529" s="501"/>
      <c r="KMH529" s="501"/>
      <c r="KMI529" s="501"/>
      <c r="KMJ529" s="501"/>
      <c r="KMK529" s="501"/>
      <c r="KML529" s="501"/>
      <c r="KMM529" s="501"/>
      <c r="KMN529" s="501"/>
      <c r="KMO529" s="501"/>
      <c r="KMP529" s="501"/>
      <c r="KMQ529" s="501"/>
      <c r="KMR529" s="501"/>
      <c r="KMS529" s="501"/>
      <c r="KMT529" s="501"/>
      <c r="KMU529" s="501"/>
      <c r="KMV529" s="501"/>
      <c r="KMW529" s="501"/>
      <c r="KMX529" s="501"/>
      <c r="KMY529" s="501"/>
      <c r="KMZ529" s="501"/>
      <c r="KNA529" s="501"/>
      <c r="KNB529" s="501"/>
      <c r="KNC529" s="501"/>
      <c r="KND529" s="501"/>
      <c r="KNE529" s="501"/>
      <c r="KNF529" s="501"/>
      <c r="KNG529" s="501"/>
      <c r="KNH529" s="501"/>
      <c r="KNI529" s="501"/>
      <c r="KNJ529" s="501"/>
      <c r="KNK529" s="501"/>
      <c r="KNL529" s="501"/>
      <c r="KNM529" s="501"/>
      <c r="KNN529" s="501"/>
      <c r="KNO529" s="501"/>
      <c r="KNP529" s="501"/>
      <c r="KNQ529" s="501"/>
      <c r="KNR529" s="501"/>
      <c r="KNS529" s="501"/>
      <c r="KNT529" s="501"/>
      <c r="KNU529" s="501"/>
      <c r="KNV529" s="501"/>
      <c r="KNW529" s="501"/>
      <c r="KNX529" s="501"/>
      <c r="KNY529" s="501"/>
      <c r="KNZ529" s="501"/>
      <c r="KOA529" s="501"/>
      <c r="KOB529" s="501"/>
      <c r="KOC529" s="501"/>
      <c r="KOD529" s="501"/>
      <c r="KOE529" s="501"/>
      <c r="KOF529" s="501"/>
      <c r="KOG529" s="501"/>
      <c r="KOH529" s="501"/>
      <c r="KOI529" s="501"/>
      <c r="KOJ529" s="501"/>
      <c r="KOK529" s="501"/>
      <c r="KOL529" s="501"/>
      <c r="KOM529" s="501"/>
      <c r="KON529" s="501"/>
      <c r="KOO529" s="501"/>
      <c r="KOP529" s="501"/>
      <c r="KOQ529" s="501"/>
      <c r="KOR529" s="501"/>
      <c r="KOS529" s="501"/>
      <c r="KOT529" s="501"/>
      <c r="KOU529" s="501"/>
      <c r="KOV529" s="501"/>
      <c r="KOW529" s="501"/>
      <c r="KOX529" s="501"/>
      <c r="KOY529" s="501"/>
      <c r="KOZ529" s="501"/>
      <c r="KPA529" s="501"/>
      <c r="KPB529" s="501"/>
      <c r="KPC529" s="501"/>
      <c r="KPD529" s="501"/>
      <c r="KPE529" s="501"/>
      <c r="KPF529" s="501"/>
      <c r="KPG529" s="501"/>
      <c r="KPH529" s="501"/>
      <c r="KPI529" s="501"/>
      <c r="KPJ529" s="501"/>
      <c r="KPK529" s="501"/>
      <c r="KPL529" s="501"/>
      <c r="KPM529" s="501"/>
      <c r="KPN529" s="501"/>
      <c r="KPO529" s="501"/>
      <c r="KPP529" s="501"/>
      <c r="KPQ529" s="501"/>
      <c r="KPR529" s="501"/>
      <c r="KPS529" s="501"/>
      <c r="KPT529" s="501"/>
      <c r="KPU529" s="501"/>
      <c r="KPV529" s="501"/>
      <c r="KPW529" s="501"/>
      <c r="KPX529" s="501"/>
      <c r="KPY529" s="501"/>
      <c r="KPZ529" s="501"/>
      <c r="KQA529" s="501"/>
      <c r="KQB529" s="501"/>
      <c r="KQC529" s="501"/>
      <c r="KQD529" s="501"/>
      <c r="KQE529" s="501"/>
      <c r="KQF529" s="501"/>
      <c r="KQG529" s="501"/>
      <c r="KQH529" s="501"/>
      <c r="KQI529" s="501"/>
      <c r="KQJ529" s="501"/>
      <c r="KQK529" s="501"/>
      <c r="KQL529" s="501"/>
      <c r="KQM529" s="501"/>
      <c r="KQN529" s="501"/>
      <c r="KQO529" s="501"/>
      <c r="KQP529" s="501"/>
      <c r="KQQ529" s="501"/>
      <c r="KQR529" s="501"/>
      <c r="KQS529" s="501"/>
      <c r="KQT529" s="501"/>
      <c r="KQU529" s="501"/>
      <c r="KQV529" s="501"/>
      <c r="KQW529" s="501"/>
      <c r="KQX529" s="501"/>
      <c r="KQY529" s="501"/>
      <c r="KQZ529" s="501"/>
      <c r="KRA529" s="501"/>
      <c r="KRB529" s="501"/>
      <c r="KRC529" s="501"/>
      <c r="KRD529" s="501"/>
      <c r="KRE529" s="501"/>
      <c r="KRF529" s="501"/>
      <c r="KRG529" s="501"/>
      <c r="KRH529" s="501"/>
      <c r="KRI529" s="501"/>
      <c r="KRJ529" s="501"/>
      <c r="KRK529" s="501"/>
      <c r="KRL529" s="501"/>
      <c r="KRM529" s="501"/>
      <c r="KRN529" s="501"/>
      <c r="KRO529" s="501"/>
      <c r="KRP529" s="501"/>
      <c r="KRQ529" s="501"/>
      <c r="KRR529" s="501"/>
      <c r="KRS529" s="501"/>
      <c r="KRT529" s="501"/>
      <c r="KRU529" s="501"/>
      <c r="KRV529" s="501"/>
      <c r="KRW529" s="501"/>
      <c r="KRX529" s="501"/>
      <c r="KRY529" s="501"/>
      <c r="KRZ529" s="501"/>
      <c r="KSA529" s="501"/>
      <c r="KSB529" s="501"/>
      <c r="KSC529" s="501"/>
      <c r="KSD529" s="501"/>
      <c r="KSE529" s="501"/>
      <c r="KSF529" s="501"/>
      <c r="KSG529" s="501"/>
      <c r="KSH529" s="501"/>
      <c r="KSI529" s="501"/>
      <c r="KSJ529" s="501"/>
      <c r="KSK529" s="501"/>
      <c r="KSL529" s="501"/>
      <c r="KSM529" s="501"/>
      <c r="KSN529" s="501"/>
      <c r="KSO529" s="501"/>
      <c r="KSP529" s="501"/>
      <c r="KSQ529" s="501"/>
      <c r="KSR529" s="501"/>
      <c r="KSS529" s="501"/>
      <c r="KST529" s="501"/>
      <c r="KSU529" s="501"/>
      <c r="KSV529" s="501"/>
      <c r="KSW529" s="501"/>
      <c r="KSX529" s="501"/>
      <c r="KSY529" s="501"/>
      <c r="KSZ529" s="501"/>
      <c r="KTA529" s="501"/>
      <c r="KTB529" s="501"/>
      <c r="KTC529" s="501"/>
      <c r="KTD529" s="501"/>
      <c r="KTE529" s="501"/>
      <c r="KTF529" s="501"/>
      <c r="KTG529" s="501"/>
      <c r="KTH529" s="501"/>
      <c r="KTI529" s="501"/>
      <c r="KTJ529" s="501"/>
      <c r="KTK529" s="501"/>
      <c r="KTL529" s="501"/>
      <c r="KTM529" s="501"/>
      <c r="KTN529" s="501"/>
      <c r="KTO529" s="501"/>
      <c r="KTP529" s="501"/>
      <c r="KTQ529" s="501"/>
      <c r="KTR529" s="501"/>
      <c r="KTS529" s="501"/>
      <c r="KTT529" s="501"/>
      <c r="KTU529" s="501"/>
      <c r="KTV529" s="501"/>
      <c r="KTW529" s="501"/>
      <c r="KTX529" s="501"/>
      <c r="KTY529" s="501"/>
      <c r="KTZ529" s="501"/>
      <c r="KUA529" s="501"/>
      <c r="KUB529" s="501"/>
      <c r="KUC529" s="501"/>
      <c r="KUD529" s="501"/>
      <c r="KUE529" s="501"/>
      <c r="KUF529" s="501"/>
      <c r="KUG529" s="501"/>
      <c r="KUH529" s="501"/>
      <c r="KUI529" s="501"/>
      <c r="KUJ529" s="501"/>
      <c r="KUK529" s="501"/>
      <c r="KUL529" s="501"/>
      <c r="KUM529" s="501"/>
      <c r="KUN529" s="501"/>
      <c r="KUO529" s="501"/>
      <c r="KUP529" s="501"/>
      <c r="KUQ529" s="501"/>
      <c r="KUR529" s="501"/>
      <c r="KUS529" s="501"/>
      <c r="KUT529" s="501"/>
      <c r="KUU529" s="501"/>
      <c r="KUV529" s="501"/>
      <c r="KUW529" s="501"/>
      <c r="KUX529" s="501"/>
      <c r="KUY529" s="501"/>
      <c r="KUZ529" s="501"/>
      <c r="KVA529" s="501"/>
      <c r="KVB529" s="501"/>
      <c r="KVC529" s="501"/>
      <c r="KVD529" s="501"/>
      <c r="KVE529" s="501"/>
      <c r="KVF529" s="501"/>
      <c r="KVG529" s="501"/>
      <c r="KVH529" s="501"/>
      <c r="KVI529" s="501"/>
      <c r="KVJ529" s="501"/>
      <c r="KVK529" s="501"/>
      <c r="KVL529" s="501"/>
      <c r="KVM529" s="501"/>
      <c r="KVN529" s="501"/>
      <c r="KVO529" s="501"/>
      <c r="KVP529" s="501"/>
      <c r="KVQ529" s="501"/>
      <c r="KVR529" s="501"/>
      <c r="KVS529" s="501"/>
      <c r="KVT529" s="501"/>
      <c r="KVU529" s="501"/>
      <c r="KVV529" s="501"/>
      <c r="KVW529" s="501"/>
      <c r="KVX529" s="501"/>
      <c r="KVY529" s="501"/>
      <c r="KVZ529" s="501"/>
      <c r="KWA529" s="501"/>
      <c r="KWB529" s="501"/>
      <c r="KWC529" s="501"/>
      <c r="KWD529" s="501"/>
      <c r="KWE529" s="501"/>
      <c r="KWF529" s="501"/>
      <c r="KWG529" s="501"/>
      <c r="KWH529" s="501"/>
      <c r="KWI529" s="501"/>
      <c r="KWJ529" s="501"/>
      <c r="KWK529" s="501"/>
      <c r="KWL529" s="501"/>
      <c r="KWM529" s="501"/>
      <c r="KWN529" s="501"/>
      <c r="KWO529" s="501"/>
      <c r="KWP529" s="501"/>
      <c r="KWQ529" s="501"/>
      <c r="KWR529" s="501"/>
      <c r="KWS529" s="501"/>
      <c r="KWT529" s="501"/>
      <c r="KWU529" s="501"/>
      <c r="KWV529" s="501"/>
      <c r="KWW529" s="501"/>
      <c r="KWX529" s="501"/>
      <c r="KWY529" s="501"/>
      <c r="KWZ529" s="501"/>
      <c r="KXA529" s="501"/>
      <c r="KXB529" s="501"/>
      <c r="KXC529" s="501"/>
      <c r="KXD529" s="501"/>
      <c r="KXE529" s="501"/>
      <c r="KXF529" s="501"/>
      <c r="KXG529" s="501"/>
      <c r="KXH529" s="501"/>
      <c r="KXI529" s="501"/>
      <c r="KXJ529" s="501"/>
      <c r="KXK529" s="501"/>
      <c r="KXL529" s="501"/>
      <c r="KXM529" s="501"/>
      <c r="KXN529" s="501"/>
      <c r="KXO529" s="501"/>
      <c r="KXP529" s="501"/>
      <c r="KXQ529" s="501"/>
      <c r="KXR529" s="501"/>
      <c r="KXS529" s="501"/>
      <c r="KXT529" s="501"/>
      <c r="KXU529" s="501"/>
      <c r="KXV529" s="501"/>
      <c r="KXW529" s="501"/>
      <c r="KXX529" s="501"/>
      <c r="KXY529" s="501"/>
      <c r="KXZ529" s="501"/>
      <c r="KYA529" s="501"/>
      <c r="KYB529" s="501"/>
      <c r="KYC529" s="501"/>
      <c r="KYD529" s="501"/>
      <c r="KYE529" s="501"/>
      <c r="KYF529" s="501"/>
      <c r="KYG529" s="501"/>
      <c r="KYH529" s="501"/>
      <c r="KYI529" s="501"/>
      <c r="KYJ529" s="501"/>
      <c r="KYK529" s="501"/>
      <c r="KYL529" s="501"/>
      <c r="KYM529" s="501"/>
      <c r="KYN529" s="501"/>
      <c r="KYO529" s="501"/>
      <c r="KYP529" s="501"/>
      <c r="KYQ529" s="501"/>
      <c r="KYR529" s="501"/>
      <c r="KYS529" s="501"/>
      <c r="KYT529" s="501"/>
      <c r="KYU529" s="501"/>
      <c r="KYV529" s="501"/>
      <c r="KYW529" s="501"/>
      <c r="KYX529" s="501"/>
      <c r="KYY529" s="501"/>
      <c r="KYZ529" s="501"/>
      <c r="KZA529" s="501"/>
      <c r="KZB529" s="501"/>
      <c r="KZC529" s="501"/>
      <c r="KZD529" s="501"/>
      <c r="KZE529" s="501"/>
      <c r="KZF529" s="501"/>
      <c r="KZG529" s="501"/>
      <c r="KZH529" s="501"/>
      <c r="KZI529" s="501"/>
      <c r="KZJ529" s="501"/>
      <c r="KZK529" s="501"/>
      <c r="KZL529" s="501"/>
      <c r="KZM529" s="501"/>
      <c r="KZN529" s="501"/>
      <c r="KZO529" s="501"/>
      <c r="KZP529" s="501"/>
      <c r="KZQ529" s="501"/>
      <c r="KZR529" s="501"/>
      <c r="KZS529" s="501"/>
      <c r="KZT529" s="501"/>
      <c r="KZU529" s="501"/>
      <c r="KZV529" s="501"/>
      <c r="KZW529" s="501"/>
      <c r="KZX529" s="501"/>
      <c r="KZY529" s="501"/>
      <c r="KZZ529" s="501"/>
      <c r="LAA529" s="501"/>
      <c r="LAB529" s="501"/>
      <c r="LAC529" s="501"/>
      <c r="LAD529" s="501"/>
      <c r="LAE529" s="501"/>
      <c r="LAF529" s="501"/>
      <c r="LAG529" s="501"/>
      <c r="LAH529" s="501"/>
      <c r="LAI529" s="501"/>
      <c r="LAJ529" s="501"/>
      <c r="LAK529" s="501"/>
      <c r="LAL529" s="501"/>
      <c r="LAM529" s="501"/>
      <c r="LAN529" s="501"/>
      <c r="LAO529" s="501"/>
      <c r="LAP529" s="501"/>
      <c r="LAQ529" s="501"/>
      <c r="LAR529" s="501"/>
      <c r="LAS529" s="501"/>
      <c r="LAT529" s="501"/>
      <c r="LAU529" s="501"/>
      <c r="LAV529" s="501"/>
      <c r="LAW529" s="501"/>
      <c r="LAX529" s="501"/>
      <c r="LAY529" s="501"/>
      <c r="LAZ529" s="501"/>
      <c r="LBA529" s="501"/>
      <c r="LBB529" s="501"/>
      <c r="LBC529" s="501"/>
      <c r="LBD529" s="501"/>
      <c r="LBE529" s="501"/>
      <c r="LBF529" s="501"/>
      <c r="LBG529" s="501"/>
      <c r="LBH529" s="501"/>
      <c r="LBI529" s="501"/>
      <c r="LBJ529" s="501"/>
      <c r="LBK529" s="501"/>
      <c r="LBL529" s="501"/>
      <c r="LBM529" s="501"/>
      <c r="LBN529" s="501"/>
      <c r="LBO529" s="501"/>
      <c r="LBP529" s="501"/>
      <c r="LBQ529" s="501"/>
      <c r="LBR529" s="501"/>
      <c r="LBS529" s="501"/>
      <c r="LBT529" s="501"/>
      <c r="LBU529" s="501"/>
      <c r="LBV529" s="501"/>
      <c r="LBW529" s="501"/>
      <c r="LBX529" s="501"/>
      <c r="LBY529" s="501"/>
      <c r="LBZ529" s="501"/>
      <c r="LCA529" s="501"/>
      <c r="LCB529" s="501"/>
      <c r="LCC529" s="501"/>
      <c r="LCD529" s="501"/>
      <c r="LCE529" s="501"/>
      <c r="LCF529" s="501"/>
      <c r="LCG529" s="501"/>
      <c r="LCH529" s="501"/>
      <c r="LCI529" s="501"/>
      <c r="LCJ529" s="501"/>
      <c r="LCK529" s="501"/>
      <c r="LCL529" s="501"/>
      <c r="LCM529" s="501"/>
      <c r="LCN529" s="501"/>
      <c r="LCO529" s="501"/>
      <c r="LCP529" s="501"/>
      <c r="LCQ529" s="501"/>
      <c r="LCR529" s="501"/>
      <c r="LCS529" s="501"/>
      <c r="LCT529" s="501"/>
      <c r="LCU529" s="501"/>
      <c r="LCV529" s="501"/>
      <c r="LCW529" s="501"/>
      <c r="LCX529" s="501"/>
      <c r="LCY529" s="501"/>
      <c r="LCZ529" s="501"/>
      <c r="LDA529" s="501"/>
      <c r="LDB529" s="501"/>
      <c r="LDC529" s="501"/>
      <c r="LDD529" s="501"/>
      <c r="LDE529" s="501"/>
      <c r="LDF529" s="501"/>
      <c r="LDG529" s="501"/>
      <c r="LDH529" s="501"/>
      <c r="LDI529" s="501"/>
      <c r="LDJ529" s="501"/>
      <c r="LDK529" s="501"/>
      <c r="LDL529" s="501"/>
      <c r="LDM529" s="501"/>
      <c r="LDN529" s="501"/>
      <c r="LDO529" s="501"/>
      <c r="LDP529" s="501"/>
      <c r="LDQ529" s="501"/>
      <c r="LDR529" s="501"/>
      <c r="LDS529" s="501"/>
      <c r="LDT529" s="501"/>
      <c r="LDU529" s="501"/>
      <c r="LDV529" s="501"/>
      <c r="LDW529" s="501"/>
      <c r="LDX529" s="501"/>
      <c r="LDY529" s="501"/>
      <c r="LDZ529" s="501"/>
      <c r="LEA529" s="501"/>
      <c r="LEB529" s="501"/>
      <c r="LEC529" s="501"/>
      <c r="LED529" s="501"/>
      <c r="LEE529" s="501"/>
      <c r="LEF529" s="501"/>
      <c r="LEG529" s="501"/>
      <c r="LEH529" s="501"/>
      <c r="LEI529" s="501"/>
      <c r="LEJ529" s="501"/>
      <c r="LEK529" s="501"/>
      <c r="LEL529" s="501"/>
      <c r="LEM529" s="501"/>
      <c r="LEN529" s="501"/>
      <c r="LEO529" s="501"/>
      <c r="LEP529" s="501"/>
      <c r="LEQ529" s="501"/>
      <c r="LER529" s="501"/>
      <c r="LES529" s="501"/>
      <c r="LET529" s="501"/>
      <c r="LEU529" s="501"/>
      <c r="LEV529" s="501"/>
      <c r="LEW529" s="501"/>
      <c r="LEX529" s="501"/>
      <c r="LEY529" s="501"/>
      <c r="LEZ529" s="501"/>
      <c r="LFA529" s="501"/>
      <c r="LFB529" s="501"/>
      <c r="LFC529" s="501"/>
      <c r="LFD529" s="501"/>
      <c r="LFE529" s="501"/>
      <c r="LFF529" s="501"/>
      <c r="LFG529" s="501"/>
      <c r="LFH529" s="501"/>
      <c r="LFI529" s="501"/>
      <c r="LFJ529" s="501"/>
      <c r="LFK529" s="501"/>
      <c r="LFL529" s="501"/>
      <c r="LFM529" s="501"/>
      <c r="LFN529" s="501"/>
      <c r="LFO529" s="501"/>
      <c r="LFP529" s="501"/>
      <c r="LFQ529" s="501"/>
      <c r="LFR529" s="501"/>
      <c r="LFS529" s="501"/>
      <c r="LFT529" s="501"/>
      <c r="LFU529" s="501"/>
      <c r="LFV529" s="501"/>
      <c r="LFW529" s="501"/>
      <c r="LFX529" s="501"/>
      <c r="LFY529" s="501"/>
      <c r="LFZ529" s="501"/>
      <c r="LGA529" s="501"/>
      <c r="LGB529" s="501"/>
      <c r="LGC529" s="501"/>
      <c r="LGD529" s="501"/>
      <c r="LGE529" s="501"/>
      <c r="LGF529" s="501"/>
      <c r="LGG529" s="501"/>
      <c r="LGH529" s="501"/>
      <c r="LGI529" s="501"/>
      <c r="LGJ529" s="501"/>
      <c r="LGK529" s="501"/>
      <c r="LGL529" s="501"/>
      <c r="LGM529" s="501"/>
      <c r="LGN529" s="501"/>
      <c r="LGO529" s="501"/>
      <c r="LGP529" s="501"/>
      <c r="LGQ529" s="501"/>
      <c r="LGR529" s="501"/>
      <c r="LGS529" s="501"/>
      <c r="LGT529" s="501"/>
      <c r="LGU529" s="501"/>
      <c r="LGV529" s="501"/>
      <c r="LGW529" s="501"/>
      <c r="LGX529" s="501"/>
      <c r="LGY529" s="501"/>
      <c r="LGZ529" s="501"/>
      <c r="LHA529" s="501"/>
      <c r="LHB529" s="501"/>
      <c r="LHC529" s="501"/>
      <c r="LHD529" s="501"/>
      <c r="LHE529" s="501"/>
      <c r="LHF529" s="501"/>
      <c r="LHG529" s="501"/>
      <c r="LHH529" s="501"/>
      <c r="LHI529" s="501"/>
      <c r="LHJ529" s="501"/>
      <c r="LHK529" s="501"/>
      <c r="LHL529" s="501"/>
      <c r="LHM529" s="501"/>
      <c r="LHN529" s="501"/>
      <c r="LHO529" s="501"/>
      <c r="LHP529" s="501"/>
      <c r="LHQ529" s="501"/>
      <c r="LHR529" s="501"/>
      <c r="LHS529" s="501"/>
      <c r="LHT529" s="501"/>
      <c r="LHU529" s="501"/>
      <c r="LHV529" s="501"/>
      <c r="LHW529" s="501"/>
      <c r="LHX529" s="501"/>
      <c r="LHY529" s="501"/>
      <c r="LHZ529" s="501"/>
      <c r="LIA529" s="501"/>
      <c r="LIB529" s="501"/>
      <c r="LIC529" s="501"/>
      <c r="LID529" s="501"/>
      <c r="LIE529" s="501"/>
      <c r="LIF529" s="501"/>
      <c r="LIG529" s="501"/>
      <c r="LIH529" s="501"/>
      <c r="LII529" s="501"/>
      <c r="LIJ529" s="501"/>
      <c r="LIK529" s="501"/>
      <c r="LIL529" s="501"/>
      <c r="LIM529" s="501"/>
      <c r="LIN529" s="501"/>
      <c r="LIO529" s="501"/>
      <c r="LIP529" s="501"/>
      <c r="LIQ529" s="501"/>
      <c r="LIR529" s="501"/>
      <c r="LIS529" s="501"/>
      <c r="LIT529" s="501"/>
      <c r="LIU529" s="501"/>
      <c r="LIV529" s="501"/>
      <c r="LIW529" s="501"/>
      <c r="LIX529" s="501"/>
      <c r="LIY529" s="501"/>
      <c r="LIZ529" s="501"/>
      <c r="LJA529" s="501"/>
      <c r="LJB529" s="501"/>
      <c r="LJC529" s="501"/>
      <c r="LJD529" s="501"/>
      <c r="LJE529" s="501"/>
      <c r="LJF529" s="501"/>
      <c r="LJG529" s="501"/>
      <c r="LJH529" s="501"/>
      <c r="LJI529" s="501"/>
      <c r="LJJ529" s="501"/>
      <c r="LJK529" s="501"/>
      <c r="LJL529" s="501"/>
      <c r="LJM529" s="501"/>
      <c r="LJN529" s="501"/>
      <c r="LJO529" s="501"/>
      <c r="LJP529" s="501"/>
      <c r="LJQ529" s="501"/>
      <c r="LJR529" s="501"/>
      <c r="LJS529" s="501"/>
      <c r="LJT529" s="501"/>
      <c r="LJU529" s="501"/>
      <c r="LJV529" s="501"/>
      <c r="LJW529" s="501"/>
      <c r="LJX529" s="501"/>
      <c r="LJY529" s="501"/>
      <c r="LJZ529" s="501"/>
      <c r="LKA529" s="501"/>
      <c r="LKB529" s="501"/>
      <c r="LKC529" s="501"/>
      <c r="LKD529" s="501"/>
      <c r="LKE529" s="501"/>
      <c r="LKF529" s="501"/>
      <c r="LKG529" s="501"/>
      <c r="LKH529" s="501"/>
      <c r="LKI529" s="501"/>
      <c r="LKJ529" s="501"/>
      <c r="LKK529" s="501"/>
      <c r="LKL529" s="501"/>
      <c r="LKM529" s="501"/>
      <c r="LKN529" s="501"/>
      <c r="LKO529" s="501"/>
      <c r="LKP529" s="501"/>
      <c r="LKQ529" s="501"/>
      <c r="LKR529" s="501"/>
      <c r="LKS529" s="501"/>
      <c r="LKT529" s="501"/>
      <c r="LKU529" s="501"/>
      <c r="LKV529" s="501"/>
      <c r="LKW529" s="501"/>
      <c r="LKX529" s="501"/>
      <c r="LKY529" s="501"/>
      <c r="LKZ529" s="501"/>
      <c r="LLA529" s="501"/>
      <c r="LLB529" s="501"/>
      <c r="LLC529" s="501"/>
      <c r="LLD529" s="501"/>
      <c r="LLE529" s="501"/>
      <c r="LLF529" s="501"/>
      <c r="LLG529" s="501"/>
      <c r="LLH529" s="501"/>
      <c r="LLI529" s="501"/>
      <c r="LLJ529" s="501"/>
      <c r="LLK529" s="501"/>
      <c r="LLL529" s="501"/>
      <c r="LLM529" s="501"/>
      <c r="LLN529" s="501"/>
      <c r="LLO529" s="501"/>
      <c r="LLP529" s="501"/>
      <c r="LLQ529" s="501"/>
      <c r="LLR529" s="501"/>
      <c r="LLS529" s="501"/>
      <c r="LLT529" s="501"/>
      <c r="LLU529" s="501"/>
      <c r="LLV529" s="501"/>
      <c r="LLW529" s="501"/>
      <c r="LLX529" s="501"/>
      <c r="LLY529" s="501"/>
      <c r="LLZ529" s="501"/>
      <c r="LMA529" s="501"/>
      <c r="LMB529" s="501"/>
      <c r="LMC529" s="501"/>
      <c r="LMD529" s="501"/>
      <c r="LME529" s="501"/>
      <c r="LMF529" s="501"/>
      <c r="LMG529" s="501"/>
      <c r="LMH529" s="501"/>
      <c r="LMI529" s="501"/>
      <c r="LMJ529" s="501"/>
      <c r="LMK529" s="501"/>
      <c r="LML529" s="501"/>
      <c r="LMM529" s="501"/>
      <c r="LMN529" s="501"/>
      <c r="LMO529" s="501"/>
      <c r="LMP529" s="501"/>
      <c r="LMQ529" s="501"/>
      <c r="LMR529" s="501"/>
      <c r="LMS529" s="501"/>
      <c r="LMT529" s="501"/>
      <c r="LMU529" s="501"/>
      <c r="LMV529" s="501"/>
      <c r="LMW529" s="501"/>
      <c r="LMX529" s="501"/>
      <c r="LMY529" s="501"/>
      <c r="LMZ529" s="501"/>
      <c r="LNA529" s="501"/>
      <c r="LNB529" s="501"/>
      <c r="LNC529" s="501"/>
      <c r="LND529" s="501"/>
      <c r="LNE529" s="501"/>
      <c r="LNF529" s="501"/>
      <c r="LNG529" s="501"/>
      <c r="LNH529" s="501"/>
      <c r="LNI529" s="501"/>
      <c r="LNJ529" s="501"/>
      <c r="LNK529" s="501"/>
      <c r="LNL529" s="501"/>
      <c r="LNM529" s="501"/>
      <c r="LNN529" s="501"/>
      <c r="LNO529" s="501"/>
      <c r="LNP529" s="501"/>
      <c r="LNQ529" s="501"/>
      <c r="LNR529" s="501"/>
      <c r="LNS529" s="501"/>
      <c r="LNT529" s="501"/>
      <c r="LNU529" s="501"/>
      <c r="LNV529" s="501"/>
      <c r="LNW529" s="501"/>
      <c r="LNX529" s="501"/>
      <c r="LNY529" s="501"/>
      <c r="LNZ529" s="501"/>
      <c r="LOA529" s="501"/>
      <c r="LOB529" s="501"/>
      <c r="LOC529" s="501"/>
      <c r="LOD529" s="501"/>
      <c r="LOE529" s="501"/>
      <c r="LOF529" s="501"/>
      <c r="LOG529" s="501"/>
      <c r="LOH529" s="501"/>
      <c r="LOI529" s="501"/>
      <c r="LOJ529" s="501"/>
      <c r="LOK529" s="501"/>
      <c r="LOL529" s="501"/>
      <c r="LOM529" s="501"/>
      <c r="LON529" s="501"/>
      <c r="LOO529" s="501"/>
      <c r="LOP529" s="501"/>
      <c r="LOQ529" s="501"/>
      <c r="LOR529" s="501"/>
      <c r="LOS529" s="501"/>
      <c r="LOT529" s="501"/>
      <c r="LOU529" s="501"/>
      <c r="LOV529" s="501"/>
      <c r="LOW529" s="501"/>
      <c r="LOX529" s="501"/>
      <c r="LOY529" s="501"/>
      <c r="LOZ529" s="501"/>
      <c r="LPA529" s="501"/>
      <c r="LPB529" s="501"/>
      <c r="LPC529" s="501"/>
      <c r="LPD529" s="501"/>
      <c r="LPE529" s="501"/>
      <c r="LPF529" s="501"/>
      <c r="LPG529" s="501"/>
      <c r="LPH529" s="501"/>
      <c r="LPI529" s="501"/>
      <c r="LPJ529" s="501"/>
      <c r="LPK529" s="501"/>
      <c r="LPL529" s="501"/>
      <c r="LPM529" s="501"/>
      <c r="LPN529" s="501"/>
      <c r="LPO529" s="501"/>
      <c r="LPP529" s="501"/>
      <c r="LPQ529" s="501"/>
      <c r="LPR529" s="501"/>
      <c r="LPS529" s="501"/>
      <c r="LPT529" s="501"/>
      <c r="LPU529" s="501"/>
      <c r="LPV529" s="501"/>
      <c r="LPW529" s="501"/>
      <c r="LPX529" s="501"/>
      <c r="LPY529" s="501"/>
      <c r="LPZ529" s="501"/>
      <c r="LQA529" s="501"/>
      <c r="LQB529" s="501"/>
      <c r="LQC529" s="501"/>
      <c r="LQD529" s="501"/>
      <c r="LQE529" s="501"/>
      <c r="LQF529" s="501"/>
      <c r="LQG529" s="501"/>
      <c r="LQH529" s="501"/>
      <c r="LQI529" s="501"/>
      <c r="LQJ529" s="501"/>
      <c r="LQK529" s="501"/>
      <c r="LQL529" s="501"/>
      <c r="LQM529" s="501"/>
      <c r="LQN529" s="501"/>
      <c r="LQO529" s="501"/>
      <c r="LQP529" s="501"/>
      <c r="LQQ529" s="501"/>
      <c r="LQR529" s="501"/>
      <c r="LQS529" s="501"/>
      <c r="LQT529" s="501"/>
      <c r="LQU529" s="501"/>
      <c r="LQV529" s="501"/>
      <c r="LQW529" s="501"/>
      <c r="LQX529" s="501"/>
      <c r="LQY529" s="501"/>
      <c r="LQZ529" s="501"/>
      <c r="LRA529" s="501"/>
      <c r="LRB529" s="501"/>
      <c r="LRC529" s="501"/>
      <c r="LRD529" s="501"/>
      <c r="LRE529" s="501"/>
      <c r="LRF529" s="501"/>
      <c r="LRG529" s="501"/>
      <c r="LRH529" s="501"/>
      <c r="LRI529" s="501"/>
      <c r="LRJ529" s="501"/>
      <c r="LRK529" s="501"/>
      <c r="LRL529" s="501"/>
      <c r="LRM529" s="501"/>
      <c r="LRN529" s="501"/>
      <c r="LRO529" s="501"/>
      <c r="LRP529" s="501"/>
      <c r="LRQ529" s="501"/>
      <c r="LRR529" s="501"/>
      <c r="LRS529" s="501"/>
      <c r="LRT529" s="501"/>
      <c r="LRU529" s="501"/>
      <c r="LRV529" s="501"/>
      <c r="LRW529" s="501"/>
      <c r="LRX529" s="501"/>
      <c r="LRY529" s="501"/>
      <c r="LRZ529" s="501"/>
      <c r="LSA529" s="501"/>
      <c r="LSB529" s="501"/>
      <c r="LSC529" s="501"/>
      <c r="LSD529" s="501"/>
      <c r="LSE529" s="501"/>
      <c r="LSF529" s="501"/>
      <c r="LSG529" s="501"/>
      <c r="LSH529" s="501"/>
      <c r="LSI529" s="501"/>
      <c r="LSJ529" s="501"/>
      <c r="LSK529" s="501"/>
      <c r="LSL529" s="501"/>
      <c r="LSM529" s="501"/>
      <c r="LSN529" s="501"/>
      <c r="LSO529" s="501"/>
      <c r="LSP529" s="501"/>
      <c r="LSQ529" s="501"/>
      <c r="LSR529" s="501"/>
      <c r="LSS529" s="501"/>
      <c r="LST529" s="501"/>
      <c r="LSU529" s="501"/>
      <c r="LSV529" s="501"/>
      <c r="LSW529" s="501"/>
      <c r="LSX529" s="501"/>
      <c r="LSY529" s="501"/>
      <c r="LSZ529" s="501"/>
      <c r="LTA529" s="501"/>
      <c r="LTB529" s="501"/>
      <c r="LTC529" s="501"/>
      <c r="LTD529" s="501"/>
      <c r="LTE529" s="501"/>
      <c r="LTF529" s="501"/>
      <c r="LTG529" s="501"/>
      <c r="LTH529" s="501"/>
      <c r="LTI529" s="501"/>
      <c r="LTJ529" s="501"/>
      <c r="LTK529" s="501"/>
      <c r="LTL529" s="501"/>
      <c r="LTM529" s="501"/>
      <c r="LTN529" s="501"/>
      <c r="LTO529" s="501"/>
      <c r="LTP529" s="501"/>
      <c r="LTQ529" s="501"/>
      <c r="LTR529" s="501"/>
      <c r="LTS529" s="501"/>
      <c r="LTT529" s="501"/>
      <c r="LTU529" s="501"/>
      <c r="LTV529" s="501"/>
      <c r="LTW529" s="501"/>
      <c r="LTX529" s="501"/>
      <c r="LTY529" s="501"/>
      <c r="LTZ529" s="501"/>
      <c r="LUA529" s="501"/>
      <c r="LUB529" s="501"/>
      <c r="LUC529" s="501"/>
      <c r="LUD529" s="501"/>
      <c r="LUE529" s="501"/>
      <c r="LUF529" s="501"/>
      <c r="LUG529" s="501"/>
      <c r="LUH529" s="501"/>
      <c r="LUI529" s="501"/>
      <c r="LUJ529" s="501"/>
      <c r="LUK529" s="501"/>
      <c r="LUL529" s="501"/>
      <c r="LUM529" s="501"/>
      <c r="LUN529" s="501"/>
      <c r="LUO529" s="501"/>
      <c r="LUP529" s="501"/>
      <c r="LUQ529" s="501"/>
      <c r="LUR529" s="501"/>
      <c r="LUS529" s="501"/>
      <c r="LUT529" s="501"/>
      <c r="LUU529" s="501"/>
      <c r="LUV529" s="501"/>
      <c r="LUW529" s="501"/>
      <c r="LUX529" s="501"/>
      <c r="LUY529" s="501"/>
      <c r="LUZ529" s="501"/>
      <c r="LVA529" s="501"/>
      <c r="LVB529" s="501"/>
      <c r="LVC529" s="501"/>
      <c r="LVD529" s="501"/>
      <c r="LVE529" s="501"/>
      <c r="LVF529" s="501"/>
      <c r="LVG529" s="501"/>
      <c r="LVH529" s="501"/>
      <c r="LVI529" s="501"/>
      <c r="LVJ529" s="501"/>
      <c r="LVK529" s="501"/>
      <c r="LVL529" s="501"/>
      <c r="LVM529" s="501"/>
      <c r="LVN529" s="501"/>
      <c r="LVO529" s="501"/>
      <c r="LVP529" s="501"/>
      <c r="LVQ529" s="501"/>
      <c r="LVR529" s="501"/>
      <c r="LVS529" s="501"/>
      <c r="LVT529" s="501"/>
      <c r="LVU529" s="501"/>
      <c r="LVV529" s="501"/>
      <c r="LVW529" s="501"/>
      <c r="LVX529" s="501"/>
      <c r="LVY529" s="501"/>
      <c r="LVZ529" s="501"/>
      <c r="LWA529" s="501"/>
      <c r="LWB529" s="501"/>
      <c r="LWC529" s="501"/>
      <c r="LWD529" s="501"/>
      <c r="LWE529" s="501"/>
      <c r="LWF529" s="501"/>
      <c r="LWG529" s="501"/>
      <c r="LWH529" s="501"/>
      <c r="LWI529" s="501"/>
      <c r="LWJ529" s="501"/>
      <c r="LWK529" s="501"/>
      <c r="LWL529" s="501"/>
      <c r="LWM529" s="501"/>
      <c r="LWN529" s="501"/>
      <c r="LWO529" s="501"/>
      <c r="LWP529" s="501"/>
      <c r="LWQ529" s="501"/>
      <c r="LWR529" s="501"/>
      <c r="LWS529" s="501"/>
      <c r="LWT529" s="501"/>
      <c r="LWU529" s="501"/>
      <c r="LWV529" s="501"/>
      <c r="LWW529" s="501"/>
      <c r="LWX529" s="501"/>
      <c r="LWY529" s="501"/>
      <c r="LWZ529" s="501"/>
      <c r="LXA529" s="501"/>
      <c r="LXB529" s="501"/>
      <c r="LXC529" s="501"/>
      <c r="LXD529" s="501"/>
      <c r="LXE529" s="501"/>
      <c r="LXF529" s="501"/>
      <c r="LXG529" s="501"/>
      <c r="LXH529" s="501"/>
      <c r="LXI529" s="501"/>
      <c r="LXJ529" s="501"/>
      <c r="LXK529" s="501"/>
      <c r="LXL529" s="501"/>
      <c r="LXM529" s="501"/>
      <c r="LXN529" s="501"/>
      <c r="LXO529" s="501"/>
      <c r="LXP529" s="501"/>
      <c r="LXQ529" s="501"/>
      <c r="LXR529" s="501"/>
      <c r="LXS529" s="501"/>
      <c r="LXT529" s="501"/>
      <c r="LXU529" s="501"/>
      <c r="LXV529" s="501"/>
      <c r="LXW529" s="501"/>
      <c r="LXX529" s="501"/>
      <c r="LXY529" s="501"/>
      <c r="LXZ529" s="501"/>
      <c r="LYA529" s="501"/>
      <c r="LYB529" s="501"/>
      <c r="LYC529" s="501"/>
      <c r="LYD529" s="501"/>
      <c r="LYE529" s="501"/>
      <c r="LYF529" s="501"/>
      <c r="LYG529" s="501"/>
      <c r="LYH529" s="501"/>
      <c r="LYI529" s="501"/>
      <c r="LYJ529" s="501"/>
      <c r="LYK529" s="501"/>
      <c r="LYL529" s="501"/>
      <c r="LYM529" s="501"/>
      <c r="LYN529" s="501"/>
      <c r="LYO529" s="501"/>
      <c r="LYP529" s="501"/>
      <c r="LYQ529" s="501"/>
      <c r="LYR529" s="501"/>
      <c r="LYS529" s="501"/>
      <c r="LYT529" s="501"/>
      <c r="LYU529" s="501"/>
      <c r="LYV529" s="501"/>
      <c r="LYW529" s="501"/>
      <c r="LYX529" s="501"/>
      <c r="LYY529" s="501"/>
      <c r="LYZ529" s="501"/>
      <c r="LZA529" s="501"/>
      <c r="LZB529" s="501"/>
      <c r="LZC529" s="501"/>
      <c r="LZD529" s="501"/>
      <c r="LZE529" s="501"/>
      <c r="LZF529" s="501"/>
      <c r="LZG529" s="501"/>
      <c r="LZH529" s="501"/>
      <c r="LZI529" s="501"/>
      <c r="LZJ529" s="501"/>
      <c r="LZK529" s="501"/>
      <c r="LZL529" s="501"/>
      <c r="LZM529" s="501"/>
      <c r="LZN529" s="501"/>
      <c r="LZO529" s="501"/>
      <c r="LZP529" s="501"/>
      <c r="LZQ529" s="501"/>
      <c r="LZR529" s="501"/>
      <c r="LZS529" s="501"/>
      <c r="LZT529" s="501"/>
      <c r="LZU529" s="501"/>
      <c r="LZV529" s="501"/>
      <c r="LZW529" s="501"/>
      <c r="LZX529" s="501"/>
      <c r="LZY529" s="501"/>
      <c r="LZZ529" s="501"/>
      <c r="MAA529" s="501"/>
      <c r="MAB529" s="501"/>
      <c r="MAC529" s="501"/>
      <c r="MAD529" s="501"/>
      <c r="MAE529" s="501"/>
      <c r="MAF529" s="501"/>
      <c r="MAG529" s="501"/>
      <c r="MAH529" s="501"/>
      <c r="MAI529" s="501"/>
      <c r="MAJ529" s="501"/>
      <c r="MAK529" s="501"/>
      <c r="MAL529" s="501"/>
      <c r="MAM529" s="501"/>
      <c r="MAN529" s="501"/>
      <c r="MAO529" s="501"/>
      <c r="MAP529" s="501"/>
      <c r="MAQ529" s="501"/>
      <c r="MAR529" s="501"/>
      <c r="MAS529" s="501"/>
      <c r="MAT529" s="501"/>
      <c r="MAU529" s="501"/>
      <c r="MAV529" s="501"/>
      <c r="MAW529" s="501"/>
      <c r="MAX529" s="501"/>
      <c r="MAY529" s="501"/>
      <c r="MAZ529" s="501"/>
      <c r="MBA529" s="501"/>
      <c r="MBB529" s="501"/>
      <c r="MBC529" s="501"/>
      <c r="MBD529" s="501"/>
      <c r="MBE529" s="501"/>
      <c r="MBF529" s="501"/>
      <c r="MBG529" s="501"/>
      <c r="MBH529" s="501"/>
      <c r="MBI529" s="501"/>
      <c r="MBJ529" s="501"/>
      <c r="MBK529" s="501"/>
      <c r="MBL529" s="501"/>
      <c r="MBM529" s="501"/>
      <c r="MBN529" s="501"/>
      <c r="MBO529" s="501"/>
      <c r="MBP529" s="501"/>
      <c r="MBQ529" s="501"/>
      <c r="MBR529" s="501"/>
      <c r="MBS529" s="501"/>
      <c r="MBT529" s="501"/>
      <c r="MBU529" s="501"/>
      <c r="MBV529" s="501"/>
      <c r="MBW529" s="501"/>
      <c r="MBX529" s="501"/>
      <c r="MBY529" s="501"/>
      <c r="MBZ529" s="501"/>
      <c r="MCA529" s="501"/>
      <c r="MCB529" s="501"/>
      <c r="MCC529" s="501"/>
      <c r="MCD529" s="501"/>
      <c r="MCE529" s="501"/>
      <c r="MCF529" s="501"/>
      <c r="MCG529" s="501"/>
      <c r="MCH529" s="501"/>
      <c r="MCI529" s="501"/>
      <c r="MCJ529" s="501"/>
      <c r="MCK529" s="501"/>
      <c r="MCL529" s="501"/>
      <c r="MCM529" s="501"/>
      <c r="MCN529" s="501"/>
      <c r="MCO529" s="501"/>
      <c r="MCP529" s="501"/>
      <c r="MCQ529" s="501"/>
      <c r="MCR529" s="501"/>
      <c r="MCS529" s="501"/>
      <c r="MCT529" s="501"/>
      <c r="MCU529" s="501"/>
      <c r="MCV529" s="501"/>
      <c r="MCW529" s="501"/>
      <c r="MCX529" s="501"/>
      <c r="MCY529" s="501"/>
      <c r="MCZ529" s="501"/>
      <c r="MDA529" s="501"/>
      <c r="MDB529" s="501"/>
      <c r="MDC529" s="501"/>
      <c r="MDD529" s="501"/>
      <c r="MDE529" s="501"/>
      <c r="MDF529" s="501"/>
      <c r="MDG529" s="501"/>
      <c r="MDH529" s="501"/>
      <c r="MDI529" s="501"/>
      <c r="MDJ529" s="501"/>
      <c r="MDK529" s="501"/>
      <c r="MDL529" s="501"/>
      <c r="MDM529" s="501"/>
      <c r="MDN529" s="501"/>
      <c r="MDO529" s="501"/>
      <c r="MDP529" s="501"/>
      <c r="MDQ529" s="501"/>
      <c r="MDR529" s="501"/>
      <c r="MDS529" s="501"/>
      <c r="MDT529" s="501"/>
      <c r="MDU529" s="501"/>
      <c r="MDV529" s="501"/>
      <c r="MDW529" s="501"/>
      <c r="MDX529" s="501"/>
      <c r="MDY529" s="501"/>
      <c r="MDZ529" s="501"/>
      <c r="MEA529" s="501"/>
      <c r="MEB529" s="501"/>
      <c r="MEC529" s="501"/>
      <c r="MED529" s="501"/>
      <c r="MEE529" s="501"/>
      <c r="MEF529" s="501"/>
      <c r="MEG529" s="501"/>
      <c r="MEH529" s="501"/>
      <c r="MEI529" s="501"/>
      <c r="MEJ529" s="501"/>
      <c r="MEK529" s="501"/>
      <c r="MEL529" s="501"/>
      <c r="MEM529" s="501"/>
      <c r="MEN529" s="501"/>
      <c r="MEO529" s="501"/>
      <c r="MEP529" s="501"/>
      <c r="MEQ529" s="501"/>
      <c r="MER529" s="501"/>
      <c r="MES529" s="501"/>
      <c r="MET529" s="501"/>
      <c r="MEU529" s="501"/>
      <c r="MEV529" s="501"/>
      <c r="MEW529" s="501"/>
      <c r="MEX529" s="501"/>
      <c r="MEY529" s="501"/>
      <c r="MEZ529" s="501"/>
      <c r="MFA529" s="501"/>
      <c r="MFB529" s="501"/>
      <c r="MFC529" s="501"/>
      <c r="MFD529" s="501"/>
      <c r="MFE529" s="501"/>
      <c r="MFF529" s="501"/>
      <c r="MFG529" s="501"/>
      <c r="MFH529" s="501"/>
      <c r="MFI529" s="501"/>
      <c r="MFJ529" s="501"/>
      <c r="MFK529" s="501"/>
      <c r="MFL529" s="501"/>
      <c r="MFM529" s="501"/>
      <c r="MFN529" s="501"/>
      <c r="MFO529" s="501"/>
      <c r="MFP529" s="501"/>
      <c r="MFQ529" s="501"/>
      <c r="MFR529" s="501"/>
      <c r="MFS529" s="501"/>
      <c r="MFT529" s="501"/>
      <c r="MFU529" s="501"/>
      <c r="MFV529" s="501"/>
      <c r="MFW529" s="501"/>
      <c r="MFX529" s="501"/>
      <c r="MFY529" s="501"/>
      <c r="MFZ529" s="501"/>
      <c r="MGA529" s="501"/>
      <c r="MGB529" s="501"/>
      <c r="MGC529" s="501"/>
      <c r="MGD529" s="501"/>
      <c r="MGE529" s="501"/>
      <c r="MGF529" s="501"/>
      <c r="MGG529" s="501"/>
      <c r="MGH529" s="501"/>
      <c r="MGI529" s="501"/>
      <c r="MGJ529" s="501"/>
      <c r="MGK529" s="501"/>
      <c r="MGL529" s="501"/>
      <c r="MGM529" s="501"/>
      <c r="MGN529" s="501"/>
      <c r="MGO529" s="501"/>
      <c r="MGP529" s="501"/>
      <c r="MGQ529" s="501"/>
      <c r="MGR529" s="501"/>
      <c r="MGS529" s="501"/>
      <c r="MGT529" s="501"/>
      <c r="MGU529" s="501"/>
      <c r="MGV529" s="501"/>
      <c r="MGW529" s="501"/>
      <c r="MGX529" s="501"/>
      <c r="MGY529" s="501"/>
      <c r="MGZ529" s="501"/>
      <c r="MHA529" s="501"/>
      <c r="MHB529" s="501"/>
      <c r="MHC529" s="501"/>
      <c r="MHD529" s="501"/>
      <c r="MHE529" s="501"/>
      <c r="MHF529" s="501"/>
      <c r="MHG529" s="501"/>
      <c r="MHH529" s="501"/>
      <c r="MHI529" s="501"/>
      <c r="MHJ529" s="501"/>
      <c r="MHK529" s="501"/>
      <c r="MHL529" s="501"/>
      <c r="MHM529" s="501"/>
      <c r="MHN529" s="501"/>
      <c r="MHO529" s="501"/>
      <c r="MHP529" s="501"/>
      <c r="MHQ529" s="501"/>
      <c r="MHR529" s="501"/>
      <c r="MHS529" s="501"/>
      <c r="MHT529" s="501"/>
      <c r="MHU529" s="501"/>
      <c r="MHV529" s="501"/>
      <c r="MHW529" s="501"/>
      <c r="MHX529" s="501"/>
      <c r="MHY529" s="501"/>
      <c r="MHZ529" s="501"/>
      <c r="MIA529" s="501"/>
      <c r="MIB529" s="501"/>
      <c r="MIC529" s="501"/>
      <c r="MID529" s="501"/>
      <c r="MIE529" s="501"/>
      <c r="MIF529" s="501"/>
      <c r="MIG529" s="501"/>
      <c r="MIH529" s="501"/>
      <c r="MII529" s="501"/>
      <c r="MIJ529" s="501"/>
      <c r="MIK529" s="501"/>
      <c r="MIL529" s="501"/>
      <c r="MIM529" s="501"/>
      <c r="MIN529" s="501"/>
      <c r="MIO529" s="501"/>
      <c r="MIP529" s="501"/>
      <c r="MIQ529" s="501"/>
      <c r="MIR529" s="501"/>
      <c r="MIS529" s="501"/>
      <c r="MIT529" s="501"/>
      <c r="MIU529" s="501"/>
      <c r="MIV529" s="501"/>
      <c r="MIW529" s="501"/>
      <c r="MIX529" s="501"/>
      <c r="MIY529" s="501"/>
      <c r="MIZ529" s="501"/>
      <c r="MJA529" s="501"/>
      <c r="MJB529" s="501"/>
      <c r="MJC529" s="501"/>
      <c r="MJD529" s="501"/>
      <c r="MJE529" s="501"/>
      <c r="MJF529" s="501"/>
      <c r="MJG529" s="501"/>
      <c r="MJH529" s="501"/>
      <c r="MJI529" s="501"/>
      <c r="MJJ529" s="501"/>
      <c r="MJK529" s="501"/>
      <c r="MJL529" s="501"/>
      <c r="MJM529" s="501"/>
      <c r="MJN529" s="501"/>
      <c r="MJO529" s="501"/>
      <c r="MJP529" s="501"/>
      <c r="MJQ529" s="501"/>
      <c r="MJR529" s="501"/>
      <c r="MJS529" s="501"/>
      <c r="MJT529" s="501"/>
      <c r="MJU529" s="501"/>
      <c r="MJV529" s="501"/>
      <c r="MJW529" s="501"/>
      <c r="MJX529" s="501"/>
      <c r="MJY529" s="501"/>
      <c r="MJZ529" s="501"/>
      <c r="MKA529" s="501"/>
      <c r="MKB529" s="501"/>
      <c r="MKC529" s="501"/>
      <c r="MKD529" s="501"/>
      <c r="MKE529" s="501"/>
      <c r="MKF529" s="501"/>
      <c r="MKG529" s="501"/>
      <c r="MKH529" s="501"/>
      <c r="MKI529" s="501"/>
      <c r="MKJ529" s="501"/>
      <c r="MKK529" s="501"/>
      <c r="MKL529" s="501"/>
      <c r="MKM529" s="501"/>
      <c r="MKN529" s="501"/>
      <c r="MKO529" s="501"/>
      <c r="MKP529" s="501"/>
      <c r="MKQ529" s="501"/>
      <c r="MKR529" s="501"/>
      <c r="MKS529" s="501"/>
      <c r="MKT529" s="501"/>
      <c r="MKU529" s="501"/>
      <c r="MKV529" s="501"/>
      <c r="MKW529" s="501"/>
      <c r="MKX529" s="501"/>
      <c r="MKY529" s="501"/>
      <c r="MKZ529" s="501"/>
      <c r="MLA529" s="501"/>
      <c r="MLB529" s="501"/>
      <c r="MLC529" s="501"/>
      <c r="MLD529" s="501"/>
      <c r="MLE529" s="501"/>
      <c r="MLF529" s="501"/>
      <c r="MLG529" s="501"/>
      <c r="MLH529" s="501"/>
      <c r="MLI529" s="501"/>
      <c r="MLJ529" s="501"/>
      <c r="MLK529" s="501"/>
      <c r="MLL529" s="501"/>
      <c r="MLM529" s="501"/>
      <c r="MLN529" s="501"/>
      <c r="MLO529" s="501"/>
      <c r="MLP529" s="501"/>
      <c r="MLQ529" s="501"/>
      <c r="MLR529" s="501"/>
      <c r="MLS529" s="501"/>
      <c r="MLT529" s="501"/>
      <c r="MLU529" s="501"/>
      <c r="MLV529" s="501"/>
      <c r="MLW529" s="501"/>
      <c r="MLX529" s="501"/>
      <c r="MLY529" s="501"/>
      <c r="MLZ529" s="501"/>
      <c r="MMA529" s="501"/>
      <c r="MMB529" s="501"/>
      <c r="MMC529" s="501"/>
      <c r="MMD529" s="501"/>
      <c r="MME529" s="501"/>
      <c r="MMF529" s="501"/>
      <c r="MMG529" s="501"/>
      <c r="MMH529" s="501"/>
      <c r="MMI529" s="501"/>
      <c r="MMJ529" s="501"/>
      <c r="MMK529" s="501"/>
      <c r="MML529" s="501"/>
      <c r="MMM529" s="501"/>
      <c r="MMN529" s="501"/>
      <c r="MMO529" s="501"/>
      <c r="MMP529" s="501"/>
      <c r="MMQ529" s="501"/>
      <c r="MMR529" s="501"/>
      <c r="MMS529" s="501"/>
      <c r="MMT529" s="501"/>
      <c r="MMU529" s="501"/>
      <c r="MMV529" s="501"/>
      <c r="MMW529" s="501"/>
      <c r="MMX529" s="501"/>
      <c r="MMY529" s="501"/>
      <c r="MMZ529" s="501"/>
      <c r="MNA529" s="501"/>
      <c r="MNB529" s="501"/>
      <c r="MNC529" s="501"/>
      <c r="MND529" s="501"/>
      <c r="MNE529" s="501"/>
      <c r="MNF529" s="501"/>
      <c r="MNG529" s="501"/>
      <c r="MNH529" s="501"/>
      <c r="MNI529" s="501"/>
      <c r="MNJ529" s="501"/>
      <c r="MNK529" s="501"/>
      <c r="MNL529" s="501"/>
      <c r="MNM529" s="501"/>
      <c r="MNN529" s="501"/>
      <c r="MNO529" s="501"/>
      <c r="MNP529" s="501"/>
      <c r="MNQ529" s="501"/>
      <c r="MNR529" s="501"/>
      <c r="MNS529" s="501"/>
      <c r="MNT529" s="501"/>
      <c r="MNU529" s="501"/>
      <c r="MNV529" s="501"/>
      <c r="MNW529" s="501"/>
      <c r="MNX529" s="501"/>
      <c r="MNY529" s="501"/>
      <c r="MNZ529" s="501"/>
      <c r="MOA529" s="501"/>
      <c r="MOB529" s="501"/>
      <c r="MOC529" s="501"/>
      <c r="MOD529" s="501"/>
      <c r="MOE529" s="501"/>
      <c r="MOF529" s="501"/>
      <c r="MOG529" s="501"/>
      <c r="MOH529" s="501"/>
      <c r="MOI529" s="501"/>
      <c r="MOJ529" s="501"/>
      <c r="MOK529" s="501"/>
      <c r="MOL529" s="501"/>
      <c r="MOM529" s="501"/>
      <c r="MON529" s="501"/>
      <c r="MOO529" s="501"/>
      <c r="MOP529" s="501"/>
      <c r="MOQ529" s="501"/>
      <c r="MOR529" s="501"/>
      <c r="MOS529" s="501"/>
      <c r="MOT529" s="501"/>
      <c r="MOU529" s="501"/>
      <c r="MOV529" s="501"/>
      <c r="MOW529" s="501"/>
      <c r="MOX529" s="501"/>
      <c r="MOY529" s="501"/>
      <c r="MOZ529" s="501"/>
      <c r="MPA529" s="501"/>
      <c r="MPB529" s="501"/>
      <c r="MPC529" s="501"/>
      <c r="MPD529" s="501"/>
      <c r="MPE529" s="501"/>
      <c r="MPF529" s="501"/>
      <c r="MPG529" s="501"/>
      <c r="MPH529" s="501"/>
      <c r="MPI529" s="501"/>
      <c r="MPJ529" s="501"/>
      <c r="MPK529" s="501"/>
      <c r="MPL529" s="501"/>
      <c r="MPM529" s="501"/>
      <c r="MPN529" s="501"/>
      <c r="MPO529" s="501"/>
      <c r="MPP529" s="501"/>
      <c r="MPQ529" s="501"/>
      <c r="MPR529" s="501"/>
      <c r="MPS529" s="501"/>
      <c r="MPT529" s="501"/>
      <c r="MPU529" s="501"/>
      <c r="MPV529" s="501"/>
      <c r="MPW529" s="501"/>
      <c r="MPX529" s="501"/>
      <c r="MPY529" s="501"/>
      <c r="MPZ529" s="501"/>
      <c r="MQA529" s="501"/>
      <c r="MQB529" s="501"/>
      <c r="MQC529" s="501"/>
      <c r="MQD529" s="501"/>
      <c r="MQE529" s="501"/>
      <c r="MQF529" s="501"/>
      <c r="MQG529" s="501"/>
      <c r="MQH529" s="501"/>
      <c r="MQI529" s="501"/>
      <c r="MQJ529" s="501"/>
      <c r="MQK529" s="501"/>
      <c r="MQL529" s="501"/>
      <c r="MQM529" s="501"/>
      <c r="MQN529" s="501"/>
      <c r="MQO529" s="501"/>
      <c r="MQP529" s="501"/>
      <c r="MQQ529" s="501"/>
      <c r="MQR529" s="501"/>
      <c r="MQS529" s="501"/>
      <c r="MQT529" s="501"/>
      <c r="MQU529" s="501"/>
      <c r="MQV529" s="501"/>
      <c r="MQW529" s="501"/>
      <c r="MQX529" s="501"/>
      <c r="MQY529" s="501"/>
      <c r="MQZ529" s="501"/>
      <c r="MRA529" s="501"/>
      <c r="MRB529" s="501"/>
      <c r="MRC529" s="501"/>
      <c r="MRD529" s="501"/>
      <c r="MRE529" s="501"/>
      <c r="MRF529" s="501"/>
      <c r="MRG529" s="501"/>
      <c r="MRH529" s="501"/>
      <c r="MRI529" s="501"/>
      <c r="MRJ529" s="501"/>
      <c r="MRK529" s="501"/>
      <c r="MRL529" s="501"/>
      <c r="MRM529" s="501"/>
      <c r="MRN529" s="501"/>
      <c r="MRO529" s="501"/>
      <c r="MRP529" s="501"/>
      <c r="MRQ529" s="501"/>
      <c r="MRR529" s="501"/>
      <c r="MRS529" s="501"/>
      <c r="MRT529" s="501"/>
      <c r="MRU529" s="501"/>
      <c r="MRV529" s="501"/>
      <c r="MRW529" s="501"/>
      <c r="MRX529" s="501"/>
      <c r="MRY529" s="501"/>
      <c r="MRZ529" s="501"/>
      <c r="MSA529" s="501"/>
      <c r="MSB529" s="501"/>
      <c r="MSC529" s="501"/>
      <c r="MSD529" s="501"/>
      <c r="MSE529" s="501"/>
      <c r="MSF529" s="501"/>
      <c r="MSG529" s="501"/>
      <c r="MSH529" s="501"/>
      <c r="MSI529" s="501"/>
      <c r="MSJ529" s="501"/>
      <c r="MSK529" s="501"/>
      <c r="MSL529" s="501"/>
      <c r="MSM529" s="501"/>
      <c r="MSN529" s="501"/>
      <c r="MSO529" s="501"/>
      <c r="MSP529" s="501"/>
      <c r="MSQ529" s="501"/>
      <c r="MSR529" s="501"/>
      <c r="MSS529" s="501"/>
      <c r="MST529" s="501"/>
      <c r="MSU529" s="501"/>
      <c r="MSV529" s="501"/>
      <c r="MSW529" s="501"/>
      <c r="MSX529" s="501"/>
      <c r="MSY529" s="501"/>
      <c r="MSZ529" s="501"/>
      <c r="MTA529" s="501"/>
      <c r="MTB529" s="501"/>
      <c r="MTC529" s="501"/>
      <c r="MTD529" s="501"/>
      <c r="MTE529" s="501"/>
      <c r="MTF529" s="501"/>
      <c r="MTG529" s="501"/>
      <c r="MTH529" s="501"/>
      <c r="MTI529" s="501"/>
      <c r="MTJ529" s="501"/>
      <c r="MTK529" s="501"/>
      <c r="MTL529" s="501"/>
      <c r="MTM529" s="501"/>
      <c r="MTN529" s="501"/>
      <c r="MTO529" s="501"/>
      <c r="MTP529" s="501"/>
      <c r="MTQ529" s="501"/>
      <c r="MTR529" s="501"/>
      <c r="MTS529" s="501"/>
      <c r="MTT529" s="501"/>
      <c r="MTU529" s="501"/>
      <c r="MTV529" s="501"/>
      <c r="MTW529" s="501"/>
      <c r="MTX529" s="501"/>
      <c r="MTY529" s="501"/>
      <c r="MTZ529" s="501"/>
      <c r="MUA529" s="501"/>
      <c r="MUB529" s="501"/>
      <c r="MUC529" s="501"/>
      <c r="MUD529" s="501"/>
      <c r="MUE529" s="501"/>
      <c r="MUF529" s="501"/>
      <c r="MUG529" s="501"/>
      <c r="MUH529" s="501"/>
      <c r="MUI529" s="501"/>
      <c r="MUJ529" s="501"/>
      <c r="MUK529" s="501"/>
      <c r="MUL529" s="501"/>
      <c r="MUM529" s="501"/>
      <c r="MUN529" s="501"/>
      <c r="MUO529" s="501"/>
      <c r="MUP529" s="501"/>
      <c r="MUQ529" s="501"/>
      <c r="MUR529" s="501"/>
      <c r="MUS529" s="501"/>
      <c r="MUT529" s="501"/>
      <c r="MUU529" s="501"/>
      <c r="MUV529" s="501"/>
      <c r="MUW529" s="501"/>
      <c r="MUX529" s="501"/>
      <c r="MUY529" s="501"/>
      <c r="MUZ529" s="501"/>
      <c r="MVA529" s="501"/>
      <c r="MVB529" s="501"/>
      <c r="MVC529" s="501"/>
      <c r="MVD529" s="501"/>
      <c r="MVE529" s="501"/>
      <c r="MVF529" s="501"/>
      <c r="MVG529" s="501"/>
      <c r="MVH529" s="501"/>
      <c r="MVI529" s="501"/>
      <c r="MVJ529" s="501"/>
      <c r="MVK529" s="501"/>
      <c r="MVL529" s="501"/>
      <c r="MVM529" s="501"/>
      <c r="MVN529" s="501"/>
      <c r="MVO529" s="501"/>
      <c r="MVP529" s="501"/>
      <c r="MVQ529" s="501"/>
      <c r="MVR529" s="501"/>
      <c r="MVS529" s="501"/>
      <c r="MVT529" s="501"/>
      <c r="MVU529" s="501"/>
      <c r="MVV529" s="501"/>
      <c r="MVW529" s="501"/>
      <c r="MVX529" s="501"/>
      <c r="MVY529" s="501"/>
      <c r="MVZ529" s="501"/>
      <c r="MWA529" s="501"/>
      <c r="MWB529" s="501"/>
      <c r="MWC529" s="501"/>
      <c r="MWD529" s="501"/>
      <c r="MWE529" s="501"/>
      <c r="MWF529" s="501"/>
      <c r="MWG529" s="501"/>
      <c r="MWH529" s="501"/>
      <c r="MWI529" s="501"/>
      <c r="MWJ529" s="501"/>
      <c r="MWK529" s="501"/>
      <c r="MWL529" s="501"/>
      <c r="MWM529" s="501"/>
      <c r="MWN529" s="501"/>
      <c r="MWO529" s="501"/>
      <c r="MWP529" s="501"/>
      <c r="MWQ529" s="501"/>
      <c r="MWR529" s="501"/>
      <c r="MWS529" s="501"/>
      <c r="MWT529" s="501"/>
      <c r="MWU529" s="501"/>
      <c r="MWV529" s="501"/>
      <c r="MWW529" s="501"/>
      <c r="MWX529" s="501"/>
      <c r="MWY529" s="501"/>
      <c r="MWZ529" s="501"/>
      <c r="MXA529" s="501"/>
      <c r="MXB529" s="501"/>
      <c r="MXC529" s="501"/>
      <c r="MXD529" s="501"/>
      <c r="MXE529" s="501"/>
      <c r="MXF529" s="501"/>
      <c r="MXG529" s="501"/>
      <c r="MXH529" s="501"/>
      <c r="MXI529" s="501"/>
      <c r="MXJ529" s="501"/>
      <c r="MXK529" s="501"/>
      <c r="MXL529" s="501"/>
      <c r="MXM529" s="501"/>
      <c r="MXN529" s="501"/>
      <c r="MXO529" s="501"/>
      <c r="MXP529" s="501"/>
      <c r="MXQ529" s="501"/>
      <c r="MXR529" s="501"/>
      <c r="MXS529" s="501"/>
      <c r="MXT529" s="501"/>
      <c r="MXU529" s="501"/>
      <c r="MXV529" s="501"/>
      <c r="MXW529" s="501"/>
      <c r="MXX529" s="501"/>
      <c r="MXY529" s="501"/>
      <c r="MXZ529" s="501"/>
      <c r="MYA529" s="501"/>
      <c r="MYB529" s="501"/>
      <c r="MYC529" s="501"/>
      <c r="MYD529" s="501"/>
      <c r="MYE529" s="501"/>
      <c r="MYF529" s="501"/>
      <c r="MYG529" s="501"/>
      <c r="MYH529" s="501"/>
      <c r="MYI529" s="501"/>
      <c r="MYJ529" s="501"/>
      <c r="MYK529" s="501"/>
      <c r="MYL529" s="501"/>
      <c r="MYM529" s="501"/>
      <c r="MYN529" s="501"/>
      <c r="MYO529" s="501"/>
      <c r="MYP529" s="501"/>
      <c r="MYQ529" s="501"/>
      <c r="MYR529" s="501"/>
      <c r="MYS529" s="501"/>
      <c r="MYT529" s="501"/>
      <c r="MYU529" s="501"/>
      <c r="MYV529" s="501"/>
      <c r="MYW529" s="501"/>
      <c r="MYX529" s="501"/>
      <c r="MYY529" s="501"/>
      <c r="MYZ529" s="501"/>
      <c r="MZA529" s="501"/>
      <c r="MZB529" s="501"/>
      <c r="MZC529" s="501"/>
      <c r="MZD529" s="501"/>
      <c r="MZE529" s="501"/>
      <c r="MZF529" s="501"/>
      <c r="MZG529" s="501"/>
      <c r="MZH529" s="501"/>
      <c r="MZI529" s="501"/>
      <c r="MZJ529" s="501"/>
      <c r="MZK529" s="501"/>
      <c r="MZL529" s="501"/>
      <c r="MZM529" s="501"/>
      <c r="MZN529" s="501"/>
      <c r="MZO529" s="501"/>
      <c r="MZP529" s="501"/>
      <c r="MZQ529" s="501"/>
      <c r="MZR529" s="501"/>
      <c r="MZS529" s="501"/>
      <c r="MZT529" s="501"/>
      <c r="MZU529" s="501"/>
      <c r="MZV529" s="501"/>
      <c r="MZW529" s="501"/>
      <c r="MZX529" s="501"/>
      <c r="MZY529" s="501"/>
      <c r="MZZ529" s="501"/>
      <c r="NAA529" s="501"/>
      <c r="NAB529" s="501"/>
      <c r="NAC529" s="501"/>
      <c r="NAD529" s="501"/>
      <c r="NAE529" s="501"/>
      <c r="NAF529" s="501"/>
      <c r="NAG529" s="501"/>
      <c r="NAH529" s="501"/>
      <c r="NAI529" s="501"/>
      <c r="NAJ529" s="501"/>
      <c r="NAK529" s="501"/>
      <c r="NAL529" s="501"/>
      <c r="NAM529" s="501"/>
      <c r="NAN529" s="501"/>
      <c r="NAO529" s="501"/>
      <c r="NAP529" s="501"/>
      <c r="NAQ529" s="501"/>
      <c r="NAR529" s="501"/>
      <c r="NAS529" s="501"/>
      <c r="NAT529" s="501"/>
      <c r="NAU529" s="501"/>
      <c r="NAV529" s="501"/>
      <c r="NAW529" s="501"/>
      <c r="NAX529" s="501"/>
      <c r="NAY529" s="501"/>
      <c r="NAZ529" s="501"/>
      <c r="NBA529" s="501"/>
      <c r="NBB529" s="501"/>
      <c r="NBC529" s="501"/>
      <c r="NBD529" s="501"/>
      <c r="NBE529" s="501"/>
      <c r="NBF529" s="501"/>
      <c r="NBG529" s="501"/>
      <c r="NBH529" s="501"/>
      <c r="NBI529" s="501"/>
      <c r="NBJ529" s="501"/>
      <c r="NBK529" s="501"/>
      <c r="NBL529" s="501"/>
      <c r="NBM529" s="501"/>
      <c r="NBN529" s="501"/>
      <c r="NBO529" s="501"/>
      <c r="NBP529" s="501"/>
      <c r="NBQ529" s="501"/>
      <c r="NBR529" s="501"/>
      <c r="NBS529" s="501"/>
      <c r="NBT529" s="501"/>
      <c r="NBU529" s="501"/>
      <c r="NBV529" s="501"/>
      <c r="NBW529" s="501"/>
      <c r="NBX529" s="501"/>
      <c r="NBY529" s="501"/>
      <c r="NBZ529" s="501"/>
      <c r="NCA529" s="501"/>
      <c r="NCB529" s="501"/>
      <c r="NCC529" s="501"/>
      <c r="NCD529" s="501"/>
      <c r="NCE529" s="501"/>
      <c r="NCF529" s="501"/>
      <c r="NCG529" s="501"/>
      <c r="NCH529" s="501"/>
      <c r="NCI529" s="501"/>
      <c r="NCJ529" s="501"/>
      <c r="NCK529" s="501"/>
      <c r="NCL529" s="501"/>
      <c r="NCM529" s="501"/>
      <c r="NCN529" s="501"/>
      <c r="NCO529" s="501"/>
      <c r="NCP529" s="501"/>
      <c r="NCQ529" s="501"/>
      <c r="NCR529" s="501"/>
      <c r="NCS529" s="501"/>
      <c r="NCT529" s="501"/>
      <c r="NCU529" s="501"/>
      <c r="NCV529" s="501"/>
      <c r="NCW529" s="501"/>
      <c r="NCX529" s="501"/>
      <c r="NCY529" s="501"/>
      <c r="NCZ529" s="501"/>
      <c r="NDA529" s="501"/>
      <c r="NDB529" s="501"/>
      <c r="NDC529" s="501"/>
      <c r="NDD529" s="501"/>
      <c r="NDE529" s="501"/>
      <c r="NDF529" s="501"/>
      <c r="NDG529" s="501"/>
      <c r="NDH529" s="501"/>
      <c r="NDI529" s="501"/>
      <c r="NDJ529" s="501"/>
      <c r="NDK529" s="501"/>
      <c r="NDL529" s="501"/>
      <c r="NDM529" s="501"/>
      <c r="NDN529" s="501"/>
      <c r="NDO529" s="501"/>
      <c r="NDP529" s="501"/>
      <c r="NDQ529" s="501"/>
      <c r="NDR529" s="501"/>
      <c r="NDS529" s="501"/>
      <c r="NDT529" s="501"/>
      <c r="NDU529" s="501"/>
      <c r="NDV529" s="501"/>
      <c r="NDW529" s="501"/>
      <c r="NDX529" s="501"/>
      <c r="NDY529" s="501"/>
      <c r="NDZ529" s="501"/>
      <c r="NEA529" s="501"/>
      <c r="NEB529" s="501"/>
      <c r="NEC529" s="501"/>
      <c r="NED529" s="501"/>
      <c r="NEE529" s="501"/>
      <c r="NEF529" s="501"/>
      <c r="NEG529" s="501"/>
      <c r="NEH529" s="501"/>
      <c r="NEI529" s="501"/>
      <c r="NEJ529" s="501"/>
      <c r="NEK529" s="501"/>
      <c r="NEL529" s="501"/>
      <c r="NEM529" s="501"/>
      <c r="NEN529" s="501"/>
      <c r="NEO529" s="501"/>
      <c r="NEP529" s="501"/>
      <c r="NEQ529" s="501"/>
      <c r="NER529" s="501"/>
      <c r="NES529" s="501"/>
      <c r="NET529" s="501"/>
      <c r="NEU529" s="501"/>
      <c r="NEV529" s="501"/>
      <c r="NEW529" s="501"/>
      <c r="NEX529" s="501"/>
      <c r="NEY529" s="501"/>
      <c r="NEZ529" s="501"/>
      <c r="NFA529" s="501"/>
      <c r="NFB529" s="501"/>
      <c r="NFC529" s="501"/>
      <c r="NFD529" s="501"/>
      <c r="NFE529" s="501"/>
      <c r="NFF529" s="501"/>
      <c r="NFG529" s="501"/>
      <c r="NFH529" s="501"/>
      <c r="NFI529" s="501"/>
      <c r="NFJ529" s="501"/>
      <c r="NFK529" s="501"/>
      <c r="NFL529" s="501"/>
      <c r="NFM529" s="501"/>
      <c r="NFN529" s="501"/>
      <c r="NFO529" s="501"/>
      <c r="NFP529" s="501"/>
      <c r="NFQ529" s="501"/>
      <c r="NFR529" s="501"/>
      <c r="NFS529" s="501"/>
      <c r="NFT529" s="501"/>
      <c r="NFU529" s="501"/>
      <c r="NFV529" s="501"/>
      <c r="NFW529" s="501"/>
      <c r="NFX529" s="501"/>
      <c r="NFY529" s="501"/>
      <c r="NFZ529" s="501"/>
      <c r="NGA529" s="501"/>
      <c r="NGB529" s="501"/>
      <c r="NGC529" s="501"/>
      <c r="NGD529" s="501"/>
      <c r="NGE529" s="501"/>
      <c r="NGF529" s="501"/>
      <c r="NGG529" s="501"/>
      <c r="NGH529" s="501"/>
      <c r="NGI529" s="501"/>
      <c r="NGJ529" s="501"/>
      <c r="NGK529" s="501"/>
      <c r="NGL529" s="501"/>
      <c r="NGM529" s="501"/>
      <c r="NGN529" s="501"/>
      <c r="NGO529" s="501"/>
      <c r="NGP529" s="501"/>
      <c r="NGQ529" s="501"/>
      <c r="NGR529" s="501"/>
      <c r="NGS529" s="501"/>
      <c r="NGT529" s="501"/>
      <c r="NGU529" s="501"/>
      <c r="NGV529" s="501"/>
      <c r="NGW529" s="501"/>
      <c r="NGX529" s="501"/>
      <c r="NGY529" s="501"/>
      <c r="NGZ529" s="501"/>
      <c r="NHA529" s="501"/>
      <c r="NHB529" s="501"/>
      <c r="NHC529" s="501"/>
      <c r="NHD529" s="501"/>
      <c r="NHE529" s="501"/>
      <c r="NHF529" s="501"/>
      <c r="NHG529" s="501"/>
      <c r="NHH529" s="501"/>
      <c r="NHI529" s="501"/>
      <c r="NHJ529" s="501"/>
      <c r="NHK529" s="501"/>
      <c r="NHL529" s="501"/>
      <c r="NHM529" s="501"/>
      <c r="NHN529" s="501"/>
      <c r="NHO529" s="501"/>
      <c r="NHP529" s="501"/>
      <c r="NHQ529" s="501"/>
      <c r="NHR529" s="501"/>
      <c r="NHS529" s="501"/>
      <c r="NHT529" s="501"/>
      <c r="NHU529" s="501"/>
      <c r="NHV529" s="501"/>
      <c r="NHW529" s="501"/>
      <c r="NHX529" s="501"/>
      <c r="NHY529" s="501"/>
      <c r="NHZ529" s="501"/>
      <c r="NIA529" s="501"/>
      <c r="NIB529" s="501"/>
      <c r="NIC529" s="501"/>
      <c r="NID529" s="501"/>
      <c r="NIE529" s="501"/>
      <c r="NIF529" s="501"/>
      <c r="NIG529" s="501"/>
      <c r="NIH529" s="501"/>
      <c r="NII529" s="501"/>
      <c r="NIJ529" s="501"/>
      <c r="NIK529" s="501"/>
      <c r="NIL529" s="501"/>
      <c r="NIM529" s="501"/>
      <c r="NIN529" s="501"/>
      <c r="NIO529" s="501"/>
      <c r="NIP529" s="501"/>
      <c r="NIQ529" s="501"/>
      <c r="NIR529" s="501"/>
      <c r="NIS529" s="501"/>
      <c r="NIT529" s="501"/>
      <c r="NIU529" s="501"/>
      <c r="NIV529" s="501"/>
      <c r="NIW529" s="501"/>
      <c r="NIX529" s="501"/>
      <c r="NIY529" s="501"/>
      <c r="NIZ529" s="501"/>
      <c r="NJA529" s="501"/>
      <c r="NJB529" s="501"/>
      <c r="NJC529" s="501"/>
      <c r="NJD529" s="501"/>
      <c r="NJE529" s="501"/>
      <c r="NJF529" s="501"/>
      <c r="NJG529" s="501"/>
      <c r="NJH529" s="501"/>
      <c r="NJI529" s="501"/>
      <c r="NJJ529" s="501"/>
      <c r="NJK529" s="501"/>
      <c r="NJL529" s="501"/>
      <c r="NJM529" s="501"/>
      <c r="NJN529" s="501"/>
      <c r="NJO529" s="501"/>
      <c r="NJP529" s="501"/>
      <c r="NJQ529" s="501"/>
      <c r="NJR529" s="501"/>
      <c r="NJS529" s="501"/>
      <c r="NJT529" s="501"/>
      <c r="NJU529" s="501"/>
      <c r="NJV529" s="501"/>
      <c r="NJW529" s="501"/>
      <c r="NJX529" s="501"/>
      <c r="NJY529" s="501"/>
      <c r="NJZ529" s="501"/>
      <c r="NKA529" s="501"/>
      <c r="NKB529" s="501"/>
      <c r="NKC529" s="501"/>
      <c r="NKD529" s="501"/>
      <c r="NKE529" s="501"/>
      <c r="NKF529" s="501"/>
      <c r="NKG529" s="501"/>
      <c r="NKH529" s="501"/>
      <c r="NKI529" s="501"/>
      <c r="NKJ529" s="501"/>
      <c r="NKK529" s="501"/>
      <c r="NKL529" s="501"/>
      <c r="NKM529" s="501"/>
      <c r="NKN529" s="501"/>
      <c r="NKO529" s="501"/>
      <c r="NKP529" s="501"/>
      <c r="NKQ529" s="501"/>
      <c r="NKR529" s="501"/>
      <c r="NKS529" s="501"/>
      <c r="NKT529" s="501"/>
      <c r="NKU529" s="501"/>
      <c r="NKV529" s="501"/>
      <c r="NKW529" s="501"/>
      <c r="NKX529" s="501"/>
      <c r="NKY529" s="501"/>
      <c r="NKZ529" s="501"/>
      <c r="NLA529" s="501"/>
      <c r="NLB529" s="501"/>
      <c r="NLC529" s="501"/>
      <c r="NLD529" s="501"/>
      <c r="NLE529" s="501"/>
      <c r="NLF529" s="501"/>
      <c r="NLG529" s="501"/>
      <c r="NLH529" s="501"/>
      <c r="NLI529" s="501"/>
      <c r="NLJ529" s="501"/>
      <c r="NLK529" s="501"/>
      <c r="NLL529" s="501"/>
      <c r="NLM529" s="501"/>
      <c r="NLN529" s="501"/>
      <c r="NLO529" s="501"/>
      <c r="NLP529" s="501"/>
      <c r="NLQ529" s="501"/>
      <c r="NLR529" s="501"/>
      <c r="NLS529" s="501"/>
      <c r="NLT529" s="501"/>
      <c r="NLU529" s="501"/>
      <c r="NLV529" s="501"/>
      <c r="NLW529" s="501"/>
      <c r="NLX529" s="501"/>
      <c r="NLY529" s="501"/>
      <c r="NLZ529" s="501"/>
      <c r="NMA529" s="501"/>
      <c r="NMB529" s="501"/>
      <c r="NMC529" s="501"/>
      <c r="NMD529" s="501"/>
      <c r="NME529" s="501"/>
      <c r="NMF529" s="501"/>
      <c r="NMG529" s="501"/>
      <c r="NMH529" s="501"/>
      <c r="NMI529" s="501"/>
      <c r="NMJ529" s="501"/>
      <c r="NMK529" s="501"/>
      <c r="NML529" s="501"/>
      <c r="NMM529" s="501"/>
      <c r="NMN529" s="501"/>
      <c r="NMO529" s="501"/>
      <c r="NMP529" s="501"/>
      <c r="NMQ529" s="501"/>
      <c r="NMR529" s="501"/>
      <c r="NMS529" s="501"/>
      <c r="NMT529" s="501"/>
      <c r="NMU529" s="501"/>
      <c r="NMV529" s="501"/>
      <c r="NMW529" s="501"/>
      <c r="NMX529" s="501"/>
      <c r="NMY529" s="501"/>
      <c r="NMZ529" s="501"/>
      <c r="NNA529" s="501"/>
      <c r="NNB529" s="501"/>
      <c r="NNC529" s="501"/>
      <c r="NND529" s="501"/>
      <c r="NNE529" s="501"/>
      <c r="NNF529" s="501"/>
      <c r="NNG529" s="501"/>
      <c r="NNH529" s="501"/>
      <c r="NNI529" s="501"/>
      <c r="NNJ529" s="501"/>
      <c r="NNK529" s="501"/>
      <c r="NNL529" s="501"/>
      <c r="NNM529" s="501"/>
      <c r="NNN529" s="501"/>
      <c r="NNO529" s="501"/>
      <c r="NNP529" s="501"/>
      <c r="NNQ529" s="501"/>
      <c r="NNR529" s="501"/>
      <c r="NNS529" s="501"/>
      <c r="NNT529" s="501"/>
      <c r="NNU529" s="501"/>
      <c r="NNV529" s="501"/>
      <c r="NNW529" s="501"/>
      <c r="NNX529" s="501"/>
      <c r="NNY529" s="501"/>
      <c r="NNZ529" s="501"/>
      <c r="NOA529" s="501"/>
      <c r="NOB529" s="501"/>
      <c r="NOC529" s="501"/>
      <c r="NOD529" s="501"/>
      <c r="NOE529" s="501"/>
      <c r="NOF529" s="501"/>
      <c r="NOG529" s="501"/>
      <c r="NOH529" s="501"/>
      <c r="NOI529" s="501"/>
      <c r="NOJ529" s="501"/>
      <c r="NOK529" s="501"/>
      <c r="NOL529" s="501"/>
      <c r="NOM529" s="501"/>
      <c r="NON529" s="501"/>
      <c r="NOO529" s="501"/>
      <c r="NOP529" s="501"/>
      <c r="NOQ529" s="501"/>
      <c r="NOR529" s="501"/>
      <c r="NOS529" s="501"/>
      <c r="NOT529" s="501"/>
      <c r="NOU529" s="501"/>
      <c r="NOV529" s="501"/>
      <c r="NOW529" s="501"/>
      <c r="NOX529" s="501"/>
      <c r="NOY529" s="501"/>
      <c r="NOZ529" s="501"/>
      <c r="NPA529" s="501"/>
      <c r="NPB529" s="501"/>
      <c r="NPC529" s="501"/>
      <c r="NPD529" s="501"/>
      <c r="NPE529" s="501"/>
      <c r="NPF529" s="501"/>
      <c r="NPG529" s="501"/>
      <c r="NPH529" s="501"/>
      <c r="NPI529" s="501"/>
      <c r="NPJ529" s="501"/>
      <c r="NPK529" s="501"/>
      <c r="NPL529" s="501"/>
      <c r="NPM529" s="501"/>
      <c r="NPN529" s="501"/>
      <c r="NPO529" s="501"/>
      <c r="NPP529" s="501"/>
      <c r="NPQ529" s="501"/>
      <c r="NPR529" s="501"/>
      <c r="NPS529" s="501"/>
      <c r="NPT529" s="501"/>
      <c r="NPU529" s="501"/>
      <c r="NPV529" s="501"/>
      <c r="NPW529" s="501"/>
      <c r="NPX529" s="501"/>
      <c r="NPY529" s="501"/>
      <c r="NPZ529" s="501"/>
      <c r="NQA529" s="501"/>
      <c r="NQB529" s="501"/>
      <c r="NQC529" s="501"/>
      <c r="NQD529" s="501"/>
      <c r="NQE529" s="501"/>
      <c r="NQF529" s="501"/>
      <c r="NQG529" s="501"/>
      <c r="NQH529" s="501"/>
      <c r="NQI529" s="501"/>
      <c r="NQJ529" s="501"/>
      <c r="NQK529" s="501"/>
      <c r="NQL529" s="501"/>
      <c r="NQM529" s="501"/>
      <c r="NQN529" s="501"/>
      <c r="NQO529" s="501"/>
      <c r="NQP529" s="501"/>
      <c r="NQQ529" s="501"/>
      <c r="NQR529" s="501"/>
      <c r="NQS529" s="501"/>
      <c r="NQT529" s="501"/>
      <c r="NQU529" s="501"/>
      <c r="NQV529" s="501"/>
      <c r="NQW529" s="501"/>
      <c r="NQX529" s="501"/>
      <c r="NQY529" s="501"/>
      <c r="NQZ529" s="501"/>
      <c r="NRA529" s="501"/>
      <c r="NRB529" s="501"/>
      <c r="NRC529" s="501"/>
      <c r="NRD529" s="501"/>
      <c r="NRE529" s="501"/>
      <c r="NRF529" s="501"/>
      <c r="NRG529" s="501"/>
      <c r="NRH529" s="501"/>
      <c r="NRI529" s="501"/>
      <c r="NRJ529" s="501"/>
      <c r="NRK529" s="501"/>
      <c r="NRL529" s="501"/>
      <c r="NRM529" s="501"/>
      <c r="NRN529" s="501"/>
      <c r="NRO529" s="501"/>
      <c r="NRP529" s="501"/>
      <c r="NRQ529" s="501"/>
      <c r="NRR529" s="501"/>
      <c r="NRS529" s="501"/>
      <c r="NRT529" s="501"/>
      <c r="NRU529" s="501"/>
      <c r="NRV529" s="501"/>
      <c r="NRW529" s="501"/>
      <c r="NRX529" s="501"/>
      <c r="NRY529" s="501"/>
      <c r="NRZ529" s="501"/>
      <c r="NSA529" s="501"/>
      <c r="NSB529" s="501"/>
      <c r="NSC529" s="501"/>
      <c r="NSD529" s="501"/>
      <c r="NSE529" s="501"/>
      <c r="NSF529" s="501"/>
      <c r="NSG529" s="501"/>
      <c r="NSH529" s="501"/>
      <c r="NSI529" s="501"/>
      <c r="NSJ529" s="501"/>
      <c r="NSK529" s="501"/>
      <c r="NSL529" s="501"/>
      <c r="NSM529" s="501"/>
      <c r="NSN529" s="501"/>
      <c r="NSO529" s="501"/>
      <c r="NSP529" s="501"/>
      <c r="NSQ529" s="501"/>
      <c r="NSR529" s="501"/>
      <c r="NSS529" s="501"/>
      <c r="NST529" s="501"/>
      <c r="NSU529" s="501"/>
      <c r="NSV529" s="501"/>
      <c r="NSW529" s="501"/>
      <c r="NSX529" s="501"/>
      <c r="NSY529" s="501"/>
      <c r="NSZ529" s="501"/>
      <c r="NTA529" s="501"/>
      <c r="NTB529" s="501"/>
      <c r="NTC529" s="501"/>
      <c r="NTD529" s="501"/>
      <c r="NTE529" s="501"/>
      <c r="NTF529" s="501"/>
      <c r="NTG529" s="501"/>
      <c r="NTH529" s="501"/>
      <c r="NTI529" s="501"/>
      <c r="NTJ529" s="501"/>
      <c r="NTK529" s="501"/>
      <c r="NTL529" s="501"/>
      <c r="NTM529" s="501"/>
      <c r="NTN529" s="501"/>
      <c r="NTO529" s="501"/>
      <c r="NTP529" s="501"/>
      <c r="NTQ529" s="501"/>
      <c r="NTR529" s="501"/>
      <c r="NTS529" s="501"/>
      <c r="NTT529" s="501"/>
      <c r="NTU529" s="501"/>
      <c r="NTV529" s="501"/>
      <c r="NTW529" s="501"/>
      <c r="NTX529" s="501"/>
      <c r="NTY529" s="501"/>
      <c r="NTZ529" s="501"/>
      <c r="NUA529" s="501"/>
      <c r="NUB529" s="501"/>
      <c r="NUC529" s="501"/>
      <c r="NUD529" s="501"/>
      <c r="NUE529" s="501"/>
      <c r="NUF529" s="501"/>
      <c r="NUG529" s="501"/>
      <c r="NUH529" s="501"/>
      <c r="NUI529" s="501"/>
      <c r="NUJ529" s="501"/>
      <c r="NUK529" s="501"/>
      <c r="NUL529" s="501"/>
      <c r="NUM529" s="501"/>
      <c r="NUN529" s="501"/>
      <c r="NUO529" s="501"/>
      <c r="NUP529" s="501"/>
      <c r="NUQ529" s="501"/>
      <c r="NUR529" s="501"/>
      <c r="NUS529" s="501"/>
      <c r="NUT529" s="501"/>
      <c r="NUU529" s="501"/>
      <c r="NUV529" s="501"/>
      <c r="NUW529" s="501"/>
      <c r="NUX529" s="501"/>
      <c r="NUY529" s="501"/>
      <c r="NUZ529" s="501"/>
      <c r="NVA529" s="501"/>
      <c r="NVB529" s="501"/>
      <c r="NVC529" s="501"/>
      <c r="NVD529" s="501"/>
      <c r="NVE529" s="501"/>
      <c r="NVF529" s="501"/>
      <c r="NVG529" s="501"/>
      <c r="NVH529" s="501"/>
      <c r="NVI529" s="501"/>
      <c r="NVJ529" s="501"/>
      <c r="NVK529" s="501"/>
      <c r="NVL529" s="501"/>
      <c r="NVM529" s="501"/>
      <c r="NVN529" s="501"/>
      <c r="NVO529" s="501"/>
      <c r="NVP529" s="501"/>
      <c r="NVQ529" s="501"/>
      <c r="NVR529" s="501"/>
      <c r="NVS529" s="501"/>
      <c r="NVT529" s="501"/>
      <c r="NVU529" s="501"/>
      <c r="NVV529" s="501"/>
      <c r="NVW529" s="501"/>
      <c r="NVX529" s="501"/>
      <c r="NVY529" s="501"/>
      <c r="NVZ529" s="501"/>
      <c r="NWA529" s="501"/>
      <c r="NWB529" s="501"/>
      <c r="NWC529" s="501"/>
      <c r="NWD529" s="501"/>
      <c r="NWE529" s="501"/>
      <c r="NWF529" s="501"/>
      <c r="NWG529" s="501"/>
      <c r="NWH529" s="501"/>
      <c r="NWI529" s="501"/>
      <c r="NWJ529" s="501"/>
      <c r="NWK529" s="501"/>
      <c r="NWL529" s="501"/>
      <c r="NWM529" s="501"/>
      <c r="NWN529" s="501"/>
      <c r="NWO529" s="501"/>
      <c r="NWP529" s="501"/>
      <c r="NWQ529" s="501"/>
      <c r="NWR529" s="501"/>
      <c r="NWS529" s="501"/>
      <c r="NWT529" s="501"/>
      <c r="NWU529" s="501"/>
      <c r="NWV529" s="501"/>
      <c r="NWW529" s="501"/>
      <c r="NWX529" s="501"/>
      <c r="NWY529" s="501"/>
      <c r="NWZ529" s="501"/>
      <c r="NXA529" s="501"/>
      <c r="NXB529" s="501"/>
      <c r="NXC529" s="501"/>
      <c r="NXD529" s="501"/>
      <c r="NXE529" s="501"/>
      <c r="NXF529" s="501"/>
      <c r="NXG529" s="501"/>
      <c r="NXH529" s="501"/>
      <c r="NXI529" s="501"/>
      <c r="NXJ529" s="501"/>
      <c r="NXK529" s="501"/>
      <c r="NXL529" s="501"/>
      <c r="NXM529" s="501"/>
      <c r="NXN529" s="501"/>
      <c r="NXO529" s="501"/>
      <c r="NXP529" s="501"/>
      <c r="NXQ529" s="501"/>
      <c r="NXR529" s="501"/>
      <c r="NXS529" s="501"/>
      <c r="NXT529" s="501"/>
      <c r="NXU529" s="501"/>
      <c r="NXV529" s="501"/>
      <c r="NXW529" s="501"/>
      <c r="NXX529" s="501"/>
      <c r="NXY529" s="501"/>
      <c r="NXZ529" s="501"/>
      <c r="NYA529" s="501"/>
      <c r="NYB529" s="501"/>
      <c r="NYC529" s="501"/>
      <c r="NYD529" s="501"/>
      <c r="NYE529" s="501"/>
      <c r="NYF529" s="501"/>
      <c r="NYG529" s="501"/>
      <c r="NYH529" s="501"/>
      <c r="NYI529" s="501"/>
      <c r="NYJ529" s="501"/>
      <c r="NYK529" s="501"/>
      <c r="NYL529" s="501"/>
      <c r="NYM529" s="501"/>
      <c r="NYN529" s="501"/>
      <c r="NYO529" s="501"/>
      <c r="NYP529" s="501"/>
      <c r="NYQ529" s="501"/>
      <c r="NYR529" s="501"/>
      <c r="NYS529" s="501"/>
      <c r="NYT529" s="501"/>
      <c r="NYU529" s="501"/>
      <c r="NYV529" s="501"/>
      <c r="NYW529" s="501"/>
      <c r="NYX529" s="501"/>
      <c r="NYY529" s="501"/>
      <c r="NYZ529" s="501"/>
      <c r="NZA529" s="501"/>
      <c r="NZB529" s="501"/>
      <c r="NZC529" s="501"/>
      <c r="NZD529" s="501"/>
      <c r="NZE529" s="501"/>
      <c r="NZF529" s="501"/>
      <c r="NZG529" s="501"/>
      <c r="NZH529" s="501"/>
      <c r="NZI529" s="501"/>
      <c r="NZJ529" s="501"/>
      <c r="NZK529" s="501"/>
      <c r="NZL529" s="501"/>
      <c r="NZM529" s="501"/>
      <c r="NZN529" s="501"/>
      <c r="NZO529" s="501"/>
      <c r="NZP529" s="501"/>
      <c r="NZQ529" s="501"/>
      <c r="NZR529" s="501"/>
      <c r="NZS529" s="501"/>
      <c r="NZT529" s="501"/>
      <c r="NZU529" s="501"/>
      <c r="NZV529" s="501"/>
      <c r="NZW529" s="501"/>
      <c r="NZX529" s="501"/>
      <c r="NZY529" s="501"/>
      <c r="NZZ529" s="501"/>
      <c r="OAA529" s="501"/>
      <c r="OAB529" s="501"/>
      <c r="OAC529" s="501"/>
      <c r="OAD529" s="501"/>
      <c r="OAE529" s="501"/>
      <c r="OAF529" s="501"/>
      <c r="OAG529" s="501"/>
      <c r="OAH529" s="501"/>
      <c r="OAI529" s="501"/>
      <c r="OAJ529" s="501"/>
      <c r="OAK529" s="501"/>
      <c r="OAL529" s="501"/>
      <c r="OAM529" s="501"/>
      <c r="OAN529" s="501"/>
      <c r="OAO529" s="501"/>
      <c r="OAP529" s="501"/>
      <c r="OAQ529" s="501"/>
      <c r="OAR529" s="501"/>
      <c r="OAS529" s="501"/>
      <c r="OAT529" s="501"/>
      <c r="OAU529" s="501"/>
      <c r="OAV529" s="501"/>
      <c r="OAW529" s="501"/>
      <c r="OAX529" s="501"/>
      <c r="OAY529" s="501"/>
      <c r="OAZ529" s="501"/>
      <c r="OBA529" s="501"/>
      <c r="OBB529" s="501"/>
      <c r="OBC529" s="501"/>
      <c r="OBD529" s="501"/>
      <c r="OBE529" s="501"/>
      <c r="OBF529" s="501"/>
      <c r="OBG529" s="501"/>
      <c r="OBH529" s="501"/>
      <c r="OBI529" s="501"/>
      <c r="OBJ529" s="501"/>
      <c r="OBK529" s="501"/>
      <c r="OBL529" s="501"/>
      <c r="OBM529" s="501"/>
      <c r="OBN529" s="501"/>
      <c r="OBO529" s="501"/>
      <c r="OBP529" s="501"/>
      <c r="OBQ529" s="501"/>
      <c r="OBR529" s="501"/>
      <c r="OBS529" s="501"/>
      <c r="OBT529" s="501"/>
      <c r="OBU529" s="501"/>
      <c r="OBV529" s="501"/>
      <c r="OBW529" s="501"/>
      <c r="OBX529" s="501"/>
      <c r="OBY529" s="501"/>
      <c r="OBZ529" s="501"/>
      <c r="OCA529" s="501"/>
      <c r="OCB529" s="501"/>
      <c r="OCC529" s="501"/>
      <c r="OCD529" s="501"/>
      <c r="OCE529" s="501"/>
      <c r="OCF529" s="501"/>
      <c r="OCG529" s="501"/>
      <c r="OCH529" s="501"/>
      <c r="OCI529" s="501"/>
      <c r="OCJ529" s="501"/>
      <c r="OCK529" s="501"/>
      <c r="OCL529" s="501"/>
      <c r="OCM529" s="501"/>
      <c r="OCN529" s="501"/>
      <c r="OCO529" s="501"/>
      <c r="OCP529" s="501"/>
      <c r="OCQ529" s="501"/>
      <c r="OCR529" s="501"/>
      <c r="OCS529" s="501"/>
      <c r="OCT529" s="501"/>
      <c r="OCU529" s="501"/>
      <c r="OCV529" s="501"/>
      <c r="OCW529" s="501"/>
      <c r="OCX529" s="501"/>
      <c r="OCY529" s="501"/>
      <c r="OCZ529" s="501"/>
      <c r="ODA529" s="501"/>
      <c r="ODB529" s="501"/>
      <c r="ODC529" s="501"/>
      <c r="ODD529" s="501"/>
      <c r="ODE529" s="501"/>
      <c r="ODF529" s="501"/>
      <c r="ODG529" s="501"/>
      <c r="ODH529" s="501"/>
      <c r="ODI529" s="501"/>
      <c r="ODJ529" s="501"/>
      <c r="ODK529" s="501"/>
      <c r="ODL529" s="501"/>
      <c r="ODM529" s="501"/>
      <c r="ODN529" s="501"/>
      <c r="ODO529" s="501"/>
      <c r="ODP529" s="501"/>
      <c r="ODQ529" s="501"/>
      <c r="ODR529" s="501"/>
      <c r="ODS529" s="501"/>
      <c r="ODT529" s="501"/>
      <c r="ODU529" s="501"/>
      <c r="ODV529" s="501"/>
      <c r="ODW529" s="501"/>
      <c r="ODX529" s="501"/>
      <c r="ODY529" s="501"/>
      <c r="ODZ529" s="501"/>
      <c r="OEA529" s="501"/>
      <c r="OEB529" s="501"/>
      <c r="OEC529" s="501"/>
      <c r="OED529" s="501"/>
      <c r="OEE529" s="501"/>
      <c r="OEF529" s="501"/>
      <c r="OEG529" s="501"/>
      <c r="OEH529" s="501"/>
      <c r="OEI529" s="501"/>
      <c r="OEJ529" s="501"/>
      <c r="OEK529" s="501"/>
      <c r="OEL529" s="501"/>
      <c r="OEM529" s="501"/>
      <c r="OEN529" s="501"/>
      <c r="OEO529" s="501"/>
      <c r="OEP529" s="501"/>
      <c r="OEQ529" s="501"/>
      <c r="OER529" s="501"/>
      <c r="OES529" s="501"/>
      <c r="OET529" s="501"/>
      <c r="OEU529" s="501"/>
      <c r="OEV529" s="501"/>
      <c r="OEW529" s="501"/>
      <c r="OEX529" s="501"/>
      <c r="OEY529" s="501"/>
      <c r="OEZ529" s="501"/>
      <c r="OFA529" s="501"/>
      <c r="OFB529" s="501"/>
      <c r="OFC529" s="501"/>
      <c r="OFD529" s="501"/>
      <c r="OFE529" s="501"/>
      <c r="OFF529" s="501"/>
      <c r="OFG529" s="501"/>
      <c r="OFH529" s="501"/>
      <c r="OFI529" s="501"/>
      <c r="OFJ529" s="501"/>
      <c r="OFK529" s="501"/>
      <c r="OFL529" s="501"/>
      <c r="OFM529" s="501"/>
      <c r="OFN529" s="501"/>
      <c r="OFO529" s="501"/>
      <c r="OFP529" s="501"/>
      <c r="OFQ529" s="501"/>
      <c r="OFR529" s="501"/>
      <c r="OFS529" s="501"/>
      <c r="OFT529" s="501"/>
      <c r="OFU529" s="501"/>
      <c r="OFV529" s="501"/>
      <c r="OFW529" s="501"/>
      <c r="OFX529" s="501"/>
      <c r="OFY529" s="501"/>
      <c r="OFZ529" s="501"/>
      <c r="OGA529" s="501"/>
      <c r="OGB529" s="501"/>
      <c r="OGC529" s="501"/>
      <c r="OGD529" s="501"/>
      <c r="OGE529" s="501"/>
      <c r="OGF529" s="501"/>
      <c r="OGG529" s="501"/>
      <c r="OGH529" s="501"/>
      <c r="OGI529" s="501"/>
      <c r="OGJ529" s="501"/>
      <c r="OGK529" s="501"/>
      <c r="OGL529" s="501"/>
      <c r="OGM529" s="501"/>
      <c r="OGN529" s="501"/>
      <c r="OGO529" s="501"/>
      <c r="OGP529" s="501"/>
      <c r="OGQ529" s="501"/>
      <c r="OGR529" s="501"/>
      <c r="OGS529" s="501"/>
      <c r="OGT529" s="501"/>
      <c r="OGU529" s="501"/>
      <c r="OGV529" s="501"/>
      <c r="OGW529" s="501"/>
      <c r="OGX529" s="501"/>
      <c r="OGY529" s="501"/>
      <c r="OGZ529" s="501"/>
      <c r="OHA529" s="501"/>
      <c r="OHB529" s="501"/>
      <c r="OHC529" s="501"/>
      <c r="OHD529" s="501"/>
      <c r="OHE529" s="501"/>
      <c r="OHF529" s="501"/>
      <c r="OHG529" s="501"/>
      <c r="OHH529" s="501"/>
      <c r="OHI529" s="501"/>
      <c r="OHJ529" s="501"/>
      <c r="OHK529" s="501"/>
      <c r="OHL529" s="501"/>
      <c r="OHM529" s="501"/>
      <c r="OHN529" s="501"/>
      <c r="OHO529" s="501"/>
      <c r="OHP529" s="501"/>
      <c r="OHQ529" s="501"/>
      <c r="OHR529" s="501"/>
      <c r="OHS529" s="501"/>
      <c r="OHT529" s="501"/>
      <c r="OHU529" s="501"/>
      <c r="OHV529" s="501"/>
      <c r="OHW529" s="501"/>
      <c r="OHX529" s="501"/>
      <c r="OHY529" s="501"/>
      <c r="OHZ529" s="501"/>
      <c r="OIA529" s="501"/>
      <c r="OIB529" s="501"/>
      <c r="OIC529" s="501"/>
      <c r="OID529" s="501"/>
      <c r="OIE529" s="501"/>
      <c r="OIF529" s="501"/>
      <c r="OIG529" s="501"/>
      <c r="OIH529" s="501"/>
      <c r="OII529" s="501"/>
      <c r="OIJ529" s="501"/>
      <c r="OIK529" s="501"/>
      <c r="OIL529" s="501"/>
      <c r="OIM529" s="501"/>
      <c r="OIN529" s="501"/>
      <c r="OIO529" s="501"/>
      <c r="OIP529" s="501"/>
      <c r="OIQ529" s="501"/>
      <c r="OIR529" s="501"/>
      <c r="OIS529" s="501"/>
      <c r="OIT529" s="501"/>
      <c r="OIU529" s="501"/>
      <c r="OIV529" s="501"/>
      <c r="OIW529" s="501"/>
      <c r="OIX529" s="501"/>
      <c r="OIY529" s="501"/>
      <c r="OIZ529" s="501"/>
      <c r="OJA529" s="501"/>
      <c r="OJB529" s="501"/>
      <c r="OJC529" s="501"/>
      <c r="OJD529" s="501"/>
      <c r="OJE529" s="501"/>
      <c r="OJF529" s="501"/>
      <c r="OJG529" s="501"/>
      <c r="OJH529" s="501"/>
      <c r="OJI529" s="501"/>
      <c r="OJJ529" s="501"/>
      <c r="OJK529" s="501"/>
      <c r="OJL529" s="501"/>
      <c r="OJM529" s="501"/>
      <c r="OJN529" s="501"/>
      <c r="OJO529" s="501"/>
      <c r="OJP529" s="501"/>
      <c r="OJQ529" s="501"/>
      <c r="OJR529" s="501"/>
      <c r="OJS529" s="501"/>
      <c r="OJT529" s="501"/>
      <c r="OJU529" s="501"/>
      <c r="OJV529" s="501"/>
      <c r="OJW529" s="501"/>
      <c r="OJX529" s="501"/>
      <c r="OJY529" s="501"/>
      <c r="OJZ529" s="501"/>
      <c r="OKA529" s="501"/>
      <c r="OKB529" s="501"/>
      <c r="OKC529" s="501"/>
      <c r="OKD529" s="501"/>
      <c r="OKE529" s="501"/>
      <c r="OKF529" s="501"/>
      <c r="OKG529" s="501"/>
      <c r="OKH529" s="501"/>
      <c r="OKI529" s="501"/>
      <c r="OKJ529" s="501"/>
      <c r="OKK529" s="501"/>
      <c r="OKL529" s="501"/>
      <c r="OKM529" s="501"/>
      <c r="OKN529" s="501"/>
      <c r="OKO529" s="501"/>
      <c r="OKP529" s="501"/>
      <c r="OKQ529" s="501"/>
      <c r="OKR529" s="501"/>
      <c r="OKS529" s="501"/>
      <c r="OKT529" s="501"/>
      <c r="OKU529" s="501"/>
      <c r="OKV529" s="501"/>
      <c r="OKW529" s="501"/>
      <c r="OKX529" s="501"/>
      <c r="OKY529" s="501"/>
      <c r="OKZ529" s="501"/>
      <c r="OLA529" s="501"/>
      <c r="OLB529" s="501"/>
      <c r="OLC529" s="501"/>
      <c r="OLD529" s="501"/>
      <c r="OLE529" s="501"/>
      <c r="OLF529" s="501"/>
      <c r="OLG529" s="501"/>
      <c r="OLH529" s="501"/>
      <c r="OLI529" s="501"/>
      <c r="OLJ529" s="501"/>
      <c r="OLK529" s="501"/>
      <c r="OLL529" s="501"/>
      <c r="OLM529" s="501"/>
      <c r="OLN529" s="501"/>
      <c r="OLO529" s="501"/>
      <c r="OLP529" s="501"/>
      <c r="OLQ529" s="501"/>
      <c r="OLR529" s="501"/>
      <c r="OLS529" s="501"/>
      <c r="OLT529" s="501"/>
      <c r="OLU529" s="501"/>
      <c r="OLV529" s="501"/>
      <c r="OLW529" s="501"/>
      <c r="OLX529" s="501"/>
      <c r="OLY529" s="501"/>
      <c r="OLZ529" s="501"/>
      <c r="OMA529" s="501"/>
      <c r="OMB529" s="501"/>
      <c r="OMC529" s="501"/>
      <c r="OMD529" s="501"/>
      <c r="OME529" s="501"/>
      <c r="OMF529" s="501"/>
      <c r="OMG529" s="501"/>
      <c r="OMH529" s="501"/>
      <c r="OMI529" s="501"/>
      <c r="OMJ529" s="501"/>
      <c r="OMK529" s="501"/>
      <c r="OML529" s="501"/>
      <c r="OMM529" s="501"/>
      <c r="OMN529" s="501"/>
      <c r="OMO529" s="501"/>
      <c r="OMP529" s="501"/>
      <c r="OMQ529" s="501"/>
      <c r="OMR529" s="501"/>
      <c r="OMS529" s="501"/>
      <c r="OMT529" s="501"/>
      <c r="OMU529" s="501"/>
      <c r="OMV529" s="501"/>
      <c r="OMW529" s="501"/>
      <c r="OMX529" s="501"/>
      <c r="OMY529" s="501"/>
      <c r="OMZ529" s="501"/>
      <c r="ONA529" s="501"/>
      <c r="ONB529" s="501"/>
      <c r="ONC529" s="501"/>
      <c r="OND529" s="501"/>
      <c r="ONE529" s="501"/>
      <c r="ONF529" s="501"/>
      <c r="ONG529" s="501"/>
      <c r="ONH529" s="501"/>
      <c r="ONI529" s="501"/>
      <c r="ONJ529" s="501"/>
      <c r="ONK529" s="501"/>
      <c r="ONL529" s="501"/>
      <c r="ONM529" s="501"/>
      <c r="ONN529" s="501"/>
      <c r="ONO529" s="501"/>
      <c r="ONP529" s="501"/>
      <c r="ONQ529" s="501"/>
      <c r="ONR529" s="501"/>
      <c r="ONS529" s="501"/>
      <c r="ONT529" s="501"/>
      <c r="ONU529" s="501"/>
      <c r="ONV529" s="501"/>
      <c r="ONW529" s="501"/>
      <c r="ONX529" s="501"/>
      <c r="ONY529" s="501"/>
      <c r="ONZ529" s="501"/>
      <c r="OOA529" s="501"/>
      <c r="OOB529" s="501"/>
      <c r="OOC529" s="501"/>
      <c r="OOD529" s="501"/>
      <c r="OOE529" s="501"/>
      <c r="OOF529" s="501"/>
      <c r="OOG529" s="501"/>
      <c r="OOH529" s="501"/>
      <c r="OOI529" s="501"/>
      <c r="OOJ529" s="501"/>
      <c r="OOK529" s="501"/>
      <c r="OOL529" s="501"/>
      <c r="OOM529" s="501"/>
      <c r="OON529" s="501"/>
      <c r="OOO529" s="501"/>
      <c r="OOP529" s="501"/>
      <c r="OOQ529" s="501"/>
      <c r="OOR529" s="501"/>
      <c r="OOS529" s="501"/>
      <c r="OOT529" s="501"/>
      <c r="OOU529" s="501"/>
      <c r="OOV529" s="501"/>
      <c r="OOW529" s="501"/>
      <c r="OOX529" s="501"/>
      <c r="OOY529" s="501"/>
      <c r="OOZ529" s="501"/>
      <c r="OPA529" s="501"/>
      <c r="OPB529" s="501"/>
      <c r="OPC529" s="501"/>
      <c r="OPD529" s="501"/>
      <c r="OPE529" s="501"/>
      <c r="OPF529" s="501"/>
      <c r="OPG529" s="501"/>
      <c r="OPH529" s="501"/>
      <c r="OPI529" s="501"/>
      <c r="OPJ529" s="501"/>
      <c r="OPK529" s="501"/>
      <c r="OPL529" s="501"/>
      <c r="OPM529" s="501"/>
      <c r="OPN529" s="501"/>
      <c r="OPO529" s="501"/>
      <c r="OPP529" s="501"/>
      <c r="OPQ529" s="501"/>
      <c r="OPR529" s="501"/>
      <c r="OPS529" s="501"/>
      <c r="OPT529" s="501"/>
      <c r="OPU529" s="501"/>
      <c r="OPV529" s="501"/>
      <c r="OPW529" s="501"/>
      <c r="OPX529" s="501"/>
      <c r="OPY529" s="501"/>
      <c r="OPZ529" s="501"/>
      <c r="OQA529" s="501"/>
      <c r="OQB529" s="501"/>
      <c r="OQC529" s="501"/>
      <c r="OQD529" s="501"/>
      <c r="OQE529" s="501"/>
      <c r="OQF529" s="501"/>
      <c r="OQG529" s="501"/>
      <c r="OQH529" s="501"/>
      <c r="OQI529" s="501"/>
      <c r="OQJ529" s="501"/>
      <c r="OQK529" s="501"/>
      <c r="OQL529" s="501"/>
      <c r="OQM529" s="501"/>
      <c r="OQN529" s="501"/>
      <c r="OQO529" s="501"/>
      <c r="OQP529" s="501"/>
      <c r="OQQ529" s="501"/>
      <c r="OQR529" s="501"/>
      <c r="OQS529" s="501"/>
      <c r="OQT529" s="501"/>
      <c r="OQU529" s="501"/>
      <c r="OQV529" s="501"/>
      <c r="OQW529" s="501"/>
      <c r="OQX529" s="501"/>
      <c r="OQY529" s="501"/>
      <c r="OQZ529" s="501"/>
      <c r="ORA529" s="501"/>
      <c r="ORB529" s="501"/>
      <c r="ORC529" s="501"/>
      <c r="ORD529" s="501"/>
      <c r="ORE529" s="501"/>
      <c r="ORF529" s="501"/>
      <c r="ORG529" s="501"/>
      <c r="ORH529" s="501"/>
      <c r="ORI529" s="501"/>
      <c r="ORJ529" s="501"/>
      <c r="ORK529" s="501"/>
      <c r="ORL529" s="501"/>
      <c r="ORM529" s="501"/>
      <c r="ORN529" s="501"/>
      <c r="ORO529" s="501"/>
      <c r="ORP529" s="501"/>
      <c r="ORQ529" s="501"/>
      <c r="ORR529" s="501"/>
      <c r="ORS529" s="501"/>
      <c r="ORT529" s="501"/>
      <c r="ORU529" s="501"/>
      <c r="ORV529" s="501"/>
      <c r="ORW529" s="501"/>
      <c r="ORX529" s="501"/>
      <c r="ORY529" s="501"/>
      <c r="ORZ529" s="501"/>
      <c r="OSA529" s="501"/>
      <c r="OSB529" s="501"/>
      <c r="OSC529" s="501"/>
      <c r="OSD529" s="501"/>
      <c r="OSE529" s="501"/>
      <c r="OSF529" s="501"/>
      <c r="OSG529" s="501"/>
      <c r="OSH529" s="501"/>
      <c r="OSI529" s="501"/>
      <c r="OSJ529" s="501"/>
      <c r="OSK529" s="501"/>
      <c r="OSL529" s="501"/>
      <c r="OSM529" s="501"/>
      <c r="OSN529" s="501"/>
      <c r="OSO529" s="501"/>
      <c r="OSP529" s="501"/>
      <c r="OSQ529" s="501"/>
      <c r="OSR529" s="501"/>
      <c r="OSS529" s="501"/>
      <c r="OST529" s="501"/>
      <c r="OSU529" s="501"/>
      <c r="OSV529" s="501"/>
      <c r="OSW529" s="501"/>
      <c r="OSX529" s="501"/>
      <c r="OSY529" s="501"/>
      <c r="OSZ529" s="501"/>
      <c r="OTA529" s="501"/>
      <c r="OTB529" s="501"/>
      <c r="OTC529" s="501"/>
      <c r="OTD529" s="501"/>
      <c r="OTE529" s="501"/>
      <c r="OTF529" s="501"/>
      <c r="OTG529" s="501"/>
      <c r="OTH529" s="501"/>
      <c r="OTI529" s="501"/>
      <c r="OTJ529" s="501"/>
      <c r="OTK529" s="501"/>
      <c r="OTL529" s="501"/>
      <c r="OTM529" s="501"/>
      <c r="OTN529" s="501"/>
      <c r="OTO529" s="501"/>
      <c r="OTP529" s="501"/>
      <c r="OTQ529" s="501"/>
      <c r="OTR529" s="501"/>
      <c r="OTS529" s="501"/>
      <c r="OTT529" s="501"/>
      <c r="OTU529" s="501"/>
      <c r="OTV529" s="501"/>
      <c r="OTW529" s="501"/>
      <c r="OTX529" s="501"/>
      <c r="OTY529" s="501"/>
      <c r="OTZ529" s="501"/>
      <c r="OUA529" s="501"/>
      <c r="OUB529" s="501"/>
      <c r="OUC529" s="501"/>
      <c r="OUD529" s="501"/>
      <c r="OUE529" s="501"/>
      <c r="OUF529" s="501"/>
      <c r="OUG529" s="501"/>
      <c r="OUH529" s="501"/>
      <c r="OUI529" s="501"/>
      <c r="OUJ529" s="501"/>
      <c r="OUK529" s="501"/>
      <c r="OUL529" s="501"/>
      <c r="OUM529" s="501"/>
      <c r="OUN529" s="501"/>
      <c r="OUO529" s="501"/>
      <c r="OUP529" s="501"/>
      <c r="OUQ529" s="501"/>
      <c r="OUR529" s="501"/>
      <c r="OUS529" s="501"/>
      <c r="OUT529" s="501"/>
      <c r="OUU529" s="501"/>
      <c r="OUV529" s="501"/>
      <c r="OUW529" s="501"/>
      <c r="OUX529" s="501"/>
      <c r="OUY529" s="501"/>
      <c r="OUZ529" s="501"/>
      <c r="OVA529" s="501"/>
      <c r="OVB529" s="501"/>
      <c r="OVC529" s="501"/>
      <c r="OVD529" s="501"/>
      <c r="OVE529" s="501"/>
      <c r="OVF529" s="501"/>
      <c r="OVG529" s="501"/>
      <c r="OVH529" s="501"/>
      <c r="OVI529" s="501"/>
      <c r="OVJ529" s="501"/>
      <c r="OVK529" s="501"/>
      <c r="OVL529" s="501"/>
      <c r="OVM529" s="501"/>
      <c r="OVN529" s="501"/>
      <c r="OVO529" s="501"/>
      <c r="OVP529" s="501"/>
      <c r="OVQ529" s="501"/>
      <c r="OVR529" s="501"/>
      <c r="OVS529" s="501"/>
      <c r="OVT529" s="501"/>
      <c r="OVU529" s="501"/>
      <c r="OVV529" s="501"/>
      <c r="OVW529" s="501"/>
      <c r="OVX529" s="501"/>
      <c r="OVY529" s="501"/>
      <c r="OVZ529" s="501"/>
      <c r="OWA529" s="501"/>
      <c r="OWB529" s="501"/>
      <c r="OWC529" s="501"/>
      <c r="OWD529" s="501"/>
      <c r="OWE529" s="501"/>
      <c r="OWF529" s="501"/>
      <c r="OWG529" s="501"/>
      <c r="OWH529" s="501"/>
      <c r="OWI529" s="501"/>
      <c r="OWJ529" s="501"/>
      <c r="OWK529" s="501"/>
      <c r="OWL529" s="501"/>
      <c r="OWM529" s="501"/>
      <c r="OWN529" s="501"/>
      <c r="OWO529" s="501"/>
      <c r="OWP529" s="501"/>
      <c r="OWQ529" s="501"/>
      <c r="OWR529" s="501"/>
      <c r="OWS529" s="501"/>
      <c r="OWT529" s="501"/>
      <c r="OWU529" s="501"/>
      <c r="OWV529" s="501"/>
      <c r="OWW529" s="501"/>
      <c r="OWX529" s="501"/>
      <c r="OWY529" s="501"/>
      <c r="OWZ529" s="501"/>
      <c r="OXA529" s="501"/>
      <c r="OXB529" s="501"/>
      <c r="OXC529" s="501"/>
      <c r="OXD529" s="501"/>
      <c r="OXE529" s="501"/>
      <c r="OXF529" s="501"/>
      <c r="OXG529" s="501"/>
      <c r="OXH529" s="501"/>
      <c r="OXI529" s="501"/>
      <c r="OXJ529" s="501"/>
      <c r="OXK529" s="501"/>
      <c r="OXL529" s="501"/>
      <c r="OXM529" s="501"/>
      <c r="OXN529" s="501"/>
      <c r="OXO529" s="501"/>
      <c r="OXP529" s="501"/>
      <c r="OXQ529" s="501"/>
      <c r="OXR529" s="501"/>
      <c r="OXS529" s="501"/>
      <c r="OXT529" s="501"/>
      <c r="OXU529" s="501"/>
      <c r="OXV529" s="501"/>
      <c r="OXW529" s="501"/>
      <c r="OXX529" s="501"/>
      <c r="OXY529" s="501"/>
      <c r="OXZ529" s="501"/>
      <c r="OYA529" s="501"/>
      <c r="OYB529" s="501"/>
      <c r="OYC529" s="501"/>
      <c r="OYD529" s="501"/>
      <c r="OYE529" s="501"/>
      <c r="OYF529" s="501"/>
      <c r="OYG529" s="501"/>
      <c r="OYH529" s="501"/>
      <c r="OYI529" s="501"/>
      <c r="OYJ529" s="501"/>
      <c r="OYK529" s="501"/>
      <c r="OYL529" s="501"/>
      <c r="OYM529" s="501"/>
      <c r="OYN529" s="501"/>
      <c r="OYO529" s="501"/>
      <c r="OYP529" s="501"/>
      <c r="OYQ529" s="501"/>
      <c r="OYR529" s="501"/>
      <c r="OYS529" s="501"/>
      <c r="OYT529" s="501"/>
      <c r="OYU529" s="501"/>
      <c r="OYV529" s="501"/>
      <c r="OYW529" s="501"/>
      <c r="OYX529" s="501"/>
      <c r="OYY529" s="501"/>
      <c r="OYZ529" s="501"/>
      <c r="OZA529" s="501"/>
      <c r="OZB529" s="501"/>
      <c r="OZC529" s="501"/>
      <c r="OZD529" s="501"/>
      <c r="OZE529" s="501"/>
      <c r="OZF529" s="501"/>
      <c r="OZG529" s="501"/>
      <c r="OZH529" s="501"/>
      <c r="OZI529" s="501"/>
      <c r="OZJ529" s="501"/>
      <c r="OZK529" s="501"/>
      <c r="OZL529" s="501"/>
      <c r="OZM529" s="501"/>
      <c r="OZN529" s="501"/>
      <c r="OZO529" s="501"/>
      <c r="OZP529" s="501"/>
      <c r="OZQ529" s="501"/>
      <c r="OZR529" s="501"/>
      <c r="OZS529" s="501"/>
      <c r="OZT529" s="501"/>
      <c r="OZU529" s="501"/>
      <c r="OZV529" s="501"/>
      <c r="OZW529" s="501"/>
      <c r="OZX529" s="501"/>
      <c r="OZY529" s="501"/>
      <c r="OZZ529" s="501"/>
      <c r="PAA529" s="501"/>
      <c r="PAB529" s="501"/>
      <c r="PAC529" s="501"/>
      <c r="PAD529" s="501"/>
      <c r="PAE529" s="501"/>
      <c r="PAF529" s="501"/>
      <c r="PAG529" s="501"/>
      <c r="PAH529" s="501"/>
      <c r="PAI529" s="501"/>
      <c r="PAJ529" s="501"/>
      <c r="PAK529" s="501"/>
      <c r="PAL529" s="501"/>
      <c r="PAM529" s="501"/>
      <c r="PAN529" s="501"/>
      <c r="PAO529" s="501"/>
      <c r="PAP529" s="501"/>
      <c r="PAQ529" s="501"/>
      <c r="PAR529" s="501"/>
      <c r="PAS529" s="501"/>
      <c r="PAT529" s="501"/>
      <c r="PAU529" s="501"/>
      <c r="PAV529" s="501"/>
      <c r="PAW529" s="501"/>
      <c r="PAX529" s="501"/>
      <c r="PAY529" s="501"/>
      <c r="PAZ529" s="501"/>
      <c r="PBA529" s="501"/>
      <c r="PBB529" s="501"/>
      <c r="PBC529" s="501"/>
      <c r="PBD529" s="501"/>
      <c r="PBE529" s="501"/>
      <c r="PBF529" s="501"/>
      <c r="PBG529" s="501"/>
      <c r="PBH529" s="501"/>
      <c r="PBI529" s="501"/>
      <c r="PBJ529" s="501"/>
      <c r="PBK529" s="501"/>
      <c r="PBL529" s="501"/>
      <c r="PBM529" s="501"/>
      <c r="PBN529" s="501"/>
      <c r="PBO529" s="501"/>
      <c r="PBP529" s="501"/>
      <c r="PBQ529" s="501"/>
      <c r="PBR529" s="501"/>
      <c r="PBS529" s="501"/>
      <c r="PBT529" s="501"/>
      <c r="PBU529" s="501"/>
      <c r="PBV529" s="501"/>
      <c r="PBW529" s="501"/>
      <c r="PBX529" s="501"/>
      <c r="PBY529" s="501"/>
      <c r="PBZ529" s="501"/>
      <c r="PCA529" s="501"/>
      <c r="PCB529" s="501"/>
      <c r="PCC529" s="501"/>
      <c r="PCD529" s="501"/>
      <c r="PCE529" s="501"/>
      <c r="PCF529" s="501"/>
      <c r="PCG529" s="501"/>
      <c r="PCH529" s="501"/>
      <c r="PCI529" s="501"/>
      <c r="PCJ529" s="501"/>
      <c r="PCK529" s="501"/>
      <c r="PCL529" s="501"/>
      <c r="PCM529" s="501"/>
      <c r="PCN529" s="501"/>
      <c r="PCO529" s="501"/>
      <c r="PCP529" s="501"/>
      <c r="PCQ529" s="501"/>
      <c r="PCR529" s="501"/>
      <c r="PCS529" s="501"/>
      <c r="PCT529" s="501"/>
      <c r="PCU529" s="501"/>
      <c r="PCV529" s="501"/>
      <c r="PCW529" s="501"/>
      <c r="PCX529" s="501"/>
      <c r="PCY529" s="501"/>
      <c r="PCZ529" s="501"/>
      <c r="PDA529" s="501"/>
      <c r="PDB529" s="501"/>
      <c r="PDC529" s="501"/>
      <c r="PDD529" s="501"/>
      <c r="PDE529" s="501"/>
      <c r="PDF529" s="501"/>
      <c r="PDG529" s="501"/>
      <c r="PDH529" s="501"/>
      <c r="PDI529" s="501"/>
      <c r="PDJ529" s="501"/>
      <c r="PDK529" s="501"/>
      <c r="PDL529" s="501"/>
      <c r="PDM529" s="501"/>
      <c r="PDN529" s="501"/>
      <c r="PDO529" s="501"/>
      <c r="PDP529" s="501"/>
      <c r="PDQ529" s="501"/>
      <c r="PDR529" s="501"/>
      <c r="PDS529" s="501"/>
      <c r="PDT529" s="501"/>
      <c r="PDU529" s="501"/>
      <c r="PDV529" s="501"/>
      <c r="PDW529" s="501"/>
      <c r="PDX529" s="501"/>
      <c r="PDY529" s="501"/>
      <c r="PDZ529" s="501"/>
      <c r="PEA529" s="501"/>
      <c r="PEB529" s="501"/>
      <c r="PEC529" s="501"/>
      <c r="PED529" s="501"/>
      <c r="PEE529" s="501"/>
      <c r="PEF529" s="501"/>
      <c r="PEG529" s="501"/>
      <c r="PEH529" s="501"/>
      <c r="PEI529" s="501"/>
      <c r="PEJ529" s="501"/>
      <c r="PEK529" s="501"/>
      <c r="PEL529" s="501"/>
      <c r="PEM529" s="501"/>
      <c r="PEN529" s="501"/>
      <c r="PEO529" s="501"/>
      <c r="PEP529" s="501"/>
      <c r="PEQ529" s="501"/>
      <c r="PER529" s="501"/>
      <c r="PES529" s="501"/>
      <c r="PET529" s="501"/>
      <c r="PEU529" s="501"/>
      <c r="PEV529" s="501"/>
      <c r="PEW529" s="501"/>
      <c r="PEX529" s="501"/>
      <c r="PEY529" s="501"/>
      <c r="PEZ529" s="501"/>
      <c r="PFA529" s="501"/>
      <c r="PFB529" s="501"/>
      <c r="PFC529" s="501"/>
      <c r="PFD529" s="501"/>
      <c r="PFE529" s="501"/>
      <c r="PFF529" s="501"/>
      <c r="PFG529" s="501"/>
      <c r="PFH529" s="501"/>
      <c r="PFI529" s="501"/>
      <c r="PFJ529" s="501"/>
      <c r="PFK529" s="501"/>
      <c r="PFL529" s="501"/>
      <c r="PFM529" s="501"/>
      <c r="PFN529" s="501"/>
      <c r="PFO529" s="501"/>
      <c r="PFP529" s="501"/>
      <c r="PFQ529" s="501"/>
      <c r="PFR529" s="501"/>
      <c r="PFS529" s="501"/>
      <c r="PFT529" s="501"/>
      <c r="PFU529" s="501"/>
      <c r="PFV529" s="501"/>
      <c r="PFW529" s="501"/>
      <c r="PFX529" s="501"/>
      <c r="PFY529" s="501"/>
      <c r="PFZ529" s="501"/>
      <c r="PGA529" s="501"/>
      <c r="PGB529" s="501"/>
      <c r="PGC529" s="501"/>
      <c r="PGD529" s="501"/>
      <c r="PGE529" s="501"/>
      <c r="PGF529" s="501"/>
      <c r="PGG529" s="501"/>
      <c r="PGH529" s="501"/>
      <c r="PGI529" s="501"/>
      <c r="PGJ529" s="501"/>
      <c r="PGK529" s="501"/>
      <c r="PGL529" s="501"/>
      <c r="PGM529" s="501"/>
      <c r="PGN529" s="501"/>
      <c r="PGO529" s="501"/>
      <c r="PGP529" s="501"/>
      <c r="PGQ529" s="501"/>
      <c r="PGR529" s="501"/>
      <c r="PGS529" s="501"/>
      <c r="PGT529" s="501"/>
      <c r="PGU529" s="501"/>
      <c r="PGV529" s="501"/>
      <c r="PGW529" s="501"/>
      <c r="PGX529" s="501"/>
      <c r="PGY529" s="501"/>
      <c r="PGZ529" s="501"/>
      <c r="PHA529" s="501"/>
      <c r="PHB529" s="501"/>
      <c r="PHC529" s="501"/>
      <c r="PHD529" s="501"/>
      <c r="PHE529" s="501"/>
      <c r="PHF529" s="501"/>
      <c r="PHG529" s="501"/>
      <c r="PHH529" s="501"/>
      <c r="PHI529" s="501"/>
      <c r="PHJ529" s="501"/>
      <c r="PHK529" s="501"/>
      <c r="PHL529" s="501"/>
      <c r="PHM529" s="501"/>
      <c r="PHN529" s="501"/>
      <c r="PHO529" s="501"/>
      <c r="PHP529" s="501"/>
      <c r="PHQ529" s="501"/>
      <c r="PHR529" s="501"/>
      <c r="PHS529" s="501"/>
      <c r="PHT529" s="501"/>
      <c r="PHU529" s="501"/>
      <c r="PHV529" s="501"/>
      <c r="PHW529" s="501"/>
      <c r="PHX529" s="501"/>
      <c r="PHY529" s="501"/>
      <c r="PHZ529" s="501"/>
      <c r="PIA529" s="501"/>
      <c r="PIB529" s="501"/>
      <c r="PIC529" s="501"/>
      <c r="PID529" s="501"/>
      <c r="PIE529" s="501"/>
      <c r="PIF529" s="501"/>
      <c r="PIG529" s="501"/>
      <c r="PIH529" s="501"/>
      <c r="PII529" s="501"/>
      <c r="PIJ529" s="501"/>
      <c r="PIK529" s="501"/>
      <c r="PIL529" s="501"/>
      <c r="PIM529" s="501"/>
      <c r="PIN529" s="501"/>
      <c r="PIO529" s="501"/>
      <c r="PIP529" s="501"/>
      <c r="PIQ529" s="501"/>
      <c r="PIR529" s="501"/>
      <c r="PIS529" s="501"/>
      <c r="PIT529" s="501"/>
      <c r="PIU529" s="501"/>
      <c r="PIV529" s="501"/>
      <c r="PIW529" s="501"/>
      <c r="PIX529" s="501"/>
      <c r="PIY529" s="501"/>
      <c r="PIZ529" s="501"/>
      <c r="PJA529" s="501"/>
      <c r="PJB529" s="501"/>
      <c r="PJC529" s="501"/>
      <c r="PJD529" s="501"/>
      <c r="PJE529" s="501"/>
      <c r="PJF529" s="501"/>
      <c r="PJG529" s="501"/>
      <c r="PJH529" s="501"/>
      <c r="PJI529" s="501"/>
      <c r="PJJ529" s="501"/>
      <c r="PJK529" s="501"/>
      <c r="PJL529" s="501"/>
      <c r="PJM529" s="501"/>
      <c r="PJN529" s="501"/>
      <c r="PJO529" s="501"/>
      <c r="PJP529" s="501"/>
      <c r="PJQ529" s="501"/>
      <c r="PJR529" s="501"/>
      <c r="PJS529" s="501"/>
      <c r="PJT529" s="501"/>
      <c r="PJU529" s="501"/>
      <c r="PJV529" s="501"/>
      <c r="PJW529" s="501"/>
      <c r="PJX529" s="501"/>
      <c r="PJY529" s="501"/>
      <c r="PJZ529" s="501"/>
      <c r="PKA529" s="501"/>
      <c r="PKB529" s="501"/>
      <c r="PKC529" s="501"/>
      <c r="PKD529" s="501"/>
      <c r="PKE529" s="501"/>
      <c r="PKF529" s="501"/>
      <c r="PKG529" s="501"/>
      <c r="PKH529" s="501"/>
      <c r="PKI529" s="501"/>
      <c r="PKJ529" s="501"/>
      <c r="PKK529" s="501"/>
      <c r="PKL529" s="501"/>
      <c r="PKM529" s="501"/>
      <c r="PKN529" s="501"/>
      <c r="PKO529" s="501"/>
      <c r="PKP529" s="501"/>
      <c r="PKQ529" s="501"/>
      <c r="PKR529" s="501"/>
      <c r="PKS529" s="501"/>
      <c r="PKT529" s="501"/>
      <c r="PKU529" s="501"/>
      <c r="PKV529" s="501"/>
      <c r="PKW529" s="501"/>
      <c r="PKX529" s="501"/>
      <c r="PKY529" s="501"/>
      <c r="PKZ529" s="501"/>
      <c r="PLA529" s="501"/>
      <c r="PLB529" s="501"/>
      <c r="PLC529" s="501"/>
      <c r="PLD529" s="501"/>
      <c r="PLE529" s="501"/>
      <c r="PLF529" s="501"/>
      <c r="PLG529" s="501"/>
      <c r="PLH529" s="501"/>
      <c r="PLI529" s="501"/>
      <c r="PLJ529" s="501"/>
      <c r="PLK529" s="501"/>
      <c r="PLL529" s="501"/>
      <c r="PLM529" s="501"/>
      <c r="PLN529" s="501"/>
      <c r="PLO529" s="501"/>
      <c r="PLP529" s="501"/>
      <c r="PLQ529" s="501"/>
      <c r="PLR529" s="501"/>
      <c r="PLS529" s="501"/>
      <c r="PLT529" s="501"/>
      <c r="PLU529" s="501"/>
      <c r="PLV529" s="501"/>
      <c r="PLW529" s="501"/>
      <c r="PLX529" s="501"/>
      <c r="PLY529" s="501"/>
      <c r="PLZ529" s="501"/>
      <c r="PMA529" s="501"/>
      <c r="PMB529" s="501"/>
      <c r="PMC529" s="501"/>
      <c r="PMD529" s="501"/>
      <c r="PME529" s="501"/>
      <c r="PMF529" s="501"/>
      <c r="PMG529" s="501"/>
      <c r="PMH529" s="501"/>
      <c r="PMI529" s="501"/>
      <c r="PMJ529" s="501"/>
      <c r="PMK529" s="501"/>
      <c r="PML529" s="501"/>
      <c r="PMM529" s="501"/>
      <c r="PMN529" s="501"/>
      <c r="PMO529" s="501"/>
      <c r="PMP529" s="501"/>
      <c r="PMQ529" s="501"/>
      <c r="PMR529" s="501"/>
      <c r="PMS529" s="501"/>
      <c r="PMT529" s="501"/>
      <c r="PMU529" s="501"/>
      <c r="PMV529" s="501"/>
      <c r="PMW529" s="501"/>
      <c r="PMX529" s="501"/>
      <c r="PMY529" s="501"/>
      <c r="PMZ529" s="501"/>
      <c r="PNA529" s="501"/>
      <c r="PNB529" s="501"/>
      <c r="PNC529" s="501"/>
      <c r="PND529" s="501"/>
      <c r="PNE529" s="501"/>
      <c r="PNF529" s="501"/>
      <c r="PNG529" s="501"/>
      <c r="PNH529" s="501"/>
      <c r="PNI529" s="501"/>
      <c r="PNJ529" s="501"/>
      <c r="PNK529" s="501"/>
      <c r="PNL529" s="501"/>
      <c r="PNM529" s="501"/>
      <c r="PNN529" s="501"/>
      <c r="PNO529" s="501"/>
      <c r="PNP529" s="501"/>
      <c r="PNQ529" s="501"/>
      <c r="PNR529" s="501"/>
      <c r="PNS529" s="501"/>
      <c r="PNT529" s="501"/>
      <c r="PNU529" s="501"/>
      <c r="PNV529" s="501"/>
      <c r="PNW529" s="501"/>
      <c r="PNX529" s="501"/>
      <c r="PNY529" s="501"/>
      <c r="PNZ529" s="501"/>
      <c r="POA529" s="501"/>
      <c r="POB529" s="501"/>
      <c r="POC529" s="501"/>
      <c r="POD529" s="501"/>
      <c r="POE529" s="501"/>
      <c r="POF529" s="501"/>
      <c r="POG529" s="501"/>
      <c r="POH529" s="501"/>
      <c r="POI529" s="501"/>
      <c r="POJ529" s="501"/>
      <c r="POK529" s="501"/>
      <c r="POL529" s="501"/>
      <c r="POM529" s="501"/>
      <c r="PON529" s="501"/>
      <c r="POO529" s="501"/>
      <c r="POP529" s="501"/>
      <c r="POQ529" s="501"/>
      <c r="POR529" s="501"/>
      <c r="POS529" s="501"/>
      <c r="POT529" s="501"/>
      <c r="POU529" s="501"/>
      <c r="POV529" s="501"/>
      <c r="POW529" s="501"/>
      <c r="POX529" s="501"/>
      <c r="POY529" s="501"/>
      <c r="POZ529" s="501"/>
      <c r="PPA529" s="501"/>
      <c r="PPB529" s="501"/>
      <c r="PPC529" s="501"/>
      <c r="PPD529" s="501"/>
      <c r="PPE529" s="501"/>
      <c r="PPF529" s="501"/>
      <c r="PPG529" s="501"/>
      <c r="PPH529" s="501"/>
      <c r="PPI529" s="501"/>
      <c r="PPJ529" s="501"/>
      <c r="PPK529" s="501"/>
      <c r="PPL529" s="501"/>
      <c r="PPM529" s="501"/>
      <c r="PPN529" s="501"/>
      <c r="PPO529" s="501"/>
      <c r="PPP529" s="501"/>
      <c r="PPQ529" s="501"/>
      <c r="PPR529" s="501"/>
      <c r="PPS529" s="501"/>
      <c r="PPT529" s="501"/>
      <c r="PPU529" s="501"/>
      <c r="PPV529" s="501"/>
      <c r="PPW529" s="501"/>
      <c r="PPX529" s="501"/>
      <c r="PPY529" s="501"/>
      <c r="PPZ529" s="501"/>
      <c r="PQA529" s="501"/>
      <c r="PQB529" s="501"/>
      <c r="PQC529" s="501"/>
      <c r="PQD529" s="501"/>
      <c r="PQE529" s="501"/>
      <c r="PQF529" s="501"/>
      <c r="PQG529" s="501"/>
      <c r="PQH529" s="501"/>
      <c r="PQI529" s="501"/>
      <c r="PQJ529" s="501"/>
      <c r="PQK529" s="501"/>
      <c r="PQL529" s="501"/>
      <c r="PQM529" s="501"/>
      <c r="PQN529" s="501"/>
      <c r="PQO529" s="501"/>
      <c r="PQP529" s="501"/>
      <c r="PQQ529" s="501"/>
      <c r="PQR529" s="501"/>
      <c r="PQS529" s="501"/>
      <c r="PQT529" s="501"/>
      <c r="PQU529" s="501"/>
      <c r="PQV529" s="501"/>
      <c r="PQW529" s="501"/>
      <c r="PQX529" s="501"/>
      <c r="PQY529" s="501"/>
      <c r="PQZ529" s="501"/>
      <c r="PRA529" s="501"/>
      <c r="PRB529" s="501"/>
      <c r="PRC529" s="501"/>
      <c r="PRD529" s="501"/>
      <c r="PRE529" s="501"/>
      <c r="PRF529" s="501"/>
      <c r="PRG529" s="501"/>
      <c r="PRH529" s="501"/>
      <c r="PRI529" s="501"/>
      <c r="PRJ529" s="501"/>
      <c r="PRK529" s="501"/>
      <c r="PRL529" s="501"/>
      <c r="PRM529" s="501"/>
      <c r="PRN529" s="501"/>
      <c r="PRO529" s="501"/>
      <c r="PRP529" s="501"/>
      <c r="PRQ529" s="501"/>
      <c r="PRR529" s="501"/>
      <c r="PRS529" s="501"/>
      <c r="PRT529" s="501"/>
      <c r="PRU529" s="501"/>
      <c r="PRV529" s="501"/>
      <c r="PRW529" s="501"/>
      <c r="PRX529" s="501"/>
      <c r="PRY529" s="501"/>
      <c r="PRZ529" s="501"/>
      <c r="PSA529" s="501"/>
      <c r="PSB529" s="501"/>
      <c r="PSC529" s="501"/>
      <c r="PSD529" s="501"/>
      <c r="PSE529" s="501"/>
      <c r="PSF529" s="501"/>
      <c r="PSG529" s="501"/>
      <c r="PSH529" s="501"/>
      <c r="PSI529" s="501"/>
      <c r="PSJ529" s="501"/>
      <c r="PSK529" s="501"/>
      <c r="PSL529" s="501"/>
      <c r="PSM529" s="501"/>
      <c r="PSN529" s="501"/>
      <c r="PSO529" s="501"/>
      <c r="PSP529" s="501"/>
      <c r="PSQ529" s="501"/>
      <c r="PSR529" s="501"/>
      <c r="PSS529" s="501"/>
      <c r="PST529" s="501"/>
      <c r="PSU529" s="501"/>
      <c r="PSV529" s="501"/>
      <c r="PSW529" s="501"/>
      <c r="PSX529" s="501"/>
      <c r="PSY529" s="501"/>
      <c r="PSZ529" s="501"/>
      <c r="PTA529" s="501"/>
      <c r="PTB529" s="501"/>
      <c r="PTC529" s="501"/>
      <c r="PTD529" s="501"/>
      <c r="PTE529" s="501"/>
      <c r="PTF529" s="501"/>
      <c r="PTG529" s="501"/>
      <c r="PTH529" s="501"/>
      <c r="PTI529" s="501"/>
      <c r="PTJ529" s="501"/>
      <c r="PTK529" s="501"/>
      <c r="PTL529" s="501"/>
      <c r="PTM529" s="501"/>
      <c r="PTN529" s="501"/>
      <c r="PTO529" s="501"/>
      <c r="PTP529" s="501"/>
      <c r="PTQ529" s="501"/>
      <c r="PTR529" s="501"/>
      <c r="PTS529" s="501"/>
      <c r="PTT529" s="501"/>
      <c r="PTU529" s="501"/>
      <c r="PTV529" s="501"/>
      <c r="PTW529" s="501"/>
      <c r="PTX529" s="501"/>
      <c r="PTY529" s="501"/>
      <c r="PTZ529" s="501"/>
      <c r="PUA529" s="501"/>
      <c r="PUB529" s="501"/>
      <c r="PUC529" s="501"/>
      <c r="PUD529" s="501"/>
      <c r="PUE529" s="501"/>
      <c r="PUF529" s="501"/>
      <c r="PUG529" s="501"/>
      <c r="PUH529" s="501"/>
      <c r="PUI529" s="501"/>
      <c r="PUJ529" s="501"/>
      <c r="PUK529" s="501"/>
      <c r="PUL529" s="501"/>
      <c r="PUM529" s="501"/>
      <c r="PUN529" s="501"/>
      <c r="PUO529" s="501"/>
      <c r="PUP529" s="501"/>
      <c r="PUQ529" s="501"/>
      <c r="PUR529" s="501"/>
      <c r="PUS529" s="501"/>
      <c r="PUT529" s="501"/>
      <c r="PUU529" s="501"/>
      <c r="PUV529" s="501"/>
      <c r="PUW529" s="501"/>
      <c r="PUX529" s="501"/>
      <c r="PUY529" s="501"/>
      <c r="PUZ529" s="501"/>
      <c r="PVA529" s="501"/>
      <c r="PVB529" s="501"/>
      <c r="PVC529" s="501"/>
      <c r="PVD529" s="501"/>
      <c r="PVE529" s="501"/>
      <c r="PVF529" s="501"/>
      <c r="PVG529" s="501"/>
      <c r="PVH529" s="501"/>
      <c r="PVI529" s="501"/>
      <c r="PVJ529" s="501"/>
      <c r="PVK529" s="501"/>
      <c r="PVL529" s="501"/>
      <c r="PVM529" s="501"/>
      <c r="PVN529" s="501"/>
      <c r="PVO529" s="501"/>
      <c r="PVP529" s="501"/>
      <c r="PVQ529" s="501"/>
      <c r="PVR529" s="501"/>
      <c r="PVS529" s="501"/>
      <c r="PVT529" s="501"/>
      <c r="PVU529" s="501"/>
      <c r="PVV529" s="501"/>
      <c r="PVW529" s="501"/>
      <c r="PVX529" s="501"/>
      <c r="PVY529" s="501"/>
      <c r="PVZ529" s="501"/>
      <c r="PWA529" s="501"/>
      <c r="PWB529" s="501"/>
      <c r="PWC529" s="501"/>
      <c r="PWD529" s="501"/>
      <c r="PWE529" s="501"/>
      <c r="PWF529" s="501"/>
      <c r="PWG529" s="501"/>
      <c r="PWH529" s="501"/>
      <c r="PWI529" s="501"/>
      <c r="PWJ529" s="501"/>
      <c r="PWK529" s="501"/>
      <c r="PWL529" s="501"/>
      <c r="PWM529" s="501"/>
      <c r="PWN529" s="501"/>
      <c r="PWO529" s="501"/>
      <c r="PWP529" s="501"/>
      <c r="PWQ529" s="501"/>
      <c r="PWR529" s="501"/>
      <c r="PWS529" s="501"/>
      <c r="PWT529" s="501"/>
      <c r="PWU529" s="501"/>
      <c r="PWV529" s="501"/>
      <c r="PWW529" s="501"/>
      <c r="PWX529" s="501"/>
      <c r="PWY529" s="501"/>
      <c r="PWZ529" s="501"/>
      <c r="PXA529" s="501"/>
      <c r="PXB529" s="501"/>
      <c r="PXC529" s="501"/>
      <c r="PXD529" s="501"/>
      <c r="PXE529" s="501"/>
      <c r="PXF529" s="501"/>
      <c r="PXG529" s="501"/>
      <c r="PXH529" s="501"/>
      <c r="PXI529" s="501"/>
      <c r="PXJ529" s="501"/>
      <c r="PXK529" s="501"/>
      <c r="PXL529" s="501"/>
      <c r="PXM529" s="501"/>
      <c r="PXN529" s="501"/>
      <c r="PXO529" s="501"/>
      <c r="PXP529" s="501"/>
      <c r="PXQ529" s="501"/>
      <c r="PXR529" s="501"/>
      <c r="PXS529" s="501"/>
      <c r="PXT529" s="501"/>
      <c r="PXU529" s="501"/>
      <c r="PXV529" s="501"/>
      <c r="PXW529" s="501"/>
      <c r="PXX529" s="501"/>
      <c r="PXY529" s="501"/>
      <c r="PXZ529" s="501"/>
      <c r="PYA529" s="501"/>
      <c r="PYB529" s="501"/>
      <c r="PYC529" s="501"/>
      <c r="PYD529" s="501"/>
      <c r="PYE529" s="501"/>
      <c r="PYF529" s="501"/>
      <c r="PYG529" s="501"/>
      <c r="PYH529" s="501"/>
      <c r="PYI529" s="501"/>
      <c r="PYJ529" s="501"/>
      <c r="PYK529" s="501"/>
      <c r="PYL529" s="501"/>
      <c r="PYM529" s="501"/>
      <c r="PYN529" s="501"/>
      <c r="PYO529" s="501"/>
      <c r="PYP529" s="501"/>
      <c r="PYQ529" s="501"/>
      <c r="PYR529" s="501"/>
      <c r="PYS529" s="501"/>
      <c r="PYT529" s="501"/>
      <c r="PYU529" s="501"/>
      <c r="PYV529" s="501"/>
      <c r="PYW529" s="501"/>
      <c r="PYX529" s="501"/>
      <c r="PYY529" s="501"/>
      <c r="PYZ529" s="501"/>
      <c r="PZA529" s="501"/>
      <c r="PZB529" s="501"/>
      <c r="PZC529" s="501"/>
      <c r="PZD529" s="501"/>
      <c r="PZE529" s="501"/>
      <c r="PZF529" s="501"/>
      <c r="PZG529" s="501"/>
      <c r="PZH529" s="501"/>
      <c r="PZI529" s="501"/>
      <c r="PZJ529" s="501"/>
      <c r="PZK529" s="501"/>
      <c r="PZL529" s="501"/>
      <c r="PZM529" s="501"/>
      <c r="PZN529" s="501"/>
      <c r="PZO529" s="501"/>
      <c r="PZP529" s="501"/>
      <c r="PZQ529" s="501"/>
      <c r="PZR529" s="501"/>
      <c r="PZS529" s="501"/>
      <c r="PZT529" s="501"/>
      <c r="PZU529" s="501"/>
      <c r="PZV529" s="501"/>
      <c r="PZW529" s="501"/>
      <c r="PZX529" s="501"/>
      <c r="PZY529" s="501"/>
      <c r="PZZ529" s="501"/>
      <c r="QAA529" s="501"/>
      <c r="QAB529" s="501"/>
      <c r="QAC529" s="501"/>
      <c r="QAD529" s="501"/>
      <c r="QAE529" s="501"/>
      <c r="QAF529" s="501"/>
      <c r="QAG529" s="501"/>
      <c r="QAH529" s="501"/>
      <c r="QAI529" s="501"/>
      <c r="QAJ529" s="501"/>
      <c r="QAK529" s="501"/>
      <c r="QAL529" s="501"/>
      <c r="QAM529" s="501"/>
      <c r="QAN529" s="501"/>
      <c r="QAO529" s="501"/>
      <c r="QAP529" s="501"/>
      <c r="QAQ529" s="501"/>
      <c r="QAR529" s="501"/>
      <c r="QAS529" s="501"/>
      <c r="QAT529" s="501"/>
      <c r="QAU529" s="501"/>
      <c r="QAV529" s="501"/>
      <c r="QAW529" s="501"/>
      <c r="QAX529" s="501"/>
      <c r="QAY529" s="501"/>
      <c r="QAZ529" s="501"/>
      <c r="QBA529" s="501"/>
      <c r="QBB529" s="501"/>
      <c r="QBC529" s="501"/>
      <c r="QBD529" s="501"/>
      <c r="QBE529" s="501"/>
      <c r="QBF529" s="501"/>
      <c r="QBG529" s="501"/>
      <c r="QBH529" s="501"/>
      <c r="QBI529" s="501"/>
      <c r="QBJ529" s="501"/>
      <c r="QBK529" s="501"/>
      <c r="QBL529" s="501"/>
      <c r="QBM529" s="501"/>
      <c r="QBN529" s="501"/>
      <c r="QBO529" s="501"/>
      <c r="QBP529" s="501"/>
      <c r="QBQ529" s="501"/>
      <c r="QBR529" s="501"/>
      <c r="QBS529" s="501"/>
      <c r="QBT529" s="501"/>
      <c r="QBU529" s="501"/>
      <c r="QBV529" s="501"/>
      <c r="QBW529" s="501"/>
      <c r="QBX529" s="501"/>
      <c r="QBY529" s="501"/>
      <c r="QBZ529" s="501"/>
      <c r="QCA529" s="501"/>
      <c r="QCB529" s="501"/>
      <c r="QCC529" s="501"/>
      <c r="QCD529" s="501"/>
      <c r="QCE529" s="501"/>
      <c r="QCF529" s="501"/>
      <c r="QCG529" s="501"/>
      <c r="QCH529" s="501"/>
      <c r="QCI529" s="501"/>
      <c r="QCJ529" s="501"/>
      <c r="QCK529" s="501"/>
      <c r="QCL529" s="501"/>
      <c r="QCM529" s="501"/>
      <c r="QCN529" s="501"/>
      <c r="QCO529" s="501"/>
      <c r="QCP529" s="501"/>
      <c r="QCQ529" s="501"/>
      <c r="QCR529" s="501"/>
      <c r="QCS529" s="501"/>
      <c r="QCT529" s="501"/>
      <c r="QCU529" s="501"/>
      <c r="QCV529" s="501"/>
      <c r="QCW529" s="501"/>
      <c r="QCX529" s="501"/>
      <c r="QCY529" s="501"/>
      <c r="QCZ529" s="501"/>
      <c r="QDA529" s="501"/>
      <c r="QDB529" s="501"/>
      <c r="QDC529" s="501"/>
      <c r="QDD529" s="501"/>
      <c r="QDE529" s="501"/>
      <c r="QDF529" s="501"/>
      <c r="QDG529" s="501"/>
      <c r="QDH529" s="501"/>
      <c r="QDI529" s="501"/>
      <c r="QDJ529" s="501"/>
      <c r="QDK529" s="501"/>
      <c r="QDL529" s="501"/>
      <c r="QDM529" s="501"/>
      <c r="QDN529" s="501"/>
      <c r="QDO529" s="501"/>
      <c r="QDP529" s="501"/>
      <c r="QDQ529" s="501"/>
      <c r="QDR529" s="501"/>
      <c r="QDS529" s="501"/>
      <c r="QDT529" s="501"/>
      <c r="QDU529" s="501"/>
      <c r="QDV529" s="501"/>
      <c r="QDW529" s="501"/>
      <c r="QDX529" s="501"/>
      <c r="QDY529" s="501"/>
      <c r="QDZ529" s="501"/>
      <c r="QEA529" s="501"/>
      <c r="QEB529" s="501"/>
      <c r="QEC529" s="501"/>
      <c r="QED529" s="501"/>
      <c r="QEE529" s="501"/>
      <c r="QEF529" s="501"/>
      <c r="QEG529" s="501"/>
      <c r="QEH529" s="501"/>
      <c r="QEI529" s="501"/>
      <c r="QEJ529" s="501"/>
      <c r="QEK529" s="501"/>
      <c r="QEL529" s="501"/>
      <c r="QEM529" s="501"/>
      <c r="QEN529" s="501"/>
      <c r="QEO529" s="501"/>
      <c r="QEP529" s="501"/>
      <c r="QEQ529" s="501"/>
      <c r="QER529" s="501"/>
      <c r="QES529" s="501"/>
      <c r="QET529" s="501"/>
      <c r="QEU529" s="501"/>
      <c r="QEV529" s="501"/>
      <c r="QEW529" s="501"/>
      <c r="QEX529" s="501"/>
      <c r="QEY529" s="501"/>
      <c r="QEZ529" s="501"/>
      <c r="QFA529" s="501"/>
      <c r="QFB529" s="501"/>
      <c r="QFC529" s="501"/>
      <c r="QFD529" s="501"/>
      <c r="QFE529" s="501"/>
      <c r="QFF529" s="501"/>
      <c r="QFG529" s="501"/>
      <c r="QFH529" s="501"/>
      <c r="QFI529" s="501"/>
      <c r="QFJ529" s="501"/>
      <c r="QFK529" s="501"/>
      <c r="QFL529" s="501"/>
      <c r="QFM529" s="501"/>
      <c r="QFN529" s="501"/>
      <c r="QFO529" s="501"/>
      <c r="QFP529" s="501"/>
      <c r="QFQ529" s="501"/>
      <c r="QFR529" s="501"/>
      <c r="QFS529" s="501"/>
      <c r="QFT529" s="501"/>
      <c r="QFU529" s="501"/>
      <c r="QFV529" s="501"/>
      <c r="QFW529" s="501"/>
      <c r="QFX529" s="501"/>
      <c r="QFY529" s="501"/>
      <c r="QFZ529" s="501"/>
      <c r="QGA529" s="501"/>
      <c r="QGB529" s="501"/>
      <c r="QGC529" s="501"/>
      <c r="QGD529" s="501"/>
      <c r="QGE529" s="501"/>
      <c r="QGF529" s="501"/>
      <c r="QGG529" s="501"/>
      <c r="QGH529" s="501"/>
      <c r="QGI529" s="501"/>
      <c r="QGJ529" s="501"/>
      <c r="QGK529" s="501"/>
      <c r="QGL529" s="501"/>
      <c r="QGM529" s="501"/>
      <c r="QGN529" s="501"/>
      <c r="QGO529" s="501"/>
      <c r="QGP529" s="501"/>
      <c r="QGQ529" s="501"/>
      <c r="QGR529" s="501"/>
      <c r="QGS529" s="501"/>
      <c r="QGT529" s="501"/>
      <c r="QGU529" s="501"/>
      <c r="QGV529" s="501"/>
      <c r="QGW529" s="501"/>
      <c r="QGX529" s="501"/>
      <c r="QGY529" s="501"/>
      <c r="QGZ529" s="501"/>
      <c r="QHA529" s="501"/>
      <c r="QHB529" s="501"/>
      <c r="QHC529" s="501"/>
      <c r="QHD529" s="501"/>
      <c r="QHE529" s="501"/>
      <c r="QHF529" s="501"/>
      <c r="QHG529" s="501"/>
      <c r="QHH529" s="501"/>
      <c r="QHI529" s="501"/>
      <c r="QHJ529" s="501"/>
      <c r="QHK529" s="501"/>
      <c r="QHL529" s="501"/>
      <c r="QHM529" s="501"/>
      <c r="QHN529" s="501"/>
      <c r="QHO529" s="501"/>
      <c r="QHP529" s="501"/>
      <c r="QHQ529" s="501"/>
      <c r="QHR529" s="501"/>
      <c r="QHS529" s="501"/>
      <c r="QHT529" s="501"/>
      <c r="QHU529" s="501"/>
      <c r="QHV529" s="501"/>
      <c r="QHW529" s="501"/>
      <c r="QHX529" s="501"/>
      <c r="QHY529" s="501"/>
      <c r="QHZ529" s="501"/>
      <c r="QIA529" s="501"/>
      <c r="QIB529" s="501"/>
      <c r="QIC529" s="501"/>
      <c r="QID529" s="501"/>
      <c r="QIE529" s="501"/>
      <c r="QIF529" s="501"/>
      <c r="QIG529" s="501"/>
      <c r="QIH529" s="501"/>
      <c r="QII529" s="501"/>
      <c r="QIJ529" s="501"/>
      <c r="QIK529" s="501"/>
      <c r="QIL529" s="501"/>
      <c r="QIM529" s="501"/>
      <c r="QIN529" s="501"/>
      <c r="QIO529" s="501"/>
      <c r="QIP529" s="501"/>
      <c r="QIQ529" s="501"/>
      <c r="QIR529" s="501"/>
      <c r="QIS529" s="501"/>
      <c r="QIT529" s="501"/>
      <c r="QIU529" s="501"/>
      <c r="QIV529" s="501"/>
      <c r="QIW529" s="501"/>
      <c r="QIX529" s="501"/>
      <c r="QIY529" s="501"/>
      <c r="QIZ529" s="501"/>
      <c r="QJA529" s="501"/>
      <c r="QJB529" s="501"/>
      <c r="QJC529" s="501"/>
      <c r="QJD529" s="501"/>
      <c r="QJE529" s="501"/>
      <c r="QJF529" s="501"/>
      <c r="QJG529" s="501"/>
      <c r="QJH529" s="501"/>
      <c r="QJI529" s="501"/>
      <c r="QJJ529" s="501"/>
      <c r="QJK529" s="501"/>
      <c r="QJL529" s="501"/>
      <c r="QJM529" s="501"/>
      <c r="QJN529" s="501"/>
      <c r="QJO529" s="501"/>
      <c r="QJP529" s="501"/>
      <c r="QJQ529" s="501"/>
      <c r="QJR529" s="501"/>
      <c r="QJS529" s="501"/>
      <c r="QJT529" s="501"/>
      <c r="QJU529" s="501"/>
      <c r="QJV529" s="501"/>
      <c r="QJW529" s="501"/>
      <c r="QJX529" s="501"/>
      <c r="QJY529" s="501"/>
      <c r="QJZ529" s="501"/>
      <c r="QKA529" s="501"/>
      <c r="QKB529" s="501"/>
      <c r="QKC529" s="501"/>
      <c r="QKD529" s="501"/>
      <c r="QKE529" s="501"/>
      <c r="QKF529" s="501"/>
      <c r="QKG529" s="501"/>
      <c r="QKH529" s="501"/>
      <c r="QKI529" s="501"/>
      <c r="QKJ529" s="501"/>
      <c r="QKK529" s="501"/>
      <c r="QKL529" s="501"/>
      <c r="QKM529" s="501"/>
      <c r="QKN529" s="501"/>
      <c r="QKO529" s="501"/>
      <c r="QKP529" s="501"/>
      <c r="QKQ529" s="501"/>
      <c r="QKR529" s="501"/>
      <c r="QKS529" s="501"/>
      <c r="QKT529" s="501"/>
      <c r="QKU529" s="501"/>
      <c r="QKV529" s="501"/>
      <c r="QKW529" s="501"/>
      <c r="QKX529" s="501"/>
      <c r="QKY529" s="501"/>
      <c r="QKZ529" s="501"/>
      <c r="QLA529" s="501"/>
      <c r="QLB529" s="501"/>
      <c r="QLC529" s="501"/>
      <c r="QLD529" s="501"/>
      <c r="QLE529" s="501"/>
      <c r="QLF529" s="501"/>
      <c r="QLG529" s="501"/>
      <c r="QLH529" s="501"/>
      <c r="QLI529" s="501"/>
      <c r="QLJ529" s="501"/>
      <c r="QLK529" s="501"/>
      <c r="QLL529" s="501"/>
      <c r="QLM529" s="501"/>
      <c r="QLN529" s="501"/>
      <c r="QLO529" s="501"/>
      <c r="QLP529" s="501"/>
      <c r="QLQ529" s="501"/>
      <c r="QLR529" s="501"/>
      <c r="QLS529" s="501"/>
      <c r="QLT529" s="501"/>
      <c r="QLU529" s="501"/>
      <c r="QLV529" s="501"/>
      <c r="QLW529" s="501"/>
      <c r="QLX529" s="501"/>
      <c r="QLY529" s="501"/>
      <c r="QLZ529" s="501"/>
      <c r="QMA529" s="501"/>
      <c r="QMB529" s="501"/>
      <c r="QMC529" s="501"/>
      <c r="QMD529" s="501"/>
      <c r="QME529" s="501"/>
      <c r="QMF529" s="501"/>
      <c r="QMG529" s="501"/>
      <c r="QMH529" s="501"/>
      <c r="QMI529" s="501"/>
      <c r="QMJ529" s="501"/>
      <c r="QMK529" s="501"/>
      <c r="QML529" s="501"/>
      <c r="QMM529" s="501"/>
      <c r="QMN529" s="501"/>
      <c r="QMO529" s="501"/>
      <c r="QMP529" s="501"/>
      <c r="QMQ529" s="501"/>
      <c r="QMR529" s="501"/>
      <c r="QMS529" s="501"/>
      <c r="QMT529" s="501"/>
      <c r="QMU529" s="501"/>
      <c r="QMV529" s="501"/>
      <c r="QMW529" s="501"/>
      <c r="QMX529" s="501"/>
      <c r="QMY529" s="501"/>
      <c r="QMZ529" s="501"/>
      <c r="QNA529" s="501"/>
      <c r="QNB529" s="501"/>
      <c r="QNC529" s="501"/>
      <c r="QND529" s="501"/>
      <c r="QNE529" s="501"/>
      <c r="QNF529" s="501"/>
      <c r="QNG529" s="501"/>
      <c r="QNH529" s="501"/>
      <c r="QNI529" s="501"/>
      <c r="QNJ529" s="501"/>
      <c r="QNK529" s="501"/>
      <c r="QNL529" s="501"/>
      <c r="QNM529" s="501"/>
      <c r="QNN529" s="501"/>
      <c r="QNO529" s="501"/>
      <c r="QNP529" s="501"/>
      <c r="QNQ529" s="501"/>
      <c r="QNR529" s="501"/>
      <c r="QNS529" s="501"/>
      <c r="QNT529" s="501"/>
      <c r="QNU529" s="501"/>
      <c r="QNV529" s="501"/>
      <c r="QNW529" s="501"/>
      <c r="QNX529" s="501"/>
      <c r="QNY529" s="501"/>
      <c r="QNZ529" s="501"/>
      <c r="QOA529" s="501"/>
      <c r="QOB529" s="501"/>
      <c r="QOC529" s="501"/>
      <c r="QOD529" s="501"/>
      <c r="QOE529" s="501"/>
      <c r="QOF529" s="501"/>
      <c r="QOG529" s="501"/>
      <c r="QOH529" s="501"/>
      <c r="QOI529" s="501"/>
      <c r="QOJ529" s="501"/>
      <c r="QOK529" s="501"/>
      <c r="QOL529" s="501"/>
      <c r="QOM529" s="501"/>
      <c r="QON529" s="501"/>
      <c r="QOO529" s="501"/>
      <c r="QOP529" s="501"/>
      <c r="QOQ529" s="501"/>
      <c r="QOR529" s="501"/>
      <c r="QOS529" s="501"/>
      <c r="QOT529" s="501"/>
      <c r="QOU529" s="501"/>
      <c r="QOV529" s="501"/>
      <c r="QOW529" s="501"/>
      <c r="QOX529" s="501"/>
      <c r="QOY529" s="501"/>
      <c r="QOZ529" s="501"/>
      <c r="QPA529" s="501"/>
      <c r="QPB529" s="501"/>
      <c r="QPC529" s="501"/>
      <c r="QPD529" s="501"/>
      <c r="QPE529" s="501"/>
      <c r="QPF529" s="501"/>
      <c r="QPG529" s="501"/>
      <c r="QPH529" s="501"/>
      <c r="QPI529" s="501"/>
      <c r="QPJ529" s="501"/>
      <c r="QPK529" s="501"/>
      <c r="QPL529" s="501"/>
      <c r="QPM529" s="501"/>
      <c r="QPN529" s="501"/>
      <c r="QPO529" s="501"/>
      <c r="QPP529" s="501"/>
      <c r="QPQ529" s="501"/>
      <c r="QPR529" s="501"/>
      <c r="QPS529" s="501"/>
      <c r="QPT529" s="501"/>
      <c r="QPU529" s="501"/>
      <c r="QPV529" s="501"/>
      <c r="QPW529" s="501"/>
      <c r="QPX529" s="501"/>
      <c r="QPY529" s="501"/>
      <c r="QPZ529" s="501"/>
      <c r="QQA529" s="501"/>
      <c r="QQB529" s="501"/>
      <c r="QQC529" s="501"/>
      <c r="QQD529" s="501"/>
      <c r="QQE529" s="501"/>
      <c r="QQF529" s="501"/>
      <c r="QQG529" s="501"/>
      <c r="QQH529" s="501"/>
      <c r="QQI529" s="501"/>
      <c r="QQJ529" s="501"/>
      <c r="QQK529" s="501"/>
      <c r="QQL529" s="501"/>
      <c r="QQM529" s="501"/>
      <c r="QQN529" s="501"/>
      <c r="QQO529" s="501"/>
      <c r="QQP529" s="501"/>
      <c r="QQQ529" s="501"/>
      <c r="QQR529" s="501"/>
      <c r="QQS529" s="501"/>
      <c r="QQT529" s="501"/>
      <c r="QQU529" s="501"/>
      <c r="QQV529" s="501"/>
      <c r="QQW529" s="501"/>
      <c r="QQX529" s="501"/>
      <c r="QQY529" s="501"/>
      <c r="QQZ529" s="501"/>
      <c r="QRA529" s="501"/>
      <c r="QRB529" s="501"/>
      <c r="QRC529" s="501"/>
      <c r="QRD529" s="501"/>
      <c r="QRE529" s="501"/>
      <c r="QRF529" s="501"/>
      <c r="QRG529" s="501"/>
      <c r="QRH529" s="501"/>
      <c r="QRI529" s="501"/>
      <c r="QRJ529" s="501"/>
      <c r="QRK529" s="501"/>
      <c r="QRL529" s="501"/>
      <c r="QRM529" s="501"/>
      <c r="QRN529" s="501"/>
      <c r="QRO529" s="501"/>
      <c r="QRP529" s="501"/>
      <c r="QRQ529" s="501"/>
      <c r="QRR529" s="501"/>
      <c r="QRS529" s="501"/>
      <c r="QRT529" s="501"/>
      <c r="QRU529" s="501"/>
      <c r="QRV529" s="501"/>
      <c r="QRW529" s="501"/>
      <c r="QRX529" s="501"/>
      <c r="QRY529" s="501"/>
      <c r="QRZ529" s="501"/>
      <c r="QSA529" s="501"/>
      <c r="QSB529" s="501"/>
      <c r="QSC529" s="501"/>
      <c r="QSD529" s="501"/>
      <c r="QSE529" s="501"/>
      <c r="QSF529" s="501"/>
      <c r="QSG529" s="501"/>
      <c r="QSH529" s="501"/>
      <c r="QSI529" s="501"/>
      <c r="QSJ529" s="501"/>
      <c r="QSK529" s="501"/>
      <c r="QSL529" s="501"/>
      <c r="QSM529" s="501"/>
      <c r="QSN529" s="501"/>
      <c r="QSO529" s="501"/>
      <c r="QSP529" s="501"/>
      <c r="QSQ529" s="501"/>
      <c r="QSR529" s="501"/>
      <c r="QSS529" s="501"/>
      <c r="QST529" s="501"/>
      <c r="QSU529" s="501"/>
      <c r="QSV529" s="501"/>
      <c r="QSW529" s="501"/>
      <c r="QSX529" s="501"/>
      <c r="QSY529" s="501"/>
      <c r="QSZ529" s="501"/>
      <c r="QTA529" s="501"/>
      <c r="QTB529" s="501"/>
      <c r="QTC529" s="501"/>
      <c r="QTD529" s="501"/>
      <c r="QTE529" s="501"/>
      <c r="QTF529" s="501"/>
      <c r="QTG529" s="501"/>
      <c r="QTH529" s="501"/>
      <c r="QTI529" s="501"/>
      <c r="QTJ529" s="501"/>
      <c r="QTK529" s="501"/>
      <c r="QTL529" s="501"/>
      <c r="QTM529" s="501"/>
      <c r="QTN529" s="501"/>
      <c r="QTO529" s="501"/>
      <c r="QTP529" s="501"/>
      <c r="QTQ529" s="501"/>
      <c r="QTR529" s="501"/>
      <c r="QTS529" s="501"/>
      <c r="QTT529" s="501"/>
      <c r="QTU529" s="501"/>
      <c r="QTV529" s="501"/>
      <c r="QTW529" s="501"/>
      <c r="QTX529" s="501"/>
      <c r="QTY529" s="501"/>
      <c r="QTZ529" s="501"/>
      <c r="QUA529" s="501"/>
      <c r="QUB529" s="501"/>
      <c r="QUC529" s="501"/>
      <c r="QUD529" s="501"/>
      <c r="QUE529" s="501"/>
      <c r="QUF529" s="501"/>
      <c r="QUG529" s="501"/>
      <c r="QUH529" s="501"/>
      <c r="QUI529" s="501"/>
      <c r="QUJ529" s="501"/>
      <c r="QUK529" s="501"/>
      <c r="QUL529" s="501"/>
      <c r="QUM529" s="501"/>
      <c r="QUN529" s="501"/>
      <c r="QUO529" s="501"/>
      <c r="QUP529" s="501"/>
      <c r="QUQ529" s="501"/>
      <c r="QUR529" s="501"/>
      <c r="QUS529" s="501"/>
      <c r="QUT529" s="501"/>
      <c r="QUU529" s="501"/>
      <c r="QUV529" s="501"/>
      <c r="QUW529" s="501"/>
      <c r="QUX529" s="501"/>
      <c r="QUY529" s="501"/>
      <c r="QUZ529" s="501"/>
      <c r="QVA529" s="501"/>
      <c r="QVB529" s="501"/>
      <c r="QVC529" s="501"/>
      <c r="QVD529" s="501"/>
      <c r="QVE529" s="501"/>
      <c r="QVF529" s="501"/>
      <c r="QVG529" s="501"/>
      <c r="QVH529" s="501"/>
      <c r="QVI529" s="501"/>
      <c r="QVJ529" s="501"/>
      <c r="QVK529" s="501"/>
      <c r="QVL529" s="501"/>
      <c r="QVM529" s="501"/>
      <c r="QVN529" s="501"/>
      <c r="QVO529" s="501"/>
      <c r="QVP529" s="501"/>
      <c r="QVQ529" s="501"/>
      <c r="QVR529" s="501"/>
      <c r="QVS529" s="501"/>
      <c r="QVT529" s="501"/>
      <c r="QVU529" s="501"/>
      <c r="QVV529" s="501"/>
      <c r="QVW529" s="501"/>
      <c r="QVX529" s="501"/>
      <c r="QVY529" s="501"/>
      <c r="QVZ529" s="501"/>
      <c r="QWA529" s="501"/>
      <c r="QWB529" s="501"/>
      <c r="QWC529" s="501"/>
      <c r="QWD529" s="501"/>
      <c r="QWE529" s="501"/>
      <c r="QWF529" s="501"/>
      <c r="QWG529" s="501"/>
      <c r="QWH529" s="501"/>
      <c r="QWI529" s="501"/>
      <c r="QWJ529" s="501"/>
      <c r="QWK529" s="501"/>
      <c r="QWL529" s="501"/>
      <c r="QWM529" s="501"/>
      <c r="QWN529" s="501"/>
      <c r="QWO529" s="501"/>
      <c r="QWP529" s="501"/>
      <c r="QWQ529" s="501"/>
      <c r="QWR529" s="501"/>
      <c r="QWS529" s="501"/>
      <c r="QWT529" s="501"/>
      <c r="QWU529" s="501"/>
      <c r="QWV529" s="501"/>
      <c r="QWW529" s="501"/>
      <c r="QWX529" s="501"/>
      <c r="QWY529" s="501"/>
      <c r="QWZ529" s="501"/>
      <c r="QXA529" s="501"/>
      <c r="QXB529" s="501"/>
      <c r="QXC529" s="501"/>
      <c r="QXD529" s="501"/>
      <c r="QXE529" s="501"/>
      <c r="QXF529" s="501"/>
      <c r="QXG529" s="501"/>
      <c r="QXH529" s="501"/>
      <c r="QXI529" s="501"/>
      <c r="QXJ529" s="501"/>
      <c r="QXK529" s="501"/>
      <c r="QXL529" s="501"/>
      <c r="QXM529" s="501"/>
      <c r="QXN529" s="501"/>
      <c r="QXO529" s="501"/>
      <c r="QXP529" s="501"/>
      <c r="QXQ529" s="501"/>
      <c r="QXR529" s="501"/>
      <c r="QXS529" s="501"/>
      <c r="QXT529" s="501"/>
      <c r="QXU529" s="501"/>
      <c r="QXV529" s="501"/>
      <c r="QXW529" s="501"/>
      <c r="QXX529" s="501"/>
      <c r="QXY529" s="501"/>
      <c r="QXZ529" s="501"/>
      <c r="QYA529" s="501"/>
      <c r="QYB529" s="501"/>
      <c r="QYC529" s="501"/>
      <c r="QYD529" s="501"/>
      <c r="QYE529" s="501"/>
      <c r="QYF529" s="501"/>
      <c r="QYG529" s="501"/>
      <c r="QYH529" s="501"/>
      <c r="QYI529" s="501"/>
      <c r="QYJ529" s="501"/>
      <c r="QYK529" s="501"/>
      <c r="QYL529" s="501"/>
      <c r="QYM529" s="501"/>
      <c r="QYN529" s="501"/>
      <c r="QYO529" s="501"/>
      <c r="QYP529" s="501"/>
      <c r="QYQ529" s="501"/>
      <c r="QYR529" s="501"/>
      <c r="QYS529" s="501"/>
      <c r="QYT529" s="501"/>
      <c r="QYU529" s="501"/>
      <c r="QYV529" s="501"/>
      <c r="QYW529" s="501"/>
      <c r="QYX529" s="501"/>
      <c r="QYY529" s="501"/>
      <c r="QYZ529" s="501"/>
      <c r="QZA529" s="501"/>
      <c r="QZB529" s="501"/>
      <c r="QZC529" s="501"/>
      <c r="QZD529" s="501"/>
      <c r="QZE529" s="501"/>
      <c r="QZF529" s="501"/>
      <c r="QZG529" s="501"/>
      <c r="QZH529" s="501"/>
      <c r="QZI529" s="501"/>
      <c r="QZJ529" s="501"/>
      <c r="QZK529" s="501"/>
      <c r="QZL529" s="501"/>
      <c r="QZM529" s="501"/>
      <c r="QZN529" s="501"/>
      <c r="QZO529" s="501"/>
      <c r="QZP529" s="501"/>
      <c r="QZQ529" s="501"/>
      <c r="QZR529" s="501"/>
      <c r="QZS529" s="501"/>
      <c r="QZT529" s="501"/>
      <c r="QZU529" s="501"/>
      <c r="QZV529" s="501"/>
      <c r="QZW529" s="501"/>
      <c r="QZX529" s="501"/>
      <c r="QZY529" s="501"/>
      <c r="QZZ529" s="501"/>
      <c r="RAA529" s="501"/>
      <c r="RAB529" s="501"/>
      <c r="RAC529" s="501"/>
      <c r="RAD529" s="501"/>
      <c r="RAE529" s="501"/>
      <c r="RAF529" s="501"/>
      <c r="RAG529" s="501"/>
      <c r="RAH529" s="501"/>
      <c r="RAI529" s="501"/>
      <c r="RAJ529" s="501"/>
      <c r="RAK529" s="501"/>
      <c r="RAL529" s="501"/>
      <c r="RAM529" s="501"/>
      <c r="RAN529" s="501"/>
      <c r="RAO529" s="501"/>
      <c r="RAP529" s="501"/>
      <c r="RAQ529" s="501"/>
      <c r="RAR529" s="501"/>
      <c r="RAS529" s="501"/>
      <c r="RAT529" s="501"/>
      <c r="RAU529" s="501"/>
      <c r="RAV529" s="501"/>
      <c r="RAW529" s="501"/>
      <c r="RAX529" s="501"/>
      <c r="RAY529" s="501"/>
      <c r="RAZ529" s="501"/>
      <c r="RBA529" s="501"/>
      <c r="RBB529" s="501"/>
      <c r="RBC529" s="501"/>
      <c r="RBD529" s="501"/>
      <c r="RBE529" s="501"/>
      <c r="RBF529" s="501"/>
      <c r="RBG529" s="501"/>
      <c r="RBH529" s="501"/>
      <c r="RBI529" s="501"/>
      <c r="RBJ529" s="501"/>
      <c r="RBK529" s="501"/>
      <c r="RBL529" s="501"/>
      <c r="RBM529" s="501"/>
      <c r="RBN529" s="501"/>
      <c r="RBO529" s="501"/>
      <c r="RBP529" s="501"/>
      <c r="RBQ529" s="501"/>
      <c r="RBR529" s="501"/>
      <c r="RBS529" s="501"/>
      <c r="RBT529" s="501"/>
      <c r="RBU529" s="501"/>
      <c r="RBV529" s="501"/>
      <c r="RBW529" s="501"/>
      <c r="RBX529" s="501"/>
      <c r="RBY529" s="501"/>
      <c r="RBZ529" s="501"/>
      <c r="RCA529" s="501"/>
      <c r="RCB529" s="501"/>
      <c r="RCC529" s="501"/>
      <c r="RCD529" s="501"/>
      <c r="RCE529" s="501"/>
      <c r="RCF529" s="501"/>
      <c r="RCG529" s="501"/>
      <c r="RCH529" s="501"/>
      <c r="RCI529" s="501"/>
      <c r="RCJ529" s="501"/>
      <c r="RCK529" s="501"/>
      <c r="RCL529" s="501"/>
      <c r="RCM529" s="501"/>
      <c r="RCN529" s="501"/>
      <c r="RCO529" s="501"/>
      <c r="RCP529" s="501"/>
      <c r="RCQ529" s="501"/>
      <c r="RCR529" s="501"/>
      <c r="RCS529" s="501"/>
      <c r="RCT529" s="501"/>
      <c r="RCU529" s="501"/>
      <c r="RCV529" s="501"/>
      <c r="RCW529" s="501"/>
      <c r="RCX529" s="501"/>
      <c r="RCY529" s="501"/>
      <c r="RCZ529" s="501"/>
      <c r="RDA529" s="501"/>
      <c r="RDB529" s="501"/>
      <c r="RDC529" s="501"/>
      <c r="RDD529" s="501"/>
      <c r="RDE529" s="501"/>
      <c r="RDF529" s="501"/>
      <c r="RDG529" s="501"/>
      <c r="RDH529" s="501"/>
      <c r="RDI529" s="501"/>
      <c r="RDJ529" s="501"/>
      <c r="RDK529" s="501"/>
      <c r="RDL529" s="501"/>
      <c r="RDM529" s="501"/>
      <c r="RDN529" s="501"/>
      <c r="RDO529" s="501"/>
      <c r="RDP529" s="501"/>
      <c r="RDQ529" s="501"/>
      <c r="RDR529" s="501"/>
      <c r="RDS529" s="501"/>
      <c r="RDT529" s="501"/>
      <c r="RDU529" s="501"/>
      <c r="RDV529" s="501"/>
      <c r="RDW529" s="501"/>
      <c r="RDX529" s="501"/>
      <c r="RDY529" s="501"/>
      <c r="RDZ529" s="501"/>
      <c r="REA529" s="501"/>
      <c r="REB529" s="501"/>
      <c r="REC529" s="501"/>
      <c r="RED529" s="501"/>
      <c r="REE529" s="501"/>
      <c r="REF529" s="501"/>
      <c r="REG529" s="501"/>
      <c r="REH529" s="501"/>
      <c r="REI529" s="501"/>
      <c r="REJ529" s="501"/>
      <c r="REK529" s="501"/>
      <c r="REL529" s="501"/>
      <c r="REM529" s="501"/>
      <c r="REN529" s="501"/>
      <c r="REO529" s="501"/>
      <c r="REP529" s="501"/>
      <c r="REQ529" s="501"/>
      <c r="RER529" s="501"/>
      <c r="RES529" s="501"/>
      <c r="RET529" s="501"/>
      <c r="REU529" s="501"/>
      <c r="REV529" s="501"/>
      <c r="REW529" s="501"/>
      <c r="REX529" s="501"/>
      <c r="REY529" s="501"/>
      <c r="REZ529" s="501"/>
      <c r="RFA529" s="501"/>
      <c r="RFB529" s="501"/>
      <c r="RFC529" s="501"/>
      <c r="RFD529" s="501"/>
      <c r="RFE529" s="501"/>
      <c r="RFF529" s="501"/>
      <c r="RFG529" s="501"/>
      <c r="RFH529" s="501"/>
      <c r="RFI529" s="501"/>
      <c r="RFJ529" s="501"/>
      <c r="RFK529" s="501"/>
      <c r="RFL529" s="501"/>
      <c r="RFM529" s="501"/>
      <c r="RFN529" s="501"/>
      <c r="RFO529" s="501"/>
      <c r="RFP529" s="501"/>
      <c r="RFQ529" s="501"/>
      <c r="RFR529" s="501"/>
      <c r="RFS529" s="501"/>
      <c r="RFT529" s="501"/>
      <c r="RFU529" s="501"/>
      <c r="RFV529" s="501"/>
      <c r="RFW529" s="501"/>
      <c r="RFX529" s="501"/>
      <c r="RFY529" s="501"/>
      <c r="RFZ529" s="501"/>
      <c r="RGA529" s="501"/>
      <c r="RGB529" s="501"/>
      <c r="RGC529" s="501"/>
      <c r="RGD529" s="501"/>
      <c r="RGE529" s="501"/>
      <c r="RGF529" s="501"/>
      <c r="RGG529" s="501"/>
      <c r="RGH529" s="501"/>
      <c r="RGI529" s="501"/>
      <c r="RGJ529" s="501"/>
      <c r="RGK529" s="501"/>
      <c r="RGL529" s="501"/>
      <c r="RGM529" s="501"/>
      <c r="RGN529" s="501"/>
      <c r="RGO529" s="501"/>
      <c r="RGP529" s="501"/>
      <c r="RGQ529" s="501"/>
      <c r="RGR529" s="501"/>
      <c r="RGS529" s="501"/>
      <c r="RGT529" s="501"/>
      <c r="RGU529" s="501"/>
      <c r="RGV529" s="501"/>
      <c r="RGW529" s="501"/>
      <c r="RGX529" s="501"/>
      <c r="RGY529" s="501"/>
      <c r="RGZ529" s="501"/>
      <c r="RHA529" s="501"/>
      <c r="RHB529" s="501"/>
      <c r="RHC529" s="501"/>
      <c r="RHD529" s="501"/>
      <c r="RHE529" s="501"/>
      <c r="RHF529" s="501"/>
      <c r="RHG529" s="501"/>
      <c r="RHH529" s="501"/>
      <c r="RHI529" s="501"/>
      <c r="RHJ529" s="501"/>
      <c r="RHK529" s="501"/>
      <c r="RHL529" s="501"/>
      <c r="RHM529" s="501"/>
      <c r="RHN529" s="501"/>
      <c r="RHO529" s="501"/>
      <c r="RHP529" s="501"/>
      <c r="RHQ529" s="501"/>
      <c r="RHR529" s="501"/>
      <c r="RHS529" s="501"/>
      <c r="RHT529" s="501"/>
      <c r="RHU529" s="501"/>
      <c r="RHV529" s="501"/>
      <c r="RHW529" s="501"/>
      <c r="RHX529" s="501"/>
      <c r="RHY529" s="501"/>
      <c r="RHZ529" s="501"/>
      <c r="RIA529" s="501"/>
      <c r="RIB529" s="501"/>
      <c r="RIC529" s="501"/>
      <c r="RID529" s="501"/>
      <c r="RIE529" s="501"/>
      <c r="RIF529" s="501"/>
      <c r="RIG529" s="501"/>
      <c r="RIH529" s="501"/>
      <c r="RII529" s="501"/>
      <c r="RIJ529" s="501"/>
      <c r="RIK529" s="501"/>
      <c r="RIL529" s="501"/>
      <c r="RIM529" s="501"/>
      <c r="RIN529" s="501"/>
      <c r="RIO529" s="501"/>
      <c r="RIP529" s="501"/>
      <c r="RIQ529" s="501"/>
      <c r="RIR529" s="501"/>
      <c r="RIS529" s="501"/>
      <c r="RIT529" s="501"/>
      <c r="RIU529" s="501"/>
      <c r="RIV529" s="501"/>
      <c r="RIW529" s="501"/>
      <c r="RIX529" s="501"/>
      <c r="RIY529" s="501"/>
      <c r="RIZ529" s="501"/>
      <c r="RJA529" s="501"/>
      <c r="RJB529" s="501"/>
      <c r="RJC529" s="501"/>
      <c r="RJD529" s="501"/>
      <c r="RJE529" s="501"/>
      <c r="RJF529" s="501"/>
      <c r="RJG529" s="501"/>
      <c r="RJH529" s="501"/>
      <c r="RJI529" s="501"/>
      <c r="RJJ529" s="501"/>
      <c r="RJK529" s="501"/>
      <c r="RJL529" s="501"/>
      <c r="RJM529" s="501"/>
      <c r="RJN529" s="501"/>
      <c r="RJO529" s="501"/>
      <c r="RJP529" s="501"/>
      <c r="RJQ529" s="501"/>
      <c r="RJR529" s="501"/>
      <c r="RJS529" s="501"/>
      <c r="RJT529" s="501"/>
      <c r="RJU529" s="501"/>
      <c r="RJV529" s="501"/>
      <c r="RJW529" s="501"/>
      <c r="RJX529" s="501"/>
      <c r="RJY529" s="501"/>
      <c r="RJZ529" s="501"/>
      <c r="RKA529" s="501"/>
      <c r="RKB529" s="501"/>
      <c r="RKC529" s="501"/>
      <c r="RKD529" s="501"/>
      <c r="RKE529" s="501"/>
      <c r="RKF529" s="501"/>
      <c r="RKG529" s="501"/>
      <c r="RKH529" s="501"/>
      <c r="RKI529" s="501"/>
      <c r="RKJ529" s="501"/>
      <c r="RKK529" s="501"/>
      <c r="RKL529" s="501"/>
      <c r="RKM529" s="501"/>
      <c r="RKN529" s="501"/>
      <c r="RKO529" s="501"/>
      <c r="RKP529" s="501"/>
      <c r="RKQ529" s="501"/>
      <c r="RKR529" s="501"/>
      <c r="RKS529" s="501"/>
      <c r="RKT529" s="501"/>
      <c r="RKU529" s="501"/>
      <c r="RKV529" s="501"/>
      <c r="RKW529" s="501"/>
      <c r="RKX529" s="501"/>
      <c r="RKY529" s="501"/>
      <c r="RKZ529" s="501"/>
      <c r="RLA529" s="501"/>
      <c r="RLB529" s="501"/>
      <c r="RLC529" s="501"/>
      <c r="RLD529" s="501"/>
      <c r="RLE529" s="501"/>
      <c r="RLF529" s="501"/>
      <c r="RLG529" s="501"/>
      <c r="RLH529" s="501"/>
      <c r="RLI529" s="501"/>
      <c r="RLJ529" s="501"/>
      <c r="RLK529" s="501"/>
      <c r="RLL529" s="501"/>
      <c r="RLM529" s="501"/>
      <c r="RLN529" s="501"/>
      <c r="RLO529" s="501"/>
      <c r="RLP529" s="501"/>
      <c r="RLQ529" s="501"/>
      <c r="RLR529" s="501"/>
      <c r="RLS529" s="501"/>
      <c r="RLT529" s="501"/>
      <c r="RLU529" s="501"/>
      <c r="RLV529" s="501"/>
      <c r="RLW529" s="501"/>
      <c r="RLX529" s="501"/>
      <c r="RLY529" s="501"/>
      <c r="RLZ529" s="501"/>
      <c r="RMA529" s="501"/>
      <c r="RMB529" s="501"/>
      <c r="RMC529" s="501"/>
      <c r="RMD529" s="501"/>
      <c r="RME529" s="501"/>
      <c r="RMF529" s="501"/>
      <c r="RMG529" s="501"/>
      <c r="RMH529" s="501"/>
      <c r="RMI529" s="501"/>
      <c r="RMJ529" s="501"/>
      <c r="RMK529" s="501"/>
      <c r="RML529" s="501"/>
      <c r="RMM529" s="501"/>
      <c r="RMN529" s="501"/>
      <c r="RMO529" s="501"/>
      <c r="RMP529" s="501"/>
      <c r="RMQ529" s="501"/>
      <c r="RMR529" s="501"/>
      <c r="RMS529" s="501"/>
      <c r="RMT529" s="501"/>
      <c r="RMU529" s="501"/>
      <c r="RMV529" s="501"/>
      <c r="RMW529" s="501"/>
      <c r="RMX529" s="501"/>
      <c r="RMY529" s="501"/>
      <c r="RMZ529" s="501"/>
      <c r="RNA529" s="501"/>
      <c r="RNB529" s="501"/>
      <c r="RNC529" s="501"/>
      <c r="RND529" s="501"/>
      <c r="RNE529" s="501"/>
      <c r="RNF529" s="501"/>
      <c r="RNG529" s="501"/>
      <c r="RNH529" s="501"/>
      <c r="RNI529" s="501"/>
      <c r="RNJ529" s="501"/>
      <c r="RNK529" s="501"/>
      <c r="RNL529" s="501"/>
      <c r="RNM529" s="501"/>
      <c r="RNN529" s="501"/>
      <c r="RNO529" s="501"/>
      <c r="RNP529" s="501"/>
      <c r="RNQ529" s="501"/>
      <c r="RNR529" s="501"/>
      <c r="RNS529" s="501"/>
      <c r="RNT529" s="501"/>
      <c r="RNU529" s="501"/>
      <c r="RNV529" s="501"/>
      <c r="RNW529" s="501"/>
      <c r="RNX529" s="501"/>
      <c r="RNY529" s="501"/>
      <c r="RNZ529" s="501"/>
      <c r="ROA529" s="501"/>
      <c r="ROB529" s="501"/>
      <c r="ROC529" s="501"/>
      <c r="ROD529" s="501"/>
      <c r="ROE529" s="501"/>
      <c r="ROF529" s="501"/>
      <c r="ROG529" s="501"/>
      <c r="ROH529" s="501"/>
      <c r="ROI529" s="501"/>
      <c r="ROJ529" s="501"/>
      <c r="ROK529" s="501"/>
      <c r="ROL529" s="501"/>
      <c r="ROM529" s="501"/>
      <c r="RON529" s="501"/>
      <c r="ROO529" s="501"/>
      <c r="ROP529" s="501"/>
      <c r="ROQ529" s="501"/>
      <c r="ROR529" s="501"/>
      <c r="ROS529" s="501"/>
      <c r="ROT529" s="501"/>
      <c r="ROU529" s="501"/>
      <c r="ROV529" s="501"/>
      <c r="ROW529" s="501"/>
      <c r="ROX529" s="501"/>
      <c r="ROY529" s="501"/>
      <c r="ROZ529" s="501"/>
      <c r="RPA529" s="501"/>
      <c r="RPB529" s="501"/>
      <c r="RPC529" s="501"/>
      <c r="RPD529" s="501"/>
      <c r="RPE529" s="501"/>
      <c r="RPF529" s="501"/>
      <c r="RPG529" s="501"/>
      <c r="RPH529" s="501"/>
      <c r="RPI529" s="501"/>
      <c r="RPJ529" s="501"/>
      <c r="RPK529" s="501"/>
      <c r="RPL529" s="501"/>
      <c r="RPM529" s="501"/>
      <c r="RPN529" s="501"/>
      <c r="RPO529" s="501"/>
      <c r="RPP529" s="501"/>
      <c r="RPQ529" s="501"/>
      <c r="RPR529" s="501"/>
      <c r="RPS529" s="501"/>
      <c r="RPT529" s="501"/>
      <c r="RPU529" s="501"/>
      <c r="RPV529" s="501"/>
      <c r="RPW529" s="501"/>
      <c r="RPX529" s="501"/>
      <c r="RPY529" s="501"/>
      <c r="RPZ529" s="501"/>
      <c r="RQA529" s="501"/>
      <c r="RQB529" s="501"/>
      <c r="RQC529" s="501"/>
      <c r="RQD529" s="501"/>
      <c r="RQE529" s="501"/>
      <c r="RQF529" s="501"/>
      <c r="RQG529" s="501"/>
      <c r="RQH529" s="501"/>
      <c r="RQI529" s="501"/>
      <c r="RQJ529" s="501"/>
      <c r="RQK529" s="501"/>
      <c r="RQL529" s="501"/>
      <c r="RQM529" s="501"/>
      <c r="RQN529" s="501"/>
      <c r="RQO529" s="501"/>
      <c r="RQP529" s="501"/>
      <c r="RQQ529" s="501"/>
      <c r="RQR529" s="501"/>
      <c r="RQS529" s="501"/>
      <c r="RQT529" s="501"/>
      <c r="RQU529" s="501"/>
      <c r="RQV529" s="501"/>
      <c r="RQW529" s="501"/>
      <c r="RQX529" s="501"/>
      <c r="RQY529" s="501"/>
      <c r="RQZ529" s="501"/>
      <c r="RRA529" s="501"/>
      <c r="RRB529" s="501"/>
      <c r="RRC529" s="501"/>
      <c r="RRD529" s="501"/>
      <c r="RRE529" s="501"/>
      <c r="RRF529" s="501"/>
      <c r="RRG529" s="501"/>
      <c r="RRH529" s="501"/>
      <c r="RRI529" s="501"/>
      <c r="RRJ529" s="501"/>
      <c r="RRK529" s="501"/>
      <c r="RRL529" s="501"/>
      <c r="RRM529" s="501"/>
      <c r="RRN529" s="501"/>
      <c r="RRO529" s="501"/>
      <c r="RRP529" s="501"/>
      <c r="RRQ529" s="501"/>
      <c r="RRR529" s="501"/>
      <c r="RRS529" s="501"/>
      <c r="RRT529" s="501"/>
      <c r="RRU529" s="501"/>
      <c r="RRV529" s="501"/>
      <c r="RRW529" s="501"/>
      <c r="RRX529" s="501"/>
      <c r="RRY529" s="501"/>
      <c r="RRZ529" s="501"/>
      <c r="RSA529" s="501"/>
      <c r="RSB529" s="501"/>
      <c r="RSC529" s="501"/>
      <c r="RSD529" s="501"/>
      <c r="RSE529" s="501"/>
      <c r="RSF529" s="501"/>
      <c r="RSG529" s="501"/>
      <c r="RSH529" s="501"/>
      <c r="RSI529" s="501"/>
      <c r="RSJ529" s="501"/>
      <c r="RSK529" s="501"/>
      <c r="RSL529" s="501"/>
      <c r="RSM529" s="501"/>
      <c r="RSN529" s="501"/>
      <c r="RSO529" s="501"/>
      <c r="RSP529" s="501"/>
      <c r="RSQ529" s="501"/>
      <c r="RSR529" s="501"/>
      <c r="RSS529" s="501"/>
      <c r="RST529" s="501"/>
      <c r="RSU529" s="501"/>
      <c r="RSV529" s="501"/>
      <c r="RSW529" s="501"/>
      <c r="RSX529" s="501"/>
      <c r="RSY529" s="501"/>
      <c r="RSZ529" s="501"/>
      <c r="RTA529" s="501"/>
      <c r="RTB529" s="501"/>
      <c r="RTC529" s="501"/>
      <c r="RTD529" s="501"/>
      <c r="RTE529" s="501"/>
      <c r="RTF529" s="501"/>
      <c r="RTG529" s="501"/>
      <c r="RTH529" s="501"/>
      <c r="RTI529" s="501"/>
      <c r="RTJ529" s="501"/>
      <c r="RTK529" s="501"/>
      <c r="RTL529" s="501"/>
      <c r="RTM529" s="501"/>
      <c r="RTN529" s="501"/>
      <c r="RTO529" s="501"/>
      <c r="RTP529" s="501"/>
      <c r="RTQ529" s="501"/>
      <c r="RTR529" s="501"/>
      <c r="RTS529" s="501"/>
      <c r="RTT529" s="501"/>
      <c r="RTU529" s="501"/>
      <c r="RTV529" s="501"/>
      <c r="RTW529" s="501"/>
      <c r="RTX529" s="501"/>
      <c r="RTY529" s="501"/>
      <c r="RTZ529" s="501"/>
      <c r="RUA529" s="501"/>
      <c r="RUB529" s="501"/>
      <c r="RUC529" s="501"/>
      <c r="RUD529" s="501"/>
      <c r="RUE529" s="501"/>
      <c r="RUF529" s="501"/>
      <c r="RUG529" s="501"/>
      <c r="RUH529" s="501"/>
      <c r="RUI529" s="501"/>
      <c r="RUJ529" s="501"/>
      <c r="RUK529" s="501"/>
      <c r="RUL529" s="501"/>
      <c r="RUM529" s="501"/>
      <c r="RUN529" s="501"/>
      <c r="RUO529" s="501"/>
      <c r="RUP529" s="501"/>
      <c r="RUQ529" s="501"/>
      <c r="RUR529" s="501"/>
      <c r="RUS529" s="501"/>
      <c r="RUT529" s="501"/>
      <c r="RUU529" s="501"/>
      <c r="RUV529" s="501"/>
      <c r="RUW529" s="501"/>
      <c r="RUX529" s="501"/>
      <c r="RUY529" s="501"/>
      <c r="RUZ529" s="501"/>
      <c r="RVA529" s="501"/>
      <c r="RVB529" s="501"/>
      <c r="RVC529" s="501"/>
      <c r="RVD529" s="501"/>
      <c r="RVE529" s="501"/>
      <c r="RVF529" s="501"/>
      <c r="RVG529" s="501"/>
      <c r="RVH529" s="501"/>
      <c r="RVI529" s="501"/>
      <c r="RVJ529" s="501"/>
      <c r="RVK529" s="501"/>
      <c r="RVL529" s="501"/>
      <c r="RVM529" s="501"/>
      <c r="RVN529" s="501"/>
      <c r="RVO529" s="501"/>
      <c r="RVP529" s="501"/>
      <c r="RVQ529" s="501"/>
      <c r="RVR529" s="501"/>
      <c r="RVS529" s="501"/>
      <c r="RVT529" s="501"/>
      <c r="RVU529" s="501"/>
      <c r="RVV529" s="501"/>
      <c r="RVW529" s="501"/>
      <c r="RVX529" s="501"/>
      <c r="RVY529" s="501"/>
      <c r="RVZ529" s="501"/>
      <c r="RWA529" s="501"/>
      <c r="RWB529" s="501"/>
      <c r="RWC529" s="501"/>
      <c r="RWD529" s="501"/>
      <c r="RWE529" s="501"/>
      <c r="RWF529" s="501"/>
      <c r="RWG529" s="501"/>
      <c r="RWH529" s="501"/>
      <c r="RWI529" s="501"/>
      <c r="RWJ529" s="501"/>
      <c r="RWK529" s="501"/>
      <c r="RWL529" s="501"/>
      <c r="RWM529" s="501"/>
      <c r="RWN529" s="501"/>
      <c r="RWO529" s="501"/>
      <c r="RWP529" s="501"/>
      <c r="RWQ529" s="501"/>
      <c r="RWR529" s="501"/>
      <c r="RWS529" s="501"/>
      <c r="RWT529" s="501"/>
      <c r="RWU529" s="501"/>
      <c r="RWV529" s="501"/>
      <c r="RWW529" s="501"/>
      <c r="RWX529" s="501"/>
      <c r="RWY529" s="501"/>
      <c r="RWZ529" s="501"/>
      <c r="RXA529" s="501"/>
      <c r="RXB529" s="501"/>
      <c r="RXC529" s="501"/>
      <c r="RXD529" s="501"/>
      <c r="RXE529" s="501"/>
      <c r="RXF529" s="501"/>
      <c r="RXG529" s="501"/>
      <c r="RXH529" s="501"/>
      <c r="RXI529" s="501"/>
      <c r="RXJ529" s="501"/>
      <c r="RXK529" s="501"/>
      <c r="RXL529" s="501"/>
      <c r="RXM529" s="501"/>
      <c r="RXN529" s="501"/>
      <c r="RXO529" s="501"/>
      <c r="RXP529" s="501"/>
      <c r="RXQ529" s="501"/>
      <c r="RXR529" s="501"/>
      <c r="RXS529" s="501"/>
      <c r="RXT529" s="501"/>
      <c r="RXU529" s="501"/>
      <c r="RXV529" s="501"/>
      <c r="RXW529" s="501"/>
      <c r="RXX529" s="501"/>
      <c r="RXY529" s="501"/>
      <c r="RXZ529" s="501"/>
      <c r="RYA529" s="501"/>
      <c r="RYB529" s="501"/>
      <c r="RYC529" s="501"/>
      <c r="RYD529" s="501"/>
      <c r="RYE529" s="501"/>
      <c r="RYF529" s="501"/>
      <c r="RYG529" s="501"/>
      <c r="RYH529" s="501"/>
      <c r="RYI529" s="501"/>
      <c r="RYJ529" s="501"/>
      <c r="RYK529" s="501"/>
      <c r="RYL529" s="501"/>
      <c r="RYM529" s="501"/>
      <c r="RYN529" s="501"/>
      <c r="RYO529" s="501"/>
      <c r="RYP529" s="501"/>
      <c r="RYQ529" s="501"/>
      <c r="RYR529" s="501"/>
      <c r="RYS529" s="501"/>
      <c r="RYT529" s="501"/>
      <c r="RYU529" s="501"/>
      <c r="RYV529" s="501"/>
      <c r="RYW529" s="501"/>
      <c r="RYX529" s="501"/>
      <c r="RYY529" s="501"/>
      <c r="RYZ529" s="501"/>
      <c r="RZA529" s="501"/>
      <c r="RZB529" s="501"/>
      <c r="RZC529" s="501"/>
      <c r="RZD529" s="501"/>
      <c r="RZE529" s="501"/>
      <c r="RZF529" s="501"/>
      <c r="RZG529" s="501"/>
      <c r="RZH529" s="501"/>
      <c r="RZI529" s="501"/>
      <c r="RZJ529" s="501"/>
      <c r="RZK529" s="501"/>
      <c r="RZL529" s="501"/>
      <c r="RZM529" s="501"/>
      <c r="RZN529" s="501"/>
      <c r="RZO529" s="501"/>
      <c r="RZP529" s="501"/>
      <c r="RZQ529" s="501"/>
      <c r="RZR529" s="501"/>
      <c r="RZS529" s="501"/>
      <c r="RZT529" s="501"/>
      <c r="RZU529" s="501"/>
      <c r="RZV529" s="501"/>
      <c r="RZW529" s="501"/>
      <c r="RZX529" s="501"/>
      <c r="RZY529" s="501"/>
      <c r="RZZ529" s="501"/>
      <c r="SAA529" s="501"/>
      <c r="SAB529" s="501"/>
      <c r="SAC529" s="501"/>
      <c r="SAD529" s="501"/>
      <c r="SAE529" s="501"/>
      <c r="SAF529" s="501"/>
      <c r="SAG529" s="501"/>
      <c r="SAH529" s="501"/>
      <c r="SAI529" s="501"/>
      <c r="SAJ529" s="501"/>
      <c r="SAK529" s="501"/>
      <c r="SAL529" s="501"/>
      <c r="SAM529" s="501"/>
      <c r="SAN529" s="501"/>
      <c r="SAO529" s="501"/>
      <c r="SAP529" s="501"/>
      <c r="SAQ529" s="501"/>
      <c r="SAR529" s="501"/>
      <c r="SAS529" s="501"/>
      <c r="SAT529" s="501"/>
      <c r="SAU529" s="501"/>
      <c r="SAV529" s="501"/>
      <c r="SAW529" s="501"/>
      <c r="SAX529" s="501"/>
      <c r="SAY529" s="501"/>
      <c r="SAZ529" s="501"/>
      <c r="SBA529" s="501"/>
      <c r="SBB529" s="501"/>
      <c r="SBC529" s="501"/>
      <c r="SBD529" s="501"/>
      <c r="SBE529" s="501"/>
      <c r="SBF529" s="501"/>
      <c r="SBG529" s="501"/>
      <c r="SBH529" s="501"/>
      <c r="SBI529" s="501"/>
      <c r="SBJ529" s="501"/>
      <c r="SBK529" s="501"/>
      <c r="SBL529" s="501"/>
      <c r="SBM529" s="501"/>
      <c r="SBN529" s="501"/>
      <c r="SBO529" s="501"/>
      <c r="SBP529" s="501"/>
      <c r="SBQ529" s="501"/>
      <c r="SBR529" s="501"/>
      <c r="SBS529" s="501"/>
      <c r="SBT529" s="501"/>
      <c r="SBU529" s="501"/>
      <c r="SBV529" s="501"/>
      <c r="SBW529" s="501"/>
      <c r="SBX529" s="501"/>
      <c r="SBY529" s="501"/>
      <c r="SBZ529" s="501"/>
      <c r="SCA529" s="501"/>
      <c r="SCB529" s="501"/>
      <c r="SCC529" s="501"/>
      <c r="SCD529" s="501"/>
      <c r="SCE529" s="501"/>
      <c r="SCF529" s="501"/>
      <c r="SCG529" s="501"/>
      <c r="SCH529" s="501"/>
      <c r="SCI529" s="501"/>
      <c r="SCJ529" s="501"/>
      <c r="SCK529" s="501"/>
      <c r="SCL529" s="501"/>
      <c r="SCM529" s="501"/>
      <c r="SCN529" s="501"/>
      <c r="SCO529" s="501"/>
      <c r="SCP529" s="501"/>
      <c r="SCQ529" s="501"/>
      <c r="SCR529" s="501"/>
      <c r="SCS529" s="501"/>
      <c r="SCT529" s="501"/>
      <c r="SCU529" s="501"/>
      <c r="SCV529" s="501"/>
      <c r="SCW529" s="501"/>
      <c r="SCX529" s="501"/>
      <c r="SCY529" s="501"/>
      <c r="SCZ529" s="501"/>
      <c r="SDA529" s="501"/>
      <c r="SDB529" s="501"/>
      <c r="SDC529" s="501"/>
      <c r="SDD529" s="501"/>
      <c r="SDE529" s="501"/>
      <c r="SDF529" s="501"/>
      <c r="SDG529" s="501"/>
      <c r="SDH529" s="501"/>
      <c r="SDI529" s="501"/>
      <c r="SDJ529" s="501"/>
      <c r="SDK529" s="501"/>
      <c r="SDL529" s="501"/>
      <c r="SDM529" s="501"/>
      <c r="SDN529" s="501"/>
      <c r="SDO529" s="501"/>
      <c r="SDP529" s="501"/>
      <c r="SDQ529" s="501"/>
      <c r="SDR529" s="501"/>
      <c r="SDS529" s="501"/>
      <c r="SDT529" s="501"/>
      <c r="SDU529" s="501"/>
      <c r="SDV529" s="501"/>
      <c r="SDW529" s="501"/>
      <c r="SDX529" s="501"/>
      <c r="SDY529" s="501"/>
      <c r="SDZ529" s="501"/>
      <c r="SEA529" s="501"/>
      <c r="SEB529" s="501"/>
      <c r="SEC529" s="501"/>
      <c r="SED529" s="501"/>
      <c r="SEE529" s="501"/>
      <c r="SEF529" s="501"/>
      <c r="SEG529" s="501"/>
      <c r="SEH529" s="501"/>
      <c r="SEI529" s="501"/>
      <c r="SEJ529" s="501"/>
      <c r="SEK529" s="501"/>
      <c r="SEL529" s="501"/>
      <c r="SEM529" s="501"/>
      <c r="SEN529" s="501"/>
      <c r="SEO529" s="501"/>
      <c r="SEP529" s="501"/>
      <c r="SEQ529" s="501"/>
      <c r="SER529" s="501"/>
      <c r="SES529" s="501"/>
      <c r="SET529" s="501"/>
      <c r="SEU529" s="501"/>
      <c r="SEV529" s="501"/>
      <c r="SEW529" s="501"/>
      <c r="SEX529" s="501"/>
      <c r="SEY529" s="501"/>
      <c r="SEZ529" s="501"/>
      <c r="SFA529" s="501"/>
      <c r="SFB529" s="501"/>
      <c r="SFC529" s="501"/>
      <c r="SFD529" s="501"/>
      <c r="SFE529" s="501"/>
      <c r="SFF529" s="501"/>
      <c r="SFG529" s="501"/>
      <c r="SFH529" s="501"/>
      <c r="SFI529" s="501"/>
      <c r="SFJ529" s="501"/>
      <c r="SFK529" s="501"/>
      <c r="SFL529" s="501"/>
      <c r="SFM529" s="501"/>
      <c r="SFN529" s="501"/>
      <c r="SFO529" s="501"/>
      <c r="SFP529" s="501"/>
      <c r="SFQ529" s="501"/>
      <c r="SFR529" s="501"/>
      <c r="SFS529" s="501"/>
      <c r="SFT529" s="501"/>
      <c r="SFU529" s="501"/>
      <c r="SFV529" s="501"/>
      <c r="SFW529" s="501"/>
      <c r="SFX529" s="501"/>
      <c r="SFY529" s="501"/>
      <c r="SFZ529" s="501"/>
      <c r="SGA529" s="501"/>
      <c r="SGB529" s="501"/>
      <c r="SGC529" s="501"/>
      <c r="SGD529" s="501"/>
      <c r="SGE529" s="501"/>
      <c r="SGF529" s="501"/>
      <c r="SGG529" s="501"/>
      <c r="SGH529" s="501"/>
      <c r="SGI529" s="501"/>
      <c r="SGJ529" s="501"/>
      <c r="SGK529" s="501"/>
      <c r="SGL529" s="501"/>
      <c r="SGM529" s="501"/>
      <c r="SGN529" s="501"/>
      <c r="SGO529" s="501"/>
      <c r="SGP529" s="501"/>
      <c r="SGQ529" s="501"/>
      <c r="SGR529" s="501"/>
      <c r="SGS529" s="501"/>
      <c r="SGT529" s="501"/>
      <c r="SGU529" s="501"/>
      <c r="SGV529" s="501"/>
      <c r="SGW529" s="501"/>
      <c r="SGX529" s="501"/>
      <c r="SGY529" s="501"/>
      <c r="SGZ529" s="501"/>
      <c r="SHA529" s="501"/>
      <c r="SHB529" s="501"/>
      <c r="SHC529" s="501"/>
      <c r="SHD529" s="501"/>
      <c r="SHE529" s="501"/>
      <c r="SHF529" s="501"/>
      <c r="SHG529" s="501"/>
      <c r="SHH529" s="501"/>
      <c r="SHI529" s="501"/>
      <c r="SHJ529" s="501"/>
      <c r="SHK529" s="501"/>
      <c r="SHL529" s="501"/>
      <c r="SHM529" s="501"/>
      <c r="SHN529" s="501"/>
      <c r="SHO529" s="501"/>
      <c r="SHP529" s="501"/>
      <c r="SHQ529" s="501"/>
      <c r="SHR529" s="501"/>
      <c r="SHS529" s="501"/>
      <c r="SHT529" s="501"/>
      <c r="SHU529" s="501"/>
      <c r="SHV529" s="501"/>
      <c r="SHW529" s="501"/>
      <c r="SHX529" s="501"/>
      <c r="SHY529" s="501"/>
      <c r="SHZ529" s="501"/>
      <c r="SIA529" s="501"/>
      <c r="SIB529" s="501"/>
      <c r="SIC529" s="501"/>
      <c r="SID529" s="501"/>
      <c r="SIE529" s="501"/>
      <c r="SIF529" s="501"/>
      <c r="SIG529" s="501"/>
      <c r="SIH529" s="501"/>
      <c r="SII529" s="501"/>
      <c r="SIJ529" s="501"/>
      <c r="SIK529" s="501"/>
      <c r="SIL529" s="501"/>
      <c r="SIM529" s="501"/>
      <c r="SIN529" s="501"/>
      <c r="SIO529" s="501"/>
      <c r="SIP529" s="501"/>
      <c r="SIQ529" s="501"/>
      <c r="SIR529" s="501"/>
      <c r="SIS529" s="501"/>
      <c r="SIT529" s="501"/>
      <c r="SIU529" s="501"/>
      <c r="SIV529" s="501"/>
      <c r="SIW529" s="501"/>
      <c r="SIX529" s="501"/>
      <c r="SIY529" s="501"/>
      <c r="SIZ529" s="501"/>
      <c r="SJA529" s="501"/>
      <c r="SJB529" s="501"/>
      <c r="SJC529" s="501"/>
      <c r="SJD529" s="501"/>
      <c r="SJE529" s="501"/>
      <c r="SJF529" s="501"/>
      <c r="SJG529" s="501"/>
      <c r="SJH529" s="501"/>
      <c r="SJI529" s="501"/>
      <c r="SJJ529" s="501"/>
      <c r="SJK529" s="501"/>
      <c r="SJL529" s="501"/>
      <c r="SJM529" s="501"/>
      <c r="SJN529" s="501"/>
      <c r="SJO529" s="501"/>
      <c r="SJP529" s="501"/>
      <c r="SJQ529" s="501"/>
      <c r="SJR529" s="501"/>
      <c r="SJS529" s="501"/>
      <c r="SJT529" s="501"/>
      <c r="SJU529" s="501"/>
      <c r="SJV529" s="501"/>
      <c r="SJW529" s="501"/>
      <c r="SJX529" s="501"/>
      <c r="SJY529" s="501"/>
      <c r="SJZ529" s="501"/>
      <c r="SKA529" s="501"/>
      <c r="SKB529" s="501"/>
      <c r="SKC529" s="501"/>
      <c r="SKD529" s="501"/>
      <c r="SKE529" s="501"/>
      <c r="SKF529" s="501"/>
      <c r="SKG529" s="501"/>
      <c r="SKH529" s="501"/>
      <c r="SKI529" s="501"/>
      <c r="SKJ529" s="501"/>
      <c r="SKK529" s="501"/>
      <c r="SKL529" s="501"/>
      <c r="SKM529" s="501"/>
      <c r="SKN529" s="501"/>
      <c r="SKO529" s="501"/>
      <c r="SKP529" s="501"/>
      <c r="SKQ529" s="501"/>
      <c r="SKR529" s="501"/>
      <c r="SKS529" s="501"/>
      <c r="SKT529" s="501"/>
      <c r="SKU529" s="501"/>
      <c r="SKV529" s="501"/>
      <c r="SKW529" s="501"/>
      <c r="SKX529" s="501"/>
      <c r="SKY529" s="501"/>
      <c r="SKZ529" s="501"/>
      <c r="SLA529" s="501"/>
      <c r="SLB529" s="501"/>
      <c r="SLC529" s="501"/>
      <c r="SLD529" s="501"/>
      <c r="SLE529" s="501"/>
      <c r="SLF529" s="501"/>
      <c r="SLG529" s="501"/>
      <c r="SLH529" s="501"/>
      <c r="SLI529" s="501"/>
      <c r="SLJ529" s="501"/>
      <c r="SLK529" s="501"/>
      <c r="SLL529" s="501"/>
      <c r="SLM529" s="501"/>
      <c r="SLN529" s="501"/>
      <c r="SLO529" s="501"/>
      <c r="SLP529" s="501"/>
      <c r="SLQ529" s="501"/>
      <c r="SLR529" s="501"/>
      <c r="SLS529" s="501"/>
      <c r="SLT529" s="501"/>
      <c r="SLU529" s="501"/>
      <c r="SLV529" s="501"/>
      <c r="SLW529" s="501"/>
      <c r="SLX529" s="501"/>
      <c r="SLY529" s="501"/>
      <c r="SLZ529" s="501"/>
      <c r="SMA529" s="501"/>
      <c r="SMB529" s="501"/>
      <c r="SMC529" s="501"/>
      <c r="SMD529" s="501"/>
      <c r="SME529" s="501"/>
      <c r="SMF529" s="501"/>
      <c r="SMG529" s="501"/>
      <c r="SMH529" s="501"/>
      <c r="SMI529" s="501"/>
      <c r="SMJ529" s="501"/>
      <c r="SMK529" s="501"/>
      <c r="SML529" s="501"/>
      <c r="SMM529" s="501"/>
      <c r="SMN529" s="501"/>
      <c r="SMO529" s="501"/>
      <c r="SMP529" s="501"/>
      <c r="SMQ529" s="501"/>
      <c r="SMR529" s="501"/>
      <c r="SMS529" s="501"/>
      <c r="SMT529" s="501"/>
      <c r="SMU529" s="501"/>
      <c r="SMV529" s="501"/>
      <c r="SMW529" s="501"/>
      <c r="SMX529" s="501"/>
      <c r="SMY529" s="501"/>
      <c r="SMZ529" s="501"/>
      <c r="SNA529" s="501"/>
      <c r="SNB529" s="501"/>
      <c r="SNC529" s="501"/>
      <c r="SND529" s="501"/>
      <c r="SNE529" s="501"/>
      <c r="SNF529" s="501"/>
      <c r="SNG529" s="501"/>
      <c r="SNH529" s="501"/>
      <c r="SNI529" s="501"/>
      <c r="SNJ529" s="501"/>
      <c r="SNK529" s="501"/>
      <c r="SNL529" s="501"/>
      <c r="SNM529" s="501"/>
      <c r="SNN529" s="501"/>
      <c r="SNO529" s="501"/>
      <c r="SNP529" s="501"/>
      <c r="SNQ529" s="501"/>
      <c r="SNR529" s="501"/>
      <c r="SNS529" s="501"/>
      <c r="SNT529" s="501"/>
      <c r="SNU529" s="501"/>
      <c r="SNV529" s="501"/>
      <c r="SNW529" s="501"/>
      <c r="SNX529" s="501"/>
      <c r="SNY529" s="501"/>
      <c r="SNZ529" s="501"/>
      <c r="SOA529" s="501"/>
      <c r="SOB529" s="501"/>
      <c r="SOC529" s="501"/>
      <c r="SOD529" s="501"/>
      <c r="SOE529" s="501"/>
      <c r="SOF529" s="501"/>
      <c r="SOG529" s="501"/>
      <c r="SOH529" s="501"/>
      <c r="SOI529" s="501"/>
      <c r="SOJ529" s="501"/>
      <c r="SOK529" s="501"/>
      <c r="SOL529" s="501"/>
      <c r="SOM529" s="501"/>
      <c r="SON529" s="501"/>
      <c r="SOO529" s="501"/>
      <c r="SOP529" s="501"/>
      <c r="SOQ529" s="501"/>
      <c r="SOR529" s="501"/>
      <c r="SOS529" s="501"/>
      <c r="SOT529" s="501"/>
      <c r="SOU529" s="501"/>
      <c r="SOV529" s="501"/>
      <c r="SOW529" s="501"/>
      <c r="SOX529" s="501"/>
      <c r="SOY529" s="501"/>
      <c r="SOZ529" s="501"/>
      <c r="SPA529" s="501"/>
      <c r="SPB529" s="501"/>
      <c r="SPC529" s="501"/>
      <c r="SPD529" s="501"/>
      <c r="SPE529" s="501"/>
      <c r="SPF529" s="501"/>
      <c r="SPG529" s="501"/>
      <c r="SPH529" s="501"/>
      <c r="SPI529" s="501"/>
      <c r="SPJ529" s="501"/>
      <c r="SPK529" s="501"/>
      <c r="SPL529" s="501"/>
      <c r="SPM529" s="501"/>
      <c r="SPN529" s="501"/>
      <c r="SPO529" s="501"/>
      <c r="SPP529" s="501"/>
      <c r="SPQ529" s="501"/>
      <c r="SPR529" s="501"/>
      <c r="SPS529" s="501"/>
      <c r="SPT529" s="501"/>
      <c r="SPU529" s="501"/>
      <c r="SPV529" s="501"/>
      <c r="SPW529" s="501"/>
      <c r="SPX529" s="501"/>
      <c r="SPY529" s="501"/>
      <c r="SPZ529" s="501"/>
      <c r="SQA529" s="501"/>
      <c r="SQB529" s="501"/>
      <c r="SQC529" s="501"/>
      <c r="SQD529" s="501"/>
      <c r="SQE529" s="501"/>
      <c r="SQF529" s="501"/>
      <c r="SQG529" s="501"/>
      <c r="SQH529" s="501"/>
      <c r="SQI529" s="501"/>
      <c r="SQJ529" s="501"/>
      <c r="SQK529" s="501"/>
      <c r="SQL529" s="501"/>
      <c r="SQM529" s="501"/>
      <c r="SQN529" s="501"/>
      <c r="SQO529" s="501"/>
      <c r="SQP529" s="501"/>
      <c r="SQQ529" s="501"/>
      <c r="SQR529" s="501"/>
      <c r="SQS529" s="501"/>
      <c r="SQT529" s="501"/>
      <c r="SQU529" s="501"/>
      <c r="SQV529" s="501"/>
      <c r="SQW529" s="501"/>
      <c r="SQX529" s="501"/>
      <c r="SQY529" s="501"/>
      <c r="SQZ529" s="501"/>
      <c r="SRA529" s="501"/>
      <c r="SRB529" s="501"/>
      <c r="SRC529" s="501"/>
      <c r="SRD529" s="501"/>
      <c r="SRE529" s="501"/>
      <c r="SRF529" s="501"/>
      <c r="SRG529" s="501"/>
      <c r="SRH529" s="501"/>
      <c r="SRI529" s="501"/>
      <c r="SRJ529" s="501"/>
      <c r="SRK529" s="501"/>
      <c r="SRL529" s="501"/>
      <c r="SRM529" s="501"/>
      <c r="SRN529" s="501"/>
      <c r="SRO529" s="501"/>
      <c r="SRP529" s="501"/>
      <c r="SRQ529" s="501"/>
      <c r="SRR529" s="501"/>
      <c r="SRS529" s="501"/>
      <c r="SRT529" s="501"/>
      <c r="SRU529" s="501"/>
      <c r="SRV529" s="501"/>
      <c r="SRW529" s="501"/>
      <c r="SRX529" s="501"/>
      <c r="SRY529" s="501"/>
      <c r="SRZ529" s="501"/>
      <c r="SSA529" s="501"/>
      <c r="SSB529" s="501"/>
      <c r="SSC529" s="501"/>
      <c r="SSD529" s="501"/>
      <c r="SSE529" s="501"/>
      <c r="SSF529" s="501"/>
      <c r="SSG529" s="501"/>
      <c r="SSH529" s="501"/>
      <c r="SSI529" s="501"/>
      <c r="SSJ529" s="501"/>
      <c r="SSK529" s="501"/>
      <c r="SSL529" s="501"/>
      <c r="SSM529" s="501"/>
      <c r="SSN529" s="501"/>
      <c r="SSO529" s="501"/>
      <c r="SSP529" s="501"/>
      <c r="SSQ529" s="501"/>
      <c r="SSR529" s="501"/>
      <c r="SSS529" s="501"/>
      <c r="SST529" s="501"/>
      <c r="SSU529" s="501"/>
      <c r="SSV529" s="501"/>
      <c r="SSW529" s="501"/>
      <c r="SSX529" s="501"/>
      <c r="SSY529" s="501"/>
      <c r="SSZ529" s="501"/>
      <c r="STA529" s="501"/>
      <c r="STB529" s="501"/>
      <c r="STC529" s="501"/>
      <c r="STD529" s="501"/>
      <c r="STE529" s="501"/>
      <c r="STF529" s="501"/>
      <c r="STG529" s="501"/>
      <c r="STH529" s="501"/>
      <c r="STI529" s="501"/>
      <c r="STJ529" s="501"/>
      <c r="STK529" s="501"/>
      <c r="STL529" s="501"/>
      <c r="STM529" s="501"/>
      <c r="STN529" s="501"/>
      <c r="STO529" s="501"/>
      <c r="STP529" s="501"/>
      <c r="STQ529" s="501"/>
      <c r="STR529" s="501"/>
      <c r="STS529" s="501"/>
      <c r="STT529" s="501"/>
      <c r="STU529" s="501"/>
      <c r="STV529" s="501"/>
      <c r="STW529" s="501"/>
      <c r="STX529" s="501"/>
      <c r="STY529" s="501"/>
      <c r="STZ529" s="501"/>
      <c r="SUA529" s="501"/>
      <c r="SUB529" s="501"/>
      <c r="SUC529" s="501"/>
      <c r="SUD529" s="501"/>
      <c r="SUE529" s="501"/>
      <c r="SUF529" s="501"/>
      <c r="SUG529" s="501"/>
      <c r="SUH529" s="501"/>
      <c r="SUI529" s="501"/>
      <c r="SUJ529" s="501"/>
      <c r="SUK529" s="501"/>
      <c r="SUL529" s="501"/>
      <c r="SUM529" s="501"/>
      <c r="SUN529" s="501"/>
      <c r="SUO529" s="501"/>
      <c r="SUP529" s="501"/>
      <c r="SUQ529" s="501"/>
      <c r="SUR529" s="501"/>
      <c r="SUS529" s="501"/>
      <c r="SUT529" s="501"/>
      <c r="SUU529" s="501"/>
      <c r="SUV529" s="501"/>
      <c r="SUW529" s="501"/>
      <c r="SUX529" s="501"/>
      <c r="SUY529" s="501"/>
      <c r="SUZ529" s="501"/>
      <c r="SVA529" s="501"/>
      <c r="SVB529" s="501"/>
      <c r="SVC529" s="501"/>
      <c r="SVD529" s="501"/>
      <c r="SVE529" s="501"/>
      <c r="SVF529" s="501"/>
      <c r="SVG529" s="501"/>
      <c r="SVH529" s="501"/>
      <c r="SVI529" s="501"/>
      <c r="SVJ529" s="501"/>
      <c r="SVK529" s="501"/>
      <c r="SVL529" s="501"/>
      <c r="SVM529" s="501"/>
      <c r="SVN529" s="501"/>
      <c r="SVO529" s="501"/>
      <c r="SVP529" s="501"/>
      <c r="SVQ529" s="501"/>
      <c r="SVR529" s="501"/>
      <c r="SVS529" s="501"/>
      <c r="SVT529" s="501"/>
      <c r="SVU529" s="501"/>
      <c r="SVV529" s="501"/>
      <c r="SVW529" s="501"/>
      <c r="SVX529" s="501"/>
      <c r="SVY529" s="501"/>
      <c r="SVZ529" s="501"/>
      <c r="SWA529" s="501"/>
      <c r="SWB529" s="501"/>
      <c r="SWC529" s="501"/>
      <c r="SWD529" s="501"/>
      <c r="SWE529" s="501"/>
      <c r="SWF529" s="501"/>
      <c r="SWG529" s="501"/>
      <c r="SWH529" s="501"/>
      <c r="SWI529" s="501"/>
      <c r="SWJ529" s="501"/>
      <c r="SWK529" s="501"/>
      <c r="SWL529" s="501"/>
      <c r="SWM529" s="501"/>
      <c r="SWN529" s="501"/>
      <c r="SWO529" s="501"/>
      <c r="SWP529" s="501"/>
      <c r="SWQ529" s="501"/>
      <c r="SWR529" s="501"/>
      <c r="SWS529" s="501"/>
      <c r="SWT529" s="501"/>
      <c r="SWU529" s="501"/>
      <c r="SWV529" s="501"/>
      <c r="SWW529" s="501"/>
      <c r="SWX529" s="501"/>
      <c r="SWY529" s="501"/>
      <c r="SWZ529" s="501"/>
      <c r="SXA529" s="501"/>
      <c r="SXB529" s="501"/>
      <c r="SXC529" s="501"/>
      <c r="SXD529" s="501"/>
      <c r="SXE529" s="501"/>
      <c r="SXF529" s="501"/>
      <c r="SXG529" s="501"/>
      <c r="SXH529" s="501"/>
      <c r="SXI529" s="501"/>
      <c r="SXJ529" s="501"/>
      <c r="SXK529" s="501"/>
      <c r="SXL529" s="501"/>
      <c r="SXM529" s="501"/>
      <c r="SXN529" s="501"/>
      <c r="SXO529" s="501"/>
      <c r="SXP529" s="501"/>
      <c r="SXQ529" s="501"/>
      <c r="SXR529" s="501"/>
      <c r="SXS529" s="501"/>
      <c r="SXT529" s="501"/>
      <c r="SXU529" s="501"/>
      <c r="SXV529" s="501"/>
      <c r="SXW529" s="501"/>
      <c r="SXX529" s="501"/>
      <c r="SXY529" s="501"/>
      <c r="SXZ529" s="501"/>
      <c r="SYA529" s="501"/>
      <c r="SYB529" s="501"/>
      <c r="SYC529" s="501"/>
      <c r="SYD529" s="501"/>
      <c r="SYE529" s="501"/>
      <c r="SYF529" s="501"/>
      <c r="SYG529" s="501"/>
      <c r="SYH529" s="501"/>
      <c r="SYI529" s="501"/>
      <c r="SYJ529" s="501"/>
      <c r="SYK529" s="501"/>
      <c r="SYL529" s="501"/>
      <c r="SYM529" s="501"/>
      <c r="SYN529" s="501"/>
      <c r="SYO529" s="501"/>
      <c r="SYP529" s="501"/>
      <c r="SYQ529" s="501"/>
      <c r="SYR529" s="501"/>
      <c r="SYS529" s="501"/>
      <c r="SYT529" s="501"/>
      <c r="SYU529" s="501"/>
      <c r="SYV529" s="501"/>
      <c r="SYW529" s="501"/>
      <c r="SYX529" s="501"/>
      <c r="SYY529" s="501"/>
      <c r="SYZ529" s="501"/>
      <c r="SZA529" s="501"/>
      <c r="SZB529" s="501"/>
      <c r="SZC529" s="501"/>
      <c r="SZD529" s="501"/>
      <c r="SZE529" s="501"/>
      <c r="SZF529" s="501"/>
      <c r="SZG529" s="501"/>
      <c r="SZH529" s="501"/>
      <c r="SZI529" s="501"/>
      <c r="SZJ529" s="501"/>
      <c r="SZK529" s="501"/>
      <c r="SZL529" s="501"/>
      <c r="SZM529" s="501"/>
      <c r="SZN529" s="501"/>
      <c r="SZO529" s="501"/>
      <c r="SZP529" s="501"/>
      <c r="SZQ529" s="501"/>
      <c r="SZR529" s="501"/>
      <c r="SZS529" s="501"/>
      <c r="SZT529" s="501"/>
      <c r="SZU529" s="501"/>
      <c r="SZV529" s="501"/>
      <c r="SZW529" s="501"/>
      <c r="SZX529" s="501"/>
      <c r="SZY529" s="501"/>
      <c r="SZZ529" s="501"/>
      <c r="TAA529" s="501"/>
      <c r="TAB529" s="501"/>
      <c r="TAC529" s="501"/>
      <c r="TAD529" s="501"/>
      <c r="TAE529" s="501"/>
      <c r="TAF529" s="501"/>
      <c r="TAG529" s="501"/>
      <c r="TAH529" s="501"/>
      <c r="TAI529" s="501"/>
      <c r="TAJ529" s="501"/>
      <c r="TAK529" s="501"/>
      <c r="TAL529" s="501"/>
      <c r="TAM529" s="501"/>
      <c r="TAN529" s="501"/>
      <c r="TAO529" s="501"/>
      <c r="TAP529" s="501"/>
      <c r="TAQ529" s="501"/>
      <c r="TAR529" s="501"/>
      <c r="TAS529" s="501"/>
      <c r="TAT529" s="501"/>
      <c r="TAU529" s="501"/>
      <c r="TAV529" s="501"/>
      <c r="TAW529" s="501"/>
      <c r="TAX529" s="501"/>
      <c r="TAY529" s="501"/>
      <c r="TAZ529" s="501"/>
      <c r="TBA529" s="501"/>
      <c r="TBB529" s="501"/>
      <c r="TBC529" s="501"/>
      <c r="TBD529" s="501"/>
      <c r="TBE529" s="501"/>
      <c r="TBF529" s="501"/>
      <c r="TBG529" s="501"/>
      <c r="TBH529" s="501"/>
      <c r="TBI529" s="501"/>
      <c r="TBJ529" s="501"/>
      <c r="TBK529" s="501"/>
      <c r="TBL529" s="501"/>
      <c r="TBM529" s="501"/>
      <c r="TBN529" s="501"/>
      <c r="TBO529" s="501"/>
      <c r="TBP529" s="501"/>
      <c r="TBQ529" s="501"/>
      <c r="TBR529" s="501"/>
      <c r="TBS529" s="501"/>
      <c r="TBT529" s="501"/>
      <c r="TBU529" s="501"/>
      <c r="TBV529" s="501"/>
      <c r="TBW529" s="501"/>
      <c r="TBX529" s="501"/>
      <c r="TBY529" s="501"/>
      <c r="TBZ529" s="501"/>
      <c r="TCA529" s="501"/>
      <c r="TCB529" s="501"/>
      <c r="TCC529" s="501"/>
      <c r="TCD529" s="501"/>
      <c r="TCE529" s="501"/>
      <c r="TCF529" s="501"/>
      <c r="TCG529" s="501"/>
      <c r="TCH529" s="501"/>
      <c r="TCI529" s="501"/>
      <c r="TCJ529" s="501"/>
      <c r="TCK529" s="501"/>
      <c r="TCL529" s="501"/>
      <c r="TCM529" s="501"/>
      <c r="TCN529" s="501"/>
      <c r="TCO529" s="501"/>
      <c r="TCP529" s="501"/>
      <c r="TCQ529" s="501"/>
      <c r="TCR529" s="501"/>
      <c r="TCS529" s="501"/>
      <c r="TCT529" s="501"/>
      <c r="TCU529" s="501"/>
      <c r="TCV529" s="501"/>
      <c r="TCW529" s="501"/>
      <c r="TCX529" s="501"/>
      <c r="TCY529" s="501"/>
      <c r="TCZ529" s="501"/>
      <c r="TDA529" s="501"/>
      <c r="TDB529" s="501"/>
      <c r="TDC529" s="501"/>
      <c r="TDD529" s="501"/>
      <c r="TDE529" s="501"/>
      <c r="TDF529" s="501"/>
      <c r="TDG529" s="501"/>
      <c r="TDH529" s="501"/>
      <c r="TDI529" s="501"/>
      <c r="TDJ529" s="501"/>
      <c r="TDK529" s="501"/>
      <c r="TDL529" s="501"/>
      <c r="TDM529" s="501"/>
      <c r="TDN529" s="501"/>
      <c r="TDO529" s="501"/>
      <c r="TDP529" s="501"/>
      <c r="TDQ529" s="501"/>
      <c r="TDR529" s="501"/>
      <c r="TDS529" s="501"/>
      <c r="TDT529" s="501"/>
      <c r="TDU529" s="501"/>
      <c r="TDV529" s="501"/>
      <c r="TDW529" s="501"/>
      <c r="TDX529" s="501"/>
      <c r="TDY529" s="501"/>
      <c r="TDZ529" s="501"/>
      <c r="TEA529" s="501"/>
      <c r="TEB529" s="501"/>
      <c r="TEC529" s="501"/>
      <c r="TED529" s="501"/>
      <c r="TEE529" s="501"/>
      <c r="TEF529" s="501"/>
      <c r="TEG529" s="501"/>
      <c r="TEH529" s="501"/>
      <c r="TEI529" s="501"/>
      <c r="TEJ529" s="501"/>
      <c r="TEK529" s="501"/>
      <c r="TEL529" s="501"/>
      <c r="TEM529" s="501"/>
      <c r="TEN529" s="501"/>
      <c r="TEO529" s="501"/>
      <c r="TEP529" s="501"/>
      <c r="TEQ529" s="501"/>
      <c r="TER529" s="501"/>
      <c r="TES529" s="501"/>
      <c r="TET529" s="501"/>
      <c r="TEU529" s="501"/>
      <c r="TEV529" s="501"/>
      <c r="TEW529" s="501"/>
      <c r="TEX529" s="501"/>
      <c r="TEY529" s="501"/>
      <c r="TEZ529" s="501"/>
      <c r="TFA529" s="501"/>
      <c r="TFB529" s="501"/>
      <c r="TFC529" s="501"/>
      <c r="TFD529" s="501"/>
      <c r="TFE529" s="501"/>
      <c r="TFF529" s="501"/>
      <c r="TFG529" s="501"/>
      <c r="TFH529" s="501"/>
      <c r="TFI529" s="501"/>
      <c r="TFJ529" s="501"/>
      <c r="TFK529" s="501"/>
      <c r="TFL529" s="501"/>
      <c r="TFM529" s="501"/>
      <c r="TFN529" s="501"/>
      <c r="TFO529" s="501"/>
      <c r="TFP529" s="501"/>
      <c r="TFQ529" s="501"/>
      <c r="TFR529" s="501"/>
      <c r="TFS529" s="501"/>
      <c r="TFT529" s="501"/>
      <c r="TFU529" s="501"/>
      <c r="TFV529" s="501"/>
      <c r="TFW529" s="501"/>
      <c r="TFX529" s="501"/>
      <c r="TFY529" s="501"/>
      <c r="TFZ529" s="501"/>
      <c r="TGA529" s="501"/>
      <c r="TGB529" s="501"/>
      <c r="TGC529" s="501"/>
      <c r="TGD529" s="501"/>
      <c r="TGE529" s="501"/>
      <c r="TGF529" s="501"/>
      <c r="TGG529" s="501"/>
      <c r="TGH529" s="501"/>
      <c r="TGI529" s="501"/>
      <c r="TGJ529" s="501"/>
      <c r="TGK529" s="501"/>
      <c r="TGL529" s="501"/>
      <c r="TGM529" s="501"/>
      <c r="TGN529" s="501"/>
      <c r="TGO529" s="501"/>
      <c r="TGP529" s="501"/>
      <c r="TGQ529" s="501"/>
      <c r="TGR529" s="501"/>
      <c r="TGS529" s="501"/>
      <c r="TGT529" s="501"/>
      <c r="TGU529" s="501"/>
      <c r="TGV529" s="501"/>
      <c r="TGW529" s="501"/>
      <c r="TGX529" s="501"/>
      <c r="TGY529" s="501"/>
      <c r="TGZ529" s="501"/>
      <c r="THA529" s="501"/>
      <c r="THB529" s="501"/>
      <c r="THC529" s="501"/>
      <c r="THD529" s="501"/>
      <c r="THE529" s="501"/>
      <c r="THF529" s="501"/>
      <c r="THG529" s="501"/>
      <c r="THH529" s="501"/>
      <c r="THI529" s="501"/>
      <c r="THJ529" s="501"/>
      <c r="THK529" s="501"/>
      <c r="THL529" s="501"/>
      <c r="THM529" s="501"/>
      <c r="THN529" s="501"/>
      <c r="THO529" s="501"/>
      <c r="THP529" s="501"/>
      <c r="THQ529" s="501"/>
      <c r="THR529" s="501"/>
      <c r="THS529" s="501"/>
      <c r="THT529" s="501"/>
      <c r="THU529" s="501"/>
      <c r="THV529" s="501"/>
      <c r="THW529" s="501"/>
      <c r="THX529" s="501"/>
      <c r="THY529" s="501"/>
      <c r="THZ529" s="501"/>
      <c r="TIA529" s="501"/>
      <c r="TIB529" s="501"/>
      <c r="TIC529" s="501"/>
      <c r="TID529" s="501"/>
      <c r="TIE529" s="501"/>
      <c r="TIF529" s="501"/>
      <c r="TIG529" s="501"/>
      <c r="TIH529" s="501"/>
      <c r="TII529" s="501"/>
      <c r="TIJ529" s="501"/>
      <c r="TIK529" s="501"/>
      <c r="TIL529" s="501"/>
      <c r="TIM529" s="501"/>
      <c r="TIN529" s="501"/>
      <c r="TIO529" s="501"/>
      <c r="TIP529" s="501"/>
      <c r="TIQ529" s="501"/>
      <c r="TIR529" s="501"/>
      <c r="TIS529" s="501"/>
      <c r="TIT529" s="501"/>
      <c r="TIU529" s="501"/>
      <c r="TIV529" s="501"/>
      <c r="TIW529" s="501"/>
      <c r="TIX529" s="501"/>
      <c r="TIY529" s="501"/>
      <c r="TIZ529" s="501"/>
      <c r="TJA529" s="501"/>
      <c r="TJB529" s="501"/>
      <c r="TJC529" s="501"/>
      <c r="TJD529" s="501"/>
      <c r="TJE529" s="501"/>
      <c r="TJF529" s="501"/>
      <c r="TJG529" s="501"/>
      <c r="TJH529" s="501"/>
      <c r="TJI529" s="501"/>
      <c r="TJJ529" s="501"/>
      <c r="TJK529" s="501"/>
      <c r="TJL529" s="501"/>
      <c r="TJM529" s="501"/>
      <c r="TJN529" s="501"/>
      <c r="TJO529" s="501"/>
      <c r="TJP529" s="501"/>
      <c r="TJQ529" s="501"/>
      <c r="TJR529" s="501"/>
      <c r="TJS529" s="501"/>
      <c r="TJT529" s="501"/>
      <c r="TJU529" s="501"/>
      <c r="TJV529" s="501"/>
      <c r="TJW529" s="501"/>
      <c r="TJX529" s="501"/>
      <c r="TJY529" s="501"/>
      <c r="TJZ529" s="501"/>
      <c r="TKA529" s="501"/>
      <c r="TKB529" s="501"/>
      <c r="TKC529" s="501"/>
      <c r="TKD529" s="501"/>
      <c r="TKE529" s="501"/>
      <c r="TKF529" s="501"/>
      <c r="TKG529" s="501"/>
      <c r="TKH529" s="501"/>
      <c r="TKI529" s="501"/>
      <c r="TKJ529" s="501"/>
      <c r="TKK529" s="501"/>
      <c r="TKL529" s="501"/>
      <c r="TKM529" s="501"/>
      <c r="TKN529" s="501"/>
      <c r="TKO529" s="501"/>
      <c r="TKP529" s="501"/>
      <c r="TKQ529" s="501"/>
      <c r="TKR529" s="501"/>
      <c r="TKS529" s="501"/>
      <c r="TKT529" s="501"/>
      <c r="TKU529" s="501"/>
      <c r="TKV529" s="501"/>
      <c r="TKW529" s="501"/>
      <c r="TKX529" s="501"/>
      <c r="TKY529" s="501"/>
      <c r="TKZ529" s="501"/>
      <c r="TLA529" s="501"/>
      <c r="TLB529" s="501"/>
      <c r="TLC529" s="501"/>
      <c r="TLD529" s="501"/>
      <c r="TLE529" s="501"/>
      <c r="TLF529" s="501"/>
      <c r="TLG529" s="501"/>
      <c r="TLH529" s="501"/>
      <c r="TLI529" s="501"/>
      <c r="TLJ529" s="501"/>
      <c r="TLK529" s="501"/>
      <c r="TLL529" s="501"/>
      <c r="TLM529" s="501"/>
      <c r="TLN529" s="501"/>
      <c r="TLO529" s="501"/>
      <c r="TLP529" s="501"/>
      <c r="TLQ529" s="501"/>
      <c r="TLR529" s="501"/>
      <c r="TLS529" s="501"/>
      <c r="TLT529" s="501"/>
      <c r="TLU529" s="501"/>
      <c r="TLV529" s="501"/>
      <c r="TLW529" s="501"/>
      <c r="TLX529" s="501"/>
      <c r="TLY529" s="501"/>
      <c r="TLZ529" s="501"/>
      <c r="TMA529" s="501"/>
      <c r="TMB529" s="501"/>
      <c r="TMC529" s="501"/>
      <c r="TMD529" s="501"/>
      <c r="TME529" s="501"/>
      <c r="TMF529" s="501"/>
      <c r="TMG529" s="501"/>
      <c r="TMH529" s="501"/>
      <c r="TMI529" s="501"/>
      <c r="TMJ529" s="501"/>
      <c r="TMK529" s="501"/>
      <c r="TML529" s="501"/>
      <c r="TMM529" s="501"/>
      <c r="TMN529" s="501"/>
      <c r="TMO529" s="501"/>
      <c r="TMP529" s="501"/>
      <c r="TMQ529" s="501"/>
      <c r="TMR529" s="501"/>
      <c r="TMS529" s="501"/>
      <c r="TMT529" s="501"/>
      <c r="TMU529" s="501"/>
      <c r="TMV529" s="501"/>
      <c r="TMW529" s="501"/>
      <c r="TMX529" s="501"/>
      <c r="TMY529" s="501"/>
      <c r="TMZ529" s="501"/>
      <c r="TNA529" s="501"/>
      <c r="TNB529" s="501"/>
      <c r="TNC529" s="501"/>
      <c r="TND529" s="501"/>
      <c r="TNE529" s="501"/>
      <c r="TNF529" s="501"/>
      <c r="TNG529" s="501"/>
      <c r="TNH529" s="501"/>
      <c r="TNI529" s="501"/>
      <c r="TNJ529" s="501"/>
      <c r="TNK529" s="501"/>
      <c r="TNL529" s="501"/>
      <c r="TNM529" s="501"/>
      <c r="TNN529" s="501"/>
      <c r="TNO529" s="501"/>
      <c r="TNP529" s="501"/>
      <c r="TNQ529" s="501"/>
      <c r="TNR529" s="501"/>
      <c r="TNS529" s="501"/>
      <c r="TNT529" s="501"/>
      <c r="TNU529" s="501"/>
      <c r="TNV529" s="501"/>
      <c r="TNW529" s="501"/>
      <c r="TNX529" s="501"/>
      <c r="TNY529" s="501"/>
      <c r="TNZ529" s="501"/>
      <c r="TOA529" s="501"/>
      <c r="TOB529" s="501"/>
      <c r="TOC529" s="501"/>
      <c r="TOD529" s="501"/>
      <c r="TOE529" s="501"/>
      <c r="TOF529" s="501"/>
      <c r="TOG529" s="501"/>
      <c r="TOH529" s="501"/>
      <c r="TOI529" s="501"/>
      <c r="TOJ529" s="501"/>
      <c r="TOK529" s="501"/>
      <c r="TOL529" s="501"/>
      <c r="TOM529" s="501"/>
      <c r="TON529" s="501"/>
      <c r="TOO529" s="501"/>
      <c r="TOP529" s="501"/>
      <c r="TOQ529" s="501"/>
      <c r="TOR529" s="501"/>
      <c r="TOS529" s="501"/>
      <c r="TOT529" s="501"/>
      <c r="TOU529" s="501"/>
      <c r="TOV529" s="501"/>
      <c r="TOW529" s="501"/>
      <c r="TOX529" s="501"/>
      <c r="TOY529" s="501"/>
      <c r="TOZ529" s="501"/>
      <c r="TPA529" s="501"/>
      <c r="TPB529" s="501"/>
      <c r="TPC529" s="501"/>
      <c r="TPD529" s="501"/>
      <c r="TPE529" s="501"/>
      <c r="TPF529" s="501"/>
      <c r="TPG529" s="501"/>
      <c r="TPH529" s="501"/>
      <c r="TPI529" s="501"/>
      <c r="TPJ529" s="501"/>
      <c r="TPK529" s="501"/>
      <c r="TPL529" s="501"/>
      <c r="TPM529" s="501"/>
      <c r="TPN529" s="501"/>
      <c r="TPO529" s="501"/>
      <c r="TPP529" s="501"/>
      <c r="TPQ529" s="501"/>
      <c r="TPR529" s="501"/>
      <c r="TPS529" s="501"/>
      <c r="TPT529" s="501"/>
      <c r="TPU529" s="501"/>
      <c r="TPV529" s="501"/>
      <c r="TPW529" s="501"/>
      <c r="TPX529" s="501"/>
      <c r="TPY529" s="501"/>
      <c r="TPZ529" s="501"/>
      <c r="TQA529" s="501"/>
      <c r="TQB529" s="501"/>
      <c r="TQC529" s="501"/>
      <c r="TQD529" s="501"/>
      <c r="TQE529" s="501"/>
      <c r="TQF529" s="501"/>
      <c r="TQG529" s="501"/>
      <c r="TQH529" s="501"/>
      <c r="TQI529" s="501"/>
      <c r="TQJ529" s="501"/>
      <c r="TQK529" s="501"/>
      <c r="TQL529" s="501"/>
      <c r="TQM529" s="501"/>
      <c r="TQN529" s="501"/>
      <c r="TQO529" s="501"/>
      <c r="TQP529" s="501"/>
      <c r="TQQ529" s="501"/>
      <c r="TQR529" s="501"/>
      <c r="TQS529" s="501"/>
      <c r="TQT529" s="501"/>
      <c r="TQU529" s="501"/>
      <c r="TQV529" s="501"/>
      <c r="TQW529" s="501"/>
      <c r="TQX529" s="501"/>
      <c r="TQY529" s="501"/>
      <c r="TQZ529" s="501"/>
      <c r="TRA529" s="501"/>
      <c r="TRB529" s="501"/>
      <c r="TRC529" s="501"/>
      <c r="TRD529" s="501"/>
      <c r="TRE529" s="501"/>
      <c r="TRF529" s="501"/>
      <c r="TRG529" s="501"/>
      <c r="TRH529" s="501"/>
      <c r="TRI529" s="501"/>
      <c r="TRJ529" s="501"/>
      <c r="TRK529" s="501"/>
      <c r="TRL529" s="501"/>
      <c r="TRM529" s="501"/>
      <c r="TRN529" s="501"/>
      <c r="TRO529" s="501"/>
      <c r="TRP529" s="501"/>
      <c r="TRQ529" s="501"/>
      <c r="TRR529" s="501"/>
      <c r="TRS529" s="501"/>
      <c r="TRT529" s="501"/>
      <c r="TRU529" s="501"/>
      <c r="TRV529" s="501"/>
      <c r="TRW529" s="501"/>
      <c r="TRX529" s="501"/>
      <c r="TRY529" s="501"/>
      <c r="TRZ529" s="501"/>
      <c r="TSA529" s="501"/>
      <c r="TSB529" s="501"/>
      <c r="TSC529" s="501"/>
      <c r="TSD529" s="501"/>
      <c r="TSE529" s="501"/>
      <c r="TSF529" s="501"/>
      <c r="TSG529" s="501"/>
      <c r="TSH529" s="501"/>
      <c r="TSI529" s="501"/>
      <c r="TSJ529" s="501"/>
      <c r="TSK529" s="501"/>
      <c r="TSL529" s="501"/>
      <c r="TSM529" s="501"/>
      <c r="TSN529" s="501"/>
      <c r="TSO529" s="501"/>
      <c r="TSP529" s="501"/>
      <c r="TSQ529" s="501"/>
      <c r="TSR529" s="501"/>
      <c r="TSS529" s="501"/>
      <c r="TST529" s="501"/>
      <c r="TSU529" s="501"/>
      <c r="TSV529" s="501"/>
      <c r="TSW529" s="501"/>
      <c r="TSX529" s="501"/>
      <c r="TSY529" s="501"/>
      <c r="TSZ529" s="501"/>
      <c r="TTA529" s="501"/>
      <c r="TTB529" s="501"/>
      <c r="TTC529" s="501"/>
      <c r="TTD529" s="501"/>
      <c r="TTE529" s="501"/>
      <c r="TTF529" s="501"/>
      <c r="TTG529" s="501"/>
      <c r="TTH529" s="501"/>
      <c r="TTI529" s="501"/>
      <c r="TTJ529" s="501"/>
      <c r="TTK529" s="501"/>
      <c r="TTL529" s="501"/>
      <c r="TTM529" s="501"/>
      <c r="TTN529" s="501"/>
      <c r="TTO529" s="501"/>
      <c r="TTP529" s="501"/>
      <c r="TTQ529" s="501"/>
      <c r="TTR529" s="501"/>
      <c r="TTS529" s="501"/>
      <c r="TTT529" s="501"/>
      <c r="TTU529" s="501"/>
      <c r="TTV529" s="501"/>
      <c r="TTW529" s="501"/>
      <c r="TTX529" s="501"/>
      <c r="TTY529" s="501"/>
      <c r="TTZ529" s="501"/>
      <c r="TUA529" s="501"/>
      <c r="TUB529" s="501"/>
      <c r="TUC529" s="501"/>
      <c r="TUD529" s="501"/>
      <c r="TUE529" s="501"/>
      <c r="TUF529" s="501"/>
      <c r="TUG529" s="501"/>
      <c r="TUH529" s="501"/>
      <c r="TUI529" s="501"/>
      <c r="TUJ529" s="501"/>
      <c r="TUK529" s="501"/>
      <c r="TUL529" s="501"/>
      <c r="TUM529" s="501"/>
      <c r="TUN529" s="501"/>
      <c r="TUO529" s="501"/>
      <c r="TUP529" s="501"/>
      <c r="TUQ529" s="501"/>
      <c r="TUR529" s="501"/>
      <c r="TUS529" s="501"/>
      <c r="TUT529" s="501"/>
      <c r="TUU529" s="501"/>
      <c r="TUV529" s="501"/>
      <c r="TUW529" s="501"/>
      <c r="TUX529" s="501"/>
      <c r="TUY529" s="501"/>
      <c r="TUZ529" s="501"/>
      <c r="TVA529" s="501"/>
      <c r="TVB529" s="501"/>
      <c r="TVC529" s="501"/>
      <c r="TVD529" s="501"/>
      <c r="TVE529" s="501"/>
      <c r="TVF529" s="501"/>
      <c r="TVG529" s="501"/>
      <c r="TVH529" s="501"/>
      <c r="TVI529" s="501"/>
      <c r="TVJ529" s="501"/>
      <c r="TVK529" s="501"/>
      <c r="TVL529" s="501"/>
      <c r="TVM529" s="501"/>
      <c r="TVN529" s="501"/>
      <c r="TVO529" s="501"/>
      <c r="TVP529" s="501"/>
      <c r="TVQ529" s="501"/>
      <c r="TVR529" s="501"/>
      <c r="TVS529" s="501"/>
      <c r="TVT529" s="501"/>
      <c r="TVU529" s="501"/>
      <c r="TVV529" s="501"/>
      <c r="TVW529" s="501"/>
      <c r="TVX529" s="501"/>
      <c r="TVY529" s="501"/>
      <c r="TVZ529" s="501"/>
      <c r="TWA529" s="501"/>
      <c r="TWB529" s="501"/>
      <c r="TWC529" s="501"/>
      <c r="TWD529" s="501"/>
      <c r="TWE529" s="501"/>
      <c r="TWF529" s="501"/>
      <c r="TWG529" s="501"/>
      <c r="TWH529" s="501"/>
      <c r="TWI529" s="501"/>
      <c r="TWJ529" s="501"/>
      <c r="TWK529" s="501"/>
      <c r="TWL529" s="501"/>
      <c r="TWM529" s="501"/>
      <c r="TWN529" s="501"/>
      <c r="TWO529" s="501"/>
      <c r="TWP529" s="501"/>
      <c r="TWQ529" s="501"/>
      <c r="TWR529" s="501"/>
      <c r="TWS529" s="501"/>
      <c r="TWT529" s="501"/>
      <c r="TWU529" s="501"/>
      <c r="TWV529" s="501"/>
      <c r="TWW529" s="501"/>
      <c r="TWX529" s="501"/>
      <c r="TWY529" s="501"/>
      <c r="TWZ529" s="501"/>
      <c r="TXA529" s="501"/>
      <c r="TXB529" s="501"/>
      <c r="TXC529" s="501"/>
      <c r="TXD529" s="501"/>
      <c r="TXE529" s="501"/>
      <c r="TXF529" s="501"/>
      <c r="TXG529" s="501"/>
      <c r="TXH529" s="501"/>
      <c r="TXI529" s="501"/>
      <c r="TXJ529" s="501"/>
      <c r="TXK529" s="501"/>
      <c r="TXL529" s="501"/>
      <c r="TXM529" s="501"/>
      <c r="TXN529" s="501"/>
      <c r="TXO529" s="501"/>
      <c r="TXP529" s="501"/>
      <c r="TXQ529" s="501"/>
      <c r="TXR529" s="501"/>
      <c r="TXS529" s="501"/>
      <c r="TXT529" s="501"/>
      <c r="TXU529" s="501"/>
      <c r="TXV529" s="501"/>
      <c r="TXW529" s="501"/>
      <c r="TXX529" s="501"/>
      <c r="TXY529" s="501"/>
      <c r="TXZ529" s="501"/>
      <c r="TYA529" s="501"/>
      <c r="TYB529" s="501"/>
      <c r="TYC529" s="501"/>
      <c r="TYD529" s="501"/>
      <c r="TYE529" s="501"/>
      <c r="TYF529" s="501"/>
      <c r="TYG529" s="501"/>
      <c r="TYH529" s="501"/>
      <c r="TYI529" s="501"/>
      <c r="TYJ529" s="501"/>
      <c r="TYK529" s="501"/>
      <c r="TYL529" s="501"/>
      <c r="TYM529" s="501"/>
      <c r="TYN529" s="501"/>
      <c r="TYO529" s="501"/>
      <c r="TYP529" s="501"/>
      <c r="TYQ529" s="501"/>
      <c r="TYR529" s="501"/>
      <c r="TYS529" s="501"/>
      <c r="TYT529" s="501"/>
      <c r="TYU529" s="501"/>
      <c r="TYV529" s="501"/>
      <c r="TYW529" s="501"/>
      <c r="TYX529" s="501"/>
      <c r="TYY529" s="501"/>
      <c r="TYZ529" s="501"/>
      <c r="TZA529" s="501"/>
      <c r="TZB529" s="501"/>
      <c r="TZC529" s="501"/>
      <c r="TZD529" s="501"/>
      <c r="TZE529" s="501"/>
      <c r="TZF529" s="501"/>
      <c r="TZG529" s="501"/>
      <c r="TZH529" s="501"/>
      <c r="TZI529" s="501"/>
      <c r="TZJ529" s="501"/>
      <c r="TZK529" s="501"/>
      <c r="TZL529" s="501"/>
      <c r="TZM529" s="501"/>
      <c r="TZN529" s="501"/>
      <c r="TZO529" s="501"/>
      <c r="TZP529" s="501"/>
      <c r="TZQ529" s="501"/>
      <c r="TZR529" s="501"/>
      <c r="TZS529" s="501"/>
      <c r="TZT529" s="501"/>
      <c r="TZU529" s="501"/>
      <c r="TZV529" s="501"/>
      <c r="TZW529" s="501"/>
      <c r="TZX529" s="501"/>
      <c r="TZY529" s="501"/>
      <c r="TZZ529" s="501"/>
      <c r="UAA529" s="501"/>
      <c r="UAB529" s="501"/>
      <c r="UAC529" s="501"/>
      <c r="UAD529" s="501"/>
      <c r="UAE529" s="501"/>
      <c r="UAF529" s="501"/>
      <c r="UAG529" s="501"/>
      <c r="UAH529" s="501"/>
      <c r="UAI529" s="501"/>
      <c r="UAJ529" s="501"/>
      <c r="UAK529" s="501"/>
      <c r="UAL529" s="501"/>
      <c r="UAM529" s="501"/>
      <c r="UAN529" s="501"/>
      <c r="UAO529" s="501"/>
      <c r="UAP529" s="501"/>
      <c r="UAQ529" s="501"/>
      <c r="UAR529" s="501"/>
      <c r="UAS529" s="501"/>
      <c r="UAT529" s="501"/>
      <c r="UAU529" s="501"/>
      <c r="UAV529" s="501"/>
      <c r="UAW529" s="501"/>
      <c r="UAX529" s="501"/>
      <c r="UAY529" s="501"/>
      <c r="UAZ529" s="501"/>
      <c r="UBA529" s="501"/>
      <c r="UBB529" s="501"/>
      <c r="UBC529" s="501"/>
      <c r="UBD529" s="501"/>
      <c r="UBE529" s="501"/>
      <c r="UBF529" s="501"/>
      <c r="UBG529" s="501"/>
      <c r="UBH529" s="501"/>
      <c r="UBI529" s="501"/>
      <c r="UBJ529" s="501"/>
      <c r="UBK529" s="501"/>
      <c r="UBL529" s="501"/>
      <c r="UBM529" s="501"/>
      <c r="UBN529" s="501"/>
      <c r="UBO529" s="501"/>
      <c r="UBP529" s="501"/>
      <c r="UBQ529" s="501"/>
      <c r="UBR529" s="501"/>
      <c r="UBS529" s="501"/>
      <c r="UBT529" s="501"/>
      <c r="UBU529" s="501"/>
      <c r="UBV529" s="501"/>
      <c r="UBW529" s="501"/>
      <c r="UBX529" s="501"/>
      <c r="UBY529" s="501"/>
      <c r="UBZ529" s="501"/>
      <c r="UCA529" s="501"/>
      <c r="UCB529" s="501"/>
      <c r="UCC529" s="501"/>
      <c r="UCD529" s="501"/>
      <c r="UCE529" s="501"/>
      <c r="UCF529" s="501"/>
      <c r="UCG529" s="501"/>
      <c r="UCH529" s="501"/>
      <c r="UCI529" s="501"/>
      <c r="UCJ529" s="501"/>
      <c r="UCK529" s="501"/>
      <c r="UCL529" s="501"/>
      <c r="UCM529" s="501"/>
      <c r="UCN529" s="501"/>
      <c r="UCO529" s="501"/>
      <c r="UCP529" s="501"/>
      <c r="UCQ529" s="501"/>
      <c r="UCR529" s="501"/>
      <c r="UCS529" s="501"/>
      <c r="UCT529" s="501"/>
      <c r="UCU529" s="501"/>
      <c r="UCV529" s="501"/>
      <c r="UCW529" s="501"/>
      <c r="UCX529" s="501"/>
      <c r="UCY529" s="501"/>
      <c r="UCZ529" s="501"/>
      <c r="UDA529" s="501"/>
      <c r="UDB529" s="501"/>
      <c r="UDC529" s="501"/>
      <c r="UDD529" s="501"/>
      <c r="UDE529" s="501"/>
      <c r="UDF529" s="501"/>
      <c r="UDG529" s="501"/>
      <c r="UDH529" s="501"/>
      <c r="UDI529" s="501"/>
      <c r="UDJ529" s="501"/>
      <c r="UDK529" s="501"/>
      <c r="UDL529" s="501"/>
      <c r="UDM529" s="501"/>
      <c r="UDN529" s="501"/>
      <c r="UDO529" s="501"/>
      <c r="UDP529" s="501"/>
      <c r="UDQ529" s="501"/>
      <c r="UDR529" s="501"/>
      <c r="UDS529" s="501"/>
      <c r="UDT529" s="501"/>
      <c r="UDU529" s="501"/>
      <c r="UDV529" s="501"/>
      <c r="UDW529" s="501"/>
      <c r="UDX529" s="501"/>
      <c r="UDY529" s="501"/>
      <c r="UDZ529" s="501"/>
      <c r="UEA529" s="501"/>
      <c r="UEB529" s="501"/>
      <c r="UEC529" s="501"/>
      <c r="UED529" s="501"/>
      <c r="UEE529" s="501"/>
      <c r="UEF529" s="501"/>
      <c r="UEG529" s="501"/>
      <c r="UEH529" s="501"/>
      <c r="UEI529" s="501"/>
      <c r="UEJ529" s="501"/>
      <c r="UEK529" s="501"/>
      <c r="UEL529" s="501"/>
      <c r="UEM529" s="501"/>
      <c r="UEN529" s="501"/>
      <c r="UEO529" s="501"/>
      <c r="UEP529" s="501"/>
      <c r="UEQ529" s="501"/>
      <c r="UER529" s="501"/>
      <c r="UES529" s="501"/>
      <c r="UET529" s="501"/>
      <c r="UEU529" s="501"/>
      <c r="UEV529" s="501"/>
      <c r="UEW529" s="501"/>
      <c r="UEX529" s="501"/>
      <c r="UEY529" s="501"/>
      <c r="UEZ529" s="501"/>
      <c r="UFA529" s="501"/>
      <c r="UFB529" s="501"/>
      <c r="UFC529" s="501"/>
      <c r="UFD529" s="501"/>
      <c r="UFE529" s="501"/>
      <c r="UFF529" s="501"/>
      <c r="UFG529" s="501"/>
      <c r="UFH529" s="501"/>
      <c r="UFI529" s="501"/>
      <c r="UFJ529" s="501"/>
      <c r="UFK529" s="501"/>
      <c r="UFL529" s="501"/>
      <c r="UFM529" s="501"/>
      <c r="UFN529" s="501"/>
      <c r="UFO529" s="501"/>
      <c r="UFP529" s="501"/>
      <c r="UFQ529" s="501"/>
      <c r="UFR529" s="501"/>
      <c r="UFS529" s="501"/>
      <c r="UFT529" s="501"/>
      <c r="UFU529" s="501"/>
      <c r="UFV529" s="501"/>
      <c r="UFW529" s="501"/>
      <c r="UFX529" s="501"/>
      <c r="UFY529" s="501"/>
      <c r="UFZ529" s="501"/>
      <c r="UGA529" s="501"/>
      <c r="UGB529" s="501"/>
      <c r="UGC529" s="501"/>
      <c r="UGD529" s="501"/>
      <c r="UGE529" s="501"/>
      <c r="UGF529" s="501"/>
      <c r="UGG529" s="501"/>
      <c r="UGH529" s="501"/>
      <c r="UGI529" s="501"/>
      <c r="UGJ529" s="501"/>
      <c r="UGK529" s="501"/>
      <c r="UGL529" s="501"/>
      <c r="UGM529" s="501"/>
      <c r="UGN529" s="501"/>
      <c r="UGO529" s="501"/>
      <c r="UGP529" s="501"/>
      <c r="UGQ529" s="501"/>
      <c r="UGR529" s="501"/>
      <c r="UGS529" s="501"/>
      <c r="UGT529" s="501"/>
      <c r="UGU529" s="501"/>
      <c r="UGV529" s="501"/>
      <c r="UGW529" s="501"/>
      <c r="UGX529" s="501"/>
      <c r="UGY529" s="501"/>
      <c r="UGZ529" s="501"/>
      <c r="UHA529" s="501"/>
      <c r="UHB529" s="501"/>
      <c r="UHC529" s="501"/>
      <c r="UHD529" s="501"/>
      <c r="UHE529" s="501"/>
      <c r="UHF529" s="501"/>
      <c r="UHG529" s="501"/>
      <c r="UHH529" s="501"/>
      <c r="UHI529" s="501"/>
      <c r="UHJ529" s="501"/>
      <c r="UHK529" s="501"/>
      <c r="UHL529" s="501"/>
      <c r="UHM529" s="501"/>
      <c r="UHN529" s="501"/>
      <c r="UHO529" s="501"/>
      <c r="UHP529" s="501"/>
      <c r="UHQ529" s="501"/>
      <c r="UHR529" s="501"/>
      <c r="UHS529" s="501"/>
      <c r="UHT529" s="501"/>
      <c r="UHU529" s="501"/>
      <c r="UHV529" s="501"/>
      <c r="UHW529" s="501"/>
      <c r="UHX529" s="501"/>
      <c r="UHY529" s="501"/>
      <c r="UHZ529" s="501"/>
      <c r="UIA529" s="501"/>
      <c r="UIB529" s="501"/>
      <c r="UIC529" s="501"/>
      <c r="UID529" s="501"/>
      <c r="UIE529" s="501"/>
      <c r="UIF529" s="501"/>
      <c r="UIG529" s="501"/>
      <c r="UIH529" s="501"/>
      <c r="UII529" s="501"/>
      <c r="UIJ529" s="501"/>
      <c r="UIK529" s="501"/>
      <c r="UIL529" s="501"/>
      <c r="UIM529" s="501"/>
      <c r="UIN529" s="501"/>
      <c r="UIO529" s="501"/>
      <c r="UIP529" s="501"/>
      <c r="UIQ529" s="501"/>
      <c r="UIR529" s="501"/>
      <c r="UIS529" s="501"/>
      <c r="UIT529" s="501"/>
      <c r="UIU529" s="501"/>
      <c r="UIV529" s="501"/>
      <c r="UIW529" s="501"/>
      <c r="UIX529" s="501"/>
      <c r="UIY529" s="501"/>
      <c r="UIZ529" s="501"/>
      <c r="UJA529" s="501"/>
      <c r="UJB529" s="501"/>
      <c r="UJC529" s="501"/>
      <c r="UJD529" s="501"/>
      <c r="UJE529" s="501"/>
      <c r="UJF529" s="501"/>
      <c r="UJG529" s="501"/>
      <c r="UJH529" s="501"/>
      <c r="UJI529" s="501"/>
      <c r="UJJ529" s="501"/>
      <c r="UJK529" s="501"/>
      <c r="UJL529" s="501"/>
      <c r="UJM529" s="501"/>
      <c r="UJN529" s="501"/>
      <c r="UJO529" s="501"/>
      <c r="UJP529" s="501"/>
      <c r="UJQ529" s="501"/>
      <c r="UJR529" s="501"/>
      <c r="UJS529" s="501"/>
      <c r="UJT529" s="501"/>
      <c r="UJU529" s="501"/>
      <c r="UJV529" s="501"/>
      <c r="UJW529" s="501"/>
      <c r="UJX529" s="501"/>
      <c r="UJY529" s="501"/>
      <c r="UJZ529" s="501"/>
      <c r="UKA529" s="501"/>
      <c r="UKB529" s="501"/>
      <c r="UKC529" s="501"/>
      <c r="UKD529" s="501"/>
      <c r="UKE529" s="501"/>
      <c r="UKF529" s="501"/>
      <c r="UKG529" s="501"/>
      <c r="UKH529" s="501"/>
      <c r="UKI529" s="501"/>
      <c r="UKJ529" s="501"/>
      <c r="UKK529" s="501"/>
      <c r="UKL529" s="501"/>
      <c r="UKM529" s="501"/>
      <c r="UKN529" s="501"/>
      <c r="UKO529" s="501"/>
      <c r="UKP529" s="501"/>
      <c r="UKQ529" s="501"/>
      <c r="UKR529" s="501"/>
      <c r="UKS529" s="501"/>
      <c r="UKT529" s="501"/>
      <c r="UKU529" s="501"/>
      <c r="UKV529" s="501"/>
      <c r="UKW529" s="501"/>
      <c r="UKX529" s="501"/>
      <c r="UKY529" s="501"/>
      <c r="UKZ529" s="501"/>
      <c r="ULA529" s="501"/>
      <c r="ULB529" s="501"/>
      <c r="ULC529" s="501"/>
      <c r="ULD529" s="501"/>
      <c r="ULE529" s="501"/>
      <c r="ULF529" s="501"/>
      <c r="ULG529" s="501"/>
      <c r="ULH529" s="501"/>
      <c r="ULI529" s="501"/>
      <c r="ULJ529" s="501"/>
      <c r="ULK529" s="501"/>
      <c r="ULL529" s="501"/>
      <c r="ULM529" s="501"/>
      <c r="ULN529" s="501"/>
      <c r="ULO529" s="501"/>
      <c r="ULP529" s="501"/>
      <c r="ULQ529" s="501"/>
      <c r="ULR529" s="501"/>
      <c r="ULS529" s="501"/>
      <c r="ULT529" s="501"/>
      <c r="ULU529" s="501"/>
      <c r="ULV529" s="501"/>
      <c r="ULW529" s="501"/>
      <c r="ULX529" s="501"/>
      <c r="ULY529" s="501"/>
      <c r="ULZ529" s="501"/>
      <c r="UMA529" s="501"/>
      <c r="UMB529" s="501"/>
      <c r="UMC529" s="501"/>
      <c r="UMD529" s="501"/>
      <c r="UME529" s="501"/>
      <c r="UMF529" s="501"/>
      <c r="UMG529" s="501"/>
      <c r="UMH529" s="501"/>
      <c r="UMI529" s="501"/>
      <c r="UMJ529" s="501"/>
      <c r="UMK529" s="501"/>
      <c r="UML529" s="501"/>
      <c r="UMM529" s="501"/>
      <c r="UMN529" s="501"/>
      <c r="UMO529" s="501"/>
      <c r="UMP529" s="501"/>
      <c r="UMQ529" s="501"/>
      <c r="UMR529" s="501"/>
      <c r="UMS529" s="501"/>
      <c r="UMT529" s="501"/>
      <c r="UMU529" s="501"/>
      <c r="UMV529" s="501"/>
      <c r="UMW529" s="501"/>
      <c r="UMX529" s="501"/>
      <c r="UMY529" s="501"/>
      <c r="UMZ529" s="501"/>
      <c r="UNA529" s="501"/>
      <c r="UNB529" s="501"/>
      <c r="UNC529" s="501"/>
      <c r="UND529" s="501"/>
      <c r="UNE529" s="501"/>
      <c r="UNF529" s="501"/>
      <c r="UNG529" s="501"/>
      <c r="UNH529" s="501"/>
      <c r="UNI529" s="501"/>
      <c r="UNJ529" s="501"/>
      <c r="UNK529" s="501"/>
      <c r="UNL529" s="501"/>
      <c r="UNM529" s="501"/>
      <c r="UNN529" s="501"/>
      <c r="UNO529" s="501"/>
      <c r="UNP529" s="501"/>
      <c r="UNQ529" s="501"/>
      <c r="UNR529" s="501"/>
      <c r="UNS529" s="501"/>
      <c r="UNT529" s="501"/>
      <c r="UNU529" s="501"/>
      <c r="UNV529" s="501"/>
      <c r="UNW529" s="501"/>
      <c r="UNX529" s="501"/>
      <c r="UNY529" s="501"/>
      <c r="UNZ529" s="501"/>
      <c r="UOA529" s="501"/>
      <c r="UOB529" s="501"/>
      <c r="UOC529" s="501"/>
      <c r="UOD529" s="501"/>
      <c r="UOE529" s="501"/>
      <c r="UOF529" s="501"/>
      <c r="UOG529" s="501"/>
      <c r="UOH529" s="501"/>
      <c r="UOI529" s="501"/>
      <c r="UOJ529" s="501"/>
      <c r="UOK529" s="501"/>
      <c r="UOL529" s="501"/>
      <c r="UOM529" s="501"/>
      <c r="UON529" s="501"/>
      <c r="UOO529" s="501"/>
      <c r="UOP529" s="501"/>
      <c r="UOQ529" s="501"/>
      <c r="UOR529" s="501"/>
      <c r="UOS529" s="501"/>
      <c r="UOT529" s="501"/>
      <c r="UOU529" s="501"/>
      <c r="UOV529" s="501"/>
      <c r="UOW529" s="501"/>
      <c r="UOX529" s="501"/>
      <c r="UOY529" s="501"/>
      <c r="UOZ529" s="501"/>
      <c r="UPA529" s="501"/>
      <c r="UPB529" s="501"/>
      <c r="UPC529" s="501"/>
      <c r="UPD529" s="501"/>
      <c r="UPE529" s="501"/>
      <c r="UPF529" s="501"/>
      <c r="UPG529" s="501"/>
      <c r="UPH529" s="501"/>
      <c r="UPI529" s="501"/>
      <c r="UPJ529" s="501"/>
      <c r="UPK529" s="501"/>
      <c r="UPL529" s="501"/>
      <c r="UPM529" s="501"/>
      <c r="UPN529" s="501"/>
      <c r="UPO529" s="501"/>
      <c r="UPP529" s="501"/>
      <c r="UPQ529" s="501"/>
      <c r="UPR529" s="501"/>
      <c r="UPS529" s="501"/>
      <c r="UPT529" s="501"/>
      <c r="UPU529" s="501"/>
      <c r="UPV529" s="501"/>
      <c r="UPW529" s="501"/>
      <c r="UPX529" s="501"/>
      <c r="UPY529" s="501"/>
      <c r="UPZ529" s="501"/>
      <c r="UQA529" s="501"/>
      <c r="UQB529" s="501"/>
      <c r="UQC529" s="501"/>
      <c r="UQD529" s="501"/>
      <c r="UQE529" s="501"/>
      <c r="UQF529" s="501"/>
      <c r="UQG529" s="501"/>
      <c r="UQH529" s="501"/>
      <c r="UQI529" s="501"/>
      <c r="UQJ529" s="501"/>
      <c r="UQK529" s="501"/>
      <c r="UQL529" s="501"/>
      <c r="UQM529" s="501"/>
      <c r="UQN529" s="501"/>
      <c r="UQO529" s="501"/>
      <c r="UQP529" s="501"/>
      <c r="UQQ529" s="501"/>
      <c r="UQR529" s="501"/>
      <c r="UQS529" s="501"/>
      <c r="UQT529" s="501"/>
      <c r="UQU529" s="501"/>
      <c r="UQV529" s="501"/>
      <c r="UQW529" s="501"/>
      <c r="UQX529" s="501"/>
      <c r="UQY529" s="501"/>
      <c r="UQZ529" s="501"/>
      <c r="URA529" s="501"/>
      <c r="URB529" s="501"/>
      <c r="URC529" s="501"/>
      <c r="URD529" s="501"/>
      <c r="URE529" s="501"/>
      <c r="URF529" s="501"/>
      <c r="URG529" s="501"/>
      <c r="URH529" s="501"/>
      <c r="URI529" s="501"/>
      <c r="URJ529" s="501"/>
      <c r="URK529" s="501"/>
      <c r="URL529" s="501"/>
      <c r="URM529" s="501"/>
      <c r="URN529" s="501"/>
      <c r="URO529" s="501"/>
      <c r="URP529" s="501"/>
      <c r="URQ529" s="501"/>
      <c r="URR529" s="501"/>
      <c r="URS529" s="501"/>
      <c r="URT529" s="501"/>
      <c r="URU529" s="501"/>
      <c r="URV529" s="501"/>
      <c r="URW529" s="501"/>
      <c r="URX529" s="501"/>
      <c r="URY529" s="501"/>
      <c r="URZ529" s="501"/>
      <c r="USA529" s="501"/>
      <c r="USB529" s="501"/>
      <c r="USC529" s="501"/>
      <c r="USD529" s="501"/>
      <c r="USE529" s="501"/>
      <c r="USF529" s="501"/>
      <c r="USG529" s="501"/>
      <c r="USH529" s="501"/>
      <c r="USI529" s="501"/>
      <c r="USJ529" s="501"/>
      <c r="USK529" s="501"/>
      <c r="USL529" s="501"/>
      <c r="USM529" s="501"/>
      <c r="USN529" s="501"/>
      <c r="USO529" s="501"/>
      <c r="USP529" s="501"/>
      <c r="USQ529" s="501"/>
      <c r="USR529" s="501"/>
      <c r="USS529" s="501"/>
      <c r="UST529" s="501"/>
      <c r="USU529" s="501"/>
      <c r="USV529" s="501"/>
      <c r="USW529" s="501"/>
      <c r="USX529" s="501"/>
      <c r="USY529" s="501"/>
      <c r="USZ529" s="501"/>
      <c r="UTA529" s="501"/>
      <c r="UTB529" s="501"/>
      <c r="UTC529" s="501"/>
      <c r="UTD529" s="501"/>
      <c r="UTE529" s="501"/>
      <c r="UTF529" s="501"/>
      <c r="UTG529" s="501"/>
      <c r="UTH529" s="501"/>
      <c r="UTI529" s="501"/>
      <c r="UTJ529" s="501"/>
      <c r="UTK529" s="501"/>
      <c r="UTL529" s="501"/>
      <c r="UTM529" s="501"/>
      <c r="UTN529" s="501"/>
      <c r="UTO529" s="501"/>
      <c r="UTP529" s="501"/>
      <c r="UTQ529" s="501"/>
      <c r="UTR529" s="501"/>
      <c r="UTS529" s="501"/>
      <c r="UTT529" s="501"/>
      <c r="UTU529" s="501"/>
      <c r="UTV529" s="501"/>
      <c r="UTW529" s="501"/>
      <c r="UTX529" s="501"/>
      <c r="UTY529" s="501"/>
      <c r="UTZ529" s="501"/>
      <c r="UUA529" s="501"/>
      <c r="UUB529" s="501"/>
      <c r="UUC529" s="501"/>
      <c r="UUD529" s="501"/>
      <c r="UUE529" s="501"/>
      <c r="UUF529" s="501"/>
      <c r="UUG529" s="501"/>
      <c r="UUH529" s="501"/>
      <c r="UUI529" s="501"/>
      <c r="UUJ529" s="501"/>
      <c r="UUK529" s="501"/>
      <c r="UUL529" s="501"/>
      <c r="UUM529" s="501"/>
      <c r="UUN529" s="501"/>
      <c r="UUO529" s="501"/>
      <c r="UUP529" s="501"/>
      <c r="UUQ529" s="501"/>
      <c r="UUR529" s="501"/>
      <c r="UUS529" s="501"/>
      <c r="UUT529" s="501"/>
      <c r="UUU529" s="501"/>
      <c r="UUV529" s="501"/>
      <c r="UUW529" s="501"/>
      <c r="UUX529" s="501"/>
      <c r="UUY529" s="501"/>
      <c r="UUZ529" s="501"/>
      <c r="UVA529" s="501"/>
      <c r="UVB529" s="501"/>
      <c r="UVC529" s="501"/>
      <c r="UVD529" s="501"/>
      <c r="UVE529" s="501"/>
      <c r="UVF529" s="501"/>
      <c r="UVG529" s="501"/>
      <c r="UVH529" s="501"/>
      <c r="UVI529" s="501"/>
      <c r="UVJ529" s="501"/>
      <c r="UVK529" s="501"/>
      <c r="UVL529" s="501"/>
      <c r="UVM529" s="501"/>
      <c r="UVN529" s="501"/>
      <c r="UVO529" s="501"/>
      <c r="UVP529" s="501"/>
      <c r="UVQ529" s="501"/>
      <c r="UVR529" s="501"/>
      <c r="UVS529" s="501"/>
      <c r="UVT529" s="501"/>
      <c r="UVU529" s="501"/>
      <c r="UVV529" s="501"/>
      <c r="UVW529" s="501"/>
      <c r="UVX529" s="501"/>
      <c r="UVY529" s="501"/>
      <c r="UVZ529" s="501"/>
      <c r="UWA529" s="501"/>
      <c r="UWB529" s="501"/>
      <c r="UWC529" s="501"/>
      <c r="UWD529" s="501"/>
      <c r="UWE529" s="501"/>
      <c r="UWF529" s="501"/>
      <c r="UWG529" s="501"/>
      <c r="UWH529" s="501"/>
      <c r="UWI529" s="501"/>
      <c r="UWJ529" s="501"/>
      <c r="UWK529" s="501"/>
      <c r="UWL529" s="501"/>
      <c r="UWM529" s="501"/>
      <c r="UWN529" s="501"/>
      <c r="UWO529" s="501"/>
      <c r="UWP529" s="501"/>
      <c r="UWQ529" s="501"/>
      <c r="UWR529" s="501"/>
      <c r="UWS529" s="501"/>
      <c r="UWT529" s="501"/>
      <c r="UWU529" s="501"/>
      <c r="UWV529" s="501"/>
      <c r="UWW529" s="501"/>
      <c r="UWX529" s="501"/>
      <c r="UWY529" s="501"/>
      <c r="UWZ529" s="501"/>
      <c r="UXA529" s="501"/>
      <c r="UXB529" s="501"/>
      <c r="UXC529" s="501"/>
      <c r="UXD529" s="501"/>
      <c r="UXE529" s="501"/>
      <c r="UXF529" s="501"/>
      <c r="UXG529" s="501"/>
      <c r="UXH529" s="501"/>
      <c r="UXI529" s="501"/>
      <c r="UXJ529" s="501"/>
      <c r="UXK529" s="501"/>
      <c r="UXL529" s="501"/>
      <c r="UXM529" s="501"/>
      <c r="UXN529" s="501"/>
      <c r="UXO529" s="501"/>
      <c r="UXP529" s="501"/>
      <c r="UXQ529" s="501"/>
      <c r="UXR529" s="501"/>
      <c r="UXS529" s="501"/>
      <c r="UXT529" s="501"/>
      <c r="UXU529" s="501"/>
      <c r="UXV529" s="501"/>
      <c r="UXW529" s="501"/>
      <c r="UXX529" s="501"/>
      <c r="UXY529" s="501"/>
      <c r="UXZ529" s="501"/>
      <c r="UYA529" s="501"/>
      <c r="UYB529" s="501"/>
      <c r="UYC529" s="501"/>
      <c r="UYD529" s="501"/>
      <c r="UYE529" s="501"/>
      <c r="UYF529" s="501"/>
      <c r="UYG529" s="501"/>
      <c r="UYH529" s="501"/>
      <c r="UYI529" s="501"/>
      <c r="UYJ529" s="501"/>
      <c r="UYK529" s="501"/>
      <c r="UYL529" s="501"/>
      <c r="UYM529" s="501"/>
      <c r="UYN529" s="501"/>
      <c r="UYO529" s="501"/>
      <c r="UYP529" s="501"/>
      <c r="UYQ529" s="501"/>
      <c r="UYR529" s="501"/>
      <c r="UYS529" s="501"/>
      <c r="UYT529" s="501"/>
      <c r="UYU529" s="501"/>
      <c r="UYV529" s="501"/>
      <c r="UYW529" s="501"/>
      <c r="UYX529" s="501"/>
      <c r="UYY529" s="501"/>
      <c r="UYZ529" s="501"/>
      <c r="UZA529" s="501"/>
      <c r="UZB529" s="501"/>
      <c r="UZC529" s="501"/>
      <c r="UZD529" s="501"/>
      <c r="UZE529" s="501"/>
      <c r="UZF529" s="501"/>
      <c r="UZG529" s="501"/>
      <c r="UZH529" s="501"/>
      <c r="UZI529" s="501"/>
      <c r="UZJ529" s="501"/>
      <c r="UZK529" s="501"/>
      <c r="UZL529" s="501"/>
      <c r="UZM529" s="501"/>
      <c r="UZN529" s="501"/>
      <c r="UZO529" s="501"/>
      <c r="UZP529" s="501"/>
      <c r="UZQ529" s="501"/>
      <c r="UZR529" s="501"/>
      <c r="UZS529" s="501"/>
      <c r="UZT529" s="501"/>
      <c r="UZU529" s="501"/>
      <c r="UZV529" s="501"/>
      <c r="UZW529" s="501"/>
      <c r="UZX529" s="501"/>
      <c r="UZY529" s="501"/>
      <c r="UZZ529" s="501"/>
      <c r="VAA529" s="501"/>
      <c r="VAB529" s="501"/>
      <c r="VAC529" s="501"/>
      <c r="VAD529" s="501"/>
      <c r="VAE529" s="501"/>
      <c r="VAF529" s="501"/>
      <c r="VAG529" s="501"/>
      <c r="VAH529" s="501"/>
      <c r="VAI529" s="501"/>
      <c r="VAJ529" s="501"/>
      <c r="VAK529" s="501"/>
      <c r="VAL529" s="501"/>
      <c r="VAM529" s="501"/>
      <c r="VAN529" s="501"/>
      <c r="VAO529" s="501"/>
      <c r="VAP529" s="501"/>
      <c r="VAQ529" s="501"/>
      <c r="VAR529" s="501"/>
      <c r="VAS529" s="501"/>
      <c r="VAT529" s="501"/>
      <c r="VAU529" s="501"/>
      <c r="VAV529" s="501"/>
      <c r="VAW529" s="501"/>
      <c r="VAX529" s="501"/>
      <c r="VAY529" s="501"/>
      <c r="VAZ529" s="501"/>
      <c r="VBA529" s="501"/>
      <c r="VBB529" s="501"/>
      <c r="VBC529" s="501"/>
      <c r="VBD529" s="501"/>
      <c r="VBE529" s="501"/>
      <c r="VBF529" s="501"/>
      <c r="VBG529" s="501"/>
      <c r="VBH529" s="501"/>
      <c r="VBI529" s="501"/>
      <c r="VBJ529" s="501"/>
      <c r="VBK529" s="501"/>
      <c r="VBL529" s="501"/>
      <c r="VBM529" s="501"/>
      <c r="VBN529" s="501"/>
      <c r="VBO529" s="501"/>
      <c r="VBP529" s="501"/>
      <c r="VBQ529" s="501"/>
      <c r="VBR529" s="501"/>
      <c r="VBS529" s="501"/>
      <c r="VBT529" s="501"/>
      <c r="VBU529" s="501"/>
      <c r="VBV529" s="501"/>
      <c r="VBW529" s="501"/>
      <c r="VBX529" s="501"/>
      <c r="VBY529" s="501"/>
      <c r="VBZ529" s="501"/>
      <c r="VCA529" s="501"/>
      <c r="VCB529" s="501"/>
      <c r="VCC529" s="501"/>
      <c r="VCD529" s="501"/>
      <c r="VCE529" s="501"/>
      <c r="VCF529" s="501"/>
      <c r="VCG529" s="501"/>
      <c r="VCH529" s="501"/>
      <c r="VCI529" s="501"/>
      <c r="VCJ529" s="501"/>
      <c r="VCK529" s="501"/>
      <c r="VCL529" s="501"/>
      <c r="VCM529" s="501"/>
      <c r="VCN529" s="501"/>
      <c r="VCO529" s="501"/>
      <c r="VCP529" s="501"/>
      <c r="VCQ529" s="501"/>
      <c r="VCR529" s="501"/>
      <c r="VCS529" s="501"/>
      <c r="VCT529" s="501"/>
      <c r="VCU529" s="501"/>
      <c r="VCV529" s="501"/>
      <c r="VCW529" s="501"/>
      <c r="VCX529" s="501"/>
      <c r="VCY529" s="501"/>
      <c r="VCZ529" s="501"/>
      <c r="VDA529" s="501"/>
      <c r="VDB529" s="501"/>
      <c r="VDC529" s="501"/>
      <c r="VDD529" s="501"/>
      <c r="VDE529" s="501"/>
      <c r="VDF529" s="501"/>
      <c r="VDG529" s="501"/>
      <c r="VDH529" s="501"/>
      <c r="VDI529" s="501"/>
      <c r="VDJ529" s="501"/>
      <c r="VDK529" s="501"/>
      <c r="VDL529" s="501"/>
      <c r="VDM529" s="501"/>
      <c r="VDN529" s="501"/>
      <c r="VDO529" s="501"/>
      <c r="VDP529" s="501"/>
      <c r="VDQ529" s="501"/>
      <c r="VDR529" s="501"/>
      <c r="VDS529" s="501"/>
      <c r="VDT529" s="501"/>
      <c r="VDU529" s="501"/>
      <c r="VDV529" s="501"/>
      <c r="VDW529" s="501"/>
      <c r="VDX529" s="501"/>
      <c r="VDY529" s="501"/>
      <c r="VDZ529" s="501"/>
      <c r="VEA529" s="501"/>
      <c r="VEB529" s="501"/>
      <c r="VEC529" s="501"/>
      <c r="VED529" s="501"/>
      <c r="VEE529" s="501"/>
      <c r="VEF529" s="501"/>
      <c r="VEG529" s="501"/>
      <c r="VEH529" s="501"/>
      <c r="VEI529" s="501"/>
      <c r="VEJ529" s="501"/>
      <c r="VEK529" s="501"/>
      <c r="VEL529" s="501"/>
      <c r="VEM529" s="501"/>
      <c r="VEN529" s="501"/>
      <c r="VEO529" s="501"/>
      <c r="VEP529" s="501"/>
      <c r="VEQ529" s="501"/>
      <c r="VER529" s="501"/>
      <c r="VES529" s="501"/>
      <c r="VET529" s="501"/>
      <c r="VEU529" s="501"/>
      <c r="VEV529" s="501"/>
      <c r="VEW529" s="501"/>
      <c r="VEX529" s="501"/>
      <c r="VEY529" s="501"/>
      <c r="VEZ529" s="501"/>
      <c r="VFA529" s="501"/>
      <c r="VFB529" s="501"/>
      <c r="VFC529" s="501"/>
      <c r="VFD529" s="501"/>
      <c r="VFE529" s="501"/>
      <c r="VFF529" s="501"/>
      <c r="VFG529" s="501"/>
      <c r="VFH529" s="501"/>
      <c r="VFI529" s="501"/>
      <c r="VFJ529" s="501"/>
      <c r="VFK529" s="501"/>
      <c r="VFL529" s="501"/>
      <c r="VFM529" s="501"/>
      <c r="VFN529" s="501"/>
      <c r="VFO529" s="501"/>
      <c r="VFP529" s="501"/>
      <c r="VFQ529" s="501"/>
      <c r="VFR529" s="501"/>
      <c r="VFS529" s="501"/>
      <c r="VFT529" s="501"/>
      <c r="VFU529" s="501"/>
      <c r="VFV529" s="501"/>
      <c r="VFW529" s="501"/>
      <c r="VFX529" s="501"/>
      <c r="VFY529" s="501"/>
      <c r="VFZ529" s="501"/>
      <c r="VGA529" s="501"/>
      <c r="VGB529" s="501"/>
      <c r="VGC529" s="501"/>
      <c r="VGD529" s="501"/>
      <c r="VGE529" s="501"/>
      <c r="VGF529" s="501"/>
      <c r="VGG529" s="501"/>
      <c r="VGH529" s="501"/>
      <c r="VGI529" s="501"/>
      <c r="VGJ529" s="501"/>
      <c r="VGK529" s="501"/>
      <c r="VGL529" s="501"/>
      <c r="VGM529" s="501"/>
      <c r="VGN529" s="501"/>
      <c r="VGO529" s="501"/>
      <c r="VGP529" s="501"/>
      <c r="VGQ529" s="501"/>
      <c r="VGR529" s="501"/>
      <c r="VGS529" s="501"/>
      <c r="VGT529" s="501"/>
      <c r="VGU529" s="501"/>
      <c r="VGV529" s="501"/>
      <c r="VGW529" s="501"/>
      <c r="VGX529" s="501"/>
      <c r="VGY529" s="501"/>
      <c r="VGZ529" s="501"/>
      <c r="VHA529" s="501"/>
      <c r="VHB529" s="501"/>
      <c r="VHC529" s="501"/>
      <c r="VHD529" s="501"/>
      <c r="VHE529" s="501"/>
      <c r="VHF529" s="501"/>
      <c r="VHG529" s="501"/>
      <c r="VHH529" s="501"/>
      <c r="VHI529" s="501"/>
      <c r="VHJ529" s="501"/>
      <c r="VHK529" s="501"/>
      <c r="VHL529" s="501"/>
      <c r="VHM529" s="501"/>
      <c r="VHN529" s="501"/>
      <c r="VHO529" s="501"/>
      <c r="VHP529" s="501"/>
      <c r="VHQ529" s="501"/>
      <c r="VHR529" s="501"/>
      <c r="VHS529" s="501"/>
      <c r="VHT529" s="501"/>
      <c r="VHU529" s="501"/>
      <c r="VHV529" s="501"/>
      <c r="VHW529" s="501"/>
      <c r="VHX529" s="501"/>
      <c r="VHY529" s="501"/>
      <c r="VHZ529" s="501"/>
      <c r="VIA529" s="501"/>
      <c r="VIB529" s="501"/>
      <c r="VIC529" s="501"/>
      <c r="VID529" s="501"/>
      <c r="VIE529" s="501"/>
      <c r="VIF529" s="501"/>
      <c r="VIG529" s="501"/>
      <c r="VIH529" s="501"/>
      <c r="VII529" s="501"/>
      <c r="VIJ529" s="501"/>
      <c r="VIK529" s="501"/>
      <c r="VIL529" s="501"/>
      <c r="VIM529" s="501"/>
      <c r="VIN529" s="501"/>
      <c r="VIO529" s="501"/>
      <c r="VIP529" s="501"/>
      <c r="VIQ529" s="501"/>
      <c r="VIR529" s="501"/>
      <c r="VIS529" s="501"/>
      <c r="VIT529" s="501"/>
      <c r="VIU529" s="501"/>
      <c r="VIV529" s="501"/>
      <c r="VIW529" s="501"/>
      <c r="VIX529" s="501"/>
      <c r="VIY529" s="501"/>
      <c r="VIZ529" s="501"/>
      <c r="VJA529" s="501"/>
      <c r="VJB529" s="501"/>
      <c r="VJC529" s="501"/>
      <c r="VJD529" s="501"/>
      <c r="VJE529" s="501"/>
      <c r="VJF529" s="501"/>
      <c r="VJG529" s="501"/>
      <c r="VJH529" s="501"/>
      <c r="VJI529" s="501"/>
      <c r="VJJ529" s="501"/>
      <c r="VJK529" s="501"/>
      <c r="VJL529" s="501"/>
      <c r="VJM529" s="501"/>
      <c r="VJN529" s="501"/>
      <c r="VJO529" s="501"/>
      <c r="VJP529" s="501"/>
      <c r="VJQ529" s="501"/>
      <c r="VJR529" s="501"/>
      <c r="VJS529" s="501"/>
      <c r="VJT529" s="501"/>
      <c r="VJU529" s="501"/>
      <c r="VJV529" s="501"/>
      <c r="VJW529" s="501"/>
      <c r="VJX529" s="501"/>
      <c r="VJY529" s="501"/>
      <c r="VJZ529" s="501"/>
      <c r="VKA529" s="501"/>
      <c r="VKB529" s="501"/>
      <c r="VKC529" s="501"/>
      <c r="VKD529" s="501"/>
      <c r="VKE529" s="501"/>
      <c r="VKF529" s="501"/>
      <c r="VKG529" s="501"/>
      <c r="VKH529" s="501"/>
      <c r="VKI529" s="501"/>
      <c r="VKJ529" s="501"/>
      <c r="VKK529" s="501"/>
      <c r="VKL529" s="501"/>
      <c r="VKM529" s="501"/>
      <c r="VKN529" s="501"/>
      <c r="VKO529" s="501"/>
      <c r="VKP529" s="501"/>
      <c r="VKQ529" s="501"/>
      <c r="VKR529" s="501"/>
      <c r="VKS529" s="501"/>
      <c r="VKT529" s="501"/>
      <c r="VKU529" s="501"/>
      <c r="VKV529" s="501"/>
      <c r="VKW529" s="501"/>
      <c r="VKX529" s="501"/>
      <c r="VKY529" s="501"/>
      <c r="VKZ529" s="501"/>
      <c r="VLA529" s="501"/>
      <c r="VLB529" s="501"/>
      <c r="VLC529" s="501"/>
      <c r="VLD529" s="501"/>
      <c r="VLE529" s="501"/>
      <c r="VLF529" s="501"/>
      <c r="VLG529" s="501"/>
      <c r="VLH529" s="501"/>
      <c r="VLI529" s="501"/>
      <c r="VLJ529" s="501"/>
      <c r="VLK529" s="501"/>
      <c r="VLL529" s="501"/>
      <c r="VLM529" s="501"/>
      <c r="VLN529" s="501"/>
      <c r="VLO529" s="501"/>
      <c r="VLP529" s="501"/>
      <c r="VLQ529" s="501"/>
      <c r="VLR529" s="501"/>
      <c r="VLS529" s="501"/>
      <c r="VLT529" s="501"/>
      <c r="VLU529" s="501"/>
      <c r="VLV529" s="501"/>
      <c r="VLW529" s="501"/>
      <c r="VLX529" s="501"/>
      <c r="VLY529" s="501"/>
      <c r="VLZ529" s="501"/>
      <c r="VMA529" s="501"/>
      <c r="VMB529" s="501"/>
      <c r="VMC529" s="501"/>
      <c r="VMD529" s="501"/>
      <c r="VME529" s="501"/>
      <c r="VMF529" s="501"/>
      <c r="VMG529" s="501"/>
      <c r="VMH529" s="501"/>
      <c r="VMI529" s="501"/>
      <c r="VMJ529" s="501"/>
      <c r="VMK529" s="501"/>
      <c r="VML529" s="501"/>
      <c r="VMM529" s="501"/>
      <c r="VMN529" s="501"/>
      <c r="VMO529" s="501"/>
      <c r="VMP529" s="501"/>
      <c r="VMQ529" s="501"/>
      <c r="VMR529" s="501"/>
      <c r="VMS529" s="501"/>
      <c r="VMT529" s="501"/>
      <c r="VMU529" s="501"/>
      <c r="VMV529" s="501"/>
      <c r="VMW529" s="501"/>
      <c r="VMX529" s="501"/>
      <c r="VMY529" s="501"/>
      <c r="VMZ529" s="501"/>
      <c r="VNA529" s="501"/>
      <c r="VNB529" s="501"/>
      <c r="VNC529" s="501"/>
      <c r="VND529" s="501"/>
      <c r="VNE529" s="501"/>
      <c r="VNF529" s="501"/>
      <c r="VNG529" s="501"/>
      <c r="VNH529" s="501"/>
      <c r="VNI529" s="501"/>
      <c r="VNJ529" s="501"/>
      <c r="VNK529" s="501"/>
      <c r="VNL529" s="501"/>
      <c r="VNM529" s="501"/>
      <c r="VNN529" s="501"/>
      <c r="VNO529" s="501"/>
      <c r="VNP529" s="501"/>
      <c r="VNQ529" s="501"/>
      <c r="VNR529" s="501"/>
      <c r="VNS529" s="501"/>
      <c r="VNT529" s="501"/>
      <c r="VNU529" s="501"/>
      <c r="VNV529" s="501"/>
      <c r="VNW529" s="501"/>
      <c r="VNX529" s="501"/>
      <c r="VNY529" s="501"/>
      <c r="VNZ529" s="501"/>
      <c r="VOA529" s="501"/>
      <c r="VOB529" s="501"/>
      <c r="VOC529" s="501"/>
      <c r="VOD529" s="501"/>
      <c r="VOE529" s="501"/>
      <c r="VOF529" s="501"/>
      <c r="VOG529" s="501"/>
      <c r="VOH529" s="501"/>
      <c r="VOI529" s="501"/>
      <c r="VOJ529" s="501"/>
      <c r="VOK529" s="501"/>
      <c r="VOL529" s="501"/>
      <c r="VOM529" s="501"/>
      <c r="VON529" s="501"/>
      <c r="VOO529" s="501"/>
      <c r="VOP529" s="501"/>
      <c r="VOQ529" s="501"/>
      <c r="VOR529" s="501"/>
      <c r="VOS529" s="501"/>
      <c r="VOT529" s="501"/>
      <c r="VOU529" s="501"/>
      <c r="VOV529" s="501"/>
      <c r="VOW529" s="501"/>
      <c r="VOX529" s="501"/>
      <c r="VOY529" s="501"/>
      <c r="VOZ529" s="501"/>
      <c r="VPA529" s="501"/>
      <c r="VPB529" s="501"/>
      <c r="VPC529" s="501"/>
      <c r="VPD529" s="501"/>
      <c r="VPE529" s="501"/>
      <c r="VPF529" s="501"/>
      <c r="VPG529" s="501"/>
      <c r="VPH529" s="501"/>
      <c r="VPI529" s="501"/>
      <c r="VPJ529" s="501"/>
      <c r="VPK529" s="501"/>
      <c r="VPL529" s="501"/>
      <c r="VPM529" s="501"/>
      <c r="VPN529" s="501"/>
      <c r="VPO529" s="501"/>
      <c r="VPP529" s="501"/>
      <c r="VPQ529" s="501"/>
      <c r="VPR529" s="501"/>
      <c r="VPS529" s="501"/>
      <c r="VPT529" s="501"/>
      <c r="VPU529" s="501"/>
      <c r="VPV529" s="501"/>
      <c r="VPW529" s="501"/>
      <c r="VPX529" s="501"/>
      <c r="VPY529" s="501"/>
      <c r="VPZ529" s="501"/>
      <c r="VQA529" s="501"/>
      <c r="VQB529" s="501"/>
      <c r="VQC529" s="501"/>
      <c r="VQD529" s="501"/>
      <c r="VQE529" s="501"/>
      <c r="VQF529" s="501"/>
      <c r="VQG529" s="501"/>
      <c r="VQH529" s="501"/>
      <c r="VQI529" s="501"/>
      <c r="VQJ529" s="501"/>
      <c r="VQK529" s="501"/>
      <c r="VQL529" s="501"/>
      <c r="VQM529" s="501"/>
      <c r="VQN529" s="501"/>
      <c r="VQO529" s="501"/>
      <c r="VQP529" s="501"/>
      <c r="VQQ529" s="501"/>
      <c r="VQR529" s="501"/>
      <c r="VQS529" s="501"/>
      <c r="VQT529" s="501"/>
      <c r="VQU529" s="501"/>
      <c r="VQV529" s="501"/>
      <c r="VQW529" s="501"/>
      <c r="VQX529" s="501"/>
      <c r="VQY529" s="501"/>
      <c r="VQZ529" s="501"/>
      <c r="VRA529" s="501"/>
      <c r="VRB529" s="501"/>
      <c r="VRC529" s="501"/>
      <c r="VRD529" s="501"/>
      <c r="VRE529" s="501"/>
      <c r="VRF529" s="501"/>
      <c r="VRG529" s="501"/>
      <c r="VRH529" s="501"/>
      <c r="VRI529" s="501"/>
      <c r="VRJ529" s="501"/>
      <c r="VRK529" s="501"/>
      <c r="VRL529" s="501"/>
      <c r="VRM529" s="501"/>
      <c r="VRN529" s="501"/>
      <c r="VRO529" s="501"/>
      <c r="VRP529" s="501"/>
      <c r="VRQ529" s="501"/>
      <c r="VRR529" s="501"/>
      <c r="VRS529" s="501"/>
      <c r="VRT529" s="501"/>
      <c r="VRU529" s="501"/>
      <c r="VRV529" s="501"/>
      <c r="VRW529" s="501"/>
      <c r="VRX529" s="501"/>
      <c r="VRY529" s="501"/>
      <c r="VRZ529" s="501"/>
      <c r="VSA529" s="501"/>
      <c r="VSB529" s="501"/>
      <c r="VSC529" s="501"/>
      <c r="VSD529" s="501"/>
      <c r="VSE529" s="501"/>
      <c r="VSF529" s="501"/>
      <c r="VSG529" s="501"/>
      <c r="VSH529" s="501"/>
      <c r="VSI529" s="501"/>
      <c r="VSJ529" s="501"/>
      <c r="VSK529" s="501"/>
      <c r="VSL529" s="501"/>
      <c r="VSM529" s="501"/>
      <c r="VSN529" s="501"/>
      <c r="VSO529" s="501"/>
      <c r="VSP529" s="501"/>
      <c r="VSQ529" s="501"/>
      <c r="VSR529" s="501"/>
      <c r="VSS529" s="501"/>
      <c r="VST529" s="501"/>
      <c r="VSU529" s="501"/>
      <c r="VSV529" s="501"/>
      <c r="VSW529" s="501"/>
      <c r="VSX529" s="501"/>
      <c r="VSY529" s="501"/>
      <c r="VSZ529" s="501"/>
      <c r="VTA529" s="501"/>
      <c r="VTB529" s="501"/>
      <c r="VTC529" s="501"/>
      <c r="VTD529" s="501"/>
      <c r="VTE529" s="501"/>
      <c r="VTF529" s="501"/>
      <c r="VTG529" s="501"/>
      <c r="VTH529" s="501"/>
      <c r="VTI529" s="501"/>
      <c r="VTJ529" s="501"/>
      <c r="VTK529" s="501"/>
      <c r="VTL529" s="501"/>
      <c r="VTM529" s="501"/>
      <c r="VTN529" s="501"/>
      <c r="VTO529" s="501"/>
      <c r="VTP529" s="501"/>
      <c r="VTQ529" s="501"/>
      <c r="VTR529" s="501"/>
      <c r="VTS529" s="501"/>
      <c r="VTT529" s="501"/>
      <c r="VTU529" s="501"/>
      <c r="VTV529" s="501"/>
      <c r="VTW529" s="501"/>
      <c r="VTX529" s="501"/>
      <c r="VTY529" s="501"/>
      <c r="VTZ529" s="501"/>
      <c r="VUA529" s="501"/>
      <c r="VUB529" s="501"/>
      <c r="VUC529" s="501"/>
      <c r="VUD529" s="501"/>
      <c r="VUE529" s="501"/>
      <c r="VUF529" s="501"/>
      <c r="VUG529" s="501"/>
      <c r="VUH529" s="501"/>
      <c r="VUI529" s="501"/>
      <c r="VUJ529" s="501"/>
      <c r="VUK529" s="501"/>
      <c r="VUL529" s="501"/>
      <c r="VUM529" s="501"/>
      <c r="VUN529" s="501"/>
      <c r="VUO529" s="501"/>
      <c r="VUP529" s="501"/>
      <c r="VUQ529" s="501"/>
      <c r="VUR529" s="501"/>
      <c r="VUS529" s="501"/>
      <c r="VUT529" s="501"/>
      <c r="VUU529" s="501"/>
      <c r="VUV529" s="501"/>
      <c r="VUW529" s="501"/>
      <c r="VUX529" s="501"/>
      <c r="VUY529" s="501"/>
      <c r="VUZ529" s="501"/>
      <c r="VVA529" s="501"/>
      <c r="VVB529" s="501"/>
      <c r="VVC529" s="501"/>
      <c r="VVD529" s="501"/>
      <c r="VVE529" s="501"/>
      <c r="VVF529" s="501"/>
      <c r="VVG529" s="501"/>
      <c r="VVH529" s="501"/>
      <c r="VVI529" s="501"/>
      <c r="VVJ529" s="501"/>
      <c r="VVK529" s="501"/>
      <c r="VVL529" s="501"/>
      <c r="VVM529" s="501"/>
      <c r="VVN529" s="501"/>
      <c r="VVO529" s="501"/>
      <c r="VVP529" s="501"/>
      <c r="VVQ529" s="501"/>
      <c r="VVR529" s="501"/>
      <c r="VVS529" s="501"/>
      <c r="VVT529" s="501"/>
      <c r="VVU529" s="501"/>
      <c r="VVV529" s="501"/>
      <c r="VVW529" s="501"/>
      <c r="VVX529" s="501"/>
      <c r="VVY529" s="501"/>
      <c r="VVZ529" s="501"/>
      <c r="VWA529" s="501"/>
      <c r="VWB529" s="501"/>
      <c r="VWC529" s="501"/>
      <c r="VWD529" s="501"/>
      <c r="VWE529" s="501"/>
      <c r="VWF529" s="501"/>
      <c r="VWG529" s="501"/>
      <c r="VWH529" s="501"/>
      <c r="VWI529" s="501"/>
      <c r="VWJ529" s="501"/>
      <c r="VWK529" s="501"/>
      <c r="VWL529" s="501"/>
      <c r="VWM529" s="501"/>
      <c r="VWN529" s="501"/>
      <c r="VWO529" s="501"/>
      <c r="VWP529" s="501"/>
      <c r="VWQ529" s="501"/>
      <c r="VWR529" s="501"/>
      <c r="VWS529" s="501"/>
      <c r="VWT529" s="501"/>
      <c r="VWU529" s="501"/>
      <c r="VWV529" s="501"/>
      <c r="VWW529" s="501"/>
      <c r="VWX529" s="501"/>
      <c r="VWY529" s="501"/>
      <c r="VWZ529" s="501"/>
      <c r="VXA529" s="501"/>
      <c r="VXB529" s="501"/>
      <c r="VXC529" s="501"/>
      <c r="VXD529" s="501"/>
      <c r="VXE529" s="501"/>
      <c r="VXF529" s="501"/>
      <c r="VXG529" s="501"/>
      <c r="VXH529" s="501"/>
      <c r="VXI529" s="501"/>
      <c r="VXJ529" s="501"/>
      <c r="VXK529" s="501"/>
      <c r="VXL529" s="501"/>
      <c r="VXM529" s="501"/>
      <c r="VXN529" s="501"/>
      <c r="VXO529" s="501"/>
      <c r="VXP529" s="501"/>
      <c r="VXQ529" s="501"/>
      <c r="VXR529" s="501"/>
      <c r="VXS529" s="501"/>
      <c r="VXT529" s="501"/>
      <c r="VXU529" s="501"/>
      <c r="VXV529" s="501"/>
      <c r="VXW529" s="501"/>
      <c r="VXX529" s="501"/>
      <c r="VXY529" s="501"/>
      <c r="VXZ529" s="501"/>
      <c r="VYA529" s="501"/>
      <c r="VYB529" s="501"/>
      <c r="VYC529" s="501"/>
      <c r="VYD529" s="501"/>
      <c r="VYE529" s="501"/>
      <c r="VYF529" s="501"/>
      <c r="VYG529" s="501"/>
      <c r="VYH529" s="501"/>
      <c r="VYI529" s="501"/>
      <c r="VYJ529" s="501"/>
      <c r="VYK529" s="501"/>
      <c r="VYL529" s="501"/>
      <c r="VYM529" s="501"/>
      <c r="VYN529" s="501"/>
      <c r="VYO529" s="501"/>
      <c r="VYP529" s="501"/>
      <c r="VYQ529" s="501"/>
      <c r="VYR529" s="501"/>
      <c r="VYS529" s="501"/>
      <c r="VYT529" s="501"/>
      <c r="VYU529" s="501"/>
      <c r="VYV529" s="501"/>
      <c r="VYW529" s="501"/>
      <c r="VYX529" s="501"/>
      <c r="VYY529" s="501"/>
      <c r="VYZ529" s="501"/>
      <c r="VZA529" s="501"/>
      <c r="VZB529" s="501"/>
      <c r="VZC529" s="501"/>
      <c r="VZD529" s="501"/>
      <c r="VZE529" s="501"/>
      <c r="VZF529" s="501"/>
      <c r="VZG529" s="501"/>
      <c r="VZH529" s="501"/>
      <c r="VZI529" s="501"/>
      <c r="VZJ529" s="501"/>
      <c r="VZK529" s="501"/>
      <c r="VZL529" s="501"/>
      <c r="VZM529" s="501"/>
      <c r="VZN529" s="501"/>
      <c r="VZO529" s="501"/>
      <c r="VZP529" s="501"/>
      <c r="VZQ529" s="501"/>
      <c r="VZR529" s="501"/>
      <c r="VZS529" s="501"/>
      <c r="VZT529" s="501"/>
      <c r="VZU529" s="501"/>
      <c r="VZV529" s="501"/>
      <c r="VZW529" s="501"/>
      <c r="VZX529" s="501"/>
      <c r="VZY529" s="501"/>
      <c r="VZZ529" s="501"/>
      <c r="WAA529" s="501"/>
      <c r="WAB529" s="501"/>
      <c r="WAC529" s="501"/>
      <c r="WAD529" s="501"/>
      <c r="WAE529" s="501"/>
      <c r="WAF529" s="501"/>
      <c r="WAG529" s="501"/>
      <c r="WAH529" s="501"/>
      <c r="WAI529" s="501"/>
      <c r="WAJ529" s="501"/>
      <c r="WAK529" s="501"/>
      <c r="WAL529" s="501"/>
      <c r="WAM529" s="501"/>
      <c r="WAN529" s="501"/>
      <c r="WAO529" s="501"/>
      <c r="WAP529" s="501"/>
      <c r="WAQ529" s="501"/>
      <c r="WAR529" s="501"/>
      <c r="WAS529" s="501"/>
      <c r="WAT529" s="501"/>
      <c r="WAU529" s="501"/>
      <c r="WAV529" s="501"/>
      <c r="WAW529" s="501"/>
      <c r="WAX529" s="501"/>
      <c r="WAY529" s="501"/>
      <c r="WAZ529" s="501"/>
      <c r="WBA529" s="501"/>
      <c r="WBB529" s="501"/>
      <c r="WBC529" s="501"/>
      <c r="WBD529" s="501"/>
      <c r="WBE529" s="501"/>
      <c r="WBF529" s="501"/>
      <c r="WBG529" s="501"/>
      <c r="WBH529" s="501"/>
      <c r="WBI529" s="501"/>
      <c r="WBJ529" s="501"/>
      <c r="WBK529" s="501"/>
      <c r="WBL529" s="501"/>
      <c r="WBM529" s="501"/>
      <c r="WBN529" s="501"/>
      <c r="WBO529" s="501"/>
      <c r="WBP529" s="501"/>
      <c r="WBQ529" s="501"/>
      <c r="WBR529" s="501"/>
      <c r="WBS529" s="501"/>
      <c r="WBT529" s="501"/>
      <c r="WBU529" s="501"/>
      <c r="WBV529" s="501"/>
      <c r="WBW529" s="501"/>
      <c r="WBX529" s="501"/>
      <c r="WBY529" s="501"/>
      <c r="WBZ529" s="501"/>
      <c r="WCA529" s="501"/>
      <c r="WCB529" s="501"/>
      <c r="WCC529" s="501"/>
      <c r="WCD529" s="501"/>
      <c r="WCE529" s="501"/>
      <c r="WCF529" s="501"/>
      <c r="WCG529" s="501"/>
      <c r="WCH529" s="501"/>
      <c r="WCI529" s="501"/>
      <c r="WCJ529" s="501"/>
      <c r="WCK529" s="501"/>
      <c r="WCL529" s="501"/>
      <c r="WCM529" s="501"/>
      <c r="WCN529" s="501"/>
      <c r="WCO529" s="501"/>
      <c r="WCP529" s="501"/>
      <c r="WCQ529" s="501"/>
      <c r="WCR529" s="501"/>
      <c r="WCS529" s="501"/>
      <c r="WCT529" s="501"/>
      <c r="WCU529" s="501"/>
      <c r="WCV529" s="501"/>
      <c r="WCW529" s="501"/>
      <c r="WCX529" s="501"/>
      <c r="WCY529" s="501"/>
      <c r="WCZ529" s="501"/>
      <c r="WDA529" s="501"/>
      <c r="WDB529" s="501"/>
      <c r="WDC529" s="501"/>
      <c r="WDD529" s="501"/>
      <c r="WDE529" s="501"/>
      <c r="WDF529" s="501"/>
      <c r="WDG529" s="501"/>
      <c r="WDH529" s="501"/>
      <c r="WDI529" s="501"/>
      <c r="WDJ529" s="501"/>
      <c r="WDK529" s="501"/>
      <c r="WDL529" s="501"/>
      <c r="WDM529" s="501"/>
      <c r="WDN529" s="501"/>
      <c r="WDO529" s="501"/>
      <c r="WDP529" s="501"/>
      <c r="WDQ529" s="501"/>
      <c r="WDR529" s="501"/>
      <c r="WDS529" s="501"/>
      <c r="WDT529" s="501"/>
      <c r="WDU529" s="501"/>
      <c r="WDV529" s="501"/>
      <c r="WDW529" s="501"/>
      <c r="WDX529" s="501"/>
      <c r="WDY529" s="501"/>
      <c r="WDZ529" s="501"/>
      <c r="WEA529" s="501"/>
      <c r="WEB529" s="501"/>
      <c r="WEC529" s="501"/>
      <c r="WED529" s="501"/>
      <c r="WEE529" s="501"/>
      <c r="WEF529" s="501"/>
      <c r="WEG529" s="501"/>
      <c r="WEH529" s="501"/>
      <c r="WEI529" s="501"/>
      <c r="WEJ529" s="501"/>
      <c r="WEK529" s="501"/>
      <c r="WEL529" s="501"/>
      <c r="WEM529" s="501"/>
      <c r="WEN529" s="501"/>
      <c r="WEO529" s="501"/>
      <c r="WEP529" s="501"/>
      <c r="WEQ529" s="501"/>
      <c r="WER529" s="501"/>
      <c r="WES529" s="501"/>
      <c r="WET529" s="501"/>
      <c r="WEU529" s="501"/>
      <c r="WEV529" s="501"/>
      <c r="WEW529" s="501"/>
      <c r="WEX529" s="501"/>
      <c r="WEY529" s="501"/>
      <c r="WEZ529" s="501"/>
      <c r="WFA529" s="501"/>
      <c r="WFB529" s="501"/>
      <c r="WFC529" s="501"/>
      <c r="WFD529" s="501"/>
      <c r="WFE529" s="501"/>
      <c r="WFF529" s="501"/>
      <c r="WFG529" s="501"/>
      <c r="WFH529" s="501"/>
      <c r="WFI529" s="501"/>
      <c r="WFJ529" s="501"/>
      <c r="WFK529" s="501"/>
      <c r="WFL529" s="501"/>
      <c r="WFM529" s="501"/>
      <c r="WFN529" s="501"/>
      <c r="WFO529" s="501"/>
      <c r="WFP529" s="501"/>
      <c r="WFQ529" s="501"/>
      <c r="WFR529" s="501"/>
      <c r="WFS529" s="501"/>
      <c r="WFT529" s="501"/>
      <c r="WFU529" s="501"/>
      <c r="WFV529" s="501"/>
      <c r="WFW529" s="501"/>
      <c r="WFX529" s="501"/>
      <c r="WFY529" s="501"/>
      <c r="WFZ529" s="501"/>
      <c r="WGA529" s="501"/>
      <c r="WGB529" s="501"/>
      <c r="WGC529" s="501"/>
      <c r="WGD529" s="501"/>
      <c r="WGE529" s="501"/>
      <c r="WGF529" s="501"/>
      <c r="WGG529" s="501"/>
      <c r="WGH529" s="501"/>
      <c r="WGI529" s="501"/>
      <c r="WGJ529" s="501"/>
      <c r="WGK529" s="501"/>
      <c r="WGL529" s="501"/>
      <c r="WGM529" s="501"/>
      <c r="WGN529" s="501"/>
      <c r="WGO529" s="501"/>
      <c r="WGP529" s="501"/>
      <c r="WGQ529" s="501"/>
      <c r="WGR529" s="501"/>
      <c r="WGS529" s="501"/>
      <c r="WGT529" s="501"/>
      <c r="WGU529" s="501"/>
      <c r="WGV529" s="501"/>
      <c r="WGW529" s="501"/>
      <c r="WGX529" s="501"/>
      <c r="WGY529" s="501"/>
      <c r="WGZ529" s="501"/>
      <c r="WHA529" s="501"/>
      <c r="WHB529" s="501"/>
      <c r="WHC529" s="501"/>
      <c r="WHD529" s="501"/>
      <c r="WHE529" s="501"/>
      <c r="WHF529" s="501"/>
      <c r="WHG529" s="501"/>
      <c r="WHH529" s="501"/>
      <c r="WHI529" s="501"/>
      <c r="WHJ529" s="501"/>
      <c r="WHK529" s="501"/>
      <c r="WHL529" s="501"/>
      <c r="WHM529" s="501"/>
      <c r="WHN529" s="501"/>
      <c r="WHO529" s="501"/>
      <c r="WHP529" s="501"/>
      <c r="WHQ529" s="501"/>
      <c r="WHR529" s="501"/>
      <c r="WHS529" s="501"/>
      <c r="WHT529" s="501"/>
      <c r="WHU529" s="501"/>
      <c r="WHV529" s="501"/>
      <c r="WHW529" s="501"/>
      <c r="WHX529" s="501"/>
      <c r="WHY529" s="501"/>
      <c r="WHZ529" s="501"/>
      <c r="WIA529" s="501"/>
      <c r="WIB529" s="501"/>
      <c r="WIC529" s="501"/>
      <c r="WID529" s="501"/>
      <c r="WIE529" s="501"/>
      <c r="WIF529" s="501"/>
      <c r="WIG529" s="501"/>
      <c r="WIH529" s="501"/>
      <c r="WII529" s="501"/>
      <c r="WIJ529" s="501"/>
      <c r="WIK529" s="501"/>
      <c r="WIL529" s="501"/>
      <c r="WIM529" s="501"/>
      <c r="WIN529" s="501"/>
      <c r="WIO529" s="501"/>
      <c r="WIP529" s="501"/>
      <c r="WIQ529" s="501"/>
      <c r="WIR529" s="501"/>
      <c r="WIS529" s="501"/>
      <c r="WIT529" s="501"/>
      <c r="WIU529" s="501"/>
      <c r="WIV529" s="501"/>
      <c r="WIW529" s="501"/>
      <c r="WIX529" s="501"/>
      <c r="WIY529" s="501"/>
      <c r="WIZ529" s="501"/>
      <c r="WJA529" s="501"/>
      <c r="WJB529" s="501"/>
      <c r="WJC529" s="501"/>
      <c r="WJD529" s="501"/>
      <c r="WJE529" s="501"/>
      <c r="WJF529" s="501"/>
      <c r="WJG529" s="501"/>
      <c r="WJH529" s="501"/>
      <c r="WJI529" s="501"/>
      <c r="WJJ529" s="501"/>
      <c r="WJK529" s="501"/>
      <c r="WJL529" s="501"/>
      <c r="WJM529" s="501"/>
      <c r="WJN529" s="501"/>
      <c r="WJO529" s="501"/>
      <c r="WJP529" s="501"/>
      <c r="WJQ529" s="501"/>
      <c r="WJR529" s="501"/>
      <c r="WJS529" s="501"/>
      <c r="WJT529" s="501"/>
      <c r="WJU529" s="501"/>
      <c r="WJV529" s="501"/>
      <c r="WJW529" s="501"/>
      <c r="WJX529" s="501"/>
      <c r="WJY529" s="501"/>
      <c r="WJZ529" s="501"/>
      <c r="WKA529" s="501"/>
      <c r="WKB529" s="501"/>
      <c r="WKC529" s="501"/>
      <c r="WKD529" s="501"/>
      <c r="WKE529" s="501"/>
      <c r="WKF529" s="501"/>
      <c r="WKG529" s="501"/>
      <c r="WKH529" s="501"/>
      <c r="WKI529" s="501"/>
      <c r="WKJ529" s="501"/>
      <c r="WKK529" s="501"/>
      <c r="WKL529" s="501"/>
      <c r="WKM529" s="501"/>
      <c r="WKN529" s="501"/>
      <c r="WKO529" s="501"/>
      <c r="WKP529" s="501"/>
      <c r="WKQ529" s="501"/>
      <c r="WKR529" s="501"/>
      <c r="WKS529" s="501"/>
      <c r="WKT529" s="501"/>
      <c r="WKU529" s="501"/>
      <c r="WKV529" s="501"/>
      <c r="WKW529" s="501"/>
      <c r="WKX529" s="501"/>
      <c r="WKY529" s="501"/>
      <c r="WKZ529" s="501"/>
      <c r="WLA529" s="501"/>
      <c r="WLB529" s="501"/>
      <c r="WLC529" s="501"/>
      <c r="WLD529" s="501"/>
      <c r="WLE529" s="501"/>
      <c r="WLF529" s="501"/>
      <c r="WLG529" s="501"/>
      <c r="WLH529" s="501"/>
      <c r="WLI529" s="501"/>
      <c r="WLJ529" s="501"/>
      <c r="WLK529" s="501"/>
      <c r="WLL529" s="501"/>
      <c r="WLM529" s="501"/>
      <c r="WLN529" s="501"/>
      <c r="WLO529" s="501"/>
      <c r="WLP529" s="501"/>
      <c r="WLQ529" s="501"/>
      <c r="WLR529" s="501"/>
      <c r="WLS529" s="501"/>
      <c r="WLT529" s="501"/>
      <c r="WLU529" s="501"/>
      <c r="WLV529" s="501"/>
      <c r="WLW529" s="501"/>
      <c r="WLX529" s="501"/>
      <c r="WLY529" s="501"/>
      <c r="WLZ529" s="501"/>
      <c r="WMA529" s="501"/>
      <c r="WMB529" s="501"/>
      <c r="WMC529" s="501"/>
      <c r="WMD529" s="501"/>
      <c r="WME529" s="501"/>
      <c r="WMF529" s="501"/>
      <c r="WMG529" s="501"/>
      <c r="WMH529" s="501"/>
      <c r="WMI529" s="501"/>
      <c r="WMJ529" s="501"/>
      <c r="WMK529" s="501"/>
      <c r="WML529" s="501"/>
      <c r="WMM529" s="501"/>
      <c r="WMN529" s="501"/>
      <c r="WMO529" s="501"/>
      <c r="WMP529" s="501"/>
      <c r="WMQ529" s="501"/>
      <c r="WMR529" s="501"/>
      <c r="WMS529" s="501"/>
      <c r="WMT529" s="501"/>
      <c r="WMU529" s="501"/>
      <c r="WMV529" s="501"/>
      <c r="WMW529" s="501"/>
      <c r="WMX529" s="501"/>
      <c r="WMY529" s="501"/>
      <c r="WMZ529" s="501"/>
      <c r="WNA529" s="501"/>
      <c r="WNB529" s="501"/>
      <c r="WNC529" s="501"/>
      <c r="WND529" s="501"/>
      <c r="WNE529" s="501"/>
      <c r="WNF529" s="501"/>
      <c r="WNG529" s="501"/>
      <c r="WNH529" s="501"/>
      <c r="WNI529" s="501"/>
      <c r="WNJ529" s="501"/>
      <c r="WNK529" s="501"/>
      <c r="WNL529" s="501"/>
      <c r="WNM529" s="501"/>
      <c r="WNN529" s="501"/>
      <c r="WNO529" s="501"/>
      <c r="WNP529" s="501"/>
      <c r="WNQ529" s="501"/>
      <c r="WNR529" s="501"/>
      <c r="WNS529" s="501"/>
      <c r="WNT529" s="501"/>
      <c r="WNU529" s="501"/>
      <c r="WNV529" s="501"/>
      <c r="WNW529" s="501"/>
      <c r="WNX529" s="501"/>
      <c r="WNY529" s="501"/>
      <c r="WNZ529" s="501"/>
      <c r="WOA529" s="501"/>
      <c r="WOB529" s="501"/>
      <c r="WOC529" s="501"/>
      <c r="WOD529" s="501"/>
      <c r="WOE529" s="501"/>
      <c r="WOF529" s="501"/>
      <c r="WOG529" s="501"/>
      <c r="WOH529" s="501"/>
      <c r="WOI529" s="501"/>
      <c r="WOJ529" s="501"/>
      <c r="WOK529" s="501"/>
      <c r="WOL529" s="501"/>
      <c r="WOM529" s="501"/>
      <c r="WON529" s="501"/>
      <c r="WOO529" s="501"/>
      <c r="WOP529" s="501"/>
      <c r="WOQ529" s="501"/>
      <c r="WOR529" s="501"/>
      <c r="WOS529" s="501"/>
      <c r="WOT529" s="501"/>
      <c r="WOU529" s="501"/>
      <c r="WOV529" s="501"/>
      <c r="WOW529" s="501"/>
      <c r="WOX529" s="501"/>
      <c r="WOY529" s="501"/>
      <c r="WOZ529" s="501"/>
      <c r="WPA529" s="501"/>
      <c r="WPB529" s="501"/>
      <c r="WPC529" s="501"/>
      <c r="WPD529" s="501"/>
      <c r="WPE529" s="501"/>
      <c r="WPF529" s="501"/>
      <c r="WPG529" s="501"/>
      <c r="WPH529" s="501"/>
      <c r="WPI529" s="501"/>
      <c r="WPJ529" s="501"/>
      <c r="WPK529" s="501"/>
      <c r="WPL529" s="501"/>
      <c r="WPM529" s="501"/>
      <c r="WPN529" s="501"/>
      <c r="WPO529" s="501"/>
      <c r="WPP529" s="501"/>
      <c r="WPQ529" s="501"/>
      <c r="WPR529" s="501"/>
      <c r="WPS529" s="501"/>
      <c r="WPT529" s="501"/>
      <c r="WPU529" s="501"/>
      <c r="WPV529" s="501"/>
      <c r="WPW529" s="501"/>
      <c r="WPX529" s="501"/>
      <c r="WPY529" s="501"/>
      <c r="WPZ529" s="501"/>
      <c r="WQA529" s="501"/>
      <c r="WQB529" s="501"/>
      <c r="WQC529" s="501"/>
      <c r="WQD529" s="501"/>
      <c r="WQE529" s="501"/>
      <c r="WQF529" s="501"/>
      <c r="WQG529" s="501"/>
      <c r="WQH529" s="501"/>
      <c r="WQI529" s="501"/>
      <c r="WQJ529" s="501"/>
      <c r="WQK529" s="501"/>
      <c r="WQL529" s="501"/>
      <c r="WQM529" s="501"/>
      <c r="WQN529" s="501"/>
      <c r="WQO529" s="501"/>
      <c r="WQP529" s="501"/>
      <c r="WQQ529" s="501"/>
      <c r="WQR529" s="501"/>
      <c r="WQS529" s="501"/>
      <c r="WQT529" s="501"/>
      <c r="WQU529" s="501"/>
      <c r="WQV529" s="501"/>
      <c r="WQW529" s="501"/>
      <c r="WQX529" s="501"/>
      <c r="WQY529" s="501"/>
      <c r="WQZ529" s="501"/>
      <c r="WRA529" s="501"/>
      <c r="WRB529" s="501"/>
      <c r="WRC529" s="501"/>
      <c r="WRD529" s="501"/>
      <c r="WRE529" s="501"/>
      <c r="WRF529" s="501"/>
      <c r="WRG529" s="501"/>
      <c r="WRH529" s="501"/>
      <c r="WRI529" s="501"/>
      <c r="WRJ529" s="501"/>
      <c r="WRK529" s="501"/>
      <c r="WRL529" s="501"/>
      <c r="WRM529" s="501"/>
      <c r="WRN529" s="501"/>
      <c r="WRO529" s="501"/>
      <c r="WRP529" s="501"/>
      <c r="WRQ529" s="501"/>
      <c r="WRR529" s="501"/>
      <c r="WRS529" s="501"/>
      <c r="WRT529" s="501"/>
      <c r="WRU529" s="501"/>
      <c r="WRV529" s="501"/>
      <c r="WRW529" s="501"/>
      <c r="WRX529" s="501"/>
      <c r="WRY529" s="501"/>
      <c r="WRZ529" s="501"/>
      <c r="WSA529" s="501"/>
      <c r="WSB529" s="501"/>
      <c r="WSC529" s="501"/>
      <c r="WSD529" s="501"/>
      <c r="WSE529" s="501"/>
      <c r="WSF529" s="501"/>
      <c r="WSG529" s="501"/>
      <c r="WSH529" s="501"/>
      <c r="WSI529" s="501"/>
      <c r="WSJ529" s="501"/>
      <c r="WSK529" s="501"/>
      <c r="WSL529" s="501"/>
      <c r="WSM529" s="501"/>
      <c r="WSN529" s="501"/>
      <c r="WSO529" s="501"/>
      <c r="WSP529" s="501"/>
      <c r="WSQ529" s="501"/>
      <c r="WSR529" s="501"/>
      <c r="WSS529" s="501"/>
      <c r="WST529" s="501"/>
      <c r="WSU529" s="501"/>
      <c r="WSV529" s="501"/>
      <c r="WSW529" s="501"/>
      <c r="WSX529" s="501"/>
      <c r="WSY529" s="501"/>
      <c r="WSZ529" s="501"/>
      <c r="WTA529" s="501"/>
      <c r="WTB529" s="501"/>
      <c r="WTC529" s="501"/>
      <c r="WTD529" s="501"/>
      <c r="WTE529" s="501"/>
      <c r="WTF529" s="501"/>
      <c r="WTG529" s="501"/>
      <c r="WTH529" s="501"/>
      <c r="WTI529" s="501"/>
      <c r="WTJ529" s="501"/>
      <c r="WTK529" s="501"/>
      <c r="WTL529" s="501"/>
      <c r="WTM529" s="501"/>
      <c r="WTN529" s="501"/>
      <c r="WTO529" s="501"/>
      <c r="WTP529" s="501"/>
      <c r="WTQ529" s="501"/>
      <c r="WTR529" s="501"/>
      <c r="WTS529" s="501"/>
      <c r="WTT529" s="501"/>
      <c r="WTU529" s="501"/>
      <c r="WTV529" s="501"/>
      <c r="WTW529" s="501"/>
      <c r="WTX529" s="501"/>
      <c r="WTY529" s="501"/>
      <c r="WTZ529" s="501"/>
      <c r="WUA529" s="501"/>
      <c r="WUB529" s="501"/>
      <c r="WUC529" s="501"/>
      <c r="WUD529" s="501"/>
      <c r="WUE529" s="501"/>
      <c r="WUF529" s="501"/>
      <c r="WUG529" s="501"/>
      <c r="WUH529" s="501"/>
      <c r="WUI529" s="501"/>
      <c r="WUJ529" s="501"/>
      <c r="WUK529" s="501"/>
      <c r="WUL529" s="501"/>
      <c r="WUM529" s="501"/>
      <c r="WUN529" s="501"/>
      <c r="WUO529" s="501"/>
      <c r="WUP529" s="501"/>
      <c r="WUQ529" s="501"/>
      <c r="WUR529" s="501"/>
      <c r="WUS529" s="501"/>
      <c r="WUT529" s="501"/>
      <c r="WUU529" s="501"/>
      <c r="WUV529" s="501"/>
      <c r="WUW529" s="501"/>
      <c r="WUX529" s="501"/>
      <c r="WUY529" s="501"/>
      <c r="WUZ529" s="501"/>
      <c r="WVA529" s="501"/>
      <c r="WVB529" s="501"/>
      <c r="WVC529" s="501"/>
      <c r="WVD529" s="501"/>
      <c r="WVE529" s="501"/>
      <c r="WVF529" s="501"/>
      <c r="WVG529" s="501"/>
      <c r="WVH529" s="501"/>
      <c r="WVI529" s="501"/>
      <c r="WVJ529" s="501"/>
      <c r="WVK529" s="501"/>
      <c r="WVL529" s="501"/>
      <c r="WVM529" s="501"/>
      <c r="WVN529" s="501"/>
      <c r="WVO529" s="501"/>
      <c r="WVP529" s="501"/>
      <c r="WVQ529" s="501"/>
      <c r="WVR529" s="501"/>
      <c r="WVS529" s="501"/>
      <c r="WVT529" s="501"/>
      <c r="WVU529" s="501"/>
      <c r="WVV529" s="501"/>
      <c r="WVW529" s="501"/>
      <c r="WVX529" s="501"/>
      <c r="WVY529" s="501"/>
      <c r="WVZ529" s="501"/>
      <c r="WWA529" s="501"/>
      <c r="WWB529" s="501"/>
      <c r="WWC529" s="501"/>
      <c r="WWD529" s="501"/>
      <c r="WWE529" s="501"/>
      <c r="WWF529" s="501"/>
      <c r="WWG529" s="501"/>
      <c r="WWH529" s="501"/>
      <c r="WWI529" s="501"/>
      <c r="WWJ529" s="501"/>
      <c r="WWK529" s="501"/>
      <c r="WWL529" s="501"/>
      <c r="WWM529" s="501"/>
      <c r="WWN529" s="501"/>
      <c r="WWO529" s="501"/>
      <c r="WWP529" s="501"/>
      <c r="WWQ529" s="501"/>
      <c r="WWR529" s="501"/>
      <c r="WWS529" s="501"/>
      <c r="WWT529" s="501"/>
      <c r="WWU529" s="501"/>
      <c r="WWV529" s="501"/>
      <c r="WWW529" s="501"/>
      <c r="WWX529" s="501"/>
      <c r="WWY529" s="501"/>
      <c r="WWZ529" s="501"/>
      <c r="WXA529" s="501"/>
      <c r="WXB529" s="501"/>
      <c r="WXC529" s="501"/>
      <c r="WXD529" s="501"/>
      <c r="WXE529" s="501"/>
      <c r="WXF529" s="501"/>
      <c r="WXG529" s="501"/>
      <c r="WXH529" s="501"/>
      <c r="WXI529" s="501"/>
      <c r="WXJ529" s="501"/>
      <c r="WXK529" s="501"/>
      <c r="WXL529" s="501"/>
      <c r="WXM529" s="501"/>
      <c r="WXN529" s="501"/>
      <c r="WXO529" s="501"/>
      <c r="WXP529" s="501"/>
      <c r="WXQ529" s="501"/>
      <c r="WXR529" s="501"/>
      <c r="WXS529" s="501"/>
      <c r="WXT529" s="501"/>
      <c r="WXU529" s="501"/>
      <c r="WXV529" s="501"/>
      <c r="WXW529" s="501"/>
      <c r="WXX529" s="501"/>
      <c r="WXY529" s="501"/>
      <c r="WXZ529" s="501"/>
      <c r="WYA529" s="501"/>
      <c r="WYB529" s="501"/>
      <c r="WYC529" s="501"/>
      <c r="WYD529" s="501"/>
      <c r="WYE529" s="501"/>
      <c r="WYF529" s="501"/>
      <c r="WYG529" s="501"/>
      <c r="WYH529" s="501"/>
      <c r="WYI529" s="501"/>
      <c r="WYJ529" s="501"/>
      <c r="WYK529" s="501"/>
      <c r="WYL529" s="501"/>
      <c r="WYM529" s="501"/>
      <c r="WYN529" s="501"/>
      <c r="WYO529" s="501"/>
      <c r="WYP529" s="501"/>
      <c r="WYQ529" s="501"/>
      <c r="WYR529" s="501"/>
      <c r="WYS529" s="501"/>
      <c r="WYT529" s="501"/>
      <c r="WYU529" s="501"/>
      <c r="WYV529" s="501"/>
      <c r="WYW529" s="501"/>
      <c r="WYX529" s="501"/>
      <c r="WYY529" s="501"/>
      <c r="WYZ529" s="501"/>
      <c r="WZA529" s="501"/>
      <c r="WZB529" s="501"/>
      <c r="WZC529" s="501"/>
      <c r="WZD529" s="501"/>
      <c r="WZE529" s="501"/>
      <c r="WZF529" s="501"/>
      <c r="WZG529" s="501"/>
      <c r="WZH529" s="501"/>
      <c r="WZI529" s="501"/>
      <c r="WZJ529" s="501"/>
      <c r="WZK529" s="501"/>
      <c r="WZL529" s="501"/>
      <c r="WZM529" s="501"/>
      <c r="WZN529" s="501"/>
      <c r="WZO529" s="501"/>
      <c r="WZP529" s="501"/>
      <c r="WZQ529" s="501"/>
      <c r="WZR529" s="501"/>
      <c r="WZS529" s="501"/>
      <c r="WZT529" s="501"/>
      <c r="WZU529" s="501"/>
      <c r="WZV529" s="501"/>
      <c r="WZW529" s="501"/>
      <c r="WZX529" s="501"/>
      <c r="WZY529" s="501"/>
      <c r="WZZ529" s="501"/>
      <c r="XAA529" s="501"/>
      <c r="XAB529" s="501"/>
      <c r="XAC529" s="501"/>
      <c r="XAD529" s="501"/>
      <c r="XAE529" s="501"/>
      <c r="XAF529" s="501"/>
      <c r="XAG529" s="501"/>
      <c r="XAH529" s="501"/>
      <c r="XAI529" s="501"/>
      <c r="XAJ529" s="501"/>
      <c r="XAK529" s="501"/>
      <c r="XAL529" s="501"/>
      <c r="XAM529" s="501"/>
      <c r="XAN529" s="501"/>
      <c r="XAO529" s="501"/>
      <c r="XAP529" s="501"/>
      <c r="XAQ529" s="501"/>
      <c r="XAR529" s="501"/>
      <c r="XAS529" s="501"/>
      <c r="XAT529" s="501"/>
      <c r="XAU529" s="501"/>
      <c r="XAV529" s="501"/>
      <c r="XAW529" s="501"/>
      <c r="XAX529" s="501"/>
      <c r="XAY529" s="501"/>
      <c r="XAZ529" s="501"/>
      <c r="XBA529" s="501"/>
      <c r="XBB529" s="501"/>
      <c r="XBC529" s="501"/>
      <c r="XBD529" s="501"/>
      <c r="XBE529" s="501"/>
      <c r="XBF529" s="501"/>
      <c r="XBG529" s="501"/>
      <c r="XBH529" s="501"/>
      <c r="XBI529" s="501"/>
      <c r="XBJ529" s="501"/>
      <c r="XBK529" s="501"/>
      <c r="XBL529" s="501"/>
      <c r="XBM529" s="501"/>
      <c r="XBN529" s="501"/>
      <c r="XBO529" s="501"/>
      <c r="XBP529" s="501"/>
      <c r="XBQ529" s="501"/>
      <c r="XBR529" s="501"/>
      <c r="XBS529" s="501"/>
      <c r="XBT529" s="501"/>
      <c r="XBU529" s="501"/>
      <c r="XBV529" s="501"/>
      <c r="XBW529" s="501"/>
      <c r="XBX529" s="501"/>
      <c r="XBY529" s="501"/>
      <c r="XBZ529" s="501"/>
      <c r="XCA529" s="501"/>
      <c r="XCB529" s="501"/>
      <c r="XCC529" s="501"/>
      <c r="XCD529" s="501"/>
      <c r="XCE529" s="501"/>
    </row>
    <row r="530" spans="1:16307" s="26" customFormat="1" x14ac:dyDescent="0.2"/>
    <row r="531" spans="1:16307" s="26" customFormat="1" x14ac:dyDescent="0.2">
      <c r="A531" s="2256" t="s">
        <v>904</v>
      </c>
      <c r="B531" s="2257"/>
      <c r="C531" s="2257"/>
      <c r="D531" s="2257"/>
      <c r="E531" s="2257"/>
      <c r="F531" s="2257"/>
      <c r="G531" s="2257"/>
      <c r="H531" s="2257"/>
      <c r="I531" s="2257"/>
      <c r="J531" s="2257"/>
      <c r="K531" s="2257"/>
      <c r="L531" s="2257"/>
      <c r="M531" s="2257"/>
      <c r="N531" s="2257"/>
      <c r="O531" s="2257"/>
      <c r="P531" s="2257"/>
      <c r="Q531" s="2257"/>
      <c r="R531" s="2257"/>
      <c r="S531" s="2257"/>
      <c r="T531" s="2257"/>
      <c r="U531" s="2257"/>
      <c r="V531" s="2257"/>
      <c r="W531" s="2257"/>
      <c r="X531" s="2257"/>
      <c r="Y531" s="2257"/>
      <c r="Z531" s="2257"/>
      <c r="AA531" s="2257"/>
      <c r="AB531" s="2257"/>
      <c r="AC531" s="2257"/>
      <c r="AD531" s="2257"/>
      <c r="AE531" s="2257"/>
      <c r="AF531" s="2257"/>
      <c r="AG531" s="2257"/>
      <c r="AH531" s="2257"/>
      <c r="AI531" s="2257"/>
      <c r="AJ531" s="2257"/>
      <c r="AK531" s="2257"/>
      <c r="AL531" s="2257"/>
      <c r="AM531" s="2257"/>
      <c r="AN531" s="2257"/>
      <c r="AO531" s="2257"/>
      <c r="AP531" s="2257"/>
      <c r="AQ531" s="2257"/>
      <c r="AR531" s="2257"/>
      <c r="AS531" s="2257"/>
      <c r="AT531" s="2257"/>
      <c r="AU531" s="2257"/>
      <c r="AV531" s="2257"/>
      <c r="AW531" s="2257"/>
      <c r="AX531" s="2257"/>
      <c r="AY531" s="2258"/>
    </row>
    <row r="532" spans="1:16307" s="26" customFormat="1" x14ac:dyDescent="0.2">
      <c r="A532" s="824" t="s">
        <v>654</v>
      </c>
      <c r="B532" s="825" t="s">
        <v>655</v>
      </c>
      <c r="C532" s="826">
        <v>40360</v>
      </c>
      <c r="D532" s="826">
        <v>40391</v>
      </c>
      <c r="E532" s="826">
        <v>40422</v>
      </c>
      <c r="F532" s="826">
        <v>40452</v>
      </c>
      <c r="G532" s="826">
        <v>40483</v>
      </c>
      <c r="H532" s="826">
        <v>40513</v>
      </c>
      <c r="I532" s="826">
        <v>40544</v>
      </c>
      <c r="J532" s="826">
        <v>40575</v>
      </c>
      <c r="K532" s="826">
        <v>40603</v>
      </c>
      <c r="L532" s="826">
        <v>40634</v>
      </c>
      <c r="M532" s="826">
        <v>40664</v>
      </c>
      <c r="N532" s="826">
        <v>40695</v>
      </c>
      <c r="O532" s="826">
        <v>40725</v>
      </c>
      <c r="P532" s="826">
        <v>40756</v>
      </c>
      <c r="Q532" s="826">
        <v>40787</v>
      </c>
      <c r="R532" s="826">
        <v>40817</v>
      </c>
      <c r="S532" s="826">
        <v>40848</v>
      </c>
      <c r="T532" s="826">
        <v>40878</v>
      </c>
      <c r="U532" s="826">
        <v>40909</v>
      </c>
      <c r="V532" s="826">
        <v>40940</v>
      </c>
      <c r="W532" s="826">
        <v>40969</v>
      </c>
      <c r="X532" s="826">
        <v>41000</v>
      </c>
      <c r="Y532" s="826">
        <v>41030</v>
      </c>
      <c r="Z532" s="826">
        <v>41061</v>
      </c>
      <c r="AA532" s="826">
        <v>41091</v>
      </c>
      <c r="AB532" s="826">
        <v>41122</v>
      </c>
      <c r="AC532" s="826">
        <v>41153</v>
      </c>
      <c r="AD532" s="826">
        <v>41183</v>
      </c>
      <c r="AE532" s="826">
        <v>41214</v>
      </c>
      <c r="AF532" s="826">
        <v>41244</v>
      </c>
      <c r="AG532" s="826">
        <v>41275</v>
      </c>
      <c r="AH532" s="826">
        <v>41306</v>
      </c>
      <c r="AI532" s="826">
        <v>41334</v>
      </c>
      <c r="AJ532" s="826">
        <v>41365</v>
      </c>
      <c r="AK532" s="826">
        <v>41395</v>
      </c>
      <c r="AL532" s="826">
        <v>41426</v>
      </c>
      <c r="AM532" s="826">
        <v>41456</v>
      </c>
      <c r="AN532" s="826">
        <v>41487</v>
      </c>
      <c r="AO532" s="826">
        <v>41518</v>
      </c>
      <c r="AP532" s="826">
        <v>41548</v>
      </c>
      <c r="AQ532" s="826">
        <v>41579</v>
      </c>
      <c r="AR532" s="826">
        <v>41609</v>
      </c>
      <c r="AS532" s="826">
        <v>41640</v>
      </c>
      <c r="AT532" s="826">
        <v>41671</v>
      </c>
      <c r="AU532" s="826">
        <v>41699</v>
      </c>
      <c r="AV532" s="826">
        <v>41730</v>
      </c>
      <c r="AW532" s="826">
        <v>41760</v>
      </c>
      <c r="AX532" s="826">
        <v>41791</v>
      </c>
      <c r="AY532" s="826">
        <v>41821</v>
      </c>
    </row>
    <row r="533" spans="1:16307" s="500" customFormat="1" x14ac:dyDescent="0.2">
      <c r="A533" s="827" t="s">
        <v>889</v>
      </c>
      <c r="B533" s="828" t="s">
        <v>905</v>
      </c>
      <c r="C533" s="829">
        <v>227000</v>
      </c>
      <c r="D533" s="829">
        <v>183000</v>
      </c>
      <c r="E533" s="829">
        <v>225000</v>
      </c>
      <c r="F533" s="829">
        <v>344000</v>
      </c>
      <c r="G533" s="829">
        <v>215000</v>
      </c>
      <c r="H533" s="829">
        <v>164000</v>
      </c>
      <c r="I533" s="829">
        <v>101000</v>
      </c>
      <c r="J533" s="829">
        <v>391000</v>
      </c>
      <c r="K533" s="829">
        <v>303000</v>
      </c>
      <c r="L533" s="829">
        <v>172000</v>
      </c>
      <c r="M533" s="829">
        <v>150000</v>
      </c>
      <c r="N533" s="829">
        <v>200400</v>
      </c>
      <c r="O533" s="829">
        <v>209000</v>
      </c>
      <c r="P533" s="829">
        <v>258000</v>
      </c>
      <c r="Q533" s="829">
        <v>385000</v>
      </c>
      <c r="R533" s="829">
        <v>387000</v>
      </c>
      <c r="S533" s="829">
        <v>287000</v>
      </c>
      <c r="T533" s="829">
        <v>151000</v>
      </c>
      <c r="U533" s="829">
        <v>196000</v>
      </c>
      <c r="V533" s="829">
        <v>287000</v>
      </c>
      <c r="W533" s="829">
        <v>294000</v>
      </c>
      <c r="X533" s="829">
        <v>310000</v>
      </c>
      <c r="Y533" s="829">
        <v>145000</v>
      </c>
      <c r="Z533" s="829">
        <v>210000</v>
      </c>
      <c r="AA533" s="829">
        <v>278000</v>
      </c>
      <c r="AB533" s="829">
        <v>501000</v>
      </c>
      <c r="AC533" s="829">
        <v>459000</v>
      </c>
      <c r="AD533" s="829">
        <v>439000</v>
      </c>
      <c r="AE533" s="829">
        <v>368000</v>
      </c>
      <c r="AF533" s="829">
        <v>227000</v>
      </c>
      <c r="AG533" s="829">
        <v>500000</v>
      </c>
      <c r="AH533" s="829">
        <v>275000</v>
      </c>
      <c r="AI533" s="829">
        <v>181000</v>
      </c>
      <c r="AJ533" s="829">
        <v>279000</v>
      </c>
      <c r="AK533" s="829">
        <v>200000</v>
      </c>
      <c r="AL533" s="829">
        <v>219000</v>
      </c>
      <c r="AM533" s="829">
        <v>244000</v>
      </c>
      <c r="AN533" s="829">
        <v>333000</v>
      </c>
      <c r="AO533" s="829">
        <v>427000</v>
      </c>
      <c r="AP533" s="829">
        <v>475900</v>
      </c>
      <c r="AQ533" s="829">
        <v>456359</v>
      </c>
      <c r="AR533" s="829">
        <v>390001</v>
      </c>
      <c r="AS533" s="829">
        <v>507000</v>
      </c>
      <c r="AT533" s="829">
        <v>540918</v>
      </c>
      <c r="AU533" s="829">
        <v>183918</v>
      </c>
      <c r="AV533" s="829">
        <v>228589</v>
      </c>
      <c r="AW533" s="829">
        <v>211785</v>
      </c>
      <c r="AX533" s="829">
        <v>332555.45900000003</v>
      </c>
      <c r="AY533" s="829">
        <v>156555</v>
      </c>
    </row>
    <row r="534" spans="1:16307" s="500" customFormat="1" ht="12.75" customHeight="1" x14ac:dyDescent="0.2">
      <c r="A534" s="830">
        <v>315</v>
      </c>
      <c r="B534" s="831" t="s">
        <v>906</v>
      </c>
      <c r="C534" s="832">
        <v>20000</v>
      </c>
      <c r="D534" s="832">
        <v>83000</v>
      </c>
      <c r="E534" s="832">
        <v>139000</v>
      </c>
      <c r="F534" s="832">
        <v>174000</v>
      </c>
      <c r="G534" s="832">
        <v>119000</v>
      </c>
      <c r="H534" s="832">
        <v>108000</v>
      </c>
      <c r="I534" s="832">
        <v>53000</v>
      </c>
      <c r="J534" s="832">
        <v>231000</v>
      </c>
      <c r="K534" s="832">
        <v>190000</v>
      </c>
      <c r="L534" s="832">
        <v>54000</v>
      </c>
      <c r="M534" s="832">
        <v>27000</v>
      </c>
      <c r="N534" s="832">
        <v>6000</v>
      </c>
      <c r="O534" s="832">
        <v>12000</v>
      </c>
      <c r="P534" s="832">
        <v>81000</v>
      </c>
      <c r="Q534" s="832">
        <v>174000</v>
      </c>
      <c r="R534" s="832">
        <v>147000</v>
      </c>
      <c r="S534" s="832">
        <v>146000</v>
      </c>
      <c r="T534" s="832">
        <v>93000</v>
      </c>
      <c r="U534" s="832">
        <v>112000</v>
      </c>
      <c r="V534" s="832">
        <v>196000</v>
      </c>
      <c r="W534" s="832">
        <v>164000</v>
      </c>
      <c r="X534" s="832">
        <v>158000</v>
      </c>
      <c r="Y534" s="832">
        <v>65000</v>
      </c>
      <c r="Z534" s="832">
        <v>18000</v>
      </c>
      <c r="AA534" s="832">
        <v>27000</v>
      </c>
      <c r="AB534" s="832">
        <v>114000</v>
      </c>
      <c r="AC534" s="832">
        <v>166000</v>
      </c>
      <c r="AD534" s="832">
        <v>176000</v>
      </c>
      <c r="AE534" s="832">
        <v>172000</v>
      </c>
      <c r="AF534" s="832">
        <v>77000</v>
      </c>
      <c r="AG534" s="832">
        <v>129000</v>
      </c>
      <c r="AH534" s="832">
        <v>170000</v>
      </c>
      <c r="AI534" s="832">
        <v>133000</v>
      </c>
      <c r="AJ534" s="832">
        <v>167000</v>
      </c>
      <c r="AK534" s="832">
        <v>113000</v>
      </c>
      <c r="AL534" s="832">
        <v>86000</v>
      </c>
      <c r="AM534" s="832">
        <v>150000</v>
      </c>
      <c r="AN534" s="832">
        <v>128000</v>
      </c>
      <c r="AO534" s="832">
        <v>190000</v>
      </c>
      <c r="AP534" s="832">
        <v>224300</v>
      </c>
      <c r="AQ534" s="832">
        <v>173473</v>
      </c>
      <c r="AR534" s="832">
        <v>80000</v>
      </c>
      <c r="AS534" s="832">
        <v>185000</v>
      </c>
      <c r="AT534" s="832">
        <v>190346</v>
      </c>
      <c r="AU534" s="832">
        <v>140346</v>
      </c>
      <c r="AV534" s="832">
        <v>186283</v>
      </c>
      <c r="AW534" s="832">
        <v>77895</v>
      </c>
      <c r="AX534" s="832">
        <v>33085.172999999995</v>
      </c>
      <c r="AY534" s="832">
        <v>78085</v>
      </c>
    </row>
    <row r="535" spans="1:16307" s="500" customFormat="1" ht="12.75" customHeight="1" x14ac:dyDescent="0.2">
      <c r="A535" s="830" t="s">
        <v>892</v>
      </c>
      <c r="B535" s="831" t="s">
        <v>907</v>
      </c>
      <c r="C535" s="832">
        <v>0</v>
      </c>
      <c r="D535" s="832">
        <v>0</v>
      </c>
      <c r="E535" s="832">
        <v>0</v>
      </c>
      <c r="F535" s="832">
        <v>0</v>
      </c>
      <c r="G535" s="832">
        <v>0</v>
      </c>
      <c r="H535" s="832">
        <v>0</v>
      </c>
      <c r="I535" s="832">
        <v>0</v>
      </c>
      <c r="J535" s="832">
        <v>0</v>
      </c>
      <c r="K535" s="832">
        <v>0</v>
      </c>
      <c r="L535" s="832">
        <v>0</v>
      </c>
      <c r="M535" s="832">
        <v>0</v>
      </c>
      <c r="N535" s="832">
        <v>0</v>
      </c>
      <c r="O535" s="832">
        <v>0</v>
      </c>
      <c r="P535" s="832">
        <v>0</v>
      </c>
      <c r="Q535" s="832">
        <v>0</v>
      </c>
      <c r="R535" s="832">
        <v>0</v>
      </c>
      <c r="S535" s="832">
        <v>0</v>
      </c>
      <c r="T535" s="832">
        <v>0</v>
      </c>
      <c r="U535" s="832">
        <v>0</v>
      </c>
      <c r="V535" s="832">
        <v>0</v>
      </c>
      <c r="W535" s="832">
        <v>0</v>
      </c>
      <c r="X535" s="832">
        <v>0</v>
      </c>
      <c r="Y535" s="832">
        <v>0</v>
      </c>
      <c r="Z535" s="832">
        <v>5992</v>
      </c>
      <c r="AA535" s="832">
        <v>32528</v>
      </c>
      <c r="AB535" s="832">
        <v>100152</v>
      </c>
      <c r="AC535" s="832">
        <v>205440</v>
      </c>
      <c r="AD535" s="832">
        <v>208008</v>
      </c>
      <c r="AE535" s="832">
        <v>197736</v>
      </c>
      <c r="AF535" s="832">
        <v>89880</v>
      </c>
      <c r="AG535" s="832">
        <v>160072</v>
      </c>
      <c r="AH535" s="832">
        <v>212288</v>
      </c>
      <c r="AI535" s="832">
        <v>172056</v>
      </c>
      <c r="AJ535" s="832">
        <v>219136</v>
      </c>
      <c r="AK535" s="832">
        <v>77896</v>
      </c>
      <c r="AL535" s="832">
        <v>11128</v>
      </c>
      <c r="AM535" s="832">
        <v>11128</v>
      </c>
      <c r="AN535" s="832">
        <v>139528</v>
      </c>
      <c r="AO535" s="832">
        <v>218280</v>
      </c>
      <c r="AP535" s="832">
        <v>274768</v>
      </c>
      <c r="AQ535" s="832">
        <v>222064</v>
      </c>
      <c r="AR535" s="832">
        <v>95872</v>
      </c>
      <c r="AS535" s="832">
        <v>182328</v>
      </c>
      <c r="AT535" s="832">
        <v>224152</v>
      </c>
      <c r="AU535" s="832">
        <v>172792</v>
      </c>
      <c r="AV535" s="832">
        <v>245264</v>
      </c>
      <c r="AW535" s="832">
        <v>117648</v>
      </c>
      <c r="AX535" s="832">
        <v>78184.368000000002</v>
      </c>
      <c r="AY535" s="832">
        <v>95304</v>
      </c>
    </row>
    <row r="536" spans="1:16307" s="501" customFormat="1" x14ac:dyDescent="0.2">
      <c r="A536" s="833" t="s">
        <v>889</v>
      </c>
      <c r="B536" s="834" t="s">
        <v>908</v>
      </c>
      <c r="C536" s="835">
        <v>2093.02</v>
      </c>
      <c r="D536" s="835">
        <v>1370.77</v>
      </c>
      <c r="E536" s="835">
        <v>1567.19</v>
      </c>
      <c r="F536" s="835">
        <v>2355.1999999999998</v>
      </c>
      <c r="G536" s="835">
        <v>1751.58</v>
      </c>
      <c r="H536" s="835">
        <v>1112.4000000000001</v>
      </c>
      <c r="I536" s="835">
        <v>702.31999999999994</v>
      </c>
      <c r="J536" s="835">
        <v>2027.6100000000001</v>
      </c>
      <c r="K536" s="835">
        <v>1806.48</v>
      </c>
      <c r="L536" s="835">
        <v>1939.76</v>
      </c>
      <c r="M536" s="835">
        <v>1447.9500000000003</v>
      </c>
      <c r="N536" s="835">
        <v>1348.3600000000001</v>
      </c>
      <c r="O536" s="835">
        <v>1842.05</v>
      </c>
      <c r="P536" s="835">
        <v>1678.25</v>
      </c>
      <c r="Q536" s="835">
        <v>2296</v>
      </c>
      <c r="R536" s="835">
        <v>3225.7000000000003</v>
      </c>
      <c r="S536" s="835">
        <v>3158.8</v>
      </c>
      <c r="T536" s="835">
        <v>2030.4</v>
      </c>
      <c r="U536" s="835">
        <v>1351.5</v>
      </c>
      <c r="V536" s="835">
        <v>1658.65</v>
      </c>
      <c r="W536" s="835">
        <v>2290.3000000000002</v>
      </c>
      <c r="X536" s="835">
        <v>3059.25</v>
      </c>
      <c r="Y536" s="835">
        <v>2194.5</v>
      </c>
      <c r="Z536" s="835">
        <v>2112</v>
      </c>
      <c r="AA536" s="835">
        <v>1325.3</v>
      </c>
      <c r="AB536" s="835">
        <v>2441.1</v>
      </c>
      <c r="AC536" s="835">
        <v>4465.2</v>
      </c>
      <c r="AD536" s="835">
        <v>3722.6</v>
      </c>
      <c r="AE536" s="835">
        <v>3126.7</v>
      </c>
      <c r="AF536" s="835">
        <v>2551.6999999999998</v>
      </c>
      <c r="AG536" s="835">
        <v>2913.5</v>
      </c>
      <c r="AH536" s="835">
        <v>2847</v>
      </c>
      <c r="AI536" s="835">
        <v>2453.6999999999998</v>
      </c>
      <c r="AJ536" s="835">
        <v>2472.6</v>
      </c>
      <c r="AK536" s="835">
        <v>3117.5</v>
      </c>
      <c r="AL536" s="835">
        <v>2551.5</v>
      </c>
      <c r="AM536" s="835">
        <v>3401.1000000000004</v>
      </c>
      <c r="AN536" s="835">
        <v>3105.9</v>
      </c>
      <c r="AO536" s="835">
        <v>3993.7</v>
      </c>
      <c r="AP536" s="835">
        <v>4651.87</v>
      </c>
      <c r="AQ536" s="835">
        <v>5036.2026999999998</v>
      </c>
      <c r="AR536" s="835">
        <v>5584.5</v>
      </c>
      <c r="AS536" s="835">
        <v>5330.1</v>
      </c>
      <c r="AT536" s="835">
        <v>6721.4669999999996</v>
      </c>
      <c r="AU536" s="835">
        <v>3878.9670000000001</v>
      </c>
      <c r="AV536" s="835">
        <v>2495.0340000000001</v>
      </c>
      <c r="AW536" s="835">
        <v>2707.6379999999999</v>
      </c>
      <c r="AX536" s="835">
        <v>4023.6185000000005</v>
      </c>
      <c r="AY536" s="835">
        <v>2575.6530000000002</v>
      </c>
      <c r="AZ536" s="500"/>
      <c r="BA536" s="500"/>
      <c r="BB536" s="500"/>
      <c r="BC536" s="500"/>
      <c r="BD536" s="500"/>
      <c r="BE536" s="500"/>
      <c r="BF536" s="500"/>
      <c r="BG536" s="500"/>
      <c r="BH536" s="500"/>
      <c r="BI536" s="500"/>
      <c r="BJ536" s="500"/>
      <c r="BK536" s="500"/>
      <c r="BL536" s="500"/>
      <c r="BM536" s="500"/>
      <c r="BN536" s="500"/>
      <c r="BO536" s="500"/>
      <c r="BP536" s="500"/>
      <c r="BQ536" s="500"/>
      <c r="BR536" s="500"/>
      <c r="BS536" s="500"/>
      <c r="BT536" s="500"/>
      <c r="BU536" s="500"/>
      <c r="BV536" s="500"/>
      <c r="BW536" s="500"/>
      <c r="BX536" s="500"/>
      <c r="BY536" s="500"/>
      <c r="BZ536" s="500"/>
      <c r="CA536" s="500"/>
      <c r="CB536" s="500"/>
      <c r="CC536" s="500"/>
      <c r="CD536" s="500"/>
      <c r="CE536" s="500"/>
      <c r="CF536" s="500"/>
      <c r="CG536" s="500"/>
      <c r="CH536" s="500"/>
      <c r="CI536" s="500"/>
      <c r="CJ536" s="500"/>
      <c r="CK536" s="500"/>
      <c r="CL536" s="500"/>
      <c r="CM536" s="500"/>
      <c r="CN536" s="500"/>
      <c r="CO536" s="500"/>
      <c r="CP536" s="500"/>
      <c r="CQ536" s="500"/>
      <c r="CR536" s="500"/>
      <c r="CS536" s="500"/>
      <c r="CT536" s="500"/>
      <c r="CU536" s="500"/>
      <c r="CV536" s="500"/>
      <c r="CW536" s="500"/>
      <c r="CX536" s="500"/>
      <c r="CY536" s="500"/>
      <c r="CZ536" s="500"/>
      <c r="DA536" s="500"/>
      <c r="DB536" s="500"/>
      <c r="DC536" s="500"/>
      <c r="DD536" s="500"/>
      <c r="DE536" s="500"/>
      <c r="DF536" s="500"/>
      <c r="DG536" s="500"/>
      <c r="DH536" s="500"/>
      <c r="DI536" s="500"/>
      <c r="DJ536" s="500"/>
      <c r="DK536" s="500"/>
      <c r="DL536" s="500"/>
      <c r="DM536" s="500"/>
      <c r="DN536" s="500"/>
      <c r="DO536" s="500"/>
      <c r="DP536" s="500"/>
      <c r="DQ536" s="500"/>
      <c r="DR536" s="500"/>
      <c r="DS536" s="500"/>
      <c r="DT536" s="500"/>
      <c r="DU536" s="500"/>
      <c r="DV536" s="500"/>
      <c r="DW536" s="500"/>
      <c r="DX536" s="500"/>
      <c r="DY536" s="500"/>
      <c r="DZ536" s="500"/>
      <c r="EA536" s="500"/>
      <c r="EB536" s="500"/>
      <c r="EC536" s="500"/>
      <c r="ED536" s="500"/>
      <c r="EE536" s="500"/>
      <c r="EF536" s="500"/>
      <c r="EG536" s="500"/>
      <c r="EH536" s="500"/>
      <c r="EI536" s="500"/>
      <c r="EJ536" s="500"/>
      <c r="EK536" s="500"/>
      <c r="EL536" s="500"/>
      <c r="EM536" s="500"/>
      <c r="EN536" s="500"/>
      <c r="EO536" s="500"/>
      <c r="EP536" s="500"/>
      <c r="EQ536" s="500"/>
      <c r="ER536" s="500"/>
      <c r="ES536" s="500"/>
      <c r="ET536" s="500"/>
      <c r="EU536" s="500"/>
      <c r="EV536" s="500"/>
      <c r="EW536" s="500"/>
      <c r="EX536" s="500"/>
      <c r="EY536" s="500"/>
      <c r="EZ536" s="500"/>
      <c r="FA536" s="500"/>
      <c r="FB536" s="500"/>
      <c r="FC536" s="500"/>
      <c r="FD536" s="500"/>
      <c r="FE536" s="500"/>
      <c r="FF536" s="500"/>
      <c r="FG536" s="500"/>
      <c r="FH536" s="500"/>
      <c r="FI536" s="500"/>
      <c r="FJ536" s="500"/>
      <c r="FK536" s="500"/>
      <c r="FL536" s="500"/>
      <c r="FM536" s="500"/>
      <c r="FN536" s="500"/>
      <c r="FO536" s="500"/>
      <c r="FP536" s="500"/>
      <c r="FQ536" s="500"/>
      <c r="FR536" s="500"/>
      <c r="FS536" s="500"/>
      <c r="FT536" s="500"/>
      <c r="FU536" s="500"/>
      <c r="FV536" s="500"/>
      <c r="FW536" s="500"/>
      <c r="FX536" s="500"/>
      <c r="FY536" s="500"/>
      <c r="FZ536" s="500"/>
      <c r="GA536" s="500"/>
      <c r="GB536" s="500"/>
      <c r="GC536" s="500"/>
      <c r="GD536" s="500"/>
      <c r="GE536" s="500"/>
      <c r="GF536" s="500"/>
      <c r="GG536" s="500"/>
      <c r="GH536" s="500"/>
      <c r="GI536" s="500"/>
      <c r="GJ536" s="500"/>
      <c r="GK536" s="500"/>
      <c r="GL536" s="500"/>
      <c r="GM536" s="500"/>
      <c r="GN536" s="500"/>
      <c r="GO536" s="500"/>
      <c r="GP536" s="500"/>
      <c r="GQ536" s="500"/>
      <c r="GR536" s="500"/>
      <c r="GS536" s="500"/>
      <c r="GT536" s="500"/>
      <c r="GU536" s="500"/>
      <c r="GV536" s="500"/>
      <c r="GW536" s="500"/>
      <c r="GX536" s="500"/>
      <c r="GY536" s="500"/>
      <c r="GZ536" s="500"/>
      <c r="HA536" s="500"/>
      <c r="HB536" s="500"/>
      <c r="HC536" s="500"/>
      <c r="HD536" s="500"/>
      <c r="HE536" s="500"/>
      <c r="HF536" s="500"/>
      <c r="HG536" s="500"/>
      <c r="HH536" s="500"/>
      <c r="HI536" s="500"/>
      <c r="HJ536" s="500"/>
      <c r="HK536" s="500"/>
      <c r="HL536" s="500"/>
      <c r="HM536" s="500"/>
      <c r="HN536" s="500"/>
      <c r="HO536" s="500"/>
      <c r="HP536" s="500"/>
      <c r="HQ536" s="500"/>
      <c r="HR536" s="500"/>
      <c r="HS536" s="500"/>
      <c r="HT536" s="500"/>
      <c r="HU536" s="500"/>
      <c r="HV536" s="500"/>
      <c r="HW536" s="500"/>
      <c r="HX536" s="500"/>
      <c r="HY536" s="500"/>
      <c r="HZ536" s="500"/>
      <c r="IA536" s="500"/>
      <c r="IB536" s="500"/>
      <c r="IC536" s="500"/>
      <c r="ID536" s="500"/>
      <c r="IE536" s="500"/>
      <c r="IF536" s="500"/>
      <c r="IG536" s="500"/>
      <c r="IH536" s="500"/>
      <c r="II536" s="500"/>
      <c r="IJ536" s="500"/>
      <c r="IK536" s="500"/>
      <c r="IL536" s="500"/>
      <c r="IM536" s="500"/>
      <c r="IN536" s="500"/>
      <c r="IO536" s="500"/>
      <c r="IP536" s="500"/>
      <c r="IQ536" s="500"/>
      <c r="IR536" s="500"/>
      <c r="IS536" s="500"/>
      <c r="IT536" s="500"/>
      <c r="IU536" s="500"/>
      <c r="IV536" s="500"/>
      <c r="IW536" s="500"/>
      <c r="IX536" s="500"/>
      <c r="IY536" s="500"/>
      <c r="IZ536" s="500"/>
      <c r="JA536" s="500"/>
      <c r="JB536" s="500"/>
      <c r="JC536" s="500"/>
      <c r="JD536" s="500"/>
      <c r="JE536" s="500"/>
      <c r="JF536" s="500"/>
      <c r="JG536" s="500"/>
      <c r="JH536" s="500"/>
      <c r="JI536" s="500"/>
      <c r="JJ536" s="500"/>
      <c r="JK536" s="500"/>
      <c r="JL536" s="500"/>
      <c r="JM536" s="500"/>
      <c r="JN536" s="500"/>
      <c r="JO536" s="500"/>
      <c r="JP536" s="500"/>
      <c r="JQ536" s="500"/>
      <c r="JR536" s="500"/>
      <c r="JS536" s="500"/>
      <c r="JT536" s="500"/>
      <c r="JU536" s="500"/>
      <c r="JV536" s="500"/>
      <c r="JW536" s="500"/>
      <c r="JX536" s="500"/>
      <c r="JY536" s="500"/>
      <c r="JZ536" s="500"/>
      <c r="KA536" s="500"/>
      <c r="KB536" s="500"/>
      <c r="KC536" s="500"/>
      <c r="KD536" s="500"/>
      <c r="KE536" s="500"/>
      <c r="KF536" s="500"/>
      <c r="KG536" s="500"/>
      <c r="KH536" s="500"/>
      <c r="KI536" s="500"/>
      <c r="KJ536" s="500"/>
      <c r="KK536" s="500"/>
      <c r="KL536" s="500"/>
      <c r="KM536" s="500"/>
      <c r="KN536" s="500"/>
      <c r="KO536" s="500"/>
      <c r="KP536" s="500"/>
      <c r="KQ536" s="500"/>
      <c r="KR536" s="500"/>
      <c r="KS536" s="500"/>
      <c r="KT536" s="500"/>
      <c r="KU536" s="500"/>
      <c r="KV536" s="500"/>
      <c r="KW536" s="500"/>
      <c r="KX536" s="500"/>
      <c r="KY536" s="500"/>
      <c r="KZ536" s="500"/>
      <c r="LA536" s="500"/>
      <c r="LB536" s="500"/>
      <c r="LC536" s="500"/>
      <c r="LD536" s="500"/>
      <c r="LE536" s="500"/>
      <c r="LF536" s="500"/>
      <c r="LG536" s="500"/>
      <c r="LH536" s="500"/>
      <c r="LI536" s="500"/>
      <c r="LJ536" s="500"/>
      <c r="LK536" s="500"/>
      <c r="LL536" s="500"/>
      <c r="LM536" s="500"/>
      <c r="LN536" s="500"/>
      <c r="LO536" s="500"/>
      <c r="LP536" s="500"/>
      <c r="LQ536" s="500"/>
      <c r="LR536" s="500"/>
      <c r="LS536" s="500"/>
      <c r="LT536" s="500"/>
      <c r="LU536" s="500"/>
      <c r="LV536" s="500"/>
      <c r="LW536" s="500"/>
      <c r="LX536" s="500"/>
      <c r="LY536" s="500"/>
      <c r="LZ536" s="500"/>
      <c r="MA536" s="500"/>
      <c r="MB536" s="500"/>
      <c r="MC536" s="500"/>
      <c r="MD536" s="500"/>
      <c r="ME536" s="500"/>
      <c r="MF536" s="500"/>
      <c r="MG536" s="500"/>
      <c r="MH536" s="500"/>
      <c r="MI536" s="500"/>
      <c r="MJ536" s="500"/>
      <c r="MK536" s="500"/>
      <c r="ML536" s="500"/>
      <c r="MM536" s="500"/>
      <c r="MN536" s="500"/>
      <c r="MO536" s="500"/>
      <c r="MP536" s="500"/>
      <c r="MQ536" s="500"/>
      <c r="MR536" s="500"/>
      <c r="MS536" s="500"/>
      <c r="MT536" s="500"/>
      <c r="MU536" s="500"/>
      <c r="MV536" s="500"/>
      <c r="MW536" s="500"/>
      <c r="MX536" s="500"/>
      <c r="MY536" s="500"/>
      <c r="MZ536" s="500"/>
      <c r="NA536" s="500"/>
      <c r="NB536" s="500"/>
      <c r="NC536" s="500"/>
      <c r="ND536" s="500"/>
      <c r="NE536" s="500"/>
      <c r="NF536" s="500"/>
      <c r="NG536" s="500"/>
      <c r="NH536" s="500"/>
      <c r="NI536" s="500"/>
      <c r="NJ536" s="500"/>
      <c r="NK536" s="500"/>
      <c r="NL536" s="500"/>
      <c r="NM536" s="500"/>
      <c r="NN536" s="500"/>
      <c r="NO536" s="500"/>
      <c r="NP536" s="500"/>
      <c r="NQ536" s="500"/>
      <c r="NR536" s="500"/>
      <c r="NS536" s="500"/>
      <c r="NT536" s="500"/>
      <c r="NU536" s="500"/>
      <c r="NV536" s="500"/>
      <c r="NW536" s="500"/>
      <c r="NX536" s="500"/>
      <c r="NY536" s="500"/>
      <c r="NZ536" s="500"/>
      <c r="OA536" s="500"/>
      <c r="OB536" s="500"/>
      <c r="OC536" s="500"/>
      <c r="OD536" s="500"/>
      <c r="OE536" s="500"/>
      <c r="OF536" s="500"/>
      <c r="OG536" s="500"/>
      <c r="OH536" s="500"/>
      <c r="OI536" s="500"/>
      <c r="OJ536" s="500"/>
      <c r="OK536" s="500"/>
      <c r="OL536" s="500"/>
      <c r="OM536" s="500"/>
      <c r="ON536" s="500"/>
      <c r="OO536" s="500"/>
      <c r="OP536" s="500"/>
      <c r="OQ536" s="500"/>
      <c r="OR536" s="500"/>
      <c r="OS536" s="500"/>
      <c r="OT536" s="500"/>
      <c r="OU536" s="500"/>
      <c r="OV536" s="500"/>
      <c r="OW536" s="500"/>
      <c r="OX536" s="500"/>
      <c r="OY536" s="500"/>
      <c r="OZ536" s="500"/>
      <c r="PA536" s="500"/>
      <c r="PB536" s="500"/>
      <c r="PC536" s="500"/>
      <c r="PD536" s="500"/>
      <c r="PE536" s="500"/>
      <c r="PF536" s="500"/>
      <c r="PG536" s="500"/>
      <c r="PH536" s="500"/>
      <c r="PI536" s="500"/>
      <c r="PJ536" s="500"/>
      <c r="PK536" s="500"/>
      <c r="PL536" s="500"/>
      <c r="PM536" s="500"/>
      <c r="PN536" s="500"/>
      <c r="PO536" s="500"/>
      <c r="PP536" s="500"/>
      <c r="PQ536" s="500"/>
      <c r="PR536" s="500"/>
      <c r="PS536" s="500"/>
      <c r="PT536" s="500"/>
      <c r="PU536" s="500"/>
      <c r="PV536" s="500"/>
      <c r="PW536" s="500"/>
      <c r="PX536" s="500"/>
      <c r="PY536" s="500"/>
      <c r="PZ536" s="500"/>
      <c r="QA536" s="500"/>
      <c r="QB536" s="500"/>
      <c r="QC536" s="500"/>
      <c r="QD536" s="500"/>
      <c r="QE536" s="500"/>
      <c r="QF536" s="500"/>
      <c r="QG536" s="500"/>
      <c r="QH536" s="500"/>
      <c r="QI536" s="500"/>
      <c r="QJ536" s="500"/>
      <c r="QK536" s="500"/>
      <c r="QL536" s="500"/>
      <c r="QM536" s="500"/>
      <c r="QN536" s="500"/>
      <c r="QO536" s="500"/>
      <c r="QP536" s="500"/>
      <c r="QQ536" s="500"/>
      <c r="QR536" s="500"/>
      <c r="QS536" s="500"/>
      <c r="QT536" s="500"/>
      <c r="QU536" s="500"/>
      <c r="QV536" s="500"/>
      <c r="QW536" s="500"/>
      <c r="QX536" s="500"/>
      <c r="QY536" s="500"/>
      <c r="QZ536" s="500"/>
      <c r="RA536" s="500"/>
      <c r="RB536" s="500"/>
      <c r="RC536" s="500"/>
      <c r="RD536" s="500"/>
      <c r="RE536" s="500"/>
      <c r="RF536" s="500"/>
      <c r="RG536" s="500"/>
      <c r="RH536" s="500"/>
      <c r="RI536" s="500"/>
      <c r="RJ536" s="500"/>
      <c r="RK536" s="500"/>
      <c r="RL536" s="500"/>
      <c r="RM536" s="500"/>
      <c r="RN536" s="500"/>
      <c r="RO536" s="500"/>
      <c r="RP536" s="500"/>
      <c r="RQ536" s="500"/>
      <c r="RR536" s="500"/>
      <c r="RS536" s="500"/>
      <c r="RT536" s="500"/>
      <c r="RU536" s="500"/>
      <c r="RV536" s="500"/>
      <c r="RW536" s="500"/>
      <c r="RX536" s="500"/>
      <c r="RY536" s="500"/>
      <c r="RZ536" s="500"/>
      <c r="SA536" s="500"/>
      <c r="SB536" s="500"/>
      <c r="SC536" s="500"/>
      <c r="SD536" s="500"/>
      <c r="SE536" s="500"/>
      <c r="SF536" s="500"/>
      <c r="SG536" s="500"/>
      <c r="SH536" s="500"/>
      <c r="SI536" s="500"/>
      <c r="SJ536" s="500"/>
      <c r="SK536" s="500"/>
      <c r="SL536" s="500"/>
      <c r="SM536" s="500"/>
      <c r="SN536" s="500"/>
      <c r="SO536" s="500"/>
      <c r="SP536" s="500"/>
      <c r="SQ536" s="500"/>
      <c r="SR536" s="500"/>
      <c r="SS536" s="500"/>
      <c r="ST536" s="500"/>
      <c r="SU536" s="500"/>
      <c r="SV536" s="500"/>
      <c r="SW536" s="500"/>
      <c r="SX536" s="500"/>
      <c r="SY536" s="500"/>
      <c r="SZ536" s="500"/>
      <c r="TA536" s="500"/>
      <c r="TB536" s="500"/>
      <c r="TC536" s="500"/>
      <c r="TD536" s="500"/>
      <c r="TE536" s="500"/>
      <c r="TF536" s="500"/>
      <c r="TG536" s="500"/>
      <c r="TH536" s="500"/>
      <c r="TI536" s="500"/>
      <c r="TJ536" s="500"/>
      <c r="TK536" s="500"/>
      <c r="TL536" s="500"/>
      <c r="TM536" s="500"/>
      <c r="TN536" s="500"/>
      <c r="TO536" s="500"/>
      <c r="TP536" s="500"/>
      <c r="TQ536" s="500"/>
      <c r="TR536" s="500"/>
      <c r="TS536" s="500"/>
      <c r="TT536" s="500"/>
      <c r="TU536" s="500"/>
      <c r="TV536" s="500"/>
      <c r="TW536" s="500"/>
      <c r="TX536" s="500"/>
      <c r="TY536" s="500"/>
      <c r="TZ536" s="500"/>
      <c r="UA536" s="500"/>
      <c r="UB536" s="500"/>
      <c r="UC536" s="500"/>
      <c r="UD536" s="500"/>
      <c r="UE536" s="500"/>
      <c r="UF536" s="500"/>
      <c r="UG536" s="500"/>
      <c r="UH536" s="500"/>
      <c r="UI536" s="500"/>
      <c r="UJ536" s="500"/>
      <c r="UK536" s="500"/>
      <c r="UL536" s="500"/>
      <c r="UM536" s="500"/>
      <c r="UN536" s="500"/>
      <c r="UO536" s="500"/>
      <c r="UP536" s="500"/>
      <c r="UQ536" s="500"/>
      <c r="UR536" s="500"/>
      <c r="US536" s="500"/>
      <c r="UT536" s="500"/>
      <c r="UU536" s="500"/>
      <c r="UV536" s="500"/>
      <c r="UW536" s="500"/>
      <c r="UX536" s="500"/>
      <c r="UY536" s="500"/>
      <c r="UZ536" s="500"/>
      <c r="VA536" s="500"/>
      <c r="VB536" s="500"/>
      <c r="VC536" s="500"/>
      <c r="VD536" s="500"/>
      <c r="VE536" s="500"/>
      <c r="VF536" s="500"/>
      <c r="VG536" s="500"/>
      <c r="VH536" s="500"/>
      <c r="VI536" s="500"/>
      <c r="VJ536" s="500"/>
      <c r="VK536" s="500"/>
      <c r="VL536" s="500"/>
      <c r="VM536" s="500"/>
      <c r="VN536" s="500"/>
      <c r="VO536" s="500"/>
      <c r="VP536" s="500"/>
      <c r="VQ536" s="500"/>
      <c r="VR536" s="500"/>
      <c r="VS536" s="500"/>
      <c r="VT536" s="500"/>
      <c r="VU536" s="500"/>
      <c r="VV536" s="500"/>
      <c r="VW536" s="500"/>
      <c r="VX536" s="500"/>
      <c r="VY536" s="500"/>
      <c r="VZ536" s="500"/>
      <c r="WA536" s="500"/>
      <c r="WB536" s="500"/>
      <c r="WC536" s="500"/>
      <c r="WD536" s="500"/>
      <c r="WE536" s="500"/>
      <c r="WF536" s="500"/>
      <c r="WG536" s="500"/>
      <c r="WH536" s="500"/>
      <c r="WI536" s="500"/>
      <c r="WJ536" s="500"/>
      <c r="WK536" s="500"/>
      <c r="WL536" s="500"/>
      <c r="WM536" s="500"/>
      <c r="WN536" s="500"/>
      <c r="WO536" s="500"/>
      <c r="WP536" s="500"/>
      <c r="WQ536" s="500"/>
      <c r="WR536" s="500"/>
      <c r="WS536" s="500"/>
      <c r="WT536" s="500"/>
      <c r="WU536" s="500"/>
      <c r="WV536" s="500"/>
      <c r="WW536" s="500"/>
      <c r="WX536" s="500"/>
      <c r="WY536" s="500"/>
      <c r="WZ536" s="500"/>
      <c r="XA536" s="500"/>
      <c r="XB536" s="500"/>
      <c r="XC536" s="500"/>
      <c r="XD536" s="500"/>
      <c r="XE536" s="500"/>
      <c r="XF536" s="500"/>
      <c r="XG536" s="500"/>
      <c r="XH536" s="500"/>
      <c r="XI536" s="500"/>
      <c r="XJ536" s="500"/>
      <c r="XK536" s="500"/>
      <c r="XL536" s="500"/>
      <c r="XM536" s="500"/>
      <c r="XN536" s="500"/>
      <c r="XO536" s="500"/>
      <c r="XP536" s="500"/>
      <c r="XQ536" s="500"/>
      <c r="XR536" s="500"/>
      <c r="XS536" s="500"/>
      <c r="XT536" s="500"/>
      <c r="XU536" s="500"/>
      <c r="XV536" s="500"/>
      <c r="XW536" s="500"/>
      <c r="XX536" s="500"/>
      <c r="XY536" s="500"/>
      <c r="XZ536" s="500"/>
      <c r="YA536" s="500"/>
      <c r="YB536" s="500"/>
      <c r="YC536" s="500"/>
      <c r="YD536" s="500"/>
      <c r="YE536" s="500"/>
      <c r="YF536" s="500"/>
      <c r="YG536" s="500"/>
      <c r="YH536" s="500"/>
      <c r="YI536" s="500"/>
      <c r="YJ536" s="500"/>
      <c r="YK536" s="500"/>
      <c r="YL536" s="500"/>
      <c r="YM536" s="500"/>
      <c r="YN536" s="500"/>
      <c r="YO536" s="500"/>
      <c r="YP536" s="500"/>
      <c r="YQ536" s="500"/>
      <c r="YR536" s="500"/>
      <c r="YS536" s="500"/>
      <c r="YT536" s="500"/>
      <c r="YU536" s="500"/>
      <c r="YV536" s="500"/>
      <c r="YW536" s="500"/>
      <c r="YX536" s="500"/>
      <c r="YY536" s="500"/>
      <c r="YZ536" s="500"/>
      <c r="ZA536" s="500"/>
      <c r="ZB536" s="500"/>
      <c r="ZC536" s="500"/>
      <c r="ZD536" s="500"/>
      <c r="ZE536" s="500"/>
      <c r="ZF536" s="500"/>
      <c r="ZG536" s="500"/>
      <c r="ZH536" s="500"/>
      <c r="ZI536" s="500"/>
      <c r="ZJ536" s="500"/>
      <c r="ZK536" s="500"/>
      <c r="ZL536" s="500"/>
      <c r="ZM536" s="500"/>
      <c r="ZN536" s="500"/>
      <c r="ZO536" s="500"/>
      <c r="ZP536" s="500"/>
      <c r="ZQ536" s="500"/>
      <c r="ZR536" s="500"/>
      <c r="ZS536" s="500"/>
      <c r="ZT536" s="500"/>
      <c r="ZU536" s="500"/>
      <c r="ZV536" s="500"/>
      <c r="ZW536" s="500"/>
      <c r="ZX536" s="500"/>
      <c r="ZY536" s="500"/>
      <c r="ZZ536" s="500"/>
      <c r="AAA536" s="500"/>
      <c r="AAB536" s="500"/>
      <c r="AAC536" s="500"/>
      <c r="AAD536" s="500"/>
      <c r="AAE536" s="500"/>
      <c r="AAF536" s="500"/>
      <c r="AAG536" s="500"/>
      <c r="AAH536" s="500"/>
      <c r="AAI536" s="500"/>
      <c r="AAJ536" s="500"/>
      <c r="AAK536" s="500"/>
      <c r="AAL536" s="500"/>
      <c r="AAM536" s="500"/>
      <c r="AAN536" s="500"/>
      <c r="AAO536" s="500"/>
      <c r="AAP536" s="500"/>
      <c r="AAQ536" s="500"/>
      <c r="AAR536" s="500"/>
      <c r="AAS536" s="500"/>
      <c r="AAT536" s="500"/>
      <c r="AAU536" s="500"/>
      <c r="AAV536" s="500"/>
      <c r="AAW536" s="500"/>
      <c r="AAX536" s="500"/>
      <c r="AAY536" s="500"/>
      <c r="AAZ536" s="500"/>
      <c r="ABA536" s="500"/>
      <c r="ABB536" s="500"/>
      <c r="ABC536" s="500"/>
      <c r="ABD536" s="500"/>
      <c r="ABE536" s="500"/>
      <c r="ABF536" s="500"/>
      <c r="ABG536" s="500"/>
      <c r="ABH536" s="500"/>
      <c r="ABI536" s="500"/>
      <c r="ABJ536" s="500"/>
      <c r="ABK536" s="500"/>
      <c r="ABL536" s="500"/>
      <c r="ABM536" s="500"/>
      <c r="ABN536" s="500"/>
      <c r="ABO536" s="500"/>
      <c r="ABP536" s="500"/>
      <c r="ABQ536" s="500"/>
      <c r="ABR536" s="500"/>
      <c r="ABS536" s="500"/>
      <c r="ABT536" s="500"/>
      <c r="ABU536" s="500"/>
      <c r="ABV536" s="500"/>
      <c r="ABW536" s="500"/>
      <c r="ABX536" s="500"/>
      <c r="ABY536" s="500"/>
      <c r="ABZ536" s="500"/>
      <c r="ACA536" s="500"/>
      <c r="ACB536" s="500"/>
      <c r="ACC536" s="500"/>
      <c r="ACD536" s="500"/>
      <c r="ACE536" s="500"/>
      <c r="ACF536" s="500"/>
      <c r="ACG536" s="500"/>
      <c r="ACH536" s="500"/>
      <c r="ACI536" s="500"/>
      <c r="ACJ536" s="500"/>
      <c r="ACK536" s="500"/>
      <c r="ACL536" s="500"/>
      <c r="ACM536" s="500"/>
      <c r="ACN536" s="500"/>
      <c r="ACO536" s="500"/>
      <c r="ACP536" s="500"/>
      <c r="ACQ536" s="500"/>
      <c r="ACR536" s="500"/>
      <c r="ACS536" s="500"/>
      <c r="ACT536" s="500"/>
      <c r="ACU536" s="500"/>
      <c r="ACV536" s="500"/>
      <c r="ACW536" s="500"/>
      <c r="ACX536" s="500"/>
      <c r="ACY536" s="500"/>
      <c r="ACZ536" s="500"/>
      <c r="ADA536" s="500"/>
      <c r="ADB536" s="500"/>
      <c r="ADC536" s="500"/>
      <c r="ADD536" s="500"/>
      <c r="ADE536" s="500"/>
      <c r="ADF536" s="500"/>
      <c r="ADG536" s="500"/>
      <c r="ADH536" s="500"/>
      <c r="ADI536" s="500"/>
      <c r="ADJ536" s="500"/>
      <c r="ADK536" s="500"/>
      <c r="ADL536" s="500"/>
      <c r="ADM536" s="500"/>
      <c r="ADN536" s="500"/>
      <c r="ADO536" s="500"/>
      <c r="ADP536" s="500"/>
      <c r="ADQ536" s="500"/>
      <c r="ADR536" s="500"/>
      <c r="ADS536" s="500"/>
      <c r="ADT536" s="500"/>
      <c r="ADU536" s="500"/>
      <c r="ADV536" s="500"/>
      <c r="ADW536" s="500"/>
      <c r="ADX536" s="500"/>
      <c r="ADY536" s="500"/>
      <c r="ADZ536" s="500"/>
      <c r="AEA536" s="500"/>
      <c r="AEB536" s="500"/>
      <c r="AEC536" s="500"/>
      <c r="AED536" s="500"/>
      <c r="AEE536" s="500"/>
      <c r="AEF536" s="500"/>
      <c r="AEG536" s="500"/>
      <c r="AEH536" s="500"/>
      <c r="AEI536" s="500"/>
      <c r="AEJ536" s="500"/>
      <c r="AEK536" s="500"/>
      <c r="AEL536" s="500"/>
      <c r="AEM536" s="500"/>
      <c r="AEN536" s="500"/>
      <c r="AEO536" s="500"/>
      <c r="AEP536" s="500"/>
      <c r="AEQ536" s="500"/>
      <c r="AER536" s="500"/>
      <c r="AES536" s="500"/>
      <c r="AET536" s="500"/>
      <c r="AEU536" s="500"/>
      <c r="AEV536" s="500"/>
      <c r="AEW536" s="500"/>
      <c r="AEX536" s="500"/>
      <c r="AEY536" s="500"/>
      <c r="AEZ536" s="500"/>
      <c r="AFA536" s="500"/>
      <c r="AFB536" s="500"/>
      <c r="AFC536" s="500"/>
      <c r="AFD536" s="500"/>
      <c r="AFE536" s="500"/>
      <c r="AFF536" s="500"/>
      <c r="AFG536" s="500"/>
      <c r="AFH536" s="500"/>
      <c r="AFI536" s="500"/>
      <c r="AFJ536" s="500"/>
      <c r="AFK536" s="500"/>
      <c r="AFL536" s="500"/>
      <c r="AFM536" s="500"/>
      <c r="AFN536" s="500"/>
      <c r="AFO536" s="500"/>
      <c r="AFP536" s="500"/>
      <c r="AFQ536" s="500"/>
      <c r="AFR536" s="500"/>
      <c r="AFS536" s="500"/>
      <c r="AFT536" s="500"/>
      <c r="AFU536" s="500"/>
      <c r="AFV536" s="500"/>
      <c r="AFW536" s="500"/>
      <c r="AFX536" s="500"/>
      <c r="AFY536" s="500"/>
      <c r="AFZ536" s="500"/>
      <c r="AGA536" s="500"/>
      <c r="AGB536" s="500"/>
      <c r="AGC536" s="500"/>
      <c r="AGD536" s="500"/>
      <c r="AGE536" s="500"/>
      <c r="AGF536" s="500"/>
      <c r="AGG536" s="500"/>
      <c r="AGH536" s="500"/>
      <c r="AGI536" s="500"/>
      <c r="AGJ536" s="500"/>
      <c r="AGK536" s="500"/>
      <c r="AGL536" s="500"/>
      <c r="AGM536" s="500"/>
      <c r="AGN536" s="500"/>
      <c r="AGO536" s="500"/>
      <c r="AGP536" s="500"/>
      <c r="AGQ536" s="500"/>
      <c r="AGR536" s="500"/>
      <c r="AGS536" s="500"/>
      <c r="AGT536" s="500"/>
      <c r="AGU536" s="500"/>
      <c r="AGV536" s="500"/>
      <c r="AGW536" s="500"/>
      <c r="AGX536" s="500"/>
      <c r="AGY536" s="500"/>
      <c r="AGZ536" s="500"/>
      <c r="AHA536" s="500"/>
      <c r="AHB536" s="500"/>
      <c r="AHC536" s="500"/>
      <c r="AHD536" s="500"/>
      <c r="AHE536" s="500"/>
      <c r="AHF536" s="500"/>
      <c r="AHG536" s="500"/>
      <c r="AHH536" s="500"/>
      <c r="AHI536" s="500"/>
      <c r="AHJ536" s="500"/>
      <c r="AHK536" s="500"/>
      <c r="AHL536" s="500"/>
      <c r="AHM536" s="500"/>
      <c r="AHN536" s="500"/>
      <c r="AHO536" s="500"/>
      <c r="AHP536" s="500"/>
      <c r="AHQ536" s="500"/>
      <c r="AHR536" s="500"/>
      <c r="AHS536" s="500"/>
      <c r="AHT536" s="500"/>
      <c r="AHU536" s="500"/>
      <c r="AHV536" s="500"/>
      <c r="AHW536" s="500"/>
      <c r="AHX536" s="500"/>
      <c r="AHY536" s="500"/>
      <c r="AHZ536" s="500"/>
      <c r="AIA536" s="500"/>
      <c r="AIB536" s="500"/>
      <c r="AIC536" s="500"/>
      <c r="AID536" s="500"/>
      <c r="AIE536" s="500"/>
      <c r="AIF536" s="500"/>
      <c r="AIG536" s="500"/>
      <c r="AIH536" s="500"/>
      <c r="AII536" s="500"/>
      <c r="AIJ536" s="500"/>
      <c r="AIK536" s="500"/>
      <c r="AIL536" s="500"/>
      <c r="AIM536" s="500"/>
      <c r="AIN536" s="500"/>
      <c r="AIO536" s="500"/>
      <c r="AIP536" s="500"/>
      <c r="AIQ536" s="500"/>
      <c r="AIR536" s="500"/>
      <c r="AIS536" s="500"/>
      <c r="AIT536" s="500"/>
      <c r="AIU536" s="500"/>
      <c r="AIV536" s="500"/>
      <c r="AIW536" s="500"/>
      <c r="AIX536" s="500"/>
      <c r="AIY536" s="500"/>
      <c r="AIZ536" s="500"/>
      <c r="AJA536" s="500"/>
      <c r="AJB536" s="500"/>
      <c r="AJC536" s="500"/>
      <c r="AJD536" s="500"/>
      <c r="AJE536" s="500"/>
      <c r="AJF536" s="500"/>
      <c r="AJG536" s="500"/>
      <c r="AJH536" s="500"/>
      <c r="AJI536" s="500"/>
      <c r="AJJ536" s="500"/>
      <c r="AJK536" s="500"/>
      <c r="AJL536" s="500"/>
      <c r="AJM536" s="500"/>
      <c r="AJN536" s="500"/>
      <c r="AJO536" s="500"/>
      <c r="AJP536" s="500"/>
      <c r="AJQ536" s="500"/>
      <c r="AJR536" s="500"/>
      <c r="AJS536" s="500"/>
      <c r="AJT536" s="500"/>
      <c r="AJU536" s="500"/>
      <c r="AJV536" s="500"/>
      <c r="AJW536" s="500"/>
      <c r="AJX536" s="500"/>
      <c r="AJY536" s="500"/>
      <c r="AJZ536" s="500"/>
      <c r="AKA536" s="500"/>
      <c r="AKB536" s="500"/>
      <c r="AKC536" s="500"/>
      <c r="AKD536" s="500"/>
      <c r="AKE536" s="500"/>
      <c r="AKF536" s="500"/>
      <c r="AKG536" s="500"/>
      <c r="AKH536" s="500"/>
      <c r="AKI536" s="500"/>
      <c r="AKJ536" s="500"/>
      <c r="AKK536" s="500"/>
      <c r="AKL536" s="500"/>
      <c r="AKM536" s="500"/>
      <c r="AKN536" s="500"/>
      <c r="AKO536" s="500"/>
      <c r="AKP536" s="500"/>
      <c r="AKQ536" s="500"/>
      <c r="AKR536" s="500"/>
      <c r="AKS536" s="500"/>
      <c r="AKT536" s="500"/>
      <c r="AKU536" s="500"/>
      <c r="AKV536" s="500"/>
      <c r="AKW536" s="500"/>
      <c r="AKX536" s="500"/>
      <c r="AKY536" s="500"/>
      <c r="AKZ536" s="500"/>
      <c r="ALA536" s="500"/>
      <c r="ALB536" s="500"/>
      <c r="ALC536" s="500"/>
      <c r="ALD536" s="500"/>
      <c r="ALE536" s="500"/>
      <c r="ALF536" s="500"/>
      <c r="ALG536" s="500"/>
      <c r="ALH536" s="500"/>
      <c r="ALI536" s="500"/>
      <c r="ALJ536" s="500"/>
      <c r="ALK536" s="500"/>
      <c r="ALL536" s="500"/>
      <c r="ALM536" s="500"/>
      <c r="ALN536" s="500"/>
      <c r="ALO536" s="500"/>
      <c r="ALP536" s="500"/>
      <c r="ALQ536" s="500"/>
      <c r="ALR536" s="500"/>
      <c r="ALS536" s="500"/>
      <c r="ALT536" s="500"/>
      <c r="ALU536" s="500"/>
      <c r="ALV536" s="500"/>
      <c r="ALW536" s="500"/>
      <c r="ALX536" s="500"/>
      <c r="ALY536" s="500"/>
      <c r="ALZ536" s="500"/>
      <c r="AMA536" s="500"/>
      <c r="AMB536" s="500"/>
      <c r="AMC536" s="500"/>
      <c r="AMD536" s="500"/>
      <c r="AME536" s="500"/>
      <c r="AMF536" s="500"/>
      <c r="AMG536" s="500"/>
      <c r="AMH536" s="500"/>
      <c r="AMI536" s="500"/>
      <c r="AMJ536" s="500"/>
      <c r="AMK536" s="500"/>
      <c r="AML536" s="500"/>
      <c r="AMM536" s="500"/>
      <c r="AMN536" s="500"/>
      <c r="AMO536" s="500"/>
      <c r="AMP536" s="500"/>
      <c r="AMQ536" s="500"/>
      <c r="AMR536" s="500"/>
      <c r="AMS536" s="500"/>
      <c r="AMT536" s="500"/>
      <c r="AMU536" s="500"/>
      <c r="AMV536" s="500"/>
      <c r="AMW536" s="500"/>
      <c r="AMX536" s="500"/>
      <c r="AMY536" s="500"/>
      <c r="AMZ536" s="500"/>
      <c r="ANA536" s="500"/>
      <c r="ANB536" s="500"/>
      <c r="ANC536" s="500"/>
      <c r="AND536" s="500"/>
      <c r="ANE536" s="500"/>
      <c r="ANF536" s="500"/>
      <c r="ANG536" s="500"/>
      <c r="ANH536" s="500"/>
      <c r="ANI536" s="500"/>
      <c r="ANJ536" s="500"/>
      <c r="ANK536" s="500"/>
      <c r="ANL536" s="500"/>
      <c r="ANM536" s="500"/>
      <c r="ANN536" s="500"/>
      <c r="ANO536" s="500"/>
      <c r="ANP536" s="500"/>
      <c r="ANQ536" s="500"/>
      <c r="ANR536" s="500"/>
      <c r="ANS536" s="500"/>
      <c r="ANT536" s="500"/>
      <c r="ANU536" s="500"/>
      <c r="ANV536" s="500"/>
      <c r="ANW536" s="500"/>
      <c r="ANX536" s="500"/>
      <c r="ANY536" s="500"/>
      <c r="ANZ536" s="500"/>
      <c r="AOA536" s="500"/>
      <c r="AOB536" s="500"/>
      <c r="AOC536" s="500"/>
      <c r="AOD536" s="500"/>
      <c r="AOE536" s="500"/>
      <c r="AOF536" s="500"/>
      <c r="AOG536" s="500"/>
      <c r="AOH536" s="500"/>
      <c r="AOI536" s="500"/>
      <c r="AOJ536" s="500"/>
      <c r="AOK536" s="500"/>
      <c r="AOL536" s="500"/>
      <c r="AOM536" s="500"/>
      <c r="AON536" s="500"/>
      <c r="AOO536" s="500"/>
      <c r="AOP536" s="500"/>
      <c r="AOQ536" s="500"/>
      <c r="AOR536" s="500"/>
      <c r="AOS536" s="500"/>
      <c r="AOT536" s="500"/>
      <c r="AOU536" s="500"/>
      <c r="AOV536" s="500"/>
      <c r="AOW536" s="500"/>
      <c r="AOX536" s="500"/>
      <c r="AOY536" s="500"/>
      <c r="AOZ536" s="500"/>
      <c r="APA536" s="500"/>
      <c r="APB536" s="500"/>
      <c r="APC536" s="500"/>
      <c r="APD536" s="500"/>
      <c r="APE536" s="500"/>
      <c r="APF536" s="500"/>
      <c r="APG536" s="500"/>
      <c r="APH536" s="500"/>
      <c r="API536" s="500"/>
      <c r="APJ536" s="500"/>
      <c r="APK536" s="500"/>
      <c r="APL536" s="500"/>
      <c r="APM536" s="500"/>
      <c r="APN536" s="500"/>
      <c r="APO536" s="500"/>
      <c r="APP536" s="500"/>
      <c r="APQ536" s="500"/>
      <c r="APR536" s="500"/>
      <c r="APS536" s="500"/>
      <c r="APT536" s="500"/>
      <c r="APU536" s="500"/>
      <c r="APV536" s="500"/>
      <c r="APW536" s="500"/>
      <c r="APX536" s="500"/>
      <c r="APY536" s="500"/>
      <c r="APZ536" s="500"/>
      <c r="AQA536" s="500"/>
      <c r="AQB536" s="500"/>
      <c r="AQC536" s="500"/>
      <c r="AQD536" s="500"/>
      <c r="AQE536" s="500"/>
      <c r="AQF536" s="500"/>
      <c r="AQG536" s="500"/>
      <c r="AQH536" s="500"/>
      <c r="AQI536" s="500"/>
      <c r="AQJ536" s="500"/>
      <c r="AQK536" s="500"/>
      <c r="AQL536" s="500"/>
      <c r="AQM536" s="500"/>
      <c r="AQN536" s="500"/>
      <c r="AQO536" s="500"/>
      <c r="AQP536" s="500"/>
      <c r="AQQ536" s="500"/>
      <c r="AQR536" s="500"/>
      <c r="AQS536" s="500"/>
      <c r="AQT536" s="500"/>
      <c r="AQU536" s="500"/>
      <c r="AQV536" s="500"/>
      <c r="AQW536" s="500"/>
      <c r="AQX536" s="500"/>
      <c r="AQY536" s="500"/>
      <c r="AQZ536" s="500"/>
      <c r="ARA536" s="500"/>
      <c r="ARB536" s="500"/>
      <c r="ARC536" s="500"/>
      <c r="ARD536" s="500"/>
      <c r="ARE536" s="500"/>
      <c r="ARF536" s="500"/>
      <c r="ARG536" s="500"/>
      <c r="ARH536" s="500"/>
      <c r="ARI536" s="500"/>
      <c r="ARJ536" s="500"/>
      <c r="ARK536" s="500"/>
      <c r="ARL536" s="500"/>
      <c r="ARM536" s="500"/>
      <c r="ARN536" s="500"/>
      <c r="ARO536" s="500"/>
      <c r="ARP536" s="500"/>
      <c r="ARQ536" s="500"/>
      <c r="ARR536" s="500"/>
      <c r="ARS536" s="500"/>
      <c r="ART536" s="500"/>
      <c r="ARU536" s="500"/>
      <c r="ARV536" s="500"/>
      <c r="ARW536" s="500"/>
      <c r="ARX536" s="500"/>
      <c r="ARY536" s="500"/>
      <c r="ARZ536" s="500"/>
      <c r="ASA536" s="500"/>
      <c r="ASB536" s="500"/>
      <c r="ASC536" s="500"/>
      <c r="ASD536" s="500"/>
      <c r="ASE536" s="500"/>
      <c r="ASF536" s="500"/>
      <c r="ASG536" s="500"/>
      <c r="ASH536" s="500"/>
      <c r="ASI536" s="500"/>
      <c r="ASJ536" s="500"/>
      <c r="ASK536" s="500"/>
      <c r="ASL536" s="500"/>
      <c r="ASM536" s="500"/>
      <c r="ASN536" s="500"/>
      <c r="ASO536" s="500"/>
      <c r="ASP536" s="500"/>
      <c r="ASQ536" s="500"/>
      <c r="ASR536" s="500"/>
      <c r="ASS536" s="500"/>
      <c r="AST536" s="500"/>
      <c r="ASU536" s="500"/>
      <c r="ASV536" s="500"/>
      <c r="ASW536" s="500"/>
      <c r="ASX536" s="500"/>
      <c r="ASY536" s="500"/>
      <c r="ASZ536" s="500"/>
      <c r="ATA536" s="500"/>
      <c r="ATB536" s="500"/>
      <c r="ATC536" s="500"/>
      <c r="ATD536" s="500"/>
      <c r="ATE536" s="500"/>
      <c r="ATF536" s="500"/>
      <c r="ATG536" s="500"/>
      <c r="ATH536" s="500"/>
      <c r="ATI536" s="500"/>
      <c r="ATJ536" s="500"/>
      <c r="ATK536" s="500"/>
      <c r="ATL536" s="500"/>
      <c r="ATM536" s="500"/>
      <c r="ATN536" s="500"/>
      <c r="ATO536" s="500"/>
      <c r="ATP536" s="500"/>
      <c r="ATQ536" s="500"/>
      <c r="ATR536" s="500"/>
      <c r="ATS536" s="500"/>
      <c r="ATT536" s="500"/>
      <c r="ATU536" s="500"/>
      <c r="ATV536" s="500"/>
      <c r="ATW536" s="500"/>
      <c r="ATX536" s="500"/>
      <c r="ATY536" s="500"/>
      <c r="ATZ536" s="500"/>
      <c r="AUA536" s="500"/>
      <c r="AUB536" s="500"/>
      <c r="AUC536" s="500"/>
      <c r="AUD536" s="500"/>
      <c r="AUE536" s="500"/>
      <c r="AUF536" s="500"/>
      <c r="AUG536" s="500"/>
      <c r="AUH536" s="500"/>
      <c r="AUI536" s="500"/>
      <c r="AUJ536" s="500"/>
      <c r="AUK536" s="500"/>
      <c r="AUL536" s="500"/>
      <c r="AUM536" s="500"/>
      <c r="AUN536" s="500"/>
      <c r="AUO536" s="500"/>
      <c r="AUP536" s="500"/>
      <c r="AUQ536" s="500"/>
      <c r="AUR536" s="500"/>
      <c r="AUS536" s="500"/>
      <c r="AUT536" s="500"/>
      <c r="AUU536" s="500"/>
      <c r="AUV536" s="500"/>
      <c r="AUW536" s="500"/>
      <c r="AUX536" s="500"/>
      <c r="AUY536" s="500"/>
      <c r="AUZ536" s="500"/>
      <c r="AVA536" s="500"/>
      <c r="AVB536" s="500"/>
      <c r="AVC536" s="500"/>
      <c r="AVD536" s="500"/>
      <c r="AVE536" s="500"/>
      <c r="AVF536" s="500"/>
      <c r="AVG536" s="500"/>
      <c r="AVH536" s="500"/>
      <c r="AVI536" s="500"/>
      <c r="AVJ536" s="500"/>
      <c r="AVK536" s="500"/>
      <c r="AVL536" s="500"/>
      <c r="AVM536" s="500"/>
      <c r="AVN536" s="500"/>
      <c r="AVO536" s="500"/>
      <c r="AVP536" s="500"/>
      <c r="AVQ536" s="500"/>
      <c r="AVR536" s="500"/>
      <c r="AVS536" s="500"/>
      <c r="AVT536" s="500"/>
      <c r="AVU536" s="500"/>
      <c r="AVV536" s="500"/>
      <c r="AVW536" s="500"/>
      <c r="AVX536" s="500"/>
      <c r="AVY536" s="500"/>
      <c r="AVZ536" s="500"/>
      <c r="AWA536" s="500"/>
      <c r="AWB536" s="500"/>
      <c r="AWC536" s="500"/>
      <c r="AWD536" s="500"/>
      <c r="AWE536" s="500"/>
      <c r="AWF536" s="500"/>
      <c r="AWG536" s="500"/>
      <c r="AWH536" s="500"/>
      <c r="AWI536" s="500"/>
      <c r="AWJ536" s="500"/>
      <c r="AWK536" s="500"/>
      <c r="AWL536" s="500"/>
      <c r="AWM536" s="500"/>
      <c r="AWN536" s="500"/>
      <c r="AWO536" s="500"/>
      <c r="AWP536" s="500"/>
      <c r="AWQ536" s="500"/>
      <c r="AWR536" s="500"/>
      <c r="AWS536" s="500"/>
      <c r="AWT536" s="500"/>
      <c r="AWU536" s="500"/>
      <c r="AWV536" s="500"/>
      <c r="AWW536" s="500"/>
      <c r="AWX536" s="500"/>
      <c r="AWY536" s="500"/>
      <c r="AWZ536" s="500"/>
      <c r="AXA536" s="500"/>
      <c r="AXB536" s="500"/>
      <c r="AXC536" s="500"/>
      <c r="AXD536" s="500"/>
      <c r="AXE536" s="500"/>
      <c r="AXF536" s="500"/>
      <c r="AXG536" s="500"/>
      <c r="AXH536" s="500"/>
      <c r="AXI536" s="500"/>
      <c r="AXJ536" s="500"/>
      <c r="AXK536" s="500"/>
      <c r="AXL536" s="500"/>
      <c r="AXM536" s="500"/>
      <c r="AXN536" s="500"/>
      <c r="AXO536" s="500"/>
      <c r="AXP536" s="500"/>
      <c r="AXQ536" s="500"/>
      <c r="AXR536" s="500"/>
      <c r="AXS536" s="500"/>
      <c r="AXT536" s="500"/>
      <c r="AXU536" s="500"/>
      <c r="AXV536" s="500"/>
      <c r="AXW536" s="500"/>
      <c r="AXX536" s="500"/>
      <c r="AXY536" s="500"/>
      <c r="AXZ536" s="500"/>
      <c r="AYA536" s="500"/>
      <c r="AYB536" s="500"/>
      <c r="AYC536" s="500"/>
      <c r="AYD536" s="500"/>
      <c r="AYE536" s="500"/>
      <c r="AYF536" s="500"/>
      <c r="AYG536" s="500"/>
      <c r="AYH536" s="500"/>
      <c r="AYI536" s="500"/>
      <c r="AYJ536" s="500"/>
      <c r="AYK536" s="500"/>
      <c r="AYL536" s="500"/>
      <c r="AYM536" s="500"/>
      <c r="AYN536" s="500"/>
      <c r="AYO536" s="500"/>
      <c r="AYP536" s="500"/>
      <c r="AYQ536" s="500"/>
      <c r="AYR536" s="500"/>
      <c r="AYS536" s="500"/>
      <c r="AYT536" s="500"/>
      <c r="AYU536" s="500"/>
      <c r="AYV536" s="500"/>
      <c r="AYW536" s="500"/>
      <c r="AYX536" s="500"/>
      <c r="AYY536" s="500"/>
      <c r="AYZ536" s="500"/>
      <c r="AZA536" s="500"/>
      <c r="AZB536" s="500"/>
      <c r="AZC536" s="500"/>
      <c r="AZD536" s="500"/>
      <c r="AZE536" s="500"/>
      <c r="AZF536" s="500"/>
      <c r="AZG536" s="500"/>
      <c r="AZH536" s="500"/>
      <c r="AZI536" s="500"/>
      <c r="AZJ536" s="500"/>
      <c r="AZK536" s="500"/>
      <c r="AZL536" s="500"/>
      <c r="AZM536" s="500"/>
      <c r="AZN536" s="500"/>
      <c r="AZO536" s="500"/>
      <c r="AZP536" s="500"/>
      <c r="AZQ536" s="500"/>
      <c r="AZR536" s="500"/>
      <c r="AZS536" s="500"/>
      <c r="AZT536" s="500"/>
      <c r="AZU536" s="500"/>
      <c r="AZV536" s="500"/>
      <c r="AZW536" s="500"/>
      <c r="AZX536" s="500"/>
      <c r="AZY536" s="500"/>
      <c r="AZZ536" s="500"/>
      <c r="BAA536" s="500"/>
      <c r="BAB536" s="500"/>
      <c r="BAC536" s="500"/>
      <c r="BAD536" s="500"/>
      <c r="BAE536" s="500"/>
      <c r="BAF536" s="500"/>
      <c r="BAG536" s="500"/>
      <c r="BAH536" s="500"/>
      <c r="BAI536" s="500"/>
      <c r="BAJ536" s="500"/>
      <c r="BAK536" s="500"/>
      <c r="BAL536" s="500"/>
      <c r="BAM536" s="500"/>
      <c r="BAN536" s="500"/>
      <c r="BAO536" s="500"/>
      <c r="BAP536" s="500"/>
      <c r="BAQ536" s="500"/>
      <c r="BAR536" s="500"/>
      <c r="BAS536" s="500"/>
      <c r="BAT536" s="500"/>
      <c r="BAU536" s="500"/>
      <c r="BAV536" s="500"/>
      <c r="BAW536" s="500"/>
      <c r="BAX536" s="500"/>
      <c r="BAY536" s="500"/>
      <c r="BAZ536" s="500"/>
      <c r="BBA536" s="500"/>
      <c r="BBB536" s="500"/>
      <c r="BBC536" s="500"/>
      <c r="BBD536" s="500"/>
      <c r="BBE536" s="500"/>
      <c r="BBF536" s="500"/>
      <c r="BBG536" s="500"/>
      <c r="BBH536" s="500"/>
      <c r="BBI536" s="500"/>
      <c r="BBJ536" s="500"/>
      <c r="BBK536" s="500"/>
      <c r="BBL536" s="500"/>
      <c r="BBM536" s="500"/>
      <c r="BBN536" s="500"/>
      <c r="BBO536" s="500"/>
      <c r="BBP536" s="500"/>
      <c r="BBQ536" s="500"/>
      <c r="BBR536" s="500"/>
      <c r="BBS536" s="500"/>
      <c r="BBT536" s="500"/>
      <c r="BBU536" s="500"/>
      <c r="BBV536" s="500"/>
      <c r="BBW536" s="500"/>
      <c r="BBX536" s="500"/>
      <c r="BBY536" s="500"/>
      <c r="BBZ536" s="500"/>
      <c r="BCA536" s="500"/>
      <c r="BCB536" s="500"/>
      <c r="BCC536" s="500"/>
      <c r="BCD536" s="500"/>
      <c r="BCE536" s="500"/>
      <c r="BCF536" s="500"/>
      <c r="BCG536" s="500"/>
      <c r="BCH536" s="500"/>
      <c r="BCI536" s="500"/>
      <c r="BCJ536" s="500"/>
      <c r="BCK536" s="500"/>
      <c r="BCL536" s="500"/>
      <c r="BCM536" s="500"/>
      <c r="BCN536" s="500"/>
      <c r="BCO536" s="500"/>
      <c r="BCP536" s="500"/>
      <c r="BCQ536" s="500"/>
      <c r="BCR536" s="500"/>
      <c r="BCS536" s="500"/>
      <c r="BCT536" s="500"/>
      <c r="BCU536" s="500"/>
      <c r="BCV536" s="500"/>
      <c r="BCW536" s="500"/>
      <c r="BCX536" s="500"/>
      <c r="BCY536" s="500"/>
      <c r="BCZ536" s="500"/>
      <c r="BDA536" s="500"/>
      <c r="BDB536" s="500"/>
      <c r="BDC536" s="500"/>
      <c r="BDD536" s="500"/>
      <c r="BDE536" s="500"/>
      <c r="BDF536" s="500"/>
      <c r="BDG536" s="500"/>
      <c r="BDH536" s="500"/>
      <c r="BDI536" s="500"/>
      <c r="BDJ536" s="500"/>
      <c r="BDK536" s="500"/>
      <c r="BDL536" s="500"/>
      <c r="BDM536" s="500"/>
      <c r="BDN536" s="500"/>
      <c r="BDO536" s="500"/>
      <c r="BDP536" s="500"/>
      <c r="BDQ536" s="500"/>
      <c r="BDR536" s="500"/>
      <c r="BDS536" s="500"/>
      <c r="BDT536" s="500"/>
      <c r="BDU536" s="500"/>
      <c r="BDV536" s="500"/>
      <c r="BDW536" s="500"/>
      <c r="BDX536" s="500"/>
      <c r="BDY536" s="500"/>
      <c r="BDZ536" s="500"/>
      <c r="BEA536" s="500"/>
      <c r="BEB536" s="500"/>
      <c r="BEC536" s="500"/>
      <c r="BED536" s="500"/>
      <c r="BEE536" s="500"/>
      <c r="BEF536" s="500"/>
      <c r="BEG536" s="500"/>
      <c r="BEH536" s="500"/>
      <c r="BEI536" s="500"/>
      <c r="BEJ536" s="500"/>
      <c r="BEK536" s="500"/>
      <c r="BEL536" s="500"/>
      <c r="BEM536" s="500"/>
      <c r="BEN536" s="500"/>
      <c r="BEO536" s="500"/>
      <c r="BEP536" s="500"/>
      <c r="BEQ536" s="500"/>
      <c r="BER536" s="500"/>
      <c r="BES536" s="500"/>
      <c r="BET536" s="500"/>
      <c r="BEU536" s="500"/>
      <c r="BEV536" s="500"/>
      <c r="BEW536" s="500"/>
      <c r="BEX536" s="500"/>
      <c r="BEY536" s="500"/>
      <c r="BEZ536" s="500"/>
      <c r="BFA536" s="500"/>
      <c r="BFB536" s="500"/>
      <c r="BFC536" s="500"/>
      <c r="BFD536" s="500"/>
      <c r="BFE536" s="500"/>
      <c r="BFF536" s="500"/>
      <c r="BFG536" s="500"/>
      <c r="BFH536" s="500"/>
      <c r="BFI536" s="500"/>
      <c r="BFJ536" s="500"/>
      <c r="BFK536" s="500"/>
      <c r="BFL536" s="500"/>
      <c r="BFM536" s="500"/>
      <c r="BFN536" s="500"/>
      <c r="BFO536" s="500"/>
      <c r="BFP536" s="500"/>
      <c r="BFQ536" s="500"/>
      <c r="BFR536" s="500"/>
      <c r="BFS536" s="500"/>
      <c r="BFT536" s="500"/>
      <c r="BFU536" s="500"/>
      <c r="BFV536" s="500"/>
      <c r="BFW536" s="500"/>
      <c r="BFX536" s="500"/>
      <c r="BFY536" s="500"/>
      <c r="BFZ536" s="500"/>
      <c r="BGA536" s="500"/>
      <c r="BGB536" s="500"/>
      <c r="BGC536" s="500"/>
      <c r="BGD536" s="500"/>
      <c r="BGE536" s="500"/>
      <c r="BGF536" s="500"/>
      <c r="BGG536" s="500"/>
      <c r="BGH536" s="500"/>
      <c r="BGI536" s="500"/>
      <c r="BGJ536" s="500"/>
      <c r="BGK536" s="500"/>
      <c r="BGL536" s="500"/>
      <c r="BGM536" s="500"/>
      <c r="BGN536" s="500"/>
      <c r="BGO536" s="500"/>
      <c r="BGP536" s="500"/>
      <c r="BGQ536" s="500"/>
      <c r="BGR536" s="500"/>
      <c r="BGS536" s="500"/>
      <c r="BGT536" s="500"/>
      <c r="BGU536" s="500"/>
      <c r="BGV536" s="500"/>
      <c r="BGW536" s="500"/>
      <c r="BGX536" s="500"/>
      <c r="BGY536" s="500"/>
      <c r="BGZ536" s="500"/>
      <c r="BHA536" s="500"/>
      <c r="BHB536" s="500"/>
      <c r="BHC536" s="500"/>
      <c r="BHD536" s="500"/>
      <c r="BHE536" s="500"/>
      <c r="BHF536" s="500"/>
      <c r="BHG536" s="500"/>
      <c r="BHH536" s="500"/>
      <c r="BHI536" s="500"/>
      <c r="BHJ536" s="500"/>
      <c r="BHK536" s="500"/>
      <c r="BHL536" s="500"/>
      <c r="BHM536" s="500"/>
      <c r="BHN536" s="500"/>
      <c r="BHO536" s="500"/>
      <c r="BHP536" s="500"/>
      <c r="BHQ536" s="500"/>
      <c r="BHR536" s="500"/>
      <c r="BHS536" s="500"/>
      <c r="BHT536" s="500"/>
      <c r="BHU536" s="500"/>
      <c r="BHV536" s="500"/>
      <c r="BHW536" s="500"/>
      <c r="BHX536" s="500"/>
      <c r="BHY536" s="500"/>
      <c r="BHZ536" s="500"/>
      <c r="BIA536" s="500"/>
      <c r="BIB536" s="500"/>
      <c r="BIC536" s="500"/>
      <c r="BID536" s="500"/>
      <c r="BIE536" s="500"/>
      <c r="BIF536" s="500"/>
      <c r="BIG536" s="500"/>
      <c r="BIH536" s="500"/>
      <c r="BII536" s="500"/>
      <c r="BIJ536" s="500"/>
      <c r="BIK536" s="500"/>
      <c r="BIL536" s="500"/>
      <c r="BIM536" s="500"/>
      <c r="BIN536" s="500"/>
      <c r="BIO536" s="500"/>
      <c r="BIP536" s="500"/>
      <c r="BIQ536" s="500"/>
      <c r="BIR536" s="500"/>
      <c r="BIS536" s="500"/>
      <c r="BIT536" s="500"/>
      <c r="BIU536" s="500"/>
      <c r="BIV536" s="500"/>
      <c r="BIW536" s="500"/>
      <c r="BIX536" s="500"/>
      <c r="BIY536" s="500"/>
      <c r="BIZ536" s="500"/>
      <c r="BJA536" s="500"/>
      <c r="BJB536" s="500"/>
      <c r="BJC536" s="500"/>
      <c r="BJD536" s="500"/>
      <c r="BJE536" s="500"/>
      <c r="BJF536" s="500"/>
      <c r="BJG536" s="500"/>
      <c r="BJH536" s="500"/>
      <c r="BJI536" s="500"/>
      <c r="BJJ536" s="500"/>
      <c r="BJK536" s="500"/>
      <c r="BJL536" s="500"/>
      <c r="BJM536" s="500"/>
      <c r="BJN536" s="500"/>
      <c r="BJO536" s="500"/>
      <c r="BJP536" s="500"/>
      <c r="BJQ536" s="500"/>
      <c r="BJR536" s="500"/>
      <c r="BJS536" s="500"/>
      <c r="BJT536" s="500"/>
      <c r="BJU536" s="500"/>
      <c r="BJV536" s="500"/>
      <c r="BJW536" s="500"/>
      <c r="BJX536" s="500"/>
      <c r="BJY536" s="500"/>
      <c r="BJZ536" s="500"/>
      <c r="BKA536" s="500"/>
      <c r="BKB536" s="500"/>
      <c r="BKC536" s="500"/>
      <c r="BKD536" s="500"/>
      <c r="BKE536" s="500"/>
      <c r="BKF536" s="500"/>
      <c r="BKG536" s="500"/>
      <c r="BKH536" s="500"/>
      <c r="BKI536" s="500"/>
      <c r="BKJ536" s="500"/>
      <c r="BKK536" s="500"/>
      <c r="BKL536" s="500"/>
      <c r="BKM536" s="500"/>
      <c r="BKN536" s="500"/>
      <c r="BKO536" s="500"/>
      <c r="BKP536" s="500"/>
      <c r="BKQ536" s="500"/>
      <c r="BKR536" s="500"/>
      <c r="BKS536" s="500"/>
      <c r="BKT536" s="500"/>
      <c r="BKU536" s="500"/>
      <c r="BKV536" s="500"/>
      <c r="BKW536" s="500"/>
      <c r="BKX536" s="500"/>
      <c r="BKY536" s="500"/>
      <c r="BKZ536" s="500"/>
      <c r="BLA536" s="500"/>
      <c r="BLB536" s="500"/>
      <c r="BLC536" s="500"/>
      <c r="BLD536" s="500"/>
      <c r="BLE536" s="500"/>
      <c r="BLF536" s="500"/>
      <c r="BLG536" s="500"/>
      <c r="BLH536" s="500"/>
      <c r="BLI536" s="500"/>
      <c r="BLJ536" s="500"/>
      <c r="BLK536" s="500"/>
      <c r="BLL536" s="500"/>
      <c r="BLM536" s="500"/>
      <c r="BLN536" s="500"/>
      <c r="BLO536" s="500"/>
      <c r="BLP536" s="500"/>
      <c r="BLQ536" s="500"/>
      <c r="BLR536" s="500"/>
      <c r="BLS536" s="500"/>
      <c r="BLT536" s="500"/>
      <c r="BLU536" s="500"/>
      <c r="BLV536" s="500"/>
      <c r="BLW536" s="500"/>
      <c r="BLX536" s="500"/>
      <c r="BLY536" s="500"/>
      <c r="BLZ536" s="500"/>
      <c r="BMA536" s="500"/>
      <c r="BMB536" s="500"/>
      <c r="BMC536" s="500"/>
      <c r="BMD536" s="500"/>
      <c r="BME536" s="500"/>
      <c r="BMF536" s="500"/>
      <c r="BMG536" s="500"/>
      <c r="BMH536" s="500"/>
      <c r="BMI536" s="500"/>
      <c r="BMJ536" s="500"/>
      <c r="BMK536" s="500"/>
      <c r="BML536" s="500"/>
      <c r="BMM536" s="500"/>
      <c r="BMN536" s="500"/>
      <c r="BMO536" s="500"/>
      <c r="BMP536" s="500"/>
      <c r="BMQ536" s="500"/>
      <c r="BMR536" s="500"/>
      <c r="BMS536" s="500"/>
      <c r="BMT536" s="500"/>
      <c r="BMU536" s="500"/>
      <c r="BMV536" s="500"/>
      <c r="BMW536" s="500"/>
      <c r="BMX536" s="500"/>
      <c r="BMY536" s="500"/>
      <c r="BMZ536" s="500"/>
      <c r="BNA536" s="500"/>
      <c r="BNB536" s="500"/>
      <c r="BNC536" s="500"/>
      <c r="BND536" s="500"/>
      <c r="BNE536" s="500"/>
      <c r="BNF536" s="500"/>
      <c r="BNG536" s="500"/>
      <c r="BNH536" s="500"/>
      <c r="BNI536" s="500"/>
      <c r="BNJ536" s="500"/>
      <c r="BNK536" s="500"/>
      <c r="BNL536" s="500"/>
      <c r="BNM536" s="500"/>
      <c r="BNN536" s="500"/>
      <c r="BNO536" s="500"/>
      <c r="BNP536" s="500"/>
      <c r="BNQ536" s="500"/>
      <c r="BNR536" s="500"/>
      <c r="BNS536" s="500"/>
      <c r="BNT536" s="500"/>
      <c r="BNU536" s="500"/>
      <c r="BNV536" s="500"/>
      <c r="BNW536" s="500"/>
      <c r="BNX536" s="500"/>
      <c r="BNY536" s="500"/>
      <c r="BNZ536" s="500"/>
      <c r="BOA536" s="500"/>
      <c r="BOB536" s="500"/>
      <c r="BOC536" s="500"/>
      <c r="BOD536" s="500"/>
      <c r="BOE536" s="500"/>
      <c r="BOF536" s="500"/>
      <c r="BOG536" s="500"/>
      <c r="BOH536" s="500"/>
      <c r="BOI536" s="500"/>
      <c r="BOJ536" s="500"/>
      <c r="BOK536" s="500"/>
      <c r="BOL536" s="500"/>
      <c r="BOM536" s="500"/>
      <c r="BON536" s="500"/>
      <c r="BOO536" s="500"/>
      <c r="BOP536" s="500"/>
      <c r="BOQ536" s="500"/>
      <c r="BOR536" s="500"/>
      <c r="BOS536" s="500"/>
      <c r="BOT536" s="500"/>
      <c r="BOU536" s="500"/>
      <c r="BOV536" s="500"/>
      <c r="BOW536" s="500"/>
      <c r="BOX536" s="500"/>
      <c r="BOY536" s="500"/>
      <c r="BOZ536" s="500"/>
      <c r="BPA536" s="500"/>
      <c r="BPB536" s="500"/>
      <c r="BPC536" s="500"/>
      <c r="BPD536" s="500"/>
      <c r="BPE536" s="500"/>
      <c r="BPF536" s="500"/>
      <c r="BPG536" s="500"/>
      <c r="BPH536" s="500"/>
      <c r="BPI536" s="500"/>
      <c r="BPJ536" s="500"/>
      <c r="BPK536" s="500"/>
      <c r="BPL536" s="500"/>
      <c r="BPM536" s="500"/>
      <c r="BPN536" s="500"/>
      <c r="BPO536" s="500"/>
      <c r="BPP536" s="500"/>
      <c r="BPQ536" s="500"/>
      <c r="BPR536" s="500"/>
      <c r="BPS536" s="500"/>
      <c r="BPT536" s="500"/>
      <c r="BPU536" s="500"/>
      <c r="BPV536" s="500"/>
      <c r="BPW536" s="500"/>
      <c r="BPX536" s="500"/>
      <c r="BPY536" s="500"/>
      <c r="BPZ536" s="500"/>
      <c r="BQA536" s="500"/>
      <c r="BQB536" s="500"/>
      <c r="BQC536" s="500"/>
      <c r="BQD536" s="500"/>
      <c r="BQE536" s="500"/>
      <c r="BQF536" s="500"/>
      <c r="BQG536" s="500"/>
      <c r="BQH536" s="500"/>
      <c r="BQI536" s="500"/>
      <c r="BQJ536" s="500"/>
      <c r="BQK536" s="500"/>
      <c r="BQL536" s="500"/>
      <c r="BQM536" s="500"/>
      <c r="BQN536" s="500"/>
      <c r="BQO536" s="500"/>
      <c r="BQP536" s="500"/>
      <c r="BQQ536" s="500"/>
      <c r="BQR536" s="500"/>
      <c r="BQS536" s="500"/>
      <c r="BQT536" s="500"/>
      <c r="BQU536" s="500"/>
      <c r="BQV536" s="500"/>
      <c r="BQW536" s="500"/>
      <c r="BQX536" s="500"/>
      <c r="BQY536" s="500"/>
      <c r="BQZ536" s="500"/>
      <c r="BRA536" s="500"/>
      <c r="BRB536" s="500"/>
      <c r="BRC536" s="500"/>
      <c r="BRD536" s="500"/>
      <c r="BRE536" s="500"/>
      <c r="BRF536" s="500"/>
      <c r="BRG536" s="500"/>
      <c r="BRH536" s="500"/>
      <c r="BRI536" s="500"/>
      <c r="BRJ536" s="500"/>
      <c r="BRK536" s="500"/>
      <c r="BRL536" s="500"/>
      <c r="BRM536" s="500"/>
      <c r="BRN536" s="500"/>
      <c r="BRO536" s="500"/>
      <c r="BRP536" s="500"/>
      <c r="BRQ536" s="500"/>
      <c r="BRR536" s="500"/>
      <c r="BRS536" s="500"/>
      <c r="BRT536" s="500"/>
      <c r="BRU536" s="500"/>
      <c r="BRV536" s="500"/>
      <c r="BRW536" s="500"/>
      <c r="BRX536" s="500"/>
      <c r="BRY536" s="500"/>
      <c r="BRZ536" s="500"/>
      <c r="BSA536" s="500"/>
      <c r="BSB536" s="500"/>
      <c r="BSC536" s="500"/>
      <c r="BSD536" s="500"/>
      <c r="BSE536" s="500"/>
      <c r="BSF536" s="500"/>
      <c r="BSG536" s="500"/>
      <c r="BSH536" s="500"/>
      <c r="BSI536" s="500"/>
      <c r="BSJ536" s="500"/>
      <c r="BSK536" s="500"/>
      <c r="BSL536" s="500"/>
      <c r="BSM536" s="500"/>
      <c r="BSN536" s="500"/>
      <c r="BSO536" s="500"/>
      <c r="BSP536" s="500"/>
      <c r="BSQ536" s="500"/>
      <c r="BSR536" s="500"/>
      <c r="BSS536" s="500"/>
      <c r="BST536" s="500"/>
      <c r="BSU536" s="500"/>
      <c r="BSV536" s="500"/>
      <c r="BSW536" s="500"/>
      <c r="BSX536" s="500"/>
      <c r="BSY536" s="500"/>
      <c r="BSZ536" s="500"/>
      <c r="BTA536" s="500"/>
      <c r="BTB536" s="500"/>
      <c r="BTC536" s="500"/>
      <c r="BTD536" s="500"/>
      <c r="BTE536" s="500"/>
      <c r="BTF536" s="500"/>
      <c r="BTG536" s="500"/>
      <c r="BTH536" s="500"/>
      <c r="BTI536" s="500"/>
      <c r="BTJ536" s="500"/>
      <c r="BTK536" s="500"/>
      <c r="BTL536" s="500"/>
      <c r="BTM536" s="500"/>
      <c r="BTN536" s="500"/>
      <c r="BTO536" s="500"/>
      <c r="BTP536" s="500"/>
      <c r="BTQ536" s="500"/>
      <c r="BTR536" s="500"/>
      <c r="BTS536" s="500"/>
      <c r="BTT536" s="500"/>
      <c r="BTU536" s="500"/>
      <c r="BTV536" s="500"/>
      <c r="BTW536" s="500"/>
      <c r="BTX536" s="500"/>
      <c r="BTY536" s="500"/>
      <c r="BTZ536" s="500"/>
      <c r="BUA536" s="500"/>
      <c r="BUB536" s="500"/>
      <c r="BUC536" s="500"/>
      <c r="BUD536" s="500"/>
      <c r="BUE536" s="500"/>
      <c r="BUF536" s="500"/>
      <c r="BUG536" s="500"/>
      <c r="BUH536" s="500"/>
      <c r="BUI536" s="500"/>
      <c r="BUJ536" s="500"/>
      <c r="BUK536" s="500"/>
      <c r="BUL536" s="500"/>
      <c r="BUM536" s="500"/>
      <c r="BUN536" s="500"/>
      <c r="BUO536" s="500"/>
      <c r="BUP536" s="500"/>
      <c r="BUQ536" s="500"/>
      <c r="BUR536" s="500"/>
      <c r="BUS536" s="500"/>
      <c r="BUT536" s="500"/>
      <c r="BUU536" s="500"/>
      <c r="BUV536" s="500"/>
      <c r="BUW536" s="500"/>
      <c r="BUX536" s="500"/>
      <c r="BUY536" s="500"/>
      <c r="BUZ536" s="500"/>
      <c r="BVA536" s="500"/>
      <c r="BVB536" s="500"/>
      <c r="BVC536" s="500"/>
      <c r="BVD536" s="500"/>
      <c r="BVE536" s="500"/>
      <c r="BVF536" s="500"/>
      <c r="BVG536" s="500"/>
      <c r="BVH536" s="500"/>
      <c r="BVI536" s="500"/>
      <c r="BVJ536" s="500"/>
      <c r="BVK536" s="500"/>
      <c r="BVL536" s="500"/>
      <c r="BVM536" s="500"/>
      <c r="BVN536" s="500"/>
      <c r="BVO536" s="500"/>
      <c r="BVP536" s="500"/>
      <c r="BVQ536" s="500"/>
      <c r="BVR536" s="500"/>
      <c r="BVS536" s="500"/>
      <c r="BVT536" s="500"/>
      <c r="BVU536" s="500"/>
      <c r="BVV536" s="500"/>
      <c r="BVW536" s="500"/>
      <c r="BVX536" s="500"/>
      <c r="BVY536" s="500"/>
      <c r="BVZ536" s="500"/>
      <c r="BWA536" s="500"/>
      <c r="BWB536" s="500"/>
      <c r="BWC536" s="500"/>
      <c r="BWD536" s="500"/>
      <c r="BWE536" s="500"/>
      <c r="BWF536" s="500"/>
      <c r="BWG536" s="500"/>
      <c r="BWH536" s="500"/>
      <c r="BWI536" s="500"/>
      <c r="BWJ536" s="500"/>
      <c r="BWK536" s="500"/>
      <c r="BWL536" s="500"/>
      <c r="BWM536" s="500"/>
      <c r="BWN536" s="500"/>
      <c r="BWO536" s="500"/>
      <c r="BWP536" s="500"/>
      <c r="BWQ536" s="500"/>
      <c r="BWR536" s="500"/>
      <c r="BWS536" s="500"/>
      <c r="BWT536" s="500"/>
      <c r="BWU536" s="500"/>
      <c r="BWV536" s="500"/>
      <c r="BWW536" s="500"/>
      <c r="BWX536" s="500"/>
      <c r="BWY536" s="500"/>
      <c r="BWZ536" s="500"/>
      <c r="BXA536" s="500"/>
      <c r="BXB536" s="500"/>
      <c r="BXC536" s="500"/>
      <c r="BXD536" s="500"/>
      <c r="BXE536" s="500"/>
      <c r="BXF536" s="500"/>
      <c r="BXG536" s="500"/>
      <c r="BXH536" s="500"/>
      <c r="BXI536" s="500"/>
      <c r="BXJ536" s="500"/>
      <c r="BXK536" s="500"/>
      <c r="BXL536" s="500"/>
      <c r="BXM536" s="500"/>
      <c r="BXN536" s="500"/>
      <c r="BXO536" s="500"/>
      <c r="BXP536" s="500"/>
      <c r="BXQ536" s="500"/>
      <c r="BXR536" s="500"/>
      <c r="BXS536" s="500"/>
      <c r="BXT536" s="500"/>
      <c r="BXU536" s="500"/>
      <c r="BXV536" s="500"/>
      <c r="BXW536" s="500"/>
      <c r="BXX536" s="500"/>
      <c r="BXY536" s="500"/>
      <c r="BXZ536" s="500"/>
      <c r="BYA536" s="500"/>
      <c r="BYB536" s="500"/>
      <c r="BYC536" s="500"/>
      <c r="BYD536" s="500"/>
      <c r="BYE536" s="500"/>
      <c r="BYF536" s="500"/>
      <c r="BYG536" s="500"/>
      <c r="BYH536" s="500"/>
      <c r="BYI536" s="500"/>
      <c r="BYJ536" s="500"/>
      <c r="BYK536" s="500"/>
      <c r="BYL536" s="500"/>
      <c r="BYM536" s="500"/>
      <c r="BYN536" s="500"/>
      <c r="BYO536" s="500"/>
      <c r="BYP536" s="500"/>
      <c r="BYQ536" s="500"/>
      <c r="BYR536" s="500"/>
      <c r="BYS536" s="500"/>
      <c r="BYT536" s="500"/>
      <c r="BYU536" s="500"/>
      <c r="BYV536" s="500"/>
      <c r="BYW536" s="500"/>
      <c r="BYX536" s="500"/>
      <c r="BYY536" s="500"/>
      <c r="BYZ536" s="500"/>
      <c r="BZA536" s="500"/>
      <c r="BZB536" s="500"/>
      <c r="BZC536" s="500"/>
      <c r="BZD536" s="500"/>
      <c r="BZE536" s="500"/>
      <c r="BZF536" s="500"/>
      <c r="BZG536" s="500"/>
      <c r="BZH536" s="500"/>
      <c r="BZI536" s="500"/>
      <c r="BZJ536" s="500"/>
      <c r="BZK536" s="500"/>
      <c r="BZL536" s="500"/>
      <c r="BZM536" s="500"/>
      <c r="BZN536" s="500"/>
      <c r="BZO536" s="500"/>
      <c r="BZP536" s="500"/>
      <c r="BZQ536" s="500"/>
      <c r="BZR536" s="500"/>
      <c r="BZS536" s="500"/>
      <c r="BZT536" s="500"/>
      <c r="BZU536" s="500"/>
      <c r="BZV536" s="500"/>
      <c r="BZW536" s="500"/>
      <c r="BZX536" s="500"/>
      <c r="BZY536" s="500"/>
      <c r="BZZ536" s="500"/>
      <c r="CAA536" s="500"/>
      <c r="CAB536" s="500"/>
      <c r="CAC536" s="500"/>
      <c r="CAD536" s="500"/>
      <c r="CAE536" s="500"/>
      <c r="CAF536" s="500"/>
      <c r="CAG536" s="500"/>
      <c r="CAH536" s="500"/>
      <c r="CAI536" s="500"/>
      <c r="CAJ536" s="500"/>
      <c r="CAK536" s="500"/>
      <c r="CAL536" s="500"/>
      <c r="CAM536" s="500"/>
      <c r="CAN536" s="500"/>
      <c r="CAO536" s="500"/>
      <c r="CAP536" s="500"/>
      <c r="CAQ536" s="500"/>
      <c r="CAR536" s="500"/>
      <c r="CAS536" s="500"/>
      <c r="CAT536" s="500"/>
      <c r="CAU536" s="500"/>
      <c r="CAV536" s="500"/>
      <c r="CAW536" s="500"/>
      <c r="CAX536" s="500"/>
      <c r="CAY536" s="500"/>
      <c r="CAZ536" s="500"/>
      <c r="CBA536" s="500"/>
      <c r="CBB536" s="500"/>
      <c r="CBC536" s="500"/>
      <c r="CBD536" s="500"/>
      <c r="CBE536" s="500"/>
      <c r="CBF536" s="500"/>
      <c r="CBG536" s="500"/>
      <c r="CBH536" s="500"/>
      <c r="CBI536" s="500"/>
      <c r="CBJ536" s="500"/>
      <c r="CBK536" s="500"/>
      <c r="CBL536" s="500"/>
      <c r="CBM536" s="500"/>
      <c r="CBN536" s="500"/>
      <c r="CBO536" s="500"/>
      <c r="CBP536" s="500"/>
      <c r="CBQ536" s="500"/>
      <c r="CBR536" s="500"/>
      <c r="CBS536" s="500"/>
      <c r="CBT536" s="500"/>
      <c r="CBU536" s="500"/>
      <c r="CBV536" s="500"/>
      <c r="CBW536" s="500"/>
      <c r="CBX536" s="500"/>
      <c r="CBY536" s="500"/>
      <c r="CBZ536" s="500"/>
      <c r="CCA536" s="500"/>
      <c r="CCB536" s="500"/>
      <c r="CCC536" s="500"/>
      <c r="CCD536" s="500"/>
      <c r="CCE536" s="500"/>
      <c r="CCF536" s="500"/>
      <c r="CCG536" s="500"/>
      <c r="CCH536" s="500"/>
      <c r="CCI536" s="500"/>
      <c r="CCJ536" s="500"/>
      <c r="CCK536" s="500"/>
      <c r="CCL536" s="500"/>
      <c r="CCM536" s="500"/>
      <c r="CCN536" s="500"/>
      <c r="CCO536" s="500"/>
      <c r="CCP536" s="500"/>
      <c r="CCQ536" s="500"/>
      <c r="CCR536" s="500"/>
      <c r="CCS536" s="500"/>
      <c r="CCT536" s="500"/>
      <c r="CCU536" s="500"/>
      <c r="CCV536" s="500"/>
      <c r="CCW536" s="500"/>
      <c r="CCX536" s="500"/>
      <c r="CCY536" s="500"/>
      <c r="CCZ536" s="500"/>
      <c r="CDA536" s="500"/>
      <c r="CDB536" s="500"/>
      <c r="CDC536" s="500"/>
      <c r="CDD536" s="500"/>
      <c r="CDE536" s="500"/>
      <c r="CDF536" s="500"/>
      <c r="CDG536" s="500"/>
      <c r="CDH536" s="500"/>
      <c r="CDI536" s="500"/>
      <c r="CDJ536" s="500"/>
      <c r="CDK536" s="500"/>
      <c r="CDL536" s="500"/>
      <c r="CDM536" s="500"/>
      <c r="CDN536" s="500"/>
      <c r="CDO536" s="500"/>
      <c r="CDP536" s="500"/>
      <c r="CDQ536" s="500"/>
      <c r="CDR536" s="500"/>
      <c r="CDS536" s="500"/>
      <c r="CDT536" s="500"/>
      <c r="CDU536" s="500"/>
      <c r="CDV536" s="500"/>
      <c r="CDW536" s="500"/>
      <c r="CDX536" s="500"/>
      <c r="CDY536" s="500"/>
      <c r="CDZ536" s="500"/>
      <c r="CEA536" s="500"/>
      <c r="CEB536" s="500"/>
      <c r="CEC536" s="500"/>
      <c r="CED536" s="500"/>
      <c r="CEE536" s="500"/>
      <c r="CEF536" s="500"/>
      <c r="CEG536" s="500"/>
      <c r="CEH536" s="500"/>
      <c r="CEI536" s="500"/>
      <c r="CEJ536" s="500"/>
      <c r="CEK536" s="500"/>
      <c r="CEL536" s="500"/>
      <c r="CEM536" s="500"/>
      <c r="CEN536" s="500"/>
      <c r="CEO536" s="500"/>
      <c r="CEP536" s="500"/>
      <c r="CEQ536" s="500"/>
      <c r="CER536" s="500"/>
      <c r="CES536" s="500"/>
      <c r="CET536" s="500"/>
      <c r="CEU536" s="500"/>
      <c r="CEV536" s="500"/>
      <c r="CEW536" s="500"/>
      <c r="CEX536" s="500"/>
      <c r="CEY536" s="500"/>
      <c r="CEZ536" s="500"/>
      <c r="CFA536" s="500"/>
      <c r="CFB536" s="500"/>
      <c r="CFC536" s="500"/>
      <c r="CFD536" s="500"/>
      <c r="CFE536" s="500"/>
      <c r="CFF536" s="500"/>
      <c r="CFG536" s="500"/>
      <c r="CFH536" s="500"/>
      <c r="CFI536" s="500"/>
      <c r="CFJ536" s="500"/>
      <c r="CFK536" s="500"/>
      <c r="CFL536" s="500"/>
      <c r="CFM536" s="500"/>
      <c r="CFN536" s="500"/>
      <c r="CFO536" s="500"/>
      <c r="CFP536" s="500"/>
      <c r="CFQ536" s="500"/>
      <c r="CFR536" s="500"/>
      <c r="CFS536" s="500"/>
      <c r="CFT536" s="500"/>
      <c r="CFU536" s="500"/>
      <c r="CFV536" s="500"/>
      <c r="CFW536" s="500"/>
      <c r="CFX536" s="500"/>
      <c r="CFY536" s="500"/>
      <c r="CFZ536" s="500"/>
      <c r="CGA536" s="500"/>
      <c r="CGB536" s="500"/>
      <c r="CGC536" s="500"/>
      <c r="CGD536" s="500"/>
      <c r="CGE536" s="500"/>
      <c r="CGF536" s="500"/>
      <c r="CGG536" s="500"/>
      <c r="CGH536" s="500"/>
      <c r="CGI536" s="500"/>
      <c r="CGJ536" s="500"/>
      <c r="CGK536" s="500"/>
      <c r="CGL536" s="500"/>
      <c r="CGM536" s="500"/>
      <c r="CGN536" s="500"/>
      <c r="CGO536" s="500"/>
      <c r="CGP536" s="500"/>
      <c r="CGQ536" s="500"/>
      <c r="CGR536" s="500"/>
      <c r="CGS536" s="500"/>
      <c r="CGT536" s="500"/>
      <c r="CGU536" s="500"/>
      <c r="CGV536" s="500"/>
      <c r="CGW536" s="500"/>
      <c r="CGX536" s="500"/>
      <c r="CGY536" s="500"/>
      <c r="CGZ536" s="500"/>
      <c r="CHA536" s="500"/>
      <c r="CHB536" s="500"/>
      <c r="CHC536" s="500"/>
      <c r="CHD536" s="500"/>
      <c r="CHE536" s="500"/>
      <c r="CHF536" s="500"/>
      <c r="CHG536" s="500"/>
      <c r="CHH536" s="500"/>
      <c r="CHI536" s="500"/>
      <c r="CHJ536" s="500"/>
      <c r="CHK536" s="500"/>
      <c r="CHL536" s="500"/>
      <c r="CHM536" s="500"/>
      <c r="CHN536" s="500"/>
      <c r="CHO536" s="500"/>
      <c r="CHP536" s="500"/>
      <c r="CHQ536" s="500"/>
      <c r="CHR536" s="500"/>
      <c r="CHS536" s="500"/>
      <c r="CHT536" s="500"/>
      <c r="CHU536" s="500"/>
      <c r="CHV536" s="500"/>
      <c r="CHW536" s="500"/>
      <c r="CHX536" s="500"/>
      <c r="CHY536" s="500"/>
      <c r="CHZ536" s="500"/>
      <c r="CIA536" s="500"/>
      <c r="CIB536" s="500"/>
      <c r="CIC536" s="500"/>
      <c r="CID536" s="500"/>
      <c r="CIE536" s="500"/>
      <c r="CIF536" s="500"/>
      <c r="CIG536" s="500"/>
      <c r="CIH536" s="500"/>
      <c r="CII536" s="500"/>
      <c r="CIJ536" s="500"/>
      <c r="CIK536" s="500"/>
      <c r="CIL536" s="500"/>
      <c r="CIM536" s="500"/>
      <c r="CIN536" s="500"/>
      <c r="CIO536" s="500"/>
      <c r="CIP536" s="500"/>
      <c r="CIQ536" s="500"/>
      <c r="CIR536" s="500"/>
      <c r="CIS536" s="500"/>
      <c r="CIT536" s="500"/>
      <c r="CIU536" s="500"/>
      <c r="CIV536" s="500"/>
      <c r="CIW536" s="500"/>
      <c r="CIX536" s="500"/>
      <c r="CIY536" s="500"/>
      <c r="CIZ536" s="500"/>
      <c r="CJA536" s="500"/>
      <c r="CJB536" s="500"/>
      <c r="CJC536" s="500"/>
      <c r="CJD536" s="500"/>
      <c r="CJE536" s="500"/>
      <c r="CJF536" s="500"/>
      <c r="CJG536" s="500"/>
      <c r="CJH536" s="500"/>
      <c r="CJI536" s="500"/>
      <c r="CJJ536" s="500"/>
      <c r="CJK536" s="500"/>
      <c r="CJL536" s="500"/>
      <c r="CJM536" s="500"/>
      <c r="CJN536" s="500"/>
      <c r="CJO536" s="500"/>
      <c r="CJP536" s="500"/>
      <c r="CJQ536" s="500"/>
      <c r="CJR536" s="500"/>
      <c r="CJS536" s="500"/>
      <c r="CJT536" s="500"/>
      <c r="CJU536" s="500"/>
      <c r="CJV536" s="500"/>
      <c r="CJW536" s="500"/>
      <c r="CJX536" s="500"/>
      <c r="CJY536" s="500"/>
      <c r="CJZ536" s="500"/>
      <c r="CKA536" s="500"/>
      <c r="CKB536" s="500"/>
      <c r="CKC536" s="500"/>
      <c r="CKD536" s="500"/>
      <c r="CKE536" s="500"/>
      <c r="CKF536" s="500"/>
      <c r="CKG536" s="500"/>
      <c r="CKH536" s="500"/>
      <c r="CKI536" s="500"/>
      <c r="CKJ536" s="500"/>
      <c r="CKK536" s="500"/>
      <c r="CKL536" s="500"/>
      <c r="CKM536" s="500"/>
      <c r="CKN536" s="500"/>
      <c r="CKO536" s="500"/>
      <c r="CKP536" s="500"/>
      <c r="CKQ536" s="500"/>
      <c r="CKR536" s="500"/>
      <c r="CKS536" s="500"/>
      <c r="CKT536" s="500"/>
      <c r="CKU536" s="500"/>
      <c r="CKV536" s="500"/>
      <c r="CKW536" s="500"/>
      <c r="CKX536" s="500"/>
      <c r="CKY536" s="500"/>
      <c r="CKZ536" s="500"/>
      <c r="CLA536" s="500"/>
      <c r="CLB536" s="500"/>
      <c r="CLC536" s="500"/>
      <c r="CLD536" s="500"/>
      <c r="CLE536" s="500"/>
      <c r="CLF536" s="500"/>
      <c r="CLG536" s="500"/>
      <c r="CLH536" s="500"/>
      <c r="CLI536" s="500"/>
      <c r="CLJ536" s="500"/>
      <c r="CLK536" s="500"/>
      <c r="CLL536" s="500"/>
      <c r="CLM536" s="500"/>
      <c r="CLN536" s="500"/>
      <c r="CLO536" s="500"/>
      <c r="CLP536" s="500"/>
      <c r="CLQ536" s="500"/>
      <c r="CLR536" s="500"/>
      <c r="CLS536" s="500"/>
      <c r="CLT536" s="500"/>
      <c r="CLU536" s="500"/>
      <c r="CLV536" s="500"/>
      <c r="CLW536" s="500"/>
      <c r="CLX536" s="500"/>
      <c r="CLY536" s="500"/>
      <c r="CLZ536" s="500"/>
      <c r="CMA536" s="500"/>
      <c r="CMB536" s="500"/>
      <c r="CMC536" s="500"/>
      <c r="CMD536" s="500"/>
      <c r="CME536" s="500"/>
      <c r="CMF536" s="500"/>
      <c r="CMG536" s="500"/>
      <c r="CMH536" s="500"/>
      <c r="CMI536" s="500"/>
      <c r="CMJ536" s="500"/>
      <c r="CMK536" s="500"/>
      <c r="CML536" s="500"/>
      <c r="CMM536" s="500"/>
      <c r="CMN536" s="500"/>
      <c r="CMO536" s="500"/>
      <c r="CMP536" s="500"/>
      <c r="CMQ536" s="500"/>
      <c r="CMR536" s="500"/>
      <c r="CMS536" s="500"/>
      <c r="CMT536" s="500"/>
      <c r="CMU536" s="500"/>
      <c r="CMV536" s="500"/>
      <c r="CMW536" s="500"/>
      <c r="CMX536" s="500"/>
      <c r="CMY536" s="500"/>
      <c r="CMZ536" s="500"/>
      <c r="CNA536" s="500"/>
      <c r="CNB536" s="500"/>
      <c r="CNC536" s="500"/>
      <c r="CND536" s="500"/>
      <c r="CNE536" s="500"/>
      <c r="CNF536" s="500"/>
      <c r="CNG536" s="500"/>
      <c r="CNH536" s="500"/>
      <c r="CNI536" s="500"/>
      <c r="CNJ536" s="500"/>
      <c r="CNK536" s="500"/>
      <c r="CNL536" s="500"/>
      <c r="CNM536" s="500"/>
      <c r="CNN536" s="500"/>
      <c r="CNO536" s="500"/>
      <c r="CNP536" s="500"/>
      <c r="CNQ536" s="500"/>
      <c r="CNR536" s="500"/>
      <c r="CNS536" s="500"/>
      <c r="CNT536" s="500"/>
      <c r="CNU536" s="500"/>
      <c r="CNV536" s="500"/>
      <c r="CNW536" s="500"/>
      <c r="CNX536" s="500"/>
      <c r="CNY536" s="500"/>
      <c r="CNZ536" s="500"/>
      <c r="COA536" s="500"/>
      <c r="COB536" s="500"/>
      <c r="COC536" s="500"/>
      <c r="COD536" s="500"/>
      <c r="COE536" s="500"/>
      <c r="COF536" s="500"/>
      <c r="COG536" s="500"/>
      <c r="COH536" s="500"/>
      <c r="COI536" s="500"/>
      <c r="COJ536" s="500"/>
      <c r="COK536" s="500"/>
      <c r="COL536" s="500"/>
      <c r="COM536" s="500"/>
      <c r="CON536" s="500"/>
      <c r="COO536" s="500"/>
      <c r="COP536" s="500"/>
      <c r="COQ536" s="500"/>
      <c r="COR536" s="500"/>
      <c r="COS536" s="500"/>
      <c r="COT536" s="500"/>
      <c r="COU536" s="500"/>
      <c r="COV536" s="500"/>
      <c r="COW536" s="500"/>
      <c r="COX536" s="500"/>
      <c r="COY536" s="500"/>
      <c r="COZ536" s="500"/>
      <c r="CPA536" s="500"/>
      <c r="CPB536" s="500"/>
      <c r="CPC536" s="500"/>
      <c r="CPD536" s="500"/>
      <c r="CPE536" s="500"/>
      <c r="CPF536" s="500"/>
      <c r="CPG536" s="500"/>
      <c r="CPH536" s="500"/>
      <c r="CPI536" s="500"/>
      <c r="CPJ536" s="500"/>
      <c r="CPK536" s="500"/>
      <c r="CPL536" s="500"/>
      <c r="CPM536" s="500"/>
      <c r="CPN536" s="500"/>
      <c r="CPO536" s="500"/>
      <c r="CPP536" s="500"/>
      <c r="CPQ536" s="500"/>
      <c r="CPR536" s="500"/>
      <c r="CPS536" s="500"/>
      <c r="CPT536" s="500"/>
      <c r="CPU536" s="500"/>
      <c r="CPV536" s="500"/>
      <c r="CPW536" s="500"/>
      <c r="CPX536" s="500"/>
      <c r="CPY536" s="500"/>
      <c r="CPZ536" s="500"/>
      <c r="CQA536" s="500"/>
      <c r="CQB536" s="500"/>
      <c r="CQC536" s="500"/>
      <c r="CQD536" s="500"/>
      <c r="CQE536" s="500"/>
      <c r="CQF536" s="500"/>
      <c r="CQG536" s="500"/>
      <c r="CQH536" s="500"/>
      <c r="CQI536" s="500"/>
      <c r="CQJ536" s="500"/>
      <c r="CQK536" s="500"/>
      <c r="CQL536" s="500"/>
      <c r="CQM536" s="500"/>
      <c r="CQN536" s="500"/>
      <c r="CQO536" s="500"/>
      <c r="CQP536" s="500"/>
      <c r="CQQ536" s="500"/>
      <c r="CQR536" s="500"/>
      <c r="CQS536" s="500"/>
      <c r="CQT536" s="500"/>
      <c r="CQU536" s="500"/>
      <c r="CQV536" s="500"/>
      <c r="CQW536" s="500"/>
      <c r="CQX536" s="500"/>
      <c r="CQY536" s="500"/>
      <c r="CQZ536" s="500"/>
      <c r="CRA536" s="500"/>
      <c r="CRB536" s="500"/>
      <c r="CRC536" s="500"/>
      <c r="CRD536" s="500"/>
      <c r="CRE536" s="500"/>
      <c r="CRF536" s="500"/>
      <c r="CRG536" s="500"/>
      <c r="CRH536" s="500"/>
      <c r="CRI536" s="500"/>
      <c r="CRJ536" s="500"/>
      <c r="CRK536" s="500"/>
      <c r="CRL536" s="500"/>
      <c r="CRM536" s="500"/>
      <c r="CRN536" s="500"/>
      <c r="CRO536" s="500"/>
      <c r="CRP536" s="500"/>
      <c r="CRQ536" s="500"/>
      <c r="CRR536" s="500"/>
      <c r="CRS536" s="500"/>
      <c r="CRT536" s="500"/>
      <c r="CRU536" s="500"/>
      <c r="CRV536" s="500"/>
      <c r="CRW536" s="500"/>
      <c r="CRX536" s="500"/>
      <c r="CRY536" s="500"/>
      <c r="CRZ536" s="500"/>
      <c r="CSA536" s="500"/>
      <c r="CSB536" s="500"/>
      <c r="CSC536" s="500"/>
      <c r="CSD536" s="500"/>
      <c r="CSE536" s="500"/>
      <c r="CSF536" s="500"/>
      <c r="CSG536" s="500"/>
      <c r="CSH536" s="500"/>
      <c r="CSI536" s="500"/>
      <c r="CSJ536" s="500"/>
      <c r="CSK536" s="500"/>
      <c r="CSL536" s="500"/>
      <c r="CSM536" s="500"/>
      <c r="CSN536" s="500"/>
      <c r="CSO536" s="500"/>
      <c r="CSP536" s="500"/>
      <c r="CSQ536" s="500"/>
      <c r="CSR536" s="500"/>
      <c r="CSS536" s="500"/>
      <c r="CST536" s="500"/>
      <c r="CSU536" s="500"/>
      <c r="CSV536" s="500"/>
      <c r="CSW536" s="500"/>
      <c r="CSX536" s="500"/>
      <c r="CSY536" s="500"/>
      <c r="CSZ536" s="500"/>
      <c r="CTA536" s="500"/>
      <c r="CTB536" s="500"/>
      <c r="CTC536" s="500"/>
      <c r="CTD536" s="500"/>
      <c r="CTE536" s="500"/>
      <c r="CTF536" s="500"/>
      <c r="CTG536" s="500"/>
      <c r="CTH536" s="500"/>
      <c r="CTI536" s="500"/>
      <c r="CTJ536" s="500"/>
      <c r="CTK536" s="500"/>
      <c r="CTL536" s="500"/>
      <c r="CTM536" s="500"/>
      <c r="CTN536" s="500"/>
      <c r="CTO536" s="500"/>
      <c r="CTP536" s="500"/>
      <c r="CTQ536" s="500"/>
      <c r="CTR536" s="500"/>
      <c r="CTS536" s="500"/>
      <c r="CTT536" s="500"/>
      <c r="CTU536" s="500"/>
      <c r="CTV536" s="500"/>
      <c r="CTW536" s="500"/>
      <c r="CTX536" s="500"/>
      <c r="CTY536" s="500"/>
      <c r="CTZ536" s="500"/>
      <c r="CUA536" s="500"/>
      <c r="CUB536" s="500"/>
      <c r="CUC536" s="500"/>
      <c r="CUD536" s="500"/>
      <c r="CUE536" s="500"/>
      <c r="CUF536" s="500"/>
      <c r="CUG536" s="500"/>
      <c r="CUH536" s="500"/>
      <c r="CUI536" s="500"/>
      <c r="CUJ536" s="500"/>
      <c r="CUK536" s="500"/>
      <c r="CUL536" s="500"/>
      <c r="CUM536" s="500"/>
      <c r="CUN536" s="500"/>
      <c r="CUO536" s="500"/>
      <c r="CUP536" s="500"/>
      <c r="CUQ536" s="500"/>
      <c r="CUR536" s="500"/>
      <c r="CUS536" s="500"/>
      <c r="CUT536" s="500"/>
      <c r="CUU536" s="500"/>
      <c r="CUV536" s="500"/>
      <c r="CUW536" s="500"/>
      <c r="CUX536" s="500"/>
      <c r="CUY536" s="500"/>
      <c r="CUZ536" s="500"/>
      <c r="CVA536" s="500"/>
      <c r="CVB536" s="500"/>
      <c r="CVC536" s="500"/>
      <c r="CVD536" s="500"/>
      <c r="CVE536" s="500"/>
      <c r="CVF536" s="500"/>
      <c r="CVG536" s="500"/>
      <c r="CVH536" s="500"/>
      <c r="CVI536" s="500"/>
      <c r="CVJ536" s="500"/>
      <c r="CVK536" s="500"/>
      <c r="CVL536" s="500"/>
      <c r="CVM536" s="500"/>
      <c r="CVN536" s="500"/>
      <c r="CVO536" s="500"/>
      <c r="CVP536" s="500"/>
      <c r="CVQ536" s="500"/>
      <c r="CVR536" s="500"/>
      <c r="CVS536" s="500"/>
      <c r="CVT536" s="500"/>
      <c r="CVU536" s="500"/>
      <c r="CVV536" s="500"/>
      <c r="CVW536" s="500"/>
      <c r="CVX536" s="500"/>
      <c r="CVY536" s="500"/>
      <c r="CVZ536" s="500"/>
      <c r="CWA536" s="500"/>
      <c r="CWB536" s="500"/>
      <c r="CWC536" s="500"/>
      <c r="CWD536" s="500"/>
      <c r="CWE536" s="500"/>
      <c r="CWF536" s="500"/>
      <c r="CWG536" s="500"/>
      <c r="CWH536" s="500"/>
      <c r="CWI536" s="500"/>
      <c r="CWJ536" s="500"/>
      <c r="CWK536" s="500"/>
      <c r="CWL536" s="500"/>
      <c r="CWM536" s="500"/>
      <c r="CWN536" s="500"/>
      <c r="CWO536" s="500"/>
      <c r="CWP536" s="500"/>
      <c r="CWQ536" s="500"/>
      <c r="CWR536" s="500"/>
      <c r="CWS536" s="500"/>
      <c r="CWT536" s="500"/>
      <c r="CWU536" s="500"/>
      <c r="CWV536" s="500"/>
      <c r="CWW536" s="500"/>
      <c r="CWX536" s="500"/>
      <c r="CWY536" s="500"/>
      <c r="CWZ536" s="500"/>
      <c r="CXA536" s="500"/>
      <c r="CXB536" s="500"/>
      <c r="CXC536" s="500"/>
      <c r="CXD536" s="500"/>
      <c r="CXE536" s="500"/>
      <c r="CXF536" s="500"/>
      <c r="CXG536" s="500"/>
      <c r="CXH536" s="500"/>
      <c r="CXI536" s="500"/>
      <c r="CXJ536" s="500"/>
      <c r="CXK536" s="500"/>
      <c r="CXL536" s="500"/>
      <c r="CXM536" s="500"/>
      <c r="CXN536" s="500"/>
      <c r="CXO536" s="500"/>
      <c r="CXP536" s="500"/>
      <c r="CXQ536" s="500"/>
      <c r="CXR536" s="500"/>
      <c r="CXS536" s="500"/>
      <c r="CXT536" s="500"/>
      <c r="CXU536" s="500"/>
      <c r="CXV536" s="500"/>
      <c r="CXW536" s="500"/>
      <c r="CXX536" s="500"/>
      <c r="CXY536" s="500"/>
      <c r="CXZ536" s="500"/>
      <c r="CYA536" s="500"/>
      <c r="CYB536" s="500"/>
      <c r="CYC536" s="500"/>
      <c r="CYD536" s="500"/>
      <c r="CYE536" s="500"/>
      <c r="CYF536" s="500"/>
      <c r="CYG536" s="500"/>
      <c r="CYH536" s="500"/>
      <c r="CYI536" s="500"/>
      <c r="CYJ536" s="500"/>
      <c r="CYK536" s="500"/>
      <c r="CYL536" s="500"/>
      <c r="CYM536" s="500"/>
      <c r="CYN536" s="500"/>
      <c r="CYO536" s="500"/>
      <c r="CYP536" s="500"/>
      <c r="CYQ536" s="500"/>
      <c r="CYR536" s="500"/>
      <c r="CYS536" s="500"/>
      <c r="CYT536" s="500"/>
      <c r="CYU536" s="500"/>
      <c r="CYV536" s="500"/>
      <c r="CYW536" s="500"/>
      <c r="CYX536" s="500"/>
      <c r="CYY536" s="500"/>
      <c r="CYZ536" s="500"/>
      <c r="CZA536" s="500"/>
      <c r="CZB536" s="500"/>
      <c r="CZC536" s="500"/>
      <c r="CZD536" s="500"/>
      <c r="CZE536" s="500"/>
      <c r="CZF536" s="500"/>
      <c r="CZG536" s="500"/>
      <c r="CZH536" s="500"/>
      <c r="CZI536" s="500"/>
      <c r="CZJ536" s="500"/>
      <c r="CZK536" s="500"/>
      <c r="CZL536" s="500"/>
      <c r="CZM536" s="500"/>
      <c r="CZN536" s="500"/>
      <c r="CZO536" s="500"/>
      <c r="CZP536" s="500"/>
      <c r="CZQ536" s="500"/>
      <c r="CZR536" s="500"/>
      <c r="CZS536" s="500"/>
      <c r="CZT536" s="500"/>
      <c r="CZU536" s="500"/>
      <c r="CZV536" s="500"/>
      <c r="CZW536" s="500"/>
      <c r="CZX536" s="500"/>
      <c r="CZY536" s="500"/>
      <c r="CZZ536" s="500"/>
      <c r="DAA536" s="500"/>
      <c r="DAB536" s="500"/>
      <c r="DAC536" s="500"/>
      <c r="DAD536" s="500"/>
      <c r="DAE536" s="500"/>
      <c r="DAF536" s="500"/>
      <c r="DAG536" s="500"/>
      <c r="DAH536" s="500"/>
      <c r="DAI536" s="500"/>
      <c r="DAJ536" s="500"/>
      <c r="DAK536" s="500"/>
      <c r="DAL536" s="500"/>
      <c r="DAM536" s="500"/>
      <c r="DAN536" s="500"/>
      <c r="DAO536" s="500"/>
      <c r="DAP536" s="500"/>
      <c r="DAQ536" s="500"/>
      <c r="DAR536" s="500"/>
      <c r="DAS536" s="500"/>
      <c r="DAT536" s="500"/>
      <c r="DAU536" s="500"/>
      <c r="DAV536" s="500"/>
      <c r="DAW536" s="500"/>
      <c r="DAX536" s="500"/>
      <c r="DAY536" s="500"/>
      <c r="DAZ536" s="500"/>
      <c r="DBA536" s="500"/>
      <c r="DBB536" s="500"/>
      <c r="DBC536" s="500"/>
      <c r="DBD536" s="500"/>
      <c r="DBE536" s="500"/>
      <c r="DBF536" s="500"/>
      <c r="DBG536" s="500"/>
      <c r="DBH536" s="500"/>
      <c r="DBI536" s="500"/>
      <c r="DBJ536" s="500"/>
      <c r="DBK536" s="500"/>
      <c r="DBL536" s="500"/>
      <c r="DBM536" s="500"/>
      <c r="DBN536" s="500"/>
      <c r="DBO536" s="500"/>
      <c r="DBP536" s="500"/>
      <c r="DBQ536" s="500"/>
      <c r="DBR536" s="500"/>
      <c r="DBS536" s="500"/>
      <c r="DBT536" s="500"/>
      <c r="DBU536" s="500"/>
      <c r="DBV536" s="500"/>
      <c r="DBW536" s="500"/>
      <c r="DBX536" s="500"/>
      <c r="DBY536" s="500"/>
      <c r="DBZ536" s="500"/>
      <c r="DCA536" s="500"/>
      <c r="DCB536" s="500"/>
      <c r="DCC536" s="500"/>
      <c r="DCD536" s="500"/>
      <c r="DCE536" s="500"/>
      <c r="DCF536" s="500"/>
      <c r="DCG536" s="500"/>
      <c r="DCH536" s="500"/>
      <c r="DCI536" s="500"/>
      <c r="DCJ536" s="500"/>
      <c r="DCK536" s="500"/>
      <c r="DCL536" s="500"/>
      <c r="DCM536" s="500"/>
      <c r="DCN536" s="500"/>
      <c r="DCO536" s="500"/>
      <c r="DCP536" s="500"/>
      <c r="DCQ536" s="500"/>
      <c r="DCR536" s="500"/>
      <c r="DCS536" s="500"/>
      <c r="DCT536" s="500"/>
      <c r="DCU536" s="500"/>
      <c r="DCV536" s="500"/>
      <c r="DCW536" s="500"/>
      <c r="DCX536" s="500"/>
      <c r="DCY536" s="500"/>
      <c r="DCZ536" s="500"/>
      <c r="DDA536" s="500"/>
      <c r="DDB536" s="500"/>
      <c r="DDC536" s="500"/>
      <c r="DDD536" s="500"/>
      <c r="DDE536" s="500"/>
      <c r="DDF536" s="500"/>
      <c r="DDG536" s="500"/>
      <c r="DDH536" s="500"/>
      <c r="DDI536" s="500"/>
      <c r="DDJ536" s="500"/>
      <c r="DDK536" s="500"/>
      <c r="DDL536" s="500"/>
      <c r="DDM536" s="500"/>
      <c r="DDN536" s="500"/>
      <c r="DDO536" s="500"/>
      <c r="DDP536" s="500"/>
      <c r="DDQ536" s="500"/>
      <c r="DDR536" s="500"/>
      <c r="DDS536" s="500"/>
      <c r="DDT536" s="500"/>
      <c r="DDU536" s="500"/>
      <c r="DDV536" s="500"/>
      <c r="DDW536" s="500"/>
      <c r="DDX536" s="500"/>
      <c r="DDY536" s="500"/>
      <c r="DDZ536" s="500"/>
      <c r="DEA536" s="500"/>
      <c r="DEB536" s="500"/>
      <c r="DEC536" s="500"/>
      <c r="DED536" s="500"/>
      <c r="DEE536" s="500"/>
      <c r="DEF536" s="500"/>
      <c r="DEG536" s="500"/>
      <c r="DEH536" s="500"/>
      <c r="DEI536" s="500"/>
      <c r="DEJ536" s="500"/>
      <c r="DEK536" s="500"/>
      <c r="DEL536" s="500"/>
      <c r="DEM536" s="500"/>
      <c r="DEN536" s="500"/>
      <c r="DEO536" s="500"/>
      <c r="DEP536" s="500"/>
      <c r="DEQ536" s="500"/>
      <c r="DER536" s="500"/>
      <c r="DES536" s="500"/>
      <c r="DET536" s="500"/>
      <c r="DEU536" s="500"/>
      <c r="DEV536" s="500"/>
      <c r="DEW536" s="500"/>
      <c r="DEX536" s="500"/>
      <c r="DEY536" s="500"/>
      <c r="DEZ536" s="500"/>
      <c r="DFA536" s="500"/>
      <c r="DFB536" s="500"/>
      <c r="DFC536" s="500"/>
      <c r="DFD536" s="500"/>
      <c r="DFE536" s="500"/>
      <c r="DFF536" s="500"/>
      <c r="DFG536" s="500"/>
      <c r="DFH536" s="500"/>
      <c r="DFI536" s="500"/>
      <c r="DFJ536" s="500"/>
      <c r="DFK536" s="500"/>
      <c r="DFL536" s="500"/>
      <c r="DFM536" s="500"/>
      <c r="DFN536" s="500"/>
      <c r="DFO536" s="500"/>
      <c r="DFP536" s="500"/>
      <c r="DFQ536" s="500"/>
      <c r="DFR536" s="500"/>
      <c r="DFS536" s="500"/>
      <c r="DFT536" s="500"/>
      <c r="DFU536" s="500"/>
      <c r="DFV536" s="500"/>
      <c r="DFW536" s="500"/>
      <c r="DFX536" s="500"/>
      <c r="DFY536" s="500"/>
      <c r="DFZ536" s="500"/>
      <c r="DGA536" s="500"/>
      <c r="DGB536" s="500"/>
      <c r="DGC536" s="500"/>
      <c r="DGD536" s="500"/>
      <c r="DGE536" s="500"/>
      <c r="DGF536" s="500"/>
      <c r="DGG536" s="500"/>
      <c r="DGH536" s="500"/>
      <c r="DGI536" s="500"/>
      <c r="DGJ536" s="500"/>
      <c r="DGK536" s="500"/>
      <c r="DGL536" s="500"/>
      <c r="DGM536" s="500"/>
      <c r="DGN536" s="500"/>
      <c r="DGO536" s="500"/>
      <c r="DGP536" s="500"/>
      <c r="DGQ536" s="500"/>
      <c r="DGR536" s="500"/>
      <c r="DGS536" s="500"/>
      <c r="DGT536" s="500"/>
      <c r="DGU536" s="500"/>
      <c r="DGV536" s="500"/>
      <c r="DGW536" s="500"/>
      <c r="DGX536" s="500"/>
      <c r="DGY536" s="500"/>
      <c r="DGZ536" s="500"/>
      <c r="DHA536" s="500"/>
      <c r="DHB536" s="500"/>
      <c r="DHC536" s="500"/>
      <c r="DHD536" s="500"/>
      <c r="DHE536" s="500"/>
      <c r="DHF536" s="500"/>
      <c r="DHG536" s="500"/>
      <c r="DHH536" s="500"/>
      <c r="DHI536" s="500"/>
      <c r="DHJ536" s="500"/>
      <c r="DHK536" s="500"/>
      <c r="DHL536" s="500"/>
      <c r="DHM536" s="500"/>
      <c r="DHN536" s="500"/>
      <c r="DHO536" s="500"/>
      <c r="DHP536" s="500"/>
      <c r="DHQ536" s="500"/>
      <c r="DHR536" s="500"/>
      <c r="DHS536" s="500"/>
      <c r="DHT536" s="500"/>
      <c r="DHU536" s="500"/>
      <c r="DHV536" s="500"/>
      <c r="DHW536" s="500"/>
      <c r="DHX536" s="500"/>
      <c r="DHY536" s="500"/>
      <c r="DHZ536" s="500"/>
      <c r="DIA536" s="500"/>
      <c r="DIB536" s="500"/>
      <c r="DIC536" s="500"/>
      <c r="DID536" s="500"/>
      <c r="DIE536" s="500"/>
      <c r="DIF536" s="500"/>
      <c r="DIG536" s="500"/>
      <c r="DIH536" s="500"/>
      <c r="DII536" s="500"/>
      <c r="DIJ536" s="500"/>
      <c r="DIK536" s="500"/>
      <c r="DIL536" s="500"/>
      <c r="DIM536" s="500"/>
      <c r="DIN536" s="500"/>
      <c r="DIO536" s="500"/>
      <c r="DIP536" s="500"/>
      <c r="DIQ536" s="500"/>
      <c r="DIR536" s="500"/>
      <c r="DIS536" s="500"/>
      <c r="DIT536" s="500"/>
      <c r="DIU536" s="500"/>
      <c r="DIV536" s="500"/>
      <c r="DIW536" s="500"/>
      <c r="DIX536" s="500"/>
      <c r="DIY536" s="500"/>
      <c r="DIZ536" s="500"/>
      <c r="DJA536" s="500"/>
      <c r="DJB536" s="500"/>
      <c r="DJC536" s="500"/>
      <c r="DJD536" s="500"/>
      <c r="DJE536" s="500"/>
      <c r="DJF536" s="500"/>
      <c r="DJG536" s="500"/>
      <c r="DJH536" s="500"/>
      <c r="DJI536" s="500"/>
      <c r="DJJ536" s="500"/>
      <c r="DJK536" s="500"/>
      <c r="DJL536" s="500"/>
      <c r="DJM536" s="500"/>
      <c r="DJN536" s="500"/>
      <c r="DJO536" s="500"/>
      <c r="DJP536" s="500"/>
      <c r="DJQ536" s="500"/>
      <c r="DJR536" s="500"/>
      <c r="DJS536" s="500"/>
      <c r="DJT536" s="500"/>
      <c r="DJU536" s="500"/>
      <c r="DJV536" s="500"/>
      <c r="DJW536" s="500"/>
      <c r="DJX536" s="500"/>
      <c r="DJY536" s="500"/>
      <c r="DJZ536" s="500"/>
      <c r="DKA536" s="500"/>
      <c r="DKB536" s="500"/>
      <c r="DKC536" s="500"/>
      <c r="DKD536" s="500"/>
      <c r="DKE536" s="500"/>
      <c r="DKF536" s="500"/>
      <c r="DKG536" s="500"/>
      <c r="DKH536" s="500"/>
      <c r="DKI536" s="500"/>
      <c r="DKJ536" s="500"/>
      <c r="DKK536" s="500"/>
      <c r="DKL536" s="500"/>
      <c r="DKM536" s="500"/>
      <c r="DKN536" s="500"/>
      <c r="DKO536" s="500"/>
      <c r="DKP536" s="500"/>
      <c r="DKQ536" s="500"/>
      <c r="DKR536" s="500"/>
      <c r="DKS536" s="500"/>
      <c r="DKT536" s="500"/>
      <c r="DKU536" s="500"/>
      <c r="DKV536" s="500"/>
      <c r="DKW536" s="500"/>
      <c r="DKX536" s="500"/>
      <c r="DKY536" s="500"/>
      <c r="DKZ536" s="500"/>
      <c r="DLA536" s="500"/>
      <c r="DLB536" s="500"/>
      <c r="DLC536" s="500"/>
      <c r="DLD536" s="500"/>
      <c r="DLE536" s="500"/>
      <c r="DLF536" s="500"/>
      <c r="DLG536" s="500"/>
      <c r="DLH536" s="500"/>
      <c r="DLI536" s="500"/>
      <c r="DLJ536" s="500"/>
      <c r="DLK536" s="500"/>
      <c r="DLL536" s="500"/>
      <c r="DLM536" s="500"/>
      <c r="DLN536" s="500"/>
      <c r="DLO536" s="500"/>
      <c r="DLP536" s="500"/>
      <c r="DLQ536" s="500"/>
      <c r="DLR536" s="500"/>
      <c r="DLS536" s="500"/>
      <c r="DLT536" s="500"/>
      <c r="DLU536" s="500"/>
      <c r="DLV536" s="500"/>
      <c r="DLW536" s="500"/>
      <c r="DLX536" s="500"/>
      <c r="DLY536" s="500"/>
      <c r="DLZ536" s="500"/>
      <c r="DMA536" s="500"/>
      <c r="DMB536" s="500"/>
      <c r="DMC536" s="500"/>
      <c r="DMD536" s="500"/>
      <c r="DME536" s="500"/>
      <c r="DMF536" s="500"/>
      <c r="DMG536" s="500"/>
      <c r="DMH536" s="500"/>
      <c r="DMI536" s="500"/>
      <c r="DMJ536" s="500"/>
      <c r="DMK536" s="500"/>
      <c r="DML536" s="500"/>
      <c r="DMM536" s="500"/>
      <c r="DMN536" s="500"/>
      <c r="DMO536" s="500"/>
      <c r="DMP536" s="500"/>
      <c r="DMQ536" s="500"/>
      <c r="DMR536" s="500"/>
      <c r="DMS536" s="500"/>
      <c r="DMT536" s="500"/>
      <c r="DMU536" s="500"/>
      <c r="DMV536" s="500"/>
      <c r="DMW536" s="500"/>
      <c r="DMX536" s="500"/>
      <c r="DMY536" s="500"/>
      <c r="DMZ536" s="500"/>
      <c r="DNA536" s="500"/>
      <c r="DNB536" s="500"/>
      <c r="DNC536" s="500"/>
      <c r="DND536" s="500"/>
      <c r="DNE536" s="500"/>
      <c r="DNF536" s="500"/>
      <c r="DNG536" s="500"/>
      <c r="DNH536" s="500"/>
      <c r="DNI536" s="500"/>
      <c r="DNJ536" s="500"/>
      <c r="DNK536" s="500"/>
      <c r="DNL536" s="500"/>
      <c r="DNM536" s="500"/>
      <c r="DNN536" s="500"/>
      <c r="DNO536" s="500"/>
      <c r="DNP536" s="500"/>
      <c r="DNQ536" s="500"/>
      <c r="DNR536" s="500"/>
      <c r="DNS536" s="500"/>
      <c r="DNT536" s="500"/>
      <c r="DNU536" s="500"/>
      <c r="DNV536" s="500"/>
      <c r="DNW536" s="500"/>
      <c r="DNX536" s="500"/>
      <c r="DNY536" s="500"/>
      <c r="DNZ536" s="500"/>
      <c r="DOA536" s="500"/>
      <c r="DOB536" s="500"/>
      <c r="DOC536" s="500"/>
      <c r="DOD536" s="500"/>
      <c r="DOE536" s="500"/>
      <c r="DOF536" s="500"/>
      <c r="DOG536" s="500"/>
      <c r="DOH536" s="500"/>
      <c r="DOI536" s="500"/>
      <c r="DOJ536" s="500"/>
      <c r="DOK536" s="500"/>
      <c r="DOL536" s="500"/>
      <c r="DOM536" s="500"/>
      <c r="DON536" s="500"/>
      <c r="DOO536" s="500"/>
      <c r="DOP536" s="500"/>
      <c r="DOQ536" s="500"/>
      <c r="DOR536" s="500"/>
      <c r="DOS536" s="500"/>
      <c r="DOT536" s="500"/>
      <c r="DOU536" s="500"/>
      <c r="DOV536" s="500"/>
      <c r="DOW536" s="500"/>
      <c r="DOX536" s="500"/>
      <c r="DOY536" s="500"/>
      <c r="DOZ536" s="500"/>
      <c r="DPA536" s="500"/>
      <c r="DPB536" s="500"/>
      <c r="DPC536" s="500"/>
      <c r="DPD536" s="500"/>
      <c r="DPE536" s="500"/>
      <c r="DPF536" s="500"/>
      <c r="DPG536" s="500"/>
      <c r="DPH536" s="500"/>
      <c r="DPI536" s="500"/>
      <c r="DPJ536" s="500"/>
      <c r="DPK536" s="500"/>
      <c r="DPL536" s="500"/>
      <c r="DPM536" s="500"/>
      <c r="DPN536" s="500"/>
      <c r="DPO536" s="500"/>
      <c r="DPP536" s="500"/>
      <c r="DPQ536" s="500"/>
      <c r="DPR536" s="500"/>
      <c r="DPS536" s="500"/>
      <c r="DPT536" s="500"/>
      <c r="DPU536" s="500"/>
      <c r="DPV536" s="500"/>
      <c r="DPW536" s="500"/>
      <c r="DPX536" s="500"/>
      <c r="DPY536" s="500"/>
      <c r="DPZ536" s="500"/>
      <c r="DQA536" s="500"/>
      <c r="DQB536" s="500"/>
      <c r="DQC536" s="500"/>
      <c r="DQD536" s="500"/>
      <c r="DQE536" s="500"/>
      <c r="DQF536" s="500"/>
      <c r="DQG536" s="500"/>
      <c r="DQH536" s="500"/>
      <c r="DQI536" s="500"/>
      <c r="DQJ536" s="500"/>
      <c r="DQK536" s="500"/>
      <c r="DQL536" s="500"/>
      <c r="DQM536" s="500"/>
      <c r="DQN536" s="500"/>
      <c r="DQO536" s="500"/>
      <c r="DQP536" s="500"/>
      <c r="DQQ536" s="500"/>
      <c r="DQR536" s="500"/>
      <c r="DQS536" s="500"/>
      <c r="DQT536" s="500"/>
      <c r="DQU536" s="500"/>
      <c r="DQV536" s="500"/>
      <c r="DQW536" s="500"/>
      <c r="DQX536" s="500"/>
      <c r="DQY536" s="500"/>
      <c r="DQZ536" s="500"/>
      <c r="DRA536" s="500"/>
      <c r="DRB536" s="500"/>
      <c r="DRC536" s="500"/>
      <c r="DRD536" s="500"/>
      <c r="DRE536" s="500"/>
      <c r="DRF536" s="500"/>
      <c r="DRG536" s="500"/>
      <c r="DRH536" s="500"/>
      <c r="DRI536" s="500"/>
      <c r="DRJ536" s="500"/>
      <c r="DRK536" s="500"/>
      <c r="DRL536" s="500"/>
      <c r="DRM536" s="500"/>
      <c r="DRN536" s="500"/>
      <c r="DRO536" s="500"/>
      <c r="DRP536" s="500"/>
      <c r="DRQ536" s="500"/>
      <c r="DRR536" s="500"/>
      <c r="DRS536" s="500"/>
      <c r="DRT536" s="500"/>
      <c r="DRU536" s="500"/>
      <c r="DRV536" s="500"/>
      <c r="DRW536" s="500"/>
      <c r="DRX536" s="500"/>
      <c r="DRY536" s="500"/>
      <c r="DRZ536" s="500"/>
      <c r="DSA536" s="500"/>
      <c r="DSB536" s="500"/>
      <c r="DSC536" s="500"/>
      <c r="DSD536" s="500"/>
      <c r="DSE536" s="500"/>
      <c r="DSF536" s="500"/>
      <c r="DSG536" s="500"/>
      <c r="DSH536" s="500"/>
      <c r="DSI536" s="500"/>
      <c r="DSJ536" s="500"/>
      <c r="DSK536" s="500"/>
      <c r="DSL536" s="500"/>
      <c r="DSM536" s="500"/>
      <c r="DSN536" s="500"/>
      <c r="DSO536" s="500"/>
      <c r="DSP536" s="500"/>
      <c r="DSQ536" s="500"/>
      <c r="DSR536" s="500"/>
      <c r="DSS536" s="500"/>
      <c r="DST536" s="500"/>
      <c r="DSU536" s="500"/>
      <c r="DSV536" s="500"/>
      <c r="DSW536" s="500"/>
      <c r="DSX536" s="500"/>
      <c r="DSY536" s="500"/>
      <c r="DSZ536" s="500"/>
      <c r="DTA536" s="500"/>
      <c r="DTB536" s="500"/>
      <c r="DTC536" s="500"/>
      <c r="DTD536" s="500"/>
      <c r="DTE536" s="500"/>
      <c r="DTF536" s="500"/>
      <c r="DTG536" s="500"/>
      <c r="DTH536" s="500"/>
      <c r="DTI536" s="500"/>
      <c r="DTJ536" s="500"/>
      <c r="DTK536" s="500"/>
      <c r="DTL536" s="500"/>
      <c r="DTM536" s="500"/>
      <c r="DTN536" s="500"/>
      <c r="DTO536" s="500"/>
      <c r="DTP536" s="500"/>
      <c r="DTQ536" s="500"/>
      <c r="DTR536" s="500"/>
      <c r="DTS536" s="500"/>
      <c r="DTT536" s="500"/>
      <c r="DTU536" s="500"/>
      <c r="DTV536" s="500"/>
      <c r="DTW536" s="500"/>
      <c r="DTX536" s="500"/>
      <c r="DTY536" s="500"/>
      <c r="DTZ536" s="500"/>
      <c r="DUA536" s="500"/>
      <c r="DUB536" s="500"/>
      <c r="DUC536" s="500"/>
      <c r="DUD536" s="500"/>
      <c r="DUE536" s="500"/>
      <c r="DUF536" s="500"/>
      <c r="DUG536" s="500"/>
      <c r="DUH536" s="500"/>
      <c r="DUI536" s="500"/>
      <c r="DUJ536" s="500"/>
      <c r="DUK536" s="500"/>
      <c r="DUL536" s="500"/>
      <c r="DUM536" s="500"/>
      <c r="DUN536" s="500"/>
      <c r="DUO536" s="500"/>
      <c r="DUP536" s="500"/>
      <c r="DUQ536" s="500"/>
      <c r="DUR536" s="500"/>
      <c r="DUS536" s="500"/>
      <c r="DUT536" s="500"/>
      <c r="DUU536" s="500"/>
      <c r="DUV536" s="500"/>
      <c r="DUW536" s="500"/>
      <c r="DUX536" s="500"/>
      <c r="DUY536" s="500"/>
      <c r="DUZ536" s="500"/>
      <c r="DVA536" s="500"/>
      <c r="DVB536" s="500"/>
      <c r="DVC536" s="500"/>
      <c r="DVD536" s="500"/>
      <c r="DVE536" s="500"/>
      <c r="DVF536" s="500"/>
      <c r="DVG536" s="500"/>
      <c r="DVH536" s="500"/>
      <c r="DVI536" s="500"/>
      <c r="DVJ536" s="500"/>
      <c r="DVK536" s="500"/>
      <c r="DVL536" s="500"/>
      <c r="DVM536" s="500"/>
      <c r="DVN536" s="500"/>
      <c r="DVO536" s="500"/>
      <c r="DVP536" s="500"/>
      <c r="DVQ536" s="500"/>
      <c r="DVR536" s="500"/>
      <c r="DVS536" s="500"/>
      <c r="DVT536" s="500"/>
      <c r="DVU536" s="500"/>
      <c r="DVV536" s="500"/>
      <c r="DVW536" s="500"/>
      <c r="DVX536" s="500"/>
      <c r="DVY536" s="500"/>
      <c r="DVZ536" s="500"/>
      <c r="DWA536" s="500"/>
      <c r="DWB536" s="500"/>
      <c r="DWC536" s="500"/>
      <c r="DWD536" s="500"/>
      <c r="DWE536" s="500"/>
      <c r="DWF536" s="500"/>
      <c r="DWG536" s="500"/>
      <c r="DWH536" s="500"/>
      <c r="DWI536" s="500"/>
      <c r="DWJ536" s="500"/>
      <c r="DWK536" s="500"/>
      <c r="DWL536" s="500"/>
      <c r="DWM536" s="500"/>
      <c r="DWN536" s="500"/>
      <c r="DWO536" s="500"/>
      <c r="DWP536" s="500"/>
      <c r="DWQ536" s="500"/>
      <c r="DWR536" s="500"/>
      <c r="DWS536" s="500"/>
      <c r="DWT536" s="500"/>
      <c r="DWU536" s="500"/>
      <c r="DWV536" s="500"/>
      <c r="DWW536" s="500"/>
      <c r="DWX536" s="500"/>
      <c r="DWY536" s="500"/>
      <c r="DWZ536" s="500"/>
      <c r="DXA536" s="500"/>
      <c r="DXB536" s="500"/>
      <c r="DXC536" s="500"/>
      <c r="DXD536" s="500"/>
      <c r="DXE536" s="500"/>
      <c r="DXF536" s="500"/>
      <c r="DXG536" s="500"/>
      <c r="DXH536" s="500"/>
      <c r="DXI536" s="500"/>
      <c r="DXJ536" s="500"/>
      <c r="DXK536" s="500"/>
      <c r="DXL536" s="500"/>
      <c r="DXM536" s="500"/>
      <c r="DXN536" s="500"/>
      <c r="DXO536" s="500"/>
      <c r="DXP536" s="500"/>
      <c r="DXQ536" s="500"/>
      <c r="DXR536" s="500"/>
      <c r="DXS536" s="500"/>
      <c r="DXT536" s="500"/>
      <c r="DXU536" s="500"/>
      <c r="DXV536" s="500"/>
      <c r="DXW536" s="500"/>
      <c r="DXX536" s="500"/>
      <c r="DXY536" s="500"/>
      <c r="DXZ536" s="500"/>
      <c r="DYA536" s="500"/>
      <c r="DYB536" s="500"/>
      <c r="DYC536" s="500"/>
      <c r="DYD536" s="500"/>
      <c r="DYE536" s="500"/>
      <c r="DYF536" s="500"/>
      <c r="DYG536" s="500"/>
      <c r="DYH536" s="500"/>
      <c r="DYI536" s="500"/>
      <c r="DYJ536" s="500"/>
      <c r="DYK536" s="500"/>
      <c r="DYL536" s="500"/>
      <c r="DYM536" s="500"/>
      <c r="DYN536" s="500"/>
      <c r="DYO536" s="500"/>
      <c r="DYP536" s="500"/>
      <c r="DYQ536" s="500"/>
      <c r="DYR536" s="500"/>
      <c r="DYS536" s="500"/>
      <c r="DYT536" s="500"/>
      <c r="DYU536" s="500"/>
      <c r="DYV536" s="500"/>
      <c r="DYW536" s="500"/>
      <c r="DYX536" s="500"/>
      <c r="DYY536" s="500"/>
      <c r="DYZ536" s="500"/>
      <c r="DZA536" s="500"/>
      <c r="DZB536" s="500"/>
      <c r="DZC536" s="500"/>
      <c r="DZD536" s="500"/>
      <c r="DZE536" s="500"/>
      <c r="DZF536" s="500"/>
      <c r="DZG536" s="500"/>
      <c r="DZH536" s="500"/>
      <c r="DZI536" s="500"/>
      <c r="DZJ536" s="500"/>
      <c r="DZK536" s="500"/>
      <c r="DZL536" s="500"/>
      <c r="DZM536" s="500"/>
      <c r="DZN536" s="500"/>
      <c r="DZO536" s="500"/>
      <c r="DZP536" s="500"/>
      <c r="DZQ536" s="500"/>
      <c r="DZR536" s="500"/>
      <c r="DZS536" s="500"/>
      <c r="DZT536" s="500"/>
      <c r="DZU536" s="500"/>
      <c r="DZV536" s="500"/>
      <c r="DZW536" s="500"/>
      <c r="DZX536" s="500"/>
      <c r="DZY536" s="500"/>
      <c r="DZZ536" s="500"/>
      <c r="EAA536" s="500"/>
      <c r="EAB536" s="500"/>
      <c r="EAC536" s="500"/>
      <c r="EAD536" s="500"/>
      <c r="EAE536" s="500"/>
      <c r="EAF536" s="500"/>
      <c r="EAG536" s="500"/>
      <c r="EAH536" s="500"/>
      <c r="EAI536" s="500"/>
      <c r="EAJ536" s="500"/>
      <c r="EAK536" s="500"/>
      <c r="EAL536" s="500"/>
      <c r="EAM536" s="500"/>
      <c r="EAN536" s="500"/>
      <c r="EAO536" s="500"/>
      <c r="EAP536" s="500"/>
      <c r="EAQ536" s="500"/>
      <c r="EAR536" s="500"/>
      <c r="EAS536" s="500"/>
      <c r="EAT536" s="500"/>
      <c r="EAU536" s="500"/>
      <c r="EAV536" s="500"/>
      <c r="EAW536" s="500"/>
      <c r="EAX536" s="500"/>
      <c r="EAY536" s="500"/>
      <c r="EAZ536" s="500"/>
      <c r="EBA536" s="500"/>
      <c r="EBB536" s="500"/>
      <c r="EBC536" s="500"/>
      <c r="EBD536" s="500"/>
      <c r="EBE536" s="500"/>
      <c r="EBF536" s="500"/>
      <c r="EBG536" s="500"/>
      <c r="EBH536" s="500"/>
      <c r="EBI536" s="500"/>
      <c r="EBJ536" s="500"/>
      <c r="EBK536" s="500"/>
      <c r="EBL536" s="500"/>
      <c r="EBM536" s="500"/>
      <c r="EBN536" s="500"/>
      <c r="EBO536" s="500"/>
      <c r="EBP536" s="500"/>
      <c r="EBQ536" s="500"/>
      <c r="EBR536" s="500"/>
      <c r="EBS536" s="500"/>
      <c r="EBT536" s="500"/>
      <c r="EBU536" s="500"/>
      <c r="EBV536" s="500"/>
      <c r="EBW536" s="500"/>
      <c r="EBX536" s="500"/>
      <c r="EBY536" s="500"/>
      <c r="EBZ536" s="500"/>
      <c r="ECA536" s="500"/>
      <c r="ECB536" s="500"/>
      <c r="ECC536" s="500"/>
      <c r="ECD536" s="500"/>
      <c r="ECE536" s="500"/>
      <c r="ECF536" s="500"/>
      <c r="ECG536" s="500"/>
      <c r="ECH536" s="500"/>
      <c r="ECI536" s="500"/>
      <c r="ECJ536" s="500"/>
      <c r="ECK536" s="500"/>
      <c r="ECL536" s="500"/>
      <c r="ECM536" s="500"/>
      <c r="ECN536" s="500"/>
      <c r="ECO536" s="500"/>
      <c r="ECP536" s="500"/>
      <c r="ECQ536" s="500"/>
      <c r="ECR536" s="500"/>
      <c r="ECS536" s="500"/>
      <c r="ECT536" s="500"/>
      <c r="ECU536" s="500"/>
      <c r="ECV536" s="500"/>
      <c r="ECW536" s="500"/>
      <c r="ECX536" s="500"/>
      <c r="ECY536" s="500"/>
      <c r="ECZ536" s="500"/>
      <c r="EDA536" s="500"/>
      <c r="EDB536" s="500"/>
      <c r="EDC536" s="500"/>
      <c r="EDD536" s="500"/>
      <c r="EDE536" s="500"/>
      <c r="EDF536" s="500"/>
      <c r="EDG536" s="500"/>
      <c r="EDH536" s="500"/>
      <c r="EDI536" s="500"/>
      <c r="EDJ536" s="500"/>
      <c r="EDK536" s="500"/>
      <c r="EDL536" s="500"/>
      <c r="EDM536" s="500"/>
      <c r="EDN536" s="500"/>
      <c r="EDO536" s="500"/>
      <c r="EDP536" s="500"/>
      <c r="EDQ536" s="500"/>
      <c r="EDR536" s="500"/>
      <c r="EDS536" s="500"/>
      <c r="EDT536" s="500"/>
      <c r="EDU536" s="500"/>
      <c r="EDV536" s="500"/>
      <c r="EDW536" s="500"/>
      <c r="EDX536" s="500"/>
      <c r="EDY536" s="500"/>
      <c r="EDZ536" s="500"/>
      <c r="EEA536" s="500"/>
      <c r="EEB536" s="500"/>
      <c r="EEC536" s="500"/>
      <c r="EED536" s="500"/>
      <c r="EEE536" s="500"/>
      <c r="EEF536" s="500"/>
      <c r="EEG536" s="500"/>
      <c r="EEH536" s="500"/>
      <c r="EEI536" s="500"/>
      <c r="EEJ536" s="500"/>
      <c r="EEK536" s="500"/>
      <c r="EEL536" s="500"/>
      <c r="EEM536" s="500"/>
      <c r="EEN536" s="500"/>
      <c r="EEO536" s="500"/>
      <c r="EEP536" s="500"/>
      <c r="EEQ536" s="500"/>
      <c r="EER536" s="500"/>
      <c r="EES536" s="500"/>
      <c r="EET536" s="500"/>
      <c r="EEU536" s="500"/>
      <c r="EEV536" s="500"/>
      <c r="EEW536" s="500"/>
      <c r="EEX536" s="500"/>
      <c r="EEY536" s="500"/>
      <c r="EEZ536" s="500"/>
      <c r="EFA536" s="500"/>
      <c r="EFB536" s="500"/>
      <c r="EFC536" s="500"/>
      <c r="EFD536" s="500"/>
      <c r="EFE536" s="500"/>
      <c r="EFF536" s="500"/>
      <c r="EFG536" s="500"/>
      <c r="EFH536" s="500"/>
      <c r="EFI536" s="500"/>
      <c r="EFJ536" s="500"/>
      <c r="EFK536" s="500"/>
      <c r="EFL536" s="500"/>
      <c r="EFM536" s="500"/>
      <c r="EFN536" s="500"/>
      <c r="EFO536" s="500"/>
      <c r="EFP536" s="500"/>
      <c r="EFQ536" s="500"/>
      <c r="EFR536" s="500"/>
      <c r="EFS536" s="500"/>
      <c r="EFT536" s="500"/>
      <c r="EFU536" s="500"/>
      <c r="EFV536" s="500"/>
      <c r="EFW536" s="500"/>
      <c r="EFX536" s="500"/>
      <c r="EFY536" s="500"/>
      <c r="EFZ536" s="500"/>
      <c r="EGA536" s="500"/>
      <c r="EGB536" s="500"/>
      <c r="EGC536" s="500"/>
      <c r="EGD536" s="500"/>
      <c r="EGE536" s="500"/>
      <c r="EGF536" s="500"/>
      <c r="EGG536" s="500"/>
      <c r="EGH536" s="500"/>
      <c r="EGI536" s="500"/>
      <c r="EGJ536" s="500"/>
      <c r="EGK536" s="500"/>
      <c r="EGL536" s="500"/>
      <c r="EGM536" s="500"/>
      <c r="EGN536" s="500"/>
      <c r="EGO536" s="500"/>
      <c r="EGP536" s="500"/>
      <c r="EGQ536" s="500"/>
      <c r="EGR536" s="500"/>
      <c r="EGS536" s="500"/>
      <c r="EGT536" s="500"/>
      <c r="EGU536" s="500"/>
      <c r="EGV536" s="500"/>
      <c r="EGW536" s="500"/>
      <c r="EGX536" s="500"/>
      <c r="EGY536" s="500"/>
      <c r="EGZ536" s="500"/>
      <c r="EHA536" s="500"/>
      <c r="EHB536" s="500"/>
      <c r="EHC536" s="500"/>
      <c r="EHD536" s="500"/>
      <c r="EHE536" s="500"/>
      <c r="EHF536" s="500"/>
      <c r="EHG536" s="500"/>
      <c r="EHH536" s="500"/>
      <c r="EHI536" s="500"/>
      <c r="EHJ536" s="500"/>
      <c r="EHK536" s="500"/>
      <c r="EHL536" s="500"/>
      <c r="EHM536" s="500"/>
      <c r="EHN536" s="500"/>
      <c r="EHO536" s="500"/>
      <c r="EHP536" s="500"/>
      <c r="EHQ536" s="500"/>
      <c r="EHR536" s="500"/>
      <c r="EHS536" s="500"/>
      <c r="EHT536" s="500"/>
      <c r="EHU536" s="500"/>
      <c r="EHV536" s="500"/>
      <c r="EHW536" s="500"/>
      <c r="EHX536" s="500"/>
      <c r="EHY536" s="500"/>
      <c r="EHZ536" s="500"/>
      <c r="EIA536" s="500"/>
      <c r="EIB536" s="500"/>
      <c r="EIC536" s="500"/>
      <c r="EID536" s="500"/>
      <c r="EIE536" s="500"/>
      <c r="EIF536" s="500"/>
      <c r="EIG536" s="500"/>
      <c r="EIH536" s="500"/>
      <c r="EII536" s="500"/>
      <c r="EIJ536" s="500"/>
      <c r="EIK536" s="500"/>
      <c r="EIL536" s="500"/>
      <c r="EIM536" s="500"/>
      <c r="EIN536" s="500"/>
      <c r="EIO536" s="500"/>
      <c r="EIP536" s="500"/>
      <c r="EIQ536" s="500"/>
      <c r="EIR536" s="500"/>
      <c r="EIS536" s="500"/>
      <c r="EIT536" s="500"/>
      <c r="EIU536" s="500"/>
      <c r="EIV536" s="500"/>
      <c r="EIW536" s="500"/>
      <c r="EIX536" s="500"/>
      <c r="EIY536" s="500"/>
      <c r="EIZ536" s="500"/>
      <c r="EJA536" s="500"/>
      <c r="EJB536" s="500"/>
      <c r="EJC536" s="500"/>
      <c r="EJD536" s="500"/>
      <c r="EJE536" s="500"/>
      <c r="EJF536" s="500"/>
      <c r="EJG536" s="500"/>
      <c r="EJH536" s="500"/>
      <c r="EJI536" s="500"/>
      <c r="EJJ536" s="500"/>
      <c r="EJK536" s="500"/>
      <c r="EJL536" s="500"/>
      <c r="EJM536" s="500"/>
      <c r="EJN536" s="500"/>
      <c r="EJO536" s="500"/>
      <c r="EJP536" s="500"/>
      <c r="EJQ536" s="500"/>
      <c r="EJR536" s="500"/>
      <c r="EJS536" s="500"/>
      <c r="EJT536" s="500"/>
      <c r="EJU536" s="500"/>
      <c r="EJV536" s="500"/>
      <c r="EJW536" s="500"/>
      <c r="EJX536" s="500"/>
      <c r="EJY536" s="500"/>
      <c r="EJZ536" s="500"/>
      <c r="EKA536" s="500"/>
      <c r="EKB536" s="500"/>
      <c r="EKC536" s="500"/>
      <c r="EKD536" s="500"/>
      <c r="EKE536" s="500"/>
      <c r="EKF536" s="500"/>
      <c r="EKG536" s="500"/>
      <c r="EKH536" s="500"/>
      <c r="EKI536" s="500"/>
      <c r="EKJ536" s="500"/>
      <c r="EKK536" s="500"/>
      <c r="EKL536" s="500"/>
      <c r="EKM536" s="500"/>
      <c r="EKN536" s="500"/>
      <c r="EKO536" s="500"/>
      <c r="EKP536" s="500"/>
      <c r="EKQ536" s="500"/>
      <c r="EKR536" s="500"/>
      <c r="EKS536" s="500"/>
      <c r="EKT536" s="500"/>
      <c r="EKU536" s="500"/>
      <c r="EKV536" s="500"/>
      <c r="EKW536" s="500"/>
      <c r="EKX536" s="500"/>
      <c r="EKY536" s="500"/>
      <c r="EKZ536" s="500"/>
      <c r="ELA536" s="500"/>
      <c r="ELB536" s="500"/>
      <c r="ELC536" s="500"/>
      <c r="ELD536" s="500"/>
      <c r="ELE536" s="500"/>
      <c r="ELF536" s="500"/>
      <c r="ELG536" s="500"/>
      <c r="ELH536" s="500"/>
      <c r="ELI536" s="500"/>
      <c r="ELJ536" s="500"/>
      <c r="ELK536" s="500"/>
      <c r="ELL536" s="500"/>
      <c r="ELM536" s="500"/>
      <c r="ELN536" s="500"/>
      <c r="ELO536" s="500"/>
      <c r="ELP536" s="500"/>
      <c r="ELQ536" s="500"/>
      <c r="ELR536" s="500"/>
      <c r="ELS536" s="500"/>
      <c r="ELT536" s="500"/>
      <c r="ELU536" s="500"/>
      <c r="ELV536" s="500"/>
      <c r="ELW536" s="500"/>
      <c r="ELX536" s="500"/>
      <c r="ELY536" s="500"/>
      <c r="ELZ536" s="500"/>
      <c r="EMA536" s="500"/>
      <c r="EMB536" s="500"/>
      <c r="EMC536" s="500"/>
      <c r="EMD536" s="500"/>
      <c r="EME536" s="500"/>
      <c r="EMF536" s="500"/>
      <c r="EMG536" s="500"/>
      <c r="EMH536" s="500"/>
      <c r="EMI536" s="500"/>
      <c r="EMJ536" s="500"/>
      <c r="EMK536" s="500"/>
      <c r="EML536" s="500"/>
      <c r="EMM536" s="500"/>
      <c r="EMN536" s="500"/>
      <c r="EMO536" s="500"/>
      <c r="EMP536" s="500"/>
      <c r="EMQ536" s="500"/>
      <c r="EMR536" s="500"/>
      <c r="EMS536" s="500"/>
      <c r="EMT536" s="500"/>
      <c r="EMU536" s="500"/>
      <c r="EMV536" s="500"/>
      <c r="EMW536" s="500"/>
      <c r="EMX536" s="500"/>
      <c r="EMY536" s="500"/>
      <c r="EMZ536" s="500"/>
      <c r="ENA536" s="500"/>
      <c r="ENB536" s="500"/>
      <c r="ENC536" s="500"/>
      <c r="END536" s="500"/>
      <c r="ENE536" s="500"/>
      <c r="ENF536" s="500"/>
      <c r="ENG536" s="500"/>
      <c r="ENH536" s="500"/>
      <c r="ENI536" s="500"/>
      <c r="ENJ536" s="500"/>
      <c r="ENK536" s="500"/>
      <c r="ENL536" s="500"/>
      <c r="ENM536" s="500"/>
      <c r="ENN536" s="500"/>
      <c r="ENO536" s="500"/>
      <c r="ENP536" s="500"/>
      <c r="ENQ536" s="500"/>
      <c r="ENR536" s="500"/>
      <c r="ENS536" s="500"/>
      <c r="ENT536" s="500"/>
      <c r="ENU536" s="500"/>
      <c r="ENV536" s="500"/>
      <c r="ENW536" s="500"/>
      <c r="ENX536" s="500"/>
      <c r="ENY536" s="500"/>
      <c r="ENZ536" s="500"/>
      <c r="EOA536" s="500"/>
      <c r="EOB536" s="500"/>
      <c r="EOC536" s="500"/>
      <c r="EOD536" s="500"/>
      <c r="EOE536" s="500"/>
      <c r="EOF536" s="500"/>
      <c r="EOG536" s="500"/>
      <c r="EOH536" s="500"/>
      <c r="EOI536" s="500"/>
      <c r="EOJ536" s="500"/>
      <c r="EOK536" s="500"/>
      <c r="EOL536" s="500"/>
      <c r="EOM536" s="500"/>
      <c r="EON536" s="500"/>
      <c r="EOO536" s="500"/>
      <c r="EOP536" s="500"/>
      <c r="EOQ536" s="500"/>
      <c r="EOR536" s="500"/>
      <c r="EOS536" s="500"/>
      <c r="EOT536" s="500"/>
      <c r="EOU536" s="500"/>
      <c r="EOV536" s="500"/>
      <c r="EOW536" s="500"/>
      <c r="EOX536" s="500"/>
      <c r="EOY536" s="500"/>
      <c r="EOZ536" s="500"/>
      <c r="EPA536" s="500"/>
      <c r="EPB536" s="500"/>
      <c r="EPC536" s="500"/>
      <c r="EPD536" s="500"/>
      <c r="EPE536" s="500"/>
      <c r="EPF536" s="500"/>
      <c r="EPG536" s="500"/>
      <c r="EPH536" s="500"/>
      <c r="EPI536" s="500"/>
      <c r="EPJ536" s="500"/>
      <c r="EPK536" s="500"/>
      <c r="EPL536" s="500"/>
      <c r="EPM536" s="500"/>
      <c r="EPN536" s="500"/>
      <c r="EPO536" s="500"/>
      <c r="EPP536" s="500"/>
      <c r="EPQ536" s="500"/>
      <c r="EPR536" s="500"/>
      <c r="EPS536" s="500"/>
      <c r="EPT536" s="500"/>
      <c r="EPU536" s="500"/>
      <c r="EPV536" s="500"/>
      <c r="EPW536" s="500"/>
      <c r="EPX536" s="500"/>
      <c r="EPY536" s="500"/>
      <c r="EPZ536" s="500"/>
      <c r="EQA536" s="500"/>
      <c r="EQB536" s="500"/>
      <c r="EQC536" s="500"/>
      <c r="EQD536" s="500"/>
      <c r="EQE536" s="500"/>
      <c r="EQF536" s="500"/>
      <c r="EQG536" s="500"/>
      <c r="EQH536" s="500"/>
      <c r="EQI536" s="500"/>
      <c r="EQJ536" s="500"/>
      <c r="EQK536" s="500"/>
      <c r="EQL536" s="500"/>
      <c r="EQM536" s="500"/>
      <c r="EQN536" s="500"/>
      <c r="EQO536" s="500"/>
      <c r="EQP536" s="500"/>
      <c r="EQQ536" s="500"/>
      <c r="EQR536" s="500"/>
      <c r="EQS536" s="500"/>
      <c r="EQT536" s="500"/>
      <c r="EQU536" s="500"/>
      <c r="EQV536" s="500"/>
      <c r="EQW536" s="500"/>
      <c r="EQX536" s="500"/>
      <c r="EQY536" s="500"/>
      <c r="EQZ536" s="500"/>
      <c r="ERA536" s="500"/>
      <c r="ERB536" s="500"/>
      <c r="ERC536" s="500"/>
      <c r="ERD536" s="500"/>
      <c r="ERE536" s="500"/>
      <c r="ERF536" s="500"/>
      <c r="ERG536" s="500"/>
      <c r="ERH536" s="500"/>
      <c r="ERI536" s="500"/>
      <c r="ERJ536" s="500"/>
      <c r="ERK536" s="500"/>
      <c r="ERL536" s="500"/>
      <c r="ERM536" s="500"/>
      <c r="ERN536" s="500"/>
      <c r="ERO536" s="500"/>
      <c r="ERP536" s="500"/>
      <c r="ERQ536" s="500"/>
      <c r="ERR536" s="500"/>
      <c r="ERS536" s="500"/>
      <c r="ERT536" s="500"/>
      <c r="ERU536" s="500"/>
      <c r="ERV536" s="500"/>
      <c r="ERW536" s="500"/>
      <c r="ERX536" s="500"/>
      <c r="ERY536" s="500"/>
      <c r="ERZ536" s="500"/>
      <c r="ESA536" s="500"/>
      <c r="ESB536" s="500"/>
      <c r="ESC536" s="500"/>
      <c r="ESD536" s="500"/>
      <c r="ESE536" s="500"/>
      <c r="ESF536" s="500"/>
      <c r="ESG536" s="500"/>
      <c r="ESH536" s="500"/>
      <c r="ESI536" s="500"/>
      <c r="ESJ536" s="500"/>
      <c r="ESK536" s="500"/>
      <c r="ESL536" s="500"/>
      <c r="ESM536" s="500"/>
      <c r="ESN536" s="500"/>
      <c r="ESO536" s="500"/>
      <c r="ESP536" s="500"/>
      <c r="ESQ536" s="500"/>
      <c r="ESR536" s="500"/>
      <c r="ESS536" s="500"/>
      <c r="EST536" s="500"/>
      <c r="ESU536" s="500"/>
      <c r="ESV536" s="500"/>
      <c r="ESW536" s="500"/>
      <c r="ESX536" s="500"/>
      <c r="ESY536" s="500"/>
      <c r="ESZ536" s="500"/>
      <c r="ETA536" s="500"/>
      <c r="ETB536" s="500"/>
      <c r="ETC536" s="500"/>
      <c r="ETD536" s="500"/>
      <c r="ETE536" s="500"/>
      <c r="ETF536" s="500"/>
      <c r="ETG536" s="500"/>
      <c r="ETH536" s="500"/>
      <c r="ETI536" s="500"/>
      <c r="ETJ536" s="500"/>
      <c r="ETK536" s="500"/>
      <c r="ETL536" s="500"/>
      <c r="ETM536" s="500"/>
      <c r="ETN536" s="500"/>
      <c r="ETO536" s="500"/>
      <c r="ETP536" s="500"/>
      <c r="ETQ536" s="500"/>
      <c r="ETR536" s="500"/>
      <c r="ETS536" s="500"/>
      <c r="ETT536" s="500"/>
      <c r="ETU536" s="500"/>
      <c r="ETV536" s="500"/>
      <c r="ETW536" s="500"/>
      <c r="ETX536" s="500"/>
      <c r="ETY536" s="500"/>
      <c r="ETZ536" s="500"/>
      <c r="EUA536" s="500"/>
      <c r="EUB536" s="500"/>
      <c r="EUC536" s="500"/>
      <c r="EUD536" s="500"/>
      <c r="EUE536" s="500"/>
      <c r="EUF536" s="500"/>
      <c r="EUG536" s="500"/>
      <c r="EUH536" s="500"/>
      <c r="EUI536" s="500"/>
      <c r="EUJ536" s="500"/>
      <c r="EUK536" s="500"/>
      <c r="EUL536" s="500"/>
      <c r="EUM536" s="500"/>
      <c r="EUN536" s="500"/>
      <c r="EUO536" s="500"/>
      <c r="EUP536" s="500"/>
      <c r="EUQ536" s="500"/>
      <c r="EUR536" s="500"/>
      <c r="EUS536" s="500"/>
      <c r="EUT536" s="500"/>
      <c r="EUU536" s="500"/>
      <c r="EUV536" s="500"/>
      <c r="EUW536" s="500"/>
      <c r="EUX536" s="500"/>
      <c r="EUY536" s="500"/>
      <c r="EUZ536" s="500"/>
      <c r="EVA536" s="500"/>
      <c r="EVB536" s="500"/>
      <c r="EVC536" s="500"/>
      <c r="EVD536" s="500"/>
      <c r="EVE536" s="500"/>
      <c r="EVF536" s="500"/>
      <c r="EVG536" s="500"/>
      <c r="EVH536" s="500"/>
      <c r="EVI536" s="500"/>
      <c r="EVJ536" s="500"/>
      <c r="EVK536" s="500"/>
      <c r="EVL536" s="500"/>
      <c r="EVM536" s="500"/>
      <c r="EVN536" s="500"/>
      <c r="EVO536" s="500"/>
      <c r="EVP536" s="500"/>
      <c r="EVQ536" s="500"/>
      <c r="EVR536" s="500"/>
      <c r="EVS536" s="500"/>
      <c r="EVT536" s="500"/>
      <c r="EVU536" s="500"/>
      <c r="EVV536" s="500"/>
      <c r="EVW536" s="500"/>
      <c r="EVX536" s="500"/>
      <c r="EVY536" s="500"/>
      <c r="EVZ536" s="500"/>
      <c r="EWA536" s="500"/>
      <c r="EWB536" s="500"/>
      <c r="EWC536" s="500"/>
      <c r="EWD536" s="500"/>
      <c r="EWE536" s="500"/>
      <c r="EWF536" s="500"/>
      <c r="EWG536" s="500"/>
      <c r="EWH536" s="500"/>
      <c r="EWI536" s="500"/>
      <c r="EWJ536" s="500"/>
      <c r="EWK536" s="500"/>
      <c r="EWL536" s="500"/>
      <c r="EWM536" s="500"/>
      <c r="EWN536" s="500"/>
      <c r="EWO536" s="500"/>
      <c r="EWP536" s="500"/>
      <c r="EWQ536" s="500"/>
      <c r="EWR536" s="500"/>
      <c r="EWS536" s="500"/>
      <c r="EWT536" s="500"/>
      <c r="EWU536" s="500"/>
      <c r="EWV536" s="500"/>
      <c r="EWW536" s="500"/>
      <c r="EWX536" s="500"/>
      <c r="EWY536" s="500"/>
      <c r="EWZ536" s="500"/>
      <c r="EXA536" s="500"/>
      <c r="EXB536" s="500"/>
      <c r="EXC536" s="500"/>
      <c r="EXD536" s="500"/>
      <c r="EXE536" s="500"/>
      <c r="EXF536" s="500"/>
      <c r="EXG536" s="500"/>
      <c r="EXH536" s="500"/>
      <c r="EXI536" s="500"/>
      <c r="EXJ536" s="500"/>
      <c r="EXK536" s="500"/>
      <c r="EXL536" s="500"/>
      <c r="EXM536" s="500"/>
      <c r="EXN536" s="500"/>
      <c r="EXO536" s="500"/>
      <c r="EXP536" s="500"/>
      <c r="EXQ536" s="500"/>
      <c r="EXR536" s="500"/>
      <c r="EXS536" s="500"/>
      <c r="EXT536" s="500"/>
      <c r="EXU536" s="500"/>
      <c r="EXV536" s="500"/>
      <c r="EXW536" s="500"/>
      <c r="EXX536" s="500"/>
      <c r="EXY536" s="500"/>
      <c r="EXZ536" s="500"/>
      <c r="EYA536" s="500"/>
      <c r="EYB536" s="500"/>
      <c r="EYC536" s="500"/>
      <c r="EYD536" s="500"/>
      <c r="EYE536" s="500"/>
      <c r="EYF536" s="500"/>
      <c r="EYG536" s="500"/>
      <c r="EYH536" s="500"/>
      <c r="EYI536" s="500"/>
      <c r="EYJ536" s="500"/>
      <c r="EYK536" s="500"/>
      <c r="EYL536" s="500"/>
      <c r="EYM536" s="500"/>
      <c r="EYN536" s="500"/>
      <c r="EYO536" s="500"/>
      <c r="EYP536" s="500"/>
      <c r="EYQ536" s="500"/>
      <c r="EYR536" s="500"/>
      <c r="EYS536" s="500"/>
      <c r="EYT536" s="500"/>
      <c r="EYU536" s="500"/>
      <c r="EYV536" s="500"/>
      <c r="EYW536" s="500"/>
      <c r="EYX536" s="500"/>
      <c r="EYY536" s="500"/>
      <c r="EYZ536" s="500"/>
      <c r="EZA536" s="500"/>
      <c r="EZB536" s="500"/>
      <c r="EZC536" s="500"/>
      <c r="EZD536" s="500"/>
      <c r="EZE536" s="500"/>
      <c r="EZF536" s="500"/>
      <c r="EZG536" s="500"/>
      <c r="EZH536" s="500"/>
      <c r="EZI536" s="500"/>
      <c r="EZJ536" s="500"/>
      <c r="EZK536" s="500"/>
      <c r="EZL536" s="500"/>
      <c r="EZM536" s="500"/>
      <c r="EZN536" s="500"/>
      <c r="EZO536" s="500"/>
      <c r="EZP536" s="500"/>
      <c r="EZQ536" s="500"/>
      <c r="EZR536" s="500"/>
      <c r="EZS536" s="500"/>
      <c r="EZT536" s="500"/>
      <c r="EZU536" s="500"/>
      <c r="EZV536" s="500"/>
      <c r="EZW536" s="500"/>
      <c r="EZX536" s="500"/>
      <c r="EZY536" s="500"/>
      <c r="EZZ536" s="500"/>
      <c r="FAA536" s="500"/>
      <c r="FAB536" s="500"/>
      <c r="FAC536" s="500"/>
      <c r="FAD536" s="500"/>
      <c r="FAE536" s="500"/>
      <c r="FAF536" s="500"/>
      <c r="FAG536" s="500"/>
      <c r="FAH536" s="500"/>
      <c r="FAI536" s="500"/>
      <c r="FAJ536" s="500"/>
      <c r="FAK536" s="500"/>
      <c r="FAL536" s="500"/>
      <c r="FAM536" s="500"/>
      <c r="FAN536" s="500"/>
      <c r="FAO536" s="500"/>
      <c r="FAP536" s="500"/>
      <c r="FAQ536" s="500"/>
      <c r="FAR536" s="500"/>
      <c r="FAS536" s="500"/>
      <c r="FAT536" s="500"/>
      <c r="FAU536" s="500"/>
      <c r="FAV536" s="500"/>
      <c r="FAW536" s="500"/>
      <c r="FAX536" s="500"/>
      <c r="FAY536" s="500"/>
      <c r="FAZ536" s="500"/>
      <c r="FBA536" s="500"/>
      <c r="FBB536" s="500"/>
      <c r="FBC536" s="500"/>
      <c r="FBD536" s="500"/>
      <c r="FBE536" s="500"/>
      <c r="FBF536" s="500"/>
      <c r="FBG536" s="500"/>
      <c r="FBH536" s="500"/>
      <c r="FBI536" s="500"/>
      <c r="FBJ536" s="500"/>
      <c r="FBK536" s="500"/>
      <c r="FBL536" s="500"/>
      <c r="FBM536" s="500"/>
      <c r="FBN536" s="500"/>
      <c r="FBO536" s="500"/>
      <c r="FBP536" s="500"/>
      <c r="FBQ536" s="500"/>
      <c r="FBR536" s="500"/>
      <c r="FBS536" s="500"/>
      <c r="FBT536" s="500"/>
      <c r="FBU536" s="500"/>
      <c r="FBV536" s="500"/>
      <c r="FBW536" s="500"/>
      <c r="FBX536" s="500"/>
      <c r="FBY536" s="500"/>
      <c r="FBZ536" s="500"/>
      <c r="FCA536" s="500"/>
      <c r="FCB536" s="500"/>
      <c r="FCC536" s="500"/>
      <c r="FCD536" s="500"/>
      <c r="FCE536" s="500"/>
      <c r="FCF536" s="500"/>
      <c r="FCG536" s="500"/>
      <c r="FCH536" s="500"/>
      <c r="FCI536" s="500"/>
      <c r="FCJ536" s="500"/>
      <c r="FCK536" s="500"/>
      <c r="FCL536" s="500"/>
      <c r="FCM536" s="500"/>
      <c r="FCN536" s="500"/>
      <c r="FCO536" s="500"/>
      <c r="FCP536" s="500"/>
      <c r="FCQ536" s="500"/>
      <c r="FCR536" s="500"/>
      <c r="FCS536" s="500"/>
      <c r="FCT536" s="500"/>
      <c r="FCU536" s="500"/>
      <c r="FCV536" s="500"/>
      <c r="FCW536" s="500"/>
      <c r="FCX536" s="500"/>
      <c r="FCY536" s="500"/>
      <c r="FCZ536" s="500"/>
      <c r="FDA536" s="500"/>
      <c r="FDB536" s="500"/>
      <c r="FDC536" s="500"/>
      <c r="FDD536" s="500"/>
      <c r="FDE536" s="500"/>
      <c r="FDF536" s="500"/>
      <c r="FDG536" s="500"/>
      <c r="FDH536" s="500"/>
      <c r="FDI536" s="500"/>
      <c r="FDJ536" s="500"/>
      <c r="FDK536" s="500"/>
      <c r="FDL536" s="500"/>
      <c r="FDM536" s="500"/>
      <c r="FDN536" s="500"/>
      <c r="FDO536" s="500"/>
      <c r="FDP536" s="500"/>
      <c r="FDQ536" s="500"/>
      <c r="FDR536" s="500"/>
      <c r="FDS536" s="500"/>
      <c r="FDT536" s="500"/>
      <c r="FDU536" s="500"/>
      <c r="FDV536" s="500"/>
      <c r="FDW536" s="500"/>
      <c r="FDX536" s="500"/>
      <c r="FDY536" s="500"/>
      <c r="FDZ536" s="500"/>
      <c r="FEA536" s="500"/>
      <c r="FEB536" s="500"/>
      <c r="FEC536" s="500"/>
      <c r="FED536" s="500"/>
      <c r="FEE536" s="500"/>
      <c r="FEF536" s="500"/>
      <c r="FEG536" s="500"/>
      <c r="FEH536" s="500"/>
      <c r="FEI536" s="500"/>
      <c r="FEJ536" s="500"/>
      <c r="FEK536" s="500"/>
      <c r="FEL536" s="500"/>
      <c r="FEM536" s="500"/>
      <c r="FEN536" s="500"/>
      <c r="FEO536" s="500"/>
      <c r="FEP536" s="500"/>
      <c r="FEQ536" s="500"/>
      <c r="FER536" s="500"/>
      <c r="FES536" s="500"/>
      <c r="FET536" s="500"/>
      <c r="FEU536" s="500"/>
      <c r="FEV536" s="500"/>
      <c r="FEW536" s="500"/>
      <c r="FEX536" s="500"/>
      <c r="FEY536" s="500"/>
      <c r="FEZ536" s="500"/>
      <c r="FFA536" s="500"/>
      <c r="FFB536" s="500"/>
      <c r="FFC536" s="500"/>
      <c r="FFD536" s="500"/>
      <c r="FFE536" s="500"/>
      <c r="FFF536" s="500"/>
      <c r="FFG536" s="500"/>
      <c r="FFH536" s="500"/>
      <c r="FFI536" s="500"/>
      <c r="FFJ536" s="500"/>
      <c r="FFK536" s="500"/>
      <c r="FFL536" s="500"/>
      <c r="FFM536" s="500"/>
      <c r="FFN536" s="500"/>
      <c r="FFO536" s="500"/>
      <c r="FFP536" s="500"/>
      <c r="FFQ536" s="500"/>
      <c r="FFR536" s="500"/>
      <c r="FFS536" s="500"/>
      <c r="FFT536" s="500"/>
      <c r="FFU536" s="500"/>
      <c r="FFV536" s="500"/>
      <c r="FFW536" s="500"/>
      <c r="FFX536" s="500"/>
      <c r="FFY536" s="500"/>
      <c r="FFZ536" s="500"/>
      <c r="FGA536" s="500"/>
      <c r="FGB536" s="500"/>
      <c r="FGC536" s="500"/>
      <c r="FGD536" s="500"/>
      <c r="FGE536" s="500"/>
      <c r="FGF536" s="500"/>
      <c r="FGG536" s="500"/>
      <c r="FGH536" s="500"/>
      <c r="FGI536" s="500"/>
      <c r="FGJ536" s="500"/>
      <c r="FGK536" s="500"/>
      <c r="FGL536" s="500"/>
      <c r="FGM536" s="500"/>
      <c r="FGN536" s="500"/>
      <c r="FGO536" s="500"/>
      <c r="FGP536" s="500"/>
      <c r="FGQ536" s="500"/>
      <c r="FGR536" s="500"/>
      <c r="FGS536" s="500"/>
      <c r="FGT536" s="500"/>
      <c r="FGU536" s="500"/>
      <c r="FGV536" s="500"/>
      <c r="FGW536" s="500"/>
      <c r="FGX536" s="500"/>
      <c r="FGY536" s="500"/>
      <c r="FGZ536" s="500"/>
      <c r="FHA536" s="500"/>
      <c r="FHB536" s="500"/>
      <c r="FHC536" s="500"/>
      <c r="FHD536" s="500"/>
      <c r="FHE536" s="500"/>
      <c r="FHF536" s="500"/>
      <c r="FHG536" s="500"/>
      <c r="FHH536" s="500"/>
      <c r="FHI536" s="500"/>
      <c r="FHJ536" s="500"/>
      <c r="FHK536" s="500"/>
      <c r="FHL536" s="500"/>
      <c r="FHM536" s="500"/>
      <c r="FHN536" s="500"/>
      <c r="FHO536" s="500"/>
      <c r="FHP536" s="500"/>
      <c r="FHQ536" s="500"/>
      <c r="FHR536" s="500"/>
      <c r="FHS536" s="500"/>
      <c r="FHT536" s="500"/>
      <c r="FHU536" s="500"/>
      <c r="FHV536" s="500"/>
      <c r="FHW536" s="500"/>
      <c r="FHX536" s="500"/>
      <c r="FHY536" s="500"/>
      <c r="FHZ536" s="500"/>
      <c r="FIA536" s="500"/>
      <c r="FIB536" s="500"/>
      <c r="FIC536" s="500"/>
      <c r="FID536" s="500"/>
      <c r="FIE536" s="500"/>
      <c r="FIF536" s="500"/>
      <c r="FIG536" s="500"/>
      <c r="FIH536" s="500"/>
      <c r="FII536" s="500"/>
      <c r="FIJ536" s="500"/>
      <c r="FIK536" s="500"/>
      <c r="FIL536" s="500"/>
      <c r="FIM536" s="500"/>
      <c r="FIN536" s="500"/>
      <c r="FIO536" s="500"/>
      <c r="FIP536" s="500"/>
      <c r="FIQ536" s="500"/>
      <c r="FIR536" s="500"/>
      <c r="FIS536" s="500"/>
      <c r="FIT536" s="500"/>
      <c r="FIU536" s="500"/>
      <c r="FIV536" s="500"/>
      <c r="FIW536" s="500"/>
      <c r="FIX536" s="500"/>
      <c r="FIY536" s="500"/>
      <c r="FIZ536" s="500"/>
      <c r="FJA536" s="500"/>
      <c r="FJB536" s="500"/>
      <c r="FJC536" s="500"/>
      <c r="FJD536" s="500"/>
      <c r="FJE536" s="500"/>
      <c r="FJF536" s="500"/>
      <c r="FJG536" s="500"/>
      <c r="FJH536" s="500"/>
      <c r="FJI536" s="500"/>
      <c r="FJJ536" s="500"/>
      <c r="FJK536" s="500"/>
      <c r="FJL536" s="500"/>
      <c r="FJM536" s="500"/>
      <c r="FJN536" s="500"/>
      <c r="FJO536" s="500"/>
      <c r="FJP536" s="500"/>
      <c r="FJQ536" s="500"/>
      <c r="FJR536" s="500"/>
      <c r="FJS536" s="500"/>
      <c r="FJT536" s="500"/>
      <c r="FJU536" s="500"/>
      <c r="FJV536" s="500"/>
      <c r="FJW536" s="500"/>
      <c r="FJX536" s="500"/>
      <c r="FJY536" s="500"/>
      <c r="FJZ536" s="500"/>
      <c r="FKA536" s="500"/>
      <c r="FKB536" s="500"/>
      <c r="FKC536" s="500"/>
      <c r="FKD536" s="500"/>
      <c r="FKE536" s="500"/>
      <c r="FKF536" s="500"/>
      <c r="FKG536" s="500"/>
      <c r="FKH536" s="500"/>
      <c r="FKI536" s="500"/>
      <c r="FKJ536" s="500"/>
      <c r="FKK536" s="500"/>
      <c r="FKL536" s="500"/>
      <c r="FKM536" s="500"/>
      <c r="FKN536" s="500"/>
      <c r="FKO536" s="500"/>
      <c r="FKP536" s="500"/>
      <c r="FKQ536" s="500"/>
      <c r="FKR536" s="500"/>
      <c r="FKS536" s="500"/>
      <c r="FKT536" s="500"/>
      <c r="FKU536" s="500"/>
      <c r="FKV536" s="500"/>
      <c r="FKW536" s="500"/>
      <c r="FKX536" s="500"/>
      <c r="FKY536" s="500"/>
      <c r="FKZ536" s="500"/>
      <c r="FLA536" s="500"/>
      <c r="FLB536" s="500"/>
      <c r="FLC536" s="500"/>
      <c r="FLD536" s="500"/>
      <c r="FLE536" s="500"/>
      <c r="FLF536" s="500"/>
      <c r="FLG536" s="500"/>
      <c r="FLH536" s="500"/>
      <c r="FLI536" s="500"/>
      <c r="FLJ536" s="500"/>
      <c r="FLK536" s="500"/>
      <c r="FLL536" s="500"/>
      <c r="FLM536" s="500"/>
      <c r="FLN536" s="500"/>
      <c r="FLO536" s="500"/>
      <c r="FLP536" s="500"/>
      <c r="FLQ536" s="500"/>
      <c r="FLR536" s="500"/>
      <c r="FLS536" s="500"/>
      <c r="FLT536" s="500"/>
      <c r="FLU536" s="500"/>
      <c r="FLV536" s="500"/>
      <c r="FLW536" s="500"/>
      <c r="FLX536" s="500"/>
      <c r="FLY536" s="500"/>
      <c r="FLZ536" s="500"/>
      <c r="FMA536" s="500"/>
      <c r="FMB536" s="500"/>
      <c r="FMC536" s="500"/>
      <c r="FMD536" s="500"/>
      <c r="FME536" s="500"/>
      <c r="FMF536" s="500"/>
      <c r="FMG536" s="500"/>
      <c r="FMH536" s="500"/>
      <c r="FMI536" s="500"/>
      <c r="FMJ536" s="500"/>
      <c r="FMK536" s="500"/>
      <c r="FML536" s="500"/>
      <c r="FMM536" s="500"/>
      <c r="FMN536" s="500"/>
      <c r="FMO536" s="500"/>
      <c r="FMP536" s="500"/>
      <c r="FMQ536" s="500"/>
      <c r="FMR536" s="500"/>
      <c r="FMS536" s="500"/>
      <c r="FMT536" s="500"/>
      <c r="FMU536" s="500"/>
      <c r="FMV536" s="500"/>
      <c r="FMW536" s="500"/>
      <c r="FMX536" s="500"/>
      <c r="FMY536" s="500"/>
      <c r="FMZ536" s="500"/>
      <c r="FNA536" s="500"/>
      <c r="FNB536" s="500"/>
      <c r="FNC536" s="500"/>
      <c r="FND536" s="500"/>
      <c r="FNE536" s="500"/>
      <c r="FNF536" s="500"/>
      <c r="FNG536" s="500"/>
      <c r="FNH536" s="500"/>
      <c r="FNI536" s="500"/>
      <c r="FNJ536" s="500"/>
      <c r="FNK536" s="500"/>
      <c r="FNL536" s="500"/>
      <c r="FNM536" s="500"/>
      <c r="FNN536" s="500"/>
      <c r="FNO536" s="500"/>
      <c r="FNP536" s="500"/>
      <c r="FNQ536" s="500"/>
      <c r="FNR536" s="500"/>
      <c r="FNS536" s="500"/>
      <c r="FNT536" s="500"/>
      <c r="FNU536" s="500"/>
      <c r="FNV536" s="500"/>
      <c r="FNW536" s="500"/>
      <c r="FNX536" s="500"/>
      <c r="FNY536" s="500"/>
      <c r="FNZ536" s="500"/>
      <c r="FOA536" s="500"/>
      <c r="FOB536" s="500"/>
      <c r="FOC536" s="500"/>
      <c r="FOD536" s="500"/>
      <c r="FOE536" s="500"/>
      <c r="FOF536" s="500"/>
      <c r="FOG536" s="500"/>
      <c r="FOH536" s="500"/>
      <c r="FOI536" s="500"/>
      <c r="FOJ536" s="500"/>
      <c r="FOK536" s="500"/>
      <c r="FOL536" s="500"/>
      <c r="FOM536" s="500"/>
      <c r="FON536" s="500"/>
      <c r="FOO536" s="500"/>
      <c r="FOP536" s="500"/>
      <c r="FOQ536" s="500"/>
      <c r="FOR536" s="500"/>
      <c r="FOS536" s="500"/>
      <c r="FOT536" s="500"/>
      <c r="FOU536" s="500"/>
      <c r="FOV536" s="500"/>
      <c r="FOW536" s="500"/>
      <c r="FOX536" s="500"/>
      <c r="FOY536" s="500"/>
      <c r="FOZ536" s="500"/>
      <c r="FPA536" s="500"/>
      <c r="FPB536" s="500"/>
      <c r="FPC536" s="500"/>
      <c r="FPD536" s="500"/>
      <c r="FPE536" s="500"/>
      <c r="FPF536" s="500"/>
      <c r="FPG536" s="500"/>
      <c r="FPH536" s="500"/>
      <c r="FPI536" s="500"/>
      <c r="FPJ536" s="500"/>
      <c r="FPK536" s="500"/>
      <c r="FPL536" s="500"/>
      <c r="FPM536" s="500"/>
      <c r="FPN536" s="500"/>
      <c r="FPO536" s="500"/>
      <c r="FPP536" s="500"/>
      <c r="FPQ536" s="500"/>
      <c r="FPR536" s="500"/>
      <c r="FPS536" s="500"/>
      <c r="FPT536" s="500"/>
      <c r="FPU536" s="500"/>
      <c r="FPV536" s="500"/>
      <c r="FPW536" s="500"/>
      <c r="FPX536" s="500"/>
      <c r="FPY536" s="500"/>
      <c r="FPZ536" s="500"/>
      <c r="FQA536" s="500"/>
      <c r="FQB536" s="500"/>
      <c r="FQC536" s="500"/>
      <c r="FQD536" s="500"/>
      <c r="FQE536" s="500"/>
      <c r="FQF536" s="500"/>
      <c r="FQG536" s="500"/>
      <c r="FQH536" s="500"/>
      <c r="FQI536" s="500"/>
      <c r="FQJ536" s="500"/>
      <c r="FQK536" s="500"/>
      <c r="FQL536" s="500"/>
      <c r="FQM536" s="500"/>
      <c r="FQN536" s="500"/>
      <c r="FQO536" s="500"/>
      <c r="FQP536" s="500"/>
      <c r="FQQ536" s="500"/>
      <c r="FQR536" s="500"/>
      <c r="FQS536" s="500"/>
      <c r="FQT536" s="500"/>
      <c r="FQU536" s="500"/>
      <c r="FQV536" s="500"/>
      <c r="FQW536" s="500"/>
      <c r="FQX536" s="500"/>
      <c r="FQY536" s="500"/>
      <c r="FQZ536" s="500"/>
      <c r="FRA536" s="500"/>
      <c r="FRB536" s="500"/>
      <c r="FRC536" s="500"/>
      <c r="FRD536" s="500"/>
      <c r="FRE536" s="500"/>
      <c r="FRF536" s="500"/>
      <c r="FRG536" s="500"/>
      <c r="FRH536" s="500"/>
      <c r="FRI536" s="500"/>
      <c r="FRJ536" s="500"/>
      <c r="FRK536" s="500"/>
      <c r="FRL536" s="500"/>
      <c r="FRM536" s="500"/>
      <c r="FRN536" s="500"/>
      <c r="FRO536" s="500"/>
      <c r="FRP536" s="500"/>
      <c r="FRQ536" s="500"/>
      <c r="FRR536" s="500"/>
      <c r="FRS536" s="500"/>
      <c r="FRT536" s="500"/>
      <c r="FRU536" s="500"/>
      <c r="FRV536" s="500"/>
      <c r="FRW536" s="500"/>
      <c r="FRX536" s="500"/>
      <c r="FRY536" s="500"/>
      <c r="FRZ536" s="500"/>
      <c r="FSA536" s="500"/>
      <c r="FSB536" s="500"/>
      <c r="FSC536" s="500"/>
      <c r="FSD536" s="500"/>
      <c r="FSE536" s="500"/>
      <c r="FSF536" s="500"/>
      <c r="FSG536" s="500"/>
      <c r="FSH536" s="500"/>
      <c r="FSI536" s="500"/>
      <c r="FSJ536" s="500"/>
      <c r="FSK536" s="500"/>
      <c r="FSL536" s="500"/>
      <c r="FSM536" s="500"/>
      <c r="FSN536" s="500"/>
      <c r="FSO536" s="500"/>
      <c r="FSP536" s="500"/>
      <c r="FSQ536" s="500"/>
      <c r="FSR536" s="500"/>
      <c r="FSS536" s="500"/>
      <c r="FST536" s="500"/>
      <c r="FSU536" s="500"/>
      <c r="FSV536" s="500"/>
      <c r="FSW536" s="500"/>
      <c r="FSX536" s="500"/>
      <c r="FSY536" s="500"/>
      <c r="FSZ536" s="500"/>
      <c r="FTA536" s="500"/>
      <c r="FTB536" s="500"/>
      <c r="FTC536" s="500"/>
      <c r="FTD536" s="500"/>
      <c r="FTE536" s="500"/>
      <c r="FTF536" s="500"/>
      <c r="FTG536" s="500"/>
      <c r="FTH536" s="500"/>
      <c r="FTI536" s="500"/>
      <c r="FTJ536" s="500"/>
      <c r="FTK536" s="500"/>
      <c r="FTL536" s="500"/>
      <c r="FTM536" s="500"/>
      <c r="FTN536" s="500"/>
      <c r="FTO536" s="500"/>
      <c r="FTP536" s="500"/>
      <c r="FTQ536" s="500"/>
      <c r="FTR536" s="500"/>
      <c r="FTS536" s="500"/>
      <c r="FTT536" s="500"/>
      <c r="FTU536" s="500"/>
      <c r="FTV536" s="500"/>
      <c r="FTW536" s="500"/>
      <c r="FTX536" s="500"/>
      <c r="FTY536" s="500"/>
      <c r="FTZ536" s="500"/>
      <c r="FUA536" s="500"/>
      <c r="FUB536" s="500"/>
      <c r="FUC536" s="500"/>
      <c r="FUD536" s="500"/>
      <c r="FUE536" s="500"/>
      <c r="FUF536" s="500"/>
      <c r="FUG536" s="500"/>
      <c r="FUH536" s="500"/>
      <c r="FUI536" s="500"/>
      <c r="FUJ536" s="500"/>
      <c r="FUK536" s="500"/>
      <c r="FUL536" s="500"/>
      <c r="FUM536" s="500"/>
      <c r="FUN536" s="500"/>
      <c r="FUO536" s="500"/>
      <c r="FUP536" s="500"/>
      <c r="FUQ536" s="500"/>
      <c r="FUR536" s="500"/>
      <c r="FUS536" s="500"/>
      <c r="FUT536" s="500"/>
      <c r="FUU536" s="500"/>
      <c r="FUV536" s="500"/>
      <c r="FUW536" s="500"/>
      <c r="FUX536" s="500"/>
      <c r="FUY536" s="500"/>
      <c r="FUZ536" s="500"/>
      <c r="FVA536" s="500"/>
      <c r="FVB536" s="500"/>
      <c r="FVC536" s="500"/>
      <c r="FVD536" s="500"/>
      <c r="FVE536" s="500"/>
      <c r="FVF536" s="500"/>
      <c r="FVG536" s="500"/>
      <c r="FVH536" s="500"/>
      <c r="FVI536" s="500"/>
      <c r="FVJ536" s="500"/>
      <c r="FVK536" s="500"/>
      <c r="FVL536" s="500"/>
      <c r="FVM536" s="500"/>
      <c r="FVN536" s="500"/>
      <c r="FVO536" s="500"/>
      <c r="FVP536" s="500"/>
      <c r="FVQ536" s="500"/>
      <c r="FVR536" s="500"/>
      <c r="FVS536" s="500"/>
      <c r="FVT536" s="500"/>
      <c r="FVU536" s="500"/>
      <c r="FVV536" s="500"/>
      <c r="FVW536" s="500"/>
      <c r="FVX536" s="500"/>
      <c r="FVY536" s="500"/>
      <c r="FVZ536" s="500"/>
      <c r="FWA536" s="500"/>
      <c r="FWB536" s="500"/>
      <c r="FWC536" s="500"/>
      <c r="FWD536" s="500"/>
      <c r="FWE536" s="500"/>
      <c r="FWF536" s="500"/>
      <c r="FWG536" s="500"/>
      <c r="FWH536" s="500"/>
      <c r="FWI536" s="500"/>
      <c r="FWJ536" s="500"/>
      <c r="FWK536" s="500"/>
      <c r="FWL536" s="500"/>
      <c r="FWM536" s="500"/>
      <c r="FWN536" s="500"/>
      <c r="FWO536" s="500"/>
      <c r="FWP536" s="500"/>
      <c r="FWQ536" s="500"/>
      <c r="FWR536" s="500"/>
      <c r="FWS536" s="500"/>
      <c r="FWT536" s="500"/>
      <c r="FWU536" s="500"/>
      <c r="FWV536" s="500"/>
      <c r="FWW536" s="500"/>
      <c r="FWX536" s="500"/>
      <c r="FWY536" s="500"/>
      <c r="FWZ536" s="500"/>
      <c r="FXA536" s="500"/>
      <c r="FXB536" s="500"/>
      <c r="FXC536" s="500"/>
      <c r="FXD536" s="500"/>
      <c r="FXE536" s="500"/>
      <c r="FXF536" s="500"/>
      <c r="FXG536" s="500"/>
      <c r="FXH536" s="500"/>
      <c r="FXI536" s="500"/>
      <c r="FXJ536" s="500"/>
      <c r="FXK536" s="500"/>
      <c r="FXL536" s="500"/>
      <c r="FXM536" s="500"/>
      <c r="FXN536" s="500"/>
      <c r="FXO536" s="500"/>
      <c r="FXP536" s="500"/>
      <c r="FXQ536" s="500"/>
      <c r="FXR536" s="500"/>
      <c r="FXS536" s="500"/>
      <c r="FXT536" s="500"/>
      <c r="FXU536" s="500"/>
      <c r="FXV536" s="500"/>
      <c r="FXW536" s="500"/>
      <c r="FXX536" s="500"/>
      <c r="FXY536" s="500"/>
      <c r="FXZ536" s="500"/>
      <c r="FYA536" s="500"/>
      <c r="FYB536" s="500"/>
      <c r="FYC536" s="500"/>
      <c r="FYD536" s="500"/>
      <c r="FYE536" s="500"/>
      <c r="FYF536" s="500"/>
      <c r="FYG536" s="500"/>
      <c r="FYH536" s="500"/>
      <c r="FYI536" s="500"/>
      <c r="FYJ536" s="500"/>
      <c r="FYK536" s="500"/>
      <c r="FYL536" s="500"/>
      <c r="FYM536" s="500"/>
      <c r="FYN536" s="500"/>
      <c r="FYO536" s="500"/>
      <c r="FYP536" s="500"/>
      <c r="FYQ536" s="500"/>
      <c r="FYR536" s="500"/>
      <c r="FYS536" s="500"/>
      <c r="FYT536" s="500"/>
      <c r="FYU536" s="500"/>
      <c r="FYV536" s="500"/>
      <c r="FYW536" s="500"/>
      <c r="FYX536" s="500"/>
      <c r="FYY536" s="500"/>
      <c r="FYZ536" s="500"/>
      <c r="FZA536" s="500"/>
      <c r="FZB536" s="500"/>
      <c r="FZC536" s="500"/>
      <c r="FZD536" s="500"/>
      <c r="FZE536" s="500"/>
      <c r="FZF536" s="500"/>
      <c r="FZG536" s="500"/>
      <c r="FZH536" s="500"/>
      <c r="FZI536" s="500"/>
      <c r="FZJ536" s="500"/>
      <c r="FZK536" s="500"/>
      <c r="FZL536" s="500"/>
      <c r="FZM536" s="500"/>
      <c r="FZN536" s="500"/>
      <c r="FZO536" s="500"/>
      <c r="FZP536" s="500"/>
      <c r="FZQ536" s="500"/>
      <c r="FZR536" s="500"/>
      <c r="FZS536" s="500"/>
      <c r="FZT536" s="500"/>
      <c r="FZU536" s="500"/>
      <c r="FZV536" s="500"/>
      <c r="FZW536" s="500"/>
      <c r="FZX536" s="500"/>
      <c r="FZY536" s="500"/>
      <c r="FZZ536" s="500"/>
      <c r="GAA536" s="500"/>
      <c r="GAB536" s="500"/>
      <c r="GAC536" s="500"/>
      <c r="GAD536" s="500"/>
      <c r="GAE536" s="500"/>
      <c r="GAF536" s="500"/>
      <c r="GAG536" s="500"/>
      <c r="GAH536" s="500"/>
      <c r="GAI536" s="500"/>
      <c r="GAJ536" s="500"/>
      <c r="GAK536" s="500"/>
      <c r="GAL536" s="500"/>
      <c r="GAM536" s="500"/>
      <c r="GAN536" s="500"/>
      <c r="GAO536" s="500"/>
      <c r="GAP536" s="500"/>
      <c r="GAQ536" s="500"/>
      <c r="GAR536" s="500"/>
      <c r="GAS536" s="500"/>
      <c r="GAT536" s="500"/>
      <c r="GAU536" s="500"/>
      <c r="GAV536" s="500"/>
      <c r="GAW536" s="500"/>
      <c r="GAX536" s="500"/>
      <c r="GAY536" s="500"/>
      <c r="GAZ536" s="500"/>
      <c r="GBA536" s="500"/>
      <c r="GBB536" s="500"/>
      <c r="GBC536" s="500"/>
      <c r="GBD536" s="500"/>
      <c r="GBE536" s="500"/>
      <c r="GBF536" s="500"/>
      <c r="GBG536" s="500"/>
      <c r="GBH536" s="500"/>
      <c r="GBI536" s="500"/>
      <c r="GBJ536" s="500"/>
      <c r="GBK536" s="500"/>
      <c r="GBL536" s="500"/>
      <c r="GBM536" s="500"/>
      <c r="GBN536" s="500"/>
      <c r="GBO536" s="500"/>
      <c r="GBP536" s="500"/>
      <c r="GBQ536" s="500"/>
      <c r="GBR536" s="500"/>
      <c r="GBS536" s="500"/>
      <c r="GBT536" s="500"/>
      <c r="GBU536" s="500"/>
      <c r="GBV536" s="500"/>
      <c r="GBW536" s="500"/>
      <c r="GBX536" s="500"/>
      <c r="GBY536" s="500"/>
      <c r="GBZ536" s="500"/>
      <c r="GCA536" s="500"/>
      <c r="GCB536" s="500"/>
      <c r="GCC536" s="500"/>
      <c r="GCD536" s="500"/>
      <c r="GCE536" s="500"/>
      <c r="GCF536" s="500"/>
      <c r="GCG536" s="500"/>
      <c r="GCH536" s="500"/>
      <c r="GCI536" s="500"/>
      <c r="GCJ536" s="500"/>
      <c r="GCK536" s="500"/>
      <c r="GCL536" s="500"/>
      <c r="GCM536" s="500"/>
      <c r="GCN536" s="500"/>
      <c r="GCO536" s="500"/>
      <c r="GCP536" s="500"/>
      <c r="GCQ536" s="500"/>
      <c r="GCR536" s="500"/>
      <c r="GCS536" s="500"/>
      <c r="GCT536" s="500"/>
      <c r="GCU536" s="500"/>
      <c r="GCV536" s="500"/>
      <c r="GCW536" s="500"/>
      <c r="GCX536" s="500"/>
      <c r="GCY536" s="500"/>
      <c r="GCZ536" s="500"/>
      <c r="GDA536" s="500"/>
      <c r="GDB536" s="500"/>
      <c r="GDC536" s="500"/>
      <c r="GDD536" s="500"/>
      <c r="GDE536" s="500"/>
      <c r="GDF536" s="500"/>
      <c r="GDG536" s="500"/>
      <c r="GDH536" s="500"/>
      <c r="GDI536" s="500"/>
      <c r="GDJ536" s="500"/>
      <c r="GDK536" s="500"/>
      <c r="GDL536" s="500"/>
      <c r="GDM536" s="500"/>
      <c r="GDN536" s="500"/>
      <c r="GDO536" s="500"/>
      <c r="GDP536" s="500"/>
      <c r="GDQ536" s="500"/>
      <c r="GDR536" s="500"/>
      <c r="GDS536" s="500"/>
      <c r="GDT536" s="500"/>
      <c r="GDU536" s="500"/>
      <c r="GDV536" s="500"/>
      <c r="GDW536" s="500"/>
      <c r="GDX536" s="500"/>
      <c r="GDY536" s="500"/>
      <c r="GDZ536" s="500"/>
      <c r="GEA536" s="500"/>
      <c r="GEB536" s="500"/>
      <c r="GEC536" s="500"/>
      <c r="GED536" s="500"/>
      <c r="GEE536" s="500"/>
      <c r="GEF536" s="500"/>
      <c r="GEG536" s="500"/>
      <c r="GEH536" s="500"/>
      <c r="GEI536" s="500"/>
      <c r="GEJ536" s="500"/>
      <c r="GEK536" s="500"/>
      <c r="GEL536" s="500"/>
      <c r="GEM536" s="500"/>
      <c r="GEN536" s="500"/>
      <c r="GEO536" s="500"/>
      <c r="GEP536" s="500"/>
      <c r="GEQ536" s="500"/>
      <c r="GER536" s="500"/>
      <c r="GES536" s="500"/>
      <c r="GET536" s="500"/>
      <c r="GEU536" s="500"/>
      <c r="GEV536" s="500"/>
      <c r="GEW536" s="500"/>
      <c r="GEX536" s="500"/>
      <c r="GEY536" s="500"/>
      <c r="GEZ536" s="500"/>
      <c r="GFA536" s="500"/>
      <c r="GFB536" s="500"/>
      <c r="GFC536" s="500"/>
      <c r="GFD536" s="500"/>
      <c r="GFE536" s="500"/>
      <c r="GFF536" s="500"/>
      <c r="GFG536" s="500"/>
      <c r="GFH536" s="500"/>
      <c r="GFI536" s="500"/>
      <c r="GFJ536" s="500"/>
      <c r="GFK536" s="500"/>
      <c r="GFL536" s="500"/>
      <c r="GFM536" s="500"/>
      <c r="GFN536" s="500"/>
      <c r="GFO536" s="500"/>
      <c r="GFP536" s="500"/>
      <c r="GFQ536" s="500"/>
      <c r="GFR536" s="500"/>
      <c r="GFS536" s="500"/>
      <c r="GFT536" s="500"/>
      <c r="GFU536" s="500"/>
      <c r="GFV536" s="500"/>
      <c r="GFW536" s="500"/>
      <c r="GFX536" s="500"/>
      <c r="GFY536" s="500"/>
      <c r="GFZ536" s="500"/>
      <c r="GGA536" s="500"/>
      <c r="GGB536" s="500"/>
      <c r="GGC536" s="500"/>
      <c r="GGD536" s="500"/>
      <c r="GGE536" s="500"/>
      <c r="GGF536" s="500"/>
      <c r="GGG536" s="500"/>
      <c r="GGH536" s="500"/>
      <c r="GGI536" s="500"/>
      <c r="GGJ536" s="500"/>
      <c r="GGK536" s="500"/>
      <c r="GGL536" s="500"/>
      <c r="GGM536" s="500"/>
      <c r="GGN536" s="500"/>
      <c r="GGO536" s="500"/>
      <c r="GGP536" s="500"/>
      <c r="GGQ536" s="500"/>
      <c r="GGR536" s="500"/>
      <c r="GGS536" s="500"/>
      <c r="GGT536" s="500"/>
      <c r="GGU536" s="500"/>
      <c r="GGV536" s="500"/>
      <c r="GGW536" s="500"/>
      <c r="GGX536" s="500"/>
      <c r="GGY536" s="500"/>
      <c r="GGZ536" s="500"/>
      <c r="GHA536" s="500"/>
      <c r="GHB536" s="500"/>
      <c r="GHC536" s="500"/>
      <c r="GHD536" s="500"/>
      <c r="GHE536" s="500"/>
      <c r="GHF536" s="500"/>
      <c r="GHG536" s="500"/>
      <c r="GHH536" s="500"/>
      <c r="GHI536" s="500"/>
      <c r="GHJ536" s="500"/>
      <c r="GHK536" s="500"/>
      <c r="GHL536" s="500"/>
      <c r="GHM536" s="500"/>
      <c r="GHN536" s="500"/>
      <c r="GHO536" s="500"/>
      <c r="GHP536" s="500"/>
      <c r="GHQ536" s="500"/>
      <c r="GHR536" s="500"/>
      <c r="GHS536" s="500"/>
      <c r="GHT536" s="500"/>
      <c r="GHU536" s="500"/>
      <c r="GHV536" s="500"/>
      <c r="GHW536" s="500"/>
      <c r="GHX536" s="500"/>
      <c r="GHY536" s="500"/>
      <c r="GHZ536" s="500"/>
      <c r="GIA536" s="500"/>
      <c r="GIB536" s="500"/>
      <c r="GIC536" s="500"/>
      <c r="GID536" s="500"/>
      <c r="GIE536" s="500"/>
      <c r="GIF536" s="500"/>
      <c r="GIG536" s="500"/>
      <c r="GIH536" s="500"/>
      <c r="GII536" s="500"/>
      <c r="GIJ536" s="500"/>
      <c r="GIK536" s="500"/>
      <c r="GIL536" s="500"/>
      <c r="GIM536" s="500"/>
      <c r="GIN536" s="500"/>
      <c r="GIO536" s="500"/>
      <c r="GIP536" s="500"/>
      <c r="GIQ536" s="500"/>
      <c r="GIR536" s="500"/>
      <c r="GIS536" s="500"/>
      <c r="GIT536" s="500"/>
      <c r="GIU536" s="500"/>
      <c r="GIV536" s="500"/>
      <c r="GIW536" s="500"/>
      <c r="GIX536" s="500"/>
      <c r="GIY536" s="500"/>
      <c r="GIZ536" s="500"/>
      <c r="GJA536" s="500"/>
      <c r="GJB536" s="500"/>
      <c r="GJC536" s="500"/>
      <c r="GJD536" s="500"/>
      <c r="GJE536" s="500"/>
      <c r="GJF536" s="500"/>
      <c r="GJG536" s="500"/>
      <c r="GJH536" s="500"/>
      <c r="GJI536" s="500"/>
      <c r="GJJ536" s="500"/>
      <c r="GJK536" s="500"/>
      <c r="GJL536" s="500"/>
      <c r="GJM536" s="500"/>
      <c r="GJN536" s="500"/>
      <c r="GJO536" s="500"/>
      <c r="GJP536" s="500"/>
      <c r="GJQ536" s="500"/>
      <c r="GJR536" s="500"/>
      <c r="GJS536" s="500"/>
      <c r="GJT536" s="500"/>
      <c r="GJU536" s="500"/>
      <c r="GJV536" s="500"/>
      <c r="GJW536" s="500"/>
      <c r="GJX536" s="500"/>
      <c r="GJY536" s="500"/>
      <c r="GJZ536" s="500"/>
      <c r="GKA536" s="500"/>
      <c r="GKB536" s="500"/>
      <c r="GKC536" s="500"/>
      <c r="GKD536" s="500"/>
      <c r="GKE536" s="500"/>
      <c r="GKF536" s="500"/>
      <c r="GKG536" s="500"/>
      <c r="GKH536" s="500"/>
      <c r="GKI536" s="500"/>
      <c r="GKJ536" s="500"/>
      <c r="GKK536" s="500"/>
      <c r="GKL536" s="500"/>
      <c r="GKM536" s="500"/>
      <c r="GKN536" s="500"/>
      <c r="GKO536" s="500"/>
      <c r="GKP536" s="500"/>
      <c r="GKQ536" s="500"/>
      <c r="GKR536" s="500"/>
      <c r="GKS536" s="500"/>
      <c r="GKT536" s="500"/>
      <c r="GKU536" s="500"/>
      <c r="GKV536" s="500"/>
      <c r="GKW536" s="500"/>
      <c r="GKX536" s="500"/>
      <c r="GKY536" s="500"/>
      <c r="GKZ536" s="500"/>
      <c r="GLA536" s="500"/>
      <c r="GLB536" s="500"/>
      <c r="GLC536" s="500"/>
      <c r="GLD536" s="500"/>
      <c r="GLE536" s="500"/>
      <c r="GLF536" s="500"/>
      <c r="GLG536" s="500"/>
      <c r="GLH536" s="500"/>
      <c r="GLI536" s="500"/>
      <c r="GLJ536" s="500"/>
      <c r="GLK536" s="500"/>
      <c r="GLL536" s="500"/>
      <c r="GLM536" s="500"/>
      <c r="GLN536" s="500"/>
      <c r="GLO536" s="500"/>
      <c r="GLP536" s="500"/>
      <c r="GLQ536" s="500"/>
      <c r="GLR536" s="500"/>
      <c r="GLS536" s="500"/>
      <c r="GLT536" s="500"/>
      <c r="GLU536" s="500"/>
      <c r="GLV536" s="500"/>
      <c r="GLW536" s="500"/>
      <c r="GLX536" s="500"/>
      <c r="GLY536" s="500"/>
      <c r="GLZ536" s="500"/>
      <c r="GMA536" s="500"/>
      <c r="GMB536" s="500"/>
      <c r="GMC536" s="500"/>
      <c r="GMD536" s="500"/>
      <c r="GME536" s="500"/>
      <c r="GMF536" s="500"/>
      <c r="GMG536" s="500"/>
      <c r="GMH536" s="500"/>
      <c r="GMI536" s="500"/>
      <c r="GMJ536" s="500"/>
      <c r="GMK536" s="500"/>
      <c r="GML536" s="500"/>
      <c r="GMM536" s="500"/>
      <c r="GMN536" s="500"/>
      <c r="GMO536" s="500"/>
      <c r="GMP536" s="500"/>
      <c r="GMQ536" s="500"/>
      <c r="GMR536" s="500"/>
      <c r="GMS536" s="500"/>
      <c r="GMT536" s="500"/>
      <c r="GMU536" s="500"/>
      <c r="GMV536" s="500"/>
      <c r="GMW536" s="500"/>
      <c r="GMX536" s="500"/>
      <c r="GMY536" s="500"/>
      <c r="GMZ536" s="500"/>
      <c r="GNA536" s="500"/>
      <c r="GNB536" s="500"/>
      <c r="GNC536" s="500"/>
      <c r="GND536" s="500"/>
      <c r="GNE536" s="500"/>
      <c r="GNF536" s="500"/>
      <c r="GNG536" s="500"/>
      <c r="GNH536" s="500"/>
      <c r="GNI536" s="500"/>
      <c r="GNJ536" s="500"/>
      <c r="GNK536" s="500"/>
      <c r="GNL536" s="500"/>
      <c r="GNM536" s="500"/>
      <c r="GNN536" s="500"/>
      <c r="GNO536" s="500"/>
      <c r="GNP536" s="500"/>
      <c r="GNQ536" s="500"/>
      <c r="GNR536" s="500"/>
      <c r="GNS536" s="500"/>
      <c r="GNT536" s="500"/>
      <c r="GNU536" s="500"/>
      <c r="GNV536" s="500"/>
      <c r="GNW536" s="500"/>
      <c r="GNX536" s="500"/>
      <c r="GNY536" s="500"/>
      <c r="GNZ536" s="500"/>
      <c r="GOA536" s="500"/>
      <c r="GOB536" s="500"/>
      <c r="GOC536" s="500"/>
      <c r="GOD536" s="500"/>
      <c r="GOE536" s="500"/>
      <c r="GOF536" s="500"/>
      <c r="GOG536" s="500"/>
      <c r="GOH536" s="500"/>
      <c r="GOI536" s="500"/>
      <c r="GOJ536" s="500"/>
      <c r="GOK536" s="500"/>
      <c r="GOL536" s="500"/>
      <c r="GOM536" s="500"/>
      <c r="GON536" s="500"/>
      <c r="GOO536" s="500"/>
      <c r="GOP536" s="500"/>
      <c r="GOQ536" s="500"/>
      <c r="GOR536" s="500"/>
      <c r="GOS536" s="500"/>
      <c r="GOT536" s="500"/>
      <c r="GOU536" s="500"/>
      <c r="GOV536" s="500"/>
      <c r="GOW536" s="500"/>
      <c r="GOX536" s="500"/>
      <c r="GOY536" s="500"/>
      <c r="GOZ536" s="500"/>
      <c r="GPA536" s="500"/>
      <c r="GPB536" s="500"/>
      <c r="GPC536" s="500"/>
      <c r="GPD536" s="500"/>
      <c r="GPE536" s="500"/>
      <c r="GPF536" s="500"/>
      <c r="GPG536" s="500"/>
      <c r="GPH536" s="500"/>
      <c r="GPI536" s="500"/>
      <c r="GPJ536" s="500"/>
      <c r="GPK536" s="500"/>
      <c r="GPL536" s="500"/>
      <c r="GPM536" s="500"/>
      <c r="GPN536" s="500"/>
      <c r="GPO536" s="500"/>
      <c r="GPP536" s="500"/>
      <c r="GPQ536" s="500"/>
      <c r="GPR536" s="500"/>
      <c r="GPS536" s="500"/>
      <c r="GPT536" s="500"/>
      <c r="GPU536" s="500"/>
      <c r="GPV536" s="500"/>
      <c r="GPW536" s="500"/>
      <c r="GPX536" s="500"/>
      <c r="GPY536" s="500"/>
      <c r="GPZ536" s="500"/>
      <c r="GQA536" s="500"/>
      <c r="GQB536" s="500"/>
      <c r="GQC536" s="500"/>
      <c r="GQD536" s="500"/>
      <c r="GQE536" s="500"/>
      <c r="GQF536" s="500"/>
      <c r="GQG536" s="500"/>
      <c r="GQH536" s="500"/>
      <c r="GQI536" s="500"/>
      <c r="GQJ536" s="500"/>
      <c r="GQK536" s="500"/>
      <c r="GQL536" s="500"/>
      <c r="GQM536" s="500"/>
      <c r="GQN536" s="500"/>
      <c r="GQO536" s="500"/>
      <c r="GQP536" s="500"/>
      <c r="GQQ536" s="500"/>
      <c r="GQR536" s="500"/>
      <c r="GQS536" s="500"/>
      <c r="GQT536" s="500"/>
      <c r="GQU536" s="500"/>
      <c r="GQV536" s="500"/>
      <c r="GQW536" s="500"/>
      <c r="GQX536" s="500"/>
      <c r="GQY536" s="500"/>
      <c r="GQZ536" s="500"/>
      <c r="GRA536" s="500"/>
      <c r="GRB536" s="500"/>
      <c r="GRC536" s="500"/>
      <c r="GRD536" s="500"/>
      <c r="GRE536" s="500"/>
      <c r="GRF536" s="500"/>
      <c r="GRG536" s="500"/>
      <c r="GRH536" s="500"/>
      <c r="GRI536" s="500"/>
      <c r="GRJ536" s="500"/>
      <c r="GRK536" s="500"/>
      <c r="GRL536" s="500"/>
      <c r="GRM536" s="500"/>
      <c r="GRN536" s="500"/>
      <c r="GRO536" s="500"/>
      <c r="GRP536" s="500"/>
      <c r="GRQ536" s="500"/>
      <c r="GRR536" s="500"/>
      <c r="GRS536" s="500"/>
      <c r="GRT536" s="500"/>
      <c r="GRU536" s="500"/>
      <c r="GRV536" s="500"/>
      <c r="GRW536" s="500"/>
      <c r="GRX536" s="500"/>
      <c r="GRY536" s="500"/>
      <c r="GRZ536" s="500"/>
      <c r="GSA536" s="500"/>
      <c r="GSB536" s="500"/>
      <c r="GSC536" s="500"/>
      <c r="GSD536" s="500"/>
      <c r="GSE536" s="500"/>
      <c r="GSF536" s="500"/>
      <c r="GSG536" s="500"/>
      <c r="GSH536" s="500"/>
      <c r="GSI536" s="500"/>
      <c r="GSJ536" s="500"/>
      <c r="GSK536" s="500"/>
      <c r="GSL536" s="500"/>
      <c r="GSM536" s="500"/>
      <c r="GSN536" s="500"/>
      <c r="GSO536" s="500"/>
      <c r="GSP536" s="500"/>
      <c r="GSQ536" s="500"/>
      <c r="GSR536" s="500"/>
      <c r="GSS536" s="500"/>
      <c r="GST536" s="500"/>
      <c r="GSU536" s="500"/>
      <c r="GSV536" s="500"/>
      <c r="GSW536" s="500"/>
      <c r="GSX536" s="500"/>
      <c r="GSY536" s="500"/>
      <c r="GSZ536" s="500"/>
      <c r="GTA536" s="500"/>
      <c r="GTB536" s="500"/>
      <c r="GTC536" s="500"/>
      <c r="GTD536" s="500"/>
      <c r="GTE536" s="500"/>
      <c r="GTF536" s="500"/>
      <c r="GTG536" s="500"/>
      <c r="GTH536" s="500"/>
      <c r="GTI536" s="500"/>
      <c r="GTJ536" s="500"/>
      <c r="GTK536" s="500"/>
      <c r="GTL536" s="500"/>
      <c r="GTM536" s="500"/>
      <c r="GTN536" s="500"/>
      <c r="GTO536" s="500"/>
      <c r="GTP536" s="500"/>
      <c r="GTQ536" s="500"/>
      <c r="GTR536" s="500"/>
      <c r="GTS536" s="500"/>
      <c r="GTT536" s="500"/>
      <c r="GTU536" s="500"/>
      <c r="GTV536" s="500"/>
      <c r="GTW536" s="500"/>
      <c r="GTX536" s="500"/>
      <c r="GTY536" s="500"/>
      <c r="GTZ536" s="500"/>
      <c r="GUA536" s="500"/>
      <c r="GUB536" s="500"/>
      <c r="GUC536" s="500"/>
      <c r="GUD536" s="500"/>
      <c r="GUE536" s="500"/>
      <c r="GUF536" s="500"/>
      <c r="GUG536" s="500"/>
      <c r="GUH536" s="500"/>
      <c r="GUI536" s="500"/>
      <c r="GUJ536" s="500"/>
      <c r="GUK536" s="500"/>
      <c r="GUL536" s="500"/>
      <c r="GUM536" s="500"/>
      <c r="GUN536" s="500"/>
      <c r="GUO536" s="500"/>
      <c r="GUP536" s="500"/>
      <c r="GUQ536" s="500"/>
      <c r="GUR536" s="500"/>
      <c r="GUS536" s="500"/>
      <c r="GUT536" s="500"/>
      <c r="GUU536" s="500"/>
      <c r="GUV536" s="500"/>
      <c r="GUW536" s="500"/>
      <c r="GUX536" s="500"/>
      <c r="GUY536" s="500"/>
      <c r="GUZ536" s="500"/>
      <c r="GVA536" s="500"/>
      <c r="GVB536" s="500"/>
      <c r="GVC536" s="500"/>
      <c r="GVD536" s="500"/>
      <c r="GVE536" s="500"/>
      <c r="GVF536" s="500"/>
      <c r="GVG536" s="500"/>
      <c r="GVH536" s="500"/>
      <c r="GVI536" s="500"/>
      <c r="GVJ536" s="500"/>
      <c r="GVK536" s="500"/>
      <c r="GVL536" s="500"/>
      <c r="GVM536" s="500"/>
      <c r="GVN536" s="500"/>
      <c r="GVO536" s="500"/>
      <c r="GVP536" s="500"/>
      <c r="GVQ536" s="500"/>
      <c r="GVR536" s="500"/>
      <c r="GVS536" s="500"/>
      <c r="GVT536" s="500"/>
      <c r="GVU536" s="500"/>
      <c r="GVV536" s="500"/>
      <c r="GVW536" s="500"/>
      <c r="GVX536" s="500"/>
      <c r="GVY536" s="500"/>
      <c r="GVZ536" s="500"/>
      <c r="GWA536" s="500"/>
      <c r="GWB536" s="500"/>
      <c r="GWC536" s="500"/>
      <c r="GWD536" s="500"/>
      <c r="GWE536" s="500"/>
      <c r="GWF536" s="500"/>
      <c r="GWG536" s="500"/>
      <c r="GWH536" s="500"/>
      <c r="GWI536" s="500"/>
      <c r="GWJ536" s="500"/>
      <c r="GWK536" s="500"/>
      <c r="GWL536" s="500"/>
      <c r="GWM536" s="500"/>
      <c r="GWN536" s="500"/>
      <c r="GWO536" s="500"/>
      <c r="GWP536" s="500"/>
      <c r="GWQ536" s="500"/>
      <c r="GWR536" s="500"/>
      <c r="GWS536" s="500"/>
      <c r="GWT536" s="500"/>
      <c r="GWU536" s="500"/>
      <c r="GWV536" s="500"/>
      <c r="GWW536" s="500"/>
      <c r="GWX536" s="500"/>
      <c r="GWY536" s="500"/>
      <c r="GWZ536" s="500"/>
      <c r="GXA536" s="500"/>
      <c r="GXB536" s="500"/>
      <c r="GXC536" s="500"/>
      <c r="GXD536" s="500"/>
      <c r="GXE536" s="500"/>
      <c r="GXF536" s="500"/>
      <c r="GXG536" s="500"/>
      <c r="GXH536" s="500"/>
      <c r="GXI536" s="500"/>
      <c r="GXJ536" s="500"/>
      <c r="GXK536" s="500"/>
      <c r="GXL536" s="500"/>
      <c r="GXM536" s="500"/>
      <c r="GXN536" s="500"/>
      <c r="GXO536" s="500"/>
      <c r="GXP536" s="500"/>
      <c r="GXQ536" s="500"/>
      <c r="GXR536" s="500"/>
      <c r="GXS536" s="500"/>
      <c r="GXT536" s="500"/>
      <c r="GXU536" s="500"/>
      <c r="GXV536" s="500"/>
      <c r="GXW536" s="500"/>
      <c r="GXX536" s="500"/>
      <c r="GXY536" s="500"/>
      <c r="GXZ536" s="500"/>
      <c r="GYA536" s="500"/>
      <c r="GYB536" s="500"/>
      <c r="GYC536" s="500"/>
      <c r="GYD536" s="500"/>
      <c r="GYE536" s="500"/>
      <c r="GYF536" s="500"/>
      <c r="GYG536" s="500"/>
      <c r="GYH536" s="500"/>
      <c r="GYI536" s="500"/>
      <c r="GYJ536" s="500"/>
      <c r="GYK536" s="500"/>
      <c r="GYL536" s="500"/>
      <c r="GYM536" s="500"/>
      <c r="GYN536" s="500"/>
      <c r="GYO536" s="500"/>
      <c r="GYP536" s="500"/>
      <c r="GYQ536" s="500"/>
      <c r="GYR536" s="500"/>
      <c r="GYS536" s="500"/>
      <c r="GYT536" s="500"/>
      <c r="GYU536" s="500"/>
      <c r="GYV536" s="500"/>
      <c r="GYW536" s="500"/>
      <c r="GYX536" s="500"/>
      <c r="GYY536" s="500"/>
      <c r="GYZ536" s="500"/>
      <c r="GZA536" s="500"/>
      <c r="GZB536" s="500"/>
      <c r="GZC536" s="500"/>
      <c r="GZD536" s="500"/>
      <c r="GZE536" s="500"/>
      <c r="GZF536" s="500"/>
      <c r="GZG536" s="500"/>
      <c r="GZH536" s="500"/>
      <c r="GZI536" s="500"/>
      <c r="GZJ536" s="500"/>
      <c r="GZK536" s="500"/>
      <c r="GZL536" s="500"/>
      <c r="GZM536" s="500"/>
      <c r="GZN536" s="500"/>
      <c r="GZO536" s="500"/>
      <c r="GZP536" s="500"/>
      <c r="GZQ536" s="500"/>
      <c r="GZR536" s="500"/>
      <c r="GZS536" s="500"/>
      <c r="GZT536" s="500"/>
      <c r="GZU536" s="500"/>
      <c r="GZV536" s="500"/>
      <c r="GZW536" s="500"/>
      <c r="GZX536" s="500"/>
      <c r="GZY536" s="500"/>
      <c r="GZZ536" s="500"/>
      <c r="HAA536" s="500"/>
      <c r="HAB536" s="500"/>
      <c r="HAC536" s="500"/>
      <c r="HAD536" s="500"/>
      <c r="HAE536" s="500"/>
      <c r="HAF536" s="500"/>
      <c r="HAG536" s="500"/>
      <c r="HAH536" s="500"/>
      <c r="HAI536" s="500"/>
      <c r="HAJ536" s="500"/>
      <c r="HAK536" s="500"/>
      <c r="HAL536" s="500"/>
      <c r="HAM536" s="500"/>
      <c r="HAN536" s="500"/>
      <c r="HAO536" s="500"/>
      <c r="HAP536" s="500"/>
      <c r="HAQ536" s="500"/>
      <c r="HAR536" s="500"/>
      <c r="HAS536" s="500"/>
      <c r="HAT536" s="500"/>
      <c r="HAU536" s="500"/>
      <c r="HAV536" s="500"/>
      <c r="HAW536" s="500"/>
      <c r="HAX536" s="500"/>
      <c r="HAY536" s="500"/>
      <c r="HAZ536" s="500"/>
      <c r="HBA536" s="500"/>
      <c r="HBB536" s="500"/>
      <c r="HBC536" s="500"/>
      <c r="HBD536" s="500"/>
      <c r="HBE536" s="500"/>
      <c r="HBF536" s="500"/>
      <c r="HBG536" s="500"/>
      <c r="HBH536" s="500"/>
      <c r="HBI536" s="500"/>
      <c r="HBJ536" s="500"/>
      <c r="HBK536" s="500"/>
      <c r="HBL536" s="500"/>
      <c r="HBM536" s="500"/>
      <c r="HBN536" s="500"/>
      <c r="HBO536" s="500"/>
      <c r="HBP536" s="500"/>
      <c r="HBQ536" s="500"/>
      <c r="HBR536" s="500"/>
      <c r="HBS536" s="500"/>
      <c r="HBT536" s="500"/>
      <c r="HBU536" s="500"/>
      <c r="HBV536" s="500"/>
      <c r="HBW536" s="500"/>
      <c r="HBX536" s="500"/>
      <c r="HBY536" s="500"/>
      <c r="HBZ536" s="500"/>
      <c r="HCA536" s="500"/>
      <c r="HCB536" s="500"/>
      <c r="HCC536" s="500"/>
      <c r="HCD536" s="500"/>
      <c r="HCE536" s="500"/>
      <c r="HCF536" s="500"/>
      <c r="HCG536" s="500"/>
      <c r="HCH536" s="500"/>
      <c r="HCI536" s="500"/>
      <c r="HCJ536" s="500"/>
      <c r="HCK536" s="500"/>
      <c r="HCL536" s="500"/>
      <c r="HCM536" s="500"/>
      <c r="HCN536" s="500"/>
      <c r="HCO536" s="500"/>
      <c r="HCP536" s="500"/>
      <c r="HCQ536" s="500"/>
      <c r="HCR536" s="500"/>
      <c r="HCS536" s="500"/>
      <c r="HCT536" s="500"/>
      <c r="HCU536" s="500"/>
      <c r="HCV536" s="500"/>
      <c r="HCW536" s="500"/>
      <c r="HCX536" s="500"/>
      <c r="HCY536" s="500"/>
      <c r="HCZ536" s="500"/>
      <c r="HDA536" s="500"/>
      <c r="HDB536" s="500"/>
      <c r="HDC536" s="500"/>
      <c r="HDD536" s="500"/>
      <c r="HDE536" s="500"/>
      <c r="HDF536" s="500"/>
      <c r="HDG536" s="500"/>
      <c r="HDH536" s="500"/>
      <c r="HDI536" s="500"/>
      <c r="HDJ536" s="500"/>
      <c r="HDK536" s="500"/>
      <c r="HDL536" s="500"/>
      <c r="HDM536" s="500"/>
      <c r="HDN536" s="500"/>
      <c r="HDO536" s="500"/>
      <c r="HDP536" s="500"/>
      <c r="HDQ536" s="500"/>
      <c r="HDR536" s="500"/>
      <c r="HDS536" s="500"/>
      <c r="HDT536" s="500"/>
      <c r="HDU536" s="500"/>
      <c r="HDV536" s="500"/>
      <c r="HDW536" s="500"/>
      <c r="HDX536" s="500"/>
      <c r="HDY536" s="500"/>
      <c r="HDZ536" s="500"/>
      <c r="HEA536" s="500"/>
      <c r="HEB536" s="500"/>
      <c r="HEC536" s="500"/>
      <c r="HED536" s="500"/>
      <c r="HEE536" s="500"/>
      <c r="HEF536" s="500"/>
      <c r="HEG536" s="500"/>
      <c r="HEH536" s="500"/>
      <c r="HEI536" s="500"/>
      <c r="HEJ536" s="500"/>
      <c r="HEK536" s="500"/>
      <c r="HEL536" s="500"/>
      <c r="HEM536" s="500"/>
      <c r="HEN536" s="500"/>
      <c r="HEO536" s="500"/>
      <c r="HEP536" s="500"/>
      <c r="HEQ536" s="500"/>
      <c r="HER536" s="500"/>
      <c r="HES536" s="500"/>
      <c r="HET536" s="500"/>
      <c r="HEU536" s="500"/>
      <c r="HEV536" s="500"/>
      <c r="HEW536" s="500"/>
      <c r="HEX536" s="500"/>
      <c r="HEY536" s="500"/>
      <c r="HEZ536" s="500"/>
      <c r="HFA536" s="500"/>
      <c r="HFB536" s="500"/>
      <c r="HFC536" s="500"/>
      <c r="HFD536" s="500"/>
      <c r="HFE536" s="500"/>
      <c r="HFF536" s="500"/>
      <c r="HFG536" s="500"/>
      <c r="HFH536" s="500"/>
      <c r="HFI536" s="500"/>
      <c r="HFJ536" s="500"/>
      <c r="HFK536" s="500"/>
      <c r="HFL536" s="500"/>
      <c r="HFM536" s="500"/>
      <c r="HFN536" s="500"/>
      <c r="HFO536" s="500"/>
      <c r="HFP536" s="500"/>
      <c r="HFQ536" s="500"/>
      <c r="HFR536" s="500"/>
      <c r="HFS536" s="500"/>
      <c r="HFT536" s="500"/>
      <c r="HFU536" s="500"/>
      <c r="HFV536" s="500"/>
      <c r="HFW536" s="500"/>
      <c r="HFX536" s="500"/>
      <c r="HFY536" s="500"/>
      <c r="HFZ536" s="500"/>
      <c r="HGA536" s="500"/>
      <c r="HGB536" s="500"/>
      <c r="HGC536" s="500"/>
      <c r="HGD536" s="500"/>
      <c r="HGE536" s="500"/>
      <c r="HGF536" s="500"/>
      <c r="HGG536" s="500"/>
      <c r="HGH536" s="500"/>
      <c r="HGI536" s="500"/>
      <c r="HGJ536" s="500"/>
      <c r="HGK536" s="500"/>
      <c r="HGL536" s="500"/>
      <c r="HGM536" s="500"/>
      <c r="HGN536" s="500"/>
      <c r="HGO536" s="500"/>
      <c r="HGP536" s="500"/>
      <c r="HGQ536" s="500"/>
      <c r="HGR536" s="500"/>
      <c r="HGS536" s="500"/>
      <c r="HGT536" s="500"/>
      <c r="HGU536" s="500"/>
      <c r="HGV536" s="500"/>
      <c r="HGW536" s="500"/>
      <c r="HGX536" s="500"/>
      <c r="HGY536" s="500"/>
      <c r="HGZ536" s="500"/>
      <c r="HHA536" s="500"/>
      <c r="HHB536" s="500"/>
      <c r="HHC536" s="500"/>
      <c r="HHD536" s="500"/>
      <c r="HHE536" s="500"/>
      <c r="HHF536" s="500"/>
      <c r="HHG536" s="500"/>
      <c r="HHH536" s="500"/>
      <c r="HHI536" s="500"/>
      <c r="HHJ536" s="500"/>
      <c r="HHK536" s="500"/>
      <c r="HHL536" s="500"/>
      <c r="HHM536" s="500"/>
      <c r="HHN536" s="500"/>
      <c r="HHO536" s="500"/>
      <c r="HHP536" s="500"/>
      <c r="HHQ536" s="500"/>
      <c r="HHR536" s="500"/>
      <c r="HHS536" s="500"/>
      <c r="HHT536" s="500"/>
      <c r="HHU536" s="500"/>
      <c r="HHV536" s="500"/>
      <c r="HHW536" s="500"/>
      <c r="HHX536" s="500"/>
      <c r="HHY536" s="500"/>
      <c r="HHZ536" s="500"/>
      <c r="HIA536" s="500"/>
      <c r="HIB536" s="500"/>
      <c r="HIC536" s="500"/>
      <c r="HID536" s="500"/>
      <c r="HIE536" s="500"/>
      <c r="HIF536" s="500"/>
      <c r="HIG536" s="500"/>
      <c r="HIH536" s="500"/>
      <c r="HII536" s="500"/>
      <c r="HIJ536" s="500"/>
      <c r="HIK536" s="500"/>
      <c r="HIL536" s="500"/>
      <c r="HIM536" s="500"/>
      <c r="HIN536" s="500"/>
      <c r="HIO536" s="500"/>
      <c r="HIP536" s="500"/>
      <c r="HIQ536" s="500"/>
      <c r="HIR536" s="500"/>
      <c r="HIS536" s="500"/>
      <c r="HIT536" s="500"/>
      <c r="HIU536" s="500"/>
      <c r="HIV536" s="500"/>
      <c r="HIW536" s="500"/>
      <c r="HIX536" s="500"/>
      <c r="HIY536" s="500"/>
      <c r="HIZ536" s="500"/>
      <c r="HJA536" s="500"/>
      <c r="HJB536" s="500"/>
      <c r="HJC536" s="500"/>
      <c r="HJD536" s="500"/>
      <c r="HJE536" s="500"/>
      <c r="HJF536" s="500"/>
      <c r="HJG536" s="500"/>
      <c r="HJH536" s="500"/>
      <c r="HJI536" s="500"/>
      <c r="HJJ536" s="500"/>
      <c r="HJK536" s="500"/>
      <c r="HJL536" s="500"/>
      <c r="HJM536" s="500"/>
      <c r="HJN536" s="500"/>
      <c r="HJO536" s="500"/>
      <c r="HJP536" s="500"/>
      <c r="HJQ536" s="500"/>
      <c r="HJR536" s="500"/>
      <c r="HJS536" s="500"/>
      <c r="HJT536" s="500"/>
      <c r="HJU536" s="500"/>
      <c r="HJV536" s="500"/>
      <c r="HJW536" s="500"/>
      <c r="HJX536" s="500"/>
      <c r="HJY536" s="500"/>
      <c r="HJZ536" s="500"/>
      <c r="HKA536" s="500"/>
      <c r="HKB536" s="500"/>
      <c r="HKC536" s="500"/>
      <c r="HKD536" s="500"/>
      <c r="HKE536" s="500"/>
      <c r="HKF536" s="500"/>
      <c r="HKG536" s="500"/>
      <c r="HKH536" s="500"/>
      <c r="HKI536" s="500"/>
      <c r="HKJ536" s="500"/>
      <c r="HKK536" s="500"/>
      <c r="HKL536" s="500"/>
      <c r="HKM536" s="500"/>
      <c r="HKN536" s="500"/>
      <c r="HKO536" s="500"/>
      <c r="HKP536" s="500"/>
      <c r="HKQ536" s="500"/>
      <c r="HKR536" s="500"/>
      <c r="HKS536" s="500"/>
      <c r="HKT536" s="500"/>
      <c r="HKU536" s="500"/>
      <c r="HKV536" s="500"/>
      <c r="HKW536" s="500"/>
      <c r="HKX536" s="500"/>
      <c r="HKY536" s="500"/>
      <c r="HKZ536" s="500"/>
      <c r="HLA536" s="500"/>
      <c r="HLB536" s="500"/>
      <c r="HLC536" s="500"/>
      <c r="HLD536" s="500"/>
      <c r="HLE536" s="500"/>
      <c r="HLF536" s="500"/>
      <c r="HLG536" s="500"/>
      <c r="HLH536" s="500"/>
      <c r="HLI536" s="500"/>
      <c r="HLJ536" s="500"/>
      <c r="HLK536" s="500"/>
      <c r="HLL536" s="500"/>
      <c r="HLM536" s="500"/>
      <c r="HLN536" s="500"/>
      <c r="HLO536" s="500"/>
      <c r="HLP536" s="500"/>
      <c r="HLQ536" s="500"/>
      <c r="HLR536" s="500"/>
      <c r="HLS536" s="500"/>
      <c r="HLT536" s="500"/>
      <c r="HLU536" s="500"/>
      <c r="HLV536" s="500"/>
      <c r="HLW536" s="500"/>
      <c r="HLX536" s="500"/>
      <c r="HLY536" s="500"/>
      <c r="HLZ536" s="500"/>
      <c r="HMA536" s="500"/>
      <c r="HMB536" s="500"/>
      <c r="HMC536" s="500"/>
      <c r="HMD536" s="500"/>
      <c r="HME536" s="500"/>
      <c r="HMF536" s="500"/>
      <c r="HMG536" s="500"/>
      <c r="HMH536" s="500"/>
      <c r="HMI536" s="500"/>
      <c r="HMJ536" s="500"/>
      <c r="HMK536" s="500"/>
      <c r="HML536" s="500"/>
      <c r="HMM536" s="500"/>
      <c r="HMN536" s="500"/>
      <c r="HMO536" s="500"/>
      <c r="HMP536" s="500"/>
      <c r="HMQ536" s="500"/>
      <c r="HMR536" s="500"/>
      <c r="HMS536" s="500"/>
      <c r="HMT536" s="500"/>
      <c r="HMU536" s="500"/>
      <c r="HMV536" s="500"/>
      <c r="HMW536" s="500"/>
      <c r="HMX536" s="500"/>
      <c r="HMY536" s="500"/>
      <c r="HMZ536" s="500"/>
      <c r="HNA536" s="500"/>
      <c r="HNB536" s="500"/>
      <c r="HNC536" s="500"/>
      <c r="HND536" s="500"/>
      <c r="HNE536" s="500"/>
      <c r="HNF536" s="500"/>
      <c r="HNG536" s="500"/>
      <c r="HNH536" s="500"/>
      <c r="HNI536" s="500"/>
      <c r="HNJ536" s="500"/>
      <c r="HNK536" s="500"/>
      <c r="HNL536" s="500"/>
      <c r="HNM536" s="500"/>
      <c r="HNN536" s="500"/>
      <c r="HNO536" s="500"/>
      <c r="HNP536" s="500"/>
      <c r="HNQ536" s="500"/>
      <c r="HNR536" s="500"/>
      <c r="HNS536" s="500"/>
      <c r="HNT536" s="500"/>
      <c r="HNU536" s="500"/>
      <c r="HNV536" s="500"/>
      <c r="HNW536" s="500"/>
      <c r="HNX536" s="500"/>
      <c r="HNY536" s="500"/>
      <c r="HNZ536" s="500"/>
      <c r="HOA536" s="500"/>
      <c r="HOB536" s="500"/>
      <c r="HOC536" s="500"/>
      <c r="HOD536" s="500"/>
      <c r="HOE536" s="500"/>
      <c r="HOF536" s="500"/>
      <c r="HOG536" s="500"/>
      <c r="HOH536" s="500"/>
      <c r="HOI536" s="500"/>
      <c r="HOJ536" s="500"/>
      <c r="HOK536" s="500"/>
      <c r="HOL536" s="500"/>
      <c r="HOM536" s="500"/>
      <c r="HON536" s="500"/>
      <c r="HOO536" s="500"/>
      <c r="HOP536" s="500"/>
      <c r="HOQ536" s="500"/>
      <c r="HOR536" s="500"/>
      <c r="HOS536" s="500"/>
      <c r="HOT536" s="500"/>
      <c r="HOU536" s="500"/>
      <c r="HOV536" s="500"/>
      <c r="HOW536" s="500"/>
      <c r="HOX536" s="500"/>
      <c r="HOY536" s="500"/>
      <c r="HOZ536" s="500"/>
      <c r="HPA536" s="500"/>
      <c r="HPB536" s="500"/>
      <c r="HPC536" s="500"/>
      <c r="HPD536" s="500"/>
      <c r="HPE536" s="500"/>
      <c r="HPF536" s="500"/>
      <c r="HPG536" s="500"/>
      <c r="HPH536" s="500"/>
      <c r="HPI536" s="500"/>
      <c r="HPJ536" s="500"/>
      <c r="HPK536" s="500"/>
      <c r="HPL536" s="500"/>
      <c r="HPM536" s="500"/>
      <c r="HPN536" s="500"/>
      <c r="HPO536" s="500"/>
      <c r="HPP536" s="500"/>
      <c r="HPQ536" s="500"/>
      <c r="HPR536" s="500"/>
      <c r="HPS536" s="500"/>
      <c r="HPT536" s="500"/>
      <c r="HPU536" s="500"/>
      <c r="HPV536" s="500"/>
      <c r="HPW536" s="500"/>
      <c r="HPX536" s="500"/>
      <c r="HPY536" s="500"/>
      <c r="HPZ536" s="500"/>
      <c r="HQA536" s="500"/>
      <c r="HQB536" s="500"/>
      <c r="HQC536" s="500"/>
      <c r="HQD536" s="500"/>
      <c r="HQE536" s="500"/>
      <c r="HQF536" s="500"/>
      <c r="HQG536" s="500"/>
      <c r="HQH536" s="500"/>
      <c r="HQI536" s="500"/>
      <c r="HQJ536" s="500"/>
      <c r="HQK536" s="500"/>
      <c r="HQL536" s="500"/>
      <c r="HQM536" s="500"/>
      <c r="HQN536" s="500"/>
      <c r="HQO536" s="500"/>
      <c r="HQP536" s="500"/>
      <c r="HQQ536" s="500"/>
      <c r="HQR536" s="500"/>
      <c r="HQS536" s="500"/>
      <c r="HQT536" s="500"/>
      <c r="HQU536" s="500"/>
      <c r="HQV536" s="500"/>
      <c r="HQW536" s="500"/>
      <c r="HQX536" s="500"/>
      <c r="HQY536" s="500"/>
      <c r="HQZ536" s="500"/>
      <c r="HRA536" s="500"/>
      <c r="HRB536" s="500"/>
      <c r="HRC536" s="500"/>
      <c r="HRD536" s="500"/>
      <c r="HRE536" s="500"/>
      <c r="HRF536" s="500"/>
      <c r="HRG536" s="500"/>
      <c r="HRH536" s="500"/>
      <c r="HRI536" s="500"/>
      <c r="HRJ536" s="500"/>
      <c r="HRK536" s="500"/>
      <c r="HRL536" s="500"/>
      <c r="HRM536" s="500"/>
      <c r="HRN536" s="500"/>
      <c r="HRO536" s="500"/>
      <c r="HRP536" s="500"/>
      <c r="HRQ536" s="500"/>
      <c r="HRR536" s="500"/>
      <c r="HRS536" s="500"/>
      <c r="HRT536" s="500"/>
      <c r="HRU536" s="500"/>
      <c r="HRV536" s="500"/>
      <c r="HRW536" s="500"/>
      <c r="HRX536" s="500"/>
      <c r="HRY536" s="500"/>
      <c r="HRZ536" s="500"/>
      <c r="HSA536" s="500"/>
      <c r="HSB536" s="500"/>
      <c r="HSC536" s="500"/>
      <c r="HSD536" s="500"/>
      <c r="HSE536" s="500"/>
      <c r="HSF536" s="500"/>
      <c r="HSG536" s="500"/>
      <c r="HSH536" s="500"/>
      <c r="HSI536" s="500"/>
      <c r="HSJ536" s="500"/>
      <c r="HSK536" s="500"/>
      <c r="HSL536" s="500"/>
      <c r="HSM536" s="500"/>
      <c r="HSN536" s="500"/>
      <c r="HSO536" s="500"/>
      <c r="HSP536" s="500"/>
      <c r="HSQ536" s="500"/>
      <c r="HSR536" s="500"/>
      <c r="HSS536" s="500"/>
      <c r="HST536" s="500"/>
      <c r="HSU536" s="500"/>
      <c r="HSV536" s="500"/>
      <c r="HSW536" s="500"/>
      <c r="HSX536" s="500"/>
      <c r="HSY536" s="500"/>
      <c r="HSZ536" s="500"/>
      <c r="HTA536" s="500"/>
      <c r="HTB536" s="500"/>
      <c r="HTC536" s="500"/>
      <c r="HTD536" s="500"/>
      <c r="HTE536" s="500"/>
      <c r="HTF536" s="500"/>
      <c r="HTG536" s="500"/>
      <c r="HTH536" s="500"/>
      <c r="HTI536" s="500"/>
      <c r="HTJ536" s="500"/>
      <c r="HTK536" s="500"/>
      <c r="HTL536" s="500"/>
      <c r="HTM536" s="500"/>
      <c r="HTN536" s="500"/>
      <c r="HTO536" s="500"/>
      <c r="HTP536" s="500"/>
      <c r="HTQ536" s="500"/>
      <c r="HTR536" s="500"/>
      <c r="HTS536" s="500"/>
      <c r="HTT536" s="500"/>
      <c r="HTU536" s="500"/>
      <c r="HTV536" s="500"/>
      <c r="HTW536" s="500"/>
      <c r="HTX536" s="500"/>
      <c r="HTY536" s="500"/>
      <c r="HTZ536" s="500"/>
      <c r="HUA536" s="500"/>
      <c r="HUB536" s="500"/>
      <c r="HUC536" s="500"/>
      <c r="HUD536" s="500"/>
      <c r="HUE536" s="500"/>
      <c r="HUF536" s="500"/>
      <c r="HUG536" s="500"/>
      <c r="HUH536" s="500"/>
      <c r="HUI536" s="500"/>
      <c r="HUJ536" s="500"/>
      <c r="HUK536" s="500"/>
      <c r="HUL536" s="500"/>
      <c r="HUM536" s="500"/>
      <c r="HUN536" s="500"/>
      <c r="HUO536" s="500"/>
      <c r="HUP536" s="500"/>
      <c r="HUQ536" s="500"/>
      <c r="HUR536" s="500"/>
      <c r="HUS536" s="500"/>
      <c r="HUT536" s="500"/>
      <c r="HUU536" s="500"/>
      <c r="HUV536" s="500"/>
      <c r="HUW536" s="500"/>
      <c r="HUX536" s="500"/>
      <c r="HUY536" s="500"/>
      <c r="HUZ536" s="500"/>
      <c r="HVA536" s="500"/>
      <c r="HVB536" s="500"/>
      <c r="HVC536" s="500"/>
      <c r="HVD536" s="500"/>
      <c r="HVE536" s="500"/>
      <c r="HVF536" s="500"/>
      <c r="HVG536" s="500"/>
      <c r="HVH536" s="500"/>
      <c r="HVI536" s="500"/>
      <c r="HVJ536" s="500"/>
      <c r="HVK536" s="500"/>
      <c r="HVL536" s="500"/>
      <c r="HVM536" s="500"/>
      <c r="HVN536" s="500"/>
      <c r="HVO536" s="500"/>
      <c r="HVP536" s="500"/>
      <c r="HVQ536" s="500"/>
      <c r="HVR536" s="500"/>
      <c r="HVS536" s="500"/>
      <c r="HVT536" s="500"/>
      <c r="HVU536" s="500"/>
      <c r="HVV536" s="500"/>
      <c r="HVW536" s="500"/>
      <c r="HVX536" s="500"/>
      <c r="HVY536" s="500"/>
      <c r="HVZ536" s="500"/>
      <c r="HWA536" s="500"/>
      <c r="HWB536" s="500"/>
      <c r="HWC536" s="500"/>
      <c r="HWD536" s="500"/>
      <c r="HWE536" s="500"/>
      <c r="HWF536" s="500"/>
      <c r="HWG536" s="500"/>
      <c r="HWH536" s="500"/>
      <c r="HWI536" s="500"/>
      <c r="HWJ536" s="500"/>
      <c r="HWK536" s="500"/>
      <c r="HWL536" s="500"/>
      <c r="HWM536" s="500"/>
      <c r="HWN536" s="500"/>
      <c r="HWO536" s="500"/>
      <c r="HWP536" s="500"/>
      <c r="HWQ536" s="500"/>
      <c r="HWR536" s="500"/>
      <c r="HWS536" s="500"/>
      <c r="HWT536" s="500"/>
      <c r="HWU536" s="500"/>
      <c r="HWV536" s="500"/>
      <c r="HWW536" s="500"/>
      <c r="HWX536" s="500"/>
      <c r="HWY536" s="500"/>
      <c r="HWZ536" s="500"/>
      <c r="HXA536" s="500"/>
      <c r="HXB536" s="500"/>
      <c r="HXC536" s="500"/>
      <c r="HXD536" s="500"/>
      <c r="HXE536" s="500"/>
      <c r="HXF536" s="500"/>
      <c r="HXG536" s="500"/>
      <c r="HXH536" s="500"/>
      <c r="HXI536" s="500"/>
      <c r="HXJ536" s="500"/>
      <c r="HXK536" s="500"/>
      <c r="HXL536" s="500"/>
      <c r="HXM536" s="500"/>
      <c r="HXN536" s="500"/>
      <c r="HXO536" s="500"/>
      <c r="HXP536" s="500"/>
      <c r="HXQ536" s="500"/>
      <c r="HXR536" s="500"/>
      <c r="HXS536" s="500"/>
      <c r="HXT536" s="500"/>
      <c r="HXU536" s="500"/>
      <c r="HXV536" s="500"/>
      <c r="HXW536" s="500"/>
      <c r="HXX536" s="500"/>
      <c r="HXY536" s="500"/>
      <c r="HXZ536" s="500"/>
      <c r="HYA536" s="500"/>
      <c r="HYB536" s="500"/>
      <c r="HYC536" s="500"/>
      <c r="HYD536" s="500"/>
      <c r="HYE536" s="500"/>
      <c r="HYF536" s="500"/>
      <c r="HYG536" s="500"/>
      <c r="HYH536" s="500"/>
      <c r="HYI536" s="500"/>
      <c r="HYJ536" s="500"/>
      <c r="HYK536" s="500"/>
      <c r="HYL536" s="500"/>
      <c r="HYM536" s="500"/>
      <c r="HYN536" s="500"/>
      <c r="HYO536" s="500"/>
      <c r="HYP536" s="500"/>
      <c r="HYQ536" s="500"/>
      <c r="HYR536" s="500"/>
      <c r="HYS536" s="500"/>
      <c r="HYT536" s="500"/>
      <c r="HYU536" s="500"/>
      <c r="HYV536" s="500"/>
      <c r="HYW536" s="500"/>
      <c r="HYX536" s="500"/>
      <c r="HYY536" s="500"/>
      <c r="HYZ536" s="500"/>
      <c r="HZA536" s="500"/>
      <c r="HZB536" s="500"/>
      <c r="HZC536" s="500"/>
      <c r="HZD536" s="500"/>
      <c r="HZE536" s="500"/>
      <c r="HZF536" s="500"/>
      <c r="HZG536" s="500"/>
      <c r="HZH536" s="500"/>
      <c r="HZI536" s="500"/>
      <c r="HZJ536" s="500"/>
      <c r="HZK536" s="500"/>
      <c r="HZL536" s="500"/>
      <c r="HZM536" s="500"/>
      <c r="HZN536" s="500"/>
      <c r="HZO536" s="500"/>
      <c r="HZP536" s="500"/>
      <c r="HZQ536" s="500"/>
      <c r="HZR536" s="500"/>
      <c r="HZS536" s="500"/>
      <c r="HZT536" s="500"/>
      <c r="HZU536" s="500"/>
      <c r="HZV536" s="500"/>
      <c r="HZW536" s="500"/>
      <c r="HZX536" s="500"/>
      <c r="HZY536" s="500"/>
      <c r="HZZ536" s="500"/>
      <c r="IAA536" s="500"/>
      <c r="IAB536" s="500"/>
      <c r="IAC536" s="500"/>
      <c r="IAD536" s="500"/>
      <c r="IAE536" s="500"/>
      <c r="IAF536" s="500"/>
      <c r="IAG536" s="500"/>
      <c r="IAH536" s="500"/>
      <c r="IAI536" s="500"/>
      <c r="IAJ536" s="500"/>
      <c r="IAK536" s="500"/>
      <c r="IAL536" s="500"/>
      <c r="IAM536" s="500"/>
      <c r="IAN536" s="500"/>
      <c r="IAO536" s="500"/>
      <c r="IAP536" s="500"/>
      <c r="IAQ536" s="500"/>
      <c r="IAR536" s="500"/>
      <c r="IAS536" s="500"/>
      <c r="IAT536" s="500"/>
      <c r="IAU536" s="500"/>
      <c r="IAV536" s="500"/>
      <c r="IAW536" s="500"/>
      <c r="IAX536" s="500"/>
      <c r="IAY536" s="500"/>
      <c r="IAZ536" s="500"/>
      <c r="IBA536" s="500"/>
      <c r="IBB536" s="500"/>
      <c r="IBC536" s="500"/>
      <c r="IBD536" s="500"/>
      <c r="IBE536" s="500"/>
      <c r="IBF536" s="500"/>
      <c r="IBG536" s="500"/>
      <c r="IBH536" s="500"/>
      <c r="IBI536" s="500"/>
      <c r="IBJ536" s="500"/>
      <c r="IBK536" s="500"/>
      <c r="IBL536" s="500"/>
      <c r="IBM536" s="500"/>
      <c r="IBN536" s="500"/>
      <c r="IBO536" s="500"/>
      <c r="IBP536" s="500"/>
      <c r="IBQ536" s="500"/>
      <c r="IBR536" s="500"/>
      <c r="IBS536" s="500"/>
      <c r="IBT536" s="500"/>
      <c r="IBU536" s="500"/>
      <c r="IBV536" s="500"/>
      <c r="IBW536" s="500"/>
      <c r="IBX536" s="500"/>
      <c r="IBY536" s="500"/>
      <c r="IBZ536" s="500"/>
      <c r="ICA536" s="500"/>
      <c r="ICB536" s="500"/>
      <c r="ICC536" s="500"/>
      <c r="ICD536" s="500"/>
      <c r="ICE536" s="500"/>
      <c r="ICF536" s="500"/>
      <c r="ICG536" s="500"/>
      <c r="ICH536" s="500"/>
      <c r="ICI536" s="500"/>
      <c r="ICJ536" s="500"/>
      <c r="ICK536" s="500"/>
      <c r="ICL536" s="500"/>
      <c r="ICM536" s="500"/>
      <c r="ICN536" s="500"/>
      <c r="ICO536" s="500"/>
      <c r="ICP536" s="500"/>
      <c r="ICQ536" s="500"/>
      <c r="ICR536" s="500"/>
      <c r="ICS536" s="500"/>
      <c r="ICT536" s="500"/>
      <c r="ICU536" s="500"/>
      <c r="ICV536" s="500"/>
      <c r="ICW536" s="500"/>
      <c r="ICX536" s="500"/>
      <c r="ICY536" s="500"/>
      <c r="ICZ536" s="500"/>
      <c r="IDA536" s="500"/>
      <c r="IDB536" s="500"/>
      <c r="IDC536" s="500"/>
      <c r="IDD536" s="500"/>
      <c r="IDE536" s="500"/>
      <c r="IDF536" s="500"/>
      <c r="IDG536" s="500"/>
      <c r="IDH536" s="500"/>
      <c r="IDI536" s="500"/>
      <c r="IDJ536" s="500"/>
      <c r="IDK536" s="500"/>
      <c r="IDL536" s="500"/>
      <c r="IDM536" s="500"/>
      <c r="IDN536" s="500"/>
      <c r="IDO536" s="500"/>
      <c r="IDP536" s="500"/>
      <c r="IDQ536" s="500"/>
      <c r="IDR536" s="500"/>
      <c r="IDS536" s="500"/>
      <c r="IDT536" s="500"/>
      <c r="IDU536" s="500"/>
      <c r="IDV536" s="500"/>
      <c r="IDW536" s="500"/>
      <c r="IDX536" s="500"/>
      <c r="IDY536" s="500"/>
      <c r="IDZ536" s="500"/>
      <c r="IEA536" s="500"/>
      <c r="IEB536" s="500"/>
      <c r="IEC536" s="500"/>
      <c r="IED536" s="500"/>
      <c r="IEE536" s="500"/>
      <c r="IEF536" s="500"/>
      <c r="IEG536" s="500"/>
      <c r="IEH536" s="500"/>
      <c r="IEI536" s="500"/>
      <c r="IEJ536" s="500"/>
      <c r="IEK536" s="500"/>
      <c r="IEL536" s="500"/>
      <c r="IEM536" s="500"/>
      <c r="IEN536" s="500"/>
      <c r="IEO536" s="500"/>
      <c r="IEP536" s="500"/>
      <c r="IEQ536" s="500"/>
      <c r="IER536" s="500"/>
      <c r="IES536" s="500"/>
      <c r="IET536" s="500"/>
      <c r="IEU536" s="500"/>
      <c r="IEV536" s="500"/>
      <c r="IEW536" s="500"/>
      <c r="IEX536" s="500"/>
      <c r="IEY536" s="500"/>
      <c r="IEZ536" s="500"/>
      <c r="IFA536" s="500"/>
      <c r="IFB536" s="500"/>
      <c r="IFC536" s="500"/>
      <c r="IFD536" s="500"/>
      <c r="IFE536" s="500"/>
      <c r="IFF536" s="500"/>
      <c r="IFG536" s="500"/>
      <c r="IFH536" s="500"/>
      <c r="IFI536" s="500"/>
      <c r="IFJ536" s="500"/>
      <c r="IFK536" s="500"/>
      <c r="IFL536" s="500"/>
      <c r="IFM536" s="500"/>
      <c r="IFN536" s="500"/>
      <c r="IFO536" s="500"/>
      <c r="IFP536" s="500"/>
      <c r="IFQ536" s="500"/>
      <c r="IFR536" s="500"/>
      <c r="IFS536" s="500"/>
      <c r="IFT536" s="500"/>
      <c r="IFU536" s="500"/>
      <c r="IFV536" s="500"/>
      <c r="IFW536" s="500"/>
      <c r="IFX536" s="500"/>
      <c r="IFY536" s="500"/>
      <c r="IFZ536" s="500"/>
      <c r="IGA536" s="500"/>
      <c r="IGB536" s="500"/>
      <c r="IGC536" s="500"/>
      <c r="IGD536" s="500"/>
      <c r="IGE536" s="500"/>
      <c r="IGF536" s="500"/>
      <c r="IGG536" s="500"/>
      <c r="IGH536" s="500"/>
      <c r="IGI536" s="500"/>
      <c r="IGJ536" s="500"/>
      <c r="IGK536" s="500"/>
      <c r="IGL536" s="500"/>
      <c r="IGM536" s="500"/>
      <c r="IGN536" s="500"/>
      <c r="IGO536" s="500"/>
      <c r="IGP536" s="500"/>
      <c r="IGQ536" s="500"/>
      <c r="IGR536" s="500"/>
      <c r="IGS536" s="500"/>
      <c r="IGT536" s="500"/>
      <c r="IGU536" s="500"/>
      <c r="IGV536" s="500"/>
      <c r="IGW536" s="500"/>
      <c r="IGX536" s="500"/>
      <c r="IGY536" s="500"/>
      <c r="IGZ536" s="500"/>
      <c r="IHA536" s="500"/>
      <c r="IHB536" s="500"/>
      <c r="IHC536" s="500"/>
      <c r="IHD536" s="500"/>
      <c r="IHE536" s="500"/>
      <c r="IHF536" s="500"/>
      <c r="IHG536" s="500"/>
      <c r="IHH536" s="500"/>
      <c r="IHI536" s="500"/>
      <c r="IHJ536" s="500"/>
      <c r="IHK536" s="500"/>
      <c r="IHL536" s="500"/>
      <c r="IHM536" s="500"/>
      <c r="IHN536" s="500"/>
      <c r="IHO536" s="500"/>
      <c r="IHP536" s="500"/>
      <c r="IHQ536" s="500"/>
      <c r="IHR536" s="500"/>
      <c r="IHS536" s="500"/>
      <c r="IHT536" s="500"/>
      <c r="IHU536" s="500"/>
      <c r="IHV536" s="500"/>
      <c r="IHW536" s="500"/>
      <c r="IHX536" s="500"/>
      <c r="IHY536" s="500"/>
      <c r="IHZ536" s="500"/>
      <c r="IIA536" s="500"/>
      <c r="IIB536" s="500"/>
      <c r="IIC536" s="500"/>
      <c r="IID536" s="500"/>
      <c r="IIE536" s="500"/>
      <c r="IIF536" s="500"/>
      <c r="IIG536" s="500"/>
      <c r="IIH536" s="500"/>
      <c r="III536" s="500"/>
      <c r="IIJ536" s="500"/>
      <c r="IIK536" s="500"/>
      <c r="IIL536" s="500"/>
      <c r="IIM536" s="500"/>
      <c r="IIN536" s="500"/>
      <c r="IIO536" s="500"/>
      <c r="IIP536" s="500"/>
      <c r="IIQ536" s="500"/>
      <c r="IIR536" s="500"/>
      <c r="IIS536" s="500"/>
      <c r="IIT536" s="500"/>
      <c r="IIU536" s="500"/>
      <c r="IIV536" s="500"/>
      <c r="IIW536" s="500"/>
      <c r="IIX536" s="500"/>
      <c r="IIY536" s="500"/>
      <c r="IIZ536" s="500"/>
      <c r="IJA536" s="500"/>
      <c r="IJB536" s="500"/>
      <c r="IJC536" s="500"/>
      <c r="IJD536" s="500"/>
      <c r="IJE536" s="500"/>
      <c r="IJF536" s="500"/>
      <c r="IJG536" s="500"/>
      <c r="IJH536" s="500"/>
      <c r="IJI536" s="500"/>
      <c r="IJJ536" s="500"/>
      <c r="IJK536" s="500"/>
      <c r="IJL536" s="500"/>
      <c r="IJM536" s="500"/>
      <c r="IJN536" s="500"/>
      <c r="IJO536" s="500"/>
      <c r="IJP536" s="500"/>
      <c r="IJQ536" s="500"/>
      <c r="IJR536" s="500"/>
      <c r="IJS536" s="500"/>
      <c r="IJT536" s="500"/>
      <c r="IJU536" s="500"/>
      <c r="IJV536" s="500"/>
      <c r="IJW536" s="500"/>
      <c r="IJX536" s="500"/>
      <c r="IJY536" s="500"/>
      <c r="IJZ536" s="500"/>
      <c r="IKA536" s="500"/>
      <c r="IKB536" s="500"/>
      <c r="IKC536" s="500"/>
      <c r="IKD536" s="500"/>
      <c r="IKE536" s="500"/>
      <c r="IKF536" s="500"/>
      <c r="IKG536" s="500"/>
      <c r="IKH536" s="500"/>
      <c r="IKI536" s="500"/>
      <c r="IKJ536" s="500"/>
      <c r="IKK536" s="500"/>
      <c r="IKL536" s="500"/>
      <c r="IKM536" s="500"/>
      <c r="IKN536" s="500"/>
      <c r="IKO536" s="500"/>
      <c r="IKP536" s="500"/>
      <c r="IKQ536" s="500"/>
      <c r="IKR536" s="500"/>
      <c r="IKS536" s="500"/>
      <c r="IKT536" s="500"/>
      <c r="IKU536" s="500"/>
      <c r="IKV536" s="500"/>
      <c r="IKW536" s="500"/>
      <c r="IKX536" s="500"/>
      <c r="IKY536" s="500"/>
      <c r="IKZ536" s="500"/>
      <c r="ILA536" s="500"/>
      <c r="ILB536" s="500"/>
      <c r="ILC536" s="500"/>
      <c r="ILD536" s="500"/>
      <c r="ILE536" s="500"/>
      <c r="ILF536" s="500"/>
      <c r="ILG536" s="500"/>
      <c r="ILH536" s="500"/>
      <c r="ILI536" s="500"/>
      <c r="ILJ536" s="500"/>
      <c r="ILK536" s="500"/>
      <c r="ILL536" s="500"/>
      <c r="ILM536" s="500"/>
      <c r="ILN536" s="500"/>
      <c r="ILO536" s="500"/>
      <c r="ILP536" s="500"/>
      <c r="ILQ536" s="500"/>
      <c r="ILR536" s="500"/>
      <c r="ILS536" s="500"/>
      <c r="ILT536" s="500"/>
      <c r="ILU536" s="500"/>
      <c r="ILV536" s="500"/>
      <c r="ILW536" s="500"/>
      <c r="ILX536" s="500"/>
      <c r="ILY536" s="500"/>
      <c r="ILZ536" s="500"/>
      <c r="IMA536" s="500"/>
      <c r="IMB536" s="500"/>
      <c r="IMC536" s="500"/>
      <c r="IMD536" s="500"/>
      <c r="IME536" s="500"/>
      <c r="IMF536" s="500"/>
      <c r="IMG536" s="500"/>
      <c r="IMH536" s="500"/>
      <c r="IMI536" s="500"/>
      <c r="IMJ536" s="500"/>
      <c r="IMK536" s="500"/>
      <c r="IML536" s="500"/>
      <c r="IMM536" s="500"/>
      <c r="IMN536" s="500"/>
      <c r="IMO536" s="500"/>
      <c r="IMP536" s="500"/>
      <c r="IMQ536" s="500"/>
      <c r="IMR536" s="500"/>
      <c r="IMS536" s="500"/>
      <c r="IMT536" s="500"/>
      <c r="IMU536" s="500"/>
      <c r="IMV536" s="500"/>
      <c r="IMW536" s="500"/>
      <c r="IMX536" s="500"/>
      <c r="IMY536" s="500"/>
      <c r="IMZ536" s="500"/>
      <c r="INA536" s="500"/>
      <c r="INB536" s="500"/>
      <c r="INC536" s="500"/>
      <c r="IND536" s="500"/>
      <c r="INE536" s="500"/>
      <c r="INF536" s="500"/>
      <c r="ING536" s="500"/>
      <c r="INH536" s="500"/>
      <c r="INI536" s="500"/>
      <c r="INJ536" s="500"/>
      <c r="INK536" s="500"/>
      <c r="INL536" s="500"/>
      <c r="INM536" s="500"/>
      <c r="INN536" s="500"/>
      <c r="INO536" s="500"/>
      <c r="INP536" s="500"/>
      <c r="INQ536" s="500"/>
      <c r="INR536" s="500"/>
      <c r="INS536" s="500"/>
      <c r="INT536" s="500"/>
      <c r="INU536" s="500"/>
      <c r="INV536" s="500"/>
      <c r="INW536" s="500"/>
      <c r="INX536" s="500"/>
      <c r="INY536" s="500"/>
      <c r="INZ536" s="500"/>
      <c r="IOA536" s="500"/>
      <c r="IOB536" s="500"/>
      <c r="IOC536" s="500"/>
      <c r="IOD536" s="500"/>
      <c r="IOE536" s="500"/>
      <c r="IOF536" s="500"/>
      <c r="IOG536" s="500"/>
      <c r="IOH536" s="500"/>
      <c r="IOI536" s="500"/>
      <c r="IOJ536" s="500"/>
      <c r="IOK536" s="500"/>
      <c r="IOL536" s="500"/>
      <c r="IOM536" s="500"/>
      <c r="ION536" s="500"/>
      <c r="IOO536" s="500"/>
      <c r="IOP536" s="500"/>
      <c r="IOQ536" s="500"/>
      <c r="IOR536" s="500"/>
      <c r="IOS536" s="500"/>
      <c r="IOT536" s="500"/>
      <c r="IOU536" s="500"/>
      <c r="IOV536" s="500"/>
      <c r="IOW536" s="500"/>
      <c r="IOX536" s="500"/>
      <c r="IOY536" s="500"/>
      <c r="IOZ536" s="500"/>
      <c r="IPA536" s="500"/>
      <c r="IPB536" s="500"/>
      <c r="IPC536" s="500"/>
      <c r="IPD536" s="500"/>
      <c r="IPE536" s="500"/>
      <c r="IPF536" s="500"/>
      <c r="IPG536" s="500"/>
      <c r="IPH536" s="500"/>
      <c r="IPI536" s="500"/>
      <c r="IPJ536" s="500"/>
      <c r="IPK536" s="500"/>
      <c r="IPL536" s="500"/>
      <c r="IPM536" s="500"/>
      <c r="IPN536" s="500"/>
      <c r="IPO536" s="500"/>
      <c r="IPP536" s="500"/>
      <c r="IPQ536" s="500"/>
      <c r="IPR536" s="500"/>
      <c r="IPS536" s="500"/>
      <c r="IPT536" s="500"/>
      <c r="IPU536" s="500"/>
      <c r="IPV536" s="500"/>
      <c r="IPW536" s="500"/>
      <c r="IPX536" s="500"/>
      <c r="IPY536" s="500"/>
      <c r="IPZ536" s="500"/>
      <c r="IQA536" s="500"/>
      <c r="IQB536" s="500"/>
      <c r="IQC536" s="500"/>
      <c r="IQD536" s="500"/>
      <c r="IQE536" s="500"/>
      <c r="IQF536" s="500"/>
      <c r="IQG536" s="500"/>
      <c r="IQH536" s="500"/>
      <c r="IQI536" s="500"/>
      <c r="IQJ536" s="500"/>
      <c r="IQK536" s="500"/>
      <c r="IQL536" s="500"/>
      <c r="IQM536" s="500"/>
      <c r="IQN536" s="500"/>
      <c r="IQO536" s="500"/>
      <c r="IQP536" s="500"/>
      <c r="IQQ536" s="500"/>
      <c r="IQR536" s="500"/>
      <c r="IQS536" s="500"/>
      <c r="IQT536" s="500"/>
      <c r="IQU536" s="500"/>
      <c r="IQV536" s="500"/>
      <c r="IQW536" s="500"/>
      <c r="IQX536" s="500"/>
      <c r="IQY536" s="500"/>
      <c r="IQZ536" s="500"/>
      <c r="IRA536" s="500"/>
      <c r="IRB536" s="500"/>
      <c r="IRC536" s="500"/>
      <c r="IRD536" s="500"/>
      <c r="IRE536" s="500"/>
      <c r="IRF536" s="500"/>
      <c r="IRG536" s="500"/>
      <c r="IRH536" s="500"/>
      <c r="IRI536" s="500"/>
      <c r="IRJ536" s="500"/>
      <c r="IRK536" s="500"/>
      <c r="IRL536" s="500"/>
      <c r="IRM536" s="500"/>
      <c r="IRN536" s="500"/>
      <c r="IRO536" s="500"/>
      <c r="IRP536" s="500"/>
      <c r="IRQ536" s="500"/>
      <c r="IRR536" s="500"/>
      <c r="IRS536" s="500"/>
      <c r="IRT536" s="500"/>
      <c r="IRU536" s="500"/>
      <c r="IRV536" s="500"/>
      <c r="IRW536" s="500"/>
      <c r="IRX536" s="500"/>
      <c r="IRY536" s="500"/>
      <c r="IRZ536" s="500"/>
      <c r="ISA536" s="500"/>
      <c r="ISB536" s="500"/>
      <c r="ISC536" s="500"/>
      <c r="ISD536" s="500"/>
      <c r="ISE536" s="500"/>
      <c r="ISF536" s="500"/>
      <c r="ISG536" s="500"/>
      <c r="ISH536" s="500"/>
      <c r="ISI536" s="500"/>
      <c r="ISJ536" s="500"/>
      <c r="ISK536" s="500"/>
      <c r="ISL536" s="500"/>
      <c r="ISM536" s="500"/>
      <c r="ISN536" s="500"/>
      <c r="ISO536" s="500"/>
      <c r="ISP536" s="500"/>
      <c r="ISQ536" s="500"/>
      <c r="ISR536" s="500"/>
      <c r="ISS536" s="500"/>
      <c r="IST536" s="500"/>
      <c r="ISU536" s="500"/>
      <c r="ISV536" s="500"/>
      <c r="ISW536" s="500"/>
      <c r="ISX536" s="500"/>
      <c r="ISY536" s="500"/>
      <c r="ISZ536" s="500"/>
      <c r="ITA536" s="500"/>
      <c r="ITB536" s="500"/>
      <c r="ITC536" s="500"/>
      <c r="ITD536" s="500"/>
      <c r="ITE536" s="500"/>
      <c r="ITF536" s="500"/>
      <c r="ITG536" s="500"/>
      <c r="ITH536" s="500"/>
      <c r="ITI536" s="500"/>
      <c r="ITJ536" s="500"/>
      <c r="ITK536" s="500"/>
      <c r="ITL536" s="500"/>
      <c r="ITM536" s="500"/>
      <c r="ITN536" s="500"/>
      <c r="ITO536" s="500"/>
      <c r="ITP536" s="500"/>
      <c r="ITQ536" s="500"/>
      <c r="ITR536" s="500"/>
      <c r="ITS536" s="500"/>
      <c r="ITT536" s="500"/>
      <c r="ITU536" s="500"/>
      <c r="ITV536" s="500"/>
      <c r="ITW536" s="500"/>
      <c r="ITX536" s="500"/>
      <c r="ITY536" s="500"/>
      <c r="ITZ536" s="500"/>
      <c r="IUA536" s="500"/>
      <c r="IUB536" s="500"/>
      <c r="IUC536" s="500"/>
      <c r="IUD536" s="500"/>
      <c r="IUE536" s="500"/>
      <c r="IUF536" s="500"/>
      <c r="IUG536" s="500"/>
      <c r="IUH536" s="500"/>
      <c r="IUI536" s="500"/>
      <c r="IUJ536" s="500"/>
      <c r="IUK536" s="500"/>
      <c r="IUL536" s="500"/>
      <c r="IUM536" s="500"/>
      <c r="IUN536" s="500"/>
      <c r="IUO536" s="500"/>
      <c r="IUP536" s="500"/>
      <c r="IUQ536" s="500"/>
      <c r="IUR536" s="500"/>
      <c r="IUS536" s="500"/>
      <c r="IUT536" s="500"/>
      <c r="IUU536" s="500"/>
      <c r="IUV536" s="500"/>
      <c r="IUW536" s="500"/>
      <c r="IUX536" s="500"/>
      <c r="IUY536" s="500"/>
      <c r="IUZ536" s="500"/>
      <c r="IVA536" s="500"/>
      <c r="IVB536" s="500"/>
      <c r="IVC536" s="500"/>
      <c r="IVD536" s="500"/>
      <c r="IVE536" s="500"/>
      <c r="IVF536" s="500"/>
      <c r="IVG536" s="500"/>
      <c r="IVH536" s="500"/>
      <c r="IVI536" s="500"/>
      <c r="IVJ536" s="500"/>
      <c r="IVK536" s="500"/>
      <c r="IVL536" s="500"/>
      <c r="IVM536" s="500"/>
      <c r="IVN536" s="500"/>
      <c r="IVO536" s="500"/>
      <c r="IVP536" s="500"/>
      <c r="IVQ536" s="500"/>
      <c r="IVR536" s="500"/>
      <c r="IVS536" s="500"/>
      <c r="IVT536" s="500"/>
      <c r="IVU536" s="500"/>
      <c r="IVV536" s="500"/>
      <c r="IVW536" s="500"/>
      <c r="IVX536" s="500"/>
      <c r="IVY536" s="500"/>
      <c r="IVZ536" s="500"/>
      <c r="IWA536" s="500"/>
      <c r="IWB536" s="500"/>
      <c r="IWC536" s="500"/>
      <c r="IWD536" s="500"/>
      <c r="IWE536" s="500"/>
      <c r="IWF536" s="500"/>
      <c r="IWG536" s="500"/>
      <c r="IWH536" s="500"/>
      <c r="IWI536" s="500"/>
      <c r="IWJ536" s="500"/>
      <c r="IWK536" s="500"/>
      <c r="IWL536" s="500"/>
      <c r="IWM536" s="500"/>
      <c r="IWN536" s="500"/>
      <c r="IWO536" s="500"/>
      <c r="IWP536" s="500"/>
      <c r="IWQ536" s="500"/>
      <c r="IWR536" s="500"/>
      <c r="IWS536" s="500"/>
      <c r="IWT536" s="500"/>
      <c r="IWU536" s="500"/>
      <c r="IWV536" s="500"/>
      <c r="IWW536" s="500"/>
      <c r="IWX536" s="500"/>
      <c r="IWY536" s="500"/>
      <c r="IWZ536" s="500"/>
      <c r="IXA536" s="500"/>
      <c r="IXB536" s="500"/>
      <c r="IXC536" s="500"/>
      <c r="IXD536" s="500"/>
      <c r="IXE536" s="500"/>
      <c r="IXF536" s="500"/>
      <c r="IXG536" s="500"/>
      <c r="IXH536" s="500"/>
      <c r="IXI536" s="500"/>
      <c r="IXJ536" s="500"/>
      <c r="IXK536" s="500"/>
      <c r="IXL536" s="500"/>
      <c r="IXM536" s="500"/>
      <c r="IXN536" s="500"/>
      <c r="IXO536" s="500"/>
      <c r="IXP536" s="500"/>
      <c r="IXQ536" s="500"/>
      <c r="IXR536" s="500"/>
      <c r="IXS536" s="500"/>
      <c r="IXT536" s="500"/>
      <c r="IXU536" s="500"/>
      <c r="IXV536" s="500"/>
      <c r="IXW536" s="500"/>
      <c r="IXX536" s="500"/>
      <c r="IXY536" s="500"/>
      <c r="IXZ536" s="500"/>
      <c r="IYA536" s="500"/>
      <c r="IYB536" s="500"/>
      <c r="IYC536" s="500"/>
      <c r="IYD536" s="500"/>
      <c r="IYE536" s="500"/>
      <c r="IYF536" s="500"/>
      <c r="IYG536" s="500"/>
      <c r="IYH536" s="500"/>
      <c r="IYI536" s="500"/>
      <c r="IYJ536" s="500"/>
      <c r="IYK536" s="500"/>
      <c r="IYL536" s="500"/>
      <c r="IYM536" s="500"/>
      <c r="IYN536" s="500"/>
      <c r="IYO536" s="500"/>
      <c r="IYP536" s="500"/>
      <c r="IYQ536" s="500"/>
      <c r="IYR536" s="500"/>
      <c r="IYS536" s="500"/>
      <c r="IYT536" s="500"/>
      <c r="IYU536" s="500"/>
      <c r="IYV536" s="500"/>
      <c r="IYW536" s="500"/>
      <c r="IYX536" s="500"/>
      <c r="IYY536" s="500"/>
      <c r="IYZ536" s="500"/>
      <c r="IZA536" s="500"/>
      <c r="IZB536" s="500"/>
      <c r="IZC536" s="500"/>
      <c r="IZD536" s="500"/>
      <c r="IZE536" s="500"/>
      <c r="IZF536" s="500"/>
      <c r="IZG536" s="500"/>
      <c r="IZH536" s="500"/>
      <c r="IZI536" s="500"/>
      <c r="IZJ536" s="500"/>
      <c r="IZK536" s="500"/>
      <c r="IZL536" s="500"/>
      <c r="IZM536" s="500"/>
      <c r="IZN536" s="500"/>
      <c r="IZO536" s="500"/>
      <c r="IZP536" s="500"/>
      <c r="IZQ536" s="500"/>
      <c r="IZR536" s="500"/>
      <c r="IZS536" s="500"/>
      <c r="IZT536" s="500"/>
      <c r="IZU536" s="500"/>
      <c r="IZV536" s="500"/>
      <c r="IZW536" s="500"/>
      <c r="IZX536" s="500"/>
      <c r="IZY536" s="500"/>
      <c r="IZZ536" s="500"/>
      <c r="JAA536" s="500"/>
      <c r="JAB536" s="500"/>
      <c r="JAC536" s="500"/>
      <c r="JAD536" s="500"/>
      <c r="JAE536" s="500"/>
      <c r="JAF536" s="500"/>
      <c r="JAG536" s="500"/>
      <c r="JAH536" s="500"/>
      <c r="JAI536" s="500"/>
      <c r="JAJ536" s="500"/>
      <c r="JAK536" s="500"/>
      <c r="JAL536" s="500"/>
      <c r="JAM536" s="500"/>
      <c r="JAN536" s="500"/>
      <c r="JAO536" s="500"/>
      <c r="JAP536" s="500"/>
      <c r="JAQ536" s="500"/>
      <c r="JAR536" s="500"/>
      <c r="JAS536" s="500"/>
      <c r="JAT536" s="500"/>
      <c r="JAU536" s="500"/>
      <c r="JAV536" s="500"/>
      <c r="JAW536" s="500"/>
      <c r="JAX536" s="500"/>
      <c r="JAY536" s="500"/>
      <c r="JAZ536" s="500"/>
      <c r="JBA536" s="500"/>
      <c r="JBB536" s="500"/>
      <c r="JBC536" s="500"/>
      <c r="JBD536" s="500"/>
      <c r="JBE536" s="500"/>
      <c r="JBF536" s="500"/>
      <c r="JBG536" s="500"/>
      <c r="JBH536" s="500"/>
      <c r="JBI536" s="500"/>
      <c r="JBJ536" s="500"/>
      <c r="JBK536" s="500"/>
      <c r="JBL536" s="500"/>
      <c r="JBM536" s="500"/>
      <c r="JBN536" s="500"/>
      <c r="JBO536" s="500"/>
      <c r="JBP536" s="500"/>
      <c r="JBQ536" s="500"/>
      <c r="JBR536" s="500"/>
      <c r="JBS536" s="500"/>
      <c r="JBT536" s="500"/>
      <c r="JBU536" s="500"/>
      <c r="JBV536" s="500"/>
      <c r="JBW536" s="500"/>
      <c r="JBX536" s="500"/>
      <c r="JBY536" s="500"/>
      <c r="JBZ536" s="500"/>
      <c r="JCA536" s="500"/>
      <c r="JCB536" s="500"/>
      <c r="JCC536" s="500"/>
      <c r="JCD536" s="500"/>
      <c r="JCE536" s="500"/>
      <c r="JCF536" s="500"/>
      <c r="JCG536" s="500"/>
      <c r="JCH536" s="500"/>
      <c r="JCI536" s="500"/>
      <c r="JCJ536" s="500"/>
      <c r="JCK536" s="500"/>
      <c r="JCL536" s="500"/>
      <c r="JCM536" s="500"/>
      <c r="JCN536" s="500"/>
      <c r="JCO536" s="500"/>
      <c r="JCP536" s="500"/>
      <c r="JCQ536" s="500"/>
      <c r="JCR536" s="500"/>
      <c r="JCS536" s="500"/>
      <c r="JCT536" s="500"/>
      <c r="JCU536" s="500"/>
      <c r="JCV536" s="500"/>
      <c r="JCW536" s="500"/>
      <c r="JCX536" s="500"/>
      <c r="JCY536" s="500"/>
      <c r="JCZ536" s="500"/>
      <c r="JDA536" s="500"/>
      <c r="JDB536" s="500"/>
      <c r="JDC536" s="500"/>
      <c r="JDD536" s="500"/>
      <c r="JDE536" s="500"/>
      <c r="JDF536" s="500"/>
      <c r="JDG536" s="500"/>
      <c r="JDH536" s="500"/>
      <c r="JDI536" s="500"/>
      <c r="JDJ536" s="500"/>
      <c r="JDK536" s="500"/>
      <c r="JDL536" s="500"/>
      <c r="JDM536" s="500"/>
      <c r="JDN536" s="500"/>
      <c r="JDO536" s="500"/>
      <c r="JDP536" s="500"/>
      <c r="JDQ536" s="500"/>
      <c r="JDR536" s="500"/>
      <c r="JDS536" s="500"/>
      <c r="JDT536" s="500"/>
      <c r="JDU536" s="500"/>
      <c r="JDV536" s="500"/>
      <c r="JDW536" s="500"/>
      <c r="JDX536" s="500"/>
      <c r="JDY536" s="500"/>
      <c r="JDZ536" s="500"/>
      <c r="JEA536" s="500"/>
      <c r="JEB536" s="500"/>
      <c r="JEC536" s="500"/>
      <c r="JED536" s="500"/>
      <c r="JEE536" s="500"/>
      <c r="JEF536" s="500"/>
      <c r="JEG536" s="500"/>
      <c r="JEH536" s="500"/>
      <c r="JEI536" s="500"/>
      <c r="JEJ536" s="500"/>
      <c r="JEK536" s="500"/>
      <c r="JEL536" s="500"/>
      <c r="JEM536" s="500"/>
      <c r="JEN536" s="500"/>
      <c r="JEO536" s="500"/>
      <c r="JEP536" s="500"/>
      <c r="JEQ536" s="500"/>
      <c r="JER536" s="500"/>
      <c r="JES536" s="500"/>
      <c r="JET536" s="500"/>
      <c r="JEU536" s="500"/>
      <c r="JEV536" s="500"/>
      <c r="JEW536" s="500"/>
      <c r="JEX536" s="500"/>
      <c r="JEY536" s="500"/>
      <c r="JEZ536" s="500"/>
      <c r="JFA536" s="500"/>
      <c r="JFB536" s="500"/>
      <c r="JFC536" s="500"/>
      <c r="JFD536" s="500"/>
      <c r="JFE536" s="500"/>
      <c r="JFF536" s="500"/>
      <c r="JFG536" s="500"/>
      <c r="JFH536" s="500"/>
      <c r="JFI536" s="500"/>
      <c r="JFJ536" s="500"/>
      <c r="JFK536" s="500"/>
      <c r="JFL536" s="500"/>
      <c r="JFM536" s="500"/>
      <c r="JFN536" s="500"/>
      <c r="JFO536" s="500"/>
      <c r="JFP536" s="500"/>
      <c r="JFQ536" s="500"/>
      <c r="JFR536" s="500"/>
      <c r="JFS536" s="500"/>
      <c r="JFT536" s="500"/>
      <c r="JFU536" s="500"/>
      <c r="JFV536" s="500"/>
      <c r="JFW536" s="500"/>
      <c r="JFX536" s="500"/>
      <c r="JFY536" s="500"/>
      <c r="JFZ536" s="500"/>
      <c r="JGA536" s="500"/>
      <c r="JGB536" s="500"/>
      <c r="JGC536" s="500"/>
      <c r="JGD536" s="500"/>
      <c r="JGE536" s="500"/>
      <c r="JGF536" s="500"/>
      <c r="JGG536" s="500"/>
      <c r="JGH536" s="500"/>
      <c r="JGI536" s="500"/>
      <c r="JGJ536" s="500"/>
      <c r="JGK536" s="500"/>
      <c r="JGL536" s="500"/>
      <c r="JGM536" s="500"/>
      <c r="JGN536" s="500"/>
      <c r="JGO536" s="500"/>
      <c r="JGP536" s="500"/>
      <c r="JGQ536" s="500"/>
      <c r="JGR536" s="500"/>
      <c r="JGS536" s="500"/>
      <c r="JGT536" s="500"/>
      <c r="JGU536" s="500"/>
      <c r="JGV536" s="500"/>
      <c r="JGW536" s="500"/>
      <c r="JGX536" s="500"/>
      <c r="JGY536" s="500"/>
      <c r="JGZ536" s="500"/>
      <c r="JHA536" s="500"/>
      <c r="JHB536" s="500"/>
      <c r="JHC536" s="500"/>
      <c r="JHD536" s="500"/>
      <c r="JHE536" s="500"/>
      <c r="JHF536" s="500"/>
      <c r="JHG536" s="500"/>
      <c r="JHH536" s="500"/>
      <c r="JHI536" s="500"/>
      <c r="JHJ536" s="500"/>
      <c r="JHK536" s="500"/>
      <c r="JHL536" s="500"/>
      <c r="JHM536" s="500"/>
      <c r="JHN536" s="500"/>
      <c r="JHO536" s="500"/>
      <c r="JHP536" s="500"/>
      <c r="JHQ536" s="500"/>
      <c r="JHR536" s="500"/>
      <c r="JHS536" s="500"/>
      <c r="JHT536" s="500"/>
      <c r="JHU536" s="500"/>
      <c r="JHV536" s="500"/>
      <c r="JHW536" s="500"/>
      <c r="JHX536" s="500"/>
      <c r="JHY536" s="500"/>
      <c r="JHZ536" s="500"/>
      <c r="JIA536" s="500"/>
      <c r="JIB536" s="500"/>
      <c r="JIC536" s="500"/>
      <c r="JID536" s="500"/>
      <c r="JIE536" s="500"/>
      <c r="JIF536" s="500"/>
      <c r="JIG536" s="500"/>
      <c r="JIH536" s="500"/>
      <c r="JII536" s="500"/>
      <c r="JIJ536" s="500"/>
      <c r="JIK536" s="500"/>
      <c r="JIL536" s="500"/>
      <c r="JIM536" s="500"/>
      <c r="JIN536" s="500"/>
      <c r="JIO536" s="500"/>
      <c r="JIP536" s="500"/>
      <c r="JIQ536" s="500"/>
      <c r="JIR536" s="500"/>
      <c r="JIS536" s="500"/>
      <c r="JIT536" s="500"/>
      <c r="JIU536" s="500"/>
      <c r="JIV536" s="500"/>
      <c r="JIW536" s="500"/>
      <c r="JIX536" s="500"/>
      <c r="JIY536" s="500"/>
      <c r="JIZ536" s="500"/>
      <c r="JJA536" s="500"/>
      <c r="JJB536" s="500"/>
      <c r="JJC536" s="500"/>
      <c r="JJD536" s="500"/>
      <c r="JJE536" s="500"/>
      <c r="JJF536" s="500"/>
      <c r="JJG536" s="500"/>
      <c r="JJH536" s="500"/>
      <c r="JJI536" s="500"/>
      <c r="JJJ536" s="500"/>
      <c r="JJK536" s="500"/>
      <c r="JJL536" s="500"/>
      <c r="JJM536" s="500"/>
      <c r="JJN536" s="500"/>
      <c r="JJO536" s="500"/>
      <c r="JJP536" s="500"/>
      <c r="JJQ536" s="500"/>
      <c r="JJR536" s="500"/>
      <c r="JJS536" s="500"/>
      <c r="JJT536" s="500"/>
      <c r="JJU536" s="500"/>
      <c r="JJV536" s="500"/>
      <c r="JJW536" s="500"/>
      <c r="JJX536" s="500"/>
      <c r="JJY536" s="500"/>
      <c r="JJZ536" s="500"/>
      <c r="JKA536" s="500"/>
      <c r="JKB536" s="500"/>
      <c r="JKC536" s="500"/>
      <c r="JKD536" s="500"/>
      <c r="JKE536" s="500"/>
      <c r="JKF536" s="500"/>
      <c r="JKG536" s="500"/>
      <c r="JKH536" s="500"/>
      <c r="JKI536" s="500"/>
      <c r="JKJ536" s="500"/>
      <c r="JKK536" s="500"/>
      <c r="JKL536" s="500"/>
      <c r="JKM536" s="500"/>
      <c r="JKN536" s="500"/>
      <c r="JKO536" s="500"/>
      <c r="JKP536" s="500"/>
      <c r="JKQ536" s="500"/>
      <c r="JKR536" s="500"/>
      <c r="JKS536" s="500"/>
      <c r="JKT536" s="500"/>
      <c r="JKU536" s="500"/>
      <c r="JKV536" s="500"/>
      <c r="JKW536" s="500"/>
      <c r="JKX536" s="500"/>
      <c r="JKY536" s="500"/>
      <c r="JKZ536" s="500"/>
      <c r="JLA536" s="500"/>
      <c r="JLB536" s="500"/>
      <c r="JLC536" s="500"/>
      <c r="JLD536" s="500"/>
      <c r="JLE536" s="500"/>
      <c r="JLF536" s="500"/>
      <c r="JLG536" s="500"/>
      <c r="JLH536" s="500"/>
      <c r="JLI536" s="500"/>
      <c r="JLJ536" s="500"/>
      <c r="JLK536" s="500"/>
      <c r="JLL536" s="500"/>
      <c r="JLM536" s="500"/>
      <c r="JLN536" s="500"/>
      <c r="JLO536" s="500"/>
      <c r="JLP536" s="500"/>
      <c r="JLQ536" s="500"/>
      <c r="JLR536" s="500"/>
      <c r="JLS536" s="500"/>
      <c r="JLT536" s="500"/>
      <c r="JLU536" s="500"/>
      <c r="JLV536" s="500"/>
      <c r="JLW536" s="500"/>
      <c r="JLX536" s="500"/>
      <c r="JLY536" s="500"/>
      <c r="JLZ536" s="500"/>
      <c r="JMA536" s="500"/>
      <c r="JMB536" s="500"/>
      <c r="JMC536" s="500"/>
      <c r="JMD536" s="500"/>
      <c r="JME536" s="500"/>
      <c r="JMF536" s="500"/>
      <c r="JMG536" s="500"/>
      <c r="JMH536" s="500"/>
      <c r="JMI536" s="500"/>
      <c r="JMJ536" s="500"/>
      <c r="JMK536" s="500"/>
      <c r="JML536" s="500"/>
      <c r="JMM536" s="500"/>
      <c r="JMN536" s="500"/>
      <c r="JMO536" s="500"/>
      <c r="JMP536" s="500"/>
      <c r="JMQ536" s="500"/>
      <c r="JMR536" s="500"/>
      <c r="JMS536" s="500"/>
      <c r="JMT536" s="500"/>
      <c r="JMU536" s="500"/>
      <c r="JMV536" s="500"/>
      <c r="JMW536" s="500"/>
      <c r="JMX536" s="500"/>
      <c r="JMY536" s="500"/>
      <c r="JMZ536" s="500"/>
      <c r="JNA536" s="500"/>
      <c r="JNB536" s="500"/>
      <c r="JNC536" s="500"/>
      <c r="JND536" s="500"/>
      <c r="JNE536" s="500"/>
      <c r="JNF536" s="500"/>
      <c r="JNG536" s="500"/>
      <c r="JNH536" s="500"/>
      <c r="JNI536" s="500"/>
      <c r="JNJ536" s="500"/>
      <c r="JNK536" s="500"/>
      <c r="JNL536" s="500"/>
      <c r="JNM536" s="500"/>
      <c r="JNN536" s="500"/>
      <c r="JNO536" s="500"/>
      <c r="JNP536" s="500"/>
      <c r="JNQ536" s="500"/>
      <c r="JNR536" s="500"/>
      <c r="JNS536" s="500"/>
      <c r="JNT536" s="500"/>
      <c r="JNU536" s="500"/>
      <c r="JNV536" s="500"/>
      <c r="JNW536" s="500"/>
      <c r="JNX536" s="500"/>
      <c r="JNY536" s="500"/>
      <c r="JNZ536" s="500"/>
      <c r="JOA536" s="500"/>
      <c r="JOB536" s="500"/>
      <c r="JOC536" s="500"/>
      <c r="JOD536" s="500"/>
      <c r="JOE536" s="500"/>
      <c r="JOF536" s="500"/>
      <c r="JOG536" s="500"/>
      <c r="JOH536" s="500"/>
      <c r="JOI536" s="500"/>
      <c r="JOJ536" s="500"/>
      <c r="JOK536" s="500"/>
      <c r="JOL536" s="500"/>
      <c r="JOM536" s="500"/>
      <c r="JON536" s="500"/>
      <c r="JOO536" s="500"/>
      <c r="JOP536" s="500"/>
      <c r="JOQ536" s="500"/>
      <c r="JOR536" s="500"/>
      <c r="JOS536" s="500"/>
      <c r="JOT536" s="500"/>
      <c r="JOU536" s="500"/>
      <c r="JOV536" s="500"/>
      <c r="JOW536" s="500"/>
      <c r="JOX536" s="500"/>
      <c r="JOY536" s="500"/>
      <c r="JOZ536" s="500"/>
      <c r="JPA536" s="500"/>
      <c r="JPB536" s="500"/>
      <c r="JPC536" s="500"/>
      <c r="JPD536" s="500"/>
      <c r="JPE536" s="500"/>
      <c r="JPF536" s="500"/>
      <c r="JPG536" s="500"/>
      <c r="JPH536" s="500"/>
      <c r="JPI536" s="500"/>
      <c r="JPJ536" s="500"/>
      <c r="JPK536" s="500"/>
      <c r="JPL536" s="500"/>
      <c r="JPM536" s="500"/>
      <c r="JPN536" s="500"/>
      <c r="JPO536" s="500"/>
      <c r="JPP536" s="500"/>
      <c r="JPQ536" s="500"/>
      <c r="JPR536" s="500"/>
      <c r="JPS536" s="500"/>
      <c r="JPT536" s="500"/>
      <c r="JPU536" s="500"/>
      <c r="JPV536" s="500"/>
      <c r="JPW536" s="500"/>
      <c r="JPX536" s="500"/>
      <c r="JPY536" s="500"/>
      <c r="JPZ536" s="500"/>
      <c r="JQA536" s="500"/>
      <c r="JQB536" s="500"/>
      <c r="JQC536" s="500"/>
      <c r="JQD536" s="500"/>
      <c r="JQE536" s="500"/>
      <c r="JQF536" s="500"/>
      <c r="JQG536" s="500"/>
      <c r="JQH536" s="500"/>
      <c r="JQI536" s="500"/>
      <c r="JQJ536" s="500"/>
      <c r="JQK536" s="500"/>
      <c r="JQL536" s="500"/>
      <c r="JQM536" s="500"/>
      <c r="JQN536" s="500"/>
      <c r="JQO536" s="500"/>
      <c r="JQP536" s="500"/>
      <c r="JQQ536" s="500"/>
      <c r="JQR536" s="500"/>
      <c r="JQS536" s="500"/>
      <c r="JQT536" s="500"/>
      <c r="JQU536" s="500"/>
      <c r="JQV536" s="500"/>
      <c r="JQW536" s="500"/>
      <c r="JQX536" s="500"/>
      <c r="JQY536" s="500"/>
      <c r="JQZ536" s="500"/>
      <c r="JRA536" s="500"/>
      <c r="JRB536" s="500"/>
      <c r="JRC536" s="500"/>
      <c r="JRD536" s="500"/>
      <c r="JRE536" s="500"/>
      <c r="JRF536" s="500"/>
      <c r="JRG536" s="500"/>
      <c r="JRH536" s="500"/>
      <c r="JRI536" s="500"/>
      <c r="JRJ536" s="500"/>
      <c r="JRK536" s="500"/>
      <c r="JRL536" s="500"/>
      <c r="JRM536" s="500"/>
      <c r="JRN536" s="500"/>
      <c r="JRO536" s="500"/>
      <c r="JRP536" s="500"/>
      <c r="JRQ536" s="500"/>
      <c r="JRR536" s="500"/>
      <c r="JRS536" s="500"/>
      <c r="JRT536" s="500"/>
      <c r="JRU536" s="500"/>
      <c r="JRV536" s="500"/>
      <c r="JRW536" s="500"/>
      <c r="JRX536" s="500"/>
      <c r="JRY536" s="500"/>
      <c r="JRZ536" s="500"/>
      <c r="JSA536" s="500"/>
      <c r="JSB536" s="500"/>
      <c r="JSC536" s="500"/>
      <c r="JSD536" s="500"/>
      <c r="JSE536" s="500"/>
      <c r="JSF536" s="500"/>
      <c r="JSG536" s="500"/>
      <c r="JSH536" s="500"/>
      <c r="JSI536" s="500"/>
      <c r="JSJ536" s="500"/>
      <c r="JSK536" s="500"/>
      <c r="JSL536" s="500"/>
      <c r="JSM536" s="500"/>
      <c r="JSN536" s="500"/>
      <c r="JSO536" s="500"/>
      <c r="JSP536" s="500"/>
      <c r="JSQ536" s="500"/>
      <c r="JSR536" s="500"/>
      <c r="JSS536" s="500"/>
      <c r="JST536" s="500"/>
      <c r="JSU536" s="500"/>
      <c r="JSV536" s="500"/>
      <c r="JSW536" s="500"/>
      <c r="JSX536" s="500"/>
      <c r="JSY536" s="500"/>
      <c r="JSZ536" s="500"/>
      <c r="JTA536" s="500"/>
      <c r="JTB536" s="500"/>
      <c r="JTC536" s="500"/>
      <c r="JTD536" s="500"/>
      <c r="JTE536" s="500"/>
      <c r="JTF536" s="500"/>
      <c r="JTG536" s="500"/>
      <c r="JTH536" s="500"/>
      <c r="JTI536" s="500"/>
      <c r="JTJ536" s="500"/>
      <c r="JTK536" s="500"/>
      <c r="JTL536" s="500"/>
      <c r="JTM536" s="500"/>
      <c r="JTN536" s="500"/>
      <c r="JTO536" s="500"/>
      <c r="JTP536" s="500"/>
      <c r="JTQ536" s="500"/>
      <c r="JTR536" s="500"/>
      <c r="JTS536" s="500"/>
      <c r="JTT536" s="500"/>
      <c r="JTU536" s="500"/>
      <c r="JTV536" s="500"/>
      <c r="JTW536" s="500"/>
      <c r="JTX536" s="500"/>
      <c r="JTY536" s="500"/>
      <c r="JTZ536" s="500"/>
      <c r="JUA536" s="500"/>
      <c r="JUB536" s="500"/>
      <c r="JUC536" s="500"/>
      <c r="JUD536" s="500"/>
      <c r="JUE536" s="500"/>
      <c r="JUF536" s="500"/>
      <c r="JUG536" s="500"/>
      <c r="JUH536" s="500"/>
      <c r="JUI536" s="500"/>
      <c r="JUJ536" s="500"/>
      <c r="JUK536" s="500"/>
      <c r="JUL536" s="500"/>
      <c r="JUM536" s="500"/>
      <c r="JUN536" s="500"/>
      <c r="JUO536" s="500"/>
      <c r="JUP536" s="500"/>
      <c r="JUQ536" s="500"/>
      <c r="JUR536" s="500"/>
      <c r="JUS536" s="500"/>
      <c r="JUT536" s="500"/>
      <c r="JUU536" s="500"/>
      <c r="JUV536" s="500"/>
      <c r="JUW536" s="500"/>
      <c r="JUX536" s="500"/>
      <c r="JUY536" s="500"/>
      <c r="JUZ536" s="500"/>
      <c r="JVA536" s="500"/>
      <c r="JVB536" s="500"/>
      <c r="JVC536" s="500"/>
      <c r="JVD536" s="500"/>
      <c r="JVE536" s="500"/>
      <c r="JVF536" s="500"/>
      <c r="JVG536" s="500"/>
      <c r="JVH536" s="500"/>
      <c r="JVI536" s="500"/>
      <c r="JVJ536" s="500"/>
      <c r="JVK536" s="500"/>
      <c r="JVL536" s="500"/>
      <c r="JVM536" s="500"/>
      <c r="JVN536" s="500"/>
      <c r="JVO536" s="500"/>
      <c r="JVP536" s="500"/>
      <c r="JVQ536" s="500"/>
      <c r="JVR536" s="500"/>
      <c r="JVS536" s="500"/>
      <c r="JVT536" s="500"/>
      <c r="JVU536" s="500"/>
      <c r="JVV536" s="500"/>
      <c r="JVW536" s="500"/>
      <c r="JVX536" s="500"/>
      <c r="JVY536" s="500"/>
      <c r="JVZ536" s="500"/>
      <c r="JWA536" s="500"/>
      <c r="JWB536" s="500"/>
      <c r="JWC536" s="500"/>
      <c r="JWD536" s="500"/>
      <c r="JWE536" s="500"/>
      <c r="JWF536" s="500"/>
      <c r="JWG536" s="500"/>
      <c r="JWH536" s="500"/>
      <c r="JWI536" s="500"/>
      <c r="JWJ536" s="500"/>
      <c r="JWK536" s="500"/>
      <c r="JWL536" s="500"/>
      <c r="JWM536" s="500"/>
      <c r="JWN536" s="500"/>
      <c r="JWO536" s="500"/>
      <c r="JWP536" s="500"/>
      <c r="JWQ536" s="500"/>
      <c r="JWR536" s="500"/>
      <c r="JWS536" s="500"/>
      <c r="JWT536" s="500"/>
      <c r="JWU536" s="500"/>
      <c r="JWV536" s="500"/>
      <c r="JWW536" s="500"/>
      <c r="JWX536" s="500"/>
      <c r="JWY536" s="500"/>
      <c r="JWZ536" s="500"/>
      <c r="JXA536" s="500"/>
      <c r="JXB536" s="500"/>
      <c r="JXC536" s="500"/>
      <c r="JXD536" s="500"/>
      <c r="JXE536" s="500"/>
      <c r="JXF536" s="500"/>
      <c r="JXG536" s="500"/>
      <c r="JXH536" s="500"/>
      <c r="JXI536" s="500"/>
      <c r="JXJ536" s="500"/>
      <c r="JXK536" s="500"/>
      <c r="JXL536" s="500"/>
      <c r="JXM536" s="500"/>
      <c r="JXN536" s="500"/>
      <c r="JXO536" s="500"/>
      <c r="JXP536" s="500"/>
      <c r="JXQ536" s="500"/>
      <c r="JXR536" s="500"/>
      <c r="JXS536" s="500"/>
      <c r="JXT536" s="500"/>
      <c r="JXU536" s="500"/>
      <c r="JXV536" s="500"/>
      <c r="JXW536" s="500"/>
      <c r="JXX536" s="500"/>
      <c r="JXY536" s="500"/>
      <c r="JXZ536" s="500"/>
      <c r="JYA536" s="500"/>
      <c r="JYB536" s="500"/>
      <c r="JYC536" s="500"/>
      <c r="JYD536" s="500"/>
      <c r="JYE536" s="500"/>
      <c r="JYF536" s="500"/>
      <c r="JYG536" s="500"/>
      <c r="JYH536" s="500"/>
      <c r="JYI536" s="500"/>
      <c r="JYJ536" s="500"/>
      <c r="JYK536" s="500"/>
      <c r="JYL536" s="500"/>
      <c r="JYM536" s="500"/>
      <c r="JYN536" s="500"/>
      <c r="JYO536" s="500"/>
      <c r="JYP536" s="500"/>
      <c r="JYQ536" s="500"/>
      <c r="JYR536" s="500"/>
      <c r="JYS536" s="500"/>
      <c r="JYT536" s="500"/>
      <c r="JYU536" s="500"/>
      <c r="JYV536" s="500"/>
      <c r="JYW536" s="500"/>
      <c r="JYX536" s="500"/>
      <c r="JYY536" s="500"/>
      <c r="JYZ536" s="500"/>
      <c r="JZA536" s="500"/>
      <c r="JZB536" s="500"/>
      <c r="JZC536" s="500"/>
      <c r="JZD536" s="500"/>
      <c r="JZE536" s="500"/>
      <c r="JZF536" s="500"/>
      <c r="JZG536" s="500"/>
      <c r="JZH536" s="500"/>
      <c r="JZI536" s="500"/>
      <c r="JZJ536" s="500"/>
      <c r="JZK536" s="500"/>
      <c r="JZL536" s="500"/>
      <c r="JZM536" s="500"/>
      <c r="JZN536" s="500"/>
      <c r="JZO536" s="500"/>
      <c r="JZP536" s="500"/>
      <c r="JZQ536" s="500"/>
      <c r="JZR536" s="500"/>
      <c r="JZS536" s="500"/>
      <c r="JZT536" s="500"/>
      <c r="JZU536" s="500"/>
      <c r="JZV536" s="500"/>
      <c r="JZW536" s="500"/>
      <c r="JZX536" s="500"/>
      <c r="JZY536" s="500"/>
      <c r="JZZ536" s="500"/>
      <c r="KAA536" s="500"/>
      <c r="KAB536" s="500"/>
      <c r="KAC536" s="500"/>
      <c r="KAD536" s="500"/>
      <c r="KAE536" s="500"/>
      <c r="KAF536" s="500"/>
      <c r="KAG536" s="500"/>
      <c r="KAH536" s="500"/>
      <c r="KAI536" s="500"/>
      <c r="KAJ536" s="500"/>
      <c r="KAK536" s="500"/>
      <c r="KAL536" s="500"/>
      <c r="KAM536" s="500"/>
      <c r="KAN536" s="500"/>
      <c r="KAO536" s="500"/>
      <c r="KAP536" s="500"/>
      <c r="KAQ536" s="500"/>
      <c r="KAR536" s="500"/>
      <c r="KAS536" s="500"/>
      <c r="KAT536" s="500"/>
      <c r="KAU536" s="500"/>
      <c r="KAV536" s="500"/>
      <c r="KAW536" s="500"/>
      <c r="KAX536" s="500"/>
      <c r="KAY536" s="500"/>
      <c r="KAZ536" s="500"/>
      <c r="KBA536" s="500"/>
      <c r="KBB536" s="500"/>
      <c r="KBC536" s="500"/>
      <c r="KBD536" s="500"/>
      <c r="KBE536" s="500"/>
      <c r="KBF536" s="500"/>
      <c r="KBG536" s="500"/>
      <c r="KBH536" s="500"/>
      <c r="KBI536" s="500"/>
      <c r="KBJ536" s="500"/>
      <c r="KBK536" s="500"/>
      <c r="KBL536" s="500"/>
      <c r="KBM536" s="500"/>
      <c r="KBN536" s="500"/>
      <c r="KBO536" s="500"/>
      <c r="KBP536" s="500"/>
      <c r="KBQ536" s="500"/>
      <c r="KBR536" s="500"/>
      <c r="KBS536" s="500"/>
      <c r="KBT536" s="500"/>
      <c r="KBU536" s="500"/>
      <c r="KBV536" s="500"/>
      <c r="KBW536" s="500"/>
      <c r="KBX536" s="500"/>
      <c r="KBY536" s="500"/>
      <c r="KBZ536" s="500"/>
      <c r="KCA536" s="500"/>
      <c r="KCB536" s="500"/>
      <c r="KCC536" s="500"/>
      <c r="KCD536" s="500"/>
      <c r="KCE536" s="500"/>
      <c r="KCF536" s="500"/>
      <c r="KCG536" s="500"/>
      <c r="KCH536" s="500"/>
      <c r="KCI536" s="500"/>
      <c r="KCJ536" s="500"/>
      <c r="KCK536" s="500"/>
      <c r="KCL536" s="500"/>
      <c r="KCM536" s="500"/>
      <c r="KCN536" s="500"/>
      <c r="KCO536" s="500"/>
      <c r="KCP536" s="500"/>
      <c r="KCQ536" s="500"/>
      <c r="KCR536" s="500"/>
      <c r="KCS536" s="500"/>
      <c r="KCT536" s="500"/>
      <c r="KCU536" s="500"/>
      <c r="KCV536" s="500"/>
      <c r="KCW536" s="500"/>
      <c r="KCX536" s="500"/>
      <c r="KCY536" s="500"/>
      <c r="KCZ536" s="500"/>
      <c r="KDA536" s="500"/>
      <c r="KDB536" s="500"/>
      <c r="KDC536" s="500"/>
      <c r="KDD536" s="500"/>
      <c r="KDE536" s="500"/>
      <c r="KDF536" s="500"/>
      <c r="KDG536" s="500"/>
      <c r="KDH536" s="500"/>
      <c r="KDI536" s="500"/>
      <c r="KDJ536" s="500"/>
      <c r="KDK536" s="500"/>
      <c r="KDL536" s="500"/>
      <c r="KDM536" s="500"/>
      <c r="KDN536" s="500"/>
      <c r="KDO536" s="500"/>
      <c r="KDP536" s="500"/>
      <c r="KDQ536" s="500"/>
      <c r="KDR536" s="500"/>
      <c r="KDS536" s="500"/>
      <c r="KDT536" s="500"/>
      <c r="KDU536" s="500"/>
      <c r="KDV536" s="500"/>
      <c r="KDW536" s="500"/>
      <c r="KDX536" s="500"/>
      <c r="KDY536" s="500"/>
      <c r="KDZ536" s="500"/>
      <c r="KEA536" s="500"/>
      <c r="KEB536" s="500"/>
      <c r="KEC536" s="500"/>
      <c r="KED536" s="500"/>
      <c r="KEE536" s="500"/>
      <c r="KEF536" s="500"/>
      <c r="KEG536" s="500"/>
      <c r="KEH536" s="500"/>
      <c r="KEI536" s="500"/>
      <c r="KEJ536" s="500"/>
      <c r="KEK536" s="500"/>
      <c r="KEL536" s="500"/>
      <c r="KEM536" s="500"/>
      <c r="KEN536" s="500"/>
      <c r="KEO536" s="500"/>
      <c r="KEP536" s="500"/>
      <c r="KEQ536" s="500"/>
      <c r="KER536" s="500"/>
      <c r="KES536" s="500"/>
      <c r="KET536" s="500"/>
      <c r="KEU536" s="500"/>
      <c r="KEV536" s="500"/>
      <c r="KEW536" s="500"/>
      <c r="KEX536" s="500"/>
      <c r="KEY536" s="500"/>
      <c r="KEZ536" s="500"/>
      <c r="KFA536" s="500"/>
      <c r="KFB536" s="500"/>
      <c r="KFC536" s="500"/>
      <c r="KFD536" s="500"/>
      <c r="KFE536" s="500"/>
      <c r="KFF536" s="500"/>
      <c r="KFG536" s="500"/>
      <c r="KFH536" s="500"/>
      <c r="KFI536" s="500"/>
      <c r="KFJ536" s="500"/>
      <c r="KFK536" s="500"/>
      <c r="KFL536" s="500"/>
      <c r="KFM536" s="500"/>
      <c r="KFN536" s="500"/>
      <c r="KFO536" s="500"/>
      <c r="KFP536" s="500"/>
      <c r="KFQ536" s="500"/>
      <c r="KFR536" s="500"/>
      <c r="KFS536" s="500"/>
      <c r="KFT536" s="500"/>
      <c r="KFU536" s="500"/>
      <c r="KFV536" s="500"/>
      <c r="KFW536" s="500"/>
      <c r="KFX536" s="500"/>
      <c r="KFY536" s="500"/>
      <c r="KFZ536" s="500"/>
      <c r="KGA536" s="500"/>
      <c r="KGB536" s="500"/>
      <c r="KGC536" s="500"/>
      <c r="KGD536" s="500"/>
      <c r="KGE536" s="500"/>
      <c r="KGF536" s="500"/>
      <c r="KGG536" s="500"/>
      <c r="KGH536" s="500"/>
      <c r="KGI536" s="500"/>
      <c r="KGJ536" s="500"/>
      <c r="KGK536" s="500"/>
      <c r="KGL536" s="500"/>
      <c r="KGM536" s="500"/>
      <c r="KGN536" s="500"/>
      <c r="KGO536" s="500"/>
      <c r="KGP536" s="500"/>
      <c r="KGQ536" s="500"/>
      <c r="KGR536" s="500"/>
      <c r="KGS536" s="500"/>
      <c r="KGT536" s="500"/>
      <c r="KGU536" s="500"/>
      <c r="KGV536" s="500"/>
      <c r="KGW536" s="500"/>
      <c r="KGX536" s="500"/>
      <c r="KGY536" s="500"/>
      <c r="KGZ536" s="500"/>
      <c r="KHA536" s="500"/>
      <c r="KHB536" s="500"/>
      <c r="KHC536" s="500"/>
      <c r="KHD536" s="500"/>
      <c r="KHE536" s="500"/>
      <c r="KHF536" s="500"/>
      <c r="KHG536" s="500"/>
      <c r="KHH536" s="500"/>
      <c r="KHI536" s="500"/>
      <c r="KHJ536" s="500"/>
      <c r="KHK536" s="500"/>
      <c r="KHL536" s="500"/>
      <c r="KHM536" s="500"/>
      <c r="KHN536" s="500"/>
      <c r="KHO536" s="500"/>
      <c r="KHP536" s="500"/>
      <c r="KHQ536" s="500"/>
      <c r="KHR536" s="500"/>
      <c r="KHS536" s="500"/>
      <c r="KHT536" s="500"/>
      <c r="KHU536" s="500"/>
      <c r="KHV536" s="500"/>
      <c r="KHW536" s="500"/>
      <c r="KHX536" s="500"/>
      <c r="KHY536" s="500"/>
      <c r="KHZ536" s="500"/>
      <c r="KIA536" s="500"/>
      <c r="KIB536" s="500"/>
      <c r="KIC536" s="500"/>
      <c r="KID536" s="500"/>
      <c r="KIE536" s="500"/>
      <c r="KIF536" s="500"/>
      <c r="KIG536" s="500"/>
      <c r="KIH536" s="500"/>
      <c r="KII536" s="500"/>
      <c r="KIJ536" s="500"/>
      <c r="KIK536" s="500"/>
      <c r="KIL536" s="500"/>
      <c r="KIM536" s="500"/>
      <c r="KIN536" s="500"/>
      <c r="KIO536" s="500"/>
      <c r="KIP536" s="500"/>
      <c r="KIQ536" s="500"/>
      <c r="KIR536" s="500"/>
      <c r="KIS536" s="500"/>
      <c r="KIT536" s="500"/>
      <c r="KIU536" s="500"/>
      <c r="KIV536" s="500"/>
      <c r="KIW536" s="500"/>
      <c r="KIX536" s="500"/>
      <c r="KIY536" s="500"/>
      <c r="KIZ536" s="500"/>
      <c r="KJA536" s="500"/>
      <c r="KJB536" s="500"/>
      <c r="KJC536" s="500"/>
      <c r="KJD536" s="500"/>
      <c r="KJE536" s="500"/>
      <c r="KJF536" s="500"/>
      <c r="KJG536" s="500"/>
      <c r="KJH536" s="500"/>
      <c r="KJI536" s="500"/>
      <c r="KJJ536" s="500"/>
      <c r="KJK536" s="500"/>
      <c r="KJL536" s="500"/>
      <c r="KJM536" s="500"/>
      <c r="KJN536" s="500"/>
      <c r="KJO536" s="500"/>
      <c r="KJP536" s="500"/>
      <c r="KJQ536" s="500"/>
      <c r="KJR536" s="500"/>
      <c r="KJS536" s="500"/>
      <c r="KJT536" s="500"/>
      <c r="KJU536" s="500"/>
      <c r="KJV536" s="500"/>
      <c r="KJW536" s="500"/>
      <c r="KJX536" s="500"/>
      <c r="KJY536" s="500"/>
      <c r="KJZ536" s="500"/>
      <c r="KKA536" s="500"/>
      <c r="KKB536" s="500"/>
      <c r="KKC536" s="500"/>
      <c r="KKD536" s="500"/>
      <c r="KKE536" s="500"/>
      <c r="KKF536" s="500"/>
      <c r="KKG536" s="500"/>
      <c r="KKH536" s="500"/>
      <c r="KKI536" s="500"/>
      <c r="KKJ536" s="500"/>
      <c r="KKK536" s="500"/>
      <c r="KKL536" s="500"/>
      <c r="KKM536" s="500"/>
      <c r="KKN536" s="500"/>
      <c r="KKO536" s="500"/>
      <c r="KKP536" s="500"/>
      <c r="KKQ536" s="500"/>
      <c r="KKR536" s="500"/>
      <c r="KKS536" s="500"/>
      <c r="KKT536" s="500"/>
      <c r="KKU536" s="500"/>
      <c r="KKV536" s="500"/>
      <c r="KKW536" s="500"/>
      <c r="KKX536" s="500"/>
      <c r="KKY536" s="500"/>
      <c r="KKZ536" s="500"/>
      <c r="KLA536" s="500"/>
      <c r="KLB536" s="500"/>
      <c r="KLC536" s="500"/>
      <c r="KLD536" s="500"/>
      <c r="KLE536" s="500"/>
      <c r="KLF536" s="500"/>
      <c r="KLG536" s="500"/>
      <c r="KLH536" s="500"/>
      <c r="KLI536" s="500"/>
      <c r="KLJ536" s="500"/>
      <c r="KLK536" s="500"/>
      <c r="KLL536" s="500"/>
      <c r="KLM536" s="500"/>
      <c r="KLN536" s="500"/>
      <c r="KLO536" s="500"/>
      <c r="KLP536" s="500"/>
      <c r="KLQ536" s="500"/>
      <c r="KLR536" s="500"/>
      <c r="KLS536" s="500"/>
      <c r="KLT536" s="500"/>
      <c r="KLU536" s="500"/>
      <c r="KLV536" s="500"/>
      <c r="KLW536" s="500"/>
      <c r="KLX536" s="500"/>
      <c r="KLY536" s="500"/>
      <c r="KLZ536" s="500"/>
      <c r="KMA536" s="500"/>
      <c r="KMB536" s="500"/>
      <c r="KMC536" s="500"/>
      <c r="KMD536" s="500"/>
      <c r="KME536" s="500"/>
      <c r="KMF536" s="500"/>
      <c r="KMG536" s="500"/>
      <c r="KMH536" s="500"/>
      <c r="KMI536" s="500"/>
      <c r="KMJ536" s="500"/>
      <c r="KMK536" s="500"/>
      <c r="KML536" s="500"/>
      <c r="KMM536" s="500"/>
      <c r="KMN536" s="500"/>
      <c r="KMO536" s="500"/>
      <c r="KMP536" s="500"/>
      <c r="KMQ536" s="500"/>
      <c r="KMR536" s="500"/>
      <c r="KMS536" s="500"/>
      <c r="KMT536" s="500"/>
      <c r="KMU536" s="500"/>
      <c r="KMV536" s="500"/>
      <c r="KMW536" s="500"/>
      <c r="KMX536" s="500"/>
      <c r="KMY536" s="500"/>
      <c r="KMZ536" s="500"/>
      <c r="KNA536" s="500"/>
      <c r="KNB536" s="500"/>
      <c r="KNC536" s="500"/>
      <c r="KND536" s="500"/>
      <c r="KNE536" s="500"/>
      <c r="KNF536" s="500"/>
      <c r="KNG536" s="500"/>
      <c r="KNH536" s="500"/>
      <c r="KNI536" s="500"/>
      <c r="KNJ536" s="500"/>
      <c r="KNK536" s="500"/>
      <c r="KNL536" s="500"/>
      <c r="KNM536" s="500"/>
      <c r="KNN536" s="500"/>
      <c r="KNO536" s="500"/>
      <c r="KNP536" s="500"/>
      <c r="KNQ536" s="500"/>
      <c r="KNR536" s="500"/>
      <c r="KNS536" s="500"/>
      <c r="KNT536" s="500"/>
      <c r="KNU536" s="500"/>
      <c r="KNV536" s="500"/>
      <c r="KNW536" s="500"/>
      <c r="KNX536" s="500"/>
      <c r="KNY536" s="500"/>
      <c r="KNZ536" s="500"/>
      <c r="KOA536" s="500"/>
      <c r="KOB536" s="500"/>
      <c r="KOC536" s="500"/>
      <c r="KOD536" s="500"/>
      <c r="KOE536" s="500"/>
      <c r="KOF536" s="500"/>
      <c r="KOG536" s="500"/>
      <c r="KOH536" s="500"/>
      <c r="KOI536" s="500"/>
      <c r="KOJ536" s="500"/>
      <c r="KOK536" s="500"/>
      <c r="KOL536" s="500"/>
      <c r="KOM536" s="500"/>
      <c r="KON536" s="500"/>
      <c r="KOO536" s="500"/>
      <c r="KOP536" s="500"/>
      <c r="KOQ536" s="500"/>
      <c r="KOR536" s="500"/>
      <c r="KOS536" s="500"/>
      <c r="KOT536" s="500"/>
      <c r="KOU536" s="500"/>
      <c r="KOV536" s="500"/>
      <c r="KOW536" s="500"/>
      <c r="KOX536" s="500"/>
      <c r="KOY536" s="500"/>
      <c r="KOZ536" s="500"/>
      <c r="KPA536" s="500"/>
      <c r="KPB536" s="500"/>
      <c r="KPC536" s="500"/>
      <c r="KPD536" s="500"/>
      <c r="KPE536" s="500"/>
      <c r="KPF536" s="500"/>
      <c r="KPG536" s="500"/>
      <c r="KPH536" s="500"/>
      <c r="KPI536" s="500"/>
      <c r="KPJ536" s="500"/>
      <c r="KPK536" s="500"/>
      <c r="KPL536" s="500"/>
      <c r="KPM536" s="500"/>
      <c r="KPN536" s="500"/>
      <c r="KPO536" s="500"/>
      <c r="KPP536" s="500"/>
      <c r="KPQ536" s="500"/>
      <c r="KPR536" s="500"/>
      <c r="KPS536" s="500"/>
      <c r="KPT536" s="500"/>
      <c r="KPU536" s="500"/>
      <c r="KPV536" s="500"/>
      <c r="KPW536" s="500"/>
      <c r="KPX536" s="500"/>
      <c r="KPY536" s="500"/>
      <c r="KPZ536" s="500"/>
      <c r="KQA536" s="500"/>
      <c r="KQB536" s="500"/>
      <c r="KQC536" s="500"/>
      <c r="KQD536" s="500"/>
      <c r="KQE536" s="500"/>
      <c r="KQF536" s="500"/>
      <c r="KQG536" s="500"/>
      <c r="KQH536" s="500"/>
      <c r="KQI536" s="500"/>
      <c r="KQJ536" s="500"/>
      <c r="KQK536" s="500"/>
      <c r="KQL536" s="500"/>
      <c r="KQM536" s="500"/>
      <c r="KQN536" s="500"/>
      <c r="KQO536" s="500"/>
      <c r="KQP536" s="500"/>
      <c r="KQQ536" s="500"/>
      <c r="KQR536" s="500"/>
      <c r="KQS536" s="500"/>
      <c r="KQT536" s="500"/>
      <c r="KQU536" s="500"/>
      <c r="KQV536" s="500"/>
      <c r="KQW536" s="500"/>
      <c r="KQX536" s="500"/>
      <c r="KQY536" s="500"/>
      <c r="KQZ536" s="500"/>
      <c r="KRA536" s="500"/>
      <c r="KRB536" s="500"/>
      <c r="KRC536" s="500"/>
      <c r="KRD536" s="500"/>
      <c r="KRE536" s="500"/>
      <c r="KRF536" s="500"/>
      <c r="KRG536" s="500"/>
      <c r="KRH536" s="500"/>
      <c r="KRI536" s="500"/>
      <c r="KRJ536" s="500"/>
      <c r="KRK536" s="500"/>
      <c r="KRL536" s="500"/>
      <c r="KRM536" s="500"/>
      <c r="KRN536" s="500"/>
      <c r="KRO536" s="500"/>
      <c r="KRP536" s="500"/>
      <c r="KRQ536" s="500"/>
      <c r="KRR536" s="500"/>
      <c r="KRS536" s="500"/>
      <c r="KRT536" s="500"/>
      <c r="KRU536" s="500"/>
      <c r="KRV536" s="500"/>
      <c r="KRW536" s="500"/>
      <c r="KRX536" s="500"/>
      <c r="KRY536" s="500"/>
      <c r="KRZ536" s="500"/>
      <c r="KSA536" s="500"/>
      <c r="KSB536" s="500"/>
      <c r="KSC536" s="500"/>
      <c r="KSD536" s="500"/>
      <c r="KSE536" s="500"/>
      <c r="KSF536" s="500"/>
      <c r="KSG536" s="500"/>
      <c r="KSH536" s="500"/>
      <c r="KSI536" s="500"/>
      <c r="KSJ536" s="500"/>
      <c r="KSK536" s="500"/>
      <c r="KSL536" s="500"/>
      <c r="KSM536" s="500"/>
      <c r="KSN536" s="500"/>
      <c r="KSO536" s="500"/>
      <c r="KSP536" s="500"/>
      <c r="KSQ536" s="500"/>
      <c r="KSR536" s="500"/>
      <c r="KSS536" s="500"/>
      <c r="KST536" s="500"/>
      <c r="KSU536" s="500"/>
      <c r="KSV536" s="500"/>
      <c r="KSW536" s="500"/>
      <c r="KSX536" s="500"/>
      <c r="KSY536" s="500"/>
      <c r="KSZ536" s="500"/>
      <c r="KTA536" s="500"/>
      <c r="KTB536" s="500"/>
      <c r="KTC536" s="500"/>
      <c r="KTD536" s="500"/>
      <c r="KTE536" s="500"/>
      <c r="KTF536" s="500"/>
      <c r="KTG536" s="500"/>
      <c r="KTH536" s="500"/>
      <c r="KTI536" s="500"/>
      <c r="KTJ536" s="500"/>
      <c r="KTK536" s="500"/>
      <c r="KTL536" s="500"/>
      <c r="KTM536" s="500"/>
      <c r="KTN536" s="500"/>
      <c r="KTO536" s="500"/>
      <c r="KTP536" s="500"/>
      <c r="KTQ536" s="500"/>
      <c r="KTR536" s="500"/>
      <c r="KTS536" s="500"/>
      <c r="KTT536" s="500"/>
      <c r="KTU536" s="500"/>
      <c r="KTV536" s="500"/>
      <c r="KTW536" s="500"/>
      <c r="KTX536" s="500"/>
      <c r="KTY536" s="500"/>
      <c r="KTZ536" s="500"/>
      <c r="KUA536" s="500"/>
      <c r="KUB536" s="500"/>
      <c r="KUC536" s="500"/>
      <c r="KUD536" s="500"/>
      <c r="KUE536" s="500"/>
      <c r="KUF536" s="500"/>
      <c r="KUG536" s="500"/>
      <c r="KUH536" s="500"/>
      <c r="KUI536" s="500"/>
      <c r="KUJ536" s="500"/>
      <c r="KUK536" s="500"/>
      <c r="KUL536" s="500"/>
      <c r="KUM536" s="500"/>
      <c r="KUN536" s="500"/>
      <c r="KUO536" s="500"/>
      <c r="KUP536" s="500"/>
      <c r="KUQ536" s="500"/>
      <c r="KUR536" s="500"/>
      <c r="KUS536" s="500"/>
      <c r="KUT536" s="500"/>
      <c r="KUU536" s="500"/>
      <c r="KUV536" s="500"/>
      <c r="KUW536" s="500"/>
      <c r="KUX536" s="500"/>
      <c r="KUY536" s="500"/>
      <c r="KUZ536" s="500"/>
      <c r="KVA536" s="500"/>
      <c r="KVB536" s="500"/>
      <c r="KVC536" s="500"/>
      <c r="KVD536" s="500"/>
      <c r="KVE536" s="500"/>
      <c r="KVF536" s="500"/>
      <c r="KVG536" s="500"/>
      <c r="KVH536" s="500"/>
      <c r="KVI536" s="500"/>
      <c r="KVJ536" s="500"/>
      <c r="KVK536" s="500"/>
      <c r="KVL536" s="500"/>
      <c r="KVM536" s="500"/>
      <c r="KVN536" s="500"/>
      <c r="KVO536" s="500"/>
      <c r="KVP536" s="500"/>
      <c r="KVQ536" s="500"/>
      <c r="KVR536" s="500"/>
      <c r="KVS536" s="500"/>
      <c r="KVT536" s="500"/>
      <c r="KVU536" s="500"/>
      <c r="KVV536" s="500"/>
      <c r="KVW536" s="500"/>
      <c r="KVX536" s="500"/>
      <c r="KVY536" s="500"/>
      <c r="KVZ536" s="500"/>
      <c r="KWA536" s="500"/>
      <c r="KWB536" s="500"/>
      <c r="KWC536" s="500"/>
      <c r="KWD536" s="500"/>
      <c r="KWE536" s="500"/>
      <c r="KWF536" s="500"/>
      <c r="KWG536" s="500"/>
      <c r="KWH536" s="500"/>
      <c r="KWI536" s="500"/>
      <c r="KWJ536" s="500"/>
      <c r="KWK536" s="500"/>
      <c r="KWL536" s="500"/>
      <c r="KWM536" s="500"/>
      <c r="KWN536" s="500"/>
      <c r="KWO536" s="500"/>
      <c r="KWP536" s="500"/>
      <c r="KWQ536" s="500"/>
      <c r="KWR536" s="500"/>
      <c r="KWS536" s="500"/>
      <c r="KWT536" s="500"/>
      <c r="KWU536" s="500"/>
      <c r="KWV536" s="500"/>
      <c r="KWW536" s="500"/>
      <c r="KWX536" s="500"/>
      <c r="KWY536" s="500"/>
      <c r="KWZ536" s="500"/>
      <c r="KXA536" s="500"/>
      <c r="KXB536" s="500"/>
      <c r="KXC536" s="500"/>
      <c r="KXD536" s="500"/>
      <c r="KXE536" s="500"/>
      <c r="KXF536" s="500"/>
      <c r="KXG536" s="500"/>
      <c r="KXH536" s="500"/>
      <c r="KXI536" s="500"/>
      <c r="KXJ536" s="500"/>
      <c r="KXK536" s="500"/>
      <c r="KXL536" s="500"/>
      <c r="KXM536" s="500"/>
      <c r="KXN536" s="500"/>
      <c r="KXO536" s="500"/>
      <c r="KXP536" s="500"/>
      <c r="KXQ536" s="500"/>
      <c r="KXR536" s="500"/>
      <c r="KXS536" s="500"/>
      <c r="KXT536" s="500"/>
      <c r="KXU536" s="500"/>
      <c r="KXV536" s="500"/>
      <c r="KXW536" s="500"/>
      <c r="KXX536" s="500"/>
      <c r="KXY536" s="500"/>
      <c r="KXZ536" s="500"/>
      <c r="KYA536" s="500"/>
      <c r="KYB536" s="500"/>
      <c r="KYC536" s="500"/>
      <c r="KYD536" s="500"/>
      <c r="KYE536" s="500"/>
      <c r="KYF536" s="500"/>
      <c r="KYG536" s="500"/>
      <c r="KYH536" s="500"/>
      <c r="KYI536" s="500"/>
      <c r="KYJ536" s="500"/>
      <c r="KYK536" s="500"/>
      <c r="KYL536" s="500"/>
      <c r="KYM536" s="500"/>
      <c r="KYN536" s="500"/>
      <c r="KYO536" s="500"/>
      <c r="KYP536" s="500"/>
      <c r="KYQ536" s="500"/>
      <c r="KYR536" s="500"/>
      <c r="KYS536" s="500"/>
      <c r="KYT536" s="500"/>
      <c r="KYU536" s="500"/>
      <c r="KYV536" s="500"/>
      <c r="KYW536" s="500"/>
      <c r="KYX536" s="500"/>
      <c r="KYY536" s="500"/>
      <c r="KYZ536" s="500"/>
      <c r="KZA536" s="500"/>
      <c r="KZB536" s="500"/>
      <c r="KZC536" s="500"/>
      <c r="KZD536" s="500"/>
      <c r="KZE536" s="500"/>
      <c r="KZF536" s="500"/>
      <c r="KZG536" s="500"/>
      <c r="KZH536" s="500"/>
      <c r="KZI536" s="500"/>
      <c r="KZJ536" s="500"/>
      <c r="KZK536" s="500"/>
      <c r="KZL536" s="500"/>
      <c r="KZM536" s="500"/>
      <c r="KZN536" s="500"/>
      <c r="KZO536" s="500"/>
      <c r="KZP536" s="500"/>
      <c r="KZQ536" s="500"/>
      <c r="KZR536" s="500"/>
      <c r="KZS536" s="500"/>
      <c r="KZT536" s="500"/>
      <c r="KZU536" s="500"/>
      <c r="KZV536" s="500"/>
      <c r="KZW536" s="500"/>
      <c r="KZX536" s="500"/>
      <c r="KZY536" s="500"/>
      <c r="KZZ536" s="500"/>
      <c r="LAA536" s="500"/>
      <c r="LAB536" s="500"/>
      <c r="LAC536" s="500"/>
      <c r="LAD536" s="500"/>
      <c r="LAE536" s="500"/>
      <c r="LAF536" s="500"/>
      <c r="LAG536" s="500"/>
      <c r="LAH536" s="500"/>
      <c r="LAI536" s="500"/>
      <c r="LAJ536" s="500"/>
      <c r="LAK536" s="500"/>
      <c r="LAL536" s="500"/>
      <c r="LAM536" s="500"/>
      <c r="LAN536" s="500"/>
      <c r="LAO536" s="500"/>
      <c r="LAP536" s="500"/>
      <c r="LAQ536" s="500"/>
      <c r="LAR536" s="500"/>
      <c r="LAS536" s="500"/>
      <c r="LAT536" s="500"/>
      <c r="LAU536" s="500"/>
      <c r="LAV536" s="500"/>
      <c r="LAW536" s="500"/>
      <c r="LAX536" s="500"/>
      <c r="LAY536" s="500"/>
      <c r="LAZ536" s="500"/>
      <c r="LBA536" s="500"/>
      <c r="LBB536" s="500"/>
      <c r="LBC536" s="500"/>
      <c r="LBD536" s="500"/>
      <c r="LBE536" s="500"/>
      <c r="LBF536" s="500"/>
      <c r="LBG536" s="500"/>
      <c r="LBH536" s="500"/>
      <c r="LBI536" s="500"/>
      <c r="LBJ536" s="500"/>
      <c r="LBK536" s="500"/>
      <c r="LBL536" s="500"/>
      <c r="LBM536" s="500"/>
      <c r="LBN536" s="500"/>
      <c r="LBO536" s="500"/>
      <c r="LBP536" s="500"/>
      <c r="LBQ536" s="500"/>
      <c r="LBR536" s="500"/>
      <c r="LBS536" s="500"/>
      <c r="LBT536" s="500"/>
      <c r="LBU536" s="500"/>
      <c r="LBV536" s="500"/>
      <c r="LBW536" s="500"/>
      <c r="LBX536" s="500"/>
      <c r="LBY536" s="500"/>
      <c r="LBZ536" s="500"/>
      <c r="LCA536" s="500"/>
      <c r="LCB536" s="500"/>
      <c r="LCC536" s="500"/>
      <c r="LCD536" s="500"/>
      <c r="LCE536" s="500"/>
      <c r="LCF536" s="500"/>
      <c r="LCG536" s="500"/>
      <c r="LCH536" s="500"/>
      <c r="LCI536" s="500"/>
      <c r="LCJ536" s="500"/>
      <c r="LCK536" s="500"/>
      <c r="LCL536" s="500"/>
      <c r="LCM536" s="500"/>
      <c r="LCN536" s="500"/>
      <c r="LCO536" s="500"/>
      <c r="LCP536" s="500"/>
      <c r="LCQ536" s="500"/>
      <c r="LCR536" s="500"/>
      <c r="LCS536" s="500"/>
      <c r="LCT536" s="500"/>
      <c r="LCU536" s="500"/>
      <c r="LCV536" s="500"/>
      <c r="LCW536" s="500"/>
      <c r="LCX536" s="500"/>
      <c r="LCY536" s="500"/>
      <c r="LCZ536" s="500"/>
      <c r="LDA536" s="500"/>
      <c r="LDB536" s="500"/>
      <c r="LDC536" s="500"/>
      <c r="LDD536" s="500"/>
      <c r="LDE536" s="500"/>
      <c r="LDF536" s="500"/>
      <c r="LDG536" s="500"/>
      <c r="LDH536" s="500"/>
      <c r="LDI536" s="500"/>
      <c r="LDJ536" s="500"/>
      <c r="LDK536" s="500"/>
      <c r="LDL536" s="500"/>
      <c r="LDM536" s="500"/>
      <c r="LDN536" s="500"/>
      <c r="LDO536" s="500"/>
      <c r="LDP536" s="500"/>
      <c r="LDQ536" s="500"/>
      <c r="LDR536" s="500"/>
      <c r="LDS536" s="500"/>
      <c r="LDT536" s="500"/>
      <c r="LDU536" s="500"/>
      <c r="LDV536" s="500"/>
      <c r="LDW536" s="500"/>
      <c r="LDX536" s="500"/>
      <c r="LDY536" s="500"/>
      <c r="LDZ536" s="500"/>
      <c r="LEA536" s="500"/>
      <c r="LEB536" s="500"/>
      <c r="LEC536" s="500"/>
      <c r="LED536" s="500"/>
      <c r="LEE536" s="500"/>
      <c r="LEF536" s="500"/>
      <c r="LEG536" s="500"/>
      <c r="LEH536" s="500"/>
      <c r="LEI536" s="500"/>
      <c r="LEJ536" s="500"/>
      <c r="LEK536" s="500"/>
      <c r="LEL536" s="500"/>
      <c r="LEM536" s="500"/>
      <c r="LEN536" s="500"/>
      <c r="LEO536" s="500"/>
      <c r="LEP536" s="500"/>
      <c r="LEQ536" s="500"/>
      <c r="LER536" s="500"/>
      <c r="LES536" s="500"/>
      <c r="LET536" s="500"/>
      <c r="LEU536" s="500"/>
      <c r="LEV536" s="500"/>
      <c r="LEW536" s="500"/>
      <c r="LEX536" s="500"/>
      <c r="LEY536" s="500"/>
      <c r="LEZ536" s="500"/>
      <c r="LFA536" s="500"/>
      <c r="LFB536" s="500"/>
      <c r="LFC536" s="500"/>
      <c r="LFD536" s="500"/>
      <c r="LFE536" s="500"/>
      <c r="LFF536" s="500"/>
      <c r="LFG536" s="500"/>
      <c r="LFH536" s="500"/>
      <c r="LFI536" s="500"/>
      <c r="LFJ536" s="500"/>
      <c r="LFK536" s="500"/>
      <c r="LFL536" s="500"/>
      <c r="LFM536" s="500"/>
      <c r="LFN536" s="500"/>
      <c r="LFO536" s="500"/>
      <c r="LFP536" s="500"/>
      <c r="LFQ536" s="500"/>
      <c r="LFR536" s="500"/>
      <c r="LFS536" s="500"/>
      <c r="LFT536" s="500"/>
      <c r="LFU536" s="500"/>
      <c r="LFV536" s="500"/>
      <c r="LFW536" s="500"/>
      <c r="LFX536" s="500"/>
      <c r="LFY536" s="500"/>
      <c r="LFZ536" s="500"/>
      <c r="LGA536" s="500"/>
      <c r="LGB536" s="500"/>
      <c r="LGC536" s="500"/>
      <c r="LGD536" s="500"/>
      <c r="LGE536" s="500"/>
      <c r="LGF536" s="500"/>
      <c r="LGG536" s="500"/>
      <c r="LGH536" s="500"/>
      <c r="LGI536" s="500"/>
      <c r="LGJ536" s="500"/>
      <c r="LGK536" s="500"/>
      <c r="LGL536" s="500"/>
      <c r="LGM536" s="500"/>
      <c r="LGN536" s="500"/>
      <c r="LGO536" s="500"/>
      <c r="LGP536" s="500"/>
      <c r="LGQ536" s="500"/>
      <c r="LGR536" s="500"/>
      <c r="LGS536" s="500"/>
      <c r="LGT536" s="500"/>
      <c r="LGU536" s="500"/>
      <c r="LGV536" s="500"/>
      <c r="LGW536" s="500"/>
      <c r="LGX536" s="500"/>
      <c r="LGY536" s="500"/>
      <c r="LGZ536" s="500"/>
      <c r="LHA536" s="500"/>
      <c r="LHB536" s="500"/>
      <c r="LHC536" s="500"/>
      <c r="LHD536" s="500"/>
      <c r="LHE536" s="500"/>
      <c r="LHF536" s="500"/>
      <c r="LHG536" s="500"/>
      <c r="LHH536" s="500"/>
      <c r="LHI536" s="500"/>
      <c r="LHJ536" s="500"/>
      <c r="LHK536" s="500"/>
      <c r="LHL536" s="500"/>
      <c r="LHM536" s="500"/>
      <c r="LHN536" s="500"/>
      <c r="LHO536" s="500"/>
      <c r="LHP536" s="500"/>
      <c r="LHQ536" s="500"/>
      <c r="LHR536" s="500"/>
      <c r="LHS536" s="500"/>
      <c r="LHT536" s="500"/>
      <c r="LHU536" s="500"/>
      <c r="LHV536" s="500"/>
      <c r="LHW536" s="500"/>
      <c r="LHX536" s="500"/>
      <c r="LHY536" s="500"/>
      <c r="LHZ536" s="500"/>
      <c r="LIA536" s="500"/>
      <c r="LIB536" s="500"/>
      <c r="LIC536" s="500"/>
      <c r="LID536" s="500"/>
      <c r="LIE536" s="500"/>
      <c r="LIF536" s="500"/>
      <c r="LIG536" s="500"/>
      <c r="LIH536" s="500"/>
      <c r="LII536" s="500"/>
      <c r="LIJ536" s="500"/>
      <c r="LIK536" s="500"/>
      <c r="LIL536" s="500"/>
      <c r="LIM536" s="500"/>
      <c r="LIN536" s="500"/>
      <c r="LIO536" s="500"/>
      <c r="LIP536" s="500"/>
      <c r="LIQ536" s="500"/>
      <c r="LIR536" s="500"/>
      <c r="LIS536" s="500"/>
      <c r="LIT536" s="500"/>
      <c r="LIU536" s="500"/>
      <c r="LIV536" s="500"/>
      <c r="LIW536" s="500"/>
      <c r="LIX536" s="500"/>
      <c r="LIY536" s="500"/>
      <c r="LIZ536" s="500"/>
      <c r="LJA536" s="500"/>
      <c r="LJB536" s="500"/>
      <c r="LJC536" s="500"/>
      <c r="LJD536" s="500"/>
      <c r="LJE536" s="500"/>
      <c r="LJF536" s="500"/>
      <c r="LJG536" s="500"/>
      <c r="LJH536" s="500"/>
      <c r="LJI536" s="500"/>
      <c r="LJJ536" s="500"/>
      <c r="LJK536" s="500"/>
      <c r="LJL536" s="500"/>
      <c r="LJM536" s="500"/>
      <c r="LJN536" s="500"/>
      <c r="LJO536" s="500"/>
      <c r="LJP536" s="500"/>
      <c r="LJQ536" s="500"/>
      <c r="LJR536" s="500"/>
      <c r="LJS536" s="500"/>
      <c r="LJT536" s="500"/>
      <c r="LJU536" s="500"/>
      <c r="LJV536" s="500"/>
      <c r="LJW536" s="500"/>
      <c r="LJX536" s="500"/>
      <c r="LJY536" s="500"/>
      <c r="LJZ536" s="500"/>
      <c r="LKA536" s="500"/>
      <c r="LKB536" s="500"/>
      <c r="LKC536" s="500"/>
      <c r="LKD536" s="500"/>
      <c r="LKE536" s="500"/>
      <c r="LKF536" s="500"/>
      <c r="LKG536" s="500"/>
      <c r="LKH536" s="500"/>
      <c r="LKI536" s="500"/>
      <c r="LKJ536" s="500"/>
      <c r="LKK536" s="500"/>
      <c r="LKL536" s="500"/>
      <c r="LKM536" s="500"/>
      <c r="LKN536" s="500"/>
      <c r="LKO536" s="500"/>
      <c r="LKP536" s="500"/>
      <c r="LKQ536" s="500"/>
      <c r="LKR536" s="500"/>
      <c r="LKS536" s="500"/>
      <c r="LKT536" s="500"/>
      <c r="LKU536" s="500"/>
      <c r="LKV536" s="500"/>
      <c r="LKW536" s="500"/>
      <c r="LKX536" s="500"/>
      <c r="LKY536" s="500"/>
      <c r="LKZ536" s="500"/>
      <c r="LLA536" s="500"/>
      <c r="LLB536" s="500"/>
      <c r="LLC536" s="500"/>
      <c r="LLD536" s="500"/>
      <c r="LLE536" s="500"/>
      <c r="LLF536" s="500"/>
      <c r="LLG536" s="500"/>
      <c r="LLH536" s="500"/>
      <c r="LLI536" s="500"/>
      <c r="LLJ536" s="500"/>
      <c r="LLK536" s="500"/>
      <c r="LLL536" s="500"/>
      <c r="LLM536" s="500"/>
      <c r="LLN536" s="500"/>
      <c r="LLO536" s="500"/>
      <c r="LLP536" s="500"/>
      <c r="LLQ536" s="500"/>
      <c r="LLR536" s="500"/>
      <c r="LLS536" s="500"/>
      <c r="LLT536" s="500"/>
      <c r="LLU536" s="500"/>
      <c r="LLV536" s="500"/>
      <c r="LLW536" s="500"/>
      <c r="LLX536" s="500"/>
      <c r="LLY536" s="500"/>
      <c r="LLZ536" s="500"/>
      <c r="LMA536" s="500"/>
      <c r="LMB536" s="500"/>
      <c r="LMC536" s="500"/>
      <c r="LMD536" s="500"/>
      <c r="LME536" s="500"/>
      <c r="LMF536" s="500"/>
      <c r="LMG536" s="500"/>
      <c r="LMH536" s="500"/>
      <c r="LMI536" s="500"/>
      <c r="LMJ536" s="500"/>
      <c r="LMK536" s="500"/>
      <c r="LML536" s="500"/>
      <c r="LMM536" s="500"/>
      <c r="LMN536" s="500"/>
      <c r="LMO536" s="500"/>
      <c r="LMP536" s="500"/>
      <c r="LMQ536" s="500"/>
      <c r="LMR536" s="500"/>
      <c r="LMS536" s="500"/>
      <c r="LMT536" s="500"/>
      <c r="LMU536" s="500"/>
      <c r="LMV536" s="500"/>
      <c r="LMW536" s="500"/>
      <c r="LMX536" s="500"/>
      <c r="LMY536" s="500"/>
      <c r="LMZ536" s="500"/>
      <c r="LNA536" s="500"/>
      <c r="LNB536" s="500"/>
      <c r="LNC536" s="500"/>
      <c r="LND536" s="500"/>
      <c r="LNE536" s="500"/>
      <c r="LNF536" s="500"/>
      <c r="LNG536" s="500"/>
      <c r="LNH536" s="500"/>
      <c r="LNI536" s="500"/>
      <c r="LNJ536" s="500"/>
      <c r="LNK536" s="500"/>
      <c r="LNL536" s="500"/>
      <c r="LNM536" s="500"/>
      <c r="LNN536" s="500"/>
      <c r="LNO536" s="500"/>
      <c r="LNP536" s="500"/>
      <c r="LNQ536" s="500"/>
      <c r="LNR536" s="500"/>
      <c r="LNS536" s="500"/>
      <c r="LNT536" s="500"/>
      <c r="LNU536" s="500"/>
      <c r="LNV536" s="500"/>
      <c r="LNW536" s="500"/>
      <c r="LNX536" s="500"/>
      <c r="LNY536" s="500"/>
      <c r="LNZ536" s="500"/>
      <c r="LOA536" s="500"/>
      <c r="LOB536" s="500"/>
      <c r="LOC536" s="500"/>
      <c r="LOD536" s="500"/>
      <c r="LOE536" s="500"/>
      <c r="LOF536" s="500"/>
      <c r="LOG536" s="500"/>
      <c r="LOH536" s="500"/>
      <c r="LOI536" s="500"/>
      <c r="LOJ536" s="500"/>
      <c r="LOK536" s="500"/>
      <c r="LOL536" s="500"/>
      <c r="LOM536" s="500"/>
      <c r="LON536" s="500"/>
      <c r="LOO536" s="500"/>
      <c r="LOP536" s="500"/>
      <c r="LOQ536" s="500"/>
      <c r="LOR536" s="500"/>
      <c r="LOS536" s="500"/>
      <c r="LOT536" s="500"/>
      <c r="LOU536" s="500"/>
      <c r="LOV536" s="500"/>
      <c r="LOW536" s="500"/>
      <c r="LOX536" s="500"/>
      <c r="LOY536" s="500"/>
      <c r="LOZ536" s="500"/>
      <c r="LPA536" s="500"/>
      <c r="LPB536" s="500"/>
      <c r="LPC536" s="500"/>
      <c r="LPD536" s="500"/>
      <c r="LPE536" s="500"/>
      <c r="LPF536" s="500"/>
      <c r="LPG536" s="500"/>
      <c r="LPH536" s="500"/>
      <c r="LPI536" s="500"/>
      <c r="LPJ536" s="500"/>
      <c r="LPK536" s="500"/>
      <c r="LPL536" s="500"/>
      <c r="LPM536" s="500"/>
      <c r="LPN536" s="500"/>
      <c r="LPO536" s="500"/>
      <c r="LPP536" s="500"/>
      <c r="LPQ536" s="500"/>
      <c r="LPR536" s="500"/>
      <c r="LPS536" s="500"/>
      <c r="LPT536" s="500"/>
      <c r="LPU536" s="500"/>
      <c r="LPV536" s="500"/>
      <c r="LPW536" s="500"/>
      <c r="LPX536" s="500"/>
      <c r="LPY536" s="500"/>
      <c r="LPZ536" s="500"/>
      <c r="LQA536" s="500"/>
      <c r="LQB536" s="500"/>
      <c r="LQC536" s="500"/>
      <c r="LQD536" s="500"/>
      <c r="LQE536" s="500"/>
      <c r="LQF536" s="500"/>
      <c r="LQG536" s="500"/>
      <c r="LQH536" s="500"/>
      <c r="LQI536" s="500"/>
      <c r="LQJ536" s="500"/>
      <c r="LQK536" s="500"/>
      <c r="LQL536" s="500"/>
      <c r="LQM536" s="500"/>
      <c r="LQN536" s="500"/>
      <c r="LQO536" s="500"/>
      <c r="LQP536" s="500"/>
      <c r="LQQ536" s="500"/>
      <c r="LQR536" s="500"/>
      <c r="LQS536" s="500"/>
      <c r="LQT536" s="500"/>
      <c r="LQU536" s="500"/>
      <c r="LQV536" s="500"/>
      <c r="LQW536" s="500"/>
      <c r="LQX536" s="500"/>
      <c r="LQY536" s="500"/>
      <c r="LQZ536" s="500"/>
      <c r="LRA536" s="500"/>
      <c r="LRB536" s="500"/>
      <c r="LRC536" s="500"/>
      <c r="LRD536" s="500"/>
      <c r="LRE536" s="500"/>
      <c r="LRF536" s="500"/>
      <c r="LRG536" s="500"/>
      <c r="LRH536" s="500"/>
      <c r="LRI536" s="500"/>
      <c r="LRJ536" s="500"/>
      <c r="LRK536" s="500"/>
      <c r="LRL536" s="500"/>
      <c r="LRM536" s="500"/>
      <c r="LRN536" s="500"/>
      <c r="LRO536" s="500"/>
      <c r="LRP536" s="500"/>
      <c r="LRQ536" s="500"/>
      <c r="LRR536" s="500"/>
      <c r="LRS536" s="500"/>
      <c r="LRT536" s="500"/>
      <c r="LRU536" s="500"/>
      <c r="LRV536" s="500"/>
      <c r="LRW536" s="500"/>
      <c r="LRX536" s="500"/>
      <c r="LRY536" s="500"/>
      <c r="LRZ536" s="500"/>
      <c r="LSA536" s="500"/>
      <c r="LSB536" s="500"/>
      <c r="LSC536" s="500"/>
      <c r="LSD536" s="500"/>
      <c r="LSE536" s="500"/>
      <c r="LSF536" s="500"/>
      <c r="LSG536" s="500"/>
      <c r="LSH536" s="500"/>
      <c r="LSI536" s="500"/>
      <c r="LSJ536" s="500"/>
      <c r="LSK536" s="500"/>
      <c r="LSL536" s="500"/>
      <c r="LSM536" s="500"/>
      <c r="LSN536" s="500"/>
      <c r="LSO536" s="500"/>
      <c r="LSP536" s="500"/>
      <c r="LSQ536" s="500"/>
      <c r="LSR536" s="500"/>
      <c r="LSS536" s="500"/>
      <c r="LST536" s="500"/>
      <c r="LSU536" s="500"/>
      <c r="LSV536" s="500"/>
      <c r="LSW536" s="500"/>
      <c r="LSX536" s="500"/>
      <c r="LSY536" s="500"/>
      <c r="LSZ536" s="500"/>
      <c r="LTA536" s="500"/>
      <c r="LTB536" s="500"/>
      <c r="LTC536" s="500"/>
      <c r="LTD536" s="500"/>
      <c r="LTE536" s="500"/>
      <c r="LTF536" s="500"/>
      <c r="LTG536" s="500"/>
      <c r="LTH536" s="500"/>
      <c r="LTI536" s="500"/>
      <c r="LTJ536" s="500"/>
      <c r="LTK536" s="500"/>
      <c r="LTL536" s="500"/>
      <c r="LTM536" s="500"/>
      <c r="LTN536" s="500"/>
      <c r="LTO536" s="500"/>
      <c r="LTP536" s="500"/>
      <c r="LTQ536" s="500"/>
      <c r="LTR536" s="500"/>
      <c r="LTS536" s="500"/>
      <c r="LTT536" s="500"/>
      <c r="LTU536" s="500"/>
      <c r="LTV536" s="500"/>
      <c r="LTW536" s="500"/>
      <c r="LTX536" s="500"/>
      <c r="LTY536" s="500"/>
      <c r="LTZ536" s="500"/>
      <c r="LUA536" s="500"/>
      <c r="LUB536" s="500"/>
      <c r="LUC536" s="500"/>
      <c r="LUD536" s="500"/>
      <c r="LUE536" s="500"/>
      <c r="LUF536" s="500"/>
      <c r="LUG536" s="500"/>
      <c r="LUH536" s="500"/>
      <c r="LUI536" s="500"/>
      <c r="LUJ536" s="500"/>
      <c r="LUK536" s="500"/>
      <c r="LUL536" s="500"/>
      <c r="LUM536" s="500"/>
      <c r="LUN536" s="500"/>
      <c r="LUO536" s="500"/>
      <c r="LUP536" s="500"/>
      <c r="LUQ536" s="500"/>
      <c r="LUR536" s="500"/>
      <c r="LUS536" s="500"/>
      <c r="LUT536" s="500"/>
      <c r="LUU536" s="500"/>
      <c r="LUV536" s="500"/>
      <c r="LUW536" s="500"/>
      <c r="LUX536" s="500"/>
      <c r="LUY536" s="500"/>
      <c r="LUZ536" s="500"/>
      <c r="LVA536" s="500"/>
      <c r="LVB536" s="500"/>
      <c r="LVC536" s="500"/>
      <c r="LVD536" s="500"/>
      <c r="LVE536" s="500"/>
      <c r="LVF536" s="500"/>
      <c r="LVG536" s="500"/>
      <c r="LVH536" s="500"/>
      <c r="LVI536" s="500"/>
      <c r="LVJ536" s="500"/>
      <c r="LVK536" s="500"/>
      <c r="LVL536" s="500"/>
      <c r="LVM536" s="500"/>
      <c r="LVN536" s="500"/>
      <c r="LVO536" s="500"/>
      <c r="LVP536" s="500"/>
      <c r="LVQ536" s="500"/>
      <c r="LVR536" s="500"/>
      <c r="LVS536" s="500"/>
      <c r="LVT536" s="500"/>
      <c r="LVU536" s="500"/>
      <c r="LVV536" s="500"/>
      <c r="LVW536" s="500"/>
      <c r="LVX536" s="500"/>
      <c r="LVY536" s="500"/>
      <c r="LVZ536" s="500"/>
      <c r="LWA536" s="500"/>
      <c r="LWB536" s="500"/>
      <c r="LWC536" s="500"/>
      <c r="LWD536" s="500"/>
      <c r="LWE536" s="500"/>
      <c r="LWF536" s="500"/>
      <c r="LWG536" s="500"/>
      <c r="LWH536" s="500"/>
      <c r="LWI536" s="500"/>
      <c r="LWJ536" s="500"/>
      <c r="LWK536" s="500"/>
      <c r="LWL536" s="500"/>
      <c r="LWM536" s="500"/>
      <c r="LWN536" s="500"/>
      <c r="LWO536" s="500"/>
      <c r="LWP536" s="500"/>
      <c r="LWQ536" s="500"/>
      <c r="LWR536" s="500"/>
      <c r="LWS536" s="500"/>
      <c r="LWT536" s="500"/>
      <c r="LWU536" s="500"/>
      <c r="LWV536" s="500"/>
      <c r="LWW536" s="500"/>
      <c r="LWX536" s="500"/>
      <c r="LWY536" s="500"/>
      <c r="LWZ536" s="500"/>
      <c r="LXA536" s="500"/>
      <c r="LXB536" s="500"/>
      <c r="LXC536" s="500"/>
      <c r="LXD536" s="500"/>
      <c r="LXE536" s="500"/>
      <c r="LXF536" s="500"/>
      <c r="LXG536" s="500"/>
      <c r="LXH536" s="500"/>
      <c r="LXI536" s="500"/>
      <c r="LXJ536" s="500"/>
      <c r="LXK536" s="500"/>
      <c r="LXL536" s="500"/>
      <c r="LXM536" s="500"/>
      <c r="LXN536" s="500"/>
      <c r="LXO536" s="500"/>
      <c r="LXP536" s="500"/>
      <c r="LXQ536" s="500"/>
      <c r="LXR536" s="500"/>
      <c r="LXS536" s="500"/>
      <c r="LXT536" s="500"/>
      <c r="LXU536" s="500"/>
      <c r="LXV536" s="500"/>
      <c r="LXW536" s="500"/>
      <c r="LXX536" s="500"/>
      <c r="LXY536" s="500"/>
      <c r="LXZ536" s="500"/>
      <c r="LYA536" s="500"/>
      <c r="LYB536" s="500"/>
      <c r="LYC536" s="500"/>
      <c r="LYD536" s="500"/>
      <c r="LYE536" s="500"/>
      <c r="LYF536" s="500"/>
      <c r="LYG536" s="500"/>
      <c r="LYH536" s="500"/>
      <c r="LYI536" s="500"/>
      <c r="LYJ536" s="500"/>
      <c r="LYK536" s="500"/>
      <c r="LYL536" s="500"/>
      <c r="LYM536" s="500"/>
      <c r="LYN536" s="500"/>
      <c r="LYO536" s="500"/>
      <c r="LYP536" s="500"/>
      <c r="LYQ536" s="500"/>
      <c r="LYR536" s="500"/>
      <c r="LYS536" s="500"/>
      <c r="LYT536" s="500"/>
      <c r="LYU536" s="500"/>
      <c r="LYV536" s="500"/>
      <c r="LYW536" s="500"/>
      <c r="LYX536" s="500"/>
      <c r="LYY536" s="500"/>
      <c r="LYZ536" s="500"/>
      <c r="LZA536" s="500"/>
      <c r="LZB536" s="500"/>
      <c r="LZC536" s="500"/>
      <c r="LZD536" s="500"/>
      <c r="LZE536" s="500"/>
      <c r="LZF536" s="500"/>
      <c r="LZG536" s="500"/>
      <c r="LZH536" s="500"/>
      <c r="LZI536" s="500"/>
      <c r="LZJ536" s="500"/>
      <c r="LZK536" s="500"/>
      <c r="LZL536" s="500"/>
      <c r="LZM536" s="500"/>
      <c r="LZN536" s="500"/>
      <c r="LZO536" s="500"/>
      <c r="LZP536" s="500"/>
      <c r="LZQ536" s="500"/>
      <c r="LZR536" s="500"/>
      <c r="LZS536" s="500"/>
      <c r="LZT536" s="500"/>
      <c r="LZU536" s="500"/>
      <c r="LZV536" s="500"/>
      <c r="LZW536" s="500"/>
      <c r="LZX536" s="500"/>
      <c r="LZY536" s="500"/>
      <c r="LZZ536" s="500"/>
      <c r="MAA536" s="500"/>
      <c r="MAB536" s="500"/>
      <c r="MAC536" s="500"/>
      <c r="MAD536" s="500"/>
      <c r="MAE536" s="500"/>
      <c r="MAF536" s="500"/>
      <c r="MAG536" s="500"/>
      <c r="MAH536" s="500"/>
      <c r="MAI536" s="500"/>
      <c r="MAJ536" s="500"/>
      <c r="MAK536" s="500"/>
      <c r="MAL536" s="500"/>
      <c r="MAM536" s="500"/>
      <c r="MAN536" s="500"/>
      <c r="MAO536" s="500"/>
      <c r="MAP536" s="500"/>
      <c r="MAQ536" s="500"/>
      <c r="MAR536" s="500"/>
      <c r="MAS536" s="500"/>
      <c r="MAT536" s="500"/>
      <c r="MAU536" s="500"/>
      <c r="MAV536" s="500"/>
      <c r="MAW536" s="500"/>
      <c r="MAX536" s="500"/>
      <c r="MAY536" s="500"/>
      <c r="MAZ536" s="500"/>
      <c r="MBA536" s="500"/>
      <c r="MBB536" s="500"/>
      <c r="MBC536" s="500"/>
      <c r="MBD536" s="500"/>
      <c r="MBE536" s="500"/>
      <c r="MBF536" s="500"/>
      <c r="MBG536" s="500"/>
      <c r="MBH536" s="500"/>
      <c r="MBI536" s="500"/>
      <c r="MBJ536" s="500"/>
      <c r="MBK536" s="500"/>
      <c r="MBL536" s="500"/>
      <c r="MBM536" s="500"/>
      <c r="MBN536" s="500"/>
      <c r="MBO536" s="500"/>
      <c r="MBP536" s="500"/>
      <c r="MBQ536" s="500"/>
      <c r="MBR536" s="500"/>
      <c r="MBS536" s="500"/>
      <c r="MBT536" s="500"/>
      <c r="MBU536" s="500"/>
      <c r="MBV536" s="500"/>
      <c r="MBW536" s="500"/>
      <c r="MBX536" s="500"/>
      <c r="MBY536" s="500"/>
      <c r="MBZ536" s="500"/>
      <c r="MCA536" s="500"/>
      <c r="MCB536" s="500"/>
      <c r="MCC536" s="500"/>
      <c r="MCD536" s="500"/>
      <c r="MCE536" s="500"/>
      <c r="MCF536" s="500"/>
      <c r="MCG536" s="500"/>
      <c r="MCH536" s="500"/>
      <c r="MCI536" s="500"/>
      <c r="MCJ536" s="500"/>
      <c r="MCK536" s="500"/>
      <c r="MCL536" s="500"/>
      <c r="MCM536" s="500"/>
      <c r="MCN536" s="500"/>
      <c r="MCO536" s="500"/>
      <c r="MCP536" s="500"/>
      <c r="MCQ536" s="500"/>
      <c r="MCR536" s="500"/>
      <c r="MCS536" s="500"/>
      <c r="MCT536" s="500"/>
      <c r="MCU536" s="500"/>
      <c r="MCV536" s="500"/>
      <c r="MCW536" s="500"/>
      <c r="MCX536" s="500"/>
      <c r="MCY536" s="500"/>
      <c r="MCZ536" s="500"/>
      <c r="MDA536" s="500"/>
      <c r="MDB536" s="500"/>
      <c r="MDC536" s="500"/>
      <c r="MDD536" s="500"/>
      <c r="MDE536" s="500"/>
      <c r="MDF536" s="500"/>
      <c r="MDG536" s="500"/>
      <c r="MDH536" s="500"/>
      <c r="MDI536" s="500"/>
      <c r="MDJ536" s="500"/>
      <c r="MDK536" s="500"/>
      <c r="MDL536" s="500"/>
      <c r="MDM536" s="500"/>
      <c r="MDN536" s="500"/>
      <c r="MDO536" s="500"/>
      <c r="MDP536" s="500"/>
      <c r="MDQ536" s="500"/>
      <c r="MDR536" s="500"/>
      <c r="MDS536" s="500"/>
      <c r="MDT536" s="500"/>
      <c r="MDU536" s="500"/>
      <c r="MDV536" s="500"/>
      <c r="MDW536" s="500"/>
      <c r="MDX536" s="500"/>
      <c r="MDY536" s="500"/>
      <c r="MDZ536" s="500"/>
      <c r="MEA536" s="500"/>
      <c r="MEB536" s="500"/>
      <c r="MEC536" s="500"/>
      <c r="MED536" s="500"/>
      <c r="MEE536" s="500"/>
      <c r="MEF536" s="500"/>
      <c r="MEG536" s="500"/>
      <c r="MEH536" s="500"/>
      <c r="MEI536" s="500"/>
      <c r="MEJ536" s="500"/>
      <c r="MEK536" s="500"/>
      <c r="MEL536" s="500"/>
      <c r="MEM536" s="500"/>
      <c r="MEN536" s="500"/>
      <c r="MEO536" s="500"/>
      <c r="MEP536" s="500"/>
      <c r="MEQ536" s="500"/>
      <c r="MER536" s="500"/>
      <c r="MES536" s="500"/>
      <c r="MET536" s="500"/>
      <c r="MEU536" s="500"/>
      <c r="MEV536" s="500"/>
      <c r="MEW536" s="500"/>
      <c r="MEX536" s="500"/>
      <c r="MEY536" s="500"/>
      <c r="MEZ536" s="500"/>
      <c r="MFA536" s="500"/>
      <c r="MFB536" s="500"/>
      <c r="MFC536" s="500"/>
      <c r="MFD536" s="500"/>
      <c r="MFE536" s="500"/>
      <c r="MFF536" s="500"/>
      <c r="MFG536" s="500"/>
      <c r="MFH536" s="500"/>
      <c r="MFI536" s="500"/>
      <c r="MFJ536" s="500"/>
      <c r="MFK536" s="500"/>
      <c r="MFL536" s="500"/>
      <c r="MFM536" s="500"/>
      <c r="MFN536" s="500"/>
      <c r="MFO536" s="500"/>
      <c r="MFP536" s="500"/>
      <c r="MFQ536" s="500"/>
      <c r="MFR536" s="500"/>
      <c r="MFS536" s="500"/>
      <c r="MFT536" s="500"/>
      <c r="MFU536" s="500"/>
      <c r="MFV536" s="500"/>
      <c r="MFW536" s="500"/>
      <c r="MFX536" s="500"/>
      <c r="MFY536" s="500"/>
      <c r="MFZ536" s="500"/>
      <c r="MGA536" s="500"/>
      <c r="MGB536" s="500"/>
      <c r="MGC536" s="500"/>
      <c r="MGD536" s="500"/>
      <c r="MGE536" s="500"/>
      <c r="MGF536" s="500"/>
      <c r="MGG536" s="500"/>
      <c r="MGH536" s="500"/>
      <c r="MGI536" s="500"/>
      <c r="MGJ536" s="500"/>
      <c r="MGK536" s="500"/>
      <c r="MGL536" s="500"/>
      <c r="MGM536" s="500"/>
      <c r="MGN536" s="500"/>
      <c r="MGO536" s="500"/>
      <c r="MGP536" s="500"/>
      <c r="MGQ536" s="500"/>
      <c r="MGR536" s="500"/>
      <c r="MGS536" s="500"/>
      <c r="MGT536" s="500"/>
      <c r="MGU536" s="500"/>
      <c r="MGV536" s="500"/>
      <c r="MGW536" s="500"/>
      <c r="MGX536" s="500"/>
      <c r="MGY536" s="500"/>
      <c r="MGZ536" s="500"/>
      <c r="MHA536" s="500"/>
      <c r="MHB536" s="500"/>
      <c r="MHC536" s="500"/>
      <c r="MHD536" s="500"/>
      <c r="MHE536" s="500"/>
      <c r="MHF536" s="500"/>
      <c r="MHG536" s="500"/>
      <c r="MHH536" s="500"/>
      <c r="MHI536" s="500"/>
      <c r="MHJ536" s="500"/>
      <c r="MHK536" s="500"/>
      <c r="MHL536" s="500"/>
      <c r="MHM536" s="500"/>
      <c r="MHN536" s="500"/>
      <c r="MHO536" s="500"/>
      <c r="MHP536" s="500"/>
      <c r="MHQ536" s="500"/>
      <c r="MHR536" s="500"/>
      <c r="MHS536" s="500"/>
      <c r="MHT536" s="500"/>
      <c r="MHU536" s="500"/>
      <c r="MHV536" s="500"/>
      <c r="MHW536" s="500"/>
      <c r="MHX536" s="500"/>
      <c r="MHY536" s="500"/>
      <c r="MHZ536" s="500"/>
      <c r="MIA536" s="500"/>
      <c r="MIB536" s="500"/>
      <c r="MIC536" s="500"/>
      <c r="MID536" s="500"/>
      <c r="MIE536" s="500"/>
      <c r="MIF536" s="500"/>
      <c r="MIG536" s="500"/>
      <c r="MIH536" s="500"/>
      <c r="MII536" s="500"/>
      <c r="MIJ536" s="500"/>
      <c r="MIK536" s="500"/>
      <c r="MIL536" s="500"/>
      <c r="MIM536" s="500"/>
      <c r="MIN536" s="500"/>
      <c r="MIO536" s="500"/>
      <c r="MIP536" s="500"/>
      <c r="MIQ536" s="500"/>
      <c r="MIR536" s="500"/>
      <c r="MIS536" s="500"/>
      <c r="MIT536" s="500"/>
      <c r="MIU536" s="500"/>
      <c r="MIV536" s="500"/>
      <c r="MIW536" s="500"/>
      <c r="MIX536" s="500"/>
      <c r="MIY536" s="500"/>
      <c r="MIZ536" s="500"/>
      <c r="MJA536" s="500"/>
      <c r="MJB536" s="500"/>
      <c r="MJC536" s="500"/>
      <c r="MJD536" s="500"/>
      <c r="MJE536" s="500"/>
      <c r="MJF536" s="500"/>
      <c r="MJG536" s="500"/>
      <c r="MJH536" s="500"/>
      <c r="MJI536" s="500"/>
      <c r="MJJ536" s="500"/>
      <c r="MJK536" s="500"/>
      <c r="MJL536" s="500"/>
      <c r="MJM536" s="500"/>
      <c r="MJN536" s="500"/>
      <c r="MJO536" s="500"/>
      <c r="MJP536" s="500"/>
      <c r="MJQ536" s="500"/>
      <c r="MJR536" s="500"/>
      <c r="MJS536" s="500"/>
      <c r="MJT536" s="500"/>
      <c r="MJU536" s="500"/>
      <c r="MJV536" s="500"/>
      <c r="MJW536" s="500"/>
      <c r="MJX536" s="500"/>
      <c r="MJY536" s="500"/>
      <c r="MJZ536" s="500"/>
      <c r="MKA536" s="500"/>
      <c r="MKB536" s="500"/>
      <c r="MKC536" s="500"/>
      <c r="MKD536" s="500"/>
      <c r="MKE536" s="500"/>
      <c r="MKF536" s="500"/>
      <c r="MKG536" s="500"/>
      <c r="MKH536" s="500"/>
      <c r="MKI536" s="500"/>
      <c r="MKJ536" s="500"/>
      <c r="MKK536" s="500"/>
      <c r="MKL536" s="500"/>
      <c r="MKM536" s="500"/>
      <c r="MKN536" s="500"/>
      <c r="MKO536" s="500"/>
      <c r="MKP536" s="500"/>
      <c r="MKQ536" s="500"/>
      <c r="MKR536" s="500"/>
      <c r="MKS536" s="500"/>
      <c r="MKT536" s="500"/>
      <c r="MKU536" s="500"/>
      <c r="MKV536" s="500"/>
      <c r="MKW536" s="500"/>
      <c r="MKX536" s="500"/>
      <c r="MKY536" s="500"/>
      <c r="MKZ536" s="500"/>
      <c r="MLA536" s="500"/>
      <c r="MLB536" s="500"/>
      <c r="MLC536" s="500"/>
      <c r="MLD536" s="500"/>
      <c r="MLE536" s="500"/>
      <c r="MLF536" s="500"/>
      <c r="MLG536" s="500"/>
      <c r="MLH536" s="500"/>
      <c r="MLI536" s="500"/>
      <c r="MLJ536" s="500"/>
      <c r="MLK536" s="500"/>
      <c r="MLL536" s="500"/>
      <c r="MLM536" s="500"/>
      <c r="MLN536" s="500"/>
      <c r="MLO536" s="500"/>
      <c r="MLP536" s="500"/>
      <c r="MLQ536" s="500"/>
      <c r="MLR536" s="500"/>
      <c r="MLS536" s="500"/>
      <c r="MLT536" s="500"/>
      <c r="MLU536" s="500"/>
      <c r="MLV536" s="500"/>
      <c r="MLW536" s="500"/>
      <c r="MLX536" s="500"/>
      <c r="MLY536" s="500"/>
      <c r="MLZ536" s="500"/>
      <c r="MMA536" s="500"/>
      <c r="MMB536" s="500"/>
      <c r="MMC536" s="500"/>
      <c r="MMD536" s="500"/>
      <c r="MME536" s="500"/>
      <c r="MMF536" s="500"/>
      <c r="MMG536" s="500"/>
      <c r="MMH536" s="500"/>
      <c r="MMI536" s="500"/>
      <c r="MMJ536" s="500"/>
      <c r="MMK536" s="500"/>
      <c r="MML536" s="500"/>
      <c r="MMM536" s="500"/>
      <c r="MMN536" s="500"/>
      <c r="MMO536" s="500"/>
      <c r="MMP536" s="500"/>
      <c r="MMQ536" s="500"/>
      <c r="MMR536" s="500"/>
      <c r="MMS536" s="500"/>
      <c r="MMT536" s="500"/>
      <c r="MMU536" s="500"/>
      <c r="MMV536" s="500"/>
      <c r="MMW536" s="500"/>
      <c r="MMX536" s="500"/>
      <c r="MMY536" s="500"/>
      <c r="MMZ536" s="500"/>
      <c r="MNA536" s="500"/>
      <c r="MNB536" s="500"/>
      <c r="MNC536" s="500"/>
      <c r="MND536" s="500"/>
      <c r="MNE536" s="500"/>
      <c r="MNF536" s="500"/>
      <c r="MNG536" s="500"/>
      <c r="MNH536" s="500"/>
      <c r="MNI536" s="500"/>
      <c r="MNJ536" s="500"/>
      <c r="MNK536" s="500"/>
      <c r="MNL536" s="500"/>
      <c r="MNM536" s="500"/>
      <c r="MNN536" s="500"/>
      <c r="MNO536" s="500"/>
      <c r="MNP536" s="500"/>
      <c r="MNQ536" s="500"/>
      <c r="MNR536" s="500"/>
      <c r="MNS536" s="500"/>
      <c r="MNT536" s="500"/>
      <c r="MNU536" s="500"/>
      <c r="MNV536" s="500"/>
      <c r="MNW536" s="500"/>
      <c r="MNX536" s="500"/>
      <c r="MNY536" s="500"/>
      <c r="MNZ536" s="500"/>
      <c r="MOA536" s="500"/>
      <c r="MOB536" s="500"/>
      <c r="MOC536" s="500"/>
      <c r="MOD536" s="500"/>
      <c r="MOE536" s="500"/>
      <c r="MOF536" s="500"/>
      <c r="MOG536" s="500"/>
      <c r="MOH536" s="500"/>
      <c r="MOI536" s="500"/>
      <c r="MOJ536" s="500"/>
      <c r="MOK536" s="500"/>
      <c r="MOL536" s="500"/>
      <c r="MOM536" s="500"/>
      <c r="MON536" s="500"/>
      <c r="MOO536" s="500"/>
      <c r="MOP536" s="500"/>
      <c r="MOQ536" s="500"/>
      <c r="MOR536" s="500"/>
      <c r="MOS536" s="500"/>
      <c r="MOT536" s="500"/>
      <c r="MOU536" s="500"/>
      <c r="MOV536" s="500"/>
      <c r="MOW536" s="500"/>
      <c r="MOX536" s="500"/>
      <c r="MOY536" s="500"/>
      <c r="MOZ536" s="500"/>
      <c r="MPA536" s="500"/>
      <c r="MPB536" s="500"/>
      <c r="MPC536" s="500"/>
      <c r="MPD536" s="500"/>
      <c r="MPE536" s="500"/>
      <c r="MPF536" s="500"/>
      <c r="MPG536" s="500"/>
      <c r="MPH536" s="500"/>
      <c r="MPI536" s="500"/>
      <c r="MPJ536" s="500"/>
      <c r="MPK536" s="500"/>
      <c r="MPL536" s="500"/>
      <c r="MPM536" s="500"/>
      <c r="MPN536" s="500"/>
      <c r="MPO536" s="500"/>
      <c r="MPP536" s="500"/>
      <c r="MPQ536" s="500"/>
      <c r="MPR536" s="500"/>
      <c r="MPS536" s="500"/>
      <c r="MPT536" s="500"/>
      <c r="MPU536" s="500"/>
      <c r="MPV536" s="500"/>
      <c r="MPW536" s="500"/>
      <c r="MPX536" s="500"/>
      <c r="MPY536" s="500"/>
      <c r="MPZ536" s="500"/>
      <c r="MQA536" s="500"/>
      <c r="MQB536" s="500"/>
      <c r="MQC536" s="500"/>
      <c r="MQD536" s="500"/>
      <c r="MQE536" s="500"/>
      <c r="MQF536" s="500"/>
      <c r="MQG536" s="500"/>
      <c r="MQH536" s="500"/>
      <c r="MQI536" s="500"/>
      <c r="MQJ536" s="500"/>
      <c r="MQK536" s="500"/>
      <c r="MQL536" s="500"/>
      <c r="MQM536" s="500"/>
      <c r="MQN536" s="500"/>
      <c r="MQO536" s="500"/>
      <c r="MQP536" s="500"/>
      <c r="MQQ536" s="500"/>
      <c r="MQR536" s="500"/>
      <c r="MQS536" s="500"/>
      <c r="MQT536" s="500"/>
      <c r="MQU536" s="500"/>
      <c r="MQV536" s="500"/>
      <c r="MQW536" s="500"/>
      <c r="MQX536" s="500"/>
      <c r="MQY536" s="500"/>
      <c r="MQZ536" s="500"/>
      <c r="MRA536" s="500"/>
      <c r="MRB536" s="500"/>
      <c r="MRC536" s="500"/>
      <c r="MRD536" s="500"/>
      <c r="MRE536" s="500"/>
      <c r="MRF536" s="500"/>
      <c r="MRG536" s="500"/>
      <c r="MRH536" s="500"/>
      <c r="MRI536" s="500"/>
      <c r="MRJ536" s="500"/>
      <c r="MRK536" s="500"/>
      <c r="MRL536" s="500"/>
      <c r="MRM536" s="500"/>
      <c r="MRN536" s="500"/>
      <c r="MRO536" s="500"/>
      <c r="MRP536" s="500"/>
      <c r="MRQ536" s="500"/>
      <c r="MRR536" s="500"/>
      <c r="MRS536" s="500"/>
      <c r="MRT536" s="500"/>
      <c r="MRU536" s="500"/>
      <c r="MRV536" s="500"/>
      <c r="MRW536" s="500"/>
      <c r="MRX536" s="500"/>
      <c r="MRY536" s="500"/>
      <c r="MRZ536" s="500"/>
      <c r="MSA536" s="500"/>
      <c r="MSB536" s="500"/>
      <c r="MSC536" s="500"/>
      <c r="MSD536" s="500"/>
      <c r="MSE536" s="500"/>
      <c r="MSF536" s="500"/>
      <c r="MSG536" s="500"/>
      <c r="MSH536" s="500"/>
      <c r="MSI536" s="500"/>
      <c r="MSJ536" s="500"/>
      <c r="MSK536" s="500"/>
      <c r="MSL536" s="500"/>
      <c r="MSM536" s="500"/>
      <c r="MSN536" s="500"/>
      <c r="MSO536" s="500"/>
      <c r="MSP536" s="500"/>
      <c r="MSQ536" s="500"/>
      <c r="MSR536" s="500"/>
      <c r="MSS536" s="500"/>
      <c r="MST536" s="500"/>
      <c r="MSU536" s="500"/>
      <c r="MSV536" s="500"/>
      <c r="MSW536" s="500"/>
      <c r="MSX536" s="500"/>
      <c r="MSY536" s="500"/>
      <c r="MSZ536" s="500"/>
      <c r="MTA536" s="500"/>
      <c r="MTB536" s="500"/>
      <c r="MTC536" s="500"/>
      <c r="MTD536" s="500"/>
      <c r="MTE536" s="500"/>
      <c r="MTF536" s="500"/>
      <c r="MTG536" s="500"/>
      <c r="MTH536" s="500"/>
      <c r="MTI536" s="500"/>
      <c r="MTJ536" s="500"/>
      <c r="MTK536" s="500"/>
      <c r="MTL536" s="500"/>
      <c r="MTM536" s="500"/>
      <c r="MTN536" s="500"/>
      <c r="MTO536" s="500"/>
      <c r="MTP536" s="500"/>
      <c r="MTQ536" s="500"/>
      <c r="MTR536" s="500"/>
      <c r="MTS536" s="500"/>
      <c r="MTT536" s="500"/>
      <c r="MTU536" s="500"/>
      <c r="MTV536" s="500"/>
      <c r="MTW536" s="500"/>
      <c r="MTX536" s="500"/>
      <c r="MTY536" s="500"/>
      <c r="MTZ536" s="500"/>
      <c r="MUA536" s="500"/>
      <c r="MUB536" s="500"/>
      <c r="MUC536" s="500"/>
      <c r="MUD536" s="500"/>
      <c r="MUE536" s="500"/>
      <c r="MUF536" s="500"/>
      <c r="MUG536" s="500"/>
      <c r="MUH536" s="500"/>
      <c r="MUI536" s="500"/>
      <c r="MUJ536" s="500"/>
      <c r="MUK536" s="500"/>
      <c r="MUL536" s="500"/>
      <c r="MUM536" s="500"/>
      <c r="MUN536" s="500"/>
      <c r="MUO536" s="500"/>
      <c r="MUP536" s="500"/>
      <c r="MUQ536" s="500"/>
      <c r="MUR536" s="500"/>
      <c r="MUS536" s="500"/>
      <c r="MUT536" s="500"/>
      <c r="MUU536" s="500"/>
      <c r="MUV536" s="500"/>
      <c r="MUW536" s="500"/>
      <c r="MUX536" s="500"/>
      <c r="MUY536" s="500"/>
      <c r="MUZ536" s="500"/>
      <c r="MVA536" s="500"/>
      <c r="MVB536" s="500"/>
      <c r="MVC536" s="500"/>
      <c r="MVD536" s="500"/>
      <c r="MVE536" s="500"/>
      <c r="MVF536" s="500"/>
      <c r="MVG536" s="500"/>
      <c r="MVH536" s="500"/>
      <c r="MVI536" s="500"/>
      <c r="MVJ536" s="500"/>
      <c r="MVK536" s="500"/>
      <c r="MVL536" s="500"/>
      <c r="MVM536" s="500"/>
      <c r="MVN536" s="500"/>
      <c r="MVO536" s="500"/>
      <c r="MVP536" s="500"/>
      <c r="MVQ536" s="500"/>
      <c r="MVR536" s="500"/>
      <c r="MVS536" s="500"/>
      <c r="MVT536" s="500"/>
      <c r="MVU536" s="500"/>
      <c r="MVV536" s="500"/>
      <c r="MVW536" s="500"/>
      <c r="MVX536" s="500"/>
      <c r="MVY536" s="500"/>
      <c r="MVZ536" s="500"/>
      <c r="MWA536" s="500"/>
      <c r="MWB536" s="500"/>
      <c r="MWC536" s="500"/>
      <c r="MWD536" s="500"/>
      <c r="MWE536" s="500"/>
      <c r="MWF536" s="500"/>
      <c r="MWG536" s="500"/>
      <c r="MWH536" s="500"/>
      <c r="MWI536" s="500"/>
      <c r="MWJ536" s="500"/>
      <c r="MWK536" s="500"/>
      <c r="MWL536" s="500"/>
      <c r="MWM536" s="500"/>
      <c r="MWN536" s="500"/>
      <c r="MWO536" s="500"/>
      <c r="MWP536" s="500"/>
      <c r="MWQ536" s="500"/>
      <c r="MWR536" s="500"/>
      <c r="MWS536" s="500"/>
      <c r="MWT536" s="500"/>
      <c r="MWU536" s="500"/>
      <c r="MWV536" s="500"/>
      <c r="MWW536" s="500"/>
      <c r="MWX536" s="500"/>
      <c r="MWY536" s="500"/>
      <c r="MWZ536" s="500"/>
      <c r="MXA536" s="500"/>
      <c r="MXB536" s="500"/>
      <c r="MXC536" s="500"/>
      <c r="MXD536" s="500"/>
      <c r="MXE536" s="500"/>
      <c r="MXF536" s="500"/>
      <c r="MXG536" s="500"/>
      <c r="MXH536" s="500"/>
      <c r="MXI536" s="500"/>
      <c r="MXJ536" s="500"/>
      <c r="MXK536" s="500"/>
      <c r="MXL536" s="500"/>
      <c r="MXM536" s="500"/>
      <c r="MXN536" s="500"/>
      <c r="MXO536" s="500"/>
      <c r="MXP536" s="500"/>
      <c r="MXQ536" s="500"/>
      <c r="MXR536" s="500"/>
      <c r="MXS536" s="500"/>
      <c r="MXT536" s="500"/>
      <c r="MXU536" s="500"/>
      <c r="MXV536" s="500"/>
      <c r="MXW536" s="500"/>
      <c r="MXX536" s="500"/>
      <c r="MXY536" s="500"/>
      <c r="MXZ536" s="500"/>
      <c r="MYA536" s="500"/>
      <c r="MYB536" s="500"/>
      <c r="MYC536" s="500"/>
      <c r="MYD536" s="500"/>
      <c r="MYE536" s="500"/>
      <c r="MYF536" s="500"/>
      <c r="MYG536" s="500"/>
      <c r="MYH536" s="500"/>
      <c r="MYI536" s="500"/>
      <c r="MYJ536" s="500"/>
      <c r="MYK536" s="500"/>
      <c r="MYL536" s="500"/>
      <c r="MYM536" s="500"/>
      <c r="MYN536" s="500"/>
      <c r="MYO536" s="500"/>
      <c r="MYP536" s="500"/>
      <c r="MYQ536" s="500"/>
      <c r="MYR536" s="500"/>
      <c r="MYS536" s="500"/>
      <c r="MYT536" s="500"/>
      <c r="MYU536" s="500"/>
      <c r="MYV536" s="500"/>
      <c r="MYW536" s="500"/>
      <c r="MYX536" s="500"/>
      <c r="MYY536" s="500"/>
      <c r="MYZ536" s="500"/>
      <c r="MZA536" s="500"/>
      <c r="MZB536" s="500"/>
      <c r="MZC536" s="500"/>
      <c r="MZD536" s="500"/>
      <c r="MZE536" s="500"/>
      <c r="MZF536" s="500"/>
      <c r="MZG536" s="500"/>
      <c r="MZH536" s="500"/>
      <c r="MZI536" s="500"/>
      <c r="MZJ536" s="500"/>
      <c r="MZK536" s="500"/>
      <c r="MZL536" s="500"/>
      <c r="MZM536" s="500"/>
      <c r="MZN536" s="500"/>
      <c r="MZO536" s="500"/>
      <c r="MZP536" s="500"/>
      <c r="MZQ536" s="500"/>
      <c r="MZR536" s="500"/>
      <c r="MZS536" s="500"/>
      <c r="MZT536" s="500"/>
      <c r="MZU536" s="500"/>
      <c r="MZV536" s="500"/>
      <c r="MZW536" s="500"/>
      <c r="MZX536" s="500"/>
      <c r="MZY536" s="500"/>
      <c r="MZZ536" s="500"/>
      <c r="NAA536" s="500"/>
      <c r="NAB536" s="500"/>
      <c r="NAC536" s="500"/>
      <c r="NAD536" s="500"/>
      <c r="NAE536" s="500"/>
      <c r="NAF536" s="500"/>
      <c r="NAG536" s="500"/>
      <c r="NAH536" s="500"/>
      <c r="NAI536" s="500"/>
      <c r="NAJ536" s="500"/>
      <c r="NAK536" s="500"/>
      <c r="NAL536" s="500"/>
      <c r="NAM536" s="500"/>
      <c r="NAN536" s="500"/>
      <c r="NAO536" s="500"/>
      <c r="NAP536" s="500"/>
      <c r="NAQ536" s="500"/>
      <c r="NAR536" s="500"/>
      <c r="NAS536" s="500"/>
      <c r="NAT536" s="500"/>
      <c r="NAU536" s="500"/>
      <c r="NAV536" s="500"/>
      <c r="NAW536" s="500"/>
      <c r="NAX536" s="500"/>
      <c r="NAY536" s="500"/>
      <c r="NAZ536" s="500"/>
      <c r="NBA536" s="500"/>
      <c r="NBB536" s="500"/>
      <c r="NBC536" s="500"/>
      <c r="NBD536" s="500"/>
      <c r="NBE536" s="500"/>
      <c r="NBF536" s="500"/>
      <c r="NBG536" s="500"/>
      <c r="NBH536" s="500"/>
      <c r="NBI536" s="500"/>
      <c r="NBJ536" s="500"/>
      <c r="NBK536" s="500"/>
      <c r="NBL536" s="500"/>
      <c r="NBM536" s="500"/>
      <c r="NBN536" s="500"/>
      <c r="NBO536" s="500"/>
      <c r="NBP536" s="500"/>
      <c r="NBQ536" s="500"/>
      <c r="NBR536" s="500"/>
      <c r="NBS536" s="500"/>
      <c r="NBT536" s="500"/>
      <c r="NBU536" s="500"/>
      <c r="NBV536" s="500"/>
      <c r="NBW536" s="500"/>
      <c r="NBX536" s="500"/>
      <c r="NBY536" s="500"/>
      <c r="NBZ536" s="500"/>
      <c r="NCA536" s="500"/>
      <c r="NCB536" s="500"/>
      <c r="NCC536" s="500"/>
      <c r="NCD536" s="500"/>
      <c r="NCE536" s="500"/>
      <c r="NCF536" s="500"/>
      <c r="NCG536" s="500"/>
      <c r="NCH536" s="500"/>
      <c r="NCI536" s="500"/>
      <c r="NCJ536" s="500"/>
      <c r="NCK536" s="500"/>
      <c r="NCL536" s="500"/>
      <c r="NCM536" s="500"/>
      <c r="NCN536" s="500"/>
      <c r="NCO536" s="500"/>
      <c r="NCP536" s="500"/>
      <c r="NCQ536" s="500"/>
      <c r="NCR536" s="500"/>
      <c r="NCS536" s="500"/>
      <c r="NCT536" s="500"/>
      <c r="NCU536" s="500"/>
      <c r="NCV536" s="500"/>
      <c r="NCW536" s="500"/>
      <c r="NCX536" s="500"/>
      <c r="NCY536" s="500"/>
      <c r="NCZ536" s="500"/>
      <c r="NDA536" s="500"/>
      <c r="NDB536" s="500"/>
      <c r="NDC536" s="500"/>
      <c r="NDD536" s="500"/>
      <c r="NDE536" s="500"/>
      <c r="NDF536" s="500"/>
      <c r="NDG536" s="500"/>
      <c r="NDH536" s="500"/>
      <c r="NDI536" s="500"/>
      <c r="NDJ536" s="500"/>
      <c r="NDK536" s="500"/>
      <c r="NDL536" s="500"/>
      <c r="NDM536" s="500"/>
      <c r="NDN536" s="500"/>
      <c r="NDO536" s="500"/>
      <c r="NDP536" s="500"/>
      <c r="NDQ536" s="500"/>
      <c r="NDR536" s="500"/>
      <c r="NDS536" s="500"/>
      <c r="NDT536" s="500"/>
      <c r="NDU536" s="500"/>
      <c r="NDV536" s="500"/>
      <c r="NDW536" s="500"/>
      <c r="NDX536" s="500"/>
      <c r="NDY536" s="500"/>
      <c r="NDZ536" s="500"/>
      <c r="NEA536" s="500"/>
      <c r="NEB536" s="500"/>
      <c r="NEC536" s="500"/>
      <c r="NED536" s="500"/>
      <c r="NEE536" s="500"/>
      <c r="NEF536" s="500"/>
      <c r="NEG536" s="500"/>
      <c r="NEH536" s="500"/>
      <c r="NEI536" s="500"/>
      <c r="NEJ536" s="500"/>
      <c r="NEK536" s="500"/>
      <c r="NEL536" s="500"/>
      <c r="NEM536" s="500"/>
      <c r="NEN536" s="500"/>
      <c r="NEO536" s="500"/>
      <c r="NEP536" s="500"/>
      <c r="NEQ536" s="500"/>
      <c r="NER536" s="500"/>
      <c r="NES536" s="500"/>
      <c r="NET536" s="500"/>
      <c r="NEU536" s="500"/>
      <c r="NEV536" s="500"/>
      <c r="NEW536" s="500"/>
      <c r="NEX536" s="500"/>
      <c r="NEY536" s="500"/>
      <c r="NEZ536" s="500"/>
      <c r="NFA536" s="500"/>
      <c r="NFB536" s="500"/>
      <c r="NFC536" s="500"/>
      <c r="NFD536" s="500"/>
      <c r="NFE536" s="500"/>
      <c r="NFF536" s="500"/>
      <c r="NFG536" s="500"/>
      <c r="NFH536" s="500"/>
      <c r="NFI536" s="500"/>
      <c r="NFJ536" s="500"/>
      <c r="NFK536" s="500"/>
      <c r="NFL536" s="500"/>
      <c r="NFM536" s="500"/>
      <c r="NFN536" s="500"/>
      <c r="NFO536" s="500"/>
      <c r="NFP536" s="500"/>
      <c r="NFQ536" s="500"/>
      <c r="NFR536" s="500"/>
      <c r="NFS536" s="500"/>
      <c r="NFT536" s="500"/>
      <c r="NFU536" s="500"/>
      <c r="NFV536" s="500"/>
      <c r="NFW536" s="500"/>
      <c r="NFX536" s="500"/>
      <c r="NFY536" s="500"/>
      <c r="NFZ536" s="500"/>
      <c r="NGA536" s="500"/>
      <c r="NGB536" s="500"/>
      <c r="NGC536" s="500"/>
      <c r="NGD536" s="500"/>
      <c r="NGE536" s="500"/>
      <c r="NGF536" s="500"/>
      <c r="NGG536" s="500"/>
      <c r="NGH536" s="500"/>
      <c r="NGI536" s="500"/>
      <c r="NGJ536" s="500"/>
      <c r="NGK536" s="500"/>
      <c r="NGL536" s="500"/>
      <c r="NGM536" s="500"/>
      <c r="NGN536" s="500"/>
      <c r="NGO536" s="500"/>
      <c r="NGP536" s="500"/>
      <c r="NGQ536" s="500"/>
      <c r="NGR536" s="500"/>
      <c r="NGS536" s="500"/>
      <c r="NGT536" s="500"/>
      <c r="NGU536" s="500"/>
      <c r="NGV536" s="500"/>
      <c r="NGW536" s="500"/>
      <c r="NGX536" s="500"/>
      <c r="NGY536" s="500"/>
      <c r="NGZ536" s="500"/>
      <c r="NHA536" s="500"/>
      <c r="NHB536" s="500"/>
      <c r="NHC536" s="500"/>
      <c r="NHD536" s="500"/>
      <c r="NHE536" s="500"/>
      <c r="NHF536" s="500"/>
      <c r="NHG536" s="500"/>
      <c r="NHH536" s="500"/>
      <c r="NHI536" s="500"/>
      <c r="NHJ536" s="500"/>
      <c r="NHK536" s="500"/>
      <c r="NHL536" s="500"/>
      <c r="NHM536" s="500"/>
      <c r="NHN536" s="500"/>
      <c r="NHO536" s="500"/>
      <c r="NHP536" s="500"/>
      <c r="NHQ536" s="500"/>
      <c r="NHR536" s="500"/>
      <c r="NHS536" s="500"/>
      <c r="NHT536" s="500"/>
      <c r="NHU536" s="500"/>
      <c r="NHV536" s="500"/>
      <c r="NHW536" s="500"/>
      <c r="NHX536" s="500"/>
      <c r="NHY536" s="500"/>
      <c r="NHZ536" s="500"/>
      <c r="NIA536" s="500"/>
      <c r="NIB536" s="500"/>
      <c r="NIC536" s="500"/>
      <c r="NID536" s="500"/>
      <c r="NIE536" s="500"/>
      <c r="NIF536" s="500"/>
      <c r="NIG536" s="500"/>
      <c r="NIH536" s="500"/>
      <c r="NII536" s="500"/>
      <c r="NIJ536" s="500"/>
      <c r="NIK536" s="500"/>
      <c r="NIL536" s="500"/>
      <c r="NIM536" s="500"/>
      <c r="NIN536" s="500"/>
      <c r="NIO536" s="500"/>
      <c r="NIP536" s="500"/>
      <c r="NIQ536" s="500"/>
      <c r="NIR536" s="500"/>
      <c r="NIS536" s="500"/>
      <c r="NIT536" s="500"/>
      <c r="NIU536" s="500"/>
      <c r="NIV536" s="500"/>
      <c r="NIW536" s="500"/>
      <c r="NIX536" s="500"/>
      <c r="NIY536" s="500"/>
      <c r="NIZ536" s="500"/>
      <c r="NJA536" s="500"/>
      <c r="NJB536" s="500"/>
      <c r="NJC536" s="500"/>
      <c r="NJD536" s="500"/>
      <c r="NJE536" s="500"/>
      <c r="NJF536" s="500"/>
      <c r="NJG536" s="500"/>
      <c r="NJH536" s="500"/>
      <c r="NJI536" s="500"/>
      <c r="NJJ536" s="500"/>
      <c r="NJK536" s="500"/>
      <c r="NJL536" s="500"/>
      <c r="NJM536" s="500"/>
      <c r="NJN536" s="500"/>
      <c r="NJO536" s="500"/>
      <c r="NJP536" s="500"/>
      <c r="NJQ536" s="500"/>
      <c r="NJR536" s="500"/>
      <c r="NJS536" s="500"/>
      <c r="NJT536" s="500"/>
      <c r="NJU536" s="500"/>
      <c r="NJV536" s="500"/>
      <c r="NJW536" s="500"/>
      <c r="NJX536" s="500"/>
      <c r="NJY536" s="500"/>
      <c r="NJZ536" s="500"/>
      <c r="NKA536" s="500"/>
      <c r="NKB536" s="500"/>
      <c r="NKC536" s="500"/>
      <c r="NKD536" s="500"/>
      <c r="NKE536" s="500"/>
      <c r="NKF536" s="500"/>
      <c r="NKG536" s="500"/>
      <c r="NKH536" s="500"/>
      <c r="NKI536" s="500"/>
      <c r="NKJ536" s="500"/>
      <c r="NKK536" s="500"/>
      <c r="NKL536" s="500"/>
      <c r="NKM536" s="500"/>
      <c r="NKN536" s="500"/>
      <c r="NKO536" s="500"/>
      <c r="NKP536" s="500"/>
      <c r="NKQ536" s="500"/>
      <c r="NKR536" s="500"/>
      <c r="NKS536" s="500"/>
      <c r="NKT536" s="500"/>
      <c r="NKU536" s="500"/>
      <c r="NKV536" s="500"/>
      <c r="NKW536" s="500"/>
      <c r="NKX536" s="500"/>
      <c r="NKY536" s="500"/>
      <c r="NKZ536" s="500"/>
      <c r="NLA536" s="500"/>
      <c r="NLB536" s="500"/>
      <c r="NLC536" s="500"/>
      <c r="NLD536" s="500"/>
      <c r="NLE536" s="500"/>
      <c r="NLF536" s="500"/>
      <c r="NLG536" s="500"/>
      <c r="NLH536" s="500"/>
      <c r="NLI536" s="500"/>
      <c r="NLJ536" s="500"/>
      <c r="NLK536" s="500"/>
      <c r="NLL536" s="500"/>
      <c r="NLM536" s="500"/>
      <c r="NLN536" s="500"/>
      <c r="NLO536" s="500"/>
      <c r="NLP536" s="500"/>
      <c r="NLQ536" s="500"/>
      <c r="NLR536" s="500"/>
      <c r="NLS536" s="500"/>
      <c r="NLT536" s="500"/>
      <c r="NLU536" s="500"/>
      <c r="NLV536" s="500"/>
      <c r="NLW536" s="500"/>
      <c r="NLX536" s="500"/>
      <c r="NLY536" s="500"/>
      <c r="NLZ536" s="500"/>
      <c r="NMA536" s="500"/>
      <c r="NMB536" s="500"/>
      <c r="NMC536" s="500"/>
      <c r="NMD536" s="500"/>
      <c r="NME536" s="500"/>
      <c r="NMF536" s="500"/>
      <c r="NMG536" s="500"/>
      <c r="NMH536" s="500"/>
      <c r="NMI536" s="500"/>
      <c r="NMJ536" s="500"/>
      <c r="NMK536" s="500"/>
      <c r="NML536" s="500"/>
      <c r="NMM536" s="500"/>
      <c r="NMN536" s="500"/>
      <c r="NMO536" s="500"/>
      <c r="NMP536" s="500"/>
      <c r="NMQ536" s="500"/>
      <c r="NMR536" s="500"/>
      <c r="NMS536" s="500"/>
      <c r="NMT536" s="500"/>
      <c r="NMU536" s="500"/>
      <c r="NMV536" s="500"/>
      <c r="NMW536" s="500"/>
      <c r="NMX536" s="500"/>
      <c r="NMY536" s="500"/>
      <c r="NMZ536" s="500"/>
      <c r="NNA536" s="500"/>
      <c r="NNB536" s="500"/>
      <c r="NNC536" s="500"/>
      <c r="NND536" s="500"/>
      <c r="NNE536" s="500"/>
      <c r="NNF536" s="500"/>
      <c r="NNG536" s="500"/>
      <c r="NNH536" s="500"/>
      <c r="NNI536" s="500"/>
      <c r="NNJ536" s="500"/>
      <c r="NNK536" s="500"/>
      <c r="NNL536" s="500"/>
      <c r="NNM536" s="500"/>
      <c r="NNN536" s="500"/>
      <c r="NNO536" s="500"/>
      <c r="NNP536" s="500"/>
      <c r="NNQ536" s="500"/>
      <c r="NNR536" s="500"/>
      <c r="NNS536" s="500"/>
      <c r="NNT536" s="500"/>
      <c r="NNU536" s="500"/>
      <c r="NNV536" s="500"/>
      <c r="NNW536" s="500"/>
      <c r="NNX536" s="500"/>
      <c r="NNY536" s="500"/>
      <c r="NNZ536" s="500"/>
      <c r="NOA536" s="500"/>
      <c r="NOB536" s="500"/>
      <c r="NOC536" s="500"/>
      <c r="NOD536" s="500"/>
      <c r="NOE536" s="500"/>
      <c r="NOF536" s="500"/>
      <c r="NOG536" s="500"/>
      <c r="NOH536" s="500"/>
      <c r="NOI536" s="500"/>
      <c r="NOJ536" s="500"/>
      <c r="NOK536" s="500"/>
      <c r="NOL536" s="500"/>
      <c r="NOM536" s="500"/>
      <c r="NON536" s="500"/>
      <c r="NOO536" s="500"/>
      <c r="NOP536" s="500"/>
      <c r="NOQ536" s="500"/>
      <c r="NOR536" s="500"/>
      <c r="NOS536" s="500"/>
      <c r="NOT536" s="500"/>
      <c r="NOU536" s="500"/>
      <c r="NOV536" s="500"/>
      <c r="NOW536" s="500"/>
      <c r="NOX536" s="500"/>
      <c r="NOY536" s="500"/>
      <c r="NOZ536" s="500"/>
      <c r="NPA536" s="500"/>
      <c r="NPB536" s="500"/>
      <c r="NPC536" s="500"/>
      <c r="NPD536" s="500"/>
      <c r="NPE536" s="500"/>
      <c r="NPF536" s="500"/>
      <c r="NPG536" s="500"/>
      <c r="NPH536" s="500"/>
      <c r="NPI536" s="500"/>
      <c r="NPJ536" s="500"/>
      <c r="NPK536" s="500"/>
      <c r="NPL536" s="500"/>
      <c r="NPM536" s="500"/>
      <c r="NPN536" s="500"/>
      <c r="NPO536" s="500"/>
      <c r="NPP536" s="500"/>
      <c r="NPQ536" s="500"/>
      <c r="NPR536" s="500"/>
      <c r="NPS536" s="500"/>
      <c r="NPT536" s="500"/>
      <c r="NPU536" s="500"/>
      <c r="NPV536" s="500"/>
      <c r="NPW536" s="500"/>
      <c r="NPX536" s="500"/>
      <c r="NPY536" s="500"/>
      <c r="NPZ536" s="500"/>
      <c r="NQA536" s="500"/>
      <c r="NQB536" s="500"/>
      <c r="NQC536" s="500"/>
      <c r="NQD536" s="500"/>
      <c r="NQE536" s="500"/>
      <c r="NQF536" s="500"/>
      <c r="NQG536" s="500"/>
      <c r="NQH536" s="500"/>
      <c r="NQI536" s="500"/>
      <c r="NQJ536" s="500"/>
      <c r="NQK536" s="500"/>
      <c r="NQL536" s="500"/>
      <c r="NQM536" s="500"/>
      <c r="NQN536" s="500"/>
      <c r="NQO536" s="500"/>
      <c r="NQP536" s="500"/>
      <c r="NQQ536" s="500"/>
      <c r="NQR536" s="500"/>
      <c r="NQS536" s="500"/>
      <c r="NQT536" s="500"/>
      <c r="NQU536" s="500"/>
      <c r="NQV536" s="500"/>
      <c r="NQW536" s="500"/>
      <c r="NQX536" s="500"/>
      <c r="NQY536" s="500"/>
      <c r="NQZ536" s="500"/>
      <c r="NRA536" s="500"/>
      <c r="NRB536" s="500"/>
      <c r="NRC536" s="500"/>
      <c r="NRD536" s="500"/>
      <c r="NRE536" s="500"/>
      <c r="NRF536" s="500"/>
      <c r="NRG536" s="500"/>
      <c r="NRH536" s="500"/>
      <c r="NRI536" s="500"/>
      <c r="NRJ536" s="500"/>
      <c r="NRK536" s="500"/>
      <c r="NRL536" s="500"/>
      <c r="NRM536" s="500"/>
      <c r="NRN536" s="500"/>
      <c r="NRO536" s="500"/>
      <c r="NRP536" s="500"/>
      <c r="NRQ536" s="500"/>
      <c r="NRR536" s="500"/>
      <c r="NRS536" s="500"/>
      <c r="NRT536" s="500"/>
      <c r="NRU536" s="500"/>
      <c r="NRV536" s="500"/>
      <c r="NRW536" s="500"/>
      <c r="NRX536" s="500"/>
      <c r="NRY536" s="500"/>
      <c r="NRZ536" s="500"/>
      <c r="NSA536" s="500"/>
      <c r="NSB536" s="500"/>
      <c r="NSC536" s="500"/>
      <c r="NSD536" s="500"/>
      <c r="NSE536" s="500"/>
      <c r="NSF536" s="500"/>
      <c r="NSG536" s="500"/>
      <c r="NSH536" s="500"/>
      <c r="NSI536" s="500"/>
      <c r="NSJ536" s="500"/>
      <c r="NSK536" s="500"/>
      <c r="NSL536" s="500"/>
      <c r="NSM536" s="500"/>
      <c r="NSN536" s="500"/>
      <c r="NSO536" s="500"/>
      <c r="NSP536" s="500"/>
      <c r="NSQ536" s="500"/>
      <c r="NSR536" s="500"/>
      <c r="NSS536" s="500"/>
      <c r="NST536" s="500"/>
      <c r="NSU536" s="500"/>
      <c r="NSV536" s="500"/>
      <c r="NSW536" s="500"/>
      <c r="NSX536" s="500"/>
      <c r="NSY536" s="500"/>
      <c r="NSZ536" s="500"/>
      <c r="NTA536" s="500"/>
      <c r="NTB536" s="500"/>
      <c r="NTC536" s="500"/>
      <c r="NTD536" s="500"/>
      <c r="NTE536" s="500"/>
      <c r="NTF536" s="500"/>
      <c r="NTG536" s="500"/>
      <c r="NTH536" s="500"/>
      <c r="NTI536" s="500"/>
      <c r="NTJ536" s="500"/>
      <c r="NTK536" s="500"/>
      <c r="NTL536" s="500"/>
      <c r="NTM536" s="500"/>
      <c r="NTN536" s="500"/>
      <c r="NTO536" s="500"/>
      <c r="NTP536" s="500"/>
      <c r="NTQ536" s="500"/>
      <c r="NTR536" s="500"/>
      <c r="NTS536" s="500"/>
      <c r="NTT536" s="500"/>
      <c r="NTU536" s="500"/>
      <c r="NTV536" s="500"/>
      <c r="NTW536" s="500"/>
      <c r="NTX536" s="500"/>
      <c r="NTY536" s="500"/>
      <c r="NTZ536" s="500"/>
      <c r="NUA536" s="500"/>
      <c r="NUB536" s="500"/>
      <c r="NUC536" s="500"/>
      <c r="NUD536" s="500"/>
      <c r="NUE536" s="500"/>
      <c r="NUF536" s="500"/>
      <c r="NUG536" s="500"/>
      <c r="NUH536" s="500"/>
      <c r="NUI536" s="500"/>
      <c r="NUJ536" s="500"/>
      <c r="NUK536" s="500"/>
      <c r="NUL536" s="500"/>
      <c r="NUM536" s="500"/>
      <c r="NUN536" s="500"/>
      <c r="NUO536" s="500"/>
      <c r="NUP536" s="500"/>
      <c r="NUQ536" s="500"/>
      <c r="NUR536" s="500"/>
      <c r="NUS536" s="500"/>
      <c r="NUT536" s="500"/>
      <c r="NUU536" s="500"/>
      <c r="NUV536" s="500"/>
      <c r="NUW536" s="500"/>
      <c r="NUX536" s="500"/>
      <c r="NUY536" s="500"/>
      <c r="NUZ536" s="500"/>
      <c r="NVA536" s="500"/>
      <c r="NVB536" s="500"/>
      <c r="NVC536" s="500"/>
      <c r="NVD536" s="500"/>
      <c r="NVE536" s="500"/>
      <c r="NVF536" s="500"/>
      <c r="NVG536" s="500"/>
      <c r="NVH536" s="500"/>
      <c r="NVI536" s="500"/>
      <c r="NVJ536" s="500"/>
      <c r="NVK536" s="500"/>
      <c r="NVL536" s="500"/>
      <c r="NVM536" s="500"/>
      <c r="NVN536" s="500"/>
      <c r="NVO536" s="500"/>
      <c r="NVP536" s="500"/>
      <c r="NVQ536" s="500"/>
      <c r="NVR536" s="500"/>
      <c r="NVS536" s="500"/>
      <c r="NVT536" s="500"/>
      <c r="NVU536" s="500"/>
      <c r="NVV536" s="500"/>
      <c r="NVW536" s="500"/>
      <c r="NVX536" s="500"/>
      <c r="NVY536" s="500"/>
      <c r="NVZ536" s="500"/>
      <c r="NWA536" s="500"/>
      <c r="NWB536" s="500"/>
      <c r="NWC536" s="500"/>
      <c r="NWD536" s="500"/>
      <c r="NWE536" s="500"/>
      <c r="NWF536" s="500"/>
      <c r="NWG536" s="500"/>
      <c r="NWH536" s="500"/>
      <c r="NWI536" s="500"/>
      <c r="NWJ536" s="500"/>
      <c r="NWK536" s="500"/>
      <c r="NWL536" s="500"/>
      <c r="NWM536" s="500"/>
      <c r="NWN536" s="500"/>
      <c r="NWO536" s="500"/>
      <c r="NWP536" s="500"/>
      <c r="NWQ536" s="500"/>
      <c r="NWR536" s="500"/>
      <c r="NWS536" s="500"/>
      <c r="NWT536" s="500"/>
      <c r="NWU536" s="500"/>
      <c r="NWV536" s="500"/>
      <c r="NWW536" s="500"/>
      <c r="NWX536" s="500"/>
      <c r="NWY536" s="500"/>
      <c r="NWZ536" s="500"/>
      <c r="NXA536" s="500"/>
      <c r="NXB536" s="500"/>
      <c r="NXC536" s="500"/>
      <c r="NXD536" s="500"/>
      <c r="NXE536" s="500"/>
      <c r="NXF536" s="500"/>
      <c r="NXG536" s="500"/>
      <c r="NXH536" s="500"/>
      <c r="NXI536" s="500"/>
      <c r="NXJ536" s="500"/>
      <c r="NXK536" s="500"/>
      <c r="NXL536" s="500"/>
      <c r="NXM536" s="500"/>
      <c r="NXN536" s="500"/>
      <c r="NXO536" s="500"/>
      <c r="NXP536" s="500"/>
      <c r="NXQ536" s="500"/>
      <c r="NXR536" s="500"/>
      <c r="NXS536" s="500"/>
      <c r="NXT536" s="500"/>
      <c r="NXU536" s="500"/>
      <c r="NXV536" s="500"/>
      <c r="NXW536" s="500"/>
      <c r="NXX536" s="500"/>
      <c r="NXY536" s="500"/>
      <c r="NXZ536" s="500"/>
      <c r="NYA536" s="500"/>
      <c r="NYB536" s="500"/>
      <c r="NYC536" s="500"/>
      <c r="NYD536" s="500"/>
      <c r="NYE536" s="500"/>
      <c r="NYF536" s="500"/>
      <c r="NYG536" s="500"/>
      <c r="NYH536" s="500"/>
      <c r="NYI536" s="500"/>
      <c r="NYJ536" s="500"/>
      <c r="NYK536" s="500"/>
      <c r="NYL536" s="500"/>
      <c r="NYM536" s="500"/>
      <c r="NYN536" s="500"/>
      <c r="NYO536" s="500"/>
      <c r="NYP536" s="500"/>
      <c r="NYQ536" s="500"/>
      <c r="NYR536" s="500"/>
      <c r="NYS536" s="500"/>
      <c r="NYT536" s="500"/>
      <c r="NYU536" s="500"/>
      <c r="NYV536" s="500"/>
      <c r="NYW536" s="500"/>
      <c r="NYX536" s="500"/>
      <c r="NYY536" s="500"/>
      <c r="NYZ536" s="500"/>
      <c r="NZA536" s="500"/>
      <c r="NZB536" s="500"/>
      <c r="NZC536" s="500"/>
      <c r="NZD536" s="500"/>
      <c r="NZE536" s="500"/>
      <c r="NZF536" s="500"/>
      <c r="NZG536" s="500"/>
      <c r="NZH536" s="500"/>
      <c r="NZI536" s="500"/>
      <c r="NZJ536" s="500"/>
      <c r="NZK536" s="500"/>
      <c r="NZL536" s="500"/>
      <c r="NZM536" s="500"/>
      <c r="NZN536" s="500"/>
      <c r="NZO536" s="500"/>
      <c r="NZP536" s="500"/>
      <c r="NZQ536" s="500"/>
      <c r="NZR536" s="500"/>
      <c r="NZS536" s="500"/>
      <c r="NZT536" s="500"/>
      <c r="NZU536" s="500"/>
      <c r="NZV536" s="500"/>
      <c r="NZW536" s="500"/>
      <c r="NZX536" s="500"/>
      <c r="NZY536" s="500"/>
      <c r="NZZ536" s="500"/>
      <c r="OAA536" s="500"/>
      <c r="OAB536" s="500"/>
      <c r="OAC536" s="500"/>
      <c r="OAD536" s="500"/>
      <c r="OAE536" s="500"/>
      <c r="OAF536" s="500"/>
      <c r="OAG536" s="500"/>
      <c r="OAH536" s="500"/>
      <c r="OAI536" s="500"/>
      <c r="OAJ536" s="500"/>
      <c r="OAK536" s="500"/>
      <c r="OAL536" s="500"/>
      <c r="OAM536" s="500"/>
      <c r="OAN536" s="500"/>
      <c r="OAO536" s="500"/>
      <c r="OAP536" s="500"/>
      <c r="OAQ536" s="500"/>
      <c r="OAR536" s="500"/>
      <c r="OAS536" s="500"/>
      <c r="OAT536" s="500"/>
      <c r="OAU536" s="500"/>
      <c r="OAV536" s="500"/>
      <c r="OAW536" s="500"/>
      <c r="OAX536" s="500"/>
      <c r="OAY536" s="500"/>
      <c r="OAZ536" s="500"/>
      <c r="OBA536" s="500"/>
      <c r="OBB536" s="500"/>
      <c r="OBC536" s="500"/>
      <c r="OBD536" s="500"/>
      <c r="OBE536" s="500"/>
      <c r="OBF536" s="500"/>
      <c r="OBG536" s="500"/>
      <c r="OBH536" s="500"/>
      <c r="OBI536" s="500"/>
      <c r="OBJ536" s="500"/>
      <c r="OBK536" s="500"/>
      <c r="OBL536" s="500"/>
      <c r="OBM536" s="500"/>
      <c r="OBN536" s="500"/>
      <c r="OBO536" s="500"/>
      <c r="OBP536" s="500"/>
      <c r="OBQ536" s="500"/>
      <c r="OBR536" s="500"/>
      <c r="OBS536" s="500"/>
      <c r="OBT536" s="500"/>
      <c r="OBU536" s="500"/>
      <c r="OBV536" s="500"/>
      <c r="OBW536" s="500"/>
      <c r="OBX536" s="500"/>
      <c r="OBY536" s="500"/>
      <c r="OBZ536" s="500"/>
      <c r="OCA536" s="500"/>
      <c r="OCB536" s="500"/>
      <c r="OCC536" s="500"/>
      <c r="OCD536" s="500"/>
      <c r="OCE536" s="500"/>
      <c r="OCF536" s="500"/>
      <c r="OCG536" s="500"/>
      <c r="OCH536" s="500"/>
      <c r="OCI536" s="500"/>
      <c r="OCJ536" s="500"/>
      <c r="OCK536" s="500"/>
      <c r="OCL536" s="500"/>
      <c r="OCM536" s="500"/>
      <c r="OCN536" s="500"/>
      <c r="OCO536" s="500"/>
      <c r="OCP536" s="500"/>
      <c r="OCQ536" s="500"/>
      <c r="OCR536" s="500"/>
      <c r="OCS536" s="500"/>
      <c r="OCT536" s="500"/>
      <c r="OCU536" s="500"/>
      <c r="OCV536" s="500"/>
      <c r="OCW536" s="500"/>
      <c r="OCX536" s="500"/>
      <c r="OCY536" s="500"/>
      <c r="OCZ536" s="500"/>
      <c r="ODA536" s="500"/>
      <c r="ODB536" s="500"/>
      <c r="ODC536" s="500"/>
      <c r="ODD536" s="500"/>
      <c r="ODE536" s="500"/>
      <c r="ODF536" s="500"/>
      <c r="ODG536" s="500"/>
      <c r="ODH536" s="500"/>
      <c r="ODI536" s="500"/>
      <c r="ODJ536" s="500"/>
      <c r="ODK536" s="500"/>
      <c r="ODL536" s="500"/>
      <c r="ODM536" s="500"/>
      <c r="ODN536" s="500"/>
      <c r="ODO536" s="500"/>
      <c r="ODP536" s="500"/>
      <c r="ODQ536" s="500"/>
      <c r="ODR536" s="500"/>
      <c r="ODS536" s="500"/>
      <c r="ODT536" s="500"/>
      <c r="ODU536" s="500"/>
      <c r="ODV536" s="500"/>
      <c r="ODW536" s="500"/>
      <c r="ODX536" s="500"/>
      <c r="ODY536" s="500"/>
      <c r="ODZ536" s="500"/>
      <c r="OEA536" s="500"/>
      <c r="OEB536" s="500"/>
      <c r="OEC536" s="500"/>
      <c r="OED536" s="500"/>
      <c r="OEE536" s="500"/>
      <c r="OEF536" s="500"/>
      <c r="OEG536" s="500"/>
      <c r="OEH536" s="500"/>
      <c r="OEI536" s="500"/>
      <c r="OEJ536" s="500"/>
      <c r="OEK536" s="500"/>
      <c r="OEL536" s="500"/>
      <c r="OEM536" s="500"/>
      <c r="OEN536" s="500"/>
      <c r="OEO536" s="500"/>
      <c r="OEP536" s="500"/>
      <c r="OEQ536" s="500"/>
      <c r="OER536" s="500"/>
      <c r="OES536" s="500"/>
      <c r="OET536" s="500"/>
      <c r="OEU536" s="500"/>
      <c r="OEV536" s="500"/>
      <c r="OEW536" s="500"/>
      <c r="OEX536" s="500"/>
      <c r="OEY536" s="500"/>
      <c r="OEZ536" s="500"/>
      <c r="OFA536" s="500"/>
      <c r="OFB536" s="500"/>
      <c r="OFC536" s="500"/>
      <c r="OFD536" s="500"/>
      <c r="OFE536" s="500"/>
      <c r="OFF536" s="500"/>
      <c r="OFG536" s="500"/>
      <c r="OFH536" s="500"/>
      <c r="OFI536" s="500"/>
      <c r="OFJ536" s="500"/>
      <c r="OFK536" s="500"/>
      <c r="OFL536" s="500"/>
      <c r="OFM536" s="500"/>
      <c r="OFN536" s="500"/>
      <c r="OFO536" s="500"/>
      <c r="OFP536" s="500"/>
      <c r="OFQ536" s="500"/>
      <c r="OFR536" s="500"/>
      <c r="OFS536" s="500"/>
      <c r="OFT536" s="500"/>
      <c r="OFU536" s="500"/>
      <c r="OFV536" s="500"/>
      <c r="OFW536" s="500"/>
      <c r="OFX536" s="500"/>
      <c r="OFY536" s="500"/>
      <c r="OFZ536" s="500"/>
      <c r="OGA536" s="500"/>
      <c r="OGB536" s="500"/>
      <c r="OGC536" s="500"/>
      <c r="OGD536" s="500"/>
      <c r="OGE536" s="500"/>
      <c r="OGF536" s="500"/>
      <c r="OGG536" s="500"/>
      <c r="OGH536" s="500"/>
      <c r="OGI536" s="500"/>
      <c r="OGJ536" s="500"/>
      <c r="OGK536" s="500"/>
      <c r="OGL536" s="500"/>
      <c r="OGM536" s="500"/>
      <c r="OGN536" s="500"/>
      <c r="OGO536" s="500"/>
      <c r="OGP536" s="500"/>
      <c r="OGQ536" s="500"/>
      <c r="OGR536" s="500"/>
      <c r="OGS536" s="500"/>
      <c r="OGT536" s="500"/>
      <c r="OGU536" s="500"/>
      <c r="OGV536" s="500"/>
      <c r="OGW536" s="500"/>
      <c r="OGX536" s="500"/>
      <c r="OGY536" s="500"/>
      <c r="OGZ536" s="500"/>
      <c r="OHA536" s="500"/>
      <c r="OHB536" s="500"/>
      <c r="OHC536" s="500"/>
      <c r="OHD536" s="500"/>
      <c r="OHE536" s="500"/>
      <c r="OHF536" s="500"/>
      <c r="OHG536" s="500"/>
      <c r="OHH536" s="500"/>
      <c r="OHI536" s="500"/>
      <c r="OHJ536" s="500"/>
      <c r="OHK536" s="500"/>
      <c r="OHL536" s="500"/>
      <c r="OHM536" s="500"/>
      <c r="OHN536" s="500"/>
      <c r="OHO536" s="500"/>
      <c r="OHP536" s="500"/>
      <c r="OHQ536" s="500"/>
      <c r="OHR536" s="500"/>
      <c r="OHS536" s="500"/>
      <c r="OHT536" s="500"/>
      <c r="OHU536" s="500"/>
      <c r="OHV536" s="500"/>
      <c r="OHW536" s="500"/>
      <c r="OHX536" s="500"/>
      <c r="OHY536" s="500"/>
      <c r="OHZ536" s="500"/>
      <c r="OIA536" s="500"/>
      <c r="OIB536" s="500"/>
      <c r="OIC536" s="500"/>
      <c r="OID536" s="500"/>
      <c r="OIE536" s="500"/>
      <c r="OIF536" s="500"/>
      <c r="OIG536" s="500"/>
      <c r="OIH536" s="500"/>
      <c r="OII536" s="500"/>
      <c r="OIJ536" s="500"/>
      <c r="OIK536" s="500"/>
      <c r="OIL536" s="500"/>
      <c r="OIM536" s="500"/>
      <c r="OIN536" s="500"/>
      <c r="OIO536" s="500"/>
      <c r="OIP536" s="500"/>
      <c r="OIQ536" s="500"/>
      <c r="OIR536" s="500"/>
      <c r="OIS536" s="500"/>
      <c r="OIT536" s="500"/>
      <c r="OIU536" s="500"/>
      <c r="OIV536" s="500"/>
      <c r="OIW536" s="500"/>
      <c r="OIX536" s="500"/>
      <c r="OIY536" s="500"/>
      <c r="OIZ536" s="500"/>
      <c r="OJA536" s="500"/>
      <c r="OJB536" s="500"/>
      <c r="OJC536" s="500"/>
      <c r="OJD536" s="500"/>
      <c r="OJE536" s="500"/>
      <c r="OJF536" s="500"/>
      <c r="OJG536" s="500"/>
      <c r="OJH536" s="500"/>
      <c r="OJI536" s="500"/>
      <c r="OJJ536" s="500"/>
      <c r="OJK536" s="500"/>
      <c r="OJL536" s="500"/>
      <c r="OJM536" s="500"/>
      <c r="OJN536" s="500"/>
      <c r="OJO536" s="500"/>
      <c r="OJP536" s="500"/>
      <c r="OJQ536" s="500"/>
      <c r="OJR536" s="500"/>
      <c r="OJS536" s="500"/>
      <c r="OJT536" s="500"/>
      <c r="OJU536" s="500"/>
      <c r="OJV536" s="500"/>
      <c r="OJW536" s="500"/>
      <c r="OJX536" s="500"/>
      <c r="OJY536" s="500"/>
      <c r="OJZ536" s="500"/>
      <c r="OKA536" s="500"/>
      <c r="OKB536" s="500"/>
      <c r="OKC536" s="500"/>
      <c r="OKD536" s="500"/>
      <c r="OKE536" s="500"/>
      <c r="OKF536" s="500"/>
      <c r="OKG536" s="500"/>
      <c r="OKH536" s="500"/>
      <c r="OKI536" s="500"/>
      <c r="OKJ536" s="500"/>
      <c r="OKK536" s="500"/>
      <c r="OKL536" s="500"/>
      <c r="OKM536" s="500"/>
      <c r="OKN536" s="500"/>
      <c r="OKO536" s="500"/>
      <c r="OKP536" s="500"/>
      <c r="OKQ536" s="500"/>
      <c r="OKR536" s="500"/>
      <c r="OKS536" s="500"/>
      <c r="OKT536" s="500"/>
      <c r="OKU536" s="500"/>
      <c r="OKV536" s="500"/>
      <c r="OKW536" s="500"/>
      <c r="OKX536" s="500"/>
      <c r="OKY536" s="500"/>
      <c r="OKZ536" s="500"/>
      <c r="OLA536" s="500"/>
      <c r="OLB536" s="500"/>
      <c r="OLC536" s="500"/>
      <c r="OLD536" s="500"/>
      <c r="OLE536" s="500"/>
      <c r="OLF536" s="500"/>
      <c r="OLG536" s="500"/>
      <c r="OLH536" s="500"/>
      <c r="OLI536" s="500"/>
      <c r="OLJ536" s="500"/>
      <c r="OLK536" s="500"/>
      <c r="OLL536" s="500"/>
      <c r="OLM536" s="500"/>
      <c r="OLN536" s="500"/>
      <c r="OLO536" s="500"/>
      <c r="OLP536" s="500"/>
      <c r="OLQ536" s="500"/>
      <c r="OLR536" s="500"/>
      <c r="OLS536" s="500"/>
      <c r="OLT536" s="500"/>
      <c r="OLU536" s="500"/>
      <c r="OLV536" s="500"/>
      <c r="OLW536" s="500"/>
      <c r="OLX536" s="500"/>
      <c r="OLY536" s="500"/>
      <c r="OLZ536" s="500"/>
      <c r="OMA536" s="500"/>
      <c r="OMB536" s="500"/>
      <c r="OMC536" s="500"/>
      <c r="OMD536" s="500"/>
      <c r="OME536" s="500"/>
      <c r="OMF536" s="500"/>
      <c r="OMG536" s="500"/>
      <c r="OMH536" s="500"/>
      <c r="OMI536" s="500"/>
      <c r="OMJ536" s="500"/>
      <c r="OMK536" s="500"/>
      <c r="OML536" s="500"/>
      <c r="OMM536" s="500"/>
      <c r="OMN536" s="500"/>
      <c r="OMO536" s="500"/>
      <c r="OMP536" s="500"/>
      <c r="OMQ536" s="500"/>
      <c r="OMR536" s="500"/>
      <c r="OMS536" s="500"/>
      <c r="OMT536" s="500"/>
      <c r="OMU536" s="500"/>
      <c r="OMV536" s="500"/>
      <c r="OMW536" s="500"/>
      <c r="OMX536" s="500"/>
      <c r="OMY536" s="500"/>
      <c r="OMZ536" s="500"/>
      <c r="ONA536" s="500"/>
      <c r="ONB536" s="500"/>
      <c r="ONC536" s="500"/>
      <c r="OND536" s="500"/>
      <c r="ONE536" s="500"/>
      <c r="ONF536" s="500"/>
      <c r="ONG536" s="500"/>
      <c r="ONH536" s="500"/>
      <c r="ONI536" s="500"/>
      <c r="ONJ536" s="500"/>
      <c r="ONK536" s="500"/>
      <c r="ONL536" s="500"/>
      <c r="ONM536" s="500"/>
      <c r="ONN536" s="500"/>
      <c r="ONO536" s="500"/>
      <c r="ONP536" s="500"/>
      <c r="ONQ536" s="500"/>
      <c r="ONR536" s="500"/>
      <c r="ONS536" s="500"/>
      <c r="ONT536" s="500"/>
      <c r="ONU536" s="500"/>
      <c r="ONV536" s="500"/>
      <c r="ONW536" s="500"/>
      <c r="ONX536" s="500"/>
      <c r="ONY536" s="500"/>
      <c r="ONZ536" s="500"/>
      <c r="OOA536" s="500"/>
      <c r="OOB536" s="500"/>
      <c r="OOC536" s="500"/>
      <c r="OOD536" s="500"/>
      <c r="OOE536" s="500"/>
      <c r="OOF536" s="500"/>
      <c r="OOG536" s="500"/>
      <c r="OOH536" s="500"/>
      <c r="OOI536" s="500"/>
      <c r="OOJ536" s="500"/>
      <c r="OOK536" s="500"/>
      <c r="OOL536" s="500"/>
      <c r="OOM536" s="500"/>
      <c r="OON536" s="500"/>
      <c r="OOO536" s="500"/>
      <c r="OOP536" s="500"/>
      <c r="OOQ536" s="500"/>
      <c r="OOR536" s="500"/>
      <c r="OOS536" s="500"/>
      <c r="OOT536" s="500"/>
      <c r="OOU536" s="500"/>
      <c r="OOV536" s="500"/>
      <c r="OOW536" s="500"/>
      <c r="OOX536" s="500"/>
      <c r="OOY536" s="500"/>
      <c r="OOZ536" s="500"/>
      <c r="OPA536" s="500"/>
      <c r="OPB536" s="500"/>
      <c r="OPC536" s="500"/>
      <c r="OPD536" s="500"/>
      <c r="OPE536" s="500"/>
      <c r="OPF536" s="500"/>
      <c r="OPG536" s="500"/>
      <c r="OPH536" s="500"/>
      <c r="OPI536" s="500"/>
      <c r="OPJ536" s="500"/>
      <c r="OPK536" s="500"/>
      <c r="OPL536" s="500"/>
      <c r="OPM536" s="500"/>
      <c r="OPN536" s="500"/>
      <c r="OPO536" s="500"/>
      <c r="OPP536" s="500"/>
      <c r="OPQ536" s="500"/>
      <c r="OPR536" s="500"/>
      <c r="OPS536" s="500"/>
      <c r="OPT536" s="500"/>
      <c r="OPU536" s="500"/>
      <c r="OPV536" s="500"/>
      <c r="OPW536" s="500"/>
      <c r="OPX536" s="500"/>
      <c r="OPY536" s="500"/>
      <c r="OPZ536" s="500"/>
      <c r="OQA536" s="500"/>
      <c r="OQB536" s="500"/>
      <c r="OQC536" s="500"/>
      <c r="OQD536" s="500"/>
      <c r="OQE536" s="500"/>
      <c r="OQF536" s="500"/>
      <c r="OQG536" s="500"/>
      <c r="OQH536" s="500"/>
      <c r="OQI536" s="500"/>
      <c r="OQJ536" s="500"/>
      <c r="OQK536" s="500"/>
      <c r="OQL536" s="500"/>
      <c r="OQM536" s="500"/>
      <c r="OQN536" s="500"/>
      <c r="OQO536" s="500"/>
      <c r="OQP536" s="500"/>
      <c r="OQQ536" s="500"/>
      <c r="OQR536" s="500"/>
      <c r="OQS536" s="500"/>
      <c r="OQT536" s="500"/>
      <c r="OQU536" s="500"/>
      <c r="OQV536" s="500"/>
      <c r="OQW536" s="500"/>
      <c r="OQX536" s="500"/>
      <c r="OQY536" s="500"/>
      <c r="OQZ536" s="500"/>
      <c r="ORA536" s="500"/>
      <c r="ORB536" s="500"/>
      <c r="ORC536" s="500"/>
      <c r="ORD536" s="500"/>
      <c r="ORE536" s="500"/>
      <c r="ORF536" s="500"/>
      <c r="ORG536" s="500"/>
      <c r="ORH536" s="500"/>
      <c r="ORI536" s="500"/>
      <c r="ORJ536" s="500"/>
      <c r="ORK536" s="500"/>
      <c r="ORL536" s="500"/>
      <c r="ORM536" s="500"/>
      <c r="ORN536" s="500"/>
      <c r="ORO536" s="500"/>
      <c r="ORP536" s="500"/>
      <c r="ORQ536" s="500"/>
      <c r="ORR536" s="500"/>
      <c r="ORS536" s="500"/>
      <c r="ORT536" s="500"/>
      <c r="ORU536" s="500"/>
      <c r="ORV536" s="500"/>
      <c r="ORW536" s="500"/>
      <c r="ORX536" s="500"/>
      <c r="ORY536" s="500"/>
      <c r="ORZ536" s="500"/>
      <c r="OSA536" s="500"/>
      <c r="OSB536" s="500"/>
      <c r="OSC536" s="500"/>
      <c r="OSD536" s="500"/>
      <c r="OSE536" s="500"/>
      <c r="OSF536" s="500"/>
      <c r="OSG536" s="500"/>
      <c r="OSH536" s="500"/>
      <c r="OSI536" s="500"/>
      <c r="OSJ536" s="500"/>
      <c r="OSK536" s="500"/>
      <c r="OSL536" s="500"/>
      <c r="OSM536" s="500"/>
      <c r="OSN536" s="500"/>
      <c r="OSO536" s="500"/>
      <c r="OSP536" s="500"/>
      <c r="OSQ536" s="500"/>
      <c r="OSR536" s="500"/>
      <c r="OSS536" s="500"/>
      <c r="OST536" s="500"/>
      <c r="OSU536" s="500"/>
      <c r="OSV536" s="500"/>
      <c r="OSW536" s="500"/>
      <c r="OSX536" s="500"/>
      <c r="OSY536" s="500"/>
      <c r="OSZ536" s="500"/>
      <c r="OTA536" s="500"/>
      <c r="OTB536" s="500"/>
      <c r="OTC536" s="500"/>
      <c r="OTD536" s="500"/>
      <c r="OTE536" s="500"/>
      <c r="OTF536" s="500"/>
      <c r="OTG536" s="500"/>
      <c r="OTH536" s="500"/>
      <c r="OTI536" s="500"/>
      <c r="OTJ536" s="500"/>
      <c r="OTK536" s="500"/>
      <c r="OTL536" s="500"/>
      <c r="OTM536" s="500"/>
      <c r="OTN536" s="500"/>
      <c r="OTO536" s="500"/>
      <c r="OTP536" s="500"/>
      <c r="OTQ536" s="500"/>
      <c r="OTR536" s="500"/>
      <c r="OTS536" s="500"/>
      <c r="OTT536" s="500"/>
      <c r="OTU536" s="500"/>
      <c r="OTV536" s="500"/>
      <c r="OTW536" s="500"/>
      <c r="OTX536" s="500"/>
      <c r="OTY536" s="500"/>
      <c r="OTZ536" s="500"/>
      <c r="OUA536" s="500"/>
      <c r="OUB536" s="500"/>
      <c r="OUC536" s="500"/>
      <c r="OUD536" s="500"/>
      <c r="OUE536" s="500"/>
      <c r="OUF536" s="500"/>
      <c r="OUG536" s="500"/>
      <c r="OUH536" s="500"/>
      <c r="OUI536" s="500"/>
      <c r="OUJ536" s="500"/>
      <c r="OUK536" s="500"/>
      <c r="OUL536" s="500"/>
      <c r="OUM536" s="500"/>
      <c r="OUN536" s="500"/>
      <c r="OUO536" s="500"/>
      <c r="OUP536" s="500"/>
      <c r="OUQ536" s="500"/>
      <c r="OUR536" s="500"/>
      <c r="OUS536" s="500"/>
      <c r="OUT536" s="500"/>
      <c r="OUU536" s="500"/>
      <c r="OUV536" s="500"/>
      <c r="OUW536" s="500"/>
      <c r="OUX536" s="500"/>
      <c r="OUY536" s="500"/>
      <c r="OUZ536" s="500"/>
      <c r="OVA536" s="500"/>
      <c r="OVB536" s="500"/>
      <c r="OVC536" s="500"/>
      <c r="OVD536" s="500"/>
      <c r="OVE536" s="500"/>
      <c r="OVF536" s="500"/>
      <c r="OVG536" s="500"/>
      <c r="OVH536" s="500"/>
      <c r="OVI536" s="500"/>
      <c r="OVJ536" s="500"/>
      <c r="OVK536" s="500"/>
      <c r="OVL536" s="500"/>
      <c r="OVM536" s="500"/>
      <c r="OVN536" s="500"/>
      <c r="OVO536" s="500"/>
      <c r="OVP536" s="500"/>
      <c r="OVQ536" s="500"/>
      <c r="OVR536" s="500"/>
      <c r="OVS536" s="500"/>
      <c r="OVT536" s="500"/>
      <c r="OVU536" s="500"/>
      <c r="OVV536" s="500"/>
      <c r="OVW536" s="500"/>
      <c r="OVX536" s="500"/>
      <c r="OVY536" s="500"/>
      <c r="OVZ536" s="500"/>
      <c r="OWA536" s="500"/>
      <c r="OWB536" s="500"/>
      <c r="OWC536" s="500"/>
      <c r="OWD536" s="500"/>
      <c r="OWE536" s="500"/>
      <c r="OWF536" s="500"/>
      <c r="OWG536" s="500"/>
      <c r="OWH536" s="500"/>
      <c r="OWI536" s="500"/>
      <c r="OWJ536" s="500"/>
      <c r="OWK536" s="500"/>
      <c r="OWL536" s="500"/>
      <c r="OWM536" s="500"/>
      <c r="OWN536" s="500"/>
      <c r="OWO536" s="500"/>
      <c r="OWP536" s="500"/>
      <c r="OWQ536" s="500"/>
      <c r="OWR536" s="500"/>
      <c r="OWS536" s="500"/>
      <c r="OWT536" s="500"/>
      <c r="OWU536" s="500"/>
      <c r="OWV536" s="500"/>
      <c r="OWW536" s="500"/>
      <c r="OWX536" s="500"/>
      <c r="OWY536" s="500"/>
      <c r="OWZ536" s="500"/>
      <c r="OXA536" s="500"/>
      <c r="OXB536" s="500"/>
      <c r="OXC536" s="500"/>
      <c r="OXD536" s="500"/>
      <c r="OXE536" s="500"/>
      <c r="OXF536" s="500"/>
      <c r="OXG536" s="500"/>
      <c r="OXH536" s="500"/>
      <c r="OXI536" s="500"/>
      <c r="OXJ536" s="500"/>
      <c r="OXK536" s="500"/>
      <c r="OXL536" s="500"/>
      <c r="OXM536" s="500"/>
      <c r="OXN536" s="500"/>
      <c r="OXO536" s="500"/>
      <c r="OXP536" s="500"/>
      <c r="OXQ536" s="500"/>
      <c r="OXR536" s="500"/>
      <c r="OXS536" s="500"/>
      <c r="OXT536" s="500"/>
      <c r="OXU536" s="500"/>
      <c r="OXV536" s="500"/>
      <c r="OXW536" s="500"/>
      <c r="OXX536" s="500"/>
      <c r="OXY536" s="500"/>
      <c r="OXZ536" s="500"/>
      <c r="OYA536" s="500"/>
      <c r="OYB536" s="500"/>
      <c r="OYC536" s="500"/>
      <c r="OYD536" s="500"/>
      <c r="OYE536" s="500"/>
      <c r="OYF536" s="500"/>
      <c r="OYG536" s="500"/>
      <c r="OYH536" s="500"/>
      <c r="OYI536" s="500"/>
      <c r="OYJ536" s="500"/>
      <c r="OYK536" s="500"/>
      <c r="OYL536" s="500"/>
      <c r="OYM536" s="500"/>
      <c r="OYN536" s="500"/>
      <c r="OYO536" s="500"/>
      <c r="OYP536" s="500"/>
      <c r="OYQ536" s="500"/>
      <c r="OYR536" s="500"/>
      <c r="OYS536" s="500"/>
      <c r="OYT536" s="500"/>
      <c r="OYU536" s="500"/>
      <c r="OYV536" s="500"/>
      <c r="OYW536" s="500"/>
      <c r="OYX536" s="500"/>
      <c r="OYY536" s="500"/>
      <c r="OYZ536" s="500"/>
      <c r="OZA536" s="500"/>
      <c r="OZB536" s="500"/>
      <c r="OZC536" s="500"/>
      <c r="OZD536" s="500"/>
      <c r="OZE536" s="500"/>
      <c r="OZF536" s="500"/>
      <c r="OZG536" s="500"/>
      <c r="OZH536" s="500"/>
      <c r="OZI536" s="500"/>
      <c r="OZJ536" s="500"/>
      <c r="OZK536" s="500"/>
      <c r="OZL536" s="500"/>
      <c r="OZM536" s="500"/>
      <c r="OZN536" s="500"/>
      <c r="OZO536" s="500"/>
      <c r="OZP536" s="500"/>
      <c r="OZQ536" s="500"/>
      <c r="OZR536" s="500"/>
      <c r="OZS536" s="500"/>
      <c r="OZT536" s="500"/>
      <c r="OZU536" s="500"/>
      <c r="OZV536" s="500"/>
      <c r="OZW536" s="500"/>
      <c r="OZX536" s="500"/>
      <c r="OZY536" s="500"/>
      <c r="OZZ536" s="500"/>
      <c r="PAA536" s="500"/>
      <c r="PAB536" s="500"/>
      <c r="PAC536" s="500"/>
      <c r="PAD536" s="500"/>
      <c r="PAE536" s="500"/>
      <c r="PAF536" s="500"/>
      <c r="PAG536" s="500"/>
      <c r="PAH536" s="500"/>
      <c r="PAI536" s="500"/>
      <c r="PAJ536" s="500"/>
      <c r="PAK536" s="500"/>
      <c r="PAL536" s="500"/>
      <c r="PAM536" s="500"/>
      <c r="PAN536" s="500"/>
      <c r="PAO536" s="500"/>
      <c r="PAP536" s="500"/>
      <c r="PAQ536" s="500"/>
      <c r="PAR536" s="500"/>
      <c r="PAS536" s="500"/>
      <c r="PAT536" s="500"/>
      <c r="PAU536" s="500"/>
      <c r="PAV536" s="500"/>
      <c r="PAW536" s="500"/>
      <c r="PAX536" s="500"/>
      <c r="PAY536" s="500"/>
      <c r="PAZ536" s="500"/>
      <c r="PBA536" s="500"/>
      <c r="PBB536" s="500"/>
      <c r="PBC536" s="500"/>
      <c r="PBD536" s="500"/>
      <c r="PBE536" s="500"/>
      <c r="PBF536" s="500"/>
      <c r="PBG536" s="500"/>
      <c r="PBH536" s="500"/>
      <c r="PBI536" s="500"/>
      <c r="PBJ536" s="500"/>
      <c r="PBK536" s="500"/>
      <c r="PBL536" s="500"/>
      <c r="PBM536" s="500"/>
      <c r="PBN536" s="500"/>
      <c r="PBO536" s="500"/>
      <c r="PBP536" s="500"/>
      <c r="PBQ536" s="500"/>
      <c r="PBR536" s="500"/>
      <c r="PBS536" s="500"/>
      <c r="PBT536" s="500"/>
      <c r="PBU536" s="500"/>
      <c r="PBV536" s="500"/>
      <c r="PBW536" s="500"/>
      <c r="PBX536" s="500"/>
      <c r="PBY536" s="500"/>
      <c r="PBZ536" s="500"/>
      <c r="PCA536" s="500"/>
      <c r="PCB536" s="500"/>
      <c r="PCC536" s="500"/>
      <c r="PCD536" s="500"/>
      <c r="PCE536" s="500"/>
      <c r="PCF536" s="500"/>
      <c r="PCG536" s="500"/>
      <c r="PCH536" s="500"/>
      <c r="PCI536" s="500"/>
      <c r="PCJ536" s="500"/>
      <c r="PCK536" s="500"/>
      <c r="PCL536" s="500"/>
      <c r="PCM536" s="500"/>
      <c r="PCN536" s="500"/>
      <c r="PCO536" s="500"/>
      <c r="PCP536" s="500"/>
      <c r="PCQ536" s="500"/>
      <c r="PCR536" s="500"/>
      <c r="PCS536" s="500"/>
      <c r="PCT536" s="500"/>
      <c r="PCU536" s="500"/>
      <c r="PCV536" s="500"/>
      <c r="PCW536" s="500"/>
      <c r="PCX536" s="500"/>
      <c r="PCY536" s="500"/>
      <c r="PCZ536" s="500"/>
      <c r="PDA536" s="500"/>
      <c r="PDB536" s="500"/>
      <c r="PDC536" s="500"/>
      <c r="PDD536" s="500"/>
      <c r="PDE536" s="500"/>
      <c r="PDF536" s="500"/>
      <c r="PDG536" s="500"/>
      <c r="PDH536" s="500"/>
      <c r="PDI536" s="500"/>
      <c r="PDJ536" s="500"/>
      <c r="PDK536" s="500"/>
      <c r="PDL536" s="500"/>
      <c r="PDM536" s="500"/>
      <c r="PDN536" s="500"/>
      <c r="PDO536" s="500"/>
      <c r="PDP536" s="500"/>
      <c r="PDQ536" s="500"/>
      <c r="PDR536" s="500"/>
      <c r="PDS536" s="500"/>
      <c r="PDT536" s="500"/>
      <c r="PDU536" s="500"/>
      <c r="PDV536" s="500"/>
      <c r="PDW536" s="500"/>
      <c r="PDX536" s="500"/>
      <c r="PDY536" s="500"/>
      <c r="PDZ536" s="500"/>
      <c r="PEA536" s="500"/>
      <c r="PEB536" s="500"/>
      <c r="PEC536" s="500"/>
      <c r="PED536" s="500"/>
      <c r="PEE536" s="500"/>
      <c r="PEF536" s="500"/>
      <c r="PEG536" s="500"/>
      <c r="PEH536" s="500"/>
      <c r="PEI536" s="500"/>
      <c r="PEJ536" s="500"/>
      <c r="PEK536" s="500"/>
      <c r="PEL536" s="500"/>
      <c r="PEM536" s="500"/>
      <c r="PEN536" s="500"/>
      <c r="PEO536" s="500"/>
      <c r="PEP536" s="500"/>
      <c r="PEQ536" s="500"/>
      <c r="PER536" s="500"/>
      <c r="PES536" s="500"/>
      <c r="PET536" s="500"/>
      <c r="PEU536" s="500"/>
      <c r="PEV536" s="500"/>
      <c r="PEW536" s="500"/>
      <c r="PEX536" s="500"/>
      <c r="PEY536" s="500"/>
      <c r="PEZ536" s="500"/>
      <c r="PFA536" s="500"/>
      <c r="PFB536" s="500"/>
      <c r="PFC536" s="500"/>
      <c r="PFD536" s="500"/>
      <c r="PFE536" s="500"/>
      <c r="PFF536" s="500"/>
      <c r="PFG536" s="500"/>
      <c r="PFH536" s="500"/>
      <c r="PFI536" s="500"/>
      <c r="PFJ536" s="500"/>
      <c r="PFK536" s="500"/>
      <c r="PFL536" s="500"/>
      <c r="PFM536" s="500"/>
      <c r="PFN536" s="500"/>
      <c r="PFO536" s="500"/>
      <c r="PFP536" s="500"/>
      <c r="PFQ536" s="500"/>
      <c r="PFR536" s="500"/>
      <c r="PFS536" s="500"/>
      <c r="PFT536" s="500"/>
      <c r="PFU536" s="500"/>
      <c r="PFV536" s="500"/>
      <c r="PFW536" s="500"/>
      <c r="PFX536" s="500"/>
      <c r="PFY536" s="500"/>
      <c r="PFZ536" s="500"/>
      <c r="PGA536" s="500"/>
      <c r="PGB536" s="500"/>
      <c r="PGC536" s="500"/>
      <c r="PGD536" s="500"/>
      <c r="PGE536" s="500"/>
      <c r="PGF536" s="500"/>
      <c r="PGG536" s="500"/>
      <c r="PGH536" s="500"/>
      <c r="PGI536" s="500"/>
      <c r="PGJ536" s="500"/>
      <c r="PGK536" s="500"/>
      <c r="PGL536" s="500"/>
      <c r="PGM536" s="500"/>
      <c r="PGN536" s="500"/>
      <c r="PGO536" s="500"/>
      <c r="PGP536" s="500"/>
      <c r="PGQ536" s="500"/>
      <c r="PGR536" s="500"/>
      <c r="PGS536" s="500"/>
      <c r="PGT536" s="500"/>
      <c r="PGU536" s="500"/>
      <c r="PGV536" s="500"/>
      <c r="PGW536" s="500"/>
      <c r="PGX536" s="500"/>
      <c r="PGY536" s="500"/>
      <c r="PGZ536" s="500"/>
      <c r="PHA536" s="500"/>
      <c r="PHB536" s="500"/>
      <c r="PHC536" s="500"/>
      <c r="PHD536" s="500"/>
      <c r="PHE536" s="500"/>
      <c r="PHF536" s="500"/>
      <c r="PHG536" s="500"/>
      <c r="PHH536" s="500"/>
      <c r="PHI536" s="500"/>
      <c r="PHJ536" s="500"/>
      <c r="PHK536" s="500"/>
      <c r="PHL536" s="500"/>
      <c r="PHM536" s="500"/>
      <c r="PHN536" s="500"/>
      <c r="PHO536" s="500"/>
      <c r="PHP536" s="500"/>
      <c r="PHQ536" s="500"/>
      <c r="PHR536" s="500"/>
      <c r="PHS536" s="500"/>
      <c r="PHT536" s="500"/>
      <c r="PHU536" s="500"/>
      <c r="PHV536" s="500"/>
      <c r="PHW536" s="500"/>
      <c r="PHX536" s="500"/>
      <c r="PHY536" s="500"/>
      <c r="PHZ536" s="500"/>
      <c r="PIA536" s="500"/>
      <c r="PIB536" s="500"/>
      <c r="PIC536" s="500"/>
      <c r="PID536" s="500"/>
      <c r="PIE536" s="500"/>
      <c r="PIF536" s="500"/>
      <c r="PIG536" s="500"/>
      <c r="PIH536" s="500"/>
      <c r="PII536" s="500"/>
      <c r="PIJ536" s="500"/>
      <c r="PIK536" s="500"/>
      <c r="PIL536" s="500"/>
      <c r="PIM536" s="500"/>
      <c r="PIN536" s="500"/>
      <c r="PIO536" s="500"/>
      <c r="PIP536" s="500"/>
      <c r="PIQ536" s="500"/>
      <c r="PIR536" s="500"/>
      <c r="PIS536" s="500"/>
      <c r="PIT536" s="500"/>
      <c r="PIU536" s="500"/>
      <c r="PIV536" s="500"/>
      <c r="PIW536" s="500"/>
      <c r="PIX536" s="500"/>
      <c r="PIY536" s="500"/>
      <c r="PIZ536" s="500"/>
      <c r="PJA536" s="500"/>
      <c r="PJB536" s="500"/>
      <c r="PJC536" s="500"/>
      <c r="PJD536" s="500"/>
      <c r="PJE536" s="500"/>
      <c r="PJF536" s="500"/>
      <c r="PJG536" s="500"/>
      <c r="PJH536" s="500"/>
      <c r="PJI536" s="500"/>
      <c r="PJJ536" s="500"/>
      <c r="PJK536" s="500"/>
      <c r="PJL536" s="500"/>
      <c r="PJM536" s="500"/>
      <c r="PJN536" s="500"/>
      <c r="PJO536" s="500"/>
      <c r="PJP536" s="500"/>
      <c r="PJQ536" s="500"/>
      <c r="PJR536" s="500"/>
      <c r="PJS536" s="500"/>
      <c r="PJT536" s="500"/>
      <c r="PJU536" s="500"/>
      <c r="PJV536" s="500"/>
      <c r="PJW536" s="500"/>
      <c r="PJX536" s="500"/>
      <c r="PJY536" s="500"/>
      <c r="PJZ536" s="500"/>
      <c r="PKA536" s="500"/>
      <c r="PKB536" s="500"/>
      <c r="PKC536" s="500"/>
      <c r="PKD536" s="500"/>
      <c r="PKE536" s="500"/>
      <c r="PKF536" s="500"/>
      <c r="PKG536" s="500"/>
      <c r="PKH536" s="500"/>
      <c r="PKI536" s="500"/>
      <c r="PKJ536" s="500"/>
      <c r="PKK536" s="500"/>
      <c r="PKL536" s="500"/>
      <c r="PKM536" s="500"/>
      <c r="PKN536" s="500"/>
      <c r="PKO536" s="500"/>
      <c r="PKP536" s="500"/>
      <c r="PKQ536" s="500"/>
      <c r="PKR536" s="500"/>
      <c r="PKS536" s="500"/>
      <c r="PKT536" s="500"/>
      <c r="PKU536" s="500"/>
      <c r="PKV536" s="500"/>
      <c r="PKW536" s="500"/>
      <c r="PKX536" s="500"/>
      <c r="PKY536" s="500"/>
      <c r="PKZ536" s="500"/>
      <c r="PLA536" s="500"/>
      <c r="PLB536" s="500"/>
      <c r="PLC536" s="500"/>
      <c r="PLD536" s="500"/>
      <c r="PLE536" s="500"/>
      <c r="PLF536" s="500"/>
      <c r="PLG536" s="500"/>
      <c r="PLH536" s="500"/>
      <c r="PLI536" s="500"/>
      <c r="PLJ536" s="500"/>
      <c r="PLK536" s="500"/>
      <c r="PLL536" s="500"/>
      <c r="PLM536" s="500"/>
      <c r="PLN536" s="500"/>
      <c r="PLO536" s="500"/>
      <c r="PLP536" s="500"/>
      <c r="PLQ536" s="500"/>
      <c r="PLR536" s="500"/>
      <c r="PLS536" s="500"/>
      <c r="PLT536" s="500"/>
      <c r="PLU536" s="500"/>
      <c r="PLV536" s="500"/>
      <c r="PLW536" s="500"/>
      <c r="PLX536" s="500"/>
      <c r="PLY536" s="500"/>
      <c r="PLZ536" s="500"/>
      <c r="PMA536" s="500"/>
      <c r="PMB536" s="500"/>
      <c r="PMC536" s="500"/>
      <c r="PMD536" s="500"/>
      <c r="PME536" s="500"/>
      <c r="PMF536" s="500"/>
      <c r="PMG536" s="500"/>
      <c r="PMH536" s="500"/>
      <c r="PMI536" s="500"/>
      <c r="PMJ536" s="500"/>
      <c r="PMK536" s="500"/>
      <c r="PML536" s="500"/>
      <c r="PMM536" s="500"/>
      <c r="PMN536" s="500"/>
      <c r="PMO536" s="500"/>
      <c r="PMP536" s="500"/>
      <c r="PMQ536" s="500"/>
      <c r="PMR536" s="500"/>
      <c r="PMS536" s="500"/>
      <c r="PMT536" s="500"/>
      <c r="PMU536" s="500"/>
      <c r="PMV536" s="500"/>
      <c r="PMW536" s="500"/>
      <c r="PMX536" s="500"/>
      <c r="PMY536" s="500"/>
      <c r="PMZ536" s="500"/>
      <c r="PNA536" s="500"/>
      <c r="PNB536" s="500"/>
      <c r="PNC536" s="500"/>
      <c r="PND536" s="500"/>
      <c r="PNE536" s="500"/>
      <c r="PNF536" s="500"/>
      <c r="PNG536" s="500"/>
      <c r="PNH536" s="500"/>
      <c r="PNI536" s="500"/>
      <c r="PNJ536" s="500"/>
      <c r="PNK536" s="500"/>
      <c r="PNL536" s="500"/>
      <c r="PNM536" s="500"/>
      <c r="PNN536" s="500"/>
      <c r="PNO536" s="500"/>
      <c r="PNP536" s="500"/>
      <c r="PNQ536" s="500"/>
      <c r="PNR536" s="500"/>
      <c r="PNS536" s="500"/>
      <c r="PNT536" s="500"/>
      <c r="PNU536" s="500"/>
      <c r="PNV536" s="500"/>
      <c r="PNW536" s="500"/>
      <c r="PNX536" s="500"/>
      <c r="PNY536" s="500"/>
      <c r="PNZ536" s="500"/>
      <c r="POA536" s="500"/>
      <c r="POB536" s="500"/>
      <c r="POC536" s="500"/>
      <c r="POD536" s="500"/>
      <c r="POE536" s="500"/>
      <c r="POF536" s="500"/>
      <c r="POG536" s="500"/>
      <c r="POH536" s="500"/>
      <c r="POI536" s="500"/>
      <c r="POJ536" s="500"/>
      <c r="POK536" s="500"/>
      <c r="POL536" s="500"/>
      <c r="POM536" s="500"/>
      <c r="PON536" s="500"/>
      <c r="POO536" s="500"/>
      <c r="POP536" s="500"/>
      <c r="POQ536" s="500"/>
      <c r="POR536" s="500"/>
      <c r="POS536" s="500"/>
      <c r="POT536" s="500"/>
      <c r="POU536" s="500"/>
      <c r="POV536" s="500"/>
      <c r="POW536" s="500"/>
      <c r="POX536" s="500"/>
      <c r="POY536" s="500"/>
      <c r="POZ536" s="500"/>
      <c r="PPA536" s="500"/>
      <c r="PPB536" s="500"/>
      <c r="PPC536" s="500"/>
      <c r="PPD536" s="500"/>
      <c r="PPE536" s="500"/>
      <c r="PPF536" s="500"/>
      <c r="PPG536" s="500"/>
      <c r="PPH536" s="500"/>
      <c r="PPI536" s="500"/>
      <c r="PPJ536" s="500"/>
      <c r="PPK536" s="500"/>
      <c r="PPL536" s="500"/>
      <c r="PPM536" s="500"/>
      <c r="PPN536" s="500"/>
      <c r="PPO536" s="500"/>
      <c r="PPP536" s="500"/>
      <c r="PPQ536" s="500"/>
      <c r="PPR536" s="500"/>
      <c r="PPS536" s="500"/>
      <c r="PPT536" s="500"/>
      <c r="PPU536" s="500"/>
      <c r="PPV536" s="500"/>
      <c r="PPW536" s="500"/>
      <c r="PPX536" s="500"/>
      <c r="PPY536" s="500"/>
      <c r="PPZ536" s="500"/>
      <c r="PQA536" s="500"/>
      <c r="PQB536" s="500"/>
      <c r="PQC536" s="500"/>
      <c r="PQD536" s="500"/>
      <c r="PQE536" s="500"/>
      <c r="PQF536" s="500"/>
      <c r="PQG536" s="500"/>
      <c r="PQH536" s="500"/>
      <c r="PQI536" s="500"/>
      <c r="PQJ536" s="500"/>
      <c r="PQK536" s="500"/>
      <c r="PQL536" s="500"/>
      <c r="PQM536" s="500"/>
      <c r="PQN536" s="500"/>
      <c r="PQO536" s="500"/>
      <c r="PQP536" s="500"/>
      <c r="PQQ536" s="500"/>
      <c r="PQR536" s="500"/>
      <c r="PQS536" s="500"/>
      <c r="PQT536" s="500"/>
      <c r="PQU536" s="500"/>
      <c r="PQV536" s="500"/>
      <c r="PQW536" s="500"/>
      <c r="PQX536" s="500"/>
      <c r="PQY536" s="500"/>
      <c r="PQZ536" s="500"/>
      <c r="PRA536" s="500"/>
      <c r="PRB536" s="500"/>
      <c r="PRC536" s="500"/>
      <c r="PRD536" s="500"/>
      <c r="PRE536" s="500"/>
      <c r="PRF536" s="500"/>
      <c r="PRG536" s="500"/>
      <c r="PRH536" s="500"/>
      <c r="PRI536" s="500"/>
      <c r="PRJ536" s="500"/>
      <c r="PRK536" s="500"/>
      <c r="PRL536" s="500"/>
      <c r="PRM536" s="500"/>
      <c r="PRN536" s="500"/>
      <c r="PRO536" s="500"/>
      <c r="PRP536" s="500"/>
      <c r="PRQ536" s="500"/>
      <c r="PRR536" s="500"/>
      <c r="PRS536" s="500"/>
      <c r="PRT536" s="500"/>
      <c r="PRU536" s="500"/>
      <c r="PRV536" s="500"/>
      <c r="PRW536" s="500"/>
      <c r="PRX536" s="500"/>
      <c r="PRY536" s="500"/>
      <c r="PRZ536" s="500"/>
      <c r="PSA536" s="500"/>
      <c r="PSB536" s="500"/>
      <c r="PSC536" s="500"/>
      <c r="PSD536" s="500"/>
      <c r="PSE536" s="500"/>
      <c r="PSF536" s="500"/>
      <c r="PSG536" s="500"/>
      <c r="PSH536" s="500"/>
      <c r="PSI536" s="500"/>
      <c r="PSJ536" s="500"/>
      <c r="PSK536" s="500"/>
      <c r="PSL536" s="500"/>
      <c r="PSM536" s="500"/>
      <c r="PSN536" s="500"/>
      <c r="PSO536" s="500"/>
      <c r="PSP536" s="500"/>
      <c r="PSQ536" s="500"/>
      <c r="PSR536" s="500"/>
      <c r="PSS536" s="500"/>
      <c r="PST536" s="500"/>
      <c r="PSU536" s="500"/>
      <c r="PSV536" s="500"/>
      <c r="PSW536" s="500"/>
      <c r="PSX536" s="500"/>
      <c r="PSY536" s="500"/>
      <c r="PSZ536" s="500"/>
      <c r="PTA536" s="500"/>
      <c r="PTB536" s="500"/>
      <c r="PTC536" s="500"/>
      <c r="PTD536" s="500"/>
      <c r="PTE536" s="500"/>
      <c r="PTF536" s="500"/>
      <c r="PTG536" s="500"/>
      <c r="PTH536" s="500"/>
      <c r="PTI536" s="500"/>
      <c r="PTJ536" s="500"/>
      <c r="PTK536" s="500"/>
      <c r="PTL536" s="500"/>
      <c r="PTM536" s="500"/>
      <c r="PTN536" s="500"/>
      <c r="PTO536" s="500"/>
      <c r="PTP536" s="500"/>
      <c r="PTQ536" s="500"/>
      <c r="PTR536" s="500"/>
      <c r="PTS536" s="500"/>
      <c r="PTT536" s="500"/>
      <c r="PTU536" s="500"/>
      <c r="PTV536" s="500"/>
      <c r="PTW536" s="500"/>
      <c r="PTX536" s="500"/>
      <c r="PTY536" s="500"/>
      <c r="PTZ536" s="500"/>
      <c r="PUA536" s="500"/>
      <c r="PUB536" s="500"/>
      <c r="PUC536" s="500"/>
      <c r="PUD536" s="500"/>
      <c r="PUE536" s="500"/>
      <c r="PUF536" s="500"/>
      <c r="PUG536" s="500"/>
      <c r="PUH536" s="500"/>
      <c r="PUI536" s="500"/>
      <c r="PUJ536" s="500"/>
      <c r="PUK536" s="500"/>
      <c r="PUL536" s="500"/>
      <c r="PUM536" s="500"/>
      <c r="PUN536" s="500"/>
      <c r="PUO536" s="500"/>
      <c r="PUP536" s="500"/>
      <c r="PUQ536" s="500"/>
      <c r="PUR536" s="500"/>
      <c r="PUS536" s="500"/>
      <c r="PUT536" s="500"/>
      <c r="PUU536" s="500"/>
      <c r="PUV536" s="500"/>
      <c r="PUW536" s="500"/>
      <c r="PUX536" s="500"/>
      <c r="PUY536" s="500"/>
      <c r="PUZ536" s="500"/>
      <c r="PVA536" s="500"/>
      <c r="PVB536" s="500"/>
      <c r="PVC536" s="500"/>
      <c r="PVD536" s="500"/>
      <c r="PVE536" s="500"/>
      <c r="PVF536" s="500"/>
      <c r="PVG536" s="500"/>
      <c r="PVH536" s="500"/>
      <c r="PVI536" s="500"/>
      <c r="PVJ536" s="500"/>
      <c r="PVK536" s="500"/>
      <c r="PVL536" s="500"/>
      <c r="PVM536" s="500"/>
      <c r="PVN536" s="500"/>
      <c r="PVO536" s="500"/>
      <c r="PVP536" s="500"/>
      <c r="PVQ536" s="500"/>
      <c r="PVR536" s="500"/>
      <c r="PVS536" s="500"/>
      <c r="PVT536" s="500"/>
      <c r="PVU536" s="500"/>
      <c r="PVV536" s="500"/>
      <c r="PVW536" s="500"/>
      <c r="PVX536" s="500"/>
      <c r="PVY536" s="500"/>
      <c r="PVZ536" s="500"/>
      <c r="PWA536" s="500"/>
      <c r="PWB536" s="500"/>
      <c r="PWC536" s="500"/>
      <c r="PWD536" s="500"/>
      <c r="PWE536" s="500"/>
      <c r="PWF536" s="500"/>
      <c r="PWG536" s="500"/>
      <c r="PWH536" s="500"/>
      <c r="PWI536" s="500"/>
      <c r="PWJ536" s="500"/>
      <c r="PWK536" s="500"/>
      <c r="PWL536" s="500"/>
      <c r="PWM536" s="500"/>
      <c r="PWN536" s="500"/>
      <c r="PWO536" s="500"/>
      <c r="PWP536" s="500"/>
      <c r="PWQ536" s="500"/>
      <c r="PWR536" s="500"/>
      <c r="PWS536" s="500"/>
      <c r="PWT536" s="500"/>
      <c r="PWU536" s="500"/>
      <c r="PWV536" s="500"/>
      <c r="PWW536" s="500"/>
      <c r="PWX536" s="500"/>
      <c r="PWY536" s="500"/>
      <c r="PWZ536" s="500"/>
      <c r="PXA536" s="500"/>
      <c r="PXB536" s="500"/>
      <c r="PXC536" s="500"/>
      <c r="PXD536" s="500"/>
      <c r="PXE536" s="500"/>
      <c r="PXF536" s="500"/>
      <c r="PXG536" s="500"/>
      <c r="PXH536" s="500"/>
      <c r="PXI536" s="500"/>
      <c r="PXJ536" s="500"/>
      <c r="PXK536" s="500"/>
      <c r="PXL536" s="500"/>
      <c r="PXM536" s="500"/>
      <c r="PXN536" s="500"/>
      <c r="PXO536" s="500"/>
      <c r="PXP536" s="500"/>
      <c r="PXQ536" s="500"/>
      <c r="PXR536" s="500"/>
      <c r="PXS536" s="500"/>
      <c r="PXT536" s="500"/>
      <c r="PXU536" s="500"/>
      <c r="PXV536" s="500"/>
      <c r="PXW536" s="500"/>
      <c r="PXX536" s="500"/>
      <c r="PXY536" s="500"/>
      <c r="PXZ536" s="500"/>
      <c r="PYA536" s="500"/>
      <c r="PYB536" s="500"/>
      <c r="PYC536" s="500"/>
      <c r="PYD536" s="500"/>
      <c r="PYE536" s="500"/>
      <c r="PYF536" s="500"/>
      <c r="PYG536" s="500"/>
      <c r="PYH536" s="500"/>
      <c r="PYI536" s="500"/>
      <c r="PYJ536" s="500"/>
      <c r="PYK536" s="500"/>
      <c r="PYL536" s="500"/>
      <c r="PYM536" s="500"/>
      <c r="PYN536" s="500"/>
      <c r="PYO536" s="500"/>
      <c r="PYP536" s="500"/>
      <c r="PYQ536" s="500"/>
      <c r="PYR536" s="500"/>
      <c r="PYS536" s="500"/>
      <c r="PYT536" s="500"/>
      <c r="PYU536" s="500"/>
      <c r="PYV536" s="500"/>
      <c r="PYW536" s="500"/>
      <c r="PYX536" s="500"/>
      <c r="PYY536" s="500"/>
      <c r="PYZ536" s="500"/>
      <c r="PZA536" s="500"/>
      <c r="PZB536" s="500"/>
      <c r="PZC536" s="500"/>
      <c r="PZD536" s="500"/>
      <c r="PZE536" s="500"/>
      <c r="PZF536" s="500"/>
      <c r="PZG536" s="500"/>
      <c r="PZH536" s="500"/>
      <c r="PZI536" s="500"/>
      <c r="PZJ536" s="500"/>
      <c r="PZK536" s="500"/>
      <c r="PZL536" s="500"/>
      <c r="PZM536" s="500"/>
      <c r="PZN536" s="500"/>
      <c r="PZO536" s="500"/>
      <c r="PZP536" s="500"/>
      <c r="PZQ536" s="500"/>
      <c r="PZR536" s="500"/>
      <c r="PZS536" s="500"/>
      <c r="PZT536" s="500"/>
      <c r="PZU536" s="500"/>
      <c r="PZV536" s="500"/>
      <c r="PZW536" s="500"/>
      <c r="PZX536" s="500"/>
      <c r="PZY536" s="500"/>
      <c r="PZZ536" s="500"/>
      <c r="QAA536" s="500"/>
      <c r="QAB536" s="500"/>
      <c r="QAC536" s="500"/>
      <c r="QAD536" s="500"/>
      <c r="QAE536" s="500"/>
      <c r="QAF536" s="500"/>
      <c r="QAG536" s="500"/>
      <c r="QAH536" s="500"/>
      <c r="QAI536" s="500"/>
      <c r="QAJ536" s="500"/>
      <c r="QAK536" s="500"/>
      <c r="QAL536" s="500"/>
      <c r="QAM536" s="500"/>
      <c r="QAN536" s="500"/>
      <c r="QAO536" s="500"/>
      <c r="QAP536" s="500"/>
      <c r="QAQ536" s="500"/>
      <c r="QAR536" s="500"/>
      <c r="QAS536" s="500"/>
      <c r="QAT536" s="500"/>
      <c r="QAU536" s="500"/>
      <c r="QAV536" s="500"/>
      <c r="QAW536" s="500"/>
      <c r="QAX536" s="500"/>
      <c r="QAY536" s="500"/>
      <c r="QAZ536" s="500"/>
      <c r="QBA536" s="500"/>
      <c r="QBB536" s="500"/>
      <c r="QBC536" s="500"/>
      <c r="QBD536" s="500"/>
      <c r="QBE536" s="500"/>
      <c r="QBF536" s="500"/>
      <c r="QBG536" s="500"/>
      <c r="QBH536" s="500"/>
      <c r="QBI536" s="500"/>
      <c r="QBJ536" s="500"/>
      <c r="QBK536" s="500"/>
      <c r="QBL536" s="500"/>
      <c r="QBM536" s="500"/>
      <c r="QBN536" s="500"/>
      <c r="QBO536" s="500"/>
      <c r="QBP536" s="500"/>
      <c r="QBQ536" s="500"/>
      <c r="QBR536" s="500"/>
      <c r="QBS536" s="500"/>
      <c r="QBT536" s="500"/>
      <c r="QBU536" s="500"/>
      <c r="QBV536" s="500"/>
      <c r="QBW536" s="500"/>
      <c r="QBX536" s="500"/>
      <c r="QBY536" s="500"/>
      <c r="QBZ536" s="500"/>
      <c r="QCA536" s="500"/>
      <c r="QCB536" s="500"/>
      <c r="QCC536" s="500"/>
      <c r="QCD536" s="500"/>
      <c r="QCE536" s="500"/>
      <c r="QCF536" s="500"/>
      <c r="QCG536" s="500"/>
      <c r="QCH536" s="500"/>
      <c r="QCI536" s="500"/>
      <c r="QCJ536" s="500"/>
      <c r="QCK536" s="500"/>
      <c r="QCL536" s="500"/>
      <c r="QCM536" s="500"/>
      <c r="QCN536" s="500"/>
      <c r="QCO536" s="500"/>
      <c r="QCP536" s="500"/>
      <c r="QCQ536" s="500"/>
      <c r="QCR536" s="500"/>
      <c r="QCS536" s="500"/>
      <c r="QCT536" s="500"/>
      <c r="QCU536" s="500"/>
      <c r="QCV536" s="500"/>
      <c r="QCW536" s="500"/>
      <c r="QCX536" s="500"/>
      <c r="QCY536" s="500"/>
      <c r="QCZ536" s="500"/>
      <c r="QDA536" s="500"/>
      <c r="QDB536" s="500"/>
      <c r="QDC536" s="500"/>
      <c r="QDD536" s="500"/>
      <c r="QDE536" s="500"/>
      <c r="QDF536" s="500"/>
      <c r="QDG536" s="500"/>
      <c r="QDH536" s="500"/>
      <c r="QDI536" s="500"/>
      <c r="QDJ536" s="500"/>
      <c r="QDK536" s="500"/>
      <c r="QDL536" s="500"/>
      <c r="QDM536" s="500"/>
      <c r="QDN536" s="500"/>
      <c r="QDO536" s="500"/>
      <c r="QDP536" s="500"/>
      <c r="QDQ536" s="500"/>
      <c r="QDR536" s="500"/>
      <c r="QDS536" s="500"/>
      <c r="QDT536" s="500"/>
      <c r="QDU536" s="500"/>
      <c r="QDV536" s="500"/>
      <c r="QDW536" s="500"/>
      <c r="QDX536" s="500"/>
      <c r="QDY536" s="500"/>
      <c r="QDZ536" s="500"/>
      <c r="QEA536" s="500"/>
      <c r="QEB536" s="500"/>
      <c r="QEC536" s="500"/>
      <c r="QED536" s="500"/>
      <c r="QEE536" s="500"/>
      <c r="QEF536" s="500"/>
      <c r="QEG536" s="500"/>
      <c r="QEH536" s="500"/>
      <c r="QEI536" s="500"/>
      <c r="QEJ536" s="500"/>
      <c r="QEK536" s="500"/>
      <c r="QEL536" s="500"/>
      <c r="QEM536" s="500"/>
      <c r="QEN536" s="500"/>
      <c r="QEO536" s="500"/>
      <c r="QEP536" s="500"/>
      <c r="QEQ536" s="500"/>
      <c r="QER536" s="500"/>
      <c r="QES536" s="500"/>
      <c r="QET536" s="500"/>
      <c r="QEU536" s="500"/>
      <c r="QEV536" s="500"/>
      <c r="QEW536" s="500"/>
      <c r="QEX536" s="500"/>
      <c r="QEY536" s="500"/>
      <c r="QEZ536" s="500"/>
      <c r="QFA536" s="500"/>
      <c r="QFB536" s="500"/>
      <c r="QFC536" s="500"/>
      <c r="QFD536" s="500"/>
      <c r="QFE536" s="500"/>
      <c r="QFF536" s="500"/>
      <c r="QFG536" s="500"/>
      <c r="QFH536" s="500"/>
      <c r="QFI536" s="500"/>
      <c r="QFJ536" s="500"/>
      <c r="QFK536" s="500"/>
      <c r="QFL536" s="500"/>
      <c r="QFM536" s="500"/>
      <c r="QFN536" s="500"/>
      <c r="QFO536" s="500"/>
      <c r="QFP536" s="500"/>
      <c r="QFQ536" s="500"/>
      <c r="QFR536" s="500"/>
      <c r="QFS536" s="500"/>
      <c r="QFT536" s="500"/>
      <c r="QFU536" s="500"/>
      <c r="QFV536" s="500"/>
      <c r="QFW536" s="500"/>
      <c r="QFX536" s="500"/>
      <c r="QFY536" s="500"/>
      <c r="QFZ536" s="500"/>
      <c r="QGA536" s="500"/>
      <c r="QGB536" s="500"/>
      <c r="QGC536" s="500"/>
      <c r="QGD536" s="500"/>
      <c r="QGE536" s="500"/>
      <c r="QGF536" s="500"/>
      <c r="QGG536" s="500"/>
      <c r="QGH536" s="500"/>
      <c r="QGI536" s="500"/>
      <c r="QGJ536" s="500"/>
      <c r="QGK536" s="500"/>
      <c r="QGL536" s="500"/>
      <c r="QGM536" s="500"/>
      <c r="QGN536" s="500"/>
      <c r="QGO536" s="500"/>
      <c r="QGP536" s="500"/>
      <c r="QGQ536" s="500"/>
      <c r="QGR536" s="500"/>
      <c r="QGS536" s="500"/>
      <c r="QGT536" s="500"/>
      <c r="QGU536" s="500"/>
      <c r="QGV536" s="500"/>
      <c r="QGW536" s="500"/>
      <c r="QGX536" s="500"/>
      <c r="QGY536" s="500"/>
      <c r="QGZ536" s="500"/>
      <c r="QHA536" s="500"/>
      <c r="QHB536" s="500"/>
      <c r="QHC536" s="500"/>
      <c r="QHD536" s="500"/>
      <c r="QHE536" s="500"/>
      <c r="QHF536" s="500"/>
      <c r="QHG536" s="500"/>
      <c r="QHH536" s="500"/>
      <c r="QHI536" s="500"/>
      <c r="QHJ536" s="500"/>
      <c r="QHK536" s="500"/>
      <c r="QHL536" s="500"/>
      <c r="QHM536" s="500"/>
      <c r="QHN536" s="500"/>
      <c r="QHO536" s="500"/>
      <c r="QHP536" s="500"/>
      <c r="QHQ536" s="500"/>
      <c r="QHR536" s="500"/>
      <c r="QHS536" s="500"/>
      <c r="QHT536" s="500"/>
      <c r="QHU536" s="500"/>
      <c r="QHV536" s="500"/>
      <c r="QHW536" s="500"/>
      <c r="QHX536" s="500"/>
      <c r="QHY536" s="500"/>
      <c r="QHZ536" s="500"/>
      <c r="QIA536" s="500"/>
      <c r="QIB536" s="500"/>
      <c r="QIC536" s="500"/>
      <c r="QID536" s="500"/>
      <c r="QIE536" s="500"/>
      <c r="QIF536" s="500"/>
      <c r="QIG536" s="500"/>
      <c r="QIH536" s="500"/>
      <c r="QII536" s="500"/>
      <c r="QIJ536" s="500"/>
      <c r="QIK536" s="500"/>
      <c r="QIL536" s="500"/>
      <c r="QIM536" s="500"/>
      <c r="QIN536" s="500"/>
      <c r="QIO536" s="500"/>
      <c r="QIP536" s="500"/>
      <c r="QIQ536" s="500"/>
      <c r="QIR536" s="500"/>
      <c r="QIS536" s="500"/>
      <c r="QIT536" s="500"/>
      <c r="QIU536" s="500"/>
      <c r="QIV536" s="500"/>
      <c r="QIW536" s="500"/>
      <c r="QIX536" s="500"/>
      <c r="QIY536" s="500"/>
      <c r="QIZ536" s="500"/>
      <c r="QJA536" s="500"/>
      <c r="QJB536" s="500"/>
      <c r="QJC536" s="500"/>
      <c r="QJD536" s="500"/>
      <c r="QJE536" s="500"/>
      <c r="QJF536" s="500"/>
      <c r="QJG536" s="500"/>
      <c r="QJH536" s="500"/>
      <c r="QJI536" s="500"/>
      <c r="QJJ536" s="500"/>
      <c r="QJK536" s="500"/>
      <c r="QJL536" s="500"/>
      <c r="QJM536" s="500"/>
      <c r="QJN536" s="500"/>
      <c r="QJO536" s="500"/>
      <c r="QJP536" s="500"/>
      <c r="QJQ536" s="500"/>
      <c r="QJR536" s="500"/>
      <c r="QJS536" s="500"/>
      <c r="QJT536" s="500"/>
      <c r="QJU536" s="500"/>
      <c r="QJV536" s="500"/>
      <c r="QJW536" s="500"/>
      <c r="QJX536" s="500"/>
      <c r="QJY536" s="500"/>
      <c r="QJZ536" s="500"/>
      <c r="QKA536" s="500"/>
      <c r="QKB536" s="500"/>
      <c r="QKC536" s="500"/>
      <c r="QKD536" s="500"/>
      <c r="QKE536" s="500"/>
      <c r="QKF536" s="500"/>
      <c r="QKG536" s="500"/>
      <c r="QKH536" s="500"/>
      <c r="QKI536" s="500"/>
      <c r="QKJ536" s="500"/>
      <c r="QKK536" s="500"/>
      <c r="QKL536" s="500"/>
      <c r="QKM536" s="500"/>
      <c r="QKN536" s="500"/>
      <c r="QKO536" s="500"/>
      <c r="QKP536" s="500"/>
      <c r="QKQ536" s="500"/>
      <c r="QKR536" s="500"/>
      <c r="QKS536" s="500"/>
      <c r="QKT536" s="500"/>
      <c r="QKU536" s="500"/>
      <c r="QKV536" s="500"/>
      <c r="QKW536" s="500"/>
      <c r="QKX536" s="500"/>
      <c r="QKY536" s="500"/>
      <c r="QKZ536" s="500"/>
      <c r="QLA536" s="500"/>
      <c r="QLB536" s="500"/>
      <c r="QLC536" s="500"/>
      <c r="QLD536" s="500"/>
      <c r="QLE536" s="500"/>
      <c r="QLF536" s="500"/>
      <c r="QLG536" s="500"/>
      <c r="QLH536" s="500"/>
      <c r="QLI536" s="500"/>
      <c r="QLJ536" s="500"/>
      <c r="QLK536" s="500"/>
      <c r="QLL536" s="500"/>
      <c r="QLM536" s="500"/>
      <c r="QLN536" s="500"/>
      <c r="QLO536" s="500"/>
      <c r="QLP536" s="500"/>
      <c r="QLQ536" s="500"/>
      <c r="QLR536" s="500"/>
      <c r="QLS536" s="500"/>
      <c r="QLT536" s="500"/>
      <c r="QLU536" s="500"/>
      <c r="QLV536" s="500"/>
      <c r="QLW536" s="500"/>
      <c r="QLX536" s="500"/>
      <c r="QLY536" s="500"/>
      <c r="QLZ536" s="500"/>
      <c r="QMA536" s="500"/>
      <c r="QMB536" s="500"/>
      <c r="QMC536" s="500"/>
      <c r="QMD536" s="500"/>
      <c r="QME536" s="500"/>
      <c r="QMF536" s="500"/>
      <c r="QMG536" s="500"/>
      <c r="QMH536" s="500"/>
      <c r="QMI536" s="500"/>
      <c r="QMJ536" s="500"/>
      <c r="QMK536" s="500"/>
      <c r="QML536" s="500"/>
      <c r="QMM536" s="500"/>
      <c r="QMN536" s="500"/>
      <c r="QMO536" s="500"/>
      <c r="QMP536" s="500"/>
      <c r="QMQ536" s="500"/>
      <c r="QMR536" s="500"/>
      <c r="QMS536" s="500"/>
      <c r="QMT536" s="500"/>
      <c r="QMU536" s="500"/>
      <c r="QMV536" s="500"/>
      <c r="QMW536" s="500"/>
      <c r="QMX536" s="500"/>
      <c r="QMY536" s="500"/>
      <c r="QMZ536" s="500"/>
      <c r="QNA536" s="500"/>
      <c r="QNB536" s="500"/>
      <c r="QNC536" s="500"/>
      <c r="QND536" s="500"/>
      <c r="QNE536" s="500"/>
      <c r="QNF536" s="500"/>
      <c r="QNG536" s="500"/>
      <c r="QNH536" s="500"/>
      <c r="QNI536" s="500"/>
      <c r="QNJ536" s="500"/>
      <c r="QNK536" s="500"/>
      <c r="QNL536" s="500"/>
      <c r="QNM536" s="500"/>
      <c r="QNN536" s="500"/>
      <c r="QNO536" s="500"/>
      <c r="QNP536" s="500"/>
      <c r="QNQ536" s="500"/>
      <c r="QNR536" s="500"/>
      <c r="QNS536" s="500"/>
      <c r="QNT536" s="500"/>
      <c r="QNU536" s="500"/>
      <c r="QNV536" s="500"/>
      <c r="QNW536" s="500"/>
      <c r="QNX536" s="500"/>
      <c r="QNY536" s="500"/>
      <c r="QNZ536" s="500"/>
      <c r="QOA536" s="500"/>
      <c r="QOB536" s="500"/>
      <c r="QOC536" s="500"/>
      <c r="QOD536" s="500"/>
      <c r="QOE536" s="500"/>
      <c r="QOF536" s="500"/>
      <c r="QOG536" s="500"/>
      <c r="QOH536" s="500"/>
      <c r="QOI536" s="500"/>
      <c r="QOJ536" s="500"/>
      <c r="QOK536" s="500"/>
      <c r="QOL536" s="500"/>
      <c r="QOM536" s="500"/>
      <c r="QON536" s="500"/>
      <c r="QOO536" s="500"/>
      <c r="QOP536" s="500"/>
      <c r="QOQ536" s="500"/>
      <c r="QOR536" s="500"/>
      <c r="QOS536" s="500"/>
      <c r="QOT536" s="500"/>
      <c r="QOU536" s="500"/>
      <c r="QOV536" s="500"/>
      <c r="QOW536" s="500"/>
      <c r="QOX536" s="500"/>
      <c r="QOY536" s="500"/>
      <c r="QOZ536" s="500"/>
      <c r="QPA536" s="500"/>
      <c r="QPB536" s="500"/>
      <c r="QPC536" s="500"/>
      <c r="QPD536" s="500"/>
      <c r="QPE536" s="500"/>
      <c r="QPF536" s="500"/>
      <c r="QPG536" s="500"/>
      <c r="QPH536" s="500"/>
      <c r="QPI536" s="500"/>
      <c r="QPJ536" s="500"/>
      <c r="QPK536" s="500"/>
      <c r="QPL536" s="500"/>
      <c r="QPM536" s="500"/>
      <c r="QPN536" s="500"/>
      <c r="QPO536" s="500"/>
      <c r="QPP536" s="500"/>
      <c r="QPQ536" s="500"/>
      <c r="QPR536" s="500"/>
      <c r="QPS536" s="500"/>
      <c r="QPT536" s="500"/>
      <c r="QPU536" s="500"/>
      <c r="QPV536" s="500"/>
      <c r="QPW536" s="500"/>
      <c r="QPX536" s="500"/>
      <c r="QPY536" s="500"/>
      <c r="QPZ536" s="500"/>
      <c r="QQA536" s="500"/>
      <c r="QQB536" s="500"/>
      <c r="QQC536" s="500"/>
      <c r="QQD536" s="500"/>
      <c r="QQE536" s="500"/>
      <c r="QQF536" s="500"/>
      <c r="QQG536" s="500"/>
      <c r="QQH536" s="500"/>
      <c r="QQI536" s="500"/>
      <c r="QQJ536" s="500"/>
      <c r="QQK536" s="500"/>
      <c r="QQL536" s="500"/>
      <c r="QQM536" s="500"/>
      <c r="QQN536" s="500"/>
      <c r="QQO536" s="500"/>
      <c r="QQP536" s="500"/>
      <c r="QQQ536" s="500"/>
      <c r="QQR536" s="500"/>
      <c r="QQS536" s="500"/>
      <c r="QQT536" s="500"/>
      <c r="QQU536" s="500"/>
      <c r="QQV536" s="500"/>
      <c r="QQW536" s="500"/>
      <c r="QQX536" s="500"/>
      <c r="QQY536" s="500"/>
      <c r="QQZ536" s="500"/>
      <c r="QRA536" s="500"/>
      <c r="QRB536" s="500"/>
      <c r="QRC536" s="500"/>
      <c r="QRD536" s="500"/>
      <c r="QRE536" s="500"/>
      <c r="QRF536" s="500"/>
      <c r="QRG536" s="500"/>
      <c r="QRH536" s="500"/>
      <c r="QRI536" s="500"/>
      <c r="QRJ536" s="500"/>
      <c r="QRK536" s="500"/>
      <c r="QRL536" s="500"/>
      <c r="QRM536" s="500"/>
      <c r="QRN536" s="500"/>
      <c r="QRO536" s="500"/>
      <c r="QRP536" s="500"/>
      <c r="QRQ536" s="500"/>
      <c r="QRR536" s="500"/>
      <c r="QRS536" s="500"/>
      <c r="QRT536" s="500"/>
      <c r="QRU536" s="500"/>
      <c r="QRV536" s="500"/>
      <c r="QRW536" s="500"/>
      <c r="QRX536" s="500"/>
      <c r="QRY536" s="500"/>
      <c r="QRZ536" s="500"/>
      <c r="QSA536" s="500"/>
      <c r="QSB536" s="500"/>
      <c r="QSC536" s="500"/>
      <c r="QSD536" s="500"/>
      <c r="QSE536" s="500"/>
      <c r="QSF536" s="500"/>
      <c r="QSG536" s="500"/>
      <c r="QSH536" s="500"/>
      <c r="QSI536" s="500"/>
      <c r="QSJ536" s="500"/>
      <c r="QSK536" s="500"/>
      <c r="QSL536" s="500"/>
      <c r="QSM536" s="500"/>
      <c r="QSN536" s="500"/>
      <c r="QSO536" s="500"/>
      <c r="QSP536" s="500"/>
      <c r="QSQ536" s="500"/>
      <c r="QSR536" s="500"/>
      <c r="QSS536" s="500"/>
      <c r="QST536" s="500"/>
      <c r="QSU536" s="500"/>
      <c r="QSV536" s="500"/>
      <c r="QSW536" s="500"/>
      <c r="QSX536" s="500"/>
      <c r="QSY536" s="500"/>
      <c r="QSZ536" s="500"/>
      <c r="QTA536" s="500"/>
      <c r="QTB536" s="500"/>
      <c r="QTC536" s="500"/>
      <c r="QTD536" s="500"/>
      <c r="QTE536" s="500"/>
      <c r="QTF536" s="500"/>
      <c r="QTG536" s="500"/>
      <c r="QTH536" s="500"/>
      <c r="QTI536" s="500"/>
      <c r="QTJ536" s="500"/>
      <c r="QTK536" s="500"/>
      <c r="QTL536" s="500"/>
      <c r="QTM536" s="500"/>
      <c r="QTN536" s="500"/>
      <c r="QTO536" s="500"/>
      <c r="QTP536" s="500"/>
      <c r="QTQ536" s="500"/>
      <c r="QTR536" s="500"/>
      <c r="QTS536" s="500"/>
      <c r="QTT536" s="500"/>
      <c r="QTU536" s="500"/>
      <c r="QTV536" s="500"/>
      <c r="QTW536" s="500"/>
      <c r="QTX536" s="500"/>
      <c r="QTY536" s="500"/>
      <c r="QTZ536" s="500"/>
      <c r="QUA536" s="500"/>
      <c r="QUB536" s="500"/>
      <c r="QUC536" s="500"/>
      <c r="QUD536" s="500"/>
      <c r="QUE536" s="500"/>
      <c r="QUF536" s="500"/>
      <c r="QUG536" s="500"/>
      <c r="QUH536" s="500"/>
      <c r="QUI536" s="500"/>
      <c r="QUJ536" s="500"/>
      <c r="QUK536" s="500"/>
      <c r="QUL536" s="500"/>
      <c r="QUM536" s="500"/>
      <c r="QUN536" s="500"/>
      <c r="QUO536" s="500"/>
      <c r="QUP536" s="500"/>
      <c r="QUQ536" s="500"/>
      <c r="QUR536" s="500"/>
      <c r="QUS536" s="500"/>
      <c r="QUT536" s="500"/>
      <c r="QUU536" s="500"/>
      <c r="QUV536" s="500"/>
      <c r="QUW536" s="500"/>
      <c r="QUX536" s="500"/>
      <c r="QUY536" s="500"/>
      <c r="QUZ536" s="500"/>
      <c r="QVA536" s="500"/>
      <c r="QVB536" s="500"/>
      <c r="QVC536" s="500"/>
      <c r="QVD536" s="500"/>
      <c r="QVE536" s="500"/>
      <c r="QVF536" s="500"/>
      <c r="QVG536" s="500"/>
      <c r="QVH536" s="500"/>
      <c r="QVI536" s="500"/>
      <c r="QVJ536" s="500"/>
      <c r="QVK536" s="500"/>
      <c r="QVL536" s="500"/>
      <c r="QVM536" s="500"/>
      <c r="QVN536" s="500"/>
      <c r="QVO536" s="500"/>
      <c r="QVP536" s="500"/>
      <c r="QVQ536" s="500"/>
      <c r="QVR536" s="500"/>
      <c r="QVS536" s="500"/>
      <c r="QVT536" s="500"/>
      <c r="QVU536" s="500"/>
      <c r="QVV536" s="500"/>
      <c r="QVW536" s="500"/>
      <c r="QVX536" s="500"/>
      <c r="QVY536" s="500"/>
      <c r="QVZ536" s="500"/>
      <c r="QWA536" s="500"/>
      <c r="QWB536" s="500"/>
      <c r="QWC536" s="500"/>
      <c r="QWD536" s="500"/>
      <c r="QWE536" s="500"/>
      <c r="QWF536" s="500"/>
      <c r="QWG536" s="500"/>
      <c r="QWH536" s="500"/>
      <c r="QWI536" s="500"/>
      <c r="QWJ536" s="500"/>
      <c r="QWK536" s="500"/>
      <c r="QWL536" s="500"/>
      <c r="QWM536" s="500"/>
      <c r="QWN536" s="500"/>
      <c r="QWO536" s="500"/>
      <c r="QWP536" s="500"/>
      <c r="QWQ536" s="500"/>
      <c r="QWR536" s="500"/>
      <c r="QWS536" s="500"/>
      <c r="QWT536" s="500"/>
      <c r="QWU536" s="500"/>
      <c r="QWV536" s="500"/>
      <c r="QWW536" s="500"/>
      <c r="QWX536" s="500"/>
      <c r="QWY536" s="500"/>
      <c r="QWZ536" s="500"/>
      <c r="QXA536" s="500"/>
      <c r="QXB536" s="500"/>
      <c r="QXC536" s="500"/>
      <c r="QXD536" s="500"/>
      <c r="QXE536" s="500"/>
      <c r="QXF536" s="500"/>
      <c r="QXG536" s="500"/>
      <c r="QXH536" s="500"/>
      <c r="QXI536" s="500"/>
      <c r="QXJ536" s="500"/>
      <c r="QXK536" s="500"/>
      <c r="QXL536" s="500"/>
      <c r="QXM536" s="500"/>
      <c r="QXN536" s="500"/>
      <c r="QXO536" s="500"/>
      <c r="QXP536" s="500"/>
      <c r="QXQ536" s="500"/>
      <c r="QXR536" s="500"/>
      <c r="QXS536" s="500"/>
      <c r="QXT536" s="500"/>
      <c r="QXU536" s="500"/>
      <c r="QXV536" s="500"/>
      <c r="QXW536" s="500"/>
      <c r="QXX536" s="500"/>
      <c r="QXY536" s="500"/>
      <c r="QXZ536" s="500"/>
      <c r="QYA536" s="500"/>
      <c r="QYB536" s="500"/>
      <c r="QYC536" s="500"/>
      <c r="QYD536" s="500"/>
      <c r="QYE536" s="500"/>
      <c r="QYF536" s="500"/>
      <c r="QYG536" s="500"/>
      <c r="QYH536" s="500"/>
      <c r="QYI536" s="500"/>
      <c r="QYJ536" s="500"/>
      <c r="QYK536" s="500"/>
      <c r="QYL536" s="500"/>
      <c r="QYM536" s="500"/>
      <c r="QYN536" s="500"/>
      <c r="QYO536" s="500"/>
      <c r="QYP536" s="500"/>
      <c r="QYQ536" s="500"/>
      <c r="QYR536" s="500"/>
      <c r="QYS536" s="500"/>
      <c r="QYT536" s="500"/>
      <c r="QYU536" s="500"/>
      <c r="QYV536" s="500"/>
      <c r="QYW536" s="500"/>
      <c r="QYX536" s="500"/>
      <c r="QYY536" s="500"/>
      <c r="QYZ536" s="500"/>
      <c r="QZA536" s="500"/>
      <c r="QZB536" s="500"/>
      <c r="QZC536" s="500"/>
      <c r="QZD536" s="500"/>
      <c r="QZE536" s="500"/>
      <c r="QZF536" s="500"/>
      <c r="QZG536" s="500"/>
      <c r="QZH536" s="500"/>
      <c r="QZI536" s="500"/>
      <c r="QZJ536" s="500"/>
      <c r="QZK536" s="500"/>
      <c r="QZL536" s="500"/>
      <c r="QZM536" s="500"/>
      <c r="QZN536" s="500"/>
      <c r="QZO536" s="500"/>
      <c r="QZP536" s="500"/>
      <c r="QZQ536" s="500"/>
      <c r="QZR536" s="500"/>
      <c r="QZS536" s="500"/>
      <c r="QZT536" s="500"/>
      <c r="QZU536" s="500"/>
      <c r="QZV536" s="500"/>
      <c r="QZW536" s="500"/>
      <c r="QZX536" s="500"/>
      <c r="QZY536" s="500"/>
      <c r="QZZ536" s="500"/>
      <c r="RAA536" s="500"/>
      <c r="RAB536" s="500"/>
      <c r="RAC536" s="500"/>
      <c r="RAD536" s="500"/>
      <c r="RAE536" s="500"/>
      <c r="RAF536" s="500"/>
      <c r="RAG536" s="500"/>
      <c r="RAH536" s="500"/>
      <c r="RAI536" s="500"/>
      <c r="RAJ536" s="500"/>
      <c r="RAK536" s="500"/>
      <c r="RAL536" s="500"/>
      <c r="RAM536" s="500"/>
      <c r="RAN536" s="500"/>
      <c r="RAO536" s="500"/>
      <c r="RAP536" s="500"/>
      <c r="RAQ536" s="500"/>
      <c r="RAR536" s="500"/>
      <c r="RAS536" s="500"/>
      <c r="RAT536" s="500"/>
      <c r="RAU536" s="500"/>
      <c r="RAV536" s="500"/>
      <c r="RAW536" s="500"/>
      <c r="RAX536" s="500"/>
      <c r="RAY536" s="500"/>
      <c r="RAZ536" s="500"/>
      <c r="RBA536" s="500"/>
      <c r="RBB536" s="500"/>
      <c r="RBC536" s="500"/>
      <c r="RBD536" s="500"/>
      <c r="RBE536" s="500"/>
      <c r="RBF536" s="500"/>
      <c r="RBG536" s="500"/>
      <c r="RBH536" s="500"/>
      <c r="RBI536" s="500"/>
      <c r="RBJ536" s="500"/>
      <c r="RBK536" s="500"/>
      <c r="RBL536" s="500"/>
      <c r="RBM536" s="500"/>
      <c r="RBN536" s="500"/>
      <c r="RBO536" s="500"/>
      <c r="RBP536" s="500"/>
      <c r="RBQ536" s="500"/>
      <c r="RBR536" s="500"/>
      <c r="RBS536" s="500"/>
      <c r="RBT536" s="500"/>
      <c r="RBU536" s="500"/>
      <c r="RBV536" s="500"/>
      <c r="RBW536" s="500"/>
      <c r="RBX536" s="500"/>
      <c r="RBY536" s="500"/>
      <c r="RBZ536" s="500"/>
      <c r="RCA536" s="500"/>
      <c r="RCB536" s="500"/>
      <c r="RCC536" s="500"/>
      <c r="RCD536" s="500"/>
      <c r="RCE536" s="500"/>
      <c r="RCF536" s="500"/>
      <c r="RCG536" s="500"/>
      <c r="RCH536" s="500"/>
      <c r="RCI536" s="500"/>
      <c r="RCJ536" s="500"/>
      <c r="RCK536" s="500"/>
      <c r="RCL536" s="500"/>
      <c r="RCM536" s="500"/>
      <c r="RCN536" s="500"/>
      <c r="RCO536" s="500"/>
      <c r="RCP536" s="500"/>
      <c r="RCQ536" s="500"/>
      <c r="RCR536" s="500"/>
      <c r="RCS536" s="500"/>
      <c r="RCT536" s="500"/>
      <c r="RCU536" s="500"/>
      <c r="RCV536" s="500"/>
      <c r="RCW536" s="500"/>
      <c r="RCX536" s="500"/>
      <c r="RCY536" s="500"/>
      <c r="RCZ536" s="500"/>
      <c r="RDA536" s="500"/>
      <c r="RDB536" s="500"/>
      <c r="RDC536" s="500"/>
      <c r="RDD536" s="500"/>
      <c r="RDE536" s="500"/>
      <c r="RDF536" s="500"/>
      <c r="RDG536" s="500"/>
      <c r="RDH536" s="500"/>
      <c r="RDI536" s="500"/>
      <c r="RDJ536" s="500"/>
      <c r="RDK536" s="500"/>
      <c r="RDL536" s="500"/>
      <c r="RDM536" s="500"/>
      <c r="RDN536" s="500"/>
      <c r="RDO536" s="500"/>
      <c r="RDP536" s="500"/>
      <c r="RDQ536" s="500"/>
      <c r="RDR536" s="500"/>
      <c r="RDS536" s="500"/>
      <c r="RDT536" s="500"/>
      <c r="RDU536" s="500"/>
      <c r="RDV536" s="500"/>
      <c r="RDW536" s="500"/>
      <c r="RDX536" s="500"/>
      <c r="RDY536" s="500"/>
      <c r="RDZ536" s="500"/>
      <c r="REA536" s="500"/>
      <c r="REB536" s="500"/>
      <c r="REC536" s="500"/>
      <c r="RED536" s="500"/>
      <c r="REE536" s="500"/>
      <c r="REF536" s="500"/>
      <c r="REG536" s="500"/>
      <c r="REH536" s="500"/>
      <c r="REI536" s="500"/>
      <c r="REJ536" s="500"/>
      <c r="REK536" s="500"/>
      <c r="REL536" s="500"/>
      <c r="REM536" s="500"/>
      <c r="REN536" s="500"/>
      <c r="REO536" s="500"/>
      <c r="REP536" s="500"/>
      <c r="REQ536" s="500"/>
      <c r="RER536" s="500"/>
      <c r="RES536" s="500"/>
      <c r="RET536" s="500"/>
      <c r="REU536" s="500"/>
      <c r="REV536" s="500"/>
      <c r="REW536" s="500"/>
      <c r="REX536" s="500"/>
      <c r="REY536" s="500"/>
      <c r="REZ536" s="500"/>
      <c r="RFA536" s="500"/>
      <c r="RFB536" s="500"/>
      <c r="RFC536" s="500"/>
      <c r="RFD536" s="500"/>
      <c r="RFE536" s="500"/>
      <c r="RFF536" s="500"/>
      <c r="RFG536" s="500"/>
      <c r="RFH536" s="500"/>
      <c r="RFI536" s="500"/>
      <c r="RFJ536" s="500"/>
      <c r="RFK536" s="500"/>
      <c r="RFL536" s="500"/>
      <c r="RFM536" s="500"/>
      <c r="RFN536" s="500"/>
      <c r="RFO536" s="500"/>
      <c r="RFP536" s="500"/>
      <c r="RFQ536" s="500"/>
      <c r="RFR536" s="500"/>
      <c r="RFS536" s="500"/>
      <c r="RFT536" s="500"/>
      <c r="RFU536" s="500"/>
      <c r="RFV536" s="500"/>
      <c r="RFW536" s="500"/>
      <c r="RFX536" s="500"/>
      <c r="RFY536" s="500"/>
      <c r="RFZ536" s="500"/>
      <c r="RGA536" s="500"/>
      <c r="RGB536" s="500"/>
      <c r="RGC536" s="500"/>
      <c r="RGD536" s="500"/>
      <c r="RGE536" s="500"/>
      <c r="RGF536" s="500"/>
      <c r="RGG536" s="500"/>
      <c r="RGH536" s="500"/>
      <c r="RGI536" s="500"/>
      <c r="RGJ536" s="500"/>
      <c r="RGK536" s="500"/>
      <c r="RGL536" s="500"/>
      <c r="RGM536" s="500"/>
      <c r="RGN536" s="500"/>
      <c r="RGO536" s="500"/>
      <c r="RGP536" s="500"/>
      <c r="RGQ536" s="500"/>
      <c r="RGR536" s="500"/>
      <c r="RGS536" s="500"/>
      <c r="RGT536" s="500"/>
      <c r="RGU536" s="500"/>
      <c r="RGV536" s="500"/>
      <c r="RGW536" s="500"/>
      <c r="RGX536" s="500"/>
      <c r="RGY536" s="500"/>
      <c r="RGZ536" s="500"/>
      <c r="RHA536" s="500"/>
      <c r="RHB536" s="500"/>
      <c r="RHC536" s="500"/>
      <c r="RHD536" s="500"/>
      <c r="RHE536" s="500"/>
      <c r="RHF536" s="500"/>
      <c r="RHG536" s="500"/>
      <c r="RHH536" s="500"/>
      <c r="RHI536" s="500"/>
      <c r="RHJ536" s="500"/>
      <c r="RHK536" s="500"/>
      <c r="RHL536" s="500"/>
      <c r="RHM536" s="500"/>
      <c r="RHN536" s="500"/>
      <c r="RHO536" s="500"/>
      <c r="RHP536" s="500"/>
      <c r="RHQ536" s="500"/>
      <c r="RHR536" s="500"/>
      <c r="RHS536" s="500"/>
      <c r="RHT536" s="500"/>
      <c r="RHU536" s="500"/>
      <c r="RHV536" s="500"/>
      <c r="RHW536" s="500"/>
      <c r="RHX536" s="500"/>
      <c r="RHY536" s="500"/>
      <c r="RHZ536" s="500"/>
      <c r="RIA536" s="500"/>
      <c r="RIB536" s="500"/>
      <c r="RIC536" s="500"/>
      <c r="RID536" s="500"/>
      <c r="RIE536" s="500"/>
      <c r="RIF536" s="500"/>
      <c r="RIG536" s="500"/>
      <c r="RIH536" s="500"/>
      <c r="RII536" s="500"/>
      <c r="RIJ536" s="500"/>
      <c r="RIK536" s="500"/>
      <c r="RIL536" s="500"/>
      <c r="RIM536" s="500"/>
      <c r="RIN536" s="500"/>
      <c r="RIO536" s="500"/>
      <c r="RIP536" s="500"/>
      <c r="RIQ536" s="500"/>
      <c r="RIR536" s="500"/>
      <c r="RIS536" s="500"/>
      <c r="RIT536" s="500"/>
      <c r="RIU536" s="500"/>
      <c r="RIV536" s="500"/>
      <c r="RIW536" s="500"/>
      <c r="RIX536" s="500"/>
      <c r="RIY536" s="500"/>
      <c r="RIZ536" s="500"/>
      <c r="RJA536" s="500"/>
      <c r="RJB536" s="500"/>
      <c r="RJC536" s="500"/>
      <c r="RJD536" s="500"/>
      <c r="RJE536" s="500"/>
      <c r="RJF536" s="500"/>
      <c r="RJG536" s="500"/>
      <c r="RJH536" s="500"/>
      <c r="RJI536" s="500"/>
      <c r="RJJ536" s="500"/>
      <c r="RJK536" s="500"/>
      <c r="RJL536" s="500"/>
      <c r="RJM536" s="500"/>
      <c r="RJN536" s="500"/>
      <c r="RJO536" s="500"/>
      <c r="RJP536" s="500"/>
      <c r="RJQ536" s="500"/>
      <c r="RJR536" s="500"/>
      <c r="RJS536" s="500"/>
      <c r="RJT536" s="500"/>
      <c r="RJU536" s="500"/>
      <c r="RJV536" s="500"/>
      <c r="RJW536" s="500"/>
      <c r="RJX536" s="500"/>
      <c r="RJY536" s="500"/>
      <c r="RJZ536" s="500"/>
      <c r="RKA536" s="500"/>
      <c r="RKB536" s="500"/>
      <c r="RKC536" s="500"/>
      <c r="RKD536" s="500"/>
      <c r="RKE536" s="500"/>
      <c r="RKF536" s="500"/>
      <c r="RKG536" s="500"/>
      <c r="RKH536" s="500"/>
      <c r="RKI536" s="500"/>
      <c r="RKJ536" s="500"/>
      <c r="RKK536" s="500"/>
      <c r="RKL536" s="500"/>
      <c r="RKM536" s="500"/>
      <c r="RKN536" s="500"/>
      <c r="RKO536" s="500"/>
      <c r="RKP536" s="500"/>
      <c r="RKQ536" s="500"/>
      <c r="RKR536" s="500"/>
      <c r="RKS536" s="500"/>
      <c r="RKT536" s="500"/>
      <c r="RKU536" s="500"/>
      <c r="RKV536" s="500"/>
      <c r="RKW536" s="500"/>
      <c r="RKX536" s="500"/>
      <c r="RKY536" s="500"/>
      <c r="RKZ536" s="500"/>
      <c r="RLA536" s="500"/>
      <c r="RLB536" s="500"/>
      <c r="RLC536" s="500"/>
      <c r="RLD536" s="500"/>
      <c r="RLE536" s="500"/>
      <c r="RLF536" s="500"/>
      <c r="RLG536" s="500"/>
      <c r="RLH536" s="500"/>
      <c r="RLI536" s="500"/>
      <c r="RLJ536" s="500"/>
      <c r="RLK536" s="500"/>
      <c r="RLL536" s="500"/>
      <c r="RLM536" s="500"/>
      <c r="RLN536" s="500"/>
      <c r="RLO536" s="500"/>
      <c r="RLP536" s="500"/>
      <c r="RLQ536" s="500"/>
      <c r="RLR536" s="500"/>
      <c r="RLS536" s="500"/>
      <c r="RLT536" s="500"/>
      <c r="RLU536" s="500"/>
      <c r="RLV536" s="500"/>
      <c r="RLW536" s="500"/>
      <c r="RLX536" s="500"/>
      <c r="RLY536" s="500"/>
      <c r="RLZ536" s="500"/>
      <c r="RMA536" s="500"/>
      <c r="RMB536" s="500"/>
      <c r="RMC536" s="500"/>
      <c r="RMD536" s="500"/>
      <c r="RME536" s="500"/>
      <c r="RMF536" s="500"/>
      <c r="RMG536" s="500"/>
      <c r="RMH536" s="500"/>
      <c r="RMI536" s="500"/>
      <c r="RMJ536" s="500"/>
      <c r="RMK536" s="500"/>
      <c r="RML536" s="500"/>
      <c r="RMM536" s="500"/>
      <c r="RMN536" s="500"/>
      <c r="RMO536" s="500"/>
      <c r="RMP536" s="500"/>
      <c r="RMQ536" s="500"/>
      <c r="RMR536" s="500"/>
      <c r="RMS536" s="500"/>
      <c r="RMT536" s="500"/>
      <c r="RMU536" s="500"/>
      <c r="RMV536" s="500"/>
      <c r="RMW536" s="500"/>
      <c r="RMX536" s="500"/>
      <c r="RMY536" s="500"/>
      <c r="RMZ536" s="500"/>
      <c r="RNA536" s="500"/>
      <c r="RNB536" s="500"/>
      <c r="RNC536" s="500"/>
      <c r="RND536" s="500"/>
      <c r="RNE536" s="500"/>
      <c r="RNF536" s="500"/>
      <c r="RNG536" s="500"/>
      <c r="RNH536" s="500"/>
      <c r="RNI536" s="500"/>
      <c r="RNJ536" s="500"/>
      <c r="RNK536" s="500"/>
      <c r="RNL536" s="500"/>
      <c r="RNM536" s="500"/>
      <c r="RNN536" s="500"/>
      <c r="RNO536" s="500"/>
      <c r="RNP536" s="500"/>
      <c r="RNQ536" s="500"/>
      <c r="RNR536" s="500"/>
      <c r="RNS536" s="500"/>
      <c r="RNT536" s="500"/>
      <c r="RNU536" s="500"/>
      <c r="RNV536" s="500"/>
      <c r="RNW536" s="500"/>
      <c r="RNX536" s="500"/>
      <c r="RNY536" s="500"/>
      <c r="RNZ536" s="500"/>
      <c r="ROA536" s="500"/>
      <c r="ROB536" s="500"/>
      <c r="ROC536" s="500"/>
      <c r="ROD536" s="500"/>
      <c r="ROE536" s="500"/>
      <c r="ROF536" s="500"/>
      <c r="ROG536" s="500"/>
      <c r="ROH536" s="500"/>
      <c r="ROI536" s="500"/>
      <c r="ROJ536" s="500"/>
      <c r="ROK536" s="500"/>
      <c r="ROL536" s="500"/>
      <c r="ROM536" s="500"/>
      <c r="RON536" s="500"/>
      <c r="ROO536" s="500"/>
      <c r="ROP536" s="500"/>
      <c r="ROQ536" s="500"/>
      <c r="ROR536" s="500"/>
      <c r="ROS536" s="500"/>
      <c r="ROT536" s="500"/>
      <c r="ROU536" s="500"/>
      <c r="ROV536" s="500"/>
      <c r="ROW536" s="500"/>
      <c r="ROX536" s="500"/>
      <c r="ROY536" s="500"/>
      <c r="ROZ536" s="500"/>
      <c r="RPA536" s="500"/>
      <c r="RPB536" s="500"/>
      <c r="RPC536" s="500"/>
      <c r="RPD536" s="500"/>
      <c r="RPE536" s="500"/>
      <c r="RPF536" s="500"/>
      <c r="RPG536" s="500"/>
      <c r="RPH536" s="500"/>
      <c r="RPI536" s="500"/>
      <c r="RPJ536" s="500"/>
      <c r="RPK536" s="500"/>
      <c r="RPL536" s="500"/>
      <c r="RPM536" s="500"/>
      <c r="RPN536" s="500"/>
      <c r="RPO536" s="500"/>
      <c r="RPP536" s="500"/>
      <c r="RPQ536" s="500"/>
      <c r="RPR536" s="500"/>
      <c r="RPS536" s="500"/>
      <c r="RPT536" s="500"/>
      <c r="RPU536" s="500"/>
      <c r="RPV536" s="500"/>
      <c r="RPW536" s="500"/>
      <c r="RPX536" s="500"/>
      <c r="RPY536" s="500"/>
      <c r="RPZ536" s="500"/>
      <c r="RQA536" s="500"/>
      <c r="RQB536" s="500"/>
      <c r="RQC536" s="500"/>
      <c r="RQD536" s="500"/>
      <c r="RQE536" s="500"/>
      <c r="RQF536" s="500"/>
      <c r="RQG536" s="500"/>
      <c r="RQH536" s="500"/>
      <c r="RQI536" s="500"/>
      <c r="RQJ536" s="500"/>
      <c r="RQK536" s="500"/>
      <c r="RQL536" s="500"/>
      <c r="RQM536" s="500"/>
      <c r="RQN536" s="500"/>
      <c r="RQO536" s="500"/>
      <c r="RQP536" s="500"/>
      <c r="RQQ536" s="500"/>
      <c r="RQR536" s="500"/>
      <c r="RQS536" s="500"/>
      <c r="RQT536" s="500"/>
      <c r="RQU536" s="500"/>
      <c r="RQV536" s="500"/>
      <c r="RQW536" s="500"/>
      <c r="RQX536" s="500"/>
      <c r="RQY536" s="500"/>
      <c r="RQZ536" s="500"/>
      <c r="RRA536" s="500"/>
      <c r="RRB536" s="500"/>
      <c r="RRC536" s="500"/>
      <c r="RRD536" s="500"/>
      <c r="RRE536" s="500"/>
      <c r="RRF536" s="500"/>
      <c r="RRG536" s="500"/>
      <c r="RRH536" s="500"/>
      <c r="RRI536" s="500"/>
      <c r="RRJ536" s="500"/>
      <c r="RRK536" s="500"/>
      <c r="RRL536" s="500"/>
      <c r="RRM536" s="500"/>
      <c r="RRN536" s="500"/>
      <c r="RRO536" s="500"/>
      <c r="RRP536" s="500"/>
      <c r="RRQ536" s="500"/>
      <c r="RRR536" s="500"/>
      <c r="RRS536" s="500"/>
      <c r="RRT536" s="500"/>
      <c r="RRU536" s="500"/>
      <c r="RRV536" s="500"/>
      <c r="RRW536" s="500"/>
      <c r="RRX536" s="500"/>
      <c r="RRY536" s="500"/>
      <c r="RRZ536" s="500"/>
      <c r="RSA536" s="500"/>
      <c r="RSB536" s="500"/>
      <c r="RSC536" s="500"/>
      <c r="RSD536" s="500"/>
      <c r="RSE536" s="500"/>
      <c r="RSF536" s="500"/>
      <c r="RSG536" s="500"/>
      <c r="RSH536" s="500"/>
      <c r="RSI536" s="500"/>
      <c r="RSJ536" s="500"/>
      <c r="RSK536" s="500"/>
      <c r="RSL536" s="500"/>
      <c r="RSM536" s="500"/>
      <c r="RSN536" s="500"/>
      <c r="RSO536" s="500"/>
      <c r="RSP536" s="500"/>
      <c r="RSQ536" s="500"/>
      <c r="RSR536" s="500"/>
      <c r="RSS536" s="500"/>
      <c r="RST536" s="500"/>
      <c r="RSU536" s="500"/>
      <c r="RSV536" s="500"/>
      <c r="RSW536" s="500"/>
      <c r="RSX536" s="500"/>
      <c r="RSY536" s="500"/>
      <c r="RSZ536" s="500"/>
      <c r="RTA536" s="500"/>
      <c r="RTB536" s="500"/>
      <c r="RTC536" s="500"/>
      <c r="RTD536" s="500"/>
      <c r="RTE536" s="500"/>
      <c r="RTF536" s="500"/>
      <c r="RTG536" s="500"/>
      <c r="RTH536" s="500"/>
      <c r="RTI536" s="500"/>
      <c r="RTJ536" s="500"/>
      <c r="RTK536" s="500"/>
      <c r="RTL536" s="500"/>
      <c r="RTM536" s="500"/>
      <c r="RTN536" s="500"/>
      <c r="RTO536" s="500"/>
      <c r="RTP536" s="500"/>
      <c r="RTQ536" s="500"/>
      <c r="RTR536" s="500"/>
      <c r="RTS536" s="500"/>
      <c r="RTT536" s="500"/>
      <c r="RTU536" s="500"/>
      <c r="RTV536" s="500"/>
      <c r="RTW536" s="500"/>
      <c r="RTX536" s="500"/>
      <c r="RTY536" s="500"/>
      <c r="RTZ536" s="500"/>
      <c r="RUA536" s="500"/>
      <c r="RUB536" s="500"/>
      <c r="RUC536" s="500"/>
      <c r="RUD536" s="500"/>
      <c r="RUE536" s="500"/>
      <c r="RUF536" s="500"/>
      <c r="RUG536" s="500"/>
      <c r="RUH536" s="500"/>
      <c r="RUI536" s="500"/>
      <c r="RUJ536" s="500"/>
      <c r="RUK536" s="500"/>
      <c r="RUL536" s="500"/>
      <c r="RUM536" s="500"/>
      <c r="RUN536" s="500"/>
      <c r="RUO536" s="500"/>
      <c r="RUP536" s="500"/>
      <c r="RUQ536" s="500"/>
      <c r="RUR536" s="500"/>
      <c r="RUS536" s="500"/>
      <c r="RUT536" s="500"/>
      <c r="RUU536" s="500"/>
      <c r="RUV536" s="500"/>
      <c r="RUW536" s="500"/>
      <c r="RUX536" s="500"/>
      <c r="RUY536" s="500"/>
      <c r="RUZ536" s="500"/>
      <c r="RVA536" s="500"/>
      <c r="RVB536" s="500"/>
      <c r="RVC536" s="500"/>
      <c r="RVD536" s="500"/>
      <c r="RVE536" s="500"/>
      <c r="RVF536" s="500"/>
      <c r="RVG536" s="500"/>
      <c r="RVH536" s="500"/>
      <c r="RVI536" s="500"/>
      <c r="RVJ536" s="500"/>
      <c r="RVK536" s="500"/>
      <c r="RVL536" s="500"/>
      <c r="RVM536" s="500"/>
      <c r="RVN536" s="500"/>
      <c r="RVO536" s="500"/>
      <c r="RVP536" s="500"/>
      <c r="RVQ536" s="500"/>
      <c r="RVR536" s="500"/>
      <c r="RVS536" s="500"/>
      <c r="RVT536" s="500"/>
      <c r="RVU536" s="500"/>
      <c r="RVV536" s="500"/>
      <c r="RVW536" s="500"/>
      <c r="RVX536" s="500"/>
      <c r="RVY536" s="500"/>
      <c r="RVZ536" s="500"/>
      <c r="RWA536" s="500"/>
      <c r="RWB536" s="500"/>
      <c r="RWC536" s="500"/>
      <c r="RWD536" s="500"/>
      <c r="RWE536" s="500"/>
      <c r="RWF536" s="500"/>
      <c r="RWG536" s="500"/>
      <c r="RWH536" s="500"/>
      <c r="RWI536" s="500"/>
      <c r="RWJ536" s="500"/>
      <c r="RWK536" s="500"/>
      <c r="RWL536" s="500"/>
      <c r="RWM536" s="500"/>
      <c r="RWN536" s="500"/>
      <c r="RWO536" s="500"/>
      <c r="RWP536" s="500"/>
      <c r="RWQ536" s="500"/>
      <c r="RWR536" s="500"/>
      <c r="RWS536" s="500"/>
      <c r="RWT536" s="500"/>
      <c r="RWU536" s="500"/>
      <c r="RWV536" s="500"/>
      <c r="RWW536" s="500"/>
      <c r="RWX536" s="500"/>
      <c r="RWY536" s="500"/>
      <c r="RWZ536" s="500"/>
      <c r="RXA536" s="500"/>
      <c r="RXB536" s="500"/>
      <c r="RXC536" s="500"/>
      <c r="RXD536" s="500"/>
      <c r="RXE536" s="500"/>
      <c r="RXF536" s="500"/>
      <c r="RXG536" s="500"/>
      <c r="RXH536" s="500"/>
      <c r="RXI536" s="500"/>
      <c r="RXJ536" s="500"/>
      <c r="RXK536" s="500"/>
      <c r="RXL536" s="500"/>
      <c r="RXM536" s="500"/>
      <c r="RXN536" s="500"/>
      <c r="RXO536" s="500"/>
      <c r="RXP536" s="500"/>
      <c r="RXQ536" s="500"/>
      <c r="RXR536" s="500"/>
      <c r="RXS536" s="500"/>
      <c r="RXT536" s="500"/>
      <c r="RXU536" s="500"/>
      <c r="RXV536" s="500"/>
      <c r="RXW536" s="500"/>
      <c r="RXX536" s="500"/>
      <c r="RXY536" s="500"/>
      <c r="RXZ536" s="500"/>
      <c r="RYA536" s="500"/>
      <c r="RYB536" s="500"/>
      <c r="RYC536" s="500"/>
      <c r="RYD536" s="500"/>
      <c r="RYE536" s="500"/>
      <c r="RYF536" s="500"/>
      <c r="RYG536" s="500"/>
      <c r="RYH536" s="500"/>
      <c r="RYI536" s="500"/>
      <c r="RYJ536" s="500"/>
      <c r="RYK536" s="500"/>
      <c r="RYL536" s="500"/>
      <c r="RYM536" s="500"/>
      <c r="RYN536" s="500"/>
      <c r="RYO536" s="500"/>
      <c r="RYP536" s="500"/>
      <c r="RYQ536" s="500"/>
      <c r="RYR536" s="500"/>
      <c r="RYS536" s="500"/>
      <c r="RYT536" s="500"/>
      <c r="RYU536" s="500"/>
      <c r="RYV536" s="500"/>
      <c r="RYW536" s="500"/>
      <c r="RYX536" s="500"/>
      <c r="RYY536" s="500"/>
      <c r="RYZ536" s="500"/>
      <c r="RZA536" s="500"/>
      <c r="RZB536" s="500"/>
      <c r="RZC536" s="500"/>
      <c r="RZD536" s="500"/>
      <c r="RZE536" s="500"/>
      <c r="RZF536" s="500"/>
      <c r="RZG536" s="500"/>
      <c r="RZH536" s="500"/>
      <c r="RZI536" s="500"/>
      <c r="RZJ536" s="500"/>
      <c r="RZK536" s="500"/>
      <c r="RZL536" s="500"/>
      <c r="RZM536" s="500"/>
      <c r="RZN536" s="500"/>
      <c r="RZO536" s="500"/>
      <c r="RZP536" s="500"/>
      <c r="RZQ536" s="500"/>
      <c r="RZR536" s="500"/>
      <c r="RZS536" s="500"/>
      <c r="RZT536" s="500"/>
      <c r="RZU536" s="500"/>
      <c r="RZV536" s="500"/>
      <c r="RZW536" s="500"/>
      <c r="RZX536" s="500"/>
      <c r="RZY536" s="500"/>
      <c r="RZZ536" s="500"/>
      <c r="SAA536" s="500"/>
      <c r="SAB536" s="500"/>
      <c r="SAC536" s="500"/>
      <c r="SAD536" s="500"/>
      <c r="SAE536" s="500"/>
      <c r="SAF536" s="500"/>
      <c r="SAG536" s="500"/>
      <c r="SAH536" s="500"/>
      <c r="SAI536" s="500"/>
      <c r="SAJ536" s="500"/>
      <c r="SAK536" s="500"/>
      <c r="SAL536" s="500"/>
      <c r="SAM536" s="500"/>
      <c r="SAN536" s="500"/>
      <c r="SAO536" s="500"/>
      <c r="SAP536" s="500"/>
      <c r="SAQ536" s="500"/>
      <c r="SAR536" s="500"/>
      <c r="SAS536" s="500"/>
      <c r="SAT536" s="500"/>
      <c r="SAU536" s="500"/>
      <c r="SAV536" s="500"/>
      <c r="SAW536" s="500"/>
      <c r="SAX536" s="500"/>
      <c r="SAY536" s="500"/>
      <c r="SAZ536" s="500"/>
      <c r="SBA536" s="500"/>
      <c r="SBB536" s="500"/>
      <c r="SBC536" s="500"/>
      <c r="SBD536" s="500"/>
      <c r="SBE536" s="500"/>
      <c r="SBF536" s="500"/>
      <c r="SBG536" s="500"/>
      <c r="SBH536" s="500"/>
      <c r="SBI536" s="500"/>
      <c r="SBJ536" s="500"/>
      <c r="SBK536" s="500"/>
      <c r="SBL536" s="500"/>
      <c r="SBM536" s="500"/>
      <c r="SBN536" s="500"/>
      <c r="SBO536" s="500"/>
      <c r="SBP536" s="500"/>
      <c r="SBQ536" s="500"/>
      <c r="SBR536" s="500"/>
      <c r="SBS536" s="500"/>
      <c r="SBT536" s="500"/>
      <c r="SBU536" s="500"/>
      <c r="SBV536" s="500"/>
      <c r="SBW536" s="500"/>
      <c r="SBX536" s="500"/>
      <c r="SBY536" s="500"/>
      <c r="SBZ536" s="500"/>
      <c r="SCA536" s="500"/>
      <c r="SCB536" s="500"/>
      <c r="SCC536" s="500"/>
      <c r="SCD536" s="500"/>
      <c r="SCE536" s="500"/>
      <c r="SCF536" s="500"/>
      <c r="SCG536" s="500"/>
      <c r="SCH536" s="500"/>
      <c r="SCI536" s="500"/>
      <c r="SCJ536" s="500"/>
      <c r="SCK536" s="500"/>
      <c r="SCL536" s="500"/>
      <c r="SCM536" s="500"/>
      <c r="SCN536" s="500"/>
      <c r="SCO536" s="500"/>
      <c r="SCP536" s="500"/>
      <c r="SCQ536" s="500"/>
      <c r="SCR536" s="500"/>
      <c r="SCS536" s="500"/>
      <c r="SCT536" s="500"/>
      <c r="SCU536" s="500"/>
      <c r="SCV536" s="500"/>
      <c r="SCW536" s="500"/>
      <c r="SCX536" s="500"/>
      <c r="SCY536" s="500"/>
      <c r="SCZ536" s="500"/>
      <c r="SDA536" s="500"/>
      <c r="SDB536" s="500"/>
      <c r="SDC536" s="500"/>
      <c r="SDD536" s="500"/>
      <c r="SDE536" s="500"/>
      <c r="SDF536" s="500"/>
      <c r="SDG536" s="500"/>
      <c r="SDH536" s="500"/>
      <c r="SDI536" s="500"/>
      <c r="SDJ536" s="500"/>
      <c r="SDK536" s="500"/>
      <c r="SDL536" s="500"/>
      <c r="SDM536" s="500"/>
      <c r="SDN536" s="500"/>
      <c r="SDO536" s="500"/>
      <c r="SDP536" s="500"/>
      <c r="SDQ536" s="500"/>
      <c r="SDR536" s="500"/>
      <c r="SDS536" s="500"/>
      <c r="SDT536" s="500"/>
      <c r="SDU536" s="500"/>
      <c r="SDV536" s="500"/>
      <c r="SDW536" s="500"/>
      <c r="SDX536" s="500"/>
      <c r="SDY536" s="500"/>
      <c r="SDZ536" s="500"/>
      <c r="SEA536" s="500"/>
      <c r="SEB536" s="500"/>
      <c r="SEC536" s="500"/>
      <c r="SED536" s="500"/>
      <c r="SEE536" s="500"/>
      <c r="SEF536" s="500"/>
      <c r="SEG536" s="500"/>
      <c r="SEH536" s="500"/>
      <c r="SEI536" s="500"/>
      <c r="SEJ536" s="500"/>
      <c r="SEK536" s="500"/>
      <c r="SEL536" s="500"/>
      <c r="SEM536" s="500"/>
      <c r="SEN536" s="500"/>
      <c r="SEO536" s="500"/>
      <c r="SEP536" s="500"/>
      <c r="SEQ536" s="500"/>
      <c r="SER536" s="500"/>
      <c r="SES536" s="500"/>
      <c r="SET536" s="500"/>
      <c r="SEU536" s="500"/>
      <c r="SEV536" s="500"/>
      <c r="SEW536" s="500"/>
      <c r="SEX536" s="500"/>
      <c r="SEY536" s="500"/>
      <c r="SEZ536" s="500"/>
      <c r="SFA536" s="500"/>
      <c r="SFB536" s="500"/>
      <c r="SFC536" s="500"/>
      <c r="SFD536" s="500"/>
      <c r="SFE536" s="500"/>
      <c r="SFF536" s="500"/>
      <c r="SFG536" s="500"/>
      <c r="SFH536" s="500"/>
      <c r="SFI536" s="500"/>
      <c r="SFJ536" s="500"/>
      <c r="SFK536" s="500"/>
      <c r="SFL536" s="500"/>
      <c r="SFM536" s="500"/>
      <c r="SFN536" s="500"/>
      <c r="SFO536" s="500"/>
      <c r="SFP536" s="500"/>
      <c r="SFQ536" s="500"/>
      <c r="SFR536" s="500"/>
      <c r="SFS536" s="500"/>
      <c r="SFT536" s="500"/>
      <c r="SFU536" s="500"/>
      <c r="SFV536" s="500"/>
      <c r="SFW536" s="500"/>
      <c r="SFX536" s="500"/>
      <c r="SFY536" s="500"/>
      <c r="SFZ536" s="500"/>
      <c r="SGA536" s="500"/>
      <c r="SGB536" s="500"/>
      <c r="SGC536" s="500"/>
      <c r="SGD536" s="500"/>
      <c r="SGE536" s="500"/>
      <c r="SGF536" s="500"/>
      <c r="SGG536" s="500"/>
      <c r="SGH536" s="500"/>
      <c r="SGI536" s="500"/>
      <c r="SGJ536" s="500"/>
      <c r="SGK536" s="500"/>
      <c r="SGL536" s="500"/>
      <c r="SGM536" s="500"/>
      <c r="SGN536" s="500"/>
      <c r="SGO536" s="500"/>
      <c r="SGP536" s="500"/>
      <c r="SGQ536" s="500"/>
      <c r="SGR536" s="500"/>
      <c r="SGS536" s="500"/>
      <c r="SGT536" s="500"/>
      <c r="SGU536" s="500"/>
      <c r="SGV536" s="500"/>
      <c r="SGW536" s="500"/>
      <c r="SGX536" s="500"/>
      <c r="SGY536" s="500"/>
      <c r="SGZ536" s="500"/>
      <c r="SHA536" s="500"/>
      <c r="SHB536" s="500"/>
      <c r="SHC536" s="500"/>
      <c r="SHD536" s="500"/>
      <c r="SHE536" s="500"/>
      <c r="SHF536" s="500"/>
      <c r="SHG536" s="500"/>
      <c r="SHH536" s="500"/>
      <c r="SHI536" s="500"/>
      <c r="SHJ536" s="500"/>
      <c r="SHK536" s="500"/>
      <c r="SHL536" s="500"/>
      <c r="SHM536" s="500"/>
      <c r="SHN536" s="500"/>
      <c r="SHO536" s="500"/>
      <c r="SHP536" s="500"/>
      <c r="SHQ536" s="500"/>
      <c r="SHR536" s="500"/>
      <c r="SHS536" s="500"/>
      <c r="SHT536" s="500"/>
      <c r="SHU536" s="500"/>
      <c r="SHV536" s="500"/>
      <c r="SHW536" s="500"/>
      <c r="SHX536" s="500"/>
      <c r="SHY536" s="500"/>
      <c r="SHZ536" s="500"/>
      <c r="SIA536" s="500"/>
      <c r="SIB536" s="500"/>
      <c r="SIC536" s="500"/>
      <c r="SID536" s="500"/>
      <c r="SIE536" s="500"/>
      <c r="SIF536" s="500"/>
      <c r="SIG536" s="500"/>
      <c r="SIH536" s="500"/>
      <c r="SII536" s="500"/>
      <c r="SIJ536" s="500"/>
      <c r="SIK536" s="500"/>
      <c r="SIL536" s="500"/>
      <c r="SIM536" s="500"/>
      <c r="SIN536" s="500"/>
      <c r="SIO536" s="500"/>
      <c r="SIP536" s="500"/>
      <c r="SIQ536" s="500"/>
      <c r="SIR536" s="500"/>
      <c r="SIS536" s="500"/>
      <c r="SIT536" s="500"/>
      <c r="SIU536" s="500"/>
      <c r="SIV536" s="500"/>
      <c r="SIW536" s="500"/>
      <c r="SIX536" s="500"/>
      <c r="SIY536" s="500"/>
      <c r="SIZ536" s="500"/>
      <c r="SJA536" s="500"/>
      <c r="SJB536" s="500"/>
      <c r="SJC536" s="500"/>
      <c r="SJD536" s="500"/>
      <c r="SJE536" s="500"/>
      <c r="SJF536" s="500"/>
      <c r="SJG536" s="500"/>
      <c r="SJH536" s="500"/>
      <c r="SJI536" s="500"/>
      <c r="SJJ536" s="500"/>
      <c r="SJK536" s="500"/>
      <c r="SJL536" s="500"/>
      <c r="SJM536" s="500"/>
      <c r="SJN536" s="500"/>
      <c r="SJO536" s="500"/>
      <c r="SJP536" s="500"/>
      <c r="SJQ536" s="500"/>
      <c r="SJR536" s="500"/>
      <c r="SJS536" s="500"/>
      <c r="SJT536" s="500"/>
      <c r="SJU536" s="500"/>
      <c r="SJV536" s="500"/>
      <c r="SJW536" s="500"/>
      <c r="SJX536" s="500"/>
      <c r="SJY536" s="500"/>
      <c r="SJZ536" s="500"/>
      <c r="SKA536" s="500"/>
      <c r="SKB536" s="500"/>
      <c r="SKC536" s="500"/>
      <c r="SKD536" s="500"/>
      <c r="SKE536" s="500"/>
      <c r="SKF536" s="500"/>
      <c r="SKG536" s="500"/>
      <c r="SKH536" s="500"/>
      <c r="SKI536" s="500"/>
      <c r="SKJ536" s="500"/>
      <c r="SKK536" s="500"/>
      <c r="SKL536" s="500"/>
      <c r="SKM536" s="500"/>
      <c r="SKN536" s="500"/>
      <c r="SKO536" s="500"/>
      <c r="SKP536" s="500"/>
      <c r="SKQ536" s="500"/>
      <c r="SKR536" s="500"/>
      <c r="SKS536" s="500"/>
      <c r="SKT536" s="500"/>
      <c r="SKU536" s="500"/>
      <c r="SKV536" s="500"/>
      <c r="SKW536" s="500"/>
      <c r="SKX536" s="500"/>
      <c r="SKY536" s="500"/>
      <c r="SKZ536" s="500"/>
      <c r="SLA536" s="500"/>
      <c r="SLB536" s="500"/>
      <c r="SLC536" s="500"/>
      <c r="SLD536" s="500"/>
      <c r="SLE536" s="500"/>
      <c r="SLF536" s="500"/>
      <c r="SLG536" s="500"/>
      <c r="SLH536" s="500"/>
      <c r="SLI536" s="500"/>
      <c r="SLJ536" s="500"/>
      <c r="SLK536" s="500"/>
      <c r="SLL536" s="500"/>
      <c r="SLM536" s="500"/>
      <c r="SLN536" s="500"/>
      <c r="SLO536" s="500"/>
      <c r="SLP536" s="500"/>
      <c r="SLQ536" s="500"/>
      <c r="SLR536" s="500"/>
      <c r="SLS536" s="500"/>
      <c r="SLT536" s="500"/>
      <c r="SLU536" s="500"/>
      <c r="SLV536" s="500"/>
      <c r="SLW536" s="500"/>
      <c r="SLX536" s="500"/>
      <c r="SLY536" s="500"/>
      <c r="SLZ536" s="500"/>
      <c r="SMA536" s="500"/>
      <c r="SMB536" s="500"/>
      <c r="SMC536" s="500"/>
      <c r="SMD536" s="500"/>
      <c r="SME536" s="500"/>
      <c r="SMF536" s="500"/>
      <c r="SMG536" s="500"/>
      <c r="SMH536" s="500"/>
      <c r="SMI536" s="500"/>
      <c r="SMJ536" s="500"/>
      <c r="SMK536" s="500"/>
      <c r="SML536" s="500"/>
      <c r="SMM536" s="500"/>
      <c r="SMN536" s="500"/>
      <c r="SMO536" s="500"/>
      <c r="SMP536" s="500"/>
      <c r="SMQ536" s="500"/>
      <c r="SMR536" s="500"/>
      <c r="SMS536" s="500"/>
      <c r="SMT536" s="500"/>
      <c r="SMU536" s="500"/>
      <c r="SMV536" s="500"/>
      <c r="SMW536" s="500"/>
      <c r="SMX536" s="500"/>
      <c r="SMY536" s="500"/>
      <c r="SMZ536" s="500"/>
      <c r="SNA536" s="500"/>
      <c r="SNB536" s="500"/>
      <c r="SNC536" s="500"/>
      <c r="SND536" s="500"/>
      <c r="SNE536" s="500"/>
      <c r="SNF536" s="500"/>
      <c r="SNG536" s="500"/>
      <c r="SNH536" s="500"/>
      <c r="SNI536" s="500"/>
      <c r="SNJ536" s="500"/>
      <c r="SNK536" s="500"/>
      <c r="SNL536" s="500"/>
      <c r="SNM536" s="500"/>
      <c r="SNN536" s="500"/>
      <c r="SNO536" s="500"/>
      <c r="SNP536" s="500"/>
      <c r="SNQ536" s="500"/>
      <c r="SNR536" s="500"/>
      <c r="SNS536" s="500"/>
      <c r="SNT536" s="500"/>
      <c r="SNU536" s="500"/>
      <c r="SNV536" s="500"/>
      <c r="SNW536" s="500"/>
      <c r="SNX536" s="500"/>
      <c r="SNY536" s="500"/>
      <c r="SNZ536" s="500"/>
      <c r="SOA536" s="500"/>
      <c r="SOB536" s="500"/>
      <c r="SOC536" s="500"/>
      <c r="SOD536" s="500"/>
      <c r="SOE536" s="500"/>
      <c r="SOF536" s="500"/>
      <c r="SOG536" s="500"/>
      <c r="SOH536" s="500"/>
      <c r="SOI536" s="500"/>
      <c r="SOJ536" s="500"/>
      <c r="SOK536" s="500"/>
      <c r="SOL536" s="500"/>
      <c r="SOM536" s="500"/>
      <c r="SON536" s="500"/>
      <c r="SOO536" s="500"/>
      <c r="SOP536" s="500"/>
      <c r="SOQ536" s="500"/>
      <c r="SOR536" s="500"/>
      <c r="SOS536" s="500"/>
      <c r="SOT536" s="500"/>
      <c r="SOU536" s="500"/>
      <c r="SOV536" s="500"/>
      <c r="SOW536" s="500"/>
      <c r="SOX536" s="500"/>
      <c r="SOY536" s="500"/>
      <c r="SOZ536" s="500"/>
      <c r="SPA536" s="500"/>
      <c r="SPB536" s="500"/>
      <c r="SPC536" s="500"/>
      <c r="SPD536" s="500"/>
      <c r="SPE536" s="500"/>
      <c r="SPF536" s="500"/>
      <c r="SPG536" s="500"/>
      <c r="SPH536" s="500"/>
      <c r="SPI536" s="500"/>
      <c r="SPJ536" s="500"/>
      <c r="SPK536" s="500"/>
      <c r="SPL536" s="500"/>
      <c r="SPM536" s="500"/>
      <c r="SPN536" s="500"/>
      <c r="SPO536" s="500"/>
      <c r="SPP536" s="500"/>
      <c r="SPQ536" s="500"/>
      <c r="SPR536" s="500"/>
      <c r="SPS536" s="500"/>
      <c r="SPT536" s="500"/>
      <c r="SPU536" s="500"/>
      <c r="SPV536" s="500"/>
      <c r="SPW536" s="500"/>
      <c r="SPX536" s="500"/>
      <c r="SPY536" s="500"/>
      <c r="SPZ536" s="500"/>
      <c r="SQA536" s="500"/>
      <c r="SQB536" s="500"/>
      <c r="SQC536" s="500"/>
      <c r="SQD536" s="500"/>
      <c r="SQE536" s="500"/>
      <c r="SQF536" s="500"/>
      <c r="SQG536" s="500"/>
      <c r="SQH536" s="500"/>
      <c r="SQI536" s="500"/>
      <c r="SQJ536" s="500"/>
      <c r="SQK536" s="500"/>
      <c r="SQL536" s="500"/>
      <c r="SQM536" s="500"/>
      <c r="SQN536" s="500"/>
      <c r="SQO536" s="500"/>
      <c r="SQP536" s="500"/>
      <c r="SQQ536" s="500"/>
      <c r="SQR536" s="500"/>
      <c r="SQS536" s="500"/>
      <c r="SQT536" s="500"/>
      <c r="SQU536" s="500"/>
      <c r="SQV536" s="500"/>
      <c r="SQW536" s="500"/>
      <c r="SQX536" s="500"/>
      <c r="SQY536" s="500"/>
      <c r="SQZ536" s="500"/>
      <c r="SRA536" s="500"/>
      <c r="SRB536" s="500"/>
      <c r="SRC536" s="500"/>
      <c r="SRD536" s="500"/>
      <c r="SRE536" s="500"/>
      <c r="SRF536" s="500"/>
      <c r="SRG536" s="500"/>
      <c r="SRH536" s="500"/>
      <c r="SRI536" s="500"/>
      <c r="SRJ536" s="500"/>
      <c r="SRK536" s="500"/>
      <c r="SRL536" s="500"/>
      <c r="SRM536" s="500"/>
      <c r="SRN536" s="500"/>
      <c r="SRO536" s="500"/>
      <c r="SRP536" s="500"/>
      <c r="SRQ536" s="500"/>
      <c r="SRR536" s="500"/>
      <c r="SRS536" s="500"/>
      <c r="SRT536" s="500"/>
      <c r="SRU536" s="500"/>
      <c r="SRV536" s="500"/>
      <c r="SRW536" s="500"/>
      <c r="SRX536" s="500"/>
      <c r="SRY536" s="500"/>
      <c r="SRZ536" s="500"/>
      <c r="SSA536" s="500"/>
      <c r="SSB536" s="500"/>
      <c r="SSC536" s="500"/>
      <c r="SSD536" s="500"/>
      <c r="SSE536" s="500"/>
      <c r="SSF536" s="500"/>
      <c r="SSG536" s="500"/>
      <c r="SSH536" s="500"/>
      <c r="SSI536" s="500"/>
      <c r="SSJ536" s="500"/>
      <c r="SSK536" s="500"/>
      <c r="SSL536" s="500"/>
      <c r="SSM536" s="500"/>
      <c r="SSN536" s="500"/>
      <c r="SSO536" s="500"/>
      <c r="SSP536" s="500"/>
      <c r="SSQ536" s="500"/>
      <c r="SSR536" s="500"/>
      <c r="SSS536" s="500"/>
      <c r="SST536" s="500"/>
      <c r="SSU536" s="500"/>
      <c r="SSV536" s="500"/>
      <c r="SSW536" s="500"/>
      <c r="SSX536" s="500"/>
      <c r="SSY536" s="500"/>
      <c r="SSZ536" s="500"/>
      <c r="STA536" s="500"/>
      <c r="STB536" s="500"/>
      <c r="STC536" s="500"/>
      <c r="STD536" s="500"/>
      <c r="STE536" s="500"/>
      <c r="STF536" s="500"/>
      <c r="STG536" s="500"/>
      <c r="STH536" s="500"/>
      <c r="STI536" s="500"/>
      <c r="STJ536" s="500"/>
      <c r="STK536" s="500"/>
      <c r="STL536" s="500"/>
      <c r="STM536" s="500"/>
      <c r="STN536" s="500"/>
      <c r="STO536" s="500"/>
      <c r="STP536" s="500"/>
      <c r="STQ536" s="500"/>
      <c r="STR536" s="500"/>
      <c r="STS536" s="500"/>
      <c r="STT536" s="500"/>
      <c r="STU536" s="500"/>
      <c r="STV536" s="500"/>
      <c r="STW536" s="500"/>
      <c r="STX536" s="500"/>
      <c r="STY536" s="500"/>
      <c r="STZ536" s="500"/>
      <c r="SUA536" s="500"/>
      <c r="SUB536" s="500"/>
      <c r="SUC536" s="500"/>
      <c r="SUD536" s="500"/>
      <c r="SUE536" s="500"/>
      <c r="SUF536" s="500"/>
      <c r="SUG536" s="500"/>
      <c r="SUH536" s="500"/>
      <c r="SUI536" s="500"/>
      <c r="SUJ536" s="500"/>
      <c r="SUK536" s="500"/>
      <c r="SUL536" s="500"/>
      <c r="SUM536" s="500"/>
      <c r="SUN536" s="500"/>
      <c r="SUO536" s="500"/>
      <c r="SUP536" s="500"/>
      <c r="SUQ536" s="500"/>
      <c r="SUR536" s="500"/>
      <c r="SUS536" s="500"/>
      <c r="SUT536" s="500"/>
      <c r="SUU536" s="500"/>
      <c r="SUV536" s="500"/>
      <c r="SUW536" s="500"/>
      <c r="SUX536" s="500"/>
      <c r="SUY536" s="500"/>
      <c r="SUZ536" s="500"/>
      <c r="SVA536" s="500"/>
      <c r="SVB536" s="500"/>
      <c r="SVC536" s="500"/>
      <c r="SVD536" s="500"/>
      <c r="SVE536" s="500"/>
      <c r="SVF536" s="500"/>
      <c r="SVG536" s="500"/>
      <c r="SVH536" s="500"/>
      <c r="SVI536" s="500"/>
      <c r="SVJ536" s="500"/>
      <c r="SVK536" s="500"/>
      <c r="SVL536" s="500"/>
      <c r="SVM536" s="500"/>
      <c r="SVN536" s="500"/>
      <c r="SVO536" s="500"/>
      <c r="SVP536" s="500"/>
      <c r="SVQ536" s="500"/>
      <c r="SVR536" s="500"/>
      <c r="SVS536" s="500"/>
      <c r="SVT536" s="500"/>
      <c r="SVU536" s="500"/>
      <c r="SVV536" s="500"/>
      <c r="SVW536" s="500"/>
      <c r="SVX536" s="500"/>
      <c r="SVY536" s="500"/>
      <c r="SVZ536" s="500"/>
      <c r="SWA536" s="500"/>
      <c r="SWB536" s="500"/>
      <c r="SWC536" s="500"/>
      <c r="SWD536" s="500"/>
      <c r="SWE536" s="500"/>
      <c r="SWF536" s="500"/>
      <c r="SWG536" s="500"/>
      <c r="SWH536" s="500"/>
      <c r="SWI536" s="500"/>
      <c r="SWJ536" s="500"/>
      <c r="SWK536" s="500"/>
      <c r="SWL536" s="500"/>
      <c r="SWM536" s="500"/>
      <c r="SWN536" s="500"/>
      <c r="SWO536" s="500"/>
      <c r="SWP536" s="500"/>
      <c r="SWQ536" s="500"/>
      <c r="SWR536" s="500"/>
      <c r="SWS536" s="500"/>
      <c r="SWT536" s="500"/>
      <c r="SWU536" s="500"/>
      <c r="SWV536" s="500"/>
      <c r="SWW536" s="500"/>
      <c r="SWX536" s="500"/>
      <c r="SWY536" s="500"/>
      <c r="SWZ536" s="500"/>
      <c r="SXA536" s="500"/>
      <c r="SXB536" s="500"/>
      <c r="SXC536" s="500"/>
      <c r="SXD536" s="500"/>
      <c r="SXE536" s="500"/>
      <c r="SXF536" s="500"/>
      <c r="SXG536" s="500"/>
      <c r="SXH536" s="500"/>
      <c r="SXI536" s="500"/>
      <c r="SXJ536" s="500"/>
      <c r="SXK536" s="500"/>
      <c r="SXL536" s="500"/>
      <c r="SXM536" s="500"/>
      <c r="SXN536" s="500"/>
      <c r="SXO536" s="500"/>
      <c r="SXP536" s="500"/>
      <c r="SXQ536" s="500"/>
      <c r="SXR536" s="500"/>
      <c r="SXS536" s="500"/>
      <c r="SXT536" s="500"/>
      <c r="SXU536" s="500"/>
      <c r="SXV536" s="500"/>
      <c r="SXW536" s="500"/>
      <c r="SXX536" s="500"/>
      <c r="SXY536" s="500"/>
      <c r="SXZ536" s="500"/>
      <c r="SYA536" s="500"/>
      <c r="SYB536" s="500"/>
      <c r="SYC536" s="500"/>
      <c r="SYD536" s="500"/>
      <c r="SYE536" s="500"/>
      <c r="SYF536" s="500"/>
      <c r="SYG536" s="500"/>
      <c r="SYH536" s="500"/>
      <c r="SYI536" s="500"/>
      <c r="SYJ536" s="500"/>
      <c r="SYK536" s="500"/>
      <c r="SYL536" s="500"/>
      <c r="SYM536" s="500"/>
      <c r="SYN536" s="500"/>
      <c r="SYO536" s="500"/>
      <c r="SYP536" s="500"/>
      <c r="SYQ536" s="500"/>
      <c r="SYR536" s="500"/>
      <c r="SYS536" s="500"/>
      <c r="SYT536" s="500"/>
      <c r="SYU536" s="500"/>
      <c r="SYV536" s="500"/>
      <c r="SYW536" s="500"/>
      <c r="SYX536" s="500"/>
      <c r="SYY536" s="500"/>
      <c r="SYZ536" s="500"/>
      <c r="SZA536" s="500"/>
      <c r="SZB536" s="500"/>
      <c r="SZC536" s="500"/>
      <c r="SZD536" s="500"/>
      <c r="SZE536" s="500"/>
      <c r="SZF536" s="500"/>
      <c r="SZG536" s="500"/>
      <c r="SZH536" s="500"/>
      <c r="SZI536" s="500"/>
      <c r="SZJ536" s="500"/>
      <c r="SZK536" s="500"/>
      <c r="SZL536" s="500"/>
      <c r="SZM536" s="500"/>
      <c r="SZN536" s="500"/>
      <c r="SZO536" s="500"/>
      <c r="SZP536" s="500"/>
      <c r="SZQ536" s="500"/>
      <c r="SZR536" s="500"/>
      <c r="SZS536" s="500"/>
      <c r="SZT536" s="500"/>
      <c r="SZU536" s="500"/>
      <c r="SZV536" s="500"/>
      <c r="SZW536" s="500"/>
      <c r="SZX536" s="500"/>
      <c r="SZY536" s="500"/>
      <c r="SZZ536" s="500"/>
      <c r="TAA536" s="500"/>
      <c r="TAB536" s="500"/>
      <c r="TAC536" s="500"/>
      <c r="TAD536" s="500"/>
      <c r="TAE536" s="500"/>
      <c r="TAF536" s="500"/>
      <c r="TAG536" s="500"/>
      <c r="TAH536" s="500"/>
      <c r="TAI536" s="500"/>
      <c r="TAJ536" s="500"/>
      <c r="TAK536" s="500"/>
      <c r="TAL536" s="500"/>
      <c r="TAM536" s="500"/>
      <c r="TAN536" s="500"/>
      <c r="TAO536" s="500"/>
      <c r="TAP536" s="500"/>
      <c r="TAQ536" s="500"/>
      <c r="TAR536" s="500"/>
      <c r="TAS536" s="500"/>
      <c r="TAT536" s="500"/>
      <c r="TAU536" s="500"/>
      <c r="TAV536" s="500"/>
      <c r="TAW536" s="500"/>
      <c r="TAX536" s="500"/>
      <c r="TAY536" s="500"/>
      <c r="TAZ536" s="500"/>
      <c r="TBA536" s="500"/>
      <c r="TBB536" s="500"/>
      <c r="TBC536" s="500"/>
      <c r="TBD536" s="500"/>
      <c r="TBE536" s="500"/>
      <c r="TBF536" s="500"/>
      <c r="TBG536" s="500"/>
      <c r="TBH536" s="500"/>
      <c r="TBI536" s="500"/>
      <c r="TBJ536" s="500"/>
      <c r="TBK536" s="500"/>
      <c r="TBL536" s="500"/>
      <c r="TBM536" s="500"/>
      <c r="TBN536" s="500"/>
      <c r="TBO536" s="500"/>
      <c r="TBP536" s="500"/>
      <c r="TBQ536" s="500"/>
      <c r="TBR536" s="500"/>
      <c r="TBS536" s="500"/>
      <c r="TBT536" s="500"/>
      <c r="TBU536" s="500"/>
      <c r="TBV536" s="500"/>
      <c r="TBW536" s="500"/>
      <c r="TBX536" s="500"/>
      <c r="TBY536" s="500"/>
      <c r="TBZ536" s="500"/>
      <c r="TCA536" s="500"/>
      <c r="TCB536" s="500"/>
      <c r="TCC536" s="500"/>
      <c r="TCD536" s="500"/>
      <c r="TCE536" s="500"/>
      <c r="TCF536" s="500"/>
      <c r="TCG536" s="500"/>
      <c r="TCH536" s="500"/>
      <c r="TCI536" s="500"/>
      <c r="TCJ536" s="500"/>
      <c r="TCK536" s="500"/>
      <c r="TCL536" s="500"/>
      <c r="TCM536" s="500"/>
      <c r="TCN536" s="500"/>
      <c r="TCO536" s="500"/>
      <c r="TCP536" s="500"/>
      <c r="TCQ536" s="500"/>
      <c r="TCR536" s="500"/>
      <c r="TCS536" s="500"/>
      <c r="TCT536" s="500"/>
      <c r="TCU536" s="500"/>
      <c r="TCV536" s="500"/>
      <c r="TCW536" s="500"/>
      <c r="TCX536" s="500"/>
      <c r="TCY536" s="500"/>
      <c r="TCZ536" s="500"/>
      <c r="TDA536" s="500"/>
      <c r="TDB536" s="500"/>
      <c r="TDC536" s="500"/>
      <c r="TDD536" s="500"/>
      <c r="TDE536" s="500"/>
      <c r="TDF536" s="500"/>
      <c r="TDG536" s="500"/>
      <c r="TDH536" s="500"/>
      <c r="TDI536" s="500"/>
      <c r="TDJ536" s="500"/>
      <c r="TDK536" s="500"/>
      <c r="TDL536" s="500"/>
      <c r="TDM536" s="500"/>
      <c r="TDN536" s="500"/>
      <c r="TDO536" s="500"/>
      <c r="TDP536" s="500"/>
      <c r="TDQ536" s="500"/>
      <c r="TDR536" s="500"/>
      <c r="TDS536" s="500"/>
      <c r="TDT536" s="500"/>
      <c r="TDU536" s="500"/>
      <c r="TDV536" s="500"/>
      <c r="TDW536" s="500"/>
      <c r="TDX536" s="500"/>
      <c r="TDY536" s="500"/>
      <c r="TDZ536" s="500"/>
      <c r="TEA536" s="500"/>
      <c r="TEB536" s="500"/>
      <c r="TEC536" s="500"/>
      <c r="TED536" s="500"/>
      <c r="TEE536" s="500"/>
      <c r="TEF536" s="500"/>
      <c r="TEG536" s="500"/>
      <c r="TEH536" s="500"/>
      <c r="TEI536" s="500"/>
      <c r="TEJ536" s="500"/>
      <c r="TEK536" s="500"/>
      <c r="TEL536" s="500"/>
      <c r="TEM536" s="500"/>
      <c r="TEN536" s="500"/>
      <c r="TEO536" s="500"/>
      <c r="TEP536" s="500"/>
      <c r="TEQ536" s="500"/>
      <c r="TER536" s="500"/>
      <c r="TES536" s="500"/>
      <c r="TET536" s="500"/>
      <c r="TEU536" s="500"/>
      <c r="TEV536" s="500"/>
      <c r="TEW536" s="500"/>
      <c r="TEX536" s="500"/>
      <c r="TEY536" s="500"/>
      <c r="TEZ536" s="500"/>
      <c r="TFA536" s="500"/>
      <c r="TFB536" s="500"/>
      <c r="TFC536" s="500"/>
      <c r="TFD536" s="500"/>
      <c r="TFE536" s="500"/>
      <c r="TFF536" s="500"/>
      <c r="TFG536" s="500"/>
      <c r="TFH536" s="500"/>
      <c r="TFI536" s="500"/>
      <c r="TFJ536" s="500"/>
      <c r="TFK536" s="500"/>
      <c r="TFL536" s="500"/>
      <c r="TFM536" s="500"/>
      <c r="TFN536" s="500"/>
      <c r="TFO536" s="500"/>
      <c r="TFP536" s="500"/>
      <c r="TFQ536" s="500"/>
      <c r="TFR536" s="500"/>
      <c r="TFS536" s="500"/>
      <c r="TFT536" s="500"/>
      <c r="TFU536" s="500"/>
      <c r="TFV536" s="500"/>
      <c r="TFW536" s="500"/>
      <c r="TFX536" s="500"/>
      <c r="TFY536" s="500"/>
      <c r="TFZ536" s="500"/>
      <c r="TGA536" s="500"/>
      <c r="TGB536" s="500"/>
      <c r="TGC536" s="500"/>
      <c r="TGD536" s="500"/>
      <c r="TGE536" s="500"/>
      <c r="TGF536" s="500"/>
      <c r="TGG536" s="500"/>
      <c r="TGH536" s="500"/>
      <c r="TGI536" s="500"/>
      <c r="TGJ536" s="500"/>
      <c r="TGK536" s="500"/>
      <c r="TGL536" s="500"/>
      <c r="TGM536" s="500"/>
      <c r="TGN536" s="500"/>
      <c r="TGO536" s="500"/>
      <c r="TGP536" s="500"/>
      <c r="TGQ536" s="500"/>
      <c r="TGR536" s="500"/>
      <c r="TGS536" s="500"/>
      <c r="TGT536" s="500"/>
      <c r="TGU536" s="500"/>
      <c r="TGV536" s="500"/>
      <c r="TGW536" s="500"/>
      <c r="TGX536" s="500"/>
      <c r="TGY536" s="500"/>
      <c r="TGZ536" s="500"/>
      <c r="THA536" s="500"/>
      <c r="THB536" s="500"/>
      <c r="THC536" s="500"/>
      <c r="THD536" s="500"/>
      <c r="THE536" s="500"/>
      <c r="THF536" s="500"/>
      <c r="THG536" s="500"/>
      <c r="THH536" s="500"/>
      <c r="THI536" s="500"/>
      <c r="THJ536" s="500"/>
      <c r="THK536" s="500"/>
      <c r="THL536" s="500"/>
      <c r="THM536" s="500"/>
      <c r="THN536" s="500"/>
      <c r="THO536" s="500"/>
      <c r="THP536" s="500"/>
      <c r="THQ536" s="500"/>
      <c r="THR536" s="500"/>
      <c r="THS536" s="500"/>
      <c r="THT536" s="500"/>
      <c r="THU536" s="500"/>
      <c r="THV536" s="500"/>
      <c r="THW536" s="500"/>
      <c r="THX536" s="500"/>
      <c r="THY536" s="500"/>
      <c r="THZ536" s="500"/>
      <c r="TIA536" s="500"/>
      <c r="TIB536" s="500"/>
      <c r="TIC536" s="500"/>
      <c r="TID536" s="500"/>
      <c r="TIE536" s="500"/>
      <c r="TIF536" s="500"/>
      <c r="TIG536" s="500"/>
      <c r="TIH536" s="500"/>
      <c r="TII536" s="500"/>
      <c r="TIJ536" s="500"/>
      <c r="TIK536" s="500"/>
      <c r="TIL536" s="500"/>
      <c r="TIM536" s="500"/>
      <c r="TIN536" s="500"/>
      <c r="TIO536" s="500"/>
      <c r="TIP536" s="500"/>
      <c r="TIQ536" s="500"/>
      <c r="TIR536" s="500"/>
      <c r="TIS536" s="500"/>
      <c r="TIT536" s="500"/>
      <c r="TIU536" s="500"/>
      <c r="TIV536" s="500"/>
      <c r="TIW536" s="500"/>
      <c r="TIX536" s="500"/>
      <c r="TIY536" s="500"/>
      <c r="TIZ536" s="500"/>
      <c r="TJA536" s="500"/>
      <c r="TJB536" s="500"/>
      <c r="TJC536" s="500"/>
      <c r="TJD536" s="500"/>
      <c r="TJE536" s="500"/>
      <c r="TJF536" s="500"/>
      <c r="TJG536" s="500"/>
      <c r="TJH536" s="500"/>
      <c r="TJI536" s="500"/>
      <c r="TJJ536" s="500"/>
      <c r="TJK536" s="500"/>
      <c r="TJL536" s="500"/>
      <c r="TJM536" s="500"/>
      <c r="TJN536" s="500"/>
      <c r="TJO536" s="500"/>
      <c r="TJP536" s="500"/>
      <c r="TJQ536" s="500"/>
      <c r="TJR536" s="500"/>
      <c r="TJS536" s="500"/>
      <c r="TJT536" s="500"/>
      <c r="TJU536" s="500"/>
      <c r="TJV536" s="500"/>
      <c r="TJW536" s="500"/>
      <c r="TJX536" s="500"/>
      <c r="TJY536" s="500"/>
      <c r="TJZ536" s="500"/>
      <c r="TKA536" s="500"/>
      <c r="TKB536" s="500"/>
      <c r="TKC536" s="500"/>
      <c r="TKD536" s="500"/>
      <c r="TKE536" s="500"/>
      <c r="TKF536" s="500"/>
      <c r="TKG536" s="500"/>
      <c r="TKH536" s="500"/>
      <c r="TKI536" s="500"/>
      <c r="TKJ536" s="500"/>
      <c r="TKK536" s="500"/>
      <c r="TKL536" s="500"/>
      <c r="TKM536" s="500"/>
      <c r="TKN536" s="500"/>
      <c r="TKO536" s="500"/>
      <c r="TKP536" s="500"/>
      <c r="TKQ536" s="500"/>
      <c r="TKR536" s="500"/>
      <c r="TKS536" s="500"/>
      <c r="TKT536" s="500"/>
      <c r="TKU536" s="500"/>
      <c r="TKV536" s="500"/>
      <c r="TKW536" s="500"/>
      <c r="TKX536" s="500"/>
      <c r="TKY536" s="500"/>
      <c r="TKZ536" s="500"/>
      <c r="TLA536" s="500"/>
      <c r="TLB536" s="500"/>
      <c r="TLC536" s="500"/>
      <c r="TLD536" s="500"/>
      <c r="TLE536" s="500"/>
      <c r="TLF536" s="500"/>
      <c r="TLG536" s="500"/>
      <c r="TLH536" s="500"/>
      <c r="TLI536" s="500"/>
      <c r="TLJ536" s="500"/>
      <c r="TLK536" s="500"/>
      <c r="TLL536" s="500"/>
      <c r="TLM536" s="500"/>
      <c r="TLN536" s="500"/>
      <c r="TLO536" s="500"/>
      <c r="TLP536" s="500"/>
      <c r="TLQ536" s="500"/>
      <c r="TLR536" s="500"/>
      <c r="TLS536" s="500"/>
      <c r="TLT536" s="500"/>
      <c r="TLU536" s="500"/>
      <c r="TLV536" s="500"/>
      <c r="TLW536" s="500"/>
      <c r="TLX536" s="500"/>
      <c r="TLY536" s="500"/>
      <c r="TLZ536" s="500"/>
      <c r="TMA536" s="500"/>
      <c r="TMB536" s="500"/>
      <c r="TMC536" s="500"/>
      <c r="TMD536" s="500"/>
      <c r="TME536" s="500"/>
      <c r="TMF536" s="500"/>
      <c r="TMG536" s="500"/>
      <c r="TMH536" s="500"/>
      <c r="TMI536" s="500"/>
      <c r="TMJ536" s="500"/>
      <c r="TMK536" s="500"/>
      <c r="TML536" s="500"/>
      <c r="TMM536" s="500"/>
      <c r="TMN536" s="500"/>
      <c r="TMO536" s="500"/>
      <c r="TMP536" s="500"/>
      <c r="TMQ536" s="500"/>
      <c r="TMR536" s="500"/>
      <c r="TMS536" s="500"/>
      <c r="TMT536" s="500"/>
      <c r="TMU536" s="500"/>
      <c r="TMV536" s="500"/>
      <c r="TMW536" s="500"/>
      <c r="TMX536" s="500"/>
      <c r="TMY536" s="500"/>
      <c r="TMZ536" s="500"/>
      <c r="TNA536" s="500"/>
      <c r="TNB536" s="500"/>
      <c r="TNC536" s="500"/>
      <c r="TND536" s="500"/>
      <c r="TNE536" s="500"/>
      <c r="TNF536" s="500"/>
      <c r="TNG536" s="500"/>
      <c r="TNH536" s="500"/>
      <c r="TNI536" s="500"/>
      <c r="TNJ536" s="500"/>
      <c r="TNK536" s="500"/>
      <c r="TNL536" s="500"/>
      <c r="TNM536" s="500"/>
      <c r="TNN536" s="500"/>
      <c r="TNO536" s="500"/>
      <c r="TNP536" s="500"/>
      <c r="TNQ536" s="500"/>
      <c r="TNR536" s="500"/>
      <c r="TNS536" s="500"/>
      <c r="TNT536" s="500"/>
      <c r="TNU536" s="500"/>
      <c r="TNV536" s="500"/>
      <c r="TNW536" s="500"/>
      <c r="TNX536" s="500"/>
      <c r="TNY536" s="500"/>
      <c r="TNZ536" s="500"/>
      <c r="TOA536" s="500"/>
      <c r="TOB536" s="500"/>
      <c r="TOC536" s="500"/>
      <c r="TOD536" s="500"/>
      <c r="TOE536" s="500"/>
      <c r="TOF536" s="500"/>
      <c r="TOG536" s="500"/>
      <c r="TOH536" s="500"/>
      <c r="TOI536" s="500"/>
      <c r="TOJ536" s="500"/>
      <c r="TOK536" s="500"/>
      <c r="TOL536" s="500"/>
      <c r="TOM536" s="500"/>
      <c r="TON536" s="500"/>
      <c r="TOO536" s="500"/>
      <c r="TOP536" s="500"/>
      <c r="TOQ536" s="500"/>
      <c r="TOR536" s="500"/>
      <c r="TOS536" s="500"/>
      <c r="TOT536" s="500"/>
      <c r="TOU536" s="500"/>
      <c r="TOV536" s="500"/>
      <c r="TOW536" s="500"/>
      <c r="TOX536" s="500"/>
      <c r="TOY536" s="500"/>
      <c r="TOZ536" s="500"/>
      <c r="TPA536" s="500"/>
      <c r="TPB536" s="500"/>
      <c r="TPC536" s="500"/>
      <c r="TPD536" s="500"/>
      <c r="TPE536" s="500"/>
      <c r="TPF536" s="500"/>
      <c r="TPG536" s="500"/>
      <c r="TPH536" s="500"/>
      <c r="TPI536" s="500"/>
      <c r="TPJ536" s="500"/>
      <c r="TPK536" s="500"/>
      <c r="TPL536" s="500"/>
      <c r="TPM536" s="500"/>
      <c r="TPN536" s="500"/>
      <c r="TPO536" s="500"/>
      <c r="TPP536" s="500"/>
      <c r="TPQ536" s="500"/>
      <c r="TPR536" s="500"/>
      <c r="TPS536" s="500"/>
      <c r="TPT536" s="500"/>
      <c r="TPU536" s="500"/>
      <c r="TPV536" s="500"/>
      <c r="TPW536" s="500"/>
      <c r="TPX536" s="500"/>
      <c r="TPY536" s="500"/>
      <c r="TPZ536" s="500"/>
      <c r="TQA536" s="500"/>
      <c r="TQB536" s="500"/>
      <c r="TQC536" s="500"/>
      <c r="TQD536" s="500"/>
      <c r="TQE536" s="500"/>
      <c r="TQF536" s="500"/>
      <c r="TQG536" s="500"/>
      <c r="TQH536" s="500"/>
      <c r="TQI536" s="500"/>
      <c r="TQJ536" s="500"/>
      <c r="TQK536" s="500"/>
      <c r="TQL536" s="500"/>
      <c r="TQM536" s="500"/>
      <c r="TQN536" s="500"/>
      <c r="TQO536" s="500"/>
      <c r="TQP536" s="500"/>
      <c r="TQQ536" s="500"/>
      <c r="TQR536" s="500"/>
      <c r="TQS536" s="500"/>
      <c r="TQT536" s="500"/>
      <c r="TQU536" s="500"/>
      <c r="TQV536" s="500"/>
      <c r="TQW536" s="500"/>
      <c r="TQX536" s="500"/>
      <c r="TQY536" s="500"/>
      <c r="TQZ536" s="500"/>
      <c r="TRA536" s="500"/>
      <c r="TRB536" s="500"/>
      <c r="TRC536" s="500"/>
      <c r="TRD536" s="500"/>
      <c r="TRE536" s="500"/>
      <c r="TRF536" s="500"/>
      <c r="TRG536" s="500"/>
      <c r="TRH536" s="500"/>
      <c r="TRI536" s="500"/>
      <c r="TRJ536" s="500"/>
      <c r="TRK536" s="500"/>
      <c r="TRL536" s="500"/>
      <c r="TRM536" s="500"/>
      <c r="TRN536" s="500"/>
      <c r="TRO536" s="500"/>
      <c r="TRP536" s="500"/>
      <c r="TRQ536" s="500"/>
      <c r="TRR536" s="500"/>
      <c r="TRS536" s="500"/>
      <c r="TRT536" s="500"/>
      <c r="TRU536" s="500"/>
      <c r="TRV536" s="500"/>
      <c r="TRW536" s="500"/>
      <c r="TRX536" s="500"/>
      <c r="TRY536" s="500"/>
      <c r="TRZ536" s="500"/>
      <c r="TSA536" s="500"/>
      <c r="TSB536" s="500"/>
      <c r="TSC536" s="500"/>
      <c r="TSD536" s="500"/>
      <c r="TSE536" s="500"/>
      <c r="TSF536" s="500"/>
      <c r="TSG536" s="500"/>
      <c r="TSH536" s="500"/>
      <c r="TSI536" s="500"/>
      <c r="TSJ536" s="500"/>
      <c r="TSK536" s="500"/>
      <c r="TSL536" s="500"/>
      <c r="TSM536" s="500"/>
      <c r="TSN536" s="500"/>
      <c r="TSO536" s="500"/>
      <c r="TSP536" s="500"/>
      <c r="TSQ536" s="500"/>
      <c r="TSR536" s="500"/>
      <c r="TSS536" s="500"/>
      <c r="TST536" s="500"/>
      <c r="TSU536" s="500"/>
      <c r="TSV536" s="500"/>
      <c r="TSW536" s="500"/>
      <c r="TSX536" s="500"/>
      <c r="TSY536" s="500"/>
      <c r="TSZ536" s="500"/>
      <c r="TTA536" s="500"/>
      <c r="TTB536" s="500"/>
      <c r="TTC536" s="500"/>
      <c r="TTD536" s="500"/>
      <c r="TTE536" s="500"/>
      <c r="TTF536" s="500"/>
      <c r="TTG536" s="500"/>
      <c r="TTH536" s="500"/>
      <c r="TTI536" s="500"/>
      <c r="TTJ536" s="500"/>
      <c r="TTK536" s="500"/>
      <c r="TTL536" s="500"/>
      <c r="TTM536" s="500"/>
      <c r="TTN536" s="500"/>
      <c r="TTO536" s="500"/>
      <c r="TTP536" s="500"/>
      <c r="TTQ536" s="500"/>
      <c r="TTR536" s="500"/>
      <c r="TTS536" s="500"/>
      <c r="TTT536" s="500"/>
      <c r="TTU536" s="500"/>
      <c r="TTV536" s="500"/>
      <c r="TTW536" s="500"/>
      <c r="TTX536" s="500"/>
      <c r="TTY536" s="500"/>
      <c r="TTZ536" s="500"/>
      <c r="TUA536" s="500"/>
      <c r="TUB536" s="500"/>
      <c r="TUC536" s="500"/>
      <c r="TUD536" s="500"/>
      <c r="TUE536" s="500"/>
      <c r="TUF536" s="500"/>
      <c r="TUG536" s="500"/>
      <c r="TUH536" s="500"/>
      <c r="TUI536" s="500"/>
      <c r="TUJ536" s="500"/>
      <c r="TUK536" s="500"/>
      <c r="TUL536" s="500"/>
      <c r="TUM536" s="500"/>
      <c r="TUN536" s="500"/>
      <c r="TUO536" s="500"/>
      <c r="TUP536" s="500"/>
      <c r="TUQ536" s="500"/>
      <c r="TUR536" s="500"/>
      <c r="TUS536" s="500"/>
      <c r="TUT536" s="500"/>
      <c r="TUU536" s="500"/>
      <c r="TUV536" s="500"/>
      <c r="TUW536" s="500"/>
      <c r="TUX536" s="500"/>
      <c r="TUY536" s="500"/>
      <c r="TUZ536" s="500"/>
      <c r="TVA536" s="500"/>
      <c r="TVB536" s="500"/>
      <c r="TVC536" s="500"/>
      <c r="TVD536" s="500"/>
      <c r="TVE536" s="500"/>
      <c r="TVF536" s="500"/>
      <c r="TVG536" s="500"/>
      <c r="TVH536" s="500"/>
      <c r="TVI536" s="500"/>
      <c r="TVJ536" s="500"/>
      <c r="TVK536" s="500"/>
      <c r="TVL536" s="500"/>
      <c r="TVM536" s="500"/>
      <c r="TVN536" s="500"/>
      <c r="TVO536" s="500"/>
      <c r="TVP536" s="500"/>
      <c r="TVQ536" s="500"/>
      <c r="TVR536" s="500"/>
      <c r="TVS536" s="500"/>
      <c r="TVT536" s="500"/>
      <c r="TVU536" s="500"/>
      <c r="TVV536" s="500"/>
      <c r="TVW536" s="500"/>
      <c r="TVX536" s="500"/>
      <c r="TVY536" s="500"/>
      <c r="TVZ536" s="500"/>
      <c r="TWA536" s="500"/>
      <c r="TWB536" s="500"/>
      <c r="TWC536" s="500"/>
      <c r="TWD536" s="500"/>
      <c r="TWE536" s="500"/>
      <c r="TWF536" s="500"/>
      <c r="TWG536" s="500"/>
      <c r="TWH536" s="500"/>
      <c r="TWI536" s="500"/>
      <c r="TWJ536" s="500"/>
      <c r="TWK536" s="500"/>
      <c r="TWL536" s="500"/>
      <c r="TWM536" s="500"/>
      <c r="TWN536" s="500"/>
      <c r="TWO536" s="500"/>
      <c r="TWP536" s="500"/>
      <c r="TWQ536" s="500"/>
      <c r="TWR536" s="500"/>
      <c r="TWS536" s="500"/>
      <c r="TWT536" s="500"/>
      <c r="TWU536" s="500"/>
      <c r="TWV536" s="500"/>
      <c r="TWW536" s="500"/>
      <c r="TWX536" s="500"/>
      <c r="TWY536" s="500"/>
      <c r="TWZ536" s="500"/>
      <c r="TXA536" s="500"/>
      <c r="TXB536" s="500"/>
      <c r="TXC536" s="500"/>
      <c r="TXD536" s="500"/>
      <c r="TXE536" s="500"/>
      <c r="TXF536" s="500"/>
      <c r="TXG536" s="500"/>
      <c r="TXH536" s="500"/>
      <c r="TXI536" s="500"/>
      <c r="TXJ536" s="500"/>
      <c r="TXK536" s="500"/>
      <c r="TXL536" s="500"/>
      <c r="TXM536" s="500"/>
      <c r="TXN536" s="500"/>
      <c r="TXO536" s="500"/>
      <c r="TXP536" s="500"/>
      <c r="TXQ536" s="500"/>
      <c r="TXR536" s="500"/>
      <c r="TXS536" s="500"/>
      <c r="TXT536" s="500"/>
      <c r="TXU536" s="500"/>
      <c r="TXV536" s="500"/>
      <c r="TXW536" s="500"/>
      <c r="TXX536" s="500"/>
      <c r="TXY536" s="500"/>
      <c r="TXZ536" s="500"/>
      <c r="TYA536" s="500"/>
      <c r="TYB536" s="500"/>
      <c r="TYC536" s="500"/>
      <c r="TYD536" s="500"/>
      <c r="TYE536" s="500"/>
      <c r="TYF536" s="500"/>
      <c r="TYG536" s="500"/>
      <c r="TYH536" s="500"/>
      <c r="TYI536" s="500"/>
      <c r="TYJ536" s="500"/>
      <c r="TYK536" s="500"/>
      <c r="TYL536" s="500"/>
      <c r="TYM536" s="500"/>
      <c r="TYN536" s="500"/>
      <c r="TYO536" s="500"/>
      <c r="TYP536" s="500"/>
      <c r="TYQ536" s="500"/>
      <c r="TYR536" s="500"/>
      <c r="TYS536" s="500"/>
      <c r="TYT536" s="500"/>
      <c r="TYU536" s="500"/>
      <c r="TYV536" s="500"/>
      <c r="TYW536" s="500"/>
      <c r="TYX536" s="500"/>
      <c r="TYY536" s="500"/>
      <c r="TYZ536" s="500"/>
      <c r="TZA536" s="500"/>
      <c r="TZB536" s="500"/>
      <c r="TZC536" s="500"/>
      <c r="TZD536" s="500"/>
      <c r="TZE536" s="500"/>
      <c r="TZF536" s="500"/>
      <c r="TZG536" s="500"/>
      <c r="TZH536" s="500"/>
      <c r="TZI536" s="500"/>
      <c r="TZJ536" s="500"/>
      <c r="TZK536" s="500"/>
      <c r="TZL536" s="500"/>
      <c r="TZM536" s="500"/>
      <c r="TZN536" s="500"/>
      <c r="TZO536" s="500"/>
      <c r="TZP536" s="500"/>
      <c r="TZQ536" s="500"/>
      <c r="TZR536" s="500"/>
      <c r="TZS536" s="500"/>
      <c r="TZT536" s="500"/>
      <c r="TZU536" s="500"/>
      <c r="TZV536" s="500"/>
      <c r="TZW536" s="500"/>
      <c r="TZX536" s="500"/>
      <c r="TZY536" s="500"/>
      <c r="TZZ536" s="500"/>
      <c r="UAA536" s="500"/>
      <c r="UAB536" s="500"/>
      <c r="UAC536" s="500"/>
      <c r="UAD536" s="500"/>
      <c r="UAE536" s="500"/>
      <c r="UAF536" s="500"/>
      <c r="UAG536" s="500"/>
      <c r="UAH536" s="500"/>
      <c r="UAI536" s="500"/>
      <c r="UAJ536" s="500"/>
      <c r="UAK536" s="500"/>
      <c r="UAL536" s="500"/>
      <c r="UAM536" s="500"/>
      <c r="UAN536" s="500"/>
      <c r="UAO536" s="500"/>
      <c r="UAP536" s="500"/>
      <c r="UAQ536" s="500"/>
      <c r="UAR536" s="500"/>
      <c r="UAS536" s="500"/>
      <c r="UAT536" s="500"/>
      <c r="UAU536" s="500"/>
      <c r="UAV536" s="500"/>
      <c r="UAW536" s="500"/>
      <c r="UAX536" s="500"/>
      <c r="UAY536" s="500"/>
      <c r="UAZ536" s="500"/>
      <c r="UBA536" s="500"/>
      <c r="UBB536" s="500"/>
      <c r="UBC536" s="500"/>
      <c r="UBD536" s="500"/>
      <c r="UBE536" s="500"/>
      <c r="UBF536" s="500"/>
      <c r="UBG536" s="500"/>
      <c r="UBH536" s="500"/>
      <c r="UBI536" s="500"/>
      <c r="UBJ536" s="500"/>
      <c r="UBK536" s="500"/>
      <c r="UBL536" s="500"/>
      <c r="UBM536" s="500"/>
      <c r="UBN536" s="500"/>
      <c r="UBO536" s="500"/>
      <c r="UBP536" s="500"/>
      <c r="UBQ536" s="500"/>
      <c r="UBR536" s="500"/>
      <c r="UBS536" s="500"/>
      <c r="UBT536" s="500"/>
      <c r="UBU536" s="500"/>
      <c r="UBV536" s="500"/>
      <c r="UBW536" s="500"/>
      <c r="UBX536" s="500"/>
      <c r="UBY536" s="500"/>
      <c r="UBZ536" s="500"/>
      <c r="UCA536" s="500"/>
      <c r="UCB536" s="500"/>
      <c r="UCC536" s="500"/>
      <c r="UCD536" s="500"/>
      <c r="UCE536" s="500"/>
      <c r="UCF536" s="500"/>
      <c r="UCG536" s="500"/>
      <c r="UCH536" s="500"/>
      <c r="UCI536" s="500"/>
      <c r="UCJ536" s="500"/>
      <c r="UCK536" s="500"/>
      <c r="UCL536" s="500"/>
      <c r="UCM536" s="500"/>
      <c r="UCN536" s="500"/>
      <c r="UCO536" s="500"/>
      <c r="UCP536" s="500"/>
      <c r="UCQ536" s="500"/>
      <c r="UCR536" s="500"/>
      <c r="UCS536" s="500"/>
      <c r="UCT536" s="500"/>
      <c r="UCU536" s="500"/>
      <c r="UCV536" s="500"/>
      <c r="UCW536" s="500"/>
      <c r="UCX536" s="500"/>
      <c r="UCY536" s="500"/>
      <c r="UCZ536" s="500"/>
      <c r="UDA536" s="500"/>
      <c r="UDB536" s="500"/>
      <c r="UDC536" s="500"/>
      <c r="UDD536" s="500"/>
      <c r="UDE536" s="500"/>
      <c r="UDF536" s="500"/>
      <c r="UDG536" s="500"/>
      <c r="UDH536" s="500"/>
      <c r="UDI536" s="500"/>
      <c r="UDJ536" s="500"/>
      <c r="UDK536" s="500"/>
      <c r="UDL536" s="500"/>
      <c r="UDM536" s="500"/>
      <c r="UDN536" s="500"/>
      <c r="UDO536" s="500"/>
      <c r="UDP536" s="500"/>
      <c r="UDQ536" s="500"/>
      <c r="UDR536" s="500"/>
      <c r="UDS536" s="500"/>
      <c r="UDT536" s="500"/>
      <c r="UDU536" s="500"/>
      <c r="UDV536" s="500"/>
      <c r="UDW536" s="500"/>
      <c r="UDX536" s="500"/>
      <c r="UDY536" s="500"/>
      <c r="UDZ536" s="500"/>
      <c r="UEA536" s="500"/>
      <c r="UEB536" s="500"/>
      <c r="UEC536" s="500"/>
      <c r="UED536" s="500"/>
      <c r="UEE536" s="500"/>
      <c r="UEF536" s="500"/>
      <c r="UEG536" s="500"/>
      <c r="UEH536" s="500"/>
      <c r="UEI536" s="500"/>
      <c r="UEJ536" s="500"/>
      <c r="UEK536" s="500"/>
      <c r="UEL536" s="500"/>
      <c r="UEM536" s="500"/>
      <c r="UEN536" s="500"/>
      <c r="UEO536" s="500"/>
      <c r="UEP536" s="500"/>
      <c r="UEQ536" s="500"/>
      <c r="UER536" s="500"/>
      <c r="UES536" s="500"/>
      <c r="UET536" s="500"/>
      <c r="UEU536" s="500"/>
      <c r="UEV536" s="500"/>
      <c r="UEW536" s="500"/>
      <c r="UEX536" s="500"/>
      <c r="UEY536" s="500"/>
      <c r="UEZ536" s="500"/>
      <c r="UFA536" s="500"/>
      <c r="UFB536" s="500"/>
      <c r="UFC536" s="500"/>
      <c r="UFD536" s="500"/>
      <c r="UFE536" s="500"/>
      <c r="UFF536" s="500"/>
      <c r="UFG536" s="500"/>
      <c r="UFH536" s="500"/>
      <c r="UFI536" s="500"/>
      <c r="UFJ536" s="500"/>
      <c r="UFK536" s="500"/>
      <c r="UFL536" s="500"/>
      <c r="UFM536" s="500"/>
      <c r="UFN536" s="500"/>
      <c r="UFO536" s="500"/>
      <c r="UFP536" s="500"/>
      <c r="UFQ536" s="500"/>
      <c r="UFR536" s="500"/>
      <c r="UFS536" s="500"/>
      <c r="UFT536" s="500"/>
      <c r="UFU536" s="500"/>
      <c r="UFV536" s="500"/>
      <c r="UFW536" s="500"/>
      <c r="UFX536" s="500"/>
      <c r="UFY536" s="500"/>
      <c r="UFZ536" s="500"/>
      <c r="UGA536" s="500"/>
      <c r="UGB536" s="500"/>
      <c r="UGC536" s="500"/>
      <c r="UGD536" s="500"/>
      <c r="UGE536" s="500"/>
      <c r="UGF536" s="500"/>
      <c r="UGG536" s="500"/>
      <c r="UGH536" s="500"/>
      <c r="UGI536" s="500"/>
      <c r="UGJ536" s="500"/>
      <c r="UGK536" s="500"/>
      <c r="UGL536" s="500"/>
      <c r="UGM536" s="500"/>
      <c r="UGN536" s="500"/>
      <c r="UGO536" s="500"/>
      <c r="UGP536" s="500"/>
      <c r="UGQ536" s="500"/>
      <c r="UGR536" s="500"/>
      <c r="UGS536" s="500"/>
      <c r="UGT536" s="500"/>
      <c r="UGU536" s="500"/>
      <c r="UGV536" s="500"/>
      <c r="UGW536" s="500"/>
      <c r="UGX536" s="500"/>
      <c r="UGY536" s="500"/>
      <c r="UGZ536" s="500"/>
      <c r="UHA536" s="500"/>
      <c r="UHB536" s="500"/>
      <c r="UHC536" s="500"/>
      <c r="UHD536" s="500"/>
      <c r="UHE536" s="500"/>
      <c r="UHF536" s="500"/>
      <c r="UHG536" s="500"/>
      <c r="UHH536" s="500"/>
      <c r="UHI536" s="500"/>
      <c r="UHJ536" s="500"/>
      <c r="UHK536" s="500"/>
      <c r="UHL536" s="500"/>
      <c r="UHM536" s="500"/>
      <c r="UHN536" s="500"/>
      <c r="UHO536" s="500"/>
      <c r="UHP536" s="500"/>
      <c r="UHQ536" s="500"/>
      <c r="UHR536" s="500"/>
      <c r="UHS536" s="500"/>
      <c r="UHT536" s="500"/>
      <c r="UHU536" s="500"/>
      <c r="UHV536" s="500"/>
      <c r="UHW536" s="500"/>
      <c r="UHX536" s="500"/>
      <c r="UHY536" s="500"/>
      <c r="UHZ536" s="500"/>
      <c r="UIA536" s="500"/>
      <c r="UIB536" s="500"/>
      <c r="UIC536" s="500"/>
      <c r="UID536" s="500"/>
      <c r="UIE536" s="500"/>
      <c r="UIF536" s="500"/>
      <c r="UIG536" s="500"/>
      <c r="UIH536" s="500"/>
      <c r="UII536" s="500"/>
      <c r="UIJ536" s="500"/>
      <c r="UIK536" s="500"/>
      <c r="UIL536" s="500"/>
      <c r="UIM536" s="500"/>
      <c r="UIN536" s="500"/>
      <c r="UIO536" s="500"/>
      <c r="UIP536" s="500"/>
      <c r="UIQ536" s="500"/>
      <c r="UIR536" s="500"/>
      <c r="UIS536" s="500"/>
      <c r="UIT536" s="500"/>
      <c r="UIU536" s="500"/>
      <c r="UIV536" s="500"/>
      <c r="UIW536" s="500"/>
      <c r="UIX536" s="500"/>
      <c r="UIY536" s="500"/>
      <c r="UIZ536" s="500"/>
      <c r="UJA536" s="500"/>
      <c r="UJB536" s="500"/>
      <c r="UJC536" s="500"/>
      <c r="UJD536" s="500"/>
      <c r="UJE536" s="500"/>
      <c r="UJF536" s="500"/>
      <c r="UJG536" s="500"/>
      <c r="UJH536" s="500"/>
      <c r="UJI536" s="500"/>
      <c r="UJJ536" s="500"/>
      <c r="UJK536" s="500"/>
      <c r="UJL536" s="500"/>
      <c r="UJM536" s="500"/>
      <c r="UJN536" s="500"/>
      <c r="UJO536" s="500"/>
      <c r="UJP536" s="500"/>
      <c r="UJQ536" s="500"/>
      <c r="UJR536" s="500"/>
      <c r="UJS536" s="500"/>
      <c r="UJT536" s="500"/>
      <c r="UJU536" s="500"/>
      <c r="UJV536" s="500"/>
      <c r="UJW536" s="500"/>
      <c r="UJX536" s="500"/>
      <c r="UJY536" s="500"/>
      <c r="UJZ536" s="500"/>
      <c r="UKA536" s="500"/>
      <c r="UKB536" s="500"/>
      <c r="UKC536" s="500"/>
      <c r="UKD536" s="500"/>
      <c r="UKE536" s="500"/>
      <c r="UKF536" s="500"/>
      <c r="UKG536" s="500"/>
      <c r="UKH536" s="500"/>
      <c r="UKI536" s="500"/>
      <c r="UKJ536" s="500"/>
      <c r="UKK536" s="500"/>
      <c r="UKL536" s="500"/>
      <c r="UKM536" s="500"/>
      <c r="UKN536" s="500"/>
      <c r="UKO536" s="500"/>
      <c r="UKP536" s="500"/>
      <c r="UKQ536" s="500"/>
      <c r="UKR536" s="500"/>
      <c r="UKS536" s="500"/>
      <c r="UKT536" s="500"/>
      <c r="UKU536" s="500"/>
      <c r="UKV536" s="500"/>
      <c r="UKW536" s="500"/>
      <c r="UKX536" s="500"/>
      <c r="UKY536" s="500"/>
      <c r="UKZ536" s="500"/>
      <c r="ULA536" s="500"/>
      <c r="ULB536" s="500"/>
      <c r="ULC536" s="500"/>
      <c r="ULD536" s="500"/>
      <c r="ULE536" s="500"/>
      <c r="ULF536" s="500"/>
      <c r="ULG536" s="500"/>
      <c r="ULH536" s="500"/>
      <c r="ULI536" s="500"/>
      <c r="ULJ536" s="500"/>
      <c r="ULK536" s="500"/>
      <c r="ULL536" s="500"/>
      <c r="ULM536" s="500"/>
      <c r="ULN536" s="500"/>
      <c r="ULO536" s="500"/>
      <c r="ULP536" s="500"/>
      <c r="ULQ536" s="500"/>
      <c r="ULR536" s="500"/>
      <c r="ULS536" s="500"/>
      <c r="ULT536" s="500"/>
      <c r="ULU536" s="500"/>
      <c r="ULV536" s="500"/>
      <c r="ULW536" s="500"/>
      <c r="ULX536" s="500"/>
      <c r="ULY536" s="500"/>
      <c r="ULZ536" s="500"/>
      <c r="UMA536" s="500"/>
      <c r="UMB536" s="500"/>
      <c r="UMC536" s="500"/>
      <c r="UMD536" s="500"/>
      <c r="UME536" s="500"/>
      <c r="UMF536" s="500"/>
      <c r="UMG536" s="500"/>
      <c r="UMH536" s="500"/>
      <c r="UMI536" s="500"/>
      <c r="UMJ536" s="500"/>
      <c r="UMK536" s="500"/>
      <c r="UML536" s="500"/>
      <c r="UMM536" s="500"/>
      <c r="UMN536" s="500"/>
      <c r="UMO536" s="500"/>
      <c r="UMP536" s="500"/>
      <c r="UMQ536" s="500"/>
      <c r="UMR536" s="500"/>
      <c r="UMS536" s="500"/>
      <c r="UMT536" s="500"/>
      <c r="UMU536" s="500"/>
      <c r="UMV536" s="500"/>
      <c r="UMW536" s="500"/>
      <c r="UMX536" s="500"/>
      <c r="UMY536" s="500"/>
      <c r="UMZ536" s="500"/>
      <c r="UNA536" s="500"/>
      <c r="UNB536" s="500"/>
      <c r="UNC536" s="500"/>
      <c r="UND536" s="500"/>
      <c r="UNE536" s="500"/>
      <c r="UNF536" s="500"/>
      <c r="UNG536" s="500"/>
      <c r="UNH536" s="500"/>
      <c r="UNI536" s="500"/>
      <c r="UNJ536" s="500"/>
      <c r="UNK536" s="500"/>
      <c r="UNL536" s="500"/>
      <c r="UNM536" s="500"/>
      <c r="UNN536" s="500"/>
      <c r="UNO536" s="500"/>
      <c r="UNP536" s="500"/>
      <c r="UNQ536" s="500"/>
      <c r="UNR536" s="500"/>
      <c r="UNS536" s="500"/>
      <c r="UNT536" s="500"/>
      <c r="UNU536" s="500"/>
      <c r="UNV536" s="500"/>
      <c r="UNW536" s="500"/>
      <c r="UNX536" s="500"/>
      <c r="UNY536" s="500"/>
      <c r="UNZ536" s="500"/>
      <c r="UOA536" s="500"/>
      <c r="UOB536" s="500"/>
      <c r="UOC536" s="500"/>
      <c r="UOD536" s="500"/>
      <c r="UOE536" s="500"/>
      <c r="UOF536" s="500"/>
      <c r="UOG536" s="500"/>
      <c r="UOH536" s="500"/>
      <c r="UOI536" s="500"/>
      <c r="UOJ536" s="500"/>
      <c r="UOK536" s="500"/>
      <c r="UOL536" s="500"/>
      <c r="UOM536" s="500"/>
      <c r="UON536" s="500"/>
      <c r="UOO536" s="500"/>
      <c r="UOP536" s="500"/>
      <c r="UOQ536" s="500"/>
      <c r="UOR536" s="500"/>
      <c r="UOS536" s="500"/>
      <c r="UOT536" s="500"/>
      <c r="UOU536" s="500"/>
      <c r="UOV536" s="500"/>
      <c r="UOW536" s="500"/>
      <c r="UOX536" s="500"/>
      <c r="UOY536" s="500"/>
      <c r="UOZ536" s="500"/>
      <c r="UPA536" s="500"/>
      <c r="UPB536" s="500"/>
      <c r="UPC536" s="500"/>
      <c r="UPD536" s="500"/>
      <c r="UPE536" s="500"/>
      <c r="UPF536" s="500"/>
      <c r="UPG536" s="500"/>
      <c r="UPH536" s="500"/>
      <c r="UPI536" s="500"/>
      <c r="UPJ536" s="500"/>
      <c r="UPK536" s="500"/>
      <c r="UPL536" s="500"/>
      <c r="UPM536" s="500"/>
      <c r="UPN536" s="500"/>
      <c r="UPO536" s="500"/>
      <c r="UPP536" s="500"/>
      <c r="UPQ536" s="500"/>
      <c r="UPR536" s="500"/>
      <c r="UPS536" s="500"/>
      <c r="UPT536" s="500"/>
      <c r="UPU536" s="500"/>
      <c r="UPV536" s="500"/>
      <c r="UPW536" s="500"/>
      <c r="UPX536" s="500"/>
      <c r="UPY536" s="500"/>
      <c r="UPZ536" s="500"/>
      <c r="UQA536" s="500"/>
      <c r="UQB536" s="500"/>
      <c r="UQC536" s="500"/>
      <c r="UQD536" s="500"/>
      <c r="UQE536" s="500"/>
      <c r="UQF536" s="500"/>
      <c r="UQG536" s="500"/>
      <c r="UQH536" s="500"/>
      <c r="UQI536" s="500"/>
      <c r="UQJ536" s="500"/>
      <c r="UQK536" s="500"/>
      <c r="UQL536" s="500"/>
      <c r="UQM536" s="500"/>
      <c r="UQN536" s="500"/>
      <c r="UQO536" s="500"/>
      <c r="UQP536" s="500"/>
      <c r="UQQ536" s="500"/>
      <c r="UQR536" s="500"/>
      <c r="UQS536" s="500"/>
      <c r="UQT536" s="500"/>
      <c r="UQU536" s="500"/>
      <c r="UQV536" s="500"/>
      <c r="UQW536" s="500"/>
      <c r="UQX536" s="500"/>
      <c r="UQY536" s="500"/>
      <c r="UQZ536" s="500"/>
      <c r="URA536" s="500"/>
      <c r="URB536" s="500"/>
      <c r="URC536" s="500"/>
      <c r="URD536" s="500"/>
      <c r="URE536" s="500"/>
      <c r="URF536" s="500"/>
      <c r="URG536" s="500"/>
      <c r="URH536" s="500"/>
      <c r="URI536" s="500"/>
      <c r="URJ536" s="500"/>
      <c r="URK536" s="500"/>
      <c r="URL536" s="500"/>
      <c r="URM536" s="500"/>
      <c r="URN536" s="500"/>
      <c r="URO536" s="500"/>
      <c r="URP536" s="500"/>
      <c r="URQ536" s="500"/>
      <c r="URR536" s="500"/>
      <c r="URS536" s="500"/>
      <c r="URT536" s="500"/>
      <c r="URU536" s="500"/>
      <c r="URV536" s="500"/>
      <c r="URW536" s="500"/>
      <c r="URX536" s="500"/>
      <c r="URY536" s="500"/>
      <c r="URZ536" s="500"/>
      <c r="USA536" s="500"/>
      <c r="USB536" s="500"/>
      <c r="USC536" s="500"/>
      <c r="USD536" s="500"/>
      <c r="USE536" s="500"/>
      <c r="USF536" s="500"/>
      <c r="USG536" s="500"/>
      <c r="USH536" s="500"/>
      <c r="USI536" s="500"/>
      <c r="USJ536" s="500"/>
      <c r="USK536" s="500"/>
      <c r="USL536" s="500"/>
      <c r="USM536" s="500"/>
      <c r="USN536" s="500"/>
      <c r="USO536" s="500"/>
      <c r="USP536" s="500"/>
      <c r="USQ536" s="500"/>
      <c r="USR536" s="500"/>
      <c r="USS536" s="500"/>
      <c r="UST536" s="500"/>
      <c r="USU536" s="500"/>
      <c r="USV536" s="500"/>
      <c r="USW536" s="500"/>
      <c r="USX536" s="500"/>
      <c r="USY536" s="500"/>
      <c r="USZ536" s="500"/>
      <c r="UTA536" s="500"/>
      <c r="UTB536" s="500"/>
      <c r="UTC536" s="500"/>
      <c r="UTD536" s="500"/>
      <c r="UTE536" s="500"/>
      <c r="UTF536" s="500"/>
      <c r="UTG536" s="500"/>
      <c r="UTH536" s="500"/>
      <c r="UTI536" s="500"/>
      <c r="UTJ536" s="500"/>
      <c r="UTK536" s="500"/>
      <c r="UTL536" s="500"/>
      <c r="UTM536" s="500"/>
      <c r="UTN536" s="500"/>
      <c r="UTO536" s="500"/>
      <c r="UTP536" s="500"/>
      <c r="UTQ536" s="500"/>
      <c r="UTR536" s="500"/>
      <c r="UTS536" s="500"/>
      <c r="UTT536" s="500"/>
      <c r="UTU536" s="500"/>
      <c r="UTV536" s="500"/>
      <c r="UTW536" s="500"/>
      <c r="UTX536" s="500"/>
      <c r="UTY536" s="500"/>
      <c r="UTZ536" s="500"/>
      <c r="UUA536" s="500"/>
      <c r="UUB536" s="500"/>
      <c r="UUC536" s="500"/>
      <c r="UUD536" s="500"/>
      <c r="UUE536" s="500"/>
      <c r="UUF536" s="500"/>
      <c r="UUG536" s="500"/>
      <c r="UUH536" s="500"/>
      <c r="UUI536" s="500"/>
      <c r="UUJ536" s="500"/>
      <c r="UUK536" s="500"/>
      <c r="UUL536" s="500"/>
      <c r="UUM536" s="500"/>
      <c r="UUN536" s="500"/>
      <c r="UUO536" s="500"/>
      <c r="UUP536" s="500"/>
      <c r="UUQ536" s="500"/>
      <c r="UUR536" s="500"/>
      <c r="UUS536" s="500"/>
      <c r="UUT536" s="500"/>
      <c r="UUU536" s="500"/>
      <c r="UUV536" s="500"/>
      <c r="UUW536" s="500"/>
      <c r="UUX536" s="500"/>
      <c r="UUY536" s="500"/>
      <c r="UUZ536" s="500"/>
      <c r="UVA536" s="500"/>
      <c r="UVB536" s="500"/>
      <c r="UVC536" s="500"/>
      <c r="UVD536" s="500"/>
      <c r="UVE536" s="500"/>
      <c r="UVF536" s="500"/>
      <c r="UVG536" s="500"/>
      <c r="UVH536" s="500"/>
      <c r="UVI536" s="500"/>
      <c r="UVJ536" s="500"/>
      <c r="UVK536" s="500"/>
      <c r="UVL536" s="500"/>
      <c r="UVM536" s="500"/>
      <c r="UVN536" s="500"/>
      <c r="UVO536" s="500"/>
      <c r="UVP536" s="500"/>
      <c r="UVQ536" s="500"/>
      <c r="UVR536" s="500"/>
      <c r="UVS536" s="500"/>
      <c r="UVT536" s="500"/>
      <c r="UVU536" s="500"/>
      <c r="UVV536" s="500"/>
      <c r="UVW536" s="500"/>
      <c r="UVX536" s="500"/>
      <c r="UVY536" s="500"/>
      <c r="UVZ536" s="500"/>
      <c r="UWA536" s="500"/>
      <c r="UWB536" s="500"/>
      <c r="UWC536" s="500"/>
      <c r="UWD536" s="500"/>
      <c r="UWE536" s="500"/>
      <c r="UWF536" s="500"/>
      <c r="UWG536" s="500"/>
      <c r="UWH536" s="500"/>
      <c r="UWI536" s="500"/>
      <c r="UWJ536" s="500"/>
      <c r="UWK536" s="500"/>
      <c r="UWL536" s="500"/>
      <c r="UWM536" s="500"/>
      <c r="UWN536" s="500"/>
      <c r="UWO536" s="500"/>
      <c r="UWP536" s="500"/>
      <c r="UWQ536" s="500"/>
      <c r="UWR536" s="500"/>
      <c r="UWS536" s="500"/>
      <c r="UWT536" s="500"/>
      <c r="UWU536" s="500"/>
      <c r="UWV536" s="500"/>
      <c r="UWW536" s="500"/>
      <c r="UWX536" s="500"/>
      <c r="UWY536" s="500"/>
      <c r="UWZ536" s="500"/>
      <c r="UXA536" s="500"/>
      <c r="UXB536" s="500"/>
      <c r="UXC536" s="500"/>
      <c r="UXD536" s="500"/>
      <c r="UXE536" s="500"/>
      <c r="UXF536" s="500"/>
      <c r="UXG536" s="500"/>
      <c r="UXH536" s="500"/>
      <c r="UXI536" s="500"/>
      <c r="UXJ536" s="500"/>
      <c r="UXK536" s="500"/>
      <c r="UXL536" s="500"/>
      <c r="UXM536" s="500"/>
      <c r="UXN536" s="500"/>
      <c r="UXO536" s="500"/>
      <c r="UXP536" s="500"/>
      <c r="UXQ536" s="500"/>
      <c r="UXR536" s="500"/>
      <c r="UXS536" s="500"/>
      <c r="UXT536" s="500"/>
      <c r="UXU536" s="500"/>
      <c r="UXV536" s="500"/>
      <c r="UXW536" s="500"/>
      <c r="UXX536" s="500"/>
      <c r="UXY536" s="500"/>
      <c r="UXZ536" s="500"/>
      <c r="UYA536" s="500"/>
      <c r="UYB536" s="500"/>
      <c r="UYC536" s="500"/>
      <c r="UYD536" s="500"/>
      <c r="UYE536" s="500"/>
      <c r="UYF536" s="500"/>
      <c r="UYG536" s="500"/>
      <c r="UYH536" s="500"/>
      <c r="UYI536" s="500"/>
      <c r="UYJ536" s="500"/>
      <c r="UYK536" s="500"/>
      <c r="UYL536" s="500"/>
      <c r="UYM536" s="500"/>
      <c r="UYN536" s="500"/>
      <c r="UYO536" s="500"/>
      <c r="UYP536" s="500"/>
      <c r="UYQ536" s="500"/>
      <c r="UYR536" s="500"/>
      <c r="UYS536" s="500"/>
      <c r="UYT536" s="500"/>
      <c r="UYU536" s="500"/>
      <c r="UYV536" s="500"/>
      <c r="UYW536" s="500"/>
      <c r="UYX536" s="500"/>
      <c r="UYY536" s="500"/>
      <c r="UYZ536" s="500"/>
      <c r="UZA536" s="500"/>
      <c r="UZB536" s="500"/>
      <c r="UZC536" s="500"/>
      <c r="UZD536" s="500"/>
      <c r="UZE536" s="500"/>
      <c r="UZF536" s="500"/>
      <c r="UZG536" s="500"/>
      <c r="UZH536" s="500"/>
      <c r="UZI536" s="500"/>
      <c r="UZJ536" s="500"/>
      <c r="UZK536" s="500"/>
      <c r="UZL536" s="500"/>
      <c r="UZM536" s="500"/>
      <c r="UZN536" s="500"/>
      <c r="UZO536" s="500"/>
      <c r="UZP536" s="500"/>
      <c r="UZQ536" s="500"/>
      <c r="UZR536" s="500"/>
      <c r="UZS536" s="500"/>
      <c r="UZT536" s="500"/>
      <c r="UZU536" s="500"/>
      <c r="UZV536" s="500"/>
      <c r="UZW536" s="500"/>
      <c r="UZX536" s="500"/>
      <c r="UZY536" s="500"/>
      <c r="UZZ536" s="500"/>
      <c r="VAA536" s="500"/>
      <c r="VAB536" s="500"/>
      <c r="VAC536" s="500"/>
      <c r="VAD536" s="500"/>
      <c r="VAE536" s="500"/>
      <c r="VAF536" s="500"/>
      <c r="VAG536" s="500"/>
      <c r="VAH536" s="500"/>
      <c r="VAI536" s="500"/>
      <c r="VAJ536" s="500"/>
      <c r="VAK536" s="500"/>
      <c r="VAL536" s="500"/>
      <c r="VAM536" s="500"/>
      <c r="VAN536" s="500"/>
      <c r="VAO536" s="500"/>
      <c r="VAP536" s="500"/>
      <c r="VAQ536" s="500"/>
      <c r="VAR536" s="500"/>
      <c r="VAS536" s="500"/>
      <c r="VAT536" s="500"/>
      <c r="VAU536" s="500"/>
      <c r="VAV536" s="500"/>
      <c r="VAW536" s="500"/>
      <c r="VAX536" s="500"/>
      <c r="VAY536" s="500"/>
      <c r="VAZ536" s="500"/>
      <c r="VBA536" s="500"/>
      <c r="VBB536" s="500"/>
      <c r="VBC536" s="500"/>
      <c r="VBD536" s="500"/>
      <c r="VBE536" s="500"/>
      <c r="VBF536" s="500"/>
      <c r="VBG536" s="500"/>
      <c r="VBH536" s="500"/>
      <c r="VBI536" s="500"/>
      <c r="VBJ536" s="500"/>
      <c r="VBK536" s="500"/>
      <c r="VBL536" s="500"/>
      <c r="VBM536" s="500"/>
      <c r="VBN536" s="500"/>
      <c r="VBO536" s="500"/>
      <c r="VBP536" s="500"/>
      <c r="VBQ536" s="500"/>
      <c r="VBR536" s="500"/>
      <c r="VBS536" s="500"/>
      <c r="VBT536" s="500"/>
      <c r="VBU536" s="500"/>
      <c r="VBV536" s="500"/>
      <c r="VBW536" s="500"/>
      <c r="VBX536" s="500"/>
      <c r="VBY536" s="500"/>
      <c r="VBZ536" s="500"/>
      <c r="VCA536" s="500"/>
      <c r="VCB536" s="500"/>
      <c r="VCC536" s="500"/>
      <c r="VCD536" s="500"/>
      <c r="VCE536" s="500"/>
      <c r="VCF536" s="500"/>
      <c r="VCG536" s="500"/>
      <c r="VCH536" s="500"/>
      <c r="VCI536" s="500"/>
      <c r="VCJ536" s="500"/>
      <c r="VCK536" s="500"/>
      <c r="VCL536" s="500"/>
      <c r="VCM536" s="500"/>
      <c r="VCN536" s="500"/>
      <c r="VCO536" s="500"/>
      <c r="VCP536" s="500"/>
      <c r="VCQ536" s="500"/>
      <c r="VCR536" s="500"/>
      <c r="VCS536" s="500"/>
      <c r="VCT536" s="500"/>
      <c r="VCU536" s="500"/>
      <c r="VCV536" s="500"/>
      <c r="VCW536" s="500"/>
      <c r="VCX536" s="500"/>
      <c r="VCY536" s="500"/>
      <c r="VCZ536" s="500"/>
      <c r="VDA536" s="500"/>
      <c r="VDB536" s="500"/>
      <c r="VDC536" s="500"/>
      <c r="VDD536" s="500"/>
      <c r="VDE536" s="500"/>
      <c r="VDF536" s="500"/>
      <c r="VDG536" s="500"/>
      <c r="VDH536" s="500"/>
      <c r="VDI536" s="500"/>
      <c r="VDJ536" s="500"/>
      <c r="VDK536" s="500"/>
      <c r="VDL536" s="500"/>
      <c r="VDM536" s="500"/>
      <c r="VDN536" s="500"/>
      <c r="VDO536" s="500"/>
      <c r="VDP536" s="500"/>
      <c r="VDQ536" s="500"/>
      <c r="VDR536" s="500"/>
      <c r="VDS536" s="500"/>
      <c r="VDT536" s="500"/>
      <c r="VDU536" s="500"/>
      <c r="VDV536" s="500"/>
      <c r="VDW536" s="500"/>
      <c r="VDX536" s="500"/>
      <c r="VDY536" s="500"/>
      <c r="VDZ536" s="500"/>
      <c r="VEA536" s="500"/>
      <c r="VEB536" s="500"/>
      <c r="VEC536" s="500"/>
      <c r="VED536" s="500"/>
      <c r="VEE536" s="500"/>
      <c r="VEF536" s="500"/>
      <c r="VEG536" s="500"/>
      <c r="VEH536" s="500"/>
      <c r="VEI536" s="500"/>
      <c r="VEJ536" s="500"/>
      <c r="VEK536" s="500"/>
      <c r="VEL536" s="500"/>
      <c r="VEM536" s="500"/>
      <c r="VEN536" s="500"/>
      <c r="VEO536" s="500"/>
      <c r="VEP536" s="500"/>
      <c r="VEQ536" s="500"/>
      <c r="VER536" s="500"/>
      <c r="VES536" s="500"/>
      <c r="VET536" s="500"/>
      <c r="VEU536" s="500"/>
      <c r="VEV536" s="500"/>
      <c r="VEW536" s="500"/>
      <c r="VEX536" s="500"/>
      <c r="VEY536" s="500"/>
      <c r="VEZ536" s="500"/>
      <c r="VFA536" s="500"/>
      <c r="VFB536" s="500"/>
      <c r="VFC536" s="500"/>
      <c r="VFD536" s="500"/>
      <c r="VFE536" s="500"/>
      <c r="VFF536" s="500"/>
      <c r="VFG536" s="500"/>
      <c r="VFH536" s="500"/>
      <c r="VFI536" s="500"/>
      <c r="VFJ536" s="500"/>
      <c r="VFK536" s="500"/>
      <c r="VFL536" s="500"/>
      <c r="VFM536" s="500"/>
      <c r="VFN536" s="500"/>
      <c r="VFO536" s="500"/>
      <c r="VFP536" s="500"/>
      <c r="VFQ536" s="500"/>
      <c r="VFR536" s="500"/>
      <c r="VFS536" s="500"/>
      <c r="VFT536" s="500"/>
      <c r="VFU536" s="500"/>
      <c r="VFV536" s="500"/>
      <c r="VFW536" s="500"/>
      <c r="VFX536" s="500"/>
      <c r="VFY536" s="500"/>
      <c r="VFZ536" s="500"/>
      <c r="VGA536" s="500"/>
      <c r="VGB536" s="500"/>
      <c r="VGC536" s="500"/>
      <c r="VGD536" s="500"/>
      <c r="VGE536" s="500"/>
      <c r="VGF536" s="500"/>
      <c r="VGG536" s="500"/>
      <c r="VGH536" s="500"/>
      <c r="VGI536" s="500"/>
      <c r="VGJ536" s="500"/>
      <c r="VGK536" s="500"/>
      <c r="VGL536" s="500"/>
      <c r="VGM536" s="500"/>
      <c r="VGN536" s="500"/>
      <c r="VGO536" s="500"/>
      <c r="VGP536" s="500"/>
      <c r="VGQ536" s="500"/>
      <c r="VGR536" s="500"/>
      <c r="VGS536" s="500"/>
      <c r="VGT536" s="500"/>
      <c r="VGU536" s="500"/>
      <c r="VGV536" s="500"/>
      <c r="VGW536" s="500"/>
      <c r="VGX536" s="500"/>
      <c r="VGY536" s="500"/>
      <c r="VGZ536" s="500"/>
      <c r="VHA536" s="500"/>
      <c r="VHB536" s="500"/>
      <c r="VHC536" s="500"/>
      <c r="VHD536" s="500"/>
      <c r="VHE536" s="500"/>
      <c r="VHF536" s="500"/>
      <c r="VHG536" s="500"/>
      <c r="VHH536" s="500"/>
      <c r="VHI536" s="500"/>
      <c r="VHJ536" s="500"/>
      <c r="VHK536" s="500"/>
      <c r="VHL536" s="500"/>
      <c r="VHM536" s="500"/>
      <c r="VHN536" s="500"/>
      <c r="VHO536" s="500"/>
      <c r="VHP536" s="500"/>
      <c r="VHQ536" s="500"/>
      <c r="VHR536" s="500"/>
      <c r="VHS536" s="500"/>
      <c r="VHT536" s="500"/>
      <c r="VHU536" s="500"/>
      <c r="VHV536" s="500"/>
      <c r="VHW536" s="500"/>
      <c r="VHX536" s="500"/>
      <c r="VHY536" s="500"/>
      <c r="VHZ536" s="500"/>
      <c r="VIA536" s="500"/>
      <c r="VIB536" s="500"/>
      <c r="VIC536" s="500"/>
      <c r="VID536" s="500"/>
      <c r="VIE536" s="500"/>
      <c r="VIF536" s="500"/>
      <c r="VIG536" s="500"/>
      <c r="VIH536" s="500"/>
      <c r="VII536" s="500"/>
      <c r="VIJ536" s="500"/>
      <c r="VIK536" s="500"/>
      <c r="VIL536" s="500"/>
      <c r="VIM536" s="500"/>
      <c r="VIN536" s="500"/>
      <c r="VIO536" s="500"/>
      <c r="VIP536" s="500"/>
      <c r="VIQ536" s="500"/>
      <c r="VIR536" s="500"/>
      <c r="VIS536" s="500"/>
      <c r="VIT536" s="500"/>
      <c r="VIU536" s="500"/>
      <c r="VIV536" s="500"/>
      <c r="VIW536" s="500"/>
      <c r="VIX536" s="500"/>
      <c r="VIY536" s="500"/>
      <c r="VIZ536" s="500"/>
      <c r="VJA536" s="500"/>
      <c r="VJB536" s="500"/>
      <c r="VJC536" s="500"/>
      <c r="VJD536" s="500"/>
      <c r="VJE536" s="500"/>
      <c r="VJF536" s="500"/>
      <c r="VJG536" s="500"/>
      <c r="VJH536" s="500"/>
      <c r="VJI536" s="500"/>
      <c r="VJJ536" s="500"/>
      <c r="VJK536" s="500"/>
      <c r="VJL536" s="500"/>
      <c r="VJM536" s="500"/>
      <c r="VJN536" s="500"/>
      <c r="VJO536" s="500"/>
      <c r="VJP536" s="500"/>
      <c r="VJQ536" s="500"/>
      <c r="VJR536" s="500"/>
      <c r="VJS536" s="500"/>
      <c r="VJT536" s="500"/>
      <c r="VJU536" s="500"/>
      <c r="VJV536" s="500"/>
      <c r="VJW536" s="500"/>
      <c r="VJX536" s="500"/>
      <c r="VJY536" s="500"/>
      <c r="VJZ536" s="500"/>
      <c r="VKA536" s="500"/>
      <c r="VKB536" s="500"/>
      <c r="VKC536" s="500"/>
      <c r="VKD536" s="500"/>
      <c r="VKE536" s="500"/>
      <c r="VKF536" s="500"/>
      <c r="VKG536" s="500"/>
      <c r="VKH536" s="500"/>
      <c r="VKI536" s="500"/>
      <c r="VKJ536" s="500"/>
      <c r="VKK536" s="500"/>
      <c r="VKL536" s="500"/>
      <c r="VKM536" s="500"/>
      <c r="VKN536" s="500"/>
      <c r="VKO536" s="500"/>
      <c r="VKP536" s="500"/>
      <c r="VKQ536" s="500"/>
      <c r="VKR536" s="500"/>
      <c r="VKS536" s="500"/>
      <c r="VKT536" s="500"/>
      <c r="VKU536" s="500"/>
      <c r="VKV536" s="500"/>
      <c r="VKW536" s="500"/>
      <c r="VKX536" s="500"/>
      <c r="VKY536" s="500"/>
      <c r="VKZ536" s="500"/>
      <c r="VLA536" s="500"/>
      <c r="VLB536" s="500"/>
      <c r="VLC536" s="500"/>
      <c r="VLD536" s="500"/>
      <c r="VLE536" s="500"/>
      <c r="VLF536" s="500"/>
      <c r="VLG536" s="500"/>
      <c r="VLH536" s="500"/>
      <c r="VLI536" s="500"/>
      <c r="VLJ536" s="500"/>
      <c r="VLK536" s="500"/>
      <c r="VLL536" s="500"/>
      <c r="VLM536" s="500"/>
      <c r="VLN536" s="500"/>
      <c r="VLO536" s="500"/>
      <c r="VLP536" s="500"/>
      <c r="VLQ536" s="500"/>
      <c r="VLR536" s="500"/>
      <c r="VLS536" s="500"/>
      <c r="VLT536" s="500"/>
      <c r="VLU536" s="500"/>
      <c r="VLV536" s="500"/>
      <c r="VLW536" s="500"/>
      <c r="VLX536" s="500"/>
      <c r="VLY536" s="500"/>
      <c r="VLZ536" s="500"/>
      <c r="VMA536" s="500"/>
      <c r="VMB536" s="500"/>
      <c r="VMC536" s="500"/>
      <c r="VMD536" s="500"/>
      <c r="VME536" s="500"/>
      <c r="VMF536" s="500"/>
      <c r="VMG536" s="500"/>
      <c r="VMH536" s="500"/>
      <c r="VMI536" s="500"/>
      <c r="VMJ536" s="500"/>
      <c r="VMK536" s="500"/>
      <c r="VML536" s="500"/>
      <c r="VMM536" s="500"/>
      <c r="VMN536" s="500"/>
      <c r="VMO536" s="500"/>
      <c r="VMP536" s="500"/>
      <c r="VMQ536" s="500"/>
      <c r="VMR536" s="500"/>
      <c r="VMS536" s="500"/>
      <c r="VMT536" s="500"/>
      <c r="VMU536" s="500"/>
      <c r="VMV536" s="500"/>
      <c r="VMW536" s="500"/>
      <c r="VMX536" s="500"/>
      <c r="VMY536" s="500"/>
      <c r="VMZ536" s="500"/>
      <c r="VNA536" s="500"/>
      <c r="VNB536" s="500"/>
      <c r="VNC536" s="500"/>
      <c r="VND536" s="500"/>
      <c r="VNE536" s="500"/>
      <c r="VNF536" s="500"/>
      <c r="VNG536" s="500"/>
      <c r="VNH536" s="500"/>
      <c r="VNI536" s="500"/>
      <c r="VNJ536" s="500"/>
      <c r="VNK536" s="500"/>
      <c r="VNL536" s="500"/>
      <c r="VNM536" s="500"/>
      <c r="VNN536" s="500"/>
      <c r="VNO536" s="500"/>
      <c r="VNP536" s="500"/>
      <c r="VNQ536" s="500"/>
      <c r="VNR536" s="500"/>
      <c r="VNS536" s="500"/>
      <c r="VNT536" s="500"/>
      <c r="VNU536" s="500"/>
      <c r="VNV536" s="500"/>
      <c r="VNW536" s="500"/>
      <c r="VNX536" s="500"/>
      <c r="VNY536" s="500"/>
      <c r="VNZ536" s="500"/>
      <c r="VOA536" s="500"/>
      <c r="VOB536" s="500"/>
      <c r="VOC536" s="500"/>
      <c r="VOD536" s="500"/>
      <c r="VOE536" s="500"/>
      <c r="VOF536" s="500"/>
      <c r="VOG536" s="500"/>
      <c r="VOH536" s="500"/>
      <c r="VOI536" s="500"/>
      <c r="VOJ536" s="500"/>
      <c r="VOK536" s="500"/>
      <c r="VOL536" s="500"/>
      <c r="VOM536" s="500"/>
      <c r="VON536" s="500"/>
      <c r="VOO536" s="500"/>
      <c r="VOP536" s="500"/>
      <c r="VOQ536" s="500"/>
      <c r="VOR536" s="500"/>
      <c r="VOS536" s="500"/>
      <c r="VOT536" s="500"/>
      <c r="VOU536" s="500"/>
      <c r="VOV536" s="500"/>
      <c r="VOW536" s="500"/>
      <c r="VOX536" s="500"/>
      <c r="VOY536" s="500"/>
      <c r="VOZ536" s="500"/>
      <c r="VPA536" s="500"/>
      <c r="VPB536" s="500"/>
      <c r="VPC536" s="500"/>
      <c r="VPD536" s="500"/>
      <c r="VPE536" s="500"/>
      <c r="VPF536" s="500"/>
      <c r="VPG536" s="500"/>
      <c r="VPH536" s="500"/>
      <c r="VPI536" s="500"/>
      <c r="VPJ536" s="500"/>
      <c r="VPK536" s="500"/>
      <c r="VPL536" s="500"/>
      <c r="VPM536" s="500"/>
      <c r="VPN536" s="500"/>
      <c r="VPO536" s="500"/>
      <c r="VPP536" s="500"/>
      <c r="VPQ536" s="500"/>
      <c r="VPR536" s="500"/>
      <c r="VPS536" s="500"/>
      <c r="VPT536" s="500"/>
      <c r="VPU536" s="500"/>
      <c r="VPV536" s="500"/>
      <c r="VPW536" s="500"/>
      <c r="VPX536" s="500"/>
      <c r="VPY536" s="500"/>
      <c r="VPZ536" s="500"/>
      <c r="VQA536" s="500"/>
      <c r="VQB536" s="500"/>
      <c r="VQC536" s="500"/>
      <c r="VQD536" s="500"/>
      <c r="VQE536" s="500"/>
      <c r="VQF536" s="500"/>
      <c r="VQG536" s="500"/>
      <c r="VQH536" s="500"/>
      <c r="VQI536" s="500"/>
      <c r="VQJ536" s="500"/>
      <c r="VQK536" s="500"/>
      <c r="VQL536" s="500"/>
      <c r="VQM536" s="500"/>
      <c r="VQN536" s="500"/>
      <c r="VQO536" s="500"/>
      <c r="VQP536" s="500"/>
      <c r="VQQ536" s="500"/>
      <c r="VQR536" s="500"/>
      <c r="VQS536" s="500"/>
      <c r="VQT536" s="500"/>
      <c r="VQU536" s="500"/>
      <c r="VQV536" s="500"/>
      <c r="VQW536" s="500"/>
      <c r="VQX536" s="500"/>
      <c r="VQY536" s="500"/>
      <c r="VQZ536" s="500"/>
      <c r="VRA536" s="500"/>
      <c r="VRB536" s="500"/>
      <c r="VRC536" s="500"/>
      <c r="VRD536" s="500"/>
      <c r="VRE536" s="500"/>
      <c r="VRF536" s="500"/>
      <c r="VRG536" s="500"/>
      <c r="VRH536" s="500"/>
      <c r="VRI536" s="500"/>
      <c r="VRJ536" s="500"/>
      <c r="VRK536" s="500"/>
      <c r="VRL536" s="500"/>
      <c r="VRM536" s="500"/>
      <c r="VRN536" s="500"/>
      <c r="VRO536" s="500"/>
      <c r="VRP536" s="500"/>
      <c r="VRQ536" s="500"/>
      <c r="VRR536" s="500"/>
      <c r="VRS536" s="500"/>
      <c r="VRT536" s="500"/>
      <c r="VRU536" s="500"/>
      <c r="VRV536" s="500"/>
      <c r="VRW536" s="500"/>
      <c r="VRX536" s="500"/>
      <c r="VRY536" s="500"/>
      <c r="VRZ536" s="500"/>
      <c r="VSA536" s="500"/>
      <c r="VSB536" s="500"/>
      <c r="VSC536" s="500"/>
      <c r="VSD536" s="500"/>
      <c r="VSE536" s="500"/>
      <c r="VSF536" s="500"/>
      <c r="VSG536" s="500"/>
      <c r="VSH536" s="500"/>
      <c r="VSI536" s="500"/>
      <c r="VSJ536" s="500"/>
      <c r="VSK536" s="500"/>
      <c r="VSL536" s="500"/>
      <c r="VSM536" s="500"/>
      <c r="VSN536" s="500"/>
      <c r="VSO536" s="500"/>
      <c r="VSP536" s="500"/>
      <c r="VSQ536" s="500"/>
      <c r="VSR536" s="500"/>
      <c r="VSS536" s="500"/>
      <c r="VST536" s="500"/>
      <c r="VSU536" s="500"/>
      <c r="VSV536" s="500"/>
      <c r="VSW536" s="500"/>
      <c r="VSX536" s="500"/>
      <c r="VSY536" s="500"/>
      <c r="VSZ536" s="500"/>
      <c r="VTA536" s="500"/>
      <c r="VTB536" s="500"/>
      <c r="VTC536" s="500"/>
      <c r="VTD536" s="500"/>
      <c r="VTE536" s="500"/>
      <c r="VTF536" s="500"/>
      <c r="VTG536" s="500"/>
      <c r="VTH536" s="500"/>
      <c r="VTI536" s="500"/>
      <c r="VTJ536" s="500"/>
      <c r="VTK536" s="500"/>
      <c r="VTL536" s="500"/>
      <c r="VTM536" s="500"/>
      <c r="VTN536" s="500"/>
      <c r="VTO536" s="500"/>
      <c r="VTP536" s="500"/>
      <c r="VTQ536" s="500"/>
      <c r="VTR536" s="500"/>
      <c r="VTS536" s="500"/>
      <c r="VTT536" s="500"/>
      <c r="VTU536" s="500"/>
      <c r="VTV536" s="500"/>
      <c r="VTW536" s="500"/>
      <c r="VTX536" s="500"/>
      <c r="VTY536" s="500"/>
      <c r="VTZ536" s="500"/>
      <c r="VUA536" s="500"/>
      <c r="VUB536" s="500"/>
      <c r="VUC536" s="500"/>
      <c r="VUD536" s="500"/>
      <c r="VUE536" s="500"/>
      <c r="VUF536" s="500"/>
      <c r="VUG536" s="500"/>
      <c r="VUH536" s="500"/>
      <c r="VUI536" s="500"/>
      <c r="VUJ536" s="500"/>
      <c r="VUK536" s="500"/>
      <c r="VUL536" s="500"/>
      <c r="VUM536" s="500"/>
      <c r="VUN536" s="500"/>
      <c r="VUO536" s="500"/>
      <c r="VUP536" s="500"/>
      <c r="VUQ536" s="500"/>
      <c r="VUR536" s="500"/>
      <c r="VUS536" s="500"/>
      <c r="VUT536" s="500"/>
      <c r="VUU536" s="500"/>
      <c r="VUV536" s="500"/>
      <c r="VUW536" s="500"/>
      <c r="VUX536" s="500"/>
      <c r="VUY536" s="500"/>
      <c r="VUZ536" s="500"/>
      <c r="VVA536" s="500"/>
      <c r="VVB536" s="500"/>
      <c r="VVC536" s="500"/>
      <c r="VVD536" s="500"/>
      <c r="VVE536" s="500"/>
      <c r="VVF536" s="500"/>
      <c r="VVG536" s="500"/>
      <c r="VVH536" s="500"/>
      <c r="VVI536" s="500"/>
      <c r="VVJ536" s="500"/>
      <c r="VVK536" s="500"/>
      <c r="VVL536" s="500"/>
      <c r="VVM536" s="500"/>
      <c r="VVN536" s="500"/>
      <c r="VVO536" s="500"/>
      <c r="VVP536" s="500"/>
      <c r="VVQ536" s="500"/>
      <c r="VVR536" s="500"/>
      <c r="VVS536" s="500"/>
      <c r="VVT536" s="500"/>
      <c r="VVU536" s="500"/>
      <c r="VVV536" s="500"/>
      <c r="VVW536" s="500"/>
      <c r="VVX536" s="500"/>
      <c r="VVY536" s="500"/>
      <c r="VVZ536" s="500"/>
      <c r="VWA536" s="500"/>
      <c r="VWB536" s="500"/>
      <c r="VWC536" s="500"/>
      <c r="VWD536" s="500"/>
      <c r="VWE536" s="500"/>
      <c r="VWF536" s="500"/>
      <c r="VWG536" s="500"/>
      <c r="VWH536" s="500"/>
      <c r="VWI536" s="500"/>
      <c r="VWJ536" s="500"/>
      <c r="VWK536" s="500"/>
      <c r="VWL536" s="500"/>
      <c r="VWM536" s="500"/>
      <c r="VWN536" s="500"/>
      <c r="VWO536" s="500"/>
      <c r="VWP536" s="500"/>
      <c r="VWQ536" s="500"/>
      <c r="VWR536" s="500"/>
      <c r="VWS536" s="500"/>
      <c r="VWT536" s="500"/>
      <c r="VWU536" s="500"/>
      <c r="VWV536" s="500"/>
      <c r="VWW536" s="500"/>
      <c r="VWX536" s="500"/>
      <c r="VWY536" s="500"/>
      <c r="VWZ536" s="500"/>
      <c r="VXA536" s="500"/>
      <c r="VXB536" s="500"/>
      <c r="VXC536" s="500"/>
      <c r="VXD536" s="500"/>
      <c r="VXE536" s="500"/>
      <c r="VXF536" s="500"/>
      <c r="VXG536" s="500"/>
      <c r="VXH536" s="500"/>
      <c r="VXI536" s="500"/>
      <c r="VXJ536" s="500"/>
      <c r="VXK536" s="500"/>
      <c r="VXL536" s="500"/>
      <c r="VXM536" s="500"/>
      <c r="VXN536" s="500"/>
      <c r="VXO536" s="500"/>
      <c r="VXP536" s="500"/>
      <c r="VXQ536" s="500"/>
      <c r="VXR536" s="500"/>
      <c r="VXS536" s="500"/>
      <c r="VXT536" s="500"/>
      <c r="VXU536" s="500"/>
      <c r="VXV536" s="500"/>
      <c r="VXW536" s="500"/>
      <c r="VXX536" s="500"/>
      <c r="VXY536" s="500"/>
      <c r="VXZ536" s="500"/>
      <c r="VYA536" s="500"/>
      <c r="VYB536" s="500"/>
      <c r="VYC536" s="500"/>
      <c r="VYD536" s="500"/>
      <c r="VYE536" s="500"/>
      <c r="VYF536" s="500"/>
      <c r="VYG536" s="500"/>
      <c r="VYH536" s="500"/>
      <c r="VYI536" s="500"/>
      <c r="VYJ536" s="500"/>
      <c r="VYK536" s="500"/>
      <c r="VYL536" s="500"/>
      <c r="VYM536" s="500"/>
      <c r="VYN536" s="500"/>
      <c r="VYO536" s="500"/>
      <c r="VYP536" s="500"/>
      <c r="VYQ536" s="500"/>
      <c r="VYR536" s="500"/>
      <c r="VYS536" s="500"/>
      <c r="VYT536" s="500"/>
      <c r="VYU536" s="500"/>
      <c r="VYV536" s="500"/>
      <c r="VYW536" s="500"/>
      <c r="VYX536" s="500"/>
      <c r="VYY536" s="500"/>
      <c r="VYZ536" s="500"/>
      <c r="VZA536" s="500"/>
      <c r="VZB536" s="500"/>
      <c r="VZC536" s="500"/>
      <c r="VZD536" s="500"/>
      <c r="VZE536" s="500"/>
      <c r="VZF536" s="500"/>
      <c r="VZG536" s="500"/>
      <c r="VZH536" s="500"/>
      <c r="VZI536" s="500"/>
      <c r="VZJ536" s="500"/>
      <c r="VZK536" s="500"/>
      <c r="VZL536" s="500"/>
      <c r="VZM536" s="500"/>
      <c r="VZN536" s="500"/>
      <c r="VZO536" s="500"/>
      <c r="VZP536" s="500"/>
      <c r="VZQ536" s="500"/>
      <c r="VZR536" s="500"/>
      <c r="VZS536" s="500"/>
      <c r="VZT536" s="500"/>
      <c r="VZU536" s="500"/>
      <c r="VZV536" s="500"/>
      <c r="VZW536" s="500"/>
      <c r="VZX536" s="500"/>
      <c r="VZY536" s="500"/>
      <c r="VZZ536" s="500"/>
      <c r="WAA536" s="500"/>
      <c r="WAB536" s="500"/>
      <c r="WAC536" s="500"/>
      <c r="WAD536" s="500"/>
      <c r="WAE536" s="500"/>
      <c r="WAF536" s="500"/>
      <c r="WAG536" s="500"/>
      <c r="WAH536" s="500"/>
      <c r="WAI536" s="500"/>
      <c r="WAJ536" s="500"/>
      <c r="WAK536" s="500"/>
      <c r="WAL536" s="500"/>
      <c r="WAM536" s="500"/>
      <c r="WAN536" s="500"/>
      <c r="WAO536" s="500"/>
      <c r="WAP536" s="500"/>
      <c r="WAQ536" s="500"/>
      <c r="WAR536" s="500"/>
      <c r="WAS536" s="500"/>
      <c r="WAT536" s="500"/>
      <c r="WAU536" s="500"/>
      <c r="WAV536" s="500"/>
      <c r="WAW536" s="500"/>
      <c r="WAX536" s="500"/>
      <c r="WAY536" s="500"/>
      <c r="WAZ536" s="500"/>
      <c r="WBA536" s="500"/>
      <c r="WBB536" s="500"/>
      <c r="WBC536" s="500"/>
      <c r="WBD536" s="500"/>
      <c r="WBE536" s="500"/>
      <c r="WBF536" s="500"/>
      <c r="WBG536" s="500"/>
      <c r="WBH536" s="500"/>
      <c r="WBI536" s="500"/>
      <c r="WBJ536" s="500"/>
      <c r="WBK536" s="500"/>
      <c r="WBL536" s="500"/>
      <c r="WBM536" s="500"/>
      <c r="WBN536" s="500"/>
      <c r="WBO536" s="500"/>
      <c r="WBP536" s="500"/>
      <c r="WBQ536" s="500"/>
      <c r="WBR536" s="500"/>
      <c r="WBS536" s="500"/>
      <c r="WBT536" s="500"/>
      <c r="WBU536" s="500"/>
      <c r="WBV536" s="500"/>
      <c r="WBW536" s="500"/>
      <c r="WBX536" s="500"/>
      <c r="WBY536" s="500"/>
      <c r="WBZ536" s="500"/>
      <c r="WCA536" s="500"/>
      <c r="WCB536" s="500"/>
      <c r="WCC536" s="500"/>
      <c r="WCD536" s="500"/>
      <c r="WCE536" s="500"/>
      <c r="WCF536" s="500"/>
      <c r="WCG536" s="500"/>
      <c r="WCH536" s="500"/>
      <c r="WCI536" s="500"/>
      <c r="WCJ536" s="500"/>
      <c r="WCK536" s="500"/>
      <c r="WCL536" s="500"/>
      <c r="WCM536" s="500"/>
      <c r="WCN536" s="500"/>
      <c r="WCO536" s="500"/>
      <c r="WCP536" s="500"/>
      <c r="WCQ536" s="500"/>
      <c r="WCR536" s="500"/>
      <c r="WCS536" s="500"/>
      <c r="WCT536" s="500"/>
      <c r="WCU536" s="500"/>
      <c r="WCV536" s="500"/>
      <c r="WCW536" s="500"/>
      <c r="WCX536" s="500"/>
      <c r="WCY536" s="500"/>
      <c r="WCZ536" s="500"/>
      <c r="WDA536" s="500"/>
      <c r="WDB536" s="500"/>
      <c r="WDC536" s="500"/>
      <c r="WDD536" s="500"/>
      <c r="WDE536" s="500"/>
      <c r="WDF536" s="500"/>
      <c r="WDG536" s="500"/>
      <c r="WDH536" s="500"/>
      <c r="WDI536" s="500"/>
      <c r="WDJ536" s="500"/>
      <c r="WDK536" s="500"/>
      <c r="WDL536" s="500"/>
      <c r="WDM536" s="500"/>
      <c r="WDN536" s="500"/>
      <c r="WDO536" s="500"/>
      <c r="WDP536" s="500"/>
      <c r="WDQ536" s="500"/>
      <c r="WDR536" s="500"/>
      <c r="WDS536" s="500"/>
      <c r="WDT536" s="500"/>
      <c r="WDU536" s="500"/>
      <c r="WDV536" s="500"/>
      <c r="WDW536" s="500"/>
      <c r="WDX536" s="500"/>
      <c r="WDY536" s="500"/>
      <c r="WDZ536" s="500"/>
      <c r="WEA536" s="500"/>
      <c r="WEB536" s="500"/>
      <c r="WEC536" s="500"/>
      <c r="WED536" s="500"/>
      <c r="WEE536" s="500"/>
      <c r="WEF536" s="500"/>
      <c r="WEG536" s="500"/>
      <c r="WEH536" s="500"/>
      <c r="WEI536" s="500"/>
      <c r="WEJ536" s="500"/>
      <c r="WEK536" s="500"/>
      <c r="WEL536" s="500"/>
      <c r="WEM536" s="500"/>
      <c r="WEN536" s="500"/>
      <c r="WEO536" s="500"/>
      <c r="WEP536" s="500"/>
      <c r="WEQ536" s="500"/>
      <c r="WER536" s="500"/>
      <c r="WES536" s="500"/>
      <c r="WET536" s="500"/>
      <c r="WEU536" s="500"/>
      <c r="WEV536" s="500"/>
      <c r="WEW536" s="500"/>
      <c r="WEX536" s="500"/>
      <c r="WEY536" s="500"/>
      <c r="WEZ536" s="500"/>
      <c r="WFA536" s="500"/>
      <c r="WFB536" s="500"/>
      <c r="WFC536" s="500"/>
      <c r="WFD536" s="500"/>
      <c r="WFE536" s="500"/>
      <c r="WFF536" s="500"/>
      <c r="WFG536" s="500"/>
      <c r="WFH536" s="500"/>
      <c r="WFI536" s="500"/>
      <c r="WFJ536" s="500"/>
      <c r="WFK536" s="500"/>
      <c r="WFL536" s="500"/>
      <c r="WFM536" s="500"/>
      <c r="WFN536" s="500"/>
      <c r="WFO536" s="500"/>
      <c r="WFP536" s="500"/>
      <c r="WFQ536" s="500"/>
      <c r="WFR536" s="500"/>
      <c r="WFS536" s="500"/>
      <c r="WFT536" s="500"/>
      <c r="WFU536" s="500"/>
      <c r="WFV536" s="500"/>
      <c r="WFW536" s="500"/>
      <c r="WFX536" s="500"/>
      <c r="WFY536" s="500"/>
      <c r="WFZ536" s="500"/>
      <c r="WGA536" s="500"/>
      <c r="WGB536" s="500"/>
      <c r="WGC536" s="500"/>
      <c r="WGD536" s="500"/>
      <c r="WGE536" s="500"/>
      <c r="WGF536" s="500"/>
      <c r="WGG536" s="500"/>
      <c r="WGH536" s="500"/>
      <c r="WGI536" s="500"/>
      <c r="WGJ536" s="500"/>
      <c r="WGK536" s="500"/>
      <c r="WGL536" s="500"/>
      <c r="WGM536" s="500"/>
      <c r="WGN536" s="500"/>
      <c r="WGO536" s="500"/>
      <c r="WGP536" s="500"/>
      <c r="WGQ536" s="500"/>
      <c r="WGR536" s="500"/>
      <c r="WGS536" s="500"/>
      <c r="WGT536" s="500"/>
      <c r="WGU536" s="500"/>
      <c r="WGV536" s="500"/>
      <c r="WGW536" s="500"/>
      <c r="WGX536" s="500"/>
      <c r="WGY536" s="500"/>
      <c r="WGZ536" s="500"/>
      <c r="WHA536" s="500"/>
      <c r="WHB536" s="500"/>
      <c r="WHC536" s="500"/>
      <c r="WHD536" s="500"/>
      <c r="WHE536" s="500"/>
      <c r="WHF536" s="500"/>
      <c r="WHG536" s="500"/>
      <c r="WHH536" s="500"/>
      <c r="WHI536" s="500"/>
      <c r="WHJ536" s="500"/>
      <c r="WHK536" s="500"/>
      <c r="WHL536" s="500"/>
      <c r="WHM536" s="500"/>
      <c r="WHN536" s="500"/>
      <c r="WHO536" s="500"/>
      <c r="WHP536" s="500"/>
      <c r="WHQ536" s="500"/>
      <c r="WHR536" s="500"/>
      <c r="WHS536" s="500"/>
      <c r="WHT536" s="500"/>
      <c r="WHU536" s="500"/>
      <c r="WHV536" s="500"/>
      <c r="WHW536" s="500"/>
      <c r="WHX536" s="500"/>
      <c r="WHY536" s="500"/>
      <c r="WHZ536" s="500"/>
      <c r="WIA536" s="500"/>
      <c r="WIB536" s="500"/>
      <c r="WIC536" s="500"/>
      <c r="WID536" s="500"/>
      <c r="WIE536" s="500"/>
      <c r="WIF536" s="500"/>
      <c r="WIG536" s="500"/>
      <c r="WIH536" s="500"/>
      <c r="WII536" s="500"/>
      <c r="WIJ536" s="500"/>
      <c r="WIK536" s="500"/>
      <c r="WIL536" s="500"/>
      <c r="WIM536" s="500"/>
      <c r="WIN536" s="500"/>
      <c r="WIO536" s="500"/>
      <c r="WIP536" s="500"/>
      <c r="WIQ536" s="500"/>
      <c r="WIR536" s="500"/>
      <c r="WIS536" s="500"/>
      <c r="WIT536" s="500"/>
      <c r="WIU536" s="500"/>
      <c r="WIV536" s="500"/>
      <c r="WIW536" s="500"/>
      <c r="WIX536" s="500"/>
      <c r="WIY536" s="500"/>
      <c r="WIZ536" s="500"/>
      <c r="WJA536" s="500"/>
      <c r="WJB536" s="500"/>
      <c r="WJC536" s="500"/>
      <c r="WJD536" s="500"/>
      <c r="WJE536" s="500"/>
      <c r="WJF536" s="500"/>
      <c r="WJG536" s="500"/>
      <c r="WJH536" s="500"/>
      <c r="WJI536" s="500"/>
      <c r="WJJ536" s="500"/>
      <c r="WJK536" s="500"/>
      <c r="WJL536" s="500"/>
      <c r="WJM536" s="500"/>
      <c r="WJN536" s="500"/>
      <c r="WJO536" s="500"/>
      <c r="WJP536" s="500"/>
      <c r="WJQ536" s="500"/>
      <c r="WJR536" s="500"/>
      <c r="WJS536" s="500"/>
      <c r="WJT536" s="500"/>
      <c r="WJU536" s="500"/>
      <c r="WJV536" s="500"/>
      <c r="WJW536" s="500"/>
      <c r="WJX536" s="500"/>
      <c r="WJY536" s="500"/>
      <c r="WJZ536" s="500"/>
      <c r="WKA536" s="500"/>
      <c r="WKB536" s="500"/>
      <c r="WKC536" s="500"/>
      <c r="WKD536" s="500"/>
      <c r="WKE536" s="500"/>
      <c r="WKF536" s="500"/>
      <c r="WKG536" s="500"/>
      <c r="WKH536" s="500"/>
      <c r="WKI536" s="500"/>
      <c r="WKJ536" s="500"/>
      <c r="WKK536" s="500"/>
      <c r="WKL536" s="500"/>
      <c r="WKM536" s="500"/>
      <c r="WKN536" s="500"/>
      <c r="WKO536" s="500"/>
      <c r="WKP536" s="500"/>
      <c r="WKQ536" s="500"/>
      <c r="WKR536" s="500"/>
      <c r="WKS536" s="500"/>
      <c r="WKT536" s="500"/>
      <c r="WKU536" s="500"/>
      <c r="WKV536" s="500"/>
      <c r="WKW536" s="500"/>
      <c r="WKX536" s="500"/>
      <c r="WKY536" s="500"/>
      <c r="WKZ536" s="500"/>
      <c r="WLA536" s="500"/>
      <c r="WLB536" s="500"/>
      <c r="WLC536" s="500"/>
      <c r="WLD536" s="500"/>
      <c r="WLE536" s="500"/>
      <c r="WLF536" s="500"/>
      <c r="WLG536" s="500"/>
      <c r="WLH536" s="500"/>
      <c r="WLI536" s="500"/>
      <c r="WLJ536" s="500"/>
      <c r="WLK536" s="500"/>
      <c r="WLL536" s="500"/>
      <c r="WLM536" s="500"/>
      <c r="WLN536" s="500"/>
      <c r="WLO536" s="500"/>
      <c r="WLP536" s="500"/>
      <c r="WLQ536" s="500"/>
      <c r="WLR536" s="500"/>
      <c r="WLS536" s="500"/>
      <c r="WLT536" s="500"/>
      <c r="WLU536" s="500"/>
      <c r="WLV536" s="500"/>
      <c r="WLW536" s="500"/>
      <c r="WLX536" s="500"/>
      <c r="WLY536" s="500"/>
      <c r="WLZ536" s="500"/>
      <c r="WMA536" s="500"/>
      <c r="WMB536" s="500"/>
      <c r="WMC536" s="500"/>
      <c r="WMD536" s="500"/>
      <c r="WME536" s="500"/>
      <c r="WMF536" s="500"/>
      <c r="WMG536" s="500"/>
      <c r="WMH536" s="500"/>
      <c r="WMI536" s="500"/>
      <c r="WMJ536" s="500"/>
      <c r="WMK536" s="500"/>
      <c r="WML536" s="500"/>
      <c r="WMM536" s="500"/>
      <c r="WMN536" s="500"/>
      <c r="WMO536" s="500"/>
      <c r="WMP536" s="500"/>
      <c r="WMQ536" s="500"/>
      <c r="WMR536" s="500"/>
      <c r="WMS536" s="500"/>
      <c r="WMT536" s="500"/>
      <c r="WMU536" s="500"/>
      <c r="WMV536" s="500"/>
      <c r="WMW536" s="500"/>
      <c r="WMX536" s="500"/>
      <c r="WMY536" s="500"/>
      <c r="WMZ536" s="500"/>
      <c r="WNA536" s="500"/>
      <c r="WNB536" s="500"/>
      <c r="WNC536" s="500"/>
      <c r="WND536" s="500"/>
      <c r="WNE536" s="500"/>
      <c r="WNF536" s="500"/>
      <c r="WNG536" s="500"/>
      <c r="WNH536" s="500"/>
      <c r="WNI536" s="500"/>
      <c r="WNJ536" s="500"/>
      <c r="WNK536" s="500"/>
      <c r="WNL536" s="500"/>
      <c r="WNM536" s="500"/>
      <c r="WNN536" s="500"/>
      <c r="WNO536" s="500"/>
      <c r="WNP536" s="500"/>
      <c r="WNQ536" s="500"/>
      <c r="WNR536" s="500"/>
      <c r="WNS536" s="500"/>
      <c r="WNT536" s="500"/>
      <c r="WNU536" s="500"/>
      <c r="WNV536" s="500"/>
      <c r="WNW536" s="500"/>
      <c r="WNX536" s="500"/>
      <c r="WNY536" s="500"/>
      <c r="WNZ536" s="500"/>
      <c r="WOA536" s="500"/>
      <c r="WOB536" s="500"/>
      <c r="WOC536" s="500"/>
      <c r="WOD536" s="500"/>
      <c r="WOE536" s="500"/>
      <c r="WOF536" s="500"/>
      <c r="WOG536" s="500"/>
      <c r="WOH536" s="500"/>
      <c r="WOI536" s="500"/>
      <c r="WOJ536" s="500"/>
      <c r="WOK536" s="500"/>
      <c r="WOL536" s="500"/>
      <c r="WOM536" s="500"/>
      <c r="WON536" s="500"/>
      <c r="WOO536" s="500"/>
      <c r="WOP536" s="500"/>
      <c r="WOQ536" s="500"/>
      <c r="WOR536" s="500"/>
      <c r="WOS536" s="500"/>
      <c r="WOT536" s="500"/>
      <c r="WOU536" s="500"/>
      <c r="WOV536" s="500"/>
      <c r="WOW536" s="500"/>
      <c r="WOX536" s="500"/>
      <c r="WOY536" s="500"/>
      <c r="WOZ536" s="500"/>
      <c r="WPA536" s="500"/>
      <c r="WPB536" s="500"/>
      <c r="WPC536" s="500"/>
      <c r="WPD536" s="500"/>
      <c r="WPE536" s="500"/>
      <c r="WPF536" s="500"/>
      <c r="WPG536" s="500"/>
      <c r="WPH536" s="500"/>
      <c r="WPI536" s="500"/>
      <c r="WPJ536" s="500"/>
      <c r="WPK536" s="500"/>
      <c r="WPL536" s="500"/>
      <c r="WPM536" s="500"/>
      <c r="WPN536" s="500"/>
      <c r="WPO536" s="500"/>
      <c r="WPP536" s="500"/>
      <c r="WPQ536" s="500"/>
      <c r="WPR536" s="500"/>
      <c r="WPS536" s="500"/>
      <c r="WPT536" s="500"/>
      <c r="WPU536" s="500"/>
      <c r="WPV536" s="500"/>
      <c r="WPW536" s="500"/>
      <c r="WPX536" s="500"/>
      <c r="WPY536" s="500"/>
      <c r="WPZ536" s="500"/>
      <c r="WQA536" s="500"/>
      <c r="WQB536" s="500"/>
      <c r="WQC536" s="500"/>
      <c r="WQD536" s="500"/>
      <c r="WQE536" s="500"/>
      <c r="WQF536" s="500"/>
      <c r="WQG536" s="500"/>
      <c r="WQH536" s="500"/>
      <c r="WQI536" s="500"/>
      <c r="WQJ536" s="500"/>
      <c r="WQK536" s="500"/>
      <c r="WQL536" s="500"/>
      <c r="WQM536" s="500"/>
      <c r="WQN536" s="500"/>
      <c r="WQO536" s="500"/>
      <c r="WQP536" s="500"/>
      <c r="WQQ536" s="500"/>
      <c r="WQR536" s="500"/>
      <c r="WQS536" s="500"/>
      <c r="WQT536" s="500"/>
      <c r="WQU536" s="500"/>
      <c r="WQV536" s="500"/>
      <c r="WQW536" s="500"/>
      <c r="WQX536" s="500"/>
      <c r="WQY536" s="500"/>
      <c r="WQZ536" s="500"/>
      <c r="WRA536" s="500"/>
      <c r="WRB536" s="500"/>
      <c r="WRC536" s="500"/>
      <c r="WRD536" s="500"/>
      <c r="WRE536" s="500"/>
      <c r="WRF536" s="500"/>
      <c r="WRG536" s="500"/>
      <c r="WRH536" s="500"/>
      <c r="WRI536" s="500"/>
      <c r="WRJ536" s="500"/>
      <c r="WRK536" s="500"/>
      <c r="WRL536" s="500"/>
      <c r="WRM536" s="500"/>
      <c r="WRN536" s="500"/>
      <c r="WRO536" s="500"/>
      <c r="WRP536" s="500"/>
      <c r="WRQ536" s="500"/>
      <c r="WRR536" s="500"/>
      <c r="WRS536" s="500"/>
      <c r="WRT536" s="500"/>
      <c r="WRU536" s="500"/>
      <c r="WRV536" s="500"/>
      <c r="WRW536" s="500"/>
      <c r="WRX536" s="500"/>
      <c r="WRY536" s="500"/>
      <c r="WRZ536" s="500"/>
      <c r="WSA536" s="500"/>
      <c r="WSB536" s="500"/>
      <c r="WSC536" s="500"/>
      <c r="WSD536" s="500"/>
      <c r="WSE536" s="500"/>
      <c r="WSF536" s="500"/>
      <c r="WSG536" s="500"/>
      <c r="WSH536" s="500"/>
      <c r="WSI536" s="500"/>
      <c r="WSJ536" s="500"/>
      <c r="WSK536" s="500"/>
      <c r="WSL536" s="500"/>
      <c r="WSM536" s="500"/>
      <c r="WSN536" s="500"/>
      <c r="WSO536" s="500"/>
      <c r="WSP536" s="500"/>
      <c r="WSQ536" s="500"/>
      <c r="WSR536" s="500"/>
      <c r="WSS536" s="500"/>
      <c r="WST536" s="500"/>
      <c r="WSU536" s="500"/>
      <c r="WSV536" s="500"/>
      <c r="WSW536" s="500"/>
      <c r="WSX536" s="500"/>
      <c r="WSY536" s="500"/>
      <c r="WSZ536" s="500"/>
      <c r="WTA536" s="500"/>
      <c r="WTB536" s="500"/>
      <c r="WTC536" s="500"/>
      <c r="WTD536" s="500"/>
      <c r="WTE536" s="500"/>
      <c r="WTF536" s="500"/>
      <c r="WTG536" s="500"/>
      <c r="WTH536" s="500"/>
      <c r="WTI536" s="500"/>
      <c r="WTJ536" s="500"/>
      <c r="WTK536" s="500"/>
      <c r="WTL536" s="500"/>
      <c r="WTM536" s="500"/>
      <c r="WTN536" s="500"/>
      <c r="WTO536" s="500"/>
      <c r="WTP536" s="500"/>
      <c r="WTQ536" s="500"/>
      <c r="WTR536" s="500"/>
      <c r="WTS536" s="500"/>
      <c r="WTT536" s="500"/>
      <c r="WTU536" s="500"/>
      <c r="WTV536" s="500"/>
      <c r="WTW536" s="500"/>
      <c r="WTX536" s="500"/>
      <c r="WTY536" s="500"/>
      <c r="WTZ536" s="500"/>
      <c r="WUA536" s="500"/>
      <c r="WUB536" s="500"/>
      <c r="WUC536" s="500"/>
      <c r="WUD536" s="500"/>
      <c r="WUE536" s="500"/>
      <c r="WUF536" s="500"/>
      <c r="WUG536" s="500"/>
      <c r="WUH536" s="500"/>
      <c r="WUI536" s="500"/>
      <c r="WUJ536" s="500"/>
      <c r="WUK536" s="500"/>
      <c r="WUL536" s="500"/>
      <c r="WUM536" s="500"/>
      <c r="WUN536" s="500"/>
      <c r="WUO536" s="500"/>
      <c r="WUP536" s="500"/>
      <c r="WUQ536" s="500"/>
      <c r="WUR536" s="500"/>
      <c r="WUS536" s="500"/>
      <c r="WUT536" s="500"/>
      <c r="WUU536" s="500"/>
      <c r="WUV536" s="500"/>
      <c r="WUW536" s="500"/>
      <c r="WUX536" s="500"/>
      <c r="WUY536" s="500"/>
      <c r="WUZ536" s="500"/>
      <c r="WVA536" s="500"/>
      <c r="WVB536" s="500"/>
      <c r="WVC536" s="500"/>
      <c r="WVD536" s="500"/>
      <c r="WVE536" s="500"/>
      <c r="WVF536" s="500"/>
      <c r="WVG536" s="500"/>
      <c r="WVH536" s="500"/>
      <c r="WVI536" s="500"/>
      <c r="WVJ536" s="500"/>
      <c r="WVK536" s="500"/>
      <c r="WVL536" s="500"/>
      <c r="WVM536" s="500"/>
      <c r="WVN536" s="500"/>
      <c r="WVO536" s="500"/>
      <c r="WVP536" s="500"/>
      <c r="WVQ536" s="500"/>
      <c r="WVR536" s="500"/>
      <c r="WVS536" s="500"/>
      <c r="WVT536" s="500"/>
      <c r="WVU536" s="500"/>
      <c r="WVV536" s="500"/>
      <c r="WVW536" s="500"/>
      <c r="WVX536" s="500"/>
      <c r="WVY536" s="500"/>
      <c r="WVZ536" s="500"/>
      <c r="WWA536" s="500"/>
      <c r="WWB536" s="500"/>
      <c r="WWC536" s="500"/>
      <c r="WWD536" s="500"/>
      <c r="WWE536" s="500"/>
      <c r="WWF536" s="500"/>
      <c r="WWG536" s="500"/>
      <c r="WWH536" s="500"/>
      <c r="WWI536" s="500"/>
      <c r="WWJ536" s="500"/>
      <c r="WWK536" s="500"/>
      <c r="WWL536" s="500"/>
      <c r="WWM536" s="500"/>
      <c r="WWN536" s="500"/>
      <c r="WWO536" s="500"/>
      <c r="WWP536" s="500"/>
      <c r="WWQ536" s="500"/>
      <c r="WWR536" s="500"/>
      <c r="WWS536" s="500"/>
      <c r="WWT536" s="500"/>
      <c r="WWU536" s="500"/>
      <c r="WWV536" s="500"/>
      <c r="WWW536" s="500"/>
      <c r="WWX536" s="500"/>
      <c r="WWY536" s="500"/>
      <c r="WWZ536" s="500"/>
      <c r="WXA536" s="500"/>
      <c r="WXB536" s="500"/>
      <c r="WXC536" s="500"/>
      <c r="WXD536" s="500"/>
      <c r="WXE536" s="500"/>
      <c r="WXF536" s="500"/>
      <c r="WXG536" s="500"/>
      <c r="WXH536" s="500"/>
      <c r="WXI536" s="500"/>
      <c r="WXJ536" s="500"/>
      <c r="WXK536" s="500"/>
      <c r="WXL536" s="500"/>
      <c r="WXM536" s="500"/>
      <c r="WXN536" s="500"/>
      <c r="WXO536" s="500"/>
      <c r="WXP536" s="500"/>
      <c r="WXQ536" s="500"/>
      <c r="WXR536" s="500"/>
      <c r="WXS536" s="500"/>
      <c r="WXT536" s="500"/>
      <c r="WXU536" s="500"/>
      <c r="WXV536" s="500"/>
      <c r="WXW536" s="500"/>
      <c r="WXX536" s="500"/>
      <c r="WXY536" s="500"/>
      <c r="WXZ536" s="500"/>
      <c r="WYA536" s="500"/>
      <c r="WYB536" s="500"/>
      <c r="WYC536" s="500"/>
      <c r="WYD536" s="500"/>
      <c r="WYE536" s="500"/>
      <c r="WYF536" s="500"/>
      <c r="WYG536" s="500"/>
      <c r="WYH536" s="500"/>
      <c r="WYI536" s="500"/>
      <c r="WYJ536" s="500"/>
      <c r="WYK536" s="500"/>
      <c r="WYL536" s="500"/>
      <c r="WYM536" s="500"/>
      <c r="WYN536" s="500"/>
      <c r="WYO536" s="500"/>
      <c r="WYP536" s="500"/>
      <c r="WYQ536" s="500"/>
      <c r="WYR536" s="500"/>
      <c r="WYS536" s="500"/>
      <c r="WYT536" s="500"/>
      <c r="WYU536" s="500"/>
      <c r="WYV536" s="500"/>
      <c r="WYW536" s="500"/>
      <c r="WYX536" s="500"/>
      <c r="WYY536" s="500"/>
      <c r="WYZ536" s="500"/>
      <c r="WZA536" s="500"/>
      <c r="WZB536" s="500"/>
      <c r="WZC536" s="500"/>
      <c r="WZD536" s="500"/>
      <c r="WZE536" s="500"/>
      <c r="WZF536" s="500"/>
      <c r="WZG536" s="500"/>
      <c r="WZH536" s="500"/>
      <c r="WZI536" s="500"/>
      <c r="WZJ536" s="500"/>
      <c r="WZK536" s="500"/>
      <c r="WZL536" s="500"/>
      <c r="WZM536" s="500"/>
      <c r="WZN536" s="500"/>
      <c r="WZO536" s="500"/>
      <c r="WZP536" s="500"/>
      <c r="WZQ536" s="500"/>
      <c r="WZR536" s="500"/>
      <c r="WZS536" s="500"/>
      <c r="WZT536" s="500"/>
      <c r="WZU536" s="500"/>
      <c r="WZV536" s="500"/>
      <c r="WZW536" s="500"/>
      <c r="WZX536" s="500"/>
      <c r="WZY536" s="500"/>
      <c r="WZZ536" s="500"/>
      <c r="XAA536" s="500"/>
      <c r="XAB536" s="500"/>
      <c r="XAC536" s="500"/>
      <c r="XAD536" s="500"/>
      <c r="XAE536" s="500"/>
      <c r="XAF536" s="500"/>
      <c r="XAG536" s="500"/>
      <c r="XAH536" s="500"/>
      <c r="XAI536" s="500"/>
      <c r="XAJ536" s="500"/>
      <c r="XAK536" s="500"/>
      <c r="XAL536" s="500"/>
      <c r="XAM536" s="500"/>
      <c r="XAN536" s="500"/>
      <c r="XAO536" s="500"/>
      <c r="XAP536" s="500"/>
      <c r="XAQ536" s="500"/>
      <c r="XAR536" s="500"/>
      <c r="XAS536" s="500"/>
      <c r="XAT536" s="500"/>
      <c r="XAU536" s="500"/>
      <c r="XAV536" s="500"/>
      <c r="XAW536" s="500"/>
      <c r="XAX536" s="500"/>
      <c r="XAY536" s="500"/>
      <c r="XAZ536" s="500"/>
      <c r="XBA536" s="500"/>
      <c r="XBB536" s="500"/>
      <c r="XBC536" s="500"/>
      <c r="XBD536" s="500"/>
      <c r="XBE536" s="500"/>
      <c r="XBF536" s="500"/>
      <c r="XBG536" s="500"/>
      <c r="XBH536" s="500"/>
      <c r="XBI536" s="500"/>
      <c r="XBJ536" s="500"/>
      <c r="XBK536" s="500"/>
      <c r="XBL536" s="500"/>
      <c r="XBM536" s="500"/>
      <c r="XBN536" s="500"/>
      <c r="XBO536" s="500"/>
      <c r="XBP536" s="500"/>
      <c r="XBQ536" s="500"/>
      <c r="XBR536" s="500"/>
      <c r="XBS536" s="500"/>
      <c r="XBT536" s="500"/>
      <c r="XBU536" s="500"/>
      <c r="XBV536" s="500"/>
      <c r="XBW536" s="500"/>
      <c r="XBX536" s="500"/>
      <c r="XBY536" s="500"/>
      <c r="XBZ536" s="500"/>
      <c r="XCA536" s="500"/>
      <c r="XCB536" s="500"/>
      <c r="XCC536" s="500"/>
      <c r="XCD536" s="500"/>
      <c r="XCE536" s="500"/>
    </row>
    <row r="537" spans="1:16307" s="500" customFormat="1" x14ac:dyDescent="0.2">
      <c r="A537" s="833">
        <v>315</v>
      </c>
      <c r="B537" s="834" t="s">
        <v>909</v>
      </c>
      <c r="C537" s="835">
        <v>91.64</v>
      </c>
      <c r="D537" s="835">
        <v>273.77</v>
      </c>
      <c r="E537" s="835">
        <v>1081.3800000000001</v>
      </c>
      <c r="F537" s="835">
        <v>1295.1600000000001</v>
      </c>
      <c r="G537" s="835">
        <v>1062.99</v>
      </c>
      <c r="H537" s="835">
        <v>859.46</v>
      </c>
      <c r="I537" s="835">
        <v>529.02</v>
      </c>
      <c r="J537" s="835">
        <v>1387.37</v>
      </c>
      <c r="K537" s="835">
        <v>1148.25</v>
      </c>
      <c r="L537" s="835">
        <v>1097.17</v>
      </c>
      <c r="M537" s="835">
        <v>662.24</v>
      </c>
      <c r="N537" s="835">
        <v>199.4</v>
      </c>
      <c r="O537" s="835">
        <v>114.9</v>
      </c>
      <c r="P537" s="835">
        <v>301.5</v>
      </c>
      <c r="Q537" s="835">
        <v>861.15</v>
      </c>
      <c r="R537" s="835">
        <v>1559.7</v>
      </c>
      <c r="S537" s="835">
        <v>1444.65</v>
      </c>
      <c r="T537" s="835">
        <v>1232.2</v>
      </c>
      <c r="U537" s="835">
        <v>1012.75</v>
      </c>
      <c r="V537" s="835">
        <v>1203.2</v>
      </c>
      <c r="W537" s="835">
        <v>1681.8</v>
      </c>
      <c r="X537" s="835">
        <v>1794.6</v>
      </c>
      <c r="Y537" s="835">
        <v>1224.5</v>
      </c>
      <c r="Z537" s="835">
        <v>535.15</v>
      </c>
      <c r="AA537" s="835">
        <v>221.45</v>
      </c>
      <c r="AB537" s="835">
        <v>602.15</v>
      </c>
      <c r="AC537" s="835">
        <v>1095.55</v>
      </c>
      <c r="AD537" s="835">
        <v>1536.15</v>
      </c>
      <c r="AE537" s="835">
        <v>1584.55</v>
      </c>
      <c r="AF537" s="835">
        <v>1415.95</v>
      </c>
      <c r="AG537" s="835">
        <v>969.05</v>
      </c>
      <c r="AH537" s="835">
        <v>1568.75</v>
      </c>
      <c r="AI537" s="835">
        <v>1608.35</v>
      </c>
      <c r="AJ537" s="835">
        <v>1646.05</v>
      </c>
      <c r="AK537" s="835">
        <v>1822.75</v>
      </c>
      <c r="AL537" s="835">
        <v>1223.75</v>
      </c>
      <c r="AM537" s="835">
        <v>1805.75</v>
      </c>
      <c r="AN537" s="835">
        <v>1544.15</v>
      </c>
      <c r="AO537" s="835">
        <v>1671.75</v>
      </c>
      <c r="AP537" s="835">
        <v>2134.2399999999998</v>
      </c>
      <c r="AQ537" s="835">
        <v>2191.1569</v>
      </c>
      <c r="AR537" s="835">
        <v>1597.75</v>
      </c>
      <c r="AS537" s="835">
        <v>1582.75</v>
      </c>
      <c r="AT537" s="835">
        <v>2376.9989999999998</v>
      </c>
      <c r="AU537" s="835">
        <v>2081.9989999999998</v>
      </c>
      <c r="AV537" s="835">
        <v>1987.4480000000001</v>
      </c>
      <c r="AW537" s="835">
        <v>1603.4360000000001</v>
      </c>
      <c r="AX537" s="835">
        <v>599.41949999999997</v>
      </c>
      <c r="AY537" s="835">
        <v>440.44100000000003</v>
      </c>
    </row>
    <row r="538" spans="1:16307" s="500" customFormat="1" x14ac:dyDescent="0.2">
      <c r="A538" s="833" t="s">
        <v>892</v>
      </c>
      <c r="B538" s="834" t="s">
        <v>910</v>
      </c>
      <c r="C538" s="835">
        <v>0</v>
      </c>
      <c r="D538" s="835">
        <v>0</v>
      </c>
      <c r="E538" s="835">
        <v>0</v>
      </c>
      <c r="F538" s="835">
        <v>0</v>
      </c>
      <c r="G538" s="835">
        <v>0</v>
      </c>
      <c r="H538" s="835">
        <v>0</v>
      </c>
      <c r="I538" s="835">
        <v>0</v>
      </c>
      <c r="J538" s="835">
        <v>0</v>
      </c>
      <c r="K538" s="835">
        <v>0</v>
      </c>
      <c r="L538" s="835">
        <v>0</v>
      </c>
      <c r="M538" s="835">
        <v>0</v>
      </c>
      <c r="N538" s="835">
        <v>0</v>
      </c>
      <c r="O538" s="835">
        <v>0</v>
      </c>
      <c r="P538" s="835">
        <v>0</v>
      </c>
      <c r="Q538" s="835">
        <v>0</v>
      </c>
      <c r="R538" s="835">
        <v>0</v>
      </c>
      <c r="S538" s="835">
        <v>0</v>
      </c>
      <c r="T538" s="835">
        <v>0</v>
      </c>
      <c r="U538" s="835">
        <v>0</v>
      </c>
      <c r="V538" s="835">
        <v>0</v>
      </c>
      <c r="W538" s="835">
        <v>0</v>
      </c>
      <c r="X538" s="835">
        <v>0</v>
      </c>
      <c r="Y538" s="835">
        <v>0</v>
      </c>
      <c r="Z538" s="835">
        <v>43.74</v>
      </c>
      <c r="AA538" s="835">
        <v>100.84</v>
      </c>
      <c r="AB538" s="835">
        <v>2320.58</v>
      </c>
      <c r="AC538" s="835">
        <v>6556.74</v>
      </c>
      <c r="AD538" s="835">
        <v>603.22</v>
      </c>
      <c r="AE538" s="835">
        <v>573.42999999999995</v>
      </c>
      <c r="AF538" s="835">
        <v>413.45</v>
      </c>
      <c r="AG538" s="835">
        <v>592.27</v>
      </c>
      <c r="AH538" s="835">
        <v>955.3</v>
      </c>
      <c r="AI538" s="835">
        <v>722.64</v>
      </c>
      <c r="AJ538" s="835">
        <v>1604.6999999999998</v>
      </c>
      <c r="AK538" s="835">
        <v>1894.11</v>
      </c>
      <c r="AL538" s="835">
        <v>568.16999999999996</v>
      </c>
      <c r="AM538" s="835">
        <v>194.27</v>
      </c>
      <c r="AN538" s="835">
        <v>770.52</v>
      </c>
      <c r="AO538" s="835">
        <v>1875.2800000000002</v>
      </c>
      <c r="AP538" s="835">
        <v>2525.21</v>
      </c>
      <c r="AQ538" s="835">
        <v>2638.7703999999999</v>
      </c>
      <c r="AR538" s="835">
        <v>1900.79</v>
      </c>
      <c r="AS538" s="835">
        <v>1666.76</v>
      </c>
      <c r="AT538" s="835">
        <v>2584.9740000000002</v>
      </c>
      <c r="AU538" s="835">
        <v>2497.6640000000002</v>
      </c>
      <c r="AV538" s="835">
        <v>2537.9479999999999</v>
      </c>
      <c r="AW538" s="835">
        <v>2148.846</v>
      </c>
      <c r="AX538" s="835">
        <v>1009.8219999999999</v>
      </c>
      <c r="AY538" s="835">
        <v>633.346</v>
      </c>
      <c r="AZ538" s="501"/>
      <c r="BA538" s="501"/>
      <c r="BB538" s="501"/>
      <c r="BC538" s="501"/>
      <c r="BD538" s="501"/>
      <c r="BE538" s="501"/>
      <c r="BF538" s="501"/>
      <c r="BG538" s="501"/>
      <c r="BH538" s="501"/>
      <c r="BI538" s="501"/>
      <c r="BJ538" s="501"/>
      <c r="BK538" s="501"/>
      <c r="BL538" s="501"/>
      <c r="BM538" s="501"/>
      <c r="BN538" s="501"/>
      <c r="BO538" s="501"/>
      <c r="BP538" s="501"/>
      <c r="BQ538" s="501"/>
      <c r="BR538" s="501"/>
      <c r="BS538" s="501"/>
      <c r="BT538" s="501"/>
      <c r="BU538" s="501"/>
      <c r="BV538" s="501"/>
      <c r="BW538" s="501"/>
      <c r="BX538" s="501"/>
      <c r="BY538" s="501"/>
      <c r="BZ538" s="501"/>
      <c r="CA538" s="501"/>
      <c r="CB538" s="501"/>
      <c r="CC538" s="501"/>
      <c r="CD538" s="501"/>
      <c r="CE538" s="501"/>
      <c r="CF538" s="501"/>
      <c r="CG538" s="501"/>
      <c r="CH538" s="501"/>
      <c r="CI538" s="501"/>
      <c r="CJ538" s="501"/>
      <c r="CK538" s="501"/>
      <c r="CL538" s="501"/>
      <c r="CM538" s="501"/>
      <c r="CN538" s="501"/>
      <c r="CO538" s="501"/>
      <c r="CP538" s="501"/>
      <c r="CQ538" s="501"/>
      <c r="CR538" s="501"/>
      <c r="CS538" s="501"/>
      <c r="CT538" s="501"/>
      <c r="CU538" s="501"/>
      <c r="CV538" s="501"/>
      <c r="CW538" s="501"/>
      <c r="CX538" s="501"/>
      <c r="CY538" s="501"/>
      <c r="CZ538" s="501"/>
      <c r="DA538" s="501"/>
      <c r="DB538" s="501"/>
      <c r="DC538" s="501"/>
      <c r="DD538" s="501"/>
      <c r="DE538" s="501"/>
      <c r="DF538" s="501"/>
      <c r="DG538" s="501"/>
      <c r="DH538" s="501"/>
      <c r="DI538" s="501"/>
      <c r="DJ538" s="501"/>
      <c r="DK538" s="501"/>
      <c r="DL538" s="501"/>
      <c r="DM538" s="501"/>
      <c r="DN538" s="501"/>
      <c r="DO538" s="501"/>
      <c r="DP538" s="501"/>
      <c r="DQ538" s="501"/>
      <c r="DR538" s="501"/>
      <c r="DS538" s="501"/>
      <c r="DT538" s="501"/>
      <c r="DU538" s="501"/>
      <c r="DV538" s="501"/>
      <c r="DW538" s="501"/>
      <c r="DX538" s="501"/>
      <c r="DY538" s="501"/>
      <c r="DZ538" s="501"/>
      <c r="EA538" s="501"/>
      <c r="EB538" s="501"/>
      <c r="EC538" s="501"/>
      <c r="ED538" s="501"/>
      <c r="EE538" s="501"/>
      <c r="EF538" s="501"/>
      <c r="EG538" s="501"/>
      <c r="EH538" s="501"/>
      <c r="EI538" s="501"/>
      <c r="EJ538" s="501"/>
      <c r="EK538" s="501"/>
      <c r="EL538" s="501"/>
      <c r="EM538" s="501"/>
      <c r="EN538" s="501"/>
      <c r="EO538" s="501"/>
      <c r="EP538" s="501"/>
      <c r="EQ538" s="501"/>
      <c r="ER538" s="501"/>
      <c r="ES538" s="501"/>
      <c r="ET538" s="501"/>
      <c r="EU538" s="501"/>
      <c r="EV538" s="501"/>
      <c r="EW538" s="501"/>
      <c r="EX538" s="501"/>
      <c r="EY538" s="501"/>
      <c r="EZ538" s="501"/>
      <c r="FA538" s="501"/>
      <c r="FB538" s="501"/>
      <c r="FC538" s="501"/>
      <c r="FD538" s="501"/>
      <c r="FE538" s="501"/>
      <c r="FF538" s="501"/>
      <c r="FG538" s="501"/>
      <c r="FH538" s="501"/>
      <c r="FI538" s="501"/>
      <c r="FJ538" s="501"/>
      <c r="FK538" s="501"/>
      <c r="FL538" s="501"/>
      <c r="FM538" s="501"/>
      <c r="FN538" s="501"/>
      <c r="FO538" s="501"/>
      <c r="FP538" s="501"/>
      <c r="FQ538" s="501"/>
      <c r="FR538" s="501"/>
      <c r="FS538" s="501"/>
      <c r="FT538" s="501"/>
      <c r="FU538" s="501"/>
      <c r="FV538" s="501"/>
      <c r="FW538" s="501"/>
      <c r="FX538" s="501"/>
      <c r="FY538" s="501"/>
      <c r="FZ538" s="501"/>
      <c r="GA538" s="501"/>
      <c r="GB538" s="501"/>
      <c r="GC538" s="501"/>
      <c r="GD538" s="501"/>
      <c r="GE538" s="501"/>
      <c r="GF538" s="501"/>
      <c r="GG538" s="501"/>
      <c r="GH538" s="501"/>
      <c r="GI538" s="501"/>
      <c r="GJ538" s="501"/>
      <c r="GK538" s="501"/>
      <c r="GL538" s="501"/>
      <c r="GM538" s="501"/>
      <c r="GN538" s="501"/>
      <c r="GO538" s="501"/>
      <c r="GP538" s="501"/>
      <c r="GQ538" s="501"/>
      <c r="GR538" s="501"/>
      <c r="GS538" s="501"/>
      <c r="GT538" s="501"/>
      <c r="GU538" s="501"/>
      <c r="GV538" s="501"/>
      <c r="GW538" s="501"/>
      <c r="GX538" s="501"/>
      <c r="GY538" s="501"/>
      <c r="GZ538" s="501"/>
      <c r="HA538" s="501"/>
      <c r="HB538" s="501"/>
      <c r="HC538" s="501"/>
      <c r="HD538" s="501"/>
      <c r="HE538" s="501"/>
      <c r="HF538" s="501"/>
      <c r="HG538" s="501"/>
      <c r="HH538" s="501"/>
      <c r="HI538" s="501"/>
      <c r="HJ538" s="501"/>
      <c r="HK538" s="501"/>
      <c r="HL538" s="501"/>
      <c r="HM538" s="501"/>
      <c r="HN538" s="501"/>
      <c r="HO538" s="501"/>
      <c r="HP538" s="501"/>
      <c r="HQ538" s="501"/>
      <c r="HR538" s="501"/>
      <c r="HS538" s="501"/>
      <c r="HT538" s="501"/>
      <c r="HU538" s="501"/>
      <c r="HV538" s="501"/>
      <c r="HW538" s="501"/>
      <c r="HX538" s="501"/>
      <c r="HY538" s="501"/>
      <c r="HZ538" s="501"/>
      <c r="IA538" s="501"/>
      <c r="IB538" s="501"/>
      <c r="IC538" s="501"/>
      <c r="ID538" s="501"/>
      <c r="IE538" s="501"/>
      <c r="IF538" s="501"/>
      <c r="IG538" s="501"/>
      <c r="IH538" s="501"/>
      <c r="II538" s="501"/>
      <c r="IJ538" s="501"/>
      <c r="IK538" s="501"/>
      <c r="IL538" s="501"/>
      <c r="IM538" s="501"/>
      <c r="IN538" s="501"/>
      <c r="IO538" s="501"/>
      <c r="IP538" s="501"/>
      <c r="IQ538" s="501"/>
      <c r="IR538" s="501"/>
      <c r="IS538" s="501"/>
      <c r="IT538" s="501"/>
      <c r="IU538" s="501"/>
      <c r="IV538" s="501"/>
      <c r="IW538" s="501"/>
      <c r="IX538" s="501"/>
      <c r="IY538" s="501"/>
      <c r="IZ538" s="501"/>
      <c r="JA538" s="501"/>
      <c r="JB538" s="501"/>
      <c r="JC538" s="501"/>
      <c r="JD538" s="501"/>
      <c r="JE538" s="501"/>
      <c r="JF538" s="501"/>
      <c r="JG538" s="501"/>
      <c r="JH538" s="501"/>
      <c r="JI538" s="501"/>
      <c r="JJ538" s="501"/>
      <c r="JK538" s="501"/>
      <c r="JL538" s="501"/>
      <c r="JM538" s="501"/>
      <c r="JN538" s="501"/>
      <c r="JO538" s="501"/>
      <c r="JP538" s="501"/>
      <c r="JQ538" s="501"/>
      <c r="JR538" s="501"/>
      <c r="JS538" s="501"/>
      <c r="JT538" s="501"/>
      <c r="JU538" s="501"/>
      <c r="JV538" s="501"/>
      <c r="JW538" s="501"/>
      <c r="JX538" s="501"/>
      <c r="JY538" s="501"/>
      <c r="JZ538" s="501"/>
      <c r="KA538" s="501"/>
      <c r="KB538" s="501"/>
      <c r="KC538" s="501"/>
      <c r="KD538" s="501"/>
      <c r="KE538" s="501"/>
      <c r="KF538" s="501"/>
      <c r="KG538" s="501"/>
      <c r="KH538" s="501"/>
      <c r="KI538" s="501"/>
      <c r="KJ538" s="501"/>
      <c r="KK538" s="501"/>
      <c r="KL538" s="501"/>
      <c r="KM538" s="501"/>
      <c r="KN538" s="501"/>
      <c r="KO538" s="501"/>
      <c r="KP538" s="501"/>
      <c r="KQ538" s="501"/>
      <c r="KR538" s="501"/>
      <c r="KS538" s="501"/>
      <c r="KT538" s="501"/>
      <c r="KU538" s="501"/>
      <c r="KV538" s="501"/>
      <c r="KW538" s="501"/>
      <c r="KX538" s="501"/>
      <c r="KY538" s="501"/>
      <c r="KZ538" s="501"/>
      <c r="LA538" s="501"/>
      <c r="LB538" s="501"/>
      <c r="LC538" s="501"/>
      <c r="LD538" s="501"/>
      <c r="LE538" s="501"/>
      <c r="LF538" s="501"/>
      <c r="LG538" s="501"/>
      <c r="LH538" s="501"/>
      <c r="LI538" s="501"/>
      <c r="LJ538" s="501"/>
      <c r="LK538" s="501"/>
      <c r="LL538" s="501"/>
      <c r="LM538" s="501"/>
      <c r="LN538" s="501"/>
      <c r="LO538" s="501"/>
      <c r="LP538" s="501"/>
      <c r="LQ538" s="501"/>
      <c r="LR538" s="501"/>
      <c r="LS538" s="501"/>
      <c r="LT538" s="501"/>
      <c r="LU538" s="501"/>
      <c r="LV538" s="501"/>
      <c r="LW538" s="501"/>
      <c r="LX538" s="501"/>
      <c r="LY538" s="501"/>
      <c r="LZ538" s="501"/>
      <c r="MA538" s="501"/>
      <c r="MB538" s="501"/>
      <c r="MC538" s="501"/>
      <c r="MD538" s="501"/>
      <c r="ME538" s="501"/>
      <c r="MF538" s="501"/>
      <c r="MG538" s="501"/>
      <c r="MH538" s="501"/>
      <c r="MI538" s="501"/>
      <c r="MJ538" s="501"/>
      <c r="MK538" s="501"/>
      <c r="ML538" s="501"/>
      <c r="MM538" s="501"/>
      <c r="MN538" s="501"/>
      <c r="MO538" s="501"/>
      <c r="MP538" s="501"/>
      <c r="MQ538" s="501"/>
      <c r="MR538" s="501"/>
      <c r="MS538" s="501"/>
      <c r="MT538" s="501"/>
      <c r="MU538" s="501"/>
      <c r="MV538" s="501"/>
      <c r="MW538" s="501"/>
      <c r="MX538" s="501"/>
      <c r="MY538" s="501"/>
      <c r="MZ538" s="501"/>
      <c r="NA538" s="501"/>
      <c r="NB538" s="501"/>
      <c r="NC538" s="501"/>
      <c r="ND538" s="501"/>
      <c r="NE538" s="501"/>
      <c r="NF538" s="501"/>
      <c r="NG538" s="501"/>
      <c r="NH538" s="501"/>
      <c r="NI538" s="501"/>
      <c r="NJ538" s="501"/>
      <c r="NK538" s="501"/>
      <c r="NL538" s="501"/>
      <c r="NM538" s="501"/>
      <c r="NN538" s="501"/>
      <c r="NO538" s="501"/>
      <c r="NP538" s="501"/>
      <c r="NQ538" s="501"/>
      <c r="NR538" s="501"/>
      <c r="NS538" s="501"/>
      <c r="NT538" s="501"/>
      <c r="NU538" s="501"/>
      <c r="NV538" s="501"/>
      <c r="NW538" s="501"/>
      <c r="NX538" s="501"/>
      <c r="NY538" s="501"/>
      <c r="NZ538" s="501"/>
      <c r="OA538" s="501"/>
      <c r="OB538" s="501"/>
      <c r="OC538" s="501"/>
      <c r="OD538" s="501"/>
      <c r="OE538" s="501"/>
      <c r="OF538" s="501"/>
      <c r="OG538" s="501"/>
      <c r="OH538" s="501"/>
      <c r="OI538" s="501"/>
      <c r="OJ538" s="501"/>
      <c r="OK538" s="501"/>
      <c r="OL538" s="501"/>
      <c r="OM538" s="501"/>
      <c r="ON538" s="501"/>
      <c r="OO538" s="501"/>
      <c r="OP538" s="501"/>
      <c r="OQ538" s="501"/>
      <c r="OR538" s="501"/>
      <c r="OS538" s="501"/>
      <c r="OT538" s="501"/>
      <c r="OU538" s="501"/>
      <c r="OV538" s="501"/>
      <c r="OW538" s="501"/>
      <c r="OX538" s="501"/>
      <c r="OY538" s="501"/>
      <c r="OZ538" s="501"/>
      <c r="PA538" s="501"/>
      <c r="PB538" s="501"/>
      <c r="PC538" s="501"/>
      <c r="PD538" s="501"/>
      <c r="PE538" s="501"/>
      <c r="PF538" s="501"/>
      <c r="PG538" s="501"/>
      <c r="PH538" s="501"/>
      <c r="PI538" s="501"/>
      <c r="PJ538" s="501"/>
      <c r="PK538" s="501"/>
      <c r="PL538" s="501"/>
      <c r="PM538" s="501"/>
      <c r="PN538" s="501"/>
      <c r="PO538" s="501"/>
      <c r="PP538" s="501"/>
      <c r="PQ538" s="501"/>
      <c r="PR538" s="501"/>
      <c r="PS538" s="501"/>
      <c r="PT538" s="501"/>
      <c r="PU538" s="501"/>
      <c r="PV538" s="501"/>
      <c r="PW538" s="501"/>
      <c r="PX538" s="501"/>
      <c r="PY538" s="501"/>
      <c r="PZ538" s="501"/>
      <c r="QA538" s="501"/>
      <c r="QB538" s="501"/>
      <c r="QC538" s="501"/>
      <c r="QD538" s="501"/>
      <c r="QE538" s="501"/>
      <c r="QF538" s="501"/>
      <c r="QG538" s="501"/>
      <c r="QH538" s="501"/>
      <c r="QI538" s="501"/>
      <c r="QJ538" s="501"/>
      <c r="QK538" s="501"/>
      <c r="QL538" s="501"/>
      <c r="QM538" s="501"/>
      <c r="QN538" s="501"/>
      <c r="QO538" s="501"/>
      <c r="QP538" s="501"/>
      <c r="QQ538" s="501"/>
      <c r="QR538" s="501"/>
      <c r="QS538" s="501"/>
      <c r="QT538" s="501"/>
      <c r="QU538" s="501"/>
      <c r="QV538" s="501"/>
      <c r="QW538" s="501"/>
      <c r="QX538" s="501"/>
      <c r="QY538" s="501"/>
      <c r="QZ538" s="501"/>
      <c r="RA538" s="501"/>
      <c r="RB538" s="501"/>
      <c r="RC538" s="501"/>
      <c r="RD538" s="501"/>
      <c r="RE538" s="501"/>
      <c r="RF538" s="501"/>
      <c r="RG538" s="501"/>
      <c r="RH538" s="501"/>
      <c r="RI538" s="501"/>
      <c r="RJ538" s="501"/>
      <c r="RK538" s="501"/>
      <c r="RL538" s="501"/>
      <c r="RM538" s="501"/>
      <c r="RN538" s="501"/>
      <c r="RO538" s="501"/>
      <c r="RP538" s="501"/>
      <c r="RQ538" s="501"/>
      <c r="RR538" s="501"/>
      <c r="RS538" s="501"/>
      <c r="RT538" s="501"/>
      <c r="RU538" s="501"/>
      <c r="RV538" s="501"/>
      <c r="RW538" s="501"/>
      <c r="RX538" s="501"/>
      <c r="RY538" s="501"/>
      <c r="RZ538" s="501"/>
      <c r="SA538" s="501"/>
      <c r="SB538" s="501"/>
      <c r="SC538" s="501"/>
      <c r="SD538" s="501"/>
      <c r="SE538" s="501"/>
      <c r="SF538" s="501"/>
      <c r="SG538" s="501"/>
      <c r="SH538" s="501"/>
      <c r="SI538" s="501"/>
      <c r="SJ538" s="501"/>
      <c r="SK538" s="501"/>
      <c r="SL538" s="501"/>
      <c r="SM538" s="501"/>
      <c r="SN538" s="501"/>
      <c r="SO538" s="501"/>
      <c r="SP538" s="501"/>
      <c r="SQ538" s="501"/>
      <c r="SR538" s="501"/>
      <c r="SS538" s="501"/>
      <c r="ST538" s="501"/>
      <c r="SU538" s="501"/>
      <c r="SV538" s="501"/>
      <c r="SW538" s="501"/>
      <c r="SX538" s="501"/>
      <c r="SY538" s="501"/>
      <c r="SZ538" s="501"/>
      <c r="TA538" s="501"/>
      <c r="TB538" s="501"/>
      <c r="TC538" s="501"/>
      <c r="TD538" s="501"/>
      <c r="TE538" s="501"/>
      <c r="TF538" s="501"/>
      <c r="TG538" s="501"/>
      <c r="TH538" s="501"/>
      <c r="TI538" s="501"/>
      <c r="TJ538" s="501"/>
      <c r="TK538" s="501"/>
      <c r="TL538" s="501"/>
      <c r="TM538" s="501"/>
      <c r="TN538" s="501"/>
      <c r="TO538" s="501"/>
      <c r="TP538" s="501"/>
      <c r="TQ538" s="501"/>
      <c r="TR538" s="501"/>
      <c r="TS538" s="501"/>
      <c r="TT538" s="501"/>
      <c r="TU538" s="501"/>
      <c r="TV538" s="501"/>
      <c r="TW538" s="501"/>
      <c r="TX538" s="501"/>
      <c r="TY538" s="501"/>
      <c r="TZ538" s="501"/>
      <c r="UA538" s="501"/>
      <c r="UB538" s="501"/>
      <c r="UC538" s="501"/>
      <c r="UD538" s="501"/>
      <c r="UE538" s="501"/>
      <c r="UF538" s="501"/>
      <c r="UG538" s="501"/>
      <c r="UH538" s="501"/>
      <c r="UI538" s="501"/>
      <c r="UJ538" s="501"/>
      <c r="UK538" s="501"/>
      <c r="UL538" s="501"/>
      <c r="UM538" s="501"/>
      <c r="UN538" s="501"/>
      <c r="UO538" s="501"/>
      <c r="UP538" s="501"/>
      <c r="UQ538" s="501"/>
      <c r="UR538" s="501"/>
      <c r="US538" s="501"/>
      <c r="UT538" s="501"/>
      <c r="UU538" s="501"/>
      <c r="UV538" s="501"/>
      <c r="UW538" s="501"/>
      <c r="UX538" s="501"/>
      <c r="UY538" s="501"/>
      <c r="UZ538" s="501"/>
      <c r="VA538" s="501"/>
      <c r="VB538" s="501"/>
      <c r="VC538" s="501"/>
      <c r="VD538" s="501"/>
      <c r="VE538" s="501"/>
      <c r="VF538" s="501"/>
      <c r="VG538" s="501"/>
      <c r="VH538" s="501"/>
      <c r="VI538" s="501"/>
      <c r="VJ538" s="501"/>
      <c r="VK538" s="501"/>
      <c r="VL538" s="501"/>
      <c r="VM538" s="501"/>
      <c r="VN538" s="501"/>
      <c r="VO538" s="501"/>
      <c r="VP538" s="501"/>
      <c r="VQ538" s="501"/>
      <c r="VR538" s="501"/>
      <c r="VS538" s="501"/>
      <c r="VT538" s="501"/>
      <c r="VU538" s="501"/>
      <c r="VV538" s="501"/>
      <c r="VW538" s="501"/>
      <c r="VX538" s="501"/>
      <c r="VY538" s="501"/>
      <c r="VZ538" s="501"/>
      <c r="WA538" s="501"/>
      <c r="WB538" s="501"/>
      <c r="WC538" s="501"/>
      <c r="WD538" s="501"/>
      <c r="WE538" s="501"/>
      <c r="WF538" s="501"/>
      <c r="WG538" s="501"/>
      <c r="WH538" s="501"/>
      <c r="WI538" s="501"/>
      <c r="WJ538" s="501"/>
      <c r="WK538" s="501"/>
      <c r="WL538" s="501"/>
      <c r="WM538" s="501"/>
      <c r="WN538" s="501"/>
      <c r="WO538" s="501"/>
      <c r="WP538" s="501"/>
      <c r="WQ538" s="501"/>
      <c r="WR538" s="501"/>
      <c r="WS538" s="501"/>
      <c r="WT538" s="501"/>
      <c r="WU538" s="501"/>
      <c r="WV538" s="501"/>
      <c r="WW538" s="501"/>
      <c r="WX538" s="501"/>
      <c r="WY538" s="501"/>
      <c r="WZ538" s="501"/>
      <c r="XA538" s="501"/>
      <c r="XB538" s="501"/>
      <c r="XC538" s="501"/>
      <c r="XD538" s="501"/>
      <c r="XE538" s="501"/>
      <c r="XF538" s="501"/>
      <c r="XG538" s="501"/>
      <c r="XH538" s="501"/>
      <c r="XI538" s="501"/>
      <c r="XJ538" s="501"/>
      <c r="XK538" s="501"/>
      <c r="XL538" s="501"/>
      <c r="XM538" s="501"/>
      <c r="XN538" s="501"/>
      <c r="XO538" s="501"/>
      <c r="XP538" s="501"/>
      <c r="XQ538" s="501"/>
      <c r="XR538" s="501"/>
      <c r="XS538" s="501"/>
      <c r="XT538" s="501"/>
      <c r="XU538" s="501"/>
      <c r="XV538" s="501"/>
      <c r="XW538" s="501"/>
      <c r="XX538" s="501"/>
      <c r="XY538" s="501"/>
      <c r="XZ538" s="501"/>
      <c r="YA538" s="501"/>
      <c r="YB538" s="501"/>
      <c r="YC538" s="501"/>
      <c r="YD538" s="501"/>
      <c r="YE538" s="501"/>
      <c r="YF538" s="501"/>
      <c r="YG538" s="501"/>
      <c r="YH538" s="501"/>
      <c r="YI538" s="501"/>
      <c r="YJ538" s="501"/>
      <c r="YK538" s="501"/>
      <c r="YL538" s="501"/>
      <c r="YM538" s="501"/>
      <c r="YN538" s="501"/>
      <c r="YO538" s="501"/>
      <c r="YP538" s="501"/>
      <c r="YQ538" s="501"/>
      <c r="YR538" s="501"/>
      <c r="YS538" s="501"/>
      <c r="YT538" s="501"/>
      <c r="YU538" s="501"/>
      <c r="YV538" s="501"/>
      <c r="YW538" s="501"/>
      <c r="YX538" s="501"/>
      <c r="YY538" s="501"/>
      <c r="YZ538" s="501"/>
      <c r="ZA538" s="501"/>
      <c r="ZB538" s="501"/>
      <c r="ZC538" s="501"/>
      <c r="ZD538" s="501"/>
      <c r="ZE538" s="501"/>
      <c r="ZF538" s="501"/>
      <c r="ZG538" s="501"/>
      <c r="ZH538" s="501"/>
      <c r="ZI538" s="501"/>
      <c r="ZJ538" s="501"/>
      <c r="ZK538" s="501"/>
      <c r="ZL538" s="501"/>
      <c r="ZM538" s="501"/>
      <c r="ZN538" s="501"/>
      <c r="ZO538" s="501"/>
      <c r="ZP538" s="501"/>
      <c r="ZQ538" s="501"/>
      <c r="ZR538" s="501"/>
      <c r="ZS538" s="501"/>
      <c r="ZT538" s="501"/>
      <c r="ZU538" s="501"/>
      <c r="ZV538" s="501"/>
      <c r="ZW538" s="501"/>
      <c r="ZX538" s="501"/>
      <c r="ZY538" s="501"/>
      <c r="ZZ538" s="501"/>
      <c r="AAA538" s="501"/>
      <c r="AAB538" s="501"/>
      <c r="AAC538" s="501"/>
      <c r="AAD538" s="501"/>
      <c r="AAE538" s="501"/>
      <c r="AAF538" s="501"/>
      <c r="AAG538" s="501"/>
      <c r="AAH538" s="501"/>
      <c r="AAI538" s="501"/>
      <c r="AAJ538" s="501"/>
      <c r="AAK538" s="501"/>
      <c r="AAL538" s="501"/>
      <c r="AAM538" s="501"/>
      <c r="AAN538" s="501"/>
      <c r="AAO538" s="501"/>
      <c r="AAP538" s="501"/>
      <c r="AAQ538" s="501"/>
      <c r="AAR538" s="501"/>
      <c r="AAS538" s="501"/>
      <c r="AAT538" s="501"/>
      <c r="AAU538" s="501"/>
      <c r="AAV538" s="501"/>
      <c r="AAW538" s="501"/>
      <c r="AAX538" s="501"/>
      <c r="AAY538" s="501"/>
      <c r="AAZ538" s="501"/>
      <c r="ABA538" s="501"/>
      <c r="ABB538" s="501"/>
      <c r="ABC538" s="501"/>
      <c r="ABD538" s="501"/>
      <c r="ABE538" s="501"/>
      <c r="ABF538" s="501"/>
      <c r="ABG538" s="501"/>
      <c r="ABH538" s="501"/>
      <c r="ABI538" s="501"/>
      <c r="ABJ538" s="501"/>
      <c r="ABK538" s="501"/>
      <c r="ABL538" s="501"/>
      <c r="ABM538" s="501"/>
      <c r="ABN538" s="501"/>
      <c r="ABO538" s="501"/>
      <c r="ABP538" s="501"/>
      <c r="ABQ538" s="501"/>
      <c r="ABR538" s="501"/>
      <c r="ABS538" s="501"/>
      <c r="ABT538" s="501"/>
      <c r="ABU538" s="501"/>
      <c r="ABV538" s="501"/>
      <c r="ABW538" s="501"/>
      <c r="ABX538" s="501"/>
      <c r="ABY538" s="501"/>
      <c r="ABZ538" s="501"/>
      <c r="ACA538" s="501"/>
      <c r="ACB538" s="501"/>
      <c r="ACC538" s="501"/>
      <c r="ACD538" s="501"/>
      <c r="ACE538" s="501"/>
      <c r="ACF538" s="501"/>
      <c r="ACG538" s="501"/>
      <c r="ACH538" s="501"/>
      <c r="ACI538" s="501"/>
      <c r="ACJ538" s="501"/>
      <c r="ACK538" s="501"/>
      <c r="ACL538" s="501"/>
      <c r="ACM538" s="501"/>
      <c r="ACN538" s="501"/>
      <c r="ACO538" s="501"/>
      <c r="ACP538" s="501"/>
      <c r="ACQ538" s="501"/>
      <c r="ACR538" s="501"/>
      <c r="ACS538" s="501"/>
      <c r="ACT538" s="501"/>
      <c r="ACU538" s="501"/>
      <c r="ACV538" s="501"/>
      <c r="ACW538" s="501"/>
      <c r="ACX538" s="501"/>
      <c r="ACY538" s="501"/>
      <c r="ACZ538" s="501"/>
      <c r="ADA538" s="501"/>
      <c r="ADB538" s="501"/>
      <c r="ADC538" s="501"/>
      <c r="ADD538" s="501"/>
      <c r="ADE538" s="501"/>
      <c r="ADF538" s="501"/>
      <c r="ADG538" s="501"/>
      <c r="ADH538" s="501"/>
      <c r="ADI538" s="501"/>
      <c r="ADJ538" s="501"/>
      <c r="ADK538" s="501"/>
      <c r="ADL538" s="501"/>
      <c r="ADM538" s="501"/>
      <c r="ADN538" s="501"/>
      <c r="ADO538" s="501"/>
      <c r="ADP538" s="501"/>
      <c r="ADQ538" s="501"/>
      <c r="ADR538" s="501"/>
      <c r="ADS538" s="501"/>
      <c r="ADT538" s="501"/>
      <c r="ADU538" s="501"/>
      <c r="ADV538" s="501"/>
      <c r="ADW538" s="501"/>
      <c r="ADX538" s="501"/>
      <c r="ADY538" s="501"/>
      <c r="ADZ538" s="501"/>
      <c r="AEA538" s="501"/>
      <c r="AEB538" s="501"/>
      <c r="AEC538" s="501"/>
      <c r="AED538" s="501"/>
      <c r="AEE538" s="501"/>
      <c r="AEF538" s="501"/>
      <c r="AEG538" s="501"/>
      <c r="AEH538" s="501"/>
      <c r="AEI538" s="501"/>
      <c r="AEJ538" s="501"/>
      <c r="AEK538" s="501"/>
      <c r="AEL538" s="501"/>
      <c r="AEM538" s="501"/>
      <c r="AEN538" s="501"/>
      <c r="AEO538" s="501"/>
      <c r="AEP538" s="501"/>
      <c r="AEQ538" s="501"/>
      <c r="AER538" s="501"/>
      <c r="AES538" s="501"/>
      <c r="AET538" s="501"/>
      <c r="AEU538" s="501"/>
      <c r="AEV538" s="501"/>
      <c r="AEW538" s="501"/>
      <c r="AEX538" s="501"/>
      <c r="AEY538" s="501"/>
      <c r="AEZ538" s="501"/>
      <c r="AFA538" s="501"/>
      <c r="AFB538" s="501"/>
      <c r="AFC538" s="501"/>
      <c r="AFD538" s="501"/>
      <c r="AFE538" s="501"/>
      <c r="AFF538" s="501"/>
      <c r="AFG538" s="501"/>
      <c r="AFH538" s="501"/>
      <c r="AFI538" s="501"/>
      <c r="AFJ538" s="501"/>
      <c r="AFK538" s="501"/>
      <c r="AFL538" s="501"/>
      <c r="AFM538" s="501"/>
      <c r="AFN538" s="501"/>
      <c r="AFO538" s="501"/>
      <c r="AFP538" s="501"/>
      <c r="AFQ538" s="501"/>
      <c r="AFR538" s="501"/>
      <c r="AFS538" s="501"/>
      <c r="AFT538" s="501"/>
      <c r="AFU538" s="501"/>
      <c r="AFV538" s="501"/>
      <c r="AFW538" s="501"/>
      <c r="AFX538" s="501"/>
      <c r="AFY538" s="501"/>
      <c r="AFZ538" s="501"/>
      <c r="AGA538" s="501"/>
      <c r="AGB538" s="501"/>
      <c r="AGC538" s="501"/>
      <c r="AGD538" s="501"/>
      <c r="AGE538" s="501"/>
      <c r="AGF538" s="501"/>
      <c r="AGG538" s="501"/>
      <c r="AGH538" s="501"/>
      <c r="AGI538" s="501"/>
      <c r="AGJ538" s="501"/>
      <c r="AGK538" s="501"/>
      <c r="AGL538" s="501"/>
      <c r="AGM538" s="501"/>
      <c r="AGN538" s="501"/>
      <c r="AGO538" s="501"/>
      <c r="AGP538" s="501"/>
      <c r="AGQ538" s="501"/>
      <c r="AGR538" s="501"/>
      <c r="AGS538" s="501"/>
      <c r="AGT538" s="501"/>
      <c r="AGU538" s="501"/>
      <c r="AGV538" s="501"/>
      <c r="AGW538" s="501"/>
      <c r="AGX538" s="501"/>
      <c r="AGY538" s="501"/>
      <c r="AGZ538" s="501"/>
      <c r="AHA538" s="501"/>
      <c r="AHB538" s="501"/>
      <c r="AHC538" s="501"/>
      <c r="AHD538" s="501"/>
      <c r="AHE538" s="501"/>
      <c r="AHF538" s="501"/>
      <c r="AHG538" s="501"/>
      <c r="AHH538" s="501"/>
      <c r="AHI538" s="501"/>
      <c r="AHJ538" s="501"/>
      <c r="AHK538" s="501"/>
      <c r="AHL538" s="501"/>
      <c r="AHM538" s="501"/>
      <c r="AHN538" s="501"/>
      <c r="AHO538" s="501"/>
      <c r="AHP538" s="501"/>
      <c r="AHQ538" s="501"/>
      <c r="AHR538" s="501"/>
      <c r="AHS538" s="501"/>
      <c r="AHT538" s="501"/>
      <c r="AHU538" s="501"/>
      <c r="AHV538" s="501"/>
      <c r="AHW538" s="501"/>
      <c r="AHX538" s="501"/>
      <c r="AHY538" s="501"/>
      <c r="AHZ538" s="501"/>
      <c r="AIA538" s="501"/>
      <c r="AIB538" s="501"/>
      <c r="AIC538" s="501"/>
      <c r="AID538" s="501"/>
      <c r="AIE538" s="501"/>
      <c r="AIF538" s="501"/>
      <c r="AIG538" s="501"/>
      <c r="AIH538" s="501"/>
      <c r="AII538" s="501"/>
      <c r="AIJ538" s="501"/>
      <c r="AIK538" s="501"/>
      <c r="AIL538" s="501"/>
      <c r="AIM538" s="501"/>
      <c r="AIN538" s="501"/>
      <c r="AIO538" s="501"/>
      <c r="AIP538" s="501"/>
      <c r="AIQ538" s="501"/>
      <c r="AIR538" s="501"/>
      <c r="AIS538" s="501"/>
      <c r="AIT538" s="501"/>
      <c r="AIU538" s="501"/>
      <c r="AIV538" s="501"/>
      <c r="AIW538" s="501"/>
      <c r="AIX538" s="501"/>
      <c r="AIY538" s="501"/>
      <c r="AIZ538" s="501"/>
      <c r="AJA538" s="501"/>
      <c r="AJB538" s="501"/>
      <c r="AJC538" s="501"/>
      <c r="AJD538" s="501"/>
      <c r="AJE538" s="501"/>
      <c r="AJF538" s="501"/>
      <c r="AJG538" s="501"/>
      <c r="AJH538" s="501"/>
      <c r="AJI538" s="501"/>
      <c r="AJJ538" s="501"/>
      <c r="AJK538" s="501"/>
      <c r="AJL538" s="501"/>
      <c r="AJM538" s="501"/>
      <c r="AJN538" s="501"/>
      <c r="AJO538" s="501"/>
      <c r="AJP538" s="501"/>
      <c r="AJQ538" s="501"/>
      <c r="AJR538" s="501"/>
      <c r="AJS538" s="501"/>
      <c r="AJT538" s="501"/>
      <c r="AJU538" s="501"/>
      <c r="AJV538" s="501"/>
      <c r="AJW538" s="501"/>
      <c r="AJX538" s="501"/>
      <c r="AJY538" s="501"/>
      <c r="AJZ538" s="501"/>
      <c r="AKA538" s="501"/>
      <c r="AKB538" s="501"/>
      <c r="AKC538" s="501"/>
      <c r="AKD538" s="501"/>
      <c r="AKE538" s="501"/>
      <c r="AKF538" s="501"/>
      <c r="AKG538" s="501"/>
      <c r="AKH538" s="501"/>
      <c r="AKI538" s="501"/>
      <c r="AKJ538" s="501"/>
      <c r="AKK538" s="501"/>
      <c r="AKL538" s="501"/>
      <c r="AKM538" s="501"/>
      <c r="AKN538" s="501"/>
      <c r="AKO538" s="501"/>
      <c r="AKP538" s="501"/>
      <c r="AKQ538" s="501"/>
      <c r="AKR538" s="501"/>
      <c r="AKS538" s="501"/>
      <c r="AKT538" s="501"/>
      <c r="AKU538" s="501"/>
      <c r="AKV538" s="501"/>
      <c r="AKW538" s="501"/>
      <c r="AKX538" s="501"/>
      <c r="AKY538" s="501"/>
      <c r="AKZ538" s="501"/>
      <c r="ALA538" s="501"/>
      <c r="ALB538" s="501"/>
      <c r="ALC538" s="501"/>
      <c r="ALD538" s="501"/>
      <c r="ALE538" s="501"/>
      <c r="ALF538" s="501"/>
      <c r="ALG538" s="501"/>
      <c r="ALH538" s="501"/>
      <c r="ALI538" s="501"/>
      <c r="ALJ538" s="501"/>
      <c r="ALK538" s="501"/>
      <c r="ALL538" s="501"/>
      <c r="ALM538" s="501"/>
      <c r="ALN538" s="501"/>
      <c r="ALO538" s="501"/>
      <c r="ALP538" s="501"/>
      <c r="ALQ538" s="501"/>
      <c r="ALR538" s="501"/>
      <c r="ALS538" s="501"/>
      <c r="ALT538" s="501"/>
      <c r="ALU538" s="501"/>
      <c r="ALV538" s="501"/>
      <c r="ALW538" s="501"/>
      <c r="ALX538" s="501"/>
      <c r="ALY538" s="501"/>
      <c r="ALZ538" s="501"/>
      <c r="AMA538" s="501"/>
      <c r="AMB538" s="501"/>
      <c r="AMC538" s="501"/>
      <c r="AMD538" s="501"/>
      <c r="AME538" s="501"/>
      <c r="AMF538" s="501"/>
      <c r="AMG538" s="501"/>
      <c r="AMH538" s="501"/>
      <c r="AMI538" s="501"/>
      <c r="AMJ538" s="501"/>
      <c r="AMK538" s="501"/>
      <c r="AML538" s="501"/>
      <c r="AMM538" s="501"/>
      <c r="AMN538" s="501"/>
      <c r="AMO538" s="501"/>
      <c r="AMP538" s="501"/>
      <c r="AMQ538" s="501"/>
      <c r="AMR538" s="501"/>
      <c r="AMS538" s="501"/>
      <c r="AMT538" s="501"/>
      <c r="AMU538" s="501"/>
      <c r="AMV538" s="501"/>
      <c r="AMW538" s="501"/>
      <c r="AMX538" s="501"/>
      <c r="AMY538" s="501"/>
      <c r="AMZ538" s="501"/>
      <c r="ANA538" s="501"/>
      <c r="ANB538" s="501"/>
      <c r="ANC538" s="501"/>
      <c r="AND538" s="501"/>
      <c r="ANE538" s="501"/>
      <c r="ANF538" s="501"/>
      <c r="ANG538" s="501"/>
      <c r="ANH538" s="501"/>
      <c r="ANI538" s="501"/>
      <c r="ANJ538" s="501"/>
      <c r="ANK538" s="501"/>
      <c r="ANL538" s="501"/>
      <c r="ANM538" s="501"/>
      <c r="ANN538" s="501"/>
      <c r="ANO538" s="501"/>
      <c r="ANP538" s="501"/>
      <c r="ANQ538" s="501"/>
      <c r="ANR538" s="501"/>
      <c r="ANS538" s="501"/>
      <c r="ANT538" s="501"/>
      <c r="ANU538" s="501"/>
      <c r="ANV538" s="501"/>
      <c r="ANW538" s="501"/>
      <c r="ANX538" s="501"/>
      <c r="ANY538" s="501"/>
      <c r="ANZ538" s="501"/>
      <c r="AOA538" s="501"/>
      <c r="AOB538" s="501"/>
      <c r="AOC538" s="501"/>
      <c r="AOD538" s="501"/>
      <c r="AOE538" s="501"/>
      <c r="AOF538" s="501"/>
      <c r="AOG538" s="501"/>
      <c r="AOH538" s="501"/>
      <c r="AOI538" s="501"/>
      <c r="AOJ538" s="501"/>
      <c r="AOK538" s="501"/>
      <c r="AOL538" s="501"/>
      <c r="AOM538" s="501"/>
      <c r="AON538" s="501"/>
      <c r="AOO538" s="501"/>
      <c r="AOP538" s="501"/>
      <c r="AOQ538" s="501"/>
      <c r="AOR538" s="501"/>
      <c r="AOS538" s="501"/>
      <c r="AOT538" s="501"/>
      <c r="AOU538" s="501"/>
      <c r="AOV538" s="501"/>
      <c r="AOW538" s="501"/>
      <c r="AOX538" s="501"/>
      <c r="AOY538" s="501"/>
      <c r="AOZ538" s="501"/>
      <c r="APA538" s="501"/>
      <c r="APB538" s="501"/>
      <c r="APC538" s="501"/>
      <c r="APD538" s="501"/>
      <c r="APE538" s="501"/>
      <c r="APF538" s="501"/>
      <c r="APG538" s="501"/>
      <c r="APH538" s="501"/>
      <c r="API538" s="501"/>
      <c r="APJ538" s="501"/>
      <c r="APK538" s="501"/>
      <c r="APL538" s="501"/>
      <c r="APM538" s="501"/>
      <c r="APN538" s="501"/>
      <c r="APO538" s="501"/>
      <c r="APP538" s="501"/>
      <c r="APQ538" s="501"/>
      <c r="APR538" s="501"/>
      <c r="APS538" s="501"/>
      <c r="APT538" s="501"/>
      <c r="APU538" s="501"/>
      <c r="APV538" s="501"/>
      <c r="APW538" s="501"/>
      <c r="APX538" s="501"/>
      <c r="APY538" s="501"/>
      <c r="APZ538" s="501"/>
      <c r="AQA538" s="501"/>
      <c r="AQB538" s="501"/>
      <c r="AQC538" s="501"/>
      <c r="AQD538" s="501"/>
      <c r="AQE538" s="501"/>
      <c r="AQF538" s="501"/>
      <c r="AQG538" s="501"/>
      <c r="AQH538" s="501"/>
      <c r="AQI538" s="501"/>
      <c r="AQJ538" s="501"/>
      <c r="AQK538" s="501"/>
      <c r="AQL538" s="501"/>
      <c r="AQM538" s="501"/>
      <c r="AQN538" s="501"/>
      <c r="AQO538" s="501"/>
      <c r="AQP538" s="501"/>
      <c r="AQQ538" s="501"/>
      <c r="AQR538" s="501"/>
      <c r="AQS538" s="501"/>
      <c r="AQT538" s="501"/>
      <c r="AQU538" s="501"/>
      <c r="AQV538" s="501"/>
      <c r="AQW538" s="501"/>
      <c r="AQX538" s="501"/>
      <c r="AQY538" s="501"/>
      <c r="AQZ538" s="501"/>
      <c r="ARA538" s="501"/>
      <c r="ARB538" s="501"/>
      <c r="ARC538" s="501"/>
      <c r="ARD538" s="501"/>
      <c r="ARE538" s="501"/>
      <c r="ARF538" s="501"/>
      <c r="ARG538" s="501"/>
      <c r="ARH538" s="501"/>
      <c r="ARI538" s="501"/>
      <c r="ARJ538" s="501"/>
      <c r="ARK538" s="501"/>
      <c r="ARL538" s="501"/>
      <c r="ARM538" s="501"/>
      <c r="ARN538" s="501"/>
      <c r="ARO538" s="501"/>
      <c r="ARP538" s="501"/>
      <c r="ARQ538" s="501"/>
      <c r="ARR538" s="501"/>
      <c r="ARS538" s="501"/>
      <c r="ART538" s="501"/>
      <c r="ARU538" s="501"/>
      <c r="ARV538" s="501"/>
      <c r="ARW538" s="501"/>
      <c r="ARX538" s="501"/>
      <c r="ARY538" s="501"/>
      <c r="ARZ538" s="501"/>
      <c r="ASA538" s="501"/>
      <c r="ASB538" s="501"/>
      <c r="ASC538" s="501"/>
      <c r="ASD538" s="501"/>
      <c r="ASE538" s="501"/>
      <c r="ASF538" s="501"/>
      <c r="ASG538" s="501"/>
      <c r="ASH538" s="501"/>
      <c r="ASI538" s="501"/>
      <c r="ASJ538" s="501"/>
      <c r="ASK538" s="501"/>
      <c r="ASL538" s="501"/>
      <c r="ASM538" s="501"/>
      <c r="ASN538" s="501"/>
      <c r="ASO538" s="501"/>
      <c r="ASP538" s="501"/>
      <c r="ASQ538" s="501"/>
      <c r="ASR538" s="501"/>
      <c r="ASS538" s="501"/>
      <c r="AST538" s="501"/>
      <c r="ASU538" s="501"/>
      <c r="ASV538" s="501"/>
      <c r="ASW538" s="501"/>
      <c r="ASX538" s="501"/>
      <c r="ASY538" s="501"/>
      <c r="ASZ538" s="501"/>
      <c r="ATA538" s="501"/>
      <c r="ATB538" s="501"/>
      <c r="ATC538" s="501"/>
      <c r="ATD538" s="501"/>
      <c r="ATE538" s="501"/>
      <c r="ATF538" s="501"/>
      <c r="ATG538" s="501"/>
      <c r="ATH538" s="501"/>
      <c r="ATI538" s="501"/>
      <c r="ATJ538" s="501"/>
      <c r="ATK538" s="501"/>
      <c r="ATL538" s="501"/>
      <c r="ATM538" s="501"/>
      <c r="ATN538" s="501"/>
      <c r="ATO538" s="501"/>
      <c r="ATP538" s="501"/>
      <c r="ATQ538" s="501"/>
      <c r="ATR538" s="501"/>
      <c r="ATS538" s="501"/>
      <c r="ATT538" s="501"/>
      <c r="ATU538" s="501"/>
      <c r="ATV538" s="501"/>
      <c r="ATW538" s="501"/>
      <c r="ATX538" s="501"/>
      <c r="ATY538" s="501"/>
      <c r="ATZ538" s="501"/>
      <c r="AUA538" s="501"/>
      <c r="AUB538" s="501"/>
      <c r="AUC538" s="501"/>
      <c r="AUD538" s="501"/>
      <c r="AUE538" s="501"/>
      <c r="AUF538" s="501"/>
      <c r="AUG538" s="501"/>
      <c r="AUH538" s="501"/>
      <c r="AUI538" s="501"/>
      <c r="AUJ538" s="501"/>
      <c r="AUK538" s="501"/>
      <c r="AUL538" s="501"/>
      <c r="AUM538" s="501"/>
      <c r="AUN538" s="501"/>
      <c r="AUO538" s="501"/>
      <c r="AUP538" s="501"/>
      <c r="AUQ538" s="501"/>
      <c r="AUR538" s="501"/>
      <c r="AUS538" s="501"/>
      <c r="AUT538" s="501"/>
      <c r="AUU538" s="501"/>
      <c r="AUV538" s="501"/>
      <c r="AUW538" s="501"/>
      <c r="AUX538" s="501"/>
      <c r="AUY538" s="501"/>
      <c r="AUZ538" s="501"/>
      <c r="AVA538" s="501"/>
      <c r="AVB538" s="501"/>
      <c r="AVC538" s="501"/>
      <c r="AVD538" s="501"/>
      <c r="AVE538" s="501"/>
      <c r="AVF538" s="501"/>
      <c r="AVG538" s="501"/>
      <c r="AVH538" s="501"/>
      <c r="AVI538" s="501"/>
      <c r="AVJ538" s="501"/>
      <c r="AVK538" s="501"/>
      <c r="AVL538" s="501"/>
      <c r="AVM538" s="501"/>
      <c r="AVN538" s="501"/>
      <c r="AVO538" s="501"/>
      <c r="AVP538" s="501"/>
      <c r="AVQ538" s="501"/>
      <c r="AVR538" s="501"/>
      <c r="AVS538" s="501"/>
      <c r="AVT538" s="501"/>
      <c r="AVU538" s="501"/>
      <c r="AVV538" s="501"/>
      <c r="AVW538" s="501"/>
      <c r="AVX538" s="501"/>
      <c r="AVY538" s="501"/>
      <c r="AVZ538" s="501"/>
      <c r="AWA538" s="501"/>
      <c r="AWB538" s="501"/>
      <c r="AWC538" s="501"/>
      <c r="AWD538" s="501"/>
      <c r="AWE538" s="501"/>
      <c r="AWF538" s="501"/>
      <c r="AWG538" s="501"/>
      <c r="AWH538" s="501"/>
      <c r="AWI538" s="501"/>
      <c r="AWJ538" s="501"/>
      <c r="AWK538" s="501"/>
      <c r="AWL538" s="501"/>
      <c r="AWM538" s="501"/>
      <c r="AWN538" s="501"/>
      <c r="AWO538" s="501"/>
      <c r="AWP538" s="501"/>
      <c r="AWQ538" s="501"/>
      <c r="AWR538" s="501"/>
      <c r="AWS538" s="501"/>
      <c r="AWT538" s="501"/>
      <c r="AWU538" s="501"/>
      <c r="AWV538" s="501"/>
      <c r="AWW538" s="501"/>
      <c r="AWX538" s="501"/>
      <c r="AWY538" s="501"/>
      <c r="AWZ538" s="501"/>
      <c r="AXA538" s="501"/>
      <c r="AXB538" s="501"/>
      <c r="AXC538" s="501"/>
      <c r="AXD538" s="501"/>
      <c r="AXE538" s="501"/>
      <c r="AXF538" s="501"/>
      <c r="AXG538" s="501"/>
      <c r="AXH538" s="501"/>
      <c r="AXI538" s="501"/>
      <c r="AXJ538" s="501"/>
      <c r="AXK538" s="501"/>
      <c r="AXL538" s="501"/>
      <c r="AXM538" s="501"/>
      <c r="AXN538" s="501"/>
      <c r="AXO538" s="501"/>
      <c r="AXP538" s="501"/>
      <c r="AXQ538" s="501"/>
      <c r="AXR538" s="501"/>
      <c r="AXS538" s="501"/>
      <c r="AXT538" s="501"/>
      <c r="AXU538" s="501"/>
      <c r="AXV538" s="501"/>
      <c r="AXW538" s="501"/>
      <c r="AXX538" s="501"/>
      <c r="AXY538" s="501"/>
      <c r="AXZ538" s="501"/>
      <c r="AYA538" s="501"/>
      <c r="AYB538" s="501"/>
      <c r="AYC538" s="501"/>
      <c r="AYD538" s="501"/>
      <c r="AYE538" s="501"/>
      <c r="AYF538" s="501"/>
      <c r="AYG538" s="501"/>
      <c r="AYH538" s="501"/>
      <c r="AYI538" s="501"/>
      <c r="AYJ538" s="501"/>
      <c r="AYK538" s="501"/>
      <c r="AYL538" s="501"/>
      <c r="AYM538" s="501"/>
      <c r="AYN538" s="501"/>
      <c r="AYO538" s="501"/>
      <c r="AYP538" s="501"/>
      <c r="AYQ538" s="501"/>
      <c r="AYR538" s="501"/>
      <c r="AYS538" s="501"/>
      <c r="AYT538" s="501"/>
      <c r="AYU538" s="501"/>
      <c r="AYV538" s="501"/>
      <c r="AYW538" s="501"/>
      <c r="AYX538" s="501"/>
      <c r="AYY538" s="501"/>
      <c r="AYZ538" s="501"/>
      <c r="AZA538" s="501"/>
      <c r="AZB538" s="501"/>
      <c r="AZC538" s="501"/>
      <c r="AZD538" s="501"/>
      <c r="AZE538" s="501"/>
      <c r="AZF538" s="501"/>
      <c r="AZG538" s="501"/>
      <c r="AZH538" s="501"/>
      <c r="AZI538" s="501"/>
      <c r="AZJ538" s="501"/>
      <c r="AZK538" s="501"/>
      <c r="AZL538" s="501"/>
      <c r="AZM538" s="501"/>
      <c r="AZN538" s="501"/>
      <c r="AZO538" s="501"/>
      <c r="AZP538" s="501"/>
      <c r="AZQ538" s="501"/>
      <c r="AZR538" s="501"/>
      <c r="AZS538" s="501"/>
      <c r="AZT538" s="501"/>
      <c r="AZU538" s="501"/>
      <c r="AZV538" s="501"/>
      <c r="AZW538" s="501"/>
      <c r="AZX538" s="501"/>
      <c r="AZY538" s="501"/>
      <c r="AZZ538" s="501"/>
      <c r="BAA538" s="501"/>
      <c r="BAB538" s="501"/>
      <c r="BAC538" s="501"/>
      <c r="BAD538" s="501"/>
      <c r="BAE538" s="501"/>
      <c r="BAF538" s="501"/>
      <c r="BAG538" s="501"/>
      <c r="BAH538" s="501"/>
      <c r="BAI538" s="501"/>
      <c r="BAJ538" s="501"/>
      <c r="BAK538" s="501"/>
      <c r="BAL538" s="501"/>
      <c r="BAM538" s="501"/>
      <c r="BAN538" s="501"/>
      <c r="BAO538" s="501"/>
      <c r="BAP538" s="501"/>
      <c r="BAQ538" s="501"/>
      <c r="BAR538" s="501"/>
      <c r="BAS538" s="501"/>
      <c r="BAT538" s="501"/>
      <c r="BAU538" s="501"/>
      <c r="BAV538" s="501"/>
      <c r="BAW538" s="501"/>
      <c r="BAX538" s="501"/>
      <c r="BAY538" s="501"/>
      <c r="BAZ538" s="501"/>
      <c r="BBA538" s="501"/>
      <c r="BBB538" s="501"/>
      <c r="BBC538" s="501"/>
      <c r="BBD538" s="501"/>
      <c r="BBE538" s="501"/>
      <c r="BBF538" s="501"/>
      <c r="BBG538" s="501"/>
      <c r="BBH538" s="501"/>
      <c r="BBI538" s="501"/>
      <c r="BBJ538" s="501"/>
      <c r="BBK538" s="501"/>
      <c r="BBL538" s="501"/>
      <c r="BBM538" s="501"/>
      <c r="BBN538" s="501"/>
      <c r="BBO538" s="501"/>
      <c r="BBP538" s="501"/>
      <c r="BBQ538" s="501"/>
      <c r="BBR538" s="501"/>
      <c r="BBS538" s="501"/>
      <c r="BBT538" s="501"/>
      <c r="BBU538" s="501"/>
      <c r="BBV538" s="501"/>
      <c r="BBW538" s="501"/>
      <c r="BBX538" s="501"/>
      <c r="BBY538" s="501"/>
      <c r="BBZ538" s="501"/>
      <c r="BCA538" s="501"/>
      <c r="BCB538" s="501"/>
      <c r="BCC538" s="501"/>
      <c r="BCD538" s="501"/>
      <c r="BCE538" s="501"/>
      <c r="BCF538" s="501"/>
      <c r="BCG538" s="501"/>
      <c r="BCH538" s="501"/>
      <c r="BCI538" s="501"/>
      <c r="BCJ538" s="501"/>
      <c r="BCK538" s="501"/>
      <c r="BCL538" s="501"/>
      <c r="BCM538" s="501"/>
      <c r="BCN538" s="501"/>
      <c r="BCO538" s="501"/>
      <c r="BCP538" s="501"/>
      <c r="BCQ538" s="501"/>
      <c r="BCR538" s="501"/>
      <c r="BCS538" s="501"/>
      <c r="BCT538" s="501"/>
      <c r="BCU538" s="501"/>
      <c r="BCV538" s="501"/>
      <c r="BCW538" s="501"/>
      <c r="BCX538" s="501"/>
      <c r="BCY538" s="501"/>
      <c r="BCZ538" s="501"/>
      <c r="BDA538" s="501"/>
      <c r="BDB538" s="501"/>
      <c r="BDC538" s="501"/>
      <c r="BDD538" s="501"/>
      <c r="BDE538" s="501"/>
      <c r="BDF538" s="501"/>
      <c r="BDG538" s="501"/>
      <c r="BDH538" s="501"/>
      <c r="BDI538" s="501"/>
      <c r="BDJ538" s="501"/>
      <c r="BDK538" s="501"/>
      <c r="BDL538" s="501"/>
      <c r="BDM538" s="501"/>
      <c r="BDN538" s="501"/>
      <c r="BDO538" s="501"/>
      <c r="BDP538" s="501"/>
      <c r="BDQ538" s="501"/>
      <c r="BDR538" s="501"/>
      <c r="BDS538" s="501"/>
      <c r="BDT538" s="501"/>
      <c r="BDU538" s="501"/>
      <c r="BDV538" s="501"/>
      <c r="BDW538" s="501"/>
      <c r="BDX538" s="501"/>
      <c r="BDY538" s="501"/>
      <c r="BDZ538" s="501"/>
      <c r="BEA538" s="501"/>
      <c r="BEB538" s="501"/>
      <c r="BEC538" s="501"/>
      <c r="BED538" s="501"/>
      <c r="BEE538" s="501"/>
      <c r="BEF538" s="501"/>
      <c r="BEG538" s="501"/>
      <c r="BEH538" s="501"/>
      <c r="BEI538" s="501"/>
      <c r="BEJ538" s="501"/>
      <c r="BEK538" s="501"/>
      <c r="BEL538" s="501"/>
      <c r="BEM538" s="501"/>
      <c r="BEN538" s="501"/>
      <c r="BEO538" s="501"/>
      <c r="BEP538" s="501"/>
      <c r="BEQ538" s="501"/>
      <c r="BER538" s="501"/>
      <c r="BES538" s="501"/>
      <c r="BET538" s="501"/>
      <c r="BEU538" s="501"/>
      <c r="BEV538" s="501"/>
      <c r="BEW538" s="501"/>
      <c r="BEX538" s="501"/>
      <c r="BEY538" s="501"/>
      <c r="BEZ538" s="501"/>
      <c r="BFA538" s="501"/>
      <c r="BFB538" s="501"/>
      <c r="BFC538" s="501"/>
      <c r="BFD538" s="501"/>
      <c r="BFE538" s="501"/>
      <c r="BFF538" s="501"/>
      <c r="BFG538" s="501"/>
      <c r="BFH538" s="501"/>
      <c r="BFI538" s="501"/>
      <c r="BFJ538" s="501"/>
      <c r="BFK538" s="501"/>
      <c r="BFL538" s="501"/>
      <c r="BFM538" s="501"/>
      <c r="BFN538" s="501"/>
      <c r="BFO538" s="501"/>
      <c r="BFP538" s="501"/>
      <c r="BFQ538" s="501"/>
      <c r="BFR538" s="501"/>
      <c r="BFS538" s="501"/>
      <c r="BFT538" s="501"/>
      <c r="BFU538" s="501"/>
      <c r="BFV538" s="501"/>
      <c r="BFW538" s="501"/>
      <c r="BFX538" s="501"/>
      <c r="BFY538" s="501"/>
      <c r="BFZ538" s="501"/>
      <c r="BGA538" s="501"/>
      <c r="BGB538" s="501"/>
      <c r="BGC538" s="501"/>
      <c r="BGD538" s="501"/>
      <c r="BGE538" s="501"/>
      <c r="BGF538" s="501"/>
      <c r="BGG538" s="501"/>
      <c r="BGH538" s="501"/>
      <c r="BGI538" s="501"/>
      <c r="BGJ538" s="501"/>
      <c r="BGK538" s="501"/>
      <c r="BGL538" s="501"/>
      <c r="BGM538" s="501"/>
      <c r="BGN538" s="501"/>
      <c r="BGO538" s="501"/>
      <c r="BGP538" s="501"/>
      <c r="BGQ538" s="501"/>
      <c r="BGR538" s="501"/>
      <c r="BGS538" s="501"/>
      <c r="BGT538" s="501"/>
      <c r="BGU538" s="501"/>
      <c r="BGV538" s="501"/>
      <c r="BGW538" s="501"/>
      <c r="BGX538" s="501"/>
      <c r="BGY538" s="501"/>
      <c r="BGZ538" s="501"/>
      <c r="BHA538" s="501"/>
      <c r="BHB538" s="501"/>
      <c r="BHC538" s="501"/>
      <c r="BHD538" s="501"/>
      <c r="BHE538" s="501"/>
      <c r="BHF538" s="501"/>
      <c r="BHG538" s="501"/>
      <c r="BHH538" s="501"/>
      <c r="BHI538" s="501"/>
      <c r="BHJ538" s="501"/>
      <c r="BHK538" s="501"/>
      <c r="BHL538" s="501"/>
      <c r="BHM538" s="501"/>
      <c r="BHN538" s="501"/>
      <c r="BHO538" s="501"/>
      <c r="BHP538" s="501"/>
      <c r="BHQ538" s="501"/>
      <c r="BHR538" s="501"/>
      <c r="BHS538" s="501"/>
      <c r="BHT538" s="501"/>
      <c r="BHU538" s="501"/>
      <c r="BHV538" s="501"/>
      <c r="BHW538" s="501"/>
      <c r="BHX538" s="501"/>
      <c r="BHY538" s="501"/>
      <c r="BHZ538" s="501"/>
      <c r="BIA538" s="501"/>
      <c r="BIB538" s="501"/>
      <c r="BIC538" s="501"/>
      <c r="BID538" s="501"/>
      <c r="BIE538" s="501"/>
      <c r="BIF538" s="501"/>
      <c r="BIG538" s="501"/>
      <c r="BIH538" s="501"/>
      <c r="BII538" s="501"/>
      <c r="BIJ538" s="501"/>
      <c r="BIK538" s="501"/>
      <c r="BIL538" s="501"/>
      <c r="BIM538" s="501"/>
      <c r="BIN538" s="501"/>
      <c r="BIO538" s="501"/>
      <c r="BIP538" s="501"/>
      <c r="BIQ538" s="501"/>
      <c r="BIR538" s="501"/>
      <c r="BIS538" s="501"/>
      <c r="BIT538" s="501"/>
      <c r="BIU538" s="501"/>
      <c r="BIV538" s="501"/>
      <c r="BIW538" s="501"/>
      <c r="BIX538" s="501"/>
      <c r="BIY538" s="501"/>
      <c r="BIZ538" s="501"/>
      <c r="BJA538" s="501"/>
      <c r="BJB538" s="501"/>
      <c r="BJC538" s="501"/>
      <c r="BJD538" s="501"/>
      <c r="BJE538" s="501"/>
      <c r="BJF538" s="501"/>
      <c r="BJG538" s="501"/>
      <c r="BJH538" s="501"/>
      <c r="BJI538" s="501"/>
      <c r="BJJ538" s="501"/>
      <c r="BJK538" s="501"/>
      <c r="BJL538" s="501"/>
      <c r="BJM538" s="501"/>
      <c r="BJN538" s="501"/>
      <c r="BJO538" s="501"/>
      <c r="BJP538" s="501"/>
      <c r="BJQ538" s="501"/>
      <c r="BJR538" s="501"/>
      <c r="BJS538" s="501"/>
      <c r="BJT538" s="501"/>
      <c r="BJU538" s="501"/>
      <c r="BJV538" s="501"/>
      <c r="BJW538" s="501"/>
      <c r="BJX538" s="501"/>
      <c r="BJY538" s="501"/>
      <c r="BJZ538" s="501"/>
      <c r="BKA538" s="501"/>
      <c r="BKB538" s="501"/>
      <c r="BKC538" s="501"/>
      <c r="BKD538" s="501"/>
      <c r="BKE538" s="501"/>
      <c r="BKF538" s="501"/>
      <c r="BKG538" s="501"/>
      <c r="BKH538" s="501"/>
      <c r="BKI538" s="501"/>
      <c r="BKJ538" s="501"/>
      <c r="BKK538" s="501"/>
      <c r="BKL538" s="501"/>
      <c r="BKM538" s="501"/>
      <c r="BKN538" s="501"/>
      <c r="BKO538" s="501"/>
      <c r="BKP538" s="501"/>
      <c r="BKQ538" s="501"/>
      <c r="BKR538" s="501"/>
      <c r="BKS538" s="501"/>
      <c r="BKT538" s="501"/>
      <c r="BKU538" s="501"/>
      <c r="BKV538" s="501"/>
      <c r="BKW538" s="501"/>
      <c r="BKX538" s="501"/>
      <c r="BKY538" s="501"/>
      <c r="BKZ538" s="501"/>
      <c r="BLA538" s="501"/>
      <c r="BLB538" s="501"/>
      <c r="BLC538" s="501"/>
      <c r="BLD538" s="501"/>
      <c r="BLE538" s="501"/>
      <c r="BLF538" s="501"/>
      <c r="BLG538" s="501"/>
      <c r="BLH538" s="501"/>
      <c r="BLI538" s="501"/>
      <c r="BLJ538" s="501"/>
      <c r="BLK538" s="501"/>
      <c r="BLL538" s="501"/>
      <c r="BLM538" s="501"/>
      <c r="BLN538" s="501"/>
      <c r="BLO538" s="501"/>
      <c r="BLP538" s="501"/>
      <c r="BLQ538" s="501"/>
      <c r="BLR538" s="501"/>
      <c r="BLS538" s="501"/>
      <c r="BLT538" s="501"/>
      <c r="BLU538" s="501"/>
      <c r="BLV538" s="501"/>
      <c r="BLW538" s="501"/>
      <c r="BLX538" s="501"/>
      <c r="BLY538" s="501"/>
      <c r="BLZ538" s="501"/>
      <c r="BMA538" s="501"/>
      <c r="BMB538" s="501"/>
      <c r="BMC538" s="501"/>
      <c r="BMD538" s="501"/>
      <c r="BME538" s="501"/>
      <c r="BMF538" s="501"/>
      <c r="BMG538" s="501"/>
      <c r="BMH538" s="501"/>
      <c r="BMI538" s="501"/>
      <c r="BMJ538" s="501"/>
      <c r="BMK538" s="501"/>
      <c r="BML538" s="501"/>
      <c r="BMM538" s="501"/>
      <c r="BMN538" s="501"/>
      <c r="BMO538" s="501"/>
      <c r="BMP538" s="501"/>
      <c r="BMQ538" s="501"/>
      <c r="BMR538" s="501"/>
      <c r="BMS538" s="501"/>
      <c r="BMT538" s="501"/>
      <c r="BMU538" s="501"/>
      <c r="BMV538" s="501"/>
      <c r="BMW538" s="501"/>
      <c r="BMX538" s="501"/>
      <c r="BMY538" s="501"/>
      <c r="BMZ538" s="501"/>
      <c r="BNA538" s="501"/>
      <c r="BNB538" s="501"/>
      <c r="BNC538" s="501"/>
      <c r="BND538" s="501"/>
      <c r="BNE538" s="501"/>
      <c r="BNF538" s="501"/>
      <c r="BNG538" s="501"/>
      <c r="BNH538" s="501"/>
      <c r="BNI538" s="501"/>
      <c r="BNJ538" s="501"/>
      <c r="BNK538" s="501"/>
      <c r="BNL538" s="501"/>
      <c r="BNM538" s="501"/>
      <c r="BNN538" s="501"/>
      <c r="BNO538" s="501"/>
      <c r="BNP538" s="501"/>
      <c r="BNQ538" s="501"/>
      <c r="BNR538" s="501"/>
      <c r="BNS538" s="501"/>
      <c r="BNT538" s="501"/>
      <c r="BNU538" s="501"/>
      <c r="BNV538" s="501"/>
      <c r="BNW538" s="501"/>
      <c r="BNX538" s="501"/>
      <c r="BNY538" s="501"/>
      <c r="BNZ538" s="501"/>
      <c r="BOA538" s="501"/>
      <c r="BOB538" s="501"/>
      <c r="BOC538" s="501"/>
      <c r="BOD538" s="501"/>
      <c r="BOE538" s="501"/>
      <c r="BOF538" s="501"/>
      <c r="BOG538" s="501"/>
      <c r="BOH538" s="501"/>
      <c r="BOI538" s="501"/>
      <c r="BOJ538" s="501"/>
      <c r="BOK538" s="501"/>
      <c r="BOL538" s="501"/>
      <c r="BOM538" s="501"/>
      <c r="BON538" s="501"/>
      <c r="BOO538" s="501"/>
      <c r="BOP538" s="501"/>
      <c r="BOQ538" s="501"/>
      <c r="BOR538" s="501"/>
      <c r="BOS538" s="501"/>
      <c r="BOT538" s="501"/>
      <c r="BOU538" s="501"/>
      <c r="BOV538" s="501"/>
      <c r="BOW538" s="501"/>
      <c r="BOX538" s="501"/>
      <c r="BOY538" s="501"/>
      <c r="BOZ538" s="501"/>
      <c r="BPA538" s="501"/>
      <c r="BPB538" s="501"/>
      <c r="BPC538" s="501"/>
      <c r="BPD538" s="501"/>
      <c r="BPE538" s="501"/>
      <c r="BPF538" s="501"/>
      <c r="BPG538" s="501"/>
      <c r="BPH538" s="501"/>
      <c r="BPI538" s="501"/>
      <c r="BPJ538" s="501"/>
      <c r="BPK538" s="501"/>
      <c r="BPL538" s="501"/>
      <c r="BPM538" s="501"/>
      <c r="BPN538" s="501"/>
      <c r="BPO538" s="501"/>
      <c r="BPP538" s="501"/>
      <c r="BPQ538" s="501"/>
      <c r="BPR538" s="501"/>
      <c r="BPS538" s="501"/>
      <c r="BPT538" s="501"/>
      <c r="BPU538" s="501"/>
      <c r="BPV538" s="501"/>
      <c r="BPW538" s="501"/>
      <c r="BPX538" s="501"/>
      <c r="BPY538" s="501"/>
      <c r="BPZ538" s="501"/>
      <c r="BQA538" s="501"/>
      <c r="BQB538" s="501"/>
      <c r="BQC538" s="501"/>
      <c r="BQD538" s="501"/>
      <c r="BQE538" s="501"/>
      <c r="BQF538" s="501"/>
      <c r="BQG538" s="501"/>
      <c r="BQH538" s="501"/>
      <c r="BQI538" s="501"/>
      <c r="BQJ538" s="501"/>
      <c r="BQK538" s="501"/>
      <c r="BQL538" s="501"/>
      <c r="BQM538" s="501"/>
      <c r="BQN538" s="501"/>
      <c r="BQO538" s="501"/>
      <c r="BQP538" s="501"/>
      <c r="BQQ538" s="501"/>
      <c r="BQR538" s="501"/>
      <c r="BQS538" s="501"/>
      <c r="BQT538" s="501"/>
      <c r="BQU538" s="501"/>
      <c r="BQV538" s="501"/>
      <c r="BQW538" s="501"/>
      <c r="BQX538" s="501"/>
      <c r="BQY538" s="501"/>
      <c r="BQZ538" s="501"/>
      <c r="BRA538" s="501"/>
      <c r="BRB538" s="501"/>
      <c r="BRC538" s="501"/>
      <c r="BRD538" s="501"/>
      <c r="BRE538" s="501"/>
      <c r="BRF538" s="501"/>
      <c r="BRG538" s="501"/>
      <c r="BRH538" s="501"/>
      <c r="BRI538" s="501"/>
      <c r="BRJ538" s="501"/>
      <c r="BRK538" s="501"/>
      <c r="BRL538" s="501"/>
      <c r="BRM538" s="501"/>
      <c r="BRN538" s="501"/>
      <c r="BRO538" s="501"/>
      <c r="BRP538" s="501"/>
      <c r="BRQ538" s="501"/>
      <c r="BRR538" s="501"/>
      <c r="BRS538" s="501"/>
      <c r="BRT538" s="501"/>
      <c r="BRU538" s="501"/>
      <c r="BRV538" s="501"/>
      <c r="BRW538" s="501"/>
      <c r="BRX538" s="501"/>
      <c r="BRY538" s="501"/>
      <c r="BRZ538" s="501"/>
      <c r="BSA538" s="501"/>
      <c r="BSB538" s="501"/>
      <c r="BSC538" s="501"/>
      <c r="BSD538" s="501"/>
      <c r="BSE538" s="501"/>
      <c r="BSF538" s="501"/>
      <c r="BSG538" s="501"/>
      <c r="BSH538" s="501"/>
      <c r="BSI538" s="501"/>
      <c r="BSJ538" s="501"/>
      <c r="BSK538" s="501"/>
      <c r="BSL538" s="501"/>
      <c r="BSM538" s="501"/>
      <c r="BSN538" s="501"/>
      <c r="BSO538" s="501"/>
      <c r="BSP538" s="501"/>
      <c r="BSQ538" s="501"/>
      <c r="BSR538" s="501"/>
      <c r="BSS538" s="501"/>
      <c r="BST538" s="501"/>
      <c r="BSU538" s="501"/>
      <c r="BSV538" s="501"/>
      <c r="BSW538" s="501"/>
      <c r="BSX538" s="501"/>
      <c r="BSY538" s="501"/>
      <c r="BSZ538" s="501"/>
      <c r="BTA538" s="501"/>
      <c r="BTB538" s="501"/>
      <c r="BTC538" s="501"/>
      <c r="BTD538" s="501"/>
      <c r="BTE538" s="501"/>
      <c r="BTF538" s="501"/>
      <c r="BTG538" s="501"/>
      <c r="BTH538" s="501"/>
      <c r="BTI538" s="501"/>
      <c r="BTJ538" s="501"/>
      <c r="BTK538" s="501"/>
      <c r="BTL538" s="501"/>
      <c r="BTM538" s="501"/>
      <c r="BTN538" s="501"/>
      <c r="BTO538" s="501"/>
      <c r="BTP538" s="501"/>
      <c r="BTQ538" s="501"/>
      <c r="BTR538" s="501"/>
      <c r="BTS538" s="501"/>
      <c r="BTT538" s="501"/>
      <c r="BTU538" s="501"/>
      <c r="BTV538" s="501"/>
      <c r="BTW538" s="501"/>
      <c r="BTX538" s="501"/>
      <c r="BTY538" s="501"/>
      <c r="BTZ538" s="501"/>
      <c r="BUA538" s="501"/>
      <c r="BUB538" s="501"/>
      <c r="BUC538" s="501"/>
      <c r="BUD538" s="501"/>
      <c r="BUE538" s="501"/>
      <c r="BUF538" s="501"/>
      <c r="BUG538" s="501"/>
      <c r="BUH538" s="501"/>
      <c r="BUI538" s="501"/>
      <c r="BUJ538" s="501"/>
      <c r="BUK538" s="501"/>
      <c r="BUL538" s="501"/>
      <c r="BUM538" s="501"/>
      <c r="BUN538" s="501"/>
      <c r="BUO538" s="501"/>
      <c r="BUP538" s="501"/>
      <c r="BUQ538" s="501"/>
      <c r="BUR538" s="501"/>
      <c r="BUS538" s="501"/>
      <c r="BUT538" s="501"/>
      <c r="BUU538" s="501"/>
      <c r="BUV538" s="501"/>
      <c r="BUW538" s="501"/>
      <c r="BUX538" s="501"/>
      <c r="BUY538" s="501"/>
      <c r="BUZ538" s="501"/>
      <c r="BVA538" s="501"/>
      <c r="BVB538" s="501"/>
      <c r="BVC538" s="501"/>
      <c r="BVD538" s="501"/>
      <c r="BVE538" s="501"/>
      <c r="BVF538" s="501"/>
      <c r="BVG538" s="501"/>
      <c r="BVH538" s="501"/>
      <c r="BVI538" s="501"/>
      <c r="BVJ538" s="501"/>
      <c r="BVK538" s="501"/>
      <c r="BVL538" s="501"/>
      <c r="BVM538" s="501"/>
      <c r="BVN538" s="501"/>
      <c r="BVO538" s="501"/>
      <c r="BVP538" s="501"/>
      <c r="BVQ538" s="501"/>
      <c r="BVR538" s="501"/>
      <c r="BVS538" s="501"/>
      <c r="BVT538" s="501"/>
      <c r="BVU538" s="501"/>
      <c r="BVV538" s="501"/>
      <c r="BVW538" s="501"/>
      <c r="BVX538" s="501"/>
      <c r="BVY538" s="501"/>
      <c r="BVZ538" s="501"/>
      <c r="BWA538" s="501"/>
      <c r="BWB538" s="501"/>
      <c r="BWC538" s="501"/>
      <c r="BWD538" s="501"/>
      <c r="BWE538" s="501"/>
      <c r="BWF538" s="501"/>
      <c r="BWG538" s="501"/>
      <c r="BWH538" s="501"/>
      <c r="BWI538" s="501"/>
      <c r="BWJ538" s="501"/>
      <c r="BWK538" s="501"/>
      <c r="BWL538" s="501"/>
      <c r="BWM538" s="501"/>
      <c r="BWN538" s="501"/>
      <c r="BWO538" s="501"/>
      <c r="BWP538" s="501"/>
      <c r="BWQ538" s="501"/>
      <c r="BWR538" s="501"/>
      <c r="BWS538" s="501"/>
      <c r="BWT538" s="501"/>
      <c r="BWU538" s="501"/>
      <c r="BWV538" s="501"/>
      <c r="BWW538" s="501"/>
      <c r="BWX538" s="501"/>
      <c r="BWY538" s="501"/>
      <c r="BWZ538" s="501"/>
      <c r="BXA538" s="501"/>
      <c r="BXB538" s="501"/>
      <c r="BXC538" s="501"/>
      <c r="BXD538" s="501"/>
      <c r="BXE538" s="501"/>
      <c r="BXF538" s="501"/>
      <c r="BXG538" s="501"/>
      <c r="BXH538" s="501"/>
      <c r="BXI538" s="501"/>
      <c r="BXJ538" s="501"/>
      <c r="BXK538" s="501"/>
      <c r="BXL538" s="501"/>
      <c r="BXM538" s="501"/>
      <c r="BXN538" s="501"/>
      <c r="BXO538" s="501"/>
      <c r="BXP538" s="501"/>
      <c r="BXQ538" s="501"/>
      <c r="BXR538" s="501"/>
      <c r="BXS538" s="501"/>
      <c r="BXT538" s="501"/>
      <c r="BXU538" s="501"/>
      <c r="BXV538" s="501"/>
      <c r="BXW538" s="501"/>
      <c r="BXX538" s="501"/>
      <c r="BXY538" s="501"/>
      <c r="BXZ538" s="501"/>
      <c r="BYA538" s="501"/>
      <c r="BYB538" s="501"/>
      <c r="BYC538" s="501"/>
      <c r="BYD538" s="501"/>
      <c r="BYE538" s="501"/>
      <c r="BYF538" s="501"/>
      <c r="BYG538" s="501"/>
      <c r="BYH538" s="501"/>
      <c r="BYI538" s="501"/>
      <c r="BYJ538" s="501"/>
      <c r="BYK538" s="501"/>
      <c r="BYL538" s="501"/>
      <c r="BYM538" s="501"/>
      <c r="BYN538" s="501"/>
      <c r="BYO538" s="501"/>
      <c r="BYP538" s="501"/>
      <c r="BYQ538" s="501"/>
      <c r="BYR538" s="501"/>
      <c r="BYS538" s="501"/>
      <c r="BYT538" s="501"/>
      <c r="BYU538" s="501"/>
      <c r="BYV538" s="501"/>
      <c r="BYW538" s="501"/>
      <c r="BYX538" s="501"/>
      <c r="BYY538" s="501"/>
      <c r="BYZ538" s="501"/>
      <c r="BZA538" s="501"/>
      <c r="BZB538" s="501"/>
      <c r="BZC538" s="501"/>
      <c r="BZD538" s="501"/>
      <c r="BZE538" s="501"/>
      <c r="BZF538" s="501"/>
      <c r="BZG538" s="501"/>
      <c r="BZH538" s="501"/>
      <c r="BZI538" s="501"/>
      <c r="BZJ538" s="501"/>
      <c r="BZK538" s="501"/>
      <c r="BZL538" s="501"/>
      <c r="BZM538" s="501"/>
      <c r="BZN538" s="501"/>
      <c r="BZO538" s="501"/>
      <c r="BZP538" s="501"/>
      <c r="BZQ538" s="501"/>
      <c r="BZR538" s="501"/>
      <c r="BZS538" s="501"/>
      <c r="BZT538" s="501"/>
      <c r="BZU538" s="501"/>
      <c r="BZV538" s="501"/>
      <c r="BZW538" s="501"/>
      <c r="BZX538" s="501"/>
      <c r="BZY538" s="501"/>
      <c r="BZZ538" s="501"/>
      <c r="CAA538" s="501"/>
      <c r="CAB538" s="501"/>
      <c r="CAC538" s="501"/>
      <c r="CAD538" s="501"/>
      <c r="CAE538" s="501"/>
      <c r="CAF538" s="501"/>
      <c r="CAG538" s="501"/>
      <c r="CAH538" s="501"/>
      <c r="CAI538" s="501"/>
      <c r="CAJ538" s="501"/>
      <c r="CAK538" s="501"/>
      <c r="CAL538" s="501"/>
      <c r="CAM538" s="501"/>
      <c r="CAN538" s="501"/>
      <c r="CAO538" s="501"/>
      <c r="CAP538" s="501"/>
      <c r="CAQ538" s="501"/>
      <c r="CAR538" s="501"/>
      <c r="CAS538" s="501"/>
      <c r="CAT538" s="501"/>
      <c r="CAU538" s="501"/>
      <c r="CAV538" s="501"/>
      <c r="CAW538" s="501"/>
      <c r="CAX538" s="501"/>
      <c r="CAY538" s="501"/>
      <c r="CAZ538" s="501"/>
      <c r="CBA538" s="501"/>
      <c r="CBB538" s="501"/>
      <c r="CBC538" s="501"/>
      <c r="CBD538" s="501"/>
      <c r="CBE538" s="501"/>
      <c r="CBF538" s="501"/>
      <c r="CBG538" s="501"/>
      <c r="CBH538" s="501"/>
      <c r="CBI538" s="501"/>
      <c r="CBJ538" s="501"/>
      <c r="CBK538" s="501"/>
      <c r="CBL538" s="501"/>
      <c r="CBM538" s="501"/>
      <c r="CBN538" s="501"/>
      <c r="CBO538" s="501"/>
      <c r="CBP538" s="501"/>
      <c r="CBQ538" s="501"/>
      <c r="CBR538" s="501"/>
      <c r="CBS538" s="501"/>
      <c r="CBT538" s="501"/>
      <c r="CBU538" s="501"/>
      <c r="CBV538" s="501"/>
      <c r="CBW538" s="501"/>
      <c r="CBX538" s="501"/>
      <c r="CBY538" s="501"/>
      <c r="CBZ538" s="501"/>
      <c r="CCA538" s="501"/>
      <c r="CCB538" s="501"/>
      <c r="CCC538" s="501"/>
      <c r="CCD538" s="501"/>
      <c r="CCE538" s="501"/>
      <c r="CCF538" s="501"/>
      <c r="CCG538" s="501"/>
      <c r="CCH538" s="501"/>
      <c r="CCI538" s="501"/>
      <c r="CCJ538" s="501"/>
      <c r="CCK538" s="501"/>
      <c r="CCL538" s="501"/>
      <c r="CCM538" s="501"/>
      <c r="CCN538" s="501"/>
      <c r="CCO538" s="501"/>
      <c r="CCP538" s="501"/>
      <c r="CCQ538" s="501"/>
      <c r="CCR538" s="501"/>
      <c r="CCS538" s="501"/>
      <c r="CCT538" s="501"/>
      <c r="CCU538" s="501"/>
      <c r="CCV538" s="501"/>
      <c r="CCW538" s="501"/>
      <c r="CCX538" s="501"/>
      <c r="CCY538" s="501"/>
      <c r="CCZ538" s="501"/>
      <c r="CDA538" s="501"/>
      <c r="CDB538" s="501"/>
      <c r="CDC538" s="501"/>
      <c r="CDD538" s="501"/>
      <c r="CDE538" s="501"/>
      <c r="CDF538" s="501"/>
      <c r="CDG538" s="501"/>
      <c r="CDH538" s="501"/>
      <c r="CDI538" s="501"/>
      <c r="CDJ538" s="501"/>
      <c r="CDK538" s="501"/>
      <c r="CDL538" s="501"/>
      <c r="CDM538" s="501"/>
      <c r="CDN538" s="501"/>
      <c r="CDO538" s="501"/>
      <c r="CDP538" s="501"/>
      <c r="CDQ538" s="501"/>
      <c r="CDR538" s="501"/>
      <c r="CDS538" s="501"/>
      <c r="CDT538" s="501"/>
      <c r="CDU538" s="501"/>
      <c r="CDV538" s="501"/>
      <c r="CDW538" s="501"/>
      <c r="CDX538" s="501"/>
      <c r="CDY538" s="501"/>
      <c r="CDZ538" s="501"/>
      <c r="CEA538" s="501"/>
      <c r="CEB538" s="501"/>
      <c r="CEC538" s="501"/>
      <c r="CED538" s="501"/>
      <c r="CEE538" s="501"/>
      <c r="CEF538" s="501"/>
      <c r="CEG538" s="501"/>
      <c r="CEH538" s="501"/>
      <c r="CEI538" s="501"/>
      <c r="CEJ538" s="501"/>
      <c r="CEK538" s="501"/>
      <c r="CEL538" s="501"/>
      <c r="CEM538" s="501"/>
      <c r="CEN538" s="501"/>
      <c r="CEO538" s="501"/>
      <c r="CEP538" s="501"/>
      <c r="CEQ538" s="501"/>
      <c r="CER538" s="501"/>
      <c r="CES538" s="501"/>
      <c r="CET538" s="501"/>
      <c r="CEU538" s="501"/>
      <c r="CEV538" s="501"/>
      <c r="CEW538" s="501"/>
      <c r="CEX538" s="501"/>
      <c r="CEY538" s="501"/>
      <c r="CEZ538" s="501"/>
      <c r="CFA538" s="501"/>
      <c r="CFB538" s="501"/>
      <c r="CFC538" s="501"/>
      <c r="CFD538" s="501"/>
      <c r="CFE538" s="501"/>
      <c r="CFF538" s="501"/>
      <c r="CFG538" s="501"/>
      <c r="CFH538" s="501"/>
      <c r="CFI538" s="501"/>
      <c r="CFJ538" s="501"/>
      <c r="CFK538" s="501"/>
      <c r="CFL538" s="501"/>
      <c r="CFM538" s="501"/>
      <c r="CFN538" s="501"/>
      <c r="CFO538" s="501"/>
      <c r="CFP538" s="501"/>
      <c r="CFQ538" s="501"/>
      <c r="CFR538" s="501"/>
      <c r="CFS538" s="501"/>
      <c r="CFT538" s="501"/>
      <c r="CFU538" s="501"/>
      <c r="CFV538" s="501"/>
      <c r="CFW538" s="501"/>
      <c r="CFX538" s="501"/>
      <c r="CFY538" s="501"/>
      <c r="CFZ538" s="501"/>
      <c r="CGA538" s="501"/>
      <c r="CGB538" s="501"/>
      <c r="CGC538" s="501"/>
      <c r="CGD538" s="501"/>
      <c r="CGE538" s="501"/>
      <c r="CGF538" s="501"/>
      <c r="CGG538" s="501"/>
      <c r="CGH538" s="501"/>
      <c r="CGI538" s="501"/>
      <c r="CGJ538" s="501"/>
      <c r="CGK538" s="501"/>
      <c r="CGL538" s="501"/>
      <c r="CGM538" s="501"/>
      <c r="CGN538" s="501"/>
      <c r="CGO538" s="501"/>
      <c r="CGP538" s="501"/>
      <c r="CGQ538" s="501"/>
      <c r="CGR538" s="501"/>
      <c r="CGS538" s="501"/>
      <c r="CGT538" s="501"/>
      <c r="CGU538" s="501"/>
      <c r="CGV538" s="501"/>
      <c r="CGW538" s="501"/>
      <c r="CGX538" s="501"/>
      <c r="CGY538" s="501"/>
      <c r="CGZ538" s="501"/>
      <c r="CHA538" s="501"/>
      <c r="CHB538" s="501"/>
      <c r="CHC538" s="501"/>
      <c r="CHD538" s="501"/>
      <c r="CHE538" s="501"/>
      <c r="CHF538" s="501"/>
      <c r="CHG538" s="501"/>
      <c r="CHH538" s="501"/>
      <c r="CHI538" s="501"/>
      <c r="CHJ538" s="501"/>
      <c r="CHK538" s="501"/>
      <c r="CHL538" s="501"/>
      <c r="CHM538" s="501"/>
      <c r="CHN538" s="501"/>
      <c r="CHO538" s="501"/>
      <c r="CHP538" s="501"/>
      <c r="CHQ538" s="501"/>
      <c r="CHR538" s="501"/>
      <c r="CHS538" s="501"/>
      <c r="CHT538" s="501"/>
      <c r="CHU538" s="501"/>
      <c r="CHV538" s="501"/>
      <c r="CHW538" s="501"/>
      <c r="CHX538" s="501"/>
      <c r="CHY538" s="501"/>
      <c r="CHZ538" s="501"/>
      <c r="CIA538" s="501"/>
      <c r="CIB538" s="501"/>
      <c r="CIC538" s="501"/>
      <c r="CID538" s="501"/>
      <c r="CIE538" s="501"/>
      <c r="CIF538" s="501"/>
      <c r="CIG538" s="501"/>
      <c r="CIH538" s="501"/>
      <c r="CII538" s="501"/>
      <c r="CIJ538" s="501"/>
      <c r="CIK538" s="501"/>
      <c r="CIL538" s="501"/>
      <c r="CIM538" s="501"/>
      <c r="CIN538" s="501"/>
      <c r="CIO538" s="501"/>
      <c r="CIP538" s="501"/>
      <c r="CIQ538" s="501"/>
      <c r="CIR538" s="501"/>
      <c r="CIS538" s="501"/>
      <c r="CIT538" s="501"/>
      <c r="CIU538" s="501"/>
      <c r="CIV538" s="501"/>
      <c r="CIW538" s="501"/>
      <c r="CIX538" s="501"/>
      <c r="CIY538" s="501"/>
      <c r="CIZ538" s="501"/>
      <c r="CJA538" s="501"/>
      <c r="CJB538" s="501"/>
      <c r="CJC538" s="501"/>
      <c r="CJD538" s="501"/>
      <c r="CJE538" s="501"/>
      <c r="CJF538" s="501"/>
      <c r="CJG538" s="501"/>
      <c r="CJH538" s="501"/>
      <c r="CJI538" s="501"/>
      <c r="CJJ538" s="501"/>
      <c r="CJK538" s="501"/>
      <c r="CJL538" s="501"/>
      <c r="CJM538" s="501"/>
      <c r="CJN538" s="501"/>
      <c r="CJO538" s="501"/>
      <c r="CJP538" s="501"/>
      <c r="CJQ538" s="501"/>
      <c r="CJR538" s="501"/>
      <c r="CJS538" s="501"/>
      <c r="CJT538" s="501"/>
      <c r="CJU538" s="501"/>
      <c r="CJV538" s="501"/>
      <c r="CJW538" s="501"/>
      <c r="CJX538" s="501"/>
      <c r="CJY538" s="501"/>
      <c r="CJZ538" s="501"/>
      <c r="CKA538" s="501"/>
      <c r="CKB538" s="501"/>
      <c r="CKC538" s="501"/>
      <c r="CKD538" s="501"/>
      <c r="CKE538" s="501"/>
      <c r="CKF538" s="501"/>
      <c r="CKG538" s="501"/>
      <c r="CKH538" s="501"/>
      <c r="CKI538" s="501"/>
      <c r="CKJ538" s="501"/>
      <c r="CKK538" s="501"/>
      <c r="CKL538" s="501"/>
      <c r="CKM538" s="501"/>
      <c r="CKN538" s="501"/>
      <c r="CKO538" s="501"/>
      <c r="CKP538" s="501"/>
      <c r="CKQ538" s="501"/>
      <c r="CKR538" s="501"/>
      <c r="CKS538" s="501"/>
      <c r="CKT538" s="501"/>
      <c r="CKU538" s="501"/>
      <c r="CKV538" s="501"/>
      <c r="CKW538" s="501"/>
      <c r="CKX538" s="501"/>
      <c r="CKY538" s="501"/>
      <c r="CKZ538" s="501"/>
      <c r="CLA538" s="501"/>
      <c r="CLB538" s="501"/>
      <c r="CLC538" s="501"/>
      <c r="CLD538" s="501"/>
      <c r="CLE538" s="501"/>
      <c r="CLF538" s="501"/>
      <c r="CLG538" s="501"/>
      <c r="CLH538" s="501"/>
      <c r="CLI538" s="501"/>
      <c r="CLJ538" s="501"/>
      <c r="CLK538" s="501"/>
      <c r="CLL538" s="501"/>
      <c r="CLM538" s="501"/>
      <c r="CLN538" s="501"/>
      <c r="CLO538" s="501"/>
      <c r="CLP538" s="501"/>
      <c r="CLQ538" s="501"/>
      <c r="CLR538" s="501"/>
      <c r="CLS538" s="501"/>
      <c r="CLT538" s="501"/>
      <c r="CLU538" s="501"/>
      <c r="CLV538" s="501"/>
      <c r="CLW538" s="501"/>
      <c r="CLX538" s="501"/>
      <c r="CLY538" s="501"/>
      <c r="CLZ538" s="501"/>
      <c r="CMA538" s="501"/>
      <c r="CMB538" s="501"/>
      <c r="CMC538" s="501"/>
      <c r="CMD538" s="501"/>
      <c r="CME538" s="501"/>
      <c r="CMF538" s="501"/>
      <c r="CMG538" s="501"/>
      <c r="CMH538" s="501"/>
      <c r="CMI538" s="501"/>
      <c r="CMJ538" s="501"/>
      <c r="CMK538" s="501"/>
      <c r="CML538" s="501"/>
      <c r="CMM538" s="501"/>
      <c r="CMN538" s="501"/>
      <c r="CMO538" s="501"/>
      <c r="CMP538" s="501"/>
      <c r="CMQ538" s="501"/>
      <c r="CMR538" s="501"/>
      <c r="CMS538" s="501"/>
      <c r="CMT538" s="501"/>
      <c r="CMU538" s="501"/>
      <c r="CMV538" s="501"/>
      <c r="CMW538" s="501"/>
      <c r="CMX538" s="501"/>
      <c r="CMY538" s="501"/>
      <c r="CMZ538" s="501"/>
      <c r="CNA538" s="501"/>
      <c r="CNB538" s="501"/>
      <c r="CNC538" s="501"/>
      <c r="CND538" s="501"/>
      <c r="CNE538" s="501"/>
      <c r="CNF538" s="501"/>
      <c r="CNG538" s="501"/>
      <c r="CNH538" s="501"/>
      <c r="CNI538" s="501"/>
      <c r="CNJ538" s="501"/>
      <c r="CNK538" s="501"/>
      <c r="CNL538" s="501"/>
      <c r="CNM538" s="501"/>
      <c r="CNN538" s="501"/>
      <c r="CNO538" s="501"/>
      <c r="CNP538" s="501"/>
      <c r="CNQ538" s="501"/>
      <c r="CNR538" s="501"/>
      <c r="CNS538" s="501"/>
      <c r="CNT538" s="501"/>
      <c r="CNU538" s="501"/>
      <c r="CNV538" s="501"/>
      <c r="CNW538" s="501"/>
      <c r="CNX538" s="501"/>
      <c r="CNY538" s="501"/>
      <c r="CNZ538" s="501"/>
      <c r="COA538" s="501"/>
      <c r="COB538" s="501"/>
      <c r="COC538" s="501"/>
      <c r="COD538" s="501"/>
      <c r="COE538" s="501"/>
      <c r="COF538" s="501"/>
      <c r="COG538" s="501"/>
      <c r="COH538" s="501"/>
      <c r="COI538" s="501"/>
      <c r="COJ538" s="501"/>
      <c r="COK538" s="501"/>
      <c r="COL538" s="501"/>
      <c r="COM538" s="501"/>
      <c r="CON538" s="501"/>
      <c r="COO538" s="501"/>
      <c r="COP538" s="501"/>
      <c r="COQ538" s="501"/>
      <c r="COR538" s="501"/>
      <c r="COS538" s="501"/>
      <c r="COT538" s="501"/>
      <c r="COU538" s="501"/>
      <c r="COV538" s="501"/>
      <c r="COW538" s="501"/>
      <c r="COX538" s="501"/>
      <c r="COY538" s="501"/>
      <c r="COZ538" s="501"/>
      <c r="CPA538" s="501"/>
      <c r="CPB538" s="501"/>
      <c r="CPC538" s="501"/>
      <c r="CPD538" s="501"/>
      <c r="CPE538" s="501"/>
      <c r="CPF538" s="501"/>
      <c r="CPG538" s="501"/>
      <c r="CPH538" s="501"/>
      <c r="CPI538" s="501"/>
      <c r="CPJ538" s="501"/>
      <c r="CPK538" s="501"/>
      <c r="CPL538" s="501"/>
      <c r="CPM538" s="501"/>
      <c r="CPN538" s="501"/>
      <c r="CPO538" s="501"/>
      <c r="CPP538" s="501"/>
      <c r="CPQ538" s="501"/>
      <c r="CPR538" s="501"/>
      <c r="CPS538" s="501"/>
      <c r="CPT538" s="501"/>
      <c r="CPU538" s="501"/>
      <c r="CPV538" s="501"/>
      <c r="CPW538" s="501"/>
      <c r="CPX538" s="501"/>
      <c r="CPY538" s="501"/>
      <c r="CPZ538" s="501"/>
      <c r="CQA538" s="501"/>
      <c r="CQB538" s="501"/>
      <c r="CQC538" s="501"/>
      <c r="CQD538" s="501"/>
      <c r="CQE538" s="501"/>
      <c r="CQF538" s="501"/>
      <c r="CQG538" s="501"/>
      <c r="CQH538" s="501"/>
      <c r="CQI538" s="501"/>
      <c r="CQJ538" s="501"/>
      <c r="CQK538" s="501"/>
      <c r="CQL538" s="501"/>
      <c r="CQM538" s="501"/>
      <c r="CQN538" s="501"/>
      <c r="CQO538" s="501"/>
      <c r="CQP538" s="501"/>
      <c r="CQQ538" s="501"/>
      <c r="CQR538" s="501"/>
      <c r="CQS538" s="501"/>
      <c r="CQT538" s="501"/>
      <c r="CQU538" s="501"/>
      <c r="CQV538" s="501"/>
      <c r="CQW538" s="501"/>
      <c r="CQX538" s="501"/>
      <c r="CQY538" s="501"/>
      <c r="CQZ538" s="501"/>
      <c r="CRA538" s="501"/>
      <c r="CRB538" s="501"/>
      <c r="CRC538" s="501"/>
      <c r="CRD538" s="501"/>
      <c r="CRE538" s="501"/>
      <c r="CRF538" s="501"/>
      <c r="CRG538" s="501"/>
      <c r="CRH538" s="501"/>
      <c r="CRI538" s="501"/>
      <c r="CRJ538" s="501"/>
      <c r="CRK538" s="501"/>
      <c r="CRL538" s="501"/>
      <c r="CRM538" s="501"/>
      <c r="CRN538" s="501"/>
      <c r="CRO538" s="501"/>
      <c r="CRP538" s="501"/>
      <c r="CRQ538" s="501"/>
      <c r="CRR538" s="501"/>
      <c r="CRS538" s="501"/>
      <c r="CRT538" s="501"/>
      <c r="CRU538" s="501"/>
      <c r="CRV538" s="501"/>
      <c r="CRW538" s="501"/>
      <c r="CRX538" s="501"/>
      <c r="CRY538" s="501"/>
      <c r="CRZ538" s="501"/>
      <c r="CSA538" s="501"/>
      <c r="CSB538" s="501"/>
      <c r="CSC538" s="501"/>
      <c r="CSD538" s="501"/>
      <c r="CSE538" s="501"/>
      <c r="CSF538" s="501"/>
      <c r="CSG538" s="501"/>
      <c r="CSH538" s="501"/>
      <c r="CSI538" s="501"/>
      <c r="CSJ538" s="501"/>
      <c r="CSK538" s="501"/>
      <c r="CSL538" s="501"/>
      <c r="CSM538" s="501"/>
      <c r="CSN538" s="501"/>
      <c r="CSO538" s="501"/>
      <c r="CSP538" s="501"/>
      <c r="CSQ538" s="501"/>
      <c r="CSR538" s="501"/>
      <c r="CSS538" s="501"/>
      <c r="CST538" s="501"/>
      <c r="CSU538" s="501"/>
      <c r="CSV538" s="501"/>
      <c r="CSW538" s="501"/>
      <c r="CSX538" s="501"/>
      <c r="CSY538" s="501"/>
      <c r="CSZ538" s="501"/>
      <c r="CTA538" s="501"/>
      <c r="CTB538" s="501"/>
      <c r="CTC538" s="501"/>
      <c r="CTD538" s="501"/>
      <c r="CTE538" s="501"/>
      <c r="CTF538" s="501"/>
      <c r="CTG538" s="501"/>
      <c r="CTH538" s="501"/>
      <c r="CTI538" s="501"/>
      <c r="CTJ538" s="501"/>
      <c r="CTK538" s="501"/>
      <c r="CTL538" s="501"/>
      <c r="CTM538" s="501"/>
      <c r="CTN538" s="501"/>
      <c r="CTO538" s="501"/>
      <c r="CTP538" s="501"/>
      <c r="CTQ538" s="501"/>
      <c r="CTR538" s="501"/>
      <c r="CTS538" s="501"/>
      <c r="CTT538" s="501"/>
      <c r="CTU538" s="501"/>
      <c r="CTV538" s="501"/>
      <c r="CTW538" s="501"/>
      <c r="CTX538" s="501"/>
      <c r="CTY538" s="501"/>
      <c r="CTZ538" s="501"/>
      <c r="CUA538" s="501"/>
      <c r="CUB538" s="501"/>
      <c r="CUC538" s="501"/>
      <c r="CUD538" s="501"/>
      <c r="CUE538" s="501"/>
      <c r="CUF538" s="501"/>
      <c r="CUG538" s="501"/>
      <c r="CUH538" s="501"/>
      <c r="CUI538" s="501"/>
      <c r="CUJ538" s="501"/>
      <c r="CUK538" s="501"/>
      <c r="CUL538" s="501"/>
      <c r="CUM538" s="501"/>
      <c r="CUN538" s="501"/>
      <c r="CUO538" s="501"/>
      <c r="CUP538" s="501"/>
      <c r="CUQ538" s="501"/>
      <c r="CUR538" s="501"/>
      <c r="CUS538" s="501"/>
      <c r="CUT538" s="501"/>
      <c r="CUU538" s="501"/>
      <c r="CUV538" s="501"/>
      <c r="CUW538" s="501"/>
      <c r="CUX538" s="501"/>
      <c r="CUY538" s="501"/>
      <c r="CUZ538" s="501"/>
      <c r="CVA538" s="501"/>
      <c r="CVB538" s="501"/>
      <c r="CVC538" s="501"/>
      <c r="CVD538" s="501"/>
      <c r="CVE538" s="501"/>
      <c r="CVF538" s="501"/>
      <c r="CVG538" s="501"/>
      <c r="CVH538" s="501"/>
      <c r="CVI538" s="501"/>
      <c r="CVJ538" s="501"/>
      <c r="CVK538" s="501"/>
      <c r="CVL538" s="501"/>
      <c r="CVM538" s="501"/>
      <c r="CVN538" s="501"/>
      <c r="CVO538" s="501"/>
      <c r="CVP538" s="501"/>
      <c r="CVQ538" s="501"/>
      <c r="CVR538" s="501"/>
      <c r="CVS538" s="501"/>
      <c r="CVT538" s="501"/>
      <c r="CVU538" s="501"/>
      <c r="CVV538" s="501"/>
      <c r="CVW538" s="501"/>
      <c r="CVX538" s="501"/>
      <c r="CVY538" s="501"/>
      <c r="CVZ538" s="501"/>
      <c r="CWA538" s="501"/>
      <c r="CWB538" s="501"/>
      <c r="CWC538" s="501"/>
      <c r="CWD538" s="501"/>
      <c r="CWE538" s="501"/>
      <c r="CWF538" s="501"/>
      <c r="CWG538" s="501"/>
      <c r="CWH538" s="501"/>
      <c r="CWI538" s="501"/>
      <c r="CWJ538" s="501"/>
      <c r="CWK538" s="501"/>
      <c r="CWL538" s="501"/>
      <c r="CWM538" s="501"/>
      <c r="CWN538" s="501"/>
      <c r="CWO538" s="501"/>
      <c r="CWP538" s="501"/>
      <c r="CWQ538" s="501"/>
      <c r="CWR538" s="501"/>
      <c r="CWS538" s="501"/>
      <c r="CWT538" s="501"/>
      <c r="CWU538" s="501"/>
      <c r="CWV538" s="501"/>
      <c r="CWW538" s="501"/>
      <c r="CWX538" s="501"/>
      <c r="CWY538" s="501"/>
      <c r="CWZ538" s="501"/>
      <c r="CXA538" s="501"/>
      <c r="CXB538" s="501"/>
      <c r="CXC538" s="501"/>
      <c r="CXD538" s="501"/>
      <c r="CXE538" s="501"/>
      <c r="CXF538" s="501"/>
      <c r="CXG538" s="501"/>
      <c r="CXH538" s="501"/>
      <c r="CXI538" s="501"/>
      <c r="CXJ538" s="501"/>
      <c r="CXK538" s="501"/>
      <c r="CXL538" s="501"/>
      <c r="CXM538" s="501"/>
      <c r="CXN538" s="501"/>
      <c r="CXO538" s="501"/>
      <c r="CXP538" s="501"/>
      <c r="CXQ538" s="501"/>
      <c r="CXR538" s="501"/>
      <c r="CXS538" s="501"/>
      <c r="CXT538" s="501"/>
      <c r="CXU538" s="501"/>
      <c r="CXV538" s="501"/>
      <c r="CXW538" s="501"/>
      <c r="CXX538" s="501"/>
      <c r="CXY538" s="501"/>
      <c r="CXZ538" s="501"/>
      <c r="CYA538" s="501"/>
      <c r="CYB538" s="501"/>
      <c r="CYC538" s="501"/>
      <c r="CYD538" s="501"/>
      <c r="CYE538" s="501"/>
      <c r="CYF538" s="501"/>
      <c r="CYG538" s="501"/>
      <c r="CYH538" s="501"/>
      <c r="CYI538" s="501"/>
      <c r="CYJ538" s="501"/>
      <c r="CYK538" s="501"/>
      <c r="CYL538" s="501"/>
      <c r="CYM538" s="501"/>
      <c r="CYN538" s="501"/>
      <c r="CYO538" s="501"/>
      <c r="CYP538" s="501"/>
      <c r="CYQ538" s="501"/>
      <c r="CYR538" s="501"/>
      <c r="CYS538" s="501"/>
      <c r="CYT538" s="501"/>
      <c r="CYU538" s="501"/>
      <c r="CYV538" s="501"/>
      <c r="CYW538" s="501"/>
      <c r="CYX538" s="501"/>
      <c r="CYY538" s="501"/>
      <c r="CYZ538" s="501"/>
      <c r="CZA538" s="501"/>
      <c r="CZB538" s="501"/>
      <c r="CZC538" s="501"/>
      <c r="CZD538" s="501"/>
      <c r="CZE538" s="501"/>
      <c r="CZF538" s="501"/>
      <c r="CZG538" s="501"/>
      <c r="CZH538" s="501"/>
      <c r="CZI538" s="501"/>
      <c r="CZJ538" s="501"/>
      <c r="CZK538" s="501"/>
      <c r="CZL538" s="501"/>
      <c r="CZM538" s="501"/>
      <c r="CZN538" s="501"/>
      <c r="CZO538" s="501"/>
      <c r="CZP538" s="501"/>
      <c r="CZQ538" s="501"/>
      <c r="CZR538" s="501"/>
      <c r="CZS538" s="501"/>
      <c r="CZT538" s="501"/>
      <c r="CZU538" s="501"/>
      <c r="CZV538" s="501"/>
      <c r="CZW538" s="501"/>
      <c r="CZX538" s="501"/>
      <c r="CZY538" s="501"/>
      <c r="CZZ538" s="501"/>
      <c r="DAA538" s="501"/>
      <c r="DAB538" s="501"/>
      <c r="DAC538" s="501"/>
      <c r="DAD538" s="501"/>
      <c r="DAE538" s="501"/>
      <c r="DAF538" s="501"/>
      <c r="DAG538" s="501"/>
      <c r="DAH538" s="501"/>
      <c r="DAI538" s="501"/>
      <c r="DAJ538" s="501"/>
      <c r="DAK538" s="501"/>
      <c r="DAL538" s="501"/>
      <c r="DAM538" s="501"/>
      <c r="DAN538" s="501"/>
      <c r="DAO538" s="501"/>
      <c r="DAP538" s="501"/>
      <c r="DAQ538" s="501"/>
      <c r="DAR538" s="501"/>
      <c r="DAS538" s="501"/>
      <c r="DAT538" s="501"/>
      <c r="DAU538" s="501"/>
      <c r="DAV538" s="501"/>
      <c r="DAW538" s="501"/>
      <c r="DAX538" s="501"/>
      <c r="DAY538" s="501"/>
      <c r="DAZ538" s="501"/>
      <c r="DBA538" s="501"/>
      <c r="DBB538" s="501"/>
      <c r="DBC538" s="501"/>
      <c r="DBD538" s="501"/>
      <c r="DBE538" s="501"/>
      <c r="DBF538" s="501"/>
      <c r="DBG538" s="501"/>
      <c r="DBH538" s="501"/>
      <c r="DBI538" s="501"/>
      <c r="DBJ538" s="501"/>
      <c r="DBK538" s="501"/>
      <c r="DBL538" s="501"/>
      <c r="DBM538" s="501"/>
      <c r="DBN538" s="501"/>
      <c r="DBO538" s="501"/>
      <c r="DBP538" s="501"/>
      <c r="DBQ538" s="501"/>
      <c r="DBR538" s="501"/>
      <c r="DBS538" s="501"/>
      <c r="DBT538" s="501"/>
      <c r="DBU538" s="501"/>
      <c r="DBV538" s="501"/>
      <c r="DBW538" s="501"/>
      <c r="DBX538" s="501"/>
      <c r="DBY538" s="501"/>
      <c r="DBZ538" s="501"/>
      <c r="DCA538" s="501"/>
      <c r="DCB538" s="501"/>
      <c r="DCC538" s="501"/>
      <c r="DCD538" s="501"/>
      <c r="DCE538" s="501"/>
      <c r="DCF538" s="501"/>
      <c r="DCG538" s="501"/>
      <c r="DCH538" s="501"/>
      <c r="DCI538" s="501"/>
      <c r="DCJ538" s="501"/>
      <c r="DCK538" s="501"/>
      <c r="DCL538" s="501"/>
      <c r="DCM538" s="501"/>
      <c r="DCN538" s="501"/>
      <c r="DCO538" s="501"/>
      <c r="DCP538" s="501"/>
      <c r="DCQ538" s="501"/>
      <c r="DCR538" s="501"/>
      <c r="DCS538" s="501"/>
      <c r="DCT538" s="501"/>
      <c r="DCU538" s="501"/>
      <c r="DCV538" s="501"/>
      <c r="DCW538" s="501"/>
      <c r="DCX538" s="501"/>
      <c r="DCY538" s="501"/>
      <c r="DCZ538" s="501"/>
      <c r="DDA538" s="501"/>
      <c r="DDB538" s="501"/>
      <c r="DDC538" s="501"/>
      <c r="DDD538" s="501"/>
      <c r="DDE538" s="501"/>
      <c r="DDF538" s="501"/>
      <c r="DDG538" s="501"/>
      <c r="DDH538" s="501"/>
      <c r="DDI538" s="501"/>
      <c r="DDJ538" s="501"/>
      <c r="DDK538" s="501"/>
      <c r="DDL538" s="501"/>
      <c r="DDM538" s="501"/>
      <c r="DDN538" s="501"/>
      <c r="DDO538" s="501"/>
      <c r="DDP538" s="501"/>
      <c r="DDQ538" s="501"/>
      <c r="DDR538" s="501"/>
      <c r="DDS538" s="501"/>
      <c r="DDT538" s="501"/>
      <c r="DDU538" s="501"/>
      <c r="DDV538" s="501"/>
      <c r="DDW538" s="501"/>
      <c r="DDX538" s="501"/>
      <c r="DDY538" s="501"/>
      <c r="DDZ538" s="501"/>
      <c r="DEA538" s="501"/>
      <c r="DEB538" s="501"/>
      <c r="DEC538" s="501"/>
      <c r="DED538" s="501"/>
      <c r="DEE538" s="501"/>
      <c r="DEF538" s="501"/>
      <c r="DEG538" s="501"/>
      <c r="DEH538" s="501"/>
      <c r="DEI538" s="501"/>
      <c r="DEJ538" s="501"/>
      <c r="DEK538" s="501"/>
      <c r="DEL538" s="501"/>
      <c r="DEM538" s="501"/>
      <c r="DEN538" s="501"/>
      <c r="DEO538" s="501"/>
      <c r="DEP538" s="501"/>
      <c r="DEQ538" s="501"/>
      <c r="DER538" s="501"/>
      <c r="DES538" s="501"/>
      <c r="DET538" s="501"/>
      <c r="DEU538" s="501"/>
      <c r="DEV538" s="501"/>
      <c r="DEW538" s="501"/>
      <c r="DEX538" s="501"/>
      <c r="DEY538" s="501"/>
      <c r="DEZ538" s="501"/>
      <c r="DFA538" s="501"/>
      <c r="DFB538" s="501"/>
      <c r="DFC538" s="501"/>
      <c r="DFD538" s="501"/>
      <c r="DFE538" s="501"/>
      <c r="DFF538" s="501"/>
      <c r="DFG538" s="501"/>
      <c r="DFH538" s="501"/>
      <c r="DFI538" s="501"/>
      <c r="DFJ538" s="501"/>
      <c r="DFK538" s="501"/>
      <c r="DFL538" s="501"/>
      <c r="DFM538" s="501"/>
      <c r="DFN538" s="501"/>
      <c r="DFO538" s="501"/>
      <c r="DFP538" s="501"/>
      <c r="DFQ538" s="501"/>
      <c r="DFR538" s="501"/>
      <c r="DFS538" s="501"/>
      <c r="DFT538" s="501"/>
      <c r="DFU538" s="501"/>
      <c r="DFV538" s="501"/>
      <c r="DFW538" s="501"/>
      <c r="DFX538" s="501"/>
      <c r="DFY538" s="501"/>
      <c r="DFZ538" s="501"/>
      <c r="DGA538" s="501"/>
      <c r="DGB538" s="501"/>
      <c r="DGC538" s="501"/>
      <c r="DGD538" s="501"/>
      <c r="DGE538" s="501"/>
      <c r="DGF538" s="501"/>
      <c r="DGG538" s="501"/>
      <c r="DGH538" s="501"/>
      <c r="DGI538" s="501"/>
      <c r="DGJ538" s="501"/>
      <c r="DGK538" s="501"/>
      <c r="DGL538" s="501"/>
      <c r="DGM538" s="501"/>
      <c r="DGN538" s="501"/>
      <c r="DGO538" s="501"/>
      <c r="DGP538" s="501"/>
      <c r="DGQ538" s="501"/>
      <c r="DGR538" s="501"/>
      <c r="DGS538" s="501"/>
      <c r="DGT538" s="501"/>
      <c r="DGU538" s="501"/>
      <c r="DGV538" s="501"/>
      <c r="DGW538" s="501"/>
      <c r="DGX538" s="501"/>
      <c r="DGY538" s="501"/>
      <c r="DGZ538" s="501"/>
      <c r="DHA538" s="501"/>
      <c r="DHB538" s="501"/>
      <c r="DHC538" s="501"/>
      <c r="DHD538" s="501"/>
      <c r="DHE538" s="501"/>
      <c r="DHF538" s="501"/>
      <c r="DHG538" s="501"/>
      <c r="DHH538" s="501"/>
      <c r="DHI538" s="501"/>
      <c r="DHJ538" s="501"/>
      <c r="DHK538" s="501"/>
      <c r="DHL538" s="501"/>
      <c r="DHM538" s="501"/>
      <c r="DHN538" s="501"/>
      <c r="DHO538" s="501"/>
      <c r="DHP538" s="501"/>
      <c r="DHQ538" s="501"/>
      <c r="DHR538" s="501"/>
      <c r="DHS538" s="501"/>
      <c r="DHT538" s="501"/>
      <c r="DHU538" s="501"/>
      <c r="DHV538" s="501"/>
      <c r="DHW538" s="501"/>
      <c r="DHX538" s="501"/>
      <c r="DHY538" s="501"/>
      <c r="DHZ538" s="501"/>
      <c r="DIA538" s="501"/>
      <c r="DIB538" s="501"/>
      <c r="DIC538" s="501"/>
      <c r="DID538" s="501"/>
      <c r="DIE538" s="501"/>
      <c r="DIF538" s="501"/>
      <c r="DIG538" s="501"/>
      <c r="DIH538" s="501"/>
      <c r="DII538" s="501"/>
      <c r="DIJ538" s="501"/>
      <c r="DIK538" s="501"/>
      <c r="DIL538" s="501"/>
      <c r="DIM538" s="501"/>
      <c r="DIN538" s="501"/>
      <c r="DIO538" s="501"/>
      <c r="DIP538" s="501"/>
      <c r="DIQ538" s="501"/>
      <c r="DIR538" s="501"/>
      <c r="DIS538" s="501"/>
      <c r="DIT538" s="501"/>
      <c r="DIU538" s="501"/>
      <c r="DIV538" s="501"/>
      <c r="DIW538" s="501"/>
      <c r="DIX538" s="501"/>
      <c r="DIY538" s="501"/>
      <c r="DIZ538" s="501"/>
      <c r="DJA538" s="501"/>
      <c r="DJB538" s="501"/>
      <c r="DJC538" s="501"/>
      <c r="DJD538" s="501"/>
      <c r="DJE538" s="501"/>
      <c r="DJF538" s="501"/>
      <c r="DJG538" s="501"/>
      <c r="DJH538" s="501"/>
      <c r="DJI538" s="501"/>
      <c r="DJJ538" s="501"/>
      <c r="DJK538" s="501"/>
      <c r="DJL538" s="501"/>
      <c r="DJM538" s="501"/>
      <c r="DJN538" s="501"/>
      <c r="DJO538" s="501"/>
      <c r="DJP538" s="501"/>
      <c r="DJQ538" s="501"/>
      <c r="DJR538" s="501"/>
      <c r="DJS538" s="501"/>
      <c r="DJT538" s="501"/>
      <c r="DJU538" s="501"/>
      <c r="DJV538" s="501"/>
      <c r="DJW538" s="501"/>
      <c r="DJX538" s="501"/>
      <c r="DJY538" s="501"/>
      <c r="DJZ538" s="501"/>
      <c r="DKA538" s="501"/>
      <c r="DKB538" s="501"/>
      <c r="DKC538" s="501"/>
      <c r="DKD538" s="501"/>
      <c r="DKE538" s="501"/>
      <c r="DKF538" s="501"/>
      <c r="DKG538" s="501"/>
      <c r="DKH538" s="501"/>
      <c r="DKI538" s="501"/>
      <c r="DKJ538" s="501"/>
      <c r="DKK538" s="501"/>
      <c r="DKL538" s="501"/>
      <c r="DKM538" s="501"/>
      <c r="DKN538" s="501"/>
      <c r="DKO538" s="501"/>
      <c r="DKP538" s="501"/>
      <c r="DKQ538" s="501"/>
      <c r="DKR538" s="501"/>
      <c r="DKS538" s="501"/>
      <c r="DKT538" s="501"/>
      <c r="DKU538" s="501"/>
      <c r="DKV538" s="501"/>
      <c r="DKW538" s="501"/>
      <c r="DKX538" s="501"/>
      <c r="DKY538" s="501"/>
      <c r="DKZ538" s="501"/>
      <c r="DLA538" s="501"/>
      <c r="DLB538" s="501"/>
      <c r="DLC538" s="501"/>
      <c r="DLD538" s="501"/>
      <c r="DLE538" s="501"/>
      <c r="DLF538" s="501"/>
      <c r="DLG538" s="501"/>
      <c r="DLH538" s="501"/>
      <c r="DLI538" s="501"/>
      <c r="DLJ538" s="501"/>
      <c r="DLK538" s="501"/>
      <c r="DLL538" s="501"/>
      <c r="DLM538" s="501"/>
      <c r="DLN538" s="501"/>
      <c r="DLO538" s="501"/>
      <c r="DLP538" s="501"/>
      <c r="DLQ538" s="501"/>
      <c r="DLR538" s="501"/>
      <c r="DLS538" s="501"/>
      <c r="DLT538" s="501"/>
      <c r="DLU538" s="501"/>
      <c r="DLV538" s="501"/>
      <c r="DLW538" s="501"/>
      <c r="DLX538" s="501"/>
      <c r="DLY538" s="501"/>
      <c r="DLZ538" s="501"/>
      <c r="DMA538" s="501"/>
      <c r="DMB538" s="501"/>
      <c r="DMC538" s="501"/>
      <c r="DMD538" s="501"/>
      <c r="DME538" s="501"/>
      <c r="DMF538" s="501"/>
      <c r="DMG538" s="501"/>
      <c r="DMH538" s="501"/>
      <c r="DMI538" s="501"/>
      <c r="DMJ538" s="501"/>
      <c r="DMK538" s="501"/>
      <c r="DML538" s="501"/>
      <c r="DMM538" s="501"/>
      <c r="DMN538" s="501"/>
      <c r="DMO538" s="501"/>
      <c r="DMP538" s="501"/>
      <c r="DMQ538" s="501"/>
      <c r="DMR538" s="501"/>
      <c r="DMS538" s="501"/>
      <c r="DMT538" s="501"/>
      <c r="DMU538" s="501"/>
      <c r="DMV538" s="501"/>
      <c r="DMW538" s="501"/>
      <c r="DMX538" s="501"/>
      <c r="DMY538" s="501"/>
      <c r="DMZ538" s="501"/>
      <c r="DNA538" s="501"/>
      <c r="DNB538" s="501"/>
      <c r="DNC538" s="501"/>
      <c r="DND538" s="501"/>
      <c r="DNE538" s="501"/>
      <c r="DNF538" s="501"/>
      <c r="DNG538" s="501"/>
      <c r="DNH538" s="501"/>
      <c r="DNI538" s="501"/>
      <c r="DNJ538" s="501"/>
      <c r="DNK538" s="501"/>
      <c r="DNL538" s="501"/>
      <c r="DNM538" s="501"/>
      <c r="DNN538" s="501"/>
      <c r="DNO538" s="501"/>
      <c r="DNP538" s="501"/>
      <c r="DNQ538" s="501"/>
      <c r="DNR538" s="501"/>
      <c r="DNS538" s="501"/>
      <c r="DNT538" s="501"/>
      <c r="DNU538" s="501"/>
      <c r="DNV538" s="501"/>
      <c r="DNW538" s="501"/>
      <c r="DNX538" s="501"/>
      <c r="DNY538" s="501"/>
      <c r="DNZ538" s="501"/>
      <c r="DOA538" s="501"/>
      <c r="DOB538" s="501"/>
      <c r="DOC538" s="501"/>
      <c r="DOD538" s="501"/>
      <c r="DOE538" s="501"/>
      <c r="DOF538" s="501"/>
      <c r="DOG538" s="501"/>
      <c r="DOH538" s="501"/>
      <c r="DOI538" s="501"/>
      <c r="DOJ538" s="501"/>
      <c r="DOK538" s="501"/>
      <c r="DOL538" s="501"/>
      <c r="DOM538" s="501"/>
      <c r="DON538" s="501"/>
      <c r="DOO538" s="501"/>
      <c r="DOP538" s="501"/>
      <c r="DOQ538" s="501"/>
      <c r="DOR538" s="501"/>
      <c r="DOS538" s="501"/>
      <c r="DOT538" s="501"/>
      <c r="DOU538" s="501"/>
      <c r="DOV538" s="501"/>
      <c r="DOW538" s="501"/>
      <c r="DOX538" s="501"/>
      <c r="DOY538" s="501"/>
      <c r="DOZ538" s="501"/>
      <c r="DPA538" s="501"/>
      <c r="DPB538" s="501"/>
      <c r="DPC538" s="501"/>
      <c r="DPD538" s="501"/>
      <c r="DPE538" s="501"/>
      <c r="DPF538" s="501"/>
      <c r="DPG538" s="501"/>
      <c r="DPH538" s="501"/>
      <c r="DPI538" s="501"/>
      <c r="DPJ538" s="501"/>
      <c r="DPK538" s="501"/>
      <c r="DPL538" s="501"/>
      <c r="DPM538" s="501"/>
      <c r="DPN538" s="501"/>
      <c r="DPO538" s="501"/>
      <c r="DPP538" s="501"/>
      <c r="DPQ538" s="501"/>
      <c r="DPR538" s="501"/>
      <c r="DPS538" s="501"/>
      <c r="DPT538" s="501"/>
      <c r="DPU538" s="501"/>
      <c r="DPV538" s="501"/>
      <c r="DPW538" s="501"/>
      <c r="DPX538" s="501"/>
      <c r="DPY538" s="501"/>
      <c r="DPZ538" s="501"/>
      <c r="DQA538" s="501"/>
      <c r="DQB538" s="501"/>
      <c r="DQC538" s="501"/>
      <c r="DQD538" s="501"/>
      <c r="DQE538" s="501"/>
      <c r="DQF538" s="501"/>
      <c r="DQG538" s="501"/>
      <c r="DQH538" s="501"/>
      <c r="DQI538" s="501"/>
      <c r="DQJ538" s="501"/>
      <c r="DQK538" s="501"/>
      <c r="DQL538" s="501"/>
      <c r="DQM538" s="501"/>
      <c r="DQN538" s="501"/>
      <c r="DQO538" s="501"/>
      <c r="DQP538" s="501"/>
      <c r="DQQ538" s="501"/>
      <c r="DQR538" s="501"/>
      <c r="DQS538" s="501"/>
      <c r="DQT538" s="501"/>
      <c r="DQU538" s="501"/>
      <c r="DQV538" s="501"/>
      <c r="DQW538" s="501"/>
      <c r="DQX538" s="501"/>
      <c r="DQY538" s="501"/>
      <c r="DQZ538" s="501"/>
      <c r="DRA538" s="501"/>
      <c r="DRB538" s="501"/>
      <c r="DRC538" s="501"/>
      <c r="DRD538" s="501"/>
      <c r="DRE538" s="501"/>
      <c r="DRF538" s="501"/>
      <c r="DRG538" s="501"/>
      <c r="DRH538" s="501"/>
      <c r="DRI538" s="501"/>
      <c r="DRJ538" s="501"/>
      <c r="DRK538" s="501"/>
      <c r="DRL538" s="501"/>
      <c r="DRM538" s="501"/>
      <c r="DRN538" s="501"/>
      <c r="DRO538" s="501"/>
      <c r="DRP538" s="501"/>
      <c r="DRQ538" s="501"/>
      <c r="DRR538" s="501"/>
      <c r="DRS538" s="501"/>
      <c r="DRT538" s="501"/>
      <c r="DRU538" s="501"/>
      <c r="DRV538" s="501"/>
      <c r="DRW538" s="501"/>
      <c r="DRX538" s="501"/>
      <c r="DRY538" s="501"/>
      <c r="DRZ538" s="501"/>
      <c r="DSA538" s="501"/>
      <c r="DSB538" s="501"/>
      <c r="DSC538" s="501"/>
      <c r="DSD538" s="501"/>
      <c r="DSE538" s="501"/>
      <c r="DSF538" s="501"/>
      <c r="DSG538" s="501"/>
      <c r="DSH538" s="501"/>
      <c r="DSI538" s="501"/>
      <c r="DSJ538" s="501"/>
      <c r="DSK538" s="501"/>
      <c r="DSL538" s="501"/>
      <c r="DSM538" s="501"/>
      <c r="DSN538" s="501"/>
      <c r="DSO538" s="501"/>
      <c r="DSP538" s="501"/>
      <c r="DSQ538" s="501"/>
      <c r="DSR538" s="501"/>
      <c r="DSS538" s="501"/>
      <c r="DST538" s="501"/>
      <c r="DSU538" s="501"/>
      <c r="DSV538" s="501"/>
      <c r="DSW538" s="501"/>
      <c r="DSX538" s="501"/>
      <c r="DSY538" s="501"/>
      <c r="DSZ538" s="501"/>
      <c r="DTA538" s="501"/>
      <c r="DTB538" s="501"/>
      <c r="DTC538" s="501"/>
      <c r="DTD538" s="501"/>
      <c r="DTE538" s="501"/>
      <c r="DTF538" s="501"/>
      <c r="DTG538" s="501"/>
      <c r="DTH538" s="501"/>
      <c r="DTI538" s="501"/>
      <c r="DTJ538" s="501"/>
      <c r="DTK538" s="501"/>
      <c r="DTL538" s="501"/>
      <c r="DTM538" s="501"/>
      <c r="DTN538" s="501"/>
      <c r="DTO538" s="501"/>
      <c r="DTP538" s="501"/>
      <c r="DTQ538" s="501"/>
      <c r="DTR538" s="501"/>
      <c r="DTS538" s="501"/>
      <c r="DTT538" s="501"/>
      <c r="DTU538" s="501"/>
      <c r="DTV538" s="501"/>
      <c r="DTW538" s="501"/>
      <c r="DTX538" s="501"/>
      <c r="DTY538" s="501"/>
      <c r="DTZ538" s="501"/>
      <c r="DUA538" s="501"/>
      <c r="DUB538" s="501"/>
      <c r="DUC538" s="501"/>
      <c r="DUD538" s="501"/>
      <c r="DUE538" s="501"/>
      <c r="DUF538" s="501"/>
      <c r="DUG538" s="501"/>
      <c r="DUH538" s="501"/>
      <c r="DUI538" s="501"/>
      <c r="DUJ538" s="501"/>
      <c r="DUK538" s="501"/>
      <c r="DUL538" s="501"/>
      <c r="DUM538" s="501"/>
      <c r="DUN538" s="501"/>
      <c r="DUO538" s="501"/>
      <c r="DUP538" s="501"/>
      <c r="DUQ538" s="501"/>
      <c r="DUR538" s="501"/>
      <c r="DUS538" s="501"/>
      <c r="DUT538" s="501"/>
      <c r="DUU538" s="501"/>
      <c r="DUV538" s="501"/>
      <c r="DUW538" s="501"/>
      <c r="DUX538" s="501"/>
      <c r="DUY538" s="501"/>
      <c r="DUZ538" s="501"/>
      <c r="DVA538" s="501"/>
      <c r="DVB538" s="501"/>
      <c r="DVC538" s="501"/>
      <c r="DVD538" s="501"/>
      <c r="DVE538" s="501"/>
      <c r="DVF538" s="501"/>
      <c r="DVG538" s="501"/>
      <c r="DVH538" s="501"/>
      <c r="DVI538" s="501"/>
      <c r="DVJ538" s="501"/>
      <c r="DVK538" s="501"/>
      <c r="DVL538" s="501"/>
      <c r="DVM538" s="501"/>
      <c r="DVN538" s="501"/>
      <c r="DVO538" s="501"/>
      <c r="DVP538" s="501"/>
      <c r="DVQ538" s="501"/>
      <c r="DVR538" s="501"/>
      <c r="DVS538" s="501"/>
      <c r="DVT538" s="501"/>
      <c r="DVU538" s="501"/>
      <c r="DVV538" s="501"/>
      <c r="DVW538" s="501"/>
      <c r="DVX538" s="501"/>
      <c r="DVY538" s="501"/>
      <c r="DVZ538" s="501"/>
      <c r="DWA538" s="501"/>
      <c r="DWB538" s="501"/>
      <c r="DWC538" s="501"/>
      <c r="DWD538" s="501"/>
      <c r="DWE538" s="501"/>
      <c r="DWF538" s="501"/>
      <c r="DWG538" s="501"/>
      <c r="DWH538" s="501"/>
      <c r="DWI538" s="501"/>
      <c r="DWJ538" s="501"/>
      <c r="DWK538" s="501"/>
      <c r="DWL538" s="501"/>
      <c r="DWM538" s="501"/>
      <c r="DWN538" s="501"/>
      <c r="DWO538" s="501"/>
      <c r="DWP538" s="501"/>
      <c r="DWQ538" s="501"/>
      <c r="DWR538" s="501"/>
      <c r="DWS538" s="501"/>
      <c r="DWT538" s="501"/>
      <c r="DWU538" s="501"/>
      <c r="DWV538" s="501"/>
      <c r="DWW538" s="501"/>
      <c r="DWX538" s="501"/>
      <c r="DWY538" s="501"/>
      <c r="DWZ538" s="501"/>
      <c r="DXA538" s="501"/>
      <c r="DXB538" s="501"/>
      <c r="DXC538" s="501"/>
      <c r="DXD538" s="501"/>
      <c r="DXE538" s="501"/>
      <c r="DXF538" s="501"/>
      <c r="DXG538" s="501"/>
      <c r="DXH538" s="501"/>
      <c r="DXI538" s="501"/>
      <c r="DXJ538" s="501"/>
      <c r="DXK538" s="501"/>
      <c r="DXL538" s="501"/>
      <c r="DXM538" s="501"/>
      <c r="DXN538" s="501"/>
      <c r="DXO538" s="501"/>
      <c r="DXP538" s="501"/>
      <c r="DXQ538" s="501"/>
      <c r="DXR538" s="501"/>
      <c r="DXS538" s="501"/>
      <c r="DXT538" s="501"/>
      <c r="DXU538" s="501"/>
      <c r="DXV538" s="501"/>
      <c r="DXW538" s="501"/>
      <c r="DXX538" s="501"/>
      <c r="DXY538" s="501"/>
      <c r="DXZ538" s="501"/>
      <c r="DYA538" s="501"/>
      <c r="DYB538" s="501"/>
      <c r="DYC538" s="501"/>
      <c r="DYD538" s="501"/>
      <c r="DYE538" s="501"/>
      <c r="DYF538" s="501"/>
      <c r="DYG538" s="501"/>
      <c r="DYH538" s="501"/>
      <c r="DYI538" s="501"/>
      <c r="DYJ538" s="501"/>
      <c r="DYK538" s="501"/>
      <c r="DYL538" s="501"/>
      <c r="DYM538" s="501"/>
      <c r="DYN538" s="501"/>
      <c r="DYO538" s="501"/>
      <c r="DYP538" s="501"/>
      <c r="DYQ538" s="501"/>
      <c r="DYR538" s="501"/>
      <c r="DYS538" s="501"/>
      <c r="DYT538" s="501"/>
      <c r="DYU538" s="501"/>
      <c r="DYV538" s="501"/>
      <c r="DYW538" s="501"/>
      <c r="DYX538" s="501"/>
      <c r="DYY538" s="501"/>
      <c r="DYZ538" s="501"/>
      <c r="DZA538" s="501"/>
      <c r="DZB538" s="501"/>
      <c r="DZC538" s="501"/>
      <c r="DZD538" s="501"/>
      <c r="DZE538" s="501"/>
      <c r="DZF538" s="501"/>
      <c r="DZG538" s="501"/>
      <c r="DZH538" s="501"/>
      <c r="DZI538" s="501"/>
      <c r="DZJ538" s="501"/>
      <c r="DZK538" s="501"/>
      <c r="DZL538" s="501"/>
      <c r="DZM538" s="501"/>
      <c r="DZN538" s="501"/>
      <c r="DZO538" s="501"/>
      <c r="DZP538" s="501"/>
      <c r="DZQ538" s="501"/>
      <c r="DZR538" s="501"/>
      <c r="DZS538" s="501"/>
      <c r="DZT538" s="501"/>
      <c r="DZU538" s="501"/>
      <c r="DZV538" s="501"/>
      <c r="DZW538" s="501"/>
      <c r="DZX538" s="501"/>
      <c r="DZY538" s="501"/>
      <c r="DZZ538" s="501"/>
      <c r="EAA538" s="501"/>
      <c r="EAB538" s="501"/>
      <c r="EAC538" s="501"/>
      <c r="EAD538" s="501"/>
      <c r="EAE538" s="501"/>
      <c r="EAF538" s="501"/>
      <c r="EAG538" s="501"/>
      <c r="EAH538" s="501"/>
      <c r="EAI538" s="501"/>
      <c r="EAJ538" s="501"/>
      <c r="EAK538" s="501"/>
      <c r="EAL538" s="501"/>
      <c r="EAM538" s="501"/>
      <c r="EAN538" s="501"/>
      <c r="EAO538" s="501"/>
      <c r="EAP538" s="501"/>
      <c r="EAQ538" s="501"/>
      <c r="EAR538" s="501"/>
      <c r="EAS538" s="501"/>
      <c r="EAT538" s="501"/>
      <c r="EAU538" s="501"/>
      <c r="EAV538" s="501"/>
      <c r="EAW538" s="501"/>
      <c r="EAX538" s="501"/>
      <c r="EAY538" s="501"/>
      <c r="EAZ538" s="501"/>
      <c r="EBA538" s="501"/>
      <c r="EBB538" s="501"/>
      <c r="EBC538" s="501"/>
      <c r="EBD538" s="501"/>
      <c r="EBE538" s="501"/>
      <c r="EBF538" s="501"/>
      <c r="EBG538" s="501"/>
      <c r="EBH538" s="501"/>
      <c r="EBI538" s="501"/>
      <c r="EBJ538" s="501"/>
      <c r="EBK538" s="501"/>
      <c r="EBL538" s="501"/>
      <c r="EBM538" s="501"/>
      <c r="EBN538" s="501"/>
      <c r="EBO538" s="501"/>
      <c r="EBP538" s="501"/>
      <c r="EBQ538" s="501"/>
      <c r="EBR538" s="501"/>
      <c r="EBS538" s="501"/>
      <c r="EBT538" s="501"/>
      <c r="EBU538" s="501"/>
      <c r="EBV538" s="501"/>
      <c r="EBW538" s="501"/>
      <c r="EBX538" s="501"/>
      <c r="EBY538" s="501"/>
      <c r="EBZ538" s="501"/>
      <c r="ECA538" s="501"/>
      <c r="ECB538" s="501"/>
      <c r="ECC538" s="501"/>
      <c r="ECD538" s="501"/>
      <c r="ECE538" s="501"/>
      <c r="ECF538" s="501"/>
      <c r="ECG538" s="501"/>
      <c r="ECH538" s="501"/>
      <c r="ECI538" s="501"/>
      <c r="ECJ538" s="501"/>
      <c r="ECK538" s="501"/>
      <c r="ECL538" s="501"/>
      <c r="ECM538" s="501"/>
      <c r="ECN538" s="501"/>
      <c r="ECO538" s="501"/>
      <c r="ECP538" s="501"/>
      <c r="ECQ538" s="501"/>
      <c r="ECR538" s="501"/>
      <c r="ECS538" s="501"/>
      <c r="ECT538" s="501"/>
      <c r="ECU538" s="501"/>
      <c r="ECV538" s="501"/>
      <c r="ECW538" s="501"/>
      <c r="ECX538" s="501"/>
      <c r="ECY538" s="501"/>
      <c r="ECZ538" s="501"/>
      <c r="EDA538" s="501"/>
      <c r="EDB538" s="501"/>
      <c r="EDC538" s="501"/>
      <c r="EDD538" s="501"/>
      <c r="EDE538" s="501"/>
      <c r="EDF538" s="501"/>
      <c r="EDG538" s="501"/>
      <c r="EDH538" s="501"/>
      <c r="EDI538" s="501"/>
      <c r="EDJ538" s="501"/>
      <c r="EDK538" s="501"/>
      <c r="EDL538" s="501"/>
      <c r="EDM538" s="501"/>
      <c r="EDN538" s="501"/>
      <c r="EDO538" s="501"/>
      <c r="EDP538" s="501"/>
      <c r="EDQ538" s="501"/>
      <c r="EDR538" s="501"/>
      <c r="EDS538" s="501"/>
      <c r="EDT538" s="501"/>
      <c r="EDU538" s="501"/>
      <c r="EDV538" s="501"/>
      <c r="EDW538" s="501"/>
      <c r="EDX538" s="501"/>
      <c r="EDY538" s="501"/>
      <c r="EDZ538" s="501"/>
      <c r="EEA538" s="501"/>
      <c r="EEB538" s="501"/>
      <c r="EEC538" s="501"/>
      <c r="EED538" s="501"/>
      <c r="EEE538" s="501"/>
      <c r="EEF538" s="501"/>
      <c r="EEG538" s="501"/>
      <c r="EEH538" s="501"/>
      <c r="EEI538" s="501"/>
      <c r="EEJ538" s="501"/>
      <c r="EEK538" s="501"/>
      <c r="EEL538" s="501"/>
      <c r="EEM538" s="501"/>
      <c r="EEN538" s="501"/>
      <c r="EEO538" s="501"/>
      <c r="EEP538" s="501"/>
      <c r="EEQ538" s="501"/>
      <c r="EER538" s="501"/>
      <c r="EES538" s="501"/>
      <c r="EET538" s="501"/>
      <c r="EEU538" s="501"/>
      <c r="EEV538" s="501"/>
      <c r="EEW538" s="501"/>
      <c r="EEX538" s="501"/>
      <c r="EEY538" s="501"/>
      <c r="EEZ538" s="501"/>
      <c r="EFA538" s="501"/>
      <c r="EFB538" s="501"/>
      <c r="EFC538" s="501"/>
      <c r="EFD538" s="501"/>
      <c r="EFE538" s="501"/>
      <c r="EFF538" s="501"/>
      <c r="EFG538" s="501"/>
      <c r="EFH538" s="501"/>
      <c r="EFI538" s="501"/>
      <c r="EFJ538" s="501"/>
      <c r="EFK538" s="501"/>
      <c r="EFL538" s="501"/>
      <c r="EFM538" s="501"/>
      <c r="EFN538" s="501"/>
      <c r="EFO538" s="501"/>
      <c r="EFP538" s="501"/>
      <c r="EFQ538" s="501"/>
      <c r="EFR538" s="501"/>
      <c r="EFS538" s="501"/>
      <c r="EFT538" s="501"/>
      <c r="EFU538" s="501"/>
      <c r="EFV538" s="501"/>
      <c r="EFW538" s="501"/>
      <c r="EFX538" s="501"/>
      <c r="EFY538" s="501"/>
      <c r="EFZ538" s="501"/>
      <c r="EGA538" s="501"/>
      <c r="EGB538" s="501"/>
      <c r="EGC538" s="501"/>
      <c r="EGD538" s="501"/>
      <c r="EGE538" s="501"/>
      <c r="EGF538" s="501"/>
      <c r="EGG538" s="501"/>
      <c r="EGH538" s="501"/>
      <c r="EGI538" s="501"/>
      <c r="EGJ538" s="501"/>
      <c r="EGK538" s="501"/>
      <c r="EGL538" s="501"/>
      <c r="EGM538" s="501"/>
      <c r="EGN538" s="501"/>
      <c r="EGO538" s="501"/>
      <c r="EGP538" s="501"/>
      <c r="EGQ538" s="501"/>
      <c r="EGR538" s="501"/>
      <c r="EGS538" s="501"/>
      <c r="EGT538" s="501"/>
      <c r="EGU538" s="501"/>
      <c r="EGV538" s="501"/>
      <c r="EGW538" s="501"/>
      <c r="EGX538" s="501"/>
      <c r="EGY538" s="501"/>
      <c r="EGZ538" s="501"/>
      <c r="EHA538" s="501"/>
      <c r="EHB538" s="501"/>
      <c r="EHC538" s="501"/>
      <c r="EHD538" s="501"/>
      <c r="EHE538" s="501"/>
      <c r="EHF538" s="501"/>
      <c r="EHG538" s="501"/>
      <c r="EHH538" s="501"/>
      <c r="EHI538" s="501"/>
      <c r="EHJ538" s="501"/>
      <c r="EHK538" s="501"/>
      <c r="EHL538" s="501"/>
      <c r="EHM538" s="501"/>
      <c r="EHN538" s="501"/>
      <c r="EHO538" s="501"/>
      <c r="EHP538" s="501"/>
      <c r="EHQ538" s="501"/>
      <c r="EHR538" s="501"/>
      <c r="EHS538" s="501"/>
      <c r="EHT538" s="501"/>
      <c r="EHU538" s="501"/>
      <c r="EHV538" s="501"/>
      <c r="EHW538" s="501"/>
      <c r="EHX538" s="501"/>
      <c r="EHY538" s="501"/>
      <c r="EHZ538" s="501"/>
      <c r="EIA538" s="501"/>
      <c r="EIB538" s="501"/>
      <c r="EIC538" s="501"/>
      <c r="EID538" s="501"/>
      <c r="EIE538" s="501"/>
      <c r="EIF538" s="501"/>
      <c r="EIG538" s="501"/>
      <c r="EIH538" s="501"/>
      <c r="EII538" s="501"/>
      <c r="EIJ538" s="501"/>
      <c r="EIK538" s="501"/>
      <c r="EIL538" s="501"/>
      <c r="EIM538" s="501"/>
      <c r="EIN538" s="501"/>
      <c r="EIO538" s="501"/>
      <c r="EIP538" s="501"/>
      <c r="EIQ538" s="501"/>
      <c r="EIR538" s="501"/>
      <c r="EIS538" s="501"/>
      <c r="EIT538" s="501"/>
      <c r="EIU538" s="501"/>
      <c r="EIV538" s="501"/>
      <c r="EIW538" s="501"/>
      <c r="EIX538" s="501"/>
      <c r="EIY538" s="501"/>
      <c r="EIZ538" s="501"/>
      <c r="EJA538" s="501"/>
      <c r="EJB538" s="501"/>
      <c r="EJC538" s="501"/>
      <c r="EJD538" s="501"/>
      <c r="EJE538" s="501"/>
      <c r="EJF538" s="501"/>
      <c r="EJG538" s="501"/>
      <c r="EJH538" s="501"/>
      <c r="EJI538" s="501"/>
      <c r="EJJ538" s="501"/>
      <c r="EJK538" s="501"/>
      <c r="EJL538" s="501"/>
      <c r="EJM538" s="501"/>
      <c r="EJN538" s="501"/>
      <c r="EJO538" s="501"/>
      <c r="EJP538" s="501"/>
      <c r="EJQ538" s="501"/>
      <c r="EJR538" s="501"/>
      <c r="EJS538" s="501"/>
      <c r="EJT538" s="501"/>
      <c r="EJU538" s="501"/>
      <c r="EJV538" s="501"/>
      <c r="EJW538" s="501"/>
      <c r="EJX538" s="501"/>
      <c r="EJY538" s="501"/>
      <c r="EJZ538" s="501"/>
      <c r="EKA538" s="501"/>
      <c r="EKB538" s="501"/>
      <c r="EKC538" s="501"/>
      <c r="EKD538" s="501"/>
      <c r="EKE538" s="501"/>
      <c r="EKF538" s="501"/>
      <c r="EKG538" s="501"/>
      <c r="EKH538" s="501"/>
      <c r="EKI538" s="501"/>
      <c r="EKJ538" s="501"/>
      <c r="EKK538" s="501"/>
      <c r="EKL538" s="501"/>
      <c r="EKM538" s="501"/>
      <c r="EKN538" s="501"/>
      <c r="EKO538" s="501"/>
      <c r="EKP538" s="501"/>
      <c r="EKQ538" s="501"/>
      <c r="EKR538" s="501"/>
      <c r="EKS538" s="501"/>
      <c r="EKT538" s="501"/>
      <c r="EKU538" s="501"/>
      <c r="EKV538" s="501"/>
      <c r="EKW538" s="501"/>
      <c r="EKX538" s="501"/>
      <c r="EKY538" s="501"/>
      <c r="EKZ538" s="501"/>
      <c r="ELA538" s="501"/>
      <c r="ELB538" s="501"/>
      <c r="ELC538" s="501"/>
      <c r="ELD538" s="501"/>
      <c r="ELE538" s="501"/>
      <c r="ELF538" s="501"/>
      <c r="ELG538" s="501"/>
      <c r="ELH538" s="501"/>
      <c r="ELI538" s="501"/>
      <c r="ELJ538" s="501"/>
      <c r="ELK538" s="501"/>
      <c r="ELL538" s="501"/>
      <c r="ELM538" s="501"/>
      <c r="ELN538" s="501"/>
      <c r="ELO538" s="501"/>
      <c r="ELP538" s="501"/>
      <c r="ELQ538" s="501"/>
      <c r="ELR538" s="501"/>
      <c r="ELS538" s="501"/>
      <c r="ELT538" s="501"/>
      <c r="ELU538" s="501"/>
      <c r="ELV538" s="501"/>
      <c r="ELW538" s="501"/>
      <c r="ELX538" s="501"/>
      <c r="ELY538" s="501"/>
      <c r="ELZ538" s="501"/>
      <c r="EMA538" s="501"/>
      <c r="EMB538" s="501"/>
      <c r="EMC538" s="501"/>
      <c r="EMD538" s="501"/>
      <c r="EME538" s="501"/>
      <c r="EMF538" s="501"/>
      <c r="EMG538" s="501"/>
      <c r="EMH538" s="501"/>
      <c r="EMI538" s="501"/>
      <c r="EMJ538" s="501"/>
      <c r="EMK538" s="501"/>
      <c r="EML538" s="501"/>
      <c r="EMM538" s="501"/>
      <c r="EMN538" s="501"/>
      <c r="EMO538" s="501"/>
      <c r="EMP538" s="501"/>
      <c r="EMQ538" s="501"/>
      <c r="EMR538" s="501"/>
      <c r="EMS538" s="501"/>
      <c r="EMT538" s="501"/>
      <c r="EMU538" s="501"/>
      <c r="EMV538" s="501"/>
      <c r="EMW538" s="501"/>
      <c r="EMX538" s="501"/>
      <c r="EMY538" s="501"/>
      <c r="EMZ538" s="501"/>
      <c r="ENA538" s="501"/>
      <c r="ENB538" s="501"/>
      <c r="ENC538" s="501"/>
      <c r="END538" s="501"/>
      <c r="ENE538" s="501"/>
      <c r="ENF538" s="501"/>
      <c r="ENG538" s="501"/>
      <c r="ENH538" s="501"/>
      <c r="ENI538" s="501"/>
      <c r="ENJ538" s="501"/>
      <c r="ENK538" s="501"/>
      <c r="ENL538" s="501"/>
      <c r="ENM538" s="501"/>
      <c r="ENN538" s="501"/>
      <c r="ENO538" s="501"/>
      <c r="ENP538" s="501"/>
      <c r="ENQ538" s="501"/>
      <c r="ENR538" s="501"/>
      <c r="ENS538" s="501"/>
      <c r="ENT538" s="501"/>
      <c r="ENU538" s="501"/>
      <c r="ENV538" s="501"/>
      <c r="ENW538" s="501"/>
      <c r="ENX538" s="501"/>
      <c r="ENY538" s="501"/>
      <c r="ENZ538" s="501"/>
      <c r="EOA538" s="501"/>
      <c r="EOB538" s="501"/>
      <c r="EOC538" s="501"/>
      <c r="EOD538" s="501"/>
      <c r="EOE538" s="501"/>
      <c r="EOF538" s="501"/>
      <c r="EOG538" s="501"/>
      <c r="EOH538" s="501"/>
      <c r="EOI538" s="501"/>
      <c r="EOJ538" s="501"/>
      <c r="EOK538" s="501"/>
      <c r="EOL538" s="501"/>
      <c r="EOM538" s="501"/>
      <c r="EON538" s="501"/>
      <c r="EOO538" s="501"/>
      <c r="EOP538" s="501"/>
      <c r="EOQ538" s="501"/>
      <c r="EOR538" s="501"/>
      <c r="EOS538" s="501"/>
      <c r="EOT538" s="501"/>
      <c r="EOU538" s="501"/>
      <c r="EOV538" s="501"/>
      <c r="EOW538" s="501"/>
      <c r="EOX538" s="501"/>
      <c r="EOY538" s="501"/>
      <c r="EOZ538" s="501"/>
      <c r="EPA538" s="501"/>
      <c r="EPB538" s="501"/>
      <c r="EPC538" s="501"/>
      <c r="EPD538" s="501"/>
      <c r="EPE538" s="501"/>
      <c r="EPF538" s="501"/>
      <c r="EPG538" s="501"/>
      <c r="EPH538" s="501"/>
      <c r="EPI538" s="501"/>
      <c r="EPJ538" s="501"/>
      <c r="EPK538" s="501"/>
      <c r="EPL538" s="501"/>
      <c r="EPM538" s="501"/>
      <c r="EPN538" s="501"/>
      <c r="EPO538" s="501"/>
      <c r="EPP538" s="501"/>
      <c r="EPQ538" s="501"/>
      <c r="EPR538" s="501"/>
      <c r="EPS538" s="501"/>
      <c r="EPT538" s="501"/>
      <c r="EPU538" s="501"/>
      <c r="EPV538" s="501"/>
      <c r="EPW538" s="501"/>
      <c r="EPX538" s="501"/>
      <c r="EPY538" s="501"/>
      <c r="EPZ538" s="501"/>
      <c r="EQA538" s="501"/>
      <c r="EQB538" s="501"/>
      <c r="EQC538" s="501"/>
      <c r="EQD538" s="501"/>
      <c r="EQE538" s="501"/>
      <c r="EQF538" s="501"/>
      <c r="EQG538" s="501"/>
      <c r="EQH538" s="501"/>
      <c r="EQI538" s="501"/>
      <c r="EQJ538" s="501"/>
      <c r="EQK538" s="501"/>
      <c r="EQL538" s="501"/>
      <c r="EQM538" s="501"/>
      <c r="EQN538" s="501"/>
      <c r="EQO538" s="501"/>
      <c r="EQP538" s="501"/>
      <c r="EQQ538" s="501"/>
      <c r="EQR538" s="501"/>
      <c r="EQS538" s="501"/>
      <c r="EQT538" s="501"/>
      <c r="EQU538" s="501"/>
      <c r="EQV538" s="501"/>
      <c r="EQW538" s="501"/>
      <c r="EQX538" s="501"/>
      <c r="EQY538" s="501"/>
      <c r="EQZ538" s="501"/>
      <c r="ERA538" s="501"/>
      <c r="ERB538" s="501"/>
      <c r="ERC538" s="501"/>
      <c r="ERD538" s="501"/>
      <c r="ERE538" s="501"/>
      <c r="ERF538" s="501"/>
      <c r="ERG538" s="501"/>
      <c r="ERH538" s="501"/>
      <c r="ERI538" s="501"/>
      <c r="ERJ538" s="501"/>
      <c r="ERK538" s="501"/>
      <c r="ERL538" s="501"/>
      <c r="ERM538" s="501"/>
      <c r="ERN538" s="501"/>
      <c r="ERO538" s="501"/>
      <c r="ERP538" s="501"/>
      <c r="ERQ538" s="501"/>
      <c r="ERR538" s="501"/>
      <c r="ERS538" s="501"/>
      <c r="ERT538" s="501"/>
      <c r="ERU538" s="501"/>
      <c r="ERV538" s="501"/>
      <c r="ERW538" s="501"/>
      <c r="ERX538" s="501"/>
      <c r="ERY538" s="501"/>
      <c r="ERZ538" s="501"/>
      <c r="ESA538" s="501"/>
      <c r="ESB538" s="501"/>
      <c r="ESC538" s="501"/>
      <c r="ESD538" s="501"/>
      <c r="ESE538" s="501"/>
      <c r="ESF538" s="501"/>
      <c r="ESG538" s="501"/>
      <c r="ESH538" s="501"/>
      <c r="ESI538" s="501"/>
      <c r="ESJ538" s="501"/>
      <c r="ESK538" s="501"/>
      <c r="ESL538" s="501"/>
      <c r="ESM538" s="501"/>
      <c r="ESN538" s="501"/>
      <c r="ESO538" s="501"/>
      <c r="ESP538" s="501"/>
      <c r="ESQ538" s="501"/>
      <c r="ESR538" s="501"/>
      <c r="ESS538" s="501"/>
      <c r="EST538" s="501"/>
      <c r="ESU538" s="501"/>
      <c r="ESV538" s="501"/>
      <c r="ESW538" s="501"/>
      <c r="ESX538" s="501"/>
      <c r="ESY538" s="501"/>
      <c r="ESZ538" s="501"/>
      <c r="ETA538" s="501"/>
      <c r="ETB538" s="501"/>
      <c r="ETC538" s="501"/>
      <c r="ETD538" s="501"/>
      <c r="ETE538" s="501"/>
      <c r="ETF538" s="501"/>
      <c r="ETG538" s="501"/>
      <c r="ETH538" s="501"/>
      <c r="ETI538" s="501"/>
      <c r="ETJ538" s="501"/>
      <c r="ETK538" s="501"/>
      <c r="ETL538" s="501"/>
      <c r="ETM538" s="501"/>
      <c r="ETN538" s="501"/>
      <c r="ETO538" s="501"/>
      <c r="ETP538" s="501"/>
      <c r="ETQ538" s="501"/>
      <c r="ETR538" s="501"/>
      <c r="ETS538" s="501"/>
      <c r="ETT538" s="501"/>
      <c r="ETU538" s="501"/>
      <c r="ETV538" s="501"/>
      <c r="ETW538" s="501"/>
      <c r="ETX538" s="501"/>
      <c r="ETY538" s="501"/>
      <c r="ETZ538" s="501"/>
      <c r="EUA538" s="501"/>
      <c r="EUB538" s="501"/>
      <c r="EUC538" s="501"/>
      <c r="EUD538" s="501"/>
      <c r="EUE538" s="501"/>
      <c r="EUF538" s="501"/>
      <c r="EUG538" s="501"/>
      <c r="EUH538" s="501"/>
      <c r="EUI538" s="501"/>
      <c r="EUJ538" s="501"/>
      <c r="EUK538" s="501"/>
      <c r="EUL538" s="501"/>
      <c r="EUM538" s="501"/>
      <c r="EUN538" s="501"/>
      <c r="EUO538" s="501"/>
      <c r="EUP538" s="501"/>
      <c r="EUQ538" s="501"/>
      <c r="EUR538" s="501"/>
      <c r="EUS538" s="501"/>
      <c r="EUT538" s="501"/>
      <c r="EUU538" s="501"/>
      <c r="EUV538" s="501"/>
      <c r="EUW538" s="501"/>
      <c r="EUX538" s="501"/>
      <c r="EUY538" s="501"/>
      <c r="EUZ538" s="501"/>
      <c r="EVA538" s="501"/>
      <c r="EVB538" s="501"/>
      <c r="EVC538" s="501"/>
      <c r="EVD538" s="501"/>
      <c r="EVE538" s="501"/>
      <c r="EVF538" s="501"/>
      <c r="EVG538" s="501"/>
      <c r="EVH538" s="501"/>
      <c r="EVI538" s="501"/>
      <c r="EVJ538" s="501"/>
      <c r="EVK538" s="501"/>
      <c r="EVL538" s="501"/>
      <c r="EVM538" s="501"/>
      <c r="EVN538" s="501"/>
      <c r="EVO538" s="501"/>
      <c r="EVP538" s="501"/>
      <c r="EVQ538" s="501"/>
      <c r="EVR538" s="501"/>
      <c r="EVS538" s="501"/>
      <c r="EVT538" s="501"/>
      <c r="EVU538" s="501"/>
      <c r="EVV538" s="501"/>
      <c r="EVW538" s="501"/>
      <c r="EVX538" s="501"/>
      <c r="EVY538" s="501"/>
      <c r="EVZ538" s="501"/>
      <c r="EWA538" s="501"/>
      <c r="EWB538" s="501"/>
      <c r="EWC538" s="501"/>
      <c r="EWD538" s="501"/>
      <c r="EWE538" s="501"/>
      <c r="EWF538" s="501"/>
      <c r="EWG538" s="501"/>
      <c r="EWH538" s="501"/>
      <c r="EWI538" s="501"/>
      <c r="EWJ538" s="501"/>
      <c r="EWK538" s="501"/>
      <c r="EWL538" s="501"/>
      <c r="EWM538" s="501"/>
      <c r="EWN538" s="501"/>
      <c r="EWO538" s="501"/>
      <c r="EWP538" s="501"/>
      <c r="EWQ538" s="501"/>
      <c r="EWR538" s="501"/>
      <c r="EWS538" s="501"/>
      <c r="EWT538" s="501"/>
      <c r="EWU538" s="501"/>
      <c r="EWV538" s="501"/>
      <c r="EWW538" s="501"/>
      <c r="EWX538" s="501"/>
      <c r="EWY538" s="501"/>
      <c r="EWZ538" s="501"/>
      <c r="EXA538" s="501"/>
      <c r="EXB538" s="501"/>
      <c r="EXC538" s="501"/>
      <c r="EXD538" s="501"/>
      <c r="EXE538" s="501"/>
      <c r="EXF538" s="501"/>
      <c r="EXG538" s="501"/>
      <c r="EXH538" s="501"/>
      <c r="EXI538" s="501"/>
      <c r="EXJ538" s="501"/>
      <c r="EXK538" s="501"/>
      <c r="EXL538" s="501"/>
      <c r="EXM538" s="501"/>
      <c r="EXN538" s="501"/>
      <c r="EXO538" s="501"/>
      <c r="EXP538" s="501"/>
      <c r="EXQ538" s="501"/>
      <c r="EXR538" s="501"/>
      <c r="EXS538" s="501"/>
      <c r="EXT538" s="501"/>
      <c r="EXU538" s="501"/>
      <c r="EXV538" s="501"/>
      <c r="EXW538" s="501"/>
      <c r="EXX538" s="501"/>
      <c r="EXY538" s="501"/>
      <c r="EXZ538" s="501"/>
      <c r="EYA538" s="501"/>
      <c r="EYB538" s="501"/>
      <c r="EYC538" s="501"/>
      <c r="EYD538" s="501"/>
      <c r="EYE538" s="501"/>
      <c r="EYF538" s="501"/>
      <c r="EYG538" s="501"/>
      <c r="EYH538" s="501"/>
      <c r="EYI538" s="501"/>
      <c r="EYJ538" s="501"/>
      <c r="EYK538" s="501"/>
      <c r="EYL538" s="501"/>
      <c r="EYM538" s="501"/>
      <c r="EYN538" s="501"/>
      <c r="EYO538" s="501"/>
      <c r="EYP538" s="501"/>
      <c r="EYQ538" s="501"/>
      <c r="EYR538" s="501"/>
      <c r="EYS538" s="501"/>
      <c r="EYT538" s="501"/>
      <c r="EYU538" s="501"/>
      <c r="EYV538" s="501"/>
      <c r="EYW538" s="501"/>
      <c r="EYX538" s="501"/>
      <c r="EYY538" s="501"/>
      <c r="EYZ538" s="501"/>
      <c r="EZA538" s="501"/>
      <c r="EZB538" s="501"/>
      <c r="EZC538" s="501"/>
      <c r="EZD538" s="501"/>
      <c r="EZE538" s="501"/>
      <c r="EZF538" s="501"/>
      <c r="EZG538" s="501"/>
      <c r="EZH538" s="501"/>
      <c r="EZI538" s="501"/>
      <c r="EZJ538" s="501"/>
      <c r="EZK538" s="501"/>
      <c r="EZL538" s="501"/>
      <c r="EZM538" s="501"/>
      <c r="EZN538" s="501"/>
      <c r="EZO538" s="501"/>
      <c r="EZP538" s="501"/>
      <c r="EZQ538" s="501"/>
      <c r="EZR538" s="501"/>
      <c r="EZS538" s="501"/>
      <c r="EZT538" s="501"/>
      <c r="EZU538" s="501"/>
      <c r="EZV538" s="501"/>
      <c r="EZW538" s="501"/>
      <c r="EZX538" s="501"/>
      <c r="EZY538" s="501"/>
      <c r="EZZ538" s="501"/>
      <c r="FAA538" s="501"/>
      <c r="FAB538" s="501"/>
      <c r="FAC538" s="501"/>
      <c r="FAD538" s="501"/>
      <c r="FAE538" s="501"/>
      <c r="FAF538" s="501"/>
      <c r="FAG538" s="501"/>
      <c r="FAH538" s="501"/>
      <c r="FAI538" s="501"/>
      <c r="FAJ538" s="501"/>
      <c r="FAK538" s="501"/>
      <c r="FAL538" s="501"/>
      <c r="FAM538" s="501"/>
      <c r="FAN538" s="501"/>
      <c r="FAO538" s="501"/>
      <c r="FAP538" s="501"/>
      <c r="FAQ538" s="501"/>
      <c r="FAR538" s="501"/>
      <c r="FAS538" s="501"/>
      <c r="FAT538" s="501"/>
      <c r="FAU538" s="501"/>
      <c r="FAV538" s="501"/>
      <c r="FAW538" s="501"/>
      <c r="FAX538" s="501"/>
      <c r="FAY538" s="501"/>
      <c r="FAZ538" s="501"/>
      <c r="FBA538" s="501"/>
      <c r="FBB538" s="501"/>
      <c r="FBC538" s="501"/>
      <c r="FBD538" s="501"/>
      <c r="FBE538" s="501"/>
      <c r="FBF538" s="501"/>
      <c r="FBG538" s="501"/>
      <c r="FBH538" s="501"/>
      <c r="FBI538" s="501"/>
      <c r="FBJ538" s="501"/>
      <c r="FBK538" s="501"/>
      <c r="FBL538" s="501"/>
      <c r="FBM538" s="501"/>
      <c r="FBN538" s="501"/>
      <c r="FBO538" s="501"/>
      <c r="FBP538" s="501"/>
      <c r="FBQ538" s="501"/>
      <c r="FBR538" s="501"/>
      <c r="FBS538" s="501"/>
      <c r="FBT538" s="501"/>
      <c r="FBU538" s="501"/>
      <c r="FBV538" s="501"/>
      <c r="FBW538" s="501"/>
      <c r="FBX538" s="501"/>
      <c r="FBY538" s="501"/>
      <c r="FBZ538" s="501"/>
      <c r="FCA538" s="501"/>
      <c r="FCB538" s="501"/>
      <c r="FCC538" s="501"/>
      <c r="FCD538" s="501"/>
      <c r="FCE538" s="501"/>
      <c r="FCF538" s="501"/>
      <c r="FCG538" s="501"/>
      <c r="FCH538" s="501"/>
      <c r="FCI538" s="501"/>
      <c r="FCJ538" s="501"/>
      <c r="FCK538" s="501"/>
      <c r="FCL538" s="501"/>
      <c r="FCM538" s="501"/>
      <c r="FCN538" s="501"/>
      <c r="FCO538" s="501"/>
      <c r="FCP538" s="501"/>
      <c r="FCQ538" s="501"/>
      <c r="FCR538" s="501"/>
      <c r="FCS538" s="501"/>
      <c r="FCT538" s="501"/>
      <c r="FCU538" s="501"/>
      <c r="FCV538" s="501"/>
      <c r="FCW538" s="501"/>
      <c r="FCX538" s="501"/>
      <c r="FCY538" s="501"/>
      <c r="FCZ538" s="501"/>
      <c r="FDA538" s="501"/>
      <c r="FDB538" s="501"/>
      <c r="FDC538" s="501"/>
      <c r="FDD538" s="501"/>
      <c r="FDE538" s="501"/>
      <c r="FDF538" s="501"/>
      <c r="FDG538" s="501"/>
      <c r="FDH538" s="501"/>
      <c r="FDI538" s="501"/>
      <c r="FDJ538" s="501"/>
      <c r="FDK538" s="501"/>
      <c r="FDL538" s="501"/>
      <c r="FDM538" s="501"/>
      <c r="FDN538" s="501"/>
      <c r="FDO538" s="501"/>
      <c r="FDP538" s="501"/>
      <c r="FDQ538" s="501"/>
      <c r="FDR538" s="501"/>
      <c r="FDS538" s="501"/>
      <c r="FDT538" s="501"/>
      <c r="FDU538" s="501"/>
      <c r="FDV538" s="501"/>
      <c r="FDW538" s="501"/>
      <c r="FDX538" s="501"/>
      <c r="FDY538" s="501"/>
      <c r="FDZ538" s="501"/>
      <c r="FEA538" s="501"/>
      <c r="FEB538" s="501"/>
      <c r="FEC538" s="501"/>
      <c r="FED538" s="501"/>
      <c r="FEE538" s="501"/>
      <c r="FEF538" s="501"/>
      <c r="FEG538" s="501"/>
      <c r="FEH538" s="501"/>
      <c r="FEI538" s="501"/>
      <c r="FEJ538" s="501"/>
      <c r="FEK538" s="501"/>
      <c r="FEL538" s="501"/>
      <c r="FEM538" s="501"/>
      <c r="FEN538" s="501"/>
      <c r="FEO538" s="501"/>
      <c r="FEP538" s="501"/>
      <c r="FEQ538" s="501"/>
      <c r="FER538" s="501"/>
      <c r="FES538" s="501"/>
      <c r="FET538" s="501"/>
      <c r="FEU538" s="501"/>
      <c r="FEV538" s="501"/>
      <c r="FEW538" s="501"/>
      <c r="FEX538" s="501"/>
      <c r="FEY538" s="501"/>
      <c r="FEZ538" s="501"/>
      <c r="FFA538" s="501"/>
      <c r="FFB538" s="501"/>
      <c r="FFC538" s="501"/>
      <c r="FFD538" s="501"/>
      <c r="FFE538" s="501"/>
      <c r="FFF538" s="501"/>
      <c r="FFG538" s="501"/>
      <c r="FFH538" s="501"/>
      <c r="FFI538" s="501"/>
      <c r="FFJ538" s="501"/>
      <c r="FFK538" s="501"/>
      <c r="FFL538" s="501"/>
      <c r="FFM538" s="501"/>
      <c r="FFN538" s="501"/>
      <c r="FFO538" s="501"/>
      <c r="FFP538" s="501"/>
      <c r="FFQ538" s="501"/>
      <c r="FFR538" s="501"/>
      <c r="FFS538" s="501"/>
      <c r="FFT538" s="501"/>
      <c r="FFU538" s="501"/>
      <c r="FFV538" s="501"/>
      <c r="FFW538" s="501"/>
      <c r="FFX538" s="501"/>
      <c r="FFY538" s="501"/>
      <c r="FFZ538" s="501"/>
      <c r="FGA538" s="501"/>
      <c r="FGB538" s="501"/>
      <c r="FGC538" s="501"/>
      <c r="FGD538" s="501"/>
      <c r="FGE538" s="501"/>
      <c r="FGF538" s="501"/>
      <c r="FGG538" s="501"/>
      <c r="FGH538" s="501"/>
      <c r="FGI538" s="501"/>
      <c r="FGJ538" s="501"/>
      <c r="FGK538" s="501"/>
      <c r="FGL538" s="501"/>
      <c r="FGM538" s="501"/>
      <c r="FGN538" s="501"/>
      <c r="FGO538" s="501"/>
      <c r="FGP538" s="501"/>
      <c r="FGQ538" s="501"/>
      <c r="FGR538" s="501"/>
      <c r="FGS538" s="501"/>
      <c r="FGT538" s="501"/>
      <c r="FGU538" s="501"/>
      <c r="FGV538" s="501"/>
      <c r="FGW538" s="501"/>
      <c r="FGX538" s="501"/>
      <c r="FGY538" s="501"/>
      <c r="FGZ538" s="501"/>
      <c r="FHA538" s="501"/>
      <c r="FHB538" s="501"/>
      <c r="FHC538" s="501"/>
      <c r="FHD538" s="501"/>
      <c r="FHE538" s="501"/>
      <c r="FHF538" s="501"/>
      <c r="FHG538" s="501"/>
      <c r="FHH538" s="501"/>
      <c r="FHI538" s="501"/>
      <c r="FHJ538" s="501"/>
      <c r="FHK538" s="501"/>
      <c r="FHL538" s="501"/>
      <c r="FHM538" s="501"/>
      <c r="FHN538" s="501"/>
      <c r="FHO538" s="501"/>
      <c r="FHP538" s="501"/>
      <c r="FHQ538" s="501"/>
      <c r="FHR538" s="501"/>
      <c r="FHS538" s="501"/>
      <c r="FHT538" s="501"/>
      <c r="FHU538" s="501"/>
      <c r="FHV538" s="501"/>
      <c r="FHW538" s="501"/>
      <c r="FHX538" s="501"/>
      <c r="FHY538" s="501"/>
      <c r="FHZ538" s="501"/>
      <c r="FIA538" s="501"/>
      <c r="FIB538" s="501"/>
      <c r="FIC538" s="501"/>
      <c r="FID538" s="501"/>
      <c r="FIE538" s="501"/>
      <c r="FIF538" s="501"/>
      <c r="FIG538" s="501"/>
      <c r="FIH538" s="501"/>
      <c r="FII538" s="501"/>
      <c r="FIJ538" s="501"/>
      <c r="FIK538" s="501"/>
      <c r="FIL538" s="501"/>
      <c r="FIM538" s="501"/>
      <c r="FIN538" s="501"/>
      <c r="FIO538" s="501"/>
      <c r="FIP538" s="501"/>
      <c r="FIQ538" s="501"/>
      <c r="FIR538" s="501"/>
      <c r="FIS538" s="501"/>
      <c r="FIT538" s="501"/>
      <c r="FIU538" s="501"/>
      <c r="FIV538" s="501"/>
      <c r="FIW538" s="501"/>
      <c r="FIX538" s="501"/>
      <c r="FIY538" s="501"/>
      <c r="FIZ538" s="501"/>
      <c r="FJA538" s="501"/>
      <c r="FJB538" s="501"/>
      <c r="FJC538" s="501"/>
      <c r="FJD538" s="501"/>
      <c r="FJE538" s="501"/>
      <c r="FJF538" s="501"/>
      <c r="FJG538" s="501"/>
      <c r="FJH538" s="501"/>
      <c r="FJI538" s="501"/>
      <c r="FJJ538" s="501"/>
      <c r="FJK538" s="501"/>
      <c r="FJL538" s="501"/>
      <c r="FJM538" s="501"/>
      <c r="FJN538" s="501"/>
      <c r="FJO538" s="501"/>
      <c r="FJP538" s="501"/>
      <c r="FJQ538" s="501"/>
      <c r="FJR538" s="501"/>
      <c r="FJS538" s="501"/>
      <c r="FJT538" s="501"/>
      <c r="FJU538" s="501"/>
      <c r="FJV538" s="501"/>
      <c r="FJW538" s="501"/>
      <c r="FJX538" s="501"/>
      <c r="FJY538" s="501"/>
      <c r="FJZ538" s="501"/>
      <c r="FKA538" s="501"/>
      <c r="FKB538" s="501"/>
      <c r="FKC538" s="501"/>
      <c r="FKD538" s="501"/>
      <c r="FKE538" s="501"/>
      <c r="FKF538" s="501"/>
      <c r="FKG538" s="501"/>
      <c r="FKH538" s="501"/>
      <c r="FKI538" s="501"/>
      <c r="FKJ538" s="501"/>
      <c r="FKK538" s="501"/>
      <c r="FKL538" s="501"/>
      <c r="FKM538" s="501"/>
      <c r="FKN538" s="501"/>
      <c r="FKO538" s="501"/>
      <c r="FKP538" s="501"/>
      <c r="FKQ538" s="501"/>
      <c r="FKR538" s="501"/>
      <c r="FKS538" s="501"/>
      <c r="FKT538" s="501"/>
      <c r="FKU538" s="501"/>
      <c r="FKV538" s="501"/>
      <c r="FKW538" s="501"/>
      <c r="FKX538" s="501"/>
      <c r="FKY538" s="501"/>
      <c r="FKZ538" s="501"/>
      <c r="FLA538" s="501"/>
      <c r="FLB538" s="501"/>
      <c r="FLC538" s="501"/>
      <c r="FLD538" s="501"/>
      <c r="FLE538" s="501"/>
      <c r="FLF538" s="501"/>
      <c r="FLG538" s="501"/>
      <c r="FLH538" s="501"/>
      <c r="FLI538" s="501"/>
      <c r="FLJ538" s="501"/>
      <c r="FLK538" s="501"/>
      <c r="FLL538" s="501"/>
      <c r="FLM538" s="501"/>
      <c r="FLN538" s="501"/>
      <c r="FLO538" s="501"/>
      <c r="FLP538" s="501"/>
      <c r="FLQ538" s="501"/>
      <c r="FLR538" s="501"/>
      <c r="FLS538" s="501"/>
      <c r="FLT538" s="501"/>
      <c r="FLU538" s="501"/>
      <c r="FLV538" s="501"/>
      <c r="FLW538" s="501"/>
      <c r="FLX538" s="501"/>
      <c r="FLY538" s="501"/>
      <c r="FLZ538" s="501"/>
      <c r="FMA538" s="501"/>
      <c r="FMB538" s="501"/>
      <c r="FMC538" s="501"/>
      <c r="FMD538" s="501"/>
      <c r="FME538" s="501"/>
      <c r="FMF538" s="501"/>
      <c r="FMG538" s="501"/>
      <c r="FMH538" s="501"/>
      <c r="FMI538" s="501"/>
      <c r="FMJ538" s="501"/>
      <c r="FMK538" s="501"/>
      <c r="FML538" s="501"/>
      <c r="FMM538" s="501"/>
      <c r="FMN538" s="501"/>
      <c r="FMO538" s="501"/>
      <c r="FMP538" s="501"/>
      <c r="FMQ538" s="501"/>
      <c r="FMR538" s="501"/>
      <c r="FMS538" s="501"/>
      <c r="FMT538" s="501"/>
      <c r="FMU538" s="501"/>
      <c r="FMV538" s="501"/>
      <c r="FMW538" s="501"/>
      <c r="FMX538" s="501"/>
      <c r="FMY538" s="501"/>
      <c r="FMZ538" s="501"/>
      <c r="FNA538" s="501"/>
      <c r="FNB538" s="501"/>
      <c r="FNC538" s="501"/>
      <c r="FND538" s="501"/>
      <c r="FNE538" s="501"/>
      <c r="FNF538" s="501"/>
      <c r="FNG538" s="501"/>
      <c r="FNH538" s="501"/>
      <c r="FNI538" s="501"/>
      <c r="FNJ538" s="501"/>
      <c r="FNK538" s="501"/>
      <c r="FNL538" s="501"/>
      <c r="FNM538" s="501"/>
      <c r="FNN538" s="501"/>
      <c r="FNO538" s="501"/>
      <c r="FNP538" s="501"/>
      <c r="FNQ538" s="501"/>
      <c r="FNR538" s="501"/>
      <c r="FNS538" s="501"/>
      <c r="FNT538" s="501"/>
      <c r="FNU538" s="501"/>
      <c r="FNV538" s="501"/>
      <c r="FNW538" s="501"/>
      <c r="FNX538" s="501"/>
      <c r="FNY538" s="501"/>
      <c r="FNZ538" s="501"/>
      <c r="FOA538" s="501"/>
      <c r="FOB538" s="501"/>
      <c r="FOC538" s="501"/>
      <c r="FOD538" s="501"/>
      <c r="FOE538" s="501"/>
      <c r="FOF538" s="501"/>
      <c r="FOG538" s="501"/>
      <c r="FOH538" s="501"/>
      <c r="FOI538" s="501"/>
      <c r="FOJ538" s="501"/>
      <c r="FOK538" s="501"/>
      <c r="FOL538" s="501"/>
      <c r="FOM538" s="501"/>
      <c r="FON538" s="501"/>
      <c r="FOO538" s="501"/>
      <c r="FOP538" s="501"/>
      <c r="FOQ538" s="501"/>
      <c r="FOR538" s="501"/>
      <c r="FOS538" s="501"/>
      <c r="FOT538" s="501"/>
      <c r="FOU538" s="501"/>
      <c r="FOV538" s="501"/>
      <c r="FOW538" s="501"/>
      <c r="FOX538" s="501"/>
      <c r="FOY538" s="501"/>
      <c r="FOZ538" s="501"/>
      <c r="FPA538" s="501"/>
      <c r="FPB538" s="501"/>
      <c r="FPC538" s="501"/>
      <c r="FPD538" s="501"/>
      <c r="FPE538" s="501"/>
      <c r="FPF538" s="501"/>
      <c r="FPG538" s="501"/>
      <c r="FPH538" s="501"/>
      <c r="FPI538" s="501"/>
      <c r="FPJ538" s="501"/>
      <c r="FPK538" s="501"/>
      <c r="FPL538" s="501"/>
      <c r="FPM538" s="501"/>
      <c r="FPN538" s="501"/>
      <c r="FPO538" s="501"/>
      <c r="FPP538" s="501"/>
      <c r="FPQ538" s="501"/>
      <c r="FPR538" s="501"/>
      <c r="FPS538" s="501"/>
      <c r="FPT538" s="501"/>
      <c r="FPU538" s="501"/>
      <c r="FPV538" s="501"/>
      <c r="FPW538" s="501"/>
      <c r="FPX538" s="501"/>
      <c r="FPY538" s="501"/>
      <c r="FPZ538" s="501"/>
      <c r="FQA538" s="501"/>
      <c r="FQB538" s="501"/>
      <c r="FQC538" s="501"/>
      <c r="FQD538" s="501"/>
      <c r="FQE538" s="501"/>
      <c r="FQF538" s="501"/>
      <c r="FQG538" s="501"/>
      <c r="FQH538" s="501"/>
      <c r="FQI538" s="501"/>
      <c r="FQJ538" s="501"/>
      <c r="FQK538" s="501"/>
      <c r="FQL538" s="501"/>
      <c r="FQM538" s="501"/>
      <c r="FQN538" s="501"/>
      <c r="FQO538" s="501"/>
      <c r="FQP538" s="501"/>
      <c r="FQQ538" s="501"/>
      <c r="FQR538" s="501"/>
      <c r="FQS538" s="501"/>
      <c r="FQT538" s="501"/>
      <c r="FQU538" s="501"/>
      <c r="FQV538" s="501"/>
      <c r="FQW538" s="501"/>
      <c r="FQX538" s="501"/>
      <c r="FQY538" s="501"/>
      <c r="FQZ538" s="501"/>
      <c r="FRA538" s="501"/>
      <c r="FRB538" s="501"/>
      <c r="FRC538" s="501"/>
      <c r="FRD538" s="501"/>
      <c r="FRE538" s="501"/>
      <c r="FRF538" s="501"/>
      <c r="FRG538" s="501"/>
      <c r="FRH538" s="501"/>
      <c r="FRI538" s="501"/>
      <c r="FRJ538" s="501"/>
      <c r="FRK538" s="501"/>
      <c r="FRL538" s="501"/>
      <c r="FRM538" s="501"/>
      <c r="FRN538" s="501"/>
      <c r="FRO538" s="501"/>
      <c r="FRP538" s="501"/>
      <c r="FRQ538" s="501"/>
      <c r="FRR538" s="501"/>
      <c r="FRS538" s="501"/>
      <c r="FRT538" s="501"/>
      <c r="FRU538" s="501"/>
      <c r="FRV538" s="501"/>
      <c r="FRW538" s="501"/>
      <c r="FRX538" s="501"/>
      <c r="FRY538" s="501"/>
      <c r="FRZ538" s="501"/>
      <c r="FSA538" s="501"/>
      <c r="FSB538" s="501"/>
      <c r="FSC538" s="501"/>
      <c r="FSD538" s="501"/>
      <c r="FSE538" s="501"/>
      <c r="FSF538" s="501"/>
      <c r="FSG538" s="501"/>
      <c r="FSH538" s="501"/>
      <c r="FSI538" s="501"/>
      <c r="FSJ538" s="501"/>
      <c r="FSK538" s="501"/>
      <c r="FSL538" s="501"/>
      <c r="FSM538" s="501"/>
      <c r="FSN538" s="501"/>
      <c r="FSO538" s="501"/>
      <c r="FSP538" s="501"/>
      <c r="FSQ538" s="501"/>
      <c r="FSR538" s="501"/>
      <c r="FSS538" s="501"/>
      <c r="FST538" s="501"/>
      <c r="FSU538" s="501"/>
      <c r="FSV538" s="501"/>
      <c r="FSW538" s="501"/>
      <c r="FSX538" s="501"/>
      <c r="FSY538" s="501"/>
      <c r="FSZ538" s="501"/>
      <c r="FTA538" s="501"/>
      <c r="FTB538" s="501"/>
      <c r="FTC538" s="501"/>
      <c r="FTD538" s="501"/>
      <c r="FTE538" s="501"/>
      <c r="FTF538" s="501"/>
      <c r="FTG538" s="501"/>
      <c r="FTH538" s="501"/>
      <c r="FTI538" s="501"/>
      <c r="FTJ538" s="501"/>
      <c r="FTK538" s="501"/>
      <c r="FTL538" s="501"/>
      <c r="FTM538" s="501"/>
      <c r="FTN538" s="501"/>
      <c r="FTO538" s="501"/>
      <c r="FTP538" s="501"/>
      <c r="FTQ538" s="501"/>
      <c r="FTR538" s="501"/>
      <c r="FTS538" s="501"/>
      <c r="FTT538" s="501"/>
      <c r="FTU538" s="501"/>
      <c r="FTV538" s="501"/>
      <c r="FTW538" s="501"/>
      <c r="FTX538" s="501"/>
      <c r="FTY538" s="501"/>
      <c r="FTZ538" s="501"/>
      <c r="FUA538" s="501"/>
      <c r="FUB538" s="501"/>
      <c r="FUC538" s="501"/>
      <c r="FUD538" s="501"/>
      <c r="FUE538" s="501"/>
      <c r="FUF538" s="501"/>
      <c r="FUG538" s="501"/>
      <c r="FUH538" s="501"/>
      <c r="FUI538" s="501"/>
      <c r="FUJ538" s="501"/>
      <c r="FUK538" s="501"/>
      <c r="FUL538" s="501"/>
      <c r="FUM538" s="501"/>
      <c r="FUN538" s="501"/>
      <c r="FUO538" s="501"/>
      <c r="FUP538" s="501"/>
      <c r="FUQ538" s="501"/>
      <c r="FUR538" s="501"/>
      <c r="FUS538" s="501"/>
      <c r="FUT538" s="501"/>
      <c r="FUU538" s="501"/>
      <c r="FUV538" s="501"/>
      <c r="FUW538" s="501"/>
      <c r="FUX538" s="501"/>
      <c r="FUY538" s="501"/>
      <c r="FUZ538" s="501"/>
      <c r="FVA538" s="501"/>
      <c r="FVB538" s="501"/>
      <c r="FVC538" s="501"/>
      <c r="FVD538" s="501"/>
      <c r="FVE538" s="501"/>
      <c r="FVF538" s="501"/>
      <c r="FVG538" s="501"/>
      <c r="FVH538" s="501"/>
      <c r="FVI538" s="501"/>
      <c r="FVJ538" s="501"/>
      <c r="FVK538" s="501"/>
      <c r="FVL538" s="501"/>
      <c r="FVM538" s="501"/>
      <c r="FVN538" s="501"/>
      <c r="FVO538" s="501"/>
      <c r="FVP538" s="501"/>
      <c r="FVQ538" s="501"/>
      <c r="FVR538" s="501"/>
      <c r="FVS538" s="501"/>
      <c r="FVT538" s="501"/>
      <c r="FVU538" s="501"/>
      <c r="FVV538" s="501"/>
      <c r="FVW538" s="501"/>
      <c r="FVX538" s="501"/>
      <c r="FVY538" s="501"/>
      <c r="FVZ538" s="501"/>
      <c r="FWA538" s="501"/>
      <c r="FWB538" s="501"/>
      <c r="FWC538" s="501"/>
      <c r="FWD538" s="501"/>
      <c r="FWE538" s="501"/>
      <c r="FWF538" s="501"/>
      <c r="FWG538" s="501"/>
      <c r="FWH538" s="501"/>
      <c r="FWI538" s="501"/>
      <c r="FWJ538" s="501"/>
      <c r="FWK538" s="501"/>
      <c r="FWL538" s="501"/>
      <c r="FWM538" s="501"/>
      <c r="FWN538" s="501"/>
      <c r="FWO538" s="501"/>
      <c r="FWP538" s="501"/>
      <c r="FWQ538" s="501"/>
      <c r="FWR538" s="501"/>
      <c r="FWS538" s="501"/>
      <c r="FWT538" s="501"/>
      <c r="FWU538" s="501"/>
      <c r="FWV538" s="501"/>
      <c r="FWW538" s="501"/>
      <c r="FWX538" s="501"/>
      <c r="FWY538" s="501"/>
      <c r="FWZ538" s="501"/>
      <c r="FXA538" s="501"/>
      <c r="FXB538" s="501"/>
      <c r="FXC538" s="501"/>
      <c r="FXD538" s="501"/>
      <c r="FXE538" s="501"/>
      <c r="FXF538" s="501"/>
      <c r="FXG538" s="501"/>
      <c r="FXH538" s="501"/>
      <c r="FXI538" s="501"/>
      <c r="FXJ538" s="501"/>
      <c r="FXK538" s="501"/>
      <c r="FXL538" s="501"/>
      <c r="FXM538" s="501"/>
      <c r="FXN538" s="501"/>
      <c r="FXO538" s="501"/>
      <c r="FXP538" s="501"/>
      <c r="FXQ538" s="501"/>
      <c r="FXR538" s="501"/>
      <c r="FXS538" s="501"/>
      <c r="FXT538" s="501"/>
      <c r="FXU538" s="501"/>
      <c r="FXV538" s="501"/>
      <c r="FXW538" s="501"/>
      <c r="FXX538" s="501"/>
      <c r="FXY538" s="501"/>
      <c r="FXZ538" s="501"/>
      <c r="FYA538" s="501"/>
      <c r="FYB538" s="501"/>
      <c r="FYC538" s="501"/>
      <c r="FYD538" s="501"/>
      <c r="FYE538" s="501"/>
      <c r="FYF538" s="501"/>
      <c r="FYG538" s="501"/>
      <c r="FYH538" s="501"/>
      <c r="FYI538" s="501"/>
      <c r="FYJ538" s="501"/>
      <c r="FYK538" s="501"/>
      <c r="FYL538" s="501"/>
      <c r="FYM538" s="501"/>
      <c r="FYN538" s="501"/>
      <c r="FYO538" s="501"/>
      <c r="FYP538" s="501"/>
      <c r="FYQ538" s="501"/>
      <c r="FYR538" s="501"/>
      <c r="FYS538" s="501"/>
      <c r="FYT538" s="501"/>
      <c r="FYU538" s="501"/>
      <c r="FYV538" s="501"/>
      <c r="FYW538" s="501"/>
      <c r="FYX538" s="501"/>
      <c r="FYY538" s="501"/>
      <c r="FYZ538" s="501"/>
      <c r="FZA538" s="501"/>
      <c r="FZB538" s="501"/>
      <c r="FZC538" s="501"/>
      <c r="FZD538" s="501"/>
      <c r="FZE538" s="501"/>
      <c r="FZF538" s="501"/>
      <c r="FZG538" s="501"/>
      <c r="FZH538" s="501"/>
      <c r="FZI538" s="501"/>
      <c r="FZJ538" s="501"/>
      <c r="FZK538" s="501"/>
      <c r="FZL538" s="501"/>
      <c r="FZM538" s="501"/>
      <c r="FZN538" s="501"/>
      <c r="FZO538" s="501"/>
      <c r="FZP538" s="501"/>
      <c r="FZQ538" s="501"/>
      <c r="FZR538" s="501"/>
      <c r="FZS538" s="501"/>
      <c r="FZT538" s="501"/>
      <c r="FZU538" s="501"/>
      <c r="FZV538" s="501"/>
      <c r="FZW538" s="501"/>
      <c r="FZX538" s="501"/>
      <c r="FZY538" s="501"/>
      <c r="FZZ538" s="501"/>
      <c r="GAA538" s="501"/>
      <c r="GAB538" s="501"/>
      <c r="GAC538" s="501"/>
      <c r="GAD538" s="501"/>
      <c r="GAE538" s="501"/>
      <c r="GAF538" s="501"/>
      <c r="GAG538" s="501"/>
      <c r="GAH538" s="501"/>
      <c r="GAI538" s="501"/>
      <c r="GAJ538" s="501"/>
      <c r="GAK538" s="501"/>
      <c r="GAL538" s="501"/>
      <c r="GAM538" s="501"/>
      <c r="GAN538" s="501"/>
      <c r="GAO538" s="501"/>
      <c r="GAP538" s="501"/>
      <c r="GAQ538" s="501"/>
      <c r="GAR538" s="501"/>
      <c r="GAS538" s="501"/>
      <c r="GAT538" s="501"/>
      <c r="GAU538" s="501"/>
      <c r="GAV538" s="501"/>
      <c r="GAW538" s="501"/>
      <c r="GAX538" s="501"/>
      <c r="GAY538" s="501"/>
      <c r="GAZ538" s="501"/>
      <c r="GBA538" s="501"/>
      <c r="GBB538" s="501"/>
      <c r="GBC538" s="501"/>
      <c r="GBD538" s="501"/>
      <c r="GBE538" s="501"/>
      <c r="GBF538" s="501"/>
      <c r="GBG538" s="501"/>
      <c r="GBH538" s="501"/>
      <c r="GBI538" s="501"/>
      <c r="GBJ538" s="501"/>
      <c r="GBK538" s="501"/>
      <c r="GBL538" s="501"/>
      <c r="GBM538" s="501"/>
      <c r="GBN538" s="501"/>
      <c r="GBO538" s="501"/>
      <c r="GBP538" s="501"/>
      <c r="GBQ538" s="501"/>
      <c r="GBR538" s="501"/>
      <c r="GBS538" s="501"/>
      <c r="GBT538" s="501"/>
      <c r="GBU538" s="501"/>
      <c r="GBV538" s="501"/>
      <c r="GBW538" s="501"/>
      <c r="GBX538" s="501"/>
      <c r="GBY538" s="501"/>
      <c r="GBZ538" s="501"/>
      <c r="GCA538" s="501"/>
      <c r="GCB538" s="501"/>
      <c r="GCC538" s="501"/>
      <c r="GCD538" s="501"/>
      <c r="GCE538" s="501"/>
      <c r="GCF538" s="501"/>
      <c r="GCG538" s="501"/>
      <c r="GCH538" s="501"/>
      <c r="GCI538" s="501"/>
      <c r="GCJ538" s="501"/>
      <c r="GCK538" s="501"/>
      <c r="GCL538" s="501"/>
      <c r="GCM538" s="501"/>
      <c r="GCN538" s="501"/>
      <c r="GCO538" s="501"/>
      <c r="GCP538" s="501"/>
      <c r="GCQ538" s="501"/>
      <c r="GCR538" s="501"/>
      <c r="GCS538" s="501"/>
      <c r="GCT538" s="501"/>
      <c r="GCU538" s="501"/>
      <c r="GCV538" s="501"/>
      <c r="GCW538" s="501"/>
      <c r="GCX538" s="501"/>
      <c r="GCY538" s="501"/>
      <c r="GCZ538" s="501"/>
      <c r="GDA538" s="501"/>
      <c r="GDB538" s="501"/>
      <c r="GDC538" s="501"/>
      <c r="GDD538" s="501"/>
      <c r="GDE538" s="501"/>
      <c r="GDF538" s="501"/>
      <c r="GDG538" s="501"/>
      <c r="GDH538" s="501"/>
      <c r="GDI538" s="501"/>
      <c r="GDJ538" s="501"/>
      <c r="GDK538" s="501"/>
      <c r="GDL538" s="501"/>
      <c r="GDM538" s="501"/>
      <c r="GDN538" s="501"/>
      <c r="GDO538" s="501"/>
      <c r="GDP538" s="501"/>
      <c r="GDQ538" s="501"/>
      <c r="GDR538" s="501"/>
      <c r="GDS538" s="501"/>
      <c r="GDT538" s="501"/>
      <c r="GDU538" s="501"/>
      <c r="GDV538" s="501"/>
      <c r="GDW538" s="501"/>
      <c r="GDX538" s="501"/>
      <c r="GDY538" s="501"/>
      <c r="GDZ538" s="501"/>
      <c r="GEA538" s="501"/>
      <c r="GEB538" s="501"/>
      <c r="GEC538" s="501"/>
      <c r="GED538" s="501"/>
      <c r="GEE538" s="501"/>
      <c r="GEF538" s="501"/>
      <c r="GEG538" s="501"/>
      <c r="GEH538" s="501"/>
      <c r="GEI538" s="501"/>
      <c r="GEJ538" s="501"/>
      <c r="GEK538" s="501"/>
      <c r="GEL538" s="501"/>
      <c r="GEM538" s="501"/>
      <c r="GEN538" s="501"/>
      <c r="GEO538" s="501"/>
      <c r="GEP538" s="501"/>
      <c r="GEQ538" s="501"/>
      <c r="GER538" s="501"/>
      <c r="GES538" s="501"/>
      <c r="GET538" s="501"/>
      <c r="GEU538" s="501"/>
      <c r="GEV538" s="501"/>
      <c r="GEW538" s="501"/>
      <c r="GEX538" s="501"/>
      <c r="GEY538" s="501"/>
      <c r="GEZ538" s="501"/>
      <c r="GFA538" s="501"/>
      <c r="GFB538" s="501"/>
      <c r="GFC538" s="501"/>
      <c r="GFD538" s="501"/>
      <c r="GFE538" s="501"/>
      <c r="GFF538" s="501"/>
      <c r="GFG538" s="501"/>
      <c r="GFH538" s="501"/>
      <c r="GFI538" s="501"/>
      <c r="GFJ538" s="501"/>
      <c r="GFK538" s="501"/>
      <c r="GFL538" s="501"/>
      <c r="GFM538" s="501"/>
      <c r="GFN538" s="501"/>
      <c r="GFO538" s="501"/>
      <c r="GFP538" s="501"/>
      <c r="GFQ538" s="501"/>
      <c r="GFR538" s="501"/>
      <c r="GFS538" s="501"/>
      <c r="GFT538" s="501"/>
      <c r="GFU538" s="501"/>
      <c r="GFV538" s="501"/>
      <c r="GFW538" s="501"/>
      <c r="GFX538" s="501"/>
      <c r="GFY538" s="501"/>
      <c r="GFZ538" s="501"/>
      <c r="GGA538" s="501"/>
      <c r="GGB538" s="501"/>
      <c r="GGC538" s="501"/>
      <c r="GGD538" s="501"/>
      <c r="GGE538" s="501"/>
      <c r="GGF538" s="501"/>
      <c r="GGG538" s="501"/>
      <c r="GGH538" s="501"/>
      <c r="GGI538" s="501"/>
      <c r="GGJ538" s="501"/>
      <c r="GGK538" s="501"/>
      <c r="GGL538" s="501"/>
      <c r="GGM538" s="501"/>
      <c r="GGN538" s="501"/>
      <c r="GGO538" s="501"/>
      <c r="GGP538" s="501"/>
      <c r="GGQ538" s="501"/>
      <c r="GGR538" s="501"/>
      <c r="GGS538" s="501"/>
      <c r="GGT538" s="501"/>
      <c r="GGU538" s="501"/>
      <c r="GGV538" s="501"/>
      <c r="GGW538" s="501"/>
      <c r="GGX538" s="501"/>
      <c r="GGY538" s="501"/>
      <c r="GGZ538" s="501"/>
      <c r="GHA538" s="501"/>
      <c r="GHB538" s="501"/>
      <c r="GHC538" s="501"/>
      <c r="GHD538" s="501"/>
      <c r="GHE538" s="501"/>
      <c r="GHF538" s="501"/>
      <c r="GHG538" s="501"/>
      <c r="GHH538" s="501"/>
      <c r="GHI538" s="501"/>
      <c r="GHJ538" s="501"/>
      <c r="GHK538" s="501"/>
      <c r="GHL538" s="501"/>
      <c r="GHM538" s="501"/>
      <c r="GHN538" s="501"/>
      <c r="GHO538" s="501"/>
      <c r="GHP538" s="501"/>
      <c r="GHQ538" s="501"/>
      <c r="GHR538" s="501"/>
      <c r="GHS538" s="501"/>
      <c r="GHT538" s="501"/>
      <c r="GHU538" s="501"/>
      <c r="GHV538" s="501"/>
      <c r="GHW538" s="501"/>
      <c r="GHX538" s="501"/>
      <c r="GHY538" s="501"/>
      <c r="GHZ538" s="501"/>
      <c r="GIA538" s="501"/>
      <c r="GIB538" s="501"/>
      <c r="GIC538" s="501"/>
      <c r="GID538" s="501"/>
      <c r="GIE538" s="501"/>
      <c r="GIF538" s="501"/>
      <c r="GIG538" s="501"/>
      <c r="GIH538" s="501"/>
      <c r="GII538" s="501"/>
      <c r="GIJ538" s="501"/>
      <c r="GIK538" s="501"/>
      <c r="GIL538" s="501"/>
      <c r="GIM538" s="501"/>
      <c r="GIN538" s="501"/>
      <c r="GIO538" s="501"/>
      <c r="GIP538" s="501"/>
      <c r="GIQ538" s="501"/>
      <c r="GIR538" s="501"/>
      <c r="GIS538" s="501"/>
      <c r="GIT538" s="501"/>
      <c r="GIU538" s="501"/>
      <c r="GIV538" s="501"/>
      <c r="GIW538" s="501"/>
      <c r="GIX538" s="501"/>
      <c r="GIY538" s="501"/>
      <c r="GIZ538" s="501"/>
      <c r="GJA538" s="501"/>
      <c r="GJB538" s="501"/>
      <c r="GJC538" s="501"/>
      <c r="GJD538" s="501"/>
      <c r="GJE538" s="501"/>
      <c r="GJF538" s="501"/>
      <c r="GJG538" s="501"/>
      <c r="GJH538" s="501"/>
      <c r="GJI538" s="501"/>
      <c r="GJJ538" s="501"/>
      <c r="GJK538" s="501"/>
      <c r="GJL538" s="501"/>
      <c r="GJM538" s="501"/>
      <c r="GJN538" s="501"/>
      <c r="GJO538" s="501"/>
      <c r="GJP538" s="501"/>
      <c r="GJQ538" s="501"/>
      <c r="GJR538" s="501"/>
      <c r="GJS538" s="501"/>
      <c r="GJT538" s="501"/>
      <c r="GJU538" s="501"/>
      <c r="GJV538" s="501"/>
      <c r="GJW538" s="501"/>
      <c r="GJX538" s="501"/>
      <c r="GJY538" s="501"/>
      <c r="GJZ538" s="501"/>
      <c r="GKA538" s="501"/>
      <c r="GKB538" s="501"/>
      <c r="GKC538" s="501"/>
      <c r="GKD538" s="501"/>
      <c r="GKE538" s="501"/>
      <c r="GKF538" s="501"/>
      <c r="GKG538" s="501"/>
      <c r="GKH538" s="501"/>
      <c r="GKI538" s="501"/>
      <c r="GKJ538" s="501"/>
      <c r="GKK538" s="501"/>
      <c r="GKL538" s="501"/>
      <c r="GKM538" s="501"/>
      <c r="GKN538" s="501"/>
      <c r="GKO538" s="501"/>
      <c r="GKP538" s="501"/>
      <c r="GKQ538" s="501"/>
      <c r="GKR538" s="501"/>
      <c r="GKS538" s="501"/>
      <c r="GKT538" s="501"/>
      <c r="GKU538" s="501"/>
      <c r="GKV538" s="501"/>
      <c r="GKW538" s="501"/>
      <c r="GKX538" s="501"/>
      <c r="GKY538" s="501"/>
      <c r="GKZ538" s="501"/>
      <c r="GLA538" s="501"/>
      <c r="GLB538" s="501"/>
      <c r="GLC538" s="501"/>
      <c r="GLD538" s="501"/>
      <c r="GLE538" s="501"/>
      <c r="GLF538" s="501"/>
      <c r="GLG538" s="501"/>
      <c r="GLH538" s="501"/>
      <c r="GLI538" s="501"/>
      <c r="GLJ538" s="501"/>
      <c r="GLK538" s="501"/>
      <c r="GLL538" s="501"/>
      <c r="GLM538" s="501"/>
      <c r="GLN538" s="501"/>
      <c r="GLO538" s="501"/>
      <c r="GLP538" s="501"/>
      <c r="GLQ538" s="501"/>
      <c r="GLR538" s="501"/>
      <c r="GLS538" s="501"/>
      <c r="GLT538" s="501"/>
      <c r="GLU538" s="501"/>
      <c r="GLV538" s="501"/>
      <c r="GLW538" s="501"/>
      <c r="GLX538" s="501"/>
      <c r="GLY538" s="501"/>
      <c r="GLZ538" s="501"/>
      <c r="GMA538" s="501"/>
      <c r="GMB538" s="501"/>
      <c r="GMC538" s="501"/>
      <c r="GMD538" s="501"/>
      <c r="GME538" s="501"/>
      <c r="GMF538" s="501"/>
      <c r="GMG538" s="501"/>
      <c r="GMH538" s="501"/>
      <c r="GMI538" s="501"/>
      <c r="GMJ538" s="501"/>
      <c r="GMK538" s="501"/>
      <c r="GML538" s="501"/>
      <c r="GMM538" s="501"/>
      <c r="GMN538" s="501"/>
      <c r="GMO538" s="501"/>
      <c r="GMP538" s="501"/>
      <c r="GMQ538" s="501"/>
      <c r="GMR538" s="501"/>
      <c r="GMS538" s="501"/>
      <c r="GMT538" s="501"/>
      <c r="GMU538" s="501"/>
      <c r="GMV538" s="501"/>
      <c r="GMW538" s="501"/>
      <c r="GMX538" s="501"/>
      <c r="GMY538" s="501"/>
      <c r="GMZ538" s="501"/>
      <c r="GNA538" s="501"/>
      <c r="GNB538" s="501"/>
      <c r="GNC538" s="501"/>
      <c r="GND538" s="501"/>
      <c r="GNE538" s="501"/>
      <c r="GNF538" s="501"/>
      <c r="GNG538" s="501"/>
      <c r="GNH538" s="501"/>
      <c r="GNI538" s="501"/>
      <c r="GNJ538" s="501"/>
      <c r="GNK538" s="501"/>
      <c r="GNL538" s="501"/>
      <c r="GNM538" s="501"/>
      <c r="GNN538" s="501"/>
      <c r="GNO538" s="501"/>
      <c r="GNP538" s="501"/>
      <c r="GNQ538" s="501"/>
      <c r="GNR538" s="501"/>
      <c r="GNS538" s="501"/>
      <c r="GNT538" s="501"/>
      <c r="GNU538" s="501"/>
      <c r="GNV538" s="501"/>
      <c r="GNW538" s="501"/>
      <c r="GNX538" s="501"/>
      <c r="GNY538" s="501"/>
      <c r="GNZ538" s="501"/>
      <c r="GOA538" s="501"/>
      <c r="GOB538" s="501"/>
      <c r="GOC538" s="501"/>
      <c r="GOD538" s="501"/>
      <c r="GOE538" s="501"/>
      <c r="GOF538" s="501"/>
      <c r="GOG538" s="501"/>
      <c r="GOH538" s="501"/>
      <c r="GOI538" s="501"/>
      <c r="GOJ538" s="501"/>
      <c r="GOK538" s="501"/>
      <c r="GOL538" s="501"/>
      <c r="GOM538" s="501"/>
      <c r="GON538" s="501"/>
      <c r="GOO538" s="501"/>
      <c r="GOP538" s="501"/>
      <c r="GOQ538" s="501"/>
      <c r="GOR538" s="501"/>
      <c r="GOS538" s="501"/>
      <c r="GOT538" s="501"/>
      <c r="GOU538" s="501"/>
      <c r="GOV538" s="501"/>
      <c r="GOW538" s="501"/>
      <c r="GOX538" s="501"/>
      <c r="GOY538" s="501"/>
      <c r="GOZ538" s="501"/>
      <c r="GPA538" s="501"/>
      <c r="GPB538" s="501"/>
      <c r="GPC538" s="501"/>
      <c r="GPD538" s="501"/>
      <c r="GPE538" s="501"/>
      <c r="GPF538" s="501"/>
      <c r="GPG538" s="501"/>
      <c r="GPH538" s="501"/>
      <c r="GPI538" s="501"/>
      <c r="GPJ538" s="501"/>
      <c r="GPK538" s="501"/>
      <c r="GPL538" s="501"/>
      <c r="GPM538" s="501"/>
      <c r="GPN538" s="501"/>
      <c r="GPO538" s="501"/>
      <c r="GPP538" s="501"/>
      <c r="GPQ538" s="501"/>
      <c r="GPR538" s="501"/>
      <c r="GPS538" s="501"/>
      <c r="GPT538" s="501"/>
      <c r="GPU538" s="501"/>
      <c r="GPV538" s="501"/>
      <c r="GPW538" s="501"/>
      <c r="GPX538" s="501"/>
      <c r="GPY538" s="501"/>
      <c r="GPZ538" s="501"/>
      <c r="GQA538" s="501"/>
      <c r="GQB538" s="501"/>
      <c r="GQC538" s="501"/>
      <c r="GQD538" s="501"/>
      <c r="GQE538" s="501"/>
      <c r="GQF538" s="501"/>
      <c r="GQG538" s="501"/>
      <c r="GQH538" s="501"/>
      <c r="GQI538" s="501"/>
      <c r="GQJ538" s="501"/>
      <c r="GQK538" s="501"/>
      <c r="GQL538" s="501"/>
      <c r="GQM538" s="501"/>
      <c r="GQN538" s="501"/>
      <c r="GQO538" s="501"/>
      <c r="GQP538" s="501"/>
      <c r="GQQ538" s="501"/>
      <c r="GQR538" s="501"/>
      <c r="GQS538" s="501"/>
      <c r="GQT538" s="501"/>
      <c r="GQU538" s="501"/>
      <c r="GQV538" s="501"/>
      <c r="GQW538" s="501"/>
      <c r="GQX538" s="501"/>
      <c r="GQY538" s="501"/>
      <c r="GQZ538" s="501"/>
      <c r="GRA538" s="501"/>
      <c r="GRB538" s="501"/>
      <c r="GRC538" s="501"/>
      <c r="GRD538" s="501"/>
      <c r="GRE538" s="501"/>
      <c r="GRF538" s="501"/>
      <c r="GRG538" s="501"/>
      <c r="GRH538" s="501"/>
      <c r="GRI538" s="501"/>
      <c r="GRJ538" s="501"/>
      <c r="GRK538" s="501"/>
      <c r="GRL538" s="501"/>
      <c r="GRM538" s="501"/>
      <c r="GRN538" s="501"/>
      <c r="GRO538" s="501"/>
      <c r="GRP538" s="501"/>
      <c r="GRQ538" s="501"/>
      <c r="GRR538" s="501"/>
      <c r="GRS538" s="501"/>
      <c r="GRT538" s="501"/>
      <c r="GRU538" s="501"/>
      <c r="GRV538" s="501"/>
      <c r="GRW538" s="501"/>
      <c r="GRX538" s="501"/>
      <c r="GRY538" s="501"/>
      <c r="GRZ538" s="501"/>
      <c r="GSA538" s="501"/>
      <c r="GSB538" s="501"/>
      <c r="GSC538" s="501"/>
      <c r="GSD538" s="501"/>
      <c r="GSE538" s="501"/>
      <c r="GSF538" s="501"/>
      <c r="GSG538" s="501"/>
      <c r="GSH538" s="501"/>
      <c r="GSI538" s="501"/>
      <c r="GSJ538" s="501"/>
      <c r="GSK538" s="501"/>
      <c r="GSL538" s="501"/>
      <c r="GSM538" s="501"/>
      <c r="GSN538" s="501"/>
      <c r="GSO538" s="501"/>
      <c r="GSP538" s="501"/>
      <c r="GSQ538" s="501"/>
      <c r="GSR538" s="501"/>
      <c r="GSS538" s="501"/>
      <c r="GST538" s="501"/>
      <c r="GSU538" s="501"/>
      <c r="GSV538" s="501"/>
      <c r="GSW538" s="501"/>
      <c r="GSX538" s="501"/>
      <c r="GSY538" s="501"/>
      <c r="GSZ538" s="501"/>
      <c r="GTA538" s="501"/>
      <c r="GTB538" s="501"/>
      <c r="GTC538" s="501"/>
      <c r="GTD538" s="501"/>
      <c r="GTE538" s="501"/>
      <c r="GTF538" s="501"/>
      <c r="GTG538" s="501"/>
      <c r="GTH538" s="501"/>
      <c r="GTI538" s="501"/>
      <c r="GTJ538" s="501"/>
      <c r="GTK538" s="501"/>
      <c r="GTL538" s="501"/>
      <c r="GTM538" s="501"/>
      <c r="GTN538" s="501"/>
      <c r="GTO538" s="501"/>
      <c r="GTP538" s="501"/>
      <c r="GTQ538" s="501"/>
      <c r="GTR538" s="501"/>
      <c r="GTS538" s="501"/>
      <c r="GTT538" s="501"/>
      <c r="GTU538" s="501"/>
      <c r="GTV538" s="501"/>
      <c r="GTW538" s="501"/>
      <c r="GTX538" s="501"/>
      <c r="GTY538" s="501"/>
      <c r="GTZ538" s="501"/>
      <c r="GUA538" s="501"/>
      <c r="GUB538" s="501"/>
      <c r="GUC538" s="501"/>
      <c r="GUD538" s="501"/>
      <c r="GUE538" s="501"/>
      <c r="GUF538" s="501"/>
      <c r="GUG538" s="501"/>
      <c r="GUH538" s="501"/>
      <c r="GUI538" s="501"/>
      <c r="GUJ538" s="501"/>
      <c r="GUK538" s="501"/>
      <c r="GUL538" s="501"/>
      <c r="GUM538" s="501"/>
      <c r="GUN538" s="501"/>
      <c r="GUO538" s="501"/>
      <c r="GUP538" s="501"/>
      <c r="GUQ538" s="501"/>
      <c r="GUR538" s="501"/>
      <c r="GUS538" s="501"/>
      <c r="GUT538" s="501"/>
      <c r="GUU538" s="501"/>
      <c r="GUV538" s="501"/>
      <c r="GUW538" s="501"/>
      <c r="GUX538" s="501"/>
      <c r="GUY538" s="501"/>
      <c r="GUZ538" s="501"/>
      <c r="GVA538" s="501"/>
      <c r="GVB538" s="501"/>
      <c r="GVC538" s="501"/>
      <c r="GVD538" s="501"/>
      <c r="GVE538" s="501"/>
      <c r="GVF538" s="501"/>
      <c r="GVG538" s="501"/>
      <c r="GVH538" s="501"/>
      <c r="GVI538" s="501"/>
      <c r="GVJ538" s="501"/>
      <c r="GVK538" s="501"/>
      <c r="GVL538" s="501"/>
      <c r="GVM538" s="501"/>
      <c r="GVN538" s="501"/>
      <c r="GVO538" s="501"/>
      <c r="GVP538" s="501"/>
      <c r="GVQ538" s="501"/>
      <c r="GVR538" s="501"/>
      <c r="GVS538" s="501"/>
      <c r="GVT538" s="501"/>
      <c r="GVU538" s="501"/>
      <c r="GVV538" s="501"/>
      <c r="GVW538" s="501"/>
      <c r="GVX538" s="501"/>
      <c r="GVY538" s="501"/>
      <c r="GVZ538" s="501"/>
      <c r="GWA538" s="501"/>
      <c r="GWB538" s="501"/>
      <c r="GWC538" s="501"/>
      <c r="GWD538" s="501"/>
      <c r="GWE538" s="501"/>
      <c r="GWF538" s="501"/>
      <c r="GWG538" s="501"/>
      <c r="GWH538" s="501"/>
      <c r="GWI538" s="501"/>
      <c r="GWJ538" s="501"/>
      <c r="GWK538" s="501"/>
      <c r="GWL538" s="501"/>
      <c r="GWM538" s="501"/>
      <c r="GWN538" s="501"/>
      <c r="GWO538" s="501"/>
      <c r="GWP538" s="501"/>
      <c r="GWQ538" s="501"/>
      <c r="GWR538" s="501"/>
      <c r="GWS538" s="501"/>
      <c r="GWT538" s="501"/>
      <c r="GWU538" s="501"/>
      <c r="GWV538" s="501"/>
      <c r="GWW538" s="501"/>
      <c r="GWX538" s="501"/>
      <c r="GWY538" s="501"/>
      <c r="GWZ538" s="501"/>
      <c r="GXA538" s="501"/>
      <c r="GXB538" s="501"/>
      <c r="GXC538" s="501"/>
      <c r="GXD538" s="501"/>
      <c r="GXE538" s="501"/>
      <c r="GXF538" s="501"/>
      <c r="GXG538" s="501"/>
      <c r="GXH538" s="501"/>
      <c r="GXI538" s="501"/>
      <c r="GXJ538" s="501"/>
      <c r="GXK538" s="501"/>
      <c r="GXL538" s="501"/>
      <c r="GXM538" s="501"/>
      <c r="GXN538" s="501"/>
      <c r="GXO538" s="501"/>
      <c r="GXP538" s="501"/>
      <c r="GXQ538" s="501"/>
      <c r="GXR538" s="501"/>
      <c r="GXS538" s="501"/>
      <c r="GXT538" s="501"/>
      <c r="GXU538" s="501"/>
      <c r="GXV538" s="501"/>
      <c r="GXW538" s="501"/>
      <c r="GXX538" s="501"/>
      <c r="GXY538" s="501"/>
      <c r="GXZ538" s="501"/>
      <c r="GYA538" s="501"/>
      <c r="GYB538" s="501"/>
      <c r="GYC538" s="501"/>
      <c r="GYD538" s="501"/>
      <c r="GYE538" s="501"/>
      <c r="GYF538" s="501"/>
      <c r="GYG538" s="501"/>
      <c r="GYH538" s="501"/>
      <c r="GYI538" s="501"/>
      <c r="GYJ538" s="501"/>
      <c r="GYK538" s="501"/>
      <c r="GYL538" s="501"/>
      <c r="GYM538" s="501"/>
      <c r="GYN538" s="501"/>
      <c r="GYO538" s="501"/>
      <c r="GYP538" s="501"/>
      <c r="GYQ538" s="501"/>
      <c r="GYR538" s="501"/>
      <c r="GYS538" s="501"/>
      <c r="GYT538" s="501"/>
      <c r="GYU538" s="501"/>
      <c r="GYV538" s="501"/>
      <c r="GYW538" s="501"/>
      <c r="GYX538" s="501"/>
      <c r="GYY538" s="501"/>
      <c r="GYZ538" s="501"/>
      <c r="GZA538" s="501"/>
      <c r="GZB538" s="501"/>
      <c r="GZC538" s="501"/>
      <c r="GZD538" s="501"/>
      <c r="GZE538" s="501"/>
      <c r="GZF538" s="501"/>
      <c r="GZG538" s="501"/>
      <c r="GZH538" s="501"/>
      <c r="GZI538" s="501"/>
      <c r="GZJ538" s="501"/>
      <c r="GZK538" s="501"/>
      <c r="GZL538" s="501"/>
      <c r="GZM538" s="501"/>
      <c r="GZN538" s="501"/>
      <c r="GZO538" s="501"/>
      <c r="GZP538" s="501"/>
      <c r="GZQ538" s="501"/>
      <c r="GZR538" s="501"/>
      <c r="GZS538" s="501"/>
      <c r="GZT538" s="501"/>
      <c r="GZU538" s="501"/>
      <c r="GZV538" s="501"/>
      <c r="GZW538" s="501"/>
      <c r="GZX538" s="501"/>
      <c r="GZY538" s="501"/>
      <c r="GZZ538" s="501"/>
      <c r="HAA538" s="501"/>
      <c r="HAB538" s="501"/>
      <c r="HAC538" s="501"/>
      <c r="HAD538" s="501"/>
      <c r="HAE538" s="501"/>
      <c r="HAF538" s="501"/>
      <c r="HAG538" s="501"/>
      <c r="HAH538" s="501"/>
      <c r="HAI538" s="501"/>
      <c r="HAJ538" s="501"/>
      <c r="HAK538" s="501"/>
      <c r="HAL538" s="501"/>
      <c r="HAM538" s="501"/>
      <c r="HAN538" s="501"/>
      <c r="HAO538" s="501"/>
      <c r="HAP538" s="501"/>
      <c r="HAQ538" s="501"/>
      <c r="HAR538" s="501"/>
      <c r="HAS538" s="501"/>
      <c r="HAT538" s="501"/>
      <c r="HAU538" s="501"/>
      <c r="HAV538" s="501"/>
      <c r="HAW538" s="501"/>
      <c r="HAX538" s="501"/>
      <c r="HAY538" s="501"/>
      <c r="HAZ538" s="501"/>
      <c r="HBA538" s="501"/>
      <c r="HBB538" s="501"/>
      <c r="HBC538" s="501"/>
      <c r="HBD538" s="501"/>
      <c r="HBE538" s="501"/>
      <c r="HBF538" s="501"/>
      <c r="HBG538" s="501"/>
      <c r="HBH538" s="501"/>
      <c r="HBI538" s="501"/>
      <c r="HBJ538" s="501"/>
      <c r="HBK538" s="501"/>
      <c r="HBL538" s="501"/>
      <c r="HBM538" s="501"/>
      <c r="HBN538" s="501"/>
      <c r="HBO538" s="501"/>
      <c r="HBP538" s="501"/>
      <c r="HBQ538" s="501"/>
      <c r="HBR538" s="501"/>
      <c r="HBS538" s="501"/>
      <c r="HBT538" s="501"/>
      <c r="HBU538" s="501"/>
      <c r="HBV538" s="501"/>
      <c r="HBW538" s="501"/>
      <c r="HBX538" s="501"/>
      <c r="HBY538" s="501"/>
      <c r="HBZ538" s="501"/>
      <c r="HCA538" s="501"/>
      <c r="HCB538" s="501"/>
      <c r="HCC538" s="501"/>
      <c r="HCD538" s="501"/>
      <c r="HCE538" s="501"/>
      <c r="HCF538" s="501"/>
      <c r="HCG538" s="501"/>
      <c r="HCH538" s="501"/>
      <c r="HCI538" s="501"/>
      <c r="HCJ538" s="501"/>
      <c r="HCK538" s="501"/>
      <c r="HCL538" s="501"/>
      <c r="HCM538" s="501"/>
      <c r="HCN538" s="501"/>
      <c r="HCO538" s="501"/>
      <c r="HCP538" s="501"/>
      <c r="HCQ538" s="501"/>
      <c r="HCR538" s="501"/>
      <c r="HCS538" s="501"/>
      <c r="HCT538" s="501"/>
      <c r="HCU538" s="501"/>
      <c r="HCV538" s="501"/>
      <c r="HCW538" s="501"/>
      <c r="HCX538" s="501"/>
      <c r="HCY538" s="501"/>
      <c r="HCZ538" s="501"/>
      <c r="HDA538" s="501"/>
      <c r="HDB538" s="501"/>
      <c r="HDC538" s="501"/>
      <c r="HDD538" s="501"/>
      <c r="HDE538" s="501"/>
      <c r="HDF538" s="501"/>
      <c r="HDG538" s="501"/>
      <c r="HDH538" s="501"/>
      <c r="HDI538" s="501"/>
      <c r="HDJ538" s="501"/>
      <c r="HDK538" s="501"/>
      <c r="HDL538" s="501"/>
      <c r="HDM538" s="501"/>
      <c r="HDN538" s="501"/>
      <c r="HDO538" s="501"/>
      <c r="HDP538" s="501"/>
      <c r="HDQ538" s="501"/>
      <c r="HDR538" s="501"/>
      <c r="HDS538" s="501"/>
      <c r="HDT538" s="501"/>
      <c r="HDU538" s="501"/>
      <c r="HDV538" s="501"/>
      <c r="HDW538" s="501"/>
      <c r="HDX538" s="501"/>
      <c r="HDY538" s="501"/>
      <c r="HDZ538" s="501"/>
      <c r="HEA538" s="501"/>
      <c r="HEB538" s="501"/>
      <c r="HEC538" s="501"/>
      <c r="HED538" s="501"/>
      <c r="HEE538" s="501"/>
      <c r="HEF538" s="501"/>
      <c r="HEG538" s="501"/>
      <c r="HEH538" s="501"/>
      <c r="HEI538" s="501"/>
      <c r="HEJ538" s="501"/>
      <c r="HEK538" s="501"/>
      <c r="HEL538" s="501"/>
      <c r="HEM538" s="501"/>
      <c r="HEN538" s="501"/>
      <c r="HEO538" s="501"/>
      <c r="HEP538" s="501"/>
      <c r="HEQ538" s="501"/>
      <c r="HER538" s="501"/>
      <c r="HES538" s="501"/>
      <c r="HET538" s="501"/>
      <c r="HEU538" s="501"/>
      <c r="HEV538" s="501"/>
      <c r="HEW538" s="501"/>
      <c r="HEX538" s="501"/>
      <c r="HEY538" s="501"/>
      <c r="HEZ538" s="501"/>
      <c r="HFA538" s="501"/>
      <c r="HFB538" s="501"/>
      <c r="HFC538" s="501"/>
      <c r="HFD538" s="501"/>
      <c r="HFE538" s="501"/>
      <c r="HFF538" s="501"/>
      <c r="HFG538" s="501"/>
      <c r="HFH538" s="501"/>
      <c r="HFI538" s="501"/>
      <c r="HFJ538" s="501"/>
      <c r="HFK538" s="501"/>
      <c r="HFL538" s="501"/>
      <c r="HFM538" s="501"/>
      <c r="HFN538" s="501"/>
      <c r="HFO538" s="501"/>
      <c r="HFP538" s="501"/>
      <c r="HFQ538" s="501"/>
      <c r="HFR538" s="501"/>
      <c r="HFS538" s="501"/>
      <c r="HFT538" s="501"/>
      <c r="HFU538" s="501"/>
      <c r="HFV538" s="501"/>
      <c r="HFW538" s="501"/>
      <c r="HFX538" s="501"/>
      <c r="HFY538" s="501"/>
      <c r="HFZ538" s="501"/>
      <c r="HGA538" s="501"/>
      <c r="HGB538" s="501"/>
      <c r="HGC538" s="501"/>
      <c r="HGD538" s="501"/>
      <c r="HGE538" s="501"/>
      <c r="HGF538" s="501"/>
      <c r="HGG538" s="501"/>
      <c r="HGH538" s="501"/>
      <c r="HGI538" s="501"/>
      <c r="HGJ538" s="501"/>
      <c r="HGK538" s="501"/>
      <c r="HGL538" s="501"/>
      <c r="HGM538" s="501"/>
      <c r="HGN538" s="501"/>
      <c r="HGO538" s="501"/>
      <c r="HGP538" s="501"/>
      <c r="HGQ538" s="501"/>
      <c r="HGR538" s="501"/>
      <c r="HGS538" s="501"/>
      <c r="HGT538" s="501"/>
      <c r="HGU538" s="501"/>
      <c r="HGV538" s="501"/>
      <c r="HGW538" s="501"/>
      <c r="HGX538" s="501"/>
      <c r="HGY538" s="501"/>
      <c r="HGZ538" s="501"/>
      <c r="HHA538" s="501"/>
      <c r="HHB538" s="501"/>
      <c r="HHC538" s="501"/>
      <c r="HHD538" s="501"/>
      <c r="HHE538" s="501"/>
      <c r="HHF538" s="501"/>
      <c r="HHG538" s="501"/>
      <c r="HHH538" s="501"/>
      <c r="HHI538" s="501"/>
      <c r="HHJ538" s="501"/>
      <c r="HHK538" s="501"/>
      <c r="HHL538" s="501"/>
      <c r="HHM538" s="501"/>
      <c r="HHN538" s="501"/>
      <c r="HHO538" s="501"/>
      <c r="HHP538" s="501"/>
      <c r="HHQ538" s="501"/>
      <c r="HHR538" s="501"/>
      <c r="HHS538" s="501"/>
      <c r="HHT538" s="501"/>
      <c r="HHU538" s="501"/>
      <c r="HHV538" s="501"/>
      <c r="HHW538" s="501"/>
      <c r="HHX538" s="501"/>
      <c r="HHY538" s="501"/>
      <c r="HHZ538" s="501"/>
      <c r="HIA538" s="501"/>
      <c r="HIB538" s="501"/>
      <c r="HIC538" s="501"/>
      <c r="HID538" s="501"/>
      <c r="HIE538" s="501"/>
      <c r="HIF538" s="501"/>
      <c r="HIG538" s="501"/>
      <c r="HIH538" s="501"/>
      <c r="HII538" s="501"/>
      <c r="HIJ538" s="501"/>
      <c r="HIK538" s="501"/>
      <c r="HIL538" s="501"/>
      <c r="HIM538" s="501"/>
      <c r="HIN538" s="501"/>
      <c r="HIO538" s="501"/>
      <c r="HIP538" s="501"/>
      <c r="HIQ538" s="501"/>
      <c r="HIR538" s="501"/>
      <c r="HIS538" s="501"/>
      <c r="HIT538" s="501"/>
      <c r="HIU538" s="501"/>
      <c r="HIV538" s="501"/>
      <c r="HIW538" s="501"/>
      <c r="HIX538" s="501"/>
      <c r="HIY538" s="501"/>
      <c r="HIZ538" s="501"/>
      <c r="HJA538" s="501"/>
      <c r="HJB538" s="501"/>
      <c r="HJC538" s="501"/>
      <c r="HJD538" s="501"/>
      <c r="HJE538" s="501"/>
      <c r="HJF538" s="501"/>
      <c r="HJG538" s="501"/>
      <c r="HJH538" s="501"/>
      <c r="HJI538" s="501"/>
      <c r="HJJ538" s="501"/>
      <c r="HJK538" s="501"/>
      <c r="HJL538" s="501"/>
      <c r="HJM538" s="501"/>
      <c r="HJN538" s="501"/>
      <c r="HJO538" s="501"/>
      <c r="HJP538" s="501"/>
      <c r="HJQ538" s="501"/>
      <c r="HJR538" s="501"/>
      <c r="HJS538" s="501"/>
      <c r="HJT538" s="501"/>
      <c r="HJU538" s="501"/>
      <c r="HJV538" s="501"/>
      <c r="HJW538" s="501"/>
      <c r="HJX538" s="501"/>
      <c r="HJY538" s="501"/>
      <c r="HJZ538" s="501"/>
      <c r="HKA538" s="501"/>
      <c r="HKB538" s="501"/>
      <c r="HKC538" s="501"/>
      <c r="HKD538" s="501"/>
      <c r="HKE538" s="501"/>
      <c r="HKF538" s="501"/>
      <c r="HKG538" s="501"/>
      <c r="HKH538" s="501"/>
      <c r="HKI538" s="501"/>
      <c r="HKJ538" s="501"/>
      <c r="HKK538" s="501"/>
      <c r="HKL538" s="501"/>
      <c r="HKM538" s="501"/>
      <c r="HKN538" s="501"/>
      <c r="HKO538" s="501"/>
      <c r="HKP538" s="501"/>
      <c r="HKQ538" s="501"/>
      <c r="HKR538" s="501"/>
      <c r="HKS538" s="501"/>
      <c r="HKT538" s="501"/>
      <c r="HKU538" s="501"/>
      <c r="HKV538" s="501"/>
      <c r="HKW538" s="501"/>
      <c r="HKX538" s="501"/>
      <c r="HKY538" s="501"/>
      <c r="HKZ538" s="501"/>
      <c r="HLA538" s="501"/>
      <c r="HLB538" s="501"/>
      <c r="HLC538" s="501"/>
      <c r="HLD538" s="501"/>
      <c r="HLE538" s="501"/>
      <c r="HLF538" s="501"/>
      <c r="HLG538" s="501"/>
      <c r="HLH538" s="501"/>
      <c r="HLI538" s="501"/>
      <c r="HLJ538" s="501"/>
      <c r="HLK538" s="501"/>
      <c r="HLL538" s="501"/>
      <c r="HLM538" s="501"/>
      <c r="HLN538" s="501"/>
      <c r="HLO538" s="501"/>
      <c r="HLP538" s="501"/>
      <c r="HLQ538" s="501"/>
      <c r="HLR538" s="501"/>
      <c r="HLS538" s="501"/>
      <c r="HLT538" s="501"/>
      <c r="HLU538" s="501"/>
      <c r="HLV538" s="501"/>
      <c r="HLW538" s="501"/>
      <c r="HLX538" s="501"/>
      <c r="HLY538" s="501"/>
      <c r="HLZ538" s="501"/>
      <c r="HMA538" s="501"/>
      <c r="HMB538" s="501"/>
      <c r="HMC538" s="501"/>
      <c r="HMD538" s="501"/>
      <c r="HME538" s="501"/>
      <c r="HMF538" s="501"/>
      <c r="HMG538" s="501"/>
      <c r="HMH538" s="501"/>
      <c r="HMI538" s="501"/>
      <c r="HMJ538" s="501"/>
      <c r="HMK538" s="501"/>
      <c r="HML538" s="501"/>
      <c r="HMM538" s="501"/>
      <c r="HMN538" s="501"/>
      <c r="HMO538" s="501"/>
      <c r="HMP538" s="501"/>
      <c r="HMQ538" s="501"/>
      <c r="HMR538" s="501"/>
      <c r="HMS538" s="501"/>
      <c r="HMT538" s="501"/>
      <c r="HMU538" s="501"/>
      <c r="HMV538" s="501"/>
      <c r="HMW538" s="501"/>
      <c r="HMX538" s="501"/>
      <c r="HMY538" s="501"/>
      <c r="HMZ538" s="501"/>
      <c r="HNA538" s="501"/>
      <c r="HNB538" s="501"/>
      <c r="HNC538" s="501"/>
      <c r="HND538" s="501"/>
      <c r="HNE538" s="501"/>
      <c r="HNF538" s="501"/>
      <c r="HNG538" s="501"/>
      <c r="HNH538" s="501"/>
      <c r="HNI538" s="501"/>
      <c r="HNJ538" s="501"/>
      <c r="HNK538" s="501"/>
      <c r="HNL538" s="501"/>
      <c r="HNM538" s="501"/>
      <c r="HNN538" s="501"/>
      <c r="HNO538" s="501"/>
      <c r="HNP538" s="501"/>
      <c r="HNQ538" s="501"/>
      <c r="HNR538" s="501"/>
      <c r="HNS538" s="501"/>
      <c r="HNT538" s="501"/>
      <c r="HNU538" s="501"/>
      <c r="HNV538" s="501"/>
      <c r="HNW538" s="501"/>
      <c r="HNX538" s="501"/>
      <c r="HNY538" s="501"/>
      <c r="HNZ538" s="501"/>
      <c r="HOA538" s="501"/>
      <c r="HOB538" s="501"/>
      <c r="HOC538" s="501"/>
      <c r="HOD538" s="501"/>
      <c r="HOE538" s="501"/>
      <c r="HOF538" s="501"/>
      <c r="HOG538" s="501"/>
      <c r="HOH538" s="501"/>
      <c r="HOI538" s="501"/>
      <c r="HOJ538" s="501"/>
      <c r="HOK538" s="501"/>
      <c r="HOL538" s="501"/>
      <c r="HOM538" s="501"/>
      <c r="HON538" s="501"/>
      <c r="HOO538" s="501"/>
      <c r="HOP538" s="501"/>
      <c r="HOQ538" s="501"/>
      <c r="HOR538" s="501"/>
      <c r="HOS538" s="501"/>
      <c r="HOT538" s="501"/>
      <c r="HOU538" s="501"/>
      <c r="HOV538" s="501"/>
      <c r="HOW538" s="501"/>
      <c r="HOX538" s="501"/>
      <c r="HOY538" s="501"/>
      <c r="HOZ538" s="501"/>
      <c r="HPA538" s="501"/>
      <c r="HPB538" s="501"/>
      <c r="HPC538" s="501"/>
      <c r="HPD538" s="501"/>
      <c r="HPE538" s="501"/>
      <c r="HPF538" s="501"/>
      <c r="HPG538" s="501"/>
      <c r="HPH538" s="501"/>
      <c r="HPI538" s="501"/>
      <c r="HPJ538" s="501"/>
      <c r="HPK538" s="501"/>
      <c r="HPL538" s="501"/>
      <c r="HPM538" s="501"/>
      <c r="HPN538" s="501"/>
      <c r="HPO538" s="501"/>
      <c r="HPP538" s="501"/>
      <c r="HPQ538" s="501"/>
      <c r="HPR538" s="501"/>
      <c r="HPS538" s="501"/>
      <c r="HPT538" s="501"/>
      <c r="HPU538" s="501"/>
      <c r="HPV538" s="501"/>
      <c r="HPW538" s="501"/>
      <c r="HPX538" s="501"/>
      <c r="HPY538" s="501"/>
      <c r="HPZ538" s="501"/>
      <c r="HQA538" s="501"/>
      <c r="HQB538" s="501"/>
      <c r="HQC538" s="501"/>
      <c r="HQD538" s="501"/>
      <c r="HQE538" s="501"/>
      <c r="HQF538" s="501"/>
      <c r="HQG538" s="501"/>
      <c r="HQH538" s="501"/>
      <c r="HQI538" s="501"/>
      <c r="HQJ538" s="501"/>
      <c r="HQK538" s="501"/>
      <c r="HQL538" s="501"/>
      <c r="HQM538" s="501"/>
      <c r="HQN538" s="501"/>
      <c r="HQO538" s="501"/>
      <c r="HQP538" s="501"/>
      <c r="HQQ538" s="501"/>
      <c r="HQR538" s="501"/>
      <c r="HQS538" s="501"/>
      <c r="HQT538" s="501"/>
      <c r="HQU538" s="501"/>
      <c r="HQV538" s="501"/>
      <c r="HQW538" s="501"/>
      <c r="HQX538" s="501"/>
      <c r="HQY538" s="501"/>
      <c r="HQZ538" s="501"/>
      <c r="HRA538" s="501"/>
      <c r="HRB538" s="501"/>
      <c r="HRC538" s="501"/>
      <c r="HRD538" s="501"/>
      <c r="HRE538" s="501"/>
      <c r="HRF538" s="501"/>
      <c r="HRG538" s="501"/>
      <c r="HRH538" s="501"/>
      <c r="HRI538" s="501"/>
      <c r="HRJ538" s="501"/>
      <c r="HRK538" s="501"/>
      <c r="HRL538" s="501"/>
      <c r="HRM538" s="501"/>
      <c r="HRN538" s="501"/>
      <c r="HRO538" s="501"/>
      <c r="HRP538" s="501"/>
      <c r="HRQ538" s="501"/>
      <c r="HRR538" s="501"/>
      <c r="HRS538" s="501"/>
      <c r="HRT538" s="501"/>
      <c r="HRU538" s="501"/>
      <c r="HRV538" s="501"/>
      <c r="HRW538" s="501"/>
      <c r="HRX538" s="501"/>
      <c r="HRY538" s="501"/>
      <c r="HRZ538" s="501"/>
      <c r="HSA538" s="501"/>
      <c r="HSB538" s="501"/>
      <c r="HSC538" s="501"/>
      <c r="HSD538" s="501"/>
      <c r="HSE538" s="501"/>
      <c r="HSF538" s="501"/>
      <c r="HSG538" s="501"/>
      <c r="HSH538" s="501"/>
      <c r="HSI538" s="501"/>
      <c r="HSJ538" s="501"/>
      <c r="HSK538" s="501"/>
      <c r="HSL538" s="501"/>
      <c r="HSM538" s="501"/>
      <c r="HSN538" s="501"/>
      <c r="HSO538" s="501"/>
      <c r="HSP538" s="501"/>
      <c r="HSQ538" s="501"/>
      <c r="HSR538" s="501"/>
      <c r="HSS538" s="501"/>
      <c r="HST538" s="501"/>
      <c r="HSU538" s="501"/>
      <c r="HSV538" s="501"/>
      <c r="HSW538" s="501"/>
      <c r="HSX538" s="501"/>
      <c r="HSY538" s="501"/>
      <c r="HSZ538" s="501"/>
      <c r="HTA538" s="501"/>
      <c r="HTB538" s="501"/>
      <c r="HTC538" s="501"/>
      <c r="HTD538" s="501"/>
      <c r="HTE538" s="501"/>
      <c r="HTF538" s="501"/>
      <c r="HTG538" s="501"/>
      <c r="HTH538" s="501"/>
      <c r="HTI538" s="501"/>
      <c r="HTJ538" s="501"/>
      <c r="HTK538" s="501"/>
      <c r="HTL538" s="501"/>
      <c r="HTM538" s="501"/>
      <c r="HTN538" s="501"/>
      <c r="HTO538" s="501"/>
      <c r="HTP538" s="501"/>
      <c r="HTQ538" s="501"/>
      <c r="HTR538" s="501"/>
      <c r="HTS538" s="501"/>
      <c r="HTT538" s="501"/>
      <c r="HTU538" s="501"/>
      <c r="HTV538" s="501"/>
      <c r="HTW538" s="501"/>
      <c r="HTX538" s="501"/>
      <c r="HTY538" s="501"/>
      <c r="HTZ538" s="501"/>
      <c r="HUA538" s="501"/>
      <c r="HUB538" s="501"/>
      <c r="HUC538" s="501"/>
      <c r="HUD538" s="501"/>
      <c r="HUE538" s="501"/>
      <c r="HUF538" s="501"/>
      <c r="HUG538" s="501"/>
      <c r="HUH538" s="501"/>
      <c r="HUI538" s="501"/>
      <c r="HUJ538" s="501"/>
      <c r="HUK538" s="501"/>
      <c r="HUL538" s="501"/>
      <c r="HUM538" s="501"/>
      <c r="HUN538" s="501"/>
      <c r="HUO538" s="501"/>
      <c r="HUP538" s="501"/>
      <c r="HUQ538" s="501"/>
      <c r="HUR538" s="501"/>
      <c r="HUS538" s="501"/>
      <c r="HUT538" s="501"/>
      <c r="HUU538" s="501"/>
      <c r="HUV538" s="501"/>
      <c r="HUW538" s="501"/>
      <c r="HUX538" s="501"/>
      <c r="HUY538" s="501"/>
      <c r="HUZ538" s="501"/>
      <c r="HVA538" s="501"/>
      <c r="HVB538" s="501"/>
      <c r="HVC538" s="501"/>
      <c r="HVD538" s="501"/>
      <c r="HVE538" s="501"/>
      <c r="HVF538" s="501"/>
      <c r="HVG538" s="501"/>
      <c r="HVH538" s="501"/>
      <c r="HVI538" s="501"/>
      <c r="HVJ538" s="501"/>
      <c r="HVK538" s="501"/>
      <c r="HVL538" s="501"/>
      <c r="HVM538" s="501"/>
      <c r="HVN538" s="501"/>
      <c r="HVO538" s="501"/>
      <c r="HVP538" s="501"/>
      <c r="HVQ538" s="501"/>
      <c r="HVR538" s="501"/>
      <c r="HVS538" s="501"/>
      <c r="HVT538" s="501"/>
      <c r="HVU538" s="501"/>
      <c r="HVV538" s="501"/>
      <c r="HVW538" s="501"/>
      <c r="HVX538" s="501"/>
      <c r="HVY538" s="501"/>
      <c r="HVZ538" s="501"/>
      <c r="HWA538" s="501"/>
      <c r="HWB538" s="501"/>
      <c r="HWC538" s="501"/>
      <c r="HWD538" s="501"/>
      <c r="HWE538" s="501"/>
      <c r="HWF538" s="501"/>
      <c r="HWG538" s="501"/>
      <c r="HWH538" s="501"/>
      <c r="HWI538" s="501"/>
      <c r="HWJ538" s="501"/>
      <c r="HWK538" s="501"/>
      <c r="HWL538" s="501"/>
      <c r="HWM538" s="501"/>
      <c r="HWN538" s="501"/>
      <c r="HWO538" s="501"/>
      <c r="HWP538" s="501"/>
      <c r="HWQ538" s="501"/>
      <c r="HWR538" s="501"/>
      <c r="HWS538" s="501"/>
      <c r="HWT538" s="501"/>
      <c r="HWU538" s="501"/>
      <c r="HWV538" s="501"/>
      <c r="HWW538" s="501"/>
      <c r="HWX538" s="501"/>
      <c r="HWY538" s="501"/>
      <c r="HWZ538" s="501"/>
      <c r="HXA538" s="501"/>
      <c r="HXB538" s="501"/>
      <c r="HXC538" s="501"/>
      <c r="HXD538" s="501"/>
      <c r="HXE538" s="501"/>
      <c r="HXF538" s="501"/>
      <c r="HXG538" s="501"/>
      <c r="HXH538" s="501"/>
      <c r="HXI538" s="501"/>
      <c r="HXJ538" s="501"/>
      <c r="HXK538" s="501"/>
      <c r="HXL538" s="501"/>
      <c r="HXM538" s="501"/>
      <c r="HXN538" s="501"/>
      <c r="HXO538" s="501"/>
      <c r="HXP538" s="501"/>
      <c r="HXQ538" s="501"/>
      <c r="HXR538" s="501"/>
      <c r="HXS538" s="501"/>
      <c r="HXT538" s="501"/>
      <c r="HXU538" s="501"/>
      <c r="HXV538" s="501"/>
      <c r="HXW538" s="501"/>
      <c r="HXX538" s="501"/>
      <c r="HXY538" s="501"/>
      <c r="HXZ538" s="501"/>
      <c r="HYA538" s="501"/>
      <c r="HYB538" s="501"/>
      <c r="HYC538" s="501"/>
      <c r="HYD538" s="501"/>
      <c r="HYE538" s="501"/>
      <c r="HYF538" s="501"/>
      <c r="HYG538" s="501"/>
      <c r="HYH538" s="501"/>
      <c r="HYI538" s="501"/>
      <c r="HYJ538" s="501"/>
      <c r="HYK538" s="501"/>
      <c r="HYL538" s="501"/>
      <c r="HYM538" s="501"/>
      <c r="HYN538" s="501"/>
      <c r="HYO538" s="501"/>
      <c r="HYP538" s="501"/>
      <c r="HYQ538" s="501"/>
      <c r="HYR538" s="501"/>
      <c r="HYS538" s="501"/>
      <c r="HYT538" s="501"/>
      <c r="HYU538" s="501"/>
      <c r="HYV538" s="501"/>
      <c r="HYW538" s="501"/>
      <c r="HYX538" s="501"/>
      <c r="HYY538" s="501"/>
      <c r="HYZ538" s="501"/>
      <c r="HZA538" s="501"/>
      <c r="HZB538" s="501"/>
      <c r="HZC538" s="501"/>
      <c r="HZD538" s="501"/>
      <c r="HZE538" s="501"/>
      <c r="HZF538" s="501"/>
      <c r="HZG538" s="501"/>
      <c r="HZH538" s="501"/>
      <c r="HZI538" s="501"/>
      <c r="HZJ538" s="501"/>
      <c r="HZK538" s="501"/>
      <c r="HZL538" s="501"/>
      <c r="HZM538" s="501"/>
      <c r="HZN538" s="501"/>
      <c r="HZO538" s="501"/>
      <c r="HZP538" s="501"/>
      <c r="HZQ538" s="501"/>
      <c r="HZR538" s="501"/>
      <c r="HZS538" s="501"/>
      <c r="HZT538" s="501"/>
      <c r="HZU538" s="501"/>
      <c r="HZV538" s="501"/>
      <c r="HZW538" s="501"/>
      <c r="HZX538" s="501"/>
      <c r="HZY538" s="501"/>
      <c r="HZZ538" s="501"/>
      <c r="IAA538" s="501"/>
      <c r="IAB538" s="501"/>
      <c r="IAC538" s="501"/>
      <c r="IAD538" s="501"/>
      <c r="IAE538" s="501"/>
      <c r="IAF538" s="501"/>
      <c r="IAG538" s="501"/>
      <c r="IAH538" s="501"/>
      <c r="IAI538" s="501"/>
      <c r="IAJ538" s="501"/>
      <c r="IAK538" s="501"/>
      <c r="IAL538" s="501"/>
      <c r="IAM538" s="501"/>
      <c r="IAN538" s="501"/>
      <c r="IAO538" s="501"/>
      <c r="IAP538" s="501"/>
      <c r="IAQ538" s="501"/>
      <c r="IAR538" s="501"/>
      <c r="IAS538" s="501"/>
      <c r="IAT538" s="501"/>
      <c r="IAU538" s="501"/>
      <c r="IAV538" s="501"/>
      <c r="IAW538" s="501"/>
      <c r="IAX538" s="501"/>
      <c r="IAY538" s="501"/>
      <c r="IAZ538" s="501"/>
      <c r="IBA538" s="501"/>
      <c r="IBB538" s="501"/>
      <c r="IBC538" s="501"/>
      <c r="IBD538" s="501"/>
      <c r="IBE538" s="501"/>
      <c r="IBF538" s="501"/>
      <c r="IBG538" s="501"/>
      <c r="IBH538" s="501"/>
      <c r="IBI538" s="501"/>
      <c r="IBJ538" s="501"/>
      <c r="IBK538" s="501"/>
      <c r="IBL538" s="501"/>
      <c r="IBM538" s="501"/>
      <c r="IBN538" s="501"/>
      <c r="IBO538" s="501"/>
      <c r="IBP538" s="501"/>
      <c r="IBQ538" s="501"/>
      <c r="IBR538" s="501"/>
      <c r="IBS538" s="501"/>
      <c r="IBT538" s="501"/>
      <c r="IBU538" s="501"/>
      <c r="IBV538" s="501"/>
      <c r="IBW538" s="501"/>
      <c r="IBX538" s="501"/>
      <c r="IBY538" s="501"/>
      <c r="IBZ538" s="501"/>
      <c r="ICA538" s="501"/>
      <c r="ICB538" s="501"/>
      <c r="ICC538" s="501"/>
      <c r="ICD538" s="501"/>
      <c r="ICE538" s="501"/>
      <c r="ICF538" s="501"/>
      <c r="ICG538" s="501"/>
      <c r="ICH538" s="501"/>
      <c r="ICI538" s="501"/>
      <c r="ICJ538" s="501"/>
      <c r="ICK538" s="501"/>
      <c r="ICL538" s="501"/>
      <c r="ICM538" s="501"/>
      <c r="ICN538" s="501"/>
      <c r="ICO538" s="501"/>
      <c r="ICP538" s="501"/>
      <c r="ICQ538" s="501"/>
      <c r="ICR538" s="501"/>
      <c r="ICS538" s="501"/>
      <c r="ICT538" s="501"/>
      <c r="ICU538" s="501"/>
      <c r="ICV538" s="501"/>
      <c r="ICW538" s="501"/>
      <c r="ICX538" s="501"/>
      <c r="ICY538" s="501"/>
      <c r="ICZ538" s="501"/>
      <c r="IDA538" s="501"/>
      <c r="IDB538" s="501"/>
      <c r="IDC538" s="501"/>
      <c r="IDD538" s="501"/>
      <c r="IDE538" s="501"/>
      <c r="IDF538" s="501"/>
      <c r="IDG538" s="501"/>
      <c r="IDH538" s="501"/>
      <c r="IDI538" s="501"/>
      <c r="IDJ538" s="501"/>
      <c r="IDK538" s="501"/>
      <c r="IDL538" s="501"/>
      <c r="IDM538" s="501"/>
      <c r="IDN538" s="501"/>
      <c r="IDO538" s="501"/>
      <c r="IDP538" s="501"/>
      <c r="IDQ538" s="501"/>
      <c r="IDR538" s="501"/>
      <c r="IDS538" s="501"/>
      <c r="IDT538" s="501"/>
      <c r="IDU538" s="501"/>
      <c r="IDV538" s="501"/>
      <c r="IDW538" s="501"/>
      <c r="IDX538" s="501"/>
      <c r="IDY538" s="501"/>
      <c r="IDZ538" s="501"/>
      <c r="IEA538" s="501"/>
      <c r="IEB538" s="501"/>
      <c r="IEC538" s="501"/>
      <c r="IED538" s="501"/>
      <c r="IEE538" s="501"/>
      <c r="IEF538" s="501"/>
      <c r="IEG538" s="501"/>
      <c r="IEH538" s="501"/>
      <c r="IEI538" s="501"/>
      <c r="IEJ538" s="501"/>
      <c r="IEK538" s="501"/>
      <c r="IEL538" s="501"/>
      <c r="IEM538" s="501"/>
      <c r="IEN538" s="501"/>
      <c r="IEO538" s="501"/>
      <c r="IEP538" s="501"/>
      <c r="IEQ538" s="501"/>
      <c r="IER538" s="501"/>
      <c r="IES538" s="501"/>
      <c r="IET538" s="501"/>
      <c r="IEU538" s="501"/>
      <c r="IEV538" s="501"/>
      <c r="IEW538" s="501"/>
      <c r="IEX538" s="501"/>
      <c r="IEY538" s="501"/>
      <c r="IEZ538" s="501"/>
      <c r="IFA538" s="501"/>
      <c r="IFB538" s="501"/>
      <c r="IFC538" s="501"/>
      <c r="IFD538" s="501"/>
      <c r="IFE538" s="501"/>
      <c r="IFF538" s="501"/>
      <c r="IFG538" s="501"/>
      <c r="IFH538" s="501"/>
      <c r="IFI538" s="501"/>
      <c r="IFJ538" s="501"/>
      <c r="IFK538" s="501"/>
      <c r="IFL538" s="501"/>
      <c r="IFM538" s="501"/>
      <c r="IFN538" s="501"/>
      <c r="IFO538" s="501"/>
      <c r="IFP538" s="501"/>
      <c r="IFQ538" s="501"/>
      <c r="IFR538" s="501"/>
      <c r="IFS538" s="501"/>
      <c r="IFT538" s="501"/>
      <c r="IFU538" s="501"/>
      <c r="IFV538" s="501"/>
      <c r="IFW538" s="501"/>
      <c r="IFX538" s="501"/>
      <c r="IFY538" s="501"/>
      <c r="IFZ538" s="501"/>
      <c r="IGA538" s="501"/>
      <c r="IGB538" s="501"/>
      <c r="IGC538" s="501"/>
      <c r="IGD538" s="501"/>
      <c r="IGE538" s="501"/>
      <c r="IGF538" s="501"/>
      <c r="IGG538" s="501"/>
      <c r="IGH538" s="501"/>
      <c r="IGI538" s="501"/>
      <c r="IGJ538" s="501"/>
      <c r="IGK538" s="501"/>
      <c r="IGL538" s="501"/>
      <c r="IGM538" s="501"/>
      <c r="IGN538" s="501"/>
      <c r="IGO538" s="501"/>
      <c r="IGP538" s="501"/>
      <c r="IGQ538" s="501"/>
      <c r="IGR538" s="501"/>
      <c r="IGS538" s="501"/>
      <c r="IGT538" s="501"/>
      <c r="IGU538" s="501"/>
      <c r="IGV538" s="501"/>
      <c r="IGW538" s="501"/>
      <c r="IGX538" s="501"/>
      <c r="IGY538" s="501"/>
      <c r="IGZ538" s="501"/>
      <c r="IHA538" s="501"/>
      <c r="IHB538" s="501"/>
      <c r="IHC538" s="501"/>
      <c r="IHD538" s="501"/>
      <c r="IHE538" s="501"/>
      <c r="IHF538" s="501"/>
      <c r="IHG538" s="501"/>
      <c r="IHH538" s="501"/>
      <c r="IHI538" s="501"/>
      <c r="IHJ538" s="501"/>
      <c r="IHK538" s="501"/>
      <c r="IHL538" s="501"/>
      <c r="IHM538" s="501"/>
      <c r="IHN538" s="501"/>
      <c r="IHO538" s="501"/>
      <c r="IHP538" s="501"/>
      <c r="IHQ538" s="501"/>
      <c r="IHR538" s="501"/>
      <c r="IHS538" s="501"/>
      <c r="IHT538" s="501"/>
      <c r="IHU538" s="501"/>
      <c r="IHV538" s="501"/>
      <c r="IHW538" s="501"/>
      <c r="IHX538" s="501"/>
      <c r="IHY538" s="501"/>
      <c r="IHZ538" s="501"/>
      <c r="IIA538" s="501"/>
      <c r="IIB538" s="501"/>
      <c r="IIC538" s="501"/>
      <c r="IID538" s="501"/>
      <c r="IIE538" s="501"/>
      <c r="IIF538" s="501"/>
      <c r="IIG538" s="501"/>
      <c r="IIH538" s="501"/>
      <c r="III538" s="501"/>
      <c r="IIJ538" s="501"/>
      <c r="IIK538" s="501"/>
      <c r="IIL538" s="501"/>
      <c r="IIM538" s="501"/>
      <c r="IIN538" s="501"/>
      <c r="IIO538" s="501"/>
      <c r="IIP538" s="501"/>
      <c r="IIQ538" s="501"/>
      <c r="IIR538" s="501"/>
      <c r="IIS538" s="501"/>
      <c r="IIT538" s="501"/>
      <c r="IIU538" s="501"/>
      <c r="IIV538" s="501"/>
      <c r="IIW538" s="501"/>
      <c r="IIX538" s="501"/>
      <c r="IIY538" s="501"/>
      <c r="IIZ538" s="501"/>
      <c r="IJA538" s="501"/>
      <c r="IJB538" s="501"/>
      <c r="IJC538" s="501"/>
      <c r="IJD538" s="501"/>
      <c r="IJE538" s="501"/>
      <c r="IJF538" s="501"/>
      <c r="IJG538" s="501"/>
      <c r="IJH538" s="501"/>
      <c r="IJI538" s="501"/>
      <c r="IJJ538" s="501"/>
      <c r="IJK538" s="501"/>
      <c r="IJL538" s="501"/>
      <c r="IJM538" s="501"/>
      <c r="IJN538" s="501"/>
      <c r="IJO538" s="501"/>
      <c r="IJP538" s="501"/>
      <c r="IJQ538" s="501"/>
      <c r="IJR538" s="501"/>
      <c r="IJS538" s="501"/>
      <c r="IJT538" s="501"/>
      <c r="IJU538" s="501"/>
      <c r="IJV538" s="501"/>
      <c r="IJW538" s="501"/>
      <c r="IJX538" s="501"/>
      <c r="IJY538" s="501"/>
      <c r="IJZ538" s="501"/>
      <c r="IKA538" s="501"/>
      <c r="IKB538" s="501"/>
      <c r="IKC538" s="501"/>
      <c r="IKD538" s="501"/>
      <c r="IKE538" s="501"/>
      <c r="IKF538" s="501"/>
      <c r="IKG538" s="501"/>
      <c r="IKH538" s="501"/>
      <c r="IKI538" s="501"/>
      <c r="IKJ538" s="501"/>
      <c r="IKK538" s="501"/>
      <c r="IKL538" s="501"/>
      <c r="IKM538" s="501"/>
      <c r="IKN538" s="501"/>
      <c r="IKO538" s="501"/>
      <c r="IKP538" s="501"/>
      <c r="IKQ538" s="501"/>
      <c r="IKR538" s="501"/>
      <c r="IKS538" s="501"/>
      <c r="IKT538" s="501"/>
      <c r="IKU538" s="501"/>
      <c r="IKV538" s="501"/>
      <c r="IKW538" s="501"/>
      <c r="IKX538" s="501"/>
      <c r="IKY538" s="501"/>
      <c r="IKZ538" s="501"/>
      <c r="ILA538" s="501"/>
      <c r="ILB538" s="501"/>
      <c r="ILC538" s="501"/>
      <c r="ILD538" s="501"/>
      <c r="ILE538" s="501"/>
      <c r="ILF538" s="501"/>
      <c r="ILG538" s="501"/>
      <c r="ILH538" s="501"/>
      <c r="ILI538" s="501"/>
      <c r="ILJ538" s="501"/>
      <c r="ILK538" s="501"/>
      <c r="ILL538" s="501"/>
      <c r="ILM538" s="501"/>
      <c r="ILN538" s="501"/>
      <c r="ILO538" s="501"/>
      <c r="ILP538" s="501"/>
      <c r="ILQ538" s="501"/>
      <c r="ILR538" s="501"/>
      <c r="ILS538" s="501"/>
      <c r="ILT538" s="501"/>
      <c r="ILU538" s="501"/>
      <c r="ILV538" s="501"/>
      <c r="ILW538" s="501"/>
      <c r="ILX538" s="501"/>
      <c r="ILY538" s="501"/>
      <c r="ILZ538" s="501"/>
      <c r="IMA538" s="501"/>
      <c r="IMB538" s="501"/>
      <c r="IMC538" s="501"/>
      <c r="IMD538" s="501"/>
      <c r="IME538" s="501"/>
      <c r="IMF538" s="501"/>
      <c r="IMG538" s="501"/>
      <c r="IMH538" s="501"/>
      <c r="IMI538" s="501"/>
      <c r="IMJ538" s="501"/>
      <c r="IMK538" s="501"/>
      <c r="IML538" s="501"/>
      <c r="IMM538" s="501"/>
      <c r="IMN538" s="501"/>
      <c r="IMO538" s="501"/>
      <c r="IMP538" s="501"/>
      <c r="IMQ538" s="501"/>
      <c r="IMR538" s="501"/>
      <c r="IMS538" s="501"/>
      <c r="IMT538" s="501"/>
      <c r="IMU538" s="501"/>
      <c r="IMV538" s="501"/>
      <c r="IMW538" s="501"/>
      <c r="IMX538" s="501"/>
      <c r="IMY538" s="501"/>
      <c r="IMZ538" s="501"/>
      <c r="INA538" s="501"/>
      <c r="INB538" s="501"/>
      <c r="INC538" s="501"/>
      <c r="IND538" s="501"/>
      <c r="INE538" s="501"/>
      <c r="INF538" s="501"/>
      <c r="ING538" s="501"/>
      <c r="INH538" s="501"/>
      <c r="INI538" s="501"/>
      <c r="INJ538" s="501"/>
      <c r="INK538" s="501"/>
      <c r="INL538" s="501"/>
      <c r="INM538" s="501"/>
      <c r="INN538" s="501"/>
      <c r="INO538" s="501"/>
      <c r="INP538" s="501"/>
      <c r="INQ538" s="501"/>
      <c r="INR538" s="501"/>
      <c r="INS538" s="501"/>
      <c r="INT538" s="501"/>
      <c r="INU538" s="501"/>
      <c r="INV538" s="501"/>
      <c r="INW538" s="501"/>
      <c r="INX538" s="501"/>
      <c r="INY538" s="501"/>
      <c r="INZ538" s="501"/>
      <c r="IOA538" s="501"/>
      <c r="IOB538" s="501"/>
      <c r="IOC538" s="501"/>
      <c r="IOD538" s="501"/>
      <c r="IOE538" s="501"/>
      <c r="IOF538" s="501"/>
      <c r="IOG538" s="501"/>
      <c r="IOH538" s="501"/>
      <c r="IOI538" s="501"/>
      <c r="IOJ538" s="501"/>
      <c r="IOK538" s="501"/>
      <c r="IOL538" s="501"/>
      <c r="IOM538" s="501"/>
      <c r="ION538" s="501"/>
      <c r="IOO538" s="501"/>
      <c r="IOP538" s="501"/>
      <c r="IOQ538" s="501"/>
      <c r="IOR538" s="501"/>
      <c r="IOS538" s="501"/>
      <c r="IOT538" s="501"/>
      <c r="IOU538" s="501"/>
      <c r="IOV538" s="501"/>
      <c r="IOW538" s="501"/>
      <c r="IOX538" s="501"/>
      <c r="IOY538" s="501"/>
      <c r="IOZ538" s="501"/>
      <c r="IPA538" s="501"/>
      <c r="IPB538" s="501"/>
      <c r="IPC538" s="501"/>
      <c r="IPD538" s="501"/>
      <c r="IPE538" s="501"/>
      <c r="IPF538" s="501"/>
      <c r="IPG538" s="501"/>
      <c r="IPH538" s="501"/>
      <c r="IPI538" s="501"/>
      <c r="IPJ538" s="501"/>
      <c r="IPK538" s="501"/>
      <c r="IPL538" s="501"/>
      <c r="IPM538" s="501"/>
      <c r="IPN538" s="501"/>
      <c r="IPO538" s="501"/>
      <c r="IPP538" s="501"/>
      <c r="IPQ538" s="501"/>
      <c r="IPR538" s="501"/>
      <c r="IPS538" s="501"/>
      <c r="IPT538" s="501"/>
      <c r="IPU538" s="501"/>
      <c r="IPV538" s="501"/>
      <c r="IPW538" s="501"/>
      <c r="IPX538" s="501"/>
      <c r="IPY538" s="501"/>
      <c r="IPZ538" s="501"/>
      <c r="IQA538" s="501"/>
      <c r="IQB538" s="501"/>
      <c r="IQC538" s="501"/>
      <c r="IQD538" s="501"/>
      <c r="IQE538" s="501"/>
      <c r="IQF538" s="501"/>
      <c r="IQG538" s="501"/>
      <c r="IQH538" s="501"/>
      <c r="IQI538" s="501"/>
      <c r="IQJ538" s="501"/>
      <c r="IQK538" s="501"/>
      <c r="IQL538" s="501"/>
      <c r="IQM538" s="501"/>
      <c r="IQN538" s="501"/>
      <c r="IQO538" s="501"/>
      <c r="IQP538" s="501"/>
      <c r="IQQ538" s="501"/>
      <c r="IQR538" s="501"/>
      <c r="IQS538" s="501"/>
      <c r="IQT538" s="501"/>
      <c r="IQU538" s="501"/>
      <c r="IQV538" s="501"/>
      <c r="IQW538" s="501"/>
      <c r="IQX538" s="501"/>
      <c r="IQY538" s="501"/>
      <c r="IQZ538" s="501"/>
      <c r="IRA538" s="501"/>
      <c r="IRB538" s="501"/>
      <c r="IRC538" s="501"/>
      <c r="IRD538" s="501"/>
      <c r="IRE538" s="501"/>
      <c r="IRF538" s="501"/>
      <c r="IRG538" s="501"/>
      <c r="IRH538" s="501"/>
      <c r="IRI538" s="501"/>
      <c r="IRJ538" s="501"/>
      <c r="IRK538" s="501"/>
      <c r="IRL538" s="501"/>
      <c r="IRM538" s="501"/>
      <c r="IRN538" s="501"/>
      <c r="IRO538" s="501"/>
      <c r="IRP538" s="501"/>
      <c r="IRQ538" s="501"/>
      <c r="IRR538" s="501"/>
      <c r="IRS538" s="501"/>
      <c r="IRT538" s="501"/>
      <c r="IRU538" s="501"/>
      <c r="IRV538" s="501"/>
      <c r="IRW538" s="501"/>
      <c r="IRX538" s="501"/>
      <c r="IRY538" s="501"/>
      <c r="IRZ538" s="501"/>
      <c r="ISA538" s="501"/>
      <c r="ISB538" s="501"/>
      <c r="ISC538" s="501"/>
      <c r="ISD538" s="501"/>
      <c r="ISE538" s="501"/>
      <c r="ISF538" s="501"/>
      <c r="ISG538" s="501"/>
      <c r="ISH538" s="501"/>
      <c r="ISI538" s="501"/>
      <c r="ISJ538" s="501"/>
      <c r="ISK538" s="501"/>
      <c r="ISL538" s="501"/>
      <c r="ISM538" s="501"/>
      <c r="ISN538" s="501"/>
      <c r="ISO538" s="501"/>
      <c r="ISP538" s="501"/>
      <c r="ISQ538" s="501"/>
      <c r="ISR538" s="501"/>
      <c r="ISS538" s="501"/>
      <c r="IST538" s="501"/>
      <c r="ISU538" s="501"/>
      <c r="ISV538" s="501"/>
      <c r="ISW538" s="501"/>
      <c r="ISX538" s="501"/>
      <c r="ISY538" s="501"/>
      <c r="ISZ538" s="501"/>
      <c r="ITA538" s="501"/>
      <c r="ITB538" s="501"/>
      <c r="ITC538" s="501"/>
      <c r="ITD538" s="501"/>
      <c r="ITE538" s="501"/>
      <c r="ITF538" s="501"/>
      <c r="ITG538" s="501"/>
      <c r="ITH538" s="501"/>
      <c r="ITI538" s="501"/>
      <c r="ITJ538" s="501"/>
      <c r="ITK538" s="501"/>
      <c r="ITL538" s="501"/>
      <c r="ITM538" s="501"/>
      <c r="ITN538" s="501"/>
      <c r="ITO538" s="501"/>
      <c r="ITP538" s="501"/>
      <c r="ITQ538" s="501"/>
      <c r="ITR538" s="501"/>
      <c r="ITS538" s="501"/>
      <c r="ITT538" s="501"/>
      <c r="ITU538" s="501"/>
      <c r="ITV538" s="501"/>
      <c r="ITW538" s="501"/>
      <c r="ITX538" s="501"/>
      <c r="ITY538" s="501"/>
      <c r="ITZ538" s="501"/>
      <c r="IUA538" s="501"/>
      <c r="IUB538" s="501"/>
      <c r="IUC538" s="501"/>
      <c r="IUD538" s="501"/>
      <c r="IUE538" s="501"/>
      <c r="IUF538" s="501"/>
      <c r="IUG538" s="501"/>
      <c r="IUH538" s="501"/>
      <c r="IUI538" s="501"/>
      <c r="IUJ538" s="501"/>
      <c r="IUK538" s="501"/>
      <c r="IUL538" s="501"/>
      <c r="IUM538" s="501"/>
      <c r="IUN538" s="501"/>
      <c r="IUO538" s="501"/>
      <c r="IUP538" s="501"/>
      <c r="IUQ538" s="501"/>
      <c r="IUR538" s="501"/>
      <c r="IUS538" s="501"/>
      <c r="IUT538" s="501"/>
      <c r="IUU538" s="501"/>
      <c r="IUV538" s="501"/>
      <c r="IUW538" s="501"/>
      <c r="IUX538" s="501"/>
      <c r="IUY538" s="501"/>
      <c r="IUZ538" s="501"/>
      <c r="IVA538" s="501"/>
      <c r="IVB538" s="501"/>
      <c r="IVC538" s="501"/>
      <c r="IVD538" s="501"/>
      <c r="IVE538" s="501"/>
      <c r="IVF538" s="501"/>
      <c r="IVG538" s="501"/>
      <c r="IVH538" s="501"/>
      <c r="IVI538" s="501"/>
      <c r="IVJ538" s="501"/>
      <c r="IVK538" s="501"/>
      <c r="IVL538" s="501"/>
      <c r="IVM538" s="501"/>
      <c r="IVN538" s="501"/>
      <c r="IVO538" s="501"/>
      <c r="IVP538" s="501"/>
      <c r="IVQ538" s="501"/>
      <c r="IVR538" s="501"/>
      <c r="IVS538" s="501"/>
      <c r="IVT538" s="501"/>
      <c r="IVU538" s="501"/>
      <c r="IVV538" s="501"/>
      <c r="IVW538" s="501"/>
      <c r="IVX538" s="501"/>
      <c r="IVY538" s="501"/>
      <c r="IVZ538" s="501"/>
      <c r="IWA538" s="501"/>
      <c r="IWB538" s="501"/>
      <c r="IWC538" s="501"/>
      <c r="IWD538" s="501"/>
      <c r="IWE538" s="501"/>
      <c r="IWF538" s="501"/>
      <c r="IWG538" s="501"/>
      <c r="IWH538" s="501"/>
      <c r="IWI538" s="501"/>
      <c r="IWJ538" s="501"/>
      <c r="IWK538" s="501"/>
      <c r="IWL538" s="501"/>
      <c r="IWM538" s="501"/>
      <c r="IWN538" s="501"/>
      <c r="IWO538" s="501"/>
      <c r="IWP538" s="501"/>
      <c r="IWQ538" s="501"/>
      <c r="IWR538" s="501"/>
      <c r="IWS538" s="501"/>
      <c r="IWT538" s="501"/>
      <c r="IWU538" s="501"/>
      <c r="IWV538" s="501"/>
      <c r="IWW538" s="501"/>
      <c r="IWX538" s="501"/>
      <c r="IWY538" s="501"/>
      <c r="IWZ538" s="501"/>
      <c r="IXA538" s="501"/>
      <c r="IXB538" s="501"/>
      <c r="IXC538" s="501"/>
      <c r="IXD538" s="501"/>
      <c r="IXE538" s="501"/>
      <c r="IXF538" s="501"/>
      <c r="IXG538" s="501"/>
      <c r="IXH538" s="501"/>
      <c r="IXI538" s="501"/>
      <c r="IXJ538" s="501"/>
      <c r="IXK538" s="501"/>
      <c r="IXL538" s="501"/>
      <c r="IXM538" s="501"/>
      <c r="IXN538" s="501"/>
      <c r="IXO538" s="501"/>
      <c r="IXP538" s="501"/>
      <c r="IXQ538" s="501"/>
      <c r="IXR538" s="501"/>
      <c r="IXS538" s="501"/>
      <c r="IXT538" s="501"/>
      <c r="IXU538" s="501"/>
      <c r="IXV538" s="501"/>
      <c r="IXW538" s="501"/>
      <c r="IXX538" s="501"/>
      <c r="IXY538" s="501"/>
      <c r="IXZ538" s="501"/>
      <c r="IYA538" s="501"/>
      <c r="IYB538" s="501"/>
      <c r="IYC538" s="501"/>
      <c r="IYD538" s="501"/>
      <c r="IYE538" s="501"/>
      <c r="IYF538" s="501"/>
      <c r="IYG538" s="501"/>
      <c r="IYH538" s="501"/>
      <c r="IYI538" s="501"/>
      <c r="IYJ538" s="501"/>
      <c r="IYK538" s="501"/>
      <c r="IYL538" s="501"/>
      <c r="IYM538" s="501"/>
      <c r="IYN538" s="501"/>
      <c r="IYO538" s="501"/>
      <c r="IYP538" s="501"/>
      <c r="IYQ538" s="501"/>
      <c r="IYR538" s="501"/>
      <c r="IYS538" s="501"/>
      <c r="IYT538" s="501"/>
      <c r="IYU538" s="501"/>
      <c r="IYV538" s="501"/>
      <c r="IYW538" s="501"/>
      <c r="IYX538" s="501"/>
      <c r="IYY538" s="501"/>
      <c r="IYZ538" s="501"/>
      <c r="IZA538" s="501"/>
      <c r="IZB538" s="501"/>
      <c r="IZC538" s="501"/>
      <c r="IZD538" s="501"/>
      <c r="IZE538" s="501"/>
      <c r="IZF538" s="501"/>
      <c r="IZG538" s="501"/>
      <c r="IZH538" s="501"/>
      <c r="IZI538" s="501"/>
      <c r="IZJ538" s="501"/>
      <c r="IZK538" s="501"/>
      <c r="IZL538" s="501"/>
      <c r="IZM538" s="501"/>
      <c r="IZN538" s="501"/>
      <c r="IZO538" s="501"/>
      <c r="IZP538" s="501"/>
      <c r="IZQ538" s="501"/>
      <c r="IZR538" s="501"/>
      <c r="IZS538" s="501"/>
      <c r="IZT538" s="501"/>
      <c r="IZU538" s="501"/>
      <c r="IZV538" s="501"/>
      <c r="IZW538" s="501"/>
      <c r="IZX538" s="501"/>
      <c r="IZY538" s="501"/>
      <c r="IZZ538" s="501"/>
      <c r="JAA538" s="501"/>
      <c r="JAB538" s="501"/>
      <c r="JAC538" s="501"/>
      <c r="JAD538" s="501"/>
      <c r="JAE538" s="501"/>
      <c r="JAF538" s="501"/>
      <c r="JAG538" s="501"/>
      <c r="JAH538" s="501"/>
      <c r="JAI538" s="501"/>
      <c r="JAJ538" s="501"/>
      <c r="JAK538" s="501"/>
      <c r="JAL538" s="501"/>
      <c r="JAM538" s="501"/>
      <c r="JAN538" s="501"/>
      <c r="JAO538" s="501"/>
      <c r="JAP538" s="501"/>
      <c r="JAQ538" s="501"/>
      <c r="JAR538" s="501"/>
      <c r="JAS538" s="501"/>
      <c r="JAT538" s="501"/>
      <c r="JAU538" s="501"/>
      <c r="JAV538" s="501"/>
      <c r="JAW538" s="501"/>
      <c r="JAX538" s="501"/>
      <c r="JAY538" s="501"/>
      <c r="JAZ538" s="501"/>
      <c r="JBA538" s="501"/>
      <c r="JBB538" s="501"/>
      <c r="JBC538" s="501"/>
      <c r="JBD538" s="501"/>
      <c r="JBE538" s="501"/>
      <c r="JBF538" s="501"/>
      <c r="JBG538" s="501"/>
      <c r="JBH538" s="501"/>
      <c r="JBI538" s="501"/>
      <c r="JBJ538" s="501"/>
      <c r="JBK538" s="501"/>
      <c r="JBL538" s="501"/>
      <c r="JBM538" s="501"/>
      <c r="JBN538" s="501"/>
      <c r="JBO538" s="501"/>
      <c r="JBP538" s="501"/>
      <c r="JBQ538" s="501"/>
      <c r="JBR538" s="501"/>
      <c r="JBS538" s="501"/>
      <c r="JBT538" s="501"/>
      <c r="JBU538" s="501"/>
      <c r="JBV538" s="501"/>
      <c r="JBW538" s="501"/>
      <c r="JBX538" s="501"/>
      <c r="JBY538" s="501"/>
      <c r="JBZ538" s="501"/>
      <c r="JCA538" s="501"/>
      <c r="JCB538" s="501"/>
      <c r="JCC538" s="501"/>
      <c r="JCD538" s="501"/>
      <c r="JCE538" s="501"/>
      <c r="JCF538" s="501"/>
      <c r="JCG538" s="501"/>
      <c r="JCH538" s="501"/>
      <c r="JCI538" s="501"/>
      <c r="JCJ538" s="501"/>
      <c r="JCK538" s="501"/>
      <c r="JCL538" s="501"/>
      <c r="JCM538" s="501"/>
      <c r="JCN538" s="501"/>
      <c r="JCO538" s="501"/>
      <c r="JCP538" s="501"/>
      <c r="JCQ538" s="501"/>
      <c r="JCR538" s="501"/>
      <c r="JCS538" s="501"/>
      <c r="JCT538" s="501"/>
      <c r="JCU538" s="501"/>
      <c r="JCV538" s="501"/>
      <c r="JCW538" s="501"/>
      <c r="JCX538" s="501"/>
      <c r="JCY538" s="501"/>
      <c r="JCZ538" s="501"/>
      <c r="JDA538" s="501"/>
      <c r="JDB538" s="501"/>
      <c r="JDC538" s="501"/>
      <c r="JDD538" s="501"/>
      <c r="JDE538" s="501"/>
      <c r="JDF538" s="501"/>
      <c r="JDG538" s="501"/>
      <c r="JDH538" s="501"/>
      <c r="JDI538" s="501"/>
      <c r="JDJ538" s="501"/>
      <c r="JDK538" s="501"/>
      <c r="JDL538" s="501"/>
      <c r="JDM538" s="501"/>
      <c r="JDN538" s="501"/>
      <c r="JDO538" s="501"/>
      <c r="JDP538" s="501"/>
      <c r="JDQ538" s="501"/>
      <c r="JDR538" s="501"/>
      <c r="JDS538" s="501"/>
      <c r="JDT538" s="501"/>
      <c r="JDU538" s="501"/>
      <c r="JDV538" s="501"/>
      <c r="JDW538" s="501"/>
      <c r="JDX538" s="501"/>
      <c r="JDY538" s="501"/>
      <c r="JDZ538" s="501"/>
      <c r="JEA538" s="501"/>
      <c r="JEB538" s="501"/>
      <c r="JEC538" s="501"/>
      <c r="JED538" s="501"/>
      <c r="JEE538" s="501"/>
      <c r="JEF538" s="501"/>
      <c r="JEG538" s="501"/>
      <c r="JEH538" s="501"/>
      <c r="JEI538" s="501"/>
      <c r="JEJ538" s="501"/>
      <c r="JEK538" s="501"/>
      <c r="JEL538" s="501"/>
      <c r="JEM538" s="501"/>
      <c r="JEN538" s="501"/>
      <c r="JEO538" s="501"/>
      <c r="JEP538" s="501"/>
      <c r="JEQ538" s="501"/>
      <c r="JER538" s="501"/>
      <c r="JES538" s="501"/>
      <c r="JET538" s="501"/>
      <c r="JEU538" s="501"/>
      <c r="JEV538" s="501"/>
      <c r="JEW538" s="501"/>
      <c r="JEX538" s="501"/>
      <c r="JEY538" s="501"/>
      <c r="JEZ538" s="501"/>
      <c r="JFA538" s="501"/>
      <c r="JFB538" s="501"/>
      <c r="JFC538" s="501"/>
      <c r="JFD538" s="501"/>
      <c r="JFE538" s="501"/>
      <c r="JFF538" s="501"/>
      <c r="JFG538" s="501"/>
      <c r="JFH538" s="501"/>
      <c r="JFI538" s="501"/>
      <c r="JFJ538" s="501"/>
      <c r="JFK538" s="501"/>
      <c r="JFL538" s="501"/>
      <c r="JFM538" s="501"/>
      <c r="JFN538" s="501"/>
      <c r="JFO538" s="501"/>
      <c r="JFP538" s="501"/>
      <c r="JFQ538" s="501"/>
      <c r="JFR538" s="501"/>
      <c r="JFS538" s="501"/>
      <c r="JFT538" s="501"/>
      <c r="JFU538" s="501"/>
      <c r="JFV538" s="501"/>
      <c r="JFW538" s="501"/>
      <c r="JFX538" s="501"/>
      <c r="JFY538" s="501"/>
      <c r="JFZ538" s="501"/>
      <c r="JGA538" s="501"/>
      <c r="JGB538" s="501"/>
      <c r="JGC538" s="501"/>
      <c r="JGD538" s="501"/>
      <c r="JGE538" s="501"/>
      <c r="JGF538" s="501"/>
      <c r="JGG538" s="501"/>
      <c r="JGH538" s="501"/>
      <c r="JGI538" s="501"/>
      <c r="JGJ538" s="501"/>
      <c r="JGK538" s="501"/>
      <c r="JGL538" s="501"/>
      <c r="JGM538" s="501"/>
      <c r="JGN538" s="501"/>
      <c r="JGO538" s="501"/>
      <c r="JGP538" s="501"/>
      <c r="JGQ538" s="501"/>
      <c r="JGR538" s="501"/>
      <c r="JGS538" s="501"/>
      <c r="JGT538" s="501"/>
      <c r="JGU538" s="501"/>
      <c r="JGV538" s="501"/>
      <c r="JGW538" s="501"/>
      <c r="JGX538" s="501"/>
      <c r="JGY538" s="501"/>
      <c r="JGZ538" s="501"/>
      <c r="JHA538" s="501"/>
      <c r="JHB538" s="501"/>
      <c r="JHC538" s="501"/>
      <c r="JHD538" s="501"/>
      <c r="JHE538" s="501"/>
      <c r="JHF538" s="501"/>
      <c r="JHG538" s="501"/>
      <c r="JHH538" s="501"/>
      <c r="JHI538" s="501"/>
      <c r="JHJ538" s="501"/>
      <c r="JHK538" s="501"/>
      <c r="JHL538" s="501"/>
      <c r="JHM538" s="501"/>
      <c r="JHN538" s="501"/>
      <c r="JHO538" s="501"/>
      <c r="JHP538" s="501"/>
      <c r="JHQ538" s="501"/>
      <c r="JHR538" s="501"/>
      <c r="JHS538" s="501"/>
      <c r="JHT538" s="501"/>
      <c r="JHU538" s="501"/>
      <c r="JHV538" s="501"/>
      <c r="JHW538" s="501"/>
      <c r="JHX538" s="501"/>
      <c r="JHY538" s="501"/>
      <c r="JHZ538" s="501"/>
      <c r="JIA538" s="501"/>
      <c r="JIB538" s="501"/>
      <c r="JIC538" s="501"/>
      <c r="JID538" s="501"/>
      <c r="JIE538" s="501"/>
      <c r="JIF538" s="501"/>
      <c r="JIG538" s="501"/>
      <c r="JIH538" s="501"/>
      <c r="JII538" s="501"/>
      <c r="JIJ538" s="501"/>
      <c r="JIK538" s="501"/>
      <c r="JIL538" s="501"/>
      <c r="JIM538" s="501"/>
      <c r="JIN538" s="501"/>
      <c r="JIO538" s="501"/>
      <c r="JIP538" s="501"/>
      <c r="JIQ538" s="501"/>
      <c r="JIR538" s="501"/>
      <c r="JIS538" s="501"/>
      <c r="JIT538" s="501"/>
      <c r="JIU538" s="501"/>
      <c r="JIV538" s="501"/>
      <c r="JIW538" s="501"/>
      <c r="JIX538" s="501"/>
      <c r="JIY538" s="501"/>
      <c r="JIZ538" s="501"/>
      <c r="JJA538" s="501"/>
      <c r="JJB538" s="501"/>
      <c r="JJC538" s="501"/>
      <c r="JJD538" s="501"/>
      <c r="JJE538" s="501"/>
      <c r="JJF538" s="501"/>
      <c r="JJG538" s="501"/>
      <c r="JJH538" s="501"/>
      <c r="JJI538" s="501"/>
      <c r="JJJ538" s="501"/>
      <c r="JJK538" s="501"/>
      <c r="JJL538" s="501"/>
      <c r="JJM538" s="501"/>
      <c r="JJN538" s="501"/>
      <c r="JJO538" s="501"/>
      <c r="JJP538" s="501"/>
      <c r="JJQ538" s="501"/>
      <c r="JJR538" s="501"/>
      <c r="JJS538" s="501"/>
      <c r="JJT538" s="501"/>
      <c r="JJU538" s="501"/>
      <c r="JJV538" s="501"/>
      <c r="JJW538" s="501"/>
      <c r="JJX538" s="501"/>
      <c r="JJY538" s="501"/>
      <c r="JJZ538" s="501"/>
      <c r="JKA538" s="501"/>
      <c r="JKB538" s="501"/>
      <c r="JKC538" s="501"/>
      <c r="JKD538" s="501"/>
      <c r="JKE538" s="501"/>
      <c r="JKF538" s="501"/>
      <c r="JKG538" s="501"/>
      <c r="JKH538" s="501"/>
      <c r="JKI538" s="501"/>
      <c r="JKJ538" s="501"/>
      <c r="JKK538" s="501"/>
      <c r="JKL538" s="501"/>
      <c r="JKM538" s="501"/>
      <c r="JKN538" s="501"/>
      <c r="JKO538" s="501"/>
      <c r="JKP538" s="501"/>
      <c r="JKQ538" s="501"/>
      <c r="JKR538" s="501"/>
      <c r="JKS538" s="501"/>
      <c r="JKT538" s="501"/>
      <c r="JKU538" s="501"/>
      <c r="JKV538" s="501"/>
      <c r="JKW538" s="501"/>
      <c r="JKX538" s="501"/>
      <c r="JKY538" s="501"/>
      <c r="JKZ538" s="501"/>
      <c r="JLA538" s="501"/>
      <c r="JLB538" s="501"/>
      <c r="JLC538" s="501"/>
      <c r="JLD538" s="501"/>
      <c r="JLE538" s="501"/>
      <c r="JLF538" s="501"/>
      <c r="JLG538" s="501"/>
      <c r="JLH538" s="501"/>
      <c r="JLI538" s="501"/>
      <c r="JLJ538" s="501"/>
      <c r="JLK538" s="501"/>
      <c r="JLL538" s="501"/>
      <c r="JLM538" s="501"/>
      <c r="JLN538" s="501"/>
      <c r="JLO538" s="501"/>
      <c r="JLP538" s="501"/>
      <c r="JLQ538" s="501"/>
      <c r="JLR538" s="501"/>
      <c r="JLS538" s="501"/>
      <c r="JLT538" s="501"/>
      <c r="JLU538" s="501"/>
      <c r="JLV538" s="501"/>
      <c r="JLW538" s="501"/>
      <c r="JLX538" s="501"/>
      <c r="JLY538" s="501"/>
      <c r="JLZ538" s="501"/>
      <c r="JMA538" s="501"/>
      <c r="JMB538" s="501"/>
      <c r="JMC538" s="501"/>
      <c r="JMD538" s="501"/>
      <c r="JME538" s="501"/>
      <c r="JMF538" s="501"/>
      <c r="JMG538" s="501"/>
      <c r="JMH538" s="501"/>
      <c r="JMI538" s="501"/>
      <c r="JMJ538" s="501"/>
      <c r="JMK538" s="501"/>
      <c r="JML538" s="501"/>
      <c r="JMM538" s="501"/>
      <c r="JMN538" s="501"/>
      <c r="JMO538" s="501"/>
      <c r="JMP538" s="501"/>
      <c r="JMQ538" s="501"/>
      <c r="JMR538" s="501"/>
      <c r="JMS538" s="501"/>
      <c r="JMT538" s="501"/>
      <c r="JMU538" s="501"/>
      <c r="JMV538" s="501"/>
      <c r="JMW538" s="501"/>
      <c r="JMX538" s="501"/>
      <c r="JMY538" s="501"/>
      <c r="JMZ538" s="501"/>
      <c r="JNA538" s="501"/>
      <c r="JNB538" s="501"/>
      <c r="JNC538" s="501"/>
      <c r="JND538" s="501"/>
      <c r="JNE538" s="501"/>
      <c r="JNF538" s="501"/>
      <c r="JNG538" s="501"/>
      <c r="JNH538" s="501"/>
      <c r="JNI538" s="501"/>
      <c r="JNJ538" s="501"/>
      <c r="JNK538" s="501"/>
      <c r="JNL538" s="501"/>
      <c r="JNM538" s="501"/>
      <c r="JNN538" s="501"/>
      <c r="JNO538" s="501"/>
      <c r="JNP538" s="501"/>
      <c r="JNQ538" s="501"/>
      <c r="JNR538" s="501"/>
      <c r="JNS538" s="501"/>
      <c r="JNT538" s="501"/>
      <c r="JNU538" s="501"/>
      <c r="JNV538" s="501"/>
      <c r="JNW538" s="501"/>
      <c r="JNX538" s="501"/>
      <c r="JNY538" s="501"/>
      <c r="JNZ538" s="501"/>
      <c r="JOA538" s="501"/>
      <c r="JOB538" s="501"/>
      <c r="JOC538" s="501"/>
      <c r="JOD538" s="501"/>
      <c r="JOE538" s="501"/>
      <c r="JOF538" s="501"/>
      <c r="JOG538" s="501"/>
      <c r="JOH538" s="501"/>
      <c r="JOI538" s="501"/>
      <c r="JOJ538" s="501"/>
      <c r="JOK538" s="501"/>
      <c r="JOL538" s="501"/>
      <c r="JOM538" s="501"/>
      <c r="JON538" s="501"/>
      <c r="JOO538" s="501"/>
      <c r="JOP538" s="501"/>
      <c r="JOQ538" s="501"/>
      <c r="JOR538" s="501"/>
      <c r="JOS538" s="501"/>
      <c r="JOT538" s="501"/>
      <c r="JOU538" s="501"/>
      <c r="JOV538" s="501"/>
      <c r="JOW538" s="501"/>
      <c r="JOX538" s="501"/>
      <c r="JOY538" s="501"/>
      <c r="JOZ538" s="501"/>
      <c r="JPA538" s="501"/>
      <c r="JPB538" s="501"/>
      <c r="JPC538" s="501"/>
      <c r="JPD538" s="501"/>
      <c r="JPE538" s="501"/>
      <c r="JPF538" s="501"/>
      <c r="JPG538" s="501"/>
      <c r="JPH538" s="501"/>
      <c r="JPI538" s="501"/>
      <c r="JPJ538" s="501"/>
      <c r="JPK538" s="501"/>
      <c r="JPL538" s="501"/>
      <c r="JPM538" s="501"/>
      <c r="JPN538" s="501"/>
      <c r="JPO538" s="501"/>
      <c r="JPP538" s="501"/>
      <c r="JPQ538" s="501"/>
      <c r="JPR538" s="501"/>
      <c r="JPS538" s="501"/>
      <c r="JPT538" s="501"/>
      <c r="JPU538" s="501"/>
      <c r="JPV538" s="501"/>
      <c r="JPW538" s="501"/>
      <c r="JPX538" s="501"/>
      <c r="JPY538" s="501"/>
      <c r="JPZ538" s="501"/>
      <c r="JQA538" s="501"/>
      <c r="JQB538" s="501"/>
      <c r="JQC538" s="501"/>
      <c r="JQD538" s="501"/>
      <c r="JQE538" s="501"/>
      <c r="JQF538" s="501"/>
      <c r="JQG538" s="501"/>
      <c r="JQH538" s="501"/>
      <c r="JQI538" s="501"/>
      <c r="JQJ538" s="501"/>
      <c r="JQK538" s="501"/>
      <c r="JQL538" s="501"/>
      <c r="JQM538" s="501"/>
      <c r="JQN538" s="501"/>
      <c r="JQO538" s="501"/>
      <c r="JQP538" s="501"/>
      <c r="JQQ538" s="501"/>
      <c r="JQR538" s="501"/>
      <c r="JQS538" s="501"/>
      <c r="JQT538" s="501"/>
      <c r="JQU538" s="501"/>
      <c r="JQV538" s="501"/>
      <c r="JQW538" s="501"/>
      <c r="JQX538" s="501"/>
      <c r="JQY538" s="501"/>
      <c r="JQZ538" s="501"/>
      <c r="JRA538" s="501"/>
      <c r="JRB538" s="501"/>
      <c r="JRC538" s="501"/>
      <c r="JRD538" s="501"/>
      <c r="JRE538" s="501"/>
      <c r="JRF538" s="501"/>
      <c r="JRG538" s="501"/>
      <c r="JRH538" s="501"/>
      <c r="JRI538" s="501"/>
      <c r="JRJ538" s="501"/>
      <c r="JRK538" s="501"/>
      <c r="JRL538" s="501"/>
      <c r="JRM538" s="501"/>
      <c r="JRN538" s="501"/>
      <c r="JRO538" s="501"/>
      <c r="JRP538" s="501"/>
      <c r="JRQ538" s="501"/>
      <c r="JRR538" s="501"/>
      <c r="JRS538" s="501"/>
      <c r="JRT538" s="501"/>
      <c r="JRU538" s="501"/>
      <c r="JRV538" s="501"/>
      <c r="JRW538" s="501"/>
      <c r="JRX538" s="501"/>
      <c r="JRY538" s="501"/>
      <c r="JRZ538" s="501"/>
      <c r="JSA538" s="501"/>
      <c r="JSB538" s="501"/>
      <c r="JSC538" s="501"/>
      <c r="JSD538" s="501"/>
      <c r="JSE538" s="501"/>
      <c r="JSF538" s="501"/>
      <c r="JSG538" s="501"/>
      <c r="JSH538" s="501"/>
      <c r="JSI538" s="501"/>
      <c r="JSJ538" s="501"/>
      <c r="JSK538" s="501"/>
      <c r="JSL538" s="501"/>
      <c r="JSM538" s="501"/>
      <c r="JSN538" s="501"/>
      <c r="JSO538" s="501"/>
      <c r="JSP538" s="501"/>
      <c r="JSQ538" s="501"/>
      <c r="JSR538" s="501"/>
      <c r="JSS538" s="501"/>
      <c r="JST538" s="501"/>
      <c r="JSU538" s="501"/>
      <c r="JSV538" s="501"/>
      <c r="JSW538" s="501"/>
      <c r="JSX538" s="501"/>
      <c r="JSY538" s="501"/>
      <c r="JSZ538" s="501"/>
      <c r="JTA538" s="501"/>
      <c r="JTB538" s="501"/>
      <c r="JTC538" s="501"/>
      <c r="JTD538" s="501"/>
      <c r="JTE538" s="501"/>
      <c r="JTF538" s="501"/>
      <c r="JTG538" s="501"/>
      <c r="JTH538" s="501"/>
      <c r="JTI538" s="501"/>
      <c r="JTJ538" s="501"/>
      <c r="JTK538" s="501"/>
      <c r="JTL538" s="501"/>
      <c r="JTM538" s="501"/>
      <c r="JTN538" s="501"/>
      <c r="JTO538" s="501"/>
      <c r="JTP538" s="501"/>
      <c r="JTQ538" s="501"/>
      <c r="JTR538" s="501"/>
      <c r="JTS538" s="501"/>
      <c r="JTT538" s="501"/>
      <c r="JTU538" s="501"/>
      <c r="JTV538" s="501"/>
      <c r="JTW538" s="501"/>
      <c r="JTX538" s="501"/>
      <c r="JTY538" s="501"/>
      <c r="JTZ538" s="501"/>
      <c r="JUA538" s="501"/>
      <c r="JUB538" s="501"/>
      <c r="JUC538" s="501"/>
      <c r="JUD538" s="501"/>
      <c r="JUE538" s="501"/>
      <c r="JUF538" s="501"/>
      <c r="JUG538" s="501"/>
      <c r="JUH538" s="501"/>
      <c r="JUI538" s="501"/>
      <c r="JUJ538" s="501"/>
      <c r="JUK538" s="501"/>
      <c r="JUL538" s="501"/>
      <c r="JUM538" s="501"/>
      <c r="JUN538" s="501"/>
      <c r="JUO538" s="501"/>
      <c r="JUP538" s="501"/>
      <c r="JUQ538" s="501"/>
      <c r="JUR538" s="501"/>
      <c r="JUS538" s="501"/>
      <c r="JUT538" s="501"/>
      <c r="JUU538" s="501"/>
      <c r="JUV538" s="501"/>
      <c r="JUW538" s="501"/>
      <c r="JUX538" s="501"/>
      <c r="JUY538" s="501"/>
      <c r="JUZ538" s="501"/>
      <c r="JVA538" s="501"/>
      <c r="JVB538" s="501"/>
      <c r="JVC538" s="501"/>
      <c r="JVD538" s="501"/>
      <c r="JVE538" s="501"/>
      <c r="JVF538" s="501"/>
      <c r="JVG538" s="501"/>
      <c r="JVH538" s="501"/>
      <c r="JVI538" s="501"/>
      <c r="JVJ538" s="501"/>
      <c r="JVK538" s="501"/>
      <c r="JVL538" s="501"/>
      <c r="JVM538" s="501"/>
      <c r="JVN538" s="501"/>
      <c r="JVO538" s="501"/>
      <c r="JVP538" s="501"/>
      <c r="JVQ538" s="501"/>
      <c r="JVR538" s="501"/>
      <c r="JVS538" s="501"/>
      <c r="JVT538" s="501"/>
      <c r="JVU538" s="501"/>
      <c r="JVV538" s="501"/>
      <c r="JVW538" s="501"/>
      <c r="JVX538" s="501"/>
      <c r="JVY538" s="501"/>
      <c r="JVZ538" s="501"/>
      <c r="JWA538" s="501"/>
      <c r="JWB538" s="501"/>
      <c r="JWC538" s="501"/>
      <c r="JWD538" s="501"/>
      <c r="JWE538" s="501"/>
      <c r="JWF538" s="501"/>
      <c r="JWG538" s="501"/>
      <c r="JWH538" s="501"/>
      <c r="JWI538" s="501"/>
      <c r="JWJ538" s="501"/>
      <c r="JWK538" s="501"/>
      <c r="JWL538" s="501"/>
      <c r="JWM538" s="501"/>
      <c r="JWN538" s="501"/>
      <c r="JWO538" s="501"/>
      <c r="JWP538" s="501"/>
      <c r="JWQ538" s="501"/>
      <c r="JWR538" s="501"/>
      <c r="JWS538" s="501"/>
      <c r="JWT538" s="501"/>
      <c r="JWU538" s="501"/>
      <c r="JWV538" s="501"/>
      <c r="JWW538" s="501"/>
      <c r="JWX538" s="501"/>
      <c r="JWY538" s="501"/>
      <c r="JWZ538" s="501"/>
      <c r="JXA538" s="501"/>
      <c r="JXB538" s="501"/>
      <c r="JXC538" s="501"/>
      <c r="JXD538" s="501"/>
      <c r="JXE538" s="501"/>
      <c r="JXF538" s="501"/>
      <c r="JXG538" s="501"/>
      <c r="JXH538" s="501"/>
      <c r="JXI538" s="501"/>
      <c r="JXJ538" s="501"/>
      <c r="JXK538" s="501"/>
      <c r="JXL538" s="501"/>
      <c r="JXM538" s="501"/>
      <c r="JXN538" s="501"/>
      <c r="JXO538" s="501"/>
      <c r="JXP538" s="501"/>
      <c r="JXQ538" s="501"/>
      <c r="JXR538" s="501"/>
      <c r="JXS538" s="501"/>
      <c r="JXT538" s="501"/>
      <c r="JXU538" s="501"/>
      <c r="JXV538" s="501"/>
      <c r="JXW538" s="501"/>
      <c r="JXX538" s="501"/>
      <c r="JXY538" s="501"/>
      <c r="JXZ538" s="501"/>
      <c r="JYA538" s="501"/>
      <c r="JYB538" s="501"/>
      <c r="JYC538" s="501"/>
      <c r="JYD538" s="501"/>
      <c r="JYE538" s="501"/>
      <c r="JYF538" s="501"/>
      <c r="JYG538" s="501"/>
      <c r="JYH538" s="501"/>
      <c r="JYI538" s="501"/>
      <c r="JYJ538" s="501"/>
      <c r="JYK538" s="501"/>
      <c r="JYL538" s="501"/>
      <c r="JYM538" s="501"/>
      <c r="JYN538" s="501"/>
      <c r="JYO538" s="501"/>
      <c r="JYP538" s="501"/>
      <c r="JYQ538" s="501"/>
      <c r="JYR538" s="501"/>
      <c r="JYS538" s="501"/>
      <c r="JYT538" s="501"/>
      <c r="JYU538" s="501"/>
      <c r="JYV538" s="501"/>
      <c r="JYW538" s="501"/>
      <c r="JYX538" s="501"/>
      <c r="JYY538" s="501"/>
      <c r="JYZ538" s="501"/>
      <c r="JZA538" s="501"/>
      <c r="JZB538" s="501"/>
      <c r="JZC538" s="501"/>
      <c r="JZD538" s="501"/>
      <c r="JZE538" s="501"/>
      <c r="JZF538" s="501"/>
      <c r="JZG538" s="501"/>
      <c r="JZH538" s="501"/>
      <c r="JZI538" s="501"/>
      <c r="JZJ538" s="501"/>
      <c r="JZK538" s="501"/>
      <c r="JZL538" s="501"/>
      <c r="JZM538" s="501"/>
      <c r="JZN538" s="501"/>
      <c r="JZO538" s="501"/>
      <c r="JZP538" s="501"/>
      <c r="JZQ538" s="501"/>
      <c r="JZR538" s="501"/>
      <c r="JZS538" s="501"/>
      <c r="JZT538" s="501"/>
      <c r="JZU538" s="501"/>
      <c r="JZV538" s="501"/>
      <c r="JZW538" s="501"/>
      <c r="JZX538" s="501"/>
      <c r="JZY538" s="501"/>
      <c r="JZZ538" s="501"/>
      <c r="KAA538" s="501"/>
      <c r="KAB538" s="501"/>
      <c r="KAC538" s="501"/>
      <c r="KAD538" s="501"/>
      <c r="KAE538" s="501"/>
      <c r="KAF538" s="501"/>
      <c r="KAG538" s="501"/>
      <c r="KAH538" s="501"/>
      <c r="KAI538" s="501"/>
      <c r="KAJ538" s="501"/>
      <c r="KAK538" s="501"/>
      <c r="KAL538" s="501"/>
      <c r="KAM538" s="501"/>
      <c r="KAN538" s="501"/>
      <c r="KAO538" s="501"/>
      <c r="KAP538" s="501"/>
      <c r="KAQ538" s="501"/>
      <c r="KAR538" s="501"/>
      <c r="KAS538" s="501"/>
      <c r="KAT538" s="501"/>
      <c r="KAU538" s="501"/>
      <c r="KAV538" s="501"/>
      <c r="KAW538" s="501"/>
      <c r="KAX538" s="501"/>
      <c r="KAY538" s="501"/>
      <c r="KAZ538" s="501"/>
      <c r="KBA538" s="501"/>
      <c r="KBB538" s="501"/>
      <c r="KBC538" s="501"/>
      <c r="KBD538" s="501"/>
      <c r="KBE538" s="501"/>
      <c r="KBF538" s="501"/>
      <c r="KBG538" s="501"/>
      <c r="KBH538" s="501"/>
      <c r="KBI538" s="501"/>
      <c r="KBJ538" s="501"/>
      <c r="KBK538" s="501"/>
      <c r="KBL538" s="501"/>
      <c r="KBM538" s="501"/>
      <c r="KBN538" s="501"/>
      <c r="KBO538" s="501"/>
      <c r="KBP538" s="501"/>
      <c r="KBQ538" s="501"/>
      <c r="KBR538" s="501"/>
      <c r="KBS538" s="501"/>
      <c r="KBT538" s="501"/>
      <c r="KBU538" s="501"/>
      <c r="KBV538" s="501"/>
      <c r="KBW538" s="501"/>
      <c r="KBX538" s="501"/>
      <c r="KBY538" s="501"/>
      <c r="KBZ538" s="501"/>
      <c r="KCA538" s="501"/>
      <c r="KCB538" s="501"/>
      <c r="KCC538" s="501"/>
      <c r="KCD538" s="501"/>
      <c r="KCE538" s="501"/>
      <c r="KCF538" s="501"/>
      <c r="KCG538" s="501"/>
      <c r="KCH538" s="501"/>
      <c r="KCI538" s="501"/>
      <c r="KCJ538" s="501"/>
      <c r="KCK538" s="501"/>
      <c r="KCL538" s="501"/>
      <c r="KCM538" s="501"/>
      <c r="KCN538" s="501"/>
      <c r="KCO538" s="501"/>
      <c r="KCP538" s="501"/>
      <c r="KCQ538" s="501"/>
      <c r="KCR538" s="501"/>
      <c r="KCS538" s="501"/>
      <c r="KCT538" s="501"/>
      <c r="KCU538" s="501"/>
      <c r="KCV538" s="501"/>
      <c r="KCW538" s="501"/>
      <c r="KCX538" s="501"/>
      <c r="KCY538" s="501"/>
      <c r="KCZ538" s="501"/>
      <c r="KDA538" s="501"/>
      <c r="KDB538" s="501"/>
      <c r="KDC538" s="501"/>
      <c r="KDD538" s="501"/>
      <c r="KDE538" s="501"/>
      <c r="KDF538" s="501"/>
      <c r="KDG538" s="501"/>
      <c r="KDH538" s="501"/>
      <c r="KDI538" s="501"/>
      <c r="KDJ538" s="501"/>
      <c r="KDK538" s="501"/>
      <c r="KDL538" s="501"/>
      <c r="KDM538" s="501"/>
      <c r="KDN538" s="501"/>
      <c r="KDO538" s="501"/>
      <c r="KDP538" s="501"/>
      <c r="KDQ538" s="501"/>
      <c r="KDR538" s="501"/>
      <c r="KDS538" s="501"/>
      <c r="KDT538" s="501"/>
      <c r="KDU538" s="501"/>
      <c r="KDV538" s="501"/>
      <c r="KDW538" s="501"/>
      <c r="KDX538" s="501"/>
      <c r="KDY538" s="501"/>
      <c r="KDZ538" s="501"/>
      <c r="KEA538" s="501"/>
      <c r="KEB538" s="501"/>
      <c r="KEC538" s="501"/>
      <c r="KED538" s="501"/>
      <c r="KEE538" s="501"/>
      <c r="KEF538" s="501"/>
      <c r="KEG538" s="501"/>
      <c r="KEH538" s="501"/>
      <c r="KEI538" s="501"/>
      <c r="KEJ538" s="501"/>
      <c r="KEK538" s="501"/>
      <c r="KEL538" s="501"/>
      <c r="KEM538" s="501"/>
      <c r="KEN538" s="501"/>
      <c r="KEO538" s="501"/>
      <c r="KEP538" s="501"/>
      <c r="KEQ538" s="501"/>
      <c r="KER538" s="501"/>
      <c r="KES538" s="501"/>
      <c r="KET538" s="501"/>
      <c r="KEU538" s="501"/>
      <c r="KEV538" s="501"/>
      <c r="KEW538" s="501"/>
      <c r="KEX538" s="501"/>
      <c r="KEY538" s="501"/>
      <c r="KEZ538" s="501"/>
      <c r="KFA538" s="501"/>
      <c r="KFB538" s="501"/>
      <c r="KFC538" s="501"/>
      <c r="KFD538" s="501"/>
      <c r="KFE538" s="501"/>
      <c r="KFF538" s="501"/>
      <c r="KFG538" s="501"/>
      <c r="KFH538" s="501"/>
      <c r="KFI538" s="501"/>
      <c r="KFJ538" s="501"/>
      <c r="KFK538" s="501"/>
      <c r="KFL538" s="501"/>
      <c r="KFM538" s="501"/>
      <c r="KFN538" s="501"/>
      <c r="KFO538" s="501"/>
      <c r="KFP538" s="501"/>
      <c r="KFQ538" s="501"/>
      <c r="KFR538" s="501"/>
      <c r="KFS538" s="501"/>
      <c r="KFT538" s="501"/>
      <c r="KFU538" s="501"/>
      <c r="KFV538" s="501"/>
      <c r="KFW538" s="501"/>
      <c r="KFX538" s="501"/>
      <c r="KFY538" s="501"/>
      <c r="KFZ538" s="501"/>
      <c r="KGA538" s="501"/>
      <c r="KGB538" s="501"/>
      <c r="KGC538" s="501"/>
      <c r="KGD538" s="501"/>
      <c r="KGE538" s="501"/>
      <c r="KGF538" s="501"/>
      <c r="KGG538" s="501"/>
      <c r="KGH538" s="501"/>
      <c r="KGI538" s="501"/>
      <c r="KGJ538" s="501"/>
      <c r="KGK538" s="501"/>
      <c r="KGL538" s="501"/>
      <c r="KGM538" s="501"/>
      <c r="KGN538" s="501"/>
      <c r="KGO538" s="501"/>
      <c r="KGP538" s="501"/>
      <c r="KGQ538" s="501"/>
      <c r="KGR538" s="501"/>
      <c r="KGS538" s="501"/>
      <c r="KGT538" s="501"/>
      <c r="KGU538" s="501"/>
      <c r="KGV538" s="501"/>
      <c r="KGW538" s="501"/>
      <c r="KGX538" s="501"/>
      <c r="KGY538" s="501"/>
      <c r="KGZ538" s="501"/>
      <c r="KHA538" s="501"/>
      <c r="KHB538" s="501"/>
      <c r="KHC538" s="501"/>
      <c r="KHD538" s="501"/>
      <c r="KHE538" s="501"/>
      <c r="KHF538" s="501"/>
      <c r="KHG538" s="501"/>
      <c r="KHH538" s="501"/>
      <c r="KHI538" s="501"/>
      <c r="KHJ538" s="501"/>
      <c r="KHK538" s="501"/>
      <c r="KHL538" s="501"/>
      <c r="KHM538" s="501"/>
      <c r="KHN538" s="501"/>
      <c r="KHO538" s="501"/>
      <c r="KHP538" s="501"/>
      <c r="KHQ538" s="501"/>
      <c r="KHR538" s="501"/>
      <c r="KHS538" s="501"/>
      <c r="KHT538" s="501"/>
      <c r="KHU538" s="501"/>
      <c r="KHV538" s="501"/>
      <c r="KHW538" s="501"/>
      <c r="KHX538" s="501"/>
      <c r="KHY538" s="501"/>
      <c r="KHZ538" s="501"/>
      <c r="KIA538" s="501"/>
      <c r="KIB538" s="501"/>
      <c r="KIC538" s="501"/>
      <c r="KID538" s="501"/>
      <c r="KIE538" s="501"/>
      <c r="KIF538" s="501"/>
      <c r="KIG538" s="501"/>
      <c r="KIH538" s="501"/>
      <c r="KII538" s="501"/>
      <c r="KIJ538" s="501"/>
      <c r="KIK538" s="501"/>
      <c r="KIL538" s="501"/>
      <c r="KIM538" s="501"/>
      <c r="KIN538" s="501"/>
      <c r="KIO538" s="501"/>
      <c r="KIP538" s="501"/>
      <c r="KIQ538" s="501"/>
      <c r="KIR538" s="501"/>
      <c r="KIS538" s="501"/>
      <c r="KIT538" s="501"/>
      <c r="KIU538" s="501"/>
      <c r="KIV538" s="501"/>
      <c r="KIW538" s="501"/>
      <c r="KIX538" s="501"/>
      <c r="KIY538" s="501"/>
      <c r="KIZ538" s="501"/>
      <c r="KJA538" s="501"/>
      <c r="KJB538" s="501"/>
      <c r="KJC538" s="501"/>
      <c r="KJD538" s="501"/>
      <c r="KJE538" s="501"/>
      <c r="KJF538" s="501"/>
      <c r="KJG538" s="501"/>
      <c r="KJH538" s="501"/>
      <c r="KJI538" s="501"/>
      <c r="KJJ538" s="501"/>
      <c r="KJK538" s="501"/>
      <c r="KJL538" s="501"/>
      <c r="KJM538" s="501"/>
      <c r="KJN538" s="501"/>
      <c r="KJO538" s="501"/>
      <c r="KJP538" s="501"/>
      <c r="KJQ538" s="501"/>
      <c r="KJR538" s="501"/>
      <c r="KJS538" s="501"/>
      <c r="KJT538" s="501"/>
      <c r="KJU538" s="501"/>
      <c r="KJV538" s="501"/>
      <c r="KJW538" s="501"/>
      <c r="KJX538" s="501"/>
      <c r="KJY538" s="501"/>
      <c r="KJZ538" s="501"/>
      <c r="KKA538" s="501"/>
      <c r="KKB538" s="501"/>
      <c r="KKC538" s="501"/>
      <c r="KKD538" s="501"/>
      <c r="KKE538" s="501"/>
      <c r="KKF538" s="501"/>
      <c r="KKG538" s="501"/>
      <c r="KKH538" s="501"/>
      <c r="KKI538" s="501"/>
      <c r="KKJ538" s="501"/>
      <c r="KKK538" s="501"/>
      <c r="KKL538" s="501"/>
      <c r="KKM538" s="501"/>
      <c r="KKN538" s="501"/>
      <c r="KKO538" s="501"/>
      <c r="KKP538" s="501"/>
      <c r="KKQ538" s="501"/>
      <c r="KKR538" s="501"/>
      <c r="KKS538" s="501"/>
      <c r="KKT538" s="501"/>
      <c r="KKU538" s="501"/>
      <c r="KKV538" s="501"/>
      <c r="KKW538" s="501"/>
      <c r="KKX538" s="501"/>
      <c r="KKY538" s="501"/>
      <c r="KKZ538" s="501"/>
      <c r="KLA538" s="501"/>
      <c r="KLB538" s="501"/>
      <c r="KLC538" s="501"/>
      <c r="KLD538" s="501"/>
      <c r="KLE538" s="501"/>
      <c r="KLF538" s="501"/>
      <c r="KLG538" s="501"/>
      <c r="KLH538" s="501"/>
      <c r="KLI538" s="501"/>
      <c r="KLJ538" s="501"/>
      <c r="KLK538" s="501"/>
      <c r="KLL538" s="501"/>
      <c r="KLM538" s="501"/>
      <c r="KLN538" s="501"/>
      <c r="KLO538" s="501"/>
      <c r="KLP538" s="501"/>
      <c r="KLQ538" s="501"/>
      <c r="KLR538" s="501"/>
      <c r="KLS538" s="501"/>
      <c r="KLT538" s="501"/>
      <c r="KLU538" s="501"/>
      <c r="KLV538" s="501"/>
      <c r="KLW538" s="501"/>
      <c r="KLX538" s="501"/>
      <c r="KLY538" s="501"/>
      <c r="KLZ538" s="501"/>
      <c r="KMA538" s="501"/>
      <c r="KMB538" s="501"/>
      <c r="KMC538" s="501"/>
      <c r="KMD538" s="501"/>
      <c r="KME538" s="501"/>
      <c r="KMF538" s="501"/>
      <c r="KMG538" s="501"/>
      <c r="KMH538" s="501"/>
      <c r="KMI538" s="501"/>
      <c r="KMJ538" s="501"/>
      <c r="KMK538" s="501"/>
      <c r="KML538" s="501"/>
      <c r="KMM538" s="501"/>
      <c r="KMN538" s="501"/>
      <c r="KMO538" s="501"/>
      <c r="KMP538" s="501"/>
      <c r="KMQ538" s="501"/>
      <c r="KMR538" s="501"/>
      <c r="KMS538" s="501"/>
      <c r="KMT538" s="501"/>
      <c r="KMU538" s="501"/>
      <c r="KMV538" s="501"/>
      <c r="KMW538" s="501"/>
      <c r="KMX538" s="501"/>
      <c r="KMY538" s="501"/>
      <c r="KMZ538" s="501"/>
      <c r="KNA538" s="501"/>
      <c r="KNB538" s="501"/>
      <c r="KNC538" s="501"/>
      <c r="KND538" s="501"/>
      <c r="KNE538" s="501"/>
      <c r="KNF538" s="501"/>
      <c r="KNG538" s="501"/>
      <c r="KNH538" s="501"/>
      <c r="KNI538" s="501"/>
      <c r="KNJ538" s="501"/>
      <c r="KNK538" s="501"/>
      <c r="KNL538" s="501"/>
      <c r="KNM538" s="501"/>
      <c r="KNN538" s="501"/>
      <c r="KNO538" s="501"/>
      <c r="KNP538" s="501"/>
      <c r="KNQ538" s="501"/>
      <c r="KNR538" s="501"/>
      <c r="KNS538" s="501"/>
      <c r="KNT538" s="501"/>
      <c r="KNU538" s="501"/>
      <c r="KNV538" s="501"/>
      <c r="KNW538" s="501"/>
      <c r="KNX538" s="501"/>
      <c r="KNY538" s="501"/>
      <c r="KNZ538" s="501"/>
      <c r="KOA538" s="501"/>
      <c r="KOB538" s="501"/>
      <c r="KOC538" s="501"/>
      <c r="KOD538" s="501"/>
      <c r="KOE538" s="501"/>
      <c r="KOF538" s="501"/>
      <c r="KOG538" s="501"/>
      <c r="KOH538" s="501"/>
      <c r="KOI538" s="501"/>
      <c r="KOJ538" s="501"/>
      <c r="KOK538" s="501"/>
      <c r="KOL538" s="501"/>
      <c r="KOM538" s="501"/>
      <c r="KON538" s="501"/>
      <c r="KOO538" s="501"/>
      <c r="KOP538" s="501"/>
      <c r="KOQ538" s="501"/>
      <c r="KOR538" s="501"/>
      <c r="KOS538" s="501"/>
      <c r="KOT538" s="501"/>
      <c r="KOU538" s="501"/>
      <c r="KOV538" s="501"/>
      <c r="KOW538" s="501"/>
      <c r="KOX538" s="501"/>
      <c r="KOY538" s="501"/>
      <c r="KOZ538" s="501"/>
      <c r="KPA538" s="501"/>
      <c r="KPB538" s="501"/>
      <c r="KPC538" s="501"/>
      <c r="KPD538" s="501"/>
      <c r="KPE538" s="501"/>
      <c r="KPF538" s="501"/>
      <c r="KPG538" s="501"/>
      <c r="KPH538" s="501"/>
      <c r="KPI538" s="501"/>
      <c r="KPJ538" s="501"/>
      <c r="KPK538" s="501"/>
      <c r="KPL538" s="501"/>
      <c r="KPM538" s="501"/>
      <c r="KPN538" s="501"/>
      <c r="KPO538" s="501"/>
      <c r="KPP538" s="501"/>
      <c r="KPQ538" s="501"/>
      <c r="KPR538" s="501"/>
      <c r="KPS538" s="501"/>
      <c r="KPT538" s="501"/>
      <c r="KPU538" s="501"/>
      <c r="KPV538" s="501"/>
      <c r="KPW538" s="501"/>
      <c r="KPX538" s="501"/>
      <c r="KPY538" s="501"/>
      <c r="KPZ538" s="501"/>
      <c r="KQA538" s="501"/>
      <c r="KQB538" s="501"/>
      <c r="KQC538" s="501"/>
      <c r="KQD538" s="501"/>
      <c r="KQE538" s="501"/>
      <c r="KQF538" s="501"/>
      <c r="KQG538" s="501"/>
      <c r="KQH538" s="501"/>
      <c r="KQI538" s="501"/>
      <c r="KQJ538" s="501"/>
      <c r="KQK538" s="501"/>
      <c r="KQL538" s="501"/>
      <c r="KQM538" s="501"/>
      <c r="KQN538" s="501"/>
      <c r="KQO538" s="501"/>
      <c r="KQP538" s="501"/>
      <c r="KQQ538" s="501"/>
      <c r="KQR538" s="501"/>
      <c r="KQS538" s="501"/>
      <c r="KQT538" s="501"/>
      <c r="KQU538" s="501"/>
      <c r="KQV538" s="501"/>
      <c r="KQW538" s="501"/>
      <c r="KQX538" s="501"/>
      <c r="KQY538" s="501"/>
      <c r="KQZ538" s="501"/>
      <c r="KRA538" s="501"/>
      <c r="KRB538" s="501"/>
      <c r="KRC538" s="501"/>
      <c r="KRD538" s="501"/>
      <c r="KRE538" s="501"/>
      <c r="KRF538" s="501"/>
      <c r="KRG538" s="501"/>
      <c r="KRH538" s="501"/>
      <c r="KRI538" s="501"/>
      <c r="KRJ538" s="501"/>
      <c r="KRK538" s="501"/>
      <c r="KRL538" s="501"/>
      <c r="KRM538" s="501"/>
      <c r="KRN538" s="501"/>
      <c r="KRO538" s="501"/>
      <c r="KRP538" s="501"/>
      <c r="KRQ538" s="501"/>
      <c r="KRR538" s="501"/>
      <c r="KRS538" s="501"/>
      <c r="KRT538" s="501"/>
      <c r="KRU538" s="501"/>
      <c r="KRV538" s="501"/>
      <c r="KRW538" s="501"/>
      <c r="KRX538" s="501"/>
      <c r="KRY538" s="501"/>
      <c r="KRZ538" s="501"/>
      <c r="KSA538" s="501"/>
      <c r="KSB538" s="501"/>
      <c r="KSC538" s="501"/>
      <c r="KSD538" s="501"/>
      <c r="KSE538" s="501"/>
      <c r="KSF538" s="501"/>
      <c r="KSG538" s="501"/>
      <c r="KSH538" s="501"/>
      <c r="KSI538" s="501"/>
      <c r="KSJ538" s="501"/>
      <c r="KSK538" s="501"/>
      <c r="KSL538" s="501"/>
      <c r="KSM538" s="501"/>
      <c r="KSN538" s="501"/>
      <c r="KSO538" s="501"/>
      <c r="KSP538" s="501"/>
      <c r="KSQ538" s="501"/>
      <c r="KSR538" s="501"/>
      <c r="KSS538" s="501"/>
      <c r="KST538" s="501"/>
      <c r="KSU538" s="501"/>
      <c r="KSV538" s="501"/>
      <c r="KSW538" s="501"/>
      <c r="KSX538" s="501"/>
      <c r="KSY538" s="501"/>
      <c r="KSZ538" s="501"/>
      <c r="KTA538" s="501"/>
      <c r="KTB538" s="501"/>
      <c r="KTC538" s="501"/>
      <c r="KTD538" s="501"/>
      <c r="KTE538" s="501"/>
      <c r="KTF538" s="501"/>
      <c r="KTG538" s="501"/>
      <c r="KTH538" s="501"/>
      <c r="KTI538" s="501"/>
      <c r="KTJ538" s="501"/>
      <c r="KTK538" s="501"/>
      <c r="KTL538" s="501"/>
      <c r="KTM538" s="501"/>
      <c r="KTN538" s="501"/>
      <c r="KTO538" s="501"/>
      <c r="KTP538" s="501"/>
      <c r="KTQ538" s="501"/>
      <c r="KTR538" s="501"/>
      <c r="KTS538" s="501"/>
      <c r="KTT538" s="501"/>
      <c r="KTU538" s="501"/>
      <c r="KTV538" s="501"/>
      <c r="KTW538" s="501"/>
      <c r="KTX538" s="501"/>
      <c r="KTY538" s="501"/>
      <c r="KTZ538" s="501"/>
      <c r="KUA538" s="501"/>
      <c r="KUB538" s="501"/>
      <c r="KUC538" s="501"/>
      <c r="KUD538" s="501"/>
      <c r="KUE538" s="501"/>
      <c r="KUF538" s="501"/>
      <c r="KUG538" s="501"/>
      <c r="KUH538" s="501"/>
      <c r="KUI538" s="501"/>
      <c r="KUJ538" s="501"/>
      <c r="KUK538" s="501"/>
      <c r="KUL538" s="501"/>
      <c r="KUM538" s="501"/>
      <c r="KUN538" s="501"/>
      <c r="KUO538" s="501"/>
      <c r="KUP538" s="501"/>
      <c r="KUQ538" s="501"/>
      <c r="KUR538" s="501"/>
      <c r="KUS538" s="501"/>
      <c r="KUT538" s="501"/>
      <c r="KUU538" s="501"/>
      <c r="KUV538" s="501"/>
      <c r="KUW538" s="501"/>
      <c r="KUX538" s="501"/>
      <c r="KUY538" s="501"/>
      <c r="KUZ538" s="501"/>
      <c r="KVA538" s="501"/>
      <c r="KVB538" s="501"/>
      <c r="KVC538" s="501"/>
      <c r="KVD538" s="501"/>
      <c r="KVE538" s="501"/>
      <c r="KVF538" s="501"/>
      <c r="KVG538" s="501"/>
      <c r="KVH538" s="501"/>
      <c r="KVI538" s="501"/>
      <c r="KVJ538" s="501"/>
      <c r="KVK538" s="501"/>
      <c r="KVL538" s="501"/>
      <c r="KVM538" s="501"/>
      <c r="KVN538" s="501"/>
      <c r="KVO538" s="501"/>
      <c r="KVP538" s="501"/>
      <c r="KVQ538" s="501"/>
      <c r="KVR538" s="501"/>
      <c r="KVS538" s="501"/>
      <c r="KVT538" s="501"/>
      <c r="KVU538" s="501"/>
      <c r="KVV538" s="501"/>
      <c r="KVW538" s="501"/>
      <c r="KVX538" s="501"/>
      <c r="KVY538" s="501"/>
      <c r="KVZ538" s="501"/>
      <c r="KWA538" s="501"/>
      <c r="KWB538" s="501"/>
      <c r="KWC538" s="501"/>
      <c r="KWD538" s="501"/>
      <c r="KWE538" s="501"/>
      <c r="KWF538" s="501"/>
      <c r="KWG538" s="501"/>
      <c r="KWH538" s="501"/>
      <c r="KWI538" s="501"/>
      <c r="KWJ538" s="501"/>
      <c r="KWK538" s="501"/>
      <c r="KWL538" s="501"/>
      <c r="KWM538" s="501"/>
      <c r="KWN538" s="501"/>
      <c r="KWO538" s="501"/>
      <c r="KWP538" s="501"/>
      <c r="KWQ538" s="501"/>
      <c r="KWR538" s="501"/>
      <c r="KWS538" s="501"/>
      <c r="KWT538" s="501"/>
      <c r="KWU538" s="501"/>
      <c r="KWV538" s="501"/>
      <c r="KWW538" s="501"/>
      <c r="KWX538" s="501"/>
      <c r="KWY538" s="501"/>
      <c r="KWZ538" s="501"/>
      <c r="KXA538" s="501"/>
      <c r="KXB538" s="501"/>
      <c r="KXC538" s="501"/>
      <c r="KXD538" s="501"/>
      <c r="KXE538" s="501"/>
      <c r="KXF538" s="501"/>
      <c r="KXG538" s="501"/>
      <c r="KXH538" s="501"/>
      <c r="KXI538" s="501"/>
      <c r="KXJ538" s="501"/>
      <c r="KXK538" s="501"/>
      <c r="KXL538" s="501"/>
      <c r="KXM538" s="501"/>
      <c r="KXN538" s="501"/>
      <c r="KXO538" s="501"/>
      <c r="KXP538" s="501"/>
      <c r="KXQ538" s="501"/>
      <c r="KXR538" s="501"/>
      <c r="KXS538" s="501"/>
      <c r="KXT538" s="501"/>
      <c r="KXU538" s="501"/>
      <c r="KXV538" s="501"/>
      <c r="KXW538" s="501"/>
      <c r="KXX538" s="501"/>
      <c r="KXY538" s="501"/>
      <c r="KXZ538" s="501"/>
      <c r="KYA538" s="501"/>
      <c r="KYB538" s="501"/>
      <c r="KYC538" s="501"/>
      <c r="KYD538" s="501"/>
      <c r="KYE538" s="501"/>
      <c r="KYF538" s="501"/>
      <c r="KYG538" s="501"/>
      <c r="KYH538" s="501"/>
      <c r="KYI538" s="501"/>
      <c r="KYJ538" s="501"/>
      <c r="KYK538" s="501"/>
      <c r="KYL538" s="501"/>
      <c r="KYM538" s="501"/>
      <c r="KYN538" s="501"/>
      <c r="KYO538" s="501"/>
      <c r="KYP538" s="501"/>
      <c r="KYQ538" s="501"/>
      <c r="KYR538" s="501"/>
      <c r="KYS538" s="501"/>
      <c r="KYT538" s="501"/>
      <c r="KYU538" s="501"/>
      <c r="KYV538" s="501"/>
      <c r="KYW538" s="501"/>
      <c r="KYX538" s="501"/>
      <c r="KYY538" s="501"/>
      <c r="KYZ538" s="501"/>
      <c r="KZA538" s="501"/>
      <c r="KZB538" s="501"/>
      <c r="KZC538" s="501"/>
      <c r="KZD538" s="501"/>
      <c r="KZE538" s="501"/>
      <c r="KZF538" s="501"/>
      <c r="KZG538" s="501"/>
      <c r="KZH538" s="501"/>
      <c r="KZI538" s="501"/>
      <c r="KZJ538" s="501"/>
      <c r="KZK538" s="501"/>
      <c r="KZL538" s="501"/>
      <c r="KZM538" s="501"/>
      <c r="KZN538" s="501"/>
      <c r="KZO538" s="501"/>
      <c r="KZP538" s="501"/>
      <c r="KZQ538" s="501"/>
      <c r="KZR538" s="501"/>
      <c r="KZS538" s="501"/>
      <c r="KZT538" s="501"/>
      <c r="KZU538" s="501"/>
      <c r="KZV538" s="501"/>
      <c r="KZW538" s="501"/>
      <c r="KZX538" s="501"/>
      <c r="KZY538" s="501"/>
      <c r="KZZ538" s="501"/>
      <c r="LAA538" s="501"/>
      <c r="LAB538" s="501"/>
      <c r="LAC538" s="501"/>
      <c r="LAD538" s="501"/>
      <c r="LAE538" s="501"/>
      <c r="LAF538" s="501"/>
      <c r="LAG538" s="501"/>
      <c r="LAH538" s="501"/>
      <c r="LAI538" s="501"/>
      <c r="LAJ538" s="501"/>
      <c r="LAK538" s="501"/>
      <c r="LAL538" s="501"/>
      <c r="LAM538" s="501"/>
      <c r="LAN538" s="501"/>
      <c r="LAO538" s="501"/>
      <c r="LAP538" s="501"/>
      <c r="LAQ538" s="501"/>
      <c r="LAR538" s="501"/>
      <c r="LAS538" s="501"/>
      <c r="LAT538" s="501"/>
      <c r="LAU538" s="501"/>
      <c r="LAV538" s="501"/>
      <c r="LAW538" s="501"/>
      <c r="LAX538" s="501"/>
      <c r="LAY538" s="501"/>
      <c r="LAZ538" s="501"/>
      <c r="LBA538" s="501"/>
      <c r="LBB538" s="501"/>
      <c r="LBC538" s="501"/>
      <c r="LBD538" s="501"/>
      <c r="LBE538" s="501"/>
      <c r="LBF538" s="501"/>
      <c r="LBG538" s="501"/>
      <c r="LBH538" s="501"/>
      <c r="LBI538" s="501"/>
      <c r="LBJ538" s="501"/>
      <c r="LBK538" s="501"/>
      <c r="LBL538" s="501"/>
      <c r="LBM538" s="501"/>
      <c r="LBN538" s="501"/>
      <c r="LBO538" s="501"/>
      <c r="LBP538" s="501"/>
      <c r="LBQ538" s="501"/>
      <c r="LBR538" s="501"/>
      <c r="LBS538" s="501"/>
      <c r="LBT538" s="501"/>
      <c r="LBU538" s="501"/>
      <c r="LBV538" s="501"/>
      <c r="LBW538" s="501"/>
      <c r="LBX538" s="501"/>
      <c r="LBY538" s="501"/>
      <c r="LBZ538" s="501"/>
      <c r="LCA538" s="501"/>
      <c r="LCB538" s="501"/>
      <c r="LCC538" s="501"/>
      <c r="LCD538" s="501"/>
      <c r="LCE538" s="501"/>
      <c r="LCF538" s="501"/>
      <c r="LCG538" s="501"/>
      <c r="LCH538" s="501"/>
      <c r="LCI538" s="501"/>
      <c r="LCJ538" s="501"/>
      <c r="LCK538" s="501"/>
      <c r="LCL538" s="501"/>
      <c r="LCM538" s="501"/>
      <c r="LCN538" s="501"/>
      <c r="LCO538" s="501"/>
      <c r="LCP538" s="501"/>
      <c r="LCQ538" s="501"/>
      <c r="LCR538" s="501"/>
      <c r="LCS538" s="501"/>
      <c r="LCT538" s="501"/>
      <c r="LCU538" s="501"/>
      <c r="LCV538" s="501"/>
      <c r="LCW538" s="501"/>
      <c r="LCX538" s="501"/>
      <c r="LCY538" s="501"/>
      <c r="LCZ538" s="501"/>
      <c r="LDA538" s="501"/>
      <c r="LDB538" s="501"/>
      <c r="LDC538" s="501"/>
      <c r="LDD538" s="501"/>
      <c r="LDE538" s="501"/>
      <c r="LDF538" s="501"/>
      <c r="LDG538" s="501"/>
      <c r="LDH538" s="501"/>
      <c r="LDI538" s="501"/>
      <c r="LDJ538" s="501"/>
      <c r="LDK538" s="501"/>
      <c r="LDL538" s="501"/>
      <c r="LDM538" s="501"/>
      <c r="LDN538" s="501"/>
      <c r="LDO538" s="501"/>
      <c r="LDP538" s="501"/>
      <c r="LDQ538" s="501"/>
      <c r="LDR538" s="501"/>
      <c r="LDS538" s="501"/>
      <c r="LDT538" s="501"/>
      <c r="LDU538" s="501"/>
      <c r="LDV538" s="501"/>
      <c r="LDW538" s="501"/>
      <c r="LDX538" s="501"/>
      <c r="LDY538" s="501"/>
      <c r="LDZ538" s="501"/>
      <c r="LEA538" s="501"/>
      <c r="LEB538" s="501"/>
      <c r="LEC538" s="501"/>
      <c r="LED538" s="501"/>
      <c r="LEE538" s="501"/>
      <c r="LEF538" s="501"/>
      <c r="LEG538" s="501"/>
      <c r="LEH538" s="501"/>
      <c r="LEI538" s="501"/>
      <c r="LEJ538" s="501"/>
      <c r="LEK538" s="501"/>
      <c r="LEL538" s="501"/>
      <c r="LEM538" s="501"/>
      <c r="LEN538" s="501"/>
      <c r="LEO538" s="501"/>
      <c r="LEP538" s="501"/>
      <c r="LEQ538" s="501"/>
      <c r="LER538" s="501"/>
      <c r="LES538" s="501"/>
      <c r="LET538" s="501"/>
      <c r="LEU538" s="501"/>
      <c r="LEV538" s="501"/>
      <c r="LEW538" s="501"/>
      <c r="LEX538" s="501"/>
      <c r="LEY538" s="501"/>
      <c r="LEZ538" s="501"/>
      <c r="LFA538" s="501"/>
      <c r="LFB538" s="501"/>
      <c r="LFC538" s="501"/>
      <c r="LFD538" s="501"/>
      <c r="LFE538" s="501"/>
      <c r="LFF538" s="501"/>
      <c r="LFG538" s="501"/>
      <c r="LFH538" s="501"/>
      <c r="LFI538" s="501"/>
      <c r="LFJ538" s="501"/>
      <c r="LFK538" s="501"/>
      <c r="LFL538" s="501"/>
      <c r="LFM538" s="501"/>
      <c r="LFN538" s="501"/>
      <c r="LFO538" s="501"/>
      <c r="LFP538" s="501"/>
      <c r="LFQ538" s="501"/>
      <c r="LFR538" s="501"/>
      <c r="LFS538" s="501"/>
      <c r="LFT538" s="501"/>
      <c r="LFU538" s="501"/>
      <c r="LFV538" s="501"/>
      <c r="LFW538" s="501"/>
      <c r="LFX538" s="501"/>
      <c r="LFY538" s="501"/>
      <c r="LFZ538" s="501"/>
      <c r="LGA538" s="501"/>
      <c r="LGB538" s="501"/>
      <c r="LGC538" s="501"/>
      <c r="LGD538" s="501"/>
      <c r="LGE538" s="501"/>
      <c r="LGF538" s="501"/>
      <c r="LGG538" s="501"/>
      <c r="LGH538" s="501"/>
      <c r="LGI538" s="501"/>
      <c r="LGJ538" s="501"/>
      <c r="LGK538" s="501"/>
      <c r="LGL538" s="501"/>
      <c r="LGM538" s="501"/>
      <c r="LGN538" s="501"/>
      <c r="LGO538" s="501"/>
      <c r="LGP538" s="501"/>
      <c r="LGQ538" s="501"/>
      <c r="LGR538" s="501"/>
      <c r="LGS538" s="501"/>
      <c r="LGT538" s="501"/>
      <c r="LGU538" s="501"/>
      <c r="LGV538" s="501"/>
      <c r="LGW538" s="501"/>
      <c r="LGX538" s="501"/>
      <c r="LGY538" s="501"/>
      <c r="LGZ538" s="501"/>
      <c r="LHA538" s="501"/>
      <c r="LHB538" s="501"/>
      <c r="LHC538" s="501"/>
      <c r="LHD538" s="501"/>
      <c r="LHE538" s="501"/>
      <c r="LHF538" s="501"/>
      <c r="LHG538" s="501"/>
      <c r="LHH538" s="501"/>
      <c r="LHI538" s="501"/>
      <c r="LHJ538" s="501"/>
      <c r="LHK538" s="501"/>
      <c r="LHL538" s="501"/>
      <c r="LHM538" s="501"/>
      <c r="LHN538" s="501"/>
      <c r="LHO538" s="501"/>
      <c r="LHP538" s="501"/>
      <c r="LHQ538" s="501"/>
      <c r="LHR538" s="501"/>
      <c r="LHS538" s="501"/>
      <c r="LHT538" s="501"/>
      <c r="LHU538" s="501"/>
      <c r="LHV538" s="501"/>
      <c r="LHW538" s="501"/>
      <c r="LHX538" s="501"/>
      <c r="LHY538" s="501"/>
      <c r="LHZ538" s="501"/>
      <c r="LIA538" s="501"/>
      <c r="LIB538" s="501"/>
      <c r="LIC538" s="501"/>
      <c r="LID538" s="501"/>
      <c r="LIE538" s="501"/>
      <c r="LIF538" s="501"/>
      <c r="LIG538" s="501"/>
      <c r="LIH538" s="501"/>
      <c r="LII538" s="501"/>
      <c r="LIJ538" s="501"/>
      <c r="LIK538" s="501"/>
      <c r="LIL538" s="501"/>
      <c r="LIM538" s="501"/>
      <c r="LIN538" s="501"/>
      <c r="LIO538" s="501"/>
      <c r="LIP538" s="501"/>
      <c r="LIQ538" s="501"/>
      <c r="LIR538" s="501"/>
      <c r="LIS538" s="501"/>
      <c r="LIT538" s="501"/>
      <c r="LIU538" s="501"/>
      <c r="LIV538" s="501"/>
      <c r="LIW538" s="501"/>
      <c r="LIX538" s="501"/>
      <c r="LIY538" s="501"/>
      <c r="LIZ538" s="501"/>
      <c r="LJA538" s="501"/>
      <c r="LJB538" s="501"/>
      <c r="LJC538" s="501"/>
      <c r="LJD538" s="501"/>
      <c r="LJE538" s="501"/>
      <c r="LJF538" s="501"/>
      <c r="LJG538" s="501"/>
      <c r="LJH538" s="501"/>
      <c r="LJI538" s="501"/>
      <c r="LJJ538" s="501"/>
      <c r="LJK538" s="501"/>
      <c r="LJL538" s="501"/>
      <c r="LJM538" s="501"/>
      <c r="LJN538" s="501"/>
      <c r="LJO538" s="501"/>
      <c r="LJP538" s="501"/>
      <c r="LJQ538" s="501"/>
      <c r="LJR538" s="501"/>
      <c r="LJS538" s="501"/>
      <c r="LJT538" s="501"/>
      <c r="LJU538" s="501"/>
      <c r="LJV538" s="501"/>
      <c r="LJW538" s="501"/>
      <c r="LJX538" s="501"/>
      <c r="LJY538" s="501"/>
      <c r="LJZ538" s="501"/>
      <c r="LKA538" s="501"/>
      <c r="LKB538" s="501"/>
      <c r="LKC538" s="501"/>
      <c r="LKD538" s="501"/>
      <c r="LKE538" s="501"/>
      <c r="LKF538" s="501"/>
      <c r="LKG538" s="501"/>
      <c r="LKH538" s="501"/>
      <c r="LKI538" s="501"/>
      <c r="LKJ538" s="501"/>
      <c r="LKK538" s="501"/>
      <c r="LKL538" s="501"/>
      <c r="LKM538" s="501"/>
      <c r="LKN538" s="501"/>
      <c r="LKO538" s="501"/>
      <c r="LKP538" s="501"/>
      <c r="LKQ538" s="501"/>
      <c r="LKR538" s="501"/>
      <c r="LKS538" s="501"/>
      <c r="LKT538" s="501"/>
      <c r="LKU538" s="501"/>
      <c r="LKV538" s="501"/>
      <c r="LKW538" s="501"/>
      <c r="LKX538" s="501"/>
      <c r="LKY538" s="501"/>
      <c r="LKZ538" s="501"/>
      <c r="LLA538" s="501"/>
      <c r="LLB538" s="501"/>
      <c r="LLC538" s="501"/>
      <c r="LLD538" s="501"/>
      <c r="LLE538" s="501"/>
      <c r="LLF538" s="501"/>
      <c r="LLG538" s="501"/>
      <c r="LLH538" s="501"/>
      <c r="LLI538" s="501"/>
      <c r="LLJ538" s="501"/>
      <c r="LLK538" s="501"/>
      <c r="LLL538" s="501"/>
      <c r="LLM538" s="501"/>
      <c r="LLN538" s="501"/>
      <c r="LLO538" s="501"/>
      <c r="LLP538" s="501"/>
      <c r="LLQ538" s="501"/>
      <c r="LLR538" s="501"/>
      <c r="LLS538" s="501"/>
      <c r="LLT538" s="501"/>
      <c r="LLU538" s="501"/>
      <c r="LLV538" s="501"/>
      <c r="LLW538" s="501"/>
      <c r="LLX538" s="501"/>
      <c r="LLY538" s="501"/>
      <c r="LLZ538" s="501"/>
      <c r="LMA538" s="501"/>
      <c r="LMB538" s="501"/>
      <c r="LMC538" s="501"/>
      <c r="LMD538" s="501"/>
      <c r="LME538" s="501"/>
      <c r="LMF538" s="501"/>
      <c r="LMG538" s="501"/>
      <c r="LMH538" s="501"/>
      <c r="LMI538" s="501"/>
      <c r="LMJ538" s="501"/>
      <c r="LMK538" s="501"/>
      <c r="LML538" s="501"/>
      <c r="LMM538" s="501"/>
      <c r="LMN538" s="501"/>
      <c r="LMO538" s="501"/>
      <c r="LMP538" s="501"/>
      <c r="LMQ538" s="501"/>
      <c r="LMR538" s="501"/>
      <c r="LMS538" s="501"/>
      <c r="LMT538" s="501"/>
      <c r="LMU538" s="501"/>
      <c r="LMV538" s="501"/>
      <c r="LMW538" s="501"/>
      <c r="LMX538" s="501"/>
      <c r="LMY538" s="501"/>
      <c r="LMZ538" s="501"/>
      <c r="LNA538" s="501"/>
      <c r="LNB538" s="501"/>
      <c r="LNC538" s="501"/>
      <c r="LND538" s="501"/>
      <c r="LNE538" s="501"/>
      <c r="LNF538" s="501"/>
      <c r="LNG538" s="501"/>
      <c r="LNH538" s="501"/>
      <c r="LNI538" s="501"/>
      <c r="LNJ538" s="501"/>
      <c r="LNK538" s="501"/>
      <c r="LNL538" s="501"/>
      <c r="LNM538" s="501"/>
      <c r="LNN538" s="501"/>
      <c r="LNO538" s="501"/>
      <c r="LNP538" s="501"/>
      <c r="LNQ538" s="501"/>
      <c r="LNR538" s="501"/>
      <c r="LNS538" s="501"/>
      <c r="LNT538" s="501"/>
      <c r="LNU538" s="501"/>
      <c r="LNV538" s="501"/>
      <c r="LNW538" s="501"/>
      <c r="LNX538" s="501"/>
      <c r="LNY538" s="501"/>
      <c r="LNZ538" s="501"/>
      <c r="LOA538" s="501"/>
      <c r="LOB538" s="501"/>
      <c r="LOC538" s="501"/>
      <c r="LOD538" s="501"/>
      <c r="LOE538" s="501"/>
      <c r="LOF538" s="501"/>
      <c r="LOG538" s="501"/>
      <c r="LOH538" s="501"/>
      <c r="LOI538" s="501"/>
      <c r="LOJ538" s="501"/>
      <c r="LOK538" s="501"/>
      <c r="LOL538" s="501"/>
      <c r="LOM538" s="501"/>
      <c r="LON538" s="501"/>
      <c r="LOO538" s="501"/>
      <c r="LOP538" s="501"/>
      <c r="LOQ538" s="501"/>
      <c r="LOR538" s="501"/>
      <c r="LOS538" s="501"/>
      <c r="LOT538" s="501"/>
      <c r="LOU538" s="501"/>
      <c r="LOV538" s="501"/>
      <c r="LOW538" s="501"/>
      <c r="LOX538" s="501"/>
      <c r="LOY538" s="501"/>
      <c r="LOZ538" s="501"/>
      <c r="LPA538" s="501"/>
      <c r="LPB538" s="501"/>
      <c r="LPC538" s="501"/>
      <c r="LPD538" s="501"/>
      <c r="LPE538" s="501"/>
      <c r="LPF538" s="501"/>
      <c r="LPG538" s="501"/>
      <c r="LPH538" s="501"/>
      <c r="LPI538" s="501"/>
      <c r="LPJ538" s="501"/>
      <c r="LPK538" s="501"/>
      <c r="LPL538" s="501"/>
      <c r="LPM538" s="501"/>
      <c r="LPN538" s="501"/>
      <c r="LPO538" s="501"/>
      <c r="LPP538" s="501"/>
      <c r="LPQ538" s="501"/>
      <c r="LPR538" s="501"/>
      <c r="LPS538" s="501"/>
      <c r="LPT538" s="501"/>
      <c r="LPU538" s="501"/>
      <c r="LPV538" s="501"/>
      <c r="LPW538" s="501"/>
      <c r="LPX538" s="501"/>
      <c r="LPY538" s="501"/>
      <c r="LPZ538" s="501"/>
      <c r="LQA538" s="501"/>
      <c r="LQB538" s="501"/>
      <c r="LQC538" s="501"/>
      <c r="LQD538" s="501"/>
      <c r="LQE538" s="501"/>
      <c r="LQF538" s="501"/>
      <c r="LQG538" s="501"/>
      <c r="LQH538" s="501"/>
      <c r="LQI538" s="501"/>
      <c r="LQJ538" s="501"/>
      <c r="LQK538" s="501"/>
      <c r="LQL538" s="501"/>
      <c r="LQM538" s="501"/>
      <c r="LQN538" s="501"/>
      <c r="LQO538" s="501"/>
      <c r="LQP538" s="501"/>
      <c r="LQQ538" s="501"/>
      <c r="LQR538" s="501"/>
      <c r="LQS538" s="501"/>
      <c r="LQT538" s="501"/>
      <c r="LQU538" s="501"/>
      <c r="LQV538" s="501"/>
      <c r="LQW538" s="501"/>
      <c r="LQX538" s="501"/>
      <c r="LQY538" s="501"/>
      <c r="LQZ538" s="501"/>
      <c r="LRA538" s="501"/>
      <c r="LRB538" s="501"/>
      <c r="LRC538" s="501"/>
      <c r="LRD538" s="501"/>
      <c r="LRE538" s="501"/>
      <c r="LRF538" s="501"/>
      <c r="LRG538" s="501"/>
      <c r="LRH538" s="501"/>
      <c r="LRI538" s="501"/>
      <c r="LRJ538" s="501"/>
      <c r="LRK538" s="501"/>
      <c r="LRL538" s="501"/>
      <c r="LRM538" s="501"/>
      <c r="LRN538" s="501"/>
      <c r="LRO538" s="501"/>
      <c r="LRP538" s="501"/>
      <c r="LRQ538" s="501"/>
      <c r="LRR538" s="501"/>
      <c r="LRS538" s="501"/>
      <c r="LRT538" s="501"/>
      <c r="LRU538" s="501"/>
      <c r="LRV538" s="501"/>
      <c r="LRW538" s="501"/>
      <c r="LRX538" s="501"/>
      <c r="LRY538" s="501"/>
      <c r="LRZ538" s="501"/>
      <c r="LSA538" s="501"/>
      <c r="LSB538" s="501"/>
      <c r="LSC538" s="501"/>
      <c r="LSD538" s="501"/>
      <c r="LSE538" s="501"/>
      <c r="LSF538" s="501"/>
      <c r="LSG538" s="501"/>
      <c r="LSH538" s="501"/>
      <c r="LSI538" s="501"/>
      <c r="LSJ538" s="501"/>
      <c r="LSK538" s="501"/>
      <c r="LSL538" s="501"/>
      <c r="LSM538" s="501"/>
      <c r="LSN538" s="501"/>
      <c r="LSO538" s="501"/>
      <c r="LSP538" s="501"/>
      <c r="LSQ538" s="501"/>
      <c r="LSR538" s="501"/>
      <c r="LSS538" s="501"/>
      <c r="LST538" s="501"/>
      <c r="LSU538" s="501"/>
      <c r="LSV538" s="501"/>
      <c r="LSW538" s="501"/>
      <c r="LSX538" s="501"/>
      <c r="LSY538" s="501"/>
      <c r="LSZ538" s="501"/>
      <c r="LTA538" s="501"/>
      <c r="LTB538" s="501"/>
      <c r="LTC538" s="501"/>
      <c r="LTD538" s="501"/>
      <c r="LTE538" s="501"/>
      <c r="LTF538" s="501"/>
      <c r="LTG538" s="501"/>
      <c r="LTH538" s="501"/>
      <c r="LTI538" s="501"/>
      <c r="LTJ538" s="501"/>
      <c r="LTK538" s="501"/>
      <c r="LTL538" s="501"/>
      <c r="LTM538" s="501"/>
      <c r="LTN538" s="501"/>
      <c r="LTO538" s="501"/>
      <c r="LTP538" s="501"/>
      <c r="LTQ538" s="501"/>
      <c r="LTR538" s="501"/>
      <c r="LTS538" s="501"/>
      <c r="LTT538" s="501"/>
      <c r="LTU538" s="501"/>
      <c r="LTV538" s="501"/>
      <c r="LTW538" s="501"/>
      <c r="LTX538" s="501"/>
      <c r="LTY538" s="501"/>
      <c r="LTZ538" s="501"/>
      <c r="LUA538" s="501"/>
      <c r="LUB538" s="501"/>
      <c r="LUC538" s="501"/>
      <c r="LUD538" s="501"/>
      <c r="LUE538" s="501"/>
      <c r="LUF538" s="501"/>
      <c r="LUG538" s="501"/>
      <c r="LUH538" s="501"/>
      <c r="LUI538" s="501"/>
      <c r="LUJ538" s="501"/>
      <c r="LUK538" s="501"/>
      <c r="LUL538" s="501"/>
      <c r="LUM538" s="501"/>
      <c r="LUN538" s="501"/>
      <c r="LUO538" s="501"/>
      <c r="LUP538" s="501"/>
      <c r="LUQ538" s="501"/>
      <c r="LUR538" s="501"/>
      <c r="LUS538" s="501"/>
      <c r="LUT538" s="501"/>
      <c r="LUU538" s="501"/>
      <c r="LUV538" s="501"/>
      <c r="LUW538" s="501"/>
      <c r="LUX538" s="501"/>
      <c r="LUY538" s="501"/>
      <c r="LUZ538" s="501"/>
      <c r="LVA538" s="501"/>
      <c r="LVB538" s="501"/>
      <c r="LVC538" s="501"/>
      <c r="LVD538" s="501"/>
      <c r="LVE538" s="501"/>
      <c r="LVF538" s="501"/>
      <c r="LVG538" s="501"/>
      <c r="LVH538" s="501"/>
      <c r="LVI538" s="501"/>
      <c r="LVJ538" s="501"/>
      <c r="LVK538" s="501"/>
      <c r="LVL538" s="501"/>
      <c r="LVM538" s="501"/>
      <c r="LVN538" s="501"/>
      <c r="LVO538" s="501"/>
      <c r="LVP538" s="501"/>
      <c r="LVQ538" s="501"/>
      <c r="LVR538" s="501"/>
      <c r="LVS538" s="501"/>
      <c r="LVT538" s="501"/>
      <c r="LVU538" s="501"/>
      <c r="LVV538" s="501"/>
      <c r="LVW538" s="501"/>
      <c r="LVX538" s="501"/>
      <c r="LVY538" s="501"/>
      <c r="LVZ538" s="501"/>
      <c r="LWA538" s="501"/>
      <c r="LWB538" s="501"/>
      <c r="LWC538" s="501"/>
      <c r="LWD538" s="501"/>
      <c r="LWE538" s="501"/>
      <c r="LWF538" s="501"/>
      <c r="LWG538" s="501"/>
      <c r="LWH538" s="501"/>
      <c r="LWI538" s="501"/>
      <c r="LWJ538" s="501"/>
      <c r="LWK538" s="501"/>
      <c r="LWL538" s="501"/>
      <c r="LWM538" s="501"/>
      <c r="LWN538" s="501"/>
      <c r="LWO538" s="501"/>
      <c r="LWP538" s="501"/>
      <c r="LWQ538" s="501"/>
      <c r="LWR538" s="501"/>
      <c r="LWS538" s="501"/>
      <c r="LWT538" s="501"/>
      <c r="LWU538" s="501"/>
      <c r="LWV538" s="501"/>
      <c r="LWW538" s="501"/>
      <c r="LWX538" s="501"/>
      <c r="LWY538" s="501"/>
      <c r="LWZ538" s="501"/>
      <c r="LXA538" s="501"/>
      <c r="LXB538" s="501"/>
      <c r="LXC538" s="501"/>
      <c r="LXD538" s="501"/>
      <c r="LXE538" s="501"/>
      <c r="LXF538" s="501"/>
      <c r="LXG538" s="501"/>
      <c r="LXH538" s="501"/>
      <c r="LXI538" s="501"/>
      <c r="LXJ538" s="501"/>
      <c r="LXK538" s="501"/>
      <c r="LXL538" s="501"/>
      <c r="LXM538" s="501"/>
      <c r="LXN538" s="501"/>
      <c r="LXO538" s="501"/>
      <c r="LXP538" s="501"/>
      <c r="LXQ538" s="501"/>
      <c r="LXR538" s="501"/>
      <c r="LXS538" s="501"/>
      <c r="LXT538" s="501"/>
      <c r="LXU538" s="501"/>
      <c r="LXV538" s="501"/>
      <c r="LXW538" s="501"/>
      <c r="LXX538" s="501"/>
      <c r="LXY538" s="501"/>
      <c r="LXZ538" s="501"/>
      <c r="LYA538" s="501"/>
      <c r="LYB538" s="501"/>
      <c r="LYC538" s="501"/>
      <c r="LYD538" s="501"/>
      <c r="LYE538" s="501"/>
      <c r="LYF538" s="501"/>
      <c r="LYG538" s="501"/>
      <c r="LYH538" s="501"/>
      <c r="LYI538" s="501"/>
      <c r="LYJ538" s="501"/>
      <c r="LYK538" s="501"/>
      <c r="LYL538" s="501"/>
      <c r="LYM538" s="501"/>
      <c r="LYN538" s="501"/>
      <c r="LYO538" s="501"/>
      <c r="LYP538" s="501"/>
      <c r="LYQ538" s="501"/>
      <c r="LYR538" s="501"/>
      <c r="LYS538" s="501"/>
      <c r="LYT538" s="501"/>
      <c r="LYU538" s="501"/>
      <c r="LYV538" s="501"/>
      <c r="LYW538" s="501"/>
      <c r="LYX538" s="501"/>
      <c r="LYY538" s="501"/>
      <c r="LYZ538" s="501"/>
      <c r="LZA538" s="501"/>
      <c r="LZB538" s="501"/>
      <c r="LZC538" s="501"/>
      <c r="LZD538" s="501"/>
      <c r="LZE538" s="501"/>
      <c r="LZF538" s="501"/>
      <c r="LZG538" s="501"/>
      <c r="LZH538" s="501"/>
      <c r="LZI538" s="501"/>
      <c r="LZJ538" s="501"/>
      <c r="LZK538" s="501"/>
      <c r="LZL538" s="501"/>
      <c r="LZM538" s="501"/>
      <c r="LZN538" s="501"/>
      <c r="LZO538" s="501"/>
      <c r="LZP538" s="501"/>
      <c r="LZQ538" s="501"/>
      <c r="LZR538" s="501"/>
      <c r="LZS538" s="501"/>
      <c r="LZT538" s="501"/>
      <c r="LZU538" s="501"/>
      <c r="LZV538" s="501"/>
      <c r="LZW538" s="501"/>
      <c r="LZX538" s="501"/>
      <c r="LZY538" s="501"/>
      <c r="LZZ538" s="501"/>
      <c r="MAA538" s="501"/>
      <c r="MAB538" s="501"/>
      <c r="MAC538" s="501"/>
      <c r="MAD538" s="501"/>
      <c r="MAE538" s="501"/>
      <c r="MAF538" s="501"/>
      <c r="MAG538" s="501"/>
      <c r="MAH538" s="501"/>
      <c r="MAI538" s="501"/>
      <c r="MAJ538" s="501"/>
      <c r="MAK538" s="501"/>
      <c r="MAL538" s="501"/>
      <c r="MAM538" s="501"/>
      <c r="MAN538" s="501"/>
      <c r="MAO538" s="501"/>
      <c r="MAP538" s="501"/>
      <c r="MAQ538" s="501"/>
      <c r="MAR538" s="501"/>
      <c r="MAS538" s="501"/>
      <c r="MAT538" s="501"/>
      <c r="MAU538" s="501"/>
      <c r="MAV538" s="501"/>
      <c r="MAW538" s="501"/>
      <c r="MAX538" s="501"/>
      <c r="MAY538" s="501"/>
      <c r="MAZ538" s="501"/>
      <c r="MBA538" s="501"/>
      <c r="MBB538" s="501"/>
      <c r="MBC538" s="501"/>
      <c r="MBD538" s="501"/>
      <c r="MBE538" s="501"/>
      <c r="MBF538" s="501"/>
      <c r="MBG538" s="501"/>
      <c r="MBH538" s="501"/>
      <c r="MBI538" s="501"/>
      <c r="MBJ538" s="501"/>
      <c r="MBK538" s="501"/>
      <c r="MBL538" s="501"/>
      <c r="MBM538" s="501"/>
      <c r="MBN538" s="501"/>
      <c r="MBO538" s="501"/>
      <c r="MBP538" s="501"/>
      <c r="MBQ538" s="501"/>
      <c r="MBR538" s="501"/>
      <c r="MBS538" s="501"/>
      <c r="MBT538" s="501"/>
      <c r="MBU538" s="501"/>
      <c r="MBV538" s="501"/>
      <c r="MBW538" s="501"/>
      <c r="MBX538" s="501"/>
      <c r="MBY538" s="501"/>
      <c r="MBZ538" s="501"/>
      <c r="MCA538" s="501"/>
      <c r="MCB538" s="501"/>
      <c r="MCC538" s="501"/>
      <c r="MCD538" s="501"/>
      <c r="MCE538" s="501"/>
      <c r="MCF538" s="501"/>
      <c r="MCG538" s="501"/>
      <c r="MCH538" s="501"/>
      <c r="MCI538" s="501"/>
      <c r="MCJ538" s="501"/>
      <c r="MCK538" s="501"/>
      <c r="MCL538" s="501"/>
      <c r="MCM538" s="501"/>
      <c r="MCN538" s="501"/>
      <c r="MCO538" s="501"/>
      <c r="MCP538" s="501"/>
      <c r="MCQ538" s="501"/>
      <c r="MCR538" s="501"/>
      <c r="MCS538" s="501"/>
      <c r="MCT538" s="501"/>
      <c r="MCU538" s="501"/>
      <c r="MCV538" s="501"/>
      <c r="MCW538" s="501"/>
      <c r="MCX538" s="501"/>
      <c r="MCY538" s="501"/>
      <c r="MCZ538" s="501"/>
      <c r="MDA538" s="501"/>
      <c r="MDB538" s="501"/>
      <c r="MDC538" s="501"/>
      <c r="MDD538" s="501"/>
      <c r="MDE538" s="501"/>
      <c r="MDF538" s="501"/>
      <c r="MDG538" s="501"/>
      <c r="MDH538" s="501"/>
      <c r="MDI538" s="501"/>
      <c r="MDJ538" s="501"/>
      <c r="MDK538" s="501"/>
      <c r="MDL538" s="501"/>
      <c r="MDM538" s="501"/>
      <c r="MDN538" s="501"/>
      <c r="MDO538" s="501"/>
      <c r="MDP538" s="501"/>
      <c r="MDQ538" s="501"/>
      <c r="MDR538" s="501"/>
      <c r="MDS538" s="501"/>
      <c r="MDT538" s="501"/>
      <c r="MDU538" s="501"/>
      <c r="MDV538" s="501"/>
      <c r="MDW538" s="501"/>
      <c r="MDX538" s="501"/>
      <c r="MDY538" s="501"/>
      <c r="MDZ538" s="501"/>
      <c r="MEA538" s="501"/>
      <c r="MEB538" s="501"/>
      <c r="MEC538" s="501"/>
      <c r="MED538" s="501"/>
      <c r="MEE538" s="501"/>
      <c r="MEF538" s="501"/>
      <c r="MEG538" s="501"/>
      <c r="MEH538" s="501"/>
      <c r="MEI538" s="501"/>
      <c r="MEJ538" s="501"/>
      <c r="MEK538" s="501"/>
      <c r="MEL538" s="501"/>
      <c r="MEM538" s="501"/>
      <c r="MEN538" s="501"/>
      <c r="MEO538" s="501"/>
      <c r="MEP538" s="501"/>
      <c r="MEQ538" s="501"/>
      <c r="MER538" s="501"/>
      <c r="MES538" s="501"/>
      <c r="MET538" s="501"/>
      <c r="MEU538" s="501"/>
      <c r="MEV538" s="501"/>
      <c r="MEW538" s="501"/>
      <c r="MEX538" s="501"/>
      <c r="MEY538" s="501"/>
      <c r="MEZ538" s="501"/>
      <c r="MFA538" s="501"/>
      <c r="MFB538" s="501"/>
      <c r="MFC538" s="501"/>
      <c r="MFD538" s="501"/>
      <c r="MFE538" s="501"/>
      <c r="MFF538" s="501"/>
      <c r="MFG538" s="501"/>
      <c r="MFH538" s="501"/>
      <c r="MFI538" s="501"/>
      <c r="MFJ538" s="501"/>
      <c r="MFK538" s="501"/>
      <c r="MFL538" s="501"/>
      <c r="MFM538" s="501"/>
      <c r="MFN538" s="501"/>
      <c r="MFO538" s="501"/>
      <c r="MFP538" s="501"/>
      <c r="MFQ538" s="501"/>
      <c r="MFR538" s="501"/>
      <c r="MFS538" s="501"/>
      <c r="MFT538" s="501"/>
      <c r="MFU538" s="501"/>
      <c r="MFV538" s="501"/>
      <c r="MFW538" s="501"/>
      <c r="MFX538" s="501"/>
      <c r="MFY538" s="501"/>
      <c r="MFZ538" s="501"/>
      <c r="MGA538" s="501"/>
      <c r="MGB538" s="501"/>
      <c r="MGC538" s="501"/>
      <c r="MGD538" s="501"/>
      <c r="MGE538" s="501"/>
      <c r="MGF538" s="501"/>
      <c r="MGG538" s="501"/>
      <c r="MGH538" s="501"/>
      <c r="MGI538" s="501"/>
      <c r="MGJ538" s="501"/>
      <c r="MGK538" s="501"/>
      <c r="MGL538" s="501"/>
      <c r="MGM538" s="501"/>
      <c r="MGN538" s="501"/>
      <c r="MGO538" s="501"/>
      <c r="MGP538" s="501"/>
      <c r="MGQ538" s="501"/>
      <c r="MGR538" s="501"/>
      <c r="MGS538" s="501"/>
      <c r="MGT538" s="501"/>
      <c r="MGU538" s="501"/>
      <c r="MGV538" s="501"/>
      <c r="MGW538" s="501"/>
      <c r="MGX538" s="501"/>
      <c r="MGY538" s="501"/>
      <c r="MGZ538" s="501"/>
      <c r="MHA538" s="501"/>
      <c r="MHB538" s="501"/>
      <c r="MHC538" s="501"/>
      <c r="MHD538" s="501"/>
      <c r="MHE538" s="501"/>
      <c r="MHF538" s="501"/>
      <c r="MHG538" s="501"/>
      <c r="MHH538" s="501"/>
      <c r="MHI538" s="501"/>
      <c r="MHJ538" s="501"/>
      <c r="MHK538" s="501"/>
      <c r="MHL538" s="501"/>
      <c r="MHM538" s="501"/>
      <c r="MHN538" s="501"/>
      <c r="MHO538" s="501"/>
      <c r="MHP538" s="501"/>
      <c r="MHQ538" s="501"/>
      <c r="MHR538" s="501"/>
      <c r="MHS538" s="501"/>
      <c r="MHT538" s="501"/>
      <c r="MHU538" s="501"/>
      <c r="MHV538" s="501"/>
      <c r="MHW538" s="501"/>
      <c r="MHX538" s="501"/>
      <c r="MHY538" s="501"/>
      <c r="MHZ538" s="501"/>
      <c r="MIA538" s="501"/>
      <c r="MIB538" s="501"/>
      <c r="MIC538" s="501"/>
      <c r="MID538" s="501"/>
      <c r="MIE538" s="501"/>
      <c r="MIF538" s="501"/>
      <c r="MIG538" s="501"/>
      <c r="MIH538" s="501"/>
      <c r="MII538" s="501"/>
      <c r="MIJ538" s="501"/>
      <c r="MIK538" s="501"/>
      <c r="MIL538" s="501"/>
      <c r="MIM538" s="501"/>
      <c r="MIN538" s="501"/>
      <c r="MIO538" s="501"/>
      <c r="MIP538" s="501"/>
      <c r="MIQ538" s="501"/>
      <c r="MIR538" s="501"/>
      <c r="MIS538" s="501"/>
      <c r="MIT538" s="501"/>
      <c r="MIU538" s="501"/>
      <c r="MIV538" s="501"/>
      <c r="MIW538" s="501"/>
      <c r="MIX538" s="501"/>
      <c r="MIY538" s="501"/>
      <c r="MIZ538" s="501"/>
      <c r="MJA538" s="501"/>
      <c r="MJB538" s="501"/>
      <c r="MJC538" s="501"/>
      <c r="MJD538" s="501"/>
      <c r="MJE538" s="501"/>
      <c r="MJF538" s="501"/>
      <c r="MJG538" s="501"/>
      <c r="MJH538" s="501"/>
      <c r="MJI538" s="501"/>
      <c r="MJJ538" s="501"/>
      <c r="MJK538" s="501"/>
      <c r="MJL538" s="501"/>
      <c r="MJM538" s="501"/>
      <c r="MJN538" s="501"/>
      <c r="MJO538" s="501"/>
      <c r="MJP538" s="501"/>
      <c r="MJQ538" s="501"/>
      <c r="MJR538" s="501"/>
      <c r="MJS538" s="501"/>
      <c r="MJT538" s="501"/>
      <c r="MJU538" s="501"/>
      <c r="MJV538" s="501"/>
      <c r="MJW538" s="501"/>
      <c r="MJX538" s="501"/>
      <c r="MJY538" s="501"/>
      <c r="MJZ538" s="501"/>
      <c r="MKA538" s="501"/>
      <c r="MKB538" s="501"/>
      <c r="MKC538" s="501"/>
      <c r="MKD538" s="501"/>
      <c r="MKE538" s="501"/>
      <c r="MKF538" s="501"/>
      <c r="MKG538" s="501"/>
      <c r="MKH538" s="501"/>
      <c r="MKI538" s="501"/>
      <c r="MKJ538" s="501"/>
      <c r="MKK538" s="501"/>
      <c r="MKL538" s="501"/>
      <c r="MKM538" s="501"/>
      <c r="MKN538" s="501"/>
      <c r="MKO538" s="501"/>
      <c r="MKP538" s="501"/>
      <c r="MKQ538" s="501"/>
      <c r="MKR538" s="501"/>
      <c r="MKS538" s="501"/>
      <c r="MKT538" s="501"/>
      <c r="MKU538" s="501"/>
      <c r="MKV538" s="501"/>
      <c r="MKW538" s="501"/>
      <c r="MKX538" s="501"/>
      <c r="MKY538" s="501"/>
      <c r="MKZ538" s="501"/>
      <c r="MLA538" s="501"/>
      <c r="MLB538" s="501"/>
      <c r="MLC538" s="501"/>
      <c r="MLD538" s="501"/>
      <c r="MLE538" s="501"/>
      <c r="MLF538" s="501"/>
      <c r="MLG538" s="501"/>
      <c r="MLH538" s="501"/>
      <c r="MLI538" s="501"/>
      <c r="MLJ538" s="501"/>
      <c r="MLK538" s="501"/>
      <c r="MLL538" s="501"/>
      <c r="MLM538" s="501"/>
      <c r="MLN538" s="501"/>
      <c r="MLO538" s="501"/>
      <c r="MLP538" s="501"/>
      <c r="MLQ538" s="501"/>
      <c r="MLR538" s="501"/>
      <c r="MLS538" s="501"/>
      <c r="MLT538" s="501"/>
      <c r="MLU538" s="501"/>
      <c r="MLV538" s="501"/>
      <c r="MLW538" s="501"/>
      <c r="MLX538" s="501"/>
      <c r="MLY538" s="501"/>
      <c r="MLZ538" s="501"/>
      <c r="MMA538" s="501"/>
      <c r="MMB538" s="501"/>
      <c r="MMC538" s="501"/>
      <c r="MMD538" s="501"/>
      <c r="MME538" s="501"/>
      <c r="MMF538" s="501"/>
      <c r="MMG538" s="501"/>
      <c r="MMH538" s="501"/>
      <c r="MMI538" s="501"/>
      <c r="MMJ538" s="501"/>
      <c r="MMK538" s="501"/>
      <c r="MML538" s="501"/>
      <c r="MMM538" s="501"/>
      <c r="MMN538" s="501"/>
      <c r="MMO538" s="501"/>
      <c r="MMP538" s="501"/>
      <c r="MMQ538" s="501"/>
      <c r="MMR538" s="501"/>
      <c r="MMS538" s="501"/>
      <c r="MMT538" s="501"/>
      <c r="MMU538" s="501"/>
      <c r="MMV538" s="501"/>
      <c r="MMW538" s="501"/>
      <c r="MMX538" s="501"/>
      <c r="MMY538" s="501"/>
      <c r="MMZ538" s="501"/>
      <c r="MNA538" s="501"/>
      <c r="MNB538" s="501"/>
      <c r="MNC538" s="501"/>
      <c r="MND538" s="501"/>
      <c r="MNE538" s="501"/>
      <c r="MNF538" s="501"/>
      <c r="MNG538" s="501"/>
      <c r="MNH538" s="501"/>
      <c r="MNI538" s="501"/>
      <c r="MNJ538" s="501"/>
      <c r="MNK538" s="501"/>
      <c r="MNL538" s="501"/>
      <c r="MNM538" s="501"/>
      <c r="MNN538" s="501"/>
      <c r="MNO538" s="501"/>
      <c r="MNP538" s="501"/>
      <c r="MNQ538" s="501"/>
      <c r="MNR538" s="501"/>
      <c r="MNS538" s="501"/>
      <c r="MNT538" s="501"/>
      <c r="MNU538" s="501"/>
      <c r="MNV538" s="501"/>
      <c r="MNW538" s="501"/>
      <c r="MNX538" s="501"/>
      <c r="MNY538" s="501"/>
      <c r="MNZ538" s="501"/>
      <c r="MOA538" s="501"/>
      <c r="MOB538" s="501"/>
      <c r="MOC538" s="501"/>
      <c r="MOD538" s="501"/>
      <c r="MOE538" s="501"/>
      <c r="MOF538" s="501"/>
      <c r="MOG538" s="501"/>
      <c r="MOH538" s="501"/>
      <c r="MOI538" s="501"/>
      <c r="MOJ538" s="501"/>
      <c r="MOK538" s="501"/>
      <c r="MOL538" s="501"/>
      <c r="MOM538" s="501"/>
      <c r="MON538" s="501"/>
      <c r="MOO538" s="501"/>
      <c r="MOP538" s="501"/>
      <c r="MOQ538" s="501"/>
      <c r="MOR538" s="501"/>
      <c r="MOS538" s="501"/>
      <c r="MOT538" s="501"/>
      <c r="MOU538" s="501"/>
      <c r="MOV538" s="501"/>
      <c r="MOW538" s="501"/>
      <c r="MOX538" s="501"/>
      <c r="MOY538" s="501"/>
      <c r="MOZ538" s="501"/>
      <c r="MPA538" s="501"/>
      <c r="MPB538" s="501"/>
      <c r="MPC538" s="501"/>
      <c r="MPD538" s="501"/>
      <c r="MPE538" s="501"/>
      <c r="MPF538" s="501"/>
      <c r="MPG538" s="501"/>
      <c r="MPH538" s="501"/>
      <c r="MPI538" s="501"/>
      <c r="MPJ538" s="501"/>
      <c r="MPK538" s="501"/>
      <c r="MPL538" s="501"/>
      <c r="MPM538" s="501"/>
      <c r="MPN538" s="501"/>
      <c r="MPO538" s="501"/>
      <c r="MPP538" s="501"/>
      <c r="MPQ538" s="501"/>
      <c r="MPR538" s="501"/>
      <c r="MPS538" s="501"/>
      <c r="MPT538" s="501"/>
      <c r="MPU538" s="501"/>
      <c r="MPV538" s="501"/>
      <c r="MPW538" s="501"/>
      <c r="MPX538" s="501"/>
      <c r="MPY538" s="501"/>
      <c r="MPZ538" s="501"/>
      <c r="MQA538" s="501"/>
      <c r="MQB538" s="501"/>
      <c r="MQC538" s="501"/>
      <c r="MQD538" s="501"/>
      <c r="MQE538" s="501"/>
      <c r="MQF538" s="501"/>
      <c r="MQG538" s="501"/>
      <c r="MQH538" s="501"/>
      <c r="MQI538" s="501"/>
      <c r="MQJ538" s="501"/>
      <c r="MQK538" s="501"/>
      <c r="MQL538" s="501"/>
      <c r="MQM538" s="501"/>
      <c r="MQN538" s="501"/>
      <c r="MQO538" s="501"/>
      <c r="MQP538" s="501"/>
      <c r="MQQ538" s="501"/>
      <c r="MQR538" s="501"/>
      <c r="MQS538" s="501"/>
      <c r="MQT538" s="501"/>
      <c r="MQU538" s="501"/>
      <c r="MQV538" s="501"/>
      <c r="MQW538" s="501"/>
      <c r="MQX538" s="501"/>
      <c r="MQY538" s="501"/>
      <c r="MQZ538" s="501"/>
      <c r="MRA538" s="501"/>
      <c r="MRB538" s="501"/>
      <c r="MRC538" s="501"/>
      <c r="MRD538" s="501"/>
      <c r="MRE538" s="501"/>
      <c r="MRF538" s="501"/>
      <c r="MRG538" s="501"/>
      <c r="MRH538" s="501"/>
      <c r="MRI538" s="501"/>
      <c r="MRJ538" s="501"/>
      <c r="MRK538" s="501"/>
      <c r="MRL538" s="501"/>
      <c r="MRM538" s="501"/>
      <c r="MRN538" s="501"/>
      <c r="MRO538" s="501"/>
      <c r="MRP538" s="501"/>
      <c r="MRQ538" s="501"/>
      <c r="MRR538" s="501"/>
      <c r="MRS538" s="501"/>
      <c r="MRT538" s="501"/>
      <c r="MRU538" s="501"/>
      <c r="MRV538" s="501"/>
      <c r="MRW538" s="501"/>
      <c r="MRX538" s="501"/>
      <c r="MRY538" s="501"/>
      <c r="MRZ538" s="501"/>
      <c r="MSA538" s="501"/>
      <c r="MSB538" s="501"/>
      <c r="MSC538" s="501"/>
      <c r="MSD538" s="501"/>
      <c r="MSE538" s="501"/>
      <c r="MSF538" s="501"/>
      <c r="MSG538" s="501"/>
      <c r="MSH538" s="501"/>
      <c r="MSI538" s="501"/>
      <c r="MSJ538" s="501"/>
      <c r="MSK538" s="501"/>
      <c r="MSL538" s="501"/>
      <c r="MSM538" s="501"/>
      <c r="MSN538" s="501"/>
      <c r="MSO538" s="501"/>
      <c r="MSP538" s="501"/>
      <c r="MSQ538" s="501"/>
      <c r="MSR538" s="501"/>
      <c r="MSS538" s="501"/>
      <c r="MST538" s="501"/>
      <c r="MSU538" s="501"/>
      <c r="MSV538" s="501"/>
      <c r="MSW538" s="501"/>
      <c r="MSX538" s="501"/>
      <c r="MSY538" s="501"/>
      <c r="MSZ538" s="501"/>
      <c r="MTA538" s="501"/>
      <c r="MTB538" s="501"/>
      <c r="MTC538" s="501"/>
      <c r="MTD538" s="501"/>
      <c r="MTE538" s="501"/>
      <c r="MTF538" s="501"/>
      <c r="MTG538" s="501"/>
      <c r="MTH538" s="501"/>
      <c r="MTI538" s="501"/>
      <c r="MTJ538" s="501"/>
      <c r="MTK538" s="501"/>
      <c r="MTL538" s="501"/>
      <c r="MTM538" s="501"/>
      <c r="MTN538" s="501"/>
      <c r="MTO538" s="501"/>
      <c r="MTP538" s="501"/>
      <c r="MTQ538" s="501"/>
      <c r="MTR538" s="501"/>
      <c r="MTS538" s="501"/>
      <c r="MTT538" s="501"/>
      <c r="MTU538" s="501"/>
      <c r="MTV538" s="501"/>
      <c r="MTW538" s="501"/>
      <c r="MTX538" s="501"/>
      <c r="MTY538" s="501"/>
      <c r="MTZ538" s="501"/>
      <c r="MUA538" s="501"/>
      <c r="MUB538" s="501"/>
      <c r="MUC538" s="501"/>
      <c r="MUD538" s="501"/>
      <c r="MUE538" s="501"/>
      <c r="MUF538" s="501"/>
      <c r="MUG538" s="501"/>
      <c r="MUH538" s="501"/>
      <c r="MUI538" s="501"/>
      <c r="MUJ538" s="501"/>
      <c r="MUK538" s="501"/>
      <c r="MUL538" s="501"/>
      <c r="MUM538" s="501"/>
      <c r="MUN538" s="501"/>
      <c r="MUO538" s="501"/>
      <c r="MUP538" s="501"/>
      <c r="MUQ538" s="501"/>
      <c r="MUR538" s="501"/>
      <c r="MUS538" s="501"/>
      <c r="MUT538" s="501"/>
      <c r="MUU538" s="501"/>
      <c r="MUV538" s="501"/>
      <c r="MUW538" s="501"/>
      <c r="MUX538" s="501"/>
      <c r="MUY538" s="501"/>
      <c r="MUZ538" s="501"/>
      <c r="MVA538" s="501"/>
      <c r="MVB538" s="501"/>
      <c r="MVC538" s="501"/>
      <c r="MVD538" s="501"/>
      <c r="MVE538" s="501"/>
      <c r="MVF538" s="501"/>
      <c r="MVG538" s="501"/>
      <c r="MVH538" s="501"/>
      <c r="MVI538" s="501"/>
      <c r="MVJ538" s="501"/>
      <c r="MVK538" s="501"/>
      <c r="MVL538" s="501"/>
      <c r="MVM538" s="501"/>
      <c r="MVN538" s="501"/>
      <c r="MVO538" s="501"/>
      <c r="MVP538" s="501"/>
      <c r="MVQ538" s="501"/>
      <c r="MVR538" s="501"/>
      <c r="MVS538" s="501"/>
      <c r="MVT538" s="501"/>
      <c r="MVU538" s="501"/>
      <c r="MVV538" s="501"/>
      <c r="MVW538" s="501"/>
      <c r="MVX538" s="501"/>
      <c r="MVY538" s="501"/>
      <c r="MVZ538" s="501"/>
      <c r="MWA538" s="501"/>
      <c r="MWB538" s="501"/>
      <c r="MWC538" s="501"/>
      <c r="MWD538" s="501"/>
      <c r="MWE538" s="501"/>
      <c r="MWF538" s="501"/>
      <c r="MWG538" s="501"/>
      <c r="MWH538" s="501"/>
      <c r="MWI538" s="501"/>
      <c r="MWJ538" s="501"/>
      <c r="MWK538" s="501"/>
      <c r="MWL538" s="501"/>
      <c r="MWM538" s="501"/>
      <c r="MWN538" s="501"/>
      <c r="MWO538" s="501"/>
      <c r="MWP538" s="501"/>
      <c r="MWQ538" s="501"/>
      <c r="MWR538" s="501"/>
      <c r="MWS538" s="501"/>
      <c r="MWT538" s="501"/>
      <c r="MWU538" s="501"/>
      <c r="MWV538" s="501"/>
      <c r="MWW538" s="501"/>
      <c r="MWX538" s="501"/>
      <c r="MWY538" s="501"/>
      <c r="MWZ538" s="501"/>
      <c r="MXA538" s="501"/>
      <c r="MXB538" s="501"/>
      <c r="MXC538" s="501"/>
      <c r="MXD538" s="501"/>
      <c r="MXE538" s="501"/>
      <c r="MXF538" s="501"/>
      <c r="MXG538" s="501"/>
      <c r="MXH538" s="501"/>
      <c r="MXI538" s="501"/>
      <c r="MXJ538" s="501"/>
      <c r="MXK538" s="501"/>
      <c r="MXL538" s="501"/>
      <c r="MXM538" s="501"/>
      <c r="MXN538" s="501"/>
      <c r="MXO538" s="501"/>
      <c r="MXP538" s="501"/>
      <c r="MXQ538" s="501"/>
      <c r="MXR538" s="501"/>
      <c r="MXS538" s="501"/>
      <c r="MXT538" s="501"/>
      <c r="MXU538" s="501"/>
      <c r="MXV538" s="501"/>
      <c r="MXW538" s="501"/>
      <c r="MXX538" s="501"/>
      <c r="MXY538" s="501"/>
      <c r="MXZ538" s="501"/>
      <c r="MYA538" s="501"/>
      <c r="MYB538" s="501"/>
      <c r="MYC538" s="501"/>
      <c r="MYD538" s="501"/>
      <c r="MYE538" s="501"/>
      <c r="MYF538" s="501"/>
      <c r="MYG538" s="501"/>
      <c r="MYH538" s="501"/>
      <c r="MYI538" s="501"/>
      <c r="MYJ538" s="501"/>
      <c r="MYK538" s="501"/>
      <c r="MYL538" s="501"/>
      <c r="MYM538" s="501"/>
      <c r="MYN538" s="501"/>
      <c r="MYO538" s="501"/>
      <c r="MYP538" s="501"/>
      <c r="MYQ538" s="501"/>
      <c r="MYR538" s="501"/>
      <c r="MYS538" s="501"/>
      <c r="MYT538" s="501"/>
      <c r="MYU538" s="501"/>
      <c r="MYV538" s="501"/>
      <c r="MYW538" s="501"/>
      <c r="MYX538" s="501"/>
      <c r="MYY538" s="501"/>
      <c r="MYZ538" s="501"/>
      <c r="MZA538" s="501"/>
      <c r="MZB538" s="501"/>
      <c r="MZC538" s="501"/>
      <c r="MZD538" s="501"/>
      <c r="MZE538" s="501"/>
      <c r="MZF538" s="501"/>
      <c r="MZG538" s="501"/>
      <c r="MZH538" s="501"/>
      <c r="MZI538" s="501"/>
      <c r="MZJ538" s="501"/>
      <c r="MZK538" s="501"/>
      <c r="MZL538" s="501"/>
      <c r="MZM538" s="501"/>
      <c r="MZN538" s="501"/>
      <c r="MZO538" s="501"/>
      <c r="MZP538" s="501"/>
      <c r="MZQ538" s="501"/>
      <c r="MZR538" s="501"/>
      <c r="MZS538" s="501"/>
      <c r="MZT538" s="501"/>
      <c r="MZU538" s="501"/>
      <c r="MZV538" s="501"/>
      <c r="MZW538" s="501"/>
      <c r="MZX538" s="501"/>
      <c r="MZY538" s="501"/>
      <c r="MZZ538" s="501"/>
      <c r="NAA538" s="501"/>
      <c r="NAB538" s="501"/>
      <c r="NAC538" s="501"/>
      <c r="NAD538" s="501"/>
      <c r="NAE538" s="501"/>
      <c r="NAF538" s="501"/>
      <c r="NAG538" s="501"/>
      <c r="NAH538" s="501"/>
      <c r="NAI538" s="501"/>
      <c r="NAJ538" s="501"/>
      <c r="NAK538" s="501"/>
      <c r="NAL538" s="501"/>
      <c r="NAM538" s="501"/>
      <c r="NAN538" s="501"/>
      <c r="NAO538" s="501"/>
      <c r="NAP538" s="501"/>
      <c r="NAQ538" s="501"/>
      <c r="NAR538" s="501"/>
      <c r="NAS538" s="501"/>
      <c r="NAT538" s="501"/>
      <c r="NAU538" s="501"/>
      <c r="NAV538" s="501"/>
      <c r="NAW538" s="501"/>
      <c r="NAX538" s="501"/>
      <c r="NAY538" s="501"/>
      <c r="NAZ538" s="501"/>
      <c r="NBA538" s="501"/>
      <c r="NBB538" s="501"/>
      <c r="NBC538" s="501"/>
      <c r="NBD538" s="501"/>
      <c r="NBE538" s="501"/>
      <c r="NBF538" s="501"/>
      <c r="NBG538" s="501"/>
      <c r="NBH538" s="501"/>
      <c r="NBI538" s="501"/>
      <c r="NBJ538" s="501"/>
      <c r="NBK538" s="501"/>
      <c r="NBL538" s="501"/>
      <c r="NBM538" s="501"/>
      <c r="NBN538" s="501"/>
      <c r="NBO538" s="501"/>
      <c r="NBP538" s="501"/>
      <c r="NBQ538" s="501"/>
      <c r="NBR538" s="501"/>
      <c r="NBS538" s="501"/>
      <c r="NBT538" s="501"/>
      <c r="NBU538" s="501"/>
      <c r="NBV538" s="501"/>
      <c r="NBW538" s="501"/>
      <c r="NBX538" s="501"/>
      <c r="NBY538" s="501"/>
      <c r="NBZ538" s="501"/>
      <c r="NCA538" s="501"/>
      <c r="NCB538" s="501"/>
      <c r="NCC538" s="501"/>
      <c r="NCD538" s="501"/>
      <c r="NCE538" s="501"/>
      <c r="NCF538" s="501"/>
      <c r="NCG538" s="501"/>
      <c r="NCH538" s="501"/>
      <c r="NCI538" s="501"/>
      <c r="NCJ538" s="501"/>
      <c r="NCK538" s="501"/>
      <c r="NCL538" s="501"/>
      <c r="NCM538" s="501"/>
      <c r="NCN538" s="501"/>
      <c r="NCO538" s="501"/>
      <c r="NCP538" s="501"/>
      <c r="NCQ538" s="501"/>
      <c r="NCR538" s="501"/>
      <c r="NCS538" s="501"/>
      <c r="NCT538" s="501"/>
      <c r="NCU538" s="501"/>
      <c r="NCV538" s="501"/>
      <c r="NCW538" s="501"/>
      <c r="NCX538" s="501"/>
      <c r="NCY538" s="501"/>
      <c r="NCZ538" s="501"/>
      <c r="NDA538" s="501"/>
      <c r="NDB538" s="501"/>
      <c r="NDC538" s="501"/>
      <c r="NDD538" s="501"/>
      <c r="NDE538" s="501"/>
      <c r="NDF538" s="501"/>
      <c r="NDG538" s="501"/>
      <c r="NDH538" s="501"/>
      <c r="NDI538" s="501"/>
      <c r="NDJ538" s="501"/>
      <c r="NDK538" s="501"/>
      <c r="NDL538" s="501"/>
      <c r="NDM538" s="501"/>
      <c r="NDN538" s="501"/>
      <c r="NDO538" s="501"/>
      <c r="NDP538" s="501"/>
      <c r="NDQ538" s="501"/>
      <c r="NDR538" s="501"/>
      <c r="NDS538" s="501"/>
      <c r="NDT538" s="501"/>
      <c r="NDU538" s="501"/>
      <c r="NDV538" s="501"/>
      <c r="NDW538" s="501"/>
      <c r="NDX538" s="501"/>
      <c r="NDY538" s="501"/>
      <c r="NDZ538" s="501"/>
      <c r="NEA538" s="501"/>
      <c r="NEB538" s="501"/>
      <c r="NEC538" s="501"/>
      <c r="NED538" s="501"/>
      <c r="NEE538" s="501"/>
      <c r="NEF538" s="501"/>
      <c r="NEG538" s="501"/>
      <c r="NEH538" s="501"/>
      <c r="NEI538" s="501"/>
      <c r="NEJ538" s="501"/>
      <c r="NEK538" s="501"/>
      <c r="NEL538" s="501"/>
      <c r="NEM538" s="501"/>
      <c r="NEN538" s="501"/>
      <c r="NEO538" s="501"/>
      <c r="NEP538" s="501"/>
      <c r="NEQ538" s="501"/>
      <c r="NER538" s="501"/>
      <c r="NES538" s="501"/>
      <c r="NET538" s="501"/>
      <c r="NEU538" s="501"/>
      <c r="NEV538" s="501"/>
      <c r="NEW538" s="501"/>
      <c r="NEX538" s="501"/>
      <c r="NEY538" s="501"/>
      <c r="NEZ538" s="501"/>
      <c r="NFA538" s="501"/>
      <c r="NFB538" s="501"/>
      <c r="NFC538" s="501"/>
      <c r="NFD538" s="501"/>
      <c r="NFE538" s="501"/>
      <c r="NFF538" s="501"/>
      <c r="NFG538" s="501"/>
      <c r="NFH538" s="501"/>
      <c r="NFI538" s="501"/>
      <c r="NFJ538" s="501"/>
      <c r="NFK538" s="501"/>
      <c r="NFL538" s="501"/>
      <c r="NFM538" s="501"/>
      <c r="NFN538" s="501"/>
      <c r="NFO538" s="501"/>
      <c r="NFP538" s="501"/>
      <c r="NFQ538" s="501"/>
      <c r="NFR538" s="501"/>
      <c r="NFS538" s="501"/>
      <c r="NFT538" s="501"/>
      <c r="NFU538" s="501"/>
      <c r="NFV538" s="501"/>
      <c r="NFW538" s="501"/>
      <c r="NFX538" s="501"/>
      <c r="NFY538" s="501"/>
      <c r="NFZ538" s="501"/>
      <c r="NGA538" s="501"/>
      <c r="NGB538" s="501"/>
      <c r="NGC538" s="501"/>
      <c r="NGD538" s="501"/>
      <c r="NGE538" s="501"/>
      <c r="NGF538" s="501"/>
      <c r="NGG538" s="501"/>
      <c r="NGH538" s="501"/>
      <c r="NGI538" s="501"/>
      <c r="NGJ538" s="501"/>
      <c r="NGK538" s="501"/>
      <c r="NGL538" s="501"/>
      <c r="NGM538" s="501"/>
      <c r="NGN538" s="501"/>
      <c r="NGO538" s="501"/>
      <c r="NGP538" s="501"/>
      <c r="NGQ538" s="501"/>
      <c r="NGR538" s="501"/>
      <c r="NGS538" s="501"/>
      <c r="NGT538" s="501"/>
      <c r="NGU538" s="501"/>
      <c r="NGV538" s="501"/>
      <c r="NGW538" s="501"/>
      <c r="NGX538" s="501"/>
      <c r="NGY538" s="501"/>
      <c r="NGZ538" s="501"/>
      <c r="NHA538" s="501"/>
      <c r="NHB538" s="501"/>
      <c r="NHC538" s="501"/>
      <c r="NHD538" s="501"/>
      <c r="NHE538" s="501"/>
      <c r="NHF538" s="501"/>
      <c r="NHG538" s="501"/>
      <c r="NHH538" s="501"/>
      <c r="NHI538" s="501"/>
      <c r="NHJ538" s="501"/>
      <c r="NHK538" s="501"/>
      <c r="NHL538" s="501"/>
      <c r="NHM538" s="501"/>
      <c r="NHN538" s="501"/>
      <c r="NHO538" s="501"/>
      <c r="NHP538" s="501"/>
      <c r="NHQ538" s="501"/>
      <c r="NHR538" s="501"/>
      <c r="NHS538" s="501"/>
      <c r="NHT538" s="501"/>
      <c r="NHU538" s="501"/>
      <c r="NHV538" s="501"/>
      <c r="NHW538" s="501"/>
      <c r="NHX538" s="501"/>
      <c r="NHY538" s="501"/>
      <c r="NHZ538" s="501"/>
      <c r="NIA538" s="501"/>
      <c r="NIB538" s="501"/>
      <c r="NIC538" s="501"/>
      <c r="NID538" s="501"/>
      <c r="NIE538" s="501"/>
      <c r="NIF538" s="501"/>
      <c r="NIG538" s="501"/>
      <c r="NIH538" s="501"/>
      <c r="NII538" s="501"/>
      <c r="NIJ538" s="501"/>
      <c r="NIK538" s="501"/>
      <c r="NIL538" s="501"/>
      <c r="NIM538" s="501"/>
      <c r="NIN538" s="501"/>
      <c r="NIO538" s="501"/>
      <c r="NIP538" s="501"/>
      <c r="NIQ538" s="501"/>
      <c r="NIR538" s="501"/>
      <c r="NIS538" s="501"/>
      <c r="NIT538" s="501"/>
      <c r="NIU538" s="501"/>
      <c r="NIV538" s="501"/>
      <c r="NIW538" s="501"/>
      <c r="NIX538" s="501"/>
      <c r="NIY538" s="501"/>
      <c r="NIZ538" s="501"/>
      <c r="NJA538" s="501"/>
      <c r="NJB538" s="501"/>
      <c r="NJC538" s="501"/>
      <c r="NJD538" s="501"/>
      <c r="NJE538" s="501"/>
      <c r="NJF538" s="501"/>
      <c r="NJG538" s="501"/>
      <c r="NJH538" s="501"/>
      <c r="NJI538" s="501"/>
      <c r="NJJ538" s="501"/>
      <c r="NJK538" s="501"/>
      <c r="NJL538" s="501"/>
      <c r="NJM538" s="501"/>
      <c r="NJN538" s="501"/>
      <c r="NJO538" s="501"/>
      <c r="NJP538" s="501"/>
      <c r="NJQ538" s="501"/>
      <c r="NJR538" s="501"/>
      <c r="NJS538" s="501"/>
      <c r="NJT538" s="501"/>
      <c r="NJU538" s="501"/>
      <c r="NJV538" s="501"/>
      <c r="NJW538" s="501"/>
      <c r="NJX538" s="501"/>
      <c r="NJY538" s="501"/>
      <c r="NJZ538" s="501"/>
      <c r="NKA538" s="501"/>
      <c r="NKB538" s="501"/>
      <c r="NKC538" s="501"/>
      <c r="NKD538" s="501"/>
      <c r="NKE538" s="501"/>
      <c r="NKF538" s="501"/>
      <c r="NKG538" s="501"/>
      <c r="NKH538" s="501"/>
      <c r="NKI538" s="501"/>
      <c r="NKJ538" s="501"/>
      <c r="NKK538" s="501"/>
      <c r="NKL538" s="501"/>
      <c r="NKM538" s="501"/>
      <c r="NKN538" s="501"/>
      <c r="NKO538" s="501"/>
      <c r="NKP538" s="501"/>
      <c r="NKQ538" s="501"/>
      <c r="NKR538" s="501"/>
      <c r="NKS538" s="501"/>
      <c r="NKT538" s="501"/>
      <c r="NKU538" s="501"/>
      <c r="NKV538" s="501"/>
      <c r="NKW538" s="501"/>
      <c r="NKX538" s="501"/>
      <c r="NKY538" s="501"/>
      <c r="NKZ538" s="501"/>
      <c r="NLA538" s="501"/>
      <c r="NLB538" s="501"/>
      <c r="NLC538" s="501"/>
      <c r="NLD538" s="501"/>
      <c r="NLE538" s="501"/>
      <c r="NLF538" s="501"/>
      <c r="NLG538" s="501"/>
      <c r="NLH538" s="501"/>
      <c r="NLI538" s="501"/>
      <c r="NLJ538" s="501"/>
      <c r="NLK538" s="501"/>
      <c r="NLL538" s="501"/>
      <c r="NLM538" s="501"/>
      <c r="NLN538" s="501"/>
      <c r="NLO538" s="501"/>
      <c r="NLP538" s="501"/>
      <c r="NLQ538" s="501"/>
      <c r="NLR538" s="501"/>
      <c r="NLS538" s="501"/>
      <c r="NLT538" s="501"/>
      <c r="NLU538" s="501"/>
      <c r="NLV538" s="501"/>
      <c r="NLW538" s="501"/>
      <c r="NLX538" s="501"/>
      <c r="NLY538" s="501"/>
      <c r="NLZ538" s="501"/>
      <c r="NMA538" s="501"/>
      <c r="NMB538" s="501"/>
      <c r="NMC538" s="501"/>
      <c r="NMD538" s="501"/>
      <c r="NME538" s="501"/>
      <c r="NMF538" s="501"/>
      <c r="NMG538" s="501"/>
      <c r="NMH538" s="501"/>
      <c r="NMI538" s="501"/>
      <c r="NMJ538" s="501"/>
      <c r="NMK538" s="501"/>
      <c r="NML538" s="501"/>
      <c r="NMM538" s="501"/>
      <c r="NMN538" s="501"/>
      <c r="NMO538" s="501"/>
      <c r="NMP538" s="501"/>
      <c r="NMQ538" s="501"/>
      <c r="NMR538" s="501"/>
      <c r="NMS538" s="501"/>
      <c r="NMT538" s="501"/>
      <c r="NMU538" s="501"/>
      <c r="NMV538" s="501"/>
      <c r="NMW538" s="501"/>
      <c r="NMX538" s="501"/>
      <c r="NMY538" s="501"/>
      <c r="NMZ538" s="501"/>
      <c r="NNA538" s="501"/>
      <c r="NNB538" s="501"/>
      <c r="NNC538" s="501"/>
      <c r="NND538" s="501"/>
      <c r="NNE538" s="501"/>
      <c r="NNF538" s="501"/>
      <c r="NNG538" s="501"/>
      <c r="NNH538" s="501"/>
      <c r="NNI538" s="501"/>
      <c r="NNJ538" s="501"/>
      <c r="NNK538" s="501"/>
      <c r="NNL538" s="501"/>
      <c r="NNM538" s="501"/>
      <c r="NNN538" s="501"/>
      <c r="NNO538" s="501"/>
      <c r="NNP538" s="501"/>
      <c r="NNQ538" s="501"/>
      <c r="NNR538" s="501"/>
      <c r="NNS538" s="501"/>
      <c r="NNT538" s="501"/>
      <c r="NNU538" s="501"/>
      <c r="NNV538" s="501"/>
      <c r="NNW538" s="501"/>
      <c r="NNX538" s="501"/>
      <c r="NNY538" s="501"/>
      <c r="NNZ538" s="501"/>
      <c r="NOA538" s="501"/>
      <c r="NOB538" s="501"/>
      <c r="NOC538" s="501"/>
      <c r="NOD538" s="501"/>
      <c r="NOE538" s="501"/>
      <c r="NOF538" s="501"/>
      <c r="NOG538" s="501"/>
      <c r="NOH538" s="501"/>
      <c r="NOI538" s="501"/>
      <c r="NOJ538" s="501"/>
      <c r="NOK538" s="501"/>
      <c r="NOL538" s="501"/>
      <c r="NOM538" s="501"/>
      <c r="NON538" s="501"/>
      <c r="NOO538" s="501"/>
      <c r="NOP538" s="501"/>
      <c r="NOQ538" s="501"/>
      <c r="NOR538" s="501"/>
      <c r="NOS538" s="501"/>
      <c r="NOT538" s="501"/>
      <c r="NOU538" s="501"/>
      <c r="NOV538" s="501"/>
      <c r="NOW538" s="501"/>
      <c r="NOX538" s="501"/>
      <c r="NOY538" s="501"/>
      <c r="NOZ538" s="501"/>
      <c r="NPA538" s="501"/>
      <c r="NPB538" s="501"/>
      <c r="NPC538" s="501"/>
      <c r="NPD538" s="501"/>
      <c r="NPE538" s="501"/>
      <c r="NPF538" s="501"/>
      <c r="NPG538" s="501"/>
      <c r="NPH538" s="501"/>
      <c r="NPI538" s="501"/>
      <c r="NPJ538" s="501"/>
      <c r="NPK538" s="501"/>
      <c r="NPL538" s="501"/>
      <c r="NPM538" s="501"/>
      <c r="NPN538" s="501"/>
      <c r="NPO538" s="501"/>
      <c r="NPP538" s="501"/>
      <c r="NPQ538" s="501"/>
      <c r="NPR538" s="501"/>
      <c r="NPS538" s="501"/>
      <c r="NPT538" s="501"/>
      <c r="NPU538" s="501"/>
      <c r="NPV538" s="501"/>
      <c r="NPW538" s="501"/>
      <c r="NPX538" s="501"/>
      <c r="NPY538" s="501"/>
      <c r="NPZ538" s="501"/>
      <c r="NQA538" s="501"/>
      <c r="NQB538" s="501"/>
      <c r="NQC538" s="501"/>
      <c r="NQD538" s="501"/>
      <c r="NQE538" s="501"/>
      <c r="NQF538" s="501"/>
      <c r="NQG538" s="501"/>
      <c r="NQH538" s="501"/>
      <c r="NQI538" s="501"/>
      <c r="NQJ538" s="501"/>
      <c r="NQK538" s="501"/>
      <c r="NQL538" s="501"/>
      <c r="NQM538" s="501"/>
      <c r="NQN538" s="501"/>
      <c r="NQO538" s="501"/>
      <c r="NQP538" s="501"/>
      <c r="NQQ538" s="501"/>
      <c r="NQR538" s="501"/>
      <c r="NQS538" s="501"/>
      <c r="NQT538" s="501"/>
      <c r="NQU538" s="501"/>
      <c r="NQV538" s="501"/>
      <c r="NQW538" s="501"/>
      <c r="NQX538" s="501"/>
      <c r="NQY538" s="501"/>
      <c r="NQZ538" s="501"/>
      <c r="NRA538" s="501"/>
      <c r="NRB538" s="501"/>
      <c r="NRC538" s="501"/>
      <c r="NRD538" s="501"/>
      <c r="NRE538" s="501"/>
      <c r="NRF538" s="501"/>
      <c r="NRG538" s="501"/>
      <c r="NRH538" s="501"/>
      <c r="NRI538" s="501"/>
      <c r="NRJ538" s="501"/>
      <c r="NRK538" s="501"/>
      <c r="NRL538" s="501"/>
      <c r="NRM538" s="501"/>
      <c r="NRN538" s="501"/>
      <c r="NRO538" s="501"/>
      <c r="NRP538" s="501"/>
      <c r="NRQ538" s="501"/>
      <c r="NRR538" s="501"/>
      <c r="NRS538" s="501"/>
      <c r="NRT538" s="501"/>
      <c r="NRU538" s="501"/>
      <c r="NRV538" s="501"/>
      <c r="NRW538" s="501"/>
      <c r="NRX538" s="501"/>
      <c r="NRY538" s="501"/>
      <c r="NRZ538" s="501"/>
      <c r="NSA538" s="501"/>
      <c r="NSB538" s="501"/>
      <c r="NSC538" s="501"/>
      <c r="NSD538" s="501"/>
      <c r="NSE538" s="501"/>
      <c r="NSF538" s="501"/>
      <c r="NSG538" s="501"/>
      <c r="NSH538" s="501"/>
      <c r="NSI538" s="501"/>
      <c r="NSJ538" s="501"/>
      <c r="NSK538" s="501"/>
      <c r="NSL538" s="501"/>
      <c r="NSM538" s="501"/>
      <c r="NSN538" s="501"/>
      <c r="NSO538" s="501"/>
      <c r="NSP538" s="501"/>
      <c r="NSQ538" s="501"/>
      <c r="NSR538" s="501"/>
      <c r="NSS538" s="501"/>
      <c r="NST538" s="501"/>
      <c r="NSU538" s="501"/>
      <c r="NSV538" s="501"/>
      <c r="NSW538" s="501"/>
      <c r="NSX538" s="501"/>
      <c r="NSY538" s="501"/>
      <c r="NSZ538" s="501"/>
      <c r="NTA538" s="501"/>
      <c r="NTB538" s="501"/>
      <c r="NTC538" s="501"/>
      <c r="NTD538" s="501"/>
      <c r="NTE538" s="501"/>
      <c r="NTF538" s="501"/>
      <c r="NTG538" s="501"/>
      <c r="NTH538" s="501"/>
      <c r="NTI538" s="501"/>
      <c r="NTJ538" s="501"/>
      <c r="NTK538" s="501"/>
      <c r="NTL538" s="501"/>
      <c r="NTM538" s="501"/>
      <c r="NTN538" s="501"/>
      <c r="NTO538" s="501"/>
      <c r="NTP538" s="501"/>
      <c r="NTQ538" s="501"/>
      <c r="NTR538" s="501"/>
      <c r="NTS538" s="501"/>
      <c r="NTT538" s="501"/>
      <c r="NTU538" s="501"/>
      <c r="NTV538" s="501"/>
      <c r="NTW538" s="501"/>
      <c r="NTX538" s="501"/>
      <c r="NTY538" s="501"/>
      <c r="NTZ538" s="501"/>
      <c r="NUA538" s="501"/>
      <c r="NUB538" s="501"/>
      <c r="NUC538" s="501"/>
      <c r="NUD538" s="501"/>
      <c r="NUE538" s="501"/>
      <c r="NUF538" s="501"/>
      <c r="NUG538" s="501"/>
      <c r="NUH538" s="501"/>
      <c r="NUI538" s="501"/>
      <c r="NUJ538" s="501"/>
      <c r="NUK538" s="501"/>
      <c r="NUL538" s="501"/>
      <c r="NUM538" s="501"/>
      <c r="NUN538" s="501"/>
      <c r="NUO538" s="501"/>
      <c r="NUP538" s="501"/>
      <c r="NUQ538" s="501"/>
      <c r="NUR538" s="501"/>
      <c r="NUS538" s="501"/>
      <c r="NUT538" s="501"/>
      <c r="NUU538" s="501"/>
      <c r="NUV538" s="501"/>
      <c r="NUW538" s="501"/>
      <c r="NUX538" s="501"/>
      <c r="NUY538" s="501"/>
      <c r="NUZ538" s="501"/>
      <c r="NVA538" s="501"/>
      <c r="NVB538" s="501"/>
      <c r="NVC538" s="501"/>
      <c r="NVD538" s="501"/>
      <c r="NVE538" s="501"/>
      <c r="NVF538" s="501"/>
      <c r="NVG538" s="501"/>
      <c r="NVH538" s="501"/>
      <c r="NVI538" s="501"/>
      <c r="NVJ538" s="501"/>
      <c r="NVK538" s="501"/>
      <c r="NVL538" s="501"/>
      <c r="NVM538" s="501"/>
      <c r="NVN538" s="501"/>
      <c r="NVO538" s="501"/>
      <c r="NVP538" s="501"/>
      <c r="NVQ538" s="501"/>
      <c r="NVR538" s="501"/>
      <c r="NVS538" s="501"/>
      <c r="NVT538" s="501"/>
      <c r="NVU538" s="501"/>
      <c r="NVV538" s="501"/>
      <c r="NVW538" s="501"/>
      <c r="NVX538" s="501"/>
      <c r="NVY538" s="501"/>
      <c r="NVZ538" s="501"/>
      <c r="NWA538" s="501"/>
      <c r="NWB538" s="501"/>
      <c r="NWC538" s="501"/>
      <c r="NWD538" s="501"/>
      <c r="NWE538" s="501"/>
      <c r="NWF538" s="501"/>
      <c r="NWG538" s="501"/>
      <c r="NWH538" s="501"/>
      <c r="NWI538" s="501"/>
      <c r="NWJ538" s="501"/>
      <c r="NWK538" s="501"/>
      <c r="NWL538" s="501"/>
      <c r="NWM538" s="501"/>
      <c r="NWN538" s="501"/>
      <c r="NWO538" s="501"/>
      <c r="NWP538" s="501"/>
      <c r="NWQ538" s="501"/>
      <c r="NWR538" s="501"/>
      <c r="NWS538" s="501"/>
      <c r="NWT538" s="501"/>
      <c r="NWU538" s="501"/>
      <c r="NWV538" s="501"/>
      <c r="NWW538" s="501"/>
      <c r="NWX538" s="501"/>
      <c r="NWY538" s="501"/>
      <c r="NWZ538" s="501"/>
      <c r="NXA538" s="501"/>
      <c r="NXB538" s="501"/>
      <c r="NXC538" s="501"/>
      <c r="NXD538" s="501"/>
      <c r="NXE538" s="501"/>
      <c r="NXF538" s="501"/>
      <c r="NXG538" s="501"/>
      <c r="NXH538" s="501"/>
      <c r="NXI538" s="501"/>
      <c r="NXJ538" s="501"/>
      <c r="NXK538" s="501"/>
      <c r="NXL538" s="501"/>
      <c r="NXM538" s="501"/>
      <c r="NXN538" s="501"/>
      <c r="NXO538" s="501"/>
      <c r="NXP538" s="501"/>
      <c r="NXQ538" s="501"/>
      <c r="NXR538" s="501"/>
      <c r="NXS538" s="501"/>
      <c r="NXT538" s="501"/>
      <c r="NXU538" s="501"/>
      <c r="NXV538" s="501"/>
      <c r="NXW538" s="501"/>
      <c r="NXX538" s="501"/>
      <c r="NXY538" s="501"/>
      <c r="NXZ538" s="501"/>
      <c r="NYA538" s="501"/>
      <c r="NYB538" s="501"/>
      <c r="NYC538" s="501"/>
      <c r="NYD538" s="501"/>
      <c r="NYE538" s="501"/>
      <c r="NYF538" s="501"/>
      <c r="NYG538" s="501"/>
      <c r="NYH538" s="501"/>
      <c r="NYI538" s="501"/>
      <c r="NYJ538" s="501"/>
      <c r="NYK538" s="501"/>
      <c r="NYL538" s="501"/>
      <c r="NYM538" s="501"/>
      <c r="NYN538" s="501"/>
      <c r="NYO538" s="501"/>
      <c r="NYP538" s="501"/>
      <c r="NYQ538" s="501"/>
      <c r="NYR538" s="501"/>
      <c r="NYS538" s="501"/>
      <c r="NYT538" s="501"/>
      <c r="NYU538" s="501"/>
      <c r="NYV538" s="501"/>
      <c r="NYW538" s="501"/>
      <c r="NYX538" s="501"/>
      <c r="NYY538" s="501"/>
      <c r="NYZ538" s="501"/>
      <c r="NZA538" s="501"/>
      <c r="NZB538" s="501"/>
      <c r="NZC538" s="501"/>
      <c r="NZD538" s="501"/>
      <c r="NZE538" s="501"/>
      <c r="NZF538" s="501"/>
      <c r="NZG538" s="501"/>
      <c r="NZH538" s="501"/>
      <c r="NZI538" s="501"/>
      <c r="NZJ538" s="501"/>
      <c r="NZK538" s="501"/>
      <c r="NZL538" s="501"/>
      <c r="NZM538" s="501"/>
      <c r="NZN538" s="501"/>
      <c r="NZO538" s="501"/>
      <c r="NZP538" s="501"/>
      <c r="NZQ538" s="501"/>
      <c r="NZR538" s="501"/>
      <c r="NZS538" s="501"/>
      <c r="NZT538" s="501"/>
      <c r="NZU538" s="501"/>
      <c r="NZV538" s="501"/>
      <c r="NZW538" s="501"/>
      <c r="NZX538" s="501"/>
      <c r="NZY538" s="501"/>
      <c r="NZZ538" s="501"/>
      <c r="OAA538" s="501"/>
      <c r="OAB538" s="501"/>
      <c r="OAC538" s="501"/>
      <c r="OAD538" s="501"/>
      <c r="OAE538" s="501"/>
      <c r="OAF538" s="501"/>
      <c r="OAG538" s="501"/>
      <c r="OAH538" s="501"/>
      <c r="OAI538" s="501"/>
      <c r="OAJ538" s="501"/>
      <c r="OAK538" s="501"/>
      <c r="OAL538" s="501"/>
      <c r="OAM538" s="501"/>
      <c r="OAN538" s="501"/>
      <c r="OAO538" s="501"/>
      <c r="OAP538" s="501"/>
      <c r="OAQ538" s="501"/>
      <c r="OAR538" s="501"/>
      <c r="OAS538" s="501"/>
      <c r="OAT538" s="501"/>
      <c r="OAU538" s="501"/>
      <c r="OAV538" s="501"/>
      <c r="OAW538" s="501"/>
      <c r="OAX538" s="501"/>
      <c r="OAY538" s="501"/>
      <c r="OAZ538" s="501"/>
      <c r="OBA538" s="501"/>
      <c r="OBB538" s="501"/>
      <c r="OBC538" s="501"/>
      <c r="OBD538" s="501"/>
      <c r="OBE538" s="501"/>
      <c r="OBF538" s="501"/>
      <c r="OBG538" s="501"/>
      <c r="OBH538" s="501"/>
      <c r="OBI538" s="501"/>
      <c r="OBJ538" s="501"/>
      <c r="OBK538" s="501"/>
      <c r="OBL538" s="501"/>
      <c r="OBM538" s="501"/>
      <c r="OBN538" s="501"/>
      <c r="OBO538" s="501"/>
      <c r="OBP538" s="501"/>
      <c r="OBQ538" s="501"/>
      <c r="OBR538" s="501"/>
      <c r="OBS538" s="501"/>
      <c r="OBT538" s="501"/>
      <c r="OBU538" s="501"/>
      <c r="OBV538" s="501"/>
      <c r="OBW538" s="501"/>
      <c r="OBX538" s="501"/>
      <c r="OBY538" s="501"/>
      <c r="OBZ538" s="501"/>
      <c r="OCA538" s="501"/>
      <c r="OCB538" s="501"/>
      <c r="OCC538" s="501"/>
      <c r="OCD538" s="501"/>
      <c r="OCE538" s="501"/>
      <c r="OCF538" s="501"/>
      <c r="OCG538" s="501"/>
      <c r="OCH538" s="501"/>
      <c r="OCI538" s="501"/>
      <c r="OCJ538" s="501"/>
      <c r="OCK538" s="501"/>
      <c r="OCL538" s="501"/>
      <c r="OCM538" s="501"/>
      <c r="OCN538" s="501"/>
      <c r="OCO538" s="501"/>
      <c r="OCP538" s="501"/>
      <c r="OCQ538" s="501"/>
      <c r="OCR538" s="501"/>
      <c r="OCS538" s="501"/>
      <c r="OCT538" s="501"/>
      <c r="OCU538" s="501"/>
      <c r="OCV538" s="501"/>
      <c r="OCW538" s="501"/>
      <c r="OCX538" s="501"/>
      <c r="OCY538" s="501"/>
      <c r="OCZ538" s="501"/>
      <c r="ODA538" s="501"/>
      <c r="ODB538" s="501"/>
      <c r="ODC538" s="501"/>
      <c r="ODD538" s="501"/>
      <c r="ODE538" s="501"/>
      <c r="ODF538" s="501"/>
      <c r="ODG538" s="501"/>
      <c r="ODH538" s="501"/>
      <c r="ODI538" s="501"/>
      <c r="ODJ538" s="501"/>
      <c r="ODK538" s="501"/>
      <c r="ODL538" s="501"/>
      <c r="ODM538" s="501"/>
      <c r="ODN538" s="501"/>
      <c r="ODO538" s="501"/>
      <c r="ODP538" s="501"/>
      <c r="ODQ538" s="501"/>
      <c r="ODR538" s="501"/>
      <c r="ODS538" s="501"/>
      <c r="ODT538" s="501"/>
      <c r="ODU538" s="501"/>
      <c r="ODV538" s="501"/>
      <c r="ODW538" s="501"/>
      <c r="ODX538" s="501"/>
      <c r="ODY538" s="501"/>
      <c r="ODZ538" s="501"/>
      <c r="OEA538" s="501"/>
      <c r="OEB538" s="501"/>
      <c r="OEC538" s="501"/>
      <c r="OED538" s="501"/>
      <c r="OEE538" s="501"/>
      <c r="OEF538" s="501"/>
      <c r="OEG538" s="501"/>
      <c r="OEH538" s="501"/>
      <c r="OEI538" s="501"/>
      <c r="OEJ538" s="501"/>
      <c r="OEK538" s="501"/>
      <c r="OEL538" s="501"/>
      <c r="OEM538" s="501"/>
      <c r="OEN538" s="501"/>
      <c r="OEO538" s="501"/>
      <c r="OEP538" s="501"/>
      <c r="OEQ538" s="501"/>
      <c r="OER538" s="501"/>
      <c r="OES538" s="501"/>
      <c r="OET538" s="501"/>
      <c r="OEU538" s="501"/>
      <c r="OEV538" s="501"/>
      <c r="OEW538" s="501"/>
      <c r="OEX538" s="501"/>
      <c r="OEY538" s="501"/>
      <c r="OEZ538" s="501"/>
      <c r="OFA538" s="501"/>
      <c r="OFB538" s="501"/>
      <c r="OFC538" s="501"/>
      <c r="OFD538" s="501"/>
      <c r="OFE538" s="501"/>
      <c r="OFF538" s="501"/>
      <c r="OFG538" s="501"/>
      <c r="OFH538" s="501"/>
      <c r="OFI538" s="501"/>
      <c r="OFJ538" s="501"/>
      <c r="OFK538" s="501"/>
      <c r="OFL538" s="501"/>
      <c r="OFM538" s="501"/>
      <c r="OFN538" s="501"/>
      <c r="OFO538" s="501"/>
      <c r="OFP538" s="501"/>
      <c r="OFQ538" s="501"/>
      <c r="OFR538" s="501"/>
      <c r="OFS538" s="501"/>
      <c r="OFT538" s="501"/>
      <c r="OFU538" s="501"/>
      <c r="OFV538" s="501"/>
      <c r="OFW538" s="501"/>
      <c r="OFX538" s="501"/>
      <c r="OFY538" s="501"/>
      <c r="OFZ538" s="501"/>
      <c r="OGA538" s="501"/>
      <c r="OGB538" s="501"/>
      <c r="OGC538" s="501"/>
      <c r="OGD538" s="501"/>
      <c r="OGE538" s="501"/>
      <c r="OGF538" s="501"/>
      <c r="OGG538" s="501"/>
      <c r="OGH538" s="501"/>
      <c r="OGI538" s="501"/>
      <c r="OGJ538" s="501"/>
      <c r="OGK538" s="501"/>
      <c r="OGL538" s="501"/>
      <c r="OGM538" s="501"/>
      <c r="OGN538" s="501"/>
      <c r="OGO538" s="501"/>
      <c r="OGP538" s="501"/>
      <c r="OGQ538" s="501"/>
      <c r="OGR538" s="501"/>
      <c r="OGS538" s="501"/>
      <c r="OGT538" s="501"/>
      <c r="OGU538" s="501"/>
      <c r="OGV538" s="501"/>
      <c r="OGW538" s="501"/>
      <c r="OGX538" s="501"/>
      <c r="OGY538" s="501"/>
      <c r="OGZ538" s="501"/>
      <c r="OHA538" s="501"/>
      <c r="OHB538" s="501"/>
      <c r="OHC538" s="501"/>
      <c r="OHD538" s="501"/>
      <c r="OHE538" s="501"/>
      <c r="OHF538" s="501"/>
      <c r="OHG538" s="501"/>
      <c r="OHH538" s="501"/>
      <c r="OHI538" s="501"/>
      <c r="OHJ538" s="501"/>
      <c r="OHK538" s="501"/>
      <c r="OHL538" s="501"/>
      <c r="OHM538" s="501"/>
      <c r="OHN538" s="501"/>
      <c r="OHO538" s="501"/>
      <c r="OHP538" s="501"/>
      <c r="OHQ538" s="501"/>
      <c r="OHR538" s="501"/>
      <c r="OHS538" s="501"/>
      <c r="OHT538" s="501"/>
      <c r="OHU538" s="501"/>
      <c r="OHV538" s="501"/>
      <c r="OHW538" s="501"/>
      <c r="OHX538" s="501"/>
      <c r="OHY538" s="501"/>
      <c r="OHZ538" s="501"/>
      <c r="OIA538" s="501"/>
      <c r="OIB538" s="501"/>
      <c r="OIC538" s="501"/>
      <c r="OID538" s="501"/>
      <c r="OIE538" s="501"/>
      <c r="OIF538" s="501"/>
      <c r="OIG538" s="501"/>
      <c r="OIH538" s="501"/>
      <c r="OII538" s="501"/>
      <c r="OIJ538" s="501"/>
      <c r="OIK538" s="501"/>
      <c r="OIL538" s="501"/>
      <c r="OIM538" s="501"/>
      <c r="OIN538" s="501"/>
      <c r="OIO538" s="501"/>
      <c r="OIP538" s="501"/>
      <c r="OIQ538" s="501"/>
      <c r="OIR538" s="501"/>
      <c r="OIS538" s="501"/>
      <c r="OIT538" s="501"/>
      <c r="OIU538" s="501"/>
      <c r="OIV538" s="501"/>
      <c r="OIW538" s="501"/>
      <c r="OIX538" s="501"/>
      <c r="OIY538" s="501"/>
      <c r="OIZ538" s="501"/>
      <c r="OJA538" s="501"/>
      <c r="OJB538" s="501"/>
      <c r="OJC538" s="501"/>
      <c r="OJD538" s="501"/>
      <c r="OJE538" s="501"/>
      <c r="OJF538" s="501"/>
      <c r="OJG538" s="501"/>
      <c r="OJH538" s="501"/>
      <c r="OJI538" s="501"/>
      <c r="OJJ538" s="501"/>
      <c r="OJK538" s="501"/>
      <c r="OJL538" s="501"/>
      <c r="OJM538" s="501"/>
      <c r="OJN538" s="501"/>
      <c r="OJO538" s="501"/>
      <c r="OJP538" s="501"/>
      <c r="OJQ538" s="501"/>
      <c r="OJR538" s="501"/>
      <c r="OJS538" s="501"/>
      <c r="OJT538" s="501"/>
      <c r="OJU538" s="501"/>
      <c r="OJV538" s="501"/>
      <c r="OJW538" s="501"/>
      <c r="OJX538" s="501"/>
      <c r="OJY538" s="501"/>
      <c r="OJZ538" s="501"/>
      <c r="OKA538" s="501"/>
      <c r="OKB538" s="501"/>
      <c r="OKC538" s="501"/>
      <c r="OKD538" s="501"/>
      <c r="OKE538" s="501"/>
      <c r="OKF538" s="501"/>
      <c r="OKG538" s="501"/>
      <c r="OKH538" s="501"/>
      <c r="OKI538" s="501"/>
      <c r="OKJ538" s="501"/>
      <c r="OKK538" s="501"/>
      <c r="OKL538" s="501"/>
      <c r="OKM538" s="501"/>
      <c r="OKN538" s="501"/>
      <c r="OKO538" s="501"/>
      <c r="OKP538" s="501"/>
      <c r="OKQ538" s="501"/>
      <c r="OKR538" s="501"/>
      <c r="OKS538" s="501"/>
      <c r="OKT538" s="501"/>
      <c r="OKU538" s="501"/>
      <c r="OKV538" s="501"/>
      <c r="OKW538" s="501"/>
      <c r="OKX538" s="501"/>
      <c r="OKY538" s="501"/>
      <c r="OKZ538" s="501"/>
      <c r="OLA538" s="501"/>
      <c r="OLB538" s="501"/>
      <c r="OLC538" s="501"/>
      <c r="OLD538" s="501"/>
      <c r="OLE538" s="501"/>
      <c r="OLF538" s="501"/>
      <c r="OLG538" s="501"/>
      <c r="OLH538" s="501"/>
      <c r="OLI538" s="501"/>
      <c r="OLJ538" s="501"/>
      <c r="OLK538" s="501"/>
      <c r="OLL538" s="501"/>
      <c r="OLM538" s="501"/>
      <c r="OLN538" s="501"/>
      <c r="OLO538" s="501"/>
      <c r="OLP538" s="501"/>
      <c r="OLQ538" s="501"/>
      <c r="OLR538" s="501"/>
      <c r="OLS538" s="501"/>
      <c r="OLT538" s="501"/>
      <c r="OLU538" s="501"/>
      <c r="OLV538" s="501"/>
      <c r="OLW538" s="501"/>
      <c r="OLX538" s="501"/>
      <c r="OLY538" s="501"/>
      <c r="OLZ538" s="501"/>
      <c r="OMA538" s="501"/>
      <c r="OMB538" s="501"/>
      <c r="OMC538" s="501"/>
      <c r="OMD538" s="501"/>
      <c r="OME538" s="501"/>
      <c r="OMF538" s="501"/>
      <c r="OMG538" s="501"/>
      <c r="OMH538" s="501"/>
      <c r="OMI538" s="501"/>
      <c r="OMJ538" s="501"/>
      <c r="OMK538" s="501"/>
      <c r="OML538" s="501"/>
      <c r="OMM538" s="501"/>
      <c r="OMN538" s="501"/>
      <c r="OMO538" s="501"/>
      <c r="OMP538" s="501"/>
      <c r="OMQ538" s="501"/>
      <c r="OMR538" s="501"/>
      <c r="OMS538" s="501"/>
      <c r="OMT538" s="501"/>
      <c r="OMU538" s="501"/>
      <c r="OMV538" s="501"/>
      <c r="OMW538" s="501"/>
      <c r="OMX538" s="501"/>
      <c r="OMY538" s="501"/>
      <c r="OMZ538" s="501"/>
      <c r="ONA538" s="501"/>
      <c r="ONB538" s="501"/>
      <c r="ONC538" s="501"/>
      <c r="OND538" s="501"/>
      <c r="ONE538" s="501"/>
      <c r="ONF538" s="501"/>
      <c r="ONG538" s="501"/>
      <c r="ONH538" s="501"/>
      <c r="ONI538" s="501"/>
      <c r="ONJ538" s="501"/>
      <c r="ONK538" s="501"/>
      <c r="ONL538" s="501"/>
      <c r="ONM538" s="501"/>
      <c r="ONN538" s="501"/>
      <c r="ONO538" s="501"/>
      <c r="ONP538" s="501"/>
      <c r="ONQ538" s="501"/>
      <c r="ONR538" s="501"/>
      <c r="ONS538" s="501"/>
      <c r="ONT538" s="501"/>
      <c r="ONU538" s="501"/>
      <c r="ONV538" s="501"/>
      <c r="ONW538" s="501"/>
      <c r="ONX538" s="501"/>
      <c r="ONY538" s="501"/>
      <c r="ONZ538" s="501"/>
      <c r="OOA538" s="501"/>
      <c r="OOB538" s="501"/>
      <c r="OOC538" s="501"/>
      <c r="OOD538" s="501"/>
      <c r="OOE538" s="501"/>
      <c r="OOF538" s="501"/>
      <c r="OOG538" s="501"/>
      <c r="OOH538" s="501"/>
      <c r="OOI538" s="501"/>
      <c r="OOJ538" s="501"/>
      <c r="OOK538" s="501"/>
      <c r="OOL538" s="501"/>
      <c r="OOM538" s="501"/>
      <c r="OON538" s="501"/>
      <c r="OOO538" s="501"/>
      <c r="OOP538" s="501"/>
      <c r="OOQ538" s="501"/>
      <c r="OOR538" s="501"/>
      <c r="OOS538" s="501"/>
      <c r="OOT538" s="501"/>
      <c r="OOU538" s="501"/>
      <c r="OOV538" s="501"/>
      <c r="OOW538" s="501"/>
      <c r="OOX538" s="501"/>
      <c r="OOY538" s="501"/>
      <c r="OOZ538" s="501"/>
      <c r="OPA538" s="501"/>
      <c r="OPB538" s="501"/>
      <c r="OPC538" s="501"/>
      <c r="OPD538" s="501"/>
      <c r="OPE538" s="501"/>
      <c r="OPF538" s="501"/>
      <c r="OPG538" s="501"/>
      <c r="OPH538" s="501"/>
      <c r="OPI538" s="501"/>
      <c r="OPJ538" s="501"/>
      <c r="OPK538" s="501"/>
      <c r="OPL538" s="501"/>
      <c r="OPM538" s="501"/>
      <c r="OPN538" s="501"/>
      <c r="OPO538" s="501"/>
      <c r="OPP538" s="501"/>
      <c r="OPQ538" s="501"/>
      <c r="OPR538" s="501"/>
      <c r="OPS538" s="501"/>
      <c r="OPT538" s="501"/>
      <c r="OPU538" s="501"/>
      <c r="OPV538" s="501"/>
      <c r="OPW538" s="501"/>
      <c r="OPX538" s="501"/>
      <c r="OPY538" s="501"/>
      <c r="OPZ538" s="501"/>
      <c r="OQA538" s="501"/>
      <c r="OQB538" s="501"/>
      <c r="OQC538" s="501"/>
      <c r="OQD538" s="501"/>
      <c r="OQE538" s="501"/>
      <c r="OQF538" s="501"/>
      <c r="OQG538" s="501"/>
      <c r="OQH538" s="501"/>
      <c r="OQI538" s="501"/>
      <c r="OQJ538" s="501"/>
      <c r="OQK538" s="501"/>
      <c r="OQL538" s="501"/>
      <c r="OQM538" s="501"/>
      <c r="OQN538" s="501"/>
      <c r="OQO538" s="501"/>
      <c r="OQP538" s="501"/>
      <c r="OQQ538" s="501"/>
      <c r="OQR538" s="501"/>
      <c r="OQS538" s="501"/>
      <c r="OQT538" s="501"/>
      <c r="OQU538" s="501"/>
      <c r="OQV538" s="501"/>
      <c r="OQW538" s="501"/>
      <c r="OQX538" s="501"/>
      <c r="OQY538" s="501"/>
      <c r="OQZ538" s="501"/>
      <c r="ORA538" s="501"/>
      <c r="ORB538" s="501"/>
      <c r="ORC538" s="501"/>
      <c r="ORD538" s="501"/>
      <c r="ORE538" s="501"/>
      <c r="ORF538" s="501"/>
      <c r="ORG538" s="501"/>
      <c r="ORH538" s="501"/>
      <c r="ORI538" s="501"/>
      <c r="ORJ538" s="501"/>
      <c r="ORK538" s="501"/>
      <c r="ORL538" s="501"/>
      <c r="ORM538" s="501"/>
      <c r="ORN538" s="501"/>
      <c r="ORO538" s="501"/>
      <c r="ORP538" s="501"/>
      <c r="ORQ538" s="501"/>
      <c r="ORR538" s="501"/>
      <c r="ORS538" s="501"/>
      <c r="ORT538" s="501"/>
      <c r="ORU538" s="501"/>
      <c r="ORV538" s="501"/>
      <c r="ORW538" s="501"/>
      <c r="ORX538" s="501"/>
      <c r="ORY538" s="501"/>
      <c r="ORZ538" s="501"/>
      <c r="OSA538" s="501"/>
      <c r="OSB538" s="501"/>
      <c r="OSC538" s="501"/>
      <c r="OSD538" s="501"/>
      <c r="OSE538" s="501"/>
      <c r="OSF538" s="501"/>
      <c r="OSG538" s="501"/>
      <c r="OSH538" s="501"/>
      <c r="OSI538" s="501"/>
      <c r="OSJ538" s="501"/>
      <c r="OSK538" s="501"/>
      <c r="OSL538" s="501"/>
      <c r="OSM538" s="501"/>
      <c r="OSN538" s="501"/>
      <c r="OSO538" s="501"/>
      <c r="OSP538" s="501"/>
      <c r="OSQ538" s="501"/>
      <c r="OSR538" s="501"/>
      <c r="OSS538" s="501"/>
      <c r="OST538" s="501"/>
      <c r="OSU538" s="501"/>
      <c r="OSV538" s="501"/>
      <c r="OSW538" s="501"/>
      <c r="OSX538" s="501"/>
      <c r="OSY538" s="501"/>
      <c r="OSZ538" s="501"/>
      <c r="OTA538" s="501"/>
      <c r="OTB538" s="501"/>
      <c r="OTC538" s="501"/>
      <c r="OTD538" s="501"/>
      <c r="OTE538" s="501"/>
      <c r="OTF538" s="501"/>
      <c r="OTG538" s="501"/>
      <c r="OTH538" s="501"/>
      <c r="OTI538" s="501"/>
      <c r="OTJ538" s="501"/>
      <c r="OTK538" s="501"/>
      <c r="OTL538" s="501"/>
      <c r="OTM538" s="501"/>
      <c r="OTN538" s="501"/>
      <c r="OTO538" s="501"/>
      <c r="OTP538" s="501"/>
      <c r="OTQ538" s="501"/>
      <c r="OTR538" s="501"/>
      <c r="OTS538" s="501"/>
      <c r="OTT538" s="501"/>
      <c r="OTU538" s="501"/>
      <c r="OTV538" s="501"/>
      <c r="OTW538" s="501"/>
      <c r="OTX538" s="501"/>
      <c r="OTY538" s="501"/>
      <c r="OTZ538" s="501"/>
      <c r="OUA538" s="501"/>
      <c r="OUB538" s="501"/>
      <c r="OUC538" s="501"/>
      <c r="OUD538" s="501"/>
      <c r="OUE538" s="501"/>
      <c r="OUF538" s="501"/>
      <c r="OUG538" s="501"/>
      <c r="OUH538" s="501"/>
      <c r="OUI538" s="501"/>
      <c r="OUJ538" s="501"/>
      <c r="OUK538" s="501"/>
      <c r="OUL538" s="501"/>
      <c r="OUM538" s="501"/>
      <c r="OUN538" s="501"/>
      <c r="OUO538" s="501"/>
      <c r="OUP538" s="501"/>
      <c r="OUQ538" s="501"/>
      <c r="OUR538" s="501"/>
      <c r="OUS538" s="501"/>
      <c r="OUT538" s="501"/>
      <c r="OUU538" s="501"/>
      <c r="OUV538" s="501"/>
      <c r="OUW538" s="501"/>
      <c r="OUX538" s="501"/>
      <c r="OUY538" s="501"/>
      <c r="OUZ538" s="501"/>
      <c r="OVA538" s="501"/>
      <c r="OVB538" s="501"/>
      <c r="OVC538" s="501"/>
      <c r="OVD538" s="501"/>
      <c r="OVE538" s="501"/>
      <c r="OVF538" s="501"/>
      <c r="OVG538" s="501"/>
      <c r="OVH538" s="501"/>
      <c r="OVI538" s="501"/>
      <c r="OVJ538" s="501"/>
      <c r="OVK538" s="501"/>
      <c r="OVL538" s="501"/>
      <c r="OVM538" s="501"/>
      <c r="OVN538" s="501"/>
      <c r="OVO538" s="501"/>
      <c r="OVP538" s="501"/>
      <c r="OVQ538" s="501"/>
      <c r="OVR538" s="501"/>
      <c r="OVS538" s="501"/>
      <c r="OVT538" s="501"/>
      <c r="OVU538" s="501"/>
      <c r="OVV538" s="501"/>
      <c r="OVW538" s="501"/>
      <c r="OVX538" s="501"/>
      <c r="OVY538" s="501"/>
      <c r="OVZ538" s="501"/>
      <c r="OWA538" s="501"/>
      <c r="OWB538" s="501"/>
      <c r="OWC538" s="501"/>
      <c r="OWD538" s="501"/>
      <c r="OWE538" s="501"/>
      <c r="OWF538" s="501"/>
      <c r="OWG538" s="501"/>
      <c r="OWH538" s="501"/>
      <c r="OWI538" s="501"/>
      <c r="OWJ538" s="501"/>
      <c r="OWK538" s="501"/>
      <c r="OWL538" s="501"/>
      <c r="OWM538" s="501"/>
      <c r="OWN538" s="501"/>
      <c r="OWO538" s="501"/>
      <c r="OWP538" s="501"/>
      <c r="OWQ538" s="501"/>
      <c r="OWR538" s="501"/>
      <c r="OWS538" s="501"/>
      <c r="OWT538" s="501"/>
      <c r="OWU538" s="501"/>
      <c r="OWV538" s="501"/>
      <c r="OWW538" s="501"/>
      <c r="OWX538" s="501"/>
      <c r="OWY538" s="501"/>
      <c r="OWZ538" s="501"/>
      <c r="OXA538" s="501"/>
      <c r="OXB538" s="501"/>
      <c r="OXC538" s="501"/>
      <c r="OXD538" s="501"/>
      <c r="OXE538" s="501"/>
      <c r="OXF538" s="501"/>
      <c r="OXG538" s="501"/>
      <c r="OXH538" s="501"/>
      <c r="OXI538" s="501"/>
      <c r="OXJ538" s="501"/>
      <c r="OXK538" s="501"/>
      <c r="OXL538" s="501"/>
      <c r="OXM538" s="501"/>
      <c r="OXN538" s="501"/>
      <c r="OXO538" s="501"/>
      <c r="OXP538" s="501"/>
      <c r="OXQ538" s="501"/>
      <c r="OXR538" s="501"/>
      <c r="OXS538" s="501"/>
      <c r="OXT538" s="501"/>
      <c r="OXU538" s="501"/>
      <c r="OXV538" s="501"/>
      <c r="OXW538" s="501"/>
      <c r="OXX538" s="501"/>
      <c r="OXY538" s="501"/>
      <c r="OXZ538" s="501"/>
      <c r="OYA538" s="501"/>
      <c r="OYB538" s="501"/>
      <c r="OYC538" s="501"/>
      <c r="OYD538" s="501"/>
      <c r="OYE538" s="501"/>
      <c r="OYF538" s="501"/>
      <c r="OYG538" s="501"/>
      <c r="OYH538" s="501"/>
      <c r="OYI538" s="501"/>
      <c r="OYJ538" s="501"/>
      <c r="OYK538" s="501"/>
      <c r="OYL538" s="501"/>
      <c r="OYM538" s="501"/>
      <c r="OYN538" s="501"/>
      <c r="OYO538" s="501"/>
      <c r="OYP538" s="501"/>
      <c r="OYQ538" s="501"/>
      <c r="OYR538" s="501"/>
      <c r="OYS538" s="501"/>
      <c r="OYT538" s="501"/>
      <c r="OYU538" s="501"/>
      <c r="OYV538" s="501"/>
      <c r="OYW538" s="501"/>
      <c r="OYX538" s="501"/>
      <c r="OYY538" s="501"/>
      <c r="OYZ538" s="501"/>
      <c r="OZA538" s="501"/>
      <c r="OZB538" s="501"/>
      <c r="OZC538" s="501"/>
      <c r="OZD538" s="501"/>
      <c r="OZE538" s="501"/>
      <c r="OZF538" s="501"/>
      <c r="OZG538" s="501"/>
      <c r="OZH538" s="501"/>
      <c r="OZI538" s="501"/>
      <c r="OZJ538" s="501"/>
      <c r="OZK538" s="501"/>
      <c r="OZL538" s="501"/>
      <c r="OZM538" s="501"/>
      <c r="OZN538" s="501"/>
      <c r="OZO538" s="501"/>
      <c r="OZP538" s="501"/>
      <c r="OZQ538" s="501"/>
      <c r="OZR538" s="501"/>
      <c r="OZS538" s="501"/>
      <c r="OZT538" s="501"/>
      <c r="OZU538" s="501"/>
      <c r="OZV538" s="501"/>
      <c r="OZW538" s="501"/>
      <c r="OZX538" s="501"/>
      <c r="OZY538" s="501"/>
      <c r="OZZ538" s="501"/>
      <c r="PAA538" s="501"/>
      <c r="PAB538" s="501"/>
      <c r="PAC538" s="501"/>
      <c r="PAD538" s="501"/>
      <c r="PAE538" s="501"/>
      <c r="PAF538" s="501"/>
      <c r="PAG538" s="501"/>
      <c r="PAH538" s="501"/>
      <c r="PAI538" s="501"/>
      <c r="PAJ538" s="501"/>
      <c r="PAK538" s="501"/>
      <c r="PAL538" s="501"/>
      <c r="PAM538" s="501"/>
      <c r="PAN538" s="501"/>
      <c r="PAO538" s="501"/>
      <c r="PAP538" s="501"/>
      <c r="PAQ538" s="501"/>
      <c r="PAR538" s="501"/>
      <c r="PAS538" s="501"/>
      <c r="PAT538" s="501"/>
      <c r="PAU538" s="501"/>
      <c r="PAV538" s="501"/>
      <c r="PAW538" s="501"/>
      <c r="PAX538" s="501"/>
      <c r="PAY538" s="501"/>
      <c r="PAZ538" s="501"/>
      <c r="PBA538" s="501"/>
      <c r="PBB538" s="501"/>
      <c r="PBC538" s="501"/>
      <c r="PBD538" s="501"/>
      <c r="PBE538" s="501"/>
      <c r="PBF538" s="501"/>
      <c r="PBG538" s="501"/>
      <c r="PBH538" s="501"/>
      <c r="PBI538" s="501"/>
      <c r="PBJ538" s="501"/>
      <c r="PBK538" s="501"/>
      <c r="PBL538" s="501"/>
      <c r="PBM538" s="501"/>
      <c r="PBN538" s="501"/>
      <c r="PBO538" s="501"/>
      <c r="PBP538" s="501"/>
      <c r="PBQ538" s="501"/>
      <c r="PBR538" s="501"/>
      <c r="PBS538" s="501"/>
      <c r="PBT538" s="501"/>
      <c r="PBU538" s="501"/>
      <c r="PBV538" s="501"/>
      <c r="PBW538" s="501"/>
      <c r="PBX538" s="501"/>
      <c r="PBY538" s="501"/>
      <c r="PBZ538" s="501"/>
      <c r="PCA538" s="501"/>
      <c r="PCB538" s="501"/>
      <c r="PCC538" s="501"/>
      <c r="PCD538" s="501"/>
      <c r="PCE538" s="501"/>
      <c r="PCF538" s="501"/>
      <c r="PCG538" s="501"/>
      <c r="PCH538" s="501"/>
      <c r="PCI538" s="501"/>
      <c r="PCJ538" s="501"/>
      <c r="PCK538" s="501"/>
      <c r="PCL538" s="501"/>
      <c r="PCM538" s="501"/>
      <c r="PCN538" s="501"/>
      <c r="PCO538" s="501"/>
      <c r="PCP538" s="501"/>
      <c r="PCQ538" s="501"/>
      <c r="PCR538" s="501"/>
      <c r="PCS538" s="501"/>
      <c r="PCT538" s="501"/>
      <c r="PCU538" s="501"/>
      <c r="PCV538" s="501"/>
      <c r="PCW538" s="501"/>
      <c r="PCX538" s="501"/>
      <c r="PCY538" s="501"/>
      <c r="PCZ538" s="501"/>
      <c r="PDA538" s="501"/>
      <c r="PDB538" s="501"/>
      <c r="PDC538" s="501"/>
      <c r="PDD538" s="501"/>
      <c r="PDE538" s="501"/>
      <c r="PDF538" s="501"/>
      <c r="PDG538" s="501"/>
      <c r="PDH538" s="501"/>
      <c r="PDI538" s="501"/>
      <c r="PDJ538" s="501"/>
      <c r="PDK538" s="501"/>
      <c r="PDL538" s="501"/>
      <c r="PDM538" s="501"/>
      <c r="PDN538" s="501"/>
      <c r="PDO538" s="501"/>
      <c r="PDP538" s="501"/>
      <c r="PDQ538" s="501"/>
      <c r="PDR538" s="501"/>
      <c r="PDS538" s="501"/>
      <c r="PDT538" s="501"/>
      <c r="PDU538" s="501"/>
      <c r="PDV538" s="501"/>
      <c r="PDW538" s="501"/>
      <c r="PDX538" s="501"/>
      <c r="PDY538" s="501"/>
      <c r="PDZ538" s="501"/>
      <c r="PEA538" s="501"/>
      <c r="PEB538" s="501"/>
      <c r="PEC538" s="501"/>
      <c r="PED538" s="501"/>
      <c r="PEE538" s="501"/>
      <c r="PEF538" s="501"/>
      <c r="PEG538" s="501"/>
      <c r="PEH538" s="501"/>
      <c r="PEI538" s="501"/>
      <c r="PEJ538" s="501"/>
      <c r="PEK538" s="501"/>
      <c r="PEL538" s="501"/>
      <c r="PEM538" s="501"/>
      <c r="PEN538" s="501"/>
      <c r="PEO538" s="501"/>
      <c r="PEP538" s="501"/>
      <c r="PEQ538" s="501"/>
      <c r="PER538" s="501"/>
      <c r="PES538" s="501"/>
      <c r="PET538" s="501"/>
      <c r="PEU538" s="501"/>
      <c r="PEV538" s="501"/>
      <c r="PEW538" s="501"/>
      <c r="PEX538" s="501"/>
      <c r="PEY538" s="501"/>
      <c r="PEZ538" s="501"/>
      <c r="PFA538" s="501"/>
      <c r="PFB538" s="501"/>
      <c r="PFC538" s="501"/>
      <c r="PFD538" s="501"/>
      <c r="PFE538" s="501"/>
      <c r="PFF538" s="501"/>
      <c r="PFG538" s="501"/>
      <c r="PFH538" s="501"/>
      <c r="PFI538" s="501"/>
      <c r="PFJ538" s="501"/>
      <c r="PFK538" s="501"/>
      <c r="PFL538" s="501"/>
      <c r="PFM538" s="501"/>
      <c r="PFN538" s="501"/>
      <c r="PFO538" s="501"/>
      <c r="PFP538" s="501"/>
      <c r="PFQ538" s="501"/>
      <c r="PFR538" s="501"/>
      <c r="PFS538" s="501"/>
      <c r="PFT538" s="501"/>
      <c r="PFU538" s="501"/>
      <c r="PFV538" s="501"/>
      <c r="PFW538" s="501"/>
      <c r="PFX538" s="501"/>
      <c r="PFY538" s="501"/>
      <c r="PFZ538" s="501"/>
      <c r="PGA538" s="501"/>
      <c r="PGB538" s="501"/>
      <c r="PGC538" s="501"/>
      <c r="PGD538" s="501"/>
      <c r="PGE538" s="501"/>
      <c r="PGF538" s="501"/>
      <c r="PGG538" s="501"/>
      <c r="PGH538" s="501"/>
      <c r="PGI538" s="501"/>
      <c r="PGJ538" s="501"/>
      <c r="PGK538" s="501"/>
      <c r="PGL538" s="501"/>
      <c r="PGM538" s="501"/>
      <c r="PGN538" s="501"/>
      <c r="PGO538" s="501"/>
      <c r="PGP538" s="501"/>
      <c r="PGQ538" s="501"/>
      <c r="PGR538" s="501"/>
      <c r="PGS538" s="501"/>
      <c r="PGT538" s="501"/>
      <c r="PGU538" s="501"/>
      <c r="PGV538" s="501"/>
      <c r="PGW538" s="501"/>
      <c r="PGX538" s="501"/>
      <c r="PGY538" s="501"/>
      <c r="PGZ538" s="501"/>
      <c r="PHA538" s="501"/>
      <c r="PHB538" s="501"/>
      <c r="PHC538" s="501"/>
      <c r="PHD538" s="501"/>
      <c r="PHE538" s="501"/>
      <c r="PHF538" s="501"/>
      <c r="PHG538" s="501"/>
      <c r="PHH538" s="501"/>
      <c r="PHI538" s="501"/>
      <c r="PHJ538" s="501"/>
      <c r="PHK538" s="501"/>
      <c r="PHL538" s="501"/>
      <c r="PHM538" s="501"/>
      <c r="PHN538" s="501"/>
      <c r="PHO538" s="501"/>
      <c r="PHP538" s="501"/>
      <c r="PHQ538" s="501"/>
      <c r="PHR538" s="501"/>
      <c r="PHS538" s="501"/>
      <c r="PHT538" s="501"/>
      <c r="PHU538" s="501"/>
      <c r="PHV538" s="501"/>
      <c r="PHW538" s="501"/>
      <c r="PHX538" s="501"/>
      <c r="PHY538" s="501"/>
      <c r="PHZ538" s="501"/>
      <c r="PIA538" s="501"/>
      <c r="PIB538" s="501"/>
      <c r="PIC538" s="501"/>
      <c r="PID538" s="501"/>
      <c r="PIE538" s="501"/>
      <c r="PIF538" s="501"/>
      <c r="PIG538" s="501"/>
      <c r="PIH538" s="501"/>
      <c r="PII538" s="501"/>
      <c r="PIJ538" s="501"/>
      <c r="PIK538" s="501"/>
      <c r="PIL538" s="501"/>
      <c r="PIM538" s="501"/>
      <c r="PIN538" s="501"/>
      <c r="PIO538" s="501"/>
      <c r="PIP538" s="501"/>
      <c r="PIQ538" s="501"/>
      <c r="PIR538" s="501"/>
      <c r="PIS538" s="501"/>
      <c r="PIT538" s="501"/>
      <c r="PIU538" s="501"/>
      <c r="PIV538" s="501"/>
      <c r="PIW538" s="501"/>
      <c r="PIX538" s="501"/>
      <c r="PIY538" s="501"/>
      <c r="PIZ538" s="501"/>
      <c r="PJA538" s="501"/>
      <c r="PJB538" s="501"/>
      <c r="PJC538" s="501"/>
      <c r="PJD538" s="501"/>
      <c r="PJE538" s="501"/>
      <c r="PJF538" s="501"/>
      <c r="PJG538" s="501"/>
      <c r="PJH538" s="501"/>
      <c r="PJI538" s="501"/>
      <c r="PJJ538" s="501"/>
      <c r="PJK538" s="501"/>
      <c r="PJL538" s="501"/>
      <c r="PJM538" s="501"/>
      <c r="PJN538" s="501"/>
      <c r="PJO538" s="501"/>
      <c r="PJP538" s="501"/>
      <c r="PJQ538" s="501"/>
      <c r="PJR538" s="501"/>
      <c r="PJS538" s="501"/>
      <c r="PJT538" s="501"/>
      <c r="PJU538" s="501"/>
      <c r="PJV538" s="501"/>
      <c r="PJW538" s="501"/>
      <c r="PJX538" s="501"/>
      <c r="PJY538" s="501"/>
      <c r="PJZ538" s="501"/>
      <c r="PKA538" s="501"/>
      <c r="PKB538" s="501"/>
      <c r="PKC538" s="501"/>
      <c r="PKD538" s="501"/>
      <c r="PKE538" s="501"/>
      <c r="PKF538" s="501"/>
      <c r="PKG538" s="501"/>
      <c r="PKH538" s="501"/>
      <c r="PKI538" s="501"/>
      <c r="PKJ538" s="501"/>
      <c r="PKK538" s="501"/>
      <c r="PKL538" s="501"/>
      <c r="PKM538" s="501"/>
      <c r="PKN538" s="501"/>
      <c r="PKO538" s="501"/>
      <c r="PKP538" s="501"/>
      <c r="PKQ538" s="501"/>
      <c r="PKR538" s="501"/>
      <c r="PKS538" s="501"/>
      <c r="PKT538" s="501"/>
      <c r="PKU538" s="501"/>
      <c r="PKV538" s="501"/>
      <c r="PKW538" s="501"/>
      <c r="PKX538" s="501"/>
      <c r="PKY538" s="501"/>
      <c r="PKZ538" s="501"/>
      <c r="PLA538" s="501"/>
      <c r="PLB538" s="501"/>
      <c r="PLC538" s="501"/>
      <c r="PLD538" s="501"/>
      <c r="PLE538" s="501"/>
      <c r="PLF538" s="501"/>
      <c r="PLG538" s="501"/>
      <c r="PLH538" s="501"/>
      <c r="PLI538" s="501"/>
      <c r="PLJ538" s="501"/>
      <c r="PLK538" s="501"/>
      <c r="PLL538" s="501"/>
      <c r="PLM538" s="501"/>
      <c r="PLN538" s="501"/>
      <c r="PLO538" s="501"/>
      <c r="PLP538" s="501"/>
      <c r="PLQ538" s="501"/>
      <c r="PLR538" s="501"/>
      <c r="PLS538" s="501"/>
      <c r="PLT538" s="501"/>
      <c r="PLU538" s="501"/>
      <c r="PLV538" s="501"/>
      <c r="PLW538" s="501"/>
      <c r="PLX538" s="501"/>
      <c r="PLY538" s="501"/>
      <c r="PLZ538" s="501"/>
      <c r="PMA538" s="501"/>
      <c r="PMB538" s="501"/>
      <c r="PMC538" s="501"/>
      <c r="PMD538" s="501"/>
      <c r="PME538" s="501"/>
      <c r="PMF538" s="501"/>
      <c r="PMG538" s="501"/>
      <c r="PMH538" s="501"/>
      <c r="PMI538" s="501"/>
      <c r="PMJ538" s="501"/>
      <c r="PMK538" s="501"/>
      <c r="PML538" s="501"/>
      <c r="PMM538" s="501"/>
      <c r="PMN538" s="501"/>
      <c r="PMO538" s="501"/>
      <c r="PMP538" s="501"/>
      <c r="PMQ538" s="501"/>
      <c r="PMR538" s="501"/>
      <c r="PMS538" s="501"/>
      <c r="PMT538" s="501"/>
      <c r="PMU538" s="501"/>
      <c r="PMV538" s="501"/>
      <c r="PMW538" s="501"/>
      <c r="PMX538" s="501"/>
      <c r="PMY538" s="501"/>
      <c r="PMZ538" s="501"/>
      <c r="PNA538" s="501"/>
      <c r="PNB538" s="501"/>
      <c r="PNC538" s="501"/>
      <c r="PND538" s="501"/>
      <c r="PNE538" s="501"/>
      <c r="PNF538" s="501"/>
      <c r="PNG538" s="501"/>
      <c r="PNH538" s="501"/>
      <c r="PNI538" s="501"/>
      <c r="PNJ538" s="501"/>
      <c r="PNK538" s="501"/>
      <c r="PNL538" s="501"/>
      <c r="PNM538" s="501"/>
      <c r="PNN538" s="501"/>
      <c r="PNO538" s="501"/>
      <c r="PNP538" s="501"/>
      <c r="PNQ538" s="501"/>
      <c r="PNR538" s="501"/>
      <c r="PNS538" s="501"/>
      <c r="PNT538" s="501"/>
      <c r="PNU538" s="501"/>
      <c r="PNV538" s="501"/>
      <c r="PNW538" s="501"/>
      <c r="PNX538" s="501"/>
      <c r="PNY538" s="501"/>
      <c r="PNZ538" s="501"/>
      <c r="POA538" s="501"/>
      <c r="POB538" s="501"/>
      <c r="POC538" s="501"/>
      <c r="POD538" s="501"/>
      <c r="POE538" s="501"/>
      <c r="POF538" s="501"/>
      <c r="POG538" s="501"/>
      <c r="POH538" s="501"/>
      <c r="POI538" s="501"/>
      <c r="POJ538" s="501"/>
      <c r="POK538" s="501"/>
      <c r="POL538" s="501"/>
      <c r="POM538" s="501"/>
      <c r="PON538" s="501"/>
      <c r="POO538" s="501"/>
      <c r="POP538" s="501"/>
      <c r="POQ538" s="501"/>
      <c r="POR538" s="501"/>
      <c r="POS538" s="501"/>
      <c r="POT538" s="501"/>
      <c r="POU538" s="501"/>
      <c r="POV538" s="501"/>
      <c r="POW538" s="501"/>
      <c r="POX538" s="501"/>
      <c r="POY538" s="501"/>
      <c r="POZ538" s="501"/>
      <c r="PPA538" s="501"/>
      <c r="PPB538" s="501"/>
      <c r="PPC538" s="501"/>
      <c r="PPD538" s="501"/>
      <c r="PPE538" s="501"/>
      <c r="PPF538" s="501"/>
      <c r="PPG538" s="501"/>
      <c r="PPH538" s="501"/>
      <c r="PPI538" s="501"/>
      <c r="PPJ538" s="501"/>
      <c r="PPK538" s="501"/>
      <c r="PPL538" s="501"/>
      <c r="PPM538" s="501"/>
      <c r="PPN538" s="501"/>
      <c r="PPO538" s="501"/>
      <c r="PPP538" s="501"/>
      <c r="PPQ538" s="501"/>
      <c r="PPR538" s="501"/>
      <c r="PPS538" s="501"/>
      <c r="PPT538" s="501"/>
      <c r="PPU538" s="501"/>
      <c r="PPV538" s="501"/>
      <c r="PPW538" s="501"/>
      <c r="PPX538" s="501"/>
      <c r="PPY538" s="501"/>
      <c r="PPZ538" s="501"/>
      <c r="PQA538" s="501"/>
      <c r="PQB538" s="501"/>
      <c r="PQC538" s="501"/>
      <c r="PQD538" s="501"/>
      <c r="PQE538" s="501"/>
      <c r="PQF538" s="501"/>
      <c r="PQG538" s="501"/>
      <c r="PQH538" s="501"/>
      <c r="PQI538" s="501"/>
      <c r="PQJ538" s="501"/>
      <c r="PQK538" s="501"/>
      <c r="PQL538" s="501"/>
      <c r="PQM538" s="501"/>
      <c r="PQN538" s="501"/>
      <c r="PQO538" s="501"/>
      <c r="PQP538" s="501"/>
      <c r="PQQ538" s="501"/>
      <c r="PQR538" s="501"/>
      <c r="PQS538" s="501"/>
      <c r="PQT538" s="501"/>
      <c r="PQU538" s="501"/>
      <c r="PQV538" s="501"/>
      <c r="PQW538" s="501"/>
      <c r="PQX538" s="501"/>
      <c r="PQY538" s="501"/>
      <c r="PQZ538" s="501"/>
      <c r="PRA538" s="501"/>
      <c r="PRB538" s="501"/>
      <c r="PRC538" s="501"/>
      <c r="PRD538" s="501"/>
      <c r="PRE538" s="501"/>
      <c r="PRF538" s="501"/>
      <c r="PRG538" s="501"/>
      <c r="PRH538" s="501"/>
      <c r="PRI538" s="501"/>
      <c r="PRJ538" s="501"/>
      <c r="PRK538" s="501"/>
      <c r="PRL538" s="501"/>
      <c r="PRM538" s="501"/>
      <c r="PRN538" s="501"/>
      <c r="PRO538" s="501"/>
      <c r="PRP538" s="501"/>
      <c r="PRQ538" s="501"/>
      <c r="PRR538" s="501"/>
      <c r="PRS538" s="501"/>
      <c r="PRT538" s="501"/>
      <c r="PRU538" s="501"/>
      <c r="PRV538" s="501"/>
      <c r="PRW538" s="501"/>
      <c r="PRX538" s="501"/>
      <c r="PRY538" s="501"/>
      <c r="PRZ538" s="501"/>
      <c r="PSA538" s="501"/>
      <c r="PSB538" s="501"/>
      <c r="PSC538" s="501"/>
      <c r="PSD538" s="501"/>
      <c r="PSE538" s="501"/>
      <c r="PSF538" s="501"/>
      <c r="PSG538" s="501"/>
      <c r="PSH538" s="501"/>
      <c r="PSI538" s="501"/>
      <c r="PSJ538" s="501"/>
      <c r="PSK538" s="501"/>
      <c r="PSL538" s="501"/>
      <c r="PSM538" s="501"/>
      <c r="PSN538" s="501"/>
      <c r="PSO538" s="501"/>
      <c r="PSP538" s="501"/>
      <c r="PSQ538" s="501"/>
      <c r="PSR538" s="501"/>
      <c r="PSS538" s="501"/>
      <c r="PST538" s="501"/>
      <c r="PSU538" s="501"/>
      <c r="PSV538" s="501"/>
      <c r="PSW538" s="501"/>
      <c r="PSX538" s="501"/>
      <c r="PSY538" s="501"/>
      <c r="PSZ538" s="501"/>
      <c r="PTA538" s="501"/>
      <c r="PTB538" s="501"/>
      <c r="PTC538" s="501"/>
      <c r="PTD538" s="501"/>
      <c r="PTE538" s="501"/>
      <c r="PTF538" s="501"/>
      <c r="PTG538" s="501"/>
      <c r="PTH538" s="501"/>
      <c r="PTI538" s="501"/>
      <c r="PTJ538" s="501"/>
      <c r="PTK538" s="501"/>
      <c r="PTL538" s="501"/>
      <c r="PTM538" s="501"/>
      <c r="PTN538" s="501"/>
      <c r="PTO538" s="501"/>
      <c r="PTP538" s="501"/>
      <c r="PTQ538" s="501"/>
      <c r="PTR538" s="501"/>
      <c r="PTS538" s="501"/>
      <c r="PTT538" s="501"/>
      <c r="PTU538" s="501"/>
      <c r="PTV538" s="501"/>
      <c r="PTW538" s="501"/>
      <c r="PTX538" s="501"/>
      <c r="PTY538" s="501"/>
      <c r="PTZ538" s="501"/>
      <c r="PUA538" s="501"/>
      <c r="PUB538" s="501"/>
      <c r="PUC538" s="501"/>
      <c r="PUD538" s="501"/>
      <c r="PUE538" s="501"/>
      <c r="PUF538" s="501"/>
      <c r="PUG538" s="501"/>
      <c r="PUH538" s="501"/>
      <c r="PUI538" s="501"/>
      <c r="PUJ538" s="501"/>
      <c r="PUK538" s="501"/>
      <c r="PUL538" s="501"/>
      <c r="PUM538" s="501"/>
      <c r="PUN538" s="501"/>
      <c r="PUO538" s="501"/>
      <c r="PUP538" s="501"/>
      <c r="PUQ538" s="501"/>
      <c r="PUR538" s="501"/>
      <c r="PUS538" s="501"/>
      <c r="PUT538" s="501"/>
      <c r="PUU538" s="501"/>
      <c r="PUV538" s="501"/>
      <c r="PUW538" s="501"/>
      <c r="PUX538" s="501"/>
      <c r="PUY538" s="501"/>
      <c r="PUZ538" s="501"/>
      <c r="PVA538" s="501"/>
      <c r="PVB538" s="501"/>
      <c r="PVC538" s="501"/>
      <c r="PVD538" s="501"/>
      <c r="PVE538" s="501"/>
      <c r="PVF538" s="501"/>
      <c r="PVG538" s="501"/>
      <c r="PVH538" s="501"/>
      <c r="PVI538" s="501"/>
      <c r="PVJ538" s="501"/>
      <c r="PVK538" s="501"/>
      <c r="PVL538" s="501"/>
      <c r="PVM538" s="501"/>
      <c r="PVN538" s="501"/>
      <c r="PVO538" s="501"/>
      <c r="PVP538" s="501"/>
      <c r="PVQ538" s="501"/>
      <c r="PVR538" s="501"/>
      <c r="PVS538" s="501"/>
      <c r="PVT538" s="501"/>
      <c r="PVU538" s="501"/>
      <c r="PVV538" s="501"/>
      <c r="PVW538" s="501"/>
      <c r="PVX538" s="501"/>
      <c r="PVY538" s="501"/>
      <c r="PVZ538" s="501"/>
      <c r="PWA538" s="501"/>
      <c r="PWB538" s="501"/>
      <c r="PWC538" s="501"/>
      <c r="PWD538" s="501"/>
      <c r="PWE538" s="501"/>
      <c r="PWF538" s="501"/>
      <c r="PWG538" s="501"/>
      <c r="PWH538" s="501"/>
      <c r="PWI538" s="501"/>
      <c r="PWJ538" s="501"/>
      <c r="PWK538" s="501"/>
      <c r="PWL538" s="501"/>
      <c r="PWM538" s="501"/>
      <c r="PWN538" s="501"/>
      <c r="PWO538" s="501"/>
      <c r="PWP538" s="501"/>
      <c r="PWQ538" s="501"/>
      <c r="PWR538" s="501"/>
      <c r="PWS538" s="501"/>
      <c r="PWT538" s="501"/>
      <c r="PWU538" s="501"/>
      <c r="PWV538" s="501"/>
      <c r="PWW538" s="501"/>
      <c r="PWX538" s="501"/>
      <c r="PWY538" s="501"/>
      <c r="PWZ538" s="501"/>
      <c r="PXA538" s="501"/>
      <c r="PXB538" s="501"/>
      <c r="PXC538" s="501"/>
      <c r="PXD538" s="501"/>
      <c r="PXE538" s="501"/>
      <c r="PXF538" s="501"/>
      <c r="PXG538" s="501"/>
      <c r="PXH538" s="501"/>
      <c r="PXI538" s="501"/>
      <c r="PXJ538" s="501"/>
      <c r="PXK538" s="501"/>
      <c r="PXL538" s="501"/>
      <c r="PXM538" s="501"/>
      <c r="PXN538" s="501"/>
      <c r="PXO538" s="501"/>
      <c r="PXP538" s="501"/>
      <c r="PXQ538" s="501"/>
      <c r="PXR538" s="501"/>
      <c r="PXS538" s="501"/>
      <c r="PXT538" s="501"/>
      <c r="PXU538" s="501"/>
      <c r="PXV538" s="501"/>
      <c r="PXW538" s="501"/>
      <c r="PXX538" s="501"/>
      <c r="PXY538" s="501"/>
      <c r="PXZ538" s="501"/>
      <c r="PYA538" s="501"/>
      <c r="PYB538" s="501"/>
      <c r="PYC538" s="501"/>
      <c r="PYD538" s="501"/>
      <c r="PYE538" s="501"/>
      <c r="PYF538" s="501"/>
      <c r="PYG538" s="501"/>
      <c r="PYH538" s="501"/>
      <c r="PYI538" s="501"/>
      <c r="PYJ538" s="501"/>
      <c r="PYK538" s="501"/>
      <c r="PYL538" s="501"/>
      <c r="PYM538" s="501"/>
      <c r="PYN538" s="501"/>
      <c r="PYO538" s="501"/>
      <c r="PYP538" s="501"/>
      <c r="PYQ538" s="501"/>
      <c r="PYR538" s="501"/>
      <c r="PYS538" s="501"/>
      <c r="PYT538" s="501"/>
      <c r="PYU538" s="501"/>
      <c r="PYV538" s="501"/>
      <c r="PYW538" s="501"/>
      <c r="PYX538" s="501"/>
      <c r="PYY538" s="501"/>
      <c r="PYZ538" s="501"/>
      <c r="PZA538" s="501"/>
      <c r="PZB538" s="501"/>
      <c r="PZC538" s="501"/>
      <c r="PZD538" s="501"/>
      <c r="PZE538" s="501"/>
      <c r="PZF538" s="501"/>
      <c r="PZG538" s="501"/>
      <c r="PZH538" s="501"/>
      <c r="PZI538" s="501"/>
      <c r="PZJ538" s="501"/>
      <c r="PZK538" s="501"/>
      <c r="PZL538" s="501"/>
      <c r="PZM538" s="501"/>
      <c r="PZN538" s="501"/>
      <c r="PZO538" s="501"/>
      <c r="PZP538" s="501"/>
      <c r="PZQ538" s="501"/>
      <c r="PZR538" s="501"/>
      <c r="PZS538" s="501"/>
      <c r="PZT538" s="501"/>
      <c r="PZU538" s="501"/>
      <c r="PZV538" s="501"/>
      <c r="PZW538" s="501"/>
      <c r="PZX538" s="501"/>
      <c r="PZY538" s="501"/>
      <c r="PZZ538" s="501"/>
      <c r="QAA538" s="501"/>
      <c r="QAB538" s="501"/>
      <c r="QAC538" s="501"/>
      <c r="QAD538" s="501"/>
      <c r="QAE538" s="501"/>
      <c r="QAF538" s="501"/>
      <c r="QAG538" s="501"/>
      <c r="QAH538" s="501"/>
      <c r="QAI538" s="501"/>
      <c r="QAJ538" s="501"/>
      <c r="QAK538" s="501"/>
      <c r="QAL538" s="501"/>
      <c r="QAM538" s="501"/>
      <c r="QAN538" s="501"/>
      <c r="QAO538" s="501"/>
      <c r="QAP538" s="501"/>
      <c r="QAQ538" s="501"/>
      <c r="QAR538" s="501"/>
      <c r="QAS538" s="501"/>
      <c r="QAT538" s="501"/>
      <c r="QAU538" s="501"/>
      <c r="QAV538" s="501"/>
      <c r="QAW538" s="501"/>
      <c r="QAX538" s="501"/>
      <c r="QAY538" s="501"/>
      <c r="QAZ538" s="501"/>
      <c r="QBA538" s="501"/>
      <c r="QBB538" s="501"/>
      <c r="QBC538" s="501"/>
      <c r="QBD538" s="501"/>
      <c r="QBE538" s="501"/>
      <c r="QBF538" s="501"/>
      <c r="QBG538" s="501"/>
      <c r="QBH538" s="501"/>
      <c r="QBI538" s="501"/>
      <c r="QBJ538" s="501"/>
      <c r="QBK538" s="501"/>
      <c r="QBL538" s="501"/>
      <c r="QBM538" s="501"/>
      <c r="QBN538" s="501"/>
      <c r="QBO538" s="501"/>
      <c r="QBP538" s="501"/>
      <c r="QBQ538" s="501"/>
      <c r="QBR538" s="501"/>
      <c r="QBS538" s="501"/>
      <c r="QBT538" s="501"/>
      <c r="QBU538" s="501"/>
      <c r="QBV538" s="501"/>
      <c r="QBW538" s="501"/>
      <c r="QBX538" s="501"/>
      <c r="QBY538" s="501"/>
      <c r="QBZ538" s="501"/>
      <c r="QCA538" s="501"/>
      <c r="QCB538" s="501"/>
      <c r="QCC538" s="501"/>
      <c r="QCD538" s="501"/>
      <c r="QCE538" s="501"/>
      <c r="QCF538" s="501"/>
      <c r="QCG538" s="501"/>
      <c r="QCH538" s="501"/>
      <c r="QCI538" s="501"/>
      <c r="QCJ538" s="501"/>
      <c r="QCK538" s="501"/>
      <c r="QCL538" s="501"/>
      <c r="QCM538" s="501"/>
      <c r="QCN538" s="501"/>
      <c r="QCO538" s="501"/>
      <c r="QCP538" s="501"/>
      <c r="QCQ538" s="501"/>
      <c r="QCR538" s="501"/>
      <c r="QCS538" s="501"/>
      <c r="QCT538" s="501"/>
      <c r="QCU538" s="501"/>
      <c r="QCV538" s="501"/>
      <c r="QCW538" s="501"/>
      <c r="QCX538" s="501"/>
      <c r="QCY538" s="501"/>
      <c r="QCZ538" s="501"/>
      <c r="QDA538" s="501"/>
      <c r="QDB538" s="501"/>
      <c r="QDC538" s="501"/>
      <c r="QDD538" s="501"/>
      <c r="QDE538" s="501"/>
      <c r="QDF538" s="501"/>
      <c r="QDG538" s="501"/>
      <c r="QDH538" s="501"/>
      <c r="QDI538" s="501"/>
      <c r="QDJ538" s="501"/>
      <c r="QDK538" s="501"/>
      <c r="QDL538" s="501"/>
      <c r="QDM538" s="501"/>
      <c r="QDN538" s="501"/>
      <c r="QDO538" s="501"/>
      <c r="QDP538" s="501"/>
      <c r="QDQ538" s="501"/>
      <c r="QDR538" s="501"/>
      <c r="QDS538" s="501"/>
      <c r="QDT538" s="501"/>
      <c r="QDU538" s="501"/>
      <c r="QDV538" s="501"/>
      <c r="QDW538" s="501"/>
      <c r="QDX538" s="501"/>
      <c r="QDY538" s="501"/>
      <c r="QDZ538" s="501"/>
      <c r="QEA538" s="501"/>
      <c r="QEB538" s="501"/>
      <c r="QEC538" s="501"/>
      <c r="QED538" s="501"/>
      <c r="QEE538" s="501"/>
      <c r="QEF538" s="501"/>
      <c r="QEG538" s="501"/>
      <c r="QEH538" s="501"/>
      <c r="QEI538" s="501"/>
      <c r="QEJ538" s="501"/>
      <c r="QEK538" s="501"/>
      <c r="QEL538" s="501"/>
      <c r="QEM538" s="501"/>
      <c r="QEN538" s="501"/>
      <c r="QEO538" s="501"/>
      <c r="QEP538" s="501"/>
      <c r="QEQ538" s="501"/>
      <c r="QER538" s="501"/>
      <c r="QES538" s="501"/>
      <c r="QET538" s="501"/>
      <c r="QEU538" s="501"/>
      <c r="QEV538" s="501"/>
      <c r="QEW538" s="501"/>
      <c r="QEX538" s="501"/>
      <c r="QEY538" s="501"/>
      <c r="QEZ538" s="501"/>
      <c r="QFA538" s="501"/>
      <c r="QFB538" s="501"/>
      <c r="QFC538" s="501"/>
      <c r="QFD538" s="501"/>
      <c r="QFE538" s="501"/>
      <c r="QFF538" s="501"/>
      <c r="QFG538" s="501"/>
      <c r="QFH538" s="501"/>
      <c r="QFI538" s="501"/>
      <c r="QFJ538" s="501"/>
      <c r="QFK538" s="501"/>
      <c r="QFL538" s="501"/>
      <c r="QFM538" s="501"/>
      <c r="QFN538" s="501"/>
      <c r="QFO538" s="501"/>
      <c r="QFP538" s="501"/>
      <c r="QFQ538" s="501"/>
      <c r="QFR538" s="501"/>
      <c r="QFS538" s="501"/>
      <c r="QFT538" s="501"/>
      <c r="QFU538" s="501"/>
      <c r="QFV538" s="501"/>
      <c r="QFW538" s="501"/>
      <c r="QFX538" s="501"/>
      <c r="QFY538" s="501"/>
      <c r="QFZ538" s="501"/>
      <c r="QGA538" s="501"/>
      <c r="QGB538" s="501"/>
      <c r="QGC538" s="501"/>
      <c r="QGD538" s="501"/>
      <c r="QGE538" s="501"/>
      <c r="QGF538" s="501"/>
      <c r="QGG538" s="501"/>
      <c r="QGH538" s="501"/>
      <c r="QGI538" s="501"/>
      <c r="QGJ538" s="501"/>
      <c r="QGK538" s="501"/>
      <c r="QGL538" s="501"/>
      <c r="QGM538" s="501"/>
      <c r="QGN538" s="501"/>
      <c r="QGO538" s="501"/>
      <c r="QGP538" s="501"/>
      <c r="QGQ538" s="501"/>
      <c r="QGR538" s="501"/>
      <c r="QGS538" s="501"/>
      <c r="QGT538" s="501"/>
      <c r="QGU538" s="501"/>
      <c r="QGV538" s="501"/>
      <c r="QGW538" s="501"/>
      <c r="QGX538" s="501"/>
      <c r="QGY538" s="501"/>
      <c r="QGZ538" s="501"/>
      <c r="QHA538" s="501"/>
      <c r="QHB538" s="501"/>
      <c r="QHC538" s="501"/>
      <c r="QHD538" s="501"/>
      <c r="QHE538" s="501"/>
      <c r="QHF538" s="501"/>
      <c r="QHG538" s="501"/>
      <c r="QHH538" s="501"/>
      <c r="QHI538" s="501"/>
      <c r="QHJ538" s="501"/>
      <c r="QHK538" s="501"/>
      <c r="QHL538" s="501"/>
      <c r="QHM538" s="501"/>
      <c r="QHN538" s="501"/>
      <c r="QHO538" s="501"/>
      <c r="QHP538" s="501"/>
      <c r="QHQ538" s="501"/>
      <c r="QHR538" s="501"/>
      <c r="QHS538" s="501"/>
      <c r="QHT538" s="501"/>
      <c r="QHU538" s="501"/>
      <c r="QHV538" s="501"/>
      <c r="QHW538" s="501"/>
      <c r="QHX538" s="501"/>
      <c r="QHY538" s="501"/>
      <c r="QHZ538" s="501"/>
      <c r="QIA538" s="501"/>
      <c r="QIB538" s="501"/>
      <c r="QIC538" s="501"/>
      <c r="QID538" s="501"/>
      <c r="QIE538" s="501"/>
      <c r="QIF538" s="501"/>
      <c r="QIG538" s="501"/>
      <c r="QIH538" s="501"/>
      <c r="QII538" s="501"/>
      <c r="QIJ538" s="501"/>
      <c r="QIK538" s="501"/>
      <c r="QIL538" s="501"/>
      <c r="QIM538" s="501"/>
      <c r="QIN538" s="501"/>
      <c r="QIO538" s="501"/>
      <c r="QIP538" s="501"/>
      <c r="QIQ538" s="501"/>
      <c r="QIR538" s="501"/>
      <c r="QIS538" s="501"/>
      <c r="QIT538" s="501"/>
      <c r="QIU538" s="501"/>
      <c r="QIV538" s="501"/>
      <c r="QIW538" s="501"/>
      <c r="QIX538" s="501"/>
      <c r="QIY538" s="501"/>
      <c r="QIZ538" s="501"/>
      <c r="QJA538" s="501"/>
      <c r="QJB538" s="501"/>
      <c r="QJC538" s="501"/>
      <c r="QJD538" s="501"/>
      <c r="QJE538" s="501"/>
      <c r="QJF538" s="501"/>
      <c r="QJG538" s="501"/>
      <c r="QJH538" s="501"/>
      <c r="QJI538" s="501"/>
      <c r="QJJ538" s="501"/>
      <c r="QJK538" s="501"/>
      <c r="QJL538" s="501"/>
      <c r="QJM538" s="501"/>
      <c r="QJN538" s="501"/>
      <c r="QJO538" s="501"/>
      <c r="QJP538" s="501"/>
      <c r="QJQ538" s="501"/>
      <c r="QJR538" s="501"/>
      <c r="QJS538" s="501"/>
      <c r="QJT538" s="501"/>
      <c r="QJU538" s="501"/>
      <c r="QJV538" s="501"/>
      <c r="QJW538" s="501"/>
      <c r="QJX538" s="501"/>
      <c r="QJY538" s="501"/>
      <c r="QJZ538" s="501"/>
      <c r="QKA538" s="501"/>
      <c r="QKB538" s="501"/>
      <c r="QKC538" s="501"/>
      <c r="QKD538" s="501"/>
      <c r="QKE538" s="501"/>
      <c r="QKF538" s="501"/>
      <c r="QKG538" s="501"/>
      <c r="QKH538" s="501"/>
      <c r="QKI538" s="501"/>
      <c r="QKJ538" s="501"/>
      <c r="QKK538" s="501"/>
      <c r="QKL538" s="501"/>
      <c r="QKM538" s="501"/>
      <c r="QKN538" s="501"/>
      <c r="QKO538" s="501"/>
      <c r="QKP538" s="501"/>
      <c r="QKQ538" s="501"/>
      <c r="QKR538" s="501"/>
      <c r="QKS538" s="501"/>
      <c r="QKT538" s="501"/>
      <c r="QKU538" s="501"/>
      <c r="QKV538" s="501"/>
      <c r="QKW538" s="501"/>
      <c r="QKX538" s="501"/>
      <c r="QKY538" s="501"/>
      <c r="QKZ538" s="501"/>
      <c r="QLA538" s="501"/>
      <c r="QLB538" s="501"/>
      <c r="QLC538" s="501"/>
      <c r="QLD538" s="501"/>
      <c r="QLE538" s="501"/>
      <c r="QLF538" s="501"/>
      <c r="QLG538" s="501"/>
      <c r="QLH538" s="501"/>
      <c r="QLI538" s="501"/>
      <c r="QLJ538" s="501"/>
      <c r="QLK538" s="501"/>
      <c r="QLL538" s="501"/>
      <c r="QLM538" s="501"/>
      <c r="QLN538" s="501"/>
      <c r="QLO538" s="501"/>
      <c r="QLP538" s="501"/>
      <c r="QLQ538" s="501"/>
      <c r="QLR538" s="501"/>
      <c r="QLS538" s="501"/>
      <c r="QLT538" s="501"/>
      <c r="QLU538" s="501"/>
      <c r="QLV538" s="501"/>
      <c r="QLW538" s="501"/>
      <c r="QLX538" s="501"/>
      <c r="QLY538" s="501"/>
      <c r="QLZ538" s="501"/>
      <c r="QMA538" s="501"/>
      <c r="QMB538" s="501"/>
      <c r="QMC538" s="501"/>
      <c r="QMD538" s="501"/>
      <c r="QME538" s="501"/>
      <c r="QMF538" s="501"/>
      <c r="QMG538" s="501"/>
      <c r="QMH538" s="501"/>
      <c r="QMI538" s="501"/>
      <c r="QMJ538" s="501"/>
      <c r="QMK538" s="501"/>
      <c r="QML538" s="501"/>
      <c r="QMM538" s="501"/>
      <c r="QMN538" s="501"/>
      <c r="QMO538" s="501"/>
      <c r="QMP538" s="501"/>
      <c r="QMQ538" s="501"/>
      <c r="QMR538" s="501"/>
      <c r="QMS538" s="501"/>
      <c r="QMT538" s="501"/>
      <c r="QMU538" s="501"/>
      <c r="QMV538" s="501"/>
      <c r="QMW538" s="501"/>
      <c r="QMX538" s="501"/>
      <c r="QMY538" s="501"/>
      <c r="QMZ538" s="501"/>
      <c r="QNA538" s="501"/>
      <c r="QNB538" s="501"/>
      <c r="QNC538" s="501"/>
      <c r="QND538" s="501"/>
      <c r="QNE538" s="501"/>
      <c r="QNF538" s="501"/>
      <c r="QNG538" s="501"/>
      <c r="QNH538" s="501"/>
      <c r="QNI538" s="501"/>
      <c r="QNJ538" s="501"/>
      <c r="QNK538" s="501"/>
      <c r="QNL538" s="501"/>
      <c r="QNM538" s="501"/>
      <c r="QNN538" s="501"/>
      <c r="QNO538" s="501"/>
      <c r="QNP538" s="501"/>
      <c r="QNQ538" s="501"/>
      <c r="QNR538" s="501"/>
      <c r="QNS538" s="501"/>
      <c r="QNT538" s="501"/>
      <c r="QNU538" s="501"/>
      <c r="QNV538" s="501"/>
      <c r="QNW538" s="501"/>
      <c r="QNX538" s="501"/>
      <c r="QNY538" s="501"/>
      <c r="QNZ538" s="501"/>
      <c r="QOA538" s="501"/>
      <c r="QOB538" s="501"/>
      <c r="QOC538" s="501"/>
      <c r="QOD538" s="501"/>
      <c r="QOE538" s="501"/>
      <c r="QOF538" s="501"/>
      <c r="QOG538" s="501"/>
      <c r="QOH538" s="501"/>
      <c r="QOI538" s="501"/>
      <c r="QOJ538" s="501"/>
      <c r="QOK538" s="501"/>
      <c r="QOL538" s="501"/>
      <c r="QOM538" s="501"/>
      <c r="QON538" s="501"/>
      <c r="QOO538" s="501"/>
      <c r="QOP538" s="501"/>
      <c r="QOQ538" s="501"/>
      <c r="QOR538" s="501"/>
      <c r="QOS538" s="501"/>
      <c r="QOT538" s="501"/>
      <c r="QOU538" s="501"/>
      <c r="QOV538" s="501"/>
      <c r="QOW538" s="501"/>
      <c r="QOX538" s="501"/>
      <c r="QOY538" s="501"/>
      <c r="QOZ538" s="501"/>
      <c r="QPA538" s="501"/>
      <c r="QPB538" s="501"/>
      <c r="QPC538" s="501"/>
      <c r="QPD538" s="501"/>
      <c r="QPE538" s="501"/>
      <c r="QPF538" s="501"/>
      <c r="QPG538" s="501"/>
      <c r="QPH538" s="501"/>
      <c r="QPI538" s="501"/>
      <c r="QPJ538" s="501"/>
      <c r="QPK538" s="501"/>
      <c r="QPL538" s="501"/>
      <c r="QPM538" s="501"/>
      <c r="QPN538" s="501"/>
      <c r="QPO538" s="501"/>
      <c r="QPP538" s="501"/>
      <c r="QPQ538" s="501"/>
      <c r="QPR538" s="501"/>
      <c r="QPS538" s="501"/>
      <c r="QPT538" s="501"/>
      <c r="QPU538" s="501"/>
      <c r="QPV538" s="501"/>
      <c r="QPW538" s="501"/>
      <c r="QPX538" s="501"/>
      <c r="QPY538" s="501"/>
      <c r="QPZ538" s="501"/>
      <c r="QQA538" s="501"/>
      <c r="QQB538" s="501"/>
      <c r="QQC538" s="501"/>
      <c r="QQD538" s="501"/>
      <c r="QQE538" s="501"/>
      <c r="QQF538" s="501"/>
      <c r="QQG538" s="501"/>
      <c r="QQH538" s="501"/>
      <c r="QQI538" s="501"/>
      <c r="QQJ538" s="501"/>
      <c r="QQK538" s="501"/>
      <c r="QQL538" s="501"/>
      <c r="QQM538" s="501"/>
      <c r="QQN538" s="501"/>
      <c r="QQO538" s="501"/>
      <c r="QQP538" s="501"/>
      <c r="QQQ538" s="501"/>
      <c r="QQR538" s="501"/>
      <c r="QQS538" s="501"/>
      <c r="QQT538" s="501"/>
      <c r="QQU538" s="501"/>
      <c r="QQV538" s="501"/>
      <c r="QQW538" s="501"/>
      <c r="QQX538" s="501"/>
      <c r="QQY538" s="501"/>
      <c r="QQZ538" s="501"/>
      <c r="QRA538" s="501"/>
      <c r="QRB538" s="501"/>
      <c r="QRC538" s="501"/>
      <c r="QRD538" s="501"/>
      <c r="QRE538" s="501"/>
      <c r="QRF538" s="501"/>
      <c r="QRG538" s="501"/>
      <c r="QRH538" s="501"/>
      <c r="QRI538" s="501"/>
      <c r="QRJ538" s="501"/>
      <c r="QRK538" s="501"/>
      <c r="QRL538" s="501"/>
      <c r="QRM538" s="501"/>
      <c r="QRN538" s="501"/>
      <c r="QRO538" s="501"/>
      <c r="QRP538" s="501"/>
      <c r="QRQ538" s="501"/>
      <c r="QRR538" s="501"/>
      <c r="QRS538" s="501"/>
      <c r="QRT538" s="501"/>
      <c r="QRU538" s="501"/>
      <c r="QRV538" s="501"/>
      <c r="QRW538" s="501"/>
      <c r="QRX538" s="501"/>
      <c r="QRY538" s="501"/>
      <c r="QRZ538" s="501"/>
      <c r="QSA538" s="501"/>
      <c r="QSB538" s="501"/>
      <c r="QSC538" s="501"/>
      <c r="QSD538" s="501"/>
      <c r="QSE538" s="501"/>
      <c r="QSF538" s="501"/>
      <c r="QSG538" s="501"/>
      <c r="QSH538" s="501"/>
      <c r="QSI538" s="501"/>
      <c r="QSJ538" s="501"/>
      <c r="QSK538" s="501"/>
      <c r="QSL538" s="501"/>
      <c r="QSM538" s="501"/>
      <c r="QSN538" s="501"/>
      <c r="QSO538" s="501"/>
      <c r="QSP538" s="501"/>
      <c r="QSQ538" s="501"/>
      <c r="QSR538" s="501"/>
      <c r="QSS538" s="501"/>
      <c r="QST538" s="501"/>
      <c r="QSU538" s="501"/>
      <c r="QSV538" s="501"/>
      <c r="QSW538" s="501"/>
      <c r="QSX538" s="501"/>
      <c r="QSY538" s="501"/>
      <c r="QSZ538" s="501"/>
      <c r="QTA538" s="501"/>
      <c r="QTB538" s="501"/>
      <c r="QTC538" s="501"/>
      <c r="QTD538" s="501"/>
      <c r="QTE538" s="501"/>
      <c r="QTF538" s="501"/>
      <c r="QTG538" s="501"/>
      <c r="QTH538" s="501"/>
      <c r="QTI538" s="501"/>
      <c r="QTJ538" s="501"/>
      <c r="QTK538" s="501"/>
      <c r="QTL538" s="501"/>
      <c r="QTM538" s="501"/>
      <c r="QTN538" s="501"/>
      <c r="QTO538" s="501"/>
      <c r="QTP538" s="501"/>
      <c r="QTQ538" s="501"/>
      <c r="QTR538" s="501"/>
      <c r="QTS538" s="501"/>
      <c r="QTT538" s="501"/>
      <c r="QTU538" s="501"/>
      <c r="QTV538" s="501"/>
      <c r="QTW538" s="501"/>
      <c r="QTX538" s="501"/>
      <c r="QTY538" s="501"/>
      <c r="QTZ538" s="501"/>
      <c r="QUA538" s="501"/>
      <c r="QUB538" s="501"/>
      <c r="QUC538" s="501"/>
      <c r="QUD538" s="501"/>
      <c r="QUE538" s="501"/>
      <c r="QUF538" s="501"/>
      <c r="QUG538" s="501"/>
      <c r="QUH538" s="501"/>
      <c r="QUI538" s="501"/>
      <c r="QUJ538" s="501"/>
      <c r="QUK538" s="501"/>
      <c r="QUL538" s="501"/>
      <c r="QUM538" s="501"/>
      <c r="QUN538" s="501"/>
      <c r="QUO538" s="501"/>
      <c r="QUP538" s="501"/>
      <c r="QUQ538" s="501"/>
      <c r="QUR538" s="501"/>
      <c r="QUS538" s="501"/>
      <c r="QUT538" s="501"/>
      <c r="QUU538" s="501"/>
      <c r="QUV538" s="501"/>
      <c r="QUW538" s="501"/>
      <c r="QUX538" s="501"/>
      <c r="QUY538" s="501"/>
      <c r="QUZ538" s="501"/>
      <c r="QVA538" s="501"/>
      <c r="QVB538" s="501"/>
      <c r="QVC538" s="501"/>
      <c r="QVD538" s="501"/>
      <c r="QVE538" s="501"/>
      <c r="QVF538" s="501"/>
      <c r="QVG538" s="501"/>
      <c r="QVH538" s="501"/>
      <c r="QVI538" s="501"/>
      <c r="QVJ538" s="501"/>
      <c r="QVK538" s="501"/>
      <c r="QVL538" s="501"/>
      <c r="QVM538" s="501"/>
      <c r="QVN538" s="501"/>
      <c r="QVO538" s="501"/>
      <c r="QVP538" s="501"/>
      <c r="QVQ538" s="501"/>
      <c r="QVR538" s="501"/>
      <c r="QVS538" s="501"/>
      <c r="QVT538" s="501"/>
      <c r="QVU538" s="501"/>
      <c r="QVV538" s="501"/>
      <c r="QVW538" s="501"/>
      <c r="QVX538" s="501"/>
      <c r="QVY538" s="501"/>
      <c r="QVZ538" s="501"/>
      <c r="QWA538" s="501"/>
      <c r="QWB538" s="501"/>
      <c r="QWC538" s="501"/>
      <c r="QWD538" s="501"/>
      <c r="QWE538" s="501"/>
      <c r="QWF538" s="501"/>
      <c r="QWG538" s="501"/>
      <c r="QWH538" s="501"/>
      <c r="QWI538" s="501"/>
      <c r="QWJ538" s="501"/>
      <c r="QWK538" s="501"/>
      <c r="QWL538" s="501"/>
      <c r="QWM538" s="501"/>
      <c r="QWN538" s="501"/>
      <c r="QWO538" s="501"/>
      <c r="QWP538" s="501"/>
      <c r="QWQ538" s="501"/>
      <c r="QWR538" s="501"/>
      <c r="QWS538" s="501"/>
      <c r="QWT538" s="501"/>
      <c r="QWU538" s="501"/>
      <c r="QWV538" s="501"/>
      <c r="QWW538" s="501"/>
      <c r="QWX538" s="501"/>
      <c r="QWY538" s="501"/>
      <c r="QWZ538" s="501"/>
      <c r="QXA538" s="501"/>
      <c r="QXB538" s="501"/>
      <c r="QXC538" s="501"/>
      <c r="QXD538" s="501"/>
      <c r="QXE538" s="501"/>
      <c r="QXF538" s="501"/>
      <c r="QXG538" s="501"/>
      <c r="QXH538" s="501"/>
      <c r="QXI538" s="501"/>
      <c r="QXJ538" s="501"/>
      <c r="QXK538" s="501"/>
      <c r="QXL538" s="501"/>
      <c r="QXM538" s="501"/>
      <c r="QXN538" s="501"/>
      <c r="QXO538" s="501"/>
      <c r="QXP538" s="501"/>
      <c r="QXQ538" s="501"/>
      <c r="QXR538" s="501"/>
      <c r="QXS538" s="501"/>
      <c r="QXT538" s="501"/>
      <c r="QXU538" s="501"/>
      <c r="QXV538" s="501"/>
      <c r="QXW538" s="501"/>
      <c r="QXX538" s="501"/>
      <c r="QXY538" s="501"/>
      <c r="QXZ538" s="501"/>
      <c r="QYA538" s="501"/>
      <c r="QYB538" s="501"/>
      <c r="QYC538" s="501"/>
      <c r="QYD538" s="501"/>
      <c r="QYE538" s="501"/>
      <c r="QYF538" s="501"/>
      <c r="QYG538" s="501"/>
      <c r="QYH538" s="501"/>
      <c r="QYI538" s="501"/>
      <c r="QYJ538" s="501"/>
      <c r="QYK538" s="501"/>
      <c r="QYL538" s="501"/>
      <c r="QYM538" s="501"/>
      <c r="QYN538" s="501"/>
      <c r="QYO538" s="501"/>
      <c r="QYP538" s="501"/>
      <c r="QYQ538" s="501"/>
      <c r="QYR538" s="501"/>
      <c r="QYS538" s="501"/>
      <c r="QYT538" s="501"/>
      <c r="QYU538" s="501"/>
      <c r="QYV538" s="501"/>
      <c r="QYW538" s="501"/>
      <c r="QYX538" s="501"/>
      <c r="QYY538" s="501"/>
      <c r="QYZ538" s="501"/>
      <c r="QZA538" s="501"/>
      <c r="QZB538" s="501"/>
      <c r="QZC538" s="501"/>
      <c r="QZD538" s="501"/>
      <c r="QZE538" s="501"/>
      <c r="QZF538" s="501"/>
      <c r="QZG538" s="501"/>
      <c r="QZH538" s="501"/>
      <c r="QZI538" s="501"/>
      <c r="QZJ538" s="501"/>
      <c r="QZK538" s="501"/>
      <c r="QZL538" s="501"/>
      <c r="QZM538" s="501"/>
      <c r="QZN538" s="501"/>
      <c r="QZO538" s="501"/>
      <c r="QZP538" s="501"/>
      <c r="QZQ538" s="501"/>
      <c r="QZR538" s="501"/>
      <c r="QZS538" s="501"/>
      <c r="QZT538" s="501"/>
      <c r="QZU538" s="501"/>
      <c r="QZV538" s="501"/>
      <c r="QZW538" s="501"/>
      <c r="QZX538" s="501"/>
      <c r="QZY538" s="501"/>
      <c r="QZZ538" s="501"/>
      <c r="RAA538" s="501"/>
      <c r="RAB538" s="501"/>
      <c r="RAC538" s="501"/>
      <c r="RAD538" s="501"/>
      <c r="RAE538" s="501"/>
      <c r="RAF538" s="501"/>
      <c r="RAG538" s="501"/>
      <c r="RAH538" s="501"/>
      <c r="RAI538" s="501"/>
      <c r="RAJ538" s="501"/>
      <c r="RAK538" s="501"/>
      <c r="RAL538" s="501"/>
      <c r="RAM538" s="501"/>
      <c r="RAN538" s="501"/>
      <c r="RAO538" s="501"/>
      <c r="RAP538" s="501"/>
      <c r="RAQ538" s="501"/>
      <c r="RAR538" s="501"/>
      <c r="RAS538" s="501"/>
      <c r="RAT538" s="501"/>
      <c r="RAU538" s="501"/>
      <c r="RAV538" s="501"/>
      <c r="RAW538" s="501"/>
      <c r="RAX538" s="501"/>
      <c r="RAY538" s="501"/>
      <c r="RAZ538" s="501"/>
      <c r="RBA538" s="501"/>
      <c r="RBB538" s="501"/>
      <c r="RBC538" s="501"/>
      <c r="RBD538" s="501"/>
      <c r="RBE538" s="501"/>
      <c r="RBF538" s="501"/>
      <c r="RBG538" s="501"/>
      <c r="RBH538" s="501"/>
      <c r="RBI538" s="501"/>
      <c r="RBJ538" s="501"/>
      <c r="RBK538" s="501"/>
      <c r="RBL538" s="501"/>
      <c r="RBM538" s="501"/>
      <c r="RBN538" s="501"/>
      <c r="RBO538" s="501"/>
      <c r="RBP538" s="501"/>
      <c r="RBQ538" s="501"/>
      <c r="RBR538" s="501"/>
      <c r="RBS538" s="501"/>
      <c r="RBT538" s="501"/>
      <c r="RBU538" s="501"/>
      <c r="RBV538" s="501"/>
      <c r="RBW538" s="501"/>
      <c r="RBX538" s="501"/>
      <c r="RBY538" s="501"/>
      <c r="RBZ538" s="501"/>
      <c r="RCA538" s="501"/>
      <c r="RCB538" s="501"/>
      <c r="RCC538" s="501"/>
      <c r="RCD538" s="501"/>
      <c r="RCE538" s="501"/>
      <c r="RCF538" s="501"/>
      <c r="RCG538" s="501"/>
      <c r="RCH538" s="501"/>
      <c r="RCI538" s="501"/>
      <c r="RCJ538" s="501"/>
      <c r="RCK538" s="501"/>
      <c r="RCL538" s="501"/>
      <c r="RCM538" s="501"/>
      <c r="RCN538" s="501"/>
      <c r="RCO538" s="501"/>
      <c r="RCP538" s="501"/>
      <c r="RCQ538" s="501"/>
      <c r="RCR538" s="501"/>
      <c r="RCS538" s="501"/>
      <c r="RCT538" s="501"/>
      <c r="RCU538" s="501"/>
      <c r="RCV538" s="501"/>
      <c r="RCW538" s="501"/>
      <c r="RCX538" s="501"/>
      <c r="RCY538" s="501"/>
      <c r="RCZ538" s="501"/>
      <c r="RDA538" s="501"/>
      <c r="RDB538" s="501"/>
      <c r="RDC538" s="501"/>
      <c r="RDD538" s="501"/>
      <c r="RDE538" s="501"/>
      <c r="RDF538" s="501"/>
      <c r="RDG538" s="501"/>
      <c r="RDH538" s="501"/>
      <c r="RDI538" s="501"/>
      <c r="RDJ538" s="501"/>
      <c r="RDK538" s="501"/>
      <c r="RDL538" s="501"/>
      <c r="RDM538" s="501"/>
      <c r="RDN538" s="501"/>
      <c r="RDO538" s="501"/>
      <c r="RDP538" s="501"/>
      <c r="RDQ538" s="501"/>
      <c r="RDR538" s="501"/>
      <c r="RDS538" s="501"/>
      <c r="RDT538" s="501"/>
      <c r="RDU538" s="501"/>
      <c r="RDV538" s="501"/>
      <c r="RDW538" s="501"/>
      <c r="RDX538" s="501"/>
      <c r="RDY538" s="501"/>
      <c r="RDZ538" s="501"/>
      <c r="REA538" s="501"/>
      <c r="REB538" s="501"/>
      <c r="REC538" s="501"/>
      <c r="RED538" s="501"/>
      <c r="REE538" s="501"/>
      <c r="REF538" s="501"/>
      <c r="REG538" s="501"/>
      <c r="REH538" s="501"/>
      <c r="REI538" s="501"/>
      <c r="REJ538" s="501"/>
      <c r="REK538" s="501"/>
      <c r="REL538" s="501"/>
      <c r="REM538" s="501"/>
      <c r="REN538" s="501"/>
      <c r="REO538" s="501"/>
      <c r="REP538" s="501"/>
      <c r="REQ538" s="501"/>
      <c r="RER538" s="501"/>
      <c r="RES538" s="501"/>
      <c r="RET538" s="501"/>
      <c r="REU538" s="501"/>
      <c r="REV538" s="501"/>
      <c r="REW538" s="501"/>
      <c r="REX538" s="501"/>
      <c r="REY538" s="501"/>
      <c r="REZ538" s="501"/>
      <c r="RFA538" s="501"/>
      <c r="RFB538" s="501"/>
      <c r="RFC538" s="501"/>
      <c r="RFD538" s="501"/>
      <c r="RFE538" s="501"/>
      <c r="RFF538" s="501"/>
      <c r="RFG538" s="501"/>
      <c r="RFH538" s="501"/>
      <c r="RFI538" s="501"/>
      <c r="RFJ538" s="501"/>
      <c r="RFK538" s="501"/>
      <c r="RFL538" s="501"/>
      <c r="RFM538" s="501"/>
      <c r="RFN538" s="501"/>
      <c r="RFO538" s="501"/>
      <c r="RFP538" s="501"/>
      <c r="RFQ538" s="501"/>
      <c r="RFR538" s="501"/>
      <c r="RFS538" s="501"/>
      <c r="RFT538" s="501"/>
      <c r="RFU538" s="501"/>
      <c r="RFV538" s="501"/>
      <c r="RFW538" s="501"/>
      <c r="RFX538" s="501"/>
      <c r="RFY538" s="501"/>
      <c r="RFZ538" s="501"/>
      <c r="RGA538" s="501"/>
      <c r="RGB538" s="501"/>
      <c r="RGC538" s="501"/>
      <c r="RGD538" s="501"/>
      <c r="RGE538" s="501"/>
      <c r="RGF538" s="501"/>
      <c r="RGG538" s="501"/>
      <c r="RGH538" s="501"/>
      <c r="RGI538" s="501"/>
      <c r="RGJ538" s="501"/>
      <c r="RGK538" s="501"/>
      <c r="RGL538" s="501"/>
      <c r="RGM538" s="501"/>
      <c r="RGN538" s="501"/>
      <c r="RGO538" s="501"/>
      <c r="RGP538" s="501"/>
      <c r="RGQ538" s="501"/>
      <c r="RGR538" s="501"/>
      <c r="RGS538" s="501"/>
      <c r="RGT538" s="501"/>
      <c r="RGU538" s="501"/>
      <c r="RGV538" s="501"/>
      <c r="RGW538" s="501"/>
      <c r="RGX538" s="501"/>
      <c r="RGY538" s="501"/>
      <c r="RGZ538" s="501"/>
      <c r="RHA538" s="501"/>
      <c r="RHB538" s="501"/>
      <c r="RHC538" s="501"/>
      <c r="RHD538" s="501"/>
      <c r="RHE538" s="501"/>
      <c r="RHF538" s="501"/>
      <c r="RHG538" s="501"/>
      <c r="RHH538" s="501"/>
      <c r="RHI538" s="501"/>
      <c r="RHJ538" s="501"/>
      <c r="RHK538" s="501"/>
      <c r="RHL538" s="501"/>
      <c r="RHM538" s="501"/>
      <c r="RHN538" s="501"/>
      <c r="RHO538" s="501"/>
      <c r="RHP538" s="501"/>
      <c r="RHQ538" s="501"/>
      <c r="RHR538" s="501"/>
      <c r="RHS538" s="501"/>
      <c r="RHT538" s="501"/>
      <c r="RHU538" s="501"/>
      <c r="RHV538" s="501"/>
      <c r="RHW538" s="501"/>
      <c r="RHX538" s="501"/>
      <c r="RHY538" s="501"/>
      <c r="RHZ538" s="501"/>
      <c r="RIA538" s="501"/>
      <c r="RIB538" s="501"/>
      <c r="RIC538" s="501"/>
      <c r="RID538" s="501"/>
      <c r="RIE538" s="501"/>
      <c r="RIF538" s="501"/>
      <c r="RIG538" s="501"/>
      <c r="RIH538" s="501"/>
      <c r="RII538" s="501"/>
      <c r="RIJ538" s="501"/>
      <c r="RIK538" s="501"/>
      <c r="RIL538" s="501"/>
      <c r="RIM538" s="501"/>
      <c r="RIN538" s="501"/>
      <c r="RIO538" s="501"/>
      <c r="RIP538" s="501"/>
      <c r="RIQ538" s="501"/>
      <c r="RIR538" s="501"/>
      <c r="RIS538" s="501"/>
      <c r="RIT538" s="501"/>
      <c r="RIU538" s="501"/>
      <c r="RIV538" s="501"/>
      <c r="RIW538" s="501"/>
      <c r="RIX538" s="501"/>
      <c r="RIY538" s="501"/>
      <c r="RIZ538" s="501"/>
      <c r="RJA538" s="501"/>
      <c r="RJB538" s="501"/>
      <c r="RJC538" s="501"/>
      <c r="RJD538" s="501"/>
      <c r="RJE538" s="501"/>
      <c r="RJF538" s="501"/>
      <c r="RJG538" s="501"/>
      <c r="RJH538" s="501"/>
      <c r="RJI538" s="501"/>
      <c r="RJJ538" s="501"/>
      <c r="RJK538" s="501"/>
      <c r="RJL538" s="501"/>
      <c r="RJM538" s="501"/>
      <c r="RJN538" s="501"/>
      <c r="RJO538" s="501"/>
      <c r="RJP538" s="501"/>
      <c r="RJQ538" s="501"/>
      <c r="RJR538" s="501"/>
      <c r="RJS538" s="501"/>
      <c r="RJT538" s="501"/>
      <c r="RJU538" s="501"/>
      <c r="RJV538" s="501"/>
      <c r="RJW538" s="501"/>
      <c r="RJX538" s="501"/>
      <c r="RJY538" s="501"/>
      <c r="RJZ538" s="501"/>
      <c r="RKA538" s="501"/>
      <c r="RKB538" s="501"/>
      <c r="RKC538" s="501"/>
      <c r="RKD538" s="501"/>
      <c r="RKE538" s="501"/>
      <c r="RKF538" s="501"/>
      <c r="RKG538" s="501"/>
      <c r="RKH538" s="501"/>
      <c r="RKI538" s="501"/>
      <c r="RKJ538" s="501"/>
      <c r="RKK538" s="501"/>
      <c r="RKL538" s="501"/>
      <c r="RKM538" s="501"/>
      <c r="RKN538" s="501"/>
      <c r="RKO538" s="501"/>
      <c r="RKP538" s="501"/>
      <c r="RKQ538" s="501"/>
      <c r="RKR538" s="501"/>
      <c r="RKS538" s="501"/>
      <c r="RKT538" s="501"/>
      <c r="RKU538" s="501"/>
      <c r="RKV538" s="501"/>
      <c r="RKW538" s="501"/>
      <c r="RKX538" s="501"/>
      <c r="RKY538" s="501"/>
      <c r="RKZ538" s="501"/>
      <c r="RLA538" s="501"/>
      <c r="RLB538" s="501"/>
      <c r="RLC538" s="501"/>
      <c r="RLD538" s="501"/>
      <c r="RLE538" s="501"/>
      <c r="RLF538" s="501"/>
      <c r="RLG538" s="501"/>
      <c r="RLH538" s="501"/>
      <c r="RLI538" s="501"/>
      <c r="RLJ538" s="501"/>
      <c r="RLK538" s="501"/>
      <c r="RLL538" s="501"/>
      <c r="RLM538" s="501"/>
      <c r="RLN538" s="501"/>
      <c r="RLO538" s="501"/>
      <c r="RLP538" s="501"/>
      <c r="RLQ538" s="501"/>
      <c r="RLR538" s="501"/>
      <c r="RLS538" s="501"/>
      <c r="RLT538" s="501"/>
      <c r="RLU538" s="501"/>
      <c r="RLV538" s="501"/>
      <c r="RLW538" s="501"/>
      <c r="RLX538" s="501"/>
      <c r="RLY538" s="501"/>
      <c r="RLZ538" s="501"/>
      <c r="RMA538" s="501"/>
      <c r="RMB538" s="501"/>
      <c r="RMC538" s="501"/>
      <c r="RMD538" s="501"/>
      <c r="RME538" s="501"/>
      <c r="RMF538" s="501"/>
      <c r="RMG538" s="501"/>
      <c r="RMH538" s="501"/>
      <c r="RMI538" s="501"/>
      <c r="RMJ538" s="501"/>
      <c r="RMK538" s="501"/>
      <c r="RML538" s="501"/>
      <c r="RMM538" s="501"/>
      <c r="RMN538" s="501"/>
      <c r="RMO538" s="501"/>
      <c r="RMP538" s="501"/>
      <c r="RMQ538" s="501"/>
      <c r="RMR538" s="501"/>
      <c r="RMS538" s="501"/>
      <c r="RMT538" s="501"/>
      <c r="RMU538" s="501"/>
      <c r="RMV538" s="501"/>
      <c r="RMW538" s="501"/>
      <c r="RMX538" s="501"/>
      <c r="RMY538" s="501"/>
      <c r="RMZ538" s="501"/>
      <c r="RNA538" s="501"/>
      <c r="RNB538" s="501"/>
      <c r="RNC538" s="501"/>
      <c r="RND538" s="501"/>
      <c r="RNE538" s="501"/>
      <c r="RNF538" s="501"/>
      <c r="RNG538" s="501"/>
      <c r="RNH538" s="501"/>
      <c r="RNI538" s="501"/>
      <c r="RNJ538" s="501"/>
      <c r="RNK538" s="501"/>
      <c r="RNL538" s="501"/>
      <c r="RNM538" s="501"/>
      <c r="RNN538" s="501"/>
      <c r="RNO538" s="501"/>
      <c r="RNP538" s="501"/>
      <c r="RNQ538" s="501"/>
      <c r="RNR538" s="501"/>
      <c r="RNS538" s="501"/>
      <c r="RNT538" s="501"/>
      <c r="RNU538" s="501"/>
      <c r="RNV538" s="501"/>
      <c r="RNW538" s="501"/>
      <c r="RNX538" s="501"/>
      <c r="RNY538" s="501"/>
      <c r="RNZ538" s="501"/>
      <c r="ROA538" s="501"/>
      <c r="ROB538" s="501"/>
      <c r="ROC538" s="501"/>
      <c r="ROD538" s="501"/>
      <c r="ROE538" s="501"/>
      <c r="ROF538" s="501"/>
      <c r="ROG538" s="501"/>
      <c r="ROH538" s="501"/>
      <c r="ROI538" s="501"/>
      <c r="ROJ538" s="501"/>
      <c r="ROK538" s="501"/>
      <c r="ROL538" s="501"/>
      <c r="ROM538" s="501"/>
      <c r="RON538" s="501"/>
      <c r="ROO538" s="501"/>
      <c r="ROP538" s="501"/>
      <c r="ROQ538" s="501"/>
      <c r="ROR538" s="501"/>
      <c r="ROS538" s="501"/>
      <c r="ROT538" s="501"/>
      <c r="ROU538" s="501"/>
      <c r="ROV538" s="501"/>
      <c r="ROW538" s="501"/>
      <c r="ROX538" s="501"/>
      <c r="ROY538" s="501"/>
      <c r="ROZ538" s="501"/>
      <c r="RPA538" s="501"/>
      <c r="RPB538" s="501"/>
      <c r="RPC538" s="501"/>
      <c r="RPD538" s="501"/>
      <c r="RPE538" s="501"/>
      <c r="RPF538" s="501"/>
      <c r="RPG538" s="501"/>
      <c r="RPH538" s="501"/>
      <c r="RPI538" s="501"/>
      <c r="RPJ538" s="501"/>
      <c r="RPK538" s="501"/>
      <c r="RPL538" s="501"/>
      <c r="RPM538" s="501"/>
      <c r="RPN538" s="501"/>
      <c r="RPO538" s="501"/>
      <c r="RPP538" s="501"/>
      <c r="RPQ538" s="501"/>
      <c r="RPR538" s="501"/>
      <c r="RPS538" s="501"/>
      <c r="RPT538" s="501"/>
      <c r="RPU538" s="501"/>
      <c r="RPV538" s="501"/>
      <c r="RPW538" s="501"/>
      <c r="RPX538" s="501"/>
      <c r="RPY538" s="501"/>
      <c r="RPZ538" s="501"/>
      <c r="RQA538" s="501"/>
      <c r="RQB538" s="501"/>
      <c r="RQC538" s="501"/>
      <c r="RQD538" s="501"/>
      <c r="RQE538" s="501"/>
      <c r="RQF538" s="501"/>
      <c r="RQG538" s="501"/>
      <c r="RQH538" s="501"/>
      <c r="RQI538" s="501"/>
      <c r="RQJ538" s="501"/>
      <c r="RQK538" s="501"/>
      <c r="RQL538" s="501"/>
      <c r="RQM538" s="501"/>
      <c r="RQN538" s="501"/>
      <c r="RQO538" s="501"/>
      <c r="RQP538" s="501"/>
      <c r="RQQ538" s="501"/>
      <c r="RQR538" s="501"/>
      <c r="RQS538" s="501"/>
      <c r="RQT538" s="501"/>
      <c r="RQU538" s="501"/>
      <c r="RQV538" s="501"/>
      <c r="RQW538" s="501"/>
      <c r="RQX538" s="501"/>
      <c r="RQY538" s="501"/>
      <c r="RQZ538" s="501"/>
      <c r="RRA538" s="501"/>
      <c r="RRB538" s="501"/>
      <c r="RRC538" s="501"/>
      <c r="RRD538" s="501"/>
      <c r="RRE538" s="501"/>
      <c r="RRF538" s="501"/>
      <c r="RRG538" s="501"/>
      <c r="RRH538" s="501"/>
      <c r="RRI538" s="501"/>
      <c r="RRJ538" s="501"/>
      <c r="RRK538" s="501"/>
      <c r="RRL538" s="501"/>
      <c r="RRM538" s="501"/>
      <c r="RRN538" s="501"/>
      <c r="RRO538" s="501"/>
      <c r="RRP538" s="501"/>
      <c r="RRQ538" s="501"/>
      <c r="RRR538" s="501"/>
      <c r="RRS538" s="501"/>
      <c r="RRT538" s="501"/>
      <c r="RRU538" s="501"/>
      <c r="RRV538" s="501"/>
      <c r="RRW538" s="501"/>
      <c r="RRX538" s="501"/>
      <c r="RRY538" s="501"/>
      <c r="RRZ538" s="501"/>
      <c r="RSA538" s="501"/>
      <c r="RSB538" s="501"/>
      <c r="RSC538" s="501"/>
      <c r="RSD538" s="501"/>
      <c r="RSE538" s="501"/>
      <c r="RSF538" s="501"/>
      <c r="RSG538" s="501"/>
      <c r="RSH538" s="501"/>
      <c r="RSI538" s="501"/>
      <c r="RSJ538" s="501"/>
      <c r="RSK538" s="501"/>
      <c r="RSL538" s="501"/>
      <c r="RSM538" s="501"/>
      <c r="RSN538" s="501"/>
      <c r="RSO538" s="501"/>
      <c r="RSP538" s="501"/>
      <c r="RSQ538" s="501"/>
      <c r="RSR538" s="501"/>
      <c r="RSS538" s="501"/>
      <c r="RST538" s="501"/>
      <c r="RSU538" s="501"/>
      <c r="RSV538" s="501"/>
      <c r="RSW538" s="501"/>
      <c r="RSX538" s="501"/>
      <c r="RSY538" s="501"/>
      <c r="RSZ538" s="501"/>
      <c r="RTA538" s="501"/>
      <c r="RTB538" s="501"/>
      <c r="RTC538" s="501"/>
      <c r="RTD538" s="501"/>
      <c r="RTE538" s="501"/>
      <c r="RTF538" s="501"/>
      <c r="RTG538" s="501"/>
      <c r="RTH538" s="501"/>
      <c r="RTI538" s="501"/>
      <c r="RTJ538" s="501"/>
      <c r="RTK538" s="501"/>
      <c r="RTL538" s="501"/>
      <c r="RTM538" s="501"/>
      <c r="RTN538" s="501"/>
      <c r="RTO538" s="501"/>
      <c r="RTP538" s="501"/>
      <c r="RTQ538" s="501"/>
      <c r="RTR538" s="501"/>
      <c r="RTS538" s="501"/>
      <c r="RTT538" s="501"/>
      <c r="RTU538" s="501"/>
      <c r="RTV538" s="501"/>
      <c r="RTW538" s="501"/>
      <c r="RTX538" s="501"/>
      <c r="RTY538" s="501"/>
      <c r="RTZ538" s="501"/>
      <c r="RUA538" s="501"/>
      <c r="RUB538" s="501"/>
      <c r="RUC538" s="501"/>
      <c r="RUD538" s="501"/>
      <c r="RUE538" s="501"/>
      <c r="RUF538" s="501"/>
      <c r="RUG538" s="501"/>
      <c r="RUH538" s="501"/>
      <c r="RUI538" s="501"/>
      <c r="RUJ538" s="501"/>
      <c r="RUK538" s="501"/>
      <c r="RUL538" s="501"/>
      <c r="RUM538" s="501"/>
      <c r="RUN538" s="501"/>
      <c r="RUO538" s="501"/>
      <c r="RUP538" s="501"/>
      <c r="RUQ538" s="501"/>
      <c r="RUR538" s="501"/>
      <c r="RUS538" s="501"/>
      <c r="RUT538" s="501"/>
      <c r="RUU538" s="501"/>
      <c r="RUV538" s="501"/>
      <c r="RUW538" s="501"/>
      <c r="RUX538" s="501"/>
      <c r="RUY538" s="501"/>
      <c r="RUZ538" s="501"/>
      <c r="RVA538" s="501"/>
      <c r="RVB538" s="501"/>
      <c r="RVC538" s="501"/>
      <c r="RVD538" s="501"/>
      <c r="RVE538" s="501"/>
      <c r="RVF538" s="501"/>
      <c r="RVG538" s="501"/>
      <c r="RVH538" s="501"/>
      <c r="RVI538" s="501"/>
      <c r="RVJ538" s="501"/>
      <c r="RVK538" s="501"/>
      <c r="RVL538" s="501"/>
      <c r="RVM538" s="501"/>
      <c r="RVN538" s="501"/>
      <c r="RVO538" s="501"/>
      <c r="RVP538" s="501"/>
      <c r="RVQ538" s="501"/>
      <c r="RVR538" s="501"/>
      <c r="RVS538" s="501"/>
      <c r="RVT538" s="501"/>
      <c r="RVU538" s="501"/>
      <c r="RVV538" s="501"/>
      <c r="RVW538" s="501"/>
      <c r="RVX538" s="501"/>
      <c r="RVY538" s="501"/>
      <c r="RVZ538" s="501"/>
      <c r="RWA538" s="501"/>
      <c r="RWB538" s="501"/>
      <c r="RWC538" s="501"/>
      <c r="RWD538" s="501"/>
      <c r="RWE538" s="501"/>
      <c r="RWF538" s="501"/>
      <c r="RWG538" s="501"/>
      <c r="RWH538" s="501"/>
      <c r="RWI538" s="501"/>
      <c r="RWJ538" s="501"/>
      <c r="RWK538" s="501"/>
      <c r="RWL538" s="501"/>
      <c r="RWM538" s="501"/>
      <c r="RWN538" s="501"/>
      <c r="RWO538" s="501"/>
      <c r="RWP538" s="501"/>
      <c r="RWQ538" s="501"/>
      <c r="RWR538" s="501"/>
      <c r="RWS538" s="501"/>
      <c r="RWT538" s="501"/>
      <c r="RWU538" s="501"/>
      <c r="RWV538" s="501"/>
      <c r="RWW538" s="501"/>
      <c r="RWX538" s="501"/>
      <c r="RWY538" s="501"/>
      <c r="RWZ538" s="501"/>
      <c r="RXA538" s="501"/>
      <c r="RXB538" s="501"/>
      <c r="RXC538" s="501"/>
      <c r="RXD538" s="501"/>
      <c r="RXE538" s="501"/>
      <c r="RXF538" s="501"/>
      <c r="RXG538" s="501"/>
      <c r="RXH538" s="501"/>
      <c r="RXI538" s="501"/>
      <c r="RXJ538" s="501"/>
      <c r="RXK538" s="501"/>
      <c r="RXL538" s="501"/>
      <c r="RXM538" s="501"/>
      <c r="RXN538" s="501"/>
      <c r="RXO538" s="501"/>
      <c r="RXP538" s="501"/>
      <c r="RXQ538" s="501"/>
      <c r="RXR538" s="501"/>
      <c r="RXS538" s="501"/>
      <c r="RXT538" s="501"/>
      <c r="RXU538" s="501"/>
      <c r="RXV538" s="501"/>
      <c r="RXW538" s="501"/>
      <c r="RXX538" s="501"/>
      <c r="RXY538" s="501"/>
      <c r="RXZ538" s="501"/>
      <c r="RYA538" s="501"/>
      <c r="RYB538" s="501"/>
      <c r="RYC538" s="501"/>
      <c r="RYD538" s="501"/>
      <c r="RYE538" s="501"/>
      <c r="RYF538" s="501"/>
      <c r="RYG538" s="501"/>
      <c r="RYH538" s="501"/>
      <c r="RYI538" s="501"/>
      <c r="RYJ538" s="501"/>
      <c r="RYK538" s="501"/>
      <c r="RYL538" s="501"/>
      <c r="RYM538" s="501"/>
      <c r="RYN538" s="501"/>
      <c r="RYO538" s="501"/>
      <c r="RYP538" s="501"/>
      <c r="RYQ538" s="501"/>
      <c r="RYR538" s="501"/>
      <c r="RYS538" s="501"/>
      <c r="RYT538" s="501"/>
      <c r="RYU538" s="501"/>
      <c r="RYV538" s="501"/>
      <c r="RYW538" s="501"/>
      <c r="RYX538" s="501"/>
      <c r="RYY538" s="501"/>
      <c r="RYZ538" s="501"/>
      <c r="RZA538" s="501"/>
      <c r="RZB538" s="501"/>
      <c r="RZC538" s="501"/>
      <c r="RZD538" s="501"/>
      <c r="RZE538" s="501"/>
      <c r="RZF538" s="501"/>
      <c r="RZG538" s="501"/>
      <c r="RZH538" s="501"/>
      <c r="RZI538" s="501"/>
      <c r="RZJ538" s="501"/>
      <c r="RZK538" s="501"/>
      <c r="RZL538" s="501"/>
      <c r="RZM538" s="501"/>
      <c r="RZN538" s="501"/>
      <c r="RZO538" s="501"/>
      <c r="RZP538" s="501"/>
      <c r="RZQ538" s="501"/>
      <c r="RZR538" s="501"/>
      <c r="RZS538" s="501"/>
      <c r="RZT538" s="501"/>
      <c r="RZU538" s="501"/>
      <c r="RZV538" s="501"/>
      <c r="RZW538" s="501"/>
      <c r="RZX538" s="501"/>
      <c r="RZY538" s="501"/>
      <c r="RZZ538" s="501"/>
      <c r="SAA538" s="501"/>
      <c r="SAB538" s="501"/>
      <c r="SAC538" s="501"/>
      <c r="SAD538" s="501"/>
      <c r="SAE538" s="501"/>
      <c r="SAF538" s="501"/>
      <c r="SAG538" s="501"/>
      <c r="SAH538" s="501"/>
      <c r="SAI538" s="501"/>
      <c r="SAJ538" s="501"/>
      <c r="SAK538" s="501"/>
      <c r="SAL538" s="501"/>
      <c r="SAM538" s="501"/>
      <c r="SAN538" s="501"/>
      <c r="SAO538" s="501"/>
      <c r="SAP538" s="501"/>
      <c r="SAQ538" s="501"/>
      <c r="SAR538" s="501"/>
      <c r="SAS538" s="501"/>
      <c r="SAT538" s="501"/>
      <c r="SAU538" s="501"/>
      <c r="SAV538" s="501"/>
      <c r="SAW538" s="501"/>
      <c r="SAX538" s="501"/>
      <c r="SAY538" s="501"/>
      <c r="SAZ538" s="501"/>
      <c r="SBA538" s="501"/>
      <c r="SBB538" s="501"/>
      <c r="SBC538" s="501"/>
      <c r="SBD538" s="501"/>
      <c r="SBE538" s="501"/>
      <c r="SBF538" s="501"/>
      <c r="SBG538" s="501"/>
      <c r="SBH538" s="501"/>
      <c r="SBI538" s="501"/>
      <c r="SBJ538" s="501"/>
      <c r="SBK538" s="501"/>
      <c r="SBL538" s="501"/>
      <c r="SBM538" s="501"/>
      <c r="SBN538" s="501"/>
      <c r="SBO538" s="501"/>
      <c r="SBP538" s="501"/>
      <c r="SBQ538" s="501"/>
      <c r="SBR538" s="501"/>
      <c r="SBS538" s="501"/>
      <c r="SBT538" s="501"/>
      <c r="SBU538" s="501"/>
      <c r="SBV538" s="501"/>
      <c r="SBW538" s="501"/>
      <c r="SBX538" s="501"/>
      <c r="SBY538" s="501"/>
      <c r="SBZ538" s="501"/>
      <c r="SCA538" s="501"/>
      <c r="SCB538" s="501"/>
      <c r="SCC538" s="501"/>
      <c r="SCD538" s="501"/>
      <c r="SCE538" s="501"/>
      <c r="SCF538" s="501"/>
      <c r="SCG538" s="501"/>
      <c r="SCH538" s="501"/>
      <c r="SCI538" s="501"/>
      <c r="SCJ538" s="501"/>
      <c r="SCK538" s="501"/>
      <c r="SCL538" s="501"/>
      <c r="SCM538" s="501"/>
      <c r="SCN538" s="501"/>
      <c r="SCO538" s="501"/>
      <c r="SCP538" s="501"/>
      <c r="SCQ538" s="501"/>
      <c r="SCR538" s="501"/>
      <c r="SCS538" s="501"/>
      <c r="SCT538" s="501"/>
      <c r="SCU538" s="501"/>
      <c r="SCV538" s="501"/>
      <c r="SCW538" s="501"/>
      <c r="SCX538" s="501"/>
      <c r="SCY538" s="501"/>
      <c r="SCZ538" s="501"/>
      <c r="SDA538" s="501"/>
      <c r="SDB538" s="501"/>
      <c r="SDC538" s="501"/>
      <c r="SDD538" s="501"/>
      <c r="SDE538" s="501"/>
      <c r="SDF538" s="501"/>
      <c r="SDG538" s="501"/>
      <c r="SDH538" s="501"/>
      <c r="SDI538" s="501"/>
      <c r="SDJ538" s="501"/>
      <c r="SDK538" s="501"/>
      <c r="SDL538" s="501"/>
      <c r="SDM538" s="501"/>
      <c r="SDN538" s="501"/>
      <c r="SDO538" s="501"/>
      <c r="SDP538" s="501"/>
      <c r="SDQ538" s="501"/>
      <c r="SDR538" s="501"/>
      <c r="SDS538" s="501"/>
      <c r="SDT538" s="501"/>
      <c r="SDU538" s="501"/>
      <c r="SDV538" s="501"/>
      <c r="SDW538" s="501"/>
      <c r="SDX538" s="501"/>
      <c r="SDY538" s="501"/>
      <c r="SDZ538" s="501"/>
      <c r="SEA538" s="501"/>
      <c r="SEB538" s="501"/>
      <c r="SEC538" s="501"/>
      <c r="SED538" s="501"/>
      <c r="SEE538" s="501"/>
      <c r="SEF538" s="501"/>
      <c r="SEG538" s="501"/>
      <c r="SEH538" s="501"/>
      <c r="SEI538" s="501"/>
      <c r="SEJ538" s="501"/>
      <c r="SEK538" s="501"/>
      <c r="SEL538" s="501"/>
      <c r="SEM538" s="501"/>
      <c r="SEN538" s="501"/>
      <c r="SEO538" s="501"/>
      <c r="SEP538" s="501"/>
      <c r="SEQ538" s="501"/>
      <c r="SER538" s="501"/>
      <c r="SES538" s="501"/>
      <c r="SET538" s="501"/>
      <c r="SEU538" s="501"/>
      <c r="SEV538" s="501"/>
      <c r="SEW538" s="501"/>
      <c r="SEX538" s="501"/>
      <c r="SEY538" s="501"/>
      <c r="SEZ538" s="501"/>
      <c r="SFA538" s="501"/>
      <c r="SFB538" s="501"/>
      <c r="SFC538" s="501"/>
      <c r="SFD538" s="501"/>
      <c r="SFE538" s="501"/>
      <c r="SFF538" s="501"/>
      <c r="SFG538" s="501"/>
      <c r="SFH538" s="501"/>
      <c r="SFI538" s="501"/>
      <c r="SFJ538" s="501"/>
      <c r="SFK538" s="501"/>
      <c r="SFL538" s="501"/>
      <c r="SFM538" s="501"/>
      <c r="SFN538" s="501"/>
      <c r="SFO538" s="501"/>
      <c r="SFP538" s="501"/>
      <c r="SFQ538" s="501"/>
      <c r="SFR538" s="501"/>
      <c r="SFS538" s="501"/>
      <c r="SFT538" s="501"/>
      <c r="SFU538" s="501"/>
      <c r="SFV538" s="501"/>
      <c r="SFW538" s="501"/>
      <c r="SFX538" s="501"/>
      <c r="SFY538" s="501"/>
      <c r="SFZ538" s="501"/>
      <c r="SGA538" s="501"/>
      <c r="SGB538" s="501"/>
      <c r="SGC538" s="501"/>
      <c r="SGD538" s="501"/>
      <c r="SGE538" s="501"/>
      <c r="SGF538" s="501"/>
      <c r="SGG538" s="501"/>
      <c r="SGH538" s="501"/>
      <c r="SGI538" s="501"/>
      <c r="SGJ538" s="501"/>
      <c r="SGK538" s="501"/>
      <c r="SGL538" s="501"/>
      <c r="SGM538" s="501"/>
      <c r="SGN538" s="501"/>
      <c r="SGO538" s="501"/>
      <c r="SGP538" s="501"/>
      <c r="SGQ538" s="501"/>
      <c r="SGR538" s="501"/>
      <c r="SGS538" s="501"/>
      <c r="SGT538" s="501"/>
      <c r="SGU538" s="501"/>
      <c r="SGV538" s="501"/>
      <c r="SGW538" s="501"/>
      <c r="SGX538" s="501"/>
      <c r="SGY538" s="501"/>
      <c r="SGZ538" s="501"/>
      <c r="SHA538" s="501"/>
      <c r="SHB538" s="501"/>
      <c r="SHC538" s="501"/>
      <c r="SHD538" s="501"/>
      <c r="SHE538" s="501"/>
      <c r="SHF538" s="501"/>
      <c r="SHG538" s="501"/>
      <c r="SHH538" s="501"/>
      <c r="SHI538" s="501"/>
      <c r="SHJ538" s="501"/>
      <c r="SHK538" s="501"/>
      <c r="SHL538" s="501"/>
      <c r="SHM538" s="501"/>
      <c r="SHN538" s="501"/>
      <c r="SHO538" s="501"/>
      <c r="SHP538" s="501"/>
      <c r="SHQ538" s="501"/>
      <c r="SHR538" s="501"/>
      <c r="SHS538" s="501"/>
      <c r="SHT538" s="501"/>
      <c r="SHU538" s="501"/>
      <c r="SHV538" s="501"/>
      <c r="SHW538" s="501"/>
      <c r="SHX538" s="501"/>
      <c r="SHY538" s="501"/>
      <c r="SHZ538" s="501"/>
      <c r="SIA538" s="501"/>
      <c r="SIB538" s="501"/>
      <c r="SIC538" s="501"/>
      <c r="SID538" s="501"/>
      <c r="SIE538" s="501"/>
      <c r="SIF538" s="501"/>
      <c r="SIG538" s="501"/>
      <c r="SIH538" s="501"/>
      <c r="SII538" s="501"/>
      <c r="SIJ538" s="501"/>
      <c r="SIK538" s="501"/>
      <c r="SIL538" s="501"/>
      <c r="SIM538" s="501"/>
      <c r="SIN538" s="501"/>
      <c r="SIO538" s="501"/>
      <c r="SIP538" s="501"/>
      <c r="SIQ538" s="501"/>
      <c r="SIR538" s="501"/>
      <c r="SIS538" s="501"/>
      <c r="SIT538" s="501"/>
      <c r="SIU538" s="501"/>
      <c r="SIV538" s="501"/>
      <c r="SIW538" s="501"/>
      <c r="SIX538" s="501"/>
      <c r="SIY538" s="501"/>
      <c r="SIZ538" s="501"/>
      <c r="SJA538" s="501"/>
      <c r="SJB538" s="501"/>
      <c r="SJC538" s="501"/>
      <c r="SJD538" s="501"/>
      <c r="SJE538" s="501"/>
      <c r="SJF538" s="501"/>
      <c r="SJG538" s="501"/>
      <c r="SJH538" s="501"/>
      <c r="SJI538" s="501"/>
      <c r="SJJ538" s="501"/>
      <c r="SJK538" s="501"/>
      <c r="SJL538" s="501"/>
      <c r="SJM538" s="501"/>
      <c r="SJN538" s="501"/>
      <c r="SJO538" s="501"/>
      <c r="SJP538" s="501"/>
      <c r="SJQ538" s="501"/>
      <c r="SJR538" s="501"/>
      <c r="SJS538" s="501"/>
      <c r="SJT538" s="501"/>
      <c r="SJU538" s="501"/>
      <c r="SJV538" s="501"/>
      <c r="SJW538" s="501"/>
      <c r="SJX538" s="501"/>
      <c r="SJY538" s="501"/>
      <c r="SJZ538" s="501"/>
      <c r="SKA538" s="501"/>
      <c r="SKB538" s="501"/>
      <c r="SKC538" s="501"/>
      <c r="SKD538" s="501"/>
      <c r="SKE538" s="501"/>
      <c r="SKF538" s="501"/>
      <c r="SKG538" s="501"/>
      <c r="SKH538" s="501"/>
      <c r="SKI538" s="501"/>
      <c r="SKJ538" s="501"/>
      <c r="SKK538" s="501"/>
      <c r="SKL538" s="501"/>
      <c r="SKM538" s="501"/>
      <c r="SKN538" s="501"/>
      <c r="SKO538" s="501"/>
      <c r="SKP538" s="501"/>
      <c r="SKQ538" s="501"/>
      <c r="SKR538" s="501"/>
      <c r="SKS538" s="501"/>
      <c r="SKT538" s="501"/>
      <c r="SKU538" s="501"/>
      <c r="SKV538" s="501"/>
      <c r="SKW538" s="501"/>
      <c r="SKX538" s="501"/>
      <c r="SKY538" s="501"/>
      <c r="SKZ538" s="501"/>
      <c r="SLA538" s="501"/>
      <c r="SLB538" s="501"/>
      <c r="SLC538" s="501"/>
      <c r="SLD538" s="501"/>
      <c r="SLE538" s="501"/>
      <c r="SLF538" s="501"/>
      <c r="SLG538" s="501"/>
      <c r="SLH538" s="501"/>
      <c r="SLI538" s="501"/>
      <c r="SLJ538" s="501"/>
      <c r="SLK538" s="501"/>
      <c r="SLL538" s="501"/>
      <c r="SLM538" s="501"/>
      <c r="SLN538" s="501"/>
      <c r="SLO538" s="501"/>
      <c r="SLP538" s="501"/>
      <c r="SLQ538" s="501"/>
      <c r="SLR538" s="501"/>
      <c r="SLS538" s="501"/>
      <c r="SLT538" s="501"/>
      <c r="SLU538" s="501"/>
      <c r="SLV538" s="501"/>
      <c r="SLW538" s="501"/>
      <c r="SLX538" s="501"/>
      <c r="SLY538" s="501"/>
      <c r="SLZ538" s="501"/>
      <c r="SMA538" s="501"/>
      <c r="SMB538" s="501"/>
      <c r="SMC538" s="501"/>
      <c r="SMD538" s="501"/>
      <c r="SME538" s="501"/>
      <c r="SMF538" s="501"/>
      <c r="SMG538" s="501"/>
      <c r="SMH538" s="501"/>
      <c r="SMI538" s="501"/>
      <c r="SMJ538" s="501"/>
      <c r="SMK538" s="501"/>
      <c r="SML538" s="501"/>
      <c r="SMM538" s="501"/>
      <c r="SMN538" s="501"/>
      <c r="SMO538" s="501"/>
      <c r="SMP538" s="501"/>
      <c r="SMQ538" s="501"/>
      <c r="SMR538" s="501"/>
      <c r="SMS538" s="501"/>
      <c r="SMT538" s="501"/>
      <c r="SMU538" s="501"/>
      <c r="SMV538" s="501"/>
      <c r="SMW538" s="501"/>
      <c r="SMX538" s="501"/>
      <c r="SMY538" s="501"/>
      <c r="SMZ538" s="501"/>
      <c r="SNA538" s="501"/>
      <c r="SNB538" s="501"/>
      <c r="SNC538" s="501"/>
      <c r="SND538" s="501"/>
      <c r="SNE538" s="501"/>
      <c r="SNF538" s="501"/>
      <c r="SNG538" s="501"/>
      <c r="SNH538" s="501"/>
      <c r="SNI538" s="501"/>
      <c r="SNJ538" s="501"/>
      <c r="SNK538" s="501"/>
      <c r="SNL538" s="501"/>
      <c r="SNM538" s="501"/>
      <c r="SNN538" s="501"/>
      <c r="SNO538" s="501"/>
      <c r="SNP538" s="501"/>
      <c r="SNQ538" s="501"/>
      <c r="SNR538" s="501"/>
      <c r="SNS538" s="501"/>
      <c r="SNT538" s="501"/>
      <c r="SNU538" s="501"/>
      <c r="SNV538" s="501"/>
      <c r="SNW538" s="501"/>
      <c r="SNX538" s="501"/>
      <c r="SNY538" s="501"/>
      <c r="SNZ538" s="501"/>
      <c r="SOA538" s="501"/>
      <c r="SOB538" s="501"/>
      <c r="SOC538" s="501"/>
      <c r="SOD538" s="501"/>
      <c r="SOE538" s="501"/>
      <c r="SOF538" s="501"/>
      <c r="SOG538" s="501"/>
      <c r="SOH538" s="501"/>
      <c r="SOI538" s="501"/>
      <c r="SOJ538" s="501"/>
      <c r="SOK538" s="501"/>
      <c r="SOL538" s="501"/>
      <c r="SOM538" s="501"/>
      <c r="SON538" s="501"/>
      <c r="SOO538" s="501"/>
      <c r="SOP538" s="501"/>
      <c r="SOQ538" s="501"/>
      <c r="SOR538" s="501"/>
      <c r="SOS538" s="501"/>
      <c r="SOT538" s="501"/>
      <c r="SOU538" s="501"/>
      <c r="SOV538" s="501"/>
      <c r="SOW538" s="501"/>
      <c r="SOX538" s="501"/>
      <c r="SOY538" s="501"/>
      <c r="SOZ538" s="501"/>
      <c r="SPA538" s="501"/>
      <c r="SPB538" s="501"/>
      <c r="SPC538" s="501"/>
      <c r="SPD538" s="501"/>
      <c r="SPE538" s="501"/>
      <c r="SPF538" s="501"/>
      <c r="SPG538" s="501"/>
      <c r="SPH538" s="501"/>
      <c r="SPI538" s="501"/>
      <c r="SPJ538" s="501"/>
      <c r="SPK538" s="501"/>
      <c r="SPL538" s="501"/>
      <c r="SPM538" s="501"/>
      <c r="SPN538" s="501"/>
      <c r="SPO538" s="501"/>
      <c r="SPP538" s="501"/>
      <c r="SPQ538" s="501"/>
      <c r="SPR538" s="501"/>
      <c r="SPS538" s="501"/>
      <c r="SPT538" s="501"/>
      <c r="SPU538" s="501"/>
      <c r="SPV538" s="501"/>
      <c r="SPW538" s="501"/>
      <c r="SPX538" s="501"/>
      <c r="SPY538" s="501"/>
      <c r="SPZ538" s="501"/>
      <c r="SQA538" s="501"/>
      <c r="SQB538" s="501"/>
      <c r="SQC538" s="501"/>
      <c r="SQD538" s="501"/>
      <c r="SQE538" s="501"/>
      <c r="SQF538" s="501"/>
      <c r="SQG538" s="501"/>
      <c r="SQH538" s="501"/>
      <c r="SQI538" s="501"/>
      <c r="SQJ538" s="501"/>
      <c r="SQK538" s="501"/>
      <c r="SQL538" s="501"/>
      <c r="SQM538" s="501"/>
      <c r="SQN538" s="501"/>
      <c r="SQO538" s="501"/>
      <c r="SQP538" s="501"/>
      <c r="SQQ538" s="501"/>
      <c r="SQR538" s="501"/>
      <c r="SQS538" s="501"/>
      <c r="SQT538" s="501"/>
      <c r="SQU538" s="501"/>
      <c r="SQV538" s="501"/>
      <c r="SQW538" s="501"/>
      <c r="SQX538" s="501"/>
      <c r="SQY538" s="501"/>
      <c r="SQZ538" s="501"/>
      <c r="SRA538" s="501"/>
      <c r="SRB538" s="501"/>
      <c r="SRC538" s="501"/>
      <c r="SRD538" s="501"/>
      <c r="SRE538" s="501"/>
      <c r="SRF538" s="501"/>
      <c r="SRG538" s="501"/>
      <c r="SRH538" s="501"/>
      <c r="SRI538" s="501"/>
      <c r="SRJ538" s="501"/>
      <c r="SRK538" s="501"/>
      <c r="SRL538" s="501"/>
      <c r="SRM538" s="501"/>
      <c r="SRN538" s="501"/>
      <c r="SRO538" s="501"/>
      <c r="SRP538" s="501"/>
      <c r="SRQ538" s="501"/>
      <c r="SRR538" s="501"/>
      <c r="SRS538" s="501"/>
      <c r="SRT538" s="501"/>
      <c r="SRU538" s="501"/>
      <c r="SRV538" s="501"/>
      <c r="SRW538" s="501"/>
      <c r="SRX538" s="501"/>
      <c r="SRY538" s="501"/>
      <c r="SRZ538" s="501"/>
      <c r="SSA538" s="501"/>
      <c r="SSB538" s="501"/>
      <c r="SSC538" s="501"/>
      <c r="SSD538" s="501"/>
      <c r="SSE538" s="501"/>
      <c r="SSF538" s="501"/>
      <c r="SSG538" s="501"/>
      <c r="SSH538" s="501"/>
      <c r="SSI538" s="501"/>
      <c r="SSJ538" s="501"/>
      <c r="SSK538" s="501"/>
      <c r="SSL538" s="501"/>
      <c r="SSM538" s="501"/>
      <c r="SSN538" s="501"/>
      <c r="SSO538" s="501"/>
      <c r="SSP538" s="501"/>
      <c r="SSQ538" s="501"/>
      <c r="SSR538" s="501"/>
      <c r="SSS538" s="501"/>
      <c r="SST538" s="501"/>
      <c r="SSU538" s="501"/>
      <c r="SSV538" s="501"/>
      <c r="SSW538" s="501"/>
      <c r="SSX538" s="501"/>
      <c r="SSY538" s="501"/>
      <c r="SSZ538" s="501"/>
      <c r="STA538" s="501"/>
      <c r="STB538" s="501"/>
      <c r="STC538" s="501"/>
      <c r="STD538" s="501"/>
      <c r="STE538" s="501"/>
      <c r="STF538" s="501"/>
      <c r="STG538" s="501"/>
      <c r="STH538" s="501"/>
      <c r="STI538" s="501"/>
      <c r="STJ538" s="501"/>
      <c r="STK538" s="501"/>
      <c r="STL538" s="501"/>
      <c r="STM538" s="501"/>
      <c r="STN538" s="501"/>
      <c r="STO538" s="501"/>
      <c r="STP538" s="501"/>
      <c r="STQ538" s="501"/>
      <c r="STR538" s="501"/>
      <c r="STS538" s="501"/>
      <c r="STT538" s="501"/>
      <c r="STU538" s="501"/>
      <c r="STV538" s="501"/>
      <c r="STW538" s="501"/>
      <c r="STX538" s="501"/>
      <c r="STY538" s="501"/>
      <c r="STZ538" s="501"/>
      <c r="SUA538" s="501"/>
      <c r="SUB538" s="501"/>
      <c r="SUC538" s="501"/>
      <c r="SUD538" s="501"/>
      <c r="SUE538" s="501"/>
      <c r="SUF538" s="501"/>
      <c r="SUG538" s="501"/>
      <c r="SUH538" s="501"/>
      <c r="SUI538" s="501"/>
      <c r="SUJ538" s="501"/>
      <c r="SUK538" s="501"/>
      <c r="SUL538" s="501"/>
      <c r="SUM538" s="501"/>
      <c r="SUN538" s="501"/>
      <c r="SUO538" s="501"/>
      <c r="SUP538" s="501"/>
      <c r="SUQ538" s="501"/>
      <c r="SUR538" s="501"/>
      <c r="SUS538" s="501"/>
      <c r="SUT538" s="501"/>
      <c r="SUU538" s="501"/>
      <c r="SUV538" s="501"/>
      <c r="SUW538" s="501"/>
      <c r="SUX538" s="501"/>
      <c r="SUY538" s="501"/>
      <c r="SUZ538" s="501"/>
      <c r="SVA538" s="501"/>
      <c r="SVB538" s="501"/>
      <c r="SVC538" s="501"/>
      <c r="SVD538" s="501"/>
      <c r="SVE538" s="501"/>
      <c r="SVF538" s="501"/>
      <c r="SVG538" s="501"/>
      <c r="SVH538" s="501"/>
      <c r="SVI538" s="501"/>
      <c r="SVJ538" s="501"/>
      <c r="SVK538" s="501"/>
      <c r="SVL538" s="501"/>
      <c r="SVM538" s="501"/>
      <c r="SVN538" s="501"/>
      <c r="SVO538" s="501"/>
      <c r="SVP538" s="501"/>
      <c r="SVQ538" s="501"/>
      <c r="SVR538" s="501"/>
      <c r="SVS538" s="501"/>
      <c r="SVT538" s="501"/>
      <c r="SVU538" s="501"/>
      <c r="SVV538" s="501"/>
      <c r="SVW538" s="501"/>
      <c r="SVX538" s="501"/>
      <c r="SVY538" s="501"/>
      <c r="SVZ538" s="501"/>
      <c r="SWA538" s="501"/>
      <c r="SWB538" s="501"/>
      <c r="SWC538" s="501"/>
      <c r="SWD538" s="501"/>
      <c r="SWE538" s="501"/>
      <c r="SWF538" s="501"/>
      <c r="SWG538" s="501"/>
      <c r="SWH538" s="501"/>
      <c r="SWI538" s="501"/>
      <c r="SWJ538" s="501"/>
      <c r="SWK538" s="501"/>
      <c r="SWL538" s="501"/>
      <c r="SWM538" s="501"/>
      <c r="SWN538" s="501"/>
      <c r="SWO538" s="501"/>
      <c r="SWP538" s="501"/>
      <c r="SWQ538" s="501"/>
      <c r="SWR538" s="501"/>
      <c r="SWS538" s="501"/>
      <c r="SWT538" s="501"/>
      <c r="SWU538" s="501"/>
      <c r="SWV538" s="501"/>
      <c r="SWW538" s="501"/>
      <c r="SWX538" s="501"/>
      <c r="SWY538" s="501"/>
      <c r="SWZ538" s="501"/>
      <c r="SXA538" s="501"/>
      <c r="SXB538" s="501"/>
      <c r="SXC538" s="501"/>
      <c r="SXD538" s="501"/>
      <c r="SXE538" s="501"/>
      <c r="SXF538" s="501"/>
      <c r="SXG538" s="501"/>
      <c r="SXH538" s="501"/>
      <c r="SXI538" s="501"/>
      <c r="SXJ538" s="501"/>
      <c r="SXK538" s="501"/>
      <c r="SXL538" s="501"/>
      <c r="SXM538" s="501"/>
      <c r="SXN538" s="501"/>
      <c r="SXO538" s="501"/>
      <c r="SXP538" s="501"/>
      <c r="SXQ538" s="501"/>
      <c r="SXR538" s="501"/>
      <c r="SXS538" s="501"/>
      <c r="SXT538" s="501"/>
      <c r="SXU538" s="501"/>
      <c r="SXV538" s="501"/>
      <c r="SXW538" s="501"/>
      <c r="SXX538" s="501"/>
      <c r="SXY538" s="501"/>
      <c r="SXZ538" s="501"/>
      <c r="SYA538" s="501"/>
      <c r="SYB538" s="501"/>
      <c r="SYC538" s="501"/>
      <c r="SYD538" s="501"/>
      <c r="SYE538" s="501"/>
      <c r="SYF538" s="501"/>
      <c r="SYG538" s="501"/>
      <c r="SYH538" s="501"/>
      <c r="SYI538" s="501"/>
      <c r="SYJ538" s="501"/>
      <c r="SYK538" s="501"/>
      <c r="SYL538" s="501"/>
      <c r="SYM538" s="501"/>
      <c r="SYN538" s="501"/>
      <c r="SYO538" s="501"/>
      <c r="SYP538" s="501"/>
      <c r="SYQ538" s="501"/>
      <c r="SYR538" s="501"/>
      <c r="SYS538" s="501"/>
      <c r="SYT538" s="501"/>
      <c r="SYU538" s="501"/>
      <c r="SYV538" s="501"/>
      <c r="SYW538" s="501"/>
      <c r="SYX538" s="501"/>
      <c r="SYY538" s="501"/>
      <c r="SYZ538" s="501"/>
      <c r="SZA538" s="501"/>
      <c r="SZB538" s="501"/>
      <c r="SZC538" s="501"/>
      <c r="SZD538" s="501"/>
      <c r="SZE538" s="501"/>
      <c r="SZF538" s="501"/>
      <c r="SZG538" s="501"/>
      <c r="SZH538" s="501"/>
      <c r="SZI538" s="501"/>
      <c r="SZJ538" s="501"/>
      <c r="SZK538" s="501"/>
      <c r="SZL538" s="501"/>
      <c r="SZM538" s="501"/>
      <c r="SZN538" s="501"/>
      <c r="SZO538" s="501"/>
      <c r="SZP538" s="501"/>
      <c r="SZQ538" s="501"/>
      <c r="SZR538" s="501"/>
      <c r="SZS538" s="501"/>
      <c r="SZT538" s="501"/>
      <c r="SZU538" s="501"/>
      <c r="SZV538" s="501"/>
      <c r="SZW538" s="501"/>
      <c r="SZX538" s="501"/>
      <c r="SZY538" s="501"/>
      <c r="SZZ538" s="501"/>
      <c r="TAA538" s="501"/>
      <c r="TAB538" s="501"/>
      <c r="TAC538" s="501"/>
      <c r="TAD538" s="501"/>
      <c r="TAE538" s="501"/>
      <c r="TAF538" s="501"/>
      <c r="TAG538" s="501"/>
      <c r="TAH538" s="501"/>
      <c r="TAI538" s="501"/>
      <c r="TAJ538" s="501"/>
      <c r="TAK538" s="501"/>
      <c r="TAL538" s="501"/>
      <c r="TAM538" s="501"/>
      <c r="TAN538" s="501"/>
      <c r="TAO538" s="501"/>
      <c r="TAP538" s="501"/>
      <c r="TAQ538" s="501"/>
      <c r="TAR538" s="501"/>
      <c r="TAS538" s="501"/>
      <c r="TAT538" s="501"/>
      <c r="TAU538" s="501"/>
      <c r="TAV538" s="501"/>
      <c r="TAW538" s="501"/>
      <c r="TAX538" s="501"/>
      <c r="TAY538" s="501"/>
      <c r="TAZ538" s="501"/>
      <c r="TBA538" s="501"/>
      <c r="TBB538" s="501"/>
      <c r="TBC538" s="501"/>
      <c r="TBD538" s="501"/>
      <c r="TBE538" s="501"/>
      <c r="TBF538" s="501"/>
      <c r="TBG538" s="501"/>
      <c r="TBH538" s="501"/>
      <c r="TBI538" s="501"/>
      <c r="TBJ538" s="501"/>
      <c r="TBK538" s="501"/>
      <c r="TBL538" s="501"/>
      <c r="TBM538" s="501"/>
      <c r="TBN538" s="501"/>
      <c r="TBO538" s="501"/>
      <c r="TBP538" s="501"/>
      <c r="TBQ538" s="501"/>
      <c r="TBR538" s="501"/>
      <c r="TBS538" s="501"/>
      <c r="TBT538" s="501"/>
      <c r="TBU538" s="501"/>
      <c r="TBV538" s="501"/>
      <c r="TBW538" s="501"/>
      <c r="TBX538" s="501"/>
      <c r="TBY538" s="501"/>
      <c r="TBZ538" s="501"/>
      <c r="TCA538" s="501"/>
      <c r="TCB538" s="501"/>
      <c r="TCC538" s="501"/>
      <c r="TCD538" s="501"/>
      <c r="TCE538" s="501"/>
      <c r="TCF538" s="501"/>
      <c r="TCG538" s="501"/>
      <c r="TCH538" s="501"/>
      <c r="TCI538" s="501"/>
      <c r="TCJ538" s="501"/>
      <c r="TCK538" s="501"/>
      <c r="TCL538" s="501"/>
      <c r="TCM538" s="501"/>
      <c r="TCN538" s="501"/>
      <c r="TCO538" s="501"/>
      <c r="TCP538" s="501"/>
      <c r="TCQ538" s="501"/>
      <c r="TCR538" s="501"/>
      <c r="TCS538" s="501"/>
      <c r="TCT538" s="501"/>
      <c r="TCU538" s="501"/>
      <c r="TCV538" s="501"/>
      <c r="TCW538" s="501"/>
      <c r="TCX538" s="501"/>
      <c r="TCY538" s="501"/>
      <c r="TCZ538" s="501"/>
      <c r="TDA538" s="501"/>
      <c r="TDB538" s="501"/>
      <c r="TDC538" s="501"/>
      <c r="TDD538" s="501"/>
      <c r="TDE538" s="501"/>
      <c r="TDF538" s="501"/>
      <c r="TDG538" s="501"/>
      <c r="TDH538" s="501"/>
      <c r="TDI538" s="501"/>
      <c r="TDJ538" s="501"/>
      <c r="TDK538" s="501"/>
      <c r="TDL538" s="501"/>
      <c r="TDM538" s="501"/>
      <c r="TDN538" s="501"/>
      <c r="TDO538" s="501"/>
      <c r="TDP538" s="501"/>
      <c r="TDQ538" s="501"/>
      <c r="TDR538" s="501"/>
      <c r="TDS538" s="501"/>
      <c r="TDT538" s="501"/>
      <c r="TDU538" s="501"/>
      <c r="TDV538" s="501"/>
      <c r="TDW538" s="501"/>
      <c r="TDX538" s="501"/>
      <c r="TDY538" s="501"/>
      <c r="TDZ538" s="501"/>
      <c r="TEA538" s="501"/>
      <c r="TEB538" s="501"/>
      <c r="TEC538" s="501"/>
      <c r="TED538" s="501"/>
      <c r="TEE538" s="501"/>
      <c r="TEF538" s="501"/>
      <c r="TEG538" s="501"/>
      <c r="TEH538" s="501"/>
      <c r="TEI538" s="501"/>
      <c r="TEJ538" s="501"/>
      <c r="TEK538" s="501"/>
      <c r="TEL538" s="501"/>
      <c r="TEM538" s="501"/>
      <c r="TEN538" s="501"/>
      <c r="TEO538" s="501"/>
      <c r="TEP538" s="501"/>
      <c r="TEQ538" s="501"/>
      <c r="TER538" s="501"/>
      <c r="TES538" s="501"/>
      <c r="TET538" s="501"/>
      <c r="TEU538" s="501"/>
      <c r="TEV538" s="501"/>
      <c r="TEW538" s="501"/>
      <c r="TEX538" s="501"/>
      <c r="TEY538" s="501"/>
      <c r="TEZ538" s="501"/>
      <c r="TFA538" s="501"/>
      <c r="TFB538" s="501"/>
      <c r="TFC538" s="501"/>
      <c r="TFD538" s="501"/>
      <c r="TFE538" s="501"/>
      <c r="TFF538" s="501"/>
      <c r="TFG538" s="501"/>
      <c r="TFH538" s="501"/>
      <c r="TFI538" s="501"/>
      <c r="TFJ538" s="501"/>
      <c r="TFK538" s="501"/>
      <c r="TFL538" s="501"/>
      <c r="TFM538" s="501"/>
      <c r="TFN538" s="501"/>
      <c r="TFO538" s="501"/>
      <c r="TFP538" s="501"/>
      <c r="TFQ538" s="501"/>
      <c r="TFR538" s="501"/>
      <c r="TFS538" s="501"/>
      <c r="TFT538" s="501"/>
      <c r="TFU538" s="501"/>
      <c r="TFV538" s="501"/>
      <c r="TFW538" s="501"/>
      <c r="TFX538" s="501"/>
      <c r="TFY538" s="501"/>
      <c r="TFZ538" s="501"/>
      <c r="TGA538" s="501"/>
      <c r="TGB538" s="501"/>
      <c r="TGC538" s="501"/>
      <c r="TGD538" s="501"/>
      <c r="TGE538" s="501"/>
      <c r="TGF538" s="501"/>
      <c r="TGG538" s="501"/>
      <c r="TGH538" s="501"/>
      <c r="TGI538" s="501"/>
      <c r="TGJ538" s="501"/>
      <c r="TGK538" s="501"/>
      <c r="TGL538" s="501"/>
      <c r="TGM538" s="501"/>
      <c r="TGN538" s="501"/>
      <c r="TGO538" s="501"/>
      <c r="TGP538" s="501"/>
      <c r="TGQ538" s="501"/>
      <c r="TGR538" s="501"/>
      <c r="TGS538" s="501"/>
      <c r="TGT538" s="501"/>
      <c r="TGU538" s="501"/>
      <c r="TGV538" s="501"/>
      <c r="TGW538" s="501"/>
      <c r="TGX538" s="501"/>
      <c r="TGY538" s="501"/>
      <c r="TGZ538" s="501"/>
      <c r="THA538" s="501"/>
      <c r="THB538" s="501"/>
      <c r="THC538" s="501"/>
      <c r="THD538" s="501"/>
      <c r="THE538" s="501"/>
      <c r="THF538" s="501"/>
      <c r="THG538" s="501"/>
      <c r="THH538" s="501"/>
      <c r="THI538" s="501"/>
      <c r="THJ538" s="501"/>
      <c r="THK538" s="501"/>
      <c r="THL538" s="501"/>
      <c r="THM538" s="501"/>
      <c r="THN538" s="501"/>
      <c r="THO538" s="501"/>
      <c r="THP538" s="501"/>
      <c r="THQ538" s="501"/>
      <c r="THR538" s="501"/>
      <c r="THS538" s="501"/>
      <c r="THT538" s="501"/>
      <c r="THU538" s="501"/>
      <c r="THV538" s="501"/>
      <c r="THW538" s="501"/>
      <c r="THX538" s="501"/>
      <c r="THY538" s="501"/>
      <c r="THZ538" s="501"/>
      <c r="TIA538" s="501"/>
      <c r="TIB538" s="501"/>
      <c r="TIC538" s="501"/>
      <c r="TID538" s="501"/>
      <c r="TIE538" s="501"/>
      <c r="TIF538" s="501"/>
      <c r="TIG538" s="501"/>
      <c r="TIH538" s="501"/>
      <c r="TII538" s="501"/>
      <c r="TIJ538" s="501"/>
      <c r="TIK538" s="501"/>
      <c r="TIL538" s="501"/>
      <c r="TIM538" s="501"/>
      <c r="TIN538" s="501"/>
      <c r="TIO538" s="501"/>
      <c r="TIP538" s="501"/>
      <c r="TIQ538" s="501"/>
      <c r="TIR538" s="501"/>
      <c r="TIS538" s="501"/>
      <c r="TIT538" s="501"/>
      <c r="TIU538" s="501"/>
      <c r="TIV538" s="501"/>
      <c r="TIW538" s="501"/>
      <c r="TIX538" s="501"/>
      <c r="TIY538" s="501"/>
      <c r="TIZ538" s="501"/>
      <c r="TJA538" s="501"/>
      <c r="TJB538" s="501"/>
      <c r="TJC538" s="501"/>
      <c r="TJD538" s="501"/>
      <c r="TJE538" s="501"/>
      <c r="TJF538" s="501"/>
      <c r="TJG538" s="501"/>
      <c r="TJH538" s="501"/>
      <c r="TJI538" s="501"/>
      <c r="TJJ538" s="501"/>
      <c r="TJK538" s="501"/>
      <c r="TJL538" s="501"/>
      <c r="TJM538" s="501"/>
      <c r="TJN538" s="501"/>
      <c r="TJO538" s="501"/>
      <c r="TJP538" s="501"/>
      <c r="TJQ538" s="501"/>
      <c r="TJR538" s="501"/>
      <c r="TJS538" s="501"/>
      <c r="TJT538" s="501"/>
      <c r="TJU538" s="501"/>
      <c r="TJV538" s="501"/>
      <c r="TJW538" s="501"/>
      <c r="TJX538" s="501"/>
      <c r="TJY538" s="501"/>
      <c r="TJZ538" s="501"/>
      <c r="TKA538" s="501"/>
      <c r="TKB538" s="501"/>
      <c r="TKC538" s="501"/>
      <c r="TKD538" s="501"/>
      <c r="TKE538" s="501"/>
      <c r="TKF538" s="501"/>
      <c r="TKG538" s="501"/>
      <c r="TKH538" s="501"/>
      <c r="TKI538" s="501"/>
      <c r="TKJ538" s="501"/>
      <c r="TKK538" s="501"/>
      <c r="TKL538" s="501"/>
      <c r="TKM538" s="501"/>
      <c r="TKN538" s="501"/>
      <c r="TKO538" s="501"/>
      <c r="TKP538" s="501"/>
      <c r="TKQ538" s="501"/>
      <c r="TKR538" s="501"/>
      <c r="TKS538" s="501"/>
      <c r="TKT538" s="501"/>
      <c r="TKU538" s="501"/>
      <c r="TKV538" s="501"/>
      <c r="TKW538" s="501"/>
      <c r="TKX538" s="501"/>
      <c r="TKY538" s="501"/>
      <c r="TKZ538" s="501"/>
      <c r="TLA538" s="501"/>
      <c r="TLB538" s="501"/>
      <c r="TLC538" s="501"/>
      <c r="TLD538" s="501"/>
      <c r="TLE538" s="501"/>
      <c r="TLF538" s="501"/>
      <c r="TLG538" s="501"/>
      <c r="TLH538" s="501"/>
      <c r="TLI538" s="501"/>
      <c r="TLJ538" s="501"/>
      <c r="TLK538" s="501"/>
      <c r="TLL538" s="501"/>
      <c r="TLM538" s="501"/>
      <c r="TLN538" s="501"/>
      <c r="TLO538" s="501"/>
      <c r="TLP538" s="501"/>
      <c r="TLQ538" s="501"/>
      <c r="TLR538" s="501"/>
      <c r="TLS538" s="501"/>
      <c r="TLT538" s="501"/>
      <c r="TLU538" s="501"/>
      <c r="TLV538" s="501"/>
      <c r="TLW538" s="501"/>
      <c r="TLX538" s="501"/>
      <c r="TLY538" s="501"/>
      <c r="TLZ538" s="501"/>
      <c r="TMA538" s="501"/>
      <c r="TMB538" s="501"/>
      <c r="TMC538" s="501"/>
      <c r="TMD538" s="501"/>
      <c r="TME538" s="501"/>
      <c r="TMF538" s="501"/>
      <c r="TMG538" s="501"/>
      <c r="TMH538" s="501"/>
      <c r="TMI538" s="501"/>
      <c r="TMJ538" s="501"/>
      <c r="TMK538" s="501"/>
      <c r="TML538" s="501"/>
      <c r="TMM538" s="501"/>
      <c r="TMN538" s="501"/>
      <c r="TMO538" s="501"/>
      <c r="TMP538" s="501"/>
      <c r="TMQ538" s="501"/>
      <c r="TMR538" s="501"/>
      <c r="TMS538" s="501"/>
      <c r="TMT538" s="501"/>
      <c r="TMU538" s="501"/>
      <c r="TMV538" s="501"/>
      <c r="TMW538" s="501"/>
      <c r="TMX538" s="501"/>
      <c r="TMY538" s="501"/>
      <c r="TMZ538" s="501"/>
      <c r="TNA538" s="501"/>
      <c r="TNB538" s="501"/>
      <c r="TNC538" s="501"/>
      <c r="TND538" s="501"/>
      <c r="TNE538" s="501"/>
      <c r="TNF538" s="501"/>
      <c r="TNG538" s="501"/>
      <c r="TNH538" s="501"/>
      <c r="TNI538" s="501"/>
      <c r="TNJ538" s="501"/>
      <c r="TNK538" s="501"/>
      <c r="TNL538" s="501"/>
      <c r="TNM538" s="501"/>
      <c r="TNN538" s="501"/>
      <c r="TNO538" s="501"/>
      <c r="TNP538" s="501"/>
      <c r="TNQ538" s="501"/>
      <c r="TNR538" s="501"/>
      <c r="TNS538" s="501"/>
      <c r="TNT538" s="501"/>
      <c r="TNU538" s="501"/>
      <c r="TNV538" s="501"/>
      <c r="TNW538" s="501"/>
      <c r="TNX538" s="501"/>
      <c r="TNY538" s="501"/>
      <c r="TNZ538" s="501"/>
      <c r="TOA538" s="501"/>
      <c r="TOB538" s="501"/>
      <c r="TOC538" s="501"/>
      <c r="TOD538" s="501"/>
      <c r="TOE538" s="501"/>
      <c r="TOF538" s="501"/>
      <c r="TOG538" s="501"/>
      <c r="TOH538" s="501"/>
      <c r="TOI538" s="501"/>
      <c r="TOJ538" s="501"/>
      <c r="TOK538" s="501"/>
      <c r="TOL538" s="501"/>
      <c r="TOM538" s="501"/>
      <c r="TON538" s="501"/>
      <c r="TOO538" s="501"/>
      <c r="TOP538" s="501"/>
      <c r="TOQ538" s="501"/>
      <c r="TOR538" s="501"/>
      <c r="TOS538" s="501"/>
      <c r="TOT538" s="501"/>
      <c r="TOU538" s="501"/>
      <c r="TOV538" s="501"/>
      <c r="TOW538" s="501"/>
      <c r="TOX538" s="501"/>
      <c r="TOY538" s="501"/>
      <c r="TOZ538" s="501"/>
      <c r="TPA538" s="501"/>
      <c r="TPB538" s="501"/>
      <c r="TPC538" s="501"/>
      <c r="TPD538" s="501"/>
      <c r="TPE538" s="501"/>
      <c r="TPF538" s="501"/>
      <c r="TPG538" s="501"/>
      <c r="TPH538" s="501"/>
      <c r="TPI538" s="501"/>
      <c r="TPJ538" s="501"/>
      <c r="TPK538" s="501"/>
      <c r="TPL538" s="501"/>
      <c r="TPM538" s="501"/>
      <c r="TPN538" s="501"/>
      <c r="TPO538" s="501"/>
      <c r="TPP538" s="501"/>
      <c r="TPQ538" s="501"/>
      <c r="TPR538" s="501"/>
      <c r="TPS538" s="501"/>
      <c r="TPT538" s="501"/>
      <c r="TPU538" s="501"/>
      <c r="TPV538" s="501"/>
      <c r="TPW538" s="501"/>
      <c r="TPX538" s="501"/>
      <c r="TPY538" s="501"/>
      <c r="TPZ538" s="501"/>
      <c r="TQA538" s="501"/>
      <c r="TQB538" s="501"/>
      <c r="TQC538" s="501"/>
      <c r="TQD538" s="501"/>
      <c r="TQE538" s="501"/>
      <c r="TQF538" s="501"/>
      <c r="TQG538" s="501"/>
      <c r="TQH538" s="501"/>
      <c r="TQI538" s="501"/>
      <c r="TQJ538" s="501"/>
      <c r="TQK538" s="501"/>
      <c r="TQL538" s="501"/>
      <c r="TQM538" s="501"/>
      <c r="TQN538" s="501"/>
      <c r="TQO538" s="501"/>
      <c r="TQP538" s="501"/>
      <c r="TQQ538" s="501"/>
      <c r="TQR538" s="501"/>
      <c r="TQS538" s="501"/>
      <c r="TQT538" s="501"/>
      <c r="TQU538" s="501"/>
      <c r="TQV538" s="501"/>
      <c r="TQW538" s="501"/>
      <c r="TQX538" s="501"/>
      <c r="TQY538" s="501"/>
      <c r="TQZ538" s="501"/>
      <c r="TRA538" s="501"/>
      <c r="TRB538" s="501"/>
      <c r="TRC538" s="501"/>
      <c r="TRD538" s="501"/>
      <c r="TRE538" s="501"/>
      <c r="TRF538" s="501"/>
      <c r="TRG538" s="501"/>
      <c r="TRH538" s="501"/>
      <c r="TRI538" s="501"/>
      <c r="TRJ538" s="501"/>
      <c r="TRK538" s="501"/>
      <c r="TRL538" s="501"/>
      <c r="TRM538" s="501"/>
      <c r="TRN538" s="501"/>
      <c r="TRO538" s="501"/>
      <c r="TRP538" s="501"/>
      <c r="TRQ538" s="501"/>
      <c r="TRR538" s="501"/>
      <c r="TRS538" s="501"/>
      <c r="TRT538" s="501"/>
      <c r="TRU538" s="501"/>
      <c r="TRV538" s="501"/>
      <c r="TRW538" s="501"/>
      <c r="TRX538" s="501"/>
      <c r="TRY538" s="501"/>
      <c r="TRZ538" s="501"/>
      <c r="TSA538" s="501"/>
      <c r="TSB538" s="501"/>
      <c r="TSC538" s="501"/>
      <c r="TSD538" s="501"/>
      <c r="TSE538" s="501"/>
      <c r="TSF538" s="501"/>
      <c r="TSG538" s="501"/>
      <c r="TSH538" s="501"/>
      <c r="TSI538" s="501"/>
      <c r="TSJ538" s="501"/>
      <c r="TSK538" s="501"/>
      <c r="TSL538" s="501"/>
      <c r="TSM538" s="501"/>
      <c r="TSN538" s="501"/>
      <c r="TSO538" s="501"/>
      <c r="TSP538" s="501"/>
      <c r="TSQ538" s="501"/>
      <c r="TSR538" s="501"/>
      <c r="TSS538" s="501"/>
      <c r="TST538" s="501"/>
      <c r="TSU538" s="501"/>
      <c r="TSV538" s="501"/>
      <c r="TSW538" s="501"/>
      <c r="TSX538" s="501"/>
      <c r="TSY538" s="501"/>
      <c r="TSZ538" s="501"/>
      <c r="TTA538" s="501"/>
      <c r="TTB538" s="501"/>
      <c r="TTC538" s="501"/>
      <c r="TTD538" s="501"/>
      <c r="TTE538" s="501"/>
      <c r="TTF538" s="501"/>
      <c r="TTG538" s="501"/>
      <c r="TTH538" s="501"/>
      <c r="TTI538" s="501"/>
      <c r="TTJ538" s="501"/>
      <c r="TTK538" s="501"/>
      <c r="TTL538" s="501"/>
      <c r="TTM538" s="501"/>
      <c r="TTN538" s="501"/>
      <c r="TTO538" s="501"/>
      <c r="TTP538" s="501"/>
      <c r="TTQ538" s="501"/>
      <c r="TTR538" s="501"/>
      <c r="TTS538" s="501"/>
      <c r="TTT538" s="501"/>
      <c r="TTU538" s="501"/>
      <c r="TTV538" s="501"/>
      <c r="TTW538" s="501"/>
      <c r="TTX538" s="501"/>
      <c r="TTY538" s="501"/>
      <c r="TTZ538" s="501"/>
      <c r="TUA538" s="501"/>
      <c r="TUB538" s="501"/>
      <c r="TUC538" s="501"/>
      <c r="TUD538" s="501"/>
      <c r="TUE538" s="501"/>
      <c r="TUF538" s="501"/>
      <c r="TUG538" s="501"/>
      <c r="TUH538" s="501"/>
      <c r="TUI538" s="501"/>
      <c r="TUJ538" s="501"/>
      <c r="TUK538" s="501"/>
      <c r="TUL538" s="501"/>
      <c r="TUM538" s="501"/>
      <c r="TUN538" s="501"/>
      <c r="TUO538" s="501"/>
      <c r="TUP538" s="501"/>
      <c r="TUQ538" s="501"/>
      <c r="TUR538" s="501"/>
      <c r="TUS538" s="501"/>
      <c r="TUT538" s="501"/>
      <c r="TUU538" s="501"/>
      <c r="TUV538" s="501"/>
      <c r="TUW538" s="501"/>
      <c r="TUX538" s="501"/>
      <c r="TUY538" s="501"/>
      <c r="TUZ538" s="501"/>
      <c r="TVA538" s="501"/>
      <c r="TVB538" s="501"/>
      <c r="TVC538" s="501"/>
      <c r="TVD538" s="501"/>
      <c r="TVE538" s="501"/>
      <c r="TVF538" s="501"/>
      <c r="TVG538" s="501"/>
      <c r="TVH538" s="501"/>
      <c r="TVI538" s="501"/>
      <c r="TVJ538" s="501"/>
      <c r="TVK538" s="501"/>
      <c r="TVL538" s="501"/>
      <c r="TVM538" s="501"/>
      <c r="TVN538" s="501"/>
      <c r="TVO538" s="501"/>
      <c r="TVP538" s="501"/>
      <c r="TVQ538" s="501"/>
      <c r="TVR538" s="501"/>
      <c r="TVS538" s="501"/>
      <c r="TVT538" s="501"/>
      <c r="TVU538" s="501"/>
      <c r="TVV538" s="501"/>
      <c r="TVW538" s="501"/>
      <c r="TVX538" s="501"/>
      <c r="TVY538" s="501"/>
      <c r="TVZ538" s="501"/>
      <c r="TWA538" s="501"/>
      <c r="TWB538" s="501"/>
      <c r="TWC538" s="501"/>
      <c r="TWD538" s="501"/>
      <c r="TWE538" s="501"/>
      <c r="TWF538" s="501"/>
      <c r="TWG538" s="501"/>
      <c r="TWH538" s="501"/>
      <c r="TWI538" s="501"/>
      <c r="TWJ538" s="501"/>
      <c r="TWK538" s="501"/>
      <c r="TWL538" s="501"/>
      <c r="TWM538" s="501"/>
      <c r="TWN538" s="501"/>
      <c r="TWO538" s="501"/>
      <c r="TWP538" s="501"/>
      <c r="TWQ538" s="501"/>
      <c r="TWR538" s="501"/>
      <c r="TWS538" s="501"/>
      <c r="TWT538" s="501"/>
      <c r="TWU538" s="501"/>
      <c r="TWV538" s="501"/>
      <c r="TWW538" s="501"/>
      <c r="TWX538" s="501"/>
      <c r="TWY538" s="501"/>
      <c r="TWZ538" s="501"/>
      <c r="TXA538" s="501"/>
      <c r="TXB538" s="501"/>
      <c r="TXC538" s="501"/>
      <c r="TXD538" s="501"/>
      <c r="TXE538" s="501"/>
      <c r="TXF538" s="501"/>
      <c r="TXG538" s="501"/>
      <c r="TXH538" s="501"/>
      <c r="TXI538" s="501"/>
      <c r="TXJ538" s="501"/>
      <c r="TXK538" s="501"/>
      <c r="TXL538" s="501"/>
      <c r="TXM538" s="501"/>
      <c r="TXN538" s="501"/>
      <c r="TXO538" s="501"/>
      <c r="TXP538" s="501"/>
      <c r="TXQ538" s="501"/>
      <c r="TXR538" s="501"/>
      <c r="TXS538" s="501"/>
      <c r="TXT538" s="501"/>
      <c r="TXU538" s="501"/>
      <c r="TXV538" s="501"/>
      <c r="TXW538" s="501"/>
      <c r="TXX538" s="501"/>
      <c r="TXY538" s="501"/>
      <c r="TXZ538" s="501"/>
      <c r="TYA538" s="501"/>
      <c r="TYB538" s="501"/>
      <c r="TYC538" s="501"/>
      <c r="TYD538" s="501"/>
      <c r="TYE538" s="501"/>
      <c r="TYF538" s="501"/>
      <c r="TYG538" s="501"/>
      <c r="TYH538" s="501"/>
      <c r="TYI538" s="501"/>
      <c r="TYJ538" s="501"/>
      <c r="TYK538" s="501"/>
      <c r="TYL538" s="501"/>
      <c r="TYM538" s="501"/>
      <c r="TYN538" s="501"/>
      <c r="TYO538" s="501"/>
      <c r="TYP538" s="501"/>
      <c r="TYQ538" s="501"/>
      <c r="TYR538" s="501"/>
      <c r="TYS538" s="501"/>
      <c r="TYT538" s="501"/>
      <c r="TYU538" s="501"/>
      <c r="TYV538" s="501"/>
      <c r="TYW538" s="501"/>
      <c r="TYX538" s="501"/>
      <c r="TYY538" s="501"/>
      <c r="TYZ538" s="501"/>
      <c r="TZA538" s="501"/>
      <c r="TZB538" s="501"/>
      <c r="TZC538" s="501"/>
      <c r="TZD538" s="501"/>
      <c r="TZE538" s="501"/>
      <c r="TZF538" s="501"/>
      <c r="TZG538" s="501"/>
      <c r="TZH538" s="501"/>
      <c r="TZI538" s="501"/>
      <c r="TZJ538" s="501"/>
      <c r="TZK538" s="501"/>
      <c r="TZL538" s="501"/>
      <c r="TZM538" s="501"/>
      <c r="TZN538" s="501"/>
      <c r="TZO538" s="501"/>
      <c r="TZP538" s="501"/>
      <c r="TZQ538" s="501"/>
      <c r="TZR538" s="501"/>
      <c r="TZS538" s="501"/>
      <c r="TZT538" s="501"/>
      <c r="TZU538" s="501"/>
      <c r="TZV538" s="501"/>
      <c r="TZW538" s="501"/>
      <c r="TZX538" s="501"/>
      <c r="TZY538" s="501"/>
      <c r="TZZ538" s="501"/>
      <c r="UAA538" s="501"/>
      <c r="UAB538" s="501"/>
      <c r="UAC538" s="501"/>
      <c r="UAD538" s="501"/>
      <c r="UAE538" s="501"/>
      <c r="UAF538" s="501"/>
      <c r="UAG538" s="501"/>
      <c r="UAH538" s="501"/>
      <c r="UAI538" s="501"/>
      <c r="UAJ538" s="501"/>
      <c r="UAK538" s="501"/>
      <c r="UAL538" s="501"/>
      <c r="UAM538" s="501"/>
      <c r="UAN538" s="501"/>
      <c r="UAO538" s="501"/>
      <c r="UAP538" s="501"/>
      <c r="UAQ538" s="501"/>
      <c r="UAR538" s="501"/>
      <c r="UAS538" s="501"/>
      <c r="UAT538" s="501"/>
      <c r="UAU538" s="501"/>
      <c r="UAV538" s="501"/>
      <c r="UAW538" s="501"/>
      <c r="UAX538" s="501"/>
      <c r="UAY538" s="501"/>
      <c r="UAZ538" s="501"/>
      <c r="UBA538" s="501"/>
      <c r="UBB538" s="501"/>
      <c r="UBC538" s="501"/>
      <c r="UBD538" s="501"/>
      <c r="UBE538" s="501"/>
      <c r="UBF538" s="501"/>
      <c r="UBG538" s="501"/>
      <c r="UBH538" s="501"/>
      <c r="UBI538" s="501"/>
      <c r="UBJ538" s="501"/>
      <c r="UBK538" s="501"/>
      <c r="UBL538" s="501"/>
      <c r="UBM538" s="501"/>
      <c r="UBN538" s="501"/>
      <c r="UBO538" s="501"/>
      <c r="UBP538" s="501"/>
      <c r="UBQ538" s="501"/>
      <c r="UBR538" s="501"/>
      <c r="UBS538" s="501"/>
      <c r="UBT538" s="501"/>
      <c r="UBU538" s="501"/>
      <c r="UBV538" s="501"/>
      <c r="UBW538" s="501"/>
      <c r="UBX538" s="501"/>
      <c r="UBY538" s="501"/>
      <c r="UBZ538" s="501"/>
      <c r="UCA538" s="501"/>
      <c r="UCB538" s="501"/>
      <c r="UCC538" s="501"/>
      <c r="UCD538" s="501"/>
      <c r="UCE538" s="501"/>
      <c r="UCF538" s="501"/>
      <c r="UCG538" s="501"/>
      <c r="UCH538" s="501"/>
      <c r="UCI538" s="501"/>
      <c r="UCJ538" s="501"/>
      <c r="UCK538" s="501"/>
      <c r="UCL538" s="501"/>
      <c r="UCM538" s="501"/>
      <c r="UCN538" s="501"/>
      <c r="UCO538" s="501"/>
      <c r="UCP538" s="501"/>
      <c r="UCQ538" s="501"/>
      <c r="UCR538" s="501"/>
      <c r="UCS538" s="501"/>
      <c r="UCT538" s="501"/>
      <c r="UCU538" s="501"/>
      <c r="UCV538" s="501"/>
      <c r="UCW538" s="501"/>
      <c r="UCX538" s="501"/>
      <c r="UCY538" s="501"/>
      <c r="UCZ538" s="501"/>
      <c r="UDA538" s="501"/>
      <c r="UDB538" s="501"/>
      <c r="UDC538" s="501"/>
      <c r="UDD538" s="501"/>
      <c r="UDE538" s="501"/>
      <c r="UDF538" s="501"/>
      <c r="UDG538" s="501"/>
      <c r="UDH538" s="501"/>
      <c r="UDI538" s="501"/>
      <c r="UDJ538" s="501"/>
      <c r="UDK538" s="501"/>
      <c r="UDL538" s="501"/>
      <c r="UDM538" s="501"/>
      <c r="UDN538" s="501"/>
      <c r="UDO538" s="501"/>
      <c r="UDP538" s="501"/>
      <c r="UDQ538" s="501"/>
      <c r="UDR538" s="501"/>
      <c r="UDS538" s="501"/>
      <c r="UDT538" s="501"/>
      <c r="UDU538" s="501"/>
      <c r="UDV538" s="501"/>
      <c r="UDW538" s="501"/>
      <c r="UDX538" s="501"/>
      <c r="UDY538" s="501"/>
      <c r="UDZ538" s="501"/>
      <c r="UEA538" s="501"/>
      <c r="UEB538" s="501"/>
      <c r="UEC538" s="501"/>
      <c r="UED538" s="501"/>
      <c r="UEE538" s="501"/>
      <c r="UEF538" s="501"/>
      <c r="UEG538" s="501"/>
      <c r="UEH538" s="501"/>
      <c r="UEI538" s="501"/>
      <c r="UEJ538" s="501"/>
      <c r="UEK538" s="501"/>
      <c r="UEL538" s="501"/>
      <c r="UEM538" s="501"/>
      <c r="UEN538" s="501"/>
      <c r="UEO538" s="501"/>
      <c r="UEP538" s="501"/>
      <c r="UEQ538" s="501"/>
      <c r="UER538" s="501"/>
      <c r="UES538" s="501"/>
      <c r="UET538" s="501"/>
      <c r="UEU538" s="501"/>
      <c r="UEV538" s="501"/>
      <c r="UEW538" s="501"/>
      <c r="UEX538" s="501"/>
      <c r="UEY538" s="501"/>
      <c r="UEZ538" s="501"/>
      <c r="UFA538" s="501"/>
      <c r="UFB538" s="501"/>
      <c r="UFC538" s="501"/>
      <c r="UFD538" s="501"/>
      <c r="UFE538" s="501"/>
      <c r="UFF538" s="501"/>
      <c r="UFG538" s="501"/>
      <c r="UFH538" s="501"/>
      <c r="UFI538" s="501"/>
      <c r="UFJ538" s="501"/>
      <c r="UFK538" s="501"/>
      <c r="UFL538" s="501"/>
      <c r="UFM538" s="501"/>
      <c r="UFN538" s="501"/>
      <c r="UFO538" s="501"/>
      <c r="UFP538" s="501"/>
      <c r="UFQ538" s="501"/>
      <c r="UFR538" s="501"/>
      <c r="UFS538" s="501"/>
      <c r="UFT538" s="501"/>
      <c r="UFU538" s="501"/>
      <c r="UFV538" s="501"/>
      <c r="UFW538" s="501"/>
      <c r="UFX538" s="501"/>
      <c r="UFY538" s="501"/>
      <c r="UFZ538" s="501"/>
      <c r="UGA538" s="501"/>
      <c r="UGB538" s="501"/>
      <c r="UGC538" s="501"/>
      <c r="UGD538" s="501"/>
      <c r="UGE538" s="501"/>
      <c r="UGF538" s="501"/>
      <c r="UGG538" s="501"/>
      <c r="UGH538" s="501"/>
      <c r="UGI538" s="501"/>
      <c r="UGJ538" s="501"/>
      <c r="UGK538" s="501"/>
      <c r="UGL538" s="501"/>
      <c r="UGM538" s="501"/>
      <c r="UGN538" s="501"/>
      <c r="UGO538" s="501"/>
      <c r="UGP538" s="501"/>
      <c r="UGQ538" s="501"/>
      <c r="UGR538" s="501"/>
      <c r="UGS538" s="501"/>
      <c r="UGT538" s="501"/>
      <c r="UGU538" s="501"/>
      <c r="UGV538" s="501"/>
      <c r="UGW538" s="501"/>
      <c r="UGX538" s="501"/>
      <c r="UGY538" s="501"/>
      <c r="UGZ538" s="501"/>
      <c r="UHA538" s="501"/>
      <c r="UHB538" s="501"/>
      <c r="UHC538" s="501"/>
      <c r="UHD538" s="501"/>
      <c r="UHE538" s="501"/>
      <c r="UHF538" s="501"/>
      <c r="UHG538" s="501"/>
      <c r="UHH538" s="501"/>
      <c r="UHI538" s="501"/>
      <c r="UHJ538" s="501"/>
      <c r="UHK538" s="501"/>
      <c r="UHL538" s="501"/>
      <c r="UHM538" s="501"/>
      <c r="UHN538" s="501"/>
      <c r="UHO538" s="501"/>
      <c r="UHP538" s="501"/>
      <c r="UHQ538" s="501"/>
      <c r="UHR538" s="501"/>
      <c r="UHS538" s="501"/>
      <c r="UHT538" s="501"/>
      <c r="UHU538" s="501"/>
      <c r="UHV538" s="501"/>
      <c r="UHW538" s="501"/>
      <c r="UHX538" s="501"/>
      <c r="UHY538" s="501"/>
      <c r="UHZ538" s="501"/>
      <c r="UIA538" s="501"/>
      <c r="UIB538" s="501"/>
      <c r="UIC538" s="501"/>
      <c r="UID538" s="501"/>
      <c r="UIE538" s="501"/>
      <c r="UIF538" s="501"/>
      <c r="UIG538" s="501"/>
      <c r="UIH538" s="501"/>
      <c r="UII538" s="501"/>
      <c r="UIJ538" s="501"/>
      <c r="UIK538" s="501"/>
      <c r="UIL538" s="501"/>
      <c r="UIM538" s="501"/>
      <c r="UIN538" s="501"/>
      <c r="UIO538" s="501"/>
      <c r="UIP538" s="501"/>
      <c r="UIQ538" s="501"/>
      <c r="UIR538" s="501"/>
      <c r="UIS538" s="501"/>
      <c r="UIT538" s="501"/>
      <c r="UIU538" s="501"/>
      <c r="UIV538" s="501"/>
      <c r="UIW538" s="501"/>
      <c r="UIX538" s="501"/>
      <c r="UIY538" s="501"/>
      <c r="UIZ538" s="501"/>
      <c r="UJA538" s="501"/>
      <c r="UJB538" s="501"/>
      <c r="UJC538" s="501"/>
      <c r="UJD538" s="501"/>
      <c r="UJE538" s="501"/>
      <c r="UJF538" s="501"/>
      <c r="UJG538" s="501"/>
      <c r="UJH538" s="501"/>
      <c r="UJI538" s="501"/>
      <c r="UJJ538" s="501"/>
      <c r="UJK538" s="501"/>
      <c r="UJL538" s="501"/>
      <c r="UJM538" s="501"/>
      <c r="UJN538" s="501"/>
      <c r="UJO538" s="501"/>
      <c r="UJP538" s="501"/>
      <c r="UJQ538" s="501"/>
      <c r="UJR538" s="501"/>
      <c r="UJS538" s="501"/>
      <c r="UJT538" s="501"/>
      <c r="UJU538" s="501"/>
      <c r="UJV538" s="501"/>
      <c r="UJW538" s="501"/>
      <c r="UJX538" s="501"/>
      <c r="UJY538" s="501"/>
      <c r="UJZ538" s="501"/>
      <c r="UKA538" s="501"/>
      <c r="UKB538" s="501"/>
      <c r="UKC538" s="501"/>
      <c r="UKD538" s="501"/>
      <c r="UKE538" s="501"/>
      <c r="UKF538" s="501"/>
      <c r="UKG538" s="501"/>
      <c r="UKH538" s="501"/>
      <c r="UKI538" s="501"/>
      <c r="UKJ538" s="501"/>
      <c r="UKK538" s="501"/>
      <c r="UKL538" s="501"/>
      <c r="UKM538" s="501"/>
      <c r="UKN538" s="501"/>
      <c r="UKO538" s="501"/>
      <c r="UKP538" s="501"/>
      <c r="UKQ538" s="501"/>
      <c r="UKR538" s="501"/>
      <c r="UKS538" s="501"/>
      <c r="UKT538" s="501"/>
      <c r="UKU538" s="501"/>
      <c r="UKV538" s="501"/>
      <c r="UKW538" s="501"/>
      <c r="UKX538" s="501"/>
      <c r="UKY538" s="501"/>
      <c r="UKZ538" s="501"/>
      <c r="ULA538" s="501"/>
      <c r="ULB538" s="501"/>
      <c r="ULC538" s="501"/>
      <c r="ULD538" s="501"/>
      <c r="ULE538" s="501"/>
      <c r="ULF538" s="501"/>
      <c r="ULG538" s="501"/>
      <c r="ULH538" s="501"/>
      <c r="ULI538" s="501"/>
      <c r="ULJ538" s="501"/>
      <c r="ULK538" s="501"/>
      <c r="ULL538" s="501"/>
      <c r="ULM538" s="501"/>
      <c r="ULN538" s="501"/>
      <c r="ULO538" s="501"/>
      <c r="ULP538" s="501"/>
      <c r="ULQ538" s="501"/>
      <c r="ULR538" s="501"/>
      <c r="ULS538" s="501"/>
      <c r="ULT538" s="501"/>
      <c r="ULU538" s="501"/>
      <c r="ULV538" s="501"/>
      <c r="ULW538" s="501"/>
      <c r="ULX538" s="501"/>
      <c r="ULY538" s="501"/>
      <c r="ULZ538" s="501"/>
      <c r="UMA538" s="501"/>
      <c r="UMB538" s="501"/>
      <c r="UMC538" s="501"/>
      <c r="UMD538" s="501"/>
      <c r="UME538" s="501"/>
      <c r="UMF538" s="501"/>
      <c r="UMG538" s="501"/>
      <c r="UMH538" s="501"/>
      <c r="UMI538" s="501"/>
      <c r="UMJ538" s="501"/>
      <c r="UMK538" s="501"/>
      <c r="UML538" s="501"/>
      <c r="UMM538" s="501"/>
      <c r="UMN538" s="501"/>
      <c r="UMO538" s="501"/>
      <c r="UMP538" s="501"/>
      <c r="UMQ538" s="501"/>
      <c r="UMR538" s="501"/>
      <c r="UMS538" s="501"/>
      <c r="UMT538" s="501"/>
      <c r="UMU538" s="501"/>
      <c r="UMV538" s="501"/>
      <c r="UMW538" s="501"/>
      <c r="UMX538" s="501"/>
      <c r="UMY538" s="501"/>
      <c r="UMZ538" s="501"/>
      <c r="UNA538" s="501"/>
      <c r="UNB538" s="501"/>
      <c r="UNC538" s="501"/>
      <c r="UND538" s="501"/>
      <c r="UNE538" s="501"/>
      <c r="UNF538" s="501"/>
      <c r="UNG538" s="501"/>
      <c r="UNH538" s="501"/>
      <c r="UNI538" s="501"/>
      <c r="UNJ538" s="501"/>
      <c r="UNK538" s="501"/>
      <c r="UNL538" s="501"/>
      <c r="UNM538" s="501"/>
      <c r="UNN538" s="501"/>
      <c r="UNO538" s="501"/>
      <c r="UNP538" s="501"/>
      <c r="UNQ538" s="501"/>
      <c r="UNR538" s="501"/>
      <c r="UNS538" s="501"/>
      <c r="UNT538" s="501"/>
      <c r="UNU538" s="501"/>
      <c r="UNV538" s="501"/>
      <c r="UNW538" s="501"/>
      <c r="UNX538" s="501"/>
      <c r="UNY538" s="501"/>
      <c r="UNZ538" s="501"/>
      <c r="UOA538" s="501"/>
      <c r="UOB538" s="501"/>
      <c r="UOC538" s="501"/>
      <c r="UOD538" s="501"/>
      <c r="UOE538" s="501"/>
      <c r="UOF538" s="501"/>
      <c r="UOG538" s="501"/>
      <c r="UOH538" s="501"/>
      <c r="UOI538" s="501"/>
      <c r="UOJ538" s="501"/>
      <c r="UOK538" s="501"/>
      <c r="UOL538" s="501"/>
      <c r="UOM538" s="501"/>
      <c r="UON538" s="501"/>
      <c r="UOO538" s="501"/>
      <c r="UOP538" s="501"/>
      <c r="UOQ538" s="501"/>
      <c r="UOR538" s="501"/>
      <c r="UOS538" s="501"/>
      <c r="UOT538" s="501"/>
      <c r="UOU538" s="501"/>
      <c r="UOV538" s="501"/>
      <c r="UOW538" s="501"/>
      <c r="UOX538" s="501"/>
      <c r="UOY538" s="501"/>
      <c r="UOZ538" s="501"/>
      <c r="UPA538" s="501"/>
      <c r="UPB538" s="501"/>
      <c r="UPC538" s="501"/>
      <c r="UPD538" s="501"/>
      <c r="UPE538" s="501"/>
      <c r="UPF538" s="501"/>
      <c r="UPG538" s="501"/>
      <c r="UPH538" s="501"/>
      <c r="UPI538" s="501"/>
      <c r="UPJ538" s="501"/>
      <c r="UPK538" s="501"/>
      <c r="UPL538" s="501"/>
      <c r="UPM538" s="501"/>
      <c r="UPN538" s="501"/>
      <c r="UPO538" s="501"/>
      <c r="UPP538" s="501"/>
      <c r="UPQ538" s="501"/>
      <c r="UPR538" s="501"/>
      <c r="UPS538" s="501"/>
      <c r="UPT538" s="501"/>
      <c r="UPU538" s="501"/>
      <c r="UPV538" s="501"/>
      <c r="UPW538" s="501"/>
      <c r="UPX538" s="501"/>
      <c r="UPY538" s="501"/>
      <c r="UPZ538" s="501"/>
      <c r="UQA538" s="501"/>
      <c r="UQB538" s="501"/>
      <c r="UQC538" s="501"/>
      <c r="UQD538" s="501"/>
      <c r="UQE538" s="501"/>
      <c r="UQF538" s="501"/>
      <c r="UQG538" s="501"/>
      <c r="UQH538" s="501"/>
      <c r="UQI538" s="501"/>
      <c r="UQJ538" s="501"/>
      <c r="UQK538" s="501"/>
      <c r="UQL538" s="501"/>
      <c r="UQM538" s="501"/>
      <c r="UQN538" s="501"/>
      <c r="UQO538" s="501"/>
      <c r="UQP538" s="501"/>
      <c r="UQQ538" s="501"/>
      <c r="UQR538" s="501"/>
      <c r="UQS538" s="501"/>
      <c r="UQT538" s="501"/>
      <c r="UQU538" s="501"/>
      <c r="UQV538" s="501"/>
      <c r="UQW538" s="501"/>
      <c r="UQX538" s="501"/>
      <c r="UQY538" s="501"/>
      <c r="UQZ538" s="501"/>
      <c r="URA538" s="501"/>
      <c r="URB538" s="501"/>
      <c r="URC538" s="501"/>
      <c r="URD538" s="501"/>
      <c r="URE538" s="501"/>
      <c r="URF538" s="501"/>
      <c r="URG538" s="501"/>
      <c r="URH538" s="501"/>
      <c r="URI538" s="501"/>
      <c r="URJ538" s="501"/>
      <c r="URK538" s="501"/>
      <c r="URL538" s="501"/>
      <c r="URM538" s="501"/>
      <c r="URN538" s="501"/>
      <c r="URO538" s="501"/>
      <c r="URP538" s="501"/>
      <c r="URQ538" s="501"/>
      <c r="URR538" s="501"/>
      <c r="URS538" s="501"/>
      <c r="URT538" s="501"/>
      <c r="URU538" s="501"/>
      <c r="URV538" s="501"/>
      <c r="URW538" s="501"/>
      <c r="URX538" s="501"/>
      <c r="URY538" s="501"/>
      <c r="URZ538" s="501"/>
      <c r="USA538" s="501"/>
      <c r="USB538" s="501"/>
      <c r="USC538" s="501"/>
      <c r="USD538" s="501"/>
      <c r="USE538" s="501"/>
      <c r="USF538" s="501"/>
      <c r="USG538" s="501"/>
      <c r="USH538" s="501"/>
      <c r="USI538" s="501"/>
      <c r="USJ538" s="501"/>
      <c r="USK538" s="501"/>
      <c r="USL538" s="501"/>
      <c r="USM538" s="501"/>
      <c r="USN538" s="501"/>
      <c r="USO538" s="501"/>
      <c r="USP538" s="501"/>
      <c r="USQ538" s="501"/>
      <c r="USR538" s="501"/>
      <c r="USS538" s="501"/>
      <c r="UST538" s="501"/>
      <c r="USU538" s="501"/>
      <c r="USV538" s="501"/>
      <c r="USW538" s="501"/>
      <c r="USX538" s="501"/>
      <c r="USY538" s="501"/>
      <c r="USZ538" s="501"/>
      <c r="UTA538" s="501"/>
      <c r="UTB538" s="501"/>
      <c r="UTC538" s="501"/>
      <c r="UTD538" s="501"/>
      <c r="UTE538" s="501"/>
      <c r="UTF538" s="501"/>
      <c r="UTG538" s="501"/>
      <c r="UTH538" s="501"/>
      <c r="UTI538" s="501"/>
      <c r="UTJ538" s="501"/>
      <c r="UTK538" s="501"/>
      <c r="UTL538" s="501"/>
      <c r="UTM538" s="501"/>
      <c r="UTN538" s="501"/>
      <c r="UTO538" s="501"/>
      <c r="UTP538" s="501"/>
      <c r="UTQ538" s="501"/>
      <c r="UTR538" s="501"/>
      <c r="UTS538" s="501"/>
      <c r="UTT538" s="501"/>
      <c r="UTU538" s="501"/>
      <c r="UTV538" s="501"/>
      <c r="UTW538" s="501"/>
      <c r="UTX538" s="501"/>
      <c r="UTY538" s="501"/>
      <c r="UTZ538" s="501"/>
      <c r="UUA538" s="501"/>
      <c r="UUB538" s="501"/>
      <c r="UUC538" s="501"/>
      <c r="UUD538" s="501"/>
      <c r="UUE538" s="501"/>
      <c r="UUF538" s="501"/>
      <c r="UUG538" s="501"/>
      <c r="UUH538" s="501"/>
      <c r="UUI538" s="501"/>
      <c r="UUJ538" s="501"/>
      <c r="UUK538" s="501"/>
      <c r="UUL538" s="501"/>
      <c r="UUM538" s="501"/>
      <c r="UUN538" s="501"/>
      <c r="UUO538" s="501"/>
      <c r="UUP538" s="501"/>
      <c r="UUQ538" s="501"/>
      <c r="UUR538" s="501"/>
      <c r="UUS538" s="501"/>
      <c r="UUT538" s="501"/>
      <c r="UUU538" s="501"/>
      <c r="UUV538" s="501"/>
      <c r="UUW538" s="501"/>
      <c r="UUX538" s="501"/>
      <c r="UUY538" s="501"/>
      <c r="UUZ538" s="501"/>
      <c r="UVA538" s="501"/>
      <c r="UVB538" s="501"/>
      <c r="UVC538" s="501"/>
      <c r="UVD538" s="501"/>
      <c r="UVE538" s="501"/>
      <c r="UVF538" s="501"/>
      <c r="UVG538" s="501"/>
      <c r="UVH538" s="501"/>
      <c r="UVI538" s="501"/>
      <c r="UVJ538" s="501"/>
      <c r="UVK538" s="501"/>
      <c r="UVL538" s="501"/>
      <c r="UVM538" s="501"/>
      <c r="UVN538" s="501"/>
      <c r="UVO538" s="501"/>
      <c r="UVP538" s="501"/>
      <c r="UVQ538" s="501"/>
      <c r="UVR538" s="501"/>
      <c r="UVS538" s="501"/>
      <c r="UVT538" s="501"/>
      <c r="UVU538" s="501"/>
      <c r="UVV538" s="501"/>
      <c r="UVW538" s="501"/>
      <c r="UVX538" s="501"/>
      <c r="UVY538" s="501"/>
      <c r="UVZ538" s="501"/>
      <c r="UWA538" s="501"/>
      <c r="UWB538" s="501"/>
      <c r="UWC538" s="501"/>
      <c r="UWD538" s="501"/>
      <c r="UWE538" s="501"/>
      <c r="UWF538" s="501"/>
      <c r="UWG538" s="501"/>
      <c r="UWH538" s="501"/>
      <c r="UWI538" s="501"/>
      <c r="UWJ538" s="501"/>
      <c r="UWK538" s="501"/>
      <c r="UWL538" s="501"/>
      <c r="UWM538" s="501"/>
      <c r="UWN538" s="501"/>
      <c r="UWO538" s="501"/>
      <c r="UWP538" s="501"/>
      <c r="UWQ538" s="501"/>
      <c r="UWR538" s="501"/>
      <c r="UWS538" s="501"/>
      <c r="UWT538" s="501"/>
      <c r="UWU538" s="501"/>
      <c r="UWV538" s="501"/>
      <c r="UWW538" s="501"/>
      <c r="UWX538" s="501"/>
      <c r="UWY538" s="501"/>
      <c r="UWZ538" s="501"/>
      <c r="UXA538" s="501"/>
      <c r="UXB538" s="501"/>
      <c r="UXC538" s="501"/>
      <c r="UXD538" s="501"/>
      <c r="UXE538" s="501"/>
      <c r="UXF538" s="501"/>
      <c r="UXG538" s="501"/>
      <c r="UXH538" s="501"/>
      <c r="UXI538" s="501"/>
      <c r="UXJ538" s="501"/>
      <c r="UXK538" s="501"/>
      <c r="UXL538" s="501"/>
      <c r="UXM538" s="501"/>
      <c r="UXN538" s="501"/>
      <c r="UXO538" s="501"/>
      <c r="UXP538" s="501"/>
      <c r="UXQ538" s="501"/>
      <c r="UXR538" s="501"/>
      <c r="UXS538" s="501"/>
      <c r="UXT538" s="501"/>
      <c r="UXU538" s="501"/>
      <c r="UXV538" s="501"/>
      <c r="UXW538" s="501"/>
      <c r="UXX538" s="501"/>
      <c r="UXY538" s="501"/>
      <c r="UXZ538" s="501"/>
      <c r="UYA538" s="501"/>
      <c r="UYB538" s="501"/>
      <c r="UYC538" s="501"/>
      <c r="UYD538" s="501"/>
      <c r="UYE538" s="501"/>
      <c r="UYF538" s="501"/>
      <c r="UYG538" s="501"/>
      <c r="UYH538" s="501"/>
      <c r="UYI538" s="501"/>
      <c r="UYJ538" s="501"/>
      <c r="UYK538" s="501"/>
      <c r="UYL538" s="501"/>
      <c r="UYM538" s="501"/>
      <c r="UYN538" s="501"/>
      <c r="UYO538" s="501"/>
      <c r="UYP538" s="501"/>
      <c r="UYQ538" s="501"/>
      <c r="UYR538" s="501"/>
      <c r="UYS538" s="501"/>
      <c r="UYT538" s="501"/>
      <c r="UYU538" s="501"/>
      <c r="UYV538" s="501"/>
      <c r="UYW538" s="501"/>
      <c r="UYX538" s="501"/>
      <c r="UYY538" s="501"/>
      <c r="UYZ538" s="501"/>
      <c r="UZA538" s="501"/>
      <c r="UZB538" s="501"/>
      <c r="UZC538" s="501"/>
      <c r="UZD538" s="501"/>
      <c r="UZE538" s="501"/>
      <c r="UZF538" s="501"/>
      <c r="UZG538" s="501"/>
      <c r="UZH538" s="501"/>
      <c r="UZI538" s="501"/>
      <c r="UZJ538" s="501"/>
      <c r="UZK538" s="501"/>
      <c r="UZL538" s="501"/>
      <c r="UZM538" s="501"/>
      <c r="UZN538" s="501"/>
      <c r="UZO538" s="501"/>
      <c r="UZP538" s="501"/>
      <c r="UZQ538" s="501"/>
      <c r="UZR538" s="501"/>
      <c r="UZS538" s="501"/>
      <c r="UZT538" s="501"/>
      <c r="UZU538" s="501"/>
      <c r="UZV538" s="501"/>
      <c r="UZW538" s="501"/>
      <c r="UZX538" s="501"/>
      <c r="UZY538" s="501"/>
      <c r="UZZ538" s="501"/>
      <c r="VAA538" s="501"/>
      <c r="VAB538" s="501"/>
      <c r="VAC538" s="501"/>
      <c r="VAD538" s="501"/>
      <c r="VAE538" s="501"/>
      <c r="VAF538" s="501"/>
      <c r="VAG538" s="501"/>
      <c r="VAH538" s="501"/>
      <c r="VAI538" s="501"/>
      <c r="VAJ538" s="501"/>
      <c r="VAK538" s="501"/>
      <c r="VAL538" s="501"/>
      <c r="VAM538" s="501"/>
      <c r="VAN538" s="501"/>
      <c r="VAO538" s="501"/>
      <c r="VAP538" s="501"/>
      <c r="VAQ538" s="501"/>
      <c r="VAR538" s="501"/>
      <c r="VAS538" s="501"/>
      <c r="VAT538" s="501"/>
      <c r="VAU538" s="501"/>
      <c r="VAV538" s="501"/>
      <c r="VAW538" s="501"/>
      <c r="VAX538" s="501"/>
      <c r="VAY538" s="501"/>
      <c r="VAZ538" s="501"/>
      <c r="VBA538" s="501"/>
      <c r="VBB538" s="501"/>
      <c r="VBC538" s="501"/>
      <c r="VBD538" s="501"/>
      <c r="VBE538" s="501"/>
      <c r="VBF538" s="501"/>
      <c r="VBG538" s="501"/>
      <c r="VBH538" s="501"/>
      <c r="VBI538" s="501"/>
      <c r="VBJ538" s="501"/>
      <c r="VBK538" s="501"/>
      <c r="VBL538" s="501"/>
      <c r="VBM538" s="501"/>
      <c r="VBN538" s="501"/>
      <c r="VBO538" s="501"/>
      <c r="VBP538" s="501"/>
      <c r="VBQ538" s="501"/>
      <c r="VBR538" s="501"/>
      <c r="VBS538" s="501"/>
      <c r="VBT538" s="501"/>
      <c r="VBU538" s="501"/>
      <c r="VBV538" s="501"/>
      <c r="VBW538" s="501"/>
      <c r="VBX538" s="501"/>
      <c r="VBY538" s="501"/>
      <c r="VBZ538" s="501"/>
      <c r="VCA538" s="501"/>
      <c r="VCB538" s="501"/>
      <c r="VCC538" s="501"/>
      <c r="VCD538" s="501"/>
      <c r="VCE538" s="501"/>
      <c r="VCF538" s="501"/>
      <c r="VCG538" s="501"/>
      <c r="VCH538" s="501"/>
      <c r="VCI538" s="501"/>
      <c r="VCJ538" s="501"/>
      <c r="VCK538" s="501"/>
      <c r="VCL538" s="501"/>
      <c r="VCM538" s="501"/>
      <c r="VCN538" s="501"/>
      <c r="VCO538" s="501"/>
      <c r="VCP538" s="501"/>
      <c r="VCQ538" s="501"/>
      <c r="VCR538" s="501"/>
      <c r="VCS538" s="501"/>
      <c r="VCT538" s="501"/>
      <c r="VCU538" s="501"/>
      <c r="VCV538" s="501"/>
      <c r="VCW538" s="501"/>
      <c r="VCX538" s="501"/>
      <c r="VCY538" s="501"/>
      <c r="VCZ538" s="501"/>
      <c r="VDA538" s="501"/>
      <c r="VDB538" s="501"/>
      <c r="VDC538" s="501"/>
      <c r="VDD538" s="501"/>
      <c r="VDE538" s="501"/>
      <c r="VDF538" s="501"/>
      <c r="VDG538" s="501"/>
      <c r="VDH538" s="501"/>
      <c r="VDI538" s="501"/>
      <c r="VDJ538" s="501"/>
      <c r="VDK538" s="501"/>
      <c r="VDL538" s="501"/>
      <c r="VDM538" s="501"/>
      <c r="VDN538" s="501"/>
      <c r="VDO538" s="501"/>
      <c r="VDP538" s="501"/>
      <c r="VDQ538" s="501"/>
      <c r="VDR538" s="501"/>
      <c r="VDS538" s="501"/>
      <c r="VDT538" s="501"/>
      <c r="VDU538" s="501"/>
      <c r="VDV538" s="501"/>
      <c r="VDW538" s="501"/>
      <c r="VDX538" s="501"/>
      <c r="VDY538" s="501"/>
      <c r="VDZ538" s="501"/>
      <c r="VEA538" s="501"/>
      <c r="VEB538" s="501"/>
      <c r="VEC538" s="501"/>
      <c r="VED538" s="501"/>
      <c r="VEE538" s="501"/>
      <c r="VEF538" s="501"/>
      <c r="VEG538" s="501"/>
      <c r="VEH538" s="501"/>
      <c r="VEI538" s="501"/>
      <c r="VEJ538" s="501"/>
      <c r="VEK538" s="501"/>
      <c r="VEL538" s="501"/>
      <c r="VEM538" s="501"/>
      <c r="VEN538" s="501"/>
      <c r="VEO538" s="501"/>
      <c r="VEP538" s="501"/>
      <c r="VEQ538" s="501"/>
      <c r="VER538" s="501"/>
      <c r="VES538" s="501"/>
      <c r="VET538" s="501"/>
      <c r="VEU538" s="501"/>
      <c r="VEV538" s="501"/>
      <c r="VEW538" s="501"/>
      <c r="VEX538" s="501"/>
      <c r="VEY538" s="501"/>
      <c r="VEZ538" s="501"/>
      <c r="VFA538" s="501"/>
      <c r="VFB538" s="501"/>
      <c r="VFC538" s="501"/>
      <c r="VFD538" s="501"/>
      <c r="VFE538" s="501"/>
      <c r="VFF538" s="501"/>
      <c r="VFG538" s="501"/>
      <c r="VFH538" s="501"/>
      <c r="VFI538" s="501"/>
      <c r="VFJ538" s="501"/>
      <c r="VFK538" s="501"/>
      <c r="VFL538" s="501"/>
      <c r="VFM538" s="501"/>
      <c r="VFN538" s="501"/>
      <c r="VFO538" s="501"/>
      <c r="VFP538" s="501"/>
      <c r="VFQ538" s="501"/>
      <c r="VFR538" s="501"/>
      <c r="VFS538" s="501"/>
      <c r="VFT538" s="501"/>
      <c r="VFU538" s="501"/>
      <c r="VFV538" s="501"/>
      <c r="VFW538" s="501"/>
      <c r="VFX538" s="501"/>
      <c r="VFY538" s="501"/>
      <c r="VFZ538" s="501"/>
      <c r="VGA538" s="501"/>
      <c r="VGB538" s="501"/>
      <c r="VGC538" s="501"/>
      <c r="VGD538" s="501"/>
      <c r="VGE538" s="501"/>
      <c r="VGF538" s="501"/>
      <c r="VGG538" s="501"/>
      <c r="VGH538" s="501"/>
      <c r="VGI538" s="501"/>
      <c r="VGJ538" s="501"/>
      <c r="VGK538" s="501"/>
      <c r="VGL538" s="501"/>
      <c r="VGM538" s="501"/>
      <c r="VGN538" s="501"/>
      <c r="VGO538" s="501"/>
      <c r="VGP538" s="501"/>
      <c r="VGQ538" s="501"/>
      <c r="VGR538" s="501"/>
      <c r="VGS538" s="501"/>
      <c r="VGT538" s="501"/>
      <c r="VGU538" s="501"/>
      <c r="VGV538" s="501"/>
      <c r="VGW538" s="501"/>
      <c r="VGX538" s="501"/>
      <c r="VGY538" s="501"/>
      <c r="VGZ538" s="501"/>
      <c r="VHA538" s="501"/>
      <c r="VHB538" s="501"/>
      <c r="VHC538" s="501"/>
      <c r="VHD538" s="501"/>
      <c r="VHE538" s="501"/>
      <c r="VHF538" s="501"/>
      <c r="VHG538" s="501"/>
      <c r="VHH538" s="501"/>
      <c r="VHI538" s="501"/>
      <c r="VHJ538" s="501"/>
      <c r="VHK538" s="501"/>
      <c r="VHL538" s="501"/>
      <c r="VHM538" s="501"/>
      <c r="VHN538" s="501"/>
      <c r="VHO538" s="501"/>
      <c r="VHP538" s="501"/>
      <c r="VHQ538" s="501"/>
      <c r="VHR538" s="501"/>
      <c r="VHS538" s="501"/>
      <c r="VHT538" s="501"/>
      <c r="VHU538" s="501"/>
      <c r="VHV538" s="501"/>
      <c r="VHW538" s="501"/>
      <c r="VHX538" s="501"/>
      <c r="VHY538" s="501"/>
      <c r="VHZ538" s="501"/>
      <c r="VIA538" s="501"/>
      <c r="VIB538" s="501"/>
      <c r="VIC538" s="501"/>
      <c r="VID538" s="501"/>
      <c r="VIE538" s="501"/>
      <c r="VIF538" s="501"/>
      <c r="VIG538" s="501"/>
      <c r="VIH538" s="501"/>
      <c r="VII538" s="501"/>
      <c r="VIJ538" s="501"/>
      <c r="VIK538" s="501"/>
      <c r="VIL538" s="501"/>
      <c r="VIM538" s="501"/>
      <c r="VIN538" s="501"/>
      <c r="VIO538" s="501"/>
      <c r="VIP538" s="501"/>
      <c r="VIQ538" s="501"/>
      <c r="VIR538" s="501"/>
      <c r="VIS538" s="501"/>
      <c r="VIT538" s="501"/>
      <c r="VIU538" s="501"/>
      <c r="VIV538" s="501"/>
      <c r="VIW538" s="501"/>
      <c r="VIX538" s="501"/>
      <c r="VIY538" s="501"/>
      <c r="VIZ538" s="501"/>
      <c r="VJA538" s="501"/>
      <c r="VJB538" s="501"/>
      <c r="VJC538" s="501"/>
      <c r="VJD538" s="501"/>
      <c r="VJE538" s="501"/>
      <c r="VJF538" s="501"/>
      <c r="VJG538" s="501"/>
      <c r="VJH538" s="501"/>
      <c r="VJI538" s="501"/>
      <c r="VJJ538" s="501"/>
      <c r="VJK538" s="501"/>
      <c r="VJL538" s="501"/>
      <c r="VJM538" s="501"/>
      <c r="VJN538" s="501"/>
      <c r="VJO538" s="501"/>
      <c r="VJP538" s="501"/>
      <c r="VJQ538" s="501"/>
      <c r="VJR538" s="501"/>
      <c r="VJS538" s="501"/>
      <c r="VJT538" s="501"/>
      <c r="VJU538" s="501"/>
      <c r="VJV538" s="501"/>
      <c r="VJW538" s="501"/>
      <c r="VJX538" s="501"/>
      <c r="VJY538" s="501"/>
      <c r="VJZ538" s="501"/>
      <c r="VKA538" s="501"/>
      <c r="VKB538" s="501"/>
      <c r="VKC538" s="501"/>
      <c r="VKD538" s="501"/>
      <c r="VKE538" s="501"/>
      <c r="VKF538" s="501"/>
      <c r="VKG538" s="501"/>
      <c r="VKH538" s="501"/>
      <c r="VKI538" s="501"/>
      <c r="VKJ538" s="501"/>
      <c r="VKK538" s="501"/>
      <c r="VKL538" s="501"/>
      <c r="VKM538" s="501"/>
      <c r="VKN538" s="501"/>
      <c r="VKO538" s="501"/>
      <c r="VKP538" s="501"/>
      <c r="VKQ538" s="501"/>
      <c r="VKR538" s="501"/>
      <c r="VKS538" s="501"/>
      <c r="VKT538" s="501"/>
      <c r="VKU538" s="501"/>
      <c r="VKV538" s="501"/>
      <c r="VKW538" s="501"/>
      <c r="VKX538" s="501"/>
      <c r="VKY538" s="501"/>
      <c r="VKZ538" s="501"/>
      <c r="VLA538" s="501"/>
      <c r="VLB538" s="501"/>
      <c r="VLC538" s="501"/>
      <c r="VLD538" s="501"/>
      <c r="VLE538" s="501"/>
      <c r="VLF538" s="501"/>
      <c r="VLG538" s="501"/>
      <c r="VLH538" s="501"/>
      <c r="VLI538" s="501"/>
      <c r="VLJ538" s="501"/>
      <c r="VLK538" s="501"/>
      <c r="VLL538" s="501"/>
      <c r="VLM538" s="501"/>
      <c r="VLN538" s="501"/>
      <c r="VLO538" s="501"/>
      <c r="VLP538" s="501"/>
      <c r="VLQ538" s="501"/>
      <c r="VLR538" s="501"/>
      <c r="VLS538" s="501"/>
      <c r="VLT538" s="501"/>
      <c r="VLU538" s="501"/>
      <c r="VLV538" s="501"/>
      <c r="VLW538" s="501"/>
      <c r="VLX538" s="501"/>
      <c r="VLY538" s="501"/>
      <c r="VLZ538" s="501"/>
      <c r="VMA538" s="501"/>
      <c r="VMB538" s="501"/>
      <c r="VMC538" s="501"/>
      <c r="VMD538" s="501"/>
      <c r="VME538" s="501"/>
      <c r="VMF538" s="501"/>
      <c r="VMG538" s="501"/>
      <c r="VMH538" s="501"/>
      <c r="VMI538" s="501"/>
      <c r="VMJ538" s="501"/>
      <c r="VMK538" s="501"/>
      <c r="VML538" s="501"/>
      <c r="VMM538" s="501"/>
      <c r="VMN538" s="501"/>
      <c r="VMO538" s="501"/>
      <c r="VMP538" s="501"/>
      <c r="VMQ538" s="501"/>
      <c r="VMR538" s="501"/>
      <c r="VMS538" s="501"/>
      <c r="VMT538" s="501"/>
      <c r="VMU538" s="501"/>
      <c r="VMV538" s="501"/>
      <c r="VMW538" s="501"/>
      <c r="VMX538" s="501"/>
      <c r="VMY538" s="501"/>
      <c r="VMZ538" s="501"/>
      <c r="VNA538" s="501"/>
      <c r="VNB538" s="501"/>
      <c r="VNC538" s="501"/>
      <c r="VND538" s="501"/>
      <c r="VNE538" s="501"/>
      <c r="VNF538" s="501"/>
      <c r="VNG538" s="501"/>
      <c r="VNH538" s="501"/>
      <c r="VNI538" s="501"/>
      <c r="VNJ538" s="501"/>
      <c r="VNK538" s="501"/>
      <c r="VNL538" s="501"/>
      <c r="VNM538" s="501"/>
      <c r="VNN538" s="501"/>
      <c r="VNO538" s="501"/>
      <c r="VNP538" s="501"/>
      <c r="VNQ538" s="501"/>
      <c r="VNR538" s="501"/>
      <c r="VNS538" s="501"/>
      <c r="VNT538" s="501"/>
      <c r="VNU538" s="501"/>
      <c r="VNV538" s="501"/>
      <c r="VNW538" s="501"/>
      <c r="VNX538" s="501"/>
      <c r="VNY538" s="501"/>
      <c r="VNZ538" s="501"/>
      <c r="VOA538" s="501"/>
      <c r="VOB538" s="501"/>
      <c r="VOC538" s="501"/>
      <c r="VOD538" s="501"/>
      <c r="VOE538" s="501"/>
      <c r="VOF538" s="501"/>
      <c r="VOG538" s="501"/>
      <c r="VOH538" s="501"/>
      <c r="VOI538" s="501"/>
      <c r="VOJ538" s="501"/>
      <c r="VOK538" s="501"/>
      <c r="VOL538" s="501"/>
      <c r="VOM538" s="501"/>
      <c r="VON538" s="501"/>
      <c r="VOO538" s="501"/>
      <c r="VOP538" s="501"/>
      <c r="VOQ538" s="501"/>
      <c r="VOR538" s="501"/>
      <c r="VOS538" s="501"/>
      <c r="VOT538" s="501"/>
      <c r="VOU538" s="501"/>
      <c r="VOV538" s="501"/>
      <c r="VOW538" s="501"/>
      <c r="VOX538" s="501"/>
      <c r="VOY538" s="501"/>
      <c r="VOZ538" s="501"/>
      <c r="VPA538" s="501"/>
      <c r="VPB538" s="501"/>
      <c r="VPC538" s="501"/>
      <c r="VPD538" s="501"/>
      <c r="VPE538" s="501"/>
      <c r="VPF538" s="501"/>
      <c r="VPG538" s="501"/>
      <c r="VPH538" s="501"/>
      <c r="VPI538" s="501"/>
      <c r="VPJ538" s="501"/>
      <c r="VPK538" s="501"/>
      <c r="VPL538" s="501"/>
      <c r="VPM538" s="501"/>
      <c r="VPN538" s="501"/>
      <c r="VPO538" s="501"/>
      <c r="VPP538" s="501"/>
      <c r="VPQ538" s="501"/>
      <c r="VPR538" s="501"/>
      <c r="VPS538" s="501"/>
      <c r="VPT538" s="501"/>
      <c r="VPU538" s="501"/>
      <c r="VPV538" s="501"/>
      <c r="VPW538" s="501"/>
      <c r="VPX538" s="501"/>
      <c r="VPY538" s="501"/>
      <c r="VPZ538" s="501"/>
      <c r="VQA538" s="501"/>
      <c r="VQB538" s="501"/>
      <c r="VQC538" s="501"/>
      <c r="VQD538" s="501"/>
      <c r="VQE538" s="501"/>
      <c r="VQF538" s="501"/>
      <c r="VQG538" s="501"/>
      <c r="VQH538" s="501"/>
      <c r="VQI538" s="501"/>
      <c r="VQJ538" s="501"/>
      <c r="VQK538" s="501"/>
      <c r="VQL538" s="501"/>
      <c r="VQM538" s="501"/>
      <c r="VQN538" s="501"/>
      <c r="VQO538" s="501"/>
      <c r="VQP538" s="501"/>
      <c r="VQQ538" s="501"/>
      <c r="VQR538" s="501"/>
      <c r="VQS538" s="501"/>
      <c r="VQT538" s="501"/>
      <c r="VQU538" s="501"/>
      <c r="VQV538" s="501"/>
      <c r="VQW538" s="501"/>
      <c r="VQX538" s="501"/>
      <c r="VQY538" s="501"/>
      <c r="VQZ538" s="501"/>
      <c r="VRA538" s="501"/>
      <c r="VRB538" s="501"/>
      <c r="VRC538" s="501"/>
      <c r="VRD538" s="501"/>
      <c r="VRE538" s="501"/>
      <c r="VRF538" s="501"/>
      <c r="VRG538" s="501"/>
      <c r="VRH538" s="501"/>
      <c r="VRI538" s="501"/>
      <c r="VRJ538" s="501"/>
      <c r="VRK538" s="501"/>
      <c r="VRL538" s="501"/>
      <c r="VRM538" s="501"/>
      <c r="VRN538" s="501"/>
      <c r="VRO538" s="501"/>
      <c r="VRP538" s="501"/>
      <c r="VRQ538" s="501"/>
      <c r="VRR538" s="501"/>
      <c r="VRS538" s="501"/>
      <c r="VRT538" s="501"/>
      <c r="VRU538" s="501"/>
      <c r="VRV538" s="501"/>
      <c r="VRW538" s="501"/>
      <c r="VRX538" s="501"/>
      <c r="VRY538" s="501"/>
      <c r="VRZ538" s="501"/>
      <c r="VSA538" s="501"/>
      <c r="VSB538" s="501"/>
      <c r="VSC538" s="501"/>
      <c r="VSD538" s="501"/>
      <c r="VSE538" s="501"/>
      <c r="VSF538" s="501"/>
      <c r="VSG538" s="501"/>
      <c r="VSH538" s="501"/>
      <c r="VSI538" s="501"/>
      <c r="VSJ538" s="501"/>
      <c r="VSK538" s="501"/>
      <c r="VSL538" s="501"/>
      <c r="VSM538" s="501"/>
      <c r="VSN538" s="501"/>
      <c r="VSO538" s="501"/>
      <c r="VSP538" s="501"/>
      <c r="VSQ538" s="501"/>
      <c r="VSR538" s="501"/>
      <c r="VSS538" s="501"/>
      <c r="VST538" s="501"/>
      <c r="VSU538" s="501"/>
      <c r="VSV538" s="501"/>
      <c r="VSW538" s="501"/>
      <c r="VSX538" s="501"/>
      <c r="VSY538" s="501"/>
      <c r="VSZ538" s="501"/>
      <c r="VTA538" s="501"/>
      <c r="VTB538" s="501"/>
      <c r="VTC538" s="501"/>
      <c r="VTD538" s="501"/>
      <c r="VTE538" s="501"/>
      <c r="VTF538" s="501"/>
      <c r="VTG538" s="501"/>
      <c r="VTH538" s="501"/>
      <c r="VTI538" s="501"/>
      <c r="VTJ538" s="501"/>
      <c r="VTK538" s="501"/>
      <c r="VTL538" s="501"/>
      <c r="VTM538" s="501"/>
      <c r="VTN538" s="501"/>
      <c r="VTO538" s="501"/>
      <c r="VTP538" s="501"/>
      <c r="VTQ538" s="501"/>
      <c r="VTR538" s="501"/>
      <c r="VTS538" s="501"/>
      <c r="VTT538" s="501"/>
      <c r="VTU538" s="501"/>
      <c r="VTV538" s="501"/>
      <c r="VTW538" s="501"/>
      <c r="VTX538" s="501"/>
      <c r="VTY538" s="501"/>
      <c r="VTZ538" s="501"/>
      <c r="VUA538" s="501"/>
      <c r="VUB538" s="501"/>
      <c r="VUC538" s="501"/>
      <c r="VUD538" s="501"/>
      <c r="VUE538" s="501"/>
      <c r="VUF538" s="501"/>
      <c r="VUG538" s="501"/>
      <c r="VUH538" s="501"/>
      <c r="VUI538" s="501"/>
      <c r="VUJ538" s="501"/>
      <c r="VUK538" s="501"/>
      <c r="VUL538" s="501"/>
      <c r="VUM538" s="501"/>
      <c r="VUN538" s="501"/>
      <c r="VUO538" s="501"/>
      <c r="VUP538" s="501"/>
      <c r="VUQ538" s="501"/>
      <c r="VUR538" s="501"/>
      <c r="VUS538" s="501"/>
      <c r="VUT538" s="501"/>
      <c r="VUU538" s="501"/>
      <c r="VUV538" s="501"/>
      <c r="VUW538" s="501"/>
      <c r="VUX538" s="501"/>
      <c r="VUY538" s="501"/>
      <c r="VUZ538" s="501"/>
      <c r="VVA538" s="501"/>
      <c r="VVB538" s="501"/>
      <c r="VVC538" s="501"/>
      <c r="VVD538" s="501"/>
      <c r="VVE538" s="501"/>
      <c r="VVF538" s="501"/>
      <c r="VVG538" s="501"/>
      <c r="VVH538" s="501"/>
      <c r="VVI538" s="501"/>
      <c r="VVJ538" s="501"/>
      <c r="VVK538" s="501"/>
      <c r="VVL538" s="501"/>
      <c r="VVM538" s="501"/>
      <c r="VVN538" s="501"/>
      <c r="VVO538" s="501"/>
      <c r="VVP538" s="501"/>
      <c r="VVQ538" s="501"/>
      <c r="VVR538" s="501"/>
      <c r="VVS538" s="501"/>
      <c r="VVT538" s="501"/>
      <c r="VVU538" s="501"/>
      <c r="VVV538" s="501"/>
      <c r="VVW538" s="501"/>
      <c r="VVX538" s="501"/>
      <c r="VVY538" s="501"/>
      <c r="VVZ538" s="501"/>
      <c r="VWA538" s="501"/>
      <c r="VWB538" s="501"/>
      <c r="VWC538" s="501"/>
      <c r="VWD538" s="501"/>
      <c r="VWE538" s="501"/>
      <c r="VWF538" s="501"/>
      <c r="VWG538" s="501"/>
      <c r="VWH538" s="501"/>
      <c r="VWI538" s="501"/>
      <c r="VWJ538" s="501"/>
      <c r="VWK538" s="501"/>
      <c r="VWL538" s="501"/>
      <c r="VWM538" s="501"/>
      <c r="VWN538" s="501"/>
      <c r="VWO538" s="501"/>
      <c r="VWP538" s="501"/>
      <c r="VWQ538" s="501"/>
      <c r="VWR538" s="501"/>
      <c r="VWS538" s="501"/>
      <c r="VWT538" s="501"/>
      <c r="VWU538" s="501"/>
      <c r="VWV538" s="501"/>
      <c r="VWW538" s="501"/>
      <c r="VWX538" s="501"/>
      <c r="VWY538" s="501"/>
      <c r="VWZ538" s="501"/>
      <c r="VXA538" s="501"/>
      <c r="VXB538" s="501"/>
      <c r="VXC538" s="501"/>
      <c r="VXD538" s="501"/>
      <c r="VXE538" s="501"/>
      <c r="VXF538" s="501"/>
      <c r="VXG538" s="501"/>
      <c r="VXH538" s="501"/>
      <c r="VXI538" s="501"/>
      <c r="VXJ538" s="501"/>
      <c r="VXK538" s="501"/>
      <c r="VXL538" s="501"/>
      <c r="VXM538" s="501"/>
      <c r="VXN538" s="501"/>
      <c r="VXO538" s="501"/>
      <c r="VXP538" s="501"/>
      <c r="VXQ538" s="501"/>
      <c r="VXR538" s="501"/>
      <c r="VXS538" s="501"/>
      <c r="VXT538" s="501"/>
      <c r="VXU538" s="501"/>
      <c r="VXV538" s="501"/>
      <c r="VXW538" s="501"/>
      <c r="VXX538" s="501"/>
      <c r="VXY538" s="501"/>
      <c r="VXZ538" s="501"/>
      <c r="VYA538" s="501"/>
      <c r="VYB538" s="501"/>
      <c r="VYC538" s="501"/>
      <c r="VYD538" s="501"/>
      <c r="VYE538" s="501"/>
      <c r="VYF538" s="501"/>
      <c r="VYG538" s="501"/>
      <c r="VYH538" s="501"/>
      <c r="VYI538" s="501"/>
      <c r="VYJ538" s="501"/>
      <c r="VYK538" s="501"/>
      <c r="VYL538" s="501"/>
      <c r="VYM538" s="501"/>
      <c r="VYN538" s="501"/>
      <c r="VYO538" s="501"/>
      <c r="VYP538" s="501"/>
      <c r="VYQ538" s="501"/>
      <c r="VYR538" s="501"/>
      <c r="VYS538" s="501"/>
      <c r="VYT538" s="501"/>
      <c r="VYU538" s="501"/>
      <c r="VYV538" s="501"/>
      <c r="VYW538" s="501"/>
      <c r="VYX538" s="501"/>
      <c r="VYY538" s="501"/>
      <c r="VYZ538" s="501"/>
      <c r="VZA538" s="501"/>
      <c r="VZB538" s="501"/>
      <c r="VZC538" s="501"/>
      <c r="VZD538" s="501"/>
      <c r="VZE538" s="501"/>
      <c r="VZF538" s="501"/>
      <c r="VZG538" s="501"/>
      <c r="VZH538" s="501"/>
      <c r="VZI538" s="501"/>
      <c r="VZJ538" s="501"/>
      <c r="VZK538" s="501"/>
      <c r="VZL538" s="501"/>
      <c r="VZM538" s="501"/>
      <c r="VZN538" s="501"/>
      <c r="VZO538" s="501"/>
      <c r="VZP538" s="501"/>
      <c r="VZQ538" s="501"/>
      <c r="VZR538" s="501"/>
      <c r="VZS538" s="501"/>
      <c r="VZT538" s="501"/>
      <c r="VZU538" s="501"/>
      <c r="VZV538" s="501"/>
      <c r="VZW538" s="501"/>
      <c r="VZX538" s="501"/>
      <c r="VZY538" s="501"/>
      <c r="VZZ538" s="501"/>
      <c r="WAA538" s="501"/>
      <c r="WAB538" s="501"/>
      <c r="WAC538" s="501"/>
      <c r="WAD538" s="501"/>
      <c r="WAE538" s="501"/>
      <c r="WAF538" s="501"/>
      <c r="WAG538" s="501"/>
      <c r="WAH538" s="501"/>
      <c r="WAI538" s="501"/>
      <c r="WAJ538" s="501"/>
      <c r="WAK538" s="501"/>
      <c r="WAL538" s="501"/>
      <c r="WAM538" s="501"/>
      <c r="WAN538" s="501"/>
      <c r="WAO538" s="501"/>
      <c r="WAP538" s="501"/>
      <c r="WAQ538" s="501"/>
      <c r="WAR538" s="501"/>
      <c r="WAS538" s="501"/>
      <c r="WAT538" s="501"/>
      <c r="WAU538" s="501"/>
      <c r="WAV538" s="501"/>
      <c r="WAW538" s="501"/>
      <c r="WAX538" s="501"/>
      <c r="WAY538" s="501"/>
      <c r="WAZ538" s="501"/>
      <c r="WBA538" s="501"/>
      <c r="WBB538" s="501"/>
      <c r="WBC538" s="501"/>
      <c r="WBD538" s="501"/>
      <c r="WBE538" s="501"/>
      <c r="WBF538" s="501"/>
      <c r="WBG538" s="501"/>
      <c r="WBH538" s="501"/>
      <c r="WBI538" s="501"/>
      <c r="WBJ538" s="501"/>
      <c r="WBK538" s="501"/>
      <c r="WBL538" s="501"/>
      <c r="WBM538" s="501"/>
      <c r="WBN538" s="501"/>
      <c r="WBO538" s="501"/>
      <c r="WBP538" s="501"/>
      <c r="WBQ538" s="501"/>
      <c r="WBR538" s="501"/>
      <c r="WBS538" s="501"/>
      <c r="WBT538" s="501"/>
      <c r="WBU538" s="501"/>
      <c r="WBV538" s="501"/>
      <c r="WBW538" s="501"/>
      <c r="WBX538" s="501"/>
      <c r="WBY538" s="501"/>
      <c r="WBZ538" s="501"/>
      <c r="WCA538" s="501"/>
      <c r="WCB538" s="501"/>
      <c r="WCC538" s="501"/>
      <c r="WCD538" s="501"/>
      <c r="WCE538" s="501"/>
      <c r="WCF538" s="501"/>
      <c r="WCG538" s="501"/>
      <c r="WCH538" s="501"/>
      <c r="WCI538" s="501"/>
      <c r="WCJ538" s="501"/>
      <c r="WCK538" s="501"/>
      <c r="WCL538" s="501"/>
      <c r="WCM538" s="501"/>
      <c r="WCN538" s="501"/>
      <c r="WCO538" s="501"/>
      <c r="WCP538" s="501"/>
      <c r="WCQ538" s="501"/>
      <c r="WCR538" s="501"/>
      <c r="WCS538" s="501"/>
      <c r="WCT538" s="501"/>
      <c r="WCU538" s="501"/>
      <c r="WCV538" s="501"/>
      <c r="WCW538" s="501"/>
      <c r="WCX538" s="501"/>
      <c r="WCY538" s="501"/>
      <c r="WCZ538" s="501"/>
      <c r="WDA538" s="501"/>
      <c r="WDB538" s="501"/>
      <c r="WDC538" s="501"/>
      <c r="WDD538" s="501"/>
      <c r="WDE538" s="501"/>
      <c r="WDF538" s="501"/>
      <c r="WDG538" s="501"/>
      <c r="WDH538" s="501"/>
      <c r="WDI538" s="501"/>
      <c r="WDJ538" s="501"/>
      <c r="WDK538" s="501"/>
      <c r="WDL538" s="501"/>
      <c r="WDM538" s="501"/>
      <c r="WDN538" s="501"/>
      <c r="WDO538" s="501"/>
      <c r="WDP538" s="501"/>
      <c r="WDQ538" s="501"/>
      <c r="WDR538" s="501"/>
      <c r="WDS538" s="501"/>
      <c r="WDT538" s="501"/>
      <c r="WDU538" s="501"/>
      <c r="WDV538" s="501"/>
      <c r="WDW538" s="501"/>
      <c r="WDX538" s="501"/>
      <c r="WDY538" s="501"/>
      <c r="WDZ538" s="501"/>
      <c r="WEA538" s="501"/>
      <c r="WEB538" s="501"/>
      <c r="WEC538" s="501"/>
      <c r="WED538" s="501"/>
      <c r="WEE538" s="501"/>
      <c r="WEF538" s="501"/>
      <c r="WEG538" s="501"/>
      <c r="WEH538" s="501"/>
      <c r="WEI538" s="501"/>
      <c r="WEJ538" s="501"/>
      <c r="WEK538" s="501"/>
      <c r="WEL538" s="501"/>
      <c r="WEM538" s="501"/>
      <c r="WEN538" s="501"/>
      <c r="WEO538" s="501"/>
      <c r="WEP538" s="501"/>
      <c r="WEQ538" s="501"/>
      <c r="WER538" s="501"/>
      <c r="WES538" s="501"/>
      <c r="WET538" s="501"/>
      <c r="WEU538" s="501"/>
      <c r="WEV538" s="501"/>
      <c r="WEW538" s="501"/>
      <c r="WEX538" s="501"/>
      <c r="WEY538" s="501"/>
      <c r="WEZ538" s="501"/>
      <c r="WFA538" s="501"/>
      <c r="WFB538" s="501"/>
      <c r="WFC538" s="501"/>
      <c r="WFD538" s="501"/>
      <c r="WFE538" s="501"/>
      <c r="WFF538" s="501"/>
      <c r="WFG538" s="501"/>
      <c r="WFH538" s="501"/>
      <c r="WFI538" s="501"/>
      <c r="WFJ538" s="501"/>
      <c r="WFK538" s="501"/>
      <c r="WFL538" s="501"/>
      <c r="WFM538" s="501"/>
      <c r="WFN538" s="501"/>
      <c r="WFO538" s="501"/>
      <c r="WFP538" s="501"/>
      <c r="WFQ538" s="501"/>
      <c r="WFR538" s="501"/>
      <c r="WFS538" s="501"/>
      <c r="WFT538" s="501"/>
      <c r="WFU538" s="501"/>
      <c r="WFV538" s="501"/>
      <c r="WFW538" s="501"/>
      <c r="WFX538" s="501"/>
      <c r="WFY538" s="501"/>
      <c r="WFZ538" s="501"/>
      <c r="WGA538" s="501"/>
      <c r="WGB538" s="501"/>
      <c r="WGC538" s="501"/>
      <c r="WGD538" s="501"/>
      <c r="WGE538" s="501"/>
      <c r="WGF538" s="501"/>
      <c r="WGG538" s="501"/>
      <c r="WGH538" s="501"/>
      <c r="WGI538" s="501"/>
      <c r="WGJ538" s="501"/>
      <c r="WGK538" s="501"/>
      <c r="WGL538" s="501"/>
      <c r="WGM538" s="501"/>
      <c r="WGN538" s="501"/>
      <c r="WGO538" s="501"/>
      <c r="WGP538" s="501"/>
      <c r="WGQ538" s="501"/>
      <c r="WGR538" s="501"/>
      <c r="WGS538" s="501"/>
      <c r="WGT538" s="501"/>
      <c r="WGU538" s="501"/>
      <c r="WGV538" s="501"/>
      <c r="WGW538" s="501"/>
      <c r="WGX538" s="501"/>
      <c r="WGY538" s="501"/>
      <c r="WGZ538" s="501"/>
      <c r="WHA538" s="501"/>
      <c r="WHB538" s="501"/>
      <c r="WHC538" s="501"/>
      <c r="WHD538" s="501"/>
      <c r="WHE538" s="501"/>
      <c r="WHF538" s="501"/>
      <c r="WHG538" s="501"/>
      <c r="WHH538" s="501"/>
      <c r="WHI538" s="501"/>
      <c r="WHJ538" s="501"/>
      <c r="WHK538" s="501"/>
      <c r="WHL538" s="501"/>
      <c r="WHM538" s="501"/>
      <c r="WHN538" s="501"/>
      <c r="WHO538" s="501"/>
      <c r="WHP538" s="501"/>
      <c r="WHQ538" s="501"/>
      <c r="WHR538" s="501"/>
      <c r="WHS538" s="501"/>
      <c r="WHT538" s="501"/>
      <c r="WHU538" s="501"/>
      <c r="WHV538" s="501"/>
      <c r="WHW538" s="501"/>
      <c r="WHX538" s="501"/>
      <c r="WHY538" s="501"/>
      <c r="WHZ538" s="501"/>
      <c r="WIA538" s="501"/>
      <c r="WIB538" s="501"/>
      <c r="WIC538" s="501"/>
      <c r="WID538" s="501"/>
      <c r="WIE538" s="501"/>
      <c r="WIF538" s="501"/>
      <c r="WIG538" s="501"/>
      <c r="WIH538" s="501"/>
      <c r="WII538" s="501"/>
      <c r="WIJ538" s="501"/>
      <c r="WIK538" s="501"/>
      <c r="WIL538" s="501"/>
      <c r="WIM538" s="501"/>
      <c r="WIN538" s="501"/>
      <c r="WIO538" s="501"/>
      <c r="WIP538" s="501"/>
      <c r="WIQ538" s="501"/>
      <c r="WIR538" s="501"/>
      <c r="WIS538" s="501"/>
      <c r="WIT538" s="501"/>
      <c r="WIU538" s="501"/>
      <c r="WIV538" s="501"/>
      <c r="WIW538" s="501"/>
      <c r="WIX538" s="501"/>
      <c r="WIY538" s="501"/>
      <c r="WIZ538" s="501"/>
      <c r="WJA538" s="501"/>
      <c r="WJB538" s="501"/>
      <c r="WJC538" s="501"/>
      <c r="WJD538" s="501"/>
      <c r="WJE538" s="501"/>
      <c r="WJF538" s="501"/>
      <c r="WJG538" s="501"/>
      <c r="WJH538" s="501"/>
      <c r="WJI538" s="501"/>
      <c r="WJJ538" s="501"/>
      <c r="WJK538" s="501"/>
      <c r="WJL538" s="501"/>
      <c r="WJM538" s="501"/>
      <c r="WJN538" s="501"/>
      <c r="WJO538" s="501"/>
      <c r="WJP538" s="501"/>
      <c r="WJQ538" s="501"/>
      <c r="WJR538" s="501"/>
      <c r="WJS538" s="501"/>
      <c r="WJT538" s="501"/>
      <c r="WJU538" s="501"/>
      <c r="WJV538" s="501"/>
      <c r="WJW538" s="501"/>
      <c r="WJX538" s="501"/>
      <c r="WJY538" s="501"/>
      <c r="WJZ538" s="501"/>
      <c r="WKA538" s="501"/>
      <c r="WKB538" s="501"/>
      <c r="WKC538" s="501"/>
      <c r="WKD538" s="501"/>
      <c r="WKE538" s="501"/>
      <c r="WKF538" s="501"/>
      <c r="WKG538" s="501"/>
      <c r="WKH538" s="501"/>
      <c r="WKI538" s="501"/>
      <c r="WKJ538" s="501"/>
      <c r="WKK538" s="501"/>
      <c r="WKL538" s="501"/>
      <c r="WKM538" s="501"/>
      <c r="WKN538" s="501"/>
      <c r="WKO538" s="501"/>
      <c r="WKP538" s="501"/>
      <c r="WKQ538" s="501"/>
      <c r="WKR538" s="501"/>
      <c r="WKS538" s="501"/>
      <c r="WKT538" s="501"/>
      <c r="WKU538" s="501"/>
      <c r="WKV538" s="501"/>
      <c r="WKW538" s="501"/>
      <c r="WKX538" s="501"/>
      <c r="WKY538" s="501"/>
      <c r="WKZ538" s="501"/>
      <c r="WLA538" s="501"/>
      <c r="WLB538" s="501"/>
      <c r="WLC538" s="501"/>
      <c r="WLD538" s="501"/>
      <c r="WLE538" s="501"/>
      <c r="WLF538" s="501"/>
      <c r="WLG538" s="501"/>
      <c r="WLH538" s="501"/>
      <c r="WLI538" s="501"/>
      <c r="WLJ538" s="501"/>
      <c r="WLK538" s="501"/>
      <c r="WLL538" s="501"/>
      <c r="WLM538" s="501"/>
      <c r="WLN538" s="501"/>
      <c r="WLO538" s="501"/>
      <c r="WLP538" s="501"/>
      <c r="WLQ538" s="501"/>
      <c r="WLR538" s="501"/>
      <c r="WLS538" s="501"/>
      <c r="WLT538" s="501"/>
      <c r="WLU538" s="501"/>
      <c r="WLV538" s="501"/>
      <c r="WLW538" s="501"/>
      <c r="WLX538" s="501"/>
      <c r="WLY538" s="501"/>
      <c r="WLZ538" s="501"/>
      <c r="WMA538" s="501"/>
      <c r="WMB538" s="501"/>
      <c r="WMC538" s="501"/>
      <c r="WMD538" s="501"/>
      <c r="WME538" s="501"/>
      <c r="WMF538" s="501"/>
      <c r="WMG538" s="501"/>
      <c r="WMH538" s="501"/>
      <c r="WMI538" s="501"/>
      <c r="WMJ538" s="501"/>
      <c r="WMK538" s="501"/>
      <c r="WML538" s="501"/>
      <c r="WMM538" s="501"/>
      <c r="WMN538" s="501"/>
      <c r="WMO538" s="501"/>
      <c r="WMP538" s="501"/>
      <c r="WMQ538" s="501"/>
      <c r="WMR538" s="501"/>
      <c r="WMS538" s="501"/>
      <c r="WMT538" s="501"/>
      <c r="WMU538" s="501"/>
      <c r="WMV538" s="501"/>
      <c r="WMW538" s="501"/>
      <c r="WMX538" s="501"/>
      <c r="WMY538" s="501"/>
      <c r="WMZ538" s="501"/>
      <c r="WNA538" s="501"/>
      <c r="WNB538" s="501"/>
      <c r="WNC538" s="501"/>
      <c r="WND538" s="501"/>
      <c r="WNE538" s="501"/>
      <c r="WNF538" s="501"/>
      <c r="WNG538" s="501"/>
      <c r="WNH538" s="501"/>
      <c r="WNI538" s="501"/>
      <c r="WNJ538" s="501"/>
      <c r="WNK538" s="501"/>
      <c r="WNL538" s="501"/>
      <c r="WNM538" s="501"/>
      <c r="WNN538" s="501"/>
      <c r="WNO538" s="501"/>
      <c r="WNP538" s="501"/>
      <c r="WNQ538" s="501"/>
      <c r="WNR538" s="501"/>
      <c r="WNS538" s="501"/>
      <c r="WNT538" s="501"/>
      <c r="WNU538" s="501"/>
      <c r="WNV538" s="501"/>
      <c r="WNW538" s="501"/>
      <c r="WNX538" s="501"/>
      <c r="WNY538" s="501"/>
      <c r="WNZ538" s="501"/>
      <c r="WOA538" s="501"/>
      <c r="WOB538" s="501"/>
      <c r="WOC538" s="501"/>
      <c r="WOD538" s="501"/>
      <c r="WOE538" s="501"/>
      <c r="WOF538" s="501"/>
      <c r="WOG538" s="501"/>
      <c r="WOH538" s="501"/>
      <c r="WOI538" s="501"/>
      <c r="WOJ538" s="501"/>
      <c r="WOK538" s="501"/>
      <c r="WOL538" s="501"/>
      <c r="WOM538" s="501"/>
      <c r="WON538" s="501"/>
      <c r="WOO538" s="501"/>
      <c r="WOP538" s="501"/>
      <c r="WOQ538" s="501"/>
      <c r="WOR538" s="501"/>
      <c r="WOS538" s="501"/>
      <c r="WOT538" s="501"/>
      <c r="WOU538" s="501"/>
      <c r="WOV538" s="501"/>
      <c r="WOW538" s="501"/>
      <c r="WOX538" s="501"/>
      <c r="WOY538" s="501"/>
      <c r="WOZ538" s="501"/>
      <c r="WPA538" s="501"/>
      <c r="WPB538" s="501"/>
      <c r="WPC538" s="501"/>
      <c r="WPD538" s="501"/>
      <c r="WPE538" s="501"/>
      <c r="WPF538" s="501"/>
      <c r="WPG538" s="501"/>
      <c r="WPH538" s="501"/>
      <c r="WPI538" s="501"/>
      <c r="WPJ538" s="501"/>
      <c r="WPK538" s="501"/>
      <c r="WPL538" s="501"/>
      <c r="WPM538" s="501"/>
      <c r="WPN538" s="501"/>
      <c r="WPO538" s="501"/>
      <c r="WPP538" s="501"/>
      <c r="WPQ538" s="501"/>
      <c r="WPR538" s="501"/>
      <c r="WPS538" s="501"/>
      <c r="WPT538" s="501"/>
      <c r="WPU538" s="501"/>
      <c r="WPV538" s="501"/>
      <c r="WPW538" s="501"/>
      <c r="WPX538" s="501"/>
      <c r="WPY538" s="501"/>
      <c r="WPZ538" s="501"/>
      <c r="WQA538" s="501"/>
      <c r="WQB538" s="501"/>
      <c r="WQC538" s="501"/>
      <c r="WQD538" s="501"/>
      <c r="WQE538" s="501"/>
      <c r="WQF538" s="501"/>
      <c r="WQG538" s="501"/>
      <c r="WQH538" s="501"/>
      <c r="WQI538" s="501"/>
      <c r="WQJ538" s="501"/>
      <c r="WQK538" s="501"/>
      <c r="WQL538" s="501"/>
      <c r="WQM538" s="501"/>
      <c r="WQN538" s="501"/>
      <c r="WQO538" s="501"/>
      <c r="WQP538" s="501"/>
      <c r="WQQ538" s="501"/>
      <c r="WQR538" s="501"/>
      <c r="WQS538" s="501"/>
      <c r="WQT538" s="501"/>
      <c r="WQU538" s="501"/>
      <c r="WQV538" s="501"/>
      <c r="WQW538" s="501"/>
      <c r="WQX538" s="501"/>
      <c r="WQY538" s="501"/>
      <c r="WQZ538" s="501"/>
      <c r="WRA538" s="501"/>
      <c r="WRB538" s="501"/>
      <c r="WRC538" s="501"/>
      <c r="WRD538" s="501"/>
      <c r="WRE538" s="501"/>
      <c r="WRF538" s="501"/>
      <c r="WRG538" s="501"/>
      <c r="WRH538" s="501"/>
      <c r="WRI538" s="501"/>
      <c r="WRJ538" s="501"/>
      <c r="WRK538" s="501"/>
      <c r="WRL538" s="501"/>
      <c r="WRM538" s="501"/>
      <c r="WRN538" s="501"/>
      <c r="WRO538" s="501"/>
      <c r="WRP538" s="501"/>
      <c r="WRQ538" s="501"/>
      <c r="WRR538" s="501"/>
      <c r="WRS538" s="501"/>
      <c r="WRT538" s="501"/>
      <c r="WRU538" s="501"/>
      <c r="WRV538" s="501"/>
      <c r="WRW538" s="501"/>
      <c r="WRX538" s="501"/>
      <c r="WRY538" s="501"/>
      <c r="WRZ538" s="501"/>
      <c r="WSA538" s="501"/>
      <c r="WSB538" s="501"/>
      <c r="WSC538" s="501"/>
      <c r="WSD538" s="501"/>
      <c r="WSE538" s="501"/>
      <c r="WSF538" s="501"/>
      <c r="WSG538" s="501"/>
      <c r="WSH538" s="501"/>
      <c r="WSI538" s="501"/>
      <c r="WSJ538" s="501"/>
      <c r="WSK538" s="501"/>
      <c r="WSL538" s="501"/>
      <c r="WSM538" s="501"/>
      <c r="WSN538" s="501"/>
      <c r="WSO538" s="501"/>
      <c r="WSP538" s="501"/>
      <c r="WSQ538" s="501"/>
      <c r="WSR538" s="501"/>
      <c r="WSS538" s="501"/>
      <c r="WST538" s="501"/>
      <c r="WSU538" s="501"/>
      <c r="WSV538" s="501"/>
      <c r="WSW538" s="501"/>
      <c r="WSX538" s="501"/>
      <c r="WSY538" s="501"/>
      <c r="WSZ538" s="501"/>
      <c r="WTA538" s="501"/>
      <c r="WTB538" s="501"/>
      <c r="WTC538" s="501"/>
      <c r="WTD538" s="501"/>
      <c r="WTE538" s="501"/>
      <c r="WTF538" s="501"/>
      <c r="WTG538" s="501"/>
      <c r="WTH538" s="501"/>
      <c r="WTI538" s="501"/>
      <c r="WTJ538" s="501"/>
      <c r="WTK538" s="501"/>
      <c r="WTL538" s="501"/>
      <c r="WTM538" s="501"/>
      <c r="WTN538" s="501"/>
      <c r="WTO538" s="501"/>
      <c r="WTP538" s="501"/>
      <c r="WTQ538" s="501"/>
      <c r="WTR538" s="501"/>
      <c r="WTS538" s="501"/>
      <c r="WTT538" s="501"/>
      <c r="WTU538" s="501"/>
      <c r="WTV538" s="501"/>
      <c r="WTW538" s="501"/>
      <c r="WTX538" s="501"/>
      <c r="WTY538" s="501"/>
      <c r="WTZ538" s="501"/>
      <c r="WUA538" s="501"/>
      <c r="WUB538" s="501"/>
      <c r="WUC538" s="501"/>
      <c r="WUD538" s="501"/>
      <c r="WUE538" s="501"/>
      <c r="WUF538" s="501"/>
      <c r="WUG538" s="501"/>
      <c r="WUH538" s="501"/>
      <c r="WUI538" s="501"/>
      <c r="WUJ538" s="501"/>
      <c r="WUK538" s="501"/>
      <c r="WUL538" s="501"/>
      <c r="WUM538" s="501"/>
      <c r="WUN538" s="501"/>
      <c r="WUO538" s="501"/>
      <c r="WUP538" s="501"/>
      <c r="WUQ538" s="501"/>
      <c r="WUR538" s="501"/>
      <c r="WUS538" s="501"/>
      <c r="WUT538" s="501"/>
      <c r="WUU538" s="501"/>
      <c r="WUV538" s="501"/>
      <c r="WUW538" s="501"/>
      <c r="WUX538" s="501"/>
      <c r="WUY538" s="501"/>
      <c r="WUZ538" s="501"/>
      <c r="WVA538" s="501"/>
      <c r="WVB538" s="501"/>
      <c r="WVC538" s="501"/>
      <c r="WVD538" s="501"/>
      <c r="WVE538" s="501"/>
      <c r="WVF538" s="501"/>
      <c r="WVG538" s="501"/>
      <c r="WVH538" s="501"/>
      <c r="WVI538" s="501"/>
      <c r="WVJ538" s="501"/>
      <c r="WVK538" s="501"/>
      <c r="WVL538" s="501"/>
      <c r="WVM538" s="501"/>
      <c r="WVN538" s="501"/>
      <c r="WVO538" s="501"/>
      <c r="WVP538" s="501"/>
      <c r="WVQ538" s="501"/>
      <c r="WVR538" s="501"/>
      <c r="WVS538" s="501"/>
      <c r="WVT538" s="501"/>
      <c r="WVU538" s="501"/>
      <c r="WVV538" s="501"/>
      <c r="WVW538" s="501"/>
      <c r="WVX538" s="501"/>
      <c r="WVY538" s="501"/>
      <c r="WVZ538" s="501"/>
      <c r="WWA538" s="501"/>
      <c r="WWB538" s="501"/>
      <c r="WWC538" s="501"/>
      <c r="WWD538" s="501"/>
      <c r="WWE538" s="501"/>
      <c r="WWF538" s="501"/>
      <c r="WWG538" s="501"/>
      <c r="WWH538" s="501"/>
      <c r="WWI538" s="501"/>
      <c r="WWJ538" s="501"/>
      <c r="WWK538" s="501"/>
      <c r="WWL538" s="501"/>
      <c r="WWM538" s="501"/>
      <c r="WWN538" s="501"/>
      <c r="WWO538" s="501"/>
      <c r="WWP538" s="501"/>
      <c r="WWQ538" s="501"/>
      <c r="WWR538" s="501"/>
      <c r="WWS538" s="501"/>
      <c r="WWT538" s="501"/>
      <c r="WWU538" s="501"/>
      <c r="WWV538" s="501"/>
      <c r="WWW538" s="501"/>
      <c r="WWX538" s="501"/>
      <c r="WWY538" s="501"/>
      <c r="WWZ538" s="501"/>
      <c r="WXA538" s="501"/>
      <c r="WXB538" s="501"/>
      <c r="WXC538" s="501"/>
      <c r="WXD538" s="501"/>
      <c r="WXE538" s="501"/>
      <c r="WXF538" s="501"/>
      <c r="WXG538" s="501"/>
      <c r="WXH538" s="501"/>
      <c r="WXI538" s="501"/>
      <c r="WXJ538" s="501"/>
      <c r="WXK538" s="501"/>
      <c r="WXL538" s="501"/>
      <c r="WXM538" s="501"/>
      <c r="WXN538" s="501"/>
      <c r="WXO538" s="501"/>
      <c r="WXP538" s="501"/>
      <c r="WXQ538" s="501"/>
      <c r="WXR538" s="501"/>
      <c r="WXS538" s="501"/>
      <c r="WXT538" s="501"/>
      <c r="WXU538" s="501"/>
      <c r="WXV538" s="501"/>
      <c r="WXW538" s="501"/>
      <c r="WXX538" s="501"/>
      <c r="WXY538" s="501"/>
      <c r="WXZ538" s="501"/>
      <c r="WYA538" s="501"/>
      <c r="WYB538" s="501"/>
      <c r="WYC538" s="501"/>
      <c r="WYD538" s="501"/>
      <c r="WYE538" s="501"/>
      <c r="WYF538" s="501"/>
      <c r="WYG538" s="501"/>
      <c r="WYH538" s="501"/>
      <c r="WYI538" s="501"/>
      <c r="WYJ538" s="501"/>
      <c r="WYK538" s="501"/>
      <c r="WYL538" s="501"/>
      <c r="WYM538" s="501"/>
      <c r="WYN538" s="501"/>
      <c r="WYO538" s="501"/>
      <c r="WYP538" s="501"/>
      <c r="WYQ538" s="501"/>
      <c r="WYR538" s="501"/>
      <c r="WYS538" s="501"/>
      <c r="WYT538" s="501"/>
      <c r="WYU538" s="501"/>
      <c r="WYV538" s="501"/>
      <c r="WYW538" s="501"/>
      <c r="WYX538" s="501"/>
      <c r="WYY538" s="501"/>
      <c r="WYZ538" s="501"/>
      <c r="WZA538" s="501"/>
      <c r="WZB538" s="501"/>
      <c r="WZC538" s="501"/>
      <c r="WZD538" s="501"/>
      <c r="WZE538" s="501"/>
      <c r="WZF538" s="501"/>
      <c r="WZG538" s="501"/>
      <c r="WZH538" s="501"/>
      <c r="WZI538" s="501"/>
      <c r="WZJ538" s="501"/>
      <c r="WZK538" s="501"/>
      <c r="WZL538" s="501"/>
      <c r="WZM538" s="501"/>
      <c r="WZN538" s="501"/>
      <c r="WZO538" s="501"/>
      <c r="WZP538" s="501"/>
      <c r="WZQ538" s="501"/>
      <c r="WZR538" s="501"/>
      <c r="WZS538" s="501"/>
      <c r="WZT538" s="501"/>
      <c r="WZU538" s="501"/>
      <c r="WZV538" s="501"/>
      <c r="WZW538" s="501"/>
      <c r="WZX538" s="501"/>
      <c r="WZY538" s="501"/>
      <c r="WZZ538" s="501"/>
      <c r="XAA538" s="501"/>
      <c r="XAB538" s="501"/>
      <c r="XAC538" s="501"/>
      <c r="XAD538" s="501"/>
      <c r="XAE538" s="501"/>
      <c r="XAF538" s="501"/>
      <c r="XAG538" s="501"/>
      <c r="XAH538" s="501"/>
      <c r="XAI538" s="501"/>
      <c r="XAJ538" s="501"/>
      <c r="XAK538" s="501"/>
      <c r="XAL538" s="501"/>
      <c r="XAM538" s="501"/>
      <c r="XAN538" s="501"/>
      <c r="XAO538" s="501"/>
      <c r="XAP538" s="501"/>
      <c r="XAQ538" s="501"/>
      <c r="XAR538" s="501"/>
      <c r="XAS538" s="501"/>
      <c r="XAT538" s="501"/>
      <c r="XAU538" s="501"/>
      <c r="XAV538" s="501"/>
      <c r="XAW538" s="501"/>
      <c r="XAX538" s="501"/>
      <c r="XAY538" s="501"/>
      <c r="XAZ538" s="501"/>
      <c r="XBA538" s="501"/>
      <c r="XBB538" s="501"/>
      <c r="XBC538" s="501"/>
      <c r="XBD538" s="501"/>
      <c r="XBE538" s="501"/>
      <c r="XBF538" s="501"/>
      <c r="XBG538" s="501"/>
      <c r="XBH538" s="501"/>
      <c r="XBI538" s="501"/>
      <c r="XBJ538" s="501"/>
      <c r="XBK538" s="501"/>
      <c r="XBL538" s="501"/>
      <c r="XBM538" s="501"/>
      <c r="XBN538" s="501"/>
      <c r="XBO538" s="501"/>
      <c r="XBP538" s="501"/>
      <c r="XBQ538" s="501"/>
      <c r="XBR538" s="501"/>
      <c r="XBS538" s="501"/>
      <c r="XBT538" s="501"/>
      <c r="XBU538" s="501"/>
      <c r="XBV538" s="501"/>
      <c r="XBW538" s="501"/>
      <c r="XBX538" s="501"/>
      <c r="XBY538" s="501"/>
      <c r="XBZ538" s="501"/>
      <c r="XCA538" s="501"/>
      <c r="XCB538" s="501"/>
      <c r="XCC538" s="501"/>
      <c r="XCD538" s="501"/>
      <c r="XCE538" s="501"/>
    </row>
    <row r="539" spans="1:16307" s="788" customFormat="1" ht="20.25" x14ac:dyDescent="0.3">
      <c r="A539" s="786">
        <v>35</v>
      </c>
      <c r="B539" s="787" t="s">
        <v>616</v>
      </c>
      <c r="C539" s="787"/>
      <c r="U539" s="789"/>
      <c r="X539" s="789"/>
    </row>
    <row r="540" spans="1:16307" ht="37.15" customHeight="1" x14ac:dyDescent="0.2">
      <c r="A540" s="823" t="s">
        <v>887</v>
      </c>
    </row>
    <row r="541" spans="1:16307" ht="16.149999999999999" customHeight="1" x14ac:dyDescent="0.2">
      <c r="A541" s="2256" t="s">
        <v>888</v>
      </c>
      <c r="B541" s="2257"/>
      <c r="C541" s="2257"/>
      <c r="D541" s="2257"/>
      <c r="E541" s="2257"/>
      <c r="F541" s="2257"/>
      <c r="G541" s="2257"/>
      <c r="H541" s="2257"/>
      <c r="I541" s="2257"/>
      <c r="J541" s="2257"/>
      <c r="K541" s="2257"/>
      <c r="L541" s="2257"/>
      <c r="M541" s="2257"/>
      <c r="N541" s="2257"/>
      <c r="O541" s="2257"/>
      <c r="P541" s="2257"/>
      <c r="Q541" s="2257"/>
      <c r="R541" s="2257"/>
      <c r="S541" s="2257"/>
      <c r="T541" s="2257"/>
      <c r="U541" s="2257"/>
      <c r="V541" s="2257"/>
      <c r="W541" s="2257"/>
      <c r="X541" s="2257"/>
      <c r="Y541" s="2257"/>
      <c r="Z541" s="2257"/>
      <c r="AA541" s="2257"/>
      <c r="AB541" s="2257"/>
      <c r="AC541" s="2257"/>
      <c r="AD541" s="2257"/>
      <c r="AE541" s="2257"/>
      <c r="AF541" s="2257"/>
      <c r="AG541" s="2257"/>
      <c r="AH541" s="2257"/>
      <c r="AI541" s="2257"/>
      <c r="AJ541" s="2257"/>
      <c r="AK541" s="2257"/>
      <c r="AL541" s="2257"/>
      <c r="AM541" s="2257"/>
      <c r="AN541" s="2257"/>
      <c r="AO541" s="2257"/>
      <c r="AP541" s="2257"/>
      <c r="AQ541" s="2257"/>
      <c r="AR541" s="2257"/>
      <c r="AS541" s="2257"/>
      <c r="AT541" s="2257"/>
      <c r="AU541" s="2257"/>
      <c r="AV541" s="2257"/>
      <c r="AW541" s="2257"/>
      <c r="AX541" s="2257"/>
      <c r="AY541" s="2258"/>
    </row>
    <row r="542" spans="1:16307" s="94" customFormat="1" x14ac:dyDescent="0.2">
      <c r="A542" s="824" t="s">
        <v>654</v>
      </c>
      <c r="B542" s="825" t="s">
        <v>655</v>
      </c>
      <c r="C542" s="826">
        <v>40360</v>
      </c>
      <c r="D542" s="826">
        <v>40391</v>
      </c>
      <c r="E542" s="826">
        <v>40422</v>
      </c>
      <c r="F542" s="826">
        <v>40452</v>
      </c>
      <c r="G542" s="826">
        <v>40483</v>
      </c>
      <c r="H542" s="826">
        <v>40513</v>
      </c>
      <c r="I542" s="826">
        <v>40544</v>
      </c>
      <c r="J542" s="826">
        <v>40575</v>
      </c>
      <c r="K542" s="826">
        <v>40603</v>
      </c>
      <c r="L542" s="826">
        <v>40634</v>
      </c>
      <c r="M542" s="826">
        <v>40664</v>
      </c>
      <c r="N542" s="826">
        <v>40695</v>
      </c>
      <c r="O542" s="826">
        <v>40725</v>
      </c>
      <c r="P542" s="826">
        <v>40756</v>
      </c>
      <c r="Q542" s="826">
        <v>40787</v>
      </c>
      <c r="R542" s="826">
        <v>40817</v>
      </c>
      <c r="S542" s="826">
        <v>40848</v>
      </c>
      <c r="T542" s="826">
        <v>40878</v>
      </c>
      <c r="U542" s="826">
        <v>40909</v>
      </c>
      <c r="V542" s="826">
        <v>40940</v>
      </c>
      <c r="W542" s="826">
        <v>40969</v>
      </c>
      <c r="X542" s="826">
        <v>41000</v>
      </c>
      <c r="Y542" s="826">
        <v>41030</v>
      </c>
      <c r="Z542" s="826">
        <v>41061</v>
      </c>
      <c r="AA542" s="826">
        <v>41091</v>
      </c>
      <c r="AB542" s="826">
        <v>41122</v>
      </c>
      <c r="AC542" s="826">
        <v>41153</v>
      </c>
      <c r="AD542" s="826">
        <v>41183</v>
      </c>
      <c r="AE542" s="826">
        <v>41214</v>
      </c>
      <c r="AF542" s="826">
        <v>41244</v>
      </c>
      <c r="AG542" s="826">
        <v>41275</v>
      </c>
      <c r="AH542" s="826">
        <v>41306</v>
      </c>
      <c r="AI542" s="826">
        <v>41334</v>
      </c>
      <c r="AJ542" s="826">
        <v>41365</v>
      </c>
      <c r="AK542" s="826">
        <v>41395</v>
      </c>
      <c r="AL542" s="826">
        <v>41426</v>
      </c>
      <c r="AM542" s="826">
        <v>41456</v>
      </c>
      <c r="AN542" s="826">
        <v>41487</v>
      </c>
      <c r="AO542" s="826">
        <v>41518</v>
      </c>
      <c r="AP542" s="826">
        <v>41548</v>
      </c>
      <c r="AQ542" s="826">
        <v>41579</v>
      </c>
      <c r="AR542" s="826">
        <v>41609</v>
      </c>
      <c r="AS542" s="826">
        <v>41640</v>
      </c>
      <c r="AT542" s="826">
        <v>41671</v>
      </c>
      <c r="AU542" s="826">
        <v>41699</v>
      </c>
      <c r="AV542" s="826">
        <v>41730</v>
      </c>
      <c r="AW542" s="826">
        <v>41760</v>
      </c>
      <c r="AX542" s="826">
        <v>41791</v>
      </c>
      <c r="AY542" s="826">
        <v>41821</v>
      </c>
    </row>
    <row r="543" spans="1:16307" s="500" customFormat="1" x14ac:dyDescent="0.2">
      <c r="A543" s="827" t="s">
        <v>889</v>
      </c>
      <c r="B543" s="828" t="s">
        <v>890</v>
      </c>
      <c r="C543" s="829">
        <v>227800</v>
      </c>
      <c r="D543" s="829">
        <v>214280</v>
      </c>
      <c r="E543" s="829">
        <v>225000</v>
      </c>
      <c r="F543" s="829">
        <v>221480</v>
      </c>
      <c r="G543" s="829">
        <v>190120</v>
      </c>
      <c r="H543" s="829">
        <v>186400</v>
      </c>
      <c r="I543" s="829">
        <v>149800</v>
      </c>
      <c r="J543" s="829">
        <v>169880</v>
      </c>
      <c r="K543" s="829">
        <v>176080</v>
      </c>
      <c r="L543" s="829">
        <v>194280</v>
      </c>
      <c r="M543" s="829">
        <v>202520</v>
      </c>
      <c r="N543" s="829">
        <v>204080</v>
      </c>
      <c r="O543" s="829">
        <v>185200</v>
      </c>
      <c r="P543" s="829">
        <v>182360</v>
      </c>
      <c r="Q543" s="829">
        <v>221240</v>
      </c>
      <c r="R543" s="829">
        <v>184480</v>
      </c>
      <c r="S543" s="829">
        <v>192240</v>
      </c>
      <c r="T543" s="829">
        <v>159400</v>
      </c>
      <c r="U543" s="829">
        <v>93960</v>
      </c>
      <c r="V543" s="829">
        <v>150160</v>
      </c>
      <c r="W543" s="829">
        <v>161304.79999999999</v>
      </c>
      <c r="X543" s="829">
        <v>184936.24</v>
      </c>
      <c r="Y543" s="829">
        <v>200038.48</v>
      </c>
      <c r="Z543" s="829">
        <v>212508.96</v>
      </c>
      <c r="AA543" s="829">
        <v>164809.91999999998</v>
      </c>
      <c r="AB543" s="829">
        <v>171163.76</v>
      </c>
      <c r="AC543" s="829">
        <v>191234.64</v>
      </c>
      <c r="AD543" s="829">
        <v>181865.2</v>
      </c>
      <c r="AE543" s="829">
        <v>160043.51999999999</v>
      </c>
      <c r="AF543" s="829">
        <v>158691.04</v>
      </c>
      <c r="AG543" s="829">
        <v>162637.92000000001</v>
      </c>
      <c r="AH543" s="829">
        <v>156600.48000000001</v>
      </c>
      <c r="AI543" s="829">
        <v>163100.79999999999</v>
      </c>
      <c r="AJ543" s="829">
        <v>182870.39999999999</v>
      </c>
      <c r="AK543" s="829">
        <v>170412.48</v>
      </c>
      <c r="AL543" s="829">
        <v>195797.84</v>
      </c>
      <c r="AM543" s="829">
        <v>172848.4</v>
      </c>
      <c r="AN543" s="829">
        <v>181802.96</v>
      </c>
      <c r="AO543" s="829">
        <v>239736.72</v>
      </c>
      <c r="AP543" s="829">
        <v>193410.72</v>
      </c>
      <c r="AQ543" s="829">
        <v>167832.32000000001</v>
      </c>
      <c r="AR543" s="829">
        <v>158616.24</v>
      </c>
      <c r="AS543" s="829">
        <v>151638.48000000001</v>
      </c>
      <c r="AT543" s="829">
        <v>173009.88</v>
      </c>
      <c r="AU543" s="829">
        <v>145604.07999999999</v>
      </c>
      <c r="AV543" s="829">
        <v>167482.6</v>
      </c>
      <c r="AW543" s="829">
        <v>163268.20000000001</v>
      </c>
      <c r="AX543" s="829">
        <v>150024.64000000001</v>
      </c>
      <c r="AY543" s="829">
        <v>154229.68</v>
      </c>
    </row>
    <row r="544" spans="1:16307" s="500" customFormat="1" ht="12.75" customHeight="1" x14ac:dyDescent="0.2">
      <c r="A544" s="830">
        <v>315</v>
      </c>
      <c r="B544" s="831" t="s">
        <v>891</v>
      </c>
      <c r="C544" s="832">
        <v>30920</v>
      </c>
      <c r="D544" s="832">
        <v>42883</v>
      </c>
      <c r="E544" s="832">
        <v>87000</v>
      </c>
      <c r="F544" s="832">
        <v>89330</v>
      </c>
      <c r="G544" s="832">
        <v>74095</v>
      </c>
      <c r="H544" s="832">
        <v>65520</v>
      </c>
      <c r="I544" s="832">
        <v>51680</v>
      </c>
      <c r="J544" s="832">
        <v>65760</v>
      </c>
      <c r="K544" s="832">
        <v>67200</v>
      </c>
      <c r="L544" s="832">
        <v>67922</v>
      </c>
      <c r="M544" s="832">
        <v>67325</v>
      </c>
      <c r="N544" s="832">
        <v>54118</v>
      </c>
      <c r="O544" s="832">
        <v>61002</v>
      </c>
      <c r="P544" s="832">
        <v>47297</v>
      </c>
      <c r="Q544" s="832">
        <v>97209</v>
      </c>
      <c r="R544" s="832">
        <v>82790</v>
      </c>
      <c r="S544" s="832">
        <v>74640</v>
      </c>
      <c r="T544" s="832">
        <v>78640</v>
      </c>
      <c r="U544" s="832">
        <v>59040</v>
      </c>
      <c r="V544" s="832">
        <v>75280</v>
      </c>
      <c r="W544" s="832">
        <v>68445.600000000006</v>
      </c>
      <c r="X544" s="832">
        <v>81539.28</v>
      </c>
      <c r="Y544" s="832">
        <v>78760.56</v>
      </c>
      <c r="Z544" s="832">
        <v>70425.119999999995</v>
      </c>
      <c r="AA544" s="832">
        <v>83354.240000000005</v>
      </c>
      <c r="AB544" s="832">
        <v>95440.72</v>
      </c>
      <c r="AC544" s="832">
        <v>106644.08</v>
      </c>
      <c r="AD544" s="832">
        <v>90944.4</v>
      </c>
      <c r="AE544" s="832">
        <v>79893.440000000002</v>
      </c>
      <c r="AF544" s="832">
        <v>75534.880000000005</v>
      </c>
      <c r="AG544" s="832">
        <v>61110.239999999998</v>
      </c>
      <c r="AH544" s="832">
        <v>77534.559999999998</v>
      </c>
      <c r="AI544" s="832">
        <v>66657.600000000006</v>
      </c>
      <c r="AJ544" s="832">
        <v>76348.800000000003</v>
      </c>
      <c r="AK544" s="832">
        <v>74618.559999999998</v>
      </c>
      <c r="AL544" s="832">
        <v>100114.48</v>
      </c>
      <c r="AM544" s="832">
        <v>92674.8</v>
      </c>
      <c r="AN544" s="832">
        <v>96643.12</v>
      </c>
      <c r="AO544" s="832">
        <v>114833.84</v>
      </c>
      <c r="AP544" s="832">
        <v>95351.84</v>
      </c>
      <c r="AQ544" s="832">
        <v>74287.039999999994</v>
      </c>
      <c r="AR544" s="832">
        <v>71859.28</v>
      </c>
      <c r="AS544" s="832">
        <v>63800.56</v>
      </c>
      <c r="AT544" s="832">
        <v>84077.36</v>
      </c>
      <c r="AU544" s="832">
        <v>66297.759999999995</v>
      </c>
      <c r="AV544" s="832">
        <v>75581.2</v>
      </c>
      <c r="AW544" s="832">
        <v>80548.399999999994</v>
      </c>
      <c r="AX544" s="832">
        <v>73478.080000000002</v>
      </c>
      <c r="AY544" s="832">
        <v>82502.959999999992</v>
      </c>
    </row>
    <row r="545" spans="1:16307" s="500" customFormat="1" ht="12.75" customHeight="1" x14ac:dyDescent="0.2">
      <c r="A545" s="830" t="s">
        <v>892</v>
      </c>
      <c r="B545" s="831" t="s">
        <v>893</v>
      </c>
      <c r="C545" s="832">
        <v>0</v>
      </c>
      <c r="D545" s="832">
        <v>0</v>
      </c>
      <c r="E545" s="832">
        <v>0</v>
      </c>
      <c r="F545" s="832">
        <v>0</v>
      </c>
      <c r="G545" s="832">
        <v>0</v>
      </c>
      <c r="H545" s="832">
        <v>0</v>
      </c>
      <c r="I545" s="832">
        <v>0</v>
      </c>
      <c r="J545" s="832">
        <v>0</v>
      </c>
      <c r="K545" s="832">
        <v>0</v>
      </c>
      <c r="L545" s="832">
        <v>0</v>
      </c>
      <c r="M545" s="832">
        <v>0</v>
      </c>
      <c r="N545" s="832">
        <v>0</v>
      </c>
      <c r="O545" s="832">
        <v>0</v>
      </c>
      <c r="P545" s="832">
        <v>0</v>
      </c>
      <c r="Q545" s="832">
        <v>0</v>
      </c>
      <c r="R545" s="832">
        <v>0</v>
      </c>
      <c r="S545" s="832">
        <v>0</v>
      </c>
      <c r="T545" s="832">
        <v>0</v>
      </c>
      <c r="U545" s="832">
        <v>0</v>
      </c>
      <c r="V545" s="832">
        <v>0</v>
      </c>
      <c r="W545" s="832">
        <v>2649.6</v>
      </c>
      <c r="X545" s="832">
        <v>3444.48</v>
      </c>
      <c r="Y545" s="832">
        <v>4680.96</v>
      </c>
      <c r="Z545" s="832">
        <v>12305.92</v>
      </c>
      <c r="AA545" s="832">
        <v>75868.84</v>
      </c>
      <c r="AB545" s="832">
        <v>94233.51999999999</v>
      </c>
      <c r="AC545" s="832">
        <v>103495.28</v>
      </c>
      <c r="AD545" s="832">
        <v>93234.4</v>
      </c>
      <c r="AE545" s="832">
        <v>90349.04</v>
      </c>
      <c r="AF545" s="832">
        <v>82741.08</v>
      </c>
      <c r="AG545" s="832">
        <v>67491.839999999997</v>
      </c>
      <c r="AH545" s="832">
        <v>96344.960000000006</v>
      </c>
      <c r="AI545" s="832">
        <v>85841.600000000006</v>
      </c>
      <c r="AJ545" s="832">
        <v>96620.800000000003</v>
      </c>
      <c r="AK545" s="832">
        <v>94928.959999999992</v>
      </c>
      <c r="AL545" s="832">
        <v>110927.67999999999</v>
      </c>
      <c r="AM545" s="832">
        <v>86316.800000000003</v>
      </c>
      <c r="AN545" s="832">
        <v>107513.92</v>
      </c>
      <c r="AO545" s="832">
        <v>140709.44</v>
      </c>
      <c r="AP545" s="832">
        <v>116877.44</v>
      </c>
      <c r="AQ545" s="832">
        <v>96720.639999999999</v>
      </c>
      <c r="AR545" s="832">
        <v>88444.479999999996</v>
      </c>
      <c r="AS545" s="832">
        <v>70200.960000000006</v>
      </c>
      <c r="AT545" s="832">
        <v>106069.75999999999</v>
      </c>
      <c r="AU545" s="832">
        <v>76516.160000000003</v>
      </c>
      <c r="AV545" s="832">
        <v>90139.199999999997</v>
      </c>
      <c r="AW545" s="832">
        <v>97414.399999999994</v>
      </c>
      <c r="AX545" s="832">
        <v>90465.279999999999</v>
      </c>
      <c r="AY545" s="832">
        <v>92359.360000000001</v>
      </c>
    </row>
    <row r="546" spans="1:16307" s="501" customFormat="1" x14ac:dyDescent="0.2">
      <c r="A546" s="833" t="s">
        <v>889</v>
      </c>
      <c r="B546" s="834" t="s">
        <v>894</v>
      </c>
      <c r="C546" s="835">
        <v>15780.47</v>
      </c>
      <c r="D546" s="835">
        <v>14844.63</v>
      </c>
      <c r="E546" s="835">
        <v>15586.66</v>
      </c>
      <c r="F546" s="835">
        <v>15343</v>
      </c>
      <c r="G546" s="835">
        <v>13172.29</v>
      </c>
      <c r="H546" s="835">
        <v>12914.8</v>
      </c>
      <c r="I546" s="835">
        <v>11564.69</v>
      </c>
      <c r="J546" s="835">
        <v>14007.85</v>
      </c>
      <c r="K546" s="835">
        <v>14518.63</v>
      </c>
      <c r="L546" s="835">
        <v>16018.03</v>
      </c>
      <c r="M546" s="835">
        <v>16696.88</v>
      </c>
      <c r="N546" s="835">
        <v>16825.400000000001</v>
      </c>
      <c r="O546" s="835">
        <v>15269.98</v>
      </c>
      <c r="P546" s="835">
        <v>15036</v>
      </c>
      <c r="Q546" s="835">
        <v>18239.12</v>
      </c>
      <c r="R546" s="835">
        <v>15210.66</v>
      </c>
      <c r="S546" s="835">
        <v>15849.97</v>
      </c>
      <c r="T546" s="835">
        <v>13144.46</v>
      </c>
      <c r="U546" s="835">
        <v>7847.46</v>
      </c>
      <c r="V546" s="835">
        <v>13989.73</v>
      </c>
      <c r="W546" s="835">
        <v>14719.5</v>
      </c>
      <c r="X546" s="835">
        <v>17232.48158</v>
      </c>
      <c r="Y546" s="835">
        <v>18638.24842</v>
      </c>
      <c r="Z546" s="835">
        <v>19799.03254</v>
      </c>
      <c r="AA546" s="835">
        <v>15359.055370000002</v>
      </c>
      <c r="AB546" s="835">
        <v>15950.503779999999</v>
      </c>
      <c r="AC546" s="835">
        <v>17818.75333</v>
      </c>
      <c r="AD546" s="835">
        <v>16946.622820000001</v>
      </c>
      <c r="AE546" s="835">
        <v>14915.3845</v>
      </c>
      <c r="AF546" s="835">
        <v>14789.492410000001</v>
      </c>
      <c r="AG546" s="835">
        <v>12597.11184</v>
      </c>
      <c r="AH546" s="835">
        <v>14489.810740000001</v>
      </c>
      <c r="AI546" s="835">
        <v>15087.03465</v>
      </c>
      <c r="AJ546" s="835">
        <v>16885.891930000002</v>
      </c>
      <c r="AK546" s="835">
        <v>15705.20253</v>
      </c>
      <c r="AL546" s="835">
        <v>17941.66691</v>
      </c>
      <c r="AM546" s="835">
        <v>15826.80602</v>
      </c>
      <c r="AN546" s="835">
        <v>16105.9043</v>
      </c>
      <c r="AO546" s="835">
        <v>21296.445209999998</v>
      </c>
      <c r="AP546" s="835">
        <v>17214.780039999998</v>
      </c>
      <c r="AQ546" s="835">
        <v>14999.84137</v>
      </c>
      <c r="AR546" s="835">
        <v>14213.246580000001</v>
      </c>
      <c r="AS546" s="835">
        <v>14023.096230000001</v>
      </c>
      <c r="AT546" s="835">
        <v>15671.561230000001</v>
      </c>
      <c r="AU546" s="835">
        <v>12939.797839999999</v>
      </c>
      <c r="AV546" s="835">
        <v>14853.098330000001</v>
      </c>
      <c r="AW546" s="835">
        <v>14424.69392</v>
      </c>
      <c r="AX546" s="835">
        <v>13218.781370000001</v>
      </c>
      <c r="AY546" s="835">
        <v>13631.797020000002</v>
      </c>
      <c r="AZ546" s="500"/>
      <c r="BA546" s="500"/>
      <c r="BB546" s="500"/>
      <c r="BC546" s="500"/>
      <c r="BD546" s="500"/>
      <c r="BE546" s="500"/>
      <c r="BF546" s="500"/>
      <c r="BG546" s="500"/>
      <c r="BH546" s="500"/>
      <c r="BI546" s="500"/>
      <c r="BJ546" s="500"/>
      <c r="BK546" s="500"/>
      <c r="BL546" s="500"/>
      <c r="BM546" s="500"/>
      <c r="BN546" s="500"/>
      <c r="BO546" s="500"/>
      <c r="BP546" s="500"/>
      <c r="BQ546" s="500"/>
      <c r="BR546" s="500"/>
      <c r="BS546" s="500"/>
      <c r="BT546" s="500"/>
      <c r="BU546" s="500"/>
      <c r="BV546" s="500"/>
      <c r="BW546" s="500"/>
      <c r="BX546" s="500"/>
      <c r="BY546" s="500"/>
      <c r="BZ546" s="500"/>
      <c r="CA546" s="500"/>
      <c r="CB546" s="500"/>
      <c r="CC546" s="500"/>
      <c r="CD546" s="500"/>
      <c r="CE546" s="500"/>
      <c r="CF546" s="500"/>
      <c r="CG546" s="500"/>
      <c r="CH546" s="500"/>
      <c r="CI546" s="500"/>
      <c r="CJ546" s="500"/>
      <c r="CK546" s="500"/>
      <c r="CL546" s="500"/>
      <c r="CM546" s="500"/>
      <c r="CN546" s="500"/>
      <c r="CO546" s="500"/>
      <c r="CP546" s="500"/>
      <c r="CQ546" s="500"/>
      <c r="CR546" s="500"/>
      <c r="CS546" s="500"/>
      <c r="CT546" s="500"/>
      <c r="CU546" s="500"/>
      <c r="CV546" s="500"/>
      <c r="CW546" s="500"/>
      <c r="CX546" s="500"/>
      <c r="CY546" s="500"/>
      <c r="CZ546" s="500"/>
      <c r="DA546" s="500"/>
      <c r="DB546" s="500"/>
      <c r="DC546" s="500"/>
      <c r="DD546" s="500"/>
      <c r="DE546" s="500"/>
      <c r="DF546" s="500"/>
      <c r="DG546" s="500"/>
      <c r="DH546" s="500"/>
      <c r="DI546" s="500"/>
      <c r="DJ546" s="500"/>
      <c r="DK546" s="500"/>
      <c r="DL546" s="500"/>
      <c r="DM546" s="500"/>
      <c r="DN546" s="500"/>
      <c r="DO546" s="500"/>
      <c r="DP546" s="500"/>
      <c r="DQ546" s="500"/>
      <c r="DR546" s="500"/>
      <c r="DS546" s="500"/>
      <c r="DT546" s="500"/>
      <c r="DU546" s="500"/>
      <c r="DV546" s="500"/>
      <c r="DW546" s="500"/>
      <c r="DX546" s="500"/>
      <c r="DY546" s="500"/>
      <c r="DZ546" s="500"/>
      <c r="EA546" s="500"/>
      <c r="EB546" s="500"/>
      <c r="EC546" s="500"/>
      <c r="ED546" s="500"/>
      <c r="EE546" s="500"/>
      <c r="EF546" s="500"/>
      <c r="EG546" s="500"/>
      <c r="EH546" s="500"/>
      <c r="EI546" s="500"/>
      <c r="EJ546" s="500"/>
      <c r="EK546" s="500"/>
      <c r="EL546" s="500"/>
      <c r="EM546" s="500"/>
      <c r="EN546" s="500"/>
      <c r="EO546" s="500"/>
      <c r="EP546" s="500"/>
      <c r="EQ546" s="500"/>
      <c r="ER546" s="500"/>
      <c r="ES546" s="500"/>
      <c r="ET546" s="500"/>
      <c r="EU546" s="500"/>
      <c r="EV546" s="500"/>
      <c r="EW546" s="500"/>
      <c r="EX546" s="500"/>
      <c r="EY546" s="500"/>
      <c r="EZ546" s="500"/>
      <c r="FA546" s="500"/>
      <c r="FB546" s="500"/>
      <c r="FC546" s="500"/>
      <c r="FD546" s="500"/>
      <c r="FE546" s="500"/>
      <c r="FF546" s="500"/>
      <c r="FG546" s="500"/>
      <c r="FH546" s="500"/>
      <c r="FI546" s="500"/>
      <c r="FJ546" s="500"/>
      <c r="FK546" s="500"/>
      <c r="FL546" s="500"/>
      <c r="FM546" s="500"/>
      <c r="FN546" s="500"/>
      <c r="FO546" s="500"/>
      <c r="FP546" s="500"/>
      <c r="FQ546" s="500"/>
      <c r="FR546" s="500"/>
      <c r="FS546" s="500"/>
      <c r="FT546" s="500"/>
      <c r="FU546" s="500"/>
      <c r="FV546" s="500"/>
      <c r="FW546" s="500"/>
      <c r="FX546" s="500"/>
      <c r="FY546" s="500"/>
      <c r="FZ546" s="500"/>
      <c r="GA546" s="500"/>
      <c r="GB546" s="500"/>
      <c r="GC546" s="500"/>
      <c r="GD546" s="500"/>
      <c r="GE546" s="500"/>
      <c r="GF546" s="500"/>
      <c r="GG546" s="500"/>
      <c r="GH546" s="500"/>
      <c r="GI546" s="500"/>
      <c r="GJ546" s="500"/>
      <c r="GK546" s="500"/>
      <c r="GL546" s="500"/>
      <c r="GM546" s="500"/>
      <c r="GN546" s="500"/>
      <c r="GO546" s="500"/>
      <c r="GP546" s="500"/>
      <c r="GQ546" s="500"/>
      <c r="GR546" s="500"/>
      <c r="GS546" s="500"/>
      <c r="GT546" s="500"/>
      <c r="GU546" s="500"/>
      <c r="GV546" s="500"/>
      <c r="GW546" s="500"/>
      <c r="GX546" s="500"/>
      <c r="GY546" s="500"/>
      <c r="GZ546" s="500"/>
      <c r="HA546" s="500"/>
      <c r="HB546" s="500"/>
      <c r="HC546" s="500"/>
      <c r="HD546" s="500"/>
      <c r="HE546" s="500"/>
      <c r="HF546" s="500"/>
      <c r="HG546" s="500"/>
      <c r="HH546" s="500"/>
      <c r="HI546" s="500"/>
      <c r="HJ546" s="500"/>
      <c r="HK546" s="500"/>
      <c r="HL546" s="500"/>
      <c r="HM546" s="500"/>
      <c r="HN546" s="500"/>
      <c r="HO546" s="500"/>
      <c r="HP546" s="500"/>
      <c r="HQ546" s="500"/>
      <c r="HR546" s="500"/>
      <c r="HS546" s="500"/>
      <c r="HT546" s="500"/>
      <c r="HU546" s="500"/>
      <c r="HV546" s="500"/>
      <c r="HW546" s="500"/>
      <c r="HX546" s="500"/>
      <c r="HY546" s="500"/>
      <c r="HZ546" s="500"/>
      <c r="IA546" s="500"/>
      <c r="IB546" s="500"/>
      <c r="IC546" s="500"/>
      <c r="ID546" s="500"/>
      <c r="IE546" s="500"/>
      <c r="IF546" s="500"/>
      <c r="IG546" s="500"/>
      <c r="IH546" s="500"/>
      <c r="II546" s="500"/>
      <c r="IJ546" s="500"/>
      <c r="IK546" s="500"/>
      <c r="IL546" s="500"/>
      <c r="IM546" s="500"/>
      <c r="IN546" s="500"/>
      <c r="IO546" s="500"/>
      <c r="IP546" s="500"/>
      <c r="IQ546" s="500"/>
      <c r="IR546" s="500"/>
      <c r="IS546" s="500"/>
      <c r="IT546" s="500"/>
      <c r="IU546" s="500"/>
      <c r="IV546" s="500"/>
      <c r="IW546" s="500"/>
      <c r="IX546" s="500"/>
      <c r="IY546" s="500"/>
      <c r="IZ546" s="500"/>
      <c r="JA546" s="500"/>
      <c r="JB546" s="500"/>
      <c r="JC546" s="500"/>
      <c r="JD546" s="500"/>
      <c r="JE546" s="500"/>
      <c r="JF546" s="500"/>
      <c r="JG546" s="500"/>
      <c r="JH546" s="500"/>
      <c r="JI546" s="500"/>
      <c r="JJ546" s="500"/>
      <c r="JK546" s="500"/>
      <c r="JL546" s="500"/>
      <c r="JM546" s="500"/>
      <c r="JN546" s="500"/>
      <c r="JO546" s="500"/>
      <c r="JP546" s="500"/>
      <c r="JQ546" s="500"/>
      <c r="JR546" s="500"/>
      <c r="JS546" s="500"/>
      <c r="JT546" s="500"/>
      <c r="JU546" s="500"/>
      <c r="JV546" s="500"/>
      <c r="JW546" s="500"/>
      <c r="JX546" s="500"/>
      <c r="JY546" s="500"/>
      <c r="JZ546" s="500"/>
      <c r="KA546" s="500"/>
      <c r="KB546" s="500"/>
      <c r="KC546" s="500"/>
      <c r="KD546" s="500"/>
      <c r="KE546" s="500"/>
      <c r="KF546" s="500"/>
      <c r="KG546" s="500"/>
      <c r="KH546" s="500"/>
      <c r="KI546" s="500"/>
      <c r="KJ546" s="500"/>
      <c r="KK546" s="500"/>
      <c r="KL546" s="500"/>
      <c r="KM546" s="500"/>
      <c r="KN546" s="500"/>
      <c r="KO546" s="500"/>
      <c r="KP546" s="500"/>
      <c r="KQ546" s="500"/>
      <c r="KR546" s="500"/>
      <c r="KS546" s="500"/>
      <c r="KT546" s="500"/>
      <c r="KU546" s="500"/>
      <c r="KV546" s="500"/>
      <c r="KW546" s="500"/>
      <c r="KX546" s="500"/>
      <c r="KY546" s="500"/>
      <c r="KZ546" s="500"/>
      <c r="LA546" s="500"/>
      <c r="LB546" s="500"/>
      <c r="LC546" s="500"/>
      <c r="LD546" s="500"/>
      <c r="LE546" s="500"/>
      <c r="LF546" s="500"/>
      <c r="LG546" s="500"/>
      <c r="LH546" s="500"/>
      <c r="LI546" s="500"/>
      <c r="LJ546" s="500"/>
      <c r="LK546" s="500"/>
      <c r="LL546" s="500"/>
      <c r="LM546" s="500"/>
      <c r="LN546" s="500"/>
      <c r="LO546" s="500"/>
      <c r="LP546" s="500"/>
      <c r="LQ546" s="500"/>
      <c r="LR546" s="500"/>
      <c r="LS546" s="500"/>
      <c r="LT546" s="500"/>
      <c r="LU546" s="500"/>
      <c r="LV546" s="500"/>
      <c r="LW546" s="500"/>
      <c r="LX546" s="500"/>
      <c r="LY546" s="500"/>
      <c r="LZ546" s="500"/>
      <c r="MA546" s="500"/>
      <c r="MB546" s="500"/>
      <c r="MC546" s="500"/>
      <c r="MD546" s="500"/>
      <c r="ME546" s="500"/>
      <c r="MF546" s="500"/>
      <c r="MG546" s="500"/>
      <c r="MH546" s="500"/>
      <c r="MI546" s="500"/>
      <c r="MJ546" s="500"/>
      <c r="MK546" s="500"/>
      <c r="ML546" s="500"/>
      <c r="MM546" s="500"/>
      <c r="MN546" s="500"/>
      <c r="MO546" s="500"/>
      <c r="MP546" s="500"/>
      <c r="MQ546" s="500"/>
      <c r="MR546" s="500"/>
      <c r="MS546" s="500"/>
      <c r="MT546" s="500"/>
      <c r="MU546" s="500"/>
      <c r="MV546" s="500"/>
      <c r="MW546" s="500"/>
      <c r="MX546" s="500"/>
      <c r="MY546" s="500"/>
      <c r="MZ546" s="500"/>
      <c r="NA546" s="500"/>
      <c r="NB546" s="500"/>
      <c r="NC546" s="500"/>
      <c r="ND546" s="500"/>
      <c r="NE546" s="500"/>
      <c r="NF546" s="500"/>
      <c r="NG546" s="500"/>
      <c r="NH546" s="500"/>
      <c r="NI546" s="500"/>
      <c r="NJ546" s="500"/>
      <c r="NK546" s="500"/>
      <c r="NL546" s="500"/>
      <c r="NM546" s="500"/>
      <c r="NN546" s="500"/>
      <c r="NO546" s="500"/>
      <c r="NP546" s="500"/>
      <c r="NQ546" s="500"/>
      <c r="NR546" s="500"/>
      <c r="NS546" s="500"/>
      <c r="NT546" s="500"/>
      <c r="NU546" s="500"/>
      <c r="NV546" s="500"/>
      <c r="NW546" s="500"/>
      <c r="NX546" s="500"/>
      <c r="NY546" s="500"/>
      <c r="NZ546" s="500"/>
      <c r="OA546" s="500"/>
      <c r="OB546" s="500"/>
      <c r="OC546" s="500"/>
      <c r="OD546" s="500"/>
      <c r="OE546" s="500"/>
      <c r="OF546" s="500"/>
      <c r="OG546" s="500"/>
      <c r="OH546" s="500"/>
      <c r="OI546" s="500"/>
      <c r="OJ546" s="500"/>
      <c r="OK546" s="500"/>
      <c r="OL546" s="500"/>
      <c r="OM546" s="500"/>
      <c r="ON546" s="500"/>
      <c r="OO546" s="500"/>
      <c r="OP546" s="500"/>
      <c r="OQ546" s="500"/>
      <c r="OR546" s="500"/>
      <c r="OS546" s="500"/>
      <c r="OT546" s="500"/>
      <c r="OU546" s="500"/>
      <c r="OV546" s="500"/>
      <c r="OW546" s="500"/>
      <c r="OX546" s="500"/>
      <c r="OY546" s="500"/>
      <c r="OZ546" s="500"/>
      <c r="PA546" s="500"/>
      <c r="PB546" s="500"/>
      <c r="PC546" s="500"/>
      <c r="PD546" s="500"/>
      <c r="PE546" s="500"/>
      <c r="PF546" s="500"/>
      <c r="PG546" s="500"/>
      <c r="PH546" s="500"/>
      <c r="PI546" s="500"/>
      <c r="PJ546" s="500"/>
      <c r="PK546" s="500"/>
      <c r="PL546" s="500"/>
      <c r="PM546" s="500"/>
      <c r="PN546" s="500"/>
      <c r="PO546" s="500"/>
      <c r="PP546" s="500"/>
      <c r="PQ546" s="500"/>
      <c r="PR546" s="500"/>
      <c r="PS546" s="500"/>
      <c r="PT546" s="500"/>
      <c r="PU546" s="500"/>
      <c r="PV546" s="500"/>
      <c r="PW546" s="500"/>
      <c r="PX546" s="500"/>
      <c r="PY546" s="500"/>
      <c r="PZ546" s="500"/>
      <c r="QA546" s="500"/>
      <c r="QB546" s="500"/>
      <c r="QC546" s="500"/>
      <c r="QD546" s="500"/>
      <c r="QE546" s="500"/>
      <c r="QF546" s="500"/>
      <c r="QG546" s="500"/>
      <c r="QH546" s="500"/>
      <c r="QI546" s="500"/>
      <c r="QJ546" s="500"/>
      <c r="QK546" s="500"/>
      <c r="QL546" s="500"/>
      <c r="QM546" s="500"/>
      <c r="QN546" s="500"/>
      <c r="QO546" s="500"/>
      <c r="QP546" s="500"/>
      <c r="QQ546" s="500"/>
      <c r="QR546" s="500"/>
      <c r="QS546" s="500"/>
      <c r="QT546" s="500"/>
      <c r="QU546" s="500"/>
      <c r="QV546" s="500"/>
      <c r="QW546" s="500"/>
      <c r="QX546" s="500"/>
      <c r="QY546" s="500"/>
      <c r="QZ546" s="500"/>
      <c r="RA546" s="500"/>
      <c r="RB546" s="500"/>
      <c r="RC546" s="500"/>
      <c r="RD546" s="500"/>
      <c r="RE546" s="500"/>
      <c r="RF546" s="500"/>
      <c r="RG546" s="500"/>
      <c r="RH546" s="500"/>
      <c r="RI546" s="500"/>
      <c r="RJ546" s="500"/>
      <c r="RK546" s="500"/>
      <c r="RL546" s="500"/>
      <c r="RM546" s="500"/>
      <c r="RN546" s="500"/>
      <c r="RO546" s="500"/>
      <c r="RP546" s="500"/>
      <c r="RQ546" s="500"/>
      <c r="RR546" s="500"/>
      <c r="RS546" s="500"/>
      <c r="RT546" s="500"/>
      <c r="RU546" s="500"/>
      <c r="RV546" s="500"/>
      <c r="RW546" s="500"/>
      <c r="RX546" s="500"/>
      <c r="RY546" s="500"/>
      <c r="RZ546" s="500"/>
      <c r="SA546" s="500"/>
      <c r="SB546" s="500"/>
      <c r="SC546" s="500"/>
      <c r="SD546" s="500"/>
      <c r="SE546" s="500"/>
      <c r="SF546" s="500"/>
      <c r="SG546" s="500"/>
      <c r="SH546" s="500"/>
      <c r="SI546" s="500"/>
      <c r="SJ546" s="500"/>
      <c r="SK546" s="500"/>
      <c r="SL546" s="500"/>
      <c r="SM546" s="500"/>
      <c r="SN546" s="500"/>
      <c r="SO546" s="500"/>
      <c r="SP546" s="500"/>
      <c r="SQ546" s="500"/>
      <c r="SR546" s="500"/>
      <c r="SS546" s="500"/>
      <c r="ST546" s="500"/>
      <c r="SU546" s="500"/>
      <c r="SV546" s="500"/>
      <c r="SW546" s="500"/>
      <c r="SX546" s="500"/>
      <c r="SY546" s="500"/>
      <c r="SZ546" s="500"/>
      <c r="TA546" s="500"/>
      <c r="TB546" s="500"/>
      <c r="TC546" s="500"/>
      <c r="TD546" s="500"/>
      <c r="TE546" s="500"/>
      <c r="TF546" s="500"/>
      <c r="TG546" s="500"/>
      <c r="TH546" s="500"/>
      <c r="TI546" s="500"/>
      <c r="TJ546" s="500"/>
      <c r="TK546" s="500"/>
      <c r="TL546" s="500"/>
      <c r="TM546" s="500"/>
      <c r="TN546" s="500"/>
      <c r="TO546" s="500"/>
      <c r="TP546" s="500"/>
      <c r="TQ546" s="500"/>
      <c r="TR546" s="500"/>
      <c r="TS546" s="500"/>
      <c r="TT546" s="500"/>
      <c r="TU546" s="500"/>
      <c r="TV546" s="500"/>
      <c r="TW546" s="500"/>
      <c r="TX546" s="500"/>
      <c r="TY546" s="500"/>
      <c r="TZ546" s="500"/>
      <c r="UA546" s="500"/>
      <c r="UB546" s="500"/>
      <c r="UC546" s="500"/>
      <c r="UD546" s="500"/>
      <c r="UE546" s="500"/>
      <c r="UF546" s="500"/>
      <c r="UG546" s="500"/>
      <c r="UH546" s="500"/>
      <c r="UI546" s="500"/>
      <c r="UJ546" s="500"/>
      <c r="UK546" s="500"/>
      <c r="UL546" s="500"/>
      <c r="UM546" s="500"/>
      <c r="UN546" s="500"/>
      <c r="UO546" s="500"/>
      <c r="UP546" s="500"/>
      <c r="UQ546" s="500"/>
      <c r="UR546" s="500"/>
      <c r="US546" s="500"/>
      <c r="UT546" s="500"/>
      <c r="UU546" s="500"/>
      <c r="UV546" s="500"/>
      <c r="UW546" s="500"/>
      <c r="UX546" s="500"/>
      <c r="UY546" s="500"/>
      <c r="UZ546" s="500"/>
      <c r="VA546" s="500"/>
      <c r="VB546" s="500"/>
      <c r="VC546" s="500"/>
      <c r="VD546" s="500"/>
      <c r="VE546" s="500"/>
      <c r="VF546" s="500"/>
      <c r="VG546" s="500"/>
      <c r="VH546" s="500"/>
      <c r="VI546" s="500"/>
      <c r="VJ546" s="500"/>
      <c r="VK546" s="500"/>
      <c r="VL546" s="500"/>
      <c r="VM546" s="500"/>
      <c r="VN546" s="500"/>
      <c r="VO546" s="500"/>
      <c r="VP546" s="500"/>
      <c r="VQ546" s="500"/>
      <c r="VR546" s="500"/>
      <c r="VS546" s="500"/>
      <c r="VT546" s="500"/>
      <c r="VU546" s="500"/>
      <c r="VV546" s="500"/>
      <c r="VW546" s="500"/>
      <c r="VX546" s="500"/>
      <c r="VY546" s="500"/>
      <c r="VZ546" s="500"/>
      <c r="WA546" s="500"/>
      <c r="WB546" s="500"/>
      <c r="WC546" s="500"/>
      <c r="WD546" s="500"/>
      <c r="WE546" s="500"/>
      <c r="WF546" s="500"/>
      <c r="WG546" s="500"/>
      <c r="WH546" s="500"/>
      <c r="WI546" s="500"/>
      <c r="WJ546" s="500"/>
      <c r="WK546" s="500"/>
      <c r="WL546" s="500"/>
      <c r="WM546" s="500"/>
      <c r="WN546" s="500"/>
      <c r="WO546" s="500"/>
      <c r="WP546" s="500"/>
      <c r="WQ546" s="500"/>
      <c r="WR546" s="500"/>
      <c r="WS546" s="500"/>
      <c r="WT546" s="500"/>
      <c r="WU546" s="500"/>
      <c r="WV546" s="500"/>
      <c r="WW546" s="500"/>
      <c r="WX546" s="500"/>
      <c r="WY546" s="500"/>
      <c r="WZ546" s="500"/>
      <c r="XA546" s="500"/>
      <c r="XB546" s="500"/>
      <c r="XC546" s="500"/>
      <c r="XD546" s="500"/>
      <c r="XE546" s="500"/>
      <c r="XF546" s="500"/>
      <c r="XG546" s="500"/>
      <c r="XH546" s="500"/>
      <c r="XI546" s="500"/>
      <c r="XJ546" s="500"/>
      <c r="XK546" s="500"/>
      <c r="XL546" s="500"/>
      <c r="XM546" s="500"/>
      <c r="XN546" s="500"/>
      <c r="XO546" s="500"/>
      <c r="XP546" s="500"/>
      <c r="XQ546" s="500"/>
      <c r="XR546" s="500"/>
      <c r="XS546" s="500"/>
      <c r="XT546" s="500"/>
      <c r="XU546" s="500"/>
      <c r="XV546" s="500"/>
      <c r="XW546" s="500"/>
      <c r="XX546" s="500"/>
      <c r="XY546" s="500"/>
      <c r="XZ546" s="500"/>
      <c r="YA546" s="500"/>
      <c r="YB546" s="500"/>
      <c r="YC546" s="500"/>
      <c r="YD546" s="500"/>
      <c r="YE546" s="500"/>
      <c r="YF546" s="500"/>
      <c r="YG546" s="500"/>
      <c r="YH546" s="500"/>
      <c r="YI546" s="500"/>
      <c r="YJ546" s="500"/>
      <c r="YK546" s="500"/>
      <c r="YL546" s="500"/>
      <c r="YM546" s="500"/>
      <c r="YN546" s="500"/>
      <c r="YO546" s="500"/>
      <c r="YP546" s="500"/>
      <c r="YQ546" s="500"/>
      <c r="YR546" s="500"/>
      <c r="YS546" s="500"/>
      <c r="YT546" s="500"/>
      <c r="YU546" s="500"/>
      <c r="YV546" s="500"/>
      <c r="YW546" s="500"/>
      <c r="YX546" s="500"/>
      <c r="YY546" s="500"/>
      <c r="YZ546" s="500"/>
      <c r="ZA546" s="500"/>
      <c r="ZB546" s="500"/>
      <c r="ZC546" s="500"/>
      <c r="ZD546" s="500"/>
      <c r="ZE546" s="500"/>
      <c r="ZF546" s="500"/>
      <c r="ZG546" s="500"/>
      <c r="ZH546" s="500"/>
      <c r="ZI546" s="500"/>
      <c r="ZJ546" s="500"/>
      <c r="ZK546" s="500"/>
      <c r="ZL546" s="500"/>
      <c r="ZM546" s="500"/>
      <c r="ZN546" s="500"/>
      <c r="ZO546" s="500"/>
      <c r="ZP546" s="500"/>
      <c r="ZQ546" s="500"/>
      <c r="ZR546" s="500"/>
      <c r="ZS546" s="500"/>
      <c r="ZT546" s="500"/>
      <c r="ZU546" s="500"/>
      <c r="ZV546" s="500"/>
      <c r="ZW546" s="500"/>
      <c r="ZX546" s="500"/>
      <c r="ZY546" s="500"/>
      <c r="ZZ546" s="500"/>
      <c r="AAA546" s="500"/>
      <c r="AAB546" s="500"/>
      <c r="AAC546" s="500"/>
      <c r="AAD546" s="500"/>
      <c r="AAE546" s="500"/>
      <c r="AAF546" s="500"/>
      <c r="AAG546" s="500"/>
      <c r="AAH546" s="500"/>
      <c r="AAI546" s="500"/>
      <c r="AAJ546" s="500"/>
      <c r="AAK546" s="500"/>
      <c r="AAL546" s="500"/>
      <c r="AAM546" s="500"/>
      <c r="AAN546" s="500"/>
      <c r="AAO546" s="500"/>
      <c r="AAP546" s="500"/>
      <c r="AAQ546" s="500"/>
      <c r="AAR546" s="500"/>
      <c r="AAS546" s="500"/>
      <c r="AAT546" s="500"/>
      <c r="AAU546" s="500"/>
      <c r="AAV546" s="500"/>
      <c r="AAW546" s="500"/>
      <c r="AAX546" s="500"/>
      <c r="AAY546" s="500"/>
      <c r="AAZ546" s="500"/>
      <c r="ABA546" s="500"/>
      <c r="ABB546" s="500"/>
      <c r="ABC546" s="500"/>
      <c r="ABD546" s="500"/>
      <c r="ABE546" s="500"/>
      <c r="ABF546" s="500"/>
      <c r="ABG546" s="500"/>
      <c r="ABH546" s="500"/>
      <c r="ABI546" s="500"/>
      <c r="ABJ546" s="500"/>
      <c r="ABK546" s="500"/>
      <c r="ABL546" s="500"/>
      <c r="ABM546" s="500"/>
      <c r="ABN546" s="500"/>
      <c r="ABO546" s="500"/>
      <c r="ABP546" s="500"/>
      <c r="ABQ546" s="500"/>
      <c r="ABR546" s="500"/>
      <c r="ABS546" s="500"/>
      <c r="ABT546" s="500"/>
      <c r="ABU546" s="500"/>
      <c r="ABV546" s="500"/>
      <c r="ABW546" s="500"/>
      <c r="ABX546" s="500"/>
      <c r="ABY546" s="500"/>
      <c r="ABZ546" s="500"/>
      <c r="ACA546" s="500"/>
      <c r="ACB546" s="500"/>
      <c r="ACC546" s="500"/>
      <c r="ACD546" s="500"/>
      <c r="ACE546" s="500"/>
      <c r="ACF546" s="500"/>
      <c r="ACG546" s="500"/>
      <c r="ACH546" s="500"/>
      <c r="ACI546" s="500"/>
      <c r="ACJ546" s="500"/>
      <c r="ACK546" s="500"/>
      <c r="ACL546" s="500"/>
      <c r="ACM546" s="500"/>
      <c r="ACN546" s="500"/>
      <c r="ACO546" s="500"/>
      <c r="ACP546" s="500"/>
      <c r="ACQ546" s="500"/>
      <c r="ACR546" s="500"/>
      <c r="ACS546" s="500"/>
      <c r="ACT546" s="500"/>
      <c r="ACU546" s="500"/>
      <c r="ACV546" s="500"/>
      <c r="ACW546" s="500"/>
      <c r="ACX546" s="500"/>
      <c r="ACY546" s="500"/>
      <c r="ACZ546" s="500"/>
      <c r="ADA546" s="500"/>
      <c r="ADB546" s="500"/>
      <c r="ADC546" s="500"/>
      <c r="ADD546" s="500"/>
      <c r="ADE546" s="500"/>
      <c r="ADF546" s="500"/>
      <c r="ADG546" s="500"/>
      <c r="ADH546" s="500"/>
      <c r="ADI546" s="500"/>
      <c r="ADJ546" s="500"/>
      <c r="ADK546" s="500"/>
      <c r="ADL546" s="500"/>
      <c r="ADM546" s="500"/>
      <c r="ADN546" s="500"/>
      <c r="ADO546" s="500"/>
      <c r="ADP546" s="500"/>
      <c r="ADQ546" s="500"/>
      <c r="ADR546" s="500"/>
      <c r="ADS546" s="500"/>
      <c r="ADT546" s="500"/>
      <c r="ADU546" s="500"/>
      <c r="ADV546" s="500"/>
      <c r="ADW546" s="500"/>
      <c r="ADX546" s="500"/>
      <c r="ADY546" s="500"/>
      <c r="ADZ546" s="500"/>
      <c r="AEA546" s="500"/>
      <c r="AEB546" s="500"/>
      <c r="AEC546" s="500"/>
      <c r="AED546" s="500"/>
      <c r="AEE546" s="500"/>
      <c r="AEF546" s="500"/>
      <c r="AEG546" s="500"/>
      <c r="AEH546" s="500"/>
      <c r="AEI546" s="500"/>
      <c r="AEJ546" s="500"/>
      <c r="AEK546" s="500"/>
      <c r="AEL546" s="500"/>
      <c r="AEM546" s="500"/>
      <c r="AEN546" s="500"/>
      <c r="AEO546" s="500"/>
      <c r="AEP546" s="500"/>
      <c r="AEQ546" s="500"/>
      <c r="AER546" s="500"/>
      <c r="AES546" s="500"/>
      <c r="AET546" s="500"/>
      <c r="AEU546" s="500"/>
      <c r="AEV546" s="500"/>
      <c r="AEW546" s="500"/>
      <c r="AEX546" s="500"/>
      <c r="AEY546" s="500"/>
      <c r="AEZ546" s="500"/>
      <c r="AFA546" s="500"/>
      <c r="AFB546" s="500"/>
      <c r="AFC546" s="500"/>
      <c r="AFD546" s="500"/>
      <c r="AFE546" s="500"/>
      <c r="AFF546" s="500"/>
      <c r="AFG546" s="500"/>
      <c r="AFH546" s="500"/>
      <c r="AFI546" s="500"/>
      <c r="AFJ546" s="500"/>
      <c r="AFK546" s="500"/>
      <c r="AFL546" s="500"/>
      <c r="AFM546" s="500"/>
      <c r="AFN546" s="500"/>
      <c r="AFO546" s="500"/>
      <c r="AFP546" s="500"/>
      <c r="AFQ546" s="500"/>
      <c r="AFR546" s="500"/>
      <c r="AFS546" s="500"/>
      <c r="AFT546" s="500"/>
      <c r="AFU546" s="500"/>
      <c r="AFV546" s="500"/>
      <c r="AFW546" s="500"/>
      <c r="AFX546" s="500"/>
      <c r="AFY546" s="500"/>
      <c r="AFZ546" s="500"/>
      <c r="AGA546" s="500"/>
      <c r="AGB546" s="500"/>
      <c r="AGC546" s="500"/>
      <c r="AGD546" s="500"/>
      <c r="AGE546" s="500"/>
      <c r="AGF546" s="500"/>
      <c r="AGG546" s="500"/>
      <c r="AGH546" s="500"/>
      <c r="AGI546" s="500"/>
      <c r="AGJ546" s="500"/>
      <c r="AGK546" s="500"/>
      <c r="AGL546" s="500"/>
      <c r="AGM546" s="500"/>
      <c r="AGN546" s="500"/>
      <c r="AGO546" s="500"/>
      <c r="AGP546" s="500"/>
      <c r="AGQ546" s="500"/>
      <c r="AGR546" s="500"/>
      <c r="AGS546" s="500"/>
      <c r="AGT546" s="500"/>
      <c r="AGU546" s="500"/>
      <c r="AGV546" s="500"/>
      <c r="AGW546" s="500"/>
      <c r="AGX546" s="500"/>
      <c r="AGY546" s="500"/>
      <c r="AGZ546" s="500"/>
      <c r="AHA546" s="500"/>
      <c r="AHB546" s="500"/>
      <c r="AHC546" s="500"/>
      <c r="AHD546" s="500"/>
      <c r="AHE546" s="500"/>
      <c r="AHF546" s="500"/>
      <c r="AHG546" s="500"/>
      <c r="AHH546" s="500"/>
      <c r="AHI546" s="500"/>
      <c r="AHJ546" s="500"/>
      <c r="AHK546" s="500"/>
      <c r="AHL546" s="500"/>
      <c r="AHM546" s="500"/>
      <c r="AHN546" s="500"/>
      <c r="AHO546" s="500"/>
      <c r="AHP546" s="500"/>
      <c r="AHQ546" s="500"/>
      <c r="AHR546" s="500"/>
      <c r="AHS546" s="500"/>
      <c r="AHT546" s="500"/>
      <c r="AHU546" s="500"/>
      <c r="AHV546" s="500"/>
      <c r="AHW546" s="500"/>
      <c r="AHX546" s="500"/>
      <c r="AHY546" s="500"/>
      <c r="AHZ546" s="500"/>
      <c r="AIA546" s="500"/>
      <c r="AIB546" s="500"/>
      <c r="AIC546" s="500"/>
      <c r="AID546" s="500"/>
      <c r="AIE546" s="500"/>
      <c r="AIF546" s="500"/>
      <c r="AIG546" s="500"/>
      <c r="AIH546" s="500"/>
      <c r="AII546" s="500"/>
      <c r="AIJ546" s="500"/>
      <c r="AIK546" s="500"/>
      <c r="AIL546" s="500"/>
      <c r="AIM546" s="500"/>
      <c r="AIN546" s="500"/>
      <c r="AIO546" s="500"/>
      <c r="AIP546" s="500"/>
      <c r="AIQ546" s="500"/>
      <c r="AIR546" s="500"/>
      <c r="AIS546" s="500"/>
      <c r="AIT546" s="500"/>
      <c r="AIU546" s="500"/>
      <c r="AIV546" s="500"/>
      <c r="AIW546" s="500"/>
      <c r="AIX546" s="500"/>
      <c r="AIY546" s="500"/>
      <c r="AIZ546" s="500"/>
      <c r="AJA546" s="500"/>
      <c r="AJB546" s="500"/>
      <c r="AJC546" s="500"/>
      <c r="AJD546" s="500"/>
      <c r="AJE546" s="500"/>
      <c r="AJF546" s="500"/>
      <c r="AJG546" s="500"/>
      <c r="AJH546" s="500"/>
      <c r="AJI546" s="500"/>
      <c r="AJJ546" s="500"/>
      <c r="AJK546" s="500"/>
      <c r="AJL546" s="500"/>
      <c r="AJM546" s="500"/>
      <c r="AJN546" s="500"/>
      <c r="AJO546" s="500"/>
      <c r="AJP546" s="500"/>
      <c r="AJQ546" s="500"/>
      <c r="AJR546" s="500"/>
      <c r="AJS546" s="500"/>
      <c r="AJT546" s="500"/>
      <c r="AJU546" s="500"/>
      <c r="AJV546" s="500"/>
      <c r="AJW546" s="500"/>
      <c r="AJX546" s="500"/>
      <c r="AJY546" s="500"/>
      <c r="AJZ546" s="500"/>
      <c r="AKA546" s="500"/>
      <c r="AKB546" s="500"/>
      <c r="AKC546" s="500"/>
      <c r="AKD546" s="500"/>
      <c r="AKE546" s="500"/>
      <c r="AKF546" s="500"/>
      <c r="AKG546" s="500"/>
      <c r="AKH546" s="500"/>
      <c r="AKI546" s="500"/>
      <c r="AKJ546" s="500"/>
      <c r="AKK546" s="500"/>
      <c r="AKL546" s="500"/>
      <c r="AKM546" s="500"/>
      <c r="AKN546" s="500"/>
      <c r="AKO546" s="500"/>
      <c r="AKP546" s="500"/>
      <c r="AKQ546" s="500"/>
      <c r="AKR546" s="500"/>
      <c r="AKS546" s="500"/>
      <c r="AKT546" s="500"/>
      <c r="AKU546" s="500"/>
      <c r="AKV546" s="500"/>
      <c r="AKW546" s="500"/>
      <c r="AKX546" s="500"/>
      <c r="AKY546" s="500"/>
      <c r="AKZ546" s="500"/>
      <c r="ALA546" s="500"/>
      <c r="ALB546" s="500"/>
      <c r="ALC546" s="500"/>
      <c r="ALD546" s="500"/>
      <c r="ALE546" s="500"/>
      <c r="ALF546" s="500"/>
      <c r="ALG546" s="500"/>
      <c r="ALH546" s="500"/>
      <c r="ALI546" s="500"/>
      <c r="ALJ546" s="500"/>
      <c r="ALK546" s="500"/>
      <c r="ALL546" s="500"/>
      <c r="ALM546" s="500"/>
      <c r="ALN546" s="500"/>
      <c r="ALO546" s="500"/>
      <c r="ALP546" s="500"/>
      <c r="ALQ546" s="500"/>
      <c r="ALR546" s="500"/>
      <c r="ALS546" s="500"/>
      <c r="ALT546" s="500"/>
      <c r="ALU546" s="500"/>
      <c r="ALV546" s="500"/>
      <c r="ALW546" s="500"/>
      <c r="ALX546" s="500"/>
      <c r="ALY546" s="500"/>
      <c r="ALZ546" s="500"/>
      <c r="AMA546" s="500"/>
      <c r="AMB546" s="500"/>
      <c r="AMC546" s="500"/>
      <c r="AMD546" s="500"/>
      <c r="AME546" s="500"/>
      <c r="AMF546" s="500"/>
      <c r="AMG546" s="500"/>
      <c r="AMH546" s="500"/>
      <c r="AMI546" s="500"/>
      <c r="AMJ546" s="500"/>
      <c r="AMK546" s="500"/>
      <c r="AML546" s="500"/>
      <c r="AMM546" s="500"/>
      <c r="AMN546" s="500"/>
      <c r="AMO546" s="500"/>
      <c r="AMP546" s="500"/>
      <c r="AMQ546" s="500"/>
      <c r="AMR546" s="500"/>
      <c r="AMS546" s="500"/>
      <c r="AMT546" s="500"/>
      <c r="AMU546" s="500"/>
      <c r="AMV546" s="500"/>
      <c r="AMW546" s="500"/>
      <c r="AMX546" s="500"/>
      <c r="AMY546" s="500"/>
      <c r="AMZ546" s="500"/>
      <c r="ANA546" s="500"/>
      <c r="ANB546" s="500"/>
      <c r="ANC546" s="500"/>
      <c r="AND546" s="500"/>
      <c r="ANE546" s="500"/>
      <c r="ANF546" s="500"/>
      <c r="ANG546" s="500"/>
      <c r="ANH546" s="500"/>
      <c r="ANI546" s="500"/>
      <c r="ANJ546" s="500"/>
      <c r="ANK546" s="500"/>
      <c r="ANL546" s="500"/>
      <c r="ANM546" s="500"/>
      <c r="ANN546" s="500"/>
      <c r="ANO546" s="500"/>
      <c r="ANP546" s="500"/>
      <c r="ANQ546" s="500"/>
      <c r="ANR546" s="500"/>
      <c r="ANS546" s="500"/>
      <c r="ANT546" s="500"/>
      <c r="ANU546" s="500"/>
      <c r="ANV546" s="500"/>
      <c r="ANW546" s="500"/>
      <c r="ANX546" s="500"/>
      <c r="ANY546" s="500"/>
      <c r="ANZ546" s="500"/>
      <c r="AOA546" s="500"/>
      <c r="AOB546" s="500"/>
      <c r="AOC546" s="500"/>
      <c r="AOD546" s="500"/>
      <c r="AOE546" s="500"/>
      <c r="AOF546" s="500"/>
      <c r="AOG546" s="500"/>
      <c r="AOH546" s="500"/>
      <c r="AOI546" s="500"/>
      <c r="AOJ546" s="500"/>
      <c r="AOK546" s="500"/>
      <c r="AOL546" s="500"/>
      <c r="AOM546" s="500"/>
      <c r="AON546" s="500"/>
      <c r="AOO546" s="500"/>
      <c r="AOP546" s="500"/>
      <c r="AOQ546" s="500"/>
      <c r="AOR546" s="500"/>
      <c r="AOS546" s="500"/>
      <c r="AOT546" s="500"/>
      <c r="AOU546" s="500"/>
      <c r="AOV546" s="500"/>
      <c r="AOW546" s="500"/>
      <c r="AOX546" s="500"/>
      <c r="AOY546" s="500"/>
      <c r="AOZ546" s="500"/>
      <c r="APA546" s="500"/>
      <c r="APB546" s="500"/>
      <c r="APC546" s="500"/>
      <c r="APD546" s="500"/>
      <c r="APE546" s="500"/>
      <c r="APF546" s="500"/>
      <c r="APG546" s="500"/>
      <c r="APH546" s="500"/>
      <c r="API546" s="500"/>
      <c r="APJ546" s="500"/>
      <c r="APK546" s="500"/>
      <c r="APL546" s="500"/>
      <c r="APM546" s="500"/>
      <c r="APN546" s="500"/>
      <c r="APO546" s="500"/>
      <c r="APP546" s="500"/>
      <c r="APQ546" s="500"/>
      <c r="APR546" s="500"/>
      <c r="APS546" s="500"/>
      <c r="APT546" s="500"/>
      <c r="APU546" s="500"/>
      <c r="APV546" s="500"/>
      <c r="APW546" s="500"/>
      <c r="APX546" s="500"/>
      <c r="APY546" s="500"/>
      <c r="APZ546" s="500"/>
      <c r="AQA546" s="500"/>
      <c r="AQB546" s="500"/>
      <c r="AQC546" s="500"/>
      <c r="AQD546" s="500"/>
      <c r="AQE546" s="500"/>
      <c r="AQF546" s="500"/>
      <c r="AQG546" s="500"/>
      <c r="AQH546" s="500"/>
      <c r="AQI546" s="500"/>
      <c r="AQJ546" s="500"/>
      <c r="AQK546" s="500"/>
      <c r="AQL546" s="500"/>
      <c r="AQM546" s="500"/>
      <c r="AQN546" s="500"/>
      <c r="AQO546" s="500"/>
      <c r="AQP546" s="500"/>
      <c r="AQQ546" s="500"/>
      <c r="AQR546" s="500"/>
      <c r="AQS546" s="500"/>
      <c r="AQT546" s="500"/>
      <c r="AQU546" s="500"/>
      <c r="AQV546" s="500"/>
      <c r="AQW546" s="500"/>
      <c r="AQX546" s="500"/>
      <c r="AQY546" s="500"/>
      <c r="AQZ546" s="500"/>
      <c r="ARA546" s="500"/>
      <c r="ARB546" s="500"/>
      <c r="ARC546" s="500"/>
      <c r="ARD546" s="500"/>
      <c r="ARE546" s="500"/>
      <c r="ARF546" s="500"/>
      <c r="ARG546" s="500"/>
      <c r="ARH546" s="500"/>
      <c r="ARI546" s="500"/>
      <c r="ARJ546" s="500"/>
      <c r="ARK546" s="500"/>
      <c r="ARL546" s="500"/>
      <c r="ARM546" s="500"/>
      <c r="ARN546" s="500"/>
      <c r="ARO546" s="500"/>
      <c r="ARP546" s="500"/>
      <c r="ARQ546" s="500"/>
      <c r="ARR546" s="500"/>
      <c r="ARS546" s="500"/>
      <c r="ART546" s="500"/>
      <c r="ARU546" s="500"/>
      <c r="ARV546" s="500"/>
      <c r="ARW546" s="500"/>
      <c r="ARX546" s="500"/>
      <c r="ARY546" s="500"/>
      <c r="ARZ546" s="500"/>
      <c r="ASA546" s="500"/>
      <c r="ASB546" s="500"/>
      <c r="ASC546" s="500"/>
      <c r="ASD546" s="500"/>
      <c r="ASE546" s="500"/>
      <c r="ASF546" s="500"/>
      <c r="ASG546" s="500"/>
      <c r="ASH546" s="500"/>
      <c r="ASI546" s="500"/>
      <c r="ASJ546" s="500"/>
      <c r="ASK546" s="500"/>
      <c r="ASL546" s="500"/>
      <c r="ASM546" s="500"/>
      <c r="ASN546" s="500"/>
      <c r="ASO546" s="500"/>
      <c r="ASP546" s="500"/>
      <c r="ASQ546" s="500"/>
      <c r="ASR546" s="500"/>
      <c r="ASS546" s="500"/>
      <c r="AST546" s="500"/>
      <c r="ASU546" s="500"/>
      <c r="ASV546" s="500"/>
      <c r="ASW546" s="500"/>
      <c r="ASX546" s="500"/>
      <c r="ASY546" s="500"/>
      <c r="ASZ546" s="500"/>
      <c r="ATA546" s="500"/>
      <c r="ATB546" s="500"/>
      <c r="ATC546" s="500"/>
      <c r="ATD546" s="500"/>
      <c r="ATE546" s="500"/>
      <c r="ATF546" s="500"/>
      <c r="ATG546" s="500"/>
      <c r="ATH546" s="500"/>
      <c r="ATI546" s="500"/>
      <c r="ATJ546" s="500"/>
      <c r="ATK546" s="500"/>
      <c r="ATL546" s="500"/>
      <c r="ATM546" s="500"/>
      <c r="ATN546" s="500"/>
      <c r="ATO546" s="500"/>
      <c r="ATP546" s="500"/>
      <c r="ATQ546" s="500"/>
      <c r="ATR546" s="500"/>
      <c r="ATS546" s="500"/>
      <c r="ATT546" s="500"/>
      <c r="ATU546" s="500"/>
      <c r="ATV546" s="500"/>
      <c r="ATW546" s="500"/>
      <c r="ATX546" s="500"/>
      <c r="ATY546" s="500"/>
      <c r="ATZ546" s="500"/>
      <c r="AUA546" s="500"/>
      <c r="AUB546" s="500"/>
      <c r="AUC546" s="500"/>
      <c r="AUD546" s="500"/>
      <c r="AUE546" s="500"/>
      <c r="AUF546" s="500"/>
      <c r="AUG546" s="500"/>
      <c r="AUH546" s="500"/>
      <c r="AUI546" s="500"/>
      <c r="AUJ546" s="500"/>
      <c r="AUK546" s="500"/>
      <c r="AUL546" s="500"/>
      <c r="AUM546" s="500"/>
      <c r="AUN546" s="500"/>
      <c r="AUO546" s="500"/>
      <c r="AUP546" s="500"/>
      <c r="AUQ546" s="500"/>
      <c r="AUR546" s="500"/>
      <c r="AUS546" s="500"/>
      <c r="AUT546" s="500"/>
      <c r="AUU546" s="500"/>
      <c r="AUV546" s="500"/>
      <c r="AUW546" s="500"/>
      <c r="AUX546" s="500"/>
      <c r="AUY546" s="500"/>
      <c r="AUZ546" s="500"/>
      <c r="AVA546" s="500"/>
      <c r="AVB546" s="500"/>
      <c r="AVC546" s="500"/>
      <c r="AVD546" s="500"/>
      <c r="AVE546" s="500"/>
      <c r="AVF546" s="500"/>
      <c r="AVG546" s="500"/>
      <c r="AVH546" s="500"/>
      <c r="AVI546" s="500"/>
      <c r="AVJ546" s="500"/>
      <c r="AVK546" s="500"/>
      <c r="AVL546" s="500"/>
      <c r="AVM546" s="500"/>
      <c r="AVN546" s="500"/>
      <c r="AVO546" s="500"/>
      <c r="AVP546" s="500"/>
      <c r="AVQ546" s="500"/>
      <c r="AVR546" s="500"/>
      <c r="AVS546" s="500"/>
      <c r="AVT546" s="500"/>
      <c r="AVU546" s="500"/>
      <c r="AVV546" s="500"/>
      <c r="AVW546" s="500"/>
      <c r="AVX546" s="500"/>
      <c r="AVY546" s="500"/>
      <c r="AVZ546" s="500"/>
      <c r="AWA546" s="500"/>
      <c r="AWB546" s="500"/>
      <c r="AWC546" s="500"/>
      <c r="AWD546" s="500"/>
      <c r="AWE546" s="500"/>
      <c r="AWF546" s="500"/>
      <c r="AWG546" s="500"/>
      <c r="AWH546" s="500"/>
      <c r="AWI546" s="500"/>
      <c r="AWJ546" s="500"/>
      <c r="AWK546" s="500"/>
      <c r="AWL546" s="500"/>
      <c r="AWM546" s="500"/>
      <c r="AWN546" s="500"/>
      <c r="AWO546" s="500"/>
      <c r="AWP546" s="500"/>
      <c r="AWQ546" s="500"/>
      <c r="AWR546" s="500"/>
      <c r="AWS546" s="500"/>
      <c r="AWT546" s="500"/>
      <c r="AWU546" s="500"/>
      <c r="AWV546" s="500"/>
      <c r="AWW546" s="500"/>
      <c r="AWX546" s="500"/>
      <c r="AWY546" s="500"/>
      <c r="AWZ546" s="500"/>
      <c r="AXA546" s="500"/>
      <c r="AXB546" s="500"/>
      <c r="AXC546" s="500"/>
      <c r="AXD546" s="500"/>
      <c r="AXE546" s="500"/>
      <c r="AXF546" s="500"/>
      <c r="AXG546" s="500"/>
      <c r="AXH546" s="500"/>
      <c r="AXI546" s="500"/>
      <c r="AXJ546" s="500"/>
      <c r="AXK546" s="500"/>
      <c r="AXL546" s="500"/>
      <c r="AXM546" s="500"/>
      <c r="AXN546" s="500"/>
      <c r="AXO546" s="500"/>
      <c r="AXP546" s="500"/>
      <c r="AXQ546" s="500"/>
      <c r="AXR546" s="500"/>
      <c r="AXS546" s="500"/>
      <c r="AXT546" s="500"/>
      <c r="AXU546" s="500"/>
      <c r="AXV546" s="500"/>
      <c r="AXW546" s="500"/>
      <c r="AXX546" s="500"/>
      <c r="AXY546" s="500"/>
      <c r="AXZ546" s="500"/>
      <c r="AYA546" s="500"/>
      <c r="AYB546" s="500"/>
      <c r="AYC546" s="500"/>
      <c r="AYD546" s="500"/>
      <c r="AYE546" s="500"/>
      <c r="AYF546" s="500"/>
      <c r="AYG546" s="500"/>
      <c r="AYH546" s="500"/>
      <c r="AYI546" s="500"/>
      <c r="AYJ546" s="500"/>
      <c r="AYK546" s="500"/>
      <c r="AYL546" s="500"/>
      <c r="AYM546" s="500"/>
      <c r="AYN546" s="500"/>
      <c r="AYO546" s="500"/>
      <c r="AYP546" s="500"/>
      <c r="AYQ546" s="500"/>
      <c r="AYR546" s="500"/>
      <c r="AYS546" s="500"/>
      <c r="AYT546" s="500"/>
      <c r="AYU546" s="500"/>
      <c r="AYV546" s="500"/>
      <c r="AYW546" s="500"/>
      <c r="AYX546" s="500"/>
      <c r="AYY546" s="500"/>
      <c r="AYZ546" s="500"/>
      <c r="AZA546" s="500"/>
      <c r="AZB546" s="500"/>
      <c r="AZC546" s="500"/>
      <c r="AZD546" s="500"/>
      <c r="AZE546" s="500"/>
      <c r="AZF546" s="500"/>
      <c r="AZG546" s="500"/>
      <c r="AZH546" s="500"/>
      <c r="AZI546" s="500"/>
      <c r="AZJ546" s="500"/>
      <c r="AZK546" s="500"/>
      <c r="AZL546" s="500"/>
      <c r="AZM546" s="500"/>
      <c r="AZN546" s="500"/>
      <c r="AZO546" s="500"/>
      <c r="AZP546" s="500"/>
      <c r="AZQ546" s="500"/>
      <c r="AZR546" s="500"/>
      <c r="AZS546" s="500"/>
      <c r="AZT546" s="500"/>
      <c r="AZU546" s="500"/>
      <c r="AZV546" s="500"/>
      <c r="AZW546" s="500"/>
      <c r="AZX546" s="500"/>
      <c r="AZY546" s="500"/>
      <c r="AZZ546" s="500"/>
      <c r="BAA546" s="500"/>
      <c r="BAB546" s="500"/>
      <c r="BAC546" s="500"/>
      <c r="BAD546" s="500"/>
      <c r="BAE546" s="500"/>
      <c r="BAF546" s="500"/>
      <c r="BAG546" s="500"/>
      <c r="BAH546" s="500"/>
      <c r="BAI546" s="500"/>
      <c r="BAJ546" s="500"/>
      <c r="BAK546" s="500"/>
      <c r="BAL546" s="500"/>
      <c r="BAM546" s="500"/>
      <c r="BAN546" s="500"/>
      <c r="BAO546" s="500"/>
      <c r="BAP546" s="500"/>
      <c r="BAQ546" s="500"/>
      <c r="BAR546" s="500"/>
      <c r="BAS546" s="500"/>
      <c r="BAT546" s="500"/>
      <c r="BAU546" s="500"/>
      <c r="BAV546" s="500"/>
      <c r="BAW546" s="500"/>
      <c r="BAX546" s="500"/>
      <c r="BAY546" s="500"/>
      <c r="BAZ546" s="500"/>
      <c r="BBA546" s="500"/>
      <c r="BBB546" s="500"/>
      <c r="BBC546" s="500"/>
      <c r="BBD546" s="500"/>
      <c r="BBE546" s="500"/>
      <c r="BBF546" s="500"/>
      <c r="BBG546" s="500"/>
      <c r="BBH546" s="500"/>
      <c r="BBI546" s="500"/>
      <c r="BBJ546" s="500"/>
      <c r="BBK546" s="500"/>
      <c r="BBL546" s="500"/>
      <c r="BBM546" s="500"/>
      <c r="BBN546" s="500"/>
      <c r="BBO546" s="500"/>
      <c r="BBP546" s="500"/>
      <c r="BBQ546" s="500"/>
      <c r="BBR546" s="500"/>
      <c r="BBS546" s="500"/>
      <c r="BBT546" s="500"/>
      <c r="BBU546" s="500"/>
      <c r="BBV546" s="500"/>
      <c r="BBW546" s="500"/>
      <c r="BBX546" s="500"/>
      <c r="BBY546" s="500"/>
      <c r="BBZ546" s="500"/>
      <c r="BCA546" s="500"/>
      <c r="BCB546" s="500"/>
      <c r="BCC546" s="500"/>
      <c r="BCD546" s="500"/>
      <c r="BCE546" s="500"/>
      <c r="BCF546" s="500"/>
      <c r="BCG546" s="500"/>
      <c r="BCH546" s="500"/>
      <c r="BCI546" s="500"/>
      <c r="BCJ546" s="500"/>
      <c r="BCK546" s="500"/>
      <c r="BCL546" s="500"/>
      <c r="BCM546" s="500"/>
      <c r="BCN546" s="500"/>
      <c r="BCO546" s="500"/>
      <c r="BCP546" s="500"/>
      <c r="BCQ546" s="500"/>
      <c r="BCR546" s="500"/>
      <c r="BCS546" s="500"/>
      <c r="BCT546" s="500"/>
      <c r="BCU546" s="500"/>
      <c r="BCV546" s="500"/>
      <c r="BCW546" s="500"/>
      <c r="BCX546" s="500"/>
      <c r="BCY546" s="500"/>
      <c r="BCZ546" s="500"/>
      <c r="BDA546" s="500"/>
      <c r="BDB546" s="500"/>
      <c r="BDC546" s="500"/>
      <c r="BDD546" s="500"/>
      <c r="BDE546" s="500"/>
      <c r="BDF546" s="500"/>
      <c r="BDG546" s="500"/>
      <c r="BDH546" s="500"/>
      <c r="BDI546" s="500"/>
      <c r="BDJ546" s="500"/>
      <c r="BDK546" s="500"/>
      <c r="BDL546" s="500"/>
      <c r="BDM546" s="500"/>
      <c r="BDN546" s="500"/>
      <c r="BDO546" s="500"/>
      <c r="BDP546" s="500"/>
      <c r="BDQ546" s="500"/>
      <c r="BDR546" s="500"/>
      <c r="BDS546" s="500"/>
      <c r="BDT546" s="500"/>
      <c r="BDU546" s="500"/>
      <c r="BDV546" s="500"/>
      <c r="BDW546" s="500"/>
      <c r="BDX546" s="500"/>
      <c r="BDY546" s="500"/>
      <c r="BDZ546" s="500"/>
      <c r="BEA546" s="500"/>
      <c r="BEB546" s="500"/>
      <c r="BEC546" s="500"/>
      <c r="BED546" s="500"/>
      <c r="BEE546" s="500"/>
      <c r="BEF546" s="500"/>
      <c r="BEG546" s="500"/>
      <c r="BEH546" s="500"/>
      <c r="BEI546" s="500"/>
      <c r="BEJ546" s="500"/>
      <c r="BEK546" s="500"/>
      <c r="BEL546" s="500"/>
      <c r="BEM546" s="500"/>
      <c r="BEN546" s="500"/>
      <c r="BEO546" s="500"/>
      <c r="BEP546" s="500"/>
      <c r="BEQ546" s="500"/>
      <c r="BER546" s="500"/>
      <c r="BES546" s="500"/>
      <c r="BET546" s="500"/>
      <c r="BEU546" s="500"/>
      <c r="BEV546" s="500"/>
      <c r="BEW546" s="500"/>
      <c r="BEX546" s="500"/>
      <c r="BEY546" s="500"/>
      <c r="BEZ546" s="500"/>
      <c r="BFA546" s="500"/>
      <c r="BFB546" s="500"/>
      <c r="BFC546" s="500"/>
      <c r="BFD546" s="500"/>
      <c r="BFE546" s="500"/>
      <c r="BFF546" s="500"/>
      <c r="BFG546" s="500"/>
      <c r="BFH546" s="500"/>
      <c r="BFI546" s="500"/>
      <c r="BFJ546" s="500"/>
      <c r="BFK546" s="500"/>
      <c r="BFL546" s="500"/>
      <c r="BFM546" s="500"/>
      <c r="BFN546" s="500"/>
      <c r="BFO546" s="500"/>
      <c r="BFP546" s="500"/>
      <c r="BFQ546" s="500"/>
      <c r="BFR546" s="500"/>
      <c r="BFS546" s="500"/>
      <c r="BFT546" s="500"/>
      <c r="BFU546" s="500"/>
      <c r="BFV546" s="500"/>
      <c r="BFW546" s="500"/>
      <c r="BFX546" s="500"/>
      <c r="BFY546" s="500"/>
      <c r="BFZ546" s="500"/>
      <c r="BGA546" s="500"/>
      <c r="BGB546" s="500"/>
      <c r="BGC546" s="500"/>
      <c r="BGD546" s="500"/>
      <c r="BGE546" s="500"/>
      <c r="BGF546" s="500"/>
      <c r="BGG546" s="500"/>
      <c r="BGH546" s="500"/>
      <c r="BGI546" s="500"/>
      <c r="BGJ546" s="500"/>
      <c r="BGK546" s="500"/>
      <c r="BGL546" s="500"/>
      <c r="BGM546" s="500"/>
      <c r="BGN546" s="500"/>
      <c r="BGO546" s="500"/>
      <c r="BGP546" s="500"/>
      <c r="BGQ546" s="500"/>
      <c r="BGR546" s="500"/>
      <c r="BGS546" s="500"/>
      <c r="BGT546" s="500"/>
      <c r="BGU546" s="500"/>
      <c r="BGV546" s="500"/>
      <c r="BGW546" s="500"/>
      <c r="BGX546" s="500"/>
      <c r="BGY546" s="500"/>
      <c r="BGZ546" s="500"/>
      <c r="BHA546" s="500"/>
      <c r="BHB546" s="500"/>
      <c r="BHC546" s="500"/>
      <c r="BHD546" s="500"/>
      <c r="BHE546" s="500"/>
      <c r="BHF546" s="500"/>
      <c r="BHG546" s="500"/>
      <c r="BHH546" s="500"/>
      <c r="BHI546" s="500"/>
      <c r="BHJ546" s="500"/>
      <c r="BHK546" s="500"/>
      <c r="BHL546" s="500"/>
      <c r="BHM546" s="500"/>
      <c r="BHN546" s="500"/>
      <c r="BHO546" s="500"/>
      <c r="BHP546" s="500"/>
      <c r="BHQ546" s="500"/>
      <c r="BHR546" s="500"/>
      <c r="BHS546" s="500"/>
      <c r="BHT546" s="500"/>
      <c r="BHU546" s="500"/>
      <c r="BHV546" s="500"/>
      <c r="BHW546" s="500"/>
      <c r="BHX546" s="500"/>
      <c r="BHY546" s="500"/>
      <c r="BHZ546" s="500"/>
      <c r="BIA546" s="500"/>
      <c r="BIB546" s="500"/>
      <c r="BIC546" s="500"/>
      <c r="BID546" s="500"/>
      <c r="BIE546" s="500"/>
      <c r="BIF546" s="500"/>
      <c r="BIG546" s="500"/>
      <c r="BIH546" s="500"/>
      <c r="BII546" s="500"/>
      <c r="BIJ546" s="500"/>
      <c r="BIK546" s="500"/>
      <c r="BIL546" s="500"/>
      <c r="BIM546" s="500"/>
      <c r="BIN546" s="500"/>
      <c r="BIO546" s="500"/>
      <c r="BIP546" s="500"/>
      <c r="BIQ546" s="500"/>
      <c r="BIR546" s="500"/>
      <c r="BIS546" s="500"/>
      <c r="BIT546" s="500"/>
      <c r="BIU546" s="500"/>
      <c r="BIV546" s="500"/>
      <c r="BIW546" s="500"/>
      <c r="BIX546" s="500"/>
      <c r="BIY546" s="500"/>
      <c r="BIZ546" s="500"/>
      <c r="BJA546" s="500"/>
      <c r="BJB546" s="500"/>
      <c r="BJC546" s="500"/>
      <c r="BJD546" s="500"/>
      <c r="BJE546" s="500"/>
      <c r="BJF546" s="500"/>
      <c r="BJG546" s="500"/>
      <c r="BJH546" s="500"/>
      <c r="BJI546" s="500"/>
      <c r="BJJ546" s="500"/>
      <c r="BJK546" s="500"/>
      <c r="BJL546" s="500"/>
      <c r="BJM546" s="500"/>
      <c r="BJN546" s="500"/>
      <c r="BJO546" s="500"/>
      <c r="BJP546" s="500"/>
      <c r="BJQ546" s="500"/>
      <c r="BJR546" s="500"/>
      <c r="BJS546" s="500"/>
      <c r="BJT546" s="500"/>
      <c r="BJU546" s="500"/>
      <c r="BJV546" s="500"/>
      <c r="BJW546" s="500"/>
      <c r="BJX546" s="500"/>
      <c r="BJY546" s="500"/>
      <c r="BJZ546" s="500"/>
      <c r="BKA546" s="500"/>
      <c r="BKB546" s="500"/>
      <c r="BKC546" s="500"/>
      <c r="BKD546" s="500"/>
      <c r="BKE546" s="500"/>
      <c r="BKF546" s="500"/>
      <c r="BKG546" s="500"/>
      <c r="BKH546" s="500"/>
      <c r="BKI546" s="500"/>
      <c r="BKJ546" s="500"/>
      <c r="BKK546" s="500"/>
      <c r="BKL546" s="500"/>
      <c r="BKM546" s="500"/>
      <c r="BKN546" s="500"/>
      <c r="BKO546" s="500"/>
      <c r="BKP546" s="500"/>
      <c r="BKQ546" s="500"/>
      <c r="BKR546" s="500"/>
      <c r="BKS546" s="500"/>
      <c r="BKT546" s="500"/>
      <c r="BKU546" s="500"/>
      <c r="BKV546" s="500"/>
      <c r="BKW546" s="500"/>
      <c r="BKX546" s="500"/>
      <c r="BKY546" s="500"/>
      <c r="BKZ546" s="500"/>
      <c r="BLA546" s="500"/>
      <c r="BLB546" s="500"/>
      <c r="BLC546" s="500"/>
      <c r="BLD546" s="500"/>
      <c r="BLE546" s="500"/>
      <c r="BLF546" s="500"/>
      <c r="BLG546" s="500"/>
      <c r="BLH546" s="500"/>
      <c r="BLI546" s="500"/>
      <c r="BLJ546" s="500"/>
      <c r="BLK546" s="500"/>
      <c r="BLL546" s="500"/>
      <c r="BLM546" s="500"/>
      <c r="BLN546" s="500"/>
      <c r="BLO546" s="500"/>
      <c r="BLP546" s="500"/>
      <c r="BLQ546" s="500"/>
      <c r="BLR546" s="500"/>
      <c r="BLS546" s="500"/>
      <c r="BLT546" s="500"/>
      <c r="BLU546" s="500"/>
      <c r="BLV546" s="500"/>
      <c r="BLW546" s="500"/>
      <c r="BLX546" s="500"/>
      <c r="BLY546" s="500"/>
      <c r="BLZ546" s="500"/>
      <c r="BMA546" s="500"/>
      <c r="BMB546" s="500"/>
      <c r="BMC546" s="500"/>
      <c r="BMD546" s="500"/>
      <c r="BME546" s="500"/>
      <c r="BMF546" s="500"/>
      <c r="BMG546" s="500"/>
      <c r="BMH546" s="500"/>
      <c r="BMI546" s="500"/>
      <c r="BMJ546" s="500"/>
      <c r="BMK546" s="500"/>
      <c r="BML546" s="500"/>
      <c r="BMM546" s="500"/>
      <c r="BMN546" s="500"/>
      <c r="BMO546" s="500"/>
      <c r="BMP546" s="500"/>
      <c r="BMQ546" s="500"/>
      <c r="BMR546" s="500"/>
      <c r="BMS546" s="500"/>
      <c r="BMT546" s="500"/>
      <c r="BMU546" s="500"/>
      <c r="BMV546" s="500"/>
      <c r="BMW546" s="500"/>
      <c r="BMX546" s="500"/>
      <c r="BMY546" s="500"/>
      <c r="BMZ546" s="500"/>
      <c r="BNA546" s="500"/>
      <c r="BNB546" s="500"/>
      <c r="BNC546" s="500"/>
      <c r="BND546" s="500"/>
      <c r="BNE546" s="500"/>
      <c r="BNF546" s="500"/>
      <c r="BNG546" s="500"/>
      <c r="BNH546" s="500"/>
      <c r="BNI546" s="500"/>
      <c r="BNJ546" s="500"/>
      <c r="BNK546" s="500"/>
      <c r="BNL546" s="500"/>
      <c r="BNM546" s="500"/>
      <c r="BNN546" s="500"/>
      <c r="BNO546" s="500"/>
      <c r="BNP546" s="500"/>
      <c r="BNQ546" s="500"/>
      <c r="BNR546" s="500"/>
      <c r="BNS546" s="500"/>
      <c r="BNT546" s="500"/>
      <c r="BNU546" s="500"/>
      <c r="BNV546" s="500"/>
      <c r="BNW546" s="500"/>
      <c r="BNX546" s="500"/>
      <c r="BNY546" s="500"/>
      <c r="BNZ546" s="500"/>
      <c r="BOA546" s="500"/>
      <c r="BOB546" s="500"/>
      <c r="BOC546" s="500"/>
      <c r="BOD546" s="500"/>
      <c r="BOE546" s="500"/>
      <c r="BOF546" s="500"/>
      <c r="BOG546" s="500"/>
      <c r="BOH546" s="500"/>
      <c r="BOI546" s="500"/>
      <c r="BOJ546" s="500"/>
      <c r="BOK546" s="500"/>
      <c r="BOL546" s="500"/>
      <c r="BOM546" s="500"/>
      <c r="BON546" s="500"/>
      <c r="BOO546" s="500"/>
      <c r="BOP546" s="500"/>
      <c r="BOQ546" s="500"/>
      <c r="BOR546" s="500"/>
      <c r="BOS546" s="500"/>
      <c r="BOT546" s="500"/>
      <c r="BOU546" s="500"/>
      <c r="BOV546" s="500"/>
      <c r="BOW546" s="500"/>
      <c r="BOX546" s="500"/>
      <c r="BOY546" s="500"/>
      <c r="BOZ546" s="500"/>
      <c r="BPA546" s="500"/>
      <c r="BPB546" s="500"/>
      <c r="BPC546" s="500"/>
      <c r="BPD546" s="500"/>
      <c r="BPE546" s="500"/>
      <c r="BPF546" s="500"/>
      <c r="BPG546" s="500"/>
      <c r="BPH546" s="500"/>
      <c r="BPI546" s="500"/>
      <c r="BPJ546" s="500"/>
      <c r="BPK546" s="500"/>
      <c r="BPL546" s="500"/>
      <c r="BPM546" s="500"/>
      <c r="BPN546" s="500"/>
      <c r="BPO546" s="500"/>
      <c r="BPP546" s="500"/>
      <c r="BPQ546" s="500"/>
      <c r="BPR546" s="500"/>
      <c r="BPS546" s="500"/>
      <c r="BPT546" s="500"/>
      <c r="BPU546" s="500"/>
      <c r="BPV546" s="500"/>
      <c r="BPW546" s="500"/>
      <c r="BPX546" s="500"/>
      <c r="BPY546" s="500"/>
      <c r="BPZ546" s="500"/>
      <c r="BQA546" s="500"/>
      <c r="BQB546" s="500"/>
      <c r="BQC546" s="500"/>
      <c r="BQD546" s="500"/>
      <c r="BQE546" s="500"/>
      <c r="BQF546" s="500"/>
      <c r="BQG546" s="500"/>
      <c r="BQH546" s="500"/>
      <c r="BQI546" s="500"/>
      <c r="BQJ546" s="500"/>
      <c r="BQK546" s="500"/>
      <c r="BQL546" s="500"/>
      <c r="BQM546" s="500"/>
      <c r="BQN546" s="500"/>
      <c r="BQO546" s="500"/>
      <c r="BQP546" s="500"/>
      <c r="BQQ546" s="500"/>
      <c r="BQR546" s="500"/>
      <c r="BQS546" s="500"/>
      <c r="BQT546" s="500"/>
      <c r="BQU546" s="500"/>
      <c r="BQV546" s="500"/>
      <c r="BQW546" s="500"/>
      <c r="BQX546" s="500"/>
      <c r="BQY546" s="500"/>
      <c r="BQZ546" s="500"/>
      <c r="BRA546" s="500"/>
      <c r="BRB546" s="500"/>
      <c r="BRC546" s="500"/>
      <c r="BRD546" s="500"/>
      <c r="BRE546" s="500"/>
      <c r="BRF546" s="500"/>
      <c r="BRG546" s="500"/>
      <c r="BRH546" s="500"/>
      <c r="BRI546" s="500"/>
      <c r="BRJ546" s="500"/>
      <c r="BRK546" s="500"/>
      <c r="BRL546" s="500"/>
      <c r="BRM546" s="500"/>
      <c r="BRN546" s="500"/>
      <c r="BRO546" s="500"/>
      <c r="BRP546" s="500"/>
      <c r="BRQ546" s="500"/>
      <c r="BRR546" s="500"/>
      <c r="BRS546" s="500"/>
      <c r="BRT546" s="500"/>
      <c r="BRU546" s="500"/>
      <c r="BRV546" s="500"/>
      <c r="BRW546" s="500"/>
      <c r="BRX546" s="500"/>
      <c r="BRY546" s="500"/>
      <c r="BRZ546" s="500"/>
      <c r="BSA546" s="500"/>
      <c r="BSB546" s="500"/>
      <c r="BSC546" s="500"/>
      <c r="BSD546" s="500"/>
      <c r="BSE546" s="500"/>
      <c r="BSF546" s="500"/>
      <c r="BSG546" s="500"/>
      <c r="BSH546" s="500"/>
      <c r="BSI546" s="500"/>
      <c r="BSJ546" s="500"/>
      <c r="BSK546" s="500"/>
      <c r="BSL546" s="500"/>
      <c r="BSM546" s="500"/>
      <c r="BSN546" s="500"/>
      <c r="BSO546" s="500"/>
      <c r="BSP546" s="500"/>
      <c r="BSQ546" s="500"/>
      <c r="BSR546" s="500"/>
      <c r="BSS546" s="500"/>
      <c r="BST546" s="500"/>
      <c r="BSU546" s="500"/>
      <c r="BSV546" s="500"/>
      <c r="BSW546" s="500"/>
      <c r="BSX546" s="500"/>
      <c r="BSY546" s="500"/>
      <c r="BSZ546" s="500"/>
      <c r="BTA546" s="500"/>
      <c r="BTB546" s="500"/>
      <c r="BTC546" s="500"/>
      <c r="BTD546" s="500"/>
      <c r="BTE546" s="500"/>
      <c r="BTF546" s="500"/>
      <c r="BTG546" s="500"/>
      <c r="BTH546" s="500"/>
      <c r="BTI546" s="500"/>
      <c r="BTJ546" s="500"/>
      <c r="BTK546" s="500"/>
      <c r="BTL546" s="500"/>
      <c r="BTM546" s="500"/>
      <c r="BTN546" s="500"/>
      <c r="BTO546" s="500"/>
      <c r="BTP546" s="500"/>
      <c r="BTQ546" s="500"/>
      <c r="BTR546" s="500"/>
      <c r="BTS546" s="500"/>
      <c r="BTT546" s="500"/>
      <c r="BTU546" s="500"/>
      <c r="BTV546" s="500"/>
      <c r="BTW546" s="500"/>
      <c r="BTX546" s="500"/>
      <c r="BTY546" s="500"/>
      <c r="BTZ546" s="500"/>
      <c r="BUA546" s="500"/>
      <c r="BUB546" s="500"/>
      <c r="BUC546" s="500"/>
      <c r="BUD546" s="500"/>
      <c r="BUE546" s="500"/>
      <c r="BUF546" s="500"/>
      <c r="BUG546" s="500"/>
      <c r="BUH546" s="500"/>
      <c r="BUI546" s="500"/>
      <c r="BUJ546" s="500"/>
      <c r="BUK546" s="500"/>
      <c r="BUL546" s="500"/>
      <c r="BUM546" s="500"/>
      <c r="BUN546" s="500"/>
      <c r="BUO546" s="500"/>
      <c r="BUP546" s="500"/>
      <c r="BUQ546" s="500"/>
      <c r="BUR546" s="500"/>
      <c r="BUS546" s="500"/>
      <c r="BUT546" s="500"/>
      <c r="BUU546" s="500"/>
      <c r="BUV546" s="500"/>
      <c r="BUW546" s="500"/>
      <c r="BUX546" s="500"/>
      <c r="BUY546" s="500"/>
      <c r="BUZ546" s="500"/>
      <c r="BVA546" s="500"/>
      <c r="BVB546" s="500"/>
      <c r="BVC546" s="500"/>
      <c r="BVD546" s="500"/>
      <c r="BVE546" s="500"/>
      <c r="BVF546" s="500"/>
      <c r="BVG546" s="500"/>
      <c r="BVH546" s="500"/>
      <c r="BVI546" s="500"/>
      <c r="BVJ546" s="500"/>
      <c r="BVK546" s="500"/>
      <c r="BVL546" s="500"/>
      <c r="BVM546" s="500"/>
      <c r="BVN546" s="500"/>
      <c r="BVO546" s="500"/>
      <c r="BVP546" s="500"/>
      <c r="BVQ546" s="500"/>
      <c r="BVR546" s="500"/>
      <c r="BVS546" s="500"/>
      <c r="BVT546" s="500"/>
      <c r="BVU546" s="500"/>
      <c r="BVV546" s="500"/>
      <c r="BVW546" s="500"/>
      <c r="BVX546" s="500"/>
      <c r="BVY546" s="500"/>
      <c r="BVZ546" s="500"/>
      <c r="BWA546" s="500"/>
      <c r="BWB546" s="500"/>
      <c r="BWC546" s="500"/>
      <c r="BWD546" s="500"/>
      <c r="BWE546" s="500"/>
      <c r="BWF546" s="500"/>
      <c r="BWG546" s="500"/>
      <c r="BWH546" s="500"/>
      <c r="BWI546" s="500"/>
      <c r="BWJ546" s="500"/>
      <c r="BWK546" s="500"/>
      <c r="BWL546" s="500"/>
      <c r="BWM546" s="500"/>
      <c r="BWN546" s="500"/>
      <c r="BWO546" s="500"/>
      <c r="BWP546" s="500"/>
      <c r="BWQ546" s="500"/>
      <c r="BWR546" s="500"/>
      <c r="BWS546" s="500"/>
      <c r="BWT546" s="500"/>
      <c r="BWU546" s="500"/>
      <c r="BWV546" s="500"/>
      <c r="BWW546" s="500"/>
      <c r="BWX546" s="500"/>
      <c r="BWY546" s="500"/>
      <c r="BWZ546" s="500"/>
      <c r="BXA546" s="500"/>
      <c r="BXB546" s="500"/>
      <c r="BXC546" s="500"/>
      <c r="BXD546" s="500"/>
      <c r="BXE546" s="500"/>
      <c r="BXF546" s="500"/>
      <c r="BXG546" s="500"/>
      <c r="BXH546" s="500"/>
      <c r="BXI546" s="500"/>
      <c r="BXJ546" s="500"/>
      <c r="BXK546" s="500"/>
      <c r="BXL546" s="500"/>
      <c r="BXM546" s="500"/>
      <c r="BXN546" s="500"/>
      <c r="BXO546" s="500"/>
      <c r="BXP546" s="500"/>
      <c r="BXQ546" s="500"/>
      <c r="BXR546" s="500"/>
      <c r="BXS546" s="500"/>
      <c r="BXT546" s="500"/>
      <c r="BXU546" s="500"/>
      <c r="BXV546" s="500"/>
      <c r="BXW546" s="500"/>
      <c r="BXX546" s="500"/>
      <c r="BXY546" s="500"/>
      <c r="BXZ546" s="500"/>
      <c r="BYA546" s="500"/>
      <c r="BYB546" s="500"/>
      <c r="BYC546" s="500"/>
      <c r="BYD546" s="500"/>
      <c r="BYE546" s="500"/>
      <c r="BYF546" s="500"/>
      <c r="BYG546" s="500"/>
      <c r="BYH546" s="500"/>
      <c r="BYI546" s="500"/>
      <c r="BYJ546" s="500"/>
      <c r="BYK546" s="500"/>
      <c r="BYL546" s="500"/>
      <c r="BYM546" s="500"/>
      <c r="BYN546" s="500"/>
      <c r="BYO546" s="500"/>
      <c r="BYP546" s="500"/>
      <c r="BYQ546" s="500"/>
      <c r="BYR546" s="500"/>
      <c r="BYS546" s="500"/>
      <c r="BYT546" s="500"/>
      <c r="BYU546" s="500"/>
      <c r="BYV546" s="500"/>
      <c r="BYW546" s="500"/>
      <c r="BYX546" s="500"/>
      <c r="BYY546" s="500"/>
      <c r="BYZ546" s="500"/>
      <c r="BZA546" s="500"/>
      <c r="BZB546" s="500"/>
      <c r="BZC546" s="500"/>
      <c r="BZD546" s="500"/>
      <c r="BZE546" s="500"/>
      <c r="BZF546" s="500"/>
      <c r="BZG546" s="500"/>
      <c r="BZH546" s="500"/>
      <c r="BZI546" s="500"/>
      <c r="BZJ546" s="500"/>
      <c r="BZK546" s="500"/>
      <c r="BZL546" s="500"/>
      <c r="BZM546" s="500"/>
      <c r="BZN546" s="500"/>
      <c r="BZO546" s="500"/>
      <c r="BZP546" s="500"/>
      <c r="BZQ546" s="500"/>
      <c r="BZR546" s="500"/>
      <c r="BZS546" s="500"/>
      <c r="BZT546" s="500"/>
      <c r="BZU546" s="500"/>
      <c r="BZV546" s="500"/>
      <c r="BZW546" s="500"/>
      <c r="BZX546" s="500"/>
      <c r="BZY546" s="500"/>
      <c r="BZZ546" s="500"/>
      <c r="CAA546" s="500"/>
      <c r="CAB546" s="500"/>
      <c r="CAC546" s="500"/>
      <c r="CAD546" s="500"/>
      <c r="CAE546" s="500"/>
      <c r="CAF546" s="500"/>
      <c r="CAG546" s="500"/>
      <c r="CAH546" s="500"/>
      <c r="CAI546" s="500"/>
      <c r="CAJ546" s="500"/>
      <c r="CAK546" s="500"/>
      <c r="CAL546" s="500"/>
      <c r="CAM546" s="500"/>
      <c r="CAN546" s="500"/>
      <c r="CAO546" s="500"/>
      <c r="CAP546" s="500"/>
      <c r="CAQ546" s="500"/>
      <c r="CAR546" s="500"/>
      <c r="CAS546" s="500"/>
      <c r="CAT546" s="500"/>
      <c r="CAU546" s="500"/>
      <c r="CAV546" s="500"/>
      <c r="CAW546" s="500"/>
      <c r="CAX546" s="500"/>
      <c r="CAY546" s="500"/>
      <c r="CAZ546" s="500"/>
      <c r="CBA546" s="500"/>
      <c r="CBB546" s="500"/>
      <c r="CBC546" s="500"/>
      <c r="CBD546" s="500"/>
      <c r="CBE546" s="500"/>
      <c r="CBF546" s="500"/>
      <c r="CBG546" s="500"/>
      <c r="CBH546" s="500"/>
      <c r="CBI546" s="500"/>
      <c r="CBJ546" s="500"/>
      <c r="CBK546" s="500"/>
      <c r="CBL546" s="500"/>
      <c r="CBM546" s="500"/>
      <c r="CBN546" s="500"/>
      <c r="CBO546" s="500"/>
      <c r="CBP546" s="500"/>
      <c r="CBQ546" s="500"/>
      <c r="CBR546" s="500"/>
      <c r="CBS546" s="500"/>
      <c r="CBT546" s="500"/>
      <c r="CBU546" s="500"/>
      <c r="CBV546" s="500"/>
      <c r="CBW546" s="500"/>
      <c r="CBX546" s="500"/>
      <c r="CBY546" s="500"/>
      <c r="CBZ546" s="500"/>
      <c r="CCA546" s="500"/>
      <c r="CCB546" s="500"/>
      <c r="CCC546" s="500"/>
      <c r="CCD546" s="500"/>
      <c r="CCE546" s="500"/>
      <c r="CCF546" s="500"/>
      <c r="CCG546" s="500"/>
      <c r="CCH546" s="500"/>
      <c r="CCI546" s="500"/>
      <c r="CCJ546" s="500"/>
      <c r="CCK546" s="500"/>
      <c r="CCL546" s="500"/>
      <c r="CCM546" s="500"/>
      <c r="CCN546" s="500"/>
      <c r="CCO546" s="500"/>
      <c r="CCP546" s="500"/>
      <c r="CCQ546" s="500"/>
      <c r="CCR546" s="500"/>
      <c r="CCS546" s="500"/>
      <c r="CCT546" s="500"/>
      <c r="CCU546" s="500"/>
      <c r="CCV546" s="500"/>
      <c r="CCW546" s="500"/>
      <c r="CCX546" s="500"/>
      <c r="CCY546" s="500"/>
      <c r="CCZ546" s="500"/>
      <c r="CDA546" s="500"/>
      <c r="CDB546" s="500"/>
      <c r="CDC546" s="500"/>
      <c r="CDD546" s="500"/>
      <c r="CDE546" s="500"/>
      <c r="CDF546" s="500"/>
      <c r="CDG546" s="500"/>
      <c r="CDH546" s="500"/>
      <c r="CDI546" s="500"/>
      <c r="CDJ546" s="500"/>
      <c r="CDK546" s="500"/>
      <c r="CDL546" s="500"/>
      <c r="CDM546" s="500"/>
      <c r="CDN546" s="500"/>
      <c r="CDO546" s="500"/>
      <c r="CDP546" s="500"/>
      <c r="CDQ546" s="500"/>
      <c r="CDR546" s="500"/>
      <c r="CDS546" s="500"/>
      <c r="CDT546" s="500"/>
      <c r="CDU546" s="500"/>
      <c r="CDV546" s="500"/>
      <c r="CDW546" s="500"/>
      <c r="CDX546" s="500"/>
      <c r="CDY546" s="500"/>
      <c r="CDZ546" s="500"/>
      <c r="CEA546" s="500"/>
      <c r="CEB546" s="500"/>
      <c r="CEC546" s="500"/>
      <c r="CED546" s="500"/>
      <c r="CEE546" s="500"/>
      <c r="CEF546" s="500"/>
      <c r="CEG546" s="500"/>
      <c r="CEH546" s="500"/>
      <c r="CEI546" s="500"/>
      <c r="CEJ546" s="500"/>
      <c r="CEK546" s="500"/>
      <c r="CEL546" s="500"/>
      <c r="CEM546" s="500"/>
      <c r="CEN546" s="500"/>
      <c r="CEO546" s="500"/>
      <c r="CEP546" s="500"/>
      <c r="CEQ546" s="500"/>
      <c r="CER546" s="500"/>
      <c r="CES546" s="500"/>
      <c r="CET546" s="500"/>
      <c r="CEU546" s="500"/>
      <c r="CEV546" s="500"/>
      <c r="CEW546" s="500"/>
      <c r="CEX546" s="500"/>
      <c r="CEY546" s="500"/>
      <c r="CEZ546" s="500"/>
      <c r="CFA546" s="500"/>
      <c r="CFB546" s="500"/>
      <c r="CFC546" s="500"/>
      <c r="CFD546" s="500"/>
      <c r="CFE546" s="500"/>
      <c r="CFF546" s="500"/>
      <c r="CFG546" s="500"/>
      <c r="CFH546" s="500"/>
      <c r="CFI546" s="500"/>
      <c r="CFJ546" s="500"/>
      <c r="CFK546" s="500"/>
      <c r="CFL546" s="500"/>
      <c r="CFM546" s="500"/>
      <c r="CFN546" s="500"/>
      <c r="CFO546" s="500"/>
      <c r="CFP546" s="500"/>
      <c r="CFQ546" s="500"/>
      <c r="CFR546" s="500"/>
      <c r="CFS546" s="500"/>
      <c r="CFT546" s="500"/>
      <c r="CFU546" s="500"/>
      <c r="CFV546" s="500"/>
      <c r="CFW546" s="500"/>
      <c r="CFX546" s="500"/>
      <c r="CFY546" s="500"/>
      <c r="CFZ546" s="500"/>
      <c r="CGA546" s="500"/>
      <c r="CGB546" s="500"/>
      <c r="CGC546" s="500"/>
      <c r="CGD546" s="500"/>
      <c r="CGE546" s="500"/>
      <c r="CGF546" s="500"/>
      <c r="CGG546" s="500"/>
      <c r="CGH546" s="500"/>
      <c r="CGI546" s="500"/>
      <c r="CGJ546" s="500"/>
      <c r="CGK546" s="500"/>
      <c r="CGL546" s="500"/>
      <c r="CGM546" s="500"/>
      <c r="CGN546" s="500"/>
      <c r="CGO546" s="500"/>
      <c r="CGP546" s="500"/>
      <c r="CGQ546" s="500"/>
      <c r="CGR546" s="500"/>
      <c r="CGS546" s="500"/>
      <c r="CGT546" s="500"/>
      <c r="CGU546" s="500"/>
      <c r="CGV546" s="500"/>
      <c r="CGW546" s="500"/>
      <c r="CGX546" s="500"/>
      <c r="CGY546" s="500"/>
      <c r="CGZ546" s="500"/>
      <c r="CHA546" s="500"/>
      <c r="CHB546" s="500"/>
      <c r="CHC546" s="500"/>
      <c r="CHD546" s="500"/>
      <c r="CHE546" s="500"/>
      <c r="CHF546" s="500"/>
      <c r="CHG546" s="500"/>
      <c r="CHH546" s="500"/>
      <c r="CHI546" s="500"/>
      <c r="CHJ546" s="500"/>
      <c r="CHK546" s="500"/>
      <c r="CHL546" s="500"/>
      <c r="CHM546" s="500"/>
      <c r="CHN546" s="500"/>
      <c r="CHO546" s="500"/>
      <c r="CHP546" s="500"/>
      <c r="CHQ546" s="500"/>
      <c r="CHR546" s="500"/>
      <c r="CHS546" s="500"/>
      <c r="CHT546" s="500"/>
      <c r="CHU546" s="500"/>
      <c r="CHV546" s="500"/>
      <c r="CHW546" s="500"/>
      <c r="CHX546" s="500"/>
      <c r="CHY546" s="500"/>
      <c r="CHZ546" s="500"/>
      <c r="CIA546" s="500"/>
      <c r="CIB546" s="500"/>
      <c r="CIC546" s="500"/>
      <c r="CID546" s="500"/>
      <c r="CIE546" s="500"/>
      <c r="CIF546" s="500"/>
      <c r="CIG546" s="500"/>
      <c r="CIH546" s="500"/>
      <c r="CII546" s="500"/>
      <c r="CIJ546" s="500"/>
      <c r="CIK546" s="500"/>
      <c r="CIL546" s="500"/>
      <c r="CIM546" s="500"/>
      <c r="CIN546" s="500"/>
      <c r="CIO546" s="500"/>
      <c r="CIP546" s="500"/>
      <c r="CIQ546" s="500"/>
      <c r="CIR546" s="500"/>
      <c r="CIS546" s="500"/>
      <c r="CIT546" s="500"/>
      <c r="CIU546" s="500"/>
      <c r="CIV546" s="500"/>
      <c r="CIW546" s="500"/>
      <c r="CIX546" s="500"/>
      <c r="CIY546" s="500"/>
      <c r="CIZ546" s="500"/>
      <c r="CJA546" s="500"/>
      <c r="CJB546" s="500"/>
      <c r="CJC546" s="500"/>
      <c r="CJD546" s="500"/>
      <c r="CJE546" s="500"/>
      <c r="CJF546" s="500"/>
      <c r="CJG546" s="500"/>
      <c r="CJH546" s="500"/>
      <c r="CJI546" s="500"/>
      <c r="CJJ546" s="500"/>
      <c r="CJK546" s="500"/>
      <c r="CJL546" s="500"/>
      <c r="CJM546" s="500"/>
      <c r="CJN546" s="500"/>
      <c r="CJO546" s="500"/>
      <c r="CJP546" s="500"/>
      <c r="CJQ546" s="500"/>
      <c r="CJR546" s="500"/>
      <c r="CJS546" s="500"/>
      <c r="CJT546" s="500"/>
      <c r="CJU546" s="500"/>
      <c r="CJV546" s="500"/>
      <c r="CJW546" s="500"/>
      <c r="CJX546" s="500"/>
      <c r="CJY546" s="500"/>
      <c r="CJZ546" s="500"/>
      <c r="CKA546" s="500"/>
      <c r="CKB546" s="500"/>
      <c r="CKC546" s="500"/>
      <c r="CKD546" s="500"/>
      <c r="CKE546" s="500"/>
      <c r="CKF546" s="500"/>
      <c r="CKG546" s="500"/>
      <c r="CKH546" s="500"/>
      <c r="CKI546" s="500"/>
      <c r="CKJ546" s="500"/>
      <c r="CKK546" s="500"/>
      <c r="CKL546" s="500"/>
      <c r="CKM546" s="500"/>
      <c r="CKN546" s="500"/>
      <c r="CKO546" s="500"/>
      <c r="CKP546" s="500"/>
      <c r="CKQ546" s="500"/>
      <c r="CKR546" s="500"/>
      <c r="CKS546" s="500"/>
      <c r="CKT546" s="500"/>
      <c r="CKU546" s="500"/>
      <c r="CKV546" s="500"/>
      <c r="CKW546" s="500"/>
      <c r="CKX546" s="500"/>
      <c r="CKY546" s="500"/>
      <c r="CKZ546" s="500"/>
      <c r="CLA546" s="500"/>
      <c r="CLB546" s="500"/>
      <c r="CLC546" s="500"/>
      <c r="CLD546" s="500"/>
      <c r="CLE546" s="500"/>
      <c r="CLF546" s="500"/>
      <c r="CLG546" s="500"/>
      <c r="CLH546" s="500"/>
      <c r="CLI546" s="500"/>
      <c r="CLJ546" s="500"/>
      <c r="CLK546" s="500"/>
      <c r="CLL546" s="500"/>
      <c r="CLM546" s="500"/>
      <c r="CLN546" s="500"/>
      <c r="CLO546" s="500"/>
      <c r="CLP546" s="500"/>
      <c r="CLQ546" s="500"/>
      <c r="CLR546" s="500"/>
      <c r="CLS546" s="500"/>
      <c r="CLT546" s="500"/>
      <c r="CLU546" s="500"/>
      <c r="CLV546" s="500"/>
      <c r="CLW546" s="500"/>
      <c r="CLX546" s="500"/>
      <c r="CLY546" s="500"/>
      <c r="CLZ546" s="500"/>
      <c r="CMA546" s="500"/>
      <c r="CMB546" s="500"/>
      <c r="CMC546" s="500"/>
      <c r="CMD546" s="500"/>
      <c r="CME546" s="500"/>
      <c r="CMF546" s="500"/>
      <c r="CMG546" s="500"/>
      <c r="CMH546" s="500"/>
      <c r="CMI546" s="500"/>
      <c r="CMJ546" s="500"/>
      <c r="CMK546" s="500"/>
      <c r="CML546" s="500"/>
      <c r="CMM546" s="500"/>
      <c r="CMN546" s="500"/>
      <c r="CMO546" s="500"/>
      <c r="CMP546" s="500"/>
      <c r="CMQ546" s="500"/>
      <c r="CMR546" s="500"/>
      <c r="CMS546" s="500"/>
      <c r="CMT546" s="500"/>
      <c r="CMU546" s="500"/>
      <c r="CMV546" s="500"/>
      <c r="CMW546" s="500"/>
      <c r="CMX546" s="500"/>
      <c r="CMY546" s="500"/>
      <c r="CMZ546" s="500"/>
      <c r="CNA546" s="500"/>
      <c r="CNB546" s="500"/>
      <c r="CNC546" s="500"/>
      <c r="CND546" s="500"/>
      <c r="CNE546" s="500"/>
      <c r="CNF546" s="500"/>
      <c r="CNG546" s="500"/>
      <c r="CNH546" s="500"/>
      <c r="CNI546" s="500"/>
      <c r="CNJ546" s="500"/>
      <c r="CNK546" s="500"/>
      <c r="CNL546" s="500"/>
      <c r="CNM546" s="500"/>
      <c r="CNN546" s="500"/>
      <c r="CNO546" s="500"/>
      <c r="CNP546" s="500"/>
      <c r="CNQ546" s="500"/>
      <c r="CNR546" s="500"/>
      <c r="CNS546" s="500"/>
      <c r="CNT546" s="500"/>
      <c r="CNU546" s="500"/>
      <c r="CNV546" s="500"/>
      <c r="CNW546" s="500"/>
      <c r="CNX546" s="500"/>
      <c r="CNY546" s="500"/>
      <c r="CNZ546" s="500"/>
      <c r="COA546" s="500"/>
      <c r="COB546" s="500"/>
      <c r="COC546" s="500"/>
      <c r="COD546" s="500"/>
      <c r="COE546" s="500"/>
      <c r="COF546" s="500"/>
      <c r="COG546" s="500"/>
      <c r="COH546" s="500"/>
      <c r="COI546" s="500"/>
      <c r="COJ546" s="500"/>
      <c r="COK546" s="500"/>
      <c r="COL546" s="500"/>
      <c r="COM546" s="500"/>
      <c r="CON546" s="500"/>
      <c r="COO546" s="500"/>
      <c r="COP546" s="500"/>
      <c r="COQ546" s="500"/>
      <c r="COR546" s="500"/>
      <c r="COS546" s="500"/>
      <c r="COT546" s="500"/>
      <c r="COU546" s="500"/>
      <c r="COV546" s="500"/>
      <c r="COW546" s="500"/>
      <c r="COX546" s="500"/>
      <c r="COY546" s="500"/>
      <c r="COZ546" s="500"/>
      <c r="CPA546" s="500"/>
      <c r="CPB546" s="500"/>
      <c r="CPC546" s="500"/>
      <c r="CPD546" s="500"/>
      <c r="CPE546" s="500"/>
      <c r="CPF546" s="500"/>
      <c r="CPG546" s="500"/>
      <c r="CPH546" s="500"/>
      <c r="CPI546" s="500"/>
      <c r="CPJ546" s="500"/>
      <c r="CPK546" s="500"/>
      <c r="CPL546" s="500"/>
      <c r="CPM546" s="500"/>
      <c r="CPN546" s="500"/>
      <c r="CPO546" s="500"/>
      <c r="CPP546" s="500"/>
      <c r="CPQ546" s="500"/>
      <c r="CPR546" s="500"/>
      <c r="CPS546" s="500"/>
      <c r="CPT546" s="500"/>
      <c r="CPU546" s="500"/>
      <c r="CPV546" s="500"/>
      <c r="CPW546" s="500"/>
      <c r="CPX546" s="500"/>
      <c r="CPY546" s="500"/>
      <c r="CPZ546" s="500"/>
      <c r="CQA546" s="500"/>
      <c r="CQB546" s="500"/>
      <c r="CQC546" s="500"/>
      <c r="CQD546" s="500"/>
      <c r="CQE546" s="500"/>
      <c r="CQF546" s="500"/>
      <c r="CQG546" s="500"/>
      <c r="CQH546" s="500"/>
      <c r="CQI546" s="500"/>
      <c r="CQJ546" s="500"/>
      <c r="CQK546" s="500"/>
      <c r="CQL546" s="500"/>
      <c r="CQM546" s="500"/>
      <c r="CQN546" s="500"/>
      <c r="CQO546" s="500"/>
      <c r="CQP546" s="500"/>
      <c r="CQQ546" s="500"/>
      <c r="CQR546" s="500"/>
      <c r="CQS546" s="500"/>
      <c r="CQT546" s="500"/>
      <c r="CQU546" s="500"/>
      <c r="CQV546" s="500"/>
      <c r="CQW546" s="500"/>
      <c r="CQX546" s="500"/>
      <c r="CQY546" s="500"/>
      <c r="CQZ546" s="500"/>
      <c r="CRA546" s="500"/>
      <c r="CRB546" s="500"/>
      <c r="CRC546" s="500"/>
      <c r="CRD546" s="500"/>
      <c r="CRE546" s="500"/>
      <c r="CRF546" s="500"/>
      <c r="CRG546" s="500"/>
      <c r="CRH546" s="500"/>
      <c r="CRI546" s="500"/>
      <c r="CRJ546" s="500"/>
      <c r="CRK546" s="500"/>
      <c r="CRL546" s="500"/>
      <c r="CRM546" s="500"/>
      <c r="CRN546" s="500"/>
      <c r="CRO546" s="500"/>
      <c r="CRP546" s="500"/>
      <c r="CRQ546" s="500"/>
      <c r="CRR546" s="500"/>
      <c r="CRS546" s="500"/>
      <c r="CRT546" s="500"/>
      <c r="CRU546" s="500"/>
      <c r="CRV546" s="500"/>
      <c r="CRW546" s="500"/>
      <c r="CRX546" s="500"/>
      <c r="CRY546" s="500"/>
      <c r="CRZ546" s="500"/>
      <c r="CSA546" s="500"/>
      <c r="CSB546" s="500"/>
      <c r="CSC546" s="500"/>
      <c r="CSD546" s="500"/>
      <c r="CSE546" s="500"/>
      <c r="CSF546" s="500"/>
      <c r="CSG546" s="500"/>
      <c r="CSH546" s="500"/>
      <c r="CSI546" s="500"/>
      <c r="CSJ546" s="500"/>
      <c r="CSK546" s="500"/>
      <c r="CSL546" s="500"/>
      <c r="CSM546" s="500"/>
      <c r="CSN546" s="500"/>
      <c r="CSO546" s="500"/>
      <c r="CSP546" s="500"/>
      <c r="CSQ546" s="500"/>
      <c r="CSR546" s="500"/>
      <c r="CSS546" s="500"/>
      <c r="CST546" s="500"/>
      <c r="CSU546" s="500"/>
      <c r="CSV546" s="500"/>
      <c r="CSW546" s="500"/>
      <c r="CSX546" s="500"/>
      <c r="CSY546" s="500"/>
      <c r="CSZ546" s="500"/>
      <c r="CTA546" s="500"/>
      <c r="CTB546" s="500"/>
      <c r="CTC546" s="500"/>
      <c r="CTD546" s="500"/>
      <c r="CTE546" s="500"/>
      <c r="CTF546" s="500"/>
      <c r="CTG546" s="500"/>
      <c r="CTH546" s="500"/>
      <c r="CTI546" s="500"/>
      <c r="CTJ546" s="500"/>
      <c r="CTK546" s="500"/>
      <c r="CTL546" s="500"/>
      <c r="CTM546" s="500"/>
      <c r="CTN546" s="500"/>
      <c r="CTO546" s="500"/>
      <c r="CTP546" s="500"/>
      <c r="CTQ546" s="500"/>
      <c r="CTR546" s="500"/>
      <c r="CTS546" s="500"/>
      <c r="CTT546" s="500"/>
      <c r="CTU546" s="500"/>
      <c r="CTV546" s="500"/>
      <c r="CTW546" s="500"/>
      <c r="CTX546" s="500"/>
      <c r="CTY546" s="500"/>
      <c r="CTZ546" s="500"/>
      <c r="CUA546" s="500"/>
      <c r="CUB546" s="500"/>
      <c r="CUC546" s="500"/>
      <c r="CUD546" s="500"/>
      <c r="CUE546" s="500"/>
      <c r="CUF546" s="500"/>
      <c r="CUG546" s="500"/>
      <c r="CUH546" s="500"/>
      <c r="CUI546" s="500"/>
      <c r="CUJ546" s="500"/>
      <c r="CUK546" s="500"/>
      <c r="CUL546" s="500"/>
      <c r="CUM546" s="500"/>
      <c r="CUN546" s="500"/>
      <c r="CUO546" s="500"/>
      <c r="CUP546" s="500"/>
      <c r="CUQ546" s="500"/>
      <c r="CUR546" s="500"/>
      <c r="CUS546" s="500"/>
      <c r="CUT546" s="500"/>
      <c r="CUU546" s="500"/>
      <c r="CUV546" s="500"/>
      <c r="CUW546" s="500"/>
      <c r="CUX546" s="500"/>
      <c r="CUY546" s="500"/>
      <c r="CUZ546" s="500"/>
      <c r="CVA546" s="500"/>
      <c r="CVB546" s="500"/>
      <c r="CVC546" s="500"/>
      <c r="CVD546" s="500"/>
      <c r="CVE546" s="500"/>
      <c r="CVF546" s="500"/>
      <c r="CVG546" s="500"/>
      <c r="CVH546" s="500"/>
      <c r="CVI546" s="500"/>
      <c r="CVJ546" s="500"/>
      <c r="CVK546" s="500"/>
      <c r="CVL546" s="500"/>
      <c r="CVM546" s="500"/>
      <c r="CVN546" s="500"/>
      <c r="CVO546" s="500"/>
      <c r="CVP546" s="500"/>
      <c r="CVQ546" s="500"/>
      <c r="CVR546" s="500"/>
      <c r="CVS546" s="500"/>
      <c r="CVT546" s="500"/>
      <c r="CVU546" s="500"/>
      <c r="CVV546" s="500"/>
      <c r="CVW546" s="500"/>
      <c r="CVX546" s="500"/>
      <c r="CVY546" s="500"/>
      <c r="CVZ546" s="500"/>
      <c r="CWA546" s="500"/>
      <c r="CWB546" s="500"/>
      <c r="CWC546" s="500"/>
      <c r="CWD546" s="500"/>
      <c r="CWE546" s="500"/>
      <c r="CWF546" s="500"/>
      <c r="CWG546" s="500"/>
      <c r="CWH546" s="500"/>
      <c r="CWI546" s="500"/>
      <c r="CWJ546" s="500"/>
      <c r="CWK546" s="500"/>
      <c r="CWL546" s="500"/>
      <c r="CWM546" s="500"/>
      <c r="CWN546" s="500"/>
      <c r="CWO546" s="500"/>
      <c r="CWP546" s="500"/>
      <c r="CWQ546" s="500"/>
      <c r="CWR546" s="500"/>
      <c r="CWS546" s="500"/>
      <c r="CWT546" s="500"/>
      <c r="CWU546" s="500"/>
      <c r="CWV546" s="500"/>
      <c r="CWW546" s="500"/>
      <c r="CWX546" s="500"/>
      <c r="CWY546" s="500"/>
      <c r="CWZ546" s="500"/>
      <c r="CXA546" s="500"/>
      <c r="CXB546" s="500"/>
      <c r="CXC546" s="500"/>
      <c r="CXD546" s="500"/>
      <c r="CXE546" s="500"/>
      <c r="CXF546" s="500"/>
      <c r="CXG546" s="500"/>
      <c r="CXH546" s="500"/>
      <c r="CXI546" s="500"/>
      <c r="CXJ546" s="500"/>
      <c r="CXK546" s="500"/>
      <c r="CXL546" s="500"/>
      <c r="CXM546" s="500"/>
      <c r="CXN546" s="500"/>
      <c r="CXO546" s="500"/>
      <c r="CXP546" s="500"/>
      <c r="CXQ546" s="500"/>
      <c r="CXR546" s="500"/>
      <c r="CXS546" s="500"/>
      <c r="CXT546" s="500"/>
      <c r="CXU546" s="500"/>
      <c r="CXV546" s="500"/>
      <c r="CXW546" s="500"/>
      <c r="CXX546" s="500"/>
      <c r="CXY546" s="500"/>
      <c r="CXZ546" s="500"/>
      <c r="CYA546" s="500"/>
      <c r="CYB546" s="500"/>
      <c r="CYC546" s="500"/>
      <c r="CYD546" s="500"/>
      <c r="CYE546" s="500"/>
      <c r="CYF546" s="500"/>
      <c r="CYG546" s="500"/>
      <c r="CYH546" s="500"/>
      <c r="CYI546" s="500"/>
      <c r="CYJ546" s="500"/>
      <c r="CYK546" s="500"/>
      <c r="CYL546" s="500"/>
      <c r="CYM546" s="500"/>
      <c r="CYN546" s="500"/>
      <c r="CYO546" s="500"/>
      <c r="CYP546" s="500"/>
      <c r="CYQ546" s="500"/>
      <c r="CYR546" s="500"/>
      <c r="CYS546" s="500"/>
      <c r="CYT546" s="500"/>
      <c r="CYU546" s="500"/>
      <c r="CYV546" s="500"/>
      <c r="CYW546" s="500"/>
      <c r="CYX546" s="500"/>
      <c r="CYY546" s="500"/>
      <c r="CYZ546" s="500"/>
      <c r="CZA546" s="500"/>
      <c r="CZB546" s="500"/>
      <c r="CZC546" s="500"/>
      <c r="CZD546" s="500"/>
      <c r="CZE546" s="500"/>
      <c r="CZF546" s="500"/>
      <c r="CZG546" s="500"/>
      <c r="CZH546" s="500"/>
      <c r="CZI546" s="500"/>
      <c r="CZJ546" s="500"/>
      <c r="CZK546" s="500"/>
      <c r="CZL546" s="500"/>
      <c r="CZM546" s="500"/>
      <c r="CZN546" s="500"/>
      <c r="CZO546" s="500"/>
      <c r="CZP546" s="500"/>
      <c r="CZQ546" s="500"/>
      <c r="CZR546" s="500"/>
      <c r="CZS546" s="500"/>
      <c r="CZT546" s="500"/>
      <c r="CZU546" s="500"/>
      <c r="CZV546" s="500"/>
      <c r="CZW546" s="500"/>
      <c r="CZX546" s="500"/>
      <c r="CZY546" s="500"/>
      <c r="CZZ546" s="500"/>
      <c r="DAA546" s="500"/>
      <c r="DAB546" s="500"/>
      <c r="DAC546" s="500"/>
      <c r="DAD546" s="500"/>
      <c r="DAE546" s="500"/>
      <c r="DAF546" s="500"/>
      <c r="DAG546" s="500"/>
      <c r="DAH546" s="500"/>
      <c r="DAI546" s="500"/>
      <c r="DAJ546" s="500"/>
      <c r="DAK546" s="500"/>
      <c r="DAL546" s="500"/>
      <c r="DAM546" s="500"/>
      <c r="DAN546" s="500"/>
      <c r="DAO546" s="500"/>
      <c r="DAP546" s="500"/>
      <c r="DAQ546" s="500"/>
      <c r="DAR546" s="500"/>
      <c r="DAS546" s="500"/>
      <c r="DAT546" s="500"/>
      <c r="DAU546" s="500"/>
      <c r="DAV546" s="500"/>
      <c r="DAW546" s="500"/>
      <c r="DAX546" s="500"/>
      <c r="DAY546" s="500"/>
      <c r="DAZ546" s="500"/>
      <c r="DBA546" s="500"/>
      <c r="DBB546" s="500"/>
      <c r="DBC546" s="500"/>
      <c r="DBD546" s="500"/>
      <c r="DBE546" s="500"/>
      <c r="DBF546" s="500"/>
      <c r="DBG546" s="500"/>
      <c r="DBH546" s="500"/>
      <c r="DBI546" s="500"/>
      <c r="DBJ546" s="500"/>
      <c r="DBK546" s="500"/>
      <c r="DBL546" s="500"/>
      <c r="DBM546" s="500"/>
      <c r="DBN546" s="500"/>
      <c r="DBO546" s="500"/>
      <c r="DBP546" s="500"/>
      <c r="DBQ546" s="500"/>
      <c r="DBR546" s="500"/>
      <c r="DBS546" s="500"/>
      <c r="DBT546" s="500"/>
      <c r="DBU546" s="500"/>
      <c r="DBV546" s="500"/>
      <c r="DBW546" s="500"/>
      <c r="DBX546" s="500"/>
      <c r="DBY546" s="500"/>
      <c r="DBZ546" s="500"/>
      <c r="DCA546" s="500"/>
      <c r="DCB546" s="500"/>
      <c r="DCC546" s="500"/>
      <c r="DCD546" s="500"/>
      <c r="DCE546" s="500"/>
      <c r="DCF546" s="500"/>
      <c r="DCG546" s="500"/>
      <c r="DCH546" s="500"/>
      <c r="DCI546" s="500"/>
      <c r="DCJ546" s="500"/>
      <c r="DCK546" s="500"/>
      <c r="DCL546" s="500"/>
      <c r="DCM546" s="500"/>
      <c r="DCN546" s="500"/>
      <c r="DCO546" s="500"/>
      <c r="DCP546" s="500"/>
      <c r="DCQ546" s="500"/>
      <c r="DCR546" s="500"/>
      <c r="DCS546" s="500"/>
      <c r="DCT546" s="500"/>
      <c r="DCU546" s="500"/>
      <c r="DCV546" s="500"/>
      <c r="DCW546" s="500"/>
      <c r="DCX546" s="500"/>
      <c r="DCY546" s="500"/>
      <c r="DCZ546" s="500"/>
      <c r="DDA546" s="500"/>
      <c r="DDB546" s="500"/>
      <c r="DDC546" s="500"/>
      <c r="DDD546" s="500"/>
      <c r="DDE546" s="500"/>
      <c r="DDF546" s="500"/>
      <c r="DDG546" s="500"/>
      <c r="DDH546" s="500"/>
      <c r="DDI546" s="500"/>
      <c r="DDJ546" s="500"/>
      <c r="DDK546" s="500"/>
      <c r="DDL546" s="500"/>
      <c r="DDM546" s="500"/>
      <c r="DDN546" s="500"/>
      <c r="DDO546" s="500"/>
      <c r="DDP546" s="500"/>
      <c r="DDQ546" s="500"/>
      <c r="DDR546" s="500"/>
      <c r="DDS546" s="500"/>
      <c r="DDT546" s="500"/>
      <c r="DDU546" s="500"/>
      <c r="DDV546" s="500"/>
      <c r="DDW546" s="500"/>
      <c r="DDX546" s="500"/>
      <c r="DDY546" s="500"/>
      <c r="DDZ546" s="500"/>
      <c r="DEA546" s="500"/>
      <c r="DEB546" s="500"/>
      <c r="DEC546" s="500"/>
      <c r="DED546" s="500"/>
      <c r="DEE546" s="500"/>
      <c r="DEF546" s="500"/>
      <c r="DEG546" s="500"/>
      <c r="DEH546" s="500"/>
      <c r="DEI546" s="500"/>
      <c r="DEJ546" s="500"/>
      <c r="DEK546" s="500"/>
      <c r="DEL546" s="500"/>
      <c r="DEM546" s="500"/>
      <c r="DEN546" s="500"/>
      <c r="DEO546" s="500"/>
      <c r="DEP546" s="500"/>
      <c r="DEQ546" s="500"/>
      <c r="DER546" s="500"/>
      <c r="DES546" s="500"/>
      <c r="DET546" s="500"/>
      <c r="DEU546" s="500"/>
      <c r="DEV546" s="500"/>
      <c r="DEW546" s="500"/>
      <c r="DEX546" s="500"/>
      <c r="DEY546" s="500"/>
      <c r="DEZ546" s="500"/>
      <c r="DFA546" s="500"/>
      <c r="DFB546" s="500"/>
      <c r="DFC546" s="500"/>
      <c r="DFD546" s="500"/>
      <c r="DFE546" s="500"/>
      <c r="DFF546" s="500"/>
      <c r="DFG546" s="500"/>
      <c r="DFH546" s="500"/>
      <c r="DFI546" s="500"/>
      <c r="DFJ546" s="500"/>
      <c r="DFK546" s="500"/>
      <c r="DFL546" s="500"/>
      <c r="DFM546" s="500"/>
      <c r="DFN546" s="500"/>
      <c r="DFO546" s="500"/>
      <c r="DFP546" s="500"/>
      <c r="DFQ546" s="500"/>
      <c r="DFR546" s="500"/>
      <c r="DFS546" s="500"/>
      <c r="DFT546" s="500"/>
      <c r="DFU546" s="500"/>
      <c r="DFV546" s="500"/>
      <c r="DFW546" s="500"/>
      <c r="DFX546" s="500"/>
      <c r="DFY546" s="500"/>
      <c r="DFZ546" s="500"/>
      <c r="DGA546" s="500"/>
      <c r="DGB546" s="500"/>
      <c r="DGC546" s="500"/>
      <c r="DGD546" s="500"/>
      <c r="DGE546" s="500"/>
      <c r="DGF546" s="500"/>
      <c r="DGG546" s="500"/>
      <c r="DGH546" s="500"/>
      <c r="DGI546" s="500"/>
      <c r="DGJ546" s="500"/>
      <c r="DGK546" s="500"/>
      <c r="DGL546" s="500"/>
      <c r="DGM546" s="500"/>
      <c r="DGN546" s="500"/>
      <c r="DGO546" s="500"/>
      <c r="DGP546" s="500"/>
      <c r="DGQ546" s="500"/>
      <c r="DGR546" s="500"/>
      <c r="DGS546" s="500"/>
      <c r="DGT546" s="500"/>
      <c r="DGU546" s="500"/>
      <c r="DGV546" s="500"/>
      <c r="DGW546" s="500"/>
      <c r="DGX546" s="500"/>
      <c r="DGY546" s="500"/>
      <c r="DGZ546" s="500"/>
      <c r="DHA546" s="500"/>
      <c r="DHB546" s="500"/>
      <c r="DHC546" s="500"/>
      <c r="DHD546" s="500"/>
      <c r="DHE546" s="500"/>
      <c r="DHF546" s="500"/>
      <c r="DHG546" s="500"/>
      <c r="DHH546" s="500"/>
      <c r="DHI546" s="500"/>
      <c r="DHJ546" s="500"/>
      <c r="DHK546" s="500"/>
      <c r="DHL546" s="500"/>
      <c r="DHM546" s="500"/>
      <c r="DHN546" s="500"/>
      <c r="DHO546" s="500"/>
      <c r="DHP546" s="500"/>
      <c r="DHQ546" s="500"/>
      <c r="DHR546" s="500"/>
      <c r="DHS546" s="500"/>
      <c r="DHT546" s="500"/>
      <c r="DHU546" s="500"/>
      <c r="DHV546" s="500"/>
      <c r="DHW546" s="500"/>
      <c r="DHX546" s="500"/>
      <c r="DHY546" s="500"/>
      <c r="DHZ546" s="500"/>
      <c r="DIA546" s="500"/>
      <c r="DIB546" s="500"/>
      <c r="DIC546" s="500"/>
      <c r="DID546" s="500"/>
      <c r="DIE546" s="500"/>
      <c r="DIF546" s="500"/>
      <c r="DIG546" s="500"/>
      <c r="DIH546" s="500"/>
      <c r="DII546" s="500"/>
      <c r="DIJ546" s="500"/>
      <c r="DIK546" s="500"/>
      <c r="DIL546" s="500"/>
      <c r="DIM546" s="500"/>
      <c r="DIN546" s="500"/>
      <c r="DIO546" s="500"/>
      <c r="DIP546" s="500"/>
      <c r="DIQ546" s="500"/>
      <c r="DIR546" s="500"/>
      <c r="DIS546" s="500"/>
      <c r="DIT546" s="500"/>
      <c r="DIU546" s="500"/>
      <c r="DIV546" s="500"/>
      <c r="DIW546" s="500"/>
      <c r="DIX546" s="500"/>
      <c r="DIY546" s="500"/>
      <c r="DIZ546" s="500"/>
      <c r="DJA546" s="500"/>
      <c r="DJB546" s="500"/>
      <c r="DJC546" s="500"/>
      <c r="DJD546" s="500"/>
      <c r="DJE546" s="500"/>
      <c r="DJF546" s="500"/>
      <c r="DJG546" s="500"/>
      <c r="DJH546" s="500"/>
      <c r="DJI546" s="500"/>
      <c r="DJJ546" s="500"/>
      <c r="DJK546" s="500"/>
      <c r="DJL546" s="500"/>
      <c r="DJM546" s="500"/>
      <c r="DJN546" s="500"/>
      <c r="DJO546" s="500"/>
      <c r="DJP546" s="500"/>
      <c r="DJQ546" s="500"/>
      <c r="DJR546" s="500"/>
      <c r="DJS546" s="500"/>
      <c r="DJT546" s="500"/>
      <c r="DJU546" s="500"/>
      <c r="DJV546" s="500"/>
      <c r="DJW546" s="500"/>
      <c r="DJX546" s="500"/>
      <c r="DJY546" s="500"/>
      <c r="DJZ546" s="500"/>
      <c r="DKA546" s="500"/>
      <c r="DKB546" s="500"/>
      <c r="DKC546" s="500"/>
      <c r="DKD546" s="500"/>
      <c r="DKE546" s="500"/>
      <c r="DKF546" s="500"/>
      <c r="DKG546" s="500"/>
      <c r="DKH546" s="500"/>
      <c r="DKI546" s="500"/>
      <c r="DKJ546" s="500"/>
      <c r="DKK546" s="500"/>
      <c r="DKL546" s="500"/>
      <c r="DKM546" s="500"/>
      <c r="DKN546" s="500"/>
      <c r="DKO546" s="500"/>
      <c r="DKP546" s="500"/>
      <c r="DKQ546" s="500"/>
      <c r="DKR546" s="500"/>
      <c r="DKS546" s="500"/>
      <c r="DKT546" s="500"/>
      <c r="DKU546" s="500"/>
      <c r="DKV546" s="500"/>
      <c r="DKW546" s="500"/>
      <c r="DKX546" s="500"/>
      <c r="DKY546" s="500"/>
      <c r="DKZ546" s="500"/>
      <c r="DLA546" s="500"/>
      <c r="DLB546" s="500"/>
      <c r="DLC546" s="500"/>
      <c r="DLD546" s="500"/>
      <c r="DLE546" s="500"/>
      <c r="DLF546" s="500"/>
      <c r="DLG546" s="500"/>
      <c r="DLH546" s="500"/>
      <c r="DLI546" s="500"/>
      <c r="DLJ546" s="500"/>
      <c r="DLK546" s="500"/>
      <c r="DLL546" s="500"/>
      <c r="DLM546" s="500"/>
      <c r="DLN546" s="500"/>
      <c r="DLO546" s="500"/>
      <c r="DLP546" s="500"/>
      <c r="DLQ546" s="500"/>
      <c r="DLR546" s="500"/>
      <c r="DLS546" s="500"/>
      <c r="DLT546" s="500"/>
      <c r="DLU546" s="500"/>
      <c r="DLV546" s="500"/>
      <c r="DLW546" s="500"/>
      <c r="DLX546" s="500"/>
      <c r="DLY546" s="500"/>
      <c r="DLZ546" s="500"/>
      <c r="DMA546" s="500"/>
      <c r="DMB546" s="500"/>
      <c r="DMC546" s="500"/>
      <c r="DMD546" s="500"/>
      <c r="DME546" s="500"/>
      <c r="DMF546" s="500"/>
      <c r="DMG546" s="500"/>
      <c r="DMH546" s="500"/>
      <c r="DMI546" s="500"/>
      <c r="DMJ546" s="500"/>
      <c r="DMK546" s="500"/>
      <c r="DML546" s="500"/>
      <c r="DMM546" s="500"/>
      <c r="DMN546" s="500"/>
      <c r="DMO546" s="500"/>
      <c r="DMP546" s="500"/>
      <c r="DMQ546" s="500"/>
      <c r="DMR546" s="500"/>
      <c r="DMS546" s="500"/>
      <c r="DMT546" s="500"/>
      <c r="DMU546" s="500"/>
      <c r="DMV546" s="500"/>
      <c r="DMW546" s="500"/>
      <c r="DMX546" s="500"/>
      <c r="DMY546" s="500"/>
      <c r="DMZ546" s="500"/>
      <c r="DNA546" s="500"/>
      <c r="DNB546" s="500"/>
      <c r="DNC546" s="500"/>
      <c r="DND546" s="500"/>
      <c r="DNE546" s="500"/>
      <c r="DNF546" s="500"/>
      <c r="DNG546" s="500"/>
      <c r="DNH546" s="500"/>
      <c r="DNI546" s="500"/>
      <c r="DNJ546" s="500"/>
      <c r="DNK546" s="500"/>
      <c r="DNL546" s="500"/>
      <c r="DNM546" s="500"/>
      <c r="DNN546" s="500"/>
      <c r="DNO546" s="500"/>
      <c r="DNP546" s="500"/>
      <c r="DNQ546" s="500"/>
      <c r="DNR546" s="500"/>
      <c r="DNS546" s="500"/>
      <c r="DNT546" s="500"/>
      <c r="DNU546" s="500"/>
      <c r="DNV546" s="500"/>
      <c r="DNW546" s="500"/>
      <c r="DNX546" s="500"/>
      <c r="DNY546" s="500"/>
      <c r="DNZ546" s="500"/>
      <c r="DOA546" s="500"/>
      <c r="DOB546" s="500"/>
      <c r="DOC546" s="500"/>
      <c r="DOD546" s="500"/>
      <c r="DOE546" s="500"/>
      <c r="DOF546" s="500"/>
      <c r="DOG546" s="500"/>
      <c r="DOH546" s="500"/>
      <c r="DOI546" s="500"/>
      <c r="DOJ546" s="500"/>
      <c r="DOK546" s="500"/>
      <c r="DOL546" s="500"/>
      <c r="DOM546" s="500"/>
      <c r="DON546" s="500"/>
      <c r="DOO546" s="500"/>
      <c r="DOP546" s="500"/>
      <c r="DOQ546" s="500"/>
      <c r="DOR546" s="500"/>
      <c r="DOS546" s="500"/>
      <c r="DOT546" s="500"/>
      <c r="DOU546" s="500"/>
      <c r="DOV546" s="500"/>
      <c r="DOW546" s="500"/>
      <c r="DOX546" s="500"/>
      <c r="DOY546" s="500"/>
      <c r="DOZ546" s="500"/>
      <c r="DPA546" s="500"/>
      <c r="DPB546" s="500"/>
      <c r="DPC546" s="500"/>
      <c r="DPD546" s="500"/>
      <c r="DPE546" s="500"/>
      <c r="DPF546" s="500"/>
      <c r="DPG546" s="500"/>
      <c r="DPH546" s="500"/>
      <c r="DPI546" s="500"/>
      <c r="DPJ546" s="500"/>
      <c r="DPK546" s="500"/>
      <c r="DPL546" s="500"/>
      <c r="DPM546" s="500"/>
      <c r="DPN546" s="500"/>
      <c r="DPO546" s="500"/>
      <c r="DPP546" s="500"/>
      <c r="DPQ546" s="500"/>
      <c r="DPR546" s="500"/>
      <c r="DPS546" s="500"/>
      <c r="DPT546" s="500"/>
      <c r="DPU546" s="500"/>
      <c r="DPV546" s="500"/>
      <c r="DPW546" s="500"/>
      <c r="DPX546" s="500"/>
      <c r="DPY546" s="500"/>
      <c r="DPZ546" s="500"/>
      <c r="DQA546" s="500"/>
      <c r="DQB546" s="500"/>
      <c r="DQC546" s="500"/>
      <c r="DQD546" s="500"/>
      <c r="DQE546" s="500"/>
      <c r="DQF546" s="500"/>
      <c r="DQG546" s="500"/>
      <c r="DQH546" s="500"/>
      <c r="DQI546" s="500"/>
      <c r="DQJ546" s="500"/>
      <c r="DQK546" s="500"/>
      <c r="DQL546" s="500"/>
      <c r="DQM546" s="500"/>
      <c r="DQN546" s="500"/>
      <c r="DQO546" s="500"/>
      <c r="DQP546" s="500"/>
      <c r="DQQ546" s="500"/>
      <c r="DQR546" s="500"/>
      <c r="DQS546" s="500"/>
      <c r="DQT546" s="500"/>
      <c r="DQU546" s="500"/>
      <c r="DQV546" s="500"/>
      <c r="DQW546" s="500"/>
      <c r="DQX546" s="500"/>
      <c r="DQY546" s="500"/>
      <c r="DQZ546" s="500"/>
      <c r="DRA546" s="500"/>
      <c r="DRB546" s="500"/>
      <c r="DRC546" s="500"/>
      <c r="DRD546" s="500"/>
      <c r="DRE546" s="500"/>
      <c r="DRF546" s="500"/>
      <c r="DRG546" s="500"/>
      <c r="DRH546" s="500"/>
      <c r="DRI546" s="500"/>
      <c r="DRJ546" s="500"/>
      <c r="DRK546" s="500"/>
      <c r="DRL546" s="500"/>
      <c r="DRM546" s="500"/>
      <c r="DRN546" s="500"/>
      <c r="DRO546" s="500"/>
      <c r="DRP546" s="500"/>
      <c r="DRQ546" s="500"/>
      <c r="DRR546" s="500"/>
      <c r="DRS546" s="500"/>
      <c r="DRT546" s="500"/>
      <c r="DRU546" s="500"/>
      <c r="DRV546" s="500"/>
      <c r="DRW546" s="500"/>
      <c r="DRX546" s="500"/>
      <c r="DRY546" s="500"/>
      <c r="DRZ546" s="500"/>
      <c r="DSA546" s="500"/>
      <c r="DSB546" s="500"/>
      <c r="DSC546" s="500"/>
      <c r="DSD546" s="500"/>
      <c r="DSE546" s="500"/>
      <c r="DSF546" s="500"/>
      <c r="DSG546" s="500"/>
      <c r="DSH546" s="500"/>
      <c r="DSI546" s="500"/>
      <c r="DSJ546" s="500"/>
      <c r="DSK546" s="500"/>
      <c r="DSL546" s="500"/>
      <c r="DSM546" s="500"/>
      <c r="DSN546" s="500"/>
      <c r="DSO546" s="500"/>
      <c r="DSP546" s="500"/>
      <c r="DSQ546" s="500"/>
      <c r="DSR546" s="500"/>
      <c r="DSS546" s="500"/>
      <c r="DST546" s="500"/>
      <c r="DSU546" s="500"/>
      <c r="DSV546" s="500"/>
      <c r="DSW546" s="500"/>
      <c r="DSX546" s="500"/>
      <c r="DSY546" s="500"/>
      <c r="DSZ546" s="500"/>
      <c r="DTA546" s="500"/>
      <c r="DTB546" s="500"/>
      <c r="DTC546" s="500"/>
      <c r="DTD546" s="500"/>
      <c r="DTE546" s="500"/>
      <c r="DTF546" s="500"/>
      <c r="DTG546" s="500"/>
      <c r="DTH546" s="500"/>
      <c r="DTI546" s="500"/>
      <c r="DTJ546" s="500"/>
      <c r="DTK546" s="500"/>
      <c r="DTL546" s="500"/>
      <c r="DTM546" s="500"/>
      <c r="DTN546" s="500"/>
      <c r="DTO546" s="500"/>
      <c r="DTP546" s="500"/>
      <c r="DTQ546" s="500"/>
      <c r="DTR546" s="500"/>
      <c r="DTS546" s="500"/>
      <c r="DTT546" s="500"/>
      <c r="DTU546" s="500"/>
      <c r="DTV546" s="500"/>
      <c r="DTW546" s="500"/>
      <c r="DTX546" s="500"/>
      <c r="DTY546" s="500"/>
      <c r="DTZ546" s="500"/>
      <c r="DUA546" s="500"/>
      <c r="DUB546" s="500"/>
      <c r="DUC546" s="500"/>
      <c r="DUD546" s="500"/>
      <c r="DUE546" s="500"/>
      <c r="DUF546" s="500"/>
      <c r="DUG546" s="500"/>
      <c r="DUH546" s="500"/>
      <c r="DUI546" s="500"/>
      <c r="DUJ546" s="500"/>
      <c r="DUK546" s="500"/>
      <c r="DUL546" s="500"/>
      <c r="DUM546" s="500"/>
      <c r="DUN546" s="500"/>
      <c r="DUO546" s="500"/>
      <c r="DUP546" s="500"/>
      <c r="DUQ546" s="500"/>
      <c r="DUR546" s="500"/>
      <c r="DUS546" s="500"/>
      <c r="DUT546" s="500"/>
      <c r="DUU546" s="500"/>
      <c r="DUV546" s="500"/>
      <c r="DUW546" s="500"/>
      <c r="DUX546" s="500"/>
      <c r="DUY546" s="500"/>
      <c r="DUZ546" s="500"/>
      <c r="DVA546" s="500"/>
      <c r="DVB546" s="500"/>
      <c r="DVC546" s="500"/>
      <c r="DVD546" s="500"/>
      <c r="DVE546" s="500"/>
      <c r="DVF546" s="500"/>
      <c r="DVG546" s="500"/>
      <c r="DVH546" s="500"/>
      <c r="DVI546" s="500"/>
      <c r="DVJ546" s="500"/>
      <c r="DVK546" s="500"/>
      <c r="DVL546" s="500"/>
      <c r="DVM546" s="500"/>
      <c r="DVN546" s="500"/>
      <c r="DVO546" s="500"/>
      <c r="DVP546" s="500"/>
      <c r="DVQ546" s="500"/>
      <c r="DVR546" s="500"/>
      <c r="DVS546" s="500"/>
      <c r="DVT546" s="500"/>
      <c r="DVU546" s="500"/>
      <c r="DVV546" s="500"/>
      <c r="DVW546" s="500"/>
      <c r="DVX546" s="500"/>
      <c r="DVY546" s="500"/>
      <c r="DVZ546" s="500"/>
      <c r="DWA546" s="500"/>
      <c r="DWB546" s="500"/>
      <c r="DWC546" s="500"/>
      <c r="DWD546" s="500"/>
      <c r="DWE546" s="500"/>
      <c r="DWF546" s="500"/>
      <c r="DWG546" s="500"/>
      <c r="DWH546" s="500"/>
      <c r="DWI546" s="500"/>
      <c r="DWJ546" s="500"/>
      <c r="DWK546" s="500"/>
      <c r="DWL546" s="500"/>
      <c r="DWM546" s="500"/>
      <c r="DWN546" s="500"/>
      <c r="DWO546" s="500"/>
      <c r="DWP546" s="500"/>
      <c r="DWQ546" s="500"/>
      <c r="DWR546" s="500"/>
      <c r="DWS546" s="500"/>
      <c r="DWT546" s="500"/>
      <c r="DWU546" s="500"/>
      <c r="DWV546" s="500"/>
      <c r="DWW546" s="500"/>
      <c r="DWX546" s="500"/>
      <c r="DWY546" s="500"/>
      <c r="DWZ546" s="500"/>
      <c r="DXA546" s="500"/>
      <c r="DXB546" s="500"/>
      <c r="DXC546" s="500"/>
      <c r="DXD546" s="500"/>
      <c r="DXE546" s="500"/>
      <c r="DXF546" s="500"/>
      <c r="DXG546" s="500"/>
      <c r="DXH546" s="500"/>
      <c r="DXI546" s="500"/>
      <c r="DXJ546" s="500"/>
      <c r="DXK546" s="500"/>
      <c r="DXL546" s="500"/>
      <c r="DXM546" s="500"/>
      <c r="DXN546" s="500"/>
      <c r="DXO546" s="500"/>
      <c r="DXP546" s="500"/>
      <c r="DXQ546" s="500"/>
      <c r="DXR546" s="500"/>
      <c r="DXS546" s="500"/>
      <c r="DXT546" s="500"/>
      <c r="DXU546" s="500"/>
      <c r="DXV546" s="500"/>
      <c r="DXW546" s="500"/>
      <c r="DXX546" s="500"/>
      <c r="DXY546" s="500"/>
      <c r="DXZ546" s="500"/>
      <c r="DYA546" s="500"/>
      <c r="DYB546" s="500"/>
      <c r="DYC546" s="500"/>
      <c r="DYD546" s="500"/>
      <c r="DYE546" s="500"/>
      <c r="DYF546" s="500"/>
      <c r="DYG546" s="500"/>
      <c r="DYH546" s="500"/>
      <c r="DYI546" s="500"/>
      <c r="DYJ546" s="500"/>
      <c r="DYK546" s="500"/>
      <c r="DYL546" s="500"/>
      <c r="DYM546" s="500"/>
      <c r="DYN546" s="500"/>
      <c r="DYO546" s="500"/>
      <c r="DYP546" s="500"/>
      <c r="DYQ546" s="500"/>
      <c r="DYR546" s="500"/>
      <c r="DYS546" s="500"/>
      <c r="DYT546" s="500"/>
      <c r="DYU546" s="500"/>
      <c r="DYV546" s="500"/>
      <c r="DYW546" s="500"/>
      <c r="DYX546" s="500"/>
      <c r="DYY546" s="500"/>
      <c r="DYZ546" s="500"/>
      <c r="DZA546" s="500"/>
      <c r="DZB546" s="500"/>
      <c r="DZC546" s="500"/>
      <c r="DZD546" s="500"/>
      <c r="DZE546" s="500"/>
      <c r="DZF546" s="500"/>
      <c r="DZG546" s="500"/>
      <c r="DZH546" s="500"/>
      <c r="DZI546" s="500"/>
      <c r="DZJ546" s="500"/>
      <c r="DZK546" s="500"/>
      <c r="DZL546" s="500"/>
      <c r="DZM546" s="500"/>
      <c r="DZN546" s="500"/>
      <c r="DZO546" s="500"/>
      <c r="DZP546" s="500"/>
      <c r="DZQ546" s="500"/>
      <c r="DZR546" s="500"/>
      <c r="DZS546" s="500"/>
      <c r="DZT546" s="500"/>
      <c r="DZU546" s="500"/>
      <c r="DZV546" s="500"/>
      <c r="DZW546" s="500"/>
      <c r="DZX546" s="500"/>
      <c r="DZY546" s="500"/>
      <c r="DZZ546" s="500"/>
      <c r="EAA546" s="500"/>
      <c r="EAB546" s="500"/>
      <c r="EAC546" s="500"/>
      <c r="EAD546" s="500"/>
      <c r="EAE546" s="500"/>
      <c r="EAF546" s="500"/>
      <c r="EAG546" s="500"/>
      <c r="EAH546" s="500"/>
      <c r="EAI546" s="500"/>
      <c r="EAJ546" s="500"/>
      <c r="EAK546" s="500"/>
      <c r="EAL546" s="500"/>
      <c r="EAM546" s="500"/>
      <c r="EAN546" s="500"/>
      <c r="EAO546" s="500"/>
      <c r="EAP546" s="500"/>
      <c r="EAQ546" s="500"/>
      <c r="EAR546" s="500"/>
      <c r="EAS546" s="500"/>
      <c r="EAT546" s="500"/>
      <c r="EAU546" s="500"/>
      <c r="EAV546" s="500"/>
      <c r="EAW546" s="500"/>
      <c r="EAX546" s="500"/>
      <c r="EAY546" s="500"/>
      <c r="EAZ546" s="500"/>
      <c r="EBA546" s="500"/>
      <c r="EBB546" s="500"/>
      <c r="EBC546" s="500"/>
      <c r="EBD546" s="500"/>
      <c r="EBE546" s="500"/>
      <c r="EBF546" s="500"/>
      <c r="EBG546" s="500"/>
      <c r="EBH546" s="500"/>
      <c r="EBI546" s="500"/>
      <c r="EBJ546" s="500"/>
      <c r="EBK546" s="500"/>
      <c r="EBL546" s="500"/>
      <c r="EBM546" s="500"/>
      <c r="EBN546" s="500"/>
      <c r="EBO546" s="500"/>
      <c r="EBP546" s="500"/>
      <c r="EBQ546" s="500"/>
      <c r="EBR546" s="500"/>
      <c r="EBS546" s="500"/>
      <c r="EBT546" s="500"/>
      <c r="EBU546" s="500"/>
      <c r="EBV546" s="500"/>
      <c r="EBW546" s="500"/>
      <c r="EBX546" s="500"/>
      <c r="EBY546" s="500"/>
      <c r="EBZ546" s="500"/>
      <c r="ECA546" s="500"/>
      <c r="ECB546" s="500"/>
      <c r="ECC546" s="500"/>
      <c r="ECD546" s="500"/>
      <c r="ECE546" s="500"/>
      <c r="ECF546" s="500"/>
      <c r="ECG546" s="500"/>
      <c r="ECH546" s="500"/>
      <c r="ECI546" s="500"/>
      <c r="ECJ546" s="500"/>
      <c r="ECK546" s="500"/>
      <c r="ECL546" s="500"/>
      <c r="ECM546" s="500"/>
      <c r="ECN546" s="500"/>
      <c r="ECO546" s="500"/>
      <c r="ECP546" s="500"/>
      <c r="ECQ546" s="500"/>
      <c r="ECR546" s="500"/>
      <c r="ECS546" s="500"/>
      <c r="ECT546" s="500"/>
      <c r="ECU546" s="500"/>
      <c r="ECV546" s="500"/>
      <c r="ECW546" s="500"/>
      <c r="ECX546" s="500"/>
      <c r="ECY546" s="500"/>
      <c r="ECZ546" s="500"/>
      <c r="EDA546" s="500"/>
      <c r="EDB546" s="500"/>
      <c r="EDC546" s="500"/>
      <c r="EDD546" s="500"/>
      <c r="EDE546" s="500"/>
      <c r="EDF546" s="500"/>
      <c r="EDG546" s="500"/>
      <c r="EDH546" s="500"/>
      <c r="EDI546" s="500"/>
      <c r="EDJ546" s="500"/>
      <c r="EDK546" s="500"/>
      <c r="EDL546" s="500"/>
      <c r="EDM546" s="500"/>
      <c r="EDN546" s="500"/>
      <c r="EDO546" s="500"/>
      <c r="EDP546" s="500"/>
      <c r="EDQ546" s="500"/>
      <c r="EDR546" s="500"/>
      <c r="EDS546" s="500"/>
      <c r="EDT546" s="500"/>
      <c r="EDU546" s="500"/>
      <c r="EDV546" s="500"/>
      <c r="EDW546" s="500"/>
      <c r="EDX546" s="500"/>
      <c r="EDY546" s="500"/>
      <c r="EDZ546" s="500"/>
      <c r="EEA546" s="500"/>
      <c r="EEB546" s="500"/>
      <c r="EEC546" s="500"/>
      <c r="EED546" s="500"/>
      <c r="EEE546" s="500"/>
      <c r="EEF546" s="500"/>
      <c r="EEG546" s="500"/>
      <c r="EEH546" s="500"/>
      <c r="EEI546" s="500"/>
      <c r="EEJ546" s="500"/>
      <c r="EEK546" s="500"/>
      <c r="EEL546" s="500"/>
      <c r="EEM546" s="500"/>
      <c r="EEN546" s="500"/>
      <c r="EEO546" s="500"/>
      <c r="EEP546" s="500"/>
      <c r="EEQ546" s="500"/>
      <c r="EER546" s="500"/>
      <c r="EES546" s="500"/>
      <c r="EET546" s="500"/>
      <c r="EEU546" s="500"/>
      <c r="EEV546" s="500"/>
      <c r="EEW546" s="500"/>
      <c r="EEX546" s="500"/>
      <c r="EEY546" s="500"/>
      <c r="EEZ546" s="500"/>
      <c r="EFA546" s="500"/>
      <c r="EFB546" s="500"/>
      <c r="EFC546" s="500"/>
      <c r="EFD546" s="500"/>
      <c r="EFE546" s="500"/>
      <c r="EFF546" s="500"/>
      <c r="EFG546" s="500"/>
      <c r="EFH546" s="500"/>
      <c r="EFI546" s="500"/>
      <c r="EFJ546" s="500"/>
      <c r="EFK546" s="500"/>
      <c r="EFL546" s="500"/>
      <c r="EFM546" s="500"/>
      <c r="EFN546" s="500"/>
      <c r="EFO546" s="500"/>
      <c r="EFP546" s="500"/>
      <c r="EFQ546" s="500"/>
      <c r="EFR546" s="500"/>
      <c r="EFS546" s="500"/>
      <c r="EFT546" s="500"/>
      <c r="EFU546" s="500"/>
      <c r="EFV546" s="500"/>
      <c r="EFW546" s="500"/>
      <c r="EFX546" s="500"/>
      <c r="EFY546" s="500"/>
      <c r="EFZ546" s="500"/>
      <c r="EGA546" s="500"/>
      <c r="EGB546" s="500"/>
      <c r="EGC546" s="500"/>
      <c r="EGD546" s="500"/>
      <c r="EGE546" s="500"/>
      <c r="EGF546" s="500"/>
      <c r="EGG546" s="500"/>
      <c r="EGH546" s="500"/>
      <c r="EGI546" s="500"/>
      <c r="EGJ546" s="500"/>
      <c r="EGK546" s="500"/>
      <c r="EGL546" s="500"/>
      <c r="EGM546" s="500"/>
      <c r="EGN546" s="500"/>
      <c r="EGO546" s="500"/>
      <c r="EGP546" s="500"/>
      <c r="EGQ546" s="500"/>
      <c r="EGR546" s="500"/>
      <c r="EGS546" s="500"/>
      <c r="EGT546" s="500"/>
      <c r="EGU546" s="500"/>
      <c r="EGV546" s="500"/>
      <c r="EGW546" s="500"/>
      <c r="EGX546" s="500"/>
      <c r="EGY546" s="500"/>
      <c r="EGZ546" s="500"/>
      <c r="EHA546" s="500"/>
      <c r="EHB546" s="500"/>
      <c r="EHC546" s="500"/>
      <c r="EHD546" s="500"/>
      <c r="EHE546" s="500"/>
      <c r="EHF546" s="500"/>
      <c r="EHG546" s="500"/>
      <c r="EHH546" s="500"/>
      <c r="EHI546" s="500"/>
      <c r="EHJ546" s="500"/>
      <c r="EHK546" s="500"/>
      <c r="EHL546" s="500"/>
      <c r="EHM546" s="500"/>
      <c r="EHN546" s="500"/>
      <c r="EHO546" s="500"/>
      <c r="EHP546" s="500"/>
      <c r="EHQ546" s="500"/>
      <c r="EHR546" s="500"/>
      <c r="EHS546" s="500"/>
      <c r="EHT546" s="500"/>
      <c r="EHU546" s="500"/>
      <c r="EHV546" s="500"/>
      <c r="EHW546" s="500"/>
      <c r="EHX546" s="500"/>
      <c r="EHY546" s="500"/>
      <c r="EHZ546" s="500"/>
      <c r="EIA546" s="500"/>
      <c r="EIB546" s="500"/>
      <c r="EIC546" s="500"/>
      <c r="EID546" s="500"/>
      <c r="EIE546" s="500"/>
      <c r="EIF546" s="500"/>
      <c r="EIG546" s="500"/>
      <c r="EIH546" s="500"/>
      <c r="EII546" s="500"/>
      <c r="EIJ546" s="500"/>
      <c r="EIK546" s="500"/>
      <c r="EIL546" s="500"/>
      <c r="EIM546" s="500"/>
      <c r="EIN546" s="500"/>
      <c r="EIO546" s="500"/>
      <c r="EIP546" s="500"/>
      <c r="EIQ546" s="500"/>
      <c r="EIR546" s="500"/>
      <c r="EIS546" s="500"/>
      <c r="EIT546" s="500"/>
      <c r="EIU546" s="500"/>
      <c r="EIV546" s="500"/>
      <c r="EIW546" s="500"/>
      <c r="EIX546" s="500"/>
      <c r="EIY546" s="500"/>
      <c r="EIZ546" s="500"/>
      <c r="EJA546" s="500"/>
      <c r="EJB546" s="500"/>
      <c r="EJC546" s="500"/>
      <c r="EJD546" s="500"/>
      <c r="EJE546" s="500"/>
      <c r="EJF546" s="500"/>
      <c r="EJG546" s="500"/>
      <c r="EJH546" s="500"/>
      <c r="EJI546" s="500"/>
      <c r="EJJ546" s="500"/>
      <c r="EJK546" s="500"/>
      <c r="EJL546" s="500"/>
      <c r="EJM546" s="500"/>
      <c r="EJN546" s="500"/>
      <c r="EJO546" s="500"/>
      <c r="EJP546" s="500"/>
      <c r="EJQ546" s="500"/>
      <c r="EJR546" s="500"/>
      <c r="EJS546" s="500"/>
      <c r="EJT546" s="500"/>
      <c r="EJU546" s="500"/>
      <c r="EJV546" s="500"/>
      <c r="EJW546" s="500"/>
      <c r="EJX546" s="500"/>
      <c r="EJY546" s="500"/>
      <c r="EJZ546" s="500"/>
      <c r="EKA546" s="500"/>
      <c r="EKB546" s="500"/>
      <c r="EKC546" s="500"/>
      <c r="EKD546" s="500"/>
      <c r="EKE546" s="500"/>
      <c r="EKF546" s="500"/>
      <c r="EKG546" s="500"/>
      <c r="EKH546" s="500"/>
      <c r="EKI546" s="500"/>
      <c r="EKJ546" s="500"/>
      <c r="EKK546" s="500"/>
      <c r="EKL546" s="500"/>
      <c r="EKM546" s="500"/>
      <c r="EKN546" s="500"/>
      <c r="EKO546" s="500"/>
      <c r="EKP546" s="500"/>
      <c r="EKQ546" s="500"/>
      <c r="EKR546" s="500"/>
      <c r="EKS546" s="500"/>
      <c r="EKT546" s="500"/>
      <c r="EKU546" s="500"/>
      <c r="EKV546" s="500"/>
      <c r="EKW546" s="500"/>
      <c r="EKX546" s="500"/>
      <c r="EKY546" s="500"/>
      <c r="EKZ546" s="500"/>
      <c r="ELA546" s="500"/>
      <c r="ELB546" s="500"/>
      <c r="ELC546" s="500"/>
      <c r="ELD546" s="500"/>
      <c r="ELE546" s="500"/>
      <c r="ELF546" s="500"/>
      <c r="ELG546" s="500"/>
      <c r="ELH546" s="500"/>
      <c r="ELI546" s="500"/>
      <c r="ELJ546" s="500"/>
      <c r="ELK546" s="500"/>
      <c r="ELL546" s="500"/>
      <c r="ELM546" s="500"/>
      <c r="ELN546" s="500"/>
      <c r="ELO546" s="500"/>
      <c r="ELP546" s="500"/>
      <c r="ELQ546" s="500"/>
      <c r="ELR546" s="500"/>
      <c r="ELS546" s="500"/>
      <c r="ELT546" s="500"/>
      <c r="ELU546" s="500"/>
      <c r="ELV546" s="500"/>
      <c r="ELW546" s="500"/>
      <c r="ELX546" s="500"/>
      <c r="ELY546" s="500"/>
      <c r="ELZ546" s="500"/>
      <c r="EMA546" s="500"/>
      <c r="EMB546" s="500"/>
      <c r="EMC546" s="500"/>
      <c r="EMD546" s="500"/>
      <c r="EME546" s="500"/>
      <c r="EMF546" s="500"/>
      <c r="EMG546" s="500"/>
      <c r="EMH546" s="500"/>
      <c r="EMI546" s="500"/>
      <c r="EMJ546" s="500"/>
      <c r="EMK546" s="500"/>
      <c r="EML546" s="500"/>
      <c r="EMM546" s="500"/>
      <c r="EMN546" s="500"/>
      <c r="EMO546" s="500"/>
      <c r="EMP546" s="500"/>
      <c r="EMQ546" s="500"/>
      <c r="EMR546" s="500"/>
      <c r="EMS546" s="500"/>
      <c r="EMT546" s="500"/>
      <c r="EMU546" s="500"/>
      <c r="EMV546" s="500"/>
      <c r="EMW546" s="500"/>
      <c r="EMX546" s="500"/>
      <c r="EMY546" s="500"/>
      <c r="EMZ546" s="500"/>
      <c r="ENA546" s="500"/>
      <c r="ENB546" s="500"/>
      <c r="ENC546" s="500"/>
      <c r="END546" s="500"/>
      <c r="ENE546" s="500"/>
      <c r="ENF546" s="500"/>
      <c r="ENG546" s="500"/>
      <c r="ENH546" s="500"/>
      <c r="ENI546" s="500"/>
      <c r="ENJ546" s="500"/>
      <c r="ENK546" s="500"/>
      <c r="ENL546" s="500"/>
      <c r="ENM546" s="500"/>
      <c r="ENN546" s="500"/>
      <c r="ENO546" s="500"/>
      <c r="ENP546" s="500"/>
      <c r="ENQ546" s="500"/>
      <c r="ENR546" s="500"/>
      <c r="ENS546" s="500"/>
      <c r="ENT546" s="500"/>
      <c r="ENU546" s="500"/>
      <c r="ENV546" s="500"/>
      <c r="ENW546" s="500"/>
      <c r="ENX546" s="500"/>
      <c r="ENY546" s="500"/>
      <c r="ENZ546" s="500"/>
      <c r="EOA546" s="500"/>
      <c r="EOB546" s="500"/>
      <c r="EOC546" s="500"/>
      <c r="EOD546" s="500"/>
      <c r="EOE546" s="500"/>
      <c r="EOF546" s="500"/>
      <c r="EOG546" s="500"/>
      <c r="EOH546" s="500"/>
      <c r="EOI546" s="500"/>
      <c r="EOJ546" s="500"/>
      <c r="EOK546" s="500"/>
      <c r="EOL546" s="500"/>
      <c r="EOM546" s="500"/>
      <c r="EON546" s="500"/>
      <c r="EOO546" s="500"/>
      <c r="EOP546" s="500"/>
      <c r="EOQ546" s="500"/>
      <c r="EOR546" s="500"/>
      <c r="EOS546" s="500"/>
      <c r="EOT546" s="500"/>
      <c r="EOU546" s="500"/>
      <c r="EOV546" s="500"/>
      <c r="EOW546" s="500"/>
      <c r="EOX546" s="500"/>
      <c r="EOY546" s="500"/>
      <c r="EOZ546" s="500"/>
      <c r="EPA546" s="500"/>
      <c r="EPB546" s="500"/>
      <c r="EPC546" s="500"/>
      <c r="EPD546" s="500"/>
      <c r="EPE546" s="500"/>
      <c r="EPF546" s="500"/>
      <c r="EPG546" s="500"/>
      <c r="EPH546" s="500"/>
      <c r="EPI546" s="500"/>
      <c r="EPJ546" s="500"/>
      <c r="EPK546" s="500"/>
      <c r="EPL546" s="500"/>
      <c r="EPM546" s="500"/>
      <c r="EPN546" s="500"/>
      <c r="EPO546" s="500"/>
      <c r="EPP546" s="500"/>
      <c r="EPQ546" s="500"/>
      <c r="EPR546" s="500"/>
      <c r="EPS546" s="500"/>
      <c r="EPT546" s="500"/>
      <c r="EPU546" s="500"/>
      <c r="EPV546" s="500"/>
      <c r="EPW546" s="500"/>
      <c r="EPX546" s="500"/>
      <c r="EPY546" s="500"/>
      <c r="EPZ546" s="500"/>
      <c r="EQA546" s="500"/>
      <c r="EQB546" s="500"/>
      <c r="EQC546" s="500"/>
      <c r="EQD546" s="500"/>
      <c r="EQE546" s="500"/>
      <c r="EQF546" s="500"/>
      <c r="EQG546" s="500"/>
      <c r="EQH546" s="500"/>
      <c r="EQI546" s="500"/>
      <c r="EQJ546" s="500"/>
      <c r="EQK546" s="500"/>
      <c r="EQL546" s="500"/>
      <c r="EQM546" s="500"/>
      <c r="EQN546" s="500"/>
      <c r="EQO546" s="500"/>
      <c r="EQP546" s="500"/>
      <c r="EQQ546" s="500"/>
      <c r="EQR546" s="500"/>
      <c r="EQS546" s="500"/>
      <c r="EQT546" s="500"/>
      <c r="EQU546" s="500"/>
      <c r="EQV546" s="500"/>
      <c r="EQW546" s="500"/>
      <c r="EQX546" s="500"/>
      <c r="EQY546" s="500"/>
      <c r="EQZ546" s="500"/>
      <c r="ERA546" s="500"/>
      <c r="ERB546" s="500"/>
      <c r="ERC546" s="500"/>
      <c r="ERD546" s="500"/>
      <c r="ERE546" s="500"/>
      <c r="ERF546" s="500"/>
      <c r="ERG546" s="500"/>
      <c r="ERH546" s="500"/>
      <c r="ERI546" s="500"/>
      <c r="ERJ546" s="500"/>
      <c r="ERK546" s="500"/>
      <c r="ERL546" s="500"/>
      <c r="ERM546" s="500"/>
      <c r="ERN546" s="500"/>
      <c r="ERO546" s="500"/>
      <c r="ERP546" s="500"/>
      <c r="ERQ546" s="500"/>
      <c r="ERR546" s="500"/>
      <c r="ERS546" s="500"/>
      <c r="ERT546" s="500"/>
      <c r="ERU546" s="500"/>
      <c r="ERV546" s="500"/>
      <c r="ERW546" s="500"/>
      <c r="ERX546" s="500"/>
      <c r="ERY546" s="500"/>
      <c r="ERZ546" s="500"/>
      <c r="ESA546" s="500"/>
      <c r="ESB546" s="500"/>
      <c r="ESC546" s="500"/>
      <c r="ESD546" s="500"/>
      <c r="ESE546" s="500"/>
      <c r="ESF546" s="500"/>
      <c r="ESG546" s="500"/>
      <c r="ESH546" s="500"/>
      <c r="ESI546" s="500"/>
      <c r="ESJ546" s="500"/>
      <c r="ESK546" s="500"/>
      <c r="ESL546" s="500"/>
      <c r="ESM546" s="500"/>
      <c r="ESN546" s="500"/>
      <c r="ESO546" s="500"/>
      <c r="ESP546" s="500"/>
      <c r="ESQ546" s="500"/>
      <c r="ESR546" s="500"/>
      <c r="ESS546" s="500"/>
      <c r="EST546" s="500"/>
      <c r="ESU546" s="500"/>
      <c r="ESV546" s="500"/>
      <c r="ESW546" s="500"/>
      <c r="ESX546" s="500"/>
      <c r="ESY546" s="500"/>
      <c r="ESZ546" s="500"/>
      <c r="ETA546" s="500"/>
      <c r="ETB546" s="500"/>
      <c r="ETC546" s="500"/>
      <c r="ETD546" s="500"/>
      <c r="ETE546" s="500"/>
      <c r="ETF546" s="500"/>
      <c r="ETG546" s="500"/>
      <c r="ETH546" s="500"/>
      <c r="ETI546" s="500"/>
      <c r="ETJ546" s="500"/>
      <c r="ETK546" s="500"/>
      <c r="ETL546" s="500"/>
      <c r="ETM546" s="500"/>
      <c r="ETN546" s="500"/>
      <c r="ETO546" s="500"/>
      <c r="ETP546" s="500"/>
      <c r="ETQ546" s="500"/>
      <c r="ETR546" s="500"/>
      <c r="ETS546" s="500"/>
      <c r="ETT546" s="500"/>
      <c r="ETU546" s="500"/>
      <c r="ETV546" s="500"/>
      <c r="ETW546" s="500"/>
      <c r="ETX546" s="500"/>
      <c r="ETY546" s="500"/>
      <c r="ETZ546" s="500"/>
      <c r="EUA546" s="500"/>
      <c r="EUB546" s="500"/>
      <c r="EUC546" s="500"/>
      <c r="EUD546" s="500"/>
      <c r="EUE546" s="500"/>
      <c r="EUF546" s="500"/>
      <c r="EUG546" s="500"/>
      <c r="EUH546" s="500"/>
      <c r="EUI546" s="500"/>
      <c r="EUJ546" s="500"/>
      <c r="EUK546" s="500"/>
      <c r="EUL546" s="500"/>
      <c r="EUM546" s="500"/>
      <c r="EUN546" s="500"/>
      <c r="EUO546" s="500"/>
      <c r="EUP546" s="500"/>
      <c r="EUQ546" s="500"/>
      <c r="EUR546" s="500"/>
      <c r="EUS546" s="500"/>
      <c r="EUT546" s="500"/>
      <c r="EUU546" s="500"/>
      <c r="EUV546" s="500"/>
      <c r="EUW546" s="500"/>
      <c r="EUX546" s="500"/>
      <c r="EUY546" s="500"/>
      <c r="EUZ546" s="500"/>
      <c r="EVA546" s="500"/>
      <c r="EVB546" s="500"/>
      <c r="EVC546" s="500"/>
      <c r="EVD546" s="500"/>
      <c r="EVE546" s="500"/>
      <c r="EVF546" s="500"/>
      <c r="EVG546" s="500"/>
      <c r="EVH546" s="500"/>
      <c r="EVI546" s="500"/>
      <c r="EVJ546" s="500"/>
      <c r="EVK546" s="500"/>
      <c r="EVL546" s="500"/>
      <c r="EVM546" s="500"/>
      <c r="EVN546" s="500"/>
      <c r="EVO546" s="500"/>
      <c r="EVP546" s="500"/>
      <c r="EVQ546" s="500"/>
      <c r="EVR546" s="500"/>
      <c r="EVS546" s="500"/>
      <c r="EVT546" s="500"/>
      <c r="EVU546" s="500"/>
      <c r="EVV546" s="500"/>
      <c r="EVW546" s="500"/>
      <c r="EVX546" s="500"/>
      <c r="EVY546" s="500"/>
      <c r="EVZ546" s="500"/>
      <c r="EWA546" s="500"/>
      <c r="EWB546" s="500"/>
      <c r="EWC546" s="500"/>
      <c r="EWD546" s="500"/>
      <c r="EWE546" s="500"/>
      <c r="EWF546" s="500"/>
      <c r="EWG546" s="500"/>
      <c r="EWH546" s="500"/>
      <c r="EWI546" s="500"/>
      <c r="EWJ546" s="500"/>
      <c r="EWK546" s="500"/>
      <c r="EWL546" s="500"/>
      <c r="EWM546" s="500"/>
      <c r="EWN546" s="500"/>
      <c r="EWO546" s="500"/>
      <c r="EWP546" s="500"/>
      <c r="EWQ546" s="500"/>
      <c r="EWR546" s="500"/>
      <c r="EWS546" s="500"/>
      <c r="EWT546" s="500"/>
      <c r="EWU546" s="500"/>
      <c r="EWV546" s="500"/>
      <c r="EWW546" s="500"/>
      <c r="EWX546" s="500"/>
      <c r="EWY546" s="500"/>
      <c r="EWZ546" s="500"/>
      <c r="EXA546" s="500"/>
      <c r="EXB546" s="500"/>
      <c r="EXC546" s="500"/>
      <c r="EXD546" s="500"/>
      <c r="EXE546" s="500"/>
      <c r="EXF546" s="500"/>
      <c r="EXG546" s="500"/>
      <c r="EXH546" s="500"/>
      <c r="EXI546" s="500"/>
      <c r="EXJ546" s="500"/>
      <c r="EXK546" s="500"/>
      <c r="EXL546" s="500"/>
      <c r="EXM546" s="500"/>
      <c r="EXN546" s="500"/>
      <c r="EXO546" s="500"/>
      <c r="EXP546" s="500"/>
      <c r="EXQ546" s="500"/>
      <c r="EXR546" s="500"/>
      <c r="EXS546" s="500"/>
      <c r="EXT546" s="500"/>
      <c r="EXU546" s="500"/>
      <c r="EXV546" s="500"/>
      <c r="EXW546" s="500"/>
      <c r="EXX546" s="500"/>
      <c r="EXY546" s="500"/>
      <c r="EXZ546" s="500"/>
      <c r="EYA546" s="500"/>
      <c r="EYB546" s="500"/>
      <c r="EYC546" s="500"/>
      <c r="EYD546" s="500"/>
      <c r="EYE546" s="500"/>
      <c r="EYF546" s="500"/>
      <c r="EYG546" s="500"/>
      <c r="EYH546" s="500"/>
      <c r="EYI546" s="500"/>
      <c r="EYJ546" s="500"/>
      <c r="EYK546" s="500"/>
      <c r="EYL546" s="500"/>
      <c r="EYM546" s="500"/>
      <c r="EYN546" s="500"/>
      <c r="EYO546" s="500"/>
      <c r="EYP546" s="500"/>
      <c r="EYQ546" s="500"/>
      <c r="EYR546" s="500"/>
      <c r="EYS546" s="500"/>
      <c r="EYT546" s="500"/>
      <c r="EYU546" s="500"/>
      <c r="EYV546" s="500"/>
      <c r="EYW546" s="500"/>
      <c r="EYX546" s="500"/>
      <c r="EYY546" s="500"/>
      <c r="EYZ546" s="500"/>
      <c r="EZA546" s="500"/>
      <c r="EZB546" s="500"/>
      <c r="EZC546" s="500"/>
      <c r="EZD546" s="500"/>
      <c r="EZE546" s="500"/>
      <c r="EZF546" s="500"/>
      <c r="EZG546" s="500"/>
      <c r="EZH546" s="500"/>
      <c r="EZI546" s="500"/>
      <c r="EZJ546" s="500"/>
      <c r="EZK546" s="500"/>
      <c r="EZL546" s="500"/>
      <c r="EZM546" s="500"/>
      <c r="EZN546" s="500"/>
      <c r="EZO546" s="500"/>
      <c r="EZP546" s="500"/>
      <c r="EZQ546" s="500"/>
      <c r="EZR546" s="500"/>
      <c r="EZS546" s="500"/>
      <c r="EZT546" s="500"/>
      <c r="EZU546" s="500"/>
      <c r="EZV546" s="500"/>
      <c r="EZW546" s="500"/>
      <c r="EZX546" s="500"/>
      <c r="EZY546" s="500"/>
      <c r="EZZ546" s="500"/>
      <c r="FAA546" s="500"/>
      <c r="FAB546" s="500"/>
      <c r="FAC546" s="500"/>
      <c r="FAD546" s="500"/>
      <c r="FAE546" s="500"/>
      <c r="FAF546" s="500"/>
      <c r="FAG546" s="500"/>
      <c r="FAH546" s="500"/>
      <c r="FAI546" s="500"/>
      <c r="FAJ546" s="500"/>
      <c r="FAK546" s="500"/>
      <c r="FAL546" s="500"/>
      <c r="FAM546" s="500"/>
      <c r="FAN546" s="500"/>
      <c r="FAO546" s="500"/>
      <c r="FAP546" s="500"/>
      <c r="FAQ546" s="500"/>
      <c r="FAR546" s="500"/>
      <c r="FAS546" s="500"/>
      <c r="FAT546" s="500"/>
      <c r="FAU546" s="500"/>
      <c r="FAV546" s="500"/>
      <c r="FAW546" s="500"/>
      <c r="FAX546" s="500"/>
      <c r="FAY546" s="500"/>
      <c r="FAZ546" s="500"/>
      <c r="FBA546" s="500"/>
      <c r="FBB546" s="500"/>
      <c r="FBC546" s="500"/>
      <c r="FBD546" s="500"/>
      <c r="FBE546" s="500"/>
      <c r="FBF546" s="500"/>
      <c r="FBG546" s="500"/>
      <c r="FBH546" s="500"/>
      <c r="FBI546" s="500"/>
      <c r="FBJ546" s="500"/>
      <c r="FBK546" s="500"/>
      <c r="FBL546" s="500"/>
      <c r="FBM546" s="500"/>
      <c r="FBN546" s="500"/>
      <c r="FBO546" s="500"/>
      <c r="FBP546" s="500"/>
      <c r="FBQ546" s="500"/>
      <c r="FBR546" s="500"/>
      <c r="FBS546" s="500"/>
      <c r="FBT546" s="500"/>
      <c r="FBU546" s="500"/>
      <c r="FBV546" s="500"/>
      <c r="FBW546" s="500"/>
      <c r="FBX546" s="500"/>
      <c r="FBY546" s="500"/>
      <c r="FBZ546" s="500"/>
      <c r="FCA546" s="500"/>
      <c r="FCB546" s="500"/>
      <c r="FCC546" s="500"/>
      <c r="FCD546" s="500"/>
      <c r="FCE546" s="500"/>
      <c r="FCF546" s="500"/>
      <c r="FCG546" s="500"/>
      <c r="FCH546" s="500"/>
      <c r="FCI546" s="500"/>
      <c r="FCJ546" s="500"/>
      <c r="FCK546" s="500"/>
      <c r="FCL546" s="500"/>
      <c r="FCM546" s="500"/>
      <c r="FCN546" s="500"/>
      <c r="FCO546" s="500"/>
      <c r="FCP546" s="500"/>
      <c r="FCQ546" s="500"/>
      <c r="FCR546" s="500"/>
      <c r="FCS546" s="500"/>
      <c r="FCT546" s="500"/>
      <c r="FCU546" s="500"/>
      <c r="FCV546" s="500"/>
      <c r="FCW546" s="500"/>
      <c r="FCX546" s="500"/>
      <c r="FCY546" s="500"/>
      <c r="FCZ546" s="500"/>
      <c r="FDA546" s="500"/>
      <c r="FDB546" s="500"/>
      <c r="FDC546" s="500"/>
      <c r="FDD546" s="500"/>
      <c r="FDE546" s="500"/>
      <c r="FDF546" s="500"/>
      <c r="FDG546" s="500"/>
      <c r="FDH546" s="500"/>
      <c r="FDI546" s="500"/>
      <c r="FDJ546" s="500"/>
      <c r="FDK546" s="500"/>
      <c r="FDL546" s="500"/>
      <c r="FDM546" s="500"/>
      <c r="FDN546" s="500"/>
      <c r="FDO546" s="500"/>
      <c r="FDP546" s="500"/>
      <c r="FDQ546" s="500"/>
      <c r="FDR546" s="500"/>
      <c r="FDS546" s="500"/>
      <c r="FDT546" s="500"/>
      <c r="FDU546" s="500"/>
      <c r="FDV546" s="500"/>
      <c r="FDW546" s="500"/>
      <c r="FDX546" s="500"/>
      <c r="FDY546" s="500"/>
      <c r="FDZ546" s="500"/>
      <c r="FEA546" s="500"/>
      <c r="FEB546" s="500"/>
      <c r="FEC546" s="500"/>
      <c r="FED546" s="500"/>
      <c r="FEE546" s="500"/>
      <c r="FEF546" s="500"/>
      <c r="FEG546" s="500"/>
      <c r="FEH546" s="500"/>
      <c r="FEI546" s="500"/>
      <c r="FEJ546" s="500"/>
      <c r="FEK546" s="500"/>
      <c r="FEL546" s="500"/>
      <c r="FEM546" s="500"/>
      <c r="FEN546" s="500"/>
      <c r="FEO546" s="500"/>
      <c r="FEP546" s="500"/>
      <c r="FEQ546" s="500"/>
      <c r="FER546" s="500"/>
      <c r="FES546" s="500"/>
      <c r="FET546" s="500"/>
      <c r="FEU546" s="500"/>
      <c r="FEV546" s="500"/>
      <c r="FEW546" s="500"/>
      <c r="FEX546" s="500"/>
      <c r="FEY546" s="500"/>
      <c r="FEZ546" s="500"/>
      <c r="FFA546" s="500"/>
      <c r="FFB546" s="500"/>
      <c r="FFC546" s="500"/>
      <c r="FFD546" s="500"/>
      <c r="FFE546" s="500"/>
      <c r="FFF546" s="500"/>
      <c r="FFG546" s="500"/>
      <c r="FFH546" s="500"/>
      <c r="FFI546" s="500"/>
      <c r="FFJ546" s="500"/>
      <c r="FFK546" s="500"/>
      <c r="FFL546" s="500"/>
      <c r="FFM546" s="500"/>
      <c r="FFN546" s="500"/>
      <c r="FFO546" s="500"/>
      <c r="FFP546" s="500"/>
      <c r="FFQ546" s="500"/>
      <c r="FFR546" s="500"/>
      <c r="FFS546" s="500"/>
      <c r="FFT546" s="500"/>
      <c r="FFU546" s="500"/>
      <c r="FFV546" s="500"/>
      <c r="FFW546" s="500"/>
      <c r="FFX546" s="500"/>
      <c r="FFY546" s="500"/>
      <c r="FFZ546" s="500"/>
      <c r="FGA546" s="500"/>
      <c r="FGB546" s="500"/>
      <c r="FGC546" s="500"/>
      <c r="FGD546" s="500"/>
      <c r="FGE546" s="500"/>
      <c r="FGF546" s="500"/>
      <c r="FGG546" s="500"/>
      <c r="FGH546" s="500"/>
      <c r="FGI546" s="500"/>
      <c r="FGJ546" s="500"/>
      <c r="FGK546" s="500"/>
      <c r="FGL546" s="500"/>
      <c r="FGM546" s="500"/>
      <c r="FGN546" s="500"/>
      <c r="FGO546" s="500"/>
      <c r="FGP546" s="500"/>
      <c r="FGQ546" s="500"/>
      <c r="FGR546" s="500"/>
      <c r="FGS546" s="500"/>
      <c r="FGT546" s="500"/>
      <c r="FGU546" s="500"/>
      <c r="FGV546" s="500"/>
      <c r="FGW546" s="500"/>
      <c r="FGX546" s="500"/>
      <c r="FGY546" s="500"/>
      <c r="FGZ546" s="500"/>
      <c r="FHA546" s="500"/>
      <c r="FHB546" s="500"/>
      <c r="FHC546" s="500"/>
      <c r="FHD546" s="500"/>
      <c r="FHE546" s="500"/>
      <c r="FHF546" s="500"/>
      <c r="FHG546" s="500"/>
      <c r="FHH546" s="500"/>
      <c r="FHI546" s="500"/>
      <c r="FHJ546" s="500"/>
      <c r="FHK546" s="500"/>
      <c r="FHL546" s="500"/>
      <c r="FHM546" s="500"/>
      <c r="FHN546" s="500"/>
      <c r="FHO546" s="500"/>
      <c r="FHP546" s="500"/>
      <c r="FHQ546" s="500"/>
      <c r="FHR546" s="500"/>
      <c r="FHS546" s="500"/>
      <c r="FHT546" s="500"/>
      <c r="FHU546" s="500"/>
      <c r="FHV546" s="500"/>
      <c r="FHW546" s="500"/>
      <c r="FHX546" s="500"/>
      <c r="FHY546" s="500"/>
      <c r="FHZ546" s="500"/>
      <c r="FIA546" s="500"/>
      <c r="FIB546" s="500"/>
      <c r="FIC546" s="500"/>
      <c r="FID546" s="500"/>
      <c r="FIE546" s="500"/>
      <c r="FIF546" s="500"/>
      <c r="FIG546" s="500"/>
      <c r="FIH546" s="500"/>
      <c r="FII546" s="500"/>
      <c r="FIJ546" s="500"/>
      <c r="FIK546" s="500"/>
      <c r="FIL546" s="500"/>
      <c r="FIM546" s="500"/>
      <c r="FIN546" s="500"/>
      <c r="FIO546" s="500"/>
      <c r="FIP546" s="500"/>
      <c r="FIQ546" s="500"/>
      <c r="FIR546" s="500"/>
      <c r="FIS546" s="500"/>
      <c r="FIT546" s="500"/>
      <c r="FIU546" s="500"/>
      <c r="FIV546" s="500"/>
      <c r="FIW546" s="500"/>
      <c r="FIX546" s="500"/>
      <c r="FIY546" s="500"/>
      <c r="FIZ546" s="500"/>
      <c r="FJA546" s="500"/>
      <c r="FJB546" s="500"/>
      <c r="FJC546" s="500"/>
      <c r="FJD546" s="500"/>
      <c r="FJE546" s="500"/>
      <c r="FJF546" s="500"/>
      <c r="FJG546" s="500"/>
      <c r="FJH546" s="500"/>
      <c r="FJI546" s="500"/>
      <c r="FJJ546" s="500"/>
      <c r="FJK546" s="500"/>
      <c r="FJL546" s="500"/>
      <c r="FJM546" s="500"/>
      <c r="FJN546" s="500"/>
      <c r="FJO546" s="500"/>
      <c r="FJP546" s="500"/>
      <c r="FJQ546" s="500"/>
      <c r="FJR546" s="500"/>
      <c r="FJS546" s="500"/>
      <c r="FJT546" s="500"/>
      <c r="FJU546" s="500"/>
      <c r="FJV546" s="500"/>
      <c r="FJW546" s="500"/>
      <c r="FJX546" s="500"/>
      <c r="FJY546" s="500"/>
      <c r="FJZ546" s="500"/>
      <c r="FKA546" s="500"/>
      <c r="FKB546" s="500"/>
      <c r="FKC546" s="500"/>
      <c r="FKD546" s="500"/>
      <c r="FKE546" s="500"/>
      <c r="FKF546" s="500"/>
      <c r="FKG546" s="500"/>
      <c r="FKH546" s="500"/>
      <c r="FKI546" s="500"/>
      <c r="FKJ546" s="500"/>
      <c r="FKK546" s="500"/>
      <c r="FKL546" s="500"/>
      <c r="FKM546" s="500"/>
      <c r="FKN546" s="500"/>
      <c r="FKO546" s="500"/>
      <c r="FKP546" s="500"/>
      <c r="FKQ546" s="500"/>
      <c r="FKR546" s="500"/>
      <c r="FKS546" s="500"/>
      <c r="FKT546" s="500"/>
      <c r="FKU546" s="500"/>
      <c r="FKV546" s="500"/>
      <c r="FKW546" s="500"/>
      <c r="FKX546" s="500"/>
      <c r="FKY546" s="500"/>
      <c r="FKZ546" s="500"/>
      <c r="FLA546" s="500"/>
      <c r="FLB546" s="500"/>
      <c r="FLC546" s="500"/>
      <c r="FLD546" s="500"/>
      <c r="FLE546" s="500"/>
      <c r="FLF546" s="500"/>
      <c r="FLG546" s="500"/>
      <c r="FLH546" s="500"/>
      <c r="FLI546" s="500"/>
      <c r="FLJ546" s="500"/>
      <c r="FLK546" s="500"/>
      <c r="FLL546" s="500"/>
      <c r="FLM546" s="500"/>
      <c r="FLN546" s="500"/>
      <c r="FLO546" s="500"/>
      <c r="FLP546" s="500"/>
      <c r="FLQ546" s="500"/>
      <c r="FLR546" s="500"/>
      <c r="FLS546" s="500"/>
      <c r="FLT546" s="500"/>
      <c r="FLU546" s="500"/>
      <c r="FLV546" s="500"/>
      <c r="FLW546" s="500"/>
      <c r="FLX546" s="500"/>
      <c r="FLY546" s="500"/>
      <c r="FLZ546" s="500"/>
      <c r="FMA546" s="500"/>
      <c r="FMB546" s="500"/>
      <c r="FMC546" s="500"/>
      <c r="FMD546" s="500"/>
      <c r="FME546" s="500"/>
      <c r="FMF546" s="500"/>
      <c r="FMG546" s="500"/>
      <c r="FMH546" s="500"/>
      <c r="FMI546" s="500"/>
      <c r="FMJ546" s="500"/>
      <c r="FMK546" s="500"/>
      <c r="FML546" s="500"/>
      <c r="FMM546" s="500"/>
      <c r="FMN546" s="500"/>
      <c r="FMO546" s="500"/>
      <c r="FMP546" s="500"/>
      <c r="FMQ546" s="500"/>
      <c r="FMR546" s="500"/>
      <c r="FMS546" s="500"/>
      <c r="FMT546" s="500"/>
      <c r="FMU546" s="500"/>
      <c r="FMV546" s="500"/>
      <c r="FMW546" s="500"/>
      <c r="FMX546" s="500"/>
      <c r="FMY546" s="500"/>
      <c r="FMZ546" s="500"/>
      <c r="FNA546" s="500"/>
      <c r="FNB546" s="500"/>
      <c r="FNC546" s="500"/>
      <c r="FND546" s="500"/>
      <c r="FNE546" s="500"/>
      <c r="FNF546" s="500"/>
      <c r="FNG546" s="500"/>
      <c r="FNH546" s="500"/>
      <c r="FNI546" s="500"/>
      <c r="FNJ546" s="500"/>
      <c r="FNK546" s="500"/>
      <c r="FNL546" s="500"/>
      <c r="FNM546" s="500"/>
      <c r="FNN546" s="500"/>
      <c r="FNO546" s="500"/>
      <c r="FNP546" s="500"/>
      <c r="FNQ546" s="500"/>
      <c r="FNR546" s="500"/>
      <c r="FNS546" s="500"/>
      <c r="FNT546" s="500"/>
      <c r="FNU546" s="500"/>
      <c r="FNV546" s="500"/>
      <c r="FNW546" s="500"/>
      <c r="FNX546" s="500"/>
      <c r="FNY546" s="500"/>
      <c r="FNZ546" s="500"/>
      <c r="FOA546" s="500"/>
      <c r="FOB546" s="500"/>
      <c r="FOC546" s="500"/>
      <c r="FOD546" s="500"/>
      <c r="FOE546" s="500"/>
      <c r="FOF546" s="500"/>
      <c r="FOG546" s="500"/>
      <c r="FOH546" s="500"/>
      <c r="FOI546" s="500"/>
      <c r="FOJ546" s="500"/>
      <c r="FOK546" s="500"/>
      <c r="FOL546" s="500"/>
      <c r="FOM546" s="500"/>
      <c r="FON546" s="500"/>
      <c r="FOO546" s="500"/>
      <c r="FOP546" s="500"/>
      <c r="FOQ546" s="500"/>
      <c r="FOR546" s="500"/>
      <c r="FOS546" s="500"/>
      <c r="FOT546" s="500"/>
      <c r="FOU546" s="500"/>
      <c r="FOV546" s="500"/>
      <c r="FOW546" s="500"/>
      <c r="FOX546" s="500"/>
      <c r="FOY546" s="500"/>
      <c r="FOZ546" s="500"/>
      <c r="FPA546" s="500"/>
      <c r="FPB546" s="500"/>
      <c r="FPC546" s="500"/>
      <c r="FPD546" s="500"/>
      <c r="FPE546" s="500"/>
      <c r="FPF546" s="500"/>
      <c r="FPG546" s="500"/>
      <c r="FPH546" s="500"/>
      <c r="FPI546" s="500"/>
      <c r="FPJ546" s="500"/>
      <c r="FPK546" s="500"/>
      <c r="FPL546" s="500"/>
      <c r="FPM546" s="500"/>
      <c r="FPN546" s="500"/>
      <c r="FPO546" s="500"/>
      <c r="FPP546" s="500"/>
      <c r="FPQ546" s="500"/>
      <c r="FPR546" s="500"/>
      <c r="FPS546" s="500"/>
      <c r="FPT546" s="500"/>
      <c r="FPU546" s="500"/>
      <c r="FPV546" s="500"/>
      <c r="FPW546" s="500"/>
      <c r="FPX546" s="500"/>
      <c r="FPY546" s="500"/>
      <c r="FPZ546" s="500"/>
      <c r="FQA546" s="500"/>
      <c r="FQB546" s="500"/>
      <c r="FQC546" s="500"/>
      <c r="FQD546" s="500"/>
      <c r="FQE546" s="500"/>
      <c r="FQF546" s="500"/>
      <c r="FQG546" s="500"/>
      <c r="FQH546" s="500"/>
      <c r="FQI546" s="500"/>
      <c r="FQJ546" s="500"/>
      <c r="FQK546" s="500"/>
      <c r="FQL546" s="500"/>
      <c r="FQM546" s="500"/>
      <c r="FQN546" s="500"/>
      <c r="FQO546" s="500"/>
      <c r="FQP546" s="500"/>
      <c r="FQQ546" s="500"/>
      <c r="FQR546" s="500"/>
      <c r="FQS546" s="500"/>
      <c r="FQT546" s="500"/>
      <c r="FQU546" s="500"/>
      <c r="FQV546" s="500"/>
      <c r="FQW546" s="500"/>
      <c r="FQX546" s="500"/>
      <c r="FQY546" s="500"/>
      <c r="FQZ546" s="500"/>
      <c r="FRA546" s="500"/>
      <c r="FRB546" s="500"/>
      <c r="FRC546" s="500"/>
      <c r="FRD546" s="500"/>
      <c r="FRE546" s="500"/>
      <c r="FRF546" s="500"/>
      <c r="FRG546" s="500"/>
      <c r="FRH546" s="500"/>
      <c r="FRI546" s="500"/>
      <c r="FRJ546" s="500"/>
      <c r="FRK546" s="500"/>
      <c r="FRL546" s="500"/>
      <c r="FRM546" s="500"/>
      <c r="FRN546" s="500"/>
      <c r="FRO546" s="500"/>
      <c r="FRP546" s="500"/>
      <c r="FRQ546" s="500"/>
      <c r="FRR546" s="500"/>
      <c r="FRS546" s="500"/>
      <c r="FRT546" s="500"/>
      <c r="FRU546" s="500"/>
      <c r="FRV546" s="500"/>
      <c r="FRW546" s="500"/>
      <c r="FRX546" s="500"/>
      <c r="FRY546" s="500"/>
      <c r="FRZ546" s="500"/>
      <c r="FSA546" s="500"/>
      <c r="FSB546" s="500"/>
      <c r="FSC546" s="500"/>
      <c r="FSD546" s="500"/>
      <c r="FSE546" s="500"/>
      <c r="FSF546" s="500"/>
      <c r="FSG546" s="500"/>
      <c r="FSH546" s="500"/>
      <c r="FSI546" s="500"/>
      <c r="FSJ546" s="500"/>
      <c r="FSK546" s="500"/>
      <c r="FSL546" s="500"/>
      <c r="FSM546" s="500"/>
      <c r="FSN546" s="500"/>
      <c r="FSO546" s="500"/>
      <c r="FSP546" s="500"/>
      <c r="FSQ546" s="500"/>
      <c r="FSR546" s="500"/>
      <c r="FSS546" s="500"/>
      <c r="FST546" s="500"/>
      <c r="FSU546" s="500"/>
      <c r="FSV546" s="500"/>
      <c r="FSW546" s="500"/>
      <c r="FSX546" s="500"/>
      <c r="FSY546" s="500"/>
      <c r="FSZ546" s="500"/>
      <c r="FTA546" s="500"/>
      <c r="FTB546" s="500"/>
      <c r="FTC546" s="500"/>
      <c r="FTD546" s="500"/>
      <c r="FTE546" s="500"/>
      <c r="FTF546" s="500"/>
      <c r="FTG546" s="500"/>
      <c r="FTH546" s="500"/>
      <c r="FTI546" s="500"/>
      <c r="FTJ546" s="500"/>
      <c r="FTK546" s="500"/>
      <c r="FTL546" s="500"/>
      <c r="FTM546" s="500"/>
      <c r="FTN546" s="500"/>
      <c r="FTO546" s="500"/>
      <c r="FTP546" s="500"/>
      <c r="FTQ546" s="500"/>
      <c r="FTR546" s="500"/>
      <c r="FTS546" s="500"/>
      <c r="FTT546" s="500"/>
      <c r="FTU546" s="500"/>
      <c r="FTV546" s="500"/>
      <c r="FTW546" s="500"/>
      <c r="FTX546" s="500"/>
      <c r="FTY546" s="500"/>
      <c r="FTZ546" s="500"/>
      <c r="FUA546" s="500"/>
      <c r="FUB546" s="500"/>
      <c r="FUC546" s="500"/>
      <c r="FUD546" s="500"/>
      <c r="FUE546" s="500"/>
      <c r="FUF546" s="500"/>
      <c r="FUG546" s="500"/>
      <c r="FUH546" s="500"/>
      <c r="FUI546" s="500"/>
      <c r="FUJ546" s="500"/>
      <c r="FUK546" s="500"/>
      <c r="FUL546" s="500"/>
      <c r="FUM546" s="500"/>
      <c r="FUN546" s="500"/>
      <c r="FUO546" s="500"/>
      <c r="FUP546" s="500"/>
      <c r="FUQ546" s="500"/>
      <c r="FUR546" s="500"/>
      <c r="FUS546" s="500"/>
      <c r="FUT546" s="500"/>
      <c r="FUU546" s="500"/>
      <c r="FUV546" s="500"/>
      <c r="FUW546" s="500"/>
      <c r="FUX546" s="500"/>
      <c r="FUY546" s="500"/>
      <c r="FUZ546" s="500"/>
      <c r="FVA546" s="500"/>
      <c r="FVB546" s="500"/>
      <c r="FVC546" s="500"/>
      <c r="FVD546" s="500"/>
      <c r="FVE546" s="500"/>
      <c r="FVF546" s="500"/>
      <c r="FVG546" s="500"/>
      <c r="FVH546" s="500"/>
      <c r="FVI546" s="500"/>
      <c r="FVJ546" s="500"/>
      <c r="FVK546" s="500"/>
      <c r="FVL546" s="500"/>
      <c r="FVM546" s="500"/>
      <c r="FVN546" s="500"/>
      <c r="FVO546" s="500"/>
      <c r="FVP546" s="500"/>
      <c r="FVQ546" s="500"/>
      <c r="FVR546" s="500"/>
      <c r="FVS546" s="500"/>
      <c r="FVT546" s="500"/>
      <c r="FVU546" s="500"/>
      <c r="FVV546" s="500"/>
      <c r="FVW546" s="500"/>
      <c r="FVX546" s="500"/>
      <c r="FVY546" s="500"/>
      <c r="FVZ546" s="500"/>
      <c r="FWA546" s="500"/>
      <c r="FWB546" s="500"/>
      <c r="FWC546" s="500"/>
      <c r="FWD546" s="500"/>
      <c r="FWE546" s="500"/>
      <c r="FWF546" s="500"/>
      <c r="FWG546" s="500"/>
      <c r="FWH546" s="500"/>
      <c r="FWI546" s="500"/>
      <c r="FWJ546" s="500"/>
      <c r="FWK546" s="500"/>
      <c r="FWL546" s="500"/>
      <c r="FWM546" s="500"/>
      <c r="FWN546" s="500"/>
      <c r="FWO546" s="500"/>
      <c r="FWP546" s="500"/>
      <c r="FWQ546" s="500"/>
      <c r="FWR546" s="500"/>
      <c r="FWS546" s="500"/>
      <c r="FWT546" s="500"/>
      <c r="FWU546" s="500"/>
      <c r="FWV546" s="500"/>
      <c r="FWW546" s="500"/>
      <c r="FWX546" s="500"/>
      <c r="FWY546" s="500"/>
      <c r="FWZ546" s="500"/>
      <c r="FXA546" s="500"/>
      <c r="FXB546" s="500"/>
      <c r="FXC546" s="500"/>
      <c r="FXD546" s="500"/>
      <c r="FXE546" s="500"/>
      <c r="FXF546" s="500"/>
      <c r="FXG546" s="500"/>
      <c r="FXH546" s="500"/>
      <c r="FXI546" s="500"/>
      <c r="FXJ546" s="500"/>
      <c r="FXK546" s="500"/>
      <c r="FXL546" s="500"/>
      <c r="FXM546" s="500"/>
      <c r="FXN546" s="500"/>
      <c r="FXO546" s="500"/>
      <c r="FXP546" s="500"/>
      <c r="FXQ546" s="500"/>
      <c r="FXR546" s="500"/>
      <c r="FXS546" s="500"/>
      <c r="FXT546" s="500"/>
      <c r="FXU546" s="500"/>
      <c r="FXV546" s="500"/>
      <c r="FXW546" s="500"/>
      <c r="FXX546" s="500"/>
      <c r="FXY546" s="500"/>
      <c r="FXZ546" s="500"/>
      <c r="FYA546" s="500"/>
      <c r="FYB546" s="500"/>
      <c r="FYC546" s="500"/>
      <c r="FYD546" s="500"/>
      <c r="FYE546" s="500"/>
      <c r="FYF546" s="500"/>
      <c r="FYG546" s="500"/>
      <c r="FYH546" s="500"/>
      <c r="FYI546" s="500"/>
      <c r="FYJ546" s="500"/>
      <c r="FYK546" s="500"/>
      <c r="FYL546" s="500"/>
      <c r="FYM546" s="500"/>
      <c r="FYN546" s="500"/>
      <c r="FYO546" s="500"/>
      <c r="FYP546" s="500"/>
      <c r="FYQ546" s="500"/>
      <c r="FYR546" s="500"/>
      <c r="FYS546" s="500"/>
      <c r="FYT546" s="500"/>
      <c r="FYU546" s="500"/>
      <c r="FYV546" s="500"/>
      <c r="FYW546" s="500"/>
      <c r="FYX546" s="500"/>
      <c r="FYY546" s="500"/>
      <c r="FYZ546" s="500"/>
      <c r="FZA546" s="500"/>
      <c r="FZB546" s="500"/>
      <c r="FZC546" s="500"/>
      <c r="FZD546" s="500"/>
      <c r="FZE546" s="500"/>
      <c r="FZF546" s="500"/>
      <c r="FZG546" s="500"/>
      <c r="FZH546" s="500"/>
      <c r="FZI546" s="500"/>
      <c r="FZJ546" s="500"/>
      <c r="FZK546" s="500"/>
      <c r="FZL546" s="500"/>
      <c r="FZM546" s="500"/>
      <c r="FZN546" s="500"/>
      <c r="FZO546" s="500"/>
      <c r="FZP546" s="500"/>
      <c r="FZQ546" s="500"/>
      <c r="FZR546" s="500"/>
      <c r="FZS546" s="500"/>
      <c r="FZT546" s="500"/>
      <c r="FZU546" s="500"/>
      <c r="FZV546" s="500"/>
      <c r="FZW546" s="500"/>
      <c r="FZX546" s="500"/>
      <c r="FZY546" s="500"/>
      <c r="FZZ546" s="500"/>
      <c r="GAA546" s="500"/>
      <c r="GAB546" s="500"/>
      <c r="GAC546" s="500"/>
      <c r="GAD546" s="500"/>
      <c r="GAE546" s="500"/>
      <c r="GAF546" s="500"/>
      <c r="GAG546" s="500"/>
      <c r="GAH546" s="500"/>
      <c r="GAI546" s="500"/>
      <c r="GAJ546" s="500"/>
      <c r="GAK546" s="500"/>
      <c r="GAL546" s="500"/>
      <c r="GAM546" s="500"/>
      <c r="GAN546" s="500"/>
      <c r="GAO546" s="500"/>
      <c r="GAP546" s="500"/>
      <c r="GAQ546" s="500"/>
      <c r="GAR546" s="500"/>
      <c r="GAS546" s="500"/>
      <c r="GAT546" s="500"/>
      <c r="GAU546" s="500"/>
      <c r="GAV546" s="500"/>
      <c r="GAW546" s="500"/>
      <c r="GAX546" s="500"/>
      <c r="GAY546" s="500"/>
      <c r="GAZ546" s="500"/>
      <c r="GBA546" s="500"/>
      <c r="GBB546" s="500"/>
      <c r="GBC546" s="500"/>
      <c r="GBD546" s="500"/>
      <c r="GBE546" s="500"/>
      <c r="GBF546" s="500"/>
      <c r="GBG546" s="500"/>
      <c r="GBH546" s="500"/>
      <c r="GBI546" s="500"/>
      <c r="GBJ546" s="500"/>
      <c r="GBK546" s="500"/>
      <c r="GBL546" s="500"/>
      <c r="GBM546" s="500"/>
      <c r="GBN546" s="500"/>
      <c r="GBO546" s="500"/>
      <c r="GBP546" s="500"/>
      <c r="GBQ546" s="500"/>
      <c r="GBR546" s="500"/>
      <c r="GBS546" s="500"/>
      <c r="GBT546" s="500"/>
      <c r="GBU546" s="500"/>
      <c r="GBV546" s="500"/>
      <c r="GBW546" s="500"/>
      <c r="GBX546" s="500"/>
      <c r="GBY546" s="500"/>
      <c r="GBZ546" s="500"/>
      <c r="GCA546" s="500"/>
      <c r="GCB546" s="500"/>
      <c r="GCC546" s="500"/>
      <c r="GCD546" s="500"/>
      <c r="GCE546" s="500"/>
      <c r="GCF546" s="500"/>
      <c r="GCG546" s="500"/>
      <c r="GCH546" s="500"/>
      <c r="GCI546" s="500"/>
      <c r="GCJ546" s="500"/>
      <c r="GCK546" s="500"/>
      <c r="GCL546" s="500"/>
      <c r="GCM546" s="500"/>
      <c r="GCN546" s="500"/>
      <c r="GCO546" s="500"/>
      <c r="GCP546" s="500"/>
      <c r="GCQ546" s="500"/>
      <c r="GCR546" s="500"/>
      <c r="GCS546" s="500"/>
      <c r="GCT546" s="500"/>
      <c r="GCU546" s="500"/>
      <c r="GCV546" s="500"/>
      <c r="GCW546" s="500"/>
      <c r="GCX546" s="500"/>
      <c r="GCY546" s="500"/>
      <c r="GCZ546" s="500"/>
      <c r="GDA546" s="500"/>
      <c r="GDB546" s="500"/>
      <c r="GDC546" s="500"/>
      <c r="GDD546" s="500"/>
      <c r="GDE546" s="500"/>
      <c r="GDF546" s="500"/>
      <c r="GDG546" s="500"/>
      <c r="GDH546" s="500"/>
      <c r="GDI546" s="500"/>
      <c r="GDJ546" s="500"/>
      <c r="GDK546" s="500"/>
      <c r="GDL546" s="500"/>
      <c r="GDM546" s="500"/>
      <c r="GDN546" s="500"/>
      <c r="GDO546" s="500"/>
      <c r="GDP546" s="500"/>
      <c r="GDQ546" s="500"/>
      <c r="GDR546" s="500"/>
      <c r="GDS546" s="500"/>
      <c r="GDT546" s="500"/>
      <c r="GDU546" s="500"/>
      <c r="GDV546" s="500"/>
      <c r="GDW546" s="500"/>
      <c r="GDX546" s="500"/>
      <c r="GDY546" s="500"/>
      <c r="GDZ546" s="500"/>
      <c r="GEA546" s="500"/>
      <c r="GEB546" s="500"/>
      <c r="GEC546" s="500"/>
      <c r="GED546" s="500"/>
      <c r="GEE546" s="500"/>
      <c r="GEF546" s="500"/>
      <c r="GEG546" s="500"/>
      <c r="GEH546" s="500"/>
      <c r="GEI546" s="500"/>
      <c r="GEJ546" s="500"/>
      <c r="GEK546" s="500"/>
      <c r="GEL546" s="500"/>
      <c r="GEM546" s="500"/>
      <c r="GEN546" s="500"/>
      <c r="GEO546" s="500"/>
      <c r="GEP546" s="500"/>
      <c r="GEQ546" s="500"/>
      <c r="GER546" s="500"/>
      <c r="GES546" s="500"/>
      <c r="GET546" s="500"/>
      <c r="GEU546" s="500"/>
      <c r="GEV546" s="500"/>
      <c r="GEW546" s="500"/>
      <c r="GEX546" s="500"/>
      <c r="GEY546" s="500"/>
      <c r="GEZ546" s="500"/>
      <c r="GFA546" s="500"/>
      <c r="GFB546" s="500"/>
      <c r="GFC546" s="500"/>
      <c r="GFD546" s="500"/>
      <c r="GFE546" s="500"/>
      <c r="GFF546" s="500"/>
      <c r="GFG546" s="500"/>
      <c r="GFH546" s="500"/>
      <c r="GFI546" s="500"/>
      <c r="GFJ546" s="500"/>
      <c r="GFK546" s="500"/>
      <c r="GFL546" s="500"/>
      <c r="GFM546" s="500"/>
      <c r="GFN546" s="500"/>
      <c r="GFO546" s="500"/>
      <c r="GFP546" s="500"/>
      <c r="GFQ546" s="500"/>
      <c r="GFR546" s="500"/>
      <c r="GFS546" s="500"/>
      <c r="GFT546" s="500"/>
      <c r="GFU546" s="500"/>
      <c r="GFV546" s="500"/>
      <c r="GFW546" s="500"/>
      <c r="GFX546" s="500"/>
      <c r="GFY546" s="500"/>
      <c r="GFZ546" s="500"/>
      <c r="GGA546" s="500"/>
      <c r="GGB546" s="500"/>
      <c r="GGC546" s="500"/>
      <c r="GGD546" s="500"/>
      <c r="GGE546" s="500"/>
      <c r="GGF546" s="500"/>
      <c r="GGG546" s="500"/>
      <c r="GGH546" s="500"/>
      <c r="GGI546" s="500"/>
      <c r="GGJ546" s="500"/>
      <c r="GGK546" s="500"/>
      <c r="GGL546" s="500"/>
      <c r="GGM546" s="500"/>
      <c r="GGN546" s="500"/>
      <c r="GGO546" s="500"/>
      <c r="GGP546" s="500"/>
      <c r="GGQ546" s="500"/>
      <c r="GGR546" s="500"/>
      <c r="GGS546" s="500"/>
      <c r="GGT546" s="500"/>
      <c r="GGU546" s="500"/>
      <c r="GGV546" s="500"/>
      <c r="GGW546" s="500"/>
      <c r="GGX546" s="500"/>
      <c r="GGY546" s="500"/>
      <c r="GGZ546" s="500"/>
      <c r="GHA546" s="500"/>
      <c r="GHB546" s="500"/>
      <c r="GHC546" s="500"/>
      <c r="GHD546" s="500"/>
      <c r="GHE546" s="500"/>
      <c r="GHF546" s="500"/>
      <c r="GHG546" s="500"/>
      <c r="GHH546" s="500"/>
      <c r="GHI546" s="500"/>
      <c r="GHJ546" s="500"/>
      <c r="GHK546" s="500"/>
      <c r="GHL546" s="500"/>
      <c r="GHM546" s="500"/>
      <c r="GHN546" s="500"/>
      <c r="GHO546" s="500"/>
      <c r="GHP546" s="500"/>
      <c r="GHQ546" s="500"/>
      <c r="GHR546" s="500"/>
      <c r="GHS546" s="500"/>
      <c r="GHT546" s="500"/>
      <c r="GHU546" s="500"/>
      <c r="GHV546" s="500"/>
      <c r="GHW546" s="500"/>
      <c r="GHX546" s="500"/>
      <c r="GHY546" s="500"/>
      <c r="GHZ546" s="500"/>
      <c r="GIA546" s="500"/>
      <c r="GIB546" s="500"/>
      <c r="GIC546" s="500"/>
      <c r="GID546" s="500"/>
      <c r="GIE546" s="500"/>
      <c r="GIF546" s="500"/>
      <c r="GIG546" s="500"/>
      <c r="GIH546" s="500"/>
      <c r="GII546" s="500"/>
      <c r="GIJ546" s="500"/>
      <c r="GIK546" s="500"/>
      <c r="GIL546" s="500"/>
      <c r="GIM546" s="500"/>
      <c r="GIN546" s="500"/>
      <c r="GIO546" s="500"/>
      <c r="GIP546" s="500"/>
      <c r="GIQ546" s="500"/>
      <c r="GIR546" s="500"/>
      <c r="GIS546" s="500"/>
      <c r="GIT546" s="500"/>
      <c r="GIU546" s="500"/>
      <c r="GIV546" s="500"/>
      <c r="GIW546" s="500"/>
      <c r="GIX546" s="500"/>
      <c r="GIY546" s="500"/>
      <c r="GIZ546" s="500"/>
      <c r="GJA546" s="500"/>
      <c r="GJB546" s="500"/>
      <c r="GJC546" s="500"/>
      <c r="GJD546" s="500"/>
      <c r="GJE546" s="500"/>
      <c r="GJF546" s="500"/>
      <c r="GJG546" s="500"/>
      <c r="GJH546" s="500"/>
      <c r="GJI546" s="500"/>
      <c r="GJJ546" s="500"/>
      <c r="GJK546" s="500"/>
      <c r="GJL546" s="500"/>
      <c r="GJM546" s="500"/>
      <c r="GJN546" s="500"/>
      <c r="GJO546" s="500"/>
      <c r="GJP546" s="500"/>
      <c r="GJQ546" s="500"/>
      <c r="GJR546" s="500"/>
      <c r="GJS546" s="500"/>
      <c r="GJT546" s="500"/>
      <c r="GJU546" s="500"/>
      <c r="GJV546" s="500"/>
      <c r="GJW546" s="500"/>
      <c r="GJX546" s="500"/>
      <c r="GJY546" s="500"/>
      <c r="GJZ546" s="500"/>
      <c r="GKA546" s="500"/>
      <c r="GKB546" s="500"/>
      <c r="GKC546" s="500"/>
      <c r="GKD546" s="500"/>
      <c r="GKE546" s="500"/>
      <c r="GKF546" s="500"/>
      <c r="GKG546" s="500"/>
      <c r="GKH546" s="500"/>
      <c r="GKI546" s="500"/>
      <c r="GKJ546" s="500"/>
      <c r="GKK546" s="500"/>
      <c r="GKL546" s="500"/>
      <c r="GKM546" s="500"/>
      <c r="GKN546" s="500"/>
      <c r="GKO546" s="500"/>
      <c r="GKP546" s="500"/>
      <c r="GKQ546" s="500"/>
      <c r="GKR546" s="500"/>
      <c r="GKS546" s="500"/>
      <c r="GKT546" s="500"/>
      <c r="GKU546" s="500"/>
      <c r="GKV546" s="500"/>
      <c r="GKW546" s="500"/>
      <c r="GKX546" s="500"/>
      <c r="GKY546" s="500"/>
      <c r="GKZ546" s="500"/>
      <c r="GLA546" s="500"/>
      <c r="GLB546" s="500"/>
      <c r="GLC546" s="500"/>
      <c r="GLD546" s="500"/>
      <c r="GLE546" s="500"/>
      <c r="GLF546" s="500"/>
      <c r="GLG546" s="500"/>
      <c r="GLH546" s="500"/>
      <c r="GLI546" s="500"/>
      <c r="GLJ546" s="500"/>
      <c r="GLK546" s="500"/>
      <c r="GLL546" s="500"/>
      <c r="GLM546" s="500"/>
      <c r="GLN546" s="500"/>
      <c r="GLO546" s="500"/>
      <c r="GLP546" s="500"/>
      <c r="GLQ546" s="500"/>
      <c r="GLR546" s="500"/>
      <c r="GLS546" s="500"/>
      <c r="GLT546" s="500"/>
      <c r="GLU546" s="500"/>
      <c r="GLV546" s="500"/>
      <c r="GLW546" s="500"/>
      <c r="GLX546" s="500"/>
      <c r="GLY546" s="500"/>
      <c r="GLZ546" s="500"/>
      <c r="GMA546" s="500"/>
      <c r="GMB546" s="500"/>
      <c r="GMC546" s="500"/>
      <c r="GMD546" s="500"/>
      <c r="GME546" s="500"/>
      <c r="GMF546" s="500"/>
      <c r="GMG546" s="500"/>
      <c r="GMH546" s="500"/>
      <c r="GMI546" s="500"/>
      <c r="GMJ546" s="500"/>
      <c r="GMK546" s="500"/>
      <c r="GML546" s="500"/>
      <c r="GMM546" s="500"/>
      <c r="GMN546" s="500"/>
      <c r="GMO546" s="500"/>
      <c r="GMP546" s="500"/>
      <c r="GMQ546" s="500"/>
      <c r="GMR546" s="500"/>
      <c r="GMS546" s="500"/>
      <c r="GMT546" s="500"/>
      <c r="GMU546" s="500"/>
      <c r="GMV546" s="500"/>
      <c r="GMW546" s="500"/>
      <c r="GMX546" s="500"/>
      <c r="GMY546" s="500"/>
      <c r="GMZ546" s="500"/>
      <c r="GNA546" s="500"/>
      <c r="GNB546" s="500"/>
      <c r="GNC546" s="500"/>
      <c r="GND546" s="500"/>
      <c r="GNE546" s="500"/>
      <c r="GNF546" s="500"/>
      <c r="GNG546" s="500"/>
      <c r="GNH546" s="500"/>
      <c r="GNI546" s="500"/>
      <c r="GNJ546" s="500"/>
      <c r="GNK546" s="500"/>
      <c r="GNL546" s="500"/>
      <c r="GNM546" s="500"/>
      <c r="GNN546" s="500"/>
      <c r="GNO546" s="500"/>
      <c r="GNP546" s="500"/>
      <c r="GNQ546" s="500"/>
      <c r="GNR546" s="500"/>
      <c r="GNS546" s="500"/>
      <c r="GNT546" s="500"/>
      <c r="GNU546" s="500"/>
      <c r="GNV546" s="500"/>
      <c r="GNW546" s="500"/>
      <c r="GNX546" s="500"/>
      <c r="GNY546" s="500"/>
      <c r="GNZ546" s="500"/>
      <c r="GOA546" s="500"/>
      <c r="GOB546" s="500"/>
      <c r="GOC546" s="500"/>
      <c r="GOD546" s="500"/>
      <c r="GOE546" s="500"/>
      <c r="GOF546" s="500"/>
      <c r="GOG546" s="500"/>
      <c r="GOH546" s="500"/>
      <c r="GOI546" s="500"/>
      <c r="GOJ546" s="500"/>
      <c r="GOK546" s="500"/>
      <c r="GOL546" s="500"/>
      <c r="GOM546" s="500"/>
      <c r="GON546" s="500"/>
      <c r="GOO546" s="500"/>
      <c r="GOP546" s="500"/>
      <c r="GOQ546" s="500"/>
      <c r="GOR546" s="500"/>
      <c r="GOS546" s="500"/>
      <c r="GOT546" s="500"/>
      <c r="GOU546" s="500"/>
      <c r="GOV546" s="500"/>
      <c r="GOW546" s="500"/>
      <c r="GOX546" s="500"/>
      <c r="GOY546" s="500"/>
      <c r="GOZ546" s="500"/>
      <c r="GPA546" s="500"/>
      <c r="GPB546" s="500"/>
      <c r="GPC546" s="500"/>
      <c r="GPD546" s="500"/>
      <c r="GPE546" s="500"/>
      <c r="GPF546" s="500"/>
      <c r="GPG546" s="500"/>
      <c r="GPH546" s="500"/>
      <c r="GPI546" s="500"/>
      <c r="GPJ546" s="500"/>
      <c r="GPK546" s="500"/>
      <c r="GPL546" s="500"/>
      <c r="GPM546" s="500"/>
      <c r="GPN546" s="500"/>
      <c r="GPO546" s="500"/>
      <c r="GPP546" s="500"/>
      <c r="GPQ546" s="500"/>
      <c r="GPR546" s="500"/>
      <c r="GPS546" s="500"/>
      <c r="GPT546" s="500"/>
      <c r="GPU546" s="500"/>
      <c r="GPV546" s="500"/>
      <c r="GPW546" s="500"/>
      <c r="GPX546" s="500"/>
      <c r="GPY546" s="500"/>
      <c r="GPZ546" s="500"/>
      <c r="GQA546" s="500"/>
      <c r="GQB546" s="500"/>
      <c r="GQC546" s="500"/>
      <c r="GQD546" s="500"/>
      <c r="GQE546" s="500"/>
      <c r="GQF546" s="500"/>
      <c r="GQG546" s="500"/>
      <c r="GQH546" s="500"/>
      <c r="GQI546" s="500"/>
      <c r="GQJ546" s="500"/>
      <c r="GQK546" s="500"/>
      <c r="GQL546" s="500"/>
      <c r="GQM546" s="500"/>
      <c r="GQN546" s="500"/>
      <c r="GQO546" s="500"/>
      <c r="GQP546" s="500"/>
      <c r="GQQ546" s="500"/>
      <c r="GQR546" s="500"/>
      <c r="GQS546" s="500"/>
      <c r="GQT546" s="500"/>
      <c r="GQU546" s="500"/>
      <c r="GQV546" s="500"/>
      <c r="GQW546" s="500"/>
      <c r="GQX546" s="500"/>
      <c r="GQY546" s="500"/>
      <c r="GQZ546" s="500"/>
      <c r="GRA546" s="500"/>
      <c r="GRB546" s="500"/>
      <c r="GRC546" s="500"/>
      <c r="GRD546" s="500"/>
      <c r="GRE546" s="500"/>
      <c r="GRF546" s="500"/>
      <c r="GRG546" s="500"/>
      <c r="GRH546" s="500"/>
      <c r="GRI546" s="500"/>
      <c r="GRJ546" s="500"/>
      <c r="GRK546" s="500"/>
      <c r="GRL546" s="500"/>
      <c r="GRM546" s="500"/>
      <c r="GRN546" s="500"/>
      <c r="GRO546" s="500"/>
      <c r="GRP546" s="500"/>
      <c r="GRQ546" s="500"/>
      <c r="GRR546" s="500"/>
      <c r="GRS546" s="500"/>
      <c r="GRT546" s="500"/>
      <c r="GRU546" s="500"/>
      <c r="GRV546" s="500"/>
      <c r="GRW546" s="500"/>
      <c r="GRX546" s="500"/>
      <c r="GRY546" s="500"/>
      <c r="GRZ546" s="500"/>
      <c r="GSA546" s="500"/>
      <c r="GSB546" s="500"/>
      <c r="GSC546" s="500"/>
      <c r="GSD546" s="500"/>
      <c r="GSE546" s="500"/>
      <c r="GSF546" s="500"/>
      <c r="GSG546" s="500"/>
      <c r="GSH546" s="500"/>
      <c r="GSI546" s="500"/>
      <c r="GSJ546" s="500"/>
      <c r="GSK546" s="500"/>
      <c r="GSL546" s="500"/>
      <c r="GSM546" s="500"/>
      <c r="GSN546" s="500"/>
      <c r="GSO546" s="500"/>
      <c r="GSP546" s="500"/>
      <c r="GSQ546" s="500"/>
      <c r="GSR546" s="500"/>
      <c r="GSS546" s="500"/>
      <c r="GST546" s="500"/>
      <c r="GSU546" s="500"/>
      <c r="GSV546" s="500"/>
      <c r="GSW546" s="500"/>
      <c r="GSX546" s="500"/>
      <c r="GSY546" s="500"/>
      <c r="GSZ546" s="500"/>
      <c r="GTA546" s="500"/>
      <c r="GTB546" s="500"/>
      <c r="GTC546" s="500"/>
      <c r="GTD546" s="500"/>
      <c r="GTE546" s="500"/>
      <c r="GTF546" s="500"/>
      <c r="GTG546" s="500"/>
      <c r="GTH546" s="500"/>
      <c r="GTI546" s="500"/>
      <c r="GTJ546" s="500"/>
      <c r="GTK546" s="500"/>
      <c r="GTL546" s="500"/>
      <c r="GTM546" s="500"/>
      <c r="GTN546" s="500"/>
      <c r="GTO546" s="500"/>
      <c r="GTP546" s="500"/>
      <c r="GTQ546" s="500"/>
      <c r="GTR546" s="500"/>
      <c r="GTS546" s="500"/>
      <c r="GTT546" s="500"/>
      <c r="GTU546" s="500"/>
      <c r="GTV546" s="500"/>
      <c r="GTW546" s="500"/>
      <c r="GTX546" s="500"/>
      <c r="GTY546" s="500"/>
      <c r="GTZ546" s="500"/>
      <c r="GUA546" s="500"/>
      <c r="GUB546" s="500"/>
      <c r="GUC546" s="500"/>
      <c r="GUD546" s="500"/>
      <c r="GUE546" s="500"/>
      <c r="GUF546" s="500"/>
      <c r="GUG546" s="500"/>
      <c r="GUH546" s="500"/>
      <c r="GUI546" s="500"/>
      <c r="GUJ546" s="500"/>
      <c r="GUK546" s="500"/>
      <c r="GUL546" s="500"/>
      <c r="GUM546" s="500"/>
      <c r="GUN546" s="500"/>
      <c r="GUO546" s="500"/>
      <c r="GUP546" s="500"/>
      <c r="GUQ546" s="500"/>
      <c r="GUR546" s="500"/>
      <c r="GUS546" s="500"/>
      <c r="GUT546" s="500"/>
      <c r="GUU546" s="500"/>
      <c r="GUV546" s="500"/>
      <c r="GUW546" s="500"/>
      <c r="GUX546" s="500"/>
      <c r="GUY546" s="500"/>
      <c r="GUZ546" s="500"/>
      <c r="GVA546" s="500"/>
      <c r="GVB546" s="500"/>
      <c r="GVC546" s="500"/>
      <c r="GVD546" s="500"/>
      <c r="GVE546" s="500"/>
      <c r="GVF546" s="500"/>
      <c r="GVG546" s="500"/>
      <c r="GVH546" s="500"/>
      <c r="GVI546" s="500"/>
      <c r="GVJ546" s="500"/>
      <c r="GVK546" s="500"/>
      <c r="GVL546" s="500"/>
      <c r="GVM546" s="500"/>
      <c r="GVN546" s="500"/>
      <c r="GVO546" s="500"/>
      <c r="GVP546" s="500"/>
      <c r="GVQ546" s="500"/>
      <c r="GVR546" s="500"/>
      <c r="GVS546" s="500"/>
      <c r="GVT546" s="500"/>
      <c r="GVU546" s="500"/>
      <c r="GVV546" s="500"/>
      <c r="GVW546" s="500"/>
      <c r="GVX546" s="500"/>
      <c r="GVY546" s="500"/>
      <c r="GVZ546" s="500"/>
      <c r="GWA546" s="500"/>
      <c r="GWB546" s="500"/>
      <c r="GWC546" s="500"/>
      <c r="GWD546" s="500"/>
      <c r="GWE546" s="500"/>
      <c r="GWF546" s="500"/>
      <c r="GWG546" s="500"/>
      <c r="GWH546" s="500"/>
      <c r="GWI546" s="500"/>
      <c r="GWJ546" s="500"/>
      <c r="GWK546" s="500"/>
      <c r="GWL546" s="500"/>
      <c r="GWM546" s="500"/>
      <c r="GWN546" s="500"/>
      <c r="GWO546" s="500"/>
      <c r="GWP546" s="500"/>
      <c r="GWQ546" s="500"/>
      <c r="GWR546" s="500"/>
      <c r="GWS546" s="500"/>
      <c r="GWT546" s="500"/>
      <c r="GWU546" s="500"/>
      <c r="GWV546" s="500"/>
      <c r="GWW546" s="500"/>
      <c r="GWX546" s="500"/>
      <c r="GWY546" s="500"/>
      <c r="GWZ546" s="500"/>
      <c r="GXA546" s="500"/>
      <c r="GXB546" s="500"/>
      <c r="GXC546" s="500"/>
      <c r="GXD546" s="500"/>
      <c r="GXE546" s="500"/>
      <c r="GXF546" s="500"/>
      <c r="GXG546" s="500"/>
      <c r="GXH546" s="500"/>
      <c r="GXI546" s="500"/>
      <c r="GXJ546" s="500"/>
      <c r="GXK546" s="500"/>
      <c r="GXL546" s="500"/>
      <c r="GXM546" s="500"/>
      <c r="GXN546" s="500"/>
      <c r="GXO546" s="500"/>
      <c r="GXP546" s="500"/>
      <c r="GXQ546" s="500"/>
      <c r="GXR546" s="500"/>
      <c r="GXS546" s="500"/>
      <c r="GXT546" s="500"/>
      <c r="GXU546" s="500"/>
      <c r="GXV546" s="500"/>
      <c r="GXW546" s="500"/>
      <c r="GXX546" s="500"/>
      <c r="GXY546" s="500"/>
      <c r="GXZ546" s="500"/>
      <c r="GYA546" s="500"/>
      <c r="GYB546" s="500"/>
      <c r="GYC546" s="500"/>
      <c r="GYD546" s="500"/>
      <c r="GYE546" s="500"/>
      <c r="GYF546" s="500"/>
      <c r="GYG546" s="500"/>
      <c r="GYH546" s="500"/>
      <c r="GYI546" s="500"/>
      <c r="GYJ546" s="500"/>
      <c r="GYK546" s="500"/>
      <c r="GYL546" s="500"/>
      <c r="GYM546" s="500"/>
      <c r="GYN546" s="500"/>
      <c r="GYO546" s="500"/>
      <c r="GYP546" s="500"/>
      <c r="GYQ546" s="500"/>
      <c r="GYR546" s="500"/>
      <c r="GYS546" s="500"/>
      <c r="GYT546" s="500"/>
      <c r="GYU546" s="500"/>
      <c r="GYV546" s="500"/>
      <c r="GYW546" s="500"/>
      <c r="GYX546" s="500"/>
      <c r="GYY546" s="500"/>
      <c r="GYZ546" s="500"/>
      <c r="GZA546" s="500"/>
      <c r="GZB546" s="500"/>
      <c r="GZC546" s="500"/>
      <c r="GZD546" s="500"/>
      <c r="GZE546" s="500"/>
      <c r="GZF546" s="500"/>
      <c r="GZG546" s="500"/>
      <c r="GZH546" s="500"/>
      <c r="GZI546" s="500"/>
      <c r="GZJ546" s="500"/>
      <c r="GZK546" s="500"/>
      <c r="GZL546" s="500"/>
      <c r="GZM546" s="500"/>
      <c r="GZN546" s="500"/>
      <c r="GZO546" s="500"/>
      <c r="GZP546" s="500"/>
      <c r="GZQ546" s="500"/>
      <c r="GZR546" s="500"/>
      <c r="GZS546" s="500"/>
      <c r="GZT546" s="500"/>
      <c r="GZU546" s="500"/>
      <c r="GZV546" s="500"/>
      <c r="GZW546" s="500"/>
      <c r="GZX546" s="500"/>
      <c r="GZY546" s="500"/>
      <c r="GZZ546" s="500"/>
      <c r="HAA546" s="500"/>
      <c r="HAB546" s="500"/>
      <c r="HAC546" s="500"/>
      <c r="HAD546" s="500"/>
      <c r="HAE546" s="500"/>
      <c r="HAF546" s="500"/>
      <c r="HAG546" s="500"/>
      <c r="HAH546" s="500"/>
      <c r="HAI546" s="500"/>
      <c r="HAJ546" s="500"/>
      <c r="HAK546" s="500"/>
      <c r="HAL546" s="500"/>
      <c r="HAM546" s="500"/>
      <c r="HAN546" s="500"/>
      <c r="HAO546" s="500"/>
      <c r="HAP546" s="500"/>
      <c r="HAQ546" s="500"/>
      <c r="HAR546" s="500"/>
      <c r="HAS546" s="500"/>
      <c r="HAT546" s="500"/>
      <c r="HAU546" s="500"/>
      <c r="HAV546" s="500"/>
      <c r="HAW546" s="500"/>
      <c r="HAX546" s="500"/>
      <c r="HAY546" s="500"/>
      <c r="HAZ546" s="500"/>
      <c r="HBA546" s="500"/>
      <c r="HBB546" s="500"/>
      <c r="HBC546" s="500"/>
      <c r="HBD546" s="500"/>
      <c r="HBE546" s="500"/>
      <c r="HBF546" s="500"/>
      <c r="HBG546" s="500"/>
      <c r="HBH546" s="500"/>
      <c r="HBI546" s="500"/>
      <c r="HBJ546" s="500"/>
      <c r="HBK546" s="500"/>
      <c r="HBL546" s="500"/>
      <c r="HBM546" s="500"/>
      <c r="HBN546" s="500"/>
      <c r="HBO546" s="500"/>
      <c r="HBP546" s="500"/>
      <c r="HBQ546" s="500"/>
      <c r="HBR546" s="500"/>
      <c r="HBS546" s="500"/>
      <c r="HBT546" s="500"/>
      <c r="HBU546" s="500"/>
      <c r="HBV546" s="500"/>
      <c r="HBW546" s="500"/>
      <c r="HBX546" s="500"/>
      <c r="HBY546" s="500"/>
      <c r="HBZ546" s="500"/>
      <c r="HCA546" s="500"/>
      <c r="HCB546" s="500"/>
      <c r="HCC546" s="500"/>
      <c r="HCD546" s="500"/>
      <c r="HCE546" s="500"/>
      <c r="HCF546" s="500"/>
      <c r="HCG546" s="500"/>
      <c r="HCH546" s="500"/>
      <c r="HCI546" s="500"/>
      <c r="HCJ546" s="500"/>
      <c r="HCK546" s="500"/>
      <c r="HCL546" s="500"/>
      <c r="HCM546" s="500"/>
      <c r="HCN546" s="500"/>
      <c r="HCO546" s="500"/>
      <c r="HCP546" s="500"/>
      <c r="HCQ546" s="500"/>
      <c r="HCR546" s="500"/>
      <c r="HCS546" s="500"/>
      <c r="HCT546" s="500"/>
      <c r="HCU546" s="500"/>
      <c r="HCV546" s="500"/>
      <c r="HCW546" s="500"/>
      <c r="HCX546" s="500"/>
      <c r="HCY546" s="500"/>
      <c r="HCZ546" s="500"/>
      <c r="HDA546" s="500"/>
      <c r="HDB546" s="500"/>
      <c r="HDC546" s="500"/>
      <c r="HDD546" s="500"/>
      <c r="HDE546" s="500"/>
      <c r="HDF546" s="500"/>
      <c r="HDG546" s="500"/>
      <c r="HDH546" s="500"/>
      <c r="HDI546" s="500"/>
      <c r="HDJ546" s="500"/>
      <c r="HDK546" s="500"/>
      <c r="HDL546" s="500"/>
      <c r="HDM546" s="500"/>
      <c r="HDN546" s="500"/>
      <c r="HDO546" s="500"/>
      <c r="HDP546" s="500"/>
      <c r="HDQ546" s="500"/>
      <c r="HDR546" s="500"/>
      <c r="HDS546" s="500"/>
      <c r="HDT546" s="500"/>
      <c r="HDU546" s="500"/>
      <c r="HDV546" s="500"/>
      <c r="HDW546" s="500"/>
      <c r="HDX546" s="500"/>
      <c r="HDY546" s="500"/>
      <c r="HDZ546" s="500"/>
      <c r="HEA546" s="500"/>
      <c r="HEB546" s="500"/>
      <c r="HEC546" s="500"/>
      <c r="HED546" s="500"/>
      <c r="HEE546" s="500"/>
      <c r="HEF546" s="500"/>
      <c r="HEG546" s="500"/>
      <c r="HEH546" s="500"/>
      <c r="HEI546" s="500"/>
      <c r="HEJ546" s="500"/>
      <c r="HEK546" s="500"/>
      <c r="HEL546" s="500"/>
      <c r="HEM546" s="500"/>
      <c r="HEN546" s="500"/>
      <c r="HEO546" s="500"/>
      <c r="HEP546" s="500"/>
      <c r="HEQ546" s="500"/>
      <c r="HER546" s="500"/>
      <c r="HES546" s="500"/>
      <c r="HET546" s="500"/>
      <c r="HEU546" s="500"/>
      <c r="HEV546" s="500"/>
      <c r="HEW546" s="500"/>
      <c r="HEX546" s="500"/>
      <c r="HEY546" s="500"/>
      <c r="HEZ546" s="500"/>
      <c r="HFA546" s="500"/>
      <c r="HFB546" s="500"/>
      <c r="HFC546" s="500"/>
      <c r="HFD546" s="500"/>
      <c r="HFE546" s="500"/>
      <c r="HFF546" s="500"/>
      <c r="HFG546" s="500"/>
      <c r="HFH546" s="500"/>
      <c r="HFI546" s="500"/>
      <c r="HFJ546" s="500"/>
      <c r="HFK546" s="500"/>
      <c r="HFL546" s="500"/>
      <c r="HFM546" s="500"/>
      <c r="HFN546" s="500"/>
      <c r="HFO546" s="500"/>
      <c r="HFP546" s="500"/>
      <c r="HFQ546" s="500"/>
      <c r="HFR546" s="500"/>
      <c r="HFS546" s="500"/>
      <c r="HFT546" s="500"/>
      <c r="HFU546" s="500"/>
      <c r="HFV546" s="500"/>
      <c r="HFW546" s="500"/>
      <c r="HFX546" s="500"/>
      <c r="HFY546" s="500"/>
      <c r="HFZ546" s="500"/>
      <c r="HGA546" s="500"/>
      <c r="HGB546" s="500"/>
      <c r="HGC546" s="500"/>
      <c r="HGD546" s="500"/>
      <c r="HGE546" s="500"/>
      <c r="HGF546" s="500"/>
      <c r="HGG546" s="500"/>
      <c r="HGH546" s="500"/>
      <c r="HGI546" s="500"/>
      <c r="HGJ546" s="500"/>
      <c r="HGK546" s="500"/>
      <c r="HGL546" s="500"/>
      <c r="HGM546" s="500"/>
      <c r="HGN546" s="500"/>
      <c r="HGO546" s="500"/>
      <c r="HGP546" s="500"/>
      <c r="HGQ546" s="500"/>
      <c r="HGR546" s="500"/>
      <c r="HGS546" s="500"/>
      <c r="HGT546" s="500"/>
      <c r="HGU546" s="500"/>
      <c r="HGV546" s="500"/>
      <c r="HGW546" s="500"/>
      <c r="HGX546" s="500"/>
      <c r="HGY546" s="500"/>
      <c r="HGZ546" s="500"/>
      <c r="HHA546" s="500"/>
      <c r="HHB546" s="500"/>
      <c r="HHC546" s="500"/>
      <c r="HHD546" s="500"/>
      <c r="HHE546" s="500"/>
      <c r="HHF546" s="500"/>
      <c r="HHG546" s="500"/>
      <c r="HHH546" s="500"/>
      <c r="HHI546" s="500"/>
      <c r="HHJ546" s="500"/>
      <c r="HHK546" s="500"/>
      <c r="HHL546" s="500"/>
      <c r="HHM546" s="500"/>
      <c r="HHN546" s="500"/>
      <c r="HHO546" s="500"/>
      <c r="HHP546" s="500"/>
      <c r="HHQ546" s="500"/>
      <c r="HHR546" s="500"/>
      <c r="HHS546" s="500"/>
      <c r="HHT546" s="500"/>
      <c r="HHU546" s="500"/>
      <c r="HHV546" s="500"/>
      <c r="HHW546" s="500"/>
      <c r="HHX546" s="500"/>
      <c r="HHY546" s="500"/>
      <c r="HHZ546" s="500"/>
      <c r="HIA546" s="500"/>
      <c r="HIB546" s="500"/>
      <c r="HIC546" s="500"/>
      <c r="HID546" s="500"/>
      <c r="HIE546" s="500"/>
      <c r="HIF546" s="500"/>
      <c r="HIG546" s="500"/>
      <c r="HIH546" s="500"/>
      <c r="HII546" s="500"/>
      <c r="HIJ546" s="500"/>
      <c r="HIK546" s="500"/>
      <c r="HIL546" s="500"/>
      <c r="HIM546" s="500"/>
      <c r="HIN546" s="500"/>
      <c r="HIO546" s="500"/>
      <c r="HIP546" s="500"/>
      <c r="HIQ546" s="500"/>
      <c r="HIR546" s="500"/>
      <c r="HIS546" s="500"/>
      <c r="HIT546" s="500"/>
      <c r="HIU546" s="500"/>
      <c r="HIV546" s="500"/>
      <c r="HIW546" s="500"/>
      <c r="HIX546" s="500"/>
      <c r="HIY546" s="500"/>
      <c r="HIZ546" s="500"/>
      <c r="HJA546" s="500"/>
      <c r="HJB546" s="500"/>
      <c r="HJC546" s="500"/>
      <c r="HJD546" s="500"/>
      <c r="HJE546" s="500"/>
      <c r="HJF546" s="500"/>
      <c r="HJG546" s="500"/>
      <c r="HJH546" s="500"/>
      <c r="HJI546" s="500"/>
      <c r="HJJ546" s="500"/>
      <c r="HJK546" s="500"/>
      <c r="HJL546" s="500"/>
      <c r="HJM546" s="500"/>
      <c r="HJN546" s="500"/>
      <c r="HJO546" s="500"/>
      <c r="HJP546" s="500"/>
      <c r="HJQ546" s="500"/>
      <c r="HJR546" s="500"/>
      <c r="HJS546" s="500"/>
      <c r="HJT546" s="500"/>
      <c r="HJU546" s="500"/>
      <c r="HJV546" s="500"/>
      <c r="HJW546" s="500"/>
      <c r="HJX546" s="500"/>
      <c r="HJY546" s="500"/>
      <c r="HJZ546" s="500"/>
      <c r="HKA546" s="500"/>
      <c r="HKB546" s="500"/>
      <c r="HKC546" s="500"/>
      <c r="HKD546" s="500"/>
      <c r="HKE546" s="500"/>
      <c r="HKF546" s="500"/>
      <c r="HKG546" s="500"/>
      <c r="HKH546" s="500"/>
      <c r="HKI546" s="500"/>
      <c r="HKJ546" s="500"/>
      <c r="HKK546" s="500"/>
      <c r="HKL546" s="500"/>
      <c r="HKM546" s="500"/>
      <c r="HKN546" s="500"/>
      <c r="HKO546" s="500"/>
      <c r="HKP546" s="500"/>
      <c r="HKQ546" s="500"/>
      <c r="HKR546" s="500"/>
      <c r="HKS546" s="500"/>
      <c r="HKT546" s="500"/>
      <c r="HKU546" s="500"/>
      <c r="HKV546" s="500"/>
      <c r="HKW546" s="500"/>
      <c r="HKX546" s="500"/>
      <c r="HKY546" s="500"/>
      <c r="HKZ546" s="500"/>
      <c r="HLA546" s="500"/>
      <c r="HLB546" s="500"/>
      <c r="HLC546" s="500"/>
      <c r="HLD546" s="500"/>
      <c r="HLE546" s="500"/>
      <c r="HLF546" s="500"/>
      <c r="HLG546" s="500"/>
      <c r="HLH546" s="500"/>
      <c r="HLI546" s="500"/>
      <c r="HLJ546" s="500"/>
      <c r="HLK546" s="500"/>
      <c r="HLL546" s="500"/>
      <c r="HLM546" s="500"/>
      <c r="HLN546" s="500"/>
      <c r="HLO546" s="500"/>
      <c r="HLP546" s="500"/>
      <c r="HLQ546" s="500"/>
      <c r="HLR546" s="500"/>
      <c r="HLS546" s="500"/>
      <c r="HLT546" s="500"/>
      <c r="HLU546" s="500"/>
      <c r="HLV546" s="500"/>
      <c r="HLW546" s="500"/>
      <c r="HLX546" s="500"/>
      <c r="HLY546" s="500"/>
      <c r="HLZ546" s="500"/>
      <c r="HMA546" s="500"/>
      <c r="HMB546" s="500"/>
      <c r="HMC546" s="500"/>
      <c r="HMD546" s="500"/>
      <c r="HME546" s="500"/>
      <c r="HMF546" s="500"/>
      <c r="HMG546" s="500"/>
      <c r="HMH546" s="500"/>
      <c r="HMI546" s="500"/>
      <c r="HMJ546" s="500"/>
      <c r="HMK546" s="500"/>
      <c r="HML546" s="500"/>
      <c r="HMM546" s="500"/>
      <c r="HMN546" s="500"/>
      <c r="HMO546" s="500"/>
      <c r="HMP546" s="500"/>
      <c r="HMQ546" s="500"/>
      <c r="HMR546" s="500"/>
      <c r="HMS546" s="500"/>
      <c r="HMT546" s="500"/>
      <c r="HMU546" s="500"/>
      <c r="HMV546" s="500"/>
      <c r="HMW546" s="500"/>
      <c r="HMX546" s="500"/>
      <c r="HMY546" s="500"/>
      <c r="HMZ546" s="500"/>
      <c r="HNA546" s="500"/>
      <c r="HNB546" s="500"/>
      <c r="HNC546" s="500"/>
      <c r="HND546" s="500"/>
      <c r="HNE546" s="500"/>
      <c r="HNF546" s="500"/>
      <c r="HNG546" s="500"/>
      <c r="HNH546" s="500"/>
      <c r="HNI546" s="500"/>
      <c r="HNJ546" s="500"/>
      <c r="HNK546" s="500"/>
      <c r="HNL546" s="500"/>
      <c r="HNM546" s="500"/>
      <c r="HNN546" s="500"/>
      <c r="HNO546" s="500"/>
      <c r="HNP546" s="500"/>
      <c r="HNQ546" s="500"/>
      <c r="HNR546" s="500"/>
      <c r="HNS546" s="500"/>
      <c r="HNT546" s="500"/>
      <c r="HNU546" s="500"/>
      <c r="HNV546" s="500"/>
      <c r="HNW546" s="500"/>
      <c r="HNX546" s="500"/>
      <c r="HNY546" s="500"/>
      <c r="HNZ546" s="500"/>
      <c r="HOA546" s="500"/>
      <c r="HOB546" s="500"/>
      <c r="HOC546" s="500"/>
      <c r="HOD546" s="500"/>
      <c r="HOE546" s="500"/>
      <c r="HOF546" s="500"/>
      <c r="HOG546" s="500"/>
      <c r="HOH546" s="500"/>
      <c r="HOI546" s="500"/>
      <c r="HOJ546" s="500"/>
      <c r="HOK546" s="500"/>
      <c r="HOL546" s="500"/>
      <c r="HOM546" s="500"/>
      <c r="HON546" s="500"/>
      <c r="HOO546" s="500"/>
      <c r="HOP546" s="500"/>
      <c r="HOQ546" s="500"/>
      <c r="HOR546" s="500"/>
      <c r="HOS546" s="500"/>
      <c r="HOT546" s="500"/>
      <c r="HOU546" s="500"/>
      <c r="HOV546" s="500"/>
      <c r="HOW546" s="500"/>
      <c r="HOX546" s="500"/>
      <c r="HOY546" s="500"/>
      <c r="HOZ546" s="500"/>
      <c r="HPA546" s="500"/>
      <c r="HPB546" s="500"/>
      <c r="HPC546" s="500"/>
      <c r="HPD546" s="500"/>
      <c r="HPE546" s="500"/>
      <c r="HPF546" s="500"/>
      <c r="HPG546" s="500"/>
      <c r="HPH546" s="500"/>
      <c r="HPI546" s="500"/>
      <c r="HPJ546" s="500"/>
      <c r="HPK546" s="500"/>
      <c r="HPL546" s="500"/>
      <c r="HPM546" s="500"/>
      <c r="HPN546" s="500"/>
      <c r="HPO546" s="500"/>
      <c r="HPP546" s="500"/>
      <c r="HPQ546" s="500"/>
      <c r="HPR546" s="500"/>
      <c r="HPS546" s="500"/>
      <c r="HPT546" s="500"/>
      <c r="HPU546" s="500"/>
      <c r="HPV546" s="500"/>
      <c r="HPW546" s="500"/>
      <c r="HPX546" s="500"/>
      <c r="HPY546" s="500"/>
      <c r="HPZ546" s="500"/>
      <c r="HQA546" s="500"/>
      <c r="HQB546" s="500"/>
      <c r="HQC546" s="500"/>
      <c r="HQD546" s="500"/>
      <c r="HQE546" s="500"/>
      <c r="HQF546" s="500"/>
      <c r="HQG546" s="500"/>
      <c r="HQH546" s="500"/>
      <c r="HQI546" s="500"/>
      <c r="HQJ546" s="500"/>
      <c r="HQK546" s="500"/>
      <c r="HQL546" s="500"/>
      <c r="HQM546" s="500"/>
      <c r="HQN546" s="500"/>
      <c r="HQO546" s="500"/>
      <c r="HQP546" s="500"/>
      <c r="HQQ546" s="500"/>
      <c r="HQR546" s="500"/>
      <c r="HQS546" s="500"/>
      <c r="HQT546" s="500"/>
      <c r="HQU546" s="500"/>
      <c r="HQV546" s="500"/>
      <c r="HQW546" s="500"/>
      <c r="HQX546" s="500"/>
      <c r="HQY546" s="500"/>
      <c r="HQZ546" s="500"/>
      <c r="HRA546" s="500"/>
      <c r="HRB546" s="500"/>
      <c r="HRC546" s="500"/>
      <c r="HRD546" s="500"/>
      <c r="HRE546" s="500"/>
      <c r="HRF546" s="500"/>
      <c r="HRG546" s="500"/>
      <c r="HRH546" s="500"/>
      <c r="HRI546" s="500"/>
      <c r="HRJ546" s="500"/>
      <c r="HRK546" s="500"/>
      <c r="HRL546" s="500"/>
      <c r="HRM546" s="500"/>
      <c r="HRN546" s="500"/>
      <c r="HRO546" s="500"/>
      <c r="HRP546" s="500"/>
      <c r="HRQ546" s="500"/>
      <c r="HRR546" s="500"/>
      <c r="HRS546" s="500"/>
      <c r="HRT546" s="500"/>
      <c r="HRU546" s="500"/>
      <c r="HRV546" s="500"/>
      <c r="HRW546" s="500"/>
      <c r="HRX546" s="500"/>
      <c r="HRY546" s="500"/>
      <c r="HRZ546" s="500"/>
      <c r="HSA546" s="500"/>
      <c r="HSB546" s="500"/>
      <c r="HSC546" s="500"/>
      <c r="HSD546" s="500"/>
      <c r="HSE546" s="500"/>
      <c r="HSF546" s="500"/>
      <c r="HSG546" s="500"/>
      <c r="HSH546" s="500"/>
      <c r="HSI546" s="500"/>
      <c r="HSJ546" s="500"/>
      <c r="HSK546" s="500"/>
      <c r="HSL546" s="500"/>
      <c r="HSM546" s="500"/>
      <c r="HSN546" s="500"/>
      <c r="HSO546" s="500"/>
      <c r="HSP546" s="500"/>
      <c r="HSQ546" s="500"/>
      <c r="HSR546" s="500"/>
      <c r="HSS546" s="500"/>
      <c r="HST546" s="500"/>
      <c r="HSU546" s="500"/>
      <c r="HSV546" s="500"/>
      <c r="HSW546" s="500"/>
      <c r="HSX546" s="500"/>
      <c r="HSY546" s="500"/>
      <c r="HSZ546" s="500"/>
      <c r="HTA546" s="500"/>
      <c r="HTB546" s="500"/>
      <c r="HTC546" s="500"/>
      <c r="HTD546" s="500"/>
      <c r="HTE546" s="500"/>
      <c r="HTF546" s="500"/>
      <c r="HTG546" s="500"/>
      <c r="HTH546" s="500"/>
      <c r="HTI546" s="500"/>
      <c r="HTJ546" s="500"/>
      <c r="HTK546" s="500"/>
      <c r="HTL546" s="500"/>
      <c r="HTM546" s="500"/>
      <c r="HTN546" s="500"/>
      <c r="HTO546" s="500"/>
      <c r="HTP546" s="500"/>
      <c r="HTQ546" s="500"/>
      <c r="HTR546" s="500"/>
      <c r="HTS546" s="500"/>
      <c r="HTT546" s="500"/>
      <c r="HTU546" s="500"/>
      <c r="HTV546" s="500"/>
      <c r="HTW546" s="500"/>
      <c r="HTX546" s="500"/>
      <c r="HTY546" s="500"/>
      <c r="HTZ546" s="500"/>
      <c r="HUA546" s="500"/>
      <c r="HUB546" s="500"/>
      <c r="HUC546" s="500"/>
      <c r="HUD546" s="500"/>
      <c r="HUE546" s="500"/>
      <c r="HUF546" s="500"/>
      <c r="HUG546" s="500"/>
      <c r="HUH546" s="500"/>
      <c r="HUI546" s="500"/>
      <c r="HUJ546" s="500"/>
      <c r="HUK546" s="500"/>
      <c r="HUL546" s="500"/>
      <c r="HUM546" s="500"/>
      <c r="HUN546" s="500"/>
      <c r="HUO546" s="500"/>
      <c r="HUP546" s="500"/>
      <c r="HUQ546" s="500"/>
      <c r="HUR546" s="500"/>
      <c r="HUS546" s="500"/>
      <c r="HUT546" s="500"/>
      <c r="HUU546" s="500"/>
      <c r="HUV546" s="500"/>
      <c r="HUW546" s="500"/>
      <c r="HUX546" s="500"/>
      <c r="HUY546" s="500"/>
      <c r="HUZ546" s="500"/>
      <c r="HVA546" s="500"/>
      <c r="HVB546" s="500"/>
      <c r="HVC546" s="500"/>
      <c r="HVD546" s="500"/>
      <c r="HVE546" s="500"/>
      <c r="HVF546" s="500"/>
      <c r="HVG546" s="500"/>
      <c r="HVH546" s="500"/>
      <c r="HVI546" s="500"/>
      <c r="HVJ546" s="500"/>
      <c r="HVK546" s="500"/>
      <c r="HVL546" s="500"/>
      <c r="HVM546" s="500"/>
      <c r="HVN546" s="500"/>
      <c r="HVO546" s="500"/>
      <c r="HVP546" s="500"/>
      <c r="HVQ546" s="500"/>
      <c r="HVR546" s="500"/>
      <c r="HVS546" s="500"/>
      <c r="HVT546" s="500"/>
      <c r="HVU546" s="500"/>
      <c r="HVV546" s="500"/>
      <c r="HVW546" s="500"/>
      <c r="HVX546" s="500"/>
      <c r="HVY546" s="500"/>
      <c r="HVZ546" s="500"/>
      <c r="HWA546" s="500"/>
      <c r="HWB546" s="500"/>
      <c r="HWC546" s="500"/>
      <c r="HWD546" s="500"/>
      <c r="HWE546" s="500"/>
      <c r="HWF546" s="500"/>
      <c r="HWG546" s="500"/>
      <c r="HWH546" s="500"/>
      <c r="HWI546" s="500"/>
      <c r="HWJ546" s="500"/>
      <c r="HWK546" s="500"/>
      <c r="HWL546" s="500"/>
      <c r="HWM546" s="500"/>
      <c r="HWN546" s="500"/>
      <c r="HWO546" s="500"/>
      <c r="HWP546" s="500"/>
      <c r="HWQ546" s="500"/>
      <c r="HWR546" s="500"/>
      <c r="HWS546" s="500"/>
      <c r="HWT546" s="500"/>
      <c r="HWU546" s="500"/>
      <c r="HWV546" s="500"/>
      <c r="HWW546" s="500"/>
      <c r="HWX546" s="500"/>
      <c r="HWY546" s="500"/>
      <c r="HWZ546" s="500"/>
      <c r="HXA546" s="500"/>
      <c r="HXB546" s="500"/>
      <c r="HXC546" s="500"/>
      <c r="HXD546" s="500"/>
      <c r="HXE546" s="500"/>
      <c r="HXF546" s="500"/>
      <c r="HXG546" s="500"/>
      <c r="HXH546" s="500"/>
      <c r="HXI546" s="500"/>
      <c r="HXJ546" s="500"/>
      <c r="HXK546" s="500"/>
      <c r="HXL546" s="500"/>
      <c r="HXM546" s="500"/>
      <c r="HXN546" s="500"/>
      <c r="HXO546" s="500"/>
      <c r="HXP546" s="500"/>
      <c r="HXQ546" s="500"/>
      <c r="HXR546" s="500"/>
      <c r="HXS546" s="500"/>
      <c r="HXT546" s="500"/>
      <c r="HXU546" s="500"/>
      <c r="HXV546" s="500"/>
      <c r="HXW546" s="500"/>
      <c r="HXX546" s="500"/>
      <c r="HXY546" s="500"/>
      <c r="HXZ546" s="500"/>
      <c r="HYA546" s="500"/>
      <c r="HYB546" s="500"/>
      <c r="HYC546" s="500"/>
      <c r="HYD546" s="500"/>
      <c r="HYE546" s="500"/>
      <c r="HYF546" s="500"/>
      <c r="HYG546" s="500"/>
      <c r="HYH546" s="500"/>
      <c r="HYI546" s="500"/>
      <c r="HYJ546" s="500"/>
      <c r="HYK546" s="500"/>
      <c r="HYL546" s="500"/>
      <c r="HYM546" s="500"/>
      <c r="HYN546" s="500"/>
      <c r="HYO546" s="500"/>
      <c r="HYP546" s="500"/>
      <c r="HYQ546" s="500"/>
      <c r="HYR546" s="500"/>
      <c r="HYS546" s="500"/>
      <c r="HYT546" s="500"/>
      <c r="HYU546" s="500"/>
      <c r="HYV546" s="500"/>
      <c r="HYW546" s="500"/>
      <c r="HYX546" s="500"/>
      <c r="HYY546" s="500"/>
      <c r="HYZ546" s="500"/>
      <c r="HZA546" s="500"/>
      <c r="HZB546" s="500"/>
      <c r="HZC546" s="500"/>
      <c r="HZD546" s="500"/>
      <c r="HZE546" s="500"/>
      <c r="HZF546" s="500"/>
      <c r="HZG546" s="500"/>
      <c r="HZH546" s="500"/>
      <c r="HZI546" s="500"/>
      <c r="HZJ546" s="500"/>
      <c r="HZK546" s="500"/>
      <c r="HZL546" s="500"/>
      <c r="HZM546" s="500"/>
      <c r="HZN546" s="500"/>
      <c r="HZO546" s="500"/>
      <c r="HZP546" s="500"/>
      <c r="HZQ546" s="500"/>
      <c r="HZR546" s="500"/>
      <c r="HZS546" s="500"/>
      <c r="HZT546" s="500"/>
      <c r="HZU546" s="500"/>
      <c r="HZV546" s="500"/>
      <c r="HZW546" s="500"/>
      <c r="HZX546" s="500"/>
      <c r="HZY546" s="500"/>
      <c r="HZZ546" s="500"/>
      <c r="IAA546" s="500"/>
      <c r="IAB546" s="500"/>
      <c r="IAC546" s="500"/>
      <c r="IAD546" s="500"/>
      <c r="IAE546" s="500"/>
      <c r="IAF546" s="500"/>
      <c r="IAG546" s="500"/>
      <c r="IAH546" s="500"/>
      <c r="IAI546" s="500"/>
      <c r="IAJ546" s="500"/>
      <c r="IAK546" s="500"/>
      <c r="IAL546" s="500"/>
      <c r="IAM546" s="500"/>
      <c r="IAN546" s="500"/>
      <c r="IAO546" s="500"/>
      <c r="IAP546" s="500"/>
      <c r="IAQ546" s="500"/>
      <c r="IAR546" s="500"/>
      <c r="IAS546" s="500"/>
      <c r="IAT546" s="500"/>
      <c r="IAU546" s="500"/>
      <c r="IAV546" s="500"/>
      <c r="IAW546" s="500"/>
      <c r="IAX546" s="500"/>
      <c r="IAY546" s="500"/>
      <c r="IAZ546" s="500"/>
      <c r="IBA546" s="500"/>
      <c r="IBB546" s="500"/>
      <c r="IBC546" s="500"/>
      <c r="IBD546" s="500"/>
      <c r="IBE546" s="500"/>
      <c r="IBF546" s="500"/>
      <c r="IBG546" s="500"/>
      <c r="IBH546" s="500"/>
      <c r="IBI546" s="500"/>
      <c r="IBJ546" s="500"/>
      <c r="IBK546" s="500"/>
      <c r="IBL546" s="500"/>
      <c r="IBM546" s="500"/>
      <c r="IBN546" s="500"/>
      <c r="IBO546" s="500"/>
      <c r="IBP546" s="500"/>
      <c r="IBQ546" s="500"/>
      <c r="IBR546" s="500"/>
      <c r="IBS546" s="500"/>
      <c r="IBT546" s="500"/>
      <c r="IBU546" s="500"/>
      <c r="IBV546" s="500"/>
      <c r="IBW546" s="500"/>
      <c r="IBX546" s="500"/>
      <c r="IBY546" s="500"/>
      <c r="IBZ546" s="500"/>
      <c r="ICA546" s="500"/>
      <c r="ICB546" s="500"/>
      <c r="ICC546" s="500"/>
      <c r="ICD546" s="500"/>
      <c r="ICE546" s="500"/>
      <c r="ICF546" s="500"/>
      <c r="ICG546" s="500"/>
      <c r="ICH546" s="500"/>
      <c r="ICI546" s="500"/>
      <c r="ICJ546" s="500"/>
      <c r="ICK546" s="500"/>
      <c r="ICL546" s="500"/>
      <c r="ICM546" s="500"/>
      <c r="ICN546" s="500"/>
      <c r="ICO546" s="500"/>
      <c r="ICP546" s="500"/>
      <c r="ICQ546" s="500"/>
      <c r="ICR546" s="500"/>
      <c r="ICS546" s="500"/>
      <c r="ICT546" s="500"/>
      <c r="ICU546" s="500"/>
      <c r="ICV546" s="500"/>
      <c r="ICW546" s="500"/>
      <c r="ICX546" s="500"/>
      <c r="ICY546" s="500"/>
      <c r="ICZ546" s="500"/>
      <c r="IDA546" s="500"/>
      <c r="IDB546" s="500"/>
      <c r="IDC546" s="500"/>
      <c r="IDD546" s="500"/>
      <c r="IDE546" s="500"/>
      <c r="IDF546" s="500"/>
      <c r="IDG546" s="500"/>
      <c r="IDH546" s="500"/>
      <c r="IDI546" s="500"/>
      <c r="IDJ546" s="500"/>
      <c r="IDK546" s="500"/>
      <c r="IDL546" s="500"/>
      <c r="IDM546" s="500"/>
      <c r="IDN546" s="500"/>
      <c r="IDO546" s="500"/>
      <c r="IDP546" s="500"/>
      <c r="IDQ546" s="500"/>
      <c r="IDR546" s="500"/>
      <c r="IDS546" s="500"/>
      <c r="IDT546" s="500"/>
      <c r="IDU546" s="500"/>
      <c r="IDV546" s="500"/>
      <c r="IDW546" s="500"/>
      <c r="IDX546" s="500"/>
      <c r="IDY546" s="500"/>
      <c r="IDZ546" s="500"/>
      <c r="IEA546" s="500"/>
      <c r="IEB546" s="500"/>
      <c r="IEC546" s="500"/>
      <c r="IED546" s="500"/>
      <c r="IEE546" s="500"/>
      <c r="IEF546" s="500"/>
      <c r="IEG546" s="500"/>
      <c r="IEH546" s="500"/>
      <c r="IEI546" s="500"/>
      <c r="IEJ546" s="500"/>
      <c r="IEK546" s="500"/>
      <c r="IEL546" s="500"/>
      <c r="IEM546" s="500"/>
      <c r="IEN546" s="500"/>
      <c r="IEO546" s="500"/>
      <c r="IEP546" s="500"/>
      <c r="IEQ546" s="500"/>
      <c r="IER546" s="500"/>
      <c r="IES546" s="500"/>
      <c r="IET546" s="500"/>
      <c r="IEU546" s="500"/>
      <c r="IEV546" s="500"/>
      <c r="IEW546" s="500"/>
      <c r="IEX546" s="500"/>
      <c r="IEY546" s="500"/>
      <c r="IEZ546" s="500"/>
      <c r="IFA546" s="500"/>
      <c r="IFB546" s="500"/>
      <c r="IFC546" s="500"/>
      <c r="IFD546" s="500"/>
      <c r="IFE546" s="500"/>
      <c r="IFF546" s="500"/>
      <c r="IFG546" s="500"/>
      <c r="IFH546" s="500"/>
      <c r="IFI546" s="500"/>
      <c r="IFJ546" s="500"/>
      <c r="IFK546" s="500"/>
      <c r="IFL546" s="500"/>
      <c r="IFM546" s="500"/>
      <c r="IFN546" s="500"/>
      <c r="IFO546" s="500"/>
      <c r="IFP546" s="500"/>
      <c r="IFQ546" s="500"/>
      <c r="IFR546" s="500"/>
      <c r="IFS546" s="500"/>
      <c r="IFT546" s="500"/>
      <c r="IFU546" s="500"/>
      <c r="IFV546" s="500"/>
      <c r="IFW546" s="500"/>
      <c r="IFX546" s="500"/>
      <c r="IFY546" s="500"/>
      <c r="IFZ546" s="500"/>
      <c r="IGA546" s="500"/>
      <c r="IGB546" s="500"/>
      <c r="IGC546" s="500"/>
      <c r="IGD546" s="500"/>
      <c r="IGE546" s="500"/>
      <c r="IGF546" s="500"/>
      <c r="IGG546" s="500"/>
      <c r="IGH546" s="500"/>
      <c r="IGI546" s="500"/>
      <c r="IGJ546" s="500"/>
      <c r="IGK546" s="500"/>
      <c r="IGL546" s="500"/>
      <c r="IGM546" s="500"/>
      <c r="IGN546" s="500"/>
      <c r="IGO546" s="500"/>
      <c r="IGP546" s="500"/>
      <c r="IGQ546" s="500"/>
      <c r="IGR546" s="500"/>
      <c r="IGS546" s="500"/>
      <c r="IGT546" s="500"/>
      <c r="IGU546" s="500"/>
      <c r="IGV546" s="500"/>
      <c r="IGW546" s="500"/>
      <c r="IGX546" s="500"/>
      <c r="IGY546" s="500"/>
      <c r="IGZ546" s="500"/>
      <c r="IHA546" s="500"/>
      <c r="IHB546" s="500"/>
      <c r="IHC546" s="500"/>
      <c r="IHD546" s="500"/>
      <c r="IHE546" s="500"/>
      <c r="IHF546" s="500"/>
      <c r="IHG546" s="500"/>
      <c r="IHH546" s="500"/>
      <c r="IHI546" s="500"/>
      <c r="IHJ546" s="500"/>
      <c r="IHK546" s="500"/>
      <c r="IHL546" s="500"/>
      <c r="IHM546" s="500"/>
      <c r="IHN546" s="500"/>
      <c r="IHO546" s="500"/>
      <c r="IHP546" s="500"/>
      <c r="IHQ546" s="500"/>
      <c r="IHR546" s="500"/>
      <c r="IHS546" s="500"/>
      <c r="IHT546" s="500"/>
      <c r="IHU546" s="500"/>
      <c r="IHV546" s="500"/>
      <c r="IHW546" s="500"/>
      <c r="IHX546" s="500"/>
      <c r="IHY546" s="500"/>
      <c r="IHZ546" s="500"/>
      <c r="IIA546" s="500"/>
      <c r="IIB546" s="500"/>
      <c r="IIC546" s="500"/>
      <c r="IID546" s="500"/>
      <c r="IIE546" s="500"/>
      <c r="IIF546" s="500"/>
      <c r="IIG546" s="500"/>
      <c r="IIH546" s="500"/>
      <c r="III546" s="500"/>
      <c r="IIJ546" s="500"/>
      <c r="IIK546" s="500"/>
      <c r="IIL546" s="500"/>
      <c r="IIM546" s="500"/>
      <c r="IIN546" s="500"/>
      <c r="IIO546" s="500"/>
      <c r="IIP546" s="500"/>
      <c r="IIQ546" s="500"/>
      <c r="IIR546" s="500"/>
      <c r="IIS546" s="500"/>
      <c r="IIT546" s="500"/>
      <c r="IIU546" s="500"/>
      <c r="IIV546" s="500"/>
      <c r="IIW546" s="500"/>
      <c r="IIX546" s="500"/>
      <c r="IIY546" s="500"/>
      <c r="IIZ546" s="500"/>
      <c r="IJA546" s="500"/>
      <c r="IJB546" s="500"/>
      <c r="IJC546" s="500"/>
      <c r="IJD546" s="500"/>
      <c r="IJE546" s="500"/>
      <c r="IJF546" s="500"/>
      <c r="IJG546" s="500"/>
      <c r="IJH546" s="500"/>
      <c r="IJI546" s="500"/>
      <c r="IJJ546" s="500"/>
      <c r="IJK546" s="500"/>
      <c r="IJL546" s="500"/>
      <c r="IJM546" s="500"/>
      <c r="IJN546" s="500"/>
      <c r="IJO546" s="500"/>
      <c r="IJP546" s="500"/>
      <c r="IJQ546" s="500"/>
      <c r="IJR546" s="500"/>
      <c r="IJS546" s="500"/>
      <c r="IJT546" s="500"/>
      <c r="IJU546" s="500"/>
      <c r="IJV546" s="500"/>
      <c r="IJW546" s="500"/>
      <c r="IJX546" s="500"/>
      <c r="IJY546" s="500"/>
      <c r="IJZ546" s="500"/>
      <c r="IKA546" s="500"/>
      <c r="IKB546" s="500"/>
      <c r="IKC546" s="500"/>
      <c r="IKD546" s="500"/>
      <c r="IKE546" s="500"/>
      <c r="IKF546" s="500"/>
      <c r="IKG546" s="500"/>
      <c r="IKH546" s="500"/>
      <c r="IKI546" s="500"/>
      <c r="IKJ546" s="500"/>
      <c r="IKK546" s="500"/>
      <c r="IKL546" s="500"/>
      <c r="IKM546" s="500"/>
      <c r="IKN546" s="500"/>
      <c r="IKO546" s="500"/>
      <c r="IKP546" s="500"/>
      <c r="IKQ546" s="500"/>
      <c r="IKR546" s="500"/>
      <c r="IKS546" s="500"/>
      <c r="IKT546" s="500"/>
      <c r="IKU546" s="500"/>
      <c r="IKV546" s="500"/>
      <c r="IKW546" s="500"/>
      <c r="IKX546" s="500"/>
      <c r="IKY546" s="500"/>
      <c r="IKZ546" s="500"/>
      <c r="ILA546" s="500"/>
      <c r="ILB546" s="500"/>
      <c r="ILC546" s="500"/>
      <c r="ILD546" s="500"/>
      <c r="ILE546" s="500"/>
      <c r="ILF546" s="500"/>
      <c r="ILG546" s="500"/>
      <c r="ILH546" s="500"/>
      <c r="ILI546" s="500"/>
      <c r="ILJ546" s="500"/>
      <c r="ILK546" s="500"/>
      <c r="ILL546" s="500"/>
      <c r="ILM546" s="500"/>
      <c r="ILN546" s="500"/>
      <c r="ILO546" s="500"/>
      <c r="ILP546" s="500"/>
      <c r="ILQ546" s="500"/>
      <c r="ILR546" s="500"/>
      <c r="ILS546" s="500"/>
      <c r="ILT546" s="500"/>
      <c r="ILU546" s="500"/>
      <c r="ILV546" s="500"/>
      <c r="ILW546" s="500"/>
      <c r="ILX546" s="500"/>
      <c r="ILY546" s="500"/>
      <c r="ILZ546" s="500"/>
      <c r="IMA546" s="500"/>
      <c r="IMB546" s="500"/>
      <c r="IMC546" s="500"/>
      <c r="IMD546" s="500"/>
      <c r="IME546" s="500"/>
      <c r="IMF546" s="500"/>
      <c r="IMG546" s="500"/>
      <c r="IMH546" s="500"/>
      <c r="IMI546" s="500"/>
      <c r="IMJ546" s="500"/>
      <c r="IMK546" s="500"/>
      <c r="IML546" s="500"/>
      <c r="IMM546" s="500"/>
      <c r="IMN546" s="500"/>
      <c r="IMO546" s="500"/>
      <c r="IMP546" s="500"/>
      <c r="IMQ546" s="500"/>
      <c r="IMR546" s="500"/>
      <c r="IMS546" s="500"/>
      <c r="IMT546" s="500"/>
      <c r="IMU546" s="500"/>
      <c r="IMV546" s="500"/>
      <c r="IMW546" s="500"/>
      <c r="IMX546" s="500"/>
      <c r="IMY546" s="500"/>
      <c r="IMZ546" s="500"/>
      <c r="INA546" s="500"/>
      <c r="INB546" s="500"/>
      <c r="INC546" s="500"/>
      <c r="IND546" s="500"/>
      <c r="INE546" s="500"/>
      <c r="INF546" s="500"/>
      <c r="ING546" s="500"/>
      <c r="INH546" s="500"/>
      <c r="INI546" s="500"/>
      <c r="INJ546" s="500"/>
      <c r="INK546" s="500"/>
      <c r="INL546" s="500"/>
      <c r="INM546" s="500"/>
      <c r="INN546" s="500"/>
      <c r="INO546" s="500"/>
      <c r="INP546" s="500"/>
      <c r="INQ546" s="500"/>
      <c r="INR546" s="500"/>
      <c r="INS546" s="500"/>
      <c r="INT546" s="500"/>
      <c r="INU546" s="500"/>
      <c r="INV546" s="500"/>
      <c r="INW546" s="500"/>
      <c r="INX546" s="500"/>
      <c r="INY546" s="500"/>
      <c r="INZ546" s="500"/>
      <c r="IOA546" s="500"/>
      <c r="IOB546" s="500"/>
      <c r="IOC546" s="500"/>
      <c r="IOD546" s="500"/>
      <c r="IOE546" s="500"/>
      <c r="IOF546" s="500"/>
      <c r="IOG546" s="500"/>
      <c r="IOH546" s="500"/>
      <c r="IOI546" s="500"/>
      <c r="IOJ546" s="500"/>
      <c r="IOK546" s="500"/>
      <c r="IOL546" s="500"/>
      <c r="IOM546" s="500"/>
      <c r="ION546" s="500"/>
      <c r="IOO546" s="500"/>
      <c r="IOP546" s="500"/>
      <c r="IOQ546" s="500"/>
      <c r="IOR546" s="500"/>
      <c r="IOS546" s="500"/>
      <c r="IOT546" s="500"/>
      <c r="IOU546" s="500"/>
      <c r="IOV546" s="500"/>
      <c r="IOW546" s="500"/>
      <c r="IOX546" s="500"/>
      <c r="IOY546" s="500"/>
      <c r="IOZ546" s="500"/>
      <c r="IPA546" s="500"/>
      <c r="IPB546" s="500"/>
      <c r="IPC546" s="500"/>
      <c r="IPD546" s="500"/>
      <c r="IPE546" s="500"/>
      <c r="IPF546" s="500"/>
      <c r="IPG546" s="500"/>
      <c r="IPH546" s="500"/>
      <c r="IPI546" s="500"/>
      <c r="IPJ546" s="500"/>
      <c r="IPK546" s="500"/>
      <c r="IPL546" s="500"/>
      <c r="IPM546" s="500"/>
      <c r="IPN546" s="500"/>
      <c r="IPO546" s="500"/>
      <c r="IPP546" s="500"/>
      <c r="IPQ546" s="500"/>
      <c r="IPR546" s="500"/>
      <c r="IPS546" s="500"/>
      <c r="IPT546" s="500"/>
      <c r="IPU546" s="500"/>
      <c r="IPV546" s="500"/>
      <c r="IPW546" s="500"/>
      <c r="IPX546" s="500"/>
      <c r="IPY546" s="500"/>
      <c r="IPZ546" s="500"/>
      <c r="IQA546" s="500"/>
      <c r="IQB546" s="500"/>
      <c r="IQC546" s="500"/>
      <c r="IQD546" s="500"/>
      <c r="IQE546" s="500"/>
      <c r="IQF546" s="500"/>
      <c r="IQG546" s="500"/>
      <c r="IQH546" s="500"/>
      <c r="IQI546" s="500"/>
      <c r="IQJ546" s="500"/>
      <c r="IQK546" s="500"/>
      <c r="IQL546" s="500"/>
      <c r="IQM546" s="500"/>
      <c r="IQN546" s="500"/>
      <c r="IQO546" s="500"/>
      <c r="IQP546" s="500"/>
      <c r="IQQ546" s="500"/>
      <c r="IQR546" s="500"/>
      <c r="IQS546" s="500"/>
      <c r="IQT546" s="500"/>
      <c r="IQU546" s="500"/>
      <c r="IQV546" s="500"/>
      <c r="IQW546" s="500"/>
      <c r="IQX546" s="500"/>
      <c r="IQY546" s="500"/>
      <c r="IQZ546" s="500"/>
      <c r="IRA546" s="500"/>
      <c r="IRB546" s="500"/>
      <c r="IRC546" s="500"/>
      <c r="IRD546" s="500"/>
      <c r="IRE546" s="500"/>
      <c r="IRF546" s="500"/>
      <c r="IRG546" s="500"/>
      <c r="IRH546" s="500"/>
      <c r="IRI546" s="500"/>
      <c r="IRJ546" s="500"/>
      <c r="IRK546" s="500"/>
      <c r="IRL546" s="500"/>
      <c r="IRM546" s="500"/>
      <c r="IRN546" s="500"/>
      <c r="IRO546" s="500"/>
      <c r="IRP546" s="500"/>
      <c r="IRQ546" s="500"/>
      <c r="IRR546" s="500"/>
      <c r="IRS546" s="500"/>
      <c r="IRT546" s="500"/>
      <c r="IRU546" s="500"/>
      <c r="IRV546" s="500"/>
      <c r="IRW546" s="500"/>
      <c r="IRX546" s="500"/>
      <c r="IRY546" s="500"/>
      <c r="IRZ546" s="500"/>
      <c r="ISA546" s="500"/>
      <c r="ISB546" s="500"/>
      <c r="ISC546" s="500"/>
      <c r="ISD546" s="500"/>
      <c r="ISE546" s="500"/>
      <c r="ISF546" s="500"/>
      <c r="ISG546" s="500"/>
      <c r="ISH546" s="500"/>
      <c r="ISI546" s="500"/>
      <c r="ISJ546" s="500"/>
      <c r="ISK546" s="500"/>
      <c r="ISL546" s="500"/>
      <c r="ISM546" s="500"/>
      <c r="ISN546" s="500"/>
      <c r="ISO546" s="500"/>
      <c r="ISP546" s="500"/>
      <c r="ISQ546" s="500"/>
      <c r="ISR546" s="500"/>
      <c r="ISS546" s="500"/>
      <c r="IST546" s="500"/>
      <c r="ISU546" s="500"/>
      <c r="ISV546" s="500"/>
      <c r="ISW546" s="500"/>
      <c r="ISX546" s="500"/>
      <c r="ISY546" s="500"/>
      <c r="ISZ546" s="500"/>
      <c r="ITA546" s="500"/>
      <c r="ITB546" s="500"/>
      <c r="ITC546" s="500"/>
      <c r="ITD546" s="500"/>
      <c r="ITE546" s="500"/>
      <c r="ITF546" s="500"/>
      <c r="ITG546" s="500"/>
      <c r="ITH546" s="500"/>
      <c r="ITI546" s="500"/>
      <c r="ITJ546" s="500"/>
      <c r="ITK546" s="500"/>
      <c r="ITL546" s="500"/>
      <c r="ITM546" s="500"/>
      <c r="ITN546" s="500"/>
      <c r="ITO546" s="500"/>
      <c r="ITP546" s="500"/>
      <c r="ITQ546" s="500"/>
      <c r="ITR546" s="500"/>
      <c r="ITS546" s="500"/>
      <c r="ITT546" s="500"/>
      <c r="ITU546" s="500"/>
      <c r="ITV546" s="500"/>
      <c r="ITW546" s="500"/>
      <c r="ITX546" s="500"/>
      <c r="ITY546" s="500"/>
      <c r="ITZ546" s="500"/>
      <c r="IUA546" s="500"/>
      <c r="IUB546" s="500"/>
      <c r="IUC546" s="500"/>
      <c r="IUD546" s="500"/>
      <c r="IUE546" s="500"/>
      <c r="IUF546" s="500"/>
      <c r="IUG546" s="500"/>
      <c r="IUH546" s="500"/>
      <c r="IUI546" s="500"/>
      <c r="IUJ546" s="500"/>
      <c r="IUK546" s="500"/>
      <c r="IUL546" s="500"/>
      <c r="IUM546" s="500"/>
      <c r="IUN546" s="500"/>
      <c r="IUO546" s="500"/>
      <c r="IUP546" s="500"/>
      <c r="IUQ546" s="500"/>
      <c r="IUR546" s="500"/>
      <c r="IUS546" s="500"/>
      <c r="IUT546" s="500"/>
      <c r="IUU546" s="500"/>
      <c r="IUV546" s="500"/>
      <c r="IUW546" s="500"/>
      <c r="IUX546" s="500"/>
      <c r="IUY546" s="500"/>
      <c r="IUZ546" s="500"/>
      <c r="IVA546" s="500"/>
      <c r="IVB546" s="500"/>
      <c r="IVC546" s="500"/>
      <c r="IVD546" s="500"/>
      <c r="IVE546" s="500"/>
      <c r="IVF546" s="500"/>
      <c r="IVG546" s="500"/>
      <c r="IVH546" s="500"/>
      <c r="IVI546" s="500"/>
      <c r="IVJ546" s="500"/>
      <c r="IVK546" s="500"/>
      <c r="IVL546" s="500"/>
      <c r="IVM546" s="500"/>
      <c r="IVN546" s="500"/>
      <c r="IVO546" s="500"/>
      <c r="IVP546" s="500"/>
      <c r="IVQ546" s="500"/>
      <c r="IVR546" s="500"/>
      <c r="IVS546" s="500"/>
      <c r="IVT546" s="500"/>
      <c r="IVU546" s="500"/>
      <c r="IVV546" s="500"/>
      <c r="IVW546" s="500"/>
      <c r="IVX546" s="500"/>
      <c r="IVY546" s="500"/>
      <c r="IVZ546" s="500"/>
      <c r="IWA546" s="500"/>
      <c r="IWB546" s="500"/>
      <c r="IWC546" s="500"/>
      <c r="IWD546" s="500"/>
      <c r="IWE546" s="500"/>
      <c r="IWF546" s="500"/>
      <c r="IWG546" s="500"/>
      <c r="IWH546" s="500"/>
      <c r="IWI546" s="500"/>
      <c r="IWJ546" s="500"/>
      <c r="IWK546" s="500"/>
      <c r="IWL546" s="500"/>
      <c r="IWM546" s="500"/>
      <c r="IWN546" s="500"/>
      <c r="IWO546" s="500"/>
      <c r="IWP546" s="500"/>
      <c r="IWQ546" s="500"/>
      <c r="IWR546" s="500"/>
      <c r="IWS546" s="500"/>
      <c r="IWT546" s="500"/>
      <c r="IWU546" s="500"/>
      <c r="IWV546" s="500"/>
      <c r="IWW546" s="500"/>
      <c r="IWX546" s="500"/>
      <c r="IWY546" s="500"/>
      <c r="IWZ546" s="500"/>
      <c r="IXA546" s="500"/>
      <c r="IXB546" s="500"/>
      <c r="IXC546" s="500"/>
      <c r="IXD546" s="500"/>
      <c r="IXE546" s="500"/>
      <c r="IXF546" s="500"/>
      <c r="IXG546" s="500"/>
      <c r="IXH546" s="500"/>
      <c r="IXI546" s="500"/>
      <c r="IXJ546" s="500"/>
      <c r="IXK546" s="500"/>
      <c r="IXL546" s="500"/>
      <c r="IXM546" s="500"/>
      <c r="IXN546" s="500"/>
      <c r="IXO546" s="500"/>
      <c r="IXP546" s="500"/>
      <c r="IXQ546" s="500"/>
      <c r="IXR546" s="500"/>
      <c r="IXS546" s="500"/>
      <c r="IXT546" s="500"/>
      <c r="IXU546" s="500"/>
      <c r="IXV546" s="500"/>
      <c r="IXW546" s="500"/>
      <c r="IXX546" s="500"/>
      <c r="IXY546" s="500"/>
      <c r="IXZ546" s="500"/>
      <c r="IYA546" s="500"/>
      <c r="IYB546" s="500"/>
      <c r="IYC546" s="500"/>
      <c r="IYD546" s="500"/>
      <c r="IYE546" s="500"/>
      <c r="IYF546" s="500"/>
      <c r="IYG546" s="500"/>
      <c r="IYH546" s="500"/>
      <c r="IYI546" s="500"/>
      <c r="IYJ546" s="500"/>
      <c r="IYK546" s="500"/>
      <c r="IYL546" s="500"/>
      <c r="IYM546" s="500"/>
      <c r="IYN546" s="500"/>
      <c r="IYO546" s="500"/>
      <c r="IYP546" s="500"/>
      <c r="IYQ546" s="500"/>
      <c r="IYR546" s="500"/>
      <c r="IYS546" s="500"/>
      <c r="IYT546" s="500"/>
      <c r="IYU546" s="500"/>
      <c r="IYV546" s="500"/>
      <c r="IYW546" s="500"/>
      <c r="IYX546" s="500"/>
      <c r="IYY546" s="500"/>
      <c r="IYZ546" s="500"/>
      <c r="IZA546" s="500"/>
      <c r="IZB546" s="500"/>
      <c r="IZC546" s="500"/>
      <c r="IZD546" s="500"/>
      <c r="IZE546" s="500"/>
      <c r="IZF546" s="500"/>
      <c r="IZG546" s="500"/>
      <c r="IZH546" s="500"/>
      <c r="IZI546" s="500"/>
      <c r="IZJ546" s="500"/>
      <c r="IZK546" s="500"/>
      <c r="IZL546" s="500"/>
      <c r="IZM546" s="500"/>
      <c r="IZN546" s="500"/>
      <c r="IZO546" s="500"/>
      <c r="IZP546" s="500"/>
      <c r="IZQ546" s="500"/>
      <c r="IZR546" s="500"/>
      <c r="IZS546" s="500"/>
      <c r="IZT546" s="500"/>
      <c r="IZU546" s="500"/>
      <c r="IZV546" s="500"/>
      <c r="IZW546" s="500"/>
      <c r="IZX546" s="500"/>
      <c r="IZY546" s="500"/>
      <c r="IZZ546" s="500"/>
      <c r="JAA546" s="500"/>
      <c r="JAB546" s="500"/>
      <c r="JAC546" s="500"/>
      <c r="JAD546" s="500"/>
      <c r="JAE546" s="500"/>
      <c r="JAF546" s="500"/>
      <c r="JAG546" s="500"/>
      <c r="JAH546" s="500"/>
      <c r="JAI546" s="500"/>
      <c r="JAJ546" s="500"/>
      <c r="JAK546" s="500"/>
      <c r="JAL546" s="500"/>
      <c r="JAM546" s="500"/>
      <c r="JAN546" s="500"/>
      <c r="JAO546" s="500"/>
      <c r="JAP546" s="500"/>
      <c r="JAQ546" s="500"/>
      <c r="JAR546" s="500"/>
      <c r="JAS546" s="500"/>
      <c r="JAT546" s="500"/>
      <c r="JAU546" s="500"/>
      <c r="JAV546" s="500"/>
      <c r="JAW546" s="500"/>
      <c r="JAX546" s="500"/>
      <c r="JAY546" s="500"/>
      <c r="JAZ546" s="500"/>
      <c r="JBA546" s="500"/>
      <c r="JBB546" s="500"/>
      <c r="JBC546" s="500"/>
      <c r="JBD546" s="500"/>
      <c r="JBE546" s="500"/>
      <c r="JBF546" s="500"/>
      <c r="JBG546" s="500"/>
      <c r="JBH546" s="500"/>
      <c r="JBI546" s="500"/>
      <c r="JBJ546" s="500"/>
      <c r="JBK546" s="500"/>
      <c r="JBL546" s="500"/>
      <c r="JBM546" s="500"/>
      <c r="JBN546" s="500"/>
      <c r="JBO546" s="500"/>
      <c r="JBP546" s="500"/>
      <c r="JBQ546" s="500"/>
      <c r="JBR546" s="500"/>
      <c r="JBS546" s="500"/>
      <c r="JBT546" s="500"/>
      <c r="JBU546" s="500"/>
      <c r="JBV546" s="500"/>
      <c r="JBW546" s="500"/>
      <c r="JBX546" s="500"/>
      <c r="JBY546" s="500"/>
      <c r="JBZ546" s="500"/>
      <c r="JCA546" s="500"/>
      <c r="JCB546" s="500"/>
      <c r="JCC546" s="500"/>
      <c r="JCD546" s="500"/>
      <c r="JCE546" s="500"/>
      <c r="JCF546" s="500"/>
      <c r="JCG546" s="500"/>
      <c r="JCH546" s="500"/>
      <c r="JCI546" s="500"/>
      <c r="JCJ546" s="500"/>
      <c r="JCK546" s="500"/>
      <c r="JCL546" s="500"/>
      <c r="JCM546" s="500"/>
      <c r="JCN546" s="500"/>
      <c r="JCO546" s="500"/>
      <c r="JCP546" s="500"/>
      <c r="JCQ546" s="500"/>
      <c r="JCR546" s="500"/>
      <c r="JCS546" s="500"/>
      <c r="JCT546" s="500"/>
      <c r="JCU546" s="500"/>
      <c r="JCV546" s="500"/>
      <c r="JCW546" s="500"/>
      <c r="JCX546" s="500"/>
      <c r="JCY546" s="500"/>
      <c r="JCZ546" s="500"/>
      <c r="JDA546" s="500"/>
      <c r="JDB546" s="500"/>
      <c r="JDC546" s="500"/>
      <c r="JDD546" s="500"/>
      <c r="JDE546" s="500"/>
      <c r="JDF546" s="500"/>
      <c r="JDG546" s="500"/>
      <c r="JDH546" s="500"/>
      <c r="JDI546" s="500"/>
      <c r="JDJ546" s="500"/>
      <c r="JDK546" s="500"/>
      <c r="JDL546" s="500"/>
      <c r="JDM546" s="500"/>
      <c r="JDN546" s="500"/>
      <c r="JDO546" s="500"/>
      <c r="JDP546" s="500"/>
      <c r="JDQ546" s="500"/>
      <c r="JDR546" s="500"/>
      <c r="JDS546" s="500"/>
      <c r="JDT546" s="500"/>
      <c r="JDU546" s="500"/>
      <c r="JDV546" s="500"/>
      <c r="JDW546" s="500"/>
      <c r="JDX546" s="500"/>
      <c r="JDY546" s="500"/>
      <c r="JDZ546" s="500"/>
      <c r="JEA546" s="500"/>
      <c r="JEB546" s="500"/>
      <c r="JEC546" s="500"/>
      <c r="JED546" s="500"/>
      <c r="JEE546" s="500"/>
      <c r="JEF546" s="500"/>
      <c r="JEG546" s="500"/>
      <c r="JEH546" s="500"/>
      <c r="JEI546" s="500"/>
      <c r="JEJ546" s="500"/>
      <c r="JEK546" s="500"/>
      <c r="JEL546" s="500"/>
      <c r="JEM546" s="500"/>
      <c r="JEN546" s="500"/>
      <c r="JEO546" s="500"/>
      <c r="JEP546" s="500"/>
      <c r="JEQ546" s="500"/>
      <c r="JER546" s="500"/>
      <c r="JES546" s="500"/>
      <c r="JET546" s="500"/>
      <c r="JEU546" s="500"/>
      <c r="JEV546" s="500"/>
      <c r="JEW546" s="500"/>
      <c r="JEX546" s="500"/>
      <c r="JEY546" s="500"/>
      <c r="JEZ546" s="500"/>
      <c r="JFA546" s="500"/>
      <c r="JFB546" s="500"/>
      <c r="JFC546" s="500"/>
      <c r="JFD546" s="500"/>
      <c r="JFE546" s="500"/>
      <c r="JFF546" s="500"/>
      <c r="JFG546" s="500"/>
      <c r="JFH546" s="500"/>
      <c r="JFI546" s="500"/>
      <c r="JFJ546" s="500"/>
      <c r="JFK546" s="500"/>
      <c r="JFL546" s="500"/>
      <c r="JFM546" s="500"/>
      <c r="JFN546" s="500"/>
      <c r="JFO546" s="500"/>
      <c r="JFP546" s="500"/>
      <c r="JFQ546" s="500"/>
      <c r="JFR546" s="500"/>
      <c r="JFS546" s="500"/>
      <c r="JFT546" s="500"/>
      <c r="JFU546" s="500"/>
      <c r="JFV546" s="500"/>
      <c r="JFW546" s="500"/>
      <c r="JFX546" s="500"/>
      <c r="JFY546" s="500"/>
      <c r="JFZ546" s="500"/>
      <c r="JGA546" s="500"/>
      <c r="JGB546" s="500"/>
      <c r="JGC546" s="500"/>
      <c r="JGD546" s="500"/>
      <c r="JGE546" s="500"/>
      <c r="JGF546" s="500"/>
      <c r="JGG546" s="500"/>
      <c r="JGH546" s="500"/>
      <c r="JGI546" s="500"/>
      <c r="JGJ546" s="500"/>
      <c r="JGK546" s="500"/>
      <c r="JGL546" s="500"/>
      <c r="JGM546" s="500"/>
      <c r="JGN546" s="500"/>
      <c r="JGO546" s="500"/>
      <c r="JGP546" s="500"/>
      <c r="JGQ546" s="500"/>
      <c r="JGR546" s="500"/>
      <c r="JGS546" s="500"/>
      <c r="JGT546" s="500"/>
      <c r="JGU546" s="500"/>
      <c r="JGV546" s="500"/>
      <c r="JGW546" s="500"/>
      <c r="JGX546" s="500"/>
      <c r="JGY546" s="500"/>
      <c r="JGZ546" s="500"/>
      <c r="JHA546" s="500"/>
      <c r="JHB546" s="500"/>
      <c r="JHC546" s="500"/>
      <c r="JHD546" s="500"/>
      <c r="JHE546" s="500"/>
      <c r="JHF546" s="500"/>
      <c r="JHG546" s="500"/>
      <c r="JHH546" s="500"/>
      <c r="JHI546" s="500"/>
      <c r="JHJ546" s="500"/>
      <c r="JHK546" s="500"/>
      <c r="JHL546" s="500"/>
      <c r="JHM546" s="500"/>
      <c r="JHN546" s="500"/>
      <c r="JHO546" s="500"/>
      <c r="JHP546" s="500"/>
      <c r="JHQ546" s="500"/>
      <c r="JHR546" s="500"/>
      <c r="JHS546" s="500"/>
      <c r="JHT546" s="500"/>
      <c r="JHU546" s="500"/>
      <c r="JHV546" s="500"/>
      <c r="JHW546" s="500"/>
      <c r="JHX546" s="500"/>
      <c r="JHY546" s="500"/>
      <c r="JHZ546" s="500"/>
      <c r="JIA546" s="500"/>
      <c r="JIB546" s="500"/>
      <c r="JIC546" s="500"/>
      <c r="JID546" s="500"/>
      <c r="JIE546" s="500"/>
      <c r="JIF546" s="500"/>
      <c r="JIG546" s="500"/>
      <c r="JIH546" s="500"/>
      <c r="JII546" s="500"/>
      <c r="JIJ546" s="500"/>
      <c r="JIK546" s="500"/>
      <c r="JIL546" s="500"/>
      <c r="JIM546" s="500"/>
      <c r="JIN546" s="500"/>
      <c r="JIO546" s="500"/>
      <c r="JIP546" s="500"/>
      <c r="JIQ546" s="500"/>
      <c r="JIR546" s="500"/>
      <c r="JIS546" s="500"/>
      <c r="JIT546" s="500"/>
      <c r="JIU546" s="500"/>
      <c r="JIV546" s="500"/>
      <c r="JIW546" s="500"/>
      <c r="JIX546" s="500"/>
      <c r="JIY546" s="500"/>
      <c r="JIZ546" s="500"/>
      <c r="JJA546" s="500"/>
      <c r="JJB546" s="500"/>
      <c r="JJC546" s="500"/>
      <c r="JJD546" s="500"/>
      <c r="JJE546" s="500"/>
      <c r="JJF546" s="500"/>
      <c r="JJG546" s="500"/>
      <c r="JJH546" s="500"/>
      <c r="JJI546" s="500"/>
      <c r="JJJ546" s="500"/>
      <c r="JJK546" s="500"/>
      <c r="JJL546" s="500"/>
      <c r="JJM546" s="500"/>
      <c r="JJN546" s="500"/>
      <c r="JJO546" s="500"/>
      <c r="JJP546" s="500"/>
      <c r="JJQ546" s="500"/>
      <c r="JJR546" s="500"/>
      <c r="JJS546" s="500"/>
      <c r="JJT546" s="500"/>
      <c r="JJU546" s="500"/>
      <c r="JJV546" s="500"/>
      <c r="JJW546" s="500"/>
      <c r="JJX546" s="500"/>
      <c r="JJY546" s="500"/>
      <c r="JJZ546" s="500"/>
      <c r="JKA546" s="500"/>
      <c r="JKB546" s="500"/>
      <c r="JKC546" s="500"/>
      <c r="JKD546" s="500"/>
      <c r="JKE546" s="500"/>
      <c r="JKF546" s="500"/>
      <c r="JKG546" s="500"/>
      <c r="JKH546" s="500"/>
      <c r="JKI546" s="500"/>
      <c r="JKJ546" s="500"/>
      <c r="JKK546" s="500"/>
      <c r="JKL546" s="500"/>
      <c r="JKM546" s="500"/>
      <c r="JKN546" s="500"/>
      <c r="JKO546" s="500"/>
      <c r="JKP546" s="500"/>
      <c r="JKQ546" s="500"/>
      <c r="JKR546" s="500"/>
      <c r="JKS546" s="500"/>
      <c r="JKT546" s="500"/>
      <c r="JKU546" s="500"/>
      <c r="JKV546" s="500"/>
      <c r="JKW546" s="500"/>
      <c r="JKX546" s="500"/>
      <c r="JKY546" s="500"/>
      <c r="JKZ546" s="500"/>
      <c r="JLA546" s="500"/>
      <c r="JLB546" s="500"/>
      <c r="JLC546" s="500"/>
      <c r="JLD546" s="500"/>
      <c r="JLE546" s="500"/>
      <c r="JLF546" s="500"/>
      <c r="JLG546" s="500"/>
      <c r="JLH546" s="500"/>
      <c r="JLI546" s="500"/>
      <c r="JLJ546" s="500"/>
      <c r="JLK546" s="500"/>
      <c r="JLL546" s="500"/>
      <c r="JLM546" s="500"/>
      <c r="JLN546" s="500"/>
      <c r="JLO546" s="500"/>
      <c r="JLP546" s="500"/>
      <c r="JLQ546" s="500"/>
      <c r="JLR546" s="500"/>
      <c r="JLS546" s="500"/>
      <c r="JLT546" s="500"/>
      <c r="JLU546" s="500"/>
      <c r="JLV546" s="500"/>
      <c r="JLW546" s="500"/>
      <c r="JLX546" s="500"/>
      <c r="JLY546" s="500"/>
      <c r="JLZ546" s="500"/>
      <c r="JMA546" s="500"/>
      <c r="JMB546" s="500"/>
      <c r="JMC546" s="500"/>
      <c r="JMD546" s="500"/>
      <c r="JME546" s="500"/>
      <c r="JMF546" s="500"/>
      <c r="JMG546" s="500"/>
      <c r="JMH546" s="500"/>
      <c r="JMI546" s="500"/>
      <c r="JMJ546" s="500"/>
      <c r="JMK546" s="500"/>
      <c r="JML546" s="500"/>
      <c r="JMM546" s="500"/>
      <c r="JMN546" s="500"/>
      <c r="JMO546" s="500"/>
      <c r="JMP546" s="500"/>
      <c r="JMQ546" s="500"/>
      <c r="JMR546" s="500"/>
      <c r="JMS546" s="500"/>
      <c r="JMT546" s="500"/>
      <c r="JMU546" s="500"/>
      <c r="JMV546" s="500"/>
      <c r="JMW546" s="500"/>
      <c r="JMX546" s="500"/>
      <c r="JMY546" s="500"/>
      <c r="JMZ546" s="500"/>
      <c r="JNA546" s="500"/>
      <c r="JNB546" s="500"/>
      <c r="JNC546" s="500"/>
      <c r="JND546" s="500"/>
      <c r="JNE546" s="500"/>
      <c r="JNF546" s="500"/>
      <c r="JNG546" s="500"/>
      <c r="JNH546" s="500"/>
      <c r="JNI546" s="500"/>
      <c r="JNJ546" s="500"/>
      <c r="JNK546" s="500"/>
      <c r="JNL546" s="500"/>
      <c r="JNM546" s="500"/>
      <c r="JNN546" s="500"/>
      <c r="JNO546" s="500"/>
      <c r="JNP546" s="500"/>
      <c r="JNQ546" s="500"/>
      <c r="JNR546" s="500"/>
      <c r="JNS546" s="500"/>
      <c r="JNT546" s="500"/>
      <c r="JNU546" s="500"/>
      <c r="JNV546" s="500"/>
      <c r="JNW546" s="500"/>
      <c r="JNX546" s="500"/>
      <c r="JNY546" s="500"/>
      <c r="JNZ546" s="500"/>
      <c r="JOA546" s="500"/>
      <c r="JOB546" s="500"/>
      <c r="JOC546" s="500"/>
      <c r="JOD546" s="500"/>
      <c r="JOE546" s="500"/>
      <c r="JOF546" s="500"/>
      <c r="JOG546" s="500"/>
      <c r="JOH546" s="500"/>
      <c r="JOI546" s="500"/>
      <c r="JOJ546" s="500"/>
      <c r="JOK546" s="500"/>
      <c r="JOL546" s="500"/>
      <c r="JOM546" s="500"/>
      <c r="JON546" s="500"/>
      <c r="JOO546" s="500"/>
      <c r="JOP546" s="500"/>
      <c r="JOQ546" s="500"/>
      <c r="JOR546" s="500"/>
      <c r="JOS546" s="500"/>
      <c r="JOT546" s="500"/>
      <c r="JOU546" s="500"/>
      <c r="JOV546" s="500"/>
      <c r="JOW546" s="500"/>
      <c r="JOX546" s="500"/>
      <c r="JOY546" s="500"/>
      <c r="JOZ546" s="500"/>
      <c r="JPA546" s="500"/>
      <c r="JPB546" s="500"/>
      <c r="JPC546" s="500"/>
      <c r="JPD546" s="500"/>
      <c r="JPE546" s="500"/>
      <c r="JPF546" s="500"/>
      <c r="JPG546" s="500"/>
      <c r="JPH546" s="500"/>
      <c r="JPI546" s="500"/>
      <c r="JPJ546" s="500"/>
      <c r="JPK546" s="500"/>
      <c r="JPL546" s="500"/>
      <c r="JPM546" s="500"/>
      <c r="JPN546" s="500"/>
      <c r="JPO546" s="500"/>
      <c r="JPP546" s="500"/>
      <c r="JPQ546" s="500"/>
      <c r="JPR546" s="500"/>
      <c r="JPS546" s="500"/>
      <c r="JPT546" s="500"/>
      <c r="JPU546" s="500"/>
      <c r="JPV546" s="500"/>
      <c r="JPW546" s="500"/>
      <c r="JPX546" s="500"/>
      <c r="JPY546" s="500"/>
      <c r="JPZ546" s="500"/>
      <c r="JQA546" s="500"/>
      <c r="JQB546" s="500"/>
      <c r="JQC546" s="500"/>
      <c r="JQD546" s="500"/>
      <c r="JQE546" s="500"/>
      <c r="JQF546" s="500"/>
      <c r="JQG546" s="500"/>
      <c r="JQH546" s="500"/>
      <c r="JQI546" s="500"/>
      <c r="JQJ546" s="500"/>
      <c r="JQK546" s="500"/>
      <c r="JQL546" s="500"/>
      <c r="JQM546" s="500"/>
      <c r="JQN546" s="500"/>
      <c r="JQO546" s="500"/>
      <c r="JQP546" s="500"/>
      <c r="JQQ546" s="500"/>
      <c r="JQR546" s="500"/>
      <c r="JQS546" s="500"/>
      <c r="JQT546" s="500"/>
      <c r="JQU546" s="500"/>
      <c r="JQV546" s="500"/>
      <c r="JQW546" s="500"/>
      <c r="JQX546" s="500"/>
      <c r="JQY546" s="500"/>
      <c r="JQZ546" s="500"/>
      <c r="JRA546" s="500"/>
      <c r="JRB546" s="500"/>
      <c r="JRC546" s="500"/>
      <c r="JRD546" s="500"/>
      <c r="JRE546" s="500"/>
      <c r="JRF546" s="500"/>
      <c r="JRG546" s="500"/>
      <c r="JRH546" s="500"/>
      <c r="JRI546" s="500"/>
      <c r="JRJ546" s="500"/>
      <c r="JRK546" s="500"/>
      <c r="JRL546" s="500"/>
      <c r="JRM546" s="500"/>
      <c r="JRN546" s="500"/>
      <c r="JRO546" s="500"/>
      <c r="JRP546" s="500"/>
      <c r="JRQ546" s="500"/>
      <c r="JRR546" s="500"/>
      <c r="JRS546" s="500"/>
      <c r="JRT546" s="500"/>
      <c r="JRU546" s="500"/>
      <c r="JRV546" s="500"/>
      <c r="JRW546" s="500"/>
      <c r="JRX546" s="500"/>
      <c r="JRY546" s="500"/>
      <c r="JRZ546" s="500"/>
      <c r="JSA546" s="500"/>
      <c r="JSB546" s="500"/>
      <c r="JSC546" s="500"/>
      <c r="JSD546" s="500"/>
      <c r="JSE546" s="500"/>
      <c r="JSF546" s="500"/>
      <c r="JSG546" s="500"/>
      <c r="JSH546" s="500"/>
      <c r="JSI546" s="500"/>
      <c r="JSJ546" s="500"/>
      <c r="JSK546" s="500"/>
      <c r="JSL546" s="500"/>
      <c r="JSM546" s="500"/>
      <c r="JSN546" s="500"/>
      <c r="JSO546" s="500"/>
      <c r="JSP546" s="500"/>
      <c r="JSQ546" s="500"/>
      <c r="JSR546" s="500"/>
      <c r="JSS546" s="500"/>
      <c r="JST546" s="500"/>
      <c r="JSU546" s="500"/>
      <c r="JSV546" s="500"/>
      <c r="JSW546" s="500"/>
      <c r="JSX546" s="500"/>
      <c r="JSY546" s="500"/>
      <c r="JSZ546" s="500"/>
      <c r="JTA546" s="500"/>
      <c r="JTB546" s="500"/>
      <c r="JTC546" s="500"/>
      <c r="JTD546" s="500"/>
      <c r="JTE546" s="500"/>
      <c r="JTF546" s="500"/>
      <c r="JTG546" s="500"/>
      <c r="JTH546" s="500"/>
      <c r="JTI546" s="500"/>
      <c r="JTJ546" s="500"/>
      <c r="JTK546" s="500"/>
      <c r="JTL546" s="500"/>
      <c r="JTM546" s="500"/>
      <c r="JTN546" s="500"/>
      <c r="JTO546" s="500"/>
      <c r="JTP546" s="500"/>
      <c r="JTQ546" s="500"/>
      <c r="JTR546" s="500"/>
      <c r="JTS546" s="500"/>
      <c r="JTT546" s="500"/>
      <c r="JTU546" s="500"/>
      <c r="JTV546" s="500"/>
      <c r="JTW546" s="500"/>
      <c r="JTX546" s="500"/>
      <c r="JTY546" s="500"/>
      <c r="JTZ546" s="500"/>
      <c r="JUA546" s="500"/>
      <c r="JUB546" s="500"/>
      <c r="JUC546" s="500"/>
      <c r="JUD546" s="500"/>
      <c r="JUE546" s="500"/>
      <c r="JUF546" s="500"/>
      <c r="JUG546" s="500"/>
      <c r="JUH546" s="500"/>
      <c r="JUI546" s="500"/>
      <c r="JUJ546" s="500"/>
      <c r="JUK546" s="500"/>
      <c r="JUL546" s="500"/>
      <c r="JUM546" s="500"/>
      <c r="JUN546" s="500"/>
      <c r="JUO546" s="500"/>
      <c r="JUP546" s="500"/>
      <c r="JUQ546" s="500"/>
      <c r="JUR546" s="500"/>
      <c r="JUS546" s="500"/>
      <c r="JUT546" s="500"/>
      <c r="JUU546" s="500"/>
      <c r="JUV546" s="500"/>
      <c r="JUW546" s="500"/>
      <c r="JUX546" s="500"/>
      <c r="JUY546" s="500"/>
      <c r="JUZ546" s="500"/>
      <c r="JVA546" s="500"/>
      <c r="JVB546" s="500"/>
      <c r="JVC546" s="500"/>
      <c r="JVD546" s="500"/>
      <c r="JVE546" s="500"/>
      <c r="JVF546" s="500"/>
      <c r="JVG546" s="500"/>
      <c r="JVH546" s="500"/>
      <c r="JVI546" s="500"/>
      <c r="JVJ546" s="500"/>
      <c r="JVK546" s="500"/>
      <c r="JVL546" s="500"/>
      <c r="JVM546" s="500"/>
      <c r="JVN546" s="500"/>
      <c r="JVO546" s="500"/>
      <c r="JVP546" s="500"/>
      <c r="JVQ546" s="500"/>
      <c r="JVR546" s="500"/>
      <c r="JVS546" s="500"/>
      <c r="JVT546" s="500"/>
      <c r="JVU546" s="500"/>
      <c r="JVV546" s="500"/>
      <c r="JVW546" s="500"/>
      <c r="JVX546" s="500"/>
      <c r="JVY546" s="500"/>
      <c r="JVZ546" s="500"/>
      <c r="JWA546" s="500"/>
      <c r="JWB546" s="500"/>
      <c r="JWC546" s="500"/>
      <c r="JWD546" s="500"/>
      <c r="JWE546" s="500"/>
      <c r="JWF546" s="500"/>
      <c r="JWG546" s="500"/>
      <c r="JWH546" s="500"/>
      <c r="JWI546" s="500"/>
      <c r="JWJ546" s="500"/>
      <c r="JWK546" s="500"/>
      <c r="JWL546" s="500"/>
      <c r="JWM546" s="500"/>
      <c r="JWN546" s="500"/>
      <c r="JWO546" s="500"/>
      <c r="JWP546" s="500"/>
      <c r="JWQ546" s="500"/>
      <c r="JWR546" s="500"/>
      <c r="JWS546" s="500"/>
      <c r="JWT546" s="500"/>
      <c r="JWU546" s="500"/>
      <c r="JWV546" s="500"/>
      <c r="JWW546" s="500"/>
      <c r="JWX546" s="500"/>
      <c r="JWY546" s="500"/>
      <c r="JWZ546" s="500"/>
      <c r="JXA546" s="500"/>
      <c r="JXB546" s="500"/>
      <c r="JXC546" s="500"/>
      <c r="JXD546" s="500"/>
      <c r="JXE546" s="500"/>
      <c r="JXF546" s="500"/>
      <c r="JXG546" s="500"/>
      <c r="JXH546" s="500"/>
      <c r="JXI546" s="500"/>
      <c r="JXJ546" s="500"/>
      <c r="JXK546" s="500"/>
      <c r="JXL546" s="500"/>
      <c r="JXM546" s="500"/>
      <c r="JXN546" s="500"/>
      <c r="JXO546" s="500"/>
      <c r="JXP546" s="500"/>
      <c r="JXQ546" s="500"/>
      <c r="JXR546" s="500"/>
      <c r="JXS546" s="500"/>
      <c r="JXT546" s="500"/>
      <c r="JXU546" s="500"/>
      <c r="JXV546" s="500"/>
      <c r="JXW546" s="500"/>
      <c r="JXX546" s="500"/>
      <c r="JXY546" s="500"/>
      <c r="JXZ546" s="500"/>
      <c r="JYA546" s="500"/>
      <c r="JYB546" s="500"/>
      <c r="JYC546" s="500"/>
      <c r="JYD546" s="500"/>
      <c r="JYE546" s="500"/>
      <c r="JYF546" s="500"/>
      <c r="JYG546" s="500"/>
      <c r="JYH546" s="500"/>
      <c r="JYI546" s="500"/>
      <c r="JYJ546" s="500"/>
      <c r="JYK546" s="500"/>
      <c r="JYL546" s="500"/>
      <c r="JYM546" s="500"/>
      <c r="JYN546" s="500"/>
      <c r="JYO546" s="500"/>
      <c r="JYP546" s="500"/>
      <c r="JYQ546" s="500"/>
      <c r="JYR546" s="500"/>
      <c r="JYS546" s="500"/>
      <c r="JYT546" s="500"/>
      <c r="JYU546" s="500"/>
      <c r="JYV546" s="500"/>
      <c r="JYW546" s="500"/>
      <c r="JYX546" s="500"/>
      <c r="JYY546" s="500"/>
      <c r="JYZ546" s="500"/>
      <c r="JZA546" s="500"/>
      <c r="JZB546" s="500"/>
      <c r="JZC546" s="500"/>
      <c r="JZD546" s="500"/>
      <c r="JZE546" s="500"/>
      <c r="JZF546" s="500"/>
      <c r="JZG546" s="500"/>
      <c r="JZH546" s="500"/>
      <c r="JZI546" s="500"/>
      <c r="JZJ546" s="500"/>
      <c r="JZK546" s="500"/>
      <c r="JZL546" s="500"/>
      <c r="JZM546" s="500"/>
      <c r="JZN546" s="500"/>
      <c r="JZO546" s="500"/>
      <c r="JZP546" s="500"/>
      <c r="JZQ546" s="500"/>
      <c r="JZR546" s="500"/>
      <c r="JZS546" s="500"/>
      <c r="JZT546" s="500"/>
      <c r="JZU546" s="500"/>
      <c r="JZV546" s="500"/>
      <c r="JZW546" s="500"/>
      <c r="JZX546" s="500"/>
      <c r="JZY546" s="500"/>
      <c r="JZZ546" s="500"/>
      <c r="KAA546" s="500"/>
      <c r="KAB546" s="500"/>
      <c r="KAC546" s="500"/>
      <c r="KAD546" s="500"/>
      <c r="KAE546" s="500"/>
      <c r="KAF546" s="500"/>
      <c r="KAG546" s="500"/>
      <c r="KAH546" s="500"/>
      <c r="KAI546" s="500"/>
      <c r="KAJ546" s="500"/>
      <c r="KAK546" s="500"/>
      <c r="KAL546" s="500"/>
      <c r="KAM546" s="500"/>
      <c r="KAN546" s="500"/>
      <c r="KAO546" s="500"/>
      <c r="KAP546" s="500"/>
      <c r="KAQ546" s="500"/>
      <c r="KAR546" s="500"/>
      <c r="KAS546" s="500"/>
      <c r="KAT546" s="500"/>
      <c r="KAU546" s="500"/>
      <c r="KAV546" s="500"/>
      <c r="KAW546" s="500"/>
      <c r="KAX546" s="500"/>
      <c r="KAY546" s="500"/>
      <c r="KAZ546" s="500"/>
      <c r="KBA546" s="500"/>
      <c r="KBB546" s="500"/>
      <c r="KBC546" s="500"/>
      <c r="KBD546" s="500"/>
      <c r="KBE546" s="500"/>
      <c r="KBF546" s="500"/>
      <c r="KBG546" s="500"/>
      <c r="KBH546" s="500"/>
      <c r="KBI546" s="500"/>
      <c r="KBJ546" s="500"/>
      <c r="KBK546" s="500"/>
      <c r="KBL546" s="500"/>
      <c r="KBM546" s="500"/>
      <c r="KBN546" s="500"/>
      <c r="KBO546" s="500"/>
      <c r="KBP546" s="500"/>
      <c r="KBQ546" s="500"/>
      <c r="KBR546" s="500"/>
      <c r="KBS546" s="500"/>
      <c r="KBT546" s="500"/>
      <c r="KBU546" s="500"/>
      <c r="KBV546" s="500"/>
      <c r="KBW546" s="500"/>
      <c r="KBX546" s="500"/>
      <c r="KBY546" s="500"/>
      <c r="KBZ546" s="500"/>
      <c r="KCA546" s="500"/>
      <c r="KCB546" s="500"/>
      <c r="KCC546" s="500"/>
      <c r="KCD546" s="500"/>
      <c r="KCE546" s="500"/>
      <c r="KCF546" s="500"/>
      <c r="KCG546" s="500"/>
      <c r="KCH546" s="500"/>
      <c r="KCI546" s="500"/>
      <c r="KCJ546" s="500"/>
      <c r="KCK546" s="500"/>
      <c r="KCL546" s="500"/>
      <c r="KCM546" s="500"/>
      <c r="KCN546" s="500"/>
      <c r="KCO546" s="500"/>
      <c r="KCP546" s="500"/>
      <c r="KCQ546" s="500"/>
      <c r="KCR546" s="500"/>
      <c r="KCS546" s="500"/>
      <c r="KCT546" s="500"/>
      <c r="KCU546" s="500"/>
      <c r="KCV546" s="500"/>
      <c r="KCW546" s="500"/>
      <c r="KCX546" s="500"/>
      <c r="KCY546" s="500"/>
      <c r="KCZ546" s="500"/>
      <c r="KDA546" s="500"/>
      <c r="KDB546" s="500"/>
      <c r="KDC546" s="500"/>
      <c r="KDD546" s="500"/>
      <c r="KDE546" s="500"/>
      <c r="KDF546" s="500"/>
      <c r="KDG546" s="500"/>
      <c r="KDH546" s="500"/>
      <c r="KDI546" s="500"/>
      <c r="KDJ546" s="500"/>
      <c r="KDK546" s="500"/>
      <c r="KDL546" s="500"/>
      <c r="KDM546" s="500"/>
      <c r="KDN546" s="500"/>
      <c r="KDO546" s="500"/>
      <c r="KDP546" s="500"/>
      <c r="KDQ546" s="500"/>
      <c r="KDR546" s="500"/>
      <c r="KDS546" s="500"/>
      <c r="KDT546" s="500"/>
      <c r="KDU546" s="500"/>
      <c r="KDV546" s="500"/>
      <c r="KDW546" s="500"/>
      <c r="KDX546" s="500"/>
      <c r="KDY546" s="500"/>
      <c r="KDZ546" s="500"/>
      <c r="KEA546" s="500"/>
      <c r="KEB546" s="500"/>
      <c r="KEC546" s="500"/>
      <c r="KED546" s="500"/>
      <c r="KEE546" s="500"/>
      <c r="KEF546" s="500"/>
      <c r="KEG546" s="500"/>
      <c r="KEH546" s="500"/>
      <c r="KEI546" s="500"/>
      <c r="KEJ546" s="500"/>
      <c r="KEK546" s="500"/>
      <c r="KEL546" s="500"/>
      <c r="KEM546" s="500"/>
      <c r="KEN546" s="500"/>
      <c r="KEO546" s="500"/>
      <c r="KEP546" s="500"/>
      <c r="KEQ546" s="500"/>
      <c r="KER546" s="500"/>
      <c r="KES546" s="500"/>
      <c r="KET546" s="500"/>
      <c r="KEU546" s="500"/>
      <c r="KEV546" s="500"/>
      <c r="KEW546" s="500"/>
      <c r="KEX546" s="500"/>
      <c r="KEY546" s="500"/>
      <c r="KEZ546" s="500"/>
      <c r="KFA546" s="500"/>
      <c r="KFB546" s="500"/>
      <c r="KFC546" s="500"/>
      <c r="KFD546" s="500"/>
      <c r="KFE546" s="500"/>
      <c r="KFF546" s="500"/>
      <c r="KFG546" s="500"/>
      <c r="KFH546" s="500"/>
      <c r="KFI546" s="500"/>
      <c r="KFJ546" s="500"/>
      <c r="KFK546" s="500"/>
      <c r="KFL546" s="500"/>
      <c r="KFM546" s="500"/>
      <c r="KFN546" s="500"/>
      <c r="KFO546" s="500"/>
      <c r="KFP546" s="500"/>
      <c r="KFQ546" s="500"/>
      <c r="KFR546" s="500"/>
      <c r="KFS546" s="500"/>
      <c r="KFT546" s="500"/>
      <c r="KFU546" s="500"/>
      <c r="KFV546" s="500"/>
      <c r="KFW546" s="500"/>
      <c r="KFX546" s="500"/>
      <c r="KFY546" s="500"/>
      <c r="KFZ546" s="500"/>
      <c r="KGA546" s="500"/>
      <c r="KGB546" s="500"/>
      <c r="KGC546" s="500"/>
      <c r="KGD546" s="500"/>
      <c r="KGE546" s="500"/>
      <c r="KGF546" s="500"/>
      <c r="KGG546" s="500"/>
      <c r="KGH546" s="500"/>
      <c r="KGI546" s="500"/>
      <c r="KGJ546" s="500"/>
      <c r="KGK546" s="500"/>
      <c r="KGL546" s="500"/>
      <c r="KGM546" s="500"/>
      <c r="KGN546" s="500"/>
      <c r="KGO546" s="500"/>
      <c r="KGP546" s="500"/>
      <c r="KGQ546" s="500"/>
      <c r="KGR546" s="500"/>
      <c r="KGS546" s="500"/>
      <c r="KGT546" s="500"/>
      <c r="KGU546" s="500"/>
      <c r="KGV546" s="500"/>
      <c r="KGW546" s="500"/>
      <c r="KGX546" s="500"/>
      <c r="KGY546" s="500"/>
      <c r="KGZ546" s="500"/>
      <c r="KHA546" s="500"/>
      <c r="KHB546" s="500"/>
      <c r="KHC546" s="500"/>
      <c r="KHD546" s="500"/>
      <c r="KHE546" s="500"/>
      <c r="KHF546" s="500"/>
      <c r="KHG546" s="500"/>
      <c r="KHH546" s="500"/>
      <c r="KHI546" s="500"/>
      <c r="KHJ546" s="500"/>
      <c r="KHK546" s="500"/>
      <c r="KHL546" s="500"/>
      <c r="KHM546" s="500"/>
      <c r="KHN546" s="500"/>
      <c r="KHO546" s="500"/>
      <c r="KHP546" s="500"/>
      <c r="KHQ546" s="500"/>
      <c r="KHR546" s="500"/>
      <c r="KHS546" s="500"/>
      <c r="KHT546" s="500"/>
      <c r="KHU546" s="500"/>
      <c r="KHV546" s="500"/>
      <c r="KHW546" s="500"/>
      <c r="KHX546" s="500"/>
      <c r="KHY546" s="500"/>
      <c r="KHZ546" s="500"/>
      <c r="KIA546" s="500"/>
      <c r="KIB546" s="500"/>
      <c r="KIC546" s="500"/>
      <c r="KID546" s="500"/>
      <c r="KIE546" s="500"/>
      <c r="KIF546" s="500"/>
      <c r="KIG546" s="500"/>
      <c r="KIH546" s="500"/>
      <c r="KII546" s="500"/>
      <c r="KIJ546" s="500"/>
      <c r="KIK546" s="500"/>
      <c r="KIL546" s="500"/>
      <c r="KIM546" s="500"/>
      <c r="KIN546" s="500"/>
      <c r="KIO546" s="500"/>
      <c r="KIP546" s="500"/>
      <c r="KIQ546" s="500"/>
      <c r="KIR546" s="500"/>
      <c r="KIS546" s="500"/>
      <c r="KIT546" s="500"/>
      <c r="KIU546" s="500"/>
      <c r="KIV546" s="500"/>
      <c r="KIW546" s="500"/>
      <c r="KIX546" s="500"/>
      <c r="KIY546" s="500"/>
      <c r="KIZ546" s="500"/>
      <c r="KJA546" s="500"/>
      <c r="KJB546" s="500"/>
      <c r="KJC546" s="500"/>
      <c r="KJD546" s="500"/>
      <c r="KJE546" s="500"/>
      <c r="KJF546" s="500"/>
      <c r="KJG546" s="500"/>
      <c r="KJH546" s="500"/>
      <c r="KJI546" s="500"/>
      <c r="KJJ546" s="500"/>
      <c r="KJK546" s="500"/>
      <c r="KJL546" s="500"/>
      <c r="KJM546" s="500"/>
      <c r="KJN546" s="500"/>
      <c r="KJO546" s="500"/>
      <c r="KJP546" s="500"/>
      <c r="KJQ546" s="500"/>
      <c r="KJR546" s="500"/>
      <c r="KJS546" s="500"/>
      <c r="KJT546" s="500"/>
      <c r="KJU546" s="500"/>
      <c r="KJV546" s="500"/>
      <c r="KJW546" s="500"/>
      <c r="KJX546" s="500"/>
      <c r="KJY546" s="500"/>
      <c r="KJZ546" s="500"/>
      <c r="KKA546" s="500"/>
      <c r="KKB546" s="500"/>
      <c r="KKC546" s="500"/>
      <c r="KKD546" s="500"/>
      <c r="KKE546" s="500"/>
      <c r="KKF546" s="500"/>
      <c r="KKG546" s="500"/>
      <c r="KKH546" s="500"/>
      <c r="KKI546" s="500"/>
      <c r="KKJ546" s="500"/>
      <c r="KKK546" s="500"/>
      <c r="KKL546" s="500"/>
      <c r="KKM546" s="500"/>
      <c r="KKN546" s="500"/>
      <c r="KKO546" s="500"/>
      <c r="KKP546" s="500"/>
      <c r="KKQ546" s="500"/>
      <c r="KKR546" s="500"/>
      <c r="KKS546" s="500"/>
      <c r="KKT546" s="500"/>
      <c r="KKU546" s="500"/>
      <c r="KKV546" s="500"/>
      <c r="KKW546" s="500"/>
      <c r="KKX546" s="500"/>
      <c r="KKY546" s="500"/>
      <c r="KKZ546" s="500"/>
      <c r="KLA546" s="500"/>
      <c r="KLB546" s="500"/>
      <c r="KLC546" s="500"/>
      <c r="KLD546" s="500"/>
      <c r="KLE546" s="500"/>
      <c r="KLF546" s="500"/>
      <c r="KLG546" s="500"/>
      <c r="KLH546" s="500"/>
      <c r="KLI546" s="500"/>
      <c r="KLJ546" s="500"/>
      <c r="KLK546" s="500"/>
      <c r="KLL546" s="500"/>
      <c r="KLM546" s="500"/>
      <c r="KLN546" s="500"/>
      <c r="KLO546" s="500"/>
      <c r="KLP546" s="500"/>
      <c r="KLQ546" s="500"/>
      <c r="KLR546" s="500"/>
      <c r="KLS546" s="500"/>
      <c r="KLT546" s="500"/>
      <c r="KLU546" s="500"/>
      <c r="KLV546" s="500"/>
      <c r="KLW546" s="500"/>
      <c r="KLX546" s="500"/>
      <c r="KLY546" s="500"/>
      <c r="KLZ546" s="500"/>
      <c r="KMA546" s="500"/>
      <c r="KMB546" s="500"/>
      <c r="KMC546" s="500"/>
      <c r="KMD546" s="500"/>
      <c r="KME546" s="500"/>
      <c r="KMF546" s="500"/>
      <c r="KMG546" s="500"/>
      <c r="KMH546" s="500"/>
      <c r="KMI546" s="500"/>
      <c r="KMJ546" s="500"/>
      <c r="KMK546" s="500"/>
      <c r="KML546" s="500"/>
      <c r="KMM546" s="500"/>
      <c r="KMN546" s="500"/>
      <c r="KMO546" s="500"/>
      <c r="KMP546" s="500"/>
      <c r="KMQ546" s="500"/>
      <c r="KMR546" s="500"/>
      <c r="KMS546" s="500"/>
      <c r="KMT546" s="500"/>
      <c r="KMU546" s="500"/>
      <c r="KMV546" s="500"/>
      <c r="KMW546" s="500"/>
      <c r="KMX546" s="500"/>
      <c r="KMY546" s="500"/>
      <c r="KMZ546" s="500"/>
      <c r="KNA546" s="500"/>
      <c r="KNB546" s="500"/>
      <c r="KNC546" s="500"/>
      <c r="KND546" s="500"/>
      <c r="KNE546" s="500"/>
      <c r="KNF546" s="500"/>
      <c r="KNG546" s="500"/>
      <c r="KNH546" s="500"/>
      <c r="KNI546" s="500"/>
      <c r="KNJ546" s="500"/>
      <c r="KNK546" s="500"/>
      <c r="KNL546" s="500"/>
      <c r="KNM546" s="500"/>
      <c r="KNN546" s="500"/>
      <c r="KNO546" s="500"/>
      <c r="KNP546" s="500"/>
      <c r="KNQ546" s="500"/>
      <c r="KNR546" s="500"/>
      <c r="KNS546" s="500"/>
      <c r="KNT546" s="500"/>
      <c r="KNU546" s="500"/>
      <c r="KNV546" s="500"/>
      <c r="KNW546" s="500"/>
      <c r="KNX546" s="500"/>
      <c r="KNY546" s="500"/>
      <c r="KNZ546" s="500"/>
      <c r="KOA546" s="500"/>
      <c r="KOB546" s="500"/>
      <c r="KOC546" s="500"/>
      <c r="KOD546" s="500"/>
      <c r="KOE546" s="500"/>
      <c r="KOF546" s="500"/>
      <c r="KOG546" s="500"/>
      <c r="KOH546" s="500"/>
      <c r="KOI546" s="500"/>
      <c r="KOJ546" s="500"/>
      <c r="KOK546" s="500"/>
      <c r="KOL546" s="500"/>
      <c r="KOM546" s="500"/>
      <c r="KON546" s="500"/>
      <c r="KOO546" s="500"/>
      <c r="KOP546" s="500"/>
      <c r="KOQ546" s="500"/>
      <c r="KOR546" s="500"/>
      <c r="KOS546" s="500"/>
      <c r="KOT546" s="500"/>
      <c r="KOU546" s="500"/>
      <c r="KOV546" s="500"/>
      <c r="KOW546" s="500"/>
      <c r="KOX546" s="500"/>
      <c r="KOY546" s="500"/>
      <c r="KOZ546" s="500"/>
      <c r="KPA546" s="500"/>
      <c r="KPB546" s="500"/>
      <c r="KPC546" s="500"/>
      <c r="KPD546" s="500"/>
      <c r="KPE546" s="500"/>
      <c r="KPF546" s="500"/>
      <c r="KPG546" s="500"/>
      <c r="KPH546" s="500"/>
      <c r="KPI546" s="500"/>
      <c r="KPJ546" s="500"/>
      <c r="KPK546" s="500"/>
      <c r="KPL546" s="500"/>
      <c r="KPM546" s="500"/>
      <c r="KPN546" s="500"/>
      <c r="KPO546" s="500"/>
      <c r="KPP546" s="500"/>
      <c r="KPQ546" s="500"/>
      <c r="KPR546" s="500"/>
      <c r="KPS546" s="500"/>
      <c r="KPT546" s="500"/>
      <c r="KPU546" s="500"/>
      <c r="KPV546" s="500"/>
      <c r="KPW546" s="500"/>
      <c r="KPX546" s="500"/>
      <c r="KPY546" s="500"/>
      <c r="KPZ546" s="500"/>
      <c r="KQA546" s="500"/>
      <c r="KQB546" s="500"/>
      <c r="KQC546" s="500"/>
      <c r="KQD546" s="500"/>
      <c r="KQE546" s="500"/>
      <c r="KQF546" s="500"/>
      <c r="KQG546" s="500"/>
      <c r="KQH546" s="500"/>
      <c r="KQI546" s="500"/>
      <c r="KQJ546" s="500"/>
      <c r="KQK546" s="500"/>
      <c r="KQL546" s="500"/>
      <c r="KQM546" s="500"/>
      <c r="KQN546" s="500"/>
      <c r="KQO546" s="500"/>
      <c r="KQP546" s="500"/>
      <c r="KQQ546" s="500"/>
      <c r="KQR546" s="500"/>
      <c r="KQS546" s="500"/>
      <c r="KQT546" s="500"/>
      <c r="KQU546" s="500"/>
      <c r="KQV546" s="500"/>
      <c r="KQW546" s="500"/>
      <c r="KQX546" s="500"/>
      <c r="KQY546" s="500"/>
      <c r="KQZ546" s="500"/>
      <c r="KRA546" s="500"/>
      <c r="KRB546" s="500"/>
      <c r="KRC546" s="500"/>
      <c r="KRD546" s="500"/>
      <c r="KRE546" s="500"/>
      <c r="KRF546" s="500"/>
      <c r="KRG546" s="500"/>
      <c r="KRH546" s="500"/>
      <c r="KRI546" s="500"/>
      <c r="KRJ546" s="500"/>
      <c r="KRK546" s="500"/>
      <c r="KRL546" s="500"/>
      <c r="KRM546" s="500"/>
      <c r="KRN546" s="500"/>
      <c r="KRO546" s="500"/>
      <c r="KRP546" s="500"/>
      <c r="KRQ546" s="500"/>
      <c r="KRR546" s="500"/>
      <c r="KRS546" s="500"/>
      <c r="KRT546" s="500"/>
      <c r="KRU546" s="500"/>
      <c r="KRV546" s="500"/>
      <c r="KRW546" s="500"/>
      <c r="KRX546" s="500"/>
      <c r="KRY546" s="500"/>
      <c r="KRZ546" s="500"/>
      <c r="KSA546" s="500"/>
      <c r="KSB546" s="500"/>
      <c r="KSC546" s="500"/>
      <c r="KSD546" s="500"/>
      <c r="KSE546" s="500"/>
      <c r="KSF546" s="500"/>
      <c r="KSG546" s="500"/>
      <c r="KSH546" s="500"/>
      <c r="KSI546" s="500"/>
      <c r="KSJ546" s="500"/>
      <c r="KSK546" s="500"/>
      <c r="KSL546" s="500"/>
      <c r="KSM546" s="500"/>
      <c r="KSN546" s="500"/>
      <c r="KSO546" s="500"/>
      <c r="KSP546" s="500"/>
      <c r="KSQ546" s="500"/>
      <c r="KSR546" s="500"/>
      <c r="KSS546" s="500"/>
      <c r="KST546" s="500"/>
      <c r="KSU546" s="500"/>
      <c r="KSV546" s="500"/>
      <c r="KSW546" s="500"/>
      <c r="KSX546" s="500"/>
      <c r="KSY546" s="500"/>
      <c r="KSZ546" s="500"/>
      <c r="KTA546" s="500"/>
      <c r="KTB546" s="500"/>
      <c r="KTC546" s="500"/>
      <c r="KTD546" s="500"/>
      <c r="KTE546" s="500"/>
      <c r="KTF546" s="500"/>
      <c r="KTG546" s="500"/>
      <c r="KTH546" s="500"/>
      <c r="KTI546" s="500"/>
      <c r="KTJ546" s="500"/>
      <c r="KTK546" s="500"/>
      <c r="KTL546" s="500"/>
      <c r="KTM546" s="500"/>
      <c r="KTN546" s="500"/>
      <c r="KTO546" s="500"/>
      <c r="KTP546" s="500"/>
      <c r="KTQ546" s="500"/>
      <c r="KTR546" s="500"/>
      <c r="KTS546" s="500"/>
      <c r="KTT546" s="500"/>
      <c r="KTU546" s="500"/>
      <c r="KTV546" s="500"/>
      <c r="KTW546" s="500"/>
      <c r="KTX546" s="500"/>
      <c r="KTY546" s="500"/>
      <c r="KTZ546" s="500"/>
      <c r="KUA546" s="500"/>
      <c r="KUB546" s="500"/>
      <c r="KUC546" s="500"/>
      <c r="KUD546" s="500"/>
      <c r="KUE546" s="500"/>
      <c r="KUF546" s="500"/>
      <c r="KUG546" s="500"/>
      <c r="KUH546" s="500"/>
      <c r="KUI546" s="500"/>
      <c r="KUJ546" s="500"/>
      <c r="KUK546" s="500"/>
      <c r="KUL546" s="500"/>
      <c r="KUM546" s="500"/>
      <c r="KUN546" s="500"/>
      <c r="KUO546" s="500"/>
      <c r="KUP546" s="500"/>
      <c r="KUQ546" s="500"/>
      <c r="KUR546" s="500"/>
      <c r="KUS546" s="500"/>
      <c r="KUT546" s="500"/>
      <c r="KUU546" s="500"/>
      <c r="KUV546" s="500"/>
      <c r="KUW546" s="500"/>
      <c r="KUX546" s="500"/>
      <c r="KUY546" s="500"/>
      <c r="KUZ546" s="500"/>
      <c r="KVA546" s="500"/>
      <c r="KVB546" s="500"/>
      <c r="KVC546" s="500"/>
      <c r="KVD546" s="500"/>
      <c r="KVE546" s="500"/>
      <c r="KVF546" s="500"/>
      <c r="KVG546" s="500"/>
      <c r="KVH546" s="500"/>
      <c r="KVI546" s="500"/>
      <c r="KVJ546" s="500"/>
      <c r="KVK546" s="500"/>
      <c r="KVL546" s="500"/>
      <c r="KVM546" s="500"/>
      <c r="KVN546" s="500"/>
      <c r="KVO546" s="500"/>
      <c r="KVP546" s="500"/>
      <c r="KVQ546" s="500"/>
      <c r="KVR546" s="500"/>
      <c r="KVS546" s="500"/>
      <c r="KVT546" s="500"/>
      <c r="KVU546" s="500"/>
      <c r="KVV546" s="500"/>
      <c r="KVW546" s="500"/>
      <c r="KVX546" s="500"/>
      <c r="KVY546" s="500"/>
      <c r="KVZ546" s="500"/>
      <c r="KWA546" s="500"/>
      <c r="KWB546" s="500"/>
      <c r="KWC546" s="500"/>
      <c r="KWD546" s="500"/>
      <c r="KWE546" s="500"/>
      <c r="KWF546" s="500"/>
      <c r="KWG546" s="500"/>
      <c r="KWH546" s="500"/>
      <c r="KWI546" s="500"/>
      <c r="KWJ546" s="500"/>
      <c r="KWK546" s="500"/>
      <c r="KWL546" s="500"/>
      <c r="KWM546" s="500"/>
      <c r="KWN546" s="500"/>
      <c r="KWO546" s="500"/>
      <c r="KWP546" s="500"/>
      <c r="KWQ546" s="500"/>
      <c r="KWR546" s="500"/>
      <c r="KWS546" s="500"/>
      <c r="KWT546" s="500"/>
      <c r="KWU546" s="500"/>
      <c r="KWV546" s="500"/>
      <c r="KWW546" s="500"/>
      <c r="KWX546" s="500"/>
      <c r="KWY546" s="500"/>
      <c r="KWZ546" s="500"/>
      <c r="KXA546" s="500"/>
      <c r="KXB546" s="500"/>
      <c r="KXC546" s="500"/>
      <c r="KXD546" s="500"/>
      <c r="KXE546" s="500"/>
      <c r="KXF546" s="500"/>
      <c r="KXG546" s="500"/>
      <c r="KXH546" s="500"/>
      <c r="KXI546" s="500"/>
      <c r="KXJ546" s="500"/>
      <c r="KXK546" s="500"/>
      <c r="KXL546" s="500"/>
      <c r="KXM546" s="500"/>
      <c r="KXN546" s="500"/>
      <c r="KXO546" s="500"/>
      <c r="KXP546" s="500"/>
      <c r="KXQ546" s="500"/>
      <c r="KXR546" s="500"/>
      <c r="KXS546" s="500"/>
      <c r="KXT546" s="500"/>
      <c r="KXU546" s="500"/>
      <c r="KXV546" s="500"/>
      <c r="KXW546" s="500"/>
      <c r="KXX546" s="500"/>
      <c r="KXY546" s="500"/>
      <c r="KXZ546" s="500"/>
      <c r="KYA546" s="500"/>
      <c r="KYB546" s="500"/>
      <c r="KYC546" s="500"/>
      <c r="KYD546" s="500"/>
      <c r="KYE546" s="500"/>
      <c r="KYF546" s="500"/>
      <c r="KYG546" s="500"/>
      <c r="KYH546" s="500"/>
      <c r="KYI546" s="500"/>
      <c r="KYJ546" s="500"/>
      <c r="KYK546" s="500"/>
      <c r="KYL546" s="500"/>
      <c r="KYM546" s="500"/>
      <c r="KYN546" s="500"/>
      <c r="KYO546" s="500"/>
      <c r="KYP546" s="500"/>
      <c r="KYQ546" s="500"/>
      <c r="KYR546" s="500"/>
      <c r="KYS546" s="500"/>
      <c r="KYT546" s="500"/>
      <c r="KYU546" s="500"/>
      <c r="KYV546" s="500"/>
      <c r="KYW546" s="500"/>
      <c r="KYX546" s="500"/>
      <c r="KYY546" s="500"/>
      <c r="KYZ546" s="500"/>
      <c r="KZA546" s="500"/>
      <c r="KZB546" s="500"/>
      <c r="KZC546" s="500"/>
      <c r="KZD546" s="500"/>
      <c r="KZE546" s="500"/>
      <c r="KZF546" s="500"/>
      <c r="KZG546" s="500"/>
      <c r="KZH546" s="500"/>
      <c r="KZI546" s="500"/>
      <c r="KZJ546" s="500"/>
      <c r="KZK546" s="500"/>
      <c r="KZL546" s="500"/>
      <c r="KZM546" s="500"/>
      <c r="KZN546" s="500"/>
      <c r="KZO546" s="500"/>
      <c r="KZP546" s="500"/>
      <c r="KZQ546" s="500"/>
      <c r="KZR546" s="500"/>
      <c r="KZS546" s="500"/>
      <c r="KZT546" s="500"/>
      <c r="KZU546" s="500"/>
      <c r="KZV546" s="500"/>
      <c r="KZW546" s="500"/>
      <c r="KZX546" s="500"/>
      <c r="KZY546" s="500"/>
      <c r="KZZ546" s="500"/>
      <c r="LAA546" s="500"/>
      <c r="LAB546" s="500"/>
      <c r="LAC546" s="500"/>
      <c r="LAD546" s="500"/>
      <c r="LAE546" s="500"/>
      <c r="LAF546" s="500"/>
      <c r="LAG546" s="500"/>
      <c r="LAH546" s="500"/>
      <c r="LAI546" s="500"/>
      <c r="LAJ546" s="500"/>
      <c r="LAK546" s="500"/>
      <c r="LAL546" s="500"/>
      <c r="LAM546" s="500"/>
      <c r="LAN546" s="500"/>
      <c r="LAO546" s="500"/>
      <c r="LAP546" s="500"/>
      <c r="LAQ546" s="500"/>
      <c r="LAR546" s="500"/>
      <c r="LAS546" s="500"/>
      <c r="LAT546" s="500"/>
      <c r="LAU546" s="500"/>
      <c r="LAV546" s="500"/>
      <c r="LAW546" s="500"/>
      <c r="LAX546" s="500"/>
      <c r="LAY546" s="500"/>
      <c r="LAZ546" s="500"/>
      <c r="LBA546" s="500"/>
      <c r="LBB546" s="500"/>
      <c r="LBC546" s="500"/>
      <c r="LBD546" s="500"/>
      <c r="LBE546" s="500"/>
      <c r="LBF546" s="500"/>
      <c r="LBG546" s="500"/>
      <c r="LBH546" s="500"/>
      <c r="LBI546" s="500"/>
      <c r="LBJ546" s="500"/>
      <c r="LBK546" s="500"/>
      <c r="LBL546" s="500"/>
      <c r="LBM546" s="500"/>
      <c r="LBN546" s="500"/>
      <c r="LBO546" s="500"/>
      <c r="LBP546" s="500"/>
      <c r="LBQ546" s="500"/>
      <c r="LBR546" s="500"/>
      <c r="LBS546" s="500"/>
      <c r="LBT546" s="500"/>
      <c r="LBU546" s="500"/>
      <c r="LBV546" s="500"/>
      <c r="LBW546" s="500"/>
      <c r="LBX546" s="500"/>
      <c r="LBY546" s="500"/>
      <c r="LBZ546" s="500"/>
      <c r="LCA546" s="500"/>
      <c r="LCB546" s="500"/>
      <c r="LCC546" s="500"/>
      <c r="LCD546" s="500"/>
      <c r="LCE546" s="500"/>
      <c r="LCF546" s="500"/>
      <c r="LCG546" s="500"/>
      <c r="LCH546" s="500"/>
      <c r="LCI546" s="500"/>
      <c r="LCJ546" s="500"/>
      <c r="LCK546" s="500"/>
      <c r="LCL546" s="500"/>
      <c r="LCM546" s="500"/>
      <c r="LCN546" s="500"/>
      <c r="LCO546" s="500"/>
      <c r="LCP546" s="500"/>
      <c r="LCQ546" s="500"/>
      <c r="LCR546" s="500"/>
      <c r="LCS546" s="500"/>
      <c r="LCT546" s="500"/>
      <c r="LCU546" s="500"/>
      <c r="LCV546" s="500"/>
      <c r="LCW546" s="500"/>
      <c r="LCX546" s="500"/>
      <c r="LCY546" s="500"/>
      <c r="LCZ546" s="500"/>
      <c r="LDA546" s="500"/>
      <c r="LDB546" s="500"/>
      <c r="LDC546" s="500"/>
      <c r="LDD546" s="500"/>
      <c r="LDE546" s="500"/>
      <c r="LDF546" s="500"/>
      <c r="LDG546" s="500"/>
      <c r="LDH546" s="500"/>
      <c r="LDI546" s="500"/>
      <c r="LDJ546" s="500"/>
      <c r="LDK546" s="500"/>
      <c r="LDL546" s="500"/>
      <c r="LDM546" s="500"/>
      <c r="LDN546" s="500"/>
      <c r="LDO546" s="500"/>
      <c r="LDP546" s="500"/>
      <c r="LDQ546" s="500"/>
      <c r="LDR546" s="500"/>
      <c r="LDS546" s="500"/>
      <c r="LDT546" s="500"/>
      <c r="LDU546" s="500"/>
      <c r="LDV546" s="500"/>
      <c r="LDW546" s="500"/>
      <c r="LDX546" s="500"/>
      <c r="LDY546" s="500"/>
      <c r="LDZ546" s="500"/>
      <c r="LEA546" s="500"/>
      <c r="LEB546" s="500"/>
      <c r="LEC546" s="500"/>
      <c r="LED546" s="500"/>
      <c r="LEE546" s="500"/>
      <c r="LEF546" s="500"/>
      <c r="LEG546" s="500"/>
      <c r="LEH546" s="500"/>
      <c r="LEI546" s="500"/>
      <c r="LEJ546" s="500"/>
      <c r="LEK546" s="500"/>
      <c r="LEL546" s="500"/>
      <c r="LEM546" s="500"/>
      <c r="LEN546" s="500"/>
      <c r="LEO546" s="500"/>
      <c r="LEP546" s="500"/>
      <c r="LEQ546" s="500"/>
      <c r="LER546" s="500"/>
      <c r="LES546" s="500"/>
      <c r="LET546" s="500"/>
      <c r="LEU546" s="500"/>
      <c r="LEV546" s="500"/>
      <c r="LEW546" s="500"/>
      <c r="LEX546" s="500"/>
      <c r="LEY546" s="500"/>
      <c r="LEZ546" s="500"/>
      <c r="LFA546" s="500"/>
      <c r="LFB546" s="500"/>
      <c r="LFC546" s="500"/>
      <c r="LFD546" s="500"/>
      <c r="LFE546" s="500"/>
      <c r="LFF546" s="500"/>
      <c r="LFG546" s="500"/>
      <c r="LFH546" s="500"/>
      <c r="LFI546" s="500"/>
      <c r="LFJ546" s="500"/>
      <c r="LFK546" s="500"/>
      <c r="LFL546" s="500"/>
      <c r="LFM546" s="500"/>
      <c r="LFN546" s="500"/>
      <c r="LFO546" s="500"/>
      <c r="LFP546" s="500"/>
      <c r="LFQ546" s="500"/>
      <c r="LFR546" s="500"/>
      <c r="LFS546" s="500"/>
      <c r="LFT546" s="500"/>
      <c r="LFU546" s="500"/>
      <c r="LFV546" s="500"/>
      <c r="LFW546" s="500"/>
      <c r="LFX546" s="500"/>
      <c r="LFY546" s="500"/>
      <c r="LFZ546" s="500"/>
      <c r="LGA546" s="500"/>
      <c r="LGB546" s="500"/>
      <c r="LGC546" s="500"/>
      <c r="LGD546" s="500"/>
      <c r="LGE546" s="500"/>
      <c r="LGF546" s="500"/>
      <c r="LGG546" s="500"/>
      <c r="LGH546" s="500"/>
      <c r="LGI546" s="500"/>
      <c r="LGJ546" s="500"/>
      <c r="LGK546" s="500"/>
      <c r="LGL546" s="500"/>
      <c r="LGM546" s="500"/>
      <c r="LGN546" s="500"/>
      <c r="LGO546" s="500"/>
      <c r="LGP546" s="500"/>
      <c r="LGQ546" s="500"/>
      <c r="LGR546" s="500"/>
      <c r="LGS546" s="500"/>
      <c r="LGT546" s="500"/>
      <c r="LGU546" s="500"/>
      <c r="LGV546" s="500"/>
      <c r="LGW546" s="500"/>
      <c r="LGX546" s="500"/>
      <c r="LGY546" s="500"/>
      <c r="LGZ546" s="500"/>
      <c r="LHA546" s="500"/>
      <c r="LHB546" s="500"/>
      <c r="LHC546" s="500"/>
      <c r="LHD546" s="500"/>
      <c r="LHE546" s="500"/>
      <c r="LHF546" s="500"/>
      <c r="LHG546" s="500"/>
      <c r="LHH546" s="500"/>
      <c r="LHI546" s="500"/>
      <c r="LHJ546" s="500"/>
      <c r="LHK546" s="500"/>
      <c r="LHL546" s="500"/>
      <c r="LHM546" s="500"/>
      <c r="LHN546" s="500"/>
      <c r="LHO546" s="500"/>
      <c r="LHP546" s="500"/>
      <c r="LHQ546" s="500"/>
      <c r="LHR546" s="500"/>
      <c r="LHS546" s="500"/>
      <c r="LHT546" s="500"/>
      <c r="LHU546" s="500"/>
      <c r="LHV546" s="500"/>
      <c r="LHW546" s="500"/>
      <c r="LHX546" s="500"/>
      <c r="LHY546" s="500"/>
      <c r="LHZ546" s="500"/>
      <c r="LIA546" s="500"/>
      <c r="LIB546" s="500"/>
      <c r="LIC546" s="500"/>
      <c r="LID546" s="500"/>
      <c r="LIE546" s="500"/>
      <c r="LIF546" s="500"/>
      <c r="LIG546" s="500"/>
      <c r="LIH546" s="500"/>
      <c r="LII546" s="500"/>
      <c r="LIJ546" s="500"/>
      <c r="LIK546" s="500"/>
      <c r="LIL546" s="500"/>
      <c r="LIM546" s="500"/>
      <c r="LIN546" s="500"/>
      <c r="LIO546" s="500"/>
      <c r="LIP546" s="500"/>
      <c r="LIQ546" s="500"/>
      <c r="LIR546" s="500"/>
      <c r="LIS546" s="500"/>
      <c r="LIT546" s="500"/>
      <c r="LIU546" s="500"/>
      <c r="LIV546" s="500"/>
      <c r="LIW546" s="500"/>
      <c r="LIX546" s="500"/>
      <c r="LIY546" s="500"/>
      <c r="LIZ546" s="500"/>
      <c r="LJA546" s="500"/>
      <c r="LJB546" s="500"/>
      <c r="LJC546" s="500"/>
      <c r="LJD546" s="500"/>
      <c r="LJE546" s="500"/>
      <c r="LJF546" s="500"/>
      <c r="LJG546" s="500"/>
      <c r="LJH546" s="500"/>
      <c r="LJI546" s="500"/>
      <c r="LJJ546" s="500"/>
      <c r="LJK546" s="500"/>
      <c r="LJL546" s="500"/>
      <c r="LJM546" s="500"/>
      <c r="LJN546" s="500"/>
      <c r="LJO546" s="500"/>
      <c r="LJP546" s="500"/>
      <c r="LJQ546" s="500"/>
      <c r="LJR546" s="500"/>
      <c r="LJS546" s="500"/>
      <c r="LJT546" s="500"/>
      <c r="LJU546" s="500"/>
      <c r="LJV546" s="500"/>
      <c r="LJW546" s="500"/>
      <c r="LJX546" s="500"/>
      <c r="LJY546" s="500"/>
      <c r="LJZ546" s="500"/>
      <c r="LKA546" s="500"/>
      <c r="LKB546" s="500"/>
      <c r="LKC546" s="500"/>
      <c r="LKD546" s="500"/>
      <c r="LKE546" s="500"/>
      <c r="LKF546" s="500"/>
      <c r="LKG546" s="500"/>
      <c r="LKH546" s="500"/>
      <c r="LKI546" s="500"/>
      <c r="LKJ546" s="500"/>
      <c r="LKK546" s="500"/>
      <c r="LKL546" s="500"/>
      <c r="LKM546" s="500"/>
      <c r="LKN546" s="500"/>
      <c r="LKO546" s="500"/>
      <c r="LKP546" s="500"/>
      <c r="LKQ546" s="500"/>
      <c r="LKR546" s="500"/>
      <c r="LKS546" s="500"/>
      <c r="LKT546" s="500"/>
      <c r="LKU546" s="500"/>
      <c r="LKV546" s="500"/>
      <c r="LKW546" s="500"/>
      <c r="LKX546" s="500"/>
      <c r="LKY546" s="500"/>
      <c r="LKZ546" s="500"/>
      <c r="LLA546" s="500"/>
      <c r="LLB546" s="500"/>
      <c r="LLC546" s="500"/>
      <c r="LLD546" s="500"/>
      <c r="LLE546" s="500"/>
      <c r="LLF546" s="500"/>
      <c r="LLG546" s="500"/>
      <c r="LLH546" s="500"/>
      <c r="LLI546" s="500"/>
      <c r="LLJ546" s="500"/>
      <c r="LLK546" s="500"/>
      <c r="LLL546" s="500"/>
      <c r="LLM546" s="500"/>
      <c r="LLN546" s="500"/>
      <c r="LLO546" s="500"/>
      <c r="LLP546" s="500"/>
      <c r="LLQ546" s="500"/>
      <c r="LLR546" s="500"/>
      <c r="LLS546" s="500"/>
      <c r="LLT546" s="500"/>
      <c r="LLU546" s="500"/>
      <c r="LLV546" s="500"/>
      <c r="LLW546" s="500"/>
      <c r="LLX546" s="500"/>
      <c r="LLY546" s="500"/>
      <c r="LLZ546" s="500"/>
      <c r="LMA546" s="500"/>
      <c r="LMB546" s="500"/>
      <c r="LMC546" s="500"/>
      <c r="LMD546" s="500"/>
      <c r="LME546" s="500"/>
      <c r="LMF546" s="500"/>
      <c r="LMG546" s="500"/>
      <c r="LMH546" s="500"/>
      <c r="LMI546" s="500"/>
      <c r="LMJ546" s="500"/>
      <c r="LMK546" s="500"/>
      <c r="LML546" s="500"/>
      <c r="LMM546" s="500"/>
      <c r="LMN546" s="500"/>
      <c r="LMO546" s="500"/>
      <c r="LMP546" s="500"/>
      <c r="LMQ546" s="500"/>
      <c r="LMR546" s="500"/>
      <c r="LMS546" s="500"/>
      <c r="LMT546" s="500"/>
      <c r="LMU546" s="500"/>
      <c r="LMV546" s="500"/>
      <c r="LMW546" s="500"/>
      <c r="LMX546" s="500"/>
      <c r="LMY546" s="500"/>
      <c r="LMZ546" s="500"/>
      <c r="LNA546" s="500"/>
      <c r="LNB546" s="500"/>
      <c r="LNC546" s="500"/>
      <c r="LND546" s="500"/>
      <c r="LNE546" s="500"/>
      <c r="LNF546" s="500"/>
      <c r="LNG546" s="500"/>
      <c r="LNH546" s="500"/>
      <c r="LNI546" s="500"/>
      <c r="LNJ546" s="500"/>
      <c r="LNK546" s="500"/>
      <c r="LNL546" s="500"/>
      <c r="LNM546" s="500"/>
      <c r="LNN546" s="500"/>
      <c r="LNO546" s="500"/>
      <c r="LNP546" s="500"/>
      <c r="LNQ546" s="500"/>
      <c r="LNR546" s="500"/>
      <c r="LNS546" s="500"/>
      <c r="LNT546" s="500"/>
      <c r="LNU546" s="500"/>
      <c r="LNV546" s="500"/>
      <c r="LNW546" s="500"/>
      <c r="LNX546" s="500"/>
      <c r="LNY546" s="500"/>
      <c r="LNZ546" s="500"/>
      <c r="LOA546" s="500"/>
      <c r="LOB546" s="500"/>
      <c r="LOC546" s="500"/>
      <c r="LOD546" s="500"/>
      <c r="LOE546" s="500"/>
      <c r="LOF546" s="500"/>
      <c r="LOG546" s="500"/>
      <c r="LOH546" s="500"/>
      <c r="LOI546" s="500"/>
      <c r="LOJ546" s="500"/>
      <c r="LOK546" s="500"/>
      <c r="LOL546" s="500"/>
      <c r="LOM546" s="500"/>
      <c r="LON546" s="500"/>
      <c r="LOO546" s="500"/>
      <c r="LOP546" s="500"/>
      <c r="LOQ546" s="500"/>
      <c r="LOR546" s="500"/>
      <c r="LOS546" s="500"/>
      <c r="LOT546" s="500"/>
      <c r="LOU546" s="500"/>
      <c r="LOV546" s="500"/>
      <c r="LOW546" s="500"/>
      <c r="LOX546" s="500"/>
      <c r="LOY546" s="500"/>
      <c r="LOZ546" s="500"/>
      <c r="LPA546" s="500"/>
      <c r="LPB546" s="500"/>
      <c r="LPC546" s="500"/>
      <c r="LPD546" s="500"/>
      <c r="LPE546" s="500"/>
      <c r="LPF546" s="500"/>
      <c r="LPG546" s="500"/>
      <c r="LPH546" s="500"/>
      <c r="LPI546" s="500"/>
      <c r="LPJ546" s="500"/>
      <c r="LPK546" s="500"/>
      <c r="LPL546" s="500"/>
      <c r="LPM546" s="500"/>
      <c r="LPN546" s="500"/>
      <c r="LPO546" s="500"/>
      <c r="LPP546" s="500"/>
      <c r="LPQ546" s="500"/>
      <c r="LPR546" s="500"/>
      <c r="LPS546" s="500"/>
      <c r="LPT546" s="500"/>
      <c r="LPU546" s="500"/>
      <c r="LPV546" s="500"/>
      <c r="LPW546" s="500"/>
      <c r="LPX546" s="500"/>
      <c r="LPY546" s="500"/>
      <c r="LPZ546" s="500"/>
      <c r="LQA546" s="500"/>
      <c r="LQB546" s="500"/>
      <c r="LQC546" s="500"/>
      <c r="LQD546" s="500"/>
      <c r="LQE546" s="500"/>
      <c r="LQF546" s="500"/>
      <c r="LQG546" s="500"/>
      <c r="LQH546" s="500"/>
      <c r="LQI546" s="500"/>
      <c r="LQJ546" s="500"/>
      <c r="LQK546" s="500"/>
      <c r="LQL546" s="500"/>
      <c r="LQM546" s="500"/>
      <c r="LQN546" s="500"/>
      <c r="LQO546" s="500"/>
      <c r="LQP546" s="500"/>
      <c r="LQQ546" s="500"/>
      <c r="LQR546" s="500"/>
      <c r="LQS546" s="500"/>
      <c r="LQT546" s="500"/>
      <c r="LQU546" s="500"/>
      <c r="LQV546" s="500"/>
      <c r="LQW546" s="500"/>
      <c r="LQX546" s="500"/>
      <c r="LQY546" s="500"/>
      <c r="LQZ546" s="500"/>
      <c r="LRA546" s="500"/>
      <c r="LRB546" s="500"/>
      <c r="LRC546" s="500"/>
      <c r="LRD546" s="500"/>
      <c r="LRE546" s="500"/>
      <c r="LRF546" s="500"/>
      <c r="LRG546" s="500"/>
      <c r="LRH546" s="500"/>
      <c r="LRI546" s="500"/>
      <c r="LRJ546" s="500"/>
      <c r="LRK546" s="500"/>
      <c r="LRL546" s="500"/>
      <c r="LRM546" s="500"/>
      <c r="LRN546" s="500"/>
      <c r="LRO546" s="500"/>
      <c r="LRP546" s="500"/>
      <c r="LRQ546" s="500"/>
      <c r="LRR546" s="500"/>
      <c r="LRS546" s="500"/>
      <c r="LRT546" s="500"/>
      <c r="LRU546" s="500"/>
      <c r="LRV546" s="500"/>
      <c r="LRW546" s="500"/>
      <c r="LRX546" s="500"/>
      <c r="LRY546" s="500"/>
      <c r="LRZ546" s="500"/>
      <c r="LSA546" s="500"/>
      <c r="LSB546" s="500"/>
      <c r="LSC546" s="500"/>
      <c r="LSD546" s="500"/>
      <c r="LSE546" s="500"/>
      <c r="LSF546" s="500"/>
      <c r="LSG546" s="500"/>
      <c r="LSH546" s="500"/>
      <c r="LSI546" s="500"/>
      <c r="LSJ546" s="500"/>
      <c r="LSK546" s="500"/>
      <c r="LSL546" s="500"/>
      <c r="LSM546" s="500"/>
      <c r="LSN546" s="500"/>
      <c r="LSO546" s="500"/>
      <c r="LSP546" s="500"/>
      <c r="LSQ546" s="500"/>
      <c r="LSR546" s="500"/>
      <c r="LSS546" s="500"/>
      <c r="LST546" s="500"/>
      <c r="LSU546" s="500"/>
      <c r="LSV546" s="500"/>
      <c r="LSW546" s="500"/>
      <c r="LSX546" s="500"/>
      <c r="LSY546" s="500"/>
      <c r="LSZ546" s="500"/>
      <c r="LTA546" s="500"/>
      <c r="LTB546" s="500"/>
      <c r="LTC546" s="500"/>
      <c r="LTD546" s="500"/>
      <c r="LTE546" s="500"/>
      <c r="LTF546" s="500"/>
      <c r="LTG546" s="500"/>
      <c r="LTH546" s="500"/>
      <c r="LTI546" s="500"/>
      <c r="LTJ546" s="500"/>
      <c r="LTK546" s="500"/>
      <c r="LTL546" s="500"/>
      <c r="LTM546" s="500"/>
      <c r="LTN546" s="500"/>
      <c r="LTO546" s="500"/>
      <c r="LTP546" s="500"/>
      <c r="LTQ546" s="500"/>
      <c r="LTR546" s="500"/>
      <c r="LTS546" s="500"/>
      <c r="LTT546" s="500"/>
      <c r="LTU546" s="500"/>
      <c r="LTV546" s="500"/>
      <c r="LTW546" s="500"/>
      <c r="LTX546" s="500"/>
      <c r="LTY546" s="500"/>
      <c r="LTZ546" s="500"/>
      <c r="LUA546" s="500"/>
      <c r="LUB546" s="500"/>
      <c r="LUC546" s="500"/>
      <c r="LUD546" s="500"/>
      <c r="LUE546" s="500"/>
      <c r="LUF546" s="500"/>
      <c r="LUG546" s="500"/>
      <c r="LUH546" s="500"/>
      <c r="LUI546" s="500"/>
      <c r="LUJ546" s="500"/>
      <c r="LUK546" s="500"/>
      <c r="LUL546" s="500"/>
      <c r="LUM546" s="500"/>
      <c r="LUN546" s="500"/>
      <c r="LUO546" s="500"/>
      <c r="LUP546" s="500"/>
      <c r="LUQ546" s="500"/>
      <c r="LUR546" s="500"/>
      <c r="LUS546" s="500"/>
      <c r="LUT546" s="500"/>
      <c r="LUU546" s="500"/>
      <c r="LUV546" s="500"/>
      <c r="LUW546" s="500"/>
      <c r="LUX546" s="500"/>
      <c r="LUY546" s="500"/>
      <c r="LUZ546" s="500"/>
      <c r="LVA546" s="500"/>
      <c r="LVB546" s="500"/>
      <c r="LVC546" s="500"/>
      <c r="LVD546" s="500"/>
      <c r="LVE546" s="500"/>
      <c r="LVF546" s="500"/>
      <c r="LVG546" s="500"/>
      <c r="LVH546" s="500"/>
      <c r="LVI546" s="500"/>
      <c r="LVJ546" s="500"/>
      <c r="LVK546" s="500"/>
      <c r="LVL546" s="500"/>
      <c r="LVM546" s="500"/>
      <c r="LVN546" s="500"/>
      <c r="LVO546" s="500"/>
      <c r="LVP546" s="500"/>
      <c r="LVQ546" s="500"/>
      <c r="LVR546" s="500"/>
      <c r="LVS546" s="500"/>
      <c r="LVT546" s="500"/>
      <c r="LVU546" s="500"/>
      <c r="LVV546" s="500"/>
      <c r="LVW546" s="500"/>
      <c r="LVX546" s="500"/>
      <c r="LVY546" s="500"/>
      <c r="LVZ546" s="500"/>
      <c r="LWA546" s="500"/>
      <c r="LWB546" s="500"/>
      <c r="LWC546" s="500"/>
      <c r="LWD546" s="500"/>
      <c r="LWE546" s="500"/>
      <c r="LWF546" s="500"/>
      <c r="LWG546" s="500"/>
      <c r="LWH546" s="500"/>
      <c r="LWI546" s="500"/>
      <c r="LWJ546" s="500"/>
      <c r="LWK546" s="500"/>
      <c r="LWL546" s="500"/>
      <c r="LWM546" s="500"/>
      <c r="LWN546" s="500"/>
      <c r="LWO546" s="500"/>
      <c r="LWP546" s="500"/>
      <c r="LWQ546" s="500"/>
      <c r="LWR546" s="500"/>
      <c r="LWS546" s="500"/>
      <c r="LWT546" s="500"/>
      <c r="LWU546" s="500"/>
      <c r="LWV546" s="500"/>
      <c r="LWW546" s="500"/>
      <c r="LWX546" s="500"/>
      <c r="LWY546" s="500"/>
      <c r="LWZ546" s="500"/>
      <c r="LXA546" s="500"/>
      <c r="LXB546" s="500"/>
      <c r="LXC546" s="500"/>
      <c r="LXD546" s="500"/>
      <c r="LXE546" s="500"/>
      <c r="LXF546" s="500"/>
      <c r="LXG546" s="500"/>
      <c r="LXH546" s="500"/>
      <c r="LXI546" s="500"/>
      <c r="LXJ546" s="500"/>
      <c r="LXK546" s="500"/>
      <c r="LXL546" s="500"/>
      <c r="LXM546" s="500"/>
      <c r="LXN546" s="500"/>
      <c r="LXO546" s="500"/>
      <c r="LXP546" s="500"/>
      <c r="LXQ546" s="500"/>
      <c r="LXR546" s="500"/>
      <c r="LXS546" s="500"/>
      <c r="LXT546" s="500"/>
      <c r="LXU546" s="500"/>
      <c r="LXV546" s="500"/>
      <c r="LXW546" s="500"/>
      <c r="LXX546" s="500"/>
      <c r="LXY546" s="500"/>
      <c r="LXZ546" s="500"/>
      <c r="LYA546" s="500"/>
      <c r="LYB546" s="500"/>
      <c r="LYC546" s="500"/>
      <c r="LYD546" s="500"/>
      <c r="LYE546" s="500"/>
      <c r="LYF546" s="500"/>
      <c r="LYG546" s="500"/>
      <c r="LYH546" s="500"/>
      <c r="LYI546" s="500"/>
      <c r="LYJ546" s="500"/>
      <c r="LYK546" s="500"/>
      <c r="LYL546" s="500"/>
      <c r="LYM546" s="500"/>
      <c r="LYN546" s="500"/>
      <c r="LYO546" s="500"/>
      <c r="LYP546" s="500"/>
      <c r="LYQ546" s="500"/>
      <c r="LYR546" s="500"/>
      <c r="LYS546" s="500"/>
      <c r="LYT546" s="500"/>
      <c r="LYU546" s="500"/>
      <c r="LYV546" s="500"/>
      <c r="LYW546" s="500"/>
      <c r="LYX546" s="500"/>
      <c r="LYY546" s="500"/>
      <c r="LYZ546" s="500"/>
      <c r="LZA546" s="500"/>
      <c r="LZB546" s="500"/>
      <c r="LZC546" s="500"/>
      <c r="LZD546" s="500"/>
      <c r="LZE546" s="500"/>
      <c r="LZF546" s="500"/>
      <c r="LZG546" s="500"/>
      <c r="LZH546" s="500"/>
      <c r="LZI546" s="500"/>
      <c r="LZJ546" s="500"/>
      <c r="LZK546" s="500"/>
      <c r="LZL546" s="500"/>
      <c r="LZM546" s="500"/>
      <c r="LZN546" s="500"/>
      <c r="LZO546" s="500"/>
      <c r="LZP546" s="500"/>
      <c r="LZQ546" s="500"/>
      <c r="LZR546" s="500"/>
      <c r="LZS546" s="500"/>
      <c r="LZT546" s="500"/>
      <c r="LZU546" s="500"/>
      <c r="LZV546" s="500"/>
      <c r="LZW546" s="500"/>
      <c r="LZX546" s="500"/>
      <c r="LZY546" s="500"/>
      <c r="LZZ546" s="500"/>
      <c r="MAA546" s="500"/>
      <c r="MAB546" s="500"/>
      <c r="MAC546" s="500"/>
      <c r="MAD546" s="500"/>
      <c r="MAE546" s="500"/>
      <c r="MAF546" s="500"/>
      <c r="MAG546" s="500"/>
      <c r="MAH546" s="500"/>
      <c r="MAI546" s="500"/>
      <c r="MAJ546" s="500"/>
      <c r="MAK546" s="500"/>
      <c r="MAL546" s="500"/>
      <c r="MAM546" s="500"/>
      <c r="MAN546" s="500"/>
      <c r="MAO546" s="500"/>
      <c r="MAP546" s="500"/>
      <c r="MAQ546" s="500"/>
      <c r="MAR546" s="500"/>
      <c r="MAS546" s="500"/>
      <c r="MAT546" s="500"/>
      <c r="MAU546" s="500"/>
      <c r="MAV546" s="500"/>
      <c r="MAW546" s="500"/>
      <c r="MAX546" s="500"/>
      <c r="MAY546" s="500"/>
      <c r="MAZ546" s="500"/>
      <c r="MBA546" s="500"/>
      <c r="MBB546" s="500"/>
      <c r="MBC546" s="500"/>
      <c r="MBD546" s="500"/>
      <c r="MBE546" s="500"/>
      <c r="MBF546" s="500"/>
      <c r="MBG546" s="500"/>
      <c r="MBH546" s="500"/>
      <c r="MBI546" s="500"/>
      <c r="MBJ546" s="500"/>
      <c r="MBK546" s="500"/>
      <c r="MBL546" s="500"/>
      <c r="MBM546" s="500"/>
      <c r="MBN546" s="500"/>
      <c r="MBO546" s="500"/>
      <c r="MBP546" s="500"/>
      <c r="MBQ546" s="500"/>
      <c r="MBR546" s="500"/>
      <c r="MBS546" s="500"/>
      <c r="MBT546" s="500"/>
      <c r="MBU546" s="500"/>
      <c r="MBV546" s="500"/>
      <c r="MBW546" s="500"/>
      <c r="MBX546" s="500"/>
      <c r="MBY546" s="500"/>
      <c r="MBZ546" s="500"/>
      <c r="MCA546" s="500"/>
      <c r="MCB546" s="500"/>
      <c r="MCC546" s="500"/>
      <c r="MCD546" s="500"/>
      <c r="MCE546" s="500"/>
      <c r="MCF546" s="500"/>
      <c r="MCG546" s="500"/>
      <c r="MCH546" s="500"/>
      <c r="MCI546" s="500"/>
      <c r="MCJ546" s="500"/>
      <c r="MCK546" s="500"/>
      <c r="MCL546" s="500"/>
      <c r="MCM546" s="500"/>
      <c r="MCN546" s="500"/>
      <c r="MCO546" s="500"/>
      <c r="MCP546" s="500"/>
      <c r="MCQ546" s="500"/>
      <c r="MCR546" s="500"/>
      <c r="MCS546" s="500"/>
      <c r="MCT546" s="500"/>
      <c r="MCU546" s="500"/>
      <c r="MCV546" s="500"/>
      <c r="MCW546" s="500"/>
      <c r="MCX546" s="500"/>
      <c r="MCY546" s="500"/>
      <c r="MCZ546" s="500"/>
      <c r="MDA546" s="500"/>
      <c r="MDB546" s="500"/>
      <c r="MDC546" s="500"/>
      <c r="MDD546" s="500"/>
      <c r="MDE546" s="500"/>
      <c r="MDF546" s="500"/>
      <c r="MDG546" s="500"/>
      <c r="MDH546" s="500"/>
      <c r="MDI546" s="500"/>
      <c r="MDJ546" s="500"/>
      <c r="MDK546" s="500"/>
      <c r="MDL546" s="500"/>
      <c r="MDM546" s="500"/>
      <c r="MDN546" s="500"/>
      <c r="MDO546" s="500"/>
      <c r="MDP546" s="500"/>
      <c r="MDQ546" s="500"/>
      <c r="MDR546" s="500"/>
      <c r="MDS546" s="500"/>
      <c r="MDT546" s="500"/>
      <c r="MDU546" s="500"/>
      <c r="MDV546" s="500"/>
      <c r="MDW546" s="500"/>
      <c r="MDX546" s="500"/>
      <c r="MDY546" s="500"/>
      <c r="MDZ546" s="500"/>
      <c r="MEA546" s="500"/>
      <c r="MEB546" s="500"/>
      <c r="MEC546" s="500"/>
      <c r="MED546" s="500"/>
      <c r="MEE546" s="500"/>
      <c r="MEF546" s="500"/>
      <c r="MEG546" s="500"/>
      <c r="MEH546" s="500"/>
      <c r="MEI546" s="500"/>
      <c r="MEJ546" s="500"/>
      <c r="MEK546" s="500"/>
      <c r="MEL546" s="500"/>
      <c r="MEM546" s="500"/>
      <c r="MEN546" s="500"/>
      <c r="MEO546" s="500"/>
      <c r="MEP546" s="500"/>
      <c r="MEQ546" s="500"/>
      <c r="MER546" s="500"/>
      <c r="MES546" s="500"/>
      <c r="MET546" s="500"/>
      <c r="MEU546" s="500"/>
      <c r="MEV546" s="500"/>
      <c r="MEW546" s="500"/>
      <c r="MEX546" s="500"/>
      <c r="MEY546" s="500"/>
      <c r="MEZ546" s="500"/>
      <c r="MFA546" s="500"/>
      <c r="MFB546" s="500"/>
      <c r="MFC546" s="500"/>
      <c r="MFD546" s="500"/>
      <c r="MFE546" s="500"/>
      <c r="MFF546" s="500"/>
      <c r="MFG546" s="500"/>
      <c r="MFH546" s="500"/>
      <c r="MFI546" s="500"/>
      <c r="MFJ546" s="500"/>
      <c r="MFK546" s="500"/>
      <c r="MFL546" s="500"/>
      <c r="MFM546" s="500"/>
      <c r="MFN546" s="500"/>
      <c r="MFO546" s="500"/>
      <c r="MFP546" s="500"/>
      <c r="MFQ546" s="500"/>
      <c r="MFR546" s="500"/>
      <c r="MFS546" s="500"/>
      <c r="MFT546" s="500"/>
      <c r="MFU546" s="500"/>
      <c r="MFV546" s="500"/>
      <c r="MFW546" s="500"/>
      <c r="MFX546" s="500"/>
      <c r="MFY546" s="500"/>
      <c r="MFZ546" s="500"/>
      <c r="MGA546" s="500"/>
      <c r="MGB546" s="500"/>
      <c r="MGC546" s="500"/>
      <c r="MGD546" s="500"/>
      <c r="MGE546" s="500"/>
      <c r="MGF546" s="500"/>
      <c r="MGG546" s="500"/>
      <c r="MGH546" s="500"/>
      <c r="MGI546" s="500"/>
      <c r="MGJ546" s="500"/>
      <c r="MGK546" s="500"/>
      <c r="MGL546" s="500"/>
      <c r="MGM546" s="500"/>
      <c r="MGN546" s="500"/>
      <c r="MGO546" s="500"/>
      <c r="MGP546" s="500"/>
      <c r="MGQ546" s="500"/>
      <c r="MGR546" s="500"/>
      <c r="MGS546" s="500"/>
      <c r="MGT546" s="500"/>
      <c r="MGU546" s="500"/>
      <c r="MGV546" s="500"/>
      <c r="MGW546" s="500"/>
      <c r="MGX546" s="500"/>
      <c r="MGY546" s="500"/>
      <c r="MGZ546" s="500"/>
      <c r="MHA546" s="500"/>
      <c r="MHB546" s="500"/>
      <c r="MHC546" s="500"/>
      <c r="MHD546" s="500"/>
      <c r="MHE546" s="500"/>
      <c r="MHF546" s="500"/>
      <c r="MHG546" s="500"/>
      <c r="MHH546" s="500"/>
      <c r="MHI546" s="500"/>
      <c r="MHJ546" s="500"/>
      <c r="MHK546" s="500"/>
      <c r="MHL546" s="500"/>
      <c r="MHM546" s="500"/>
      <c r="MHN546" s="500"/>
      <c r="MHO546" s="500"/>
      <c r="MHP546" s="500"/>
      <c r="MHQ546" s="500"/>
      <c r="MHR546" s="500"/>
      <c r="MHS546" s="500"/>
      <c r="MHT546" s="500"/>
      <c r="MHU546" s="500"/>
      <c r="MHV546" s="500"/>
      <c r="MHW546" s="500"/>
      <c r="MHX546" s="500"/>
      <c r="MHY546" s="500"/>
      <c r="MHZ546" s="500"/>
      <c r="MIA546" s="500"/>
      <c r="MIB546" s="500"/>
      <c r="MIC546" s="500"/>
      <c r="MID546" s="500"/>
      <c r="MIE546" s="500"/>
      <c r="MIF546" s="500"/>
      <c r="MIG546" s="500"/>
      <c r="MIH546" s="500"/>
      <c r="MII546" s="500"/>
      <c r="MIJ546" s="500"/>
      <c r="MIK546" s="500"/>
      <c r="MIL546" s="500"/>
      <c r="MIM546" s="500"/>
      <c r="MIN546" s="500"/>
      <c r="MIO546" s="500"/>
      <c r="MIP546" s="500"/>
      <c r="MIQ546" s="500"/>
      <c r="MIR546" s="500"/>
      <c r="MIS546" s="500"/>
      <c r="MIT546" s="500"/>
      <c r="MIU546" s="500"/>
      <c r="MIV546" s="500"/>
      <c r="MIW546" s="500"/>
      <c r="MIX546" s="500"/>
      <c r="MIY546" s="500"/>
      <c r="MIZ546" s="500"/>
      <c r="MJA546" s="500"/>
      <c r="MJB546" s="500"/>
      <c r="MJC546" s="500"/>
      <c r="MJD546" s="500"/>
      <c r="MJE546" s="500"/>
      <c r="MJF546" s="500"/>
      <c r="MJG546" s="500"/>
      <c r="MJH546" s="500"/>
      <c r="MJI546" s="500"/>
      <c r="MJJ546" s="500"/>
      <c r="MJK546" s="500"/>
      <c r="MJL546" s="500"/>
      <c r="MJM546" s="500"/>
      <c r="MJN546" s="500"/>
      <c r="MJO546" s="500"/>
      <c r="MJP546" s="500"/>
      <c r="MJQ546" s="500"/>
      <c r="MJR546" s="500"/>
      <c r="MJS546" s="500"/>
      <c r="MJT546" s="500"/>
      <c r="MJU546" s="500"/>
      <c r="MJV546" s="500"/>
      <c r="MJW546" s="500"/>
      <c r="MJX546" s="500"/>
      <c r="MJY546" s="500"/>
      <c r="MJZ546" s="500"/>
      <c r="MKA546" s="500"/>
      <c r="MKB546" s="500"/>
      <c r="MKC546" s="500"/>
      <c r="MKD546" s="500"/>
      <c r="MKE546" s="500"/>
      <c r="MKF546" s="500"/>
      <c r="MKG546" s="500"/>
      <c r="MKH546" s="500"/>
      <c r="MKI546" s="500"/>
      <c r="MKJ546" s="500"/>
      <c r="MKK546" s="500"/>
      <c r="MKL546" s="500"/>
      <c r="MKM546" s="500"/>
      <c r="MKN546" s="500"/>
      <c r="MKO546" s="500"/>
      <c r="MKP546" s="500"/>
      <c r="MKQ546" s="500"/>
      <c r="MKR546" s="500"/>
      <c r="MKS546" s="500"/>
      <c r="MKT546" s="500"/>
      <c r="MKU546" s="500"/>
      <c r="MKV546" s="500"/>
      <c r="MKW546" s="500"/>
      <c r="MKX546" s="500"/>
      <c r="MKY546" s="500"/>
      <c r="MKZ546" s="500"/>
      <c r="MLA546" s="500"/>
      <c r="MLB546" s="500"/>
      <c r="MLC546" s="500"/>
      <c r="MLD546" s="500"/>
      <c r="MLE546" s="500"/>
      <c r="MLF546" s="500"/>
      <c r="MLG546" s="500"/>
      <c r="MLH546" s="500"/>
      <c r="MLI546" s="500"/>
      <c r="MLJ546" s="500"/>
      <c r="MLK546" s="500"/>
      <c r="MLL546" s="500"/>
      <c r="MLM546" s="500"/>
      <c r="MLN546" s="500"/>
      <c r="MLO546" s="500"/>
      <c r="MLP546" s="500"/>
      <c r="MLQ546" s="500"/>
      <c r="MLR546" s="500"/>
      <c r="MLS546" s="500"/>
      <c r="MLT546" s="500"/>
      <c r="MLU546" s="500"/>
      <c r="MLV546" s="500"/>
      <c r="MLW546" s="500"/>
      <c r="MLX546" s="500"/>
      <c r="MLY546" s="500"/>
      <c r="MLZ546" s="500"/>
      <c r="MMA546" s="500"/>
      <c r="MMB546" s="500"/>
      <c r="MMC546" s="500"/>
      <c r="MMD546" s="500"/>
      <c r="MME546" s="500"/>
      <c r="MMF546" s="500"/>
      <c r="MMG546" s="500"/>
      <c r="MMH546" s="500"/>
      <c r="MMI546" s="500"/>
      <c r="MMJ546" s="500"/>
      <c r="MMK546" s="500"/>
      <c r="MML546" s="500"/>
      <c r="MMM546" s="500"/>
      <c r="MMN546" s="500"/>
      <c r="MMO546" s="500"/>
      <c r="MMP546" s="500"/>
      <c r="MMQ546" s="500"/>
      <c r="MMR546" s="500"/>
      <c r="MMS546" s="500"/>
      <c r="MMT546" s="500"/>
      <c r="MMU546" s="500"/>
      <c r="MMV546" s="500"/>
      <c r="MMW546" s="500"/>
      <c r="MMX546" s="500"/>
      <c r="MMY546" s="500"/>
      <c r="MMZ546" s="500"/>
      <c r="MNA546" s="500"/>
      <c r="MNB546" s="500"/>
      <c r="MNC546" s="500"/>
      <c r="MND546" s="500"/>
      <c r="MNE546" s="500"/>
      <c r="MNF546" s="500"/>
      <c r="MNG546" s="500"/>
      <c r="MNH546" s="500"/>
      <c r="MNI546" s="500"/>
      <c r="MNJ546" s="500"/>
      <c r="MNK546" s="500"/>
      <c r="MNL546" s="500"/>
      <c r="MNM546" s="500"/>
      <c r="MNN546" s="500"/>
      <c r="MNO546" s="500"/>
      <c r="MNP546" s="500"/>
      <c r="MNQ546" s="500"/>
      <c r="MNR546" s="500"/>
      <c r="MNS546" s="500"/>
      <c r="MNT546" s="500"/>
      <c r="MNU546" s="500"/>
      <c r="MNV546" s="500"/>
      <c r="MNW546" s="500"/>
      <c r="MNX546" s="500"/>
      <c r="MNY546" s="500"/>
      <c r="MNZ546" s="500"/>
      <c r="MOA546" s="500"/>
      <c r="MOB546" s="500"/>
      <c r="MOC546" s="500"/>
      <c r="MOD546" s="500"/>
      <c r="MOE546" s="500"/>
      <c r="MOF546" s="500"/>
      <c r="MOG546" s="500"/>
      <c r="MOH546" s="500"/>
      <c r="MOI546" s="500"/>
      <c r="MOJ546" s="500"/>
      <c r="MOK546" s="500"/>
      <c r="MOL546" s="500"/>
      <c r="MOM546" s="500"/>
      <c r="MON546" s="500"/>
      <c r="MOO546" s="500"/>
      <c r="MOP546" s="500"/>
      <c r="MOQ546" s="500"/>
      <c r="MOR546" s="500"/>
      <c r="MOS546" s="500"/>
      <c r="MOT546" s="500"/>
      <c r="MOU546" s="500"/>
      <c r="MOV546" s="500"/>
      <c r="MOW546" s="500"/>
      <c r="MOX546" s="500"/>
      <c r="MOY546" s="500"/>
      <c r="MOZ546" s="500"/>
      <c r="MPA546" s="500"/>
      <c r="MPB546" s="500"/>
      <c r="MPC546" s="500"/>
      <c r="MPD546" s="500"/>
      <c r="MPE546" s="500"/>
      <c r="MPF546" s="500"/>
      <c r="MPG546" s="500"/>
      <c r="MPH546" s="500"/>
      <c r="MPI546" s="500"/>
      <c r="MPJ546" s="500"/>
      <c r="MPK546" s="500"/>
      <c r="MPL546" s="500"/>
      <c r="MPM546" s="500"/>
      <c r="MPN546" s="500"/>
      <c r="MPO546" s="500"/>
      <c r="MPP546" s="500"/>
      <c r="MPQ546" s="500"/>
      <c r="MPR546" s="500"/>
      <c r="MPS546" s="500"/>
      <c r="MPT546" s="500"/>
      <c r="MPU546" s="500"/>
      <c r="MPV546" s="500"/>
      <c r="MPW546" s="500"/>
      <c r="MPX546" s="500"/>
      <c r="MPY546" s="500"/>
      <c r="MPZ546" s="500"/>
      <c r="MQA546" s="500"/>
      <c r="MQB546" s="500"/>
      <c r="MQC546" s="500"/>
      <c r="MQD546" s="500"/>
      <c r="MQE546" s="500"/>
      <c r="MQF546" s="500"/>
      <c r="MQG546" s="500"/>
      <c r="MQH546" s="500"/>
      <c r="MQI546" s="500"/>
      <c r="MQJ546" s="500"/>
      <c r="MQK546" s="500"/>
      <c r="MQL546" s="500"/>
      <c r="MQM546" s="500"/>
      <c r="MQN546" s="500"/>
      <c r="MQO546" s="500"/>
      <c r="MQP546" s="500"/>
      <c r="MQQ546" s="500"/>
      <c r="MQR546" s="500"/>
      <c r="MQS546" s="500"/>
      <c r="MQT546" s="500"/>
      <c r="MQU546" s="500"/>
      <c r="MQV546" s="500"/>
      <c r="MQW546" s="500"/>
      <c r="MQX546" s="500"/>
      <c r="MQY546" s="500"/>
      <c r="MQZ546" s="500"/>
      <c r="MRA546" s="500"/>
      <c r="MRB546" s="500"/>
      <c r="MRC546" s="500"/>
      <c r="MRD546" s="500"/>
      <c r="MRE546" s="500"/>
      <c r="MRF546" s="500"/>
      <c r="MRG546" s="500"/>
      <c r="MRH546" s="500"/>
      <c r="MRI546" s="500"/>
      <c r="MRJ546" s="500"/>
      <c r="MRK546" s="500"/>
      <c r="MRL546" s="500"/>
      <c r="MRM546" s="500"/>
      <c r="MRN546" s="500"/>
      <c r="MRO546" s="500"/>
      <c r="MRP546" s="500"/>
      <c r="MRQ546" s="500"/>
      <c r="MRR546" s="500"/>
      <c r="MRS546" s="500"/>
      <c r="MRT546" s="500"/>
      <c r="MRU546" s="500"/>
      <c r="MRV546" s="500"/>
      <c r="MRW546" s="500"/>
      <c r="MRX546" s="500"/>
      <c r="MRY546" s="500"/>
      <c r="MRZ546" s="500"/>
      <c r="MSA546" s="500"/>
      <c r="MSB546" s="500"/>
      <c r="MSC546" s="500"/>
      <c r="MSD546" s="500"/>
      <c r="MSE546" s="500"/>
      <c r="MSF546" s="500"/>
      <c r="MSG546" s="500"/>
      <c r="MSH546" s="500"/>
      <c r="MSI546" s="500"/>
      <c r="MSJ546" s="500"/>
      <c r="MSK546" s="500"/>
      <c r="MSL546" s="500"/>
      <c r="MSM546" s="500"/>
      <c r="MSN546" s="500"/>
      <c r="MSO546" s="500"/>
      <c r="MSP546" s="500"/>
      <c r="MSQ546" s="500"/>
      <c r="MSR546" s="500"/>
      <c r="MSS546" s="500"/>
      <c r="MST546" s="500"/>
      <c r="MSU546" s="500"/>
      <c r="MSV546" s="500"/>
      <c r="MSW546" s="500"/>
      <c r="MSX546" s="500"/>
      <c r="MSY546" s="500"/>
      <c r="MSZ546" s="500"/>
      <c r="MTA546" s="500"/>
      <c r="MTB546" s="500"/>
      <c r="MTC546" s="500"/>
      <c r="MTD546" s="500"/>
      <c r="MTE546" s="500"/>
      <c r="MTF546" s="500"/>
      <c r="MTG546" s="500"/>
      <c r="MTH546" s="500"/>
      <c r="MTI546" s="500"/>
      <c r="MTJ546" s="500"/>
      <c r="MTK546" s="500"/>
      <c r="MTL546" s="500"/>
      <c r="MTM546" s="500"/>
      <c r="MTN546" s="500"/>
      <c r="MTO546" s="500"/>
      <c r="MTP546" s="500"/>
      <c r="MTQ546" s="500"/>
      <c r="MTR546" s="500"/>
      <c r="MTS546" s="500"/>
      <c r="MTT546" s="500"/>
      <c r="MTU546" s="500"/>
      <c r="MTV546" s="500"/>
      <c r="MTW546" s="500"/>
      <c r="MTX546" s="500"/>
      <c r="MTY546" s="500"/>
      <c r="MTZ546" s="500"/>
      <c r="MUA546" s="500"/>
      <c r="MUB546" s="500"/>
      <c r="MUC546" s="500"/>
      <c r="MUD546" s="500"/>
      <c r="MUE546" s="500"/>
      <c r="MUF546" s="500"/>
      <c r="MUG546" s="500"/>
      <c r="MUH546" s="500"/>
      <c r="MUI546" s="500"/>
      <c r="MUJ546" s="500"/>
      <c r="MUK546" s="500"/>
      <c r="MUL546" s="500"/>
      <c r="MUM546" s="500"/>
      <c r="MUN546" s="500"/>
      <c r="MUO546" s="500"/>
      <c r="MUP546" s="500"/>
      <c r="MUQ546" s="500"/>
      <c r="MUR546" s="500"/>
      <c r="MUS546" s="500"/>
      <c r="MUT546" s="500"/>
      <c r="MUU546" s="500"/>
      <c r="MUV546" s="500"/>
      <c r="MUW546" s="500"/>
      <c r="MUX546" s="500"/>
      <c r="MUY546" s="500"/>
      <c r="MUZ546" s="500"/>
      <c r="MVA546" s="500"/>
      <c r="MVB546" s="500"/>
      <c r="MVC546" s="500"/>
      <c r="MVD546" s="500"/>
      <c r="MVE546" s="500"/>
      <c r="MVF546" s="500"/>
      <c r="MVG546" s="500"/>
      <c r="MVH546" s="500"/>
      <c r="MVI546" s="500"/>
      <c r="MVJ546" s="500"/>
      <c r="MVK546" s="500"/>
      <c r="MVL546" s="500"/>
      <c r="MVM546" s="500"/>
      <c r="MVN546" s="500"/>
      <c r="MVO546" s="500"/>
      <c r="MVP546" s="500"/>
      <c r="MVQ546" s="500"/>
      <c r="MVR546" s="500"/>
      <c r="MVS546" s="500"/>
      <c r="MVT546" s="500"/>
      <c r="MVU546" s="500"/>
      <c r="MVV546" s="500"/>
      <c r="MVW546" s="500"/>
      <c r="MVX546" s="500"/>
      <c r="MVY546" s="500"/>
      <c r="MVZ546" s="500"/>
      <c r="MWA546" s="500"/>
      <c r="MWB546" s="500"/>
      <c r="MWC546" s="500"/>
      <c r="MWD546" s="500"/>
      <c r="MWE546" s="500"/>
      <c r="MWF546" s="500"/>
      <c r="MWG546" s="500"/>
      <c r="MWH546" s="500"/>
      <c r="MWI546" s="500"/>
      <c r="MWJ546" s="500"/>
      <c r="MWK546" s="500"/>
      <c r="MWL546" s="500"/>
      <c r="MWM546" s="500"/>
      <c r="MWN546" s="500"/>
      <c r="MWO546" s="500"/>
      <c r="MWP546" s="500"/>
      <c r="MWQ546" s="500"/>
      <c r="MWR546" s="500"/>
      <c r="MWS546" s="500"/>
      <c r="MWT546" s="500"/>
      <c r="MWU546" s="500"/>
      <c r="MWV546" s="500"/>
      <c r="MWW546" s="500"/>
      <c r="MWX546" s="500"/>
      <c r="MWY546" s="500"/>
      <c r="MWZ546" s="500"/>
      <c r="MXA546" s="500"/>
      <c r="MXB546" s="500"/>
      <c r="MXC546" s="500"/>
      <c r="MXD546" s="500"/>
      <c r="MXE546" s="500"/>
      <c r="MXF546" s="500"/>
      <c r="MXG546" s="500"/>
      <c r="MXH546" s="500"/>
      <c r="MXI546" s="500"/>
      <c r="MXJ546" s="500"/>
      <c r="MXK546" s="500"/>
      <c r="MXL546" s="500"/>
      <c r="MXM546" s="500"/>
      <c r="MXN546" s="500"/>
      <c r="MXO546" s="500"/>
      <c r="MXP546" s="500"/>
      <c r="MXQ546" s="500"/>
      <c r="MXR546" s="500"/>
      <c r="MXS546" s="500"/>
      <c r="MXT546" s="500"/>
      <c r="MXU546" s="500"/>
      <c r="MXV546" s="500"/>
      <c r="MXW546" s="500"/>
      <c r="MXX546" s="500"/>
      <c r="MXY546" s="500"/>
      <c r="MXZ546" s="500"/>
      <c r="MYA546" s="500"/>
      <c r="MYB546" s="500"/>
      <c r="MYC546" s="500"/>
      <c r="MYD546" s="500"/>
      <c r="MYE546" s="500"/>
      <c r="MYF546" s="500"/>
      <c r="MYG546" s="500"/>
      <c r="MYH546" s="500"/>
      <c r="MYI546" s="500"/>
      <c r="MYJ546" s="500"/>
      <c r="MYK546" s="500"/>
      <c r="MYL546" s="500"/>
      <c r="MYM546" s="500"/>
      <c r="MYN546" s="500"/>
      <c r="MYO546" s="500"/>
      <c r="MYP546" s="500"/>
      <c r="MYQ546" s="500"/>
      <c r="MYR546" s="500"/>
      <c r="MYS546" s="500"/>
      <c r="MYT546" s="500"/>
      <c r="MYU546" s="500"/>
      <c r="MYV546" s="500"/>
      <c r="MYW546" s="500"/>
      <c r="MYX546" s="500"/>
      <c r="MYY546" s="500"/>
      <c r="MYZ546" s="500"/>
      <c r="MZA546" s="500"/>
      <c r="MZB546" s="500"/>
      <c r="MZC546" s="500"/>
      <c r="MZD546" s="500"/>
      <c r="MZE546" s="500"/>
      <c r="MZF546" s="500"/>
      <c r="MZG546" s="500"/>
      <c r="MZH546" s="500"/>
      <c r="MZI546" s="500"/>
      <c r="MZJ546" s="500"/>
      <c r="MZK546" s="500"/>
      <c r="MZL546" s="500"/>
      <c r="MZM546" s="500"/>
      <c r="MZN546" s="500"/>
      <c r="MZO546" s="500"/>
      <c r="MZP546" s="500"/>
      <c r="MZQ546" s="500"/>
      <c r="MZR546" s="500"/>
      <c r="MZS546" s="500"/>
      <c r="MZT546" s="500"/>
      <c r="MZU546" s="500"/>
      <c r="MZV546" s="500"/>
      <c r="MZW546" s="500"/>
      <c r="MZX546" s="500"/>
      <c r="MZY546" s="500"/>
      <c r="MZZ546" s="500"/>
      <c r="NAA546" s="500"/>
      <c r="NAB546" s="500"/>
      <c r="NAC546" s="500"/>
      <c r="NAD546" s="500"/>
      <c r="NAE546" s="500"/>
      <c r="NAF546" s="500"/>
      <c r="NAG546" s="500"/>
      <c r="NAH546" s="500"/>
      <c r="NAI546" s="500"/>
      <c r="NAJ546" s="500"/>
      <c r="NAK546" s="500"/>
      <c r="NAL546" s="500"/>
      <c r="NAM546" s="500"/>
      <c r="NAN546" s="500"/>
      <c r="NAO546" s="500"/>
      <c r="NAP546" s="500"/>
      <c r="NAQ546" s="500"/>
      <c r="NAR546" s="500"/>
      <c r="NAS546" s="500"/>
      <c r="NAT546" s="500"/>
      <c r="NAU546" s="500"/>
      <c r="NAV546" s="500"/>
      <c r="NAW546" s="500"/>
      <c r="NAX546" s="500"/>
      <c r="NAY546" s="500"/>
      <c r="NAZ546" s="500"/>
      <c r="NBA546" s="500"/>
      <c r="NBB546" s="500"/>
      <c r="NBC546" s="500"/>
      <c r="NBD546" s="500"/>
      <c r="NBE546" s="500"/>
      <c r="NBF546" s="500"/>
      <c r="NBG546" s="500"/>
      <c r="NBH546" s="500"/>
      <c r="NBI546" s="500"/>
      <c r="NBJ546" s="500"/>
      <c r="NBK546" s="500"/>
      <c r="NBL546" s="500"/>
      <c r="NBM546" s="500"/>
      <c r="NBN546" s="500"/>
      <c r="NBO546" s="500"/>
      <c r="NBP546" s="500"/>
      <c r="NBQ546" s="500"/>
      <c r="NBR546" s="500"/>
      <c r="NBS546" s="500"/>
      <c r="NBT546" s="500"/>
      <c r="NBU546" s="500"/>
      <c r="NBV546" s="500"/>
      <c r="NBW546" s="500"/>
      <c r="NBX546" s="500"/>
      <c r="NBY546" s="500"/>
      <c r="NBZ546" s="500"/>
      <c r="NCA546" s="500"/>
      <c r="NCB546" s="500"/>
      <c r="NCC546" s="500"/>
      <c r="NCD546" s="500"/>
      <c r="NCE546" s="500"/>
      <c r="NCF546" s="500"/>
      <c r="NCG546" s="500"/>
      <c r="NCH546" s="500"/>
      <c r="NCI546" s="500"/>
      <c r="NCJ546" s="500"/>
      <c r="NCK546" s="500"/>
      <c r="NCL546" s="500"/>
      <c r="NCM546" s="500"/>
      <c r="NCN546" s="500"/>
      <c r="NCO546" s="500"/>
      <c r="NCP546" s="500"/>
      <c r="NCQ546" s="500"/>
      <c r="NCR546" s="500"/>
      <c r="NCS546" s="500"/>
      <c r="NCT546" s="500"/>
      <c r="NCU546" s="500"/>
      <c r="NCV546" s="500"/>
      <c r="NCW546" s="500"/>
      <c r="NCX546" s="500"/>
      <c r="NCY546" s="500"/>
      <c r="NCZ546" s="500"/>
      <c r="NDA546" s="500"/>
      <c r="NDB546" s="500"/>
      <c r="NDC546" s="500"/>
      <c r="NDD546" s="500"/>
      <c r="NDE546" s="500"/>
      <c r="NDF546" s="500"/>
      <c r="NDG546" s="500"/>
      <c r="NDH546" s="500"/>
      <c r="NDI546" s="500"/>
      <c r="NDJ546" s="500"/>
      <c r="NDK546" s="500"/>
      <c r="NDL546" s="500"/>
      <c r="NDM546" s="500"/>
      <c r="NDN546" s="500"/>
      <c r="NDO546" s="500"/>
      <c r="NDP546" s="500"/>
      <c r="NDQ546" s="500"/>
      <c r="NDR546" s="500"/>
      <c r="NDS546" s="500"/>
      <c r="NDT546" s="500"/>
      <c r="NDU546" s="500"/>
      <c r="NDV546" s="500"/>
      <c r="NDW546" s="500"/>
      <c r="NDX546" s="500"/>
      <c r="NDY546" s="500"/>
      <c r="NDZ546" s="500"/>
      <c r="NEA546" s="500"/>
      <c r="NEB546" s="500"/>
      <c r="NEC546" s="500"/>
      <c r="NED546" s="500"/>
      <c r="NEE546" s="500"/>
      <c r="NEF546" s="500"/>
      <c r="NEG546" s="500"/>
      <c r="NEH546" s="500"/>
      <c r="NEI546" s="500"/>
      <c r="NEJ546" s="500"/>
      <c r="NEK546" s="500"/>
      <c r="NEL546" s="500"/>
      <c r="NEM546" s="500"/>
      <c r="NEN546" s="500"/>
      <c r="NEO546" s="500"/>
      <c r="NEP546" s="500"/>
      <c r="NEQ546" s="500"/>
      <c r="NER546" s="500"/>
      <c r="NES546" s="500"/>
      <c r="NET546" s="500"/>
      <c r="NEU546" s="500"/>
      <c r="NEV546" s="500"/>
      <c r="NEW546" s="500"/>
      <c r="NEX546" s="500"/>
      <c r="NEY546" s="500"/>
      <c r="NEZ546" s="500"/>
      <c r="NFA546" s="500"/>
      <c r="NFB546" s="500"/>
      <c r="NFC546" s="500"/>
      <c r="NFD546" s="500"/>
      <c r="NFE546" s="500"/>
      <c r="NFF546" s="500"/>
      <c r="NFG546" s="500"/>
      <c r="NFH546" s="500"/>
      <c r="NFI546" s="500"/>
      <c r="NFJ546" s="500"/>
      <c r="NFK546" s="500"/>
      <c r="NFL546" s="500"/>
      <c r="NFM546" s="500"/>
      <c r="NFN546" s="500"/>
      <c r="NFO546" s="500"/>
      <c r="NFP546" s="500"/>
      <c r="NFQ546" s="500"/>
      <c r="NFR546" s="500"/>
      <c r="NFS546" s="500"/>
      <c r="NFT546" s="500"/>
      <c r="NFU546" s="500"/>
      <c r="NFV546" s="500"/>
      <c r="NFW546" s="500"/>
      <c r="NFX546" s="500"/>
      <c r="NFY546" s="500"/>
      <c r="NFZ546" s="500"/>
      <c r="NGA546" s="500"/>
      <c r="NGB546" s="500"/>
      <c r="NGC546" s="500"/>
      <c r="NGD546" s="500"/>
      <c r="NGE546" s="500"/>
      <c r="NGF546" s="500"/>
      <c r="NGG546" s="500"/>
      <c r="NGH546" s="500"/>
      <c r="NGI546" s="500"/>
      <c r="NGJ546" s="500"/>
      <c r="NGK546" s="500"/>
      <c r="NGL546" s="500"/>
      <c r="NGM546" s="500"/>
      <c r="NGN546" s="500"/>
      <c r="NGO546" s="500"/>
      <c r="NGP546" s="500"/>
      <c r="NGQ546" s="500"/>
      <c r="NGR546" s="500"/>
      <c r="NGS546" s="500"/>
      <c r="NGT546" s="500"/>
      <c r="NGU546" s="500"/>
      <c r="NGV546" s="500"/>
      <c r="NGW546" s="500"/>
      <c r="NGX546" s="500"/>
      <c r="NGY546" s="500"/>
      <c r="NGZ546" s="500"/>
      <c r="NHA546" s="500"/>
      <c r="NHB546" s="500"/>
      <c r="NHC546" s="500"/>
      <c r="NHD546" s="500"/>
      <c r="NHE546" s="500"/>
      <c r="NHF546" s="500"/>
      <c r="NHG546" s="500"/>
      <c r="NHH546" s="500"/>
      <c r="NHI546" s="500"/>
      <c r="NHJ546" s="500"/>
      <c r="NHK546" s="500"/>
      <c r="NHL546" s="500"/>
      <c r="NHM546" s="500"/>
      <c r="NHN546" s="500"/>
      <c r="NHO546" s="500"/>
      <c r="NHP546" s="500"/>
      <c r="NHQ546" s="500"/>
      <c r="NHR546" s="500"/>
      <c r="NHS546" s="500"/>
      <c r="NHT546" s="500"/>
      <c r="NHU546" s="500"/>
      <c r="NHV546" s="500"/>
      <c r="NHW546" s="500"/>
      <c r="NHX546" s="500"/>
      <c r="NHY546" s="500"/>
      <c r="NHZ546" s="500"/>
      <c r="NIA546" s="500"/>
      <c r="NIB546" s="500"/>
      <c r="NIC546" s="500"/>
      <c r="NID546" s="500"/>
      <c r="NIE546" s="500"/>
      <c r="NIF546" s="500"/>
      <c r="NIG546" s="500"/>
      <c r="NIH546" s="500"/>
      <c r="NII546" s="500"/>
      <c r="NIJ546" s="500"/>
      <c r="NIK546" s="500"/>
      <c r="NIL546" s="500"/>
      <c r="NIM546" s="500"/>
      <c r="NIN546" s="500"/>
      <c r="NIO546" s="500"/>
      <c r="NIP546" s="500"/>
      <c r="NIQ546" s="500"/>
      <c r="NIR546" s="500"/>
      <c r="NIS546" s="500"/>
      <c r="NIT546" s="500"/>
      <c r="NIU546" s="500"/>
      <c r="NIV546" s="500"/>
      <c r="NIW546" s="500"/>
      <c r="NIX546" s="500"/>
      <c r="NIY546" s="500"/>
      <c r="NIZ546" s="500"/>
      <c r="NJA546" s="500"/>
      <c r="NJB546" s="500"/>
      <c r="NJC546" s="500"/>
      <c r="NJD546" s="500"/>
      <c r="NJE546" s="500"/>
      <c r="NJF546" s="500"/>
      <c r="NJG546" s="500"/>
      <c r="NJH546" s="500"/>
      <c r="NJI546" s="500"/>
      <c r="NJJ546" s="500"/>
      <c r="NJK546" s="500"/>
      <c r="NJL546" s="500"/>
      <c r="NJM546" s="500"/>
      <c r="NJN546" s="500"/>
      <c r="NJO546" s="500"/>
      <c r="NJP546" s="500"/>
      <c r="NJQ546" s="500"/>
      <c r="NJR546" s="500"/>
      <c r="NJS546" s="500"/>
      <c r="NJT546" s="500"/>
      <c r="NJU546" s="500"/>
      <c r="NJV546" s="500"/>
      <c r="NJW546" s="500"/>
      <c r="NJX546" s="500"/>
      <c r="NJY546" s="500"/>
      <c r="NJZ546" s="500"/>
      <c r="NKA546" s="500"/>
      <c r="NKB546" s="500"/>
      <c r="NKC546" s="500"/>
      <c r="NKD546" s="500"/>
      <c r="NKE546" s="500"/>
      <c r="NKF546" s="500"/>
      <c r="NKG546" s="500"/>
      <c r="NKH546" s="500"/>
      <c r="NKI546" s="500"/>
      <c r="NKJ546" s="500"/>
      <c r="NKK546" s="500"/>
      <c r="NKL546" s="500"/>
      <c r="NKM546" s="500"/>
      <c r="NKN546" s="500"/>
      <c r="NKO546" s="500"/>
      <c r="NKP546" s="500"/>
      <c r="NKQ546" s="500"/>
      <c r="NKR546" s="500"/>
      <c r="NKS546" s="500"/>
      <c r="NKT546" s="500"/>
      <c r="NKU546" s="500"/>
      <c r="NKV546" s="500"/>
      <c r="NKW546" s="500"/>
      <c r="NKX546" s="500"/>
      <c r="NKY546" s="500"/>
      <c r="NKZ546" s="500"/>
      <c r="NLA546" s="500"/>
      <c r="NLB546" s="500"/>
      <c r="NLC546" s="500"/>
      <c r="NLD546" s="500"/>
      <c r="NLE546" s="500"/>
      <c r="NLF546" s="500"/>
      <c r="NLG546" s="500"/>
      <c r="NLH546" s="500"/>
      <c r="NLI546" s="500"/>
      <c r="NLJ546" s="500"/>
      <c r="NLK546" s="500"/>
      <c r="NLL546" s="500"/>
      <c r="NLM546" s="500"/>
      <c r="NLN546" s="500"/>
      <c r="NLO546" s="500"/>
      <c r="NLP546" s="500"/>
      <c r="NLQ546" s="500"/>
      <c r="NLR546" s="500"/>
      <c r="NLS546" s="500"/>
      <c r="NLT546" s="500"/>
      <c r="NLU546" s="500"/>
      <c r="NLV546" s="500"/>
      <c r="NLW546" s="500"/>
      <c r="NLX546" s="500"/>
      <c r="NLY546" s="500"/>
      <c r="NLZ546" s="500"/>
      <c r="NMA546" s="500"/>
      <c r="NMB546" s="500"/>
      <c r="NMC546" s="500"/>
      <c r="NMD546" s="500"/>
      <c r="NME546" s="500"/>
      <c r="NMF546" s="500"/>
      <c r="NMG546" s="500"/>
      <c r="NMH546" s="500"/>
      <c r="NMI546" s="500"/>
      <c r="NMJ546" s="500"/>
      <c r="NMK546" s="500"/>
      <c r="NML546" s="500"/>
      <c r="NMM546" s="500"/>
      <c r="NMN546" s="500"/>
      <c r="NMO546" s="500"/>
      <c r="NMP546" s="500"/>
      <c r="NMQ546" s="500"/>
      <c r="NMR546" s="500"/>
      <c r="NMS546" s="500"/>
      <c r="NMT546" s="500"/>
      <c r="NMU546" s="500"/>
      <c r="NMV546" s="500"/>
      <c r="NMW546" s="500"/>
      <c r="NMX546" s="500"/>
      <c r="NMY546" s="500"/>
      <c r="NMZ546" s="500"/>
      <c r="NNA546" s="500"/>
      <c r="NNB546" s="500"/>
      <c r="NNC546" s="500"/>
      <c r="NND546" s="500"/>
      <c r="NNE546" s="500"/>
      <c r="NNF546" s="500"/>
      <c r="NNG546" s="500"/>
      <c r="NNH546" s="500"/>
      <c r="NNI546" s="500"/>
      <c r="NNJ546" s="500"/>
      <c r="NNK546" s="500"/>
      <c r="NNL546" s="500"/>
      <c r="NNM546" s="500"/>
      <c r="NNN546" s="500"/>
      <c r="NNO546" s="500"/>
      <c r="NNP546" s="500"/>
      <c r="NNQ546" s="500"/>
      <c r="NNR546" s="500"/>
      <c r="NNS546" s="500"/>
      <c r="NNT546" s="500"/>
      <c r="NNU546" s="500"/>
      <c r="NNV546" s="500"/>
      <c r="NNW546" s="500"/>
      <c r="NNX546" s="500"/>
      <c r="NNY546" s="500"/>
      <c r="NNZ546" s="500"/>
      <c r="NOA546" s="500"/>
      <c r="NOB546" s="500"/>
      <c r="NOC546" s="500"/>
      <c r="NOD546" s="500"/>
      <c r="NOE546" s="500"/>
      <c r="NOF546" s="500"/>
      <c r="NOG546" s="500"/>
      <c r="NOH546" s="500"/>
      <c r="NOI546" s="500"/>
      <c r="NOJ546" s="500"/>
      <c r="NOK546" s="500"/>
      <c r="NOL546" s="500"/>
      <c r="NOM546" s="500"/>
      <c r="NON546" s="500"/>
      <c r="NOO546" s="500"/>
      <c r="NOP546" s="500"/>
      <c r="NOQ546" s="500"/>
      <c r="NOR546" s="500"/>
      <c r="NOS546" s="500"/>
      <c r="NOT546" s="500"/>
      <c r="NOU546" s="500"/>
      <c r="NOV546" s="500"/>
      <c r="NOW546" s="500"/>
      <c r="NOX546" s="500"/>
      <c r="NOY546" s="500"/>
      <c r="NOZ546" s="500"/>
      <c r="NPA546" s="500"/>
      <c r="NPB546" s="500"/>
      <c r="NPC546" s="500"/>
      <c r="NPD546" s="500"/>
      <c r="NPE546" s="500"/>
      <c r="NPF546" s="500"/>
      <c r="NPG546" s="500"/>
      <c r="NPH546" s="500"/>
      <c r="NPI546" s="500"/>
      <c r="NPJ546" s="500"/>
      <c r="NPK546" s="500"/>
      <c r="NPL546" s="500"/>
      <c r="NPM546" s="500"/>
      <c r="NPN546" s="500"/>
      <c r="NPO546" s="500"/>
      <c r="NPP546" s="500"/>
      <c r="NPQ546" s="500"/>
      <c r="NPR546" s="500"/>
      <c r="NPS546" s="500"/>
      <c r="NPT546" s="500"/>
      <c r="NPU546" s="500"/>
      <c r="NPV546" s="500"/>
      <c r="NPW546" s="500"/>
      <c r="NPX546" s="500"/>
      <c r="NPY546" s="500"/>
      <c r="NPZ546" s="500"/>
      <c r="NQA546" s="500"/>
      <c r="NQB546" s="500"/>
      <c r="NQC546" s="500"/>
      <c r="NQD546" s="500"/>
      <c r="NQE546" s="500"/>
      <c r="NQF546" s="500"/>
      <c r="NQG546" s="500"/>
      <c r="NQH546" s="500"/>
      <c r="NQI546" s="500"/>
      <c r="NQJ546" s="500"/>
      <c r="NQK546" s="500"/>
      <c r="NQL546" s="500"/>
      <c r="NQM546" s="500"/>
      <c r="NQN546" s="500"/>
      <c r="NQO546" s="500"/>
      <c r="NQP546" s="500"/>
      <c r="NQQ546" s="500"/>
      <c r="NQR546" s="500"/>
      <c r="NQS546" s="500"/>
      <c r="NQT546" s="500"/>
      <c r="NQU546" s="500"/>
      <c r="NQV546" s="500"/>
      <c r="NQW546" s="500"/>
      <c r="NQX546" s="500"/>
      <c r="NQY546" s="500"/>
      <c r="NQZ546" s="500"/>
      <c r="NRA546" s="500"/>
      <c r="NRB546" s="500"/>
      <c r="NRC546" s="500"/>
      <c r="NRD546" s="500"/>
      <c r="NRE546" s="500"/>
      <c r="NRF546" s="500"/>
      <c r="NRG546" s="500"/>
      <c r="NRH546" s="500"/>
      <c r="NRI546" s="500"/>
      <c r="NRJ546" s="500"/>
      <c r="NRK546" s="500"/>
      <c r="NRL546" s="500"/>
      <c r="NRM546" s="500"/>
      <c r="NRN546" s="500"/>
      <c r="NRO546" s="500"/>
      <c r="NRP546" s="500"/>
      <c r="NRQ546" s="500"/>
      <c r="NRR546" s="500"/>
      <c r="NRS546" s="500"/>
      <c r="NRT546" s="500"/>
      <c r="NRU546" s="500"/>
      <c r="NRV546" s="500"/>
      <c r="NRW546" s="500"/>
      <c r="NRX546" s="500"/>
      <c r="NRY546" s="500"/>
      <c r="NRZ546" s="500"/>
      <c r="NSA546" s="500"/>
      <c r="NSB546" s="500"/>
      <c r="NSC546" s="500"/>
      <c r="NSD546" s="500"/>
      <c r="NSE546" s="500"/>
      <c r="NSF546" s="500"/>
      <c r="NSG546" s="500"/>
      <c r="NSH546" s="500"/>
      <c r="NSI546" s="500"/>
      <c r="NSJ546" s="500"/>
      <c r="NSK546" s="500"/>
      <c r="NSL546" s="500"/>
      <c r="NSM546" s="500"/>
      <c r="NSN546" s="500"/>
      <c r="NSO546" s="500"/>
      <c r="NSP546" s="500"/>
      <c r="NSQ546" s="500"/>
      <c r="NSR546" s="500"/>
      <c r="NSS546" s="500"/>
      <c r="NST546" s="500"/>
      <c r="NSU546" s="500"/>
      <c r="NSV546" s="500"/>
      <c r="NSW546" s="500"/>
      <c r="NSX546" s="500"/>
      <c r="NSY546" s="500"/>
      <c r="NSZ546" s="500"/>
      <c r="NTA546" s="500"/>
      <c r="NTB546" s="500"/>
      <c r="NTC546" s="500"/>
      <c r="NTD546" s="500"/>
      <c r="NTE546" s="500"/>
      <c r="NTF546" s="500"/>
      <c r="NTG546" s="500"/>
      <c r="NTH546" s="500"/>
      <c r="NTI546" s="500"/>
      <c r="NTJ546" s="500"/>
      <c r="NTK546" s="500"/>
      <c r="NTL546" s="500"/>
      <c r="NTM546" s="500"/>
      <c r="NTN546" s="500"/>
      <c r="NTO546" s="500"/>
      <c r="NTP546" s="500"/>
      <c r="NTQ546" s="500"/>
      <c r="NTR546" s="500"/>
      <c r="NTS546" s="500"/>
      <c r="NTT546" s="500"/>
      <c r="NTU546" s="500"/>
      <c r="NTV546" s="500"/>
      <c r="NTW546" s="500"/>
      <c r="NTX546" s="500"/>
      <c r="NTY546" s="500"/>
      <c r="NTZ546" s="500"/>
      <c r="NUA546" s="500"/>
      <c r="NUB546" s="500"/>
      <c r="NUC546" s="500"/>
      <c r="NUD546" s="500"/>
      <c r="NUE546" s="500"/>
      <c r="NUF546" s="500"/>
      <c r="NUG546" s="500"/>
      <c r="NUH546" s="500"/>
      <c r="NUI546" s="500"/>
      <c r="NUJ546" s="500"/>
      <c r="NUK546" s="500"/>
      <c r="NUL546" s="500"/>
      <c r="NUM546" s="500"/>
      <c r="NUN546" s="500"/>
      <c r="NUO546" s="500"/>
      <c r="NUP546" s="500"/>
      <c r="NUQ546" s="500"/>
      <c r="NUR546" s="500"/>
      <c r="NUS546" s="500"/>
      <c r="NUT546" s="500"/>
      <c r="NUU546" s="500"/>
      <c r="NUV546" s="500"/>
      <c r="NUW546" s="500"/>
      <c r="NUX546" s="500"/>
      <c r="NUY546" s="500"/>
      <c r="NUZ546" s="500"/>
      <c r="NVA546" s="500"/>
      <c r="NVB546" s="500"/>
      <c r="NVC546" s="500"/>
      <c r="NVD546" s="500"/>
      <c r="NVE546" s="500"/>
      <c r="NVF546" s="500"/>
      <c r="NVG546" s="500"/>
      <c r="NVH546" s="500"/>
      <c r="NVI546" s="500"/>
      <c r="NVJ546" s="500"/>
      <c r="NVK546" s="500"/>
      <c r="NVL546" s="500"/>
      <c r="NVM546" s="500"/>
      <c r="NVN546" s="500"/>
      <c r="NVO546" s="500"/>
      <c r="NVP546" s="500"/>
      <c r="NVQ546" s="500"/>
      <c r="NVR546" s="500"/>
      <c r="NVS546" s="500"/>
      <c r="NVT546" s="500"/>
      <c r="NVU546" s="500"/>
      <c r="NVV546" s="500"/>
      <c r="NVW546" s="500"/>
      <c r="NVX546" s="500"/>
      <c r="NVY546" s="500"/>
      <c r="NVZ546" s="500"/>
      <c r="NWA546" s="500"/>
      <c r="NWB546" s="500"/>
      <c r="NWC546" s="500"/>
      <c r="NWD546" s="500"/>
      <c r="NWE546" s="500"/>
      <c r="NWF546" s="500"/>
      <c r="NWG546" s="500"/>
      <c r="NWH546" s="500"/>
      <c r="NWI546" s="500"/>
      <c r="NWJ546" s="500"/>
      <c r="NWK546" s="500"/>
      <c r="NWL546" s="500"/>
      <c r="NWM546" s="500"/>
      <c r="NWN546" s="500"/>
      <c r="NWO546" s="500"/>
      <c r="NWP546" s="500"/>
      <c r="NWQ546" s="500"/>
      <c r="NWR546" s="500"/>
      <c r="NWS546" s="500"/>
      <c r="NWT546" s="500"/>
      <c r="NWU546" s="500"/>
      <c r="NWV546" s="500"/>
      <c r="NWW546" s="500"/>
      <c r="NWX546" s="500"/>
      <c r="NWY546" s="500"/>
      <c r="NWZ546" s="500"/>
      <c r="NXA546" s="500"/>
      <c r="NXB546" s="500"/>
      <c r="NXC546" s="500"/>
      <c r="NXD546" s="500"/>
      <c r="NXE546" s="500"/>
      <c r="NXF546" s="500"/>
      <c r="NXG546" s="500"/>
      <c r="NXH546" s="500"/>
      <c r="NXI546" s="500"/>
      <c r="NXJ546" s="500"/>
      <c r="NXK546" s="500"/>
      <c r="NXL546" s="500"/>
      <c r="NXM546" s="500"/>
      <c r="NXN546" s="500"/>
      <c r="NXO546" s="500"/>
      <c r="NXP546" s="500"/>
      <c r="NXQ546" s="500"/>
      <c r="NXR546" s="500"/>
      <c r="NXS546" s="500"/>
      <c r="NXT546" s="500"/>
      <c r="NXU546" s="500"/>
      <c r="NXV546" s="500"/>
      <c r="NXW546" s="500"/>
      <c r="NXX546" s="500"/>
      <c r="NXY546" s="500"/>
      <c r="NXZ546" s="500"/>
      <c r="NYA546" s="500"/>
      <c r="NYB546" s="500"/>
      <c r="NYC546" s="500"/>
      <c r="NYD546" s="500"/>
      <c r="NYE546" s="500"/>
      <c r="NYF546" s="500"/>
      <c r="NYG546" s="500"/>
      <c r="NYH546" s="500"/>
      <c r="NYI546" s="500"/>
      <c r="NYJ546" s="500"/>
      <c r="NYK546" s="500"/>
      <c r="NYL546" s="500"/>
      <c r="NYM546" s="500"/>
      <c r="NYN546" s="500"/>
      <c r="NYO546" s="500"/>
      <c r="NYP546" s="500"/>
      <c r="NYQ546" s="500"/>
      <c r="NYR546" s="500"/>
      <c r="NYS546" s="500"/>
      <c r="NYT546" s="500"/>
      <c r="NYU546" s="500"/>
      <c r="NYV546" s="500"/>
      <c r="NYW546" s="500"/>
      <c r="NYX546" s="500"/>
      <c r="NYY546" s="500"/>
      <c r="NYZ546" s="500"/>
      <c r="NZA546" s="500"/>
      <c r="NZB546" s="500"/>
      <c r="NZC546" s="500"/>
      <c r="NZD546" s="500"/>
      <c r="NZE546" s="500"/>
      <c r="NZF546" s="500"/>
      <c r="NZG546" s="500"/>
      <c r="NZH546" s="500"/>
      <c r="NZI546" s="500"/>
      <c r="NZJ546" s="500"/>
      <c r="NZK546" s="500"/>
      <c r="NZL546" s="500"/>
      <c r="NZM546" s="500"/>
      <c r="NZN546" s="500"/>
      <c r="NZO546" s="500"/>
      <c r="NZP546" s="500"/>
      <c r="NZQ546" s="500"/>
      <c r="NZR546" s="500"/>
      <c r="NZS546" s="500"/>
      <c r="NZT546" s="500"/>
      <c r="NZU546" s="500"/>
      <c r="NZV546" s="500"/>
      <c r="NZW546" s="500"/>
      <c r="NZX546" s="500"/>
      <c r="NZY546" s="500"/>
      <c r="NZZ546" s="500"/>
      <c r="OAA546" s="500"/>
      <c r="OAB546" s="500"/>
      <c r="OAC546" s="500"/>
      <c r="OAD546" s="500"/>
      <c r="OAE546" s="500"/>
      <c r="OAF546" s="500"/>
      <c r="OAG546" s="500"/>
      <c r="OAH546" s="500"/>
      <c r="OAI546" s="500"/>
      <c r="OAJ546" s="500"/>
      <c r="OAK546" s="500"/>
      <c r="OAL546" s="500"/>
      <c r="OAM546" s="500"/>
      <c r="OAN546" s="500"/>
      <c r="OAO546" s="500"/>
      <c r="OAP546" s="500"/>
      <c r="OAQ546" s="500"/>
      <c r="OAR546" s="500"/>
      <c r="OAS546" s="500"/>
      <c r="OAT546" s="500"/>
      <c r="OAU546" s="500"/>
      <c r="OAV546" s="500"/>
      <c r="OAW546" s="500"/>
      <c r="OAX546" s="500"/>
      <c r="OAY546" s="500"/>
      <c r="OAZ546" s="500"/>
      <c r="OBA546" s="500"/>
      <c r="OBB546" s="500"/>
      <c r="OBC546" s="500"/>
      <c r="OBD546" s="500"/>
      <c r="OBE546" s="500"/>
      <c r="OBF546" s="500"/>
      <c r="OBG546" s="500"/>
      <c r="OBH546" s="500"/>
      <c r="OBI546" s="500"/>
      <c r="OBJ546" s="500"/>
      <c r="OBK546" s="500"/>
      <c r="OBL546" s="500"/>
      <c r="OBM546" s="500"/>
      <c r="OBN546" s="500"/>
      <c r="OBO546" s="500"/>
      <c r="OBP546" s="500"/>
      <c r="OBQ546" s="500"/>
      <c r="OBR546" s="500"/>
      <c r="OBS546" s="500"/>
      <c r="OBT546" s="500"/>
      <c r="OBU546" s="500"/>
      <c r="OBV546" s="500"/>
      <c r="OBW546" s="500"/>
      <c r="OBX546" s="500"/>
      <c r="OBY546" s="500"/>
      <c r="OBZ546" s="500"/>
      <c r="OCA546" s="500"/>
      <c r="OCB546" s="500"/>
      <c r="OCC546" s="500"/>
      <c r="OCD546" s="500"/>
      <c r="OCE546" s="500"/>
      <c r="OCF546" s="500"/>
      <c r="OCG546" s="500"/>
      <c r="OCH546" s="500"/>
      <c r="OCI546" s="500"/>
      <c r="OCJ546" s="500"/>
      <c r="OCK546" s="500"/>
      <c r="OCL546" s="500"/>
      <c r="OCM546" s="500"/>
      <c r="OCN546" s="500"/>
      <c r="OCO546" s="500"/>
      <c r="OCP546" s="500"/>
      <c r="OCQ546" s="500"/>
      <c r="OCR546" s="500"/>
      <c r="OCS546" s="500"/>
      <c r="OCT546" s="500"/>
      <c r="OCU546" s="500"/>
      <c r="OCV546" s="500"/>
      <c r="OCW546" s="500"/>
      <c r="OCX546" s="500"/>
      <c r="OCY546" s="500"/>
      <c r="OCZ546" s="500"/>
      <c r="ODA546" s="500"/>
      <c r="ODB546" s="500"/>
      <c r="ODC546" s="500"/>
      <c r="ODD546" s="500"/>
      <c r="ODE546" s="500"/>
      <c r="ODF546" s="500"/>
      <c r="ODG546" s="500"/>
      <c r="ODH546" s="500"/>
      <c r="ODI546" s="500"/>
      <c r="ODJ546" s="500"/>
      <c r="ODK546" s="500"/>
      <c r="ODL546" s="500"/>
      <c r="ODM546" s="500"/>
      <c r="ODN546" s="500"/>
      <c r="ODO546" s="500"/>
      <c r="ODP546" s="500"/>
      <c r="ODQ546" s="500"/>
      <c r="ODR546" s="500"/>
      <c r="ODS546" s="500"/>
      <c r="ODT546" s="500"/>
      <c r="ODU546" s="500"/>
      <c r="ODV546" s="500"/>
      <c r="ODW546" s="500"/>
      <c r="ODX546" s="500"/>
      <c r="ODY546" s="500"/>
      <c r="ODZ546" s="500"/>
      <c r="OEA546" s="500"/>
      <c r="OEB546" s="500"/>
      <c r="OEC546" s="500"/>
      <c r="OED546" s="500"/>
      <c r="OEE546" s="500"/>
      <c r="OEF546" s="500"/>
      <c r="OEG546" s="500"/>
      <c r="OEH546" s="500"/>
      <c r="OEI546" s="500"/>
      <c r="OEJ546" s="500"/>
      <c r="OEK546" s="500"/>
      <c r="OEL546" s="500"/>
      <c r="OEM546" s="500"/>
      <c r="OEN546" s="500"/>
      <c r="OEO546" s="500"/>
      <c r="OEP546" s="500"/>
      <c r="OEQ546" s="500"/>
      <c r="OER546" s="500"/>
      <c r="OES546" s="500"/>
      <c r="OET546" s="500"/>
      <c r="OEU546" s="500"/>
      <c r="OEV546" s="500"/>
      <c r="OEW546" s="500"/>
      <c r="OEX546" s="500"/>
      <c r="OEY546" s="500"/>
      <c r="OEZ546" s="500"/>
      <c r="OFA546" s="500"/>
      <c r="OFB546" s="500"/>
      <c r="OFC546" s="500"/>
      <c r="OFD546" s="500"/>
      <c r="OFE546" s="500"/>
      <c r="OFF546" s="500"/>
      <c r="OFG546" s="500"/>
      <c r="OFH546" s="500"/>
      <c r="OFI546" s="500"/>
      <c r="OFJ546" s="500"/>
      <c r="OFK546" s="500"/>
      <c r="OFL546" s="500"/>
      <c r="OFM546" s="500"/>
      <c r="OFN546" s="500"/>
      <c r="OFO546" s="500"/>
      <c r="OFP546" s="500"/>
      <c r="OFQ546" s="500"/>
      <c r="OFR546" s="500"/>
      <c r="OFS546" s="500"/>
      <c r="OFT546" s="500"/>
      <c r="OFU546" s="500"/>
      <c r="OFV546" s="500"/>
      <c r="OFW546" s="500"/>
      <c r="OFX546" s="500"/>
      <c r="OFY546" s="500"/>
      <c r="OFZ546" s="500"/>
      <c r="OGA546" s="500"/>
      <c r="OGB546" s="500"/>
      <c r="OGC546" s="500"/>
      <c r="OGD546" s="500"/>
      <c r="OGE546" s="500"/>
      <c r="OGF546" s="500"/>
      <c r="OGG546" s="500"/>
      <c r="OGH546" s="500"/>
      <c r="OGI546" s="500"/>
      <c r="OGJ546" s="500"/>
      <c r="OGK546" s="500"/>
      <c r="OGL546" s="500"/>
      <c r="OGM546" s="500"/>
      <c r="OGN546" s="500"/>
      <c r="OGO546" s="500"/>
      <c r="OGP546" s="500"/>
      <c r="OGQ546" s="500"/>
      <c r="OGR546" s="500"/>
      <c r="OGS546" s="500"/>
      <c r="OGT546" s="500"/>
      <c r="OGU546" s="500"/>
      <c r="OGV546" s="500"/>
      <c r="OGW546" s="500"/>
      <c r="OGX546" s="500"/>
      <c r="OGY546" s="500"/>
      <c r="OGZ546" s="500"/>
      <c r="OHA546" s="500"/>
      <c r="OHB546" s="500"/>
      <c r="OHC546" s="500"/>
      <c r="OHD546" s="500"/>
      <c r="OHE546" s="500"/>
      <c r="OHF546" s="500"/>
      <c r="OHG546" s="500"/>
      <c r="OHH546" s="500"/>
      <c r="OHI546" s="500"/>
      <c r="OHJ546" s="500"/>
      <c r="OHK546" s="500"/>
      <c r="OHL546" s="500"/>
      <c r="OHM546" s="500"/>
      <c r="OHN546" s="500"/>
      <c r="OHO546" s="500"/>
      <c r="OHP546" s="500"/>
      <c r="OHQ546" s="500"/>
      <c r="OHR546" s="500"/>
      <c r="OHS546" s="500"/>
      <c r="OHT546" s="500"/>
      <c r="OHU546" s="500"/>
      <c r="OHV546" s="500"/>
      <c r="OHW546" s="500"/>
      <c r="OHX546" s="500"/>
      <c r="OHY546" s="500"/>
      <c r="OHZ546" s="500"/>
      <c r="OIA546" s="500"/>
      <c r="OIB546" s="500"/>
      <c r="OIC546" s="500"/>
      <c r="OID546" s="500"/>
      <c r="OIE546" s="500"/>
      <c r="OIF546" s="500"/>
      <c r="OIG546" s="500"/>
      <c r="OIH546" s="500"/>
      <c r="OII546" s="500"/>
      <c r="OIJ546" s="500"/>
      <c r="OIK546" s="500"/>
      <c r="OIL546" s="500"/>
      <c r="OIM546" s="500"/>
      <c r="OIN546" s="500"/>
      <c r="OIO546" s="500"/>
      <c r="OIP546" s="500"/>
      <c r="OIQ546" s="500"/>
      <c r="OIR546" s="500"/>
      <c r="OIS546" s="500"/>
      <c r="OIT546" s="500"/>
      <c r="OIU546" s="500"/>
      <c r="OIV546" s="500"/>
      <c r="OIW546" s="500"/>
      <c r="OIX546" s="500"/>
      <c r="OIY546" s="500"/>
      <c r="OIZ546" s="500"/>
      <c r="OJA546" s="500"/>
      <c r="OJB546" s="500"/>
      <c r="OJC546" s="500"/>
      <c r="OJD546" s="500"/>
      <c r="OJE546" s="500"/>
      <c r="OJF546" s="500"/>
      <c r="OJG546" s="500"/>
      <c r="OJH546" s="500"/>
      <c r="OJI546" s="500"/>
      <c r="OJJ546" s="500"/>
      <c r="OJK546" s="500"/>
      <c r="OJL546" s="500"/>
      <c r="OJM546" s="500"/>
      <c r="OJN546" s="500"/>
      <c r="OJO546" s="500"/>
      <c r="OJP546" s="500"/>
      <c r="OJQ546" s="500"/>
      <c r="OJR546" s="500"/>
      <c r="OJS546" s="500"/>
      <c r="OJT546" s="500"/>
      <c r="OJU546" s="500"/>
      <c r="OJV546" s="500"/>
      <c r="OJW546" s="500"/>
      <c r="OJX546" s="500"/>
      <c r="OJY546" s="500"/>
      <c r="OJZ546" s="500"/>
      <c r="OKA546" s="500"/>
      <c r="OKB546" s="500"/>
      <c r="OKC546" s="500"/>
      <c r="OKD546" s="500"/>
      <c r="OKE546" s="500"/>
      <c r="OKF546" s="500"/>
      <c r="OKG546" s="500"/>
      <c r="OKH546" s="500"/>
      <c r="OKI546" s="500"/>
      <c r="OKJ546" s="500"/>
      <c r="OKK546" s="500"/>
      <c r="OKL546" s="500"/>
      <c r="OKM546" s="500"/>
      <c r="OKN546" s="500"/>
      <c r="OKO546" s="500"/>
      <c r="OKP546" s="500"/>
      <c r="OKQ546" s="500"/>
      <c r="OKR546" s="500"/>
      <c r="OKS546" s="500"/>
      <c r="OKT546" s="500"/>
      <c r="OKU546" s="500"/>
      <c r="OKV546" s="500"/>
      <c r="OKW546" s="500"/>
      <c r="OKX546" s="500"/>
      <c r="OKY546" s="500"/>
      <c r="OKZ546" s="500"/>
      <c r="OLA546" s="500"/>
      <c r="OLB546" s="500"/>
      <c r="OLC546" s="500"/>
      <c r="OLD546" s="500"/>
      <c r="OLE546" s="500"/>
      <c r="OLF546" s="500"/>
      <c r="OLG546" s="500"/>
      <c r="OLH546" s="500"/>
      <c r="OLI546" s="500"/>
      <c r="OLJ546" s="500"/>
      <c r="OLK546" s="500"/>
      <c r="OLL546" s="500"/>
      <c r="OLM546" s="500"/>
      <c r="OLN546" s="500"/>
      <c r="OLO546" s="500"/>
      <c r="OLP546" s="500"/>
      <c r="OLQ546" s="500"/>
      <c r="OLR546" s="500"/>
      <c r="OLS546" s="500"/>
      <c r="OLT546" s="500"/>
      <c r="OLU546" s="500"/>
      <c r="OLV546" s="500"/>
      <c r="OLW546" s="500"/>
      <c r="OLX546" s="500"/>
      <c r="OLY546" s="500"/>
      <c r="OLZ546" s="500"/>
      <c r="OMA546" s="500"/>
      <c r="OMB546" s="500"/>
      <c r="OMC546" s="500"/>
      <c r="OMD546" s="500"/>
      <c r="OME546" s="500"/>
      <c r="OMF546" s="500"/>
      <c r="OMG546" s="500"/>
      <c r="OMH546" s="500"/>
      <c r="OMI546" s="500"/>
      <c r="OMJ546" s="500"/>
      <c r="OMK546" s="500"/>
      <c r="OML546" s="500"/>
      <c r="OMM546" s="500"/>
      <c r="OMN546" s="500"/>
      <c r="OMO546" s="500"/>
      <c r="OMP546" s="500"/>
      <c r="OMQ546" s="500"/>
      <c r="OMR546" s="500"/>
      <c r="OMS546" s="500"/>
      <c r="OMT546" s="500"/>
      <c r="OMU546" s="500"/>
      <c r="OMV546" s="500"/>
      <c r="OMW546" s="500"/>
      <c r="OMX546" s="500"/>
      <c r="OMY546" s="500"/>
      <c r="OMZ546" s="500"/>
      <c r="ONA546" s="500"/>
      <c r="ONB546" s="500"/>
      <c r="ONC546" s="500"/>
      <c r="OND546" s="500"/>
      <c r="ONE546" s="500"/>
      <c r="ONF546" s="500"/>
      <c r="ONG546" s="500"/>
      <c r="ONH546" s="500"/>
      <c r="ONI546" s="500"/>
      <c r="ONJ546" s="500"/>
      <c r="ONK546" s="500"/>
      <c r="ONL546" s="500"/>
      <c r="ONM546" s="500"/>
      <c r="ONN546" s="500"/>
      <c r="ONO546" s="500"/>
      <c r="ONP546" s="500"/>
      <c r="ONQ546" s="500"/>
      <c r="ONR546" s="500"/>
      <c r="ONS546" s="500"/>
      <c r="ONT546" s="500"/>
      <c r="ONU546" s="500"/>
      <c r="ONV546" s="500"/>
      <c r="ONW546" s="500"/>
      <c r="ONX546" s="500"/>
      <c r="ONY546" s="500"/>
      <c r="ONZ546" s="500"/>
      <c r="OOA546" s="500"/>
      <c r="OOB546" s="500"/>
      <c r="OOC546" s="500"/>
      <c r="OOD546" s="500"/>
      <c r="OOE546" s="500"/>
      <c r="OOF546" s="500"/>
      <c r="OOG546" s="500"/>
      <c r="OOH546" s="500"/>
      <c r="OOI546" s="500"/>
      <c r="OOJ546" s="500"/>
      <c r="OOK546" s="500"/>
      <c r="OOL546" s="500"/>
      <c r="OOM546" s="500"/>
      <c r="OON546" s="500"/>
      <c r="OOO546" s="500"/>
      <c r="OOP546" s="500"/>
      <c r="OOQ546" s="500"/>
      <c r="OOR546" s="500"/>
      <c r="OOS546" s="500"/>
      <c r="OOT546" s="500"/>
      <c r="OOU546" s="500"/>
      <c r="OOV546" s="500"/>
      <c r="OOW546" s="500"/>
      <c r="OOX546" s="500"/>
      <c r="OOY546" s="500"/>
      <c r="OOZ546" s="500"/>
      <c r="OPA546" s="500"/>
      <c r="OPB546" s="500"/>
      <c r="OPC546" s="500"/>
      <c r="OPD546" s="500"/>
      <c r="OPE546" s="500"/>
      <c r="OPF546" s="500"/>
      <c r="OPG546" s="500"/>
      <c r="OPH546" s="500"/>
      <c r="OPI546" s="500"/>
      <c r="OPJ546" s="500"/>
      <c r="OPK546" s="500"/>
      <c r="OPL546" s="500"/>
      <c r="OPM546" s="500"/>
      <c r="OPN546" s="500"/>
      <c r="OPO546" s="500"/>
      <c r="OPP546" s="500"/>
      <c r="OPQ546" s="500"/>
      <c r="OPR546" s="500"/>
      <c r="OPS546" s="500"/>
      <c r="OPT546" s="500"/>
      <c r="OPU546" s="500"/>
      <c r="OPV546" s="500"/>
      <c r="OPW546" s="500"/>
      <c r="OPX546" s="500"/>
      <c r="OPY546" s="500"/>
      <c r="OPZ546" s="500"/>
      <c r="OQA546" s="500"/>
      <c r="OQB546" s="500"/>
      <c r="OQC546" s="500"/>
      <c r="OQD546" s="500"/>
      <c r="OQE546" s="500"/>
      <c r="OQF546" s="500"/>
      <c r="OQG546" s="500"/>
      <c r="OQH546" s="500"/>
      <c r="OQI546" s="500"/>
      <c r="OQJ546" s="500"/>
      <c r="OQK546" s="500"/>
      <c r="OQL546" s="500"/>
      <c r="OQM546" s="500"/>
      <c r="OQN546" s="500"/>
      <c r="OQO546" s="500"/>
      <c r="OQP546" s="500"/>
      <c r="OQQ546" s="500"/>
      <c r="OQR546" s="500"/>
      <c r="OQS546" s="500"/>
      <c r="OQT546" s="500"/>
      <c r="OQU546" s="500"/>
      <c r="OQV546" s="500"/>
      <c r="OQW546" s="500"/>
      <c r="OQX546" s="500"/>
      <c r="OQY546" s="500"/>
      <c r="OQZ546" s="500"/>
      <c r="ORA546" s="500"/>
      <c r="ORB546" s="500"/>
      <c r="ORC546" s="500"/>
      <c r="ORD546" s="500"/>
      <c r="ORE546" s="500"/>
      <c r="ORF546" s="500"/>
      <c r="ORG546" s="500"/>
      <c r="ORH546" s="500"/>
      <c r="ORI546" s="500"/>
      <c r="ORJ546" s="500"/>
      <c r="ORK546" s="500"/>
      <c r="ORL546" s="500"/>
      <c r="ORM546" s="500"/>
      <c r="ORN546" s="500"/>
      <c r="ORO546" s="500"/>
      <c r="ORP546" s="500"/>
      <c r="ORQ546" s="500"/>
      <c r="ORR546" s="500"/>
      <c r="ORS546" s="500"/>
      <c r="ORT546" s="500"/>
      <c r="ORU546" s="500"/>
      <c r="ORV546" s="500"/>
      <c r="ORW546" s="500"/>
      <c r="ORX546" s="500"/>
      <c r="ORY546" s="500"/>
      <c r="ORZ546" s="500"/>
      <c r="OSA546" s="500"/>
      <c r="OSB546" s="500"/>
      <c r="OSC546" s="500"/>
      <c r="OSD546" s="500"/>
      <c r="OSE546" s="500"/>
      <c r="OSF546" s="500"/>
      <c r="OSG546" s="500"/>
      <c r="OSH546" s="500"/>
      <c r="OSI546" s="500"/>
      <c r="OSJ546" s="500"/>
      <c r="OSK546" s="500"/>
      <c r="OSL546" s="500"/>
      <c r="OSM546" s="500"/>
      <c r="OSN546" s="500"/>
      <c r="OSO546" s="500"/>
      <c r="OSP546" s="500"/>
      <c r="OSQ546" s="500"/>
      <c r="OSR546" s="500"/>
      <c r="OSS546" s="500"/>
      <c r="OST546" s="500"/>
      <c r="OSU546" s="500"/>
      <c r="OSV546" s="500"/>
      <c r="OSW546" s="500"/>
      <c r="OSX546" s="500"/>
      <c r="OSY546" s="500"/>
      <c r="OSZ546" s="500"/>
      <c r="OTA546" s="500"/>
      <c r="OTB546" s="500"/>
      <c r="OTC546" s="500"/>
      <c r="OTD546" s="500"/>
      <c r="OTE546" s="500"/>
      <c r="OTF546" s="500"/>
      <c r="OTG546" s="500"/>
      <c r="OTH546" s="500"/>
      <c r="OTI546" s="500"/>
      <c r="OTJ546" s="500"/>
      <c r="OTK546" s="500"/>
      <c r="OTL546" s="500"/>
      <c r="OTM546" s="500"/>
      <c r="OTN546" s="500"/>
      <c r="OTO546" s="500"/>
      <c r="OTP546" s="500"/>
      <c r="OTQ546" s="500"/>
      <c r="OTR546" s="500"/>
      <c r="OTS546" s="500"/>
      <c r="OTT546" s="500"/>
      <c r="OTU546" s="500"/>
      <c r="OTV546" s="500"/>
      <c r="OTW546" s="500"/>
      <c r="OTX546" s="500"/>
      <c r="OTY546" s="500"/>
      <c r="OTZ546" s="500"/>
      <c r="OUA546" s="500"/>
      <c r="OUB546" s="500"/>
      <c r="OUC546" s="500"/>
      <c r="OUD546" s="500"/>
      <c r="OUE546" s="500"/>
      <c r="OUF546" s="500"/>
      <c r="OUG546" s="500"/>
      <c r="OUH546" s="500"/>
      <c r="OUI546" s="500"/>
      <c r="OUJ546" s="500"/>
      <c r="OUK546" s="500"/>
      <c r="OUL546" s="500"/>
      <c r="OUM546" s="500"/>
      <c r="OUN546" s="500"/>
      <c r="OUO546" s="500"/>
      <c r="OUP546" s="500"/>
      <c r="OUQ546" s="500"/>
      <c r="OUR546" s="500"/>
      <c r="OUS546" s="500"/>
      <c r="OUT546" s="500"/>
      <c r="OUU546" s="500"/>
      <c r="OUV546" s="500"/>
      <c r="OUW546" s="500"/>
      <c r="OUX546" s="500"/>
      <c r="OUY546" s="500"/>
      <c r="OUZ546" s="500"/>
      <c r="OVA546" s="500"/>
      <c r="OVB546" s="500"/>
      <c r="OVC546" s="500"/>
      <c r="OVD546" s="500"/>
      <c r="OVE546" s="500"/>
      <c r="OVF546" s="500"/>
      <c r="OVG546" s="500"/>
      <c r="OVH546" s="500"/>
      <c r="OVI546" s="500"/>
      <c r="OVJ546" s="500"/>
      <c r="OVK546" s="500"/>
      <c r="OVL546" s="500"/>
      <c r="OVM546" s="500"/>
      <c r="OVN546" s="500"/>
      <c r="OVO546" s="500"/>
      <c r="OVP546" s="500"/>
      <c r="OVQ546" s="500"/>
      <c r="OVR546" s="500"/>
      <c r="OVS546" s="500"/>
      <c r="OVT546" s="500"/>
      <c r="OVU546" s="500"/>
      <c r="OVV546" s="500"/>
      <c r="OVW546" s="500"/>
      <c r="OVX546" s="500"/>
      <c r="OVY546" s="500"/>
      <c r="OVZ546" s="500"/>
      <c r="OWA546" s="500"/>
      <c r="OWB546" s="500"/>
      <c r="OWC546" s="500"/>
      <c r="OWD546" s="500"/>
      <c r="OWE546" s="500"/>
      <c r="OWF546" s="500"/>
      <c r="OWG546" s="500"/>
      <c r="OWH546" s="500"/>
      <c r="OWI546" s="500"/>
      <c r="OWJ546" s="500"/>
      <c r="OWK546" s="500"/>
      <c r="OWL546" s="500"/>
      <c r="OWM546" s="500"/>
      <c r="OWN546" s="500"/>
      <c r="OWO546" s="500"/>
      <c r="OWP546" s="500"/>
      <c r="OWQ546" s="500"/>
      <c r="OWR546" s="500"/>
      <c r="OWS546" s="500"/>
      <c r="OWT546" s="500"/>
      <c r="OWU546" s="500"/>
      <c r="OWV546" s="500"/>
      <c r="OWW546" s="500"/>
      <c r="OWX546" s="500"/>
      <c r="OWY546" s="500"/>
      <c r="OWZ546" s="500"/>
      <c r="OXA546" s="500"/>
      <c r="OXB546" s="500"/>
      <c r="OXC546" s="500"/>
      <c r="OXD546" s="500"/>
      <c r="OXE546" s="500"/>
      <c r="OXF546" s="500"/>
      <c r="OXG546" s="500"/>
      <c r="OXH546" s="500"/>
      <c r="OXI546" s="500"/>
      <c r="OXJ546" s="500"/>
      <c r="OXK546" s="500"/>
      <c r="OXL546" s="500"/>
      <c r="OXM546" s="500"/>
      <c r="OXN546" s="500"/>
      <c r="OXO546" s="500"/>
      <c r="OXP546" s="500"/>
      <c r="OXQ546" s="500"/>
      <c r="OXR546" s="500"/>
      <c r="OXS546" s="500"/>
      <c r="OXT546" s="500"/>
      <c r="OXU546" s="500"/>
      <c r="OXV546" s="500"/>
      <c r="OXW546" s="500"/>
      <c r="OXX546" s="500"/>
      <c r="OXY546" s="500"/>
      <c r="OXZ546" s="500"/>
      <c r="OYA546" s="500"/>
      <c r="OYB546" s="500"/>
      <c r="OYC546" s="500"/>
      <c r="OYD546" s="500"/>
      <c r="OYE546" s="500"/>
      <c r="OYF546" s="500"/>
      <c r="OYG546" s="500"/>
      <c r="OYH546" s="500"/>
      <c r="OYI546" s="500"/>
      <c r="OYJ546" s="500"/>
      <c r="OYK546" s="500"/>
      <c r="OYL546" s="500"/>
      <c r="OYM546" s="500"/>
      <c r="OYN546" s="500"/>
      <c r="OYO546" s="500"/>
      <c r="OYP546" s="500"/>
      <c r="OYQ546" s="500"/>
      <c r="OYR546" s="500"/>
      <c r="OYS546" s="500"/>
      <c r="OYT546" s="500"/>
      <c r="OYU546" s="500"/>
      <c r="OYV546" s="500"/>
      <c r="OYW546" s="500"/>
      <c r="OYX546" s="500"/>
      <c r="OYY546" s="500"/>
      <c r="OYZ546" s="500"/>
      <c r="OZA546" s="500"/>
      <c r="OZB546" s="500"/>
      <c r="OZC546" s="500"/>
      <c r="OZD546" s="500"/>
      <c r="OZE546" s="500"/>
      <c r="OZF546" s="500"/>
      <c r="OZG546" s="500"/>
      <c r="OZH546" s="500"/>
      <c r="OZI546" s="500"/>
      <c r="OZJ546" s="500"/>
      <c r="OZK546" s="500"/>
      <c r="OZL546" s="500"/>
      <c r="OZM546" s="500"/>
      <c r="OZN546" s="500"/>
      <c r="OZO546" s="500"/>
      <c r="OZP546" s="500"/>
      <c r="OZQ546" s="500"/>
      <c r="OZR546" s="500"/>
      <c r="OZS546" s="500"/>
      <c r="OZT546" s="500"/>
      <c r="OZU546" s="500"/>
      <c r="OZV546" s="500"/>
      <c r="OZW546" s="500"/>
      <c r="OZX546" s="500"/>
      <c r="OZY546" s="500"/>
      <c r="OZZ546" s="500"/>
      <c r="PAA546" s="500"/>
      <c r="PAB546" s="500"/>
      <c r="PAC546" s="500"/>
      <c r="PAD546" s="500"/>
      <c r="PAE546" s="500"/>
      <c r="PAF546" s="500"/>
      <c r="PAG546" s="500"/>
      <c r="PAH546" s="500"/>
      <c r="PAI546" s="500"/>
      <c r="PAJ546" s="500"/>
      <c r="PAK546" s="500"/>
      <c r="PAL546" s="500"/>
      <c r="PAM546" s="500"/>
      <c r="PAN546" s="500"/>
      <c r="PAO546" s="500"/>
      <c r="PAP546" s="500"/>
      <c r="PAQ546" s="500"/>
      <c r="PAR546" s="500"/>
      <c r="PAS546" s="500"/>
      <c r="PAT546" s="500"/>
      <c r="PAU546" s="500"/>
      <c r="PAV546" s="500"/>
      <c r="PAW546" s="500"/>
      <c r="PAX546" s="500"/>
      <c r="PAY546" s="500"/>
      <c r="PAZ546" s="500"/>
      <c r="PBA546" s="500"/>
      <c r="PBB546" s="500"/>
      <c r="PBC546" s="500"/>
      <c r="PBD546" s="500"/>
      <c r="PBE546" s="500"/>
      <c r="PBF546" s="500"/>
      <c r="PBG546" s="500"/>
      <c r="PBH546" s="500"/>
      <c r="PBI546" s="500"/>
      <c r="PBJ546" s="500"/>
      <c r="PBK546" s="500"/>
      <c r="PBL546" s="500"/>
      <c r="PBM546" s="500"/>
      <c r="PBN546" s="500"/>
      <c r="PBO546" s="500"/>
      <c r="PBP546" s="500"/>
      <c r="PBQ546" s="500"/>
      <c r="PBR546" s="500"/>
      <c r="PBS546" s="500"/>
      <c r="PBT546" s="500"/>
      <c r="PBU546" s="500"/>
      <c r="PBV546" s="500"/>
      <c r="PBW546" s="500"/>
      <c r="PBX546" s="500"/>
      <c r="PBY546" s="500"/>
      <c r="PBZ546" s="500"/>
      <c r="PCA546" s="500"/>
      <c r="PCB546" s="500"/>
      <c r="PCC546" s="500"/>
      <c r="PCD546" s="500"/>
      <c r="PCE546" s="500"/>
      <c r="PCF546" s="500"/>
      <c r="PCG546" s="500"/>
      <c r="PCH546" s="500"/>
      <c r="PCI546" s="500"/>
      <c r="PCJ546" s="500"/>
      <c r="PCK546" s="500"/>
      <c r="PCL546" s="500"/>
      <c r="PCM546" s="500"/>
      <c r="PCN546" s="500"/>
      <c r="PCO546" s="500"/>
      <c r="PCP546" s="500"/>
      <c r="PCQ546" s="500"/>
      <c r="PCR546" s="500"/>
      <c r="PCS546" s="500"/>
      <c r="PCT546" s="500"/>
      <c r="PCU546" s="500"/>
      <c r="PCV546" s="500"/>
      <c r="PCW546" s="500"/>
      <c r="PCX546" s="500"/>
      <c r="PCY546" s="500"/>
      <c r="PCZ546" s="500"/>
      <c r="PDA546" s="500"/>
      <c r="PDB546" s="500"/>
      <c r="PDC546" s="500"/>
      <c r="PDD546" s="500"/>
      <c r="PDE546" s="500"/>
      <c r="PDF546" s="500"/>
      <c r="PDG546" s="500"/>
      <c r="PDH546" s="500"/>
      <c r="PDI546" s="500"/>
      <c r="PDJ546" s="500"/>
      <c r="PDK546" s="500"/>
      <c r="PDL546" s="500"/>
      <c r="PDM546" s="500"/>
      <c r="PDN546" s="500"/>
      <c r="PDO546" s="500"/>
      <c r="PDP546" s="500"/>
      <c r="PDQ546" s="500"/>
      <c r="PDR546" s="500"/>
      <c r="PDS546" s="500"/>
      <c r="PDT546" s="500"/>
      <c r="PDU546" s="500"/>
      <c r="PDV546" s="500"/>
      <c r="PDW546" s="500"/>
      <c r="PDX546" s="500"/>
      <c r="PDY546" s="500"/>
      <c r="PDZ546" s="500"/>
      <c r="PEA546" s="500"/>
      <c r="PEB546" s="500"/>
      <c r="PEC546" s="500"/>
      <c r="PED546" s="500"/>
      <c r="PEE546" s="500"/>
      <c r="PEF546" s="500"/>
      <c r="PEG546" s="500"/>
      <c r="PEH546" s="500"/>
      <c r="PEI546" s="500"/>
      <c r="PEJ546" s="500"/>
      <c r="PEK546" s="500"/>
      <c r="PEL546" s="500"/>
      <c r="PEM546" s="500"/>
      <c r="PEN546" s="500"/>
      <c r="PEO546" s="500"/>
      <c r="PEP546" s="500"/>
      <c r="PEQ546" s="500"/>
      <c r="PER546" s="500"/>
      <c r="PES546" s="500"/>
      <c r="PET546" s="500"/>
      <c r="PEU546" s="500"/>
      <c r="PEV546" s="500"/>
      <c r="PEW546" s="500"/>
      <c r="PEX546" s="500"/>
      <c r="PEY546" s="500"/>
      <c r="PEZ546" s="500"/>
      <c r="PFA546" s="500"/>
      <c r="PFB546" s="500"/>
      <c r="PFC546" s="500"/>
      <c r="PFD546" s="500"/>
      <c r="PFE546" s="500"/>
      <c r="PFF546" s="500"/>
      <c r="PFG546" s="500"/>
      <c r="PFH546" s="500"/>
      <c r="PFI546" s="500"/>
      <c r="PFJ546" s="500"/>
      <c r="PFK546" s="500"/>
      <c r="PFL546" s="500"/>
      <c r="PFM546" s="500"/>
      <c r="PFN546" s="500"/>
      <c r="PFO546" s="500"/>
      <c r="PFP546" s="500"/>
      <c r="PFQ546" s="500"/>
      <c r="PFR546" s="500"/>
      <c r="PFS546" s="500"/>
      <c r="PFT546" s="500"/>
      <c r="PFU546" s="500"/>
      <c r="PFV546" s="500"/>
      <c r="PFW546" s="500"/>
      <c r="PFX546" s="500"/>
      <c r="PFY546" s="500"/>
      <c r="PFZ546" s="500"/>
      <c r="PGA546" s="500"/>
      <c r="PGB546" s="500"/>
      <c r="PGC546" s="500"/>
      <c r="PGD546" s="500"/>
      <c r="PGE546" s="500"/>
      <c r="PGF546" s="500"/>
      <c r="PGG546" s="500"/>
      <c r="PGH546" s="500"/>
      <c r="PGI546" s="500"/>
      <c r="PGJ546" s="500"/>
      <c r="PGK546" s="500"/>
      <c r="PGL546" s="500"/>
      <c r="PGM546" s="500"/>
      <c r="PGN546" s="500"/>
      <c r="PGO546" s="500"/>
      <c r="PGP546" s="500"/>
      <c r="PGQ546" s="500"/>
      <c r="PGR546" s="500"/>
      <c r="PGS546" s="500"/>
      <c r="PGT546" s="500"/>
      <c r="PGU546" s="500"/>
      <c r="PGV546" s="500"/>
      <c r="PGW546" s="500"/>
      <c r="PGX546" s="500"/>
      <c r="PGY546" s="500"/>
      <c r="PGZ546" s="500"/>
      <c r="PHA546" s="500"/>
      <c r="PHB546" s="500"/>
      <c r="PHC546" s="500"/>
      <c r="PHD546" s="500"/>
      <c r="PHE546" s="500"/>
      <c r="PHF546" s="500"/>
      <c r="PHG546" s="500"/>
      <c r="PHH546" s="500"/>
      <c r="PHI546" s="500"/>
      <c r="PHJ546" s="500"/>
      <c r="PHK546" s="500"/>
      <c r="PHL546" s="500"/>
      <c r="PHM546" s="500"/>
      <c r="PHN546" s="500"/>
      <c r="PHO546" s="500"/>
      <c r="PHP546" s="500"/>
      <c r="PHQ546" s="500"/>
      <c r="PHR546" s="500"/>
      <c r="PHS546" s="500"/>
      <c r="PHT546" s="500"/>
      <c r="PHU546" s="500"/>
      <c r="PHV546" s="500"/>
      <c r="PHW546" s="500"/>
      <c r="PHX546" s="500"/>
      <c r="PHY546" s="500"/>
      <c r="PHZ546" s="500"/>
      <c r="PIA546" s="500"/>
      <c r="PIB546" s="500"/>
      <c r="PIC546" s="500"/>
      <c r="PID546" s="500"/>
      <c r="PIE546" s="500"/>
      <c r="PIF546" s="500"/>
      <c r="PIG546" s="500"/>
      <c r="PIH546" s="500"/>
      <c r="PII546" s="500"/>
      <c r="PIJ546" s="500"/>
      <c r="PIK546" s="500"/>
      <c r="PIL546" s="500"/>
      <c r="PIM546" s="500"/>
      <c r="PIN546" s="500"/>
      <c r="PIO546" s="500"/>
      <c r="PIP546" s="500"/>
      <c r="PIQ546" s="500"/>
      <c r="PIR546" s="500"/>
      <c r="PIS546" s="500"/>
      <c r="PIT546" s="500"/>
      <c r="PIU546" s="500"/>
      <c r="PIV546" s="500"/>
      <c r="PIW546" s="500"/>
      <c r="PIX546" s="500"/>
      <c r="PIY546" s="500"/>
      <c r="PIZ546" s="500"/>
      <c r="PJA546" s="500"/>
      <c r="PJB546" s="500"/>
      <c r="PJC546" s="500"/>
      <c r="PJD546" s="500"/>
      <c r="PJE546" s="500"/>
      <c r="PJF546" s="500"/>
      <c r="PJG546" s="500"/>
      <c r="PJH546" s="500"/>
      <c r="PJI546" s="500"/>
      <c r="PJJ546" s="500"/>
      <c r="PJK546" s="500"/>
      <c r="PJL546" s="500"/>
      <c r="PJM546" s="500"/>
      <c r="PJN546" s="500"/>
      <c r="PJO546" s="500"/>
      <c r="PJP546" s="500"/>
      <c r="PJQ546" s="500"/>
      <c r="PJR546" s="500"/>
      <c r="PJS546" s="500"/>
      <c r="PJT546" s="500"/>
      <c r="PJU546" s="500"/>
      <c r="PJV546" s="500"/>
      <c r="PJW546" s="500"/>
      <c r="PJX546" s="500"/>
      <c r="PJY546" s="500"/>
      <c r="PJZ546" s="500"/>
      <c r="PKA546" s="500"/>
      <c r="PKB546" s="500"/>
      <c r="PKC546" s="500"/>
      <c r="PKD546" s="500"/>
      <c r="PKE546" s="500"/>
      <c r="PKF546" s="500"/>
      <c r="PKG546" s="500"/>
      <c r="PKH546" s="500"/>
      <c r="PKI546" s="500"/>
      <c r="PKJ546" s="500"/>
      <c r="PKK546" s="500"/>
      <c r="PKL546" s="500"/>
      <c r="PKM546" s="500"/>
      <c r="PKN546" s="500"/>
      <c r="PKO546" s="500"/>
      <c r="PKP546" s="500"/>
      <c r="PKQ546" s="500"/>
      <c r="PKR546" s="500"/>
      <c r="PKS546" s="500"/>
      <c r="PKT546" s="500"/>
      <c r="PKU546" s="500"/>
      <c r="PKV546" s="500"/>
      <c r="PKW546" s="500"/>
      <c r="PKX546" s="500"/>
      <c r="PKY546" s="500"/>
      <c r="PKZ546" s="500"/>
      <c r="PLA546" s="500"/>
      <c r="PLB546" s="500"/>
      <c r="PLC546" s="500"/>
      <c r="PLD546" s="500"/>
      <c r="PLE546" s="500"/>
      <c r="PLF546" s="500"/>
      <c r="PLG546" s="500"/>
      <c r="PLH546" s="500"/>
      <c r="PLI546" s="500"/>
      <c r="PLJ546" s="500"/>
      <c r="PLK546" s="500"/>
      <c r="PLL546" s="500"/>
      <c r="PLM546" s="500"/>
      <c r="PLN546" s="500"/>
      <c r="PLO546" s="500"/>
      <c r="PLP546" s="500"/>
      <c r="PLQ546" s="500"/>
      <c r="PLR546" s="500"/>
      <c r="PLS546" s="500"/>
      <c r="PLT546" s="500"/>
      <c r="PLU546" s="500"/>
      <c r="PLV546" s="500"/>
      <c r="PLW546" s="500"/>
      <c r="PLX546" s="500"/>
      <c r="PLY546" s="500"/>
      <c r="PLZ546" s="500"/>
      <c r="PMA546" s="500"/>
      <c r="PMB546" s="500"/>
      <c r="PMC546" s="500"/>
      <c r="PMD546" s="500"/>
      <c r="PME546" s="500"/>
      <c r="PMF546" s="500"/>
      <c r="PMG546" s="500"/>
      <c r="PMH546" s="500"/>
      <c r="PMI546" s="500"/>
      <c r="PMJ546" s="500"/>
      <c r="PMK546" s="500"/>
      <c r="PML546" s="500"/>
      <c r="PMM546" s="500"/>
      <c r="PMN546" s="500"/>
      <c r="PMO546" s="500"/>
      <c r="PMP546" s="500"/>
      <c r="PMQ546" s="500"/>
      <c r="PMR546" s="500"/>
      <c r="PMS546" s="500"/>
      <c r="PMT546" s="500"/>
      <c r="PMU546" s="500"/>
      <c r="PMV546" s="500"/>
      <c r="PMW546" s="500"/>
      <c r="PMX546" s="500"/>
      <c r="PMY546" s="500"/>
      <c r="PMZ546" s="500"/>
      <c r="PNA546" s="500"/>
      <c r="PNB546" s="500"/>
      <c r="PNC546" s="500"/>
      <c r="PND546" s="500"/>
      <c r="PNE546" s="500"/>
      <c r="PNF546" s="500"/>
      <c r="PNG546" s="500"/>
      <c r="PNH546" s="500"/>
      <c r="PNI546" s="500"/>
      <c r="PNJ546" s="500"/>
      <c r="PNK546" s="500"/>
      <c r="PNL546" s="500"/>
      <c r="PNM546" s="500"/>
      <c r="PNN546" s="500"/>
      <c r="PNO546" s="500"/>
      <c r="PNP546" s="500"/>
      <c r="PNQ546" s="500"/>
      <c r="PNR546" s="500"/>
      <c r="PNS546" s="500"/>
      <c r="PNT546" s="500"/>
      <c r="PNU546" s="500"/>
      <c r="PNV546" s="500"/>
      <c r="PNW546" s="500"/>
      <c r="PNX546" s="500"/>
      <c r="PNY546" s="500"/>
      <c r="PNZ546" s="500"/>
      <c r="POA546" s="500"/>
      <c r="POB546" s="500"/>
      <c r="POC546" s="500"/>
      <c r="POD546" s="500"/>
      <c r="POE546" s="500"/>
      <c r="POF546" s="500"/>
      <c r="POG546" s="500"/>
      <c r="POH546" s="500"/>
      <c r="POI546" s="500"/>
      <c r="POJ546" s="500"/>
      <c r="POK546" s="500"/>
      <c r="POL546" s="500"/>
      <c r="POM546" s="500"/>
      <c r="PON546" s="500"/>
      <c r="POO546" s="500"/>
      <c r="POP546" s="500"/>
      <c r="POQ546" s="500"/>
      <c r="POR546" s="500"/>
      <c r="POS546" s="500"/>
      <c r="POT546" s="500"/>
      <c r="POU546" s="500"/>
      <c r="POV546" s="500"/>
      <c r="POW546" s="500"/>
      <c r="POX546" s="500"/>
      <c r="POY546" s="500"/>
      <c r="POZ546" s="500"/>
      <c r="PPA546" s="500"/>
      <c r="PPB546" s="500"/>
      <c r="PPC546" s="500"/>
      <c r="PPD546" s="500"/>
      <c r="PPE546" s="500"/>
      <c r="PPF546" s="500"/>
      <c r="PPG546" s="500"/>
      <c r="PPH546" s="500"/>
      <c r="PPI546" s="500"/>
      <c r="PPJ546" s="500"/>
      <c r="PPK546" s="500"/>
      <c r="PPL546" s="500"/>
      <c r="PPM546" s="500"/>
      <c r="PPN546" s="500"/>
      <c r="PPO546" s="500"/>
      <c r="PPP546" s="500"/>
      <c r="PPQ546" s="500"/>
      <c r="PPR546" s="500"/>
      <c r="PPS546" s="500"/>
      <c r="PPT546" s="500"/>
      <c r="PPU546" s="500"/>
      <c r="PPV546" s="500"/>
      <c r="PPW546" s="500"/>
      <c r="PPX546" s="500"/>
      <c r="PPY546" s="500"/>
      <c r="PPZ546" s="500"/>
      <c r="PQA546" s="500"/>
      <c r="PQB546" s="500"/>
      <c r="PQC546" s="500"/>
      <c r="PQD546" s="500"/>
      <c r="PQE546" s="500"/>
      <c r="PQF546" s="500"/>
      <c r="PQG546" s="500"/>
      <c r="PQH546" s="500"/>
      <c r="PQI546" s="500"/>
      <c r="PQJ546" s="500"/>
      <c r="PQK546" s="500"/>
      <c r="PQL546" s="500"/>
      <c r="PQM546" s="500"/>
      <c r="PQN546" s="500"/>
      <c r="PQO546" s="500"/>
      <c r="PQP546" s="500"/>
      <c r="PQQ546" s="500"/>
      <c r="PQR546" s="500"/>
      <c r="PQS546" s="500"/>
      <c r="PQT546" s="500"/>
      <c r="PQU546" s="500"/>
      <c r="PQV546" s="500"/>
      <c r="PQW546" s="500"/>
      <c r="PQX546" s="500"/>
      <c r="PQY546" s="500"/>
      <c r="PQZ546" s="500"/>
      <c r="PRA546" s="500"/>
      <c r="PRB546" s="500"/>
      <c r="PRC546" s="500"/>
      <c r="PRD546" s="500"/>
      <c r="PRE546" s="500"/>
      <c r="PRF546" s="500"/>
      <c r="PRG546" s="500"/>
      <c r="PRH546" s="500"/>
      <c r="PRI546" s="500"/>
      <c r="PRJ546" s="500"/>
      <c r="PRK546" s="500"/>
      <c r="PRL546" s="500"/>
      <c r="PRM546" s="500"/>
      <c r="PRN546" s="500"/>
      <c r="PRO546" s="500"/>
      <c r="PRP546" s="500"/>
      <c r="PRQ546" s="500"/>
      <c r="PRR546" s="500"/>
      <c r="PRS546" s="500"/>
      <c r="PRT546" s="500"/>
      <c r="PRU546" s="500"/>
      <c r="PRV546" s="500"/>
      <c r="PRW546" s="500"/>
      <c r="PRX546" s="500"/>
      <c r="PRY546" s="500"/>
      <c r="PRZ546" s="500"/>
      <c r="PSA546" s="500"/>
      <c r="PSB546" s="500"/>
      <c r="PSC546" s="500"/>
      <c r="PSD546" s="500"/>
      <c r="PSE546" s="500"/>
      <c r="PSF546" s="500"/>
      <c r="PSG546" s="500"/>
      <c r="PSH546" s="500"/>
      <c r="PSI546" s="500"/>
      <c r="PSJ546" s="500"/>
      <c r="PSK546" s="500"/>
      <c r="PSL546" s="500"/>
      <c r="PSM546" s="500"/>
      <c r="PSN546" s="500"/>
      <c r="PSO546" s="500"/>
      <c r="PSP546" s="500"/>
      <c r="PSQ546" s="500"/>
      <c r="PSR546" s="500"/>
      <c r="PSS546" s="500"/>
      <c r="PST546" s="500"/>
      <c r="PSU546" s="500"/>
      <c r="PSV546" s="500"/>
      <c r="PSW546" s="500"/>
      <c r="PSX546" s="500"/>
      <c r="PSY546" s="500"/>
      <c r="PSZ546" s="500"/>
      <c r="PTA546" s="500"/>
      <c r="PTB546" s="500"/>
      <c r="PTC546" s="500"/>
      <c r="PTD546" s="500"/>
      <c r="PTE546" s="500"/>
      <c r="PTF546" s="500"/>
      <c r="PTG546" s="500"/>
      <c r="PTH546" s="500"/>
      <c r="PTI546" s="500"/>
      <c r="PTJ546" s="500"/>
      <c r="PTK546" s="500"/>
      <c r="PTL546" s="500"/>
      <c r="PTM546" s="500"/>
      <c r="PTN546" s="500"/>
      <c r="PTO546" s="500"/>
      <c r="PTP546" s="500"/>
      <c r="PTQ546" s="500"/>
      <c r="PTR546" s="500"/>
      <c r="PTS546" s="500"/>
      <c r="PTT546" s="500"/>
      <c r="PTU546" s="500"/>
      <c r="PTV546" s="500"/>
      <c r="PTW546" s="500"/>
      <c r="PTX546" s="500"/>
      <c r="PTY546" s="500"/>
      <c r="PTZ546" s="500"/>
      <c r="PUA546" s="500"/>
      <c r="PUB546" s="500"/>
      <c r="PUC546" s="500"/>
      <c r="PUD546" s="500"/>
      <c r="PUE546" s="500"/>
      <c r="PUF546" s="500"/>
      <c r="PUG546" s="500"/>
      <c r="PUH546" s="500"/>
      <c r="PUI546" s="500"/>
      <c r="PUJ546" s="500"/>
      <c r="PUK546" s="500"/>
      <c r="PUL546" s="500"/>
      <c r="PUM546" s="500"/>
      <c r="PUN546" s="500"/>
      <c r="PUO546" s="500"/>
      <c r="PUP546" s="500"/>
      <c r="PUQ546" s="500"/>
      <c r="PUR546" s="500"/>
      <c r="PUS546" s="500"/>
      <c r="PUT546" s="500"/>
      <c r="PUU546" s="500"/>
      <c r="PUV546" s="500"/>
      <c r="PUW546" s="500"/>
      <c r="PUX546" s="500"/>
      <c r="PUY546" s="500"/>
      <c r="PUZ546" s="500"/>
      <c r="PVA546" s="500"/>
      <c r="PVB546" s="500"/>
      <c r="PVC546" s="500"/>
      <c r="PVD546" s="500"/>
      <c r="PVE546" s="500"/>
      <c r="PVF546" s="500"/>
      <c r="PVG546" s="500"/>
      <c r="PVH546" s="500"/>
      <c r="PVI546" s="500"/>
      <c r="PVJ546" s="500"/>
      <c r="PVK546" s="500"/>
      <c r="PVL546" s="500"/>
      <c r="PVM546" s="500"/>
      <c r="PVN546" s="500"/>
      <c r="PVO546" s="500"/>
      <c r="PVP546" s="500"/>
      <c r="PVQ546" s="500"/>
      <c r="PVR546" s="500"/>
      <c r="PVS546" s="500"/>
      <c r="PVT546" s="500"/>
      <c r="PVU546" s="500"/>
      <c r="PVV546" s="500"/>
      <c r="PVW546" s="500"/>
      <c r="PVX546" s="500"/>
      <c r="PVY546" s="500"/>
      <c r="PVZ546" s="500"/>
      <c r="PWA546" s="500"/>
      <c r="PWB546" s="500"/>
      <c r="PWC546" s="500"/>
      <c r="PWD546" s="500"/>
      <c r="PWE546" s="500"/>
      <c r="PWF546" s="500"/>
      <c r="PWG546" s="500"/>
      <c r="PWH546" s="500"/>
      <c r="PWI546" s="500"/>
      <c r="PWJ546" s="500"/>
      <c r="PWK546" s="500"/>
      <c r="PWL546" s="500"/>
      <c r="PWM546" s="500"/>
      <c r="PWN546" s="500"/>
      <c r="PWO546" s="500"/>
      <c r="PWP546" s="500"/>
      <c r="PWQ546" s="500"/>
      <c r="PWR546" s="500"/>
      <c r="PWS546" s="500"/>
      <c r="PWT546" s="500"/>
      <c r="PWU546" s="500"/>
      <c r="PWV546" s="500"/>
      <c r="PWW546" s="500"/>
      <c r="PWX546" s="500"/>
      <c r="PWY546" s="500"/>
      <c r="PWZ546" s="500"/>
      <c r="PXA546" s="500"/>
      <c r="PXB546" s="500"/>
      <c r="PXC546" s="500"/>
      <c r="PXD546" s="500"/>
      <c r="PXE546" s="500"/>
      <c r="PXF546" s="500"/>
      <c r="PXG546" s="500"/>
      <c r="PXH546" s="500"/>
      <c r="PXI546" s="500"/>
      <c r="PXJ546" s="500"/>
      <c r="PXK546" s="500"/>
      <c r="PXL546" s="500"/>
      <c r="PXM546" s="500"/>
      <c r="PXN546" s="500"/>
      <c r="PXO546" s="500"/>
      <c r="PXP546" s="500"/>
      <c r="PXQ546" s="500"/>
      <c r="PXR546" s="500"/>
      <c r="PXS546" s="500"/>
      <c r="PXT546" s="500"/>
      <c r="PXU546" s="500"/>
      <c r="PXV546" s="500"/>
      <c r="PXW546" s="500"/>
      <c r="PXX546" s="500"/>
      <c r="PXY546" s="500"/>
      <c r="PXZ546" s="500"/>
      <c r="PYA546" s="500"/>
      <c r="PYB546" s="500"/>
      <c r="PYC546" s="500"/>
      <c r="PYD546" s="500"/>
      <c r="PYE546" s="500"/>
      <c r="PYF546" s="500"/>
      <c r="PYG546" s="500"/>
      <c r="PYH546" s="500"/>
      <c r="PYI546" s="500"/>
      <c r="PYJ546" s="500"/>
      <c r="PYK546" s="500"/>
      <c r="PYL546" s="500"/>
      <c r="PYM546" s="500"/>
      <c r="PYN546" s="500"/>
      <c r="PYO546" s="500"/>
      <c r="PYP546" s="500"/>
      <c r="PYQ546" s="500"/>
      <c r="PYR546" s="500"/>
      <c r="PYS546" s="500"/>
      <c r="PYT546" s="500"/>
      <c r="PYU546" s="500"/>
      <c r="PYV546" s="500"/>
      <c r="PYW546" s="500"/>
      <c r="PYX546" s="500"/>
      <c r="PYY546" s="500"/>
      <c r="PYZ546" s="500"/>
      <c r="PZA546" s="500"/>
      <c r="PZB546" s="500"/>
      <c r="PZC546" s="500"/>
      <c r="PZD546" s="500"/>
      <c r="PZE546" s="500"/>
      <c r="PZF546" s="500"/>
      <c r="PZG546" s="500"/>
      <c r="PZH546" s="500"/>
      <c r="PZI546" s="500"/>
      <c r="PZJ546" s="500"/>
      <c r="PZK546" s="500"/>
      <c r="PZL546" s="500"/>
      <c r="PZM546" s="500"/>
      <c r="PZN546" s="500"/>
      <c r="PZO546" s="500"/>
      <c r="PZP546" s="500"/>
      <c r="PZQ546" s="500"/>
      <c r="PZR546" s="500"/>
      <c r="PZS546" s="500"/>
      <c r="PZT546" s="500"/>
      <c r="PZU546" s="500"/>
      <c r="PZV546" s="500"/>
      <c r="PZW546" s="500"/>
      <c r="PZX546" s="500"/>
      <c r="PZY546" s="500"/>
      <c r="PZZ546" s="500"/>
      <c r="QAA546" s="500"/>
      <c r="QAB546" s="500"/>
      <c r="QAC546" s="500"/>
      <c r="QAD546" s="500"/>
      <c r="QAE546" s="500"/>
      <c r="QAF546" s="500"/>
      <c r="QAG546" s="500"/>
      <c r="QAH546" s="500"/>
      <c r="QAI546" s="500"/>
      <c r="QAJ546" s="500"/>
      <c r="QAK546" s="500"/>
      <c r="QAL546" s="500"/>
      <c r="QAM546" s="500"/>
      <c r="QAN546" s="500"/>
      <c r="QAO546" s="500"/>
      <c r="QAP546" s="500"/>
      <c r="QAQ546" s="500"/>
      <c r="QAR546" s="500"/>
      <c r="QAS546" s="500"/>
      <c r="QAT546" s="500"/>
      <c r="QAU546" s="500"/>
      <c r="QAV546" s="500"/>
      <c r="QAW546" s="500"/>
      <c r="QAX546" s="500"/>
      <c r="QAY546" s="500"/>
      <c r="QAZ546" s="500"/>
      <c r="QBA546" s="500"/>
      <c r="QBB546" s="500"/>
      <c r="QBC546" s="500"/>
      <c r="QBD546" s="500"/>
      <c r="QBE546" s="500"/>
      <c r="QBF546" s="500"/>
      <c r="QBG546" s="500"/>
      <c r="QBH546" s="500"/>
      <c r="QBI546" s="500"/>
      <c r="QBJ546" s="500"/>
      <c r="QBK546" s="500"/>
      <c r="QBL546" s="500"/>
      <c r="QBM546" s="500"/>
      <c r="QBN546" s="500"/>
      <c r="QBO546" s="500"/>
      <c r="QBP546" s="500"/>
      <c r="QBQ546" s="500"/>
      <c r="QBR546" s="500"/>
      <c r="QBS546" s="500"/>
      <c r="QBT546" s="500"/>
      <c r="QBU546" s="500"/>
      <c r="QBV546" s="500"/>
      <c r="QBW546" s="500"/>
      <c r="QBX546" s="500"/>
      <c r="QBY546" s="500"/>
      <c r="QBZ546" s="500"/>
      <c r="QCA546" s="500"/>
      <c r="QCB546" s="500"/>
      <c r="QCC546" s="500"/>
      <c r="QCD546" s="500"/>
      <c r="QCE546" s="500"/>
      <c r="QCF546" s="500"/>
      <c r="QCG546" s="500"/>
      <c r="QCH546" s="500"/>
      <c r="QCI546" s="500"/>
      <c r="QCJ546" s="500"/>
      <c r="QCK546" s="500"/>
      <c r="QCL546" s="500"/>
      <c r="QCM546" s="500"/>
      <c r="QCN546" s="500"/>
      <c r="QCO546" s="500"/>
      <c r="QCP546" s="500"/>
      <c r="QCQ546" s="500"/>
      <c r="QCR546" s="500"/>
      <c r="QCS546" s="500"/>
      <c r="QCT546" s="500"/>
      <c r="QCU546" s="500"/>
      <c r="QCV546" s="500"/>
      <c r="QCW546" s="500"/>
      <c r="QCX546" s="500"/>
      <c r="QCY546" s="500"/>
      <c r="QCZ546" s="500"/>
      <c r="QDA546" s="500"/>
      <c r="QDB546" s="500"/>
      <c r="QDC546" s="500"/>
      <c r="QDD546" s="500"/>
      <c r="QDE546" s="500"/>
      <c r="QDF546" s="500"/>
      <c r="QDG546" s="500"/>
      <c r="QDH546" s="500"/>
      <c r="QDI546" s="500"/>
      <c r="QDJ546" s="500"/>
      <c r="QDK546" s="500"/>
      <c r="QDL546" s="500"/>
      <c r="QDM546" s="500"/>
      <c r="QDN546" s="500"/>
      <c r="QDO546" s="500"/>
      <c r="QDP546" s="500"/>
      <c r="QDQ546" s="500"/>
      <c r="QDR546" s="500"/>
      <c r="QDS546" s="500"/>
      <c r="QDT546" s="500"/>
      <c r="QDU546" s="500"/>
      <c r="QDV546" s="500"/>
      <c r="QDW546" s="500"/>
      <c r="QDX546" s="500"/>
      <c r="QDY546" s="500"/>
      <c r="QDZ546" s="500"/>
      <c r="QEA546" s="500"/>
      <c r="QEB546" s="500"/>
      <c r="QEC546" s="500"/>
      <c r="QED546" s="500"/>
      <c r="QEE546" s="500"/>
      <c r="QEF546" s="500"/>
      <c r="QEG546" s="500"/>
      <c r="QEH546" s="500"/>
      <c r="QEI546" s="500"/>
      <c r="QEJ546" s="500"/>
      <c r="QEK546" s="500"/>
      <c r="QEL546" s="500"/>
      <c r="QEM546" s="500"/>
      <c r="QEN546" s="500"/>
      <c r="QEO546" s="500"/>
      <c r="QEP546" s="500"/>
      <c r="QEQ546" s="500"/>
      <c r="QER546" s="500"/>
      <c r="QES546" s="500"/>
      <c r="QET546" s="500"/>
      <c r="QEU546" s="500"/>
      <c r="QEV546" s="500"/>
      <c r="QEW546" s="500"/>
      <c r="QEX546" s="500"/>
      <c r="QEY546" s="500"/>
      <c r="QEZ546" s="500"/>
      <c r="QFA546" s="500"/>
      <c r="QFB546" s="500"/>
      <c r="QFC546" s="500"/>
      <c r="QFD546" s="500"/>
      <c r="QFE546" s="500"/>
      <c r="QFF546" s="500"/>
      <c r="QFG546" s="500"/>
      <c r="QFH546" s="500"/>
      <c r="QFI546" s="500"/>
      <c r="QFJ546" s="500"/>
      <c r="QFK546" s="500"/>
      <c r="QFL546" s="500"/>
      <c r="QFM546" s="500"/>
      <c r="QFN546" s="500"/>
      <c r="QFO546" s="500"/>
      <c r="QFP546" s="500"/>
      <c r="QFQ546" s="500"/>
      <c r="QFR546" s="500"/>
      <c r="QFS546" s="500"/>
      <c r="QFT546" s="500"/>
      <c r="QFU546" s="500"/>
      <c r="QFV546" s="500"/>
      <c r="QFW546" s="500"/>
      <c r="QFX546" s="500"/>
      <c r="QFY546" s="500"/>
      <c r="QFZ546" s="500"/>
      <c r="QGA546" s="500"/>
      <c r="QGB546" s="500"/>
      <c r="QGC546" s="500"/>
      <c r="QGD546" s="500"/>
      <c r="QGE546" s="500"/>
      <c r="QGF546" s="500"/>
      <c r="QGG546" s="500"/>
      <c r="QGH546" s="500"/>
      <c r="QGI546" s="500"/>
      <c r="QGJ546" s="500"/>
      <c r="QGK546" s="500"/>
      <c r="QGL546" s="500"/>
      <c r="QGM546" s="500"/>
      <c r="QGN546" s="500"/>
      <c r="QGO546" s="500"/>
      <c r="QGP546" s="500"/>
      <c r="QGQ546" s="500"/>
      <c r="QGR546" s="500"/>
      <c r="QGS546" s="500"/>
      <c r="QGT546" s="500"/>
      <c r="QGU546" s="500"/>
      <c r="QGV546" s="500"/>
      <c r="QGW546" s="500"/>
      <c r="QGX546" s="500"/>
      <c r="QGY546" s="500"/>
      <c r="QGZ546" s="500"/>
      <c r="QHA546" s="500"/>
      <c r="QHB546" s="500"/>
      <c r="QHC546" s="500"/>
      <c r="QHD546" s="500"/>
      <c r="QHE546" s="500"/>
      <c r="QHF546" s="500"/>
      <c r="QHG546" s="500"/>
      <c r="QHH546" s="500"/>
      <c r="QHI546" s="500"/>
      <c r="QHJ546" s="500"/>
      <c r="QHK546" s="500"/>
      <c r="QHL546" s="500"/>
      <c r="QHM546" s="500"/>
      <c r="QHN546" s="500"/>
      <c r="QHO546" s="500"/>
      <c r="QHP546" s="500"/>
      <c r="QHQ546" s="500"/>
      <c r="QHR546" s="500"/>
      <c r="QHS546" s="500"/>
      <c r="QHT546" s="500"/>
      <c r="QHU546" s="500"/>
      <c r="QHV546" s="500"/>
      <c r="QHW546" s="500"/>
      <c r="QHX546" s="500"/>
      <c r="QHY546" s="500"/>
      <c r="QHZ546" s="500"/>
      <c r="QIA546" s="500"/>
      <c r="QIB546" s="500"/>
      <c r="QIC546" s="500"/>
      <c r="QID546" s="500"/>
      <c r="QIE546" s="500"/>
      <c r="QIF546" s="500"/>
      <c r="QIG546" s="500"/>
      <c r="QIH546" s="500"/>
      <c r="QII546" s="500"/>
      <c r="QIJ546" s="500"/>
      <c r="QIK546" s="500"/>
      <c r="QIL546" s="500"/>
      <c r="QIM546" s="500"/>
      <c r="QIN546" s="500"/>
      <c r="QIO546" s="500"/>
      <c r="QIP546" s="500"/>
      <c r="QIQ546" s="500"/>
      <c r="QIR546" s="500"/>
      <c r="QIS546" s="500"/>
      <c r="QIT546" s="500"/>
      <c r="QIU546" s="500"/>
      <c r="QIV546" s="500"/>
      <c r="QIW546" s="500"/>
      <c r="QIX546" s="500"/>
      <c r="QIY546" s="500"/>
      <c r="QIZ546" s="500"/>
      <c r="QJA546" s="500"/>
      <c r="QJB546" s="500"/>
      <c r="QJC546" s="500"/>
      <c r="QJD546" s="500"/>
      <c r="QJE546" s="500"/>
      <c r="QJF546" s="500"/>
      <c r="QJG546" s="500"/>
      <c r="QJH546" s="500"/>
      <c r="QJI546" s="500"/>
      <c r="QJJ546" s="500"/>
      <c r="QJK546" s="500"/>
      <c r="QJL546" s="500"/>
      <c r="QJM546" s="500"/>
      <c r="QJN546" s="500"/>
      <c r="QJO546" s="500"/>
      <c r="QJP546" s="500"/>
      <c r="QJQ546" s="500"/>
      <c r="QJR546" s="500"/>
      <c r="QJS546" s="500"/>
      <c r="QJT546" s="500"/>
      <c r="QJU546" s="500"/>
      <c r="QJV546" s="500"/>
      <c r="QJW546" s="500"/>
      <c r="QJX546" s="500"/>
      <c r="QJY546" s="500"/>
      <c r="QJZ546" s="500"/>
      <c r="QKA546" s="500"/>
      <c r="QKB546" s="500"/>
      <c r="QKC546" s="500"/>
      <c r="QKD546" s="500"/>
      <c r="QKE546" s="500"/>
      <c r="QKF546" s="500"/>
      <c r="QKG546" s="500"/>
      <c r="QKH546" s="500"/>
      <c r="QKI546" s="500"/>
      <c r="QKJ546" s="500"/>
      <c r="QKK546" s="500"/>
      <c r="QKL546" s="500"/>
      <c r="QKM546" s="500"/>
      <c r="QKN546" s="500"/>
      <c r="QKO546" s="500"/>
      <c r="QKP546" s="500"/>
      <c r="QKQ546" s="500"/>
      <c r="QKR546" s="500"/>
      <c r="QKS546" s="500"/>
      <c r="QKT546" s="500"/>
      <c r="QKU546" s="500"/>
      <c r="QKV546" s="500"/>
      <c r="QKW546" s="500"/>
      <c r="QKX546" s="500"/>
      <c r="QKY546" s="500"/>
      <c r="QKZ546" s="500"/>
      <c r="QLA546" s="500"/>
      <c r="QLB546" s="500"/>
      <c r="QLC546" s="500"/>
      <c r="QLD546" s="500"/>
      <c r="QLE546" s="500"/>
      <c r="QLF546" s="500"/>
      <c r="QLG546" s="500"/>
      <c r="QLH546" s="500"/>
      <c r="QLI546" s="500"/>
      <c r="QLJ546" s="500"/>
      <c r="QLK546" s="500"/>
      <c r="QLL546" s="500"/>
      <c r="QLM546" s="500"/>
      <c r="QLN546" s="500"/>
      <c r="QLO546" s="500"/>
      <c r="QLP546" s="500"/>
      <c r="QLQ546" s="500"/>
      <c r="QLR546" s="500"/>
      <c r="QLS546" s="500"/>
      <c r="QLT546" s="500"/>
      <c r="QLU546" s="500"/>
      <c r="QLV546" s="500"/>
      <c r="QLW546" s="500"/>
      <c r="QLX546" s="500"/>
      <c r="QLY546" s="500"/>
      <c r="QLZ546" s="500"/>
      <c r="QMA546" s="500"/>
      <c r="QMB546" s="500"/>
      <c r="QMC546" s="500"/>
      <c r="QMD546" s="500"/>
      <c r="QME546" s="500"/>
      <c r="QMF546" s="500"/>
      <c r="QMG546" s="500"/>
      <c r="QMH546" s="500"/>
      <c r="QMI546" s="500"/>
      <c r="QMJ546" s="500"/>
      <c r="QMK546" s="500"/>
      <c r="QML546" s="500"/>
      <c r="QMM546" s="500"/>
      <c r="QMN546" s="500"/>
      <c r="QMO546" s="500"/>
      <c r="QMP546" s="500"/>
      <c r="QMQ546" s="500"/>
      <c r="QMR546" s="500"/>
      <c r="QMS546" s="500"/>
      <c r="QMT546" s="500"/>
      <c r="QMU546" s="500"/>
      <c r="QMV546" s="500"/>
      <c r="QMW546" s="500"/>
      <c r="QMX546" s="500"/>
      <c r="QMY546" s="500"/>
      <c r="QMZ546" s="500"/>
      <c r="QNA546" s="500"/>
      <c r="QNB546" s="500"/>
      <c r="QNC546" s="500"/>
      <c r="QND546" s="500"/>
      <c r="QNE546" s="500"/>
      <c r="QNF546" s="500"/>
      <c r="QNG546" s="500"/>
      <c r="QNH546" s="500"/>
      <c r="QNI546" s="500"/>
      <c r="QNJ546" s="500"/>
      <c r="QNK546" s="500"/>
      <c r="QNL546" s="500"/>
      <c r="QNM546" s="500"/>
      <c r="QNN546" s="500"/>
      <c r="QNO546" s="500"/>
      <c r="QNP546" s="500"/>
      <c r="QNQ546" s="500"/>
      <c r="QNR546" s="500"/>
      <c r="QNS546" s="500"/>
      <c r="QNT546" s="500"/>
      <c r="QNU546" s="500"/>
      <c r="QNV546" s="500"/>
      <c r="QNW546" s="500"/>
      <c r="QNX546" s="500"/>
      <c r="QNY546" s="500"/>
      <c r="QNZ546" s="500"/>
      <c r="QOA546" s="500"/>
      <c r="QOB546" s="500"/>
      <c r="QOC546" s="500"/>
      <c r="QOD546" s="500"/>
      <c r="QOE546" s="500"/>
      <c r="QOF546" s="500"/>
      <c r="QOG546" s="500"/>
      <c r="QOH546" s="500"/>
      <c r="QOI546" s="500"/>
      <c r="QOJ546" s="500"/>
      <c r="QOK546" s="500"/>
      <c r="QOL546" s="500"/>
      <c r="QOM546" s="500"/>
      <c r="QON546" s="500"/>
      <c r="QOO546" s="500"/>
      <c r="QOP546" s="500"/>
      <c r="QOQ546" s="500"/>
      <c r="QOR546" s="500"/>
      <c r="QOS546" s="500"/>
      <c r="QOT546" s="500"/>
      <c r="QOU546" s="500"/>
      <c r="QOV546" s="500"/>
      <c r="QOW546" s="500"/>
      <c r="QOX546" s="500"/>
      <c r="QOY546" s="500"/>
      <c r="QOZ546" s="500"/>
      <c r="QPA546" s="500"/>
      <c r="QPB546" s="500"/>
      <c r="QPC546" s="500"/>
      <c r="QPD546" s="500"/>
      <c r="QPE546" s="500"/>
      <c r="QPF546" s="500"/>
      <c r="QPG546" s="500"/>
      <c r="QPH546" s="500"/>
      <c r="QPI546" s="500"/>
      <c r="QPJ546" s="500"/>
      <c r="QPK546" s="500"/>
      <c r="QPL546" s="500"/>
      <c r="QPM546" s="500"/>
      <c r="QPN546" s="500"/>
      <c r="QPO546" s="500"/>
      <c r="QPP546" s="500"/>
      <c r="QPQ546" s="500"/>
      <c r="QPR546" s="500"/>
      <c r="QPS546" s="500"/>
      <c r="QPT546" s="500"/>
      <c r="QPU546" s="500"/>
      <c r="QPV546" s="500"/>
      <c r="QPW546" s="500"/>
      <c r="QPX546" s="500"/>
      <c r="QPY546" s="500"/>
      <c r="QPZ546" s="500"/>
      <c r="QQA546" s="500"/>
      <c r="QQB546" s="500"/>
      <c r="QQC546" s="500"/>
      <c r="QQD546" s="500"/>
      <c r="QQE546" s="500"/>
      <c r="QQF546" s="500"/>
      <c r="QQG546" s="500"/>
      <c r="QQH546" s="500"/>
      <c r="QQI546" s="500"/>
      <c r="QQJ546" s="500"/>
      <c r="QQK546" s="500"/>
      <c r="QQL546" s="500"/>
      <c r="QQM546" s="500"/>
      <c r="QQN546" s="500"/>
      <c r="QQO546" s="500"/>
      <c r="QQP546" s="500"/>
      <c r="QQQ546" s="500"/>
      <c r="QQR546" s="500"/>
      <c r="QQS546" s="500"/>
      <c r="QQT546" s="500"/>
      <c r="QQU546" s="500"/>
      <c r="QQV546" s="500"/>
      <c r="QQW546" s="500"/>
      <c r="QQX546" s="500"/>
      <c r="QQY546" s="500"/>
      <c r="QQZ546" s="500"/>
      <c r="QRA546" s="500"/>
      <c r="QRB546" s="500"/>
      <c r="QRC546" s="500"/>
      <c r="QRD546" s="500"/>
      <c r="QRE546" s="500"/>
      <c r="QRF546" s="500"/>
      <c r="QRG546" s="500"/>
      <c r="QRH546" s="500"/>
      <c r="QRI546" s="500"/>
      <c r="QRJ546" s="500"/>
      <c r="QRK546" s="500"/>
      <c r="QRL546" s="500"/>
      <c r="QRM546" s="500"/>
      <c r="QRN546" s="500"/>
      <c r="QRO546" s="500"/>
      <c r="QRP546" s="500"/>
      <c r="QRQ546" s="500"/>
      <c r="QRR546" s="500"/>
      <c r="QRS546" s="500"/>
      <c r="QRT546" s="500"/>
      <c r="QRU546" s="500"/>
      <c r="QRV546" s="500"/>
      <c r="QRW546" s="500"/>
      <c r="QRX546" s="500"/>
      <c r="QRY546" s="500"/>
      <c r="QRZ546" s="500"/>
      <c r="QSA546" s="500"/>
      <c r="QSB546" s="500"/>
      <c r="QSC546" s="500"/>
      <c r="QSD546" s="500"/>
      <c r="QSE546" s="500"/>
      <c r="QSF546" s="500"/>
      <c r="QSG546" s="500"/>
      <c r="QSH546" s="500"/>
      <c r="QSI546" s="500"/>
      <c r="QSJ546" s="500"/>
      <c r="QSK546" s="500"/>
      <c r="QSL546" s="500"/>
      <c r="QSM546" s="500"/>
      <c r="QSN546" s="500"/>
      <c r="QSO546" s="500"/>
      <c r="QSP546" s="500"/>
      <c r="QSQ546" s="500"/>
      <c r="QSR546" s="500"/>
      <c r="QSS546" s="500"/>
      <c r="QST546" s="500"/>
      <c r="QSU546" s="500"/>
      <c r="QSV546" s="500"/>
      <c r="QSW546" s="500"/>
      <c r="QSX546" s="500"/>
      <c r="QSY546" s="500"/>
      <c r="QSZ546" s="500"/>
      <c r="QTA546" s="500"/>
      <c r="QTB546" s="500"/>
      <c r="QTC546" s="500"/>
      <c r="QTD546" s="500"/>
      <c r="QTE546" s="500"/>
      <c r="QTF546" s="500"/>
      <c r="QTG546" s="500"/>
      <c r="QTH546" s="500"/>
      <c r="QTI546" s="500"/>
      <c r="QTJ546" s="500"/>
      <c r="QTK546" s="500"/>
      <c r="QTL546" s="500"/>
      <c r="QTM546" s="500"/>
      <c r="QTN546" s="500"/>
      <c r="QTO546" s="500"/>
      <c r="QTP546" s="500"/>
      <c r="QTQ546" s="500"/>
      <c r="QTR546" s="500"/>
      <c r="QTS546" s="500"/>
      <c r="QTT546" s="500"/>
      <c r="QTU546" s="500"/>
      <c r="QTV546" s="500"/>
      <c r="QTW546" s="500"/>
      <c r="QTX546" s="500"/>
      <c r="QTY546" s="500"/>
      <c r="QTZ546" s="500"/>
      <c r="QUA546" s="500"/>
      <c r="QUB546" s="500"/>
      <c r="QUC546" s="500"/>
      <c r="QUD546" s="500"/>
      <c r="QUE546" s="500"/>
      <c r="QUF546" s="500"/>
      <c r="QUG546" s="500"/>
      <c r="QUH546" s="500"/>
      <c r="QUI546" s="500"/>
      <c r="QUJ546" s="500"/>
      <c r="QUK546" s="500"/>
      <c r="QUL546" s="500"/>
      <c r="QUM546" s="500"/>
      <c r="QUN546" s="500"/>
      <c r="QUO546" s="500"/>
      <c r="QUP546" s="500"/>
      <c r="QUQ546" s="500"/>
      <c r="QUR546" s="500"/>
      <c r="QUS546" s="500"/>
      <c r="QUT546" s="500"/>
      <c r="QUU546" s="500"/>
      <c r="QUV546" s="500"/>
      <c r="QUW546" s="500"/>
      <c r="QUX546" s="500"/>
      <c r="QUY546" s="500"/>
      <c r="QUZ546" s="500"/>
      <c r="QVA546" s="500"/>
      <c r="QVB546" s="500"/>
      <c r="QVC546" s="500"/>
      <c r="QVD546" s="500"/>
      <c r="QVE546" s="500"/>
      <c r="QVF546" s="500"/>
      <c r="QVG546" s="500"/>
      <c r="QVH546" s="500"/>
      <c r="QVI546" s="500"/>
      <c r="QVJ546" s="500"/>
      <c r="QVK546" s="500"/>
      <c r="QVL546" s="500"/>
      <c r="QVM546" s="500"/>
      <c r="QVN546" s="500"/>
      <c r="QVO546" s="500"/>
      <c r="QVP546" s="500"/>
      <c r="QVQ546" s="500"/>
      <c r="QVR546" s="500"/>
      <c r="QVS546" s="500"/>
      <c r="QVT546" s="500"/>
      <c r="QVU546" s="500"/>
      <c r="QVV546" s="500"/>
      <c r="QVW546" s="500"/>
      <c r="QVX546" s="500"/>
      <c r="QVY546" s="500"/>
      <c r="QVZ546" s="500"/>
      <c r="QWA546" s="500"/>
      <c r="QWB546" s="500"/>
      <c r="QWC546" s="500"/>
      <c r="QWD546" s="500"/>
      <c r="QWE546" s="500"/>
      <c r="QWF546" s="500"/>
      <c r="QWG546" s="500"/>
      <c r="QWH546" s="500"/>
      <c r="QWI546" s="500"/>
      <c r="QWJ546" s="500"/>
      <c r="QWK546" s="500"/>
      <c r="QWL546" s="500"/>
      <c r="QWM546" s="500"/>
      <c r="QWN546" s="500"/>
      <c r="QWO546" s="500"/>
      <c r="QWP546" s="500"/>
      <c r="QWQ546" s="500"/>
      <c r="QWR546" s="500"/>
      <c r="QWS546" s="500"/>
      <c r="QWT546" s="500"/>
      <c r="QWU546" s="500"/>
      <c r="QWV546" s="500"/>
      <c r="QWW546" s="500"/>
      <c r="QWX546" s="500"/>
      <c r="QWY546" s="500"/>
      <c r="QWZ546" s="500"/>
      <c r="QXA546" s="500"/>
      <c r="QXB546" s="500"/>
      <c r="QXC546" s="500"/>
      <c r="QXD546" s="500"/>
      <c r="QXE546" s="500"/>
      <c r="QXF546" s="500"/>
      <c r="QXG546" s="500"/>
      <c r="QXH546" s="500"/>
      <c r="QXI546" s="500"/>
      <c r="QXJ546" s="500"/>
      <c r="QXK546" s="500"/>
      <c r="QXL546" s="500"/>
      <c r="QXM546" s="500"/>
      <c r="QXN546" s="500"/>
      <c r="QXO546" s="500"/>
      <c r="QXP546" s="500"/>
      <c r="QXQ546" s="500"/>
      <c r="QXR546" s="500"/>
      <c r="QXS546" s="500"/>
      <c r="QXT546" s="500"/>
      <c r="QXU546" s="500"/>
      <c r="QXV546" s="500"/>
      <c r="QXW546" s="500"/>
      <c r="QXX546" s="500"/>
      <c r="QXY546" s="500"/>
      <c r="QXZ546" s="500"/>
      <c r="QYA546" s="500"/>
      <c r="QYB546" s="500"/>
      <c r="QYC546" s="500"/>
      <c r="QYD546" s="500"/>
      <c r="QYE546" s="500"/>
      <c r="QYF546" s="500"/>
      <c r="QYG546" s="500"/>
      <c r="QYH546" s="500"/>
      <c r="QYI546" s="500"/>
      <c r="QYJ546" s="500"/>
      <c r="QYK546" s="500"/>
      <c r="QYL546" s="500"/>
      <c r="QYM546" s="500"/>
      <c r="QYN546" s="500"/>
      <c r="QYO546" s="500"/>
      <c r="QYP546" s="500"/>
      <c r="QYQ546" s="500"/>
      <c r="QYR546" s="500"/>
      <c r="QYS546" s="500"/>
      <c r="QYT546" s="500"/>
      <c r="QYU546" s="500"/>
      <c r="QYV546" s="500"/>
      <c r="QYW546" s="500"/>
      <c r="QYX546" s="500"/>
      <c r="QYY546" s="500"/>
      <c r="QYZ546" s="500"/>
      <c r="QZA546" s="500"/>
      <c r="QZB546" s="500"/>
      <c r="QZC546" s="500"/>
      <c r="QZD546" s="500"/>
      <c r="QZE546" s="500"/>
      <c r="QZF546" s="500"/>
      <c r="QZG546" s="500"/>
      <c r="QZH546" s="500"/>
      <c r="QZI546" s="500"/>
      <c r="QZJ546" s="500"/>
      <c r="QZK546" s="500"/>
      <c r="QZL546" s="500"/>
      <c r="QZM546" s="500"/>
      <c r="QZN546" s="500"/>
      <c r="QZO546" s="500"/>
      <c r="QZP546" s="500"/>
      <c r="QZQ546" s="500"/>
      <c r="QZR546" s="500"/>
      <c r="QZS546" s="500"/>
      <c r="QZT546" s="500"/>
      <c r="QZU546" s="500"/>
      <c r="QZV546" s="500"/>
      <c r="QZW546" s="500"/>
      <c r="QZX546" s="500"/>
      <c r="QZY546" s="500"/>
      <c r="QZZ546" s="500"/>
      <c r="RAA546" s="500"/>
      <c r="RAB546" s="500"/>
      <c r="RAC546" s="500"/>
      <c r="RAD546" s="500"/>
      <c r="RAE546" s="500"/>
      <c r="RAF546" s="500"/>
      <c r="RAG546" s="500"/>
      <c r="RAH546" s="500"/>
      <c r="RAI546" s="500"/>
      <c r="RAJ546" s="500"/>
      <c r="RAK546" s="500"/>
      <c r="RAL546" s="500"/>
      <c r="RAM546" s="500"/>
      <c r="RAN546" s="500"/>
      <c r="RAO546" s="500"/>
      <c r="RAP546" s="500"/>
      <c r="RAQ546" s="500"/>
      <c r="RAR546" s="500"/>
      <c r="RAS546" s="500"/>
      <c r="RAT546" s="500"/>
      <c r="RAU546" s="500"/>
      <c r="RAV546" s="500"/>
      <c r="RAW546" s="500"/>
      <c r="RAX546" s="500"/>
      <c r="RAY546" s="500"/>
      <c r="RAZ546" s="500"/>
      <c r="RBA546" s="500"/>
      <c r="RBB546" s="500"/>
      <c r="RBC546" s="500"/>
      <c r="RBD546" s="500"/>
      <c r="RBE546" s="500"/>
      <c r="RBF546" s="500"/>
      <c r="RBG546" s="500"/>
      <c r="RBH546" s="500"/>
      <c r="RBI546" s="500"/>
      <c r="RBJ546" s="500"/>
      <c r="RBK546" s="500"/>
      <c r="RBL546" s="500"/>
      <c r="RBM546" s="500"/>
      <c r="RBN546" s="500"/>
      <c r="RBO546" s="500"/>
      <c r="RBP546" s="500"/>
      <c r="RBQ546" s="500"/>
      <c r="RBR546" s="500"/>
      <c r="RBS546" s="500"/>
      <c r="RBT546" s="500"/>
      <c r="RBU546" s="500"/>
      <c r="RBV546" s="500"/>
      <c r="RBW546" s="500"/>
      <c r="RBX546" s="500"/>
      <c r="RBY546" s="500"/>
      <c r="RBZ546" s="500"/>
      <c r="RCA546" s="500"/>
      <c r="RCB546" s="500"/>
      <c r="RCC546" s="500"/>
      <c r="RCD546" s="500"/>
      <c r="RCE546" s="500"/>
      <c r="RCF546" s="500"/>
      <c r="RCG546" s="500"/>
      <c r="RCH546" s="500"/>
      <c r="RCI546" s="500"/>
      <c r="RCJ546" s="500"/>
      <c r="RCK546" s="500"/>
      <c r="RCL546" s="500"/>
      <c r="RCM546" s="500"/>
      <c r="RCN546" s="500"/>
      <c r="RCO546" s="500"/>
      <c r="RCP546" s="500"/>
      <c r="RCQ546" s="500"/>
      <c r="RCR546" s="500"/>
      <c r="RCS546" s="500"/>
      <c r="RCT546" s="500"/>
      <c r="RCU546" s="500"/>
      <c r="RCV546" s="500"/>
      <c r="RCW546" s="500"/>
      <c r="RCX546" s="500"/>
      <c r="RCY546" s="500"/>
      <c r="RCZ546" s="500"/>
      <c r="RDA546" s="500"/>
      <c r="RDB546" s="500"/>
      <c r="RDC546" s="500"/>
      <c r="RDD546" s="500"/>
      <c r="RDE546" s="500"/>
      <c r="RDF546" s="500"/>
      <c r="RDG546" s="500"/>
      <c r="RDH546" s="500"/>
      <c r="RDI546" s="500"/>
      <c r="RDJ546" s="500"/>
      <c r="RDK546" s="500"/>
      <c r="RDL546" s="500"/>
      <c r="RDM546" s="500"/>
      <c r="RDN546" s="500"/>
      <c r="RDO546" s="500"/>
      <c r="RDP546" s="500"/>
      <c r="RDQ546" s="500"/>
      <c r="RDR546" s="500"/>
      <c r="RDS546" s="500"/>
      <c r="RDT546" s="500"/>
      <c r="RDU546" s="500"/>
      <c r="RDV546" s="500"/>
      <c r="RDW546" s="500"/>
      <c r="RDX546" s="500"/>
      <c r="RDY546" s="500"/>
      <c r="RDZ546" s="500"/>
      <c r="REA546" s="500"/>
      <c r="REB546" s="500"/>
      <c r="REC546" s="500"/>
      <c r="RED546" s="500"/>
      <c r="REE546" s="500"/>
      <c r="REF546" s="500"/>
      <c r="REG546" s="500"/>
      <c r="REH546" s="500"/>
      <c r="REI546" s="500"/>
      <c r="REJ546" s="500"/>
      <c r="REK546" s="500"/>
      <c r="REL546" s="500"/>
      <c r="REM546" s="500"/>
      <c r="REN546" s="500"/>
      <c r="REO546" s="500"/>
      <c r="REP546" s="500"/>
      <c r="REQ546" s="500"/>
      <c r="RER546" s="500"/>
      <c r="RES546" s="500"/>
      <c r="RET546" s="500"/>
      <c r="REU546" s="500"/>
      <c r="REV546" s="500"/>
      <c r="REW546" s="500"/>
      <c r="REX546" s="500"/>
      <c r="REY546" s="500"/>
      <c r="REZ546" s="500"/>
      <c r="RFA546" s="500"/>
      <c r="RFB546" s="500"/>
      <c r="RFC546" s="500"/>
      <c r="RFD546" s="500"/>
      <c r="RFE546" s="500"/>
      <c r="RFF546" s="500"/>
      <c r="RFG546" s="500"/>
      <c r="RFH546" s="500"/>
      <c r="RFI546" s="500"/>
      <c r="RFJ546" s="500"/>
      <c r="RFK546" s="500"/>
      <c r="RFL546" s="500"/>
      <c r="RFM546" s="500"/>
      <c r="RFN546" s="500"/>
      <c r="RFO546" s="500"/>
      <c r="RFP546" s="500"/>
      <c r="RFQ546" s="500"/>
      <c r="RFR546" s="500"/>
      <c r="RFS546" s="500"/>
      <c r="RFT546" s="500"/>
      <c r="RFU546" s="500"/>
      <c r="RFV546" s="500"/>
      <c r="RFW546" s="500"/>
      <c r="RFX546" s="500"/>
      <c r="RFY546" s="500"/>
      <c r="RFZ546" s="500"/>
      <c r="RGA546" s="500"/>
      <c r="RGB546" s="500"/>
      <c r="RGC546" s="500"/>
      <c r="RGD546" s="500"/>
      <c r="RGE546" s="500"/>
      <c r="RGF546" s="500"/>
      <c r="RGG546" s="500"/>
      <c r="RGH546" s="500"/>
      <c r="RGI546" s="500"/>
      <c r="RGJ546" s="500"/>
      <c r="RGK546" s="500"/>
      <c r="RGL546" s="500"/>
      <c r="RGM546" s="500"/>
      <c r="RGN546" s="500"/>
      <c r="RGO546" s="500"/>
      <c r="RGP546" s="500"/>
      <c r="RGQ546" s="500"/>
      <c r="RGR546" s="500"/>
      <c r="RGS546" s="500"/>
      <c r="RGT546" s="500"/>
      <c r="RGU546" s="500"/>
      <c r="RGV546" s="500"/>
      <c r="RGW546" s="500"/>
      <c r="RGX546" s="500"/>
      <c r="RGY546" s="500"/>
      <c r="RGZ546" s="500"/>
      <c r="RHA546" s="500"/>
      <c r="RHB546" s="500"/>
      <c r="RHC546" s="500"/>
      <c r="RHD546" s="500"/>
      <c r="RHE546" s="500"/>
      <c r="RHF546" s="500"/>
      <c r="RHG546" s="500"/>
      <c r="RHH546" s="500"/>
      <c r="RHI546" s="500"/>
      <c r="RHJ546" s="500"/>
      <c r="RHK546" s="500"/>
      <c r="RHL546" s="500"/>
      <c r="RHM546" s="500"/>
      <c r="RHN546" s="500"/>
      <c r="RHO546" s="500"/>
      <c r="RHP546" s="500"/>
      <c r="RHQ546" s="500"/>
      <c r="RHR546" s="500"/>
      <c r="RHS546" s="500"/>
      <c r="RHT546" s="500"/>
      <c r="RHU546" s="500"/>
      <c r="RHV546" s="500"/>
      <c r="RHW546" s="500"/>
      <c r="RHX546" s="500"/>
      <c r="RHY546" s="500"/>
      <c r="RHZ546" s="500"/>
      <c r="RIA546" s="500"/>
      <c r="RIB546" s="500"/>
      <c r="RIC546" s="500"/>
      <c r="RID546" s="500"/>
      <c r="RIE546" s="500"/>
      <c r="RIF546" s="500"/>
      <c r="RIG546" s="500"/>
      <c r="RIH546" s="500"/>
      <c r="RII546" s="500"/>
      <c r="RIJ546" s="500"/>
      <c r="RIK546" s="500"/>
      <c r="RIL546" s="500"/>
      <c r="RIM546" s="500"/>
      <c r="RIN546" s="500"/>
      <c r="RIO546" s="500"/>
      <c r="RIP546" s="500"/>
      <c r="RIQ546" s="500"/>
      <c r="RIR546" s="500"/>
      <c r="RIS546" s="500"/>
      <c r="RIT546" s="500"/>
      <c r="RIU546" s="500"/>
      <c r="RIV546" s="500"/>
      <c r="RIW546" s="500"/>
      <c r="RIX546" s="500"/>
      <c r="RIY546" s="500"/>
      <c r="RIZ546" s="500"/>
      <c r="RJA546" s="500"/>
      <c r="RJB546" s="500"/>
      <c r="RJC546" s="500"/>
      <c r="RJD546" s="500"/>
      <c r="RJE546" s="500"/>
      <c r="RJF546" s="500"/>
      <c r="RJG546" s="500"/>
      <c r="RJH546" s="500"/>
      <c r="RJI546" s="500"/>
      <c r="RJJ546" s="500"/>
      <c r="RJK546" s="500"/>
      <c r="RJL546" s="500"/>
      <c r="RJM546" s="500"/>
      <c r="RJN546" s="500"/>
      <c r="RJO546" s="500"/>
      <c r="RJP546" s="500"/>
      <c r="RJQ546" s="500"/>
      <c r="RJR546" s="500"/>
      <c r="RJS546" s="500"/>
      <c r="RJT546" s="500"/>
      <c r="RJU546" s="500"/>
      <c r="RJV546" s="500"/>
      <c r="RJW546" s="500"/>
      <c r="RJX546" s="500"/>
      <c r="RJY546" s="500"/>
      <c r="RJZ546" s="500"/>
      <c r="RKA546" s="500"/>
      <c r="RKB546" s="500"/>
      <c r="RKC546" s="500"/>
      <c r="RKD546" s="500"/>
      <c r="RKE546" s="500"/>
      <c r="RKF546" s="500"/>
      <c r="RKG546" s="500"/>
      <c r="RKH546" s="500"/>
      <c r="RKI546" s="500"/>
      <c r="RKJ546" s="500"/>
      <c r="RKK546" s="500"/>
      <c r="RKL546" s="500"/>
      <c r="RKM546" s="500"/>
      <c r="RKN546" s="500"/>
      <c r="RKO546" s="500"/>
      <c r="RKP546" s="500"/>
      <c r="RKQ546" s="500"/>
      <c r="RKR546" s="500"/>
      <c r="RKS546" s="500"/>
      <c r="RKT546" s="500"/>
      <c r="RKU546" s="500"/>
      <c r="RKV546" s="500"/>
      <c r="RKW546" s="500"/>
      <c r="RKX546" s="500"/>
      <c r="RKY546" s="500"/>
      <c r="RKZ546" s="500"/>
      <c r="RLA546" s="500"/>
      <c r="RLB546" s="500"/>
      <c r="RLC546" s="500"/>
      <c r="RLD546" s="500"/>
      <c r="RLE546" s="500"/>
      <c r="RLF546" s="500"/>
      <c r="RLG546" s="500"/>
      <c r="RLH546" s="500"/>
      <c r="RLI546" s="500"/>
      <c r="RLJ546" s="500"/>
      <c r="RLK546" s="500"/>
      <c r="RLL546" s="500"/>
      <c r="RLM546" s="500"/>
      <c r="RLN546" s="500"/>
      <c r="RLO546" s="500"/>
      <c r="RLP546" s="500"/>
      <c r="RLQ546" s="500"/>
      <c r="RLR546" s="500"/>
      <c r="RLS546" s="500"/>
      <c r="RLT546" s="500"/>
      <c r="RLU546" s="500"/>
      <c r="RLV546" s="500"/>
      <c r="RLW546" s="500"/>
      <c r="RLX546" s="500"/>
      <c r="RLY546" s="500"/>
      <c r="RLZ546" s="500"/>
      <c r="RMA546" s="500"/>
      <c r="RMB546" s="500"/>
      <c r="RMC546" s="500"/>
      <c r="RMD546" s="500"/>
      <c r="RME546" s="500"/>
      <c r="RMF546" s="500"/>
      <c r="RMG546" s="500"/>
      <c r="RMH546" s="500"/>
      <c r="RMI546" s="500"/>
      <c r="RMJ546" s="500"/>
      <c r="RMK546" s="500"/>
      <c r="RML546" s="500"/>
      <c r="RMM546" s="500"/>
      <c r="RMN546" s="500"/>
      <c r="RMO546" s="500"/>
      <c r="RMP546" s="500"/>
      <c r="RMQ546" s="500"/>
      <c r="RMR546" s="500"/>
      <c r="RMS546" s="500"/>
      <c r="RMT546" s="500"/>
      <c r="RMU546" s="500"/>
      <c r="RMV546" s="500"/>
      <c r="RMW546" s="500"/>
      <c r="RMX546" s="500"/>
      <c r="RMY546" s="500"/>
      <c r="RMZ546" s="500"/>
      <c r="RNA546" s="500"/>
      <c r="RNB546" s="500"/>
      <c r="RNC546" s="500"/>
      <c r="RND546" s="500"/>
      <c r="RNE546" s="500"/>
      <c r="RNF546" s="500"/>
      <c r="RNG546" s="500"/>
      <c r="RNH546" s="500"/>
      <c r="RNI546" s="500"/>
      <c r="RNJ546" s="500"/>
      <c r="RNK546" s="500"/>
      <c r="RNL546" s="500"/>
      <c r="RNM546" s="500"/>
      <c r="RNN546" s="500"/>
      <c r="RNO546" s="500"/>
      <c r="RNP546" s="500"/>
      <c r="RNQ546" s="500"/>
      <c r="RNR546" s="500"/>
      <c r="RNS546" s="500"/>
      <c r="RNT546" s="500"/>
      <c r="RNU546" s="500"/>
      <c r="RNV546" s="500"/>
      <c r="RNW546" s="500"/>
      <c r="RNX546" s="500"/>
      <c r="RNY546" s="500"/>
      <c r="RNZ546" s="500"/>
      <c r="ROA546" s="500"/>
      <c r="ROB546" s="500"/>
      <c r="ROC546" s="500"/>
      <c r="ROD546" s="500"/>
      <c r="ROE546" s="500"/>
      <c r="ROF546" s="500"/>
      <c r="ROG546" s="500"/>
      <c r="ROH546" s="500"/>
      <c r="ROI546" s="500"/>
      <c r="ROJ546" s="500"/>
      <c r="ROK546" s="500"/>
      <c r="ROL546" s="500"/>
      <c r="ROM546" s="500"/>
      <c r="RON546" s="500"/>
      <c r="ROO546" s="500"/>
      <c r="ROP546" s="500"/>
      <c r="ROQ546" s="500"/>
      <c r="ROR546" s="500"/>
      <c r="ROS546" s="500"/>
      <c r="ROT546" s="500"/>
      <c r="ROU546" s="500"/>
      <c r="ROV546" s="500"/>
      <c r="ROW546" s="500"/>
      <c r="ROX546" s="500"/>
      <c r="ROY546" s="500"/>
      <c r="ROZ546" s="500"/>
      <c r="RPA546" s="500"/>
      <c r="RPB546" s="500"/>
      <c r="RPC546" s="500"/>
      <c r="RPD546" s="500"/>
      <c r="RPE546" s="500"/>
      <c r="RPF546" s="500"/>
      <c r="RPG546" s="500"/>
      <c r="RPH546" s="500"/>
      <c r="RPI546" s="500"/>
      <c r="RPJ546" s="500"/>
      <c r="RPK546" s="500"/>
      <c r="RPL546" s="500"/>
      <c r="RPM546" s="500"/>
      <c r="RPN546" s="500"/>
      <c r="RPO546" s="500"/>
      <c r="RPP546" s="500"/>
      <c r="RPQ546" s="500"/>
      <c r="RPR546" s="500"/>
      <c r="RPS546" s="500"/>
      <c r="RPT546" s="500"/>
      <c r="RPU546" s="500"/>
      <c r="RPV546" s="500"/>
      <c r="RPW546" s="500"/>
      <c r="RPX546" s="500"/>
      <c r="RPY546" s="500"/>
      <c r="RPZ546" s="500"/>
      <c r="RQA546" s="500"/>
      <c r="RQB546" s="500"/>
      <c r="RQC546" s="500"/>
      <c r="RQD546" s="500"/>
      <c r="RQE546" s="500"/>
      <c r="RQF546" s="500"/>
      <c r="RQG546" s="500"/>
      <c r="RQH546" s="500"/>
      <c r="RQI546" s="500"/>
      <c r="RQJ546" s="500"/>
      <c r="RQK546" s="500"/>
      <c r="RQL546" s="500"/>
      <c r="RQM546" s="500"/>
      <c r="RQN546" s="500"/>
      <c r="RQO546" s="500"/>
      <c r="RQP546" s="500"/>
      <c r="RQQ546" s="500"/>
      <c r="RQR546" s="500"/>
      <c r="RQS546" s="500"/>
      <c r="RQT546" s="500"/>
      <c r="RQU546" s="500"/>
      <c r="RQV546" s="500"/>
      <c r="RQW546" s="500"/>
      <c r="RQX546" s="500"/>
      <c r="RQY546" s="500"/>
      <c r="RQZ546" s="500"/>
      <c r="RRA546" s="500"/>
      <c r="RRB546" s="500"/>
      <c r="RRC546" s="500"/>
      <c r="RRD546" s="500"/>
      <c r="RRE546" s="500"/>
      <c r="RRF546" s="500"/>
      <c r="RRG546" s="500"/>
      <c r="RRH546" s="500"/>
      <c r="RRI546" s="500"/>
      <c r="RRJ546" s="500"/>
      <c r="RRK546" s="500"/>
      <c r="RRL546" s="500"/>
      <c r="RRM546" s="500"/>
      <c r="RRN546" s="500"/>
      <c r="RRO546" s="500"/>
      <c r="RRP546" s="500"/>
      <c r="RRQ546" s="500"/>
      <c r="RRR546" s="500"/>
      <c r="RRS546" s="500"/>
      <c r="RRT546" s="500"/>
      <c r="RRU546" s="500"/>
      <c r="RRV546" s="500"/>
      <c r="RRW546" s="500"/>
      <c r="RRX546" s="500"/>
      <c r="RRY546" s="500"/>
      <c r="RRZ546" s="500"/>
      <c r="RSA546" s="500"/>
      <c r="RSB546" s="500"/>
      <c r="RSC546" s="500"/>
      <c r="RSD546" s="500"/>
      <c r="RSE546" s="500"/>
      <c r="RSF546" s="500"/>
      <c r="RSG546" s="500"/>
      <c r="RSH546" s="500"/>
      <c r="RSI546" s="500"/>
      <c r="RSJ546" s="500"/>
      <c r="RSK546" s="500"/>
      <c r="RSL546" s="500"/>
      <c r="RSM546" s="500"/>
      <c r="RSN546" s="500"/>
      <c r="RSO546" s="500"/>
      <c r="RSP546" s="500"/>
      <c r="RSQ546" s="500"/>
      <c r="RSR546" s="500"/>
      <c r="RSS546" s="500"/>
      <c r="RST546" s="500"/>
      <c r="RSU546" s="500"/>
      <c r="RSV546" s="500"/>
      <c r="RSW546" s="500"/>
      <c r="RSX546" s="500"/>
      <c r="RSY546" s="500"/>
      <c r="RSZ546" s="500"/>
      <c r="RTA546" s="500"/>
      <c r="RTB546" s="500"/>
      <c r="RTC546" s="500"/>
      <c r="RTD546" s="500"/>
      <c r="RTE546" s="500"/>
      <c r="RTF546" s="500"/>
      <c r="RTG546" s="500"/>
      <c r="RTH546" s="500"/>
      <c r="RTI546" s="500"/>
      <c r="RTJ546" s="500"/>
      <c r="RTK546" s="500"/>
      <c r="RTL546" s="500"/>
      <c r="RTM546" s="500"/>
      <c r="RTN546" s="500"/>
      <c r="RTO546" s="500"/>
      <c r="RTP546" s="500"/>
      <c r="RTQ546" s="500"/>
      <c r="RTR546" s="500"/>
      <c r="RTS546" s="500"/>
      <c r="RTT546" s="500"/>
      <c r="RTU546" s="500"/>
      <c r="RTV546" s="500"/>
      <c r="RTW546" s="500"/>
      <c r="RTX546" s="500"/>
      <c r="RTY546" s="500"/>
      <c r="RTZ546" s="500"/>
      <c r="RUA546" s="500"/>
      <c r="RUB546" s="500"/>
      <c r="RUC546" s="500"/>
      <c r="RUD546" s="500"/>
      <c r="RUE546" s="500"/>
      <c r="RUF546" s="500"/>
      <c r="RUG546" s="500"/>
      <c r="RUH546" s="500"/>
      <c r="RUI546" s="500"/>
      <c r="RUJ546" s="500"/>
      <c r="RUK546" s="500"/>
      <c r="RUL546" s="500"/>
      <c r="RUM546" s="500"/>
      <c r="RUN546" s="500"/>
      <c r="RUO546" s="500"/>
      <c r="RUP546" s="500"/>
      <c r="RUQ546" s="500"/>
      <c r="RUR546" s="500"/>
      <c r="RUS546" s="500"/>
      <c r="RUT546" s="500"/>
      <c r="RUU546" s="500"/>
      <c r="RUV546" s="500"/>
      <c r="RUW546" s="500"/>
      <c r="RUX546" s="500"/>
      <c r="RUY546" s="500"/>
      <c r="RUZ546" s="500"/>
      <c r="RVA546" s="500"/>
      <c r="RVB546" s="500"/>
      <c r="RVC546" s="500"/>
      <c r="RVD546" s="500"/>
      <c r="RVE546" s="500"/>
      <c r="RVF546" s="500"/>
      <c r="RVG546" s="500"/>
      <c r="RVH546" s="500"/>
      <c r="RVI546" s="500"/>
      <c r="RVJ546" s="500"/>
      <c r="RVK546" s="500"/>
      <c r="RVL546" s="500"/>
      <c r="RVM546" s="500"/>
      <c r="RVN546" s="500"/>
      <c r="RVO546" s="500"/>
      <c r="RVP546" s="500"/>
      <c r="RVQ546" s="500"/>
      <c r="RVR546" s="500"/>
      <c r="RVS546" s="500"/>
      <c r="RVT546" s="500"/>
      <c r="RVU546" s="500"/>
      <c r="RVV546" s="500"/>
      <c r="RVW546" s="500"/>
      <c r="RVX546" s="500"/>
      <c r="RVY546" s="500"/>
      <c r="RVZ546" s="500"/>
      <c r="RWA546" s="500"/>
      <c r="RWB546" s="500"/>
      <c r="RWC546" s="500"/>
      <c r="RWD546" s="500"/>
      <c r="RWE546" s="500"/>
      <c r="RWF546" s="500"/>
      <c r="RWG546" s="500"/>
      <c r="RWH546" s="500"/>
      <c r="RWI546" s="500"/>
      <c r="RWJ546" s="500"/>
      <c r="RWK546" s="500"/>
      <c r="RWL546" s="500"/>
      <c r="RWM546" s="500"/>
      <c r="RWN546" s="500"/>
      <c r="RWO546" s="500"/>
      <c r="RWP546" s="500"/>
      <c r="RWQ546" s="500"/>
      <c r="RWR546" s="500"/>
      <c r="RWS546" s="500"/>
      <c r="RWT546" s="500"/>
      <c r="RWU546" s="500"/>
      <c r="RWV546" s="500"/>
      <c r="RWW546" s="500"/>
      <c r="RWX546" s="500"/>
      <c r="RWY546" s="500"/>
      <c r="RWZ546" s="500"/>
      <c r="RXA546" s="500"/>
      <c r="RXB546" s="500"/>
      <c r="RXC546" s="500"/>
      <c r="RXD546" s="500"/>
      <c r="RXE546" s="500"/>
      <c r="RXF546" s="500"/>
      <c r="RXG546" s="500"/>
      <c r="RXH546" s="500"/>
      <c r="RXI546" s="500"/>
      <c r="RXJ546" s="500"/>
      <c r="RXK546" s="500"/>
      <c r="RXL546" s="500"/>
      <c r="RXM546" s="500"/>
      <c r="RXN546" s="500"/>
      <c r="RXO546" s="500"/>
      <c r="RXP546" s="500"/>
      <c r="RXQ546" s="500"/>
      <c r="RXR546" s="500"/>
      <c r="RXS546" s="500"/>
      <c r="RXT546" s="500"/>
      <c r="RXU546" s="500"/>
      <c r="RXV546" s="500"/>
      <c r="RXW546" s="500"/>
      <c r="RXX546" s="500"/>
      <c r="RXY546" s="500"/>
      <c r="RXZ546" s="500"/>
      <c r="RYA546" s="500"/>
      <c r="RYB546" s="500"/>
      <c r="RYC546" s="500"/>
      <c r="RYD546" s="500"/>
      <c r="RYE546" s="500"/>
      <c r="RYF546" s="500"/>
      <c r="RYG546" s="500"/>
      <c r="RYH546" s="500"/>
      <c r="RYI546" s="500"/>
      <c r="RYJ546" s="500"/>
      <c r="RYK546" s="500"/>
      <c r="RYL546" s="500"/>
      <c r="RYM546" s="500"/>
      <c r="RYN546" s="500"/>
      <c r="RYO546" s="500"/>
      <c r="RYP546" s="500"/>
      <c r="RYQ546" s="500"/>
      <c r="RYR546" s="500"/>
      <c r="RYS546" s="500"/>
      <c r="RYT546" s="500"/>
      <c r="RYU546" s="500"/>
      <c r="RYV546" s="500"/>
      <c r="RYW546" s="500"/>
      <c r="RYX546" s="500"/>
      <c r="RYY546" s="500"/>
      <c r="RYZ546" s="500"/>
      <c r="RZA546" s="500"/>
      <c r="RZB546" s="500"/>
      <c r="RZC546" s="500"/>
      <c r="RZD546" s="500"/>
      <c r="RZE546" s="500"/>
      <c r="RZF546" s="500"/>
      <c r="RZG546" s="500"/>
      <c r="RZH546" s="500"/>
      <c r="RZI546" s="500"/>
      <c r="RZJ546" s="500"/>
      <c r="RZK546" s="500"/>
      <c r="RZL546" s="500"/>
      <c r="RZM546" s="500"/>
      <c r="RZN546" s="500"/>
      <c r="RZO546" s="500"/>
      <c r="RZP546" s="500"/>
      <c r="RZQ546" s="500"/>
      <c r="RZR546" s="500"/>
      <c r="RZS546" s="500"/>
      <c r="RZT546" s="500"/>
      <c r="RZU546" s="500"/>
      <c r="RZV546" s="500"/>
      <c r="RZW546" s="500"/>
      <c r="RZX546" s="500"/>
      <c r="RZY546" s="500"/>
      <c r="RZZ546" s="500"/>
      <c r="SAA546" s="500"/>
      <c r="SAB546" s="500"/>
      <c r="SAC546" s="500"/>
      <c r="SAD546" s="500"/>
      <c r="SAE546" s="500"/>
      <c r="SAF546" s="500"/>
      <c r="SAG546" s="500"/>
      <c r="SAH546" s="500"/>
      <c r="SAI546" s="500"/>
      <c r="SAJ546" s="500"/>
      <c r="SAK546" s="500"/>
      <c r="SAL546" s="500"/>
      <c r="SAM546" s="500"/>
      <c r="SAN546" s="500"/>
      <c r="SAO546" s="500"/>
      <c r="SAP546" s="500"/>
      <c r="SAQ546" s="500"/>
      <c r="SAR546" s="500"/>
      <c r="SAS546" s="500"/>
      <c r="SAT546" s="500"/>
      <c r="SAU546" s="500"/>
      <c r="SAV546" s="500"/>
      <c r="SAW546" s="500"/>
      <c r="SAX546" s="500"/>
      <c r="SAY546" s="500"/>
      <c r="SAZ546" s="500"/>
      <c r="SBA546" s="500"/>
      <c r="SBB546" s="500"/>
      <c r="SBC546" s="500"/>
      <c r="SBD546" s="500"/>
      <c r="SBE546" s="500"/>
      <c r="SBF546" s="500"/>
      <c r="SBG546" s="500"/>
      <c r="SBH546" s="500"/>
      <c r="SBI546" s="500"/>
      <c r="SBJ546" s="500"/>
      <c r="SBK546" s="500"/>
      <c r="SBL546" s="500"/>
      <c r="SBM546" s="500"/>
      <c r="SBN546" s="500"/>
      <c r="SBO546" s="500"/>
      <c r="SBP546" s="500"/>
      <c r="SBQ546" s="500"/>
      <c r="SBR546" s="500"/>
      <c r="SBS546" s="500"/>
      <c r="SBT546" s="500"/>
      <c r="SBU546" s="500"/>
      <c r="SBV546" s="500"/>
      <c r="SBW546" s="500"/>
      <c r="SBX546" s="500"/>
      <c r="SBY546" s="500"/>
      <c r="SBZ546" s="500"/>
      <c r="SCA546" s="500"/>
      <c r="SCB546" s="500"/>
      <c r="SCC546" s="500"/>
      <c r="SCD546" s="500"/>
      <c r="SCE546" s="500"/>
      <c r="SCF546" s="500"/>
      <c r="SCG546" s="500"/>
      <c r="SCH546" s="500"/>
      <c r="SCI546" s="500"/>
      <c r="SCJ546" s="500"/>
      <c r="SCK546" s="500"/>
      <c r="SCL546" s="500"/>
      <c r="SCM546" s="500"/>
      <c r="SCN546" s="500"/>
      <c r="SCO546" s="500"/>
      <c r="SCP546" s="500"/>
      <c r="SCQ546" s="500"/>
      <c r="SCR546" s="500"/>
      <c r="SCS546" s="500"/>
      <c r="SCT546" s="500"/>
      <c r="SCU546" s="500"/>
      <c r="SCV546" s="500"/>
      <c r="SCW546" s="500"/>
      <c r="SCX546" s="500"/>
      <c r="SCY546" s="500"/>
      <c r="SCZ546" s="500"/>
      <c r="SDA546" s="500"/>
      <c r="SDB546" s="500"/>
      <c r="SDC546" s="500"/>
      <c r="SDD546" s="500"/>
      <c r="SDE546" s="500"/>
      <c r="SDF546" s="500"/>
      <c r="SDG546" s="500"/>
      <c r="SDH546" s="500"/>
      <c r="SDI546" s="500"/>
      <c r="SDJ546" s="500"/>
      <c r="SDK546" s="500"/>
      <c r="SDL546" s="500"/>
      <c r="SDM546" s="500"/>
      <c r="SDN546" s="500"/>
      <c r="SDO546" s="500"/>
      <c r="SDP546" s="500"/>
      <c r="SDQ546" s="500"/>
      <c r="SDR546" s="500"/>
      <c r="SDS546" s="500"/>
      <c r="SDT546" s="500"/>
      <c r="SDU546" s="500"/>
      <c r="SDV546" s="500"/>
      <c r="SDW546" s="500"/>
      <c r="SDX546" s="500"/>
      <c r="SDY546" s="500"/>
      <c r="SDZ546" s="500"/>
      <c r="SEA546" s="500"/>
      <c r="SEB546" s="500"/>
      <c r="SEC546" s="500"/>
      <c r="SED546" s="500"/>
      <c r="SEE546" s="500"/>
      <c r="SEF546" s="500"/>
      <c r="SEG546" s="500"/>
      <c r="SEH546" s="500"/>
      <c r="SEI546" s="500"/>
      <c r="SEJ546" s="500"/>
      <c r="SEK546" s="500"/>
      <c r="SEL546" s="500"/>
      <c r="SEM546" s="500"/>
      <c r="SEN546" s="500"/>
      <c r="SEO546" s="500"/>
      <c r="SEP546" s="500"/>
      <c r="SEQ546" s="500"/>
      <c r="SER546" s="500"/>
      <c r="SES546" s="500"/>
      <c r="SET546" s="500"/>
      <c r="SEU546" s="500"/>
      <c r="SEV546" s="500"/>
      <c r="SEW546" s="500"/>
      <c r="SEX546" s="500"/>
      <c r="SEY546" s="500"/>
      <c r="SEZ546" s="500"/>
      <c r="SFA546" s="500"/>
      <c r="SFB546" s="500"/>
      <c r="SFC546" s="500"/>
      <c r="SFD546" s="500"/>
      <c r="SFE546" s="500"/>
      <c r="SFF546" s="500"/>
      <c r="SFG546" s="500"/>
      <c r="SFH546" s="500"/>
      <c r="SFI546" s="500"/>
      <c r="SFJ546" s="500"/>
      <c r="SFK546" s="500"/>
      <c r="SFL546" s="500"/>
      <c r="SFM546" s="500"/>
      <c r="SFN546" s="500"/>
      <c r="SFO546" s="500"/>
      <c r="SFP546" s="500"/>
      <c r="SFQ546" s="500"/>
      <c r="SFR546" s="500"/>
      <c r="SFS546" s="500"/>
      <c r="SFT546" s="500"/>
      <c r="SFU546" s="500"/>
      <c r="SFV546" s="500"/>
      <c r="SFW546" s="500"/>
      <c r="SFX546" s="500"/>
      <c r="SFY546" s="500"/>
      <c r="SFZ546" s="500"/>
      <c r="SGA546" s="500"/>
      <c r="SGB546" s="500"/>
      <c r="SGC546" s="500"/>
      <c r="SGD546" s="500"/>
      <c r="SGE546" s="500"/>
      <c r="SGF546" s="500"/>
      <c r="SGG546" s="500"/>
      <c r="SGH546" s="500"/>
      <c r="SGI546" s="500"/>
      <c r="SGJ546" s="500"/>
      <c r="SGK546" s="500"/>
      <c r="SGL546" s="500"/>
      <c r="SGM546" s="500"/>
      <c r="SGN546" s="500"/>
      <c r="SGO546" s="500"/>
      <c r="SGP546" s="500"/>
      <c r="SGQ546" s="500"/>
      <c r="SGR546" s="500"/>
      <c r="SGS546" s="500"/>
      <c r="SGT546" s="500"/>
      <c r="SGU546" s="500"/>
      <c r="SGV546" s="500"/>
      <c r="SGW546" s="500"/>
      <c r="SGX546" s="500"/>
      <c r="SGY546" s="500"/>
      <c r="SGZ546" s="500"/>
      <c r="SHA546" s="500"/>
      <c r="SHB546" s="500"/>
      <c r="SHC546" s="500"/>
      <c r="SHD546" s="500"/>
      <c r="SHE546" s="500"/>
      <c r="SHF546" s="500"/>
      <c r="SHG546" s="500"/>
      <c r="SHH546" s="500"/>
      <c r="SHI546" s="500"/>
      <c r="SHJ546" s="500"/>
      <c r="SHK546" s="500"/>
      <c r="SHL546" s="500"/>
      <c r="SHM546" s="500"/>
      <c r="SHN546" s="500"/>
      <c r="SHO546" s="500"/>
      <c r="SHP546" s="500"/>
      <c r="SHQ546" s="500"/>
      <c r="SHR546" s="500"/>
      <c r="SHS546" s="500"/>
      <c r="SHT546" s="500"/>
      <c r="SHU546" s="500"/>
      <c r="SHV546" s="500"/>
      <c r="SHW546" s="500"/>
      <c r="SHX546" s="500"/>
      <c r="SHY546" s="500"/>
      <c r="SHZ546" s="500"/>
      <c r="SIA546" s="500"/>
      <c r="SIB546" s="500"/>
      <c r="SIC546" s="500"/>
      <c r="SID546" s="500"/>
      <c r="SIE546" s="500"/>
      <c r="SIF546" s="500"/>
      <c r="SIG546" s="500"/>
      <c r="SIH546" s="500"/>
      <c r="SII546" s="500"/>
      <c r="SIJ546" s="500"/>
      <c r="SIK546" s="500"/>
      <c r="SIL546" s="500"/>
      <c r="SIM546" s="500"/>
      <c r="SIN546" s="500"/>
      <c r="SIO546" s="500"/>
      <c r="SIP546" s="500"/>
      <c r="SIQ546" s="500"/>
      <c r="SIR546" s="500"/>
      <c r="SIS546" s="500"/>
      <c r="SIT546" s="500"/>
      <c r="SIU546" s="500"/>
      <c r="SIV546" s="500"/>
      <c r="SIW546" s="500"/>
      <c r="SIX546" s="500"/>
      <c r="SIY546" s="500"/>
      <c r="SIZ546" s="500"/>
      <c r="SJA546" s="500"/>
      <c r="SJB546" s="500"/>
      <c r="SJC546" s="500"/>
      <c r="SJD546" s="500"/>
      <c r="SJE546" s="500"/>
      <c r="SJF546" s="500"/>
      <c r="SJG546" s="500"/>
      <c r="SJH546" s="500"/>
      <c r="SJI546" s="500"/>
      <c r="SJJ546" s="500"/>
      <c r="SJK546" s="500"/>
      <c r="SJL546" s="500"/>
      <c r="SJM546" s="500"/>
      <c r="SJN546" s="500"/>
      <c r="SJO546" s="500"/>
      <c r="SJP546" s="500"/>
      <c r="SJQ546" s="500"/>
      <c r="SJR546" s="500"/>
      <c r="SJS546" s="500"/>
      <c r="SJT546" s="500"/>
      <c r="SJU546" s="500"/>
      <c r="SJV546" s="500"/>
      <c r="SJW546" s="500"/>
      <c r="SJX546" s="500"/>
      <c r="SJY546" s="500"/>
      <c r="SJZ546" s="500"/>
      <c r="SKA546" s="500"/>
      <c r="SKB546" s="500"/>
      <c r="SKC546" s="500"/>
      <c r="SKD546" s="500"/>
      <c r="SKE546" s="500"/>
      <c r="SKF546" s="500"/>
      <c r="SKG546" s="500"/>
      <c r="SKH546" s="500"/>
      <c r="SKI546" s="500"/>
      <c r="SKJ546" s="500"/>
      <c r="SKK546" s="500"/>
      <c r="SKL546" s="500"/>
      <c r="SKM546" s="500"/>
      <c r="SKN546" s="500"/>
      <c r="SKO546" s="500"/>
      <c r="SKP546" s="500"/>
      <c r="SKQ546" s="500"/>
      <c r="SKR546" s="500"/>
      <c r="SKS546" s="500"/>
      <c r="SKT546" s="500"/>
      <c r="SKU546" s="500"/>
      <c r="SKV546" s="500"/>
      <c r="SKW546" s="500"/>
      <c r="SKX546" s="500"/>
      <c r="SKY546" s="500"/>
      <c r="SKZ546" s="500"/>
      <c r="SLA546" s="500"/>
      <c r="SLB546" s="500"/>
      <c r="SLC546" s="500"/>
      <c r="SLD546" s="500"/>
      <c r="SLE546" s="500"/>
      <c r="SLF546" s="500"/>
      <c r="SLG546" s="500"/>
      <c r="SLH546" s="500"/>
      <c r="SLI546" s="500"/>
      <c r="SLJ546" s="500"/>
      <c r="SLK546" s="500"/>
      <c r="SLL546" s="500"/>
      <c r="SLM546" s="500"/>
      <c r="SLN546" s="500"/>
      <c r="SLO546" s="500"/>
      <c r="SLP546" s="500"/>
      <c r="SLQ546" s="500"/>
      <c r="SLR546" s="500"/>
      <c r="SLS546" s="500"/>
      <c r="SLT546" s="500"/>
      <c r="SLU546" s="500"/>
      <c r="SLV546" s="500"/>
      <c r="SLW546" s="500"/>
      <c r="SLX546" s="500"/>
      <c r="SLY546" s="500"/>
      <c r="SLZ546" s="500"/>
      <c r="SMA546" s="500"/>
      <c r="SMB546" s="500"/>
      <c r="SMC546" s="500"/>
      <c r="SMD546" s="500"/>
      <c r="SME546" s="500"/>
      <c r="SMF546" s="500"/>
      <c r="SMG546" s="500"/>
      <c r="SMH546" s="500"/>
      <c r="SMI546" s="500"/>
      <c r="SMJ546" s="500"/>
      <c r="SMK546" s="500"/>
      <c r="SML546" s="500"/>
      <c r="SMM546" s="500"/>
      <c r="SMN546" s="500"/>
      <c r="SMO546" s="500"/>
      <c r="SMP546" s="500"/>
      <c r="SMQ546" s="500"/>
      <c r="SMR546" s="500"/>
      <c r="SMS546" s="500"/>
      <c r="SMT546" s="500"/>
      <c r="SMU546" s="500"/>
      <c r="SMV546" s="500"/>
      <c r="SMW546" s="500"/>
      <c r="SMX546" s="500"/>
      <c r="SMY546" s="500"/>
      <c r="SMZ546" s="500"/>
      <c r="SNA546" s="500"/>
      <c r="SNB546" s="500"/>
      <c r="SNC546" s="500"/>
      <c r="SND546" s="500"/>
      <c r="SNE546" s="500"/>
      <c r="SNF546" s="500"/>
      <c r="SNG546" s="500"/>
      <c r="SNH546" s="500"/>
      <c r="SNI546" s="500"/>
      <c r="SNJ546" s="500"/>
      <c r="SNK546" s="500"/>
      <c r="SNL546" s="500"/>
      <c r="SNM546" s="500"/>
      <c r="SNN546" s="500"/>
      <c r="SNO546" s="500"/>
      <c r="SNP546" s="500"/>
      <c r="SNQ546" s="500"/>
      <c r="SNR546" s="500"/>
      <c r="SNS546" s="500"/>
      <c r="SNT546" s="500"/>
      <c r="SNU546" s="500"/>
      <c r="SNV546" s="500"/>
      <c r="SNW546" s="500"/>
      <c r="SNX546" s="500"/>
      <c r="SNY546" s="500"/>
      <c r="SNZ546" s="500"/>
      <c r="SOA546" s="500"/>
      <c r="SOB546" s="500"/>
      <c r="SOC546" s="500"/>
      <c r="SOD546" s="500"/>
      <c r="SOE546" s="500"/>
      <c r="SOF546" s="500"/>
      <c r="SOG546" s="500"/>
      <c r="SOH546" s="500"/>
      <c r="SOI546" s="500"/>
      <c r="SOJ546" s="500"/>
      <c r="SOK546" s="500"/>
      <c r="SOL546" s="500"/>
      <c r="SOM546" s="500"/>
      <c r="SON546" s="500"/>
      <c r="SOO546" s="500"/>
      <c r="SOP546" s="500"/>
      <c r="SOQ546" s="500"/>
      <c r="SOR546" s="500"/>
      <c r="SOS546" s="500"/>
      <c r="SOT546" s="500"/>
      <c r="SOU546" s="500"/>
      <c r="SOV546" s="500"/>
      <c r="SOW546" s="500"/>
      <c r="SOX546" s="500"/>
      <c r="SOY546" s="500"/>
      <c r="SOZ546" s="500"/>
      <c r="SPA546" s="500"/>
      <c r="SPB546" s="500"/>
      <c r="SPC546" s="500"/>
      <c r="SPD546" s="500"/>
      <c r="SPE546" s="500"/>
      <c r="SPF546" s="500"/>
      <c r="SPG546" s="500"/>
      <c r="SPH546" s="500"/>
      <c r="SPI546" s="500"/>
      <c r="SPJ546" s="500"/>
      <c r="SPK546" s="500"/>
      <c r="SPL546" s="500"/>
      <c r="SPM546" s="500"/>
      <c r="SPN546" s="500"/>
      <c r="SPO546" s="500"/>
      <c r="SPP546" s="500"/>
      <c r="SPQ546" s="500"/>
      <c r="SPR546" s="500"/>
      <c r="SPS546" s="500"/>
      <c r="SPT546" s="500"/>
      <c r="SPU546" s="500"/>
      <c r="SPV546" s="500"/>
      <c r="SPW546" s="500"/>
      <c r="SPX546" s="500"/>
      <c r="SPY546" s="500"/>
      <c r="SPZ546" s="500"/>
      <c r="SQA546" s="500"/>
      <c r="SQB546" s="500"/>
      <c r="SQC546" s="500"/>
      <c r="SQD546" s="500"/>
      <c r="SQE546" s="500"/>
      <c r="SQF546" s="500"/>
      <c r="SQG546" s="500"/>
      <c r="SQH546" s="500"/>
      <c r="SQI546" s="500"/>
      <c r="SQJ546" s="500"/>
      <c r="SQK546" s="500"/>
      <c r="SQL546" s="500"/>
      <c r="SQM546" s="500"/>
      <c r="SQN546" s="500"/>
      <c r="SQO546" s="500"/>
      <c r="SQP546" s="500"/>
      <c r="SQQ546" s="500"/>
      <c r="SQR546" s="500"/>
      <c r="SQS546" s="500"/>
      <c r="SQT546" s="500"/>
      <c r="SQU546" s="500"/>
      <c r="SQV546" s="500"/>
      <c r="SQW546" s="500"/>
      <c r="SQX546" s="500"/>
      <c r="SQY546" s="500"/>
      <c r="SQZ546" s="500"/>
      <c r="SRA546" s="500"/>
      <c r="SRB546" s="500"/>
      <c r="SRC546" s="500"/>
      <c r="SRD546" s="500"/>
      <c r="SRE546" s="500"/>
      <c r="SRF546" s="500"/>
      <c r="SRG546" s="500"/>
      <c r="SRH546" s="500"/>
      <c r="SRI546" s="500"/>
      <c r="SRJ546" s="500"/>
      <c r="SRK546" s="500"/>
      <c r="SRL546" s="500"/>
      <c r="SRM546" s="500"/>
      <c r="SRN546" s="500"/>
      <c r="SRO546" s="500"/>
      <c r="SRP546" s="500"/>
      <c r="SRQ546" s="500"/>
      <c r="SRR546" s="500"/>
      <c r="SRS546" s="500"/>
      <c r="SRT546" s="500"/>
      <c r="SRU546" s="500"/>
      <c r="SRV546" s="500"/>
      <c r="SRW546" s="500"/>
      <c r="SRX546" s="500"/>
      <c r="SRY546" s="500"/>
      <c r="SRZ546" s="500"/>
      <c r="SSA546" s="500"/>
      <c r="SSB546" s="500"/>
      <c r="SSC546" s="500"/>
      <c r="SSD546" s="500"/>
      <c r="SSE546" s="500"/>
      <c r="SSF546" s="500"/>
      <c r="SSG546" s="500"/>
      <c r="SSH546" s="500"/>
      <c r="SSI546" s="500"/>
      <c r="SSJ546" s="500"/>
      <c r="SSK546" s="500"/>
      <c r="SSL546" s="500"/>
      <c r="SSM546" s="500"/>
      <c r="SSN546" s="500"/>
      <c r="SSO546" s="500"/>
      <c r="SSP546" s="500"/>
      <c r="SSQ546" s="500"/>
      <c r="SSR546" s="500"/>
      <c r="SSS546" s="500"/>
      <c r="SST546" s="500"/>
      <c r="SSU546" s="500"/>
      <c r="SSV546" s="500"/>
      <c r="SSW546" s="500"/>
      <c r="SSX546" s="500"/>
      <c r="SSY546" s="500"/>
      <c r="SSZ546" s="500"/>
      <c r="STA546" s="500"/>
      <c r="STB546" s="500"/>
      <c r="STC546" s="500"/>
      <c r="STD546" s="500"/>
      <c r="STE546" s="500"/>
      <c r="STF546" s="500"/>
      <c r="STG546" s="500"/>
      <c r="STH546" s="500"/>
      <c r="STI546" s="500"/>
      <c r="STJ546" s="500"/>
      <c r="STK546" s="500"/>
      <c r="STL546" s="500"/>
      <c r="STM546" s="500"/>
      <c r="STN546" s="500"/>
      <c r="STO546" s="500"/>
      <c r="STP546" s="500"/>
      <c r="STQ546" s="500"/>
      <c r="STR546" s="500"/>
      <c r="STS546" s="500"/>
      <c r="STT546" s="500"/>
      <c r="STU546" s="500"/>
      <c r="STV546" s="500"/>
      <c r="STW546" s="500"/>
      <c r="STX546" s="500"/>
      <c r="STY546" s="500"/>
      <c r="STZ546" s="500"/>
      <c r="SUA546" s="500"/>
      <c r="SUB546" s="500"/>
      <c r="SUC546" s="500"/>
      <c r="SUD546" s="500"/>
      <c r="SUE546" s="500"/>
      <c r="SUF546" s="500"/>
      <c r="SUG546" s="500"/>
      <c r="SUH546" s="500"/>
      <c r="SUI546" s="500"/>
      <c r="SUJ546" s="500"/>
      <c r="SUK546" s="500"/>
      <c r="SUL546" s="500"/>
      <c r="SUM546" s="500"/>
      <c r="SUN546" s="500"/>
      <c r="SUO546" s="500"/>
      <c r="SUP546" s="500"/>
      <c r="SUQ546" s="500"/>
      <c r="SUR546" s="500"/>
      <c r="SUS546" s="500"/>
      <c r="SUT546" s="500"/>
      <c r="SUU546" s="500"/>
      <c r="SUV546" s="500"/>
      <c r="SUW546" s="500"/>
      <c r="SUX546" s="500"/>
      <c r="SUY546" s="500"/>
      <c r="SUZ546" s="500"/>
      <c r="SVA546" s="500"/>
      <c r="SVB546" s="500"/>
      <c r="SVC546" s="500"/>
      <c r="SVD546" s="500"/>
      <c r="SVE546" s="500"/>
      <c r="SVF546" s="500"/>
      <c r="SVG546" s="500"/>
      <c r="SVH546" s="500"/>
      <c r="SVI546" s="500"/>
      <c r="SVJ546" s="500"/>
      <c r="SVK546" s="500"/>
      <c r="SVL546" s="500"/>
      <c r="SVM546" s="500"/>
      <c r="SVN546" s="500"/>
      <c r="SVO546" s="500"/>
      <c r="SVP546" s="500"/>
      <c r="SVQ546" s="500"/>
      <c r="SVR546" s="500"/>
      <c r="SVS546" s="500"/>
      <c r="SVT546" s="500"/>
      <c r="SVU546" s="500"/>
      <c r="SVV546" s="500"/>
      <c r="SVW546" s="500"/>
      <c r="SVX546" s="500"/>
      <c r="SVY546" s="500"/>
      <c r="SVZ546" s="500"/>
      <c r="SWA546" s="500"/>
      <c r="SWB546" s="500"/>
      <c r="SWC546" s="500"/>
      <c r="SWD546" s="500"/>
      <c r="SWE546" s="500"/>
      <c r="SWF546" s="500"/>
      <c r="SWG546" s="500"/>
      <c r="SWH546" s="500"/>
      <c r="SWI546" s="500"/>
      <c r="SWJ546" s="500"/>
      <c r="SWK546" s="500"/>
      <c r="SWL546" s="500"/>
      <c r="SWM546" s="500"/>
      <c r="SWN546" s="500"/>
      <c r="SWO546" s="500"/>
      <c r="SWP546" s="500"/>
      <c r="SWQ546" s="500"/>
      <c r="SWR546" s="500"/>
      <c r="SWS546" s="500"/>
      <c r="SWT546" s="500"/>
      <c r="SWU546" s="500"/>
      <c r="SWV546" s="500"/>
      <c r="SWW546" s="500"/>
      <c r="SWX546" s="500"/>
      <c r="SWY546" s="500"/>
      <c r="SWZ546" s="500"/>
      <c r="SXA546" s="500"/>
      <c r="SXB546" s="500"/>
      <c r="SXC546" s="500"/>
      <c r="SXD546" s="500"/>
      <c r="SXE546" s="500"/>
      <c r="SXF546" s="500"/>
      <c r="SXG546" s="500"/>
      <c r="SXH546" s="500"/>
      <c r="SXI546" s="500"/>
      <c r="SXJ546" s="500"/>
      <c r="SXK546" s="500"/>
      <c r="SXL546" s="500"/>
      <c r="SXM546" s="500"/>
      <c r="SXN546" s="500"/>
      <c r="SXO546" s="500"/>
      <c r="SXP546" s="500"/>
      <c r="SXQ546" s="500"/>
      <c r="SXR546" s="500"/>
      <c r="SXS546" s="500"/>
      <c r="SXT546" s="500"/>
      <c r="SXU546" s="500"/>
      <c r="SXV546" s="500"/>
      <c r="SXW546" s="500"/>
      <c r="SXX546" s="500"/>
      <c r="SXY546" s="500"/>
      <c r="SXZ546" s="500"/>
      <c r="SYA546" s="500"/>
      <c r="SYB546" s="500"/>
      <c r="SYC546" s="500"/>
      <c r="SYD546" s="500"/>
      <c r="SYE546" s="500"/>
      <c r="SYF546" s="500"/>
      <c r="SYG546" s="500"/>
      <c r="SYH546" s="500"/>
      <c r="SYI546" s="500"/>
      <c r="SYJ546" s="500"/>
      <c r="SYK546" s="500"/>
      <c r="SYL546" s="500"/>
      <c r="SYM546" s="500"/>
      <c r="SYN546" s="500"/>
      <c r="SYO546" s="500"/>
      <c r="SYP546" s="500"/>
      <c r="SYQ546" s="500"/>
      <c r="SYR546" s="500"/>
      <c r="SYS546" s="500"/>
      <c r="SYT546" s="500"/>
      <c r="SYU546" s="500"/>
      <c r="SYV546" s="500"/>
      <c r="SYW546" s="500"/>
      <c r="SYX546" s="500"/>
      <c r="SYY546" s="500"/>
      <c r="SYZ546" s="500"/>
      <c r="SZA546" s="500"/>
      <c r="SZB546" s="500"/>
      <c r="SZC546" s="500"/>
      <c r="SZD546" s="500"/>
      <c r="SZE546" s="500"/>
      <c r="SZF546" s="500"/>
      <c r="SZG546" s="500"/>
      <c r="SZH546" s="500"/>
      <c r="SZI546" s="500"/>
      <c r="SZJ546" s="500"/>
      <c r="SZK546" s="500"/>
      <c r="SZL546" s="500"/>
      <c r="SZM546" s="500"/>
      <c r="SZN546" s="500"/>
      <c r="SZO546" s="500"/>
      <c r="SZP546" s="500"/>
      <c r="SZQ546" s="500"/>
      <c r="SZR546" s="500"/>
      <c r="SZS546" s="500"/>
      <c r="SZT546" s="500"/>
      <c r="SZU546" s="500"/>
      <c r="SZV546" s="500"/>
      <c r="SZW546" s="500"/>
      <c r="SZX546" s="500"/>
      <c r="SZY546" s="500"/>
      <c r="SZZ546" s="500"/>
      <c r="TAA546" s="500"/>
      <c r="TAB546" s="500"/>
      <c r="TAC546" s="500"/>
      <c r="TAD546" s="500"/>
      <c r="TAE546" s="500"/>
      <c r="TAF546" s="500"/>
      <c r="TAG546" s="500"/>
      <c r="TAH546" s="500"/>
      <c r="TAI546" s="500"/>
      <c r="TAJ546" s="500"/>
      <c r="TAK546" s="500"/>
      <c r="TAL546" s="500"/>
      <c r="TAM546" s="500"/>
      <c r="TAN546" s="500"/>
      <c r="TAO546" s="500"/>
      <c r="TAP546" s="500"/>
      <c r="TAQ546" s="500"/>
      <c r="TAR546" s="500"/>
      <c r="TAS546" s="500"/>
      <c r="TAT546" s="500"/>
      <c r="TAU546" s="500"/>
      <c r="TAV546" s="500"/>
      <c r="TAW546" s="500"/>
      <c r="TAX546" s="500"/>
      <c r="TAY546" s="500"/>
      <c r="TAZ546" s="500"/>
      <c r="TBA546" s="500"/>
      <c r="TBB546" s="500"/>
      <c r="TBC546" s="500"/>
      <c r="TBD546" s="500"/>
      <c r="TBE546" s="500"/>
      <c r="TBF546" s="500"/>
      <c r="TBG546" s="500"/>
      <c r="TBH546" s="500"/>
      <c r="TBI546" s="500"/>
      <c r="TBJ546" s="500"/>
      <c r="TBK546" s="500"/>
      <c r="TBL546" s="500"/>
      <c r="TBM546" s="500"/>
      <c r="TBN546" s="500"/>
      <c r="TBO546" s="500"/>
      <c r="TBP546" s="500"/>
      <c r="TBQ546" s="500"/>
      <c r="TBR546" s="500"/>
      <c r="TBS546" s="500"/>
      <c r="TBT546" s="500"/>
      <c r="TBU546" s="500"/>
      <c r="TBV546" s="500"/>
      <c r="TBW546" s="500"/>
      <c r="TBX546" s="500"/>
      <c r="TBY546" s="500"/>
      <c r="TBZ546" s="500"/>
      <c r="TCA546" s="500"/>
      <c r="TCB546" s="500"/>
      <c r="TCC546" s="500"/>
      <c r="TCD546" s="500"/>
      <c r="TCE546" s="500"/>
      <c r="TCF546" s="500"/>
      <c r="TCG546" s="500"/>
      <c r="TCH546" s="500"/>
      <c r="TCI546" s="500"/>
      <c r="TCJ546" s="500"/>
      <c r="TCK546" s="500"/>
      <c r="TCL546" s="500"/>
      <c r="TCM546" s="500"/>
      <c r="TCN546" s="500"/>
      <c r="TCO546" s="500"/>
      <c r="TCP546" s="500"/>
      <c r="TCQ546" s="500"/>
      <c r="TCR546" s="500"/>
      <c r="TCS546" s="500"/>
      <c r="TCT546" s="500"/>
      <c r="TCU546" s="500"/>
      <c r="TCV546" s="500"/>
      <c r="TCW546" s="500"/>
      <c r="TCX546" s="500"/>
      <c r="TCY546" s="500"/>
      <c r="TCZ546" s="500"/>
      <c r="TDA546" s="500"/>
      <c r="TDB546" s="500"/>
      <c r="TDC546" s="500"/>
      <c r="TDD546" s="500"/>
      <c r="TDE546" s="500"/>
      <c r="TDF546" s="500"/>
      <c r="TDG546" s="500"/>
      <c r="TDH546" s="500"/>
      <c r="TDI546" s="500"/>
      <c r="TDJ546" s="500"/>
      <c r="TDK546" s="500"/>
      <c r="TDL546" s="500"/>
      <c r="TDM546" s="500"/>
      <c r="TDN546" s="500"/>
      <c r="TDO546" s="500"/>
      <c r="TDP546" s="500"/>
      <c r="TDQ546" s="500"/>
      <c r="TDR546" s="500"/>
      <c r="TDS546" s="500"/>
      <c r="TDT546" s="500"/>
      <c r="TDU546" s="500"/>
      <c r="TDV546" s="500"/>
      <c r="TDW546" s="500"/>
      <c r="TDX546" s="500"/>
      <c r="TDY546" s="500"/>
      <c r="TDZ546" s="500"/>
      <c r="TEA546" s="500"/>
      <c r="TEB546" s="500"/>
      <c r="TEC546" s="500"/>
      <c r="TED546" s="500"/>
      <c r="TEE546" s="500"/>
      <c r="TEF546" s="500"/>
      <c r="TEG546" s="500"/>
      <c r="TEH546" s="500"/>
      <c r="TEI546" s="500"/>
      <c r="TEJ546" s="500"/>
      <c r="TEK546" s="500"/>
      <c r="TEL546" s="500"/>
      <c r="TEM546" s="500"/>
      <c r="TEN546" s="500"/>
      <c r="TEO546" s="500"/>
      <c r="TEP546" s="500"/>
      <c r="TEQ546" s="500"/>
      <c r="TER546" s="500"/>
      <c r="TES546" s="500"/>
      <c r="TET546" s="500"/>
      <c r="TEU546" s="500"/>
      <c r="TEV546" s="500"/>
      <c r="TEW546" s="500"/>
      <c r="TEX546" s="500"/>
      <c r="TEY546" s="500"/>
      <c r="TEZ546" s="500"/>
      <c r="TFA546" s="500"/>
      <c r="TFB546" s="500"/>
      <c r="TFC546" s="500"/>
      <c r="TFD546" s="500"/>
      <c r="TFE546" s="500"/>
      <c r="TFF546" s="500"/>
      <c r="TFG546" s="500"/>
      <c r="TFH546" s="500"/>
      <c r="TFI546" s="500"/>
      <c r="TFJ546" s="500"/>
      <c r="TFK546" s="500"/>
      <c r="TFL546" s="500"/>
      <c r="TFM546" s="500"/>
      <c r="TFN546" s="500"/>
      <c r="TFO546" s="500"/>
      <c r="TFP546" s="500"/>
      <c r="TFQ546" s="500"/>
      <c r="TFR546" s="500"/>
      <c r="TFS546" s="500"/>
      <c r="TFT546" s="500"/>
      <c r="TFU546" s="500"/>
      <c r="TFV546" s="500"/>
      <c r="TFW546" s="500"/>
      <c r="TFX546" s="500"/>
      <c r="TFY546" s="500"/>
      <c r="TFZ546" s="500"/>
      <c r="TGA546" s="500"/>
      <c r="TGB546" s="500"/>
      <c r="TGC546" s="500"/>
      <c r="TGD546" s="500"/>
      <c r="TGE546" s="500"/>
      <c r="TGF546" s="500"/>
      <c r="TGG546" s="500"/>
      <c r="TGH546" s="500"/>
      <c r="TGI546" s="500"/>
      <c r="TGJ546" s="500"/>
      <c r="TGK546" s="500"/>
      <c r="TGL546" s="500"/>
      <c r="TGM546" s="500"/>
      <c r="TGN546" s="500"/>
      <c r="TGO546" s="500"/>
      <c r="TGP546" s="500"/>
      <c r="TGQ546" s="500"/>
      <c r="TGR546" s="500"/>
      <c r="TGS546" s="500"/>
      <c r="TGT546" s="500"/>
      <c r="TGU546" s="500"/>
      <c r="TGV546" s="500"/>
      <c r="TGW546" s="500"/>
      <c r="TGX546" s="500"/>
      <c r="TGY546" s="500"/>
      <c r="TGZ546" s="500"/>
      <c r="THA546" s="500"/>
      <c r="THB546" s="500"/>
      <c r="THC546" s="500"/>
      <c r="THD546" s="500"/>
      <c r="THE546" s="500"/>
      <c r="THF546" s="500"/>
      <c r="THG546" s="500"/>
      <c r="THH546" s="500"/>
      <c r="THI546" s="500"/>
      <c r="THJ546" s="500"/>
      <c r="THK546" s="500"/>
      <c r="THL546" s="500"/>
      <c r="THM546" s="500"/>
      <c r="THN546" s="500"/>
      <c r="THO546" s="500"/>
      <c r="THP546" s="500"/>
      <c r="THQ546" s="500"/>
      <c r="THR546" s="500"/>
      <c r="THS546" s="500"/>
      <c r="THT546" s="500"/>
      <c r="THU546" s="500"/>
      <c r="THV546" s="500"/>
      <c r="THW546" s="500"/>
      <c r="THX546" s="500"/>
      <c r="THY546" s="500"/>
      <c r="THZ546" s="500"/>
      <c r="TIA546" s="500"/>
      <c r="TIB546" s="500"/>
      <c r="TIC546" s="500"/>
      <c r="TID546" s="500"/>
      <c r="TIE546" s="500"/>
      <c r="TIF546" s="500"/>
      <c r="TIG546" s="500"/>
      <c r="TIH546" s="500"/>
      <c r="TII546" s="500"/>
      <c r="TIJ546" s="500"/>
      <c r="TIK546" s="500"/>
      <c r="TIL546" s="500"/>
      <c r="TIM546" s="500"/>
      <c r="TIN546" s="500"/>
      <c r="TIO546" s="500"/>
      <c r="TIP546" s="500"/>
      <c r="TIQ546" s="500"/>
      <c r="TIR546" s="500"/>
      <c r="TIS546" s="500"/>
      <c r="TIT546" s="500"/>
      <c r="TIU546" s="500"/>
      <c r="TIV546" s="500"/>
      <c r="TIW546" s="500"/>
      <c r="TIX546" s="500"/>
      <c r="TIY546" s="500"/>
      <c r="TIZ546" s="500"/>
      <c r="TJA546" s="500"/>
      <c r="TJB546" s="500"/>
      <c r="TJC546" s="500"/>
      <c r="TJD546" s="500"/>
      <c r="TJE546" s="500"/>
      <c r="TJF546" s="500"/>
      <c r="TJG546" s="500"/>
      <c r="TJH546" s="500"/>
      <c r="TJI546" s="500"/>
      <c r="TJJ546" s="500"/>
      <c r="TJK546" s="500"/>
      <c r="TJL546" s="500"/>
      <c r="TJM546" s="500"/>
      <c r="TJN546" s="500"/>
      <c r="TJO546" s="500"/>
      <c r="TJP546" s="500"/>
      <c r="TJQ546" s="500"/>
      <c r="TJR546" s="500"/>
      <c r="TJS546" s="500"/>
      <c r="TJT546" s="500"/>
      <c r="TJU546" s="500"/>
      <c r="TJV546" s="500"/>
      <c r="TJW546" s="500"/>
      <c r="TJX546" s="500"/>
      <c r="TJY546" s="500"/>
      <c r="TJZ546" s="500"/>
      <c r="TKA546" s="500"/>
      <c r="TKB546" s="500"/>
      <c r="TKC546" s="500"/>
      <c r="TKD546" s="500"/>
      <c r="TKE546" s="500"/>
      <c r="TKF546" s="500"/>
      <c r="TKG546" s="500"/>
      <c r="TKH546" s="500"/>
      <c r="TKI546" s="500"/>
      <c r="TKJ546" s="500"/>
      <c r="TKK546" s="500"/>
      <c r="TKL546" s="500"/>
      <c r="TKM546" s="500"/>
      <c r="TKN546" s="500"/>
      <c r="TKO546" s="500"/>
      <c r="TKP546" s="500"/>
      <c r="TKQ546" s="500"/>
      <c r="TKR546" s="500"/>
      <c r="TKS546" s="500"/>
      <c r="TKT546" s="500"/>
      <c r="TKU546" s="500"/>
      <c r="TKV546" s="500"/>
      <c r="TKW546" s="500"/>
      <c r="TKX546" s="500"/>
      <c r="TKY546" s="500"/>
      <c r="TKZ546" s="500"/>
      <c r="TLA546" s="500"/>
      <c r="TLB546" s="500"/>
      <c r="TLC546" s="500"/>
      <c r="TLD546" s="500"/>
      <c r="TLE546" s="500"/>
      <c r="TLF546" s="500"/>
      <c r="TLG546" s="500"/>
      <c r="TLH546" s="500"/>
      <c r="TLI546" s="500"/>
      <c r="TLJ546" s="500"/>
      <c r="TLK546" s="500"/>
      <c r="TLL546" s="500"/>
      <c r="TLM546" s="500"/>
      <c r="TLN546" s="500"/>
      <c r="TLO546" s="500"/>
      <c r="TLP546" s="500"/>
      <c r="TLQ546" s="500"/>
      <c r="TLR546" s="500"/>
      <c r="TLS546" s="500"/>
      <c r="TLT546" s="500"/>
      <c r="TLU546" s="500"/>
      <c r="TLV546" s="500"/>
      <c r="TLW546" s="500"/>
      <c r="TLX546" s="500"/>
      <c r="TLY546" s="500"/>
      <c r="TLZ546" s="500"/>
      <c r="TMA546" s="500"/>
      <c r="TMB546" s="500"/>
      <c r="TMC546" s="500"/>
      <c r="TMD546" s="500"/>
      <c r="TME546" s="500"/>
      <c r="TMF546" s="500"/>
      <c r="TMG546" s="500"/>
      <c r="TMH546" s="500"/>
      <c r="TMI546" s="500"/>
      <c r="TMJ546" s="500"/>
      <c r="TMK546" s="500"/>
      <c r="TML546" s="500"/>
      <c r="TMM546" s="500"/>
      <c r="TMN546" s="500"/>
      <c r="TMO546" s="500"/>
      <c r="TMP546" s="500"/>
      <c r="TMQ546" s="500"/>
      <c r="TMR546" s="500"/>
      <c r="TMS546" s="500"/>
      <c r="TMT546" s="500"/>
      <c r="TMU546" s="500"/>
      <c r="TMV546" s="500"/>
      <c r="TMW546" s="500"/>
      <c r="TMX546" s="500"/>
      <c r="TMY546" s="500"/>
      <c r="TMZ546" s="500"/>
      <c r="TNA546" s="500"/>
      <c r="TNB546" s="500"/>
      <c r="TNC546" s="500"/>
      <c r="TND546" s="500"/>
      <c r="TNE546" s="500"/>
      <c r="TNF546" s="500"/>
      <c r="TNG546" s="500"/>
      <c r="TNH546" s="500"/>
      <c r="TNI546" s="500"/>
      <c r="TNJ546" s="500"/>
      <c r="TNK546" s="500"/>
      <c r="TNL546" s="500"/>
      <c r="TNM546" s="500"/>
      <c r="TNN546" s="500"/>
      <c r="TNO546" s="500"/>
      <c r="TNP546" s="500"/>
      <c r="TNQ546" s="500"/>
      <c r="TNR546" s="500"/>
      <c r="TNS546" s="500"/>
      <c r="TNT546" s="500"/>
      <c r="TNU546" s="500"/>
      <c r="TNV546" s="500"/>
      <c r="TNW546" s="500"/>
      <c r="TNX546" s="500"/>
      <c r="TNY546" s="500"/>
      <c r="TNZ546" s="500"/>
      <c r="TOA546" s="500"/>
      <c r="TOB546" s="500"/>
      <c r="TOC546" s="500"/>
      <c r="TOD546" s="500"/>
      <c r="TOE546" s="500"/>
      <c r="TOF546" s="500"/>
      <c r="TOG546" s="500"/>
      <c r="TOH546" s="500"/>
      <c r="TOI546" s="500"/>
      <c r="TOJ546" s="500"/>
      <c r="TOK546" s="500"/>
      <c r="TOL546" s="500"/>
      <c r="TOM546" s="500"/>
      <c r="TON546" s="500"/>
      <c r="TOO546" s="500"/>
      <c r="TOP546" s="500"/>
      <c r="TOQ546" s="500"/>
      <c r="TOR546" s="500"/>
      <c r="TOS546" s="500"/>
      <c r="TOT546" s="500"/>
      <c r="TOU546" s="500"/>
      <c r="TOV546" s="500"/>
      <c r="TOW546" s="500"/>
      <c r="TOX546" s="500"/>
      <c r="TOY546" s="500"/>
      <c r="TOZ546" s="500"/>
      <c r="TPA546" s="500"/>
      <c r="TPB546" s="500"/>
      <c r="TPC546" s="500"/>
      <c r="TPD546" s="500"/>
      <c r="TPE546" s="500"/>
      <c r="TPF546" s="500"/>
      <c r="TPG546" s="500"/>
      <c r="TPH546" s="500"/>
      <c r="TPI546" s="500"/>
      <c r="TPJ546" s="500"/>
      <c r="TPK546" s="500"/>
      <c r="TPL546" s="500"/>
      <c r="TPM546" s="500"/>
      <c r="TPN546" s="500"/>
      <c r="TPO546" s="500"/>
      <c r="TPP546" s="500"/>
      <c r="TPQ546" s="500"/>
      <c r="TPR546" s="500"/>
      <c r="TPS546" s="500"/>
      <c r="TPT546" s="500"/>
      <c r="TPU546" s="500"/>
      <c r="TPV546" s="500"/>
      <c r="TPW546" s="500"/>
      <c r="TPX546" s="500"/>
      <c r="TPY546" s="500"/>
      <c r="TPZ546" s="500"/>
      <c r="TQA546" s="500"/>
      <c r="TQB546" s="500"/>
      <c r="TQC546" s="500"/>
      <c r="TQD546" s="500"/>
      <c r="TQE546" s="500"/>
      <c r="TQF546" s="500"/>
      <c r="TQG546" s="500"/>
      <c r="TQH546" s="500"/>
      <c r="TQI546" s="500"/>
      <c r="TQJ546" s="500"/>
      <c r="TQK546" s="500"/>
      <c r="TQL546" s="500"/>
      <c r="TQM546" s="500"/>
      <c r="TQN546" s="500"/>
      <c r="TQO546" s="500"/>
      <c r="TQP546" s="500"/>
      <c r="TQQ546" s="500"/>
      <c r="TQR546" s="500"/>
      <c r="TQS546" s="500"/>
      <c r="TQT546" s="500"/>
      <c r="TQU546" s="500"/>
      <c r="TQV546" s="500"/>
      <c r="TQW546" s="500"/>
      <c r="TQX546" s="500"/>
      <c r="TQY546" s="500"/>
      <c r="TQZ546" s="500"/>
      <c r="TRA546" s="500"/>
      <c r="TRB546" s="500"/>
      <c r="TRC546" s="500"/>
      <c r="TRD546" s="500"/>
      <c r="TRE546" s="500"/>
      <c r="TRF546" s="500"/>
      <c r="TRG546" s="500"/>
      <c r="TRH546" s="500"/>
      <c r="TRI546" s="500"/>
      <c r="TRJ546" s="500"/>
      <c r="TRK546" s="500"/>
      <c r="TRL546" s="500"/>
      <c r="TRM546" s="500"/>
      <c r="TRN546" s="500"/>
      <c r="TRO546" s="500"/>
      <c r="TRP546" s="500"/>
      <c r="TRQ546" s="500"/>
      <c r="TRR546" s="500"/>
      <c r="TRS546" s="500"/>
      <c r="TRT546" s="500"/>
      <c r="TRU546" s="500"/>
      <c r="TRV546" s="500"/>
      <c r="TRW546" s="500"/>
      <c r="TRX546" s="500"/>
      <c r="TRY546" s="500"/>
      <c r="TRZ546" s="500"/>
      <c r="TSA546" s="500"/>
      <c r="TSB546" s="500"/>
      <c r="TSC546" s="500"/>
      <c r="TSD546" s="500"/>
      <c r="TSE546" s="500"/>
      <c r="TSF546" s="500"/>
      <c r="TSG546" s="500"/>
      <c r="TSH546" s="500"/>
      <c r="TSI546" s="500"/>
      <c r="TSJ546" s="500"/>
      <c r="TSK546" s="500"/>
      <c r="TSL546" s="500"/>
      <c r="TSM546" s="500"/>
      <c r="TSN546" s="500"/>
      <c r="TSO546" s="500"/>
      <c r="TSP546" s="500"/>
      <c r="TSQ546" s="500"/>
      <c r="TSR546" s="500"/>
      <c r="TSS546" s="500"/>
      <c r="TST546" s="500"/>
      <c r="TSU546" s="500"/>
      <c r="TSV546" s="500"/>
      <c r="TSW546" s="500"/>
      <c r="TSX546" s="500"/>
      <c r="TSY546" s="500"/>
      <c r="TSZ546" s="500"/>
      <c r="TTA546" s="500"/>
      <c r="TTB546" s="500"/>
      <c r="TTC546" s="500"/>
      <c r="TTD546" s="500"/>
      <c r="TTE546" s="500"/>
      <c r="TTF546" s="500"/>
      <c r="TTG546" s="500"/>
      <c r="TTH546" s="500"/>
      <c r="TTI546" s="500"/>
      <c r="TTJ546" s="500"/>
      <c r="TTK546" s="500"/>
      <c r="TTL546" s="500"/>
      <c r="TTM546" s="500"/>
      <c r="TTN546" s="500"/>
      <c r="TTO546" s="500"/>
      <c r="TTP546" s="500"/>
      <c r="TTQ546" s="500"/>
      <c r="TTR546" s="500"/>
      <c r="TTS546" s="500"/>
      <c r="TTT546" s="500"/>
      <c r="TTU546" s="500"/>
      <c r="TTV546" s="500"/>
      <c r="TTW546" s="500"/>
      <c r="TTX546" s="500"/>
      <c r="TTY546" s="500"/>
      <c r="TTZ546" s="500"/>
      <c r="TUA546" s="500"/>
      <c r="TUB546" s="500"/>
      <c r="TUC546" s="500"/>
      <c r="TUD546" s="500"/>
      <c r="TUE546" s="500"/>
      <c r="TUF546" s="500"/>
      <c r="TUG546" s="500"/>
      <c r="TUH546" s="500"/>
      <c r="TUI546" s="500"/>
      <c r="TUJ546" s="500"/>
      <c r="TUK546" s="500"/>
      <c r="TUL546" s="500"/>
      <c r="TUM546" s="500"/>
      <c r="TUN546" s="500"/>
      <c r="TUO546" s="500"/>
      <c r="TUP546" s="500"/>
      <c r="TUQ546" s="500"/>
      <c r="TUR546" s="500"/>
      <c r="TUS546" s="500"/>
      <c r="TUT546" s="500"/>
      <c r="TUU546" s="500"/>
      <c r="TUV546" s="500"/>
      <c r="TUW546" s="500"/>
      <c r="TUX546" s="500"/>
      <c r="TUY546" s="500"/>
      <c r="TUZ546" s="500"/>
      <c r="TVA546" s="500"/>
      <c r="TVB546" s="500"/>
      <c r="TVC546" s="500"/>
      <c r="TVD546" s="500"/>
      <c r="TVE546" s="500"/>
      <c r="TVF546" s="500"/>
      <c r="TVG546" s="500"/>
      <c r="TVH546" s="500"/>
      <c r="TVI546" s="500"/>
      <c r="TVJ546" s="500"/>
      <c r="TVK546" s="500"/>
      <c r="TVL546" s="500"/>
      <c r="TVM546" s="500"/>
      <c r="TVN546" s="500"/>
      <c r="TVO546" s="500"/>
      <c r="TVP546" s="500"/>
      <c r="TVQ546" s="500"/>
      <c r="TVR546" s="500"/>
      <c r="TVS546" s="500"/>
      <c r="TVT546" s="500"/>
      <c r="TVU546" s="500"/>
      <c r="TVV546" s="500"/>
      <c r="TVW546" s="500"/>
      <c r="TVX546" s="500"/>
      <c r="TVY546" s="500"/>
      <c r="TVZ546" s="500"/>
      <c r="TWA546" s="500"/>
      <c r="TWB546" s="500"/>
      <c r="TWC546" s="500"/>
      <c r="TWD546" s="500"/>
      <c r="TWE546" s="500"/>
      <c r="TWF546" s="500"/>
      <c r="TWG546" s="500"/>
      <c r="TWH546" s="500"/>
      <c r="TWI546" s="500"/>
      <c r="TWJ546" s="500"/>
      <c r="TWK546" s="500"/>
      <c r="TWL546" s="500"/>
      <c r="TWM546" s="500"/>
      <c r="TWN546" s="500"/>
      <c r="TWO546" s="500"/>
      <c r="TWP546" s="500"/>
      <c r="TWQ546" s="500"/>
      <c r="TWR546" s="500"/>
      <c r="TWS546" s="500"/>
      <c r="TWT546" s="500"/>
      <c r="TWU546" s="500"/>
      <c r="TWV546" s="500"/>
      <c r="TWW546" s="500"/>
      <c r="TWX546" s="500"/>
      <c r="TWY546" s="500"/>
      <c r="TWZ546" s="500"/>
      <c r="TXA546" s="500"/>
      <c r="TXB546" s="500"/>
      <c r="TXC546" s="500"/>
      <c r="TXD546" s="500"/>
      <c r="TXE546" s="500"/>
      <c r="TXF546" s="500"/>
      <c r="TXG546" s="500"/>
      <c r="TXH546" s="500"/>
      <c r="TXI546" s="500"/>
      <c r="TXJ546" s="500"/>
      <c r="TXK546" s="500"/>
      <c r="TXL546" s="500"/>
      <c r="TXM546" s="500"/>
      <c r="TXN546" s="500"/>
      <c r="TXO546" s="500"/>
      <c r="TXP546" s="500"/>
      <c r="TXQ546" s="500"/>
      <c r="TXR546" s="500"/>
      <c r="TXS546" s="500"/>
      <c r="TXT546" s="500"/>
      <c r="TXU546" s="500"/>
      <c r="TXV546" s="500"/>
      <c r="TXW546" s="500"/>
      <c r="TXX546" s="500"/>
      <c r="TXY546" s="500"/>
      <c r="TXZ546" s="500"/>
      <c r="TYA546" s="500"/>
      <c r="TYB546" s="500"/>
      <c r="TYC546" s="500"/>
      <c r="TYD546" s="500"/>
      <c r="TYE546" s="500"/>
      <c r="TYF546" s="500"/>
      <c r="TYG546" s="500"/>
      <c r="TYH546" s="500"/>
      <c r="TYI546" s="500"/>
      <c r="TYJ546" s="500"/>
      <c r="TYK546" s="500"/>
      <c r="TYL546" s="500"/>
      <c r="TYM546" s="500"/>
      <c r="TYN546" s="500"/>
      <c r="TYO546" s="500"/>
      <c r="TYP546" s="500"/>
      <c r="TYQ546" s="500"/>
      <c r="TYR546" s="500"/>
      <c r="TYS546" s="500"/>
      <c r="TYT546" s="500"/>
      <c r="TYU546" s="500"/>
      <c r="TYV546" s="500"/>
      <c r="TYW546" s="500"/>
      <c r="TYX546" s="500"/>
      <c r="TYY546" s="500"/>
      <c r="TYZ546" s="500"/>
      <c r="TZA546" s="500"/>
      <c r="TZB546" s="500"/>
      <c r="TZC546" s="500"/>
      <c r="TZD546" s="500"/>
      <c r="TZE546" s="500"/>
      <c r="TZF546" s="500"/>
      <c r="TZG546" s="500"/>
      <c r="TZH546" s="500"/>
      <c r="TZI546" s="500"/>
      <c r="TZJ546" s="500"/>
      <c r="TZK546" s="500"/>
      <c r="TZL546" s="500"/>
      <c r="TZM546" s="500"/>
      <c r="TZN546" s="500"/>
      <c r="TZO546" s="500"/>
      <c r="TZP546" s="500"/>
      <c r="TZQ546" s="500"/>
      <c r="TZR546" s="500"/>
      <c r="TZS546" s="500"/>
      <c r="TZT546" s="500"/>
      <c r="TZU546" s="500"/>
      <c r="TZV546" s="500"/>
      <c r="TZW546" s="500"/>
      <c r="TZX546" s="500"/>
      <c r="TZY546" s="500"/>
      <c r="TZZ546" s="500"/>
      <c r="UAA546" s="500"/>
      <c r="UAB546" s="500"/>
      <c r="UAC546" s="500"/>
      <c r="UAD546" s="500"/>
      <c r="UAE546" s="500"/>
      <c r="UAF546" s="500"/>
      <c r="UAG546" s="500"/>
      <c r="UAH546" s="500"/>
      <c r="UAI546" s="500"/>
      <c r="UAJ546" s="500"/>
      <c r="UAK546" s="500"/>
      <c r="UAL546" s="500"/>
      <c r="UAM546" s="500"/>
      <c r="UAN546" s="500"/>
      <c r="UAO546" s="500"/>
      <c r="UAP546" s="500"/>
      <c r="UAQ546" s="500"/>
      <c r="UAR546" s="500"/>
      <c r="UAS546" s="500"/>
      <c r="UAT546" s="500"/>
      <c r="UAU546" s="500"/>
      <c r="UAV546" s="500"/>
      <c r="UAW546" s="500"/>
      <c r="UAX546" s="500"/>
      <c r="UAY546" s="500"/>
      <c r="UAZ546" s="500"/>
      <c r="UBA546" s="500"/>
      <c r="UBB546" s="500"/>
      <c r="UBC546" s="500"/>
      <c r="UBD546" s="500"/>
      <c r="UBE546" s="500"/>
      <c r="UBF546" s="500"/>
      <c r="UBG546" s="500"/>
      <c r="UBH546" s="500"/>
      <c r="UBI546" s="500"/>
      <c r="UBJ546" s="500"/>
      <c r="UBK546" s="500"/>
      <c r="UBL546" s="500"/>
      <c r="UBM546" s="500"/>
      <c r="UBN546" s="500"/>
      <c r="UBO546" s="500"/>
      <c r="UBP546" s="500"/>
      <c r="UBQ546" s="500"/>
      <c r="UBR546" s="500"/>
      <c r="UBS546" s="500"/>
      <c r="UBT546" s="500"/>
      <c r="UBU546" s="500"/>
      <c r="UBV546" s="500"/>
      <c r="UBW546" s="500"/>
      <c r="UBX546" s="500"/>
      <c r="UBY546" s="500"/>
      <c r="UBZ546" s="500"/>
      <c r="UCA546" s="500"/>
      <c r="UCB546" s="500"/>
      <c r="UCC546" s="500"/>
      <c r="UCD546" s="500"/>
      <c r="UCE546" s="500"/>
      <c r="UCF546" s="500"/>
      <c r="UCG546" s="500"/>
      <c r="UCH546" s="500"/>
      <c r="UCI546" s="500"/>
      <c r="UCJ546" s="500"/>
      <c r="UCK546" s="500"/>
      <c r="UCL546" s="500"/>
      <c r="UCM546" s="500"/>
      <c r="UCN546" s="500"/>
      <c r="UCO546" s="500"/>
      <c r="UCP546" s="500"/>
      <c r="UCQ546" s="500"/>
      <c r="UCR546" s="500"/>
      <c r="UCS546" s="500"/>
      <c r="UCT546" s="500"/>
      <c r="UCU546" s="500"/>
      <c r="UCV546" s="500"/>
      <c r="UCW546" s="500"/>
      <c r="UCX546" s="500"/>
      <c r="UCY546" s="500"/>
      <c r="UCZ546" s="500"/>
      <c r="UDA546" s="500"/>
      <c r="UDB546" s="500"/>
      <c r="UDC546" s="500"/>
      <c r="UDD546" s="500"/>
      <c r="UDE546" s="500"/>
      <c r="UDF546" s="500"/>
      <c r="UDG546" s="500"/>
      <c r="UDH546" s="500"/>
      <c r="UDI546" s="500"/>
      <c r="UDJ546" s="500"/>
      <c r="UDK546" s="500"/>
      <c r="UDL546" s="500"/>
      <c r="UDM546" s="500"/>
      <c r="UDN546" s="500"/>
      <c r="UDO546" s="500"/>
      <c r="UDP546" s="500"/>
      <c r="UDQ546" s="500"/>
      <c r="UDR546" s="500"/>
      <c r="UDS546" s="500"/>
      <c r="UDT546" s="500"/>
      <c r="UDU546" s="500"/>
      <c r="UDV546" s="500"/>
      <c r="UDW546" s="500"/>
      <c r="UDX546" s="500"/>
      <c r="UDY546" s="500"/>
      <c r="UDZ546" s="500"/>
      <c r="UEA546" s="500"/>
      <c r="UEB546" s="500"/>
      <c r="UEC546" s="500"/>
      <c r="UED546" s="500"/>
      <c r="UEE546" s="500"/>
      <c r="UEF546" s="500"/>
      <c r="UEG546" s="500"/>
      <c r="UEH546" s="500"/>
      <c r="UEI546" s="500"/>
      <c r="UEJ546" s="500"/>
      <c r="UEK546" s="500"/>
      <c r="UEL546" s="500"/>
      <c r="UEM546" s="500"/>
      <c r="UEN546" s="500"/>
      <c r="UEO546" s="500"/>
      <c r="UEP546" s="500"/>
      <c r="UEQ546" s="500"/>
      <c r="UER546" s="500"/>
      <c r="UES546" s="500"/>
      <c r="UET546" s="500"/>
      <c r="UEU546" s="500"/>
      <c r="UEV546" s="500"/>
      <c r="UEW546" s="500"/>
      <c r="UEX546" s="500"/>
      <c r="UEY546" s="500"/>
      <c r="UEZ546" s="500"/>
      <c r="UFA546" s="500"/>
      <c r="UFB546" s="500"/>
      <c r="UFC546" s="500"/>
      <c r="UFD546" s="500"/>
      <c r="UFE546" s="500"/>
      <c r="UFF546" s="500"/>
      <c r="UFG546" s="500"/>
      <c r="UFH546" s="500"/>
      <c r="UFI546" s="500"/>
      <c r="UFJ546" s="500"/>
      <c r="UFK546" s="500"/>
      <c r="UFL546" s="500"/>
      <c r="UFM546" s="500"/>
      <c r="UFN546" s="500"/>
      <c r="UFO546" s="500"/>
      <c r="UFP546" s="500"/>
      <c r="UFQ546" s="500"/>
      <c r="UFR546" s="500"/>
      <c r="UFS546" s="500"/>
      <c r="UFT546" s="500"/>
      <c r="UFU546" s="500"/>
      <c r="UFV546" s="500"/>
      <c r="UFW546" s="500"/>
      <c r="UFX546" s="500"/>
      <c r="UFY546" s="500"/>
      <c r="UFZ546" s="500"/>
      <c r="UGA546" s="500"/>
      <c r="UGB546" s="500"/>
      <c r="UGC546" s="500"/>
      <c r="UGD546" s="500"/>
      <c r="UGE546" s="500"/>
      <c r="UGF546" s="500"/>
      <c r="UGG546" s="500"/>
      <c r="UGH546" s="500"/>
      <c r="UGI546" s="500"/>
      <c r="UGJ546" s="500"/>
      <c r="UGK546" s="500"/>
      <c r="UGL546" s="500"/>
      <c r="UGM546" s="500"/>
      <c r="UGN546" s="500"/>
      <c r="UGO546" s="500"/>
      <c r="UGP546" s="500"/>
      <c r="UGQ546" s="500"/>
      <c r="UGR546" s="500"/>
      <c r="UGS546" s="500"/>
      <c r="UGT546" s="500"/>
      <c r="UGU546" s="500"/>
      <c r="UGV546" s="500"/>
      <c r="UGW546" s="500"/>
      <c r="UGX546" s="500"/>
      <c r="UGY546" s="500"/>
      <c r="UGZ546" s="500"/>
      <c r="UHA546" s="500"/>
      <c r="UHB546" s="500"/>
      <c r="UHC546" s="500"/>
      <c r="UHD546" s="500"/>
      <c r="UHE546" s="500"/>
      <c r="UHF546" s="500"/>
      <c r="UHG546" s="500"/>
      <c r="UHH546" s="500"/>
      <c r="UHI546" s="500"/>
      <c r="UHJ546" s="500"/>
      <c r="UHK546" s="500"/>
      <c r="UHL546" s="500"/>
      <c r="UHM546" s="500"/>
      <c r="UHN546" s="500"/>
      <c r="UHO546" s="500"/>
      <c r="UHP546" s="500"/>
      <c r="UHQ546" s="500"/>
      <c r="UHR546" s="500"/>
      <c r="UHS546" s="500"/>
      <c r="UHT546" s="500"/>
      <c r="UHU546" s="500"/>
      <c r="UHV546" s="500"/>
      <c r="UHW546" s="500"/>
      <c r="UHX546" s="500"/>
      <c r="UHY546" s="500"/>
      <c r="UHZ546" s="500"/>
      <c r="UIA546" s="500"/>
      <c r="UIB546" s="500"/>
      <c r="UIC546" s="500"/>
      <c r="UID546" s="500"/>
      <c r="UIE546" s="500"/>
      <c r="UIF546" s="500"/>
      <c r="UIG546" s="500"/>
      <c r="UIH546" s="500"/>
      <c r="UII546" s="500"/>
      <c r="UIJ546" s="500"/>
      <c r="UIK546" s="500"/>
      <c r="UIL546" s="500"/>
      <c r="UIM546" s="500"/>
      <c r="UIN546" s="500"/>
      <c r="UIO546" s="500"/>
      <c r="UIP546" s="500"/>
      <c r="UIQ546" s="500"/>
      <c r="UIR546" s="500"/>
      <c r="UIS546" s="500"/>
      <c r="UIT546" s="500"/>
      <c r="UIU546" s="500"/>
      <c r="UIV546" s="500"/>
      <c r="UIW546" s="500"/>
      <c r="UIX546" s="500"/>
      <c r="UIY546" s="500"/>
      <c r="UIZ546" s="500"/>
      <c r="UJA546" s="500"/>
      <c r="UJB546" s="500"/>
      <c r="UJC546" s="500"/>
      <c r="UJD546" s="500"/>
      <c r="UJE546" s="500"/>
      <c r="UJF546" s="500"/>
      <c r="UJG546" s="500"/>
      <c r="UJH546" s="500"/>
      <c r="UJI546" s="500"/>
      <c r="UJJ546" s="500"/>
      <c r="UJK546" s="500"/>
      <c r="UJL546" s="500"/>
      <c r="UJM546" s="500"/>
      <c r="UJN546" s="500"/>
      <c r="UJO546" s="500"/>
      <c r="UJP546" s="500"/>
      <c r="UJQ546" s="500"/>
      <c r="UJR546" s="500"/>
      <c r="UJS546" s="500"/>
      <c r="UJT546" s="500"/>
      <c r="UJU546" s="500"/>
      <c r="UJV546" s="500"/>
      <c r="UJW546" s="500"/>
      <c r="UJX546" s="500"/>
      <c r="UJY546" s="500"/>
      <c r="UJZ546" s="500"/>
      <c r="UKA546" s="500"/>
      <c r="UKB546" s="500"/>
      <c r="UKC546" s="500"/>
      <c r="UKD546" s="500"/>
      <c r="UKE546" s="500"/>
      <c r="UKF546" s="500"/>
      <c r="UKG546" s="500"/>
      <c r="UKH546" s="500"/>
      <c r="UKI546" s="500"/>
      <c r="UKJ546" s="500"/>
      <c r="UKK546" s="500"/>
      <c r="UKL546" s="500"/>
      <c r="UKM546" s="500"/>
      <c r="UKN546" s="500"/>
      <c r="UKO546" s="500"/>
      <c r="UKP546" s="500"/>
      <c r="UKQ546" s="500"/>
      <c r="UKR546" s="500"/>
      <c r="UKS546" s="500"/>
      <c r="UKT546" s="500"/>
      <c r="UKU546" s="500"/>
      <c r="UKV546" s="500"/>
      <c r="UKW546" s="500"/>
      <c r="UKX546" s="500"/>
      <c r="UKY546" s="500"/>
      <c r="UKZ546" s="500"/>
      <c r="ULA546" s="500"/>
      <c r="ULB546" s="500"/>
      <c r="ULC546" s="500"/>
      <c r="ULD546" s="500"/>
      <c r="ULE546" s="500"/>
      <c r="ULF546" s="500"/>
      <c r="ULG546" s="500"/>
      <c r="ULH546" s="500"/>
      <c r="ULI546" s="500"/>
      <c r="ULJ546" s="500"/>
      <c r="ULK546" s="500"/>
      <c r="ULL546" s="500"/>
      <c r="ULM546" s="500"/>
      <c r="ULN546" s="500"/>
      <c r="ULO546" s="500"/>
      <c r="ULP546" s="500"/>
      <c r="ULQ546" s="500"/>
      <c r="ULR546" s="500"/>
      <c r="ULS546" s="500"/>
      <c r="ULT546" s="500"/>
      <c r="ULU546" s="500"/>
      <c r="ULV546" s="500"/>
      <c r="ULW546" s="500"/>
      <c r="ULX546" s="500"/>
      <c r="ULY546" s="500"/>
      <c r="ULZ546" s="500"/>
      <c r="UMA546" s="500"/>
      <c r="UMB546" s="500"/>
      <c r="UMC546" s="500"/>
      <c r="UMD546" s="500"/>
      <c r="UME546" s="500"/>
      <c r="UMF546" s="500"/>
      <c r="UMG546" s="500"/>
      <c r="UMH546" s="500"/>
      <c r="UMI546" s="500"/>
      <c r="UMJ546" s="500"/>
      <c r="UMK546" s="500"/>
      <c r="UML546" s="500"/>
      <c r="UMM546" s="500"/>
      <c r="UMN546" s="500"/>
      <c r="UMO546" s="500"/>
      <c r="UMP546" s="500"/>
      <c r="UMQ546" s="500"/>
      <c r="UMR546" s="500"/>
      <c r="UMS546" s="500"/>
      <c r="UMT546" s="500"/>
      <c r="UMU546" s="500"/>
      <c r="UMV546" s="500"/>
      <c r="UMW546" s="500"/>
      <c r="UMX546" s="500"/>
      <c r="UMY546" s="500"/>
      <c r="UMZ546" s="500"/>
      <c r="UNA546" s="500"/>
      <c r="UNB546" s="500"/>
      <c r="UNC546" s="500"/>
      <c r="UND546" s="500"/>
      <c r="UNE546" s="500"/>
      <c r="UNF546" s="500"/>
      <c r="UNG546" s="500"/>
      <c r="UNH546" s="500"/>
      <c r="UNI546" s="500"/>
      <c r="UNJ546" s="500"/>
      <c r="UNK546" s="500"/>
      <c r="UNL546" s="500"/>
      <c r="UNM546" s="500"/>
      <c r="UNN546" s="500"/>
      <c r="UNO546" s="500"/>
      <c r="UNP546" s="500"/>
      <c r="UNQ546" s="500"/>
      <c r="UNR546" s="500"/>
      <c r="UNS546" s="500"/>
      <c r="UNT546" s="500"/>
      <c r="UNU546" s="500"/>
      <c r="UNV546" s="500"/>
      <c r="UNW546" s="500"/>
      <c r="UNX546" s="500"/>
      <c r="UNY546" s="500"/>
      <c r="UNZ546" s="500"/>
      <c r="UOA546" s="500"/>
      <c r="UOB546" s="500"/>
      <c r="UOC546" s="500"/>
      <c r="UOD546" s="500"/>
      <c r="UOE546" s="500"/>
      <c r="UOF546" s="500"/>
      <c r="UOG546" s="500"/>
      <c r="UOH546" s="500"/>
      <c r="UOI546" s="500"/>
      <c r="UOJ546" s="500"/>
      <c r="UOK546" s="500"/>
      <c r="UOL546" s="500"/>
      <c r="UOM546" s="500"/>
      <c r="UON546" s="500"/>
      <c r="UOO546" s="500"/>
      <c r="UOP546" s="500"/>
      <c r="UOQ546" s="500"/>
      <c r="UOR546" s="500"/>
      <c r="UOS546" s="500"/>
      <c r="UOT546" s="500"/>
      <c r="UOU546" s="500"/>
      <c r="UOV546" s="500"/>
      <c r="UOW546" s="500"/>
      <c r="UOX546" s="500"/>
      <c r="UOY546" s="500"/>
      <c r="UOZ546" s="500"/>
      <c r="UPA546" s="500"/>
      <c r="UPB546" s="500"/>
      <c r="UPC546" s="500"/>
      <c r="UPD546" s="500"/>
      <c r="UPE546" s="500"/>
      <c r="UPF546" s="500"/>
      <c r="UPG546" s="500"/>
      <c r="UPH546" s="500"/>
      <c r="UPI546" s="500"/>
      <c r="UPJ546" s="500"/>
      <c r="UPK546" s="500"/>
      <c r="UPL546" s="500"/>
      <c r="UPM546" s="500"/>
      <c r="UPN546" s="500"/>
      <c r="UPO546" s="500"/>
      <c r="UPP546" s="500"/>
      <c r="UPQ546" s="500"/>
      <c r="UPR546" s="500"/>
      <c r="UPS546" s="500"/>
      <c r="UPT546" s="500"/>
      <c r="UPU546" s="500"/>
      <c r="UPV546" s="500"/>
      <c r="UPW546" s="500"/>
      <c r="UPX546" s="500"/>
      <c r="UPY546" s="500"/>
      <c r="UPZ546" s="500"/>
      <c r="UQA546" s="500"/>
      <c r="UQB546" s="500"/>
      <c r="UQC546" s="500"/>
      <c r="UQD546" s="500"/>
      <c r="UQE546" s="500"/>
      <c r="UQF546" s="500"/>
      <c r="UQG546" s="500"/>
      <c r="UQH546" s="500"/>
      <c r="UQI546" s="500"/>
      <c r="UQJ546" s="500"/>
      <c r="UQK546" s="500"/>
      <c r="UQL546" s="500"/>
      <c r="UQM546" s="500"/>
      <c r="UQN546" s="500"/>
      <c r="UQO546" s="500"/>
      <c r="UQP546" s="500"/>
      <c r="UQQ546" s="500"/>
      <c r="UQR546" s="500"/>
      <c r="UQS546" s="500"/>
      <c r="UQT546" s="500"/>
      <c r="UQU546" s="500"/>
      <c r="UQV546" s="500"/>
      <c r="UQW546" s="500"/>
      <c r="UQX546" s="500"/>
      <c r="UQY546" s="500"/>
      <c r="UQZ546" s="500"/>
      <c r="URA546" s="500"/>
      <c r="URB546" s="500"/>
      <c r="URC546" s="500"/>
      <c r="URD546" s="500"/>
      <c r="URE546" s="500"/>
      <c r="URF546" s="500"/>
      <c r="URG546" s="500"/>
      <c r="URH546" s="500"/>
      <c r="URI546" s="500"/>
      <c r="URJ546" s="500"/>
      <c r="URK546" s="500"/>
      <c r="URL546" s="500"/>
      <c r="URM546" s="500"/>
      <c r="URN546" s="500"/>
      <c r="URO546" s="500"/>
      <c r="URP546" s="500"/>
      <c r="URQ546" s="500"/>
      <c r="URR546" s="500"/>
      <c r="URS546" s="500"/>
      <c r="URT546" s="500"/>
      <c r="URU546" s="500"/>
      <c r="URV546" s="500"/>
      <c r="URW546" s="500"/>
      <c r="URX546" s="500"/>
      <c r="URY546" s="500"/>
      <c r="URZ546" s="500"/>
      <c r="USA546" s="500"/>
      <c r="USB546" s="500"/>
      <c r="USC546" s="500"/>
      <c r="USD546" s="500"/>
      <c r="USE546" s="500"/>
      <c r="USF546" s="500"/>
      <c r="USG546" s="500"/>
      <c r="USH546" s="500"/>
      <c r="USI546" s="500"/>
      <c r="USJ546" s="500"/>
      <c r="USK546" s="500"/>
      <c r="USL546" s="500"/>
      <c r="USM546" s="500"/>
      <c r="USN546" s="500"/>
      <c r="USO546" s="500"/>
      <c r="USP546" s="500"/>
      <c r="USQ546" s="500"/>
      <c r="USR546" s="500"/>
      <c r="USS546" s="500"/>
      <c r="UST546" s="500"/>
      <c r="USU546" s="500"/>
      <c r="USV546" s="500"/>
      <c r="USW546" s="500"/>
      <c r="USX546" s="500"/>
      <c r="USY546" s="500"/>
      <c r="USZ546" s="500"/>
      <c r="UTA546" s="500"/>
      <c r="UTB546" s="500"/>
      <c r="UTC546" s="500"/>
      <c r="UTD546" s="500"/>
      <c r="UTE546" s="500"/>
      <c r="UTF546" s="500"/>
      <c r="UTG546" s="500"/>
      <c r="UTH546" s="500"/>
      <c r="UTI546" s="500"/>
      <c r="UTJ546" s="500"/>
      <c r="UTK546" s="500"/>
      <c r="UTL546" s="500"/>
      <c r="UTM546" s="500"/>
      <c r="UTN546" s="500"/>
      <c r="UTO546" s="500"/>
      <c r="UTP546" s="500"/>
      <c r="UTQ546" s="500"/>
      <c r="UTR546" s="500"/>
      <c r="UTS546" s="500"/>
      <c r="UTT546" s="500"/>
      <c r="UTU546" s="500"/>
      <c r="UTV546" s="500"/>
      <c r="UTW546" s="500"/>
      <c r="UTX546" s="500"/>
      <c r="UTY546" s="500"/>
      <c r="UTZ546" s="500"/>
      <c r="UUA546" s="500"/>
      <c r="UUB546" s="500"/>
      <c r="UUC546" s="500"/>
      <c r="UUD546" s="500"/>
      <c r="UUE546" s="500"/>
      <c r="UUF546" s="500"/>
      <c r="UUG546" s="500"/>
      <c r="UUH546" s="500"/>
      <c r="UUI546" s="500"/>
      <c r="UUJ546" s="500"/>
      <c r="UUK546" s="500"/>
      <c r="UUL546" s="500"/>
      <c r="UUM546" s="500"/>
      <c r="UUN546" s="500"/>
      <c r="UUO546" s="500"/>
      <c r="UUP546" s="500"/>
      <c r="UUQ546" s="500"/>
      <c r="UUR546" s="500"/>
      <c r="UUS546" s="500"/>
      <c r="UUT546" s="500"/>
      <c r="UUU546" s="500"/>
      <c r="UUV546" s="500"/>
      <c r="UUW546" s="500"/>
      <c r="UUX546" s="500"/>
      <c r="UUY546" s="500"/>
      <c r="UUZ546" s="500"/>
      <c r="UVA546" s="500"/>
      <c r="UVB546" s="500"/>
      <c r="UVC546" s="500"/>
      <c r="UVD546" s="500"/>
      <c r="UVE546" s="500"/>
      <c r="UVF546" s="500"/>
      <c r="UVG546" s="500"/>
      <c r="UVH546" s="500"/>
      <c r="UVI546" s="500"/>
      <c r="UVJ546" s="500"/>
      <c r="UVK546" s="500"/>
      <c r="UVL546" s="500"/>
      <c r="UVM546" s="500"/>
      <c r="UVN546" s="500"/>
      <c r="UVO546" s="500"/>
      <c r="UVP546" s="500"/>
      <c r="UVQ546" s="500"/>
      <c r="UVR546" s="500"/>
      <c r="UVS546" s="500"/>
      <c r="UVT546" s="500"/>
      <c r="UVU546" s="500"/>
      <c r="UVV546" s="500"/>
      <c r="UVW546" s="500"/>
      <c r="UVX546" s="500"/>
      <c r="UVY546" s="500"/>
      <c r="UVZ546" s="500"/>
      <c r="UWA546" s="500"/>
      <c r="UWB546" s="500"/>
      <c r="UWC546" s="500"/>
      <c r="UWD546" s="500"/>
      <c r="UWE546" s="500"/>
      <c r="UWF546" s="500"/>
      <c r="UWG546" s="500"/>
      <c r="UWH546" s="500"/>
      <c r="UWI546" s="500"/>
      <c r="UWJ546" s="500"/>
      <c r="UWK546" s="500"/>
      <c r="UWL546" s="500"/>
      <c r="UWM546" s="500"/>
      <c r="UWN546" s="500"/>
      <c r="UWO546" s="500"/>
      <c r="UWP546" s="500"/>
      <c r="UWQ546" s="500"/>
      <c r="UWR546" s="500"/>
      <c r="UWS546" s="500"/>
      <c r="UWT546" s="500"/>
      <c r="UWU546" s="500"/>
      <c r="UWV546" s="500"/>
      <c r="UWW546" s="500"/>
      <c r="UWX546" s="500"/>
      <c r="UWY546" s="500"/>
      <c r="UWZ546" s="500"/>
      <c r="UXA546" s="500"/>
      <c r="UXB546" s="500"/>
      <c r="UXC546" s="500"/>
      <c r="UXD546" s="500"/>
      <c r="UXE546" s="500"/>
      <c r="UXF546" s="500"/>
      <c r="UXG546" s="500"/>
      <c r="UXH546" s="500"/>
      <c r="UXI546" s="500"/>
      <c r="UXJ546" s="500"/>
      <c r="UXK546" s="500"/>
      <c r="UXL546" s="500"/>
      <c r="UXM546" s="500"/>
      <c r="UXN546" s="500"/>
      <c r="UXO546" s="500"/>
      <c r="UXP546" s="500"/>
      <c r="UXQ546" s="500"/>
      <c r="UXR546" s="500"/>
      <c r="UXS546" s="500"/>
      <c r="UXT546" s="500"/>
      <c r="UXU546" s="500"/>
      <c r="UXV546" s="500"/>
      <c r="UXW546" s="500"/>
      <c r="UXX546" s="500"/>
      <c r="UXY546" s="500"/>
      <c r="UXZ546" s="500"/>
      <c r="UYA546" s="500"/>
      <c r="UYB546" s="500"/>
      <c r="UYC546" s="500"/>
      <c r="UYD546" s="500"/>
      <c r="UYE546" s="500"/>
      <c r="UYF546" s="500"/>
      <c r="UYG546" s="500"/>
      <c r="UYH546" s="500"/>
      <c r="UYI546" s="500"/>
      <c r="UYJ546" s="500"/>
      <c r="UYK546" s="500"/>
      <c r="UYL546" s="500"/>
      <c r="UYM546" s="500"/>
      <c r="UYN546" s="500"/>
      <c r="UYO546" s="500"/>
      <c r="UYP546" s="500"/>
      <c r="UYQ546" s="500"/>
      <c r="UYR546" s="500"/>
      <c r="UYS546" s="500"/>
      <c r="UYT546" s="500"/>
      <c r="UYU546" s="500"/>
      <c r="UYV546" s="500"/>
      <c r="UYW546" s="500"/>
      <c r="UYX546" s="500"/>
      <c r="UYY546" s="500"/>
      <c r="UYZ546" s="500"/>
      <c r="UZA546" s="500"/>
      <c r="UZB546" s="500"/>
      <c r="UZC546" s="500"/>
      <c r="UZD546" s="500"/>
      <c r="UZE546" s="500"/>
      <c r="UZF546" s="500"/>
      <c r="UZG546" s="500"/>
      <c r="UZH546" s="500"/>
      <c r="UZI546" s="500"/>
      <c r="UZJ546" s="500"/>
      <c r="UZK546" s="500"/>
      <c r="UZL546" s="500"/>
      <c r="UZM546" s="500"/>
      <c r="UZN546" s="500"/>
      <c r="UZO546" s="500"/>
      <c r="UZP546" s="500"/>
      <c r="UZQ546" s="500"/>
      <c r="UZR546" s="500"/>
      <c r="UZS546" s="500"/>
      <c r="UZT546" s="500"/>
      <c r="UZU546" s="500"/>
      <c r="UZV546" s="500"/>
      <c r="UZW546" s="500"/>
      <c r="UZX546" s="500"/>
      <c r="UZY546" s="500"/>
      <c r="UZZ546" s="500"/>
      <c r="VAA546" s="500"/>
      <c r="VAB546" s="500"/>
      <c r="VAC546" s="500"/>
      <c r="VAD546" s="500"/>
      <c r="VAE546" s="500"/>
      <c r="VAF546" s="500"/>
      <c r="VAG546" s="500"/>
      <c r="VAH546" s="500"/>
      <c r="VAI546" s="500"/>
      <c r="VAJ546" s="500"/>
      <c r="VAK546" s="500"/>
      <c r="VAL546" s="500"/>
      <c r="VAM546" s="500"/>
      <c r="VAN546" s="500"/>
      <c r="VAO546" s="500"/>
      <c r="VAP546" s="500"/>
      <c r="VAQ546" s="500"/>
      <c r="VAR546" s="500"/>
      <c r="VAS546" s="500"/>
      <c r="VAT546" s="500"/>
      <c r="VAU546" s="500"/>
      <c r="VAV546" s="500"/>
      <c r="VAW546" s="500"/>
      <c r="VAX546" s="500"/>
      <c r="VAY546" s="500"/>
      <c r="VAZ546" s="500"/>
      <c r="VBA546" s="500"/>
      <c r="VBB546" s="500"/>
      <c r="VBC546" s="500"/>
      <c r="VBD546" s="500"/>
      <c r="VBE546" s="500"/>
      <c r="VBF546" s="500"/>
      <c r="VBG546" s="500"/>
      <c r="VBH546" s="500"/>
      <c r="VBI546" s="500"/>
      <c r="VBJ546" s="500"/>
      <c r="VBK546" s="500"/>
      <c r="VBL546" s="500"/>
      <c r="VBM546" s="500"/>
      <c r="VBN546" s="500"/>
      <c r="VBO546" s="500"/>
      <c r="VBP546" s="500"/>
      <c r="VBQ546" s="500"/>
      <c r="VBR546" s="500"/>
      <c r="VBS546" s="500"/>
      <c r="VBT546" s="500"/>
      <c r="VBU546" s="500"/>
      <c r="VBV546" s="500"/>
      <c r="VBW546" s="500"/>
      <c r="VBX546" s="500"/>
      <c r="VBY546" s="500"/>
      <c r="VBZ546" s="500"/>
      <c r="VCA546" s="500"/>
      <c r="VCB546" s="500"/>
      <c r="VCC546" s="500"/>
      <c r="VCD546" s="500"/>
      <c r="VCE546" s="500"/>
      <c r="VCF546" s="500"/>
      <c r="VCG546" s="500"/>
      <c r="VCH546" s="500"/>
      <c r="VCI546" s="500"/>
      <c r="VCJ546" s="500"/>
      <c r="VCK546" s="500"/>
      <c r="VCL546" s="500"/>
      <c r="VCM546" s="500"/>
      <c r="VCN546" s="500"/>
      <c r="VCO546" s="500"/>
      <c r="VCP546" s="500"/>
      <c r="VCQ546" s="500"/>
      <c r="VCR546" s="500"/>
      <c r="VCS546" s="500"/>
      <c r="VCT546" s="500"/>
      <c r="VCU546" s="500"/>
      <c r="VCV546" s="500"/>
      <c r="VCW546" s="500"/>
      <c r="VCX546" s="500"/>
      <c r="VCY546" s="500"/>
      <c r="VCZ546" s="500"/>
      <c r="VDA546" s="500"/>
      <c r="VDB546" s="500"/>
      <c r="VDC546" s="500"/>
      <c r="VDD546" s="500"/>
      <c r="VDE546" s="500"/>
      <c r="VDF546" s="500"/>
      <c r="VDG546" s="500"/>
      <c r="VDH546" s="500"/>
      <c r="VDI546" s="500"/>
      <c r="VDJ546" s="500"/>
      <c r="VDK546" s="500"/>
      <c r="VDL546" s="500"/>
      <c r="VDM546" s="500"/>
      <c r="VDN546" s="500"/>
      <c r="VDO546" s="500"/>
      <c r="VDP546" s="500"/>
      <c r="VDQ546" s="500"/>
      <c r="VDR546" s="500"/>
      <c r="VDS546" s="500"/>
      <c r="VDT546" s="500"/>
      <c r="VDU546" s="500"/>
      <c r="VDV546" s="500"/>
      <c r="VDW546" s="500"/>
      <c r="VDX546" s="500"/>
      <c r="VDY546" s="500"/>
      <c r="VDZ546" s="500"/>
      <c r="VEA546" s="500"/>
      <c r="VEB546" s="500"/>
      <c r="VEC546" s="500"/>
      <c r="VED546" s="500"/>
      <c r="VEE546" s="500"/>
      <c r="VEF546" s="500"/>
      <c r="VEG546" s="500"/>
      <c r="VEH546" s="500"/>
      <c r="VEI546" s="500"/>
      <c r="VEJ546" s="500"/>
      <c r="VEK546" s="500"/>
      <c r="VEL546" s="500"/>
      <c r="VEM546" s="500"/>
      <c r="VEN546" s="500"/>
      <c r="VEO546" s="500"/>
      <c r="VEP546" s="500"/>
      <c r="VEQ546" s="500"/>
      <c r="VER546" s="500"/>
      <c r="VES546" s="500"/>
      <c r="VET546" s="500"/>
      <c r="VEU546" s="500"/>
      <c r="VEV546" s="500"/>
      <c r="VEW546" s="500"/>
      <c r="VEX546" s="500"/>
      <c r="VEY546" s="500"/>
      <c r="VEZ546" s="500"/>
      <c r="VFA546" s="500"/>
      <c r="VFB546" s="500"/>
      <c r="VFC546" s="500"/>
      <c r="VFD546" s="500"/>
      <c r="VFE546" s="500"/>
      <c r="VFF546" s="500"/>
      <c r="VFG546" s="500"/>
      <c r="VFH546" s="500"/>
      <c r="VFI546" s="500"/>
      <c r="VFJ546" s="500"/>
      <c r="VFK546" s="500"/>
      <c r="VFL546" s="500"/>
      <c r="VFM546" s="500"/>
      <c r="VFN546" s="500"/>
      <c r="VFO546" s="500"/>
      <c r="VFP546" s="500"/>
      <c r="VFQ546" s="500"/>
      <c r="VFR546" s="500"/>
      <c r="VFS546" s="500"/>
      <c r="VFT546" s="500"/>
      <c r="VFU546" s="500"/>
      <c r="VFV546" s="500"/>
      <c r="VFW546" s="500"/>
      <c r="VFX546" s="500"/>
      <c r="VFY546" s="500"/>
      <c r="VFZ546" s="500"/>
      <c r="VGA546" s="500"/>
      <c r="VGB546" s="500"/>
      <c r="VGC546" s="500"/>
      <c r="VGD546" s="500"/>
      <c r="VGE546" s="500"/>
      <c r="VGF546" s="500"/>
      <c r="VGG546" s="500"/>
      <c r="VGH546" s="500"/>
      <c r="VGI546" s="500"/>
      <c r="VGJ546" s="500"/>
      <c r="VGK546" s="500"/>
      <c r="VGL546" s="500"/>
      <c r="VGM546" s="500"/>
      <c r="VGN546" s="500"/>
      <c r="VGO546" s="500"/>
      <c r="VGP546" s="500"/>
      <c r="VGQ546" s="500"/>
      <c r="VGR546" s="500"/>
      <c r="VGS546" s="500"/>
      <c r="VGT546" s="500"/>
      <c r="VGU546" s="500"/>
      <c r="VGV546" s="500"/>
      <c r="VGW546" s="500"/>
      <c r="VGX546" s="500"/>
      <c r="VGY546" s="500"/>
      <c r="VGZ546" s="500"/>
      <c r="VHA546" s="500"/>
      <c r="VHB546" s="500"/>
      <c r="VHC546" s="500"/>
      <c r="VHD546" s="500"/>
      <c r="VHE546" s="500"/>
      <c r="VHF546" s="500"/>
      <c r="VHG546" s="500"/>
      <c r="VHH546" s="500"/>
      <c r="VHI546" s="500"/>
      <c r="VHJ546" s="500"/>
      <c r="VHK546" s="500"/>
      <c r="VHL546" s="500"/>
      <c r="VHM546" s="500"/>
      <c r="VHN546" s="500"/>
      <c r="VHO546" s="500"/>
      <c r="VHP546" s="500"/>
      <c r="VHQ546" s="500"/>
      <c r="VHR546" s="500"/>
      <c r="VHS546" s="500"/>
      <c r="VHT546" s="500"/>
      <c r="VHU546" s="500"/>
      <c r="VHV546" s="500"/>
      <c r="VHW546" s="500"/>
      <c r="VHX546" s="500"/>
      <c r="VHY546" s="500"/>
      <c r="VHZ546" s="500"/>
      <c r="VIA546" s="500"/>
      <c r="VIB546" s="500"/>
      <c r="VIC546" s="500"/>
      <c r="VID546" s="500"/>
      <c r="VIE546" s="500"/>
      <c r="VIF546" s="500"/>
      <c r="VIG546" s="500"/>
      <c r="VIH546" s="500"/>
      <c r="VII546" s="500"/>
      <c r="VIJ546" s="500"/>
      <c r="VIK546" s="500"/>
      <c r="VIL546" s="500"/>
      <c r="VIM546" s="500"/>
      <c r="VIN546" s="500"/>
      <c r="VIO546" s="500"/>
      <c r="VIP546" s="500"/>
      <c r="VIQ546" s="500"/>
      <c r="VIR546" s="500"/>
      <c r="VIS546" s="500"/>
      <c r="VIT546" s="500"/>
      <c r="VIU546" s="500"/>
      <c r="VIV546" s="500"/>
      <c r="VIW546" s="500"/>
      <c r="VIX546" s="500"/>
      <c r="VIY546" s="500"/>
      <c r="VIZ546" s="500"/>
      <c r="VJA546" s="500"/>
      <c r="VJB546" s="500"/>
      <c r="VJC546" s="500"/>
      <c r="VJD546" s="500"/>
      <c r="VJE546" s="500"/>
      <c r="VJF546" s="500"/>
      <c r="VJG546" s="500"/>
      <c r="VJH546" s="500"/>
      <c r="VJI546" s="500"/>
      <c r="VJJ546" s="500"/>
      <c r="VJK546" s="500"/>
      <c r="VJL546" s="500"/>
      <c r="VJM546" s="500"/>
      <c r="VJN546" s="500"/>
      <c r="VJO546" s="500"/>
      <c r="VJP546" s="500"/>
      <c r="VJQ546" s="500"/>
      <c r="VJR546" s="500"/>
      <c r="VJS546" s="500"/>
      <c r="VJT546" s="500"/>
      <c r="VJU546" s="500"/>
      <c r="VJV546" s="500"/>
      <c r="VJW546" s="500"/>
      <c r="VJX546" s="500"/>
      <c r="VJY546" s="500"/>
      <c r="VJZ546" s="500"/>
      <c r="VKA546" s="500"/>
      <c r="VKB546" s="500"/>
      <c r="VKC546" s="500"/>
      <c r="VKD546" s="500"/>
      <c r="VKE546" s="500"/>
      <c r="VKF546" s="500"/>
      <c r="VKG546" s="500"/>
      <c r="VKH546" s="500"/>
      <c r="VKI546" s="500"/>
      <c r="VKJ546" s="500"/>
      <c r="VKK546" s="500"/>
      <c r="VKL546" s="500"/>
      <c r="VKM546" s="500"/>
      <c r="VKN546" s="500"/>
      <c r="VKO546" s="500"/>
      <c r="VKP546" s="500"/>
      <c r="VKQ546" s="500"/>
      <c r="VKR546" s="500"/>
      <c r="VKS546" s="500"/>
      <c r="VKT546" s="500"/>
      <c r="VKU546" s="500"/>
      <c r="VKV546" s="500"/>
      <c r="VKW546" s="500"/>
      <c r="VKX546" s="500"/>
      <c r="VKY546" s="500"/>
      <c r="VKZ546" s="500"/>
      <c r="VLA546" s="500"/>
      <c r="VLB546" s="500"/>
      <c r="VLC546" s="500"/>
      <c r="VLD546" s="500"/>
      <c r="VLE546" s="500"/>
      <c r="VLF546" s="500"/>
      <c r="VLG546" s="500"/>
      <c r="VLH546" s="500"/>
      <c r="VLI546" s="500"/>
      <c r="VLJ546" s="500"/>
      <c r="VLK546" s="500"/>
      <c r="VLL546" s="500"/>
      <c r="VLM546" s="500"/>
      <c r="VLN546" s="500"/>
      <c r="VLO546" s="500"/>
      <c r="VLP546" s="500"/>
      <c r="VLQ546" s="500"/>
      <c r="VLR546" s="500"/>
      <c r="VLS546" s="500"/>
      <c r="VLT546" s="500"/>
      <c r="VLU546" s="500"/>
      <c r="VLV546" s="500"/>
      <c r="VLW546" s="500"/>
      <c r="VLX546" s="500"/>
      <c r="VLY546" s="500"/>
      <c r="VLZ546" s="500"/>
      <c r="VMA546" s="500"/>
      <c r="VMB546" s="500"/>
      <c r="VMC546" s="500"/>
      <c r="VMD546" s="500"/>
      <c r="VME546" s="500"/>
      <c r="VMF546" s="500"/>
      <c r="VMG546" s="500"/>
      <c r="VMH546" s="500"/>
      <c r="VMI546" s="500"/>
      <c r="VMJ546" s="500"/>
      <c r="VMK546" s="500"/>
      <c r="VML546" s="500"/>
      <c r="VMM546" s="500"/>
      <c r="VMN546" s="500"/>
      <c r="VMO546" s="500"/>
      <c r="VMP546" s="500"/>
      <c r="VMQ546" s="500"/>
      <c r="VMR546" s="500"/>
      <c r="VMS546" s="500"/>
      <c r="VMT546" s="500"/>
      <c r="VMU546" s="500"/>
      <c r="VMV546" s="500"/>
      <c r="VMW546" s="500"/>
      <c r="VMX546" s="500"/>
      <c r="VMY546" s="500"/>
      <c r="VMZ546" s="500"/>
      <c r="VNA546" s="500"/>
      <c r="VNB546" s="500"/>
      <c r="VNC546" s="500"/>
      <c r="VND546" s="500"/>
      <c r="VNE546" s="500"/>
      <c r="VNF546" s="500"/>
      <c r="VNG546" s="500"/>
      <c r="VNH546" s="500"/>
      <c r="VNI546" s="500"/>
      <c r="VNJ546" s="500"/>
      <c r="VNK546" s="500"/>
      <c r="VNL546" s="500"/>
      <c r="VNM546" s="500"/>
      <c r="VNN546" s="500"/>
      <c r="VNO546" s="500"/>
      <c r="VNP546" s="500"/>
      <c r="VNQ546" s="500"/>
      <c r="VNR546" s="500"/>
      <c r="VNS546" s="500"/>
      <c r="VNT546" s="500"/>
      <c r="VNU546" s="500"/>
      <c r="VNV546" s="500"/>
      <c r="VNW546" s="500"/>
      <c r="VNX546" s="500"/>
      <c r="VNY546" s="500"/>
      <c r="VNZ546" s="500"/>
      <c r="VOA546" s="500"/>
      <c r="VOB546" s="500"/>
      <c r="VOC546" s="500"/>
      <c r="VOD546" s="500"/>
      <c r="VOE546" s="500"/>
      <c r="VOF546" s="500"/>
      <c r="VOG546" s="500"/>
      <c r="VOH546" s="500"/>
      <c r="VOI546" s="500"/>
      <c r="VOJ546" s="500"/>
      <c r="VOK546" s="500"/>
      <c r="VOL546" s="500"/>
      <c r="VOM546" s="500"/>
      <c r="VON546" s="500"/>
      <c r="VOO546" s="500"/>
      <c r="VOP546" s="500"/>
      <c r="VOQ546" s="500"/>
      <c r="VOR546" s="500"/>
      <c r="VOS546" s="500"/>
      <c r="VOT546" s="500"/>
      <c r="VOU546" s="500"/>
      <c r="VOV546" s="500"/>
      <c r="VOW546" s="500"/>
      <c r="VOX546" s="500"/>
      <c r="VOY546" s="500"/>
      <c r="VOZ546" s="500"/>
      <c r="VPA546" s="500"/>
      <c r="VPB546" s="500"/>
      <c r="VPC546" s="500"/>
      <c r="VPD546" s="500"/>
      <c r="VPE546" s="500"/>
      <c r="VPF546" s="500"/>
      <c r="VPG546" s="500"/>
      <c r="VPH546" s="500"/>
      <c r="VPI546" s="500"/>
      <c r="VPJ546" s="500"/>
      <c r="VPK546" s="500"/>
      <c r="VPL546" s="500"/>
      <c r="VPM546" s="500"/>
      <c r="VPN546" s="500"/>
      <c r="VPO546" s="500"/>
      <c r="VPP546" s="500"/>
      <c r="VPQ546" s="500"/>
      <c r="VPR546" s="500"/>
      <c r="VPS546" s="500"/>
      <c r="VPT546" s="500"/>
      <c r="VPU546" s="500"/>
      <c r="VPV546" s="500"/>
      <c r="VPW546" s="500"/>
      <c r="VPX546" s="500"/>
      <c r="VPY546" s="500"/>
      <c r="VPZ546" s="500"/>
      <c r="VQA546" s="500"/>
      <c r="VQB546" s="500"/>
      <c r="VQC546" s="500"/>
      <c r="VQD546" s="500"/>
      <c r="VQE546" s="500"/>
      <c r="VQF546" s="500"/>
      <c r="VQG546" s="500"/>
      <c r="VQH546" s="500"/>
      <c r="VQI546" s="500"/>
      <c r="VQJ546" s="500"/>
      <c r="VQK546" s="500"/>
      <c r="VQL546" s="500"/>
      <c r="VQM546" s="500"/>
      <c r="VQN546" s="500"/>
      <c r="VQO546" s="500"/>
      <c r="VQP546" s="500"/>
      <c r="VQQ546" s="500"/>
      <c r="VQR546" s="500"/>
      <c r="VQS546" s="500"/>
      <c r="VQT546" s="500"/>
      <c r="VQU546" s="500"/>
      <c r="VQV546" s="500"/>
      <c r="VQW546" s="500"/>
      <c r="VQX546" s="500"/>
      <c r="VQY546" s="500"/>
      <c r="VQZ546" s="500"/>
      <c r="VRA546" s="500"/>
      <c r="VRB546" s="500"/>
      <c r="VRC546" s="500"/>
      <c r="VRD546" s="500"/>
      <c r="VRE546" s="500"/>
      <c r="VRF546" s="500"/>
      <c r="VRG546" s="500"/>
      <c r="VRH546" s="500"/>
      <c r="VRI546" s="500"/>
      <c r="VRJ546" s="500"/>
      <c r="VRK546" s="500"/>
      <c r="VRL546" s="500"/>
      <c r="VRM546" s="500"/>
      <c r="VRN546" s="500"/>
      <c r="VRO546" s="500"/>
      <c r="VRP546" s="500"/>
      <c r="VRQ546" s="500"/>
      <c r="VRR546" s="500"/>
      <c r="VRS546" s="500"/>
      <c r="VRT546" s="500"/>
      <c r="VRU546" s="500"/>
      <c r="VRV546" s="500"/>
      <c r="VRW546" s="500"/>
      <c r="VRX546" s="500"/>
      <c r="VRY546" s="500"/>
      <c r="VRZ546" s="500"/>
      <c r="VSA546" s="500"/>
      <c r="VSB546" s="500"/>
      <c r="VSC546" s="500"/>
      <c r="VSD546" s="500"/>
      <c r="VSE546" s="500"/>
      <c r="VSF546" s="500"/>
      <c r="VSG546" s="500"/>
      <c r="VSH546" s="500"/>
      <c r="VSI546" s="500"/>
      <c r="VSJ546" s="500"/>
      <c r="VSK546" s="500"/>
      <c r="VSL546" s="500"/>
      <c r="VSM546" s="500"/>
      <c r="VSN546" s="500"/>
      <c r="VSO546" s="500"/>
      <c r="VSP546" s="500"/>
      <c r="VSQ546" s="500"/>
      <c r="VSR546" s="500"/>
      <c r="VSS546" s="500"/>
      <c r="VST546" s="500"/>
      <c r="VSU546" s="500"/>
      <c r="VSV546" s="500"/>
      <c r="VSW546" s="500"/>
      <c r="VSX546" s="500"/>
      <c r="VSY546" s="500"/>
      <c r="VSZ546" s="500"/>
      <c r="VTA546" s="500"/>
      <c r="VTB546" s="500"/>
      <c r="VTC546" s="500"/>
      <c r="VTD546" s="500"/>
      <c r="VTE546" s="500"/>
      <c r="VTF546" s="500"/>
      <c r="VTG546" s="500"/>
      <c r="VTH546" s="500"/>
      <c r="VTI546" s="500"/>
      <c r="VTJ546" s="500"/>
      <c r="VTK546" s="500"/>
      <c r="VTL546" s="500"/>
      <c r="VTM546" s="500"/>
      <c r="VTN546" s="500"/>
      <c r="VTO546" s="500"/>
      <c r="VTP546" s="500"/>
      <c r="VTQ546" s="500"/>
      <c r="VTR546" s="500"/>
      <c r="VTS546" s="500"/>
      <c r="VTT546" s="500"/>
      <c r="VTU546" s="500"/>
      <c r="VTV546" s="500"/>
      <c r="VTW546" s="500"/>
      <c r="VTX546" s="500"/>
      <c r="VTY546" s="500"/>
      <c r="VTZ546" s="500"/>
      <c r="VUA546" s="500"/>
      <c r="VUB546" s="500"/>
      <c r="VUC546" s="500"/>
      <c r="VUD546" s="500"/>
      <c r="VUE546" s="500"/>
      <c r="VUF546" s="500"/>
      <c r="VUG546" s="500"/>
      <c r="VUH546" s="500"/>
      <c r="VUI546" s="500"/>
      <c r="VUJ546" s="500"/>
      <c r="VUK546" s="500"/>
      <c r="VUL546" s="500"/>
      <c r="VUM546" s="500"/>
      <c r="VUN546" s="500"/>
      <c r="VUO546" s="500"/>
      <c r="VUP546" s="500"/>
      <c r="VUQ546" s="500"/>
      <c r="VUR546" s="500"/>
      <c r="VUS546" s="500"/>
      <c r="VUT546" s="500"/>
      <c r="VUU546" s="500"/>
      <c r="VUV546" s="500"/>
      <c r="VUW546" s="500"/>
      <c r="VUX546" s="500"/>
      <c r="VUY546" s="500"/>
      <c r="VUZ546" s="500"/>
      <c r="VVA546" s="500"/>
      <c r="VVB546" s="500"/>
      <c r="VVC546" s="500"/>
      <c r="VVD546" s="500"/>
      <c r="VVE546" s="500"/>
      <c r="VVF546" s="500"/>
      <c r="VVG546" s="500"/>
      <c r="VVH546" s="500"/>
      <c r="VVI546" s="500"/>
      <c r="VVJ546" s="500"/>
      <c r="VVK546" s="500"/>
      <c r="VVL546" s="500"/>
      <c r="VVM546" s="500"/>
      <c r="VVN546" s="500"/>
      <c r="VVO546" s="500"/>
      <c r="VVP546" s="500"/>
      <c r="VVQ546" s="500"/>
      <c r="VVR546" s="500"/>
      <c r="VVS546" s="500"/>
      <c r="VVT546" s="500"/>
      <c r="VVU546" s="500"/>
      <c r="VVV546" s="500"/>
      <c r="VVW546" s="500"/>
      <c r="VVX546" s="500"/>
      <c r="VVY546" s="500"/>
      <c r="VVZ546" s="500"/>
      <c r="VWA546" s="500"/>
      <c r="VWB546" s="500"/>
      <c r="VWC546" s="500"/>
      <c r="VWD546" s="500"/>
      <c r="VWE546" s="500"/>
      <c r="VWF546" s="500"/>
      <c r="VWG546" s="500"/>
      <c r="VWH546" s="500"/>
      <c r="VWI546" s="500"/>
      <c r="VWJ546" s="500"/>
      <c r="VWK546" s="500"/>
      <c r="VWL546" s="500"/>
      <c r="VWM546" s="500"/>
      <c r="VWN546" s="500"/>
      <c r="VWO546" s="500"/>
      <c r="VWP546" s="500"/>
      <c r="VWQ546" s="500"/>
      <c r="VWR546" s="500"/>
      <c r="VWS546" s="500"/>
      <c r="VWT546" s="500"/>
      <c r="VWU546" s="500"/>
      <c r="VWV546" s="500"/>
      <c r="VWW546" s="500"/>
      <c r="VWX546" s="500"/>
      <c r="VWY546" s="500"/>
      <c r="VWZ546" s="500"/>
      <c r="VXA546" s="500"/>
      <c r="VXB546" s="500"/>
      <c r="VXC546" s="500"/>
      <c r="VXD546" s="500"/>
      <c r="VXE546" s="500"/>
      <c r="VXF546" s="500"/>
      <c r="VXG546" s="500"/>
      <c r="VXH546" s="500"/>
      <c r="VXI546" s="500"/>
      <c r="VXJ546" s="500"/>
      <c r="VXK546" s="500"/>
      <c r="VXL546" s="500"/>
      <c r="VXM546" s="500"/>
      <c r="VXN546" s="500"/>
      <c r="VXO546" s="500"/>
      <c r="VXP546" s="500"/>
      <c r="VXQ546" s="500"/>
      <c r="VXR546" s="500"/>
      <c r="VXS546" s="500"/>
      <c r="VXT546" s="500"/>
      <c r="VXU546" s="500"/>
      <c r="VXV546" s="500"/>
      <c r="VXW546" s="500"/>
      <c r="VXX546" s="500"/>
      <c r="VXY546" s="500"/>
      <c r="VXZ546" s="500"/>
      <c r="VYA546" s="500"/>
      <c r="VYB546" s="500"/>
      <c r="VYC546" s="500"/>
      <c r="VYD546" s="500"/>
      <c r="VYE546" s="500"/>
      <c r="VYF546" s="500"/>
      <c r="VYG546" s="500"/>
      <c r="VYH546" s="500"/>
      <c r="VYI546" s="500"/>
      <c r="VYJ546" s="500"/>
      <c r="VYK546" s="500"/>
      <c r="VYL546" s="500"/>
      <c r="VYM546" s="500"/>
      <c r="VYN546" s="500"/>
      <c r="VYO546" s="500"/>
      <c r="VYP546" s="500"/>
      <c r="VYQ546" s="500"/>
      <c r="VYR546" s="500"/>
      <c r="VYS546" s="500"/>
      <c r="VYT546" s="500"/>
      <c r="VYU546" s="500"/>
      <c r="VYV546" s="500"/>
      <c r="VYW546" s="500"/>
      <c r="VYX546" s="500"/>
      <c r="VYY546" s="500"/>
      <c r="VYZ546" s="500"/>
      <c r="VZA546" s="500"/>
      <c r="VZB546" s="500"/>
      <c r="VZC546" s="500"/>
      <c r="VZD546" s="500"/>
      <c r="VZE546" s="500"/>
      <c r="VZF546" s="500"/>
      <c r="VZG546" s="500"/>
      <c r="VZH546" s="500"/>
      <c r="VZI546" s="500"/>
      <c r="VZJ546" s="500"/>
      <c r="VZK546" s="500"/>
      <c r="VZL546" s="500"/>
      <c r="VZM546" s="500"/>
      <c r="VZN546" s="500"/>
      <c r="VZO546" s="500"/>
      <c r="VZP546" s="500"/>
      <c r="VZQ546" s="500"/>
      <c r="VZR546" s="500"/>
      <c r="VZS546" s="500"/>
      <c r="VZT546" s="500"/>
      <c r="VZU546" s="500"/>
      <c r="VZV546" s="500"/>
      <c r="VZW546" s="500"/>
      <c r="VZX546" s="500"/>
      <c r="VZY546" s="500"/>
      <c r="VZZ546" s="500"/>
      <c r="WAA546" s="500"/>
      <c r="WAB546" s="500"/>
      <c r="WAC546" s="500"/>
      <c r="WAD546" s="500"/>
      <c r="WAE546" s="500"/>
      <c r="WAF546" s="500"/>
      <c r="WAG546" s="500"/>
      <c r="WAH546" s="500"/>
      <c r="WAI546" s="500"/>
      <c r="WAJ546" s="500"/>
      <c r="WAK546" s="500"/>
      <c r="WAL546" s="500"/>
      <c r="WAM546" s="500"/>
      <c r="WAN546" s="500"/>
      <c r="WAO546" s="500"/>
      <c r="WAP546" s="500"/>
      <c r="WAQ546" s="500"/>
      <c r="WAR546" s="500"/>
      <c r="WAS546" s="500"/>
      <c r="WAT546" s="500"/>
      <c r="WAU546" s="500"/>
      <c r="WAV546" s="500"/>
      <c r="WAW546" s="500"/>
      <c r="WAX546" s="500"/>
      <c r="WAY546" s="500"/>
      <c r="WAZ546" s="500"/>
      <c r="WBA546" s="500"/>
      <c r="WBB546" s="500"/>
      <c r="WBC546" s="500"/>
      <c r="WBD546" s="500"/>
      <c r="WBE546" s="500"/>
      <c r="WBF546" s="500"/>
      <c r="WBG546" s="500"/>
      <c r="WBH546" s="500"/>
      <c r="WBI546" s="500"/>
      <c r="WBJ546" s="500"/>
      <c r="WBK546" s="500"/>
      <c r="WBL546" s="500"/>
      <c r="WBM546" s="500"/>
      <c r="WBN546" s="500"/>
      <c r="WBO546" s="500"/>
      <c r="WBP546" s="500"/>
      <c r="WBQ546" s="500"/>
      <c r="WBR546" s="500"/>
      <c r="WBS546" s="500"/>
      <c r="WBT546" s="500"/>
      <c r="WBU546" s="500"/>
      <c r="WBV546" s="500"/>
      <c r="WBW546" s="500"/>
      <c r="WBX546" s="500"/>
      <c r="WBY546" s="500"/>
      <c r="WBZ546" s="500"/>
      <c r="WCA546" s="500"/>
      <c r="WCB546" s="500"/>
      <c r="WCC546" s="500"/>
      <c r="WCD546" s="500"/>
      <c r="WCE546" s="500"/>
      <c r="WCF546" s="500"/>
      <c r="WCG546" s="500"/>
      <c r="WCH546" s="500"/>
      <c r="WCI546" s="500"/>
      <c r="WCJ546" s="500"/>
      <c r="WCK546" s="500"/>
      <c r="WCL546" s="500"/>
      <c r="WCM546" s="500"/>
      <c r="WCN546" s="500"/>
      <c r="WCO546" s="500"/>
      <c r="WCP546" s="500"/>
      <c r="WCQ546" s="500"/>
      <c r="WCR546" s="500"/>
      <c r="WCS546" s="500"/>
      <c r="WCT546" s="500"/>
      <c r="WCU546" s="500"/>
      <c r="WCV546" s="500"/>
      <c r="WCW546" s="500"/>
      <c r="WCX546" s="500"/>
      <c r="WCY546" s="500"/>
      <c r="WCZ546" s="500"/>
      <c r="WDA546" s="500"/>
      <c r="WDB546" s="500"/>
      <c r="WDC546" s="500"/>
      <c r="WDD546" s="500"/>
      <c r="WDE546" s="500"/>
      <c r="WDF546" s="500"/>
      <c r="WDG546" s="500"/>
      <c r="WDH546" s="500"/>
      <c r="WDI546" s="500"/>
      <c r="WDJ546" s="500"/>
      <c r="WDK546" s="500"/>
      <c r="WDL546" s="500"/>
      <c r="WDM546" s="500"/>
      <c r="WDN546" s="500"/>
      <c r="WDO546" s="500"/>
      <c r="WDP546" s="500"/>
      <c r="WDQ546" s="500"/>
      <c r="WDR546" s="500"/>
      <c r="WDS546" s="500"/>
      <c r="WDT546" s="500"/>
      <c r="WDU546" s="500"/>
      <c r="WDV546" s="500"/>
      <c r="WDW546" s="500"/>
      <c r="WDX546" s="500"/>
      <c r="WDY546" s="500"/>
      <c r="WDZ546" s="500"/>
      <c r="WEA546" s="500"/>
      <c r="WEB546" s="500"/>
      <c r="WEC546" s="500"/>
      <c r="WED546" s="500"/>
      <c r="WEE546" s="500"/>
      <c r="WEF546" s="500"/>
      <c r="WEG546" s="500"/>
      <c r="WEH546" s="500"/>
      <c r="WEI546" s="500"/>
      <c r="WEJ546" s="500"/>
      <c r="WEK546" s="500"/>
      <c r="WEL546" s="500"/>
      <c r="WEM546" s="500"/>
      <c r="WEN546" s="500"/>
      <c r="WEO546" s="500"/>
      <c r="WEP546" s="500"/>
      <c r="WEQ546" s="500"/>
      <c r="WER546" s="500"/>
      <c r="WES546" s="500"/>
      <c r="WET546" s="500"/>
      <c r="WEU546" s="500"/>
      <c r="WEV546" s="500"/>
      <c r="WEW546" s="500"/>
      <c r="WEX546" s="500"/>
      <c r="WEY546" s="500"/>
      <c r="WEZ546" s="500"/>
      <c r="WFA546" s="500"/>
      <c r="WFB546" s="500"/>
      <c r="WFC546" s="500"/>
      <c r="WFD546" s="500"/>
      <c r="WFE546" s="500"/>
      <c r="WFF546" s="500"/>
      <c r="WFG546" s="500"/>
      <c r="WFH546" s="500"/>
      <c r="WFI546" s="500"/>
      <c r="WFJ546" s="500"/>
      <c r="WFK546" s="500"/>
      <c r="WFL546" s="500"/>
      <c r="WFM546" s="500"/>
      <c r="WFN546" s="500"/>
      <c r="WFO546" s="500"/>
      <c r="WFP546" s="500"/>
      <c r="WFQ546" s="500"/>
      <c r="WFR546" s="500"/>
      <c r="WFS546" s="500"/>
      <c r="WFT546" s="500"/>
      <c r="WFU546" s="500"/>
      <c r="WFV546" s="500"/>
      <c r="WFW546" s="500"/>
      <c r="WFX546" s="500"/>
      <c r="WFY546" s="500"/>
      <c r="WFZ546" s="500"/>
      <c r="WGA546" s="500"/>
      <c r="WGB546" s="500"/>
      <c r="WGC546" s="500"/>
      <c r="WGD546" s="500"/>
      <c r="WGE546" s="500"/>
      <c r="WGF546" s="500"/>
      <c r="WGG546" s="500"/>
      <c r="WGH546" s="500"/>
      <c r="WGI546" s="500"/>
      <c r="WGJ546" s="500"/>
      <c r="WGK546" s="500"/>
      <c r="WGL546" s="500"/>
      <c r="WGM546" s="500"/>
      <c r="WGN546" s="500"/>
      <c r="WGO546" s="500"/>
      <c r="WGP546" s="500"/>
      <c r="WGQ546" s="500"/>
      <c r="WGR546" s="500"/>
      <c r="WGS546" s="500"/>
      <c r="WGT546" s="500"/>
      <c r="WGU546" s="500"/>
      <c r="WGV546" s="500"/>
      <c r="WGW546" s="500"/>
      <c r="WGX546" s="500"/>
      <c r="WGY546" s="500"/>
      <c r="WGZ546" s="500"/>
      <c r="WHA546" s="500"/>
      <c r="WHB546" s="500"/>
      <c r="WHC546" s="500"/>
      <c r="WHD546" s="500"/>
      <c r="WHE546" s="500"/>
      <c r="WHF546" s="500"/>
      <c r="WHG546" s="500"/>
      <c r="WHH546" s="500"/>
      <c r="WHI546" s="500"/>
      <c r="WHJ546" s="500"/>
      <c r="WHK546" s="500"/>
      <c r="WHL546" s="500"/>
      <c r="WHM546" s="500"/>
      <c r="WHN546" s="500"/>
      <c r="WHO546" s="500"/>
      <c r="WHP546" s="500"/>
      <c r="WHQ546" s="500"/>
      <c r="WHR546" s="500"/>
      <c r="WHS546" s="500"/>
      <c r="WHT546" s="500"/>
      <c r="WHU546" s="500"/>
      <c r="WHV546" s="500"/>
      <c r="WHW546" s="500"/>
      <c r="WHX546" s="500"/>
      <c r="WHY546" s="500"/>
      <c r="WHZ546" s="500"/>
      <c r="WIA546" s="500"/>
      <c r="WIB546" s="500"/>
      <c r="WIC546" s="500"/>
      <c r="WID546" s="500"/>
      <c r="WIE546" s="500"/>
      <c r="WIF546" s="500"/>
      <c r="WIG546" s="500"/>
      <c r="WIH546" s="500"/>
      <c r="WII546" s="500"/>
      <c r="WIJ546" s="500"/>
      <c r="WIK546" s="500"/>
      <c r="WIL546" s="500"/>
      <c r="WIM546" s="500"/>
      <c r="WIN546" s="500"/>
      <c r="WIO546" s="500"/>
      <c r="WIP546" s="500"/>
      <c r="WIQ546" s="500"/>
      <c r="WIR546" s="500"/>
      <c r="WIS546" s="500"/>
      <c r="WIT546" s="500"/>
      <c r="WIU546" s="500"/>
      <c r="WIV546" s="500"/>
      <c r="WIW546" s="500"/>
      <c r="WIX546" s="500"/>
      <c r="WIY546" s="500"/>
      <c r="WIZ546" s="500"/>
      <c r="WJA546" s="500"/>
      <c r="WJB546" s="500"/>
      <c r="WJC546" s="500"/>
      <c r="WJD546" s="500"/>
      <c r="WJE546" s="500"/>
      <c r="WJF546" s="500"/>
      <c r="WJG546" s="500"/>
      <c r="WJH546" s="500"/>
      <c r="WJI546" s="500"/>
      <c r="WJJ546" s="500"/>
      <c r="WJK546" s="500"/>
      <c r="WJL546" s="500"/>
      <c r="WJM546" s="500"/>
      <c r="WJN546" s="500"/>
      <c r="WJO546" s="500"/>
      <c r="WJP546" s="500"/>
      <c r="WJQ546" s="500"/>
      <c r="WJR546" s="500"/>
      <c r="WJS546" s="500"/>
      <c r="WJT546" s="500"/>
      <c r="WJU546" s="500"/>
      <c r="WJV546" s="500"/>
      <c r="WJW546" s="500"/>
      <c r="WJX546" s="500"/>
      <c r="WJY546" s="500"/>
      <c r="WJZ546" s="500"/>
      <c r="WKA546" s="500"/>
      <c r="WKB546" s="500"/>
      <c r="WKC546" s="500"/>
      <c r="WKD546" s="500"/>
      <c r="WKE546" s="500"/>
      <c r="WKF546" s="500"/>
      <c r="WKG546" s="500"/>
      <c r="WKH546" s="500"/>
      <c r="WKI546" s="500"/>
      <c r="WKJ546" s="500"/>
      <c r="WKK546" s="500"/>
      <c r="WKL546" s="500"/>
      <c r="WKM546" s="500"/>
      <c r="WKN546" s="500"/>
      <c r="WKO546" s="500"/>
      <c r="WKP546" s="500"/>
      <c r="WKQ546" s="500"/>
      <c r="WKR546" s="500"/>
      <c r="WKS546" s="500"/>
      <c r="WKT546" s="500"/>
      <c r="WKU546" s="500"/>
      <c r="WKV546" s="500"/>
      <c r="WKW546" s="500"/>
      <c r="WKX546" s="500"/>
      <c r="WKY546" s="500"/>
      <c r="WKZ546" s="500"/>
      <c r="WLA546" s="500"/>
      <c r="WLB546" s="500"/>
      <c r="WLC546" s="500"/>
      <c r="WLD546" s="500"/>
      <c r="WLE546" s="500"/>
      <c r="WLF546" s="500"/>
      <c r="WLG546" s="500"/>
      <c r="WLH546" s="500"/>
      <c r="WLI546" s="500"/>
      <c r="WLJ546" s="500"/>
      <c r="WLK546" s="500"/>
      <c r="WLL546" s="500"/>
      <c r="WLM546" s="500"/>
      <c r="WLN546" s="500"/>
      <c r="WLO546" s="500"/>
      <c r="WLP546" s="500"/>
      <c r="WLQ546" s="500"/>
      <c r="WLR546" s="500"/>
      <c r="WLS546" s="500"/>
      <c r="WLT546" s="500"/>
      <c r="WLU546" s="500"/>
      <c r="WLV546" s="500"/>
      <c r="WLW546" s="500"/>
      <c r="WLX546" s="500"/>
      <c r="WLY546" s="500"/>
      <c r="WLZ546" s="500"/>
      <c r="WMA546" s="500"/>
      <c r="WMB546" s="500"/>
      <c r="WMC546" s="500"/>
      <c r="WMD546" s="500"/>
      <c r="WME546" s="500"/>
      <c r="WMF546" s="500"/>
      <c r="WMG546" s="500"/>
      <c r="WMH546" s="500"/>
      <c r="WMI546" s="500"/>
      <c r="WMJ546" s="500"/>
      <c r="WMK546" s="500"/>
      <c r="WML546" s="500"/>
      <c r="WMM546" s="500"/>
      <c r="WMN546" s="500"/>
      <c r="WMO546" s="500"/>
      <c r="WMP546" s="500"/>
      <c r="WMQ546" s="500"/>
      <c r="WMR546" s="500"/>
      <c r="WMS546" s="500"/>
      <c r="WMT546" s="500"/>
      <c r="WMU546" s="500"/>
      <c r="WMV546" s="500"/>
      <c r="WMW546" s="500"/>
      <c r="WMX546" s="500"/>
      <c r="WMY546" s="500"/>
      <c r="WMZ546" s="500"/>
      <c r="WNA546" s="500"/>
      <c r="WNB546" s="500"/>
      <c r="WNC546" s="500"/>
      <c r="WND546" s="500"/>
      <c r="WNE546" s="500"/>
      <c r="WNF546" s="500"/>
      <c r="WNG546" s="500"/>
      <c r="WNH546" s="500"/>
      <c r="WNI546" s="500"/>
      <c r="WNJ546" s="500"/>
      <c r="WNK546" s="500"/>
      <c r="WNL546" s="500"/>
      <c r="WNM546" s="500"/>
      <c r="WNN546" s="500"/>
      <c r="WNO546" s="500"/>
      <c r="WNP546" s="500"/>
      <c r="WNQ546" s="500"/>
      <c r="WNR546" s="500"/>
      <c r="WNS546" s="500"/>
      <c r="WNT546" s="500"/>
      <c r="WNU546" s="500"/>
      <c r="WNV546" s="500"/>
      <c r="WNW546" s="500"/>
      <c r="WNX546" s="500"/>
      <c r="WNY546" s="500"/>
      <c r="WNZ546" s="500"/>
      <c r="WOA546" s="500"/>
      <c r="WOB546" s="500"/>
      <c r="WOC546" s="500"/>
      <c r="WOD546" s="500"/>
      <c r="WOE546" s="500"/>
      <c r="WOF546" s="500"/>
      <c r="WOG546" s="500"/>
      <c r="WOH546" s="500"/>
      <c r="WOI546" s="500"/>
      <c r="WOJ546" s="500"/>
      <c r="WOK546" s="500"/>
      <c r="WOL546" s="500"/>
      <c r="WOM546" s="500"/>
      <c r="WON546" s="500"/>
      <c r="WOO546" s="500"/>
      <c r="WOP546" s="500"/>
      <c r="WOQ546" s="500"/>
      <c r="WOR546" s="500"/>
      <c r="WOS546" s="500"/>
      <c r="WOT546" s="500"/>
      <c r="WOU546" s="500"/>
      <c r="WOV546" s="500"/>
      <c r="WOW546" s="500"/>
      <c r="WOX546" s="500"/>
      <c r="WOY546" s="500"/>
      <c r="WOZ546" s="500"/>
      <c r="WPA546" s="500"/>
      <c r="WPB546" s="500"/>
      <c r="WPC546" s="500"/>
      <c r="WPD546" s="500"/>
      <c r="WPE546" s="500"/>
      <c r="WPF546" s="500"/>
      <c r="WPG546" s="500"/>
      <c r="WPH546" s="500"/>
      <c r="WPI546" s="500"/>
      <c r="WPJ546" s="500"/>
      <c r="WPK546" s="500"/>
      <c r="WPL546" s="500"/>
      <c r="WPM546" s="500"/>
      <c r="WPN546" s="500"/>
      <c r="WPO546" s="500"/>
      <c r="WPP546" s="500"/>
      <c r="WPQ546" s="500"/>
      <c r="WPR546" s="500"/>
      <c r="WPS546" s="500"/>
      <c r="WPT546" s="500"/>
      <c r="WPU546" s="500"/>
      <c r="WPV546" s="500"/>
      <c r="WPW546" s="500"/>
      <c r="WPX546" s="500"/>
      <c r="WPY546" s="500"/>
      <c r="WPZ546" s="500"/>
      <c r="WQA546" s="500"/>
      <c r="WQB546" s="500"/>
      <c r="WQC546" s="500"/>
      <c r="WQD546" s="500"/>
      <c r="WQE546" s="500"/>
      <c r="WQF546" s="500"/>
      <c r="WQG546" s="500"/>
      <c r="WQH546" s="500"/>
      <c r="WQI546" s="500"/>
      <c r="WQJ546" s="500"/>
      <c r="WQK546" s="500"/>
      <c r="WQL546" s="500"/>
      <c r="WQM546" s="500"/>
      <c r="WQN546" s="500"/>
      <c r="WQO546" s="500"/>
      <c r="WQP546" s="500"/>
      <c r="WQQ546" s="500"/>
      <c r="WQR546" s="500"/>
      <c r="WQS546" s="500"/>
      <c r="WQT546" s="500"/>
      <c r="WQU546" s="500"/>
      <c r="WQV546" s="500"/>
      <c r="WQW546" s="500"/>
      <c r="WQX546" s="500"/>
      <c r="WQY546" s="500"/>
      <c r="WQZ546" s="500"/>
      <c r="WRA546" s="500"/>
      <c r="WRB546" s="500"/>
      <c r="WRC546" s="500"/>
      <c r="WRD546" s="500"/>
      <c r="WRE546" s="500"/>
      <c r="WRF546" s="500"/>
      <c r="WRG546" s="500"/>
      <c r="WRH546" s="500"/>
      <c r="WRI546" s="500"/>
      <c r="WRJ546" s="500"/>
      <c r="WRK546" s="500"/>
      <c r="WRL546" s="500"/>
      <c r="WRM546" s="500"/>
      <c r="WRN546" s="500"/>
      <c r="WRO546" s="500"/>
      <c r="WRP546" s="500"/>
      <c r="WRQ546" s="500"/>
      <c r="WRR546" s="500"/>
      <c r="WRS546" s="500"/>
      <c r="WRT546" s="500"/>
      <c r="WRU546" s="500"/>
      <c r="WRV546" s="500"/>
      <c r="WRW546" s="500"/>
      <c r="WRX546" s="500"/>
      <c r="WRY546" s="500"/>
      <c r="WRZ546" s="500"/>
      <c r="WSA546" s="500"/>
      <c r="WSB546" s="500"/>
      <c r="WSC546" s="500"/>
      <c r="WSD546" s="500"/>
      <c r="WSE546" s="500"/>
      <c r="WSF546" s="500"/>
      <c r="WSG546" s="500"/>
      <c r="WSH546" s="500"/>
      <c r="WSI546" s="500"/>
      <c r="WSJ546" s="500"/>
      <c r="WSK546" s="500"/>
      <c r="WSL546" s="500"/>
      <c r="WSM546" s="500"/>
      <c r="WSN546" s="500"/>
      <c r="WSO546" s="500"/>
      <c r="WSP546" s="500"/>
      <c r="WSQ546" s="500"/>
      <c r="WSR546" s="500"/>
      <c r="WSS546" s="500"/>
      <c r="WST546" s="500"/>
      <c r="WSU546" s="500"/>
      <c r="WSV546" s="500"/>
      <c r="WSW546" s="500"/>
      <c r="WSX546" s="500"/>
      <c r="WSY546" s="500"/>
      <c r="WSZ546" s="500"/>
      <c r="WTA546" s="500"/>
      <c r="WTB546" s="500"/>
      <c r="WTC546" s="500"/>
      <c r="WTD546" s="500"/>
      <c r="WTE546" s="500"/>
      <c r="WTF546" s="500"/>
      <c r="WTG546" s="500"/>
      <c r="WTH546" s="500"/>
      <c r="WTI546" s="500"/>
      <c r="WTJ546" s="500"/>
      <c r="WTK546" s="500"/>
      <c r="WTL546" s="500"/>
      <c r="WTM546" s="500"/>
      <c r="WTN546" s="500"/>
      <c r="WTO546" s="500"/>
      <c r="WTP546" s="500"/>
      <c r="WTQ546" s="500"/>
      <c r="WTR546" s="500"/>
      <c r="WTS546" s="500"/>
      <c r="WTT546" s="500"/>
      <c r="WTU546" s="500"/>
      <c r="WTV546" s="500"/>
      <c r="WTW546" s="500"/>
      <c r="WTX546" s="500"/>
      <c r="WTY546" s="500"/>
      <c r="WTZ546" s="500"/>
      <c r="WUA546" s="500"/>
      <c r="WUB546" s="500"/>
      <c r="WUC546" s="500"/>
      <c r="WUD546" s="500"/>
      <c r="WUE546" s="500"/>
      <c r="WUF546" s="500"/>
      <c r="WUG546" s="500"/>
      <c r="WUH546" s="500"/>
      <c r="WUI546" s="500"/>
      <c r="WUJ546" s="500"/>
      <c r="WUK546" s="500"/>
      <c r="WUL546" s="500"/>
      <c r="WUM546" s="500"/>
      <c r="WUN546" s="500"/>
      <c r="WUO546" s="500"/>
      <c r="WUP546" s="500"/>
      <c r="WUQ546" s="500"/>
      <c r="WUR546" s="500"/>
      <c r="WUS546" s="500"/>
      <c r="WUT546" s="500"/>
      <c r="WUU546" s="500"/>
      <c r="WUV546" s="500"/>
      <c r="WUW546" s="500"/>
      <c r="WUX546" s="500"/>
      <c r="WUY546" s="500"/>
      <c r="WUZ546" s="500"/>
      <c r="WVA546" s="500"/>
      <c r="WVB546" s="500"/>
      <c r="WVC546" s="500"/>
      <c r="WVD546" s="500"/>
      <c r="WVE546" s="500"/>
      <c r="WVF546" s="500"/>
      <c r="WVG546" s="500"/>
      <c r="WVH546" s="500"/>
      <c r="WVI546" s="500"/>
      <c r="WVJ546" s="500"/>
      <c r="WVK546" s="500"/>
      <c r="WVL546" s="500"/>
      <c r="WVM546" s="500"/>
      <c r="WVN546" s="500"/>
      <c r="WVO546" s="500"/>
      <c r="WVP546" s="500"/>
      <c r="WVQ546" s="500"/>
      <c r="WVR546" s="500"/>
      <c r="WVS546" s="500"/>
      <c r="WVT546" s="500"/>
      <c r="WVU546" s="500"/>
      <c r="WVV546" s="500"/>
      <c r="WVW546" s="500"/>
      <c r="WVX546" s="500"/>
      <c r="WVY546" s="500"/>
      <c r="WVZ546" s="500"/>
      <c r="WWA546" s="500"/>
      <c r="WWB546" s="500"/>
      <c r="WWC546" s="500"/>
      <c r="WWD546" s="500"/>
      <c r="WWE546" s="500"/>
      <c r="WWF546" s="500"/>
      <c r="WWG546" s="500"/>
      <c r="WWH546" s="500"/>
      <c r="WWI546" s="500"/>
      <c r="WWJ546" s="500"/>
      <c r="WWK546" s="500"/>
      <c r="WWL546" s="500"/>
      <c r="WWM546" s="500"/>
      <c r="WWN546" s="500"/>
      <c r="WWO546" s="500"/>
      <c r="WWP546" s="500"/>
      <c r="WWQ546" s="500"/>
      <c r="WWR546" s="500"/>
      <c r="WWS546" s="500"/>
      <c r="WWT546" s="500"/>
      <c r="WWU546" s="500"/>
      <c r="WWV546" s="500"/>
      <c r="WWW546" s="500"/>
      <c r="WWX546" s="500"/>
      <c r="WWY546" s="500"/>
      <c r="WWZ546" s="500"/>
      <c r="WXA546" s="500"/>
      <c r="WXB546" s="500"/>
      <c r="WXC546" s="500"/>
      <c r="WXD546" s="500"/>
      <c r="WXE546" s="500"/>
      <c r="WXF546" s="500"/>
      <c r="WXG546" s="500"/>
      <c r="WXH546" s="500"/>
      <c r="WXI546" s="500"/>
      <c r="WXJ546" s="500"/>
      <c r="WXK546" s="500"/>
      <c r="WXL546" s="500"/>
      <c r="WXM546" s="500"/>
      <c r="WXN546" s="500"/>
      <c r="WXO546" s="500"/>
      <c r="WXP546" s="500"/>
      <c r="WXQ546" s="500"/>
      <c r="WXR546" s="500"/>
      <c r="WXS546" s="500"/>
      <c r="WXT546" s="500"/>
      <c r="WXU546" s="500"/>
      <c r="WXV546" s="500"/>
      <c r="WXW546" s="500"/>
      <c r="WXX546" s="500"/>
      <c r="WXY546" s="500"/>
      <c r="WXZ546" s="500"/>
      <c r="WYA546" s="500"/>
      <c r="WYB546" s="500"/>
      <c r="WYC546" s="500"/>
      <c r="WYD546" s="500"/>
      <c r="WYE546" s="500"/>
      <c r="WYF546" s="500"/>
      <c r="WYG546" s="500"/>
      <c r="WYH546" s="500"/>
      <c r="WYI546" s="500"/>
      <c r="WYJ546" s="500"/>
      <c r="WYK546" s="500"/>
      <c r="WYL546" s="500"/>
      <c r="WYM546" s="500"/>
      <c r="WYN546" s="500"/>
      <c r="WYO546" s="500"/>
      <c r="WYP546" s="500"/>
      <c r="WYQ546" s="500"/>
      <c r="WYR546" s="500"/>
      <c r="WYS546" s="500"/>
      <c r="WYT546" s="500"/>
      <c r="WYU546" s="500"/>
      <c r="WYV546" s="500"/>
      <c r="WYW546" s="500"/>
      <c r="WYX546" s="500"/>
      <c r="WYY546" s="500"/>
      <c r="WYZ546" s="500"/>
      <c r="WZA546" s="500"/>
      <c r="WZB546" s="500"/>
      <c r="WZC546" s="500"/>
      <c r="WZD546" s="500"/>
      <c r="WZE546" s="500"/>
      <c r="WZF546" s="500"/>
      <c r="WZG546" s="500"/>
      <c r="WZH546" s="500"/>
      <c r="WZI546" s="500"/>
      <c r="WZJ546" s="500"/>
      <c r="WZK546" s="500"/>
      <c r="WZL546" s="500"/>
      <c r="WZM546" s="500"/>
      <c r="WZN546" s="500"/>
      <c r="WZO546" s="500"/>
      <c r="WZP546" s="500"/>
      <c r="WZQ546" s="500"/>
      <c r="WZR546" s="500"/>
      <c r="WZS546" s="500"/>
      <c r="WZT546" s="500"/>
      <c r="WZU546" s="500"/>
      <c r="WZV546" s="500"/>
      <c r="WZW546" s="500"/>
      <c r="WZX546" s="500"/>
      <c r="WZY546" s="500"/>
      <c r="WZZ546" s="500"/>
      <c r="XAA546" s="500"/>
      <c r="XAB546" s="500"/>
      <c r="XAC546" s="500"/>
      <c r="XAD546" s="500"/>
      <c r="XAE546" s="500"/>
      <c r="XAF546" s="500"/>
      <c r="XAG546" s="500"/>
      <c r="XAH546" s="500"/>
      <c r="XAI546" s="500"/>
      <c r="XAJ546" s="500"/>
      <c r="XAK546" s="500"/>
      <c r="XAL546" s="500"/>
      <c r="XAM546" s="500"/>
      <c r="XAN546" s="500"/>
      <c r="XAO546" s="500"/>
      <c r="XAP546" s="500"/>
      <c r="XAQ546" s="500"/>
      <c r="XAR546" s="500"/>
      <c r="XAS546" s="500"/>
      <c r="XAT546" s="500"/>
      <c r="XAU546" s="500"/>
      <c r="XAV546" s="500"/>
      <c r="XAW546" s="500"/>
      <c r="XAX546" s="500"/>
      <c r="XAY546" s="500"/>
      <c r="XAZ546" s="500"/>
      <c r="XBA546" s="500"/>
      <c r="XBB546" s="500"/>
      <c r="XBC546" s="500"/>
      <c r="XBD546" s="500"/>
      <c r="XBE546" s="500"/>
      <c r="XBF546" s="500"/>
      <c r="XBG546" s="500"/>
      <c r="XBH546" s="500"/>
      <c r="XBI546" s="500"/>
      <c r="XBJ546" s="500"/>
      <c r="XBK546" s="500"/>
      <c r="XBL546" s="500"/>
      <c r="XBM546" s="500"/>
      <c r="XBN546" s="500"/>
      <c r="XBO546" s="500"/>
      <c r="XBP546" s="500"/>
      <c r="XBQ546" s="500"/>
      <c r="XBR546" s="500"/>
      <c r="XBS546" s="500"/>
      <c r="XBT546" s="500"/>
      <c r="XBU546" s="500"/>
      <c r="XBV546" s="500"/>
      <c r="XBW546" s="500"/>
      <c r="XBX546" s="500"/>
      <c r="XBY546" s="500"/>
      <c r="XBZ546" s="500"/>
      <c r="XCA546" s="500"/>
      <c r="XCB546" s="500"/>
      <c r="XCC546" s="500"/>
      <c r="XCD546" s="500"/>
      <c r="XCE546" s="500"/>
    </row>
    <row r="547" spans="1:16307" s="500" customFormat="1" x14ac:dyDescent="0.2">
      <c r="A547" s="833">
        <v>315</v>
      </c>
      <c r="B547" s="834" t="s">
        <v>895</v>
      </c>
      <c r="C547" s="835">
        <v>2171.15</v>
      </c>
      <c r="D547" s="835">
        <v>3005.4</v>
      </c>
      <c r="E547" s="835">
        <v>6059.1399999999994</v>
      </c>
      <c r="F547" s="835">
        <v>6220.42</v>
      </c>
      <c r="G547" s="835">
        <v>5153.51</v>
      </c>
      <c r="H547" s="835">
        <v>4559.95</v>
      </c>
      <c r="I547" s="835">
        <v>4010.19</v>
      </c>
      <c r="J547" s="835">
        <v>5442.32</v>
      </c>
      <c r="K547" s="835">
        <v>5560.96</v>
      </c>
      <c r="L547" s="835">
        <v>5620.45</v>
      </c>
      <c r="M547" s="835">
        <v>5571.26</v>
      </c>
      <c r="N547" s="835">
        <v>4483.21</v>
      </c>
      <c r="O547" s="835">
        <v>5050.33</v>
      </c>
      <c r="P547" s="835">
        <v>3921.26</v>
      </c>
      <c r="Q547" s="835">
        <v>8033.24</v>
      </c>
      <c r="R547" s="835">
        <v>6845.34</v>
      </c>
      <c r="S547" s="835">
        <v>6173.9</v>
      </c>
      <c r="T547" s="835">
        <v>6503.44</v>
      </c>
      <c r="U547" s="835">
        <v>4947.92</v>
      </c>
      <c r="V547" s="835">
        <v>7032.02</v>
      </c>
      <c r="W547" s="835">
        <v>6267.55</v>
      </c>
      <c r="X547" s="835">
        <v>7604.4362599999995</v>
      </c>
      <c r="Y547" s="835">
        <v>7345.7837400000008</v>
      </c>
      <c r="Z547" s="835">
        <v>6569.8953799999999</v>
      </c>
      <c r="AA547" s="835">
        <v>7773.3803900000003</v>
      </c>
      <c r="AB547" s="835">
        <v>8898.4196599999996</v>
      </c>
      <c r="AC547" s="835">
        <v>9941.2685099999999</v>
      </c>
      <c r="AD547" s="835">
        <v>8479.8905400000003</v>
      </c>
      <c r="AE547" s="835">
        <v>7451.2314999999999</v>
      </c>
      <c r="AF547" s="835">
        <v>7045.5272699999996</v>
      </c>
      <c r="AG547" s="835">
        <v>4741.0024800000001</v>
      </c>
      <c r="AH547" s="835">
        <v>7186.1607800000002</v>
      </c>
      <c r="AI547" s="835">
        <v>6173.8085499999997</v>
      </c>
      <c r="AJ547" s="835">
        <v>7059.0927099999999</v>
      </c>
      <c r="AK547" s="835">
        <v>6888.47091</v>
      </c>
      <c r="AL547" s="835">
        <v>9205.3587699999989</v>
      </c>
      <c r="AM547" s="835">
        <v>8520.2409399999997</v>
      </c>
      <c r="AN547" s="835">
        <v>8598.2021000000004</v>
      </c>
      <c r="AO547" s="835">
        <v>10227.898870000001</v>
      </c>
      <c r="AP547" s="835">
        <v>8508.3278799999989</v>
      </c>
      <c r="AQ547" s="835">
        <v>6649.7123899999997</v>
      </c>
      <c r="AR547" s="835">
        <v>6446.96126</v>
      </c>
      <c r="AS547" s="835">
        <v>5908.2048100000002</v>
      </c>
      <c r="AT547" s="835">
        <v>7624.8998100000008</v>
      </c>
      <c r="AU547" s="835">
        <v>5899.6244800000004</v>
      </c>
      <c r="AV547" s="835">
        <v>6712.9535100000003</v>
      </c>
      <c r="AW547" s="835">
        <v>7134.1322399999999</v>
      </c>
      <c r="AX547" s="835">
        <v>6494.8623899999993</v>
      </c>
      <c r="AY547" s="835">
        <v>7323.4779399999998</v>
      </c>
    </row>
    <row r="548" spans="1:16307" s="500" customFormat="1" x14ac:dyDescent="0.2">
      <c r="A548" s="833" t="s">
        <v>892</v>
      </c>
      <c r="B548" s="834" t="s">
        <v>896</v>
      </c>
      <c r="C548" s="835">
        <v>0</v>
      </c>
      <c r="D548" s="835">
        <v>0</v>
      </c>
      <c r="E548" s="835">
        <v>0</v>
      </c>
      <c r="F548" s="835">
        <v>0</v>
      </c>
      <c r="G548" s="835">
        <v>0</v>
      </c>
      <c r="H548" s="835">
        <v>0</v>
      </c>
      <c r="I548" s="835">
        <v>0</v>
      </c>
      <c r="J548" s="835">
        <v>0</v>
      </c>
      <c r="K548" s="835">
        <v>0</v>
      </c>
      <c r="L548" s="835">
        <v>0</v>
      </c>
      <c r="M548" s="835">
        <v>0</v>
      </c>
      <c r="N548" s="835">
        <v>0</v>
      </c>
      <c r="O548" s="835">
        <v>0</v>
      </c>
      <c r="P548" s="835">
        <v>0</v>
      </c>
      <c r="Q548" s="835">
        <v>0</v>
      </c>
      <c r="R548" s="835">
        <v>0</v>
      </c>
      <c r="S548" s="835">
        <v>0</v>
      </c>
      <c r="T548" s="835">
        <v>0</v>
      </c>
      <c r="U548" s="835">
        <v>0</v>
      </c>
      <c r="V548" s="835">
        <v>0</v>
      </c>
      <c r="W548" s="835">
        <v>2.0699999999999998</v>
      </c>
      <c r="X548" s="835">
        <v>392.96216000000004</v>
      </c>
      <c r="Y548" s="835">
        <v>890.98784000000001</v>
      </c>
      <c r="Z548" s="835">
        <v>1979.8020799999999</v>
      </c>
      <c r="AA548" s="835">
        <v>7087.7942400000002</v>
      </c>
      <c r="AB548" s="835">
        <v>8797.3265599999995</v>
      </c>
      <c r="AC548" s="835">
        <v>9659.2981600000003</v>
      </c>
      <c r="AD548" s="835">
        <v>8704.2166399999987</v>
      </c>
      <c r="AE548" s="835">
        <v>8435.6840000000011</v>
      </c>
      <c r="AF548" s="835">
        <v>7727.5203200000005</v>
      </c>
      <c r="AG548" s="835">
        <v>5244.5256799999997</v>
      </c>
      <c r="AH548" s="835">
        <v>8933.1384799999996</v>
      </c>
      <c r="AI548" s="835">
        <v>7953.5968000000003</v>
      </c>
      <c r="AJ548" s="835">
        <v>8926.5753600000007</v>
      </c>
      <c r="AK548" s="835">
        <v>8747.6765599999999</v>
      </c>
      <c r="AL548" s="835">
        <v>10137.864320000001</v>
      </c>
      <c r="AM548" s="835">
        <v>7867.4930399999994</v>
      </c>
      <c r="AN548" s="835">
        <v>9500.1636000000017</v>
      </c>
      <c r="AO548" s="835">
        <v>12473.995919999999</v>
      </c>
      <c r="AP548" s="835">
        <v>10394.32208</v>
      </c>
      <c r="AQ548" s="835">
        <v>8649.9062400000003</v>
      </c>
      <c r="AR548" s="835">
        <v>7939.75216</v>
      </c>
      <c r="AS548" s="835">
        <v>6503.6489599999995</v>
      </c>
      <c r="AT548" s="835">
        <v>9620.5389599999999</v>
      </c>
      <c r="AU548" s="835">
        <v>6814.5476799999997</v>
      </c>
      <c r="AV548" s="835">
        <v>8000.3181599999998</v>
      </c>
      <c r="AW548" s="835">
        <v>8603.7338400000008</v>
      </c>
      <c r="AX548" s="835">
        <v>7962.9562399999995</v>
      </c>
      <c r="AY548" s="835">
        <v>8147.8950400000003</v>
      </c>
      <c r="AZ548" s="501"/>
      <c r="BA548" s="501"/>
      <c r="BB548" s="501"/>
      <c r="BC548" s="501"/>
      <c r="BD548" s="501"/>
      <c r="BE548" s="501"/>
      <c r="BF548" s="501"/>
      <c r="BG548" s="501"/>
      <c r="BH548" s="501"/>
      <c r="BI548" s="501"/>
      <c r="BJ548" s="501"/>
      <c r="BK548" s="501"/>
      <c r="BL548" s="501"/>
      <c r="BM548" s="501"/>
      <c r="BN548" s="501"/>
      <c r="BO548" s="501"/>
      <c r="BP548" s="501"/>
      <c r="BQ548" s="501"/>
      <c r="BR548" s="501"/>
      <c r="BS548" s="501"/>
      <c r="BT548" s="501"/>
      <c r="BU548" s="501"/>
      <c r="BV548" s="501"/>
      <c r="BW548" s="501"/>
      <c r="BX548" s="501"/>
      <c r="BY548" s="501"/>
      <c r="BZ548" s="501"/>
      <c r="CA548" s="501"/>
      <c r="CB548" s="501"/>
      <c r="CC548" s="501"/>
      <c r="CD548" s="501"/>
      <c r="CE548" s="501"/>
      <c r="CF548" s="501"/>
      <c r="CG548" s="501"/>
      <c r="CH548" s="501"/>
      <c r="CI548" s="501"/>
      <c r="CJ548" s="501"/>
      <c r="CK548" s="501"/>
      <c r="CL548" s="501"/>
      <c r="CM548" s="501"/>
      <c r="CN548" s="501"/>
      <c r="CO548" s="501"/>
      <c r="CP548" s="501"/>
      <c r="CQ548" s="501"/>
      <c r="CR548" s="501"/>
      <c r="CS548" s="501"/>
      <c r="CT548" s="501"/>
      <c r="CU548" s="501"/>
      <c r="CV548" s="501"/>
      <c r="CW548" s="501"/>
      <c r="CX548" s="501"/>
      <c r="CY548" s="501"/>
      <c r="CZ548" s="501"/>
      <c r="DA548" s="501"/>
      <c r="DB548" s="501"/>
      <c r="DC548" s="501"/>
      <c r="DD548" s="501"/>
      <c r="DE548" s="501"/>
      <c r="DF548" s="501"/>
      <c r="DG548" s="501"/>
      <c r="DH548" s="501"/>
      <c r="DI548" s="501"/>
      <c r="DJ548" s="501"/>
      <c r="DK548" s="501"/>
      <c r="DL548" s="501"/>
      <c r="DM548" s="501"/>
      <c r="DN548" s="501"/>
      <c r="DO548" s="501"/>
      <c r="DP548" s="501"/>
      <c r="DQ548" s="501"/>
      <c r="DR548" s="501"/>
      <c r="DS548" s="501"/>
      <c r="DT548" s="501"/>
      <c r="DU548" s="501"/>
      <c r="DV548" s="501"/>
      <c r="DW548" s="501"/>
      <c r="DX548" s="501"/>
      <c r="DY548" s="501"/>
      <c r="DZ548" s="501"/>
      <c r="EA548" s="501"/>
      <c r="EB548" s="501"/>
      <c r="EC548" s="501"/>
      <c r="ED548" s="501"/>
      <c r="EE548" s="501"/>
      <c r="EF548" s="501"/>
      <c r="EG548" s="501"/>
      <c r="EH548" s="501"/>
      <c r="EI548" s="501"/>
      <c r="EJ548" s="501"/>
      <c r="EK548" s="501"/>
      <c r="EL548" s="501"/>
      <c r="EM548" s="501"/>
      <c r="EN548" s="501"/>
      <c r="EO548" s="501"/>
      <c r="EP548" s="501"/>
      <c r="EQ548" s="501"/>
      <c r="ER548" s="501"/>
      <c r="ES548" s="501"/>
      <c r="ET548" s="501"/>
      <c r="EU548" s="501"/>
      <c r="EV548" s="501"/>
      <c r="EW548" s="501"/>
      <c r="EX548" s="501"/>
      <c r="EY548" s="501"/>
      <c r="EZ548" s="501"/>
      <c r="FA548" s="501"/>
      <c r="FB548" s="501"/>
      <c r="FC548" s="501"/>
      <c r="FD548" s="501"/>
      <c r="FE548" s="501"/>
      <c r="FF548" s="501"/>
      <c r="FG548" s="501"/>
      <c r="FH548" s="501"/>
      <c r="FI548" s="501"/>
      <c r="FJ548" s="501"/>
      <c r="FK548" s="501"/>
      <c r="FL548" s="501"/>
      <c r="FM548" s="501"/>
      <c r="FN548" s="501"/>
      <c r="FO548" s="501"/>
      <c r="FP548" s="501"/>
      <c r="FQ548" s="501"/>
      <c r="FR548" s="501"/>
      <c r="FS548" s="501"/>
      <c r="FT548" s="501"/>
      <c r="FU548" s="501"/>
      <c r="FV548" s="501"/>
      <c r="FW548" s="501"/>
      <c r="FX548" s="501"/>
      <c r="FY548" s="501"/>
      <c r="FZ548" s="501"/>
      <c r="GA548" s="501"/>
      <c r="GB548" s="501"/>
      <c r="GC548" s="501"/>
      <c r="GD548" s="501"/>
      <c r="GE548" s="501"/>
      <c r="GF548" s="501"/>
      <c r="GG548" s="501"/>
      <c r="GH548" s="501"/>
      <c r="GI548" s="501"/>
      <c r="GJ548" s="501"/>
      <c r="GK548" s="501"/>
      <c r="GL548" s="501"/>
      <c r="GM548" s="501"/>
      <c r="GN548" s="501"/>
      <c r="GO548" s="501"/>
      <c r="GP548" s="501"/>
      <c r="GQ548" s="501"/>
      <c r="GR548" s="501"/>
      <c r="GS548" s="501"/>
      <c r="GT548" s="501"/>
      <c r="GU548" s="501"/>
      <c r="GV548" s="501"/>
      <c r="GW548" s="501"/>
      <c r="GX548" s="501"/>
      <c r="GY548" s="501"/>
      <c r="GZ548" s="501"/>
      <c r="HA548" s="501"/>
      <c r="HB548" s="501"/>
      <c r="HC548" s="501"/>
      <c r="HD548" s="501"/>
      <c r="HE548" s="501"/>
      <c r="HF548" s="501"/>
      <c r="HG548" s="501"/>
      <c r="HH548" s="501"/>
      <c r="HI548" s="501"/>
      <c r="HJ548" s="501"/>
      <c r="HK548" s="501"/>
      <c r="HL548" s="501"/>
      <c r="HM548" s="501"/>
      <c r="HN548" s="501"/>
      <c r="HO548" s="501"/>
      <c r="HP548" s="501"/>
      <c r="HQ548" s="501"/>
      <c r="HR548" s="501"/>
      <c r="HS548" s="501"/>
      <c r="HT548" s="501"/>
      <c r="HU548" s="501"/>
      <c r="HV548" s="501"/>
      <c r="HW548" s="501"/>
      <c r="HX548" s="501"/>
      <c r="HY548" s="501"/>
      <c r="HZ548" s="501"/>
      <c r="IA548" s="501"/>
      <c r="IB548" s="501"/>
      <c r="IC548" s="501"/>
      <c r="ID548" s="501"/>
      <c r="IE548" s="501"/>
      <c r="IF548" s="501"/>
      <c r="IG548" s="501"/>
      <c r="IH548" s="501"/>
      <c r="II548" s="501"/>
      <c r="IJ548" s="501"/>
      <c r="IK548" s="501"/>
      <c r="IL548" s="501"/>
      <c r="IM548" s="501"/>
      <c r="IN548" s="501"/>
      <c r="IO548" s="501"/>
      <c r="IP548" s="501"/>
      <c r="IQ548" s="501"/>
      <c r="IR548" s="501"/>
      <c r="IS548" s="501"/>
      <c r="IT548" s="501"/>
      <c r="IU548" s="501"/>
      <c r="IV548" s="501"/>
      <c r="IW548" s="501"/>
      <c r="IX548" s="501"/>
      <c r="IY548" s="501"/>
      <c r="IZ548" s="501"/>
      <c r="JA548" s="501"/>
      <c r="JB548" s="501"/>
      <c r="JC548" s="501"/>
      <c r="JD548" s="501"/>
      <c r="JE548" s="501"/>
      <c r="JF548" s="501"/>
      <c r="JG548" s="501"/>
      <c r="JH548" s="501"/>
      <c r="JI548" s="501"/>
      <c r="JJ548" s="501"/>
      <c r="JK548" s="501"/>
      <c r="JL548" s="501"/>
      <c r="JM548" s="501"/>
      <c r="JN548" s="501"/>
      <c r="JO548" s="501"/>
      <c r="JP548" s="501"/>
      <c r="JQ548" s="501"/>
      <c r="JR548" s="501"/>
      <c r="JS548" s="501"/>
      <c r="JT548" s="501"/>
      <c r="JU548" s="501"/>
      <c r="JV548" s="501"/>
      <c r="JW548" s="501"/>
      <c r="JX548" s="501"/>
      <c r="JY548" s="501"/>
      <c r="JZ548" s="501"/>
      <c r="KA548" s="501"/>
      <c r="KB548" s="501"/>
      <c r="KC548" s="501"/>
      <c r="KD548" s="501"/>
      <c r="KE548" s="501"/>
      <c r="KF548" s="501"/>
      <c r="KG548" s="501"/>
      <c r="KH548" s="501"/>
      <c r="KI548" s="501"/>
      <c r="KJ548" s="501"/>
      <c r="KK548" s="501"/>
      <c r="KL548" s="501"/>
      <c r="KM548" s="501"/>
      <c r="KN548" s="501"/>
      <c r="KO548" s="501"/>
      <c r="KP548" s="501"/>
      <c r="KQ548" s="501"/>
      <c r="KR548" s="501"/>
      <c r="KS548" s="501"/>
      <c r="KT548" s="501"/>
      <c r="KU548" s="501"/>
      <c r="KV548" s="501"/>
      <c r="KW548" s="501"/>
      <c r="KX548" s="501"/>
      <c r="KY548" s="501"/>
      <c r="KZ548" s="501"/>
      <c r="LA548" s="501"/>
      <c r="LB548" s="501"/>
      <c r="LC548" s="501"/>
      <c r="LD548" s="501"/>
      <c r="LE548" s="501"/>
      <c r="LF548" s="501"/>
      <c r="LG548" s="501"/>
      <c r="LH548" s="501"/>
      <c r="LI548" s="501"/>
      <c r="LJ548" s="501"/>
      <c r="LK548" s="501"/>
      <c r="LL548" s="501"/>
      <c r="LM548" s="501"/>
      <c r="LN548" s="501"/>
      <c r="LO548" s="501"/>
      <c r="LP548" s="501"/>
      <c r="LQ548" s="501"/>
      <c r="LR548" s="501"/>
      <c r="LS548" s="501"/>
      <c r="LT548" s="501"/>
      <c r="LU548" s="501"/>
      <c r="LV548" s="501"/>
      <c r="LW548" s="501"/>
      <c r="LX548" s="501"/>
      <c r="LY548" s="501"/>
      <c r="LZ548" s="501"/>
      <c r="MA548" s="501"/>
      <c r="MB548" s="501"/>
      <c r="MC548" s="501"/>
      <c r="MD548" s="501"/>
      <c r="ME548" s="501"/>
      <c r="MF548" s="501"/>
      <c r="MG548" s="501"/>
      <c r="MH548" s="501"/>
      <c r="MI548" s="501"/>
      <c r="MJ548" s="501"/>
      <c r="MK548" s="501"/>
      <c r="ML548" s="501"/>
      <c r="MM548" s="501"/>
      <c r="MN548" s="501"/>
      <c r="MO548" s="501"/>
      <c r="MP548" s="501"/>
      <c r="MQ548" s="501"/>
      <c r="MR548" s="501"/>
      <c r="MS548" s="501"/>
      <c r="MT548" s="501"/>
      <c r="MU548" s="501"/>
      <c r="MV548" s="501"/>
      <c r="MW548" s="501"/>
      <c r="MX548" s="501"/>
      <c r="MY548" s="501"/>
      <c r="MZ548" s="501"/>
      <c r="NA548" s="501"/>
      <c r="NB548" s="501"/>
      <c r="NC548" s="501"/>
      <c r="ND548" s="501"/>
      <c r="NE548" s="501"/>
      <c r="NF548" s="501"/>
      <c r="NG548" s="501"/>
      <c r="NH548" s="501"/>
      <c r="NI548" s="501"/>
      <c r="NJ548" s="501"/>
      <c r="NK548" s="501"/>
      <c r="NL548" s="501"/>
      <c r="NM548" s="501"/>
      <c r="NN548" s="501"/>
      <c r="NO548" s="501"/>
      <c r="NP548" s="501"/>
      <c r="NQ548" s="501"/>
      <c r="NR548" s="501"/>
      <c r="NS548" s="501"/>
      <c r="NT548" s="501"/>
      <c r="NU548" s="501"/>
      <c r="NV548" s="501"/>
      <c r="NW548" s="501"/>
      <c r="NX548" s="501"/>
      <c r="NY548" s="501"/>
      <c r="NZ548" s="501"/>
      <c r="OA548" s="501"/>
      <c r="OB548" s="501"/>
      <c r="OC548" s="501"/>
      <c r="OD548" s="501"/>
      <c r="OE548" s="501"/>
      <c r="OF548" s="501"/>
      <c r="OG548" s="501"/>
      <c r="OH548" s="501"/>
      <c r="OI548" s="501"/>
      <c r="OJ548" s="501"/>
      <c r="OK548" s="501"/>
      <c r="OL548" s="501"/>
      <c r="OM548" s="501"/>
      <c r="ON548" s="501"/>
      <c r="OO548" s="501"/>
      <c r="OP548" s="501"/>
      <c r="OQ548" s="501"/>
      <c r="OR548" s="501"/>
      <c r="OS548" s="501"/>
      <c r="OT548" s="501"/>
      <c r="OU548" s="501"/>
      <c r="OV548" s="501"/>
      <c r="OW548" s="501"/>
      <c r="OX548" s="501"/>
      <c r="OY548" s="501"/>
      <c r="OZ548" s="501"/>
      <c r="PA548" s="501"/>
      <c r="PB548" s="501"/>
      <c r="PC548" s="501"/>
      <c r="PD548" s="501"/>
      <c r="PE548" s="501"/>
      <c r="PF548" s="501"/>
      <c r="PG548" s="501"/>
      <c r="PH548" s="501"/>
      <c r="PI548" s="501"/>
      <c r="PJ548" s="501"/>
      <c r="PK548" s="501"/>
      <c r="PL548" s="501"/>
      <c r="PM548" s="501"/>
      <c r="PN548" s="501"/>
      <c r="PO548" s="501"/>
      <c r="PP548" s="501"/>
      <c r="PQ548" s="501"/>
      <c r="PR548" s="501"/>
      <c r="PS548" s="501"/>
      <c r="PT548" s="501"/>
      <c r="PU548" s="501"/>
      <c r="PV548" s="501"/>
      <c r="PW548" s="501"/>
      <c r="PX548" s="501"/>
      <c r="PY548" s="501"/>
      <c r="PZ548" s="501"/>
      <c r="QA548" s="501"/>
      <c r="QB548" s="501"/>
      <c r="QC548" s="501"/>
      <c r="QD548" s="501"/>
      <c r="QE548" s="501"/>
      <c r="QF548" s="501"/>
      <c r="QG548" s="501"/>
      <c r="QH548" s="501"/>
      <c r="QI548" s="501"/>
      <c r="QJ548" s="501"/>
      <c r="QK548" s="501"/>
      <c r="QL548" s="501"/>
      <c r="QM548" s="501"/>
      <c r="QN548" s="501"/>
      <c r="QO548" s="501"/>
      <c r="QP548" s="501"/>
      <c r="QQ548" s="501"/>
      <c r="QR548" s="501"/>
      <c r="QS548" s="501"/>
      <c r="QT548" s="501"/>
      <c r="QU548" s="501"/>
      <c r="QV548" s="501"/>
      <c r="QW548" s="501"/>
      <c r="QX548" s="501"/>
      <c r="QY548" s="501"/>
      <c r="QZ548" s="501"/>
      <c r="RA548" s="501"/>
      <c r="RB548" s="501"/>
      <c r="RC548" s="501"/>
      <c r="RD548" s="501"/>
      <c r="RE548" s="501"/>
      <c r="RF548" s="501"/>
      <c r="RG548" s="501"/>
      <c r="RH548" s="501"/>
      <c r="RI548" s="501"/>
      <c r="RJ548" s="501"/>
      <c r="RK548" s="501"/>
      <c r="RL548" s="501"/>
      <c r="RM548" s="501"/>
      <c r="RN548" s="501"/>
      <c r="RO548" s="501"/>
      <c r="RP548" s="501"/>
      <c r="RQ548" s="501"/>
      <c r="RR548" s="501"/>
      <c r="RS548" s="501"/>
      <c r="RT548" s="501"/>
      <c r="RU548" s="501"/>
      <c r="RV548" s="501"/>
      <c r="RW548" s="501"/>
      <c r="RX548" s="501"/>
      <c r="RY548" s="501"/>
      <c r="RZ548" s="501"/>
      <c r="SA548" s="501"/>
      <c r="SB548" s="501"/>
      <c r="SC548" s="501"/>
      <c r="SD548" s="501"/>
      <c r="SE548" s="501"/>
      <c r="SF548" s="501"/>
      <c r="SG548" s="501"/>
      <c r="SH548" s="501"/>
      <c r="SI548" s="501"/>
      <c r="SJ548" s="501"/>
      <c r="SK548" s="501"/>
      <c r="SL548" s="501"/>
      <c r="SM548" s="501"/>
      <c r="SN548" s="501"/>
      <c r="SO548" s="501"/>
      <c r="SP548" s="501"/>
      <c r="SQ548" s="501"/>
      <c r="SR548" s="501"/>
      <c r="SS548" s="501"/>
      <c r="ST548" s="501"/>
      <c r="SU548" s="501"/>
      <c r="SV548" s="501"/>
      <c r="SW548" s="501"/>
      <c r="SX548" s="501"/>
      <c r="SY548" s="501"/>
      <c r="SZ548" s="501"/>
      <c r="TA548" s="501"/>
      <c r="TB548" s="501"/>
      <c r="TC548" s="501"/>
      <c r="TD548" s="501"/>
      <c r="TE548" s="501"/>
      <c r="TF548" s="501"/>
      <c r="TG548" s="501"/>
      <c r="TH548" s="501"/>
      <c r="TI548" s="501"/>
      <c r="TJ548" s="501"/>
      <c r="TK548" s="501"/>
      <c r="TL548" s="501"/>
      <c r="TM548" s="501"/>
      <c r="TN548" s="501"/>
      <c r="TO548" s="501"/>
      <c r="TP548" s="501"/>
      <c r="TQ548" s="501"/>
      <c r="TR548" s="501"/>
      <c r="TS548" s="501"/>
      <c r="TT548" s="501"/>
      <c r="TU548" s="501"/>
      <c r="TV548" s="501"/>
      <c r="TW548" s="501"/>
      <c r="TX548" s="501"/>
      <c r="TY548" s="501"/>
      <c r="TZ548" s="501"/>
      <c r="UA548" s="501"/>
      <c r="UB548" s="501"/>
      <c r="UC548" s="501"/>
      <c r="UD548" s="501"/>
      <c r="UE548" s="501"/>
      <c r="UF548" s="501"/>
      <c r="UG548" s="501"/>
      <c r="UH548" s="501"/>
      <c r="UI548" s="501"/>
      <c r="UJ548" s="501"/>
      <c r="UK548" s="501"/>
      <c r="UL548" s="501"/>
      <c r="UM548" s="501"/>
      <c r="UN548" s="501"/>
      <c r="UO548" s="501"/>
      <c r="UP548" s="501"/>
      <c r="UQ548" s="501"/>
      <c r="UR548" s="501"/>
      <c r="US548" s="501"/>
      <c r="UT548" s="501"/>
      <c r="UU548" s="501"/>
      <c r="UV548" s="501"/>
      <c r="UW548" s="501"/>
      <c r="UX548" s="501"/>
      <c r="UY548" s="501"/>
      <c r="UZ548" s="501"/>
      <c r="VA548" s="501"/>
      <c r="VB548" s="501"/>
      <c r="VC548" s="501"/>
      <c r="VD548" s="501"/>
      <c r="VE548" s="501"/>
      <c r="VF548" s="501"/>
      <c r="VG548" s="501"/>
      <c r="VH548" s="501"/>
      <c r="VI548" s="501"/>
      <c r="VJ548" s="501"/>
      <c r="VK548" s="501"/>
      <c r="VL548" s="501"/>
      <c r="VM548" s="501"/>
      <c r="VN548" s="501"/>
      <c r="VO548" s="501"/>
      <c r="VP548" s="501"/>
      <c r="VQ548" s="501"/>
      <c r="VR548" s="501"/>
      <c r="VS548" s="501"/>
      <c r="VT548" s="501"/>
      <c r="VU548" s="501"/>
      <c r="VV548" s="501"/>
      <c r="VW548" s="501"/>
      <c r="VX548" s="501"/>
      <c r="VY548" s="501"/>
      <c r="VZ548" s="501"/>
      <c r="WA548" s="501"/>
      <c r="WB548" s="501"/>
      <c r="WC548" s="501"/>
      <c r="WD548" s="501"/>
      <c r="WE548" s="501"/>
      <c r="WF548" s="501"/>
      <c r="WG548" s="501"/>
      <c r="WH548" s="501"/>
      <c r="WI548" s="501"/>
      <c r="WJ548" s="501"/>
      <c r="WK548" s="501"/>
      <c r="WL548" s="501"/>
      <c r="WM548" s="501"/>
      <c r="WN548" s="501"/>
      <c r="WO548" s="501"/>
      <c r="WP548" s="501"/>
      <c r="WQ548" s="501"/>
      <c r="WR548" s="501"/>
      <c r="WS548" s="501"/>
      <c r="WT548" s="501"/>
      <c r="WU548" s="501"/>
      <c r="WV548" s="501"/>
      <c r="WW548" s="501"/>
      <c r="WX548" s="501"/>
      <c r="WY548" s="501"/>
      <c r="WZ548" s="501"/>
      <c r="XA548" s="501"/>
      <c r="XB548" s="501"/>
      <c r="XC548" s="501"/>
      <c r="XD548" s="501"/>
      <c r="XE548" s="501"/>
      <c r="XF548" s="501"/>
      <c r="XG548" s="501"/>
      <c r="XH548" s="501"/>
      <c r="XI548" s="501"/>
      <c r="XJ548" s="501"/>
      <c r="XK548" s="501"/>
      <c r="XL548" s="501"/>
      <c r="XM548" s="501"/>
      <c r="XN548" s="501"/>
      <c r="XO548" s="501"/>
      <c r="XP548" s="501"/>
      <c r="XQ548" s="501"/>
      <c r="XR548" s="501"/>
      <c r="XS548" s="501"/>
      <c r="XT548" s="501"/>
      <c r="XU548" s="501"/>
      <c r="XV548" s="501"/>
      <c r="XW548" s="501"/>
      <c r="XX548" s="501"/>
      <c r="XY548" s="501"/>
      <c r="XZ548" s="501"/>
      <c r="YA548" s="501"/>
      <c r="YB548" s="501"/>
      <c r="YC548" s="501"/>
      <c r="YD548" s="501"/>
      <c r="YE548" s="501"/>
      <c r="YF548" s="501"/>
      <c r="YG548" s="501"/>
      <c r="YH548" s="501"/>
      <c r="YI548" s="501"/>
      <c r="YJ548" s="501"/>
      <c r="YK548" s="501"/>
      <c r="YL548" s="501"/>
      <c r="YM548" s="501"/>
      <c r="YN548" s="501"/>
      <c r="YO548" s="501"/>
      <c r="YP548" s="501"/>
      <c r="YQ548" s="501"/>
      <c r="YR548" s="501"/>
      <c r="YS548" s="501"/>
      <c r="YT548" s="501"/>
      <c r="YU548" s="501"/>
      <c r="YV548" s="501"/>
      <c r="YW548" s="501"/>
      <c r="YX548" s="501"/>
      <c r="YY548" s="501"/>
      <c r="YZ548" s="501"/>
      <c r="ZA548" s="501"/>
      <c r="ZB548" s="501"/>
      <c r="ZC548" s="501"/>
      <c r="ZD548" s="501"/>
      <c r="ZE548" s="501"/>
      <c r="ZF548" s="501"/>
      <c r="ZG548" s="501"/>
      <c r="ZH548" s="501"/>
      <c r="ZI548" s="501"/>
      <c r="ZJ548" s="501"/>
      <c r="ZK548" s="501"/>
      <c r="ZL548" s="501"/>
      <c r="ZM548" s="501"/>
      <c r="ZN548" s="501"/>
      <c r="ZO548" s="501"/>
      <c r="ZP548" s="501"/>
      <c r="ZQ548" s="501"/>
      <c r="ZR548" s="501"/>
      <c r="ZS548" s="501"/>
      <c r="ZT548" s="501"/>
      <c r="ZU548" s="501"/>
      <c r="ZV548" s="501"/>
      <c r="ZW548" s="501"/>
      <c r="ZX548" s="501"/>
      <c r="ZY548" s="501"/>
      <c r="ZZ548" s="501"/>
      <c r="AAA548" s="501"/>
      <c r="AAB548" s="501"/>
      <c r="AAC548" s="501"/>
      <c r="AAD548" s="501"/>
      <c r="AAE548" s="501"/>
      <c r="AAF548" s="501"/>
      <c r="AAG548" s="501"/>
      <c r="AAH548" s="501"/>
      <c r="AAI548" s="501"/>
      <c r="AAJ548" s="501"/>
      <c r="AAK548" s="501"/>
      <c r="AAL548" s="501"/>
      <c r="AAM548" s="501"/>
      <c r="AAN548" s="501"/>
      <c r="AAO548" s="501"/>
      <c r="AAP548" s="501"/>
      <c r="AAQ548" s="501"/>
      <c r="AAR548" s="501"/>
      <c r="AAS548" s="501"/>
      <c r="AAT548" s="501"/>
      <c r="AAU548" s="501"/>
      <c r="AAV548" s="501"/>
      <c r="AAW548" s="501"/>
      <c r="AAX548" s="501"/>
      <c r="AAY548" s="501"/>
      <c r="AAZ548" s="501"/>
      <c r="ABA548" s="501"/>
      <c r="ABB548" s="501"/>
      <c r="ABC548" s="501"/>
      <c r="ABD548" s="501"/>
      <c r="ABE548" s="501"/>
      <c r="ABF548" s="501"/>
      <c r="ABG548" s="501"/>
      <c r="ABH548" s="501"/>
      <c r="ABI548" s="501"/>
      <c r="ABJ548" s="501"/>
      <c r="ABK548" s="501"/>
      <c r="ABL548" s="501"/>
      <c r="ABM548" s="501"/>
      <c r="ABN548" s="501"/>
      <c r="ABO548" s="501"/>
      <c r="ABP548" s="501"/>
      <c r="ABQ548" s="501"/>
      <c r="ABR548" s="501"/>
      <c r="ABS548" s="501"/>
      <c r="ABT548" s="501"/>
      <c r="ABU548" s="501"/>
      <c r="ABV548" s="501"/>
      <c r="ABW548" s="501"/>
      <c r="ABX548" s="501"/>
      <c r="ABY548" s="501"/>
      <c r="ABZ548" s="501"/>
      <c r="ACA548" s="501"/>
      <c r="ACB548" s="501"/>
      <c r="ACC548" s="501"/>
      <c r="ACD548" s="501"/>
      <c r="ACE548" s="501"/>
      <c r="ACF548" s="501"/>
      <c r="ACG548" s="501"/>
      <c r="ACH548" s="501"/>
      <c r="ACI548" s="501"/>
      <c r="ACJ548" s="501"/>
      <c r="ACK548" s="501"/>
      <c r="ACL548" s="501"/>
      <c r="ACM548" s="501"/>
      <c r="ACN548" s="501"/>
      <c r="ACO548" s="501"/>
      <c r="ACP548" s="501"/>
      <c r="ACQ548" s="501"/>
      <c r="ACR548" s="501"/>
      <c r="ACS548" s="501"/>
      <c r="ACT548" s="501"/>
      <c r="ACU548" s="501"/>
      <c r="ACV548" s="501"/>
      <c r="ACW548" s="501"/>
      <c r="ACX548" s="501"/>
      <c r="ACY548" s="501"/>
      <c r="ACZ548" s="501"/>
      <c r="ADA548" s="501"/>
      <c r="ADB548" s="501"/>
      <c r="ADC548" s="501"/>
      <c r="ADD548" s="501"/>
      <c r="ADE548" s="501"/>
      <c r="ADF548" s="501"/>
      <c r="ADG548" s="501"/>
      <c r="ADH548" s="501"/>
      <c r="ADI548" s="501"/>
      <c r="ADJ548" s="501"/>
      <c r="ADK548" s="501"/>
      <c r="ADL548" s="501"/>
      <c r="ADM548" s="501"/>
      <c r="ADN548" s="501"/>
      <c r="ADO548" s="501"/>
      <c r="ADP548" s="501"/>
      <c r="ADQ548" s="501"/>
      <c r="ADR548" s="501"/>
      <c r="ADS548" s="501"/>
      <c r="ADT548" s="501"/>
      <c r="ADU548" s="501"/>
      <c r="ADV548" s="501"/>
      <c r="ADW548" s="501"/>
      <c r="ADX548" s="501"/>
      <c r="ADY548" s="501"/>
      <c r="ADZ548" s="501"/>
      <c r="AEA548" s="501"/>
      <c r="AEB548" s="501"/>
      <c r="AEC548" s="501"/>
      <c r="AED548" s="501"/>
      <c r="AEE548" s="501"/>
      <c r="AEF548" s="501"/>
      <c r="AEG548" s="501"/>
      <c r="AEH548" s="501"/>
      <c r="AEI548" s="501"/>
      <c r="AEJ548" s="501"/>
      <c r="AEK548" s="501"/>
      <c r="AEL548" s="501"/>
      <c r="AEM548" s="501"/>
      <c r="AEN548" s="501"/>
      <c r="AEO548" s="501"/>
      <c r="AEP548" s="501"/>
      <c r="AEQ548" s="501"/>
      <c r="AER548" s="501"/>
      <c r="AES548" s="501"/>
      <c r="AET548" s="501"/>
      <c r="AEU548" s="501"/>
      <c r="AEV548" s="501"/>
      <c r="AEW548" s="501"/>
      <c r="AEX548" s="501"/>
      <c r="AEY548" s="501"/>
      <c r="AEZ548" s="501"/>
      <c r="AFA548" s="501"/>
      <c r="AFB548" s="501"/>
      <c r="AFC548" s="501"/>
      <c r="AFD548" s="501"/>
      <c r="AFE548" s="501"/>
      <c r="AFF548" s="501"/>
      <c r="AFG548" s="501"/>
      <c r="AFH548" s="501"/>
      <c r="AFI548" s="501"/>
      <c r="AFJ548" s="501"/>
      <c r="AFK548" s="501"/>
      <c r="AFL548" s="501"/>
      <c r="AFM548" s="501"/>
      <c r="AFN548" s="501"/>
      <c r="AFO548" s="501"/>
      <c r="AFP548" s="501"/>
      <c r="AFQ548" s="501"/>
      <c r="AFR548" s="501"/>
      <c r="AFS548" s="501"/>
      <c r="AFT548" s="501"/>
      <c r="AFU548" s="501"/>
      <c r="AFV548" s="501"/>
      <c r="AFW548" s="501"/>
      <c r="AFX548" s="501"/>
      <c r="AFY548" s="501"/>
      <c r="AFZ548" s="501"/>
      <c r="AGA548" s="501"/>
      <c r="AGB548" s="501"/>
      <c r="AGC548" s="501"/>
      <c r="AGD548" s="501"/>
      <c r="AGE548" s="501"/>
      <c r="AGF548" s="501"/>
      <c r="AGG548" s="501"/>
      <c r="AGH548" s="501"/>
      <c r="AGI548" s="501"/>
      <c r="AGJ548" s="501"/>
      <c r="AGK548" s="501"/>
      <c r="AGL548" s="501"/>
      <c r="AGM548" s="501"/>
      <c r="AGN548" s="501"/>
      <c r="AGO548" s="501"/>
      <c r="AGP548" s="501"/>
      <c r="AGQ548" s="501"/>
      <c r="AGR548" s="501"/>
      <c r="AGS548" s="501"/>
      <c r="AGT548" s="501"/>
      <c r="AGU548" s="501"/>
      <c r="AGV548" s="501"/>
      <c r="AGW548" s="501"/>
      <c r="AGX548" s="501"/>
      <c r="AGY548" s="501"/>
      <c r="AGZ548" s="501"/>
      <c r="AHA548" s="501"/>
      <c r="AHB548" s="501"/>
      <c r="AHC548" s="501"/>
      <c r="AHD548" s="501"/>
      <c r="AHE548" s="501"/>
      <c r="AHF548" s="501"/>
      <c r="AHG548" s="501"/>
      <c r="AHH548" s="501"/>
      <c r="AHI548" s="501"/>
      <c r="AHJ548" s="501"/>
      <c r="AHK548" s="501"/>
      <c r="AHL548" s="501"/>
      <c r="AHM548" s="501"/>
      <c r="AHN548" s="501"/>
      <c r="AHO548" s="501"/>
      <c r="AHP548" s="501"/>
      <c r="AHQ548" s="501"/>
      <c r="AHR548" s="501"/>
      <c r="AHS548" s="501"/>
      <c r="AHT548" s="501"/>
      <c r="AHU548" s="501"/>
      <c r="AHV548" s="501"/>
      <c r="AHW548" s="501"/>
      <c r="AHX548" s="501"/>
      <c r="AHY548" s="501"/>
      <c r="AHZ548" s="501"/>
      <c r="AIA548" s="501"/>
      <c r="AIB548" s="501"/>
      <c r="AIC548" s="501"/>
      <c r="AID548" s="501"/>
      <c r="AIE548" s="501"/>
      <c r="AIF548" s="501"/>
      <c r="AIG548" s="501"/>
      <c r="AIH548" s="501"/>
      <c r="AII548" s="501"/>
      <c r="AIJ548" s="501"/>
      <c r="AIK548" s="501"/>
      <c r="AIL548" s="501"/>
      <c r="AIM548" s="501"/>
      <c r="AIN548" s="501"/>
      <c r="AIO548" s="501"/>
      <c r="AIP548" s="501"/>
      <c r="AIQ548" s="501"/>
      <c r="AIR548" s="501"/>
      <c r="AIS548" s="501"/>
      <c r="AIT548" s="501"/>
      <c r="AIU548" s="501"/>
      <c r="AIV548" s="501"/>
      <c r="AIW548" s="501"/>
      <c r="AIX548" s="501"/>
      <c r="AIY548" s="501"/>
      <c r="AIZ548" s="501"/>
      <c r="AJA548" s="501"/>
      <c r="AJB548" s="501"/>
      <c r="AJC548" s="501"/>
      <c r="AJD548" s="501"/>
      <c r="AJE548" s="501"/>
      <c r="AJF548" s="501"/>
      <c r="AJG548" s="501"/>
      <c r="AJH548" s="501"/>
      <c r="AJI548" s="501"/>
      <c r="AJJ548" s="501"/>
      <c r="AJK548" s="501"/>
      <c r="AJL548" s="501"/>
      <c r="AJM548" s="501"/>
      <c r="AJN548" s="501"/>
      <c r="AJO548" s="501"/>
      <c r="AJP548" s="501"/>
      <c r="AJQ548" s="501"/>
      <c r="AJR548" s="501"/>
      <c r="AJS548" s="501"/>
      <c r="AJT548" s="501"/>
      <c r="AJU548" s="501"/>
      <c r="AJV548" s="501"/>
      <c r="AJW548" s="501"/>
      <c r="AJX548" s="501"/>
      <c r="AJY548" s="501"/>
      <c r="AJZ548" s="501"/>
      <c r="AKA548" s="501"/>
      <c r="AKB548" s="501"/>
      <c r="AKC548" s="501"/>
      <c r="AKD548" s="501"/>
      <c r="AKE548" s="501"/>
      <c r="AKF548" s="501"/>
      <c r="AKG548" s="501"/>
      <c r="AKH548" s="501"/>
      <c r="AKI548" s="501"/>
      <c r="AKJ548" s="501"/>
      <c r="AKK548" s="501"/>
      <c r="AKL548" s="501"/>
      <c r="AKM548" s="501"/>
      <c r="AKN548" s="501"/>
      <c r="AKO548" s="501"/>
      <c r="AKP548" s="501"/>
      <c r="AKQ548" s="501"/>
      <c r="AKR548" s="501"/>
      <c r="AKS548" s="501"/>
      <c r="AKT548" s="501"/>
      <c r="AKU548" s="501"/>
      <c r="AKV548" s="501"/>
      <c r="AKW548" s="501"/>
      <c r="AKX548" s="501"/>
      <c r="AKY548" s="501"/>
      <c r="AKZ548" s="501"/>
      <c r="ALA548" s="501"/>
      <c r="ALB548" s="501"/>
      <c r="ALC548" s="501"/>
      <c r="ALD548" s="501"/>
      <c r="ALE548" s="501"/>
      <c r="ALF548" s="501"/>
      <c r="ALG548" s="501"/>
      <c r="ALH548" s="501"/>
      <c r="ALI548" s="501"/>
      <c r="ALJ548" s="501"/>
      <c r="ALK548" s="501"/>
      <c r="ALL548" s="501"/>
      <c r="ALM548" s="501"/>
      <c r="ALN548" s="501"/>
      <c r="ALO548" s="501"/>
      <c r="ALP548" s="501"/>
      <c r="ALQ548" s="501"/>
      <c r="ALR548" s="501"/>
      <c r="ALS548" s="501"/>
      <c r="ALT548" s="501"/>
      <c r="ALU548" s="501"/>
      <c r="ALV548" s="501"/>
      <c r="ALW548" s="501"/>
      <c r="ALX548" s="501"/>
      <c r="ALY548" s="501"/>
      <c r="ALZ548" s="501"/>
      <c r="AMA548" s="501"/>
      <c r="AMB548" s="501"/>
      <c r="AMC548" s="501"/>
      <c r="AMD548" s="501"/>
      <c r="AME548" s="501"/>
      <c r="AMF548" s="501"/>
      <c r="AMG548" s="501"/>
      <c r="AMH548" s="501"/>
      <c r="AMI548" s="501"/>
      <c r="AMJ548" s="501"/>
      <c r="AMK548" s="501"/>
      <c r="AML548" s="501"/>
      <c r="AMM548" s="501"/>
      <c r="AMN548" s="501"/>
      <c r="AMO548" s="501"/>
      <c r="AMP548" s="501"/>
      <c r="AMQ548" s="501"/>
      <c r="AMR548" s="501"/>
      <c r="AMS548" s="501"/>
      <c r="AMT548" s="501"/>
      <c r="AMU548" s="501"/>
      <c r="AMV548" s="501"/>
      <c r="AMW548" s="501"/>
      <c r="AMX548" s="501"/>
      <c r="AMY548" s="501"/>
      <c r="AMZ548" s="501"/>
      <c r="ANA548" s="501"/>
      <c r="ANB548" s="501"/>
      <c r="ANC548" s="501"/>
      <c r="AND548" s="501"/>
      <c r="ANE548" s="501"/>
      <c r="ANF548" s="501"/>
      <c r="ANG548" s="501"/>
      <c r="ANH548" s="501"/>
      <c r="ANI548" s="501"/>
      <c r="ANJ548" s="501"/>
      <c r="ANK548" s="501"/>
      <c r="ANL548" s="501"/>
      <c r="ANM548" s="501"/>
      <c r="ANN548" s="501"/>
      <c r="ANO548" s="501"/>
      <c r="ANP548" s="501"/>
      <c r="ANQ548" s="501"/>
      <c r="ANR548" s="501"/>
      <c r="ANS548" s="501"/>
      <c r="ANT548" s="501"/>
      <c r="ANU548" s="501"/>
      <c r="ANV548" s="501"/>
      <c r="ANW548" s="501"/>
      <c r="ANX548" s="501"/>
      <c r="ANY548" s="501"/>
      <c r="ANZ548" s="501"/>
      <c r="AOA548" s="501"/>
      <c r="AOB548" s="501"/>
      <c r="AOC548" s="501"/>
      <c r="AOD548" s="501"/>
      <c r="AOE548" s="501"/>
      <c r="AOF548" s="501"/>
      <c r="AOG548" s="501"/>
      <c r="AOH548" s="501"/>
      <c r="AOI548" s="501"/>
      <c r="AOJ548" s="501"/>
      <c r="AOK548" s="501"/>
      <c r="AOL548" s="501"/>
      <c r="AOM548" s="501"/>
      <c r="AON548" s="501"/>
      <c r="AOO548" s="501"/>
      <c r="AOP548" s="501"/>
      <c r="AOQ548" s="501"/>
      <c r="AOR548" s="501"/>
      <c r="AOS548" s="501"/>
      <c r="AOT548" s="501"/>
      <c r="AOU548" s="501"/>
      <c r="AOV548" s="501"/>
      <c r="AOW548" s="501"/>
      <c r="AOX548" s="501"/>
      <c r="AOY548" s="501"/>
      <c r="AOZ548" s="501"/>
      <c r="APA548" s="501"/>
      <c r="APB548" s="501"/>
      <c r="APC548" s="501"/>
      <c r="APD548" s="501"/>
      <c r="APE548" s="501"/>
      <c r="APF548" s="501"/>
      <c r="APG548" s="501"/>
      <c r="APH548" s="501"/>
      <c r="API548" s="501"/>
      <c r="APJ548" s="501"/>
      <c r="APK548" s="501"/>
      <c r="APL548" s="501"/>
      <c r="APM548" s="501"/>
      <c r="APN548" s="501"/>
      <c r="APO548" s="501"/>
      <c r="APP548" s="501"/>
      <c r="APQ548" s="501"/>
      <c r="APR548" s="501"/>
      <c r="APS548" s="501"/>
      <c r="APT548" s="501"/>
      <c r="APU548" s="501"/>
      <c r="APV548" s="501"/>
      <c r="APW548" s="501"/>
      <c r="APX548" s="501"/>
      <c r="APY548" s="501"/>
      <c r="APZ548" s="501"/>
      <c r="AQA548" s="501"/>
      <c r="AQB548" s="501"/>
      <c r="AQC548" s="501"/>
      <c r="AQD548" s="501"/>
      <c r="AQE548" s="501"/>
      <c r="AQF548" s="501"/>
      <c r="AQG548" s="501"/>
      <c r="AQH548" s="501"/>
      <c r="AQI548" s="501"/>
      <c r="AQJ548" s="501"/>
      <c r="AQK548" s="501"/>
      <c r="AQL548" s="501"/>
      <c r="AQM548" s="501"/>
      <c r="AQN548" s="501"/>
      <c r="AQO548" s="501"/>
      <c r="AQP548" s="501"/>
      <c r="AQQ548" s="501"/>
      <c r="AQR548" s="501"/>
      <c r="AQS548" s="501"/>
      <c r="AQT548" s="501"/>
      <c r="AQU548" s="501"/>
      <c r="AQV548" s="501"/>
      <c r="AQW548" s="501"/>
      <c r="AQX548" s="501"/>
      <c r="AQY548" s="501"/>
      <c r="AQZ548" s="501"/>
      <c r="ARA548" s="501"/>
      <c r="ARB548" s="501"/>
      <c r="ARC548" s="501"/>
      <c r="ARD548" s="501"/>
      <c r="ARE548" s="501"/>
      <c r="ARF548" s="501"/>
      <c r="ARG548" s="501"/>
      <c r="ARH548" s="501"/>
      <c r="ARI548" s="501"/>
      <c r="ARJ548" s="501"/>
      <c r="ARK548" s="501"/>
      <c r="ARL548" s="501"/>
      <c r="ARM548" s="501"/>
      <c r="ARN548" s="501"/>
      <c r="ARO548" s="501"/>
      <c r="ARP548" s="501"/>
      <c r="ARQ548" s="501"/>
      <c r="ARR548" s="501"/>
      <c r="ARS548" s="501"/>
      <c r="ART548" s="501"/>
      <c r="ARU548" s="501"/>
      <c r="ARV548" s="501"/>
      <c r="ARW548" s="501"/>
      <c r="ARX548" s="501"/>
      <c r="ARY548" s="501"/>
      <c r="ARZ548" s="501"/>
      <c r="ASA548" s="501"/>
      <c r="ASB548" s="501"/>
      <c r="ASC548" s="501"/>
      <c r="ASD548" s="501"/>
      <c r="ASE548" s="501"/>
      <c r="ASF548" s="501"/>
      <c r="ASG548" s="501"/>
      <c r="ASH548" s="501"/>
      <c r="ASI548" s="501"/>
      <c r="ASJ548" s="501"/>
      <c r="ASK548" s="501"/>
      <c r="ASL548" s="501"/>
      <c r="ASM548" s="501"/>
      <c r="ASN548" s="501"/>
      <c r="ASO548" s="501"/>
      <c r="ASP548" s="501"/>
      <c r="ASQ548" s="501"/>
      <c r="ASR548" s="501"/>
      <c r="ASS548" s="501"/>
      <c r="AST548" s="501"/>
      <c r="ASU548" s="501"/>
      <c r="ASV548" s="501"/>
      <c r="ASW548" s="501"/>
      <c r="ASX548" s="501"/>
      <c r="ASY548" s="501"/>
      <c r="ASZ548" s="501"/>
      <c r="ATA548" s="501"/>
      <c r="ATB548" s="501"/>
      <c r="ATC548" s="501"/>
      <c r="ATD548" s="501"/>
      <c r="ATE548" s="501"/>
      <c r="ATF548" s="501"/>
      <c r="ATG548" s="501"/>
      <c r="ATH548" s="501"/>
      <c r="ATI548" s="501"/>
      <c r="ATJ548" s="501"/>
      <c r="ATK548" s="501"/>
      <c r="ATL548" s="501"/>
      <c r="ATM548" s="501"/>
      <c r="ATN548" s="501"/>
      <c r="ATO548" s="501"/>
      <c r="ATP548" s="501"/>
      <c r="ATQ548" s="501"/>
      <c r="ATR548" s="501"/>
      <c r="ATS548" s="501"/>
      <c r="ATT548" s="501"/>
      <c r="ATU548" s="501"/>
      <c r="ATV548" s="501"/>
      <c r="ATW548" s="501"/>
      <c r="ATX548" s="501"/>
      <c r="ATY548" s="501"/>
      <c r="ATZ548" s="501"/>
      <c r="AUA548" s="501"/>
      <c r="AUB548" s="501"/>
      <c r="AUC548" s="501"/>
      <c r="AUD548" s="501"/>
      <c r="AUE548" s="501"/>
      <c r="AUF548" s="501"/>
      <c r="AUG548" s="501"/>
      <c r="AUH548" s="501"/>
      <c r="AUI548" s="501"/>
      <c r="AUJ548" s="501"/>
      <c r="AUK548" s="501"/>
      <c r="AUL548" s="501"/>
      <c r="AUM548" s="501"/>
      <c r="AUN548" s="501"/>
      <c r="AUO548" s="501"/>
      <c r="AUP548" s="501"/>
      <c r="AUQ548" s="501"/>
      <c r="AUR548" s="501"/>
      <c r="AUS548" s="501"/>
      <c r="AUT548" s="501"/>
      <c r="AUU548" s="501"/>
      <c r="AUV548" s="501"/>
      <c r="AUW548" s="501"/>
      <c r="AUX548" s="501"/>
      <c r="AUY548" s="501"/>
      <c r="AUZ548" s="501"/>
      <c r="AVA548" s="501"/>
      <c r="AVB548" s="501"/>
      <c r="AVC548" s="501"/>
      <c r="AVD548" s="501"/>
      <c r="AVE548" s="501"/>
      <c r="AVF548" s="501"/>
      <c r="AVG548" s="501"/>
      <c r="AVH548" s="501"/>
      <c r="AVI548" s="501"/>
      <c r="AVJ548" s="501"/>
      <c r="AVK548" s="501"/>
      <c r="AVL548" s="501"/>
      <c r="AVM548" s="501"/>
      <c r="AVN548" s="501"/>
      <c r="AVO548" s="501"/>
      <c r="AVP548" s="501"/>
      <c r="AVQ548" s="501"/>
      <c r="AVR548" s="501"/>
      <c r="AVS548" s="501"/>
      <c r="AVT548" s="501"/>
      <c r="AVU548" s="501"/>
      <c r="AVV548" s="501"/>
      <c r="AVW548" s="501"/>
      <c r="AVX548" s="501"/>
      <c r="AVY548" s="501"/>
      <c r="AVZ548" s="501"/>
      <c r="AWA548" s="501"/>
      <c r="AWB548" s="501"/>
      <c r="AWC548" s="501"/>
      <c r="AWD548" s="501"/>
      <c r="AWE548" s="501"/>
      <c r="AWF548" s="501"/>
      <c r="AWG548" s="501"/>
      <c r="AWH548" s="501"/>
      <c r="AWI548" s="501"/>
      <c r="AWJ548" s="501"/>
      <c r="AWK548" s="501"/>
      <c r="AWL548" s="501"/>
      <c r="AWM548" s="501"/>
      <c r="AWN548" s="501"/>
      <c r="AWO548" s="501"/>
      <c r="AWP548" s="501"/>
      <c r="AWQ548" s="501"/>
      <c r="AWR548" s="501"/>
      <c r="AWS548" s="501"/>
      <c r="AWT548" s="501"/>
      <c r="AWU548" s="501"/>
      <c r="AWV548" s="501"/>
      <c r="AWW548" s="501"/>
      <c r="AWX548" s="501"/>
      <c r="AWY548" s="501"/>
      <c r="AWZ548" s="501"/>
      <c r="AXA548" s="501"/>
      <c r="AXB548" s="501"/>
      <c r="AXC548" s="501"/>
      <c r="AXD548" s="501"/>
      <c r="AXE548" s="501"/>
      <c r="AXF548" s="501"/>
      <c r="AXG548" s="501"/>
      <c r="AXH548" s="501"/>
      <c r="AXI548" s="501"/>
      <c r="AXJ548" s="501"/>
      <c r="AXK548" s="501"/>
      <c r="AXL548" s="501"/>
      <c r="AXM548" s="501"/>
      <c r="AXN548" s="501"/>
      <c r="AXO548" s="501"/>
      <c r="AXP548" s="501"/>
      <c r="AXQ548" s="501"/>
      <c r="AXR548" s="501"/>
      <c r="AXS548" s="501"/>
      <c r="AXT548" s="501"/>
      <c r="AXU548" s="501"/>
      <c r="AXV548" s="501"/>
      <c r="AXW548" s="501"/>
      <c r="AXX548" s="501"/>
      <c r="AXY548" s="501"/>
      <c r="AXZ548" s="501"/>
      <c r="AYA548" s="501"/>
      <c r="AYB548" s="501"/>
      <c r="AYC548" s="501"/>
      <c r="AYD548" s="501"/>
      <c r="AYE548" s="501"/>
      <c r="AYF548" s="501"/>
      <c r="AYG548" s="501"/>
      <c r="AYH548" s="501"/>
      <c r="AYI548" s="501"/>
      <c r="AYJ548" s="501"/>
      <c r="AYK548" s="501"/>
      <c r="AYL548" s="501"/>
      <c r="AYM548" s="501"/>
      <c r="AYN548" s="501"/>
      <c r="AYO548" s="501"/>
      <c r="AYP548" s="501"/>
      <c r="AYQ548" s="501"/>
      <c r="AYR548" s="501"/>
      <c r="AYS548" s="501"/>
      <c r="AYT548" s="501"/>
      <c r="AYU548" s="501"/>
      <c r="AYV548" s="501"/>
      <c r="AYW548" s="501"/>
      <c r="AYX548" s="501"/>
      <c r="AYY548" s="501"/>
      <c r="AYZ548" s="501"/>
      <c r="AZA548" s="501"/>
      <c r="AZB548" s="501"/>
      <c r="AZC548" s="501"/>
      <c r="AZD548" s="501"/>
      <c r="AZE548" s="501"/>
      <c r="AZF548" s="501"/>
      <c r="AZG548" s="501"/>
      <c r="AZH548" s="501"/>
      <c r="AZI548" s="501"/>
      <c r="AZJ548" s="501"/>
      <c r="AZK548" s="501"/>
      <c r="AZL548" s="501"/>
      <c r="AZM548" s="501"/>
      <c r="AZN548" s="501"/>
      <c r="AZO548" s="501"/>
      <c r="AZP548" s="501"/>
      <c r="AZQ548" s="501"/>
      <c r="AZR548" s="501"/>
      <c r="AZS548" s="501"/>
      <c r="AZT548" s="501"/>
      <c r="AZU548" s="501"/>
      <c r="AZV548" s="501"/>
      <c r="AZW548" s="501"/>
      <c r="AZX548" s="501"/>
      <c r="AZY548" s="501"/>
      <c r="AZZ548" s="501"/>
      <c r="BAA548" s="501"/>
      <c r="BAB548" s="501"/>
      <c r="BAC548" s="501"/>
      <c r="BAD548" s="501"/>
      <c r="BAE548" s="501"/>
      <c r="BAF548" s="501"/>
      <c r="BAG548" s="501"/>
      <c r="BAH548" s="501"/>
      <c r="BAI548" s="501"/>
      <c r="BAJ548" s="501"/>
      <c r="BAK548" s="501"/>
      <c r="BAL548" s="501"/>
      <c r="BAM548" s="501"/>
      <c r="BAN548" s="501"/>
      <c r="BAO548" s="501"/>
      <c r="BAP548" s="501"/>
      <c r="BAQ548" s="501"/>
      <c r="BAR548" s="501"/>
      <c r="BAS548" s="501"/>
      <c r="BAT548" s="501"/>
      <c r="BAU548" s="501"/>
      <c r="BAV548" s="501"/>
      <c r="BAW548" s="501"/>
      <c r="BAX548" s="501"/>
      <c r="BAY548" s="501"/>
      <c r="BAZ548" s="501"/>
      <c r="BBA548" s="501"/>
      <c r="BBB548" s="501"/>
      <c r="BBC548" s="501"/>
      <c r="BBD548" s="501"/>
      <c r="BBE548" s="501"/>
      <c r="BBF548" s="501"/>
      <c r="BBG548" s="501"/>
      <c r="BBH548" s="501"/>
      <c r="BBI548" s="501"/>
      <c r="BBJ548" s="501"/>
      <c r="BBK548" s="501"/>
      <c r="BBL548" s="501"/>
      <c r="BBM548" s="501"/>
      <c r="BBN548" s="501"/>
      <c r="BBO548" s="501"/>
      <c r="BBP548" s="501"/>
      <c r="BBQ548" s="501"/>
      <c r="BBR548" s="501"/>
      <c r="BBS548" s="501"/>
      <c r="BBT548" s="501"/>
      <c r="BBU548" s="501"/>
      <c r="BBV548" s="501"/>
      <c r="BBW548" s="501"/>
      <c r="BBX548" s="501"/>
      <c r="BBY548" s="501"/>
      <c r="BBZ548" s="501"/>
      <c r="BCA548" s="501"/>
      <c r="BCB548" s="501"/>
      <c r="BCC548" s="501"/>
      <c r="BCD548" s="501"/>
      <c r="BCE548" s="501"/>
      <c r="BCF548" s="501"/>
      <c r="BCG548" s="501"/>
      <c r="BCH548" s="501"/>
      <c r="BCI548" s="501"/>
      <c r="BCJ548" s="501"/>
      <c r="BCK548" s="501"/>
      <c r="BCL548" s="501"/>
      <c r="BCM548" s="501"/>
      <c r="BCN548" s="501"/>
      <c r="BCO548" s="501"/>
      <c r="BCP548" s="501"/>
      <c r="BCQ548" s="501"/>
      <c r="BCR548" s="501"/>
      <c r="BCS548" s="501"/>
      <c r="BCT548" s="501"/>
      <c r="BCU548" s="501"/>
      <c r="BCV548" s="501"/>
      <c r="BCW548" s="501"/>
      <c r="BCX548" s="501"/>
      <c r="BCY548" s="501"/>
      <c r="BCZ548" s="501"/>
      <c r="BDA548" s="501"/>
      <c r="BDB548" s="501"/>
      <c r="BDC548" s="501"/>
      <c r="BDD548" s="501"/>
      <c r="BDE548" s="501"/>
      <c r="BDF548" s="501"/>
      <c r="BDG548" s="501"/>
      <c r="BDH548" s="501"/>
      <c r="BDI548" s="501"/>
      <c r="BDJ548" s="501"/>
      <c r="BDK548" s="501"/>
      <c r="BDL548" s="501"/>
      <c r="BDM548" s="501"/>
      <c r="BDN548" s="501"/>
      <c r="BDO548" s="501"/>
      <c r="BDP548" s="501"/>
      <c r="BDQ548" s="501"/>
      <c r="BDR548" s="501"/>
      <c r="BDS548" s="501"/>
      <c r="BDT548" s="501"/>
      <c r="BDU548" s="501"/>
      <c r="BDV548" s="501"/>
      <c r="BDW548" s="501"/>
      <c r="BDX548" s="501"/>
      <c r="BDY548" s="501"/>
      <c r="BDZ548" s="501"/>
      <c r="BEA548" s="501"/>
      <c r="BEB548" s="501"/>
      <c r="BEC548" s="501"/>
      <c r="BED548" s="501"/>
      <c r="BEE548" s="501"/>
      <c r="BEF548" s="501"/>
      <c r="BEG548" s="501"/>
      <c r="BEH548" s="501"/>
      <c r="BEI548" s="501"/>
      <c r="BEJ548" s="501"/>
      <c r="BEK548" s="501"/>
      <c r="BEL548" s="501"/>
      <c r="BEM548" s="501"/>
      <c r="BEN548" s="501"/>
      <c r="BEO548" s="501"/>
      <c r="BEP548" s="501"/>
      <c r="BEQ548" s="501"/>
      <c r="BER548" s="501"/>
      <c r="BES548" s="501"/>
      <c r="BET548" s="501"/>
      <c r="BEU548" s="501"/>
      <c r="BEV548" s="501"/>
      <c r="BEW548" s="501"/>
      <c r="BEX548" s="501"/>
      <c r="BEY548" s="501"/>
      <c r="BEZ548" s="501"/>
      <c r="BFA548" s="501"/>
      <c r="BFB548" s="501"/>
      <c r="BFC548" s="501"/>
      <c r="BFD548" s="501"/>
      <c r="BFE548" s="501"/>
      <c r="BFF548" s="501"/>
      <c r="BFG548" s="501"/>
      <c r="BFH548" s="501"/>
      <c r="BFI548" s="501"/>
      <c r="BFJ548" s="501"/>
      <c r="BFK548" s="501"/>
      <c r="BFL548" s="501"/>
      <c r="BFM548" s="501"/>
      <c r="BFN548" s="501"/>
      <c r="BFO548" s="501"/>
      <c r="BFP548" s="501"/>
      <c r="BFQ548" s="501"/>
      <c r="BFR548" s="501"/>
      <c r="BFS548" s="501"/>
      <c r="BFT548" s="501"/>
      <c r="BFU548" s="501"/>
      <c r="BFV548" s="501"/>
      <c r="BFW548" s="501"/>
      <c r="BFX548" s="501"/>
      <c r="BFY548" s="501"/>
      <c r="BFZ548" s="501"/>
      <c r="BGA548" s="501"/>
      <c r="BGB548" s="501"/>
      <c r="BGC548" s="501"/>
      <c r="BGD548" s="501"/>
      <c r="BGE548" s="501"/>
      <c r="BGF548" s="501"/>
      <c r="BGG548" s="501"/>
      <c r="BGH548" s="501"/>
      <c r="BGI548" s="501"/>
      <c r="BGJ548" s="501"/>
      <c r="BGK548" s="501"/>
      <c r="BGL548" s="501"/>
      <c r="BGM548" s="501"/>
      <c r="BGN548" s="501"/>
      <c r="BGO548" s="501"/>
      <c r="BGP548" s="501"/>
      <c r="BGQ548" s="501"/>
      <c r="BGR548" s="501"/>
      <c r="BGS548" s="501"/>
      <c r="BGT548" s="501"/>
      <c r="BGU548" s="501"/>
      <c r="BGV548" s="501"/>
      <c r="BGW548" s="501"/>
      <c r="BGX548" s="501"/>
      <c r="BGY548" s="501"/>
      <c r="BGZ548" s="501"/>
      <c r="BHA548" s="501"/>
      <c r="BHB548" s="501"/>
      <c r="BHC548" s="501"/>
      <c r="BHD548" s="501"/>
      <c r="BHE548" s="501"/>
      <c r="BHF548" s="501"/>
      <c r="BHG548" s="501"/>
      <c r="BHH548" s="501"/>
      <c r="BHI548" s="501"/>
      <c r="BHJ548" s="501"/>
      <c r="BHK548" s="501"/>
      <c r="BHL548" s="501"/>
      <c r="BHM548" s="501"/>
      <c r="BHN548" s="501"/>
      <c r="BHO548" s="501"/>
      <c r="BHP548" s="501"/>
      <c r="BHQ548" s="501"/>
      <c r="BHR548" s="501"/>
      <c r="BHS548" s="501"/>
      <c r="BHT548" s="501"/>
      <c r="BHU548" s="501"/>
      <c r="BHV548" s="501"/>
      <c r="BHW548" s="501"/>
      <c r="BHX548" s="501"/>
      <c r="BHY548" s="501"/>
      <c r="BHZ548" s="501"/>
      <c r="BIA548" s="501"/>
      <c r="BIB548" s="501"/>
      <c r="BIC548" s="501"/>
      <c r="BID548" s="501"/>
      <c r="BIE548" s="501"/>
      <c r="BIF548" s="501"/>
      <c r="BIG548" s="501"/>
      <c r="BIH548" s="501"/>
      <c r="BII548" s="501"/>
      <c r="BIJ548" s="501"/>
      <c r="BIK548" s="501"/>
      <c r="BIL548" s="501"/>
      <c r="BIM548" s="501"/>
      <c r="BIN548" s="501"/>
      <c r="BIO548" s="501"/>
      <c r="BIP548" s="501"/>
      <c r="BIQ548" s="501"/>
      <c r="BIR548" s="501"/>
      <c r="BIS548" s="501"/>
      <c r="BIT548" s="501"/>
      <c r="BIU548" s="501"/>
      <c r="BIV548" s="501"/>
      <c r="BIW548" s="501"/>
      <c r="BIX548" s="501"/>
      <c r="BIY548" s="501"/>
      <c r="BIZ548" s="501"/>
      <c r="BJA548" s="501"/>
      <c r="BJB548" s="501"/>
      <c r="BJC548" s="501"/>
      <c r="BJD548" s="501"/>
      <c r="BJE548" s="501"/>
      <c r="BJF548" s="501"/>
      <c r="BJG548" s="501"/>
      <c r="BJH548" s="501"/>
      <c r="BJI548" s="501"/>
      <c r="BJJ548" s="501"/>
      <c r="BJK548" s="501"/>
      <c r="BJL548" s="501"/>
      <c r="BJM548" s="501"/>
      <c r="BJN548" s="501"/>
      <c r="BJO548" s="501"/>
      <c r="BJP548" s="501"/>
      <c r="BJQ548" s="501"/>
      <c r="BJR548" s="501"/>
      <c r="BJS548" s="501"/>
      <c r="BJT548" s="501"/>
      <c r="BJU548" s="501"/>
      <c r="BJV548" s="501"/>
      <c r="BJW548" s="501"/>
      <c r="BJX548" s="501"/>
      <c r="BJY548" s="501"/>
      <c r="BJZ548" s="501"/>
      <c r="BKA548" s="501"/>
      <c r="BKB548" s="501"/>
      <c r="BKC548" s="501"/>
      <c r="BKD548" s="501"/>
      <c r="BKE548" s="501"/>
      <c r="BKF548" s="501"/>
      <c r="BKG548" s="501"/>
      <c r="BKH548" s="501"/>
      <c r="BKI548" s="501"/>
      <c r="BKJ548" s="501"/>
      <c r="BKK548" s="501"/>
      <c r="BKL548" s="501"/>
      <c r="BKM548" s="501"/>
      <c r="BKN548" s="501"/>
      <c r="BKO548" s="501"/>
      <c r="BKP548" s="501"/>
      <c r="BKQ548" s="501"/>
      <c r="BKR548" s="501"/>
      <c r="BKS548" s="501"/>
      <c r="BKT548" s="501"/>
      <c r="BKU548" s="501"/>
      <c r="BKV548" s="501"/>
      <c r="BKW548" s="501"/>
      <c r="BKX548" s="501"/>
      <c r="BKY548" s="501"/>
      <c r="BKZ548" s="501"/>
      <c r="BLA548" s="501"/>
      <c r="BLB548" s="501"/>
      <c r="BLC548" s="501"/>
      <c r="BLD548" s="501"/>
      <c r="BLE548" s="501"/>
      <c r="BLF548" s="501"/>
      <c r="BLG548" s="501"/>
      <c r="BLH548" s="501"/>
      <c r="BLI548" s="501"/>
      <c r="BLJ548" s="501"/>
      <c r="BLK548" s="501"/>
      <c r="BLL548" s="501"/>
      <c r="BLM548" s="501"/>
      <c r="BLN548" s="501"/>
      <c r="BLO548" s="501"/>
      <c r="BLP548" s="501"/>
      <c r="BLQ548" s="501"/>
      <c r="BLR548" s="501"/>
      <c r="BLS548" s="501"/>
      <c r="BLT548" s="501"/>
      <c r="BLU548" s="501"/>
      <c r="BLV548" s="501"/>
      <c r="BLW548" s="501"/>
      <c r="BLX548" s="501"/>
      <c r="BLY548" s="501"/>
      <c r="BLZ548" s="501"/>
      <c r="BMA548" s="501"/>
      <c r="BMB548" s="501"/>
      <c r="BMC548" s="501"/>
      <c r="BMD548" s="501"/>
      <c r="BME548" s="501"/>
      <c r="BMF548" s="501"/>
      <c r="BMG548" s="501"/>
      <c r="BMH548" s="501"/>
      <c r="BMI548" s="501"/>
      <c r="BMJ548" s="501"/>
      <c r="BMK548" s="501"/>
      <c r="BML548" s="501"/>
      <c r="BMM548" s="501"/>
      <c r="BMN548" s="501"/>
      <c r="BMO548" s="501"/>
      <c r="BMP548" s="501"/>
      <c r="BMQ548" s="501"/>
      <c r="BMR548" s="501"/>
      <c r="BMS548" s="501"/>
      <c r="BMT548" s="501"/>
      <c r="BMU548" s="501"/>
      <c r="BMV548" s="501"/>
      <c r="BMW548" s="501"/>
      <c r="BMX548" s="501"/>
      <c r="BMY548" s="501"/>
      <c r="BMZ548" s="501"/>
      <c r="BNA548" s="501"/>
      <c r="BNB548" s="501"/>
      <c r="BNC548" s="501"/>
      <c r="BND548" s="501"/>
      <c r="BNE548" s="501"/>
      <c r="BNF548" s="501"/>
      <c r="BNG548" s="501"/>
      <c r="BNH548" s="501"/>
      <c r="BNI548" s="501"/>
      <c r="BNJ548" s="501"/>
      <c r="BNK548" s="501"/>
      <c r="BNL548" s="501"/>
      <c r="BNM548" s="501"/>
      <c r="BNN548" s="501"/>
      <c r="BNO548" s="501"/>
      <c r="BNP548" s="501"/>
      <c r="BNQ548" s="501"/>
      <c r="BNR548" s="501"/>
      <c r="BNS548" s="501"/>
      <c r="BNT548" s="501"/>
      <c r="BNU548" s="501"/>
      <c r="BNV548" s="501"/>
      <c r="BNW548" s="501"/>
      <c r="BNX548" s="501"/>
      <c r="BNY548" s="501"/>
      <c r="BNZ548" s="501"/>
      <c r="BOA548" s="501"/>
      <c r="BOB548" s="501"/>
      <c r="BOC548" s="501"/>
      <c r="BOD548" s="501"/>
      <c r="BOE548" s="501"/>
      <c r="BOF548" s="501"/>
      <c r="BOG548" s="501"/>
      <c r="BOH548" s="501"/>
      <c r="BOI548" s="501"/>
      <c r="BOJ548" s="501"/>
      <c r="BOK548" s="501"/>
      <c r="BOL548" s="501"/>
      <c r="BOM548" s="501"/>
      <c r="BON548" s="501"/>
      <c r="BOO548" s="501"/>
      <c r="BOP548" s="501"/>
      <c r="BOQ548" s="501"/>
      <c r="BOR548" s="501"/>
      <c r="BOS548" s="501"/>
      <c r="BOT548" s="501"/>
      <c r="BOU548" s="501"/>
      <c r="BOV548" s="501"/>
      <c r="BOW548" s="501"/>
      <c r="BOX548" s="501"/>
      <c r="BOY548" s="501"/>
      <c r="BOZ548" s="501"/>
      <c r="BPA548" s="501"/>
      <c r="BPB548" s="501"/>
      <c r="BPC548" s="501"/>
      <c r="BPD548" s="501"/>
      <c r="BPE548" s="501"/>
      <c r="BPF548" s="501"/>
      <c r="BPG548" s="501"/>
      <c r="BPH548" s="501"/>
      <c r="BPI548" s="501"/>
      <c r="BPJ548" s="501"/>
      <c r="BPK548" s="501"/>
      <c r="BPL548" s="501"/>
      <c r="BPM548" s="501"/>
      <c r="BPN548" s="501"/>
      <c r="BPO548" s="501"/>
      <c r="BPP548" s="501"/>
      <c r="BPQ548" s="501"/>
      <c r="BPR548" s="501"/>
      <c r="BPS548" s="501"/>
      <c r="BPT548" s="501"/>
      <c r="BPU548" s="501"/>
      <c r="BPV548" s="501"/>
      <c r="BPW548" s="501"/>
      <c r="BPX548" s="501"/>
      <c r="BPY548" s="501"/>
      <c r="BPZ548" s="501"/>
      <c r="BQA548" s="501"/>
      <c r="BQB548" s="501"/>
      <c r="BQC548" s="501"/>
      <c r="BQD548" s="501"/>
      <c r="BQE548" s="501"/>
      <c r="BQF548" s="501"/>
      <c r="BQG548" s="501"/>
      <c r="BQH548" s="501"/>
      <c r="BQI548" s="501"/>
      <c r="BQJ548" s="501"/>
      <c r="BQK548" s="501"/>
      <c r="BQL548" s="501"/>
      <c r="BQM548" s="501"/>
      <c r="BQN548" s="501"/>
      <c r="BQO548" s="501"/>
      <c r="BQP548" s="501"/>
      <c r="BQQ548" s="501"/>
      <c r="BQR548" s="501"/>
      <c r="BQS548" s="501"/>
      <c r="BQT548" s="501"/>
      <c r="BQU548" s="501"/>
      <c r="BQV548" s="501"/>
      <c r="BQW548" s="501"/>
      <c r="BQX548" s="501"/>
      <c r="BQY548" s="501"/>
      <c r="BQZ548" s="501"/>
      <c r="BRA548" s="501"/>
      <c r="BRB548" s="501"/>
      <c r="BRC548" s="501"/>
      <c r="BRD548" s="501"/>
      <c r="BRE548" s="501"/>
      <c r="BRF548" s="501"/>
      <c r="BRG548" s="501"/>
      <c r="BRH548" s="501"/>
      <c r="BRI548" s="501"/>
      <c r="BRJ548" s="501"/>
      <c r="BRK548" s="501"/>
      <c r="BRL548" s="501"/>
      <c r="BRM548" s="501"/>
      <c r="BRN548" s="501"/>
      <c r="BRO548" s="501"/>
      <c r="BRP548" s="501"/>
      <c r="BRQ548" s="501"/>
      <c r="BRR548" s="501"/>
      <c r="BRS548" s="501"/>
      <c r="BRT548" s="501"/>
      <c r="BRU548" s="501"/>
      <c r="BRV548" s="501"/>
      <c r="BRW548" s="501"/>
      <c r="BRX548" s="501"/>
      <c r="BRY548" s="501"/>
      <c r="BRZ548" s="501"/>
      <c r="BSA548" s="501"/>
      <c r="BSB548" s="501"/>
      <c r="BSC548" s="501"/>
      <c r="BSD548" s="501"/>
      <c r="BSE548" s="501"/>
      <c r="BSF548" s="501"/>
      <c r="BSG548" s="501"/>
      <c r="BSH548" s="501"/>
      <c r="BSI548" s="501"/>
      <c r="BSJ548" s="501"/>
      <c r="BSK548" s="501"/>
      <c r="BSL548" s="501"/>
      <c r="BSM548" s="501"/>
      <c r="BSN548" s="501"/>
      <c r="BSO548" s="501"/>
      <c r="BSP548" s="501"/>
      <c r="BSQ548" s="501"/>
      <c r="BSR548" s="501"/>
      <c r="BSS548" s="501"/>
      <c r="BST548" s="501"/>
      <c r="BSU548" s="501"/>
      <c r="BSV548" s="501"/>
      <c r="BSW548" s="501"/>
      <c r="BSX548" s="501"/>
      <c r="BSY548" s="501"/>
      <c r="BSZ548" s="501"/>
      <c r="BTA548" s="501"/>
      <c r="BTB548" s="501"/>
      <c r="BTC548" s="501"/>
      <c r="BTD548" s="501"/>
      <c r="BTE548" s="501"/>
      <c r="BTF548" s="501"/>
      <c r="BTG548" s="501"/>
      <c r="BTH548" s="501"/>
      <c r="BTI548" s="501"/>
      <c r="BTJ548" s="501"/>
      <c r="BTK548" s="501"/>
      <c r="BTL548" s="501"/>
      <c r="BTM548" s="501"/>
      <c r="BTN548" s="501"/>
      <c r="BTO548" s="501"/>
      <c r="BTP548" s="501"/>
      <c r="BTQ548" s="501"/>
      <c r="BTR548" s="501"/>
      <c r="BTS548" s="501"/>
      <c r="BTT548" s="501"/>
      <c r="BTU548" s="501"/>
      <c r="BTV548" s="501"/>
      <c r="BTW548" s="501"/>
      <c r="BTX548" s="501"/>
      <c r="BTY548" s="501"/>
      <c r="BTZ548" s="501"/>
      <c r="BUA548" s="501"/>
      <c r="BUB548" s="501"/>
      <c r="BUC548" s="501"/>
      <c r="BUD548" s="501"/>
      <c r="BUE548" s="501"/>
      <c r="BUF548" s="501"/>
      <c r="BUG548" s="501"/>
      <c r="BUH548" s="501"/>
      <c r="BUI548" s="501"/>
      <c r="BUJ548" s="501"/>
      <c r="BUK548" s="501"/>
      <c r="BUL548" s="501"/>
      <c r="BUM548" s="501"/>
      <c r="BUN548" s="501"/>
      <c r="BUO548" s="501"/>
      <c r="BUP548" s="501"/>
      <c r="BUQ548" s="501"/>
      <c r="BUR548" s="501"/>
      <c r="BUS548" s="501"/>
      <c r="BUT548" s="501"/>
      <c r="BUU548" s="501"/>
      <c r="BUV548" s="501"/>
      <c r="BUW548" s="501"/>
      <c r="BUX548" s="501"/>
      <c r="BUY548" s="501"/>
      <c r="BUZ548" s="501"/>
      <c r="BVA548" s="501"/>
      <c r="BVB548" s="501"/>
      <c r="BVC548" s="501"/>
      <c r="BVD548" s="501"/>
      <c r="BVE548" s="501"/>
      <c r="BVF548" s="501"/>
      <c r="BVG548" s="501"/>
      <c r="BVH548" s="501"/>
      <c r="BVI548" s="501"/>
      <c r="BVJ548" s="501"/>
      <c r="BVK548" s="501"/>
      <c r="BVL548" s="501"/>
      <c r="BVM548" s="501"/>
      <c r="BVN548" s="501"/>
      <c r="BVO548" s="501"/>
      <c r="BVP548" s="501"/>
      <c r="BVQ548" s="501"/>
      <c r="BVR548" s="501"/>
      <c r="BVS548" s="501"/>
      <c r="BVT548" s="501"/>
      <c r="BVU548" s="501"/>
      <c r="BVV548" s="501"/>
      <c r="BVW548" s="501"/>
      <c r="BVX548" s="501"/>
      <c r="BVY548" s="501"/>
      <c r="BVZ548" s="501"/>
      <c r="BWA548" s="501"/>
      <c r="BWB548" s="501"/>
      <c r="BWC548" s="501"/>
      <c r="BWD548" s="501"/>
      <c r="BWE548" s="501"/>
      <c r="BWF548" s="501"/>
      <c r="BWG548" s="501"/>
      <c r="BWH548" s="501"/>
      <c r="BWI548" s="501"/>
      <c r="BWJ548" s="501"/>
      <c r="BWK548" s="501"/>
      <c r="BWL548" s="501"/>
      <c r="BWM548" s="501"/>
      <c r="BWN548" s="501"/>
      <c r="BWO548" s="501"/>
      <c r="BWP548" s="501"/>
      <c r="BWQ548" s="501"/>
      <c r="BWR548" s="501"/>
      <c r="BWS548" s="501"/>
      <c r="BWT548" s="501"/>
      <c r="BWU548" s="501"/>
      <c r="BWV548" s="501"/>
      <c r="BWW548" s="501"/>
      <c r="BWX548" s="501"/>
      <c r="BWY548" s="501"/>
      <c r="BWZ548" s="501"/>
      <c r="BXA548" s="501"/>
      <c r="BXB548" s="501"/>
      <c r="BXC548" s="501"/>
      <c r="BXD548" s="501"/>
      <c r="BXE548" s="501"/>
      <c r="BXF548" s="501"/>
      <c r="BXG548" s="501"/>
      <c r="BXH548" s="501"/>
      <c r="BXI548" s="501"/>
      <c r="BXJ548" s="501"/>
      <c r="BXK548" s="501"/>
      <c r="BXL548" s="501"/>
      <c r="BXM548" s="501"/>
      <c r="BXN548" s="501"/>
      <c r="BXO548" s="501"/>
      <c r="BXP548" s="501"/>
      <c r="BXQ548" s="501"/>
      <c r="BXR548" s="501"/>
      <c r="BXS548" s="501"/>
      <c r="BXT548" s="501"/>
      <c r="BXU548" s="501"/>
      <c r="BXV548" s="501"/>
      <c r="BXW548" s="501"/>
      <c r="BXX548" s="501"/>
      <c r="BXY548" s="501"/>
      <c r="BXZ548" s="501"/>
      <c r="BYA548" s="501"/>
      <c r="BYB548" s="501"/>
      <c r="BYC548" s="501"/>
      <c r="BYD548" s="501"/>
      <c r="BYE548" s="501"/>
      <c r="BYF548" s="501"/>
      <c r="BYG548" s="501"/>
      <c r="BYH548" s="501"/>
      <c r="BYI548" s="501"/>
      <c r="BYJ548" s="501"/>
      <c r="BYK548" s="501"/>
      <c r="BYL548" s="501"/>
      <c r="BYM548" s="501"/>
      <c r="BYN548" s="501"/>
      <c r="BYO548" s="501"/>
      <c r="BYP548" s="501"/>
      <c r="BYQ548" s="501"/>
      <c r="BYR548" s="501"/>
      <c r="BYS548" s="501"/>
      <c r="BYT548" s="501"/>
      <c r="BYU548" s="501"/>
      <c r="BYV548" s="501"/>
      <c r="BYW548" s="501"/>
      <c r="BYX548" s="501"/>
      <c r="BYY548" s="501"/>
      <c r="BYZ548" s="501"/>
      <c r="BZA548" s="501"/>
      <c r="BZB548" s="501"/>
      <c r="BZC548" s="501"/>
      <c r="BZD548" s="501"/>
      <c r="BZE548" s="501"/>
      <c r="BZF548" s="501"/>
      <c r="BZG548" s="501"/>
      <c r="BZH548" s="501"/>
      <c r="BZI548" s="501"/>
      <c r="BZJ548" s="501"/>
      <c r="BZK548" s="501"/>
      <c r="BZL548" s="501"/>
      <c r="BZM548" s="501"/>
      <c r="BZN548" s="501"/>
      <c r="BZO548" s="501"/>
      <c r="BZP548" s="501"/>
      <c r="BZQ548" s="501"/>
      <c r="BZR548" s="501"/>
      <c r="BZS548" s="501"/>
      <c r="BZT548" s="501"/>
      <c r="BZU548" s="501"/>
      <c r="BZV548" s="501"/>
      <c r="BZW548" s="501"/>
      <c r="BZX548" s="501"/>
      <c r="BZY548" s="501"/>
      <c r="BZZ548" s="501"/>
      <c r="CAA548" s="501"/>
      <c r="CAB548" s="501"/>
      <c r="CAC548" s="501"/>
      <c r="CAD548" s="501"/>
      <c r="CAE548" s="501"/>
      <c r="CAF548" s="501"/>
      <c r="CAG548" s="501"/>
      <c r="CAH548" s="501"/>
      <c r="CAI548" s="501"/>
      <c r="CAJ548" s="501"/>
      <c r="CAK548" s="501"/>
      <c r="CAL548" s="501"/>
      <c r="CAM548" s="501"/>
      <c r="CAN548" s="501"/>
      <c r="CAO548" s="501"/>
      <c r="CAP548" s="501"/>
      <c r="CAQ548" s="501"/>
      <c r="CAR548" s="501"/>
      <c r="CAS548" s="501"/>
      <c r="CAT548" s="501"/>
      <c r="CAU548" s="501"/>
      <c r="CAV548" s="501"/>
      <c r="CAW548" s="501"/>
      <c r="CAX548" s="501"/>
      <c r="CAY548" s="501"/>
      <c r="CAZ548" s="501"/>
      <c r="CBA548" s="501"/>
      <c r="CBB548" s="501"/>
      <c r="CBC548" s="501"/>
      <c r="CBD548" s="501"/>
      <c r="CBE548" s="501"/>
      <c r="CBF548" s="501"/>
      <c r="CBG548" s="501"/>
      <c r="CBH548" s="501"/>
      <c r="CBI548" s="501"/>
      <c r="CBJ548" s="501"/>
      <c r="CBK548" s="501"/>
      <c r="CBL548" s="501"/>
      <c r="CBM548" s="501"/>
      <c r="CBN548" s="501"/>
      <c r="CBO548" s="501"/>
      <c r="CBP548" s="501"/>
      <c r="CBQ548" s="501"/>
      <c r="CBR548" s="501"/>
      <c r="CBS548" s="501"/>
      <c r="CBT548" s="501"/>
      <c r="CBU548" s="501"/>
      <c r="CBV548" s="501"/>
      <c r="CBW548" s="501"/>
      <c r="CBX548" s="501"/>
      <c r="CBY548" s="501"/>
      <c r="CBZ548" s="501"/>
      <c r="CCA548" s="501"/>
      <c r="CCB548" s="501"/>
      <c r="CCC548" s="501"/>
      <c r="CCD548" s="501"/>
      <c r="CCE548" s="501"/>
      <c r="CCF548" s="501"/>
      <c r="CCG548" s="501"/>
      <c r="CCH548" s="501"/>
      <c r="CCI548" s="501"/>
      <c r="CCJ548" s="501"/>
      <c r="CCK548" s="501"/>
      <c r="CCL548" s="501"/>
      <c r="CCM548" s="501"/>
      <c r="CCN548" s="501"/>
      <c r="CCO548" s="501"/>
      <c r="CCP548" s="501"/>
      <c r="CCQ548" s="501"/>
      <c r="CCR548" s="501"/>
      <c r="CCS548" s="501"/>
      <c r="CCT548" s="501"/>
      <c r="CCU548" s="501"/>
      <c r="CCV548" s="501"/>
      <c r="CCW548" s="501"/>
      <c r="CCX548" s="501"/>
      <c r="CCY548" s="501"/>
      <c r="CCZ548" s="501"/>
      <c r="CDA548" s="501"/>
      <c r="CDB548" s="501"/>
      <c r="CDC548" s="501"/>
      <c r="CDD548" s="501"/>
      <c r="CDE548" s="501"/>
      <c r="CDF548" s="501"/>
      <c r="CDG548" s="501"/>
      <c r="CDH548" s="501"/>
      <c r="CDI548" s="501"/>
      <c r="CDJ548" s="501"/>
      <c r="CDK548" s="501"/>
      <c r="CDL548" s="501"/>
      <c r="CDM548" s="501"/>
      <c r="CDN548" s="501"/>
      <c r="CDO548" s="501"/>
      <c r="CDP548" s="501"/>
      <c r="CDQ548" s="501"/>
      <c r="CDR548" s="501"/>
      <c r="CDS548" s="501"/>
      <c r="CDT548" s="501"/>
      <c r="CDU548" s="501"/>
      <c r="CDV548" s="501"/>
      <c r="CDW548" s="501"/>
      <c r="CDX548" s="501"/>
      <c r="CDY548" s="501"/>
      <c r="CDZ548" s="501"/>
      <c r="CEA548" s="501"/>
      <c r="CEB548" s="501"/>
      <c r="CEC548" s="501"/>
      <c r="CED548" s="501"/>
      <c r="CEE548" s="501"/>
      <c r="CEF548" s="501"/>
      <c r="CEG548" s="501"/>
      <c r="CEH548" s="501"/>
      <c r="CEI548" s="501"/>
      <c r="CEJ548" s="501"/>
      <c r="CEK548" s="501"/>
      <c r="CEL548" s="501"/>
      <c r="CEM548" s="501"/>
      <c r="CEN548" s="501"/>
      <c r="CEO548" s="501"/>
      <c r="CEP548" s="501"/>
      <c r="CEQ548" s="501"/>
      <c r="CER548" s="501"/>
      <c r="CES548" s="501"/>
      <c r="CET548" s="501"/>
      <c r="CEU548" s="501"/>
      <c r="CEV548" s="501"/>
      <c r="CEW548" s="501"/>
      <c r="CEX548" s="501"/>
      <c r="CEY548" s="501"/>
      <c r="CEZ548" s="501"/>
      <c r="CFA548" s="501"/>
      <c r="CFB548" s="501"/>
      <c r="CFC548" s="501"/>
      <c r="CFD548" s="501"/>
      <c r="CFE548" s="501"/>
      <c r="CFF548" s="501"/>
      <c r="CFG548" s="501"/>
      <c r="CFH548" s="501"/>
      <c r="CFI548" s="501"/>
      <c r="CFJ548" s="501"/>
      <c r="CFK548" s="501"/>
      <c r="CFL548" s="501"/>
      <c r="CFM548" s="501"/>
      <c r="CFN548" s="501"/>
      <c r="CFO548" s="501"/>
      <c r="CFP548" s="501"/>
      <c r="CFQ548" s="501"/>
      <c r="CFR548" s="501"/>
      <c r="CFS548" s="501"/>
      <c r="CFT548" s="501"/>
      <c r="CFU548" s="501"/>
      <c r="CFV548" s="501"/>
      <c r="CFW548" s="501"/>
      <c r="CFX548" s="501"/>
      <c r="CFY548" s="501"/>
      <c r="CFZ548" s="501"/>
      <c r="CGA548" s="501"/>
      <c r="CGB548" s="501"/>
      <c r="CGC548" s="501"/>
      <c r="CGD548" s="501"/>
      <c r="CGE548" s="501"/>
      <c r="CGF548" s="501"/>
      <c r="CGG548" s="501"/>
      <c r="CGH548" s="501"/>
      <c r="CGI548" s="501"/>
      <c r="CGJ548" s="501"/>
      <c r="CGK548" s="501"/>
      <c r="CGL548" s="501"/>
      <c r="CGM548" s="501"/>
      <c r="CGN548" s="501"/>
      <c r="CGO548" s="501"/>
      <c r="CGP548" s="501"/>
      <c r="CGQ548" s="501"/>
      <c r="CGR548" s="501"/>
      <c r="CGS548" s="501"/>
      <c r="CGT548" s="501"/>
      <c r="CGU548" s="501"/>
      <c r="CGV548" s="501"/>
      <c r="CGW548" s="501"/>
      <c r="CGX548" s="501"/>
      <c r="CGY548" s="501"/>
      <c r="CGZ548" s="501"/>
      <c r="CHA548" s="501"/>
      <c r="CHB548" s="501"/>
      <c r="CHC548" s="501"/>
      <c r="CHD548" s="501"/>
      <c r="CHE548" s="501"/>
      <c r="CHF548" s="501"/>
      <c r="CHG548" s="501"/>
      <c r="CHH548" s="501"/>
      <c r="CHI548" s="501"/>
      <c r="CHJ548" s="501"/>
      <c r="CHK548" s="501"/>
      <c r="CHL548" s="501"/>
      <c r="CHM548" s="501"/>
      <c r="CHN548" s="501"/>
      <c r="CHO548" s="501"/>
      <c r="CHP548" s="501"/>
      <c r="CHQ548" s="501"/>
      <c r="CHR548" s="501"/>
      <c r="CHS548" s="501"/>
      <c r="CHT548" s="501"/>
      <c r="CHU548" s="501"/>
      <c r="CHV548" s="501"/>
      <c r="CHW548" s="501"/>
      <c r="CHX548" s="501"/>
      <c r="CHY548" s="501"/>
      <c r="CHZ548" s="501"/>
      <c r="CIA548" s="501"/>
      <c r="CIB548" s="501"/>
      <c r="CIC548" s="501"/>
      <c r="CID548" s="501"/>
      <c r="CIE548" s="501"/>
      <c r="CIF548" s="501"/>
      <c r="CIG548" s="501"/>
      <c r="CIH548" s="501"/>
      <c r="CII548" s="501"/>
      <c r="CIJ548" s="501"/>
      <c r="CIK548" s="501"/>
      <c r="CIL548" s="501"/>
      <c r="CIM548" s="501"/>
      <c r="CIN548" s="501"/>
      <c r="CIO548" s="501"/>
      <c r="CIP548" s="501"/>
      <c r="CIQ548" s="501"/>
      <c r="CIR548" s="501"/>
      <c r="CIS548" s="501"/>
      <c r="CIT548" s="501"/>
      <c r="CIU548" s="501"/>
      <c r="CIV548" s="501"/>
      <c r="CIW548" s="501"/>
      <c r="CIX548" s="501"/>
      <c r="CIY548" s="501"/>
      <c r="CIZ548" s="501"/>
      <c r="CJA548" s="501"/>
      <c r="CJB548" s="501"/>
      <c r="CJC548" s="501"/>
      <c r="CJD548" s="501"/>
      <c r="CJE548" s="501"/>
      <c r="CJF548" s="501"/>
      <c r="CJG548" s="501"/>
      <c r="CJH548" s="501"/>
      <c r="CJI548" s="501"/>
      <c r="CJJ548" s="501"/>
      <c r="CJK548" s="501"/>
      <c r="CJL548" s="501"/>
      <c r="CJM548" s="501"/>
      <c r="CJN548" s="501"/>
      <c r="CJO548" s="501"/>
      <c r="CJP548" s="501"/>
      <c r="CJQ548" s="501"/>
      <c r="CJR548" s="501"/>
      <c r="CJS548" s="501"/>
      <c r="CJT548" s="501"/>
      <c r="CJU548" s="501"/>
      <c r="CJV548" s="501"/>
      <c r="CJW548" s="501"/>
      <c r="CJX548" s="501"/>
      <c r="CJY548" s="501"/>
      <c r="CJZ548" s="501"/>
      <c r="CKA548" s="501"/>
      <c r="CKB548" s="501"/>
      <c r="CKC548" s="501"/>
      <c r="CKD548" s="501"/>
      <c r="CKE548" s="501"/>
      <c r="CKF548" s="501"/>
      <c r="CKG548" s="501"/>
      <c r="CKH548" s="501"/>
      <c r="CKI548" s="501"/>
      <c r="CKJ548" s="501"/>
      <c r="CKK548" s="501"/>
      <c r="CKL548" s="501"/>
      <c r="CKM548" s="501"/>
      <c r="CKN548" s="501"/>
      <c r="CKO548" s="501"/>
      <c r="CKP548" s="501"/>
      <c r="CKQ548" s="501"/>
      <c r="CKR548" s="501"/>
      <c r="CKS548" s="501"/>
      <c r="CKT548" s="501"/>
      <c r="CKU548" s="501"/>
      <c r="CKV548" s="501"/>
      <c r="CKW548" s="501"/>
      <c r="CKX548" s="501"/>
      <c r="CKY548" s="501"/>
      <c r="CKZ548" s="501"/>
      <c r="CLA548" s="501"/>
      <c r="CLB548" s="501"/>
      <c r="CLC548" s="501"/>
      <c r="CLD548" s="501"/>
      <c r="CLE548" s="501"/>
      <c r="CLF548" s="501"/>
      <c r="CLG548" s="501"/>
      <c r="CLH548" s="501"/>
      <c r="CLI548" s="501"/>
      <c r="CLJ548" s="501"/>
      <c r="CLK548" s="501"/>
      <c r="CLL548" s="501"/>
      <c r="CLM548" s="501"/>
      <c r="CLN548" s="501"/>
      <c r="CLO548" s="501"/>
      <c r="CLP548" s="501"/>
      <c r="CLQ548" s="501"/>
      <c r="CLR548" s="501"/>
      <c r="CLS548" s="501"/>
      <c r="CLT548" s="501"/>
      <c r="CLU548" s="501"/>
      <c r="CLV548" s="501"/>
      <c r="CLW548" s="501"/>
      <c r="CLX548" s="501"/>
      <c r="CLY548" s="501"/>
      <c r="CLZ548" s="501"/>
      <c r="CMA548" s="501"/>
      <c r="CMB548" s="501"/>
      <c r="CMC548" s="501"/>
      <c r="CMD548" s="501"/>
      <c r="CME548" s="501"/>
      <c r="CMF548" s="501"/>
      <c r="CMG548" s="501"/>
      <c r="CMH548" s="501"/>
      <c r="CMI548" s="501"/>
      <c r="CMJ548" s="501"/>
      <c r="CMK548" s="501"/>
      <c r="CML548" s="501"/>
      <c r="CMM548" s="501"/>
      <c r="CMN548" s="501"/>
      <c r="CMO548" s="501"/>
      <c r="CMP548" s="501"/>
      <c r="CMQ548" s="501"/>
      <c r="CMR548" s="501"/>
      <c r="CMS548" s="501"/>
      <c r="CMT548" s="501"/>
      <c r="CMU548" s="501"/>
      <c r="CMV548" s="501"/>
      <c r="CMW548" s="501"/>
      <c r="CMX548" s="501"/>
      <c r="CMY548" s="501"/>
      <c r="CMZ548" s="501"/>
      <c r="CNA548" s="501"/>
      <c r="CNB548" s="501"/>
      <c r="CNC548" s="501"/>
      <c r="CND548" s="501"/>
      <c r="CNE548" s="501"/>
      <c r="CNF548" s="501"/>
      <c r="CNG548" s="501"/>
      <c r="CNH548" s="501"/>
      <c r="CNI548" s="501"/>
      <c r="CNJ548" s="501"/>
      <c r="CNK548" s="501"/>
      <c r="CNL548" s="501"/>
      <c r="CNM548" s="501"/>
      <c r="CNN548" s="501"/>
      <c r="CNO548" s="501"/>
      <c r="CNP548" s="501"/>
      <c r="CNQ548" s="501"/>
      <c r="CNR548" s="501"/>
      <c r="CNS548" s="501"/>
      <c r="CNT548" s="501"/>
      <c r="CNU548" s="501"/>
      <c r="CNV548" s="501"/>
      <c r="CNW548" s="501"/>
      <c r="CNX548" s="501"/>
      <c r="CNY548" s="501"/>
      <c r="CNZ548" s="501"/>
      <c r="COA548" s="501"/>
      <c r="COB548" s="501"/>
      <c r="COC548" s="501"/>
      <c r="COD548" s="501"/>
      <c r="COE548" s="501"/>
      <c r="COF548" s="501"/>
      <c r="COG548" s="501"/>
      <c r="COH548" s="501"/>
      <c r="COI548" s="501"/>
      <c r="COJ548" s="501"/>
      <c r="COK548" s="501"/>
      <c r="COL548" s="501"/>
      <c r="COM548" s="501"/>
      <c r="CON548" s="501"/>
      <c r="COO548" s="501"/>
      <c r="COP548" s="501"/>
      <c r="COQ548" s="501"/>
      <c r="COR548" s="501"/>
      <c r="COS548" s="501"/>
      <c r="COT548" s="501"/>
      <c r="COU548" s="501"/>
      <c r="COV548" s="501"/>
      <c r="COW548" s="501"/>
      <c r="COX548" s="501"/>
      <c r="COY548" s="501"/>
      <c r="COZ548" s="501"/>
      <c r="CPA548" s="501"/>
      <c r="CPB548" s="501"/>
      <c r="CPC548" s="501"/>
      <c r="CPD548" s="501"/>
      <c r="CPE548" s="501"/>
      <c r="CPF548" s="501"/>
      <c r="CPG548" s="501"/>
      <c r="CPH548" s="501"/>
      <c r="CPI548" s="501"/>
      <c r="CPJ548" s="501"/>
      <c r="CPK548" s="501"/>
      <c r="CPL548" s="501"/>
      <c r="CPM548" s="501"/>
      <c r="CPN548" s="501"/>
      <c r="CPO548" s="501"/>
      <c r="CPP548" s="501"/>
      <c r="CPQ548" s="501"/>
      <c r="CPR548" s="501"/>
      <c r="CPS548" s="501"/>
      <c r="CPT548" s="501"/>
      <c r="CPU548" s="501"/>
      <c r="CPV548" s="501"/>
      <c r="CPW548" s="501"/>
      <c r="CPX548" s="501"/>
      <c r="CPY548" s="501"/>
      <c r="CPZ548" s="501"/>
      <c r="CQA548" s="501"/>
      <c r="CQB548" s="501"/>
      <c r="CQC548" s="501"/>
      <c r="CQD548" s="501"/>
      <c r="CQE548" s="501"/>
      <c r="CQF548" s="501"/>
      <c r="CQG548" s="501"/>
      <c r="CQH548" s="501"/>
      <c r="CQI548" s="501"/>
      <c r="CQJ548" s="501"/>
      <c r="CQK548" s="501"/>
      <c r="CQL548" s="501"/>
      <c r="CQM548" s="501"/>
      <c r="CQN548" s="501"/>
      <c r="CQO548" s="501"/>
      <c r="CQP548" s="501"/>
      <c r="CQQ548" s="501"/>
      <c r="CQR548" s="501"/>
      <c r="CQS548" s="501"/>
      <c r="CQT548" s="501"/>
      <c r="CQU548" s="501"/>
      <c r="CQV548" s="501"/>
      <c r="CQW548" s="501"/>
      <c r="CQX548" s="501"/>
      <c r="CQY548" s="501"/>
      <c r="CQZ548" s="501"/>
      <c r="CRA548" s="501"/>
      <c r="CRB548" s="501"/>
      <c r="CRC548" s="501"/>
      <c r="CRD548" s="501"/>
      <c r="CRE548" s="501"/>
      <c r="CRF548" s="501"/>
      <c r="CRG548" s="501"/>
      <c r="CRH548" s="501"/>
      <c r="CRI548" s="501"/>
      <c r="CRJ548" s="501"/>
      <c r="CRK548" s="501"/>
      <c r="CRL548" s="501"/>
      <c r="CRM548" s="501"/>
      <c r="CRN548" s="501"/>
      <c r="CRO548" s="501"/>
      <c r="CRP548" s="501"/>
      <c r="CRQ548" s="501"/>
      <c r="CRR548" s="501"/>
      <c r="CRS548" s="501"/>
      <c r="CRT548" s="501"/>
      <c r="CRU548" s="501"/>
      <c r="CRV548" s="501"/>
      <c r="CRW548" s="501"/>
      <c r="CRX548" s="501"/>
      <c r="CRY548" s="501"/>
      <c r="CRZ548" s="501"/>
      <c r="CSA548" s="501"/>
      <c r="CSB548" s="501"/>
      <c r="CSC548" s="501"/>
      <c r="CSD548" s="501"/>
      <c r="CSE548" s="501"/>
      <c r="CSF548" s="501"/>
      <c r="CSG548" s="501"/>
      <c r="CSH548" s="501"/>
      <c r="CSI548" s="501"/>
      <c r="CSJ548" s="501"/>
      <c r="CSK548" s="501"/>
      <c r="CSL548" s="501"/>
      <c r="CSM548" s="501"/>
      <c r="CSN548" s="501"/>
      <c r="CSO548" s="501"/>
      <c r="CSP548" s="501"/>
      <c r="CSQ548" s="501"/>
      <c r="CSR548" s="501"/>
      <c r="CSS548" s="501"/>
      <c r="CST548" s="501"/>
      <c r="CSU548" s="501"/>
      <c r="CSV548" s="501"/>
      <c r="CSW548" s="501"/>
      <c r="CSX548" s="501"/>
      <c r="CSY548" s="501"/>
      <c r="CSZ548" s="501"/>
      <c r="CTA548" s="501"/>
      <c r="CTB548" s="501"/>
      <c r="CTC548" s="501"/>
      <c r="CTD548" s="501"/>
      <c r="CTE548" s="501"/>
      <c r="CTF548" s="501"/>
      <c r="CTG548" s="501"/>
      <c r="CTH548" s="501"/>
      <c r="CTI548" s="501"/>
      <c r="CTJ548" s="501"/>
      <c r="CTK548" s="501"/>
      <c r="CTL548" s="501"/>
      <c r="CTM548" s="501"/>
      <c r="CTN548" s="501"/>
      <c r="CTO548" s="501"/>
      <c r="CTP548" s="501"/>
      <c r="CTQ548" s="501"/>
      <c r="CTR548" s="501"/>
      <c r="CTS548" s="501"/>
      <c r="CTT548" s="501"/>
      <c r="CTU548" s="501"/>
      <c r="CTV548" s="501"/>
      <c r="CTW548" s="501"/>
      <c r="CTX548" s="501"/>
      <c r="CTY548" s="501"/>
      <c r="CTZ548" s="501"/>
      <c r="CUA548" s="501"/>
      <c r="CUB548" s="501"/>
      <c r="CUC548" s="501"/>
      <c r="CUD548" s="501"/>
      <c r="CUE548" s="501"/>
      <c r="CUF548" s="501"/>
      <c r="CUG548" s="501"/>
      <c r="CUH548" s="501"/>
      <c r="CUI548" s="501"/>
      <c r="CUJ548" s="501"/>
      <c r="CUK548" s="501"/>
      <c r="CUL548" s="501"/>
      <c r="CUM548" s="501"/>
      <c r="CUN548" s="501"/>
      <c r="CUO548" s="501"/>
      <c r="CUP548" s="501"/>
      <c r="CUQ548" s="501"/>
      <c r="CUR548" s="501"/>
      <c r="CUS548" s="501"/>
      <c r="CUT548" s="501"/>
      <c r="CUU548" s="501"/>
      <c r="CUV548" s="501"/>
      <c r="CUW548" s="501"/>
      <c r="CUX548" s="501"/>
      <c r="CUY548" s="501"/>
      <c r="CUZ548" s="501"/>
      <c r="CVA548" s="501"/>
      <c r="CVB548" s="501"/>
      <c r="CVC548" s="501"/>
      <c r="CVD548" s="501"/>
      <c r="CVE548" s="501"/>
      <c r="CVF548" s="501"/>
      <c r="CVG548" s="501"/>
      <c r="CVH548" s="501"/>
      <c r="CVI548" s="501"/>
      <c r="CVJ548" s="501"/>
      <c r="CVK548" s="501"/>
      <c r="CVL548" s="501"/>
      <c r="CVM548" s="501"/>
      <c r="CVN548" s="501"/>
      <c r="CVO548" s="501"/>
      <c r="CVP548" s="501"/>
      <c r="CVQ548" s="501"/>
      <c r="CVR548" s="501"/>
      <c r="CVS548" s="501"/>
      <c r="CVT548" s="501"/>
      <c r="CVU548" s="501"/>
      <c r="CVV548" s="501"/>
      <c r="CVW548" s="501"/>
      <c r="CVX548" s="501"/>
      <c r="CVY548" s="501"/>
      <c r="CVZ548" s="501"/>
      <c r="CWA548" s="501"/>
      <c r="CWB548" s="501"/>
      <c r="CWC548" s="501"/>
      <c r="CWD548" s="501"/>
      <c r="CWE548" s="501"/>
      <c r="CWF548" s="501"/>
      <c r="CWG548" s="501"/>
      <c r="CWH548" s="501"/>
      <c r="CWI548" s="501"/>
      <c r="CWJ548" s="501"/>
      <c r="CWK548" s="501"/>
      <c r="CWL548" s="501"/>
      <c r="CWM548" s="501"/>
      <c r="CWN548" s="501"/>
      <c r="CWO548" s="501"/>
      <c r="CWP548" s="501"/>
      <c r="CWQ548" s="501"/>
      <c r="CWR548" s="501"/>
      <c r="CWS548" s="501"/>
      <c r="CWT548" s="501"/>
      <c r="CWU548" s="501"/>
      <c r="CWV548" s="501"/>
      <c r="CWW548" s="501"/>
      <c r="CWX548" s="501"/>
      <c r="CWY548" s="501"/>
      <c r="CWZ548" s="501"/>
      <c r="CXA548" s="501"/>
      <c r="CXB548" s="501"/>
      <c r="CXC548" s="501"/>
      <c r="CXD548" s="501"/>
      <c r="CXE548" s="501"/>
      <c r="CXF548" s="501"/>
      <c r="CXG548" s="501"/>
      <c r="CXH548" s="501"/>
      <c r="CXI548" s="501"/>
      <c r="CXJ548" s="501"/>
      <c r="CXK548" s="501"/>
      <c r="CXL548" s="501"/>
      <c r="CXM548" s="501"/>
      <c r="CXN548" s="501"/>
      <c r="CXO548" s="501"/>
      <c r="CXP548" s="501"/>
      <c r="CXQ548" s="501"/>
      <c r="CXR548" s="501"/>
      <c r="CXS548" s="501"/>
      <c r="CXT548" s="501"/>
      <c r="CXU548" s="501"/>
      <c r="CXV548" s="501"/>
      <c r="CXW548" s="501"/>
      <c r="CXX548" s="501"/>
      <c r="CXY548" s="501"/>
      <c r="CXZ548" s="501"/>
      <c r="CYA548" s="501"/>
      <c r="CYB548" s="501"/>
      <c r="CYC548" s="501"/>
      <c r="CYD548" s="501"/>
      <c r="CYE548" s="501"/>
      <c r="CYF548" s="501"/>
      <c r="CYG548" s="501"/>
      <c r="CYH548" s="501"/>
      <c r="CYI548" s="501"/>
      <c r="CYJ548" s="501"/>
      <c r="CYK548" s="501"/>
      <c r="CYL548" s="501"/>
      <c r="CYM548" s="501"/>
      <c r="CYN548" s="501"/>
      <c r="CYO548" s="501"/>
      <c r="CYP548" s="501"/>
      <c r="CYQ548" s="501"/>
      <c r="CYR548" s="501"/>
      <c r="CYS548" s="501"/>
      <c r="CYT548" s="501"/>
      <c r="CYU548" s="501"/>
      <c r="CYV548" s="501"/>
      <c r="CYW548" s="501"/>
      <c r="CYX548" s="501"/>
      <c r="CYY548" s="501"/>
      <c r="CYZ548" s="501"/>
      <c r="CZA548" s="501"/>
      <c r="CZB548" s="501"/>
      <c r="CZC548" s="501"/>
      <c r="CZD548" s="501"/>
      <c r="CZE548" s="501"/>
      <c r="CZF548" s="501"/>
      <c r="CZG548" s="501"/>
      <c r="CZH548" s="501"/>
      <c r="CZI548" s="501"/>
      <c r="CZJ548" s="501"/>
      <c r="CZK548" s="501"/>
      <c r="CZL548" s="501"/>
      <c r="CZM548" s="501"/>
      <c r="CZN548" s="501"/>
      <c r="CZO548" s="501"/>
      <c r="CZP548" s="501"/>
      <c r="CZQ548" s="501"/>
      <c r="CZR548" s="501"/>
      <c r="CZS548" s="501"/>
      <c r="CZT548" s="501"/>
      <c r="CZU548" s="501"/>
      <c r="CZV548" s="501"/>
      <c r="CZW548" s="501"/>
      <c r="CZX548" s="501"/>
      <c r="CZY548" s="501"/>
      <c r="CZZ548" s="501"/>
      <c r="DAA548" s="501"/>
      <c r="DAB548" s="501"/>
      <c r="DAC548" s="501"/>
      <c r="DAD548" s="501"/>
      <c r="DAE548" s="501"/>
      <c r="DAF548" s="501"/>
      <c r="DAG548" s="501"/>
      <c r="DAH548" s="501"/>
      <c r="DAI548" s="501"/>
      <c r="DAJ548" s="501"/>
      <c r="DAK548" s="501"/>
      <c r="DAL548" s="501"/>
      <c r="DAM548" s="501"/>
      <c r="DAN548" s="501"/>
      <c r="DAO548" s="501"/>
      <c r="DAP548" s="501"/>
      <c r="DAQ548" s="501"/>
      <c r="DAR548" s="501"/>
      <c r="DAS548" s="501"/>
      <c r="DAT548" s="501"/>
      <c r="DAU548" s="501"/>
      <c r="DAV548" s="501"/>
      <c r="DAW548" s="501"/>
      <c r="DAX548" s="501"/>
      <c r="DAY548" s="501"/>
      <c r="DAZ548" s="501"/>
      <c r="DBA548" s="501"/>
      <c r="DBB548" s="501"/>
      <c r="DBC548" s="501"/>
      <c r="DBD548" s="501"/>
      <c r="DBE548" s="501"/>
      <c r="DBF548" s="501"/>
      <c r="DBG548" s="501"/>
      <c r="DBH548" s="501"/>
      <c r="DBI548" s="501"/>
      <c r="DBJ548" s="501"/>
      <c r="DBK548" s="501"/>
      <c r="DBL548" s="501"/>
      <c r="DBM548" s="501"/>
      <c r="DBN548" s="501"/>
      <c r="DBO548" s="501"/>
      <c r="DBP548" s="501"/>
      <c r="DBQ548" s="501"/>
      <c r="DBR548" s="501"/>
      <c r="DBS548" s="501"/>
      <c r="DBT548" s="501"/>
      <c r="DBU548" s="501"/>
      <c r="DBV548" s="501"/>
      <c r="DBW548" s="501"/>
      <c r="DBX548" s="501"/>
      <c r="DBY548" s="501"/>
      <c r="DBZ548" s="501"/>
      <c r="DCA548" s="501"/>
      <c r="DCB548" s="501"/>
      <c r="DCC548" s="501"/>
      <c r="DCD548" s="501"/>
      <c r="DCE548" s="501"/>
      <c r="DCF548" s="501"/>
      <c r="DCG548" s="501"/>
      <c r="DCH548" s="501"/>
      <c r="DCI548" s="501"/>
      <c r="DCJ548" s="501"/>
      <c r="DCK548" s="501"/>
      <c r="DCL548" s="501"/>
      <c r="DCM548" s="501"/>
      <c r="DCN548" s="501"/>
      <c r="DCO548" s="501"/>
      <c r="DCP548" s="501"/>
      <c r="DCQ548" s="501"/>
      <c r="DCR548" s="501"/>
      <c r="DCS548" s="501"/>
      <c r="DCT548" s="501"/>
      <c r="DCU548" s="501"/>
      <c r="DCV548" s="501"/>
      <c r="DCW548" s="501"/>
      <c r="DCX548" s="501"/>
      <c r="DCY548" s="501"/>
      <c r="DCZ548" s="501"/>
      <c r="DDA548" s="501"/>
      <c r="DDB548" s="501"/>
      <c r="DDC548" s="501"/>
      <c r="DDD548" s="501"/>
      <c r="DDE548" s="501"/>
      <c r="DDF548" s="501"/>
      <c r="DDG548" s="501"/>
      <c r="DDH548" s="501"/>
      <c r="DDI548" s="501"/>
      <c r="DDJ548" s="501"/>
      <c r="DDK548" s="501"/>
      <c r="DDL548" s="501"/>
      <c r="DDM548" s="501"/>
      <c r="DDN548" s="501"/>
      <c r="DDO548" s="501"/>
      <c r="DDP548" s="501"/>
      <c r="DDQ548" s="501"/>
      <c r="DDR548" s="501"/>
      <c r="DDS548" s="501"/>
      <c r="DDT548" s="501"/>
      <c r="DDU548" s="501"/>
      <c r="DDV548" s="501"/>
      <c r="DDW548" s="501"/>
      <c r="DDX548" s="501"/>
      <c r="DDY548" s="501"/>
      <c r="DDZ548" s="501"/>
      <c r="DEA548" s="501"/>
      <c r="DEB548" s="501"/>
      <c r="DEC548" s="501"/>
      <c r="DED548" s="501"/>
      <c r="DEE548" s="501"/>
      <c r="DEF548" s="501"/>
      <c r="DEG548" s="501"/>
      <c r="DEH548" s="501"/>
      <c r="DEI548" s="501"/>
      <c r="DEJ548" s="501"/>
      <c r="DEK548" s="501"/>
      <c r="DEL548" s="501"/>
      <c r="DEM548" s="501"/>
      <c r="DEN548" s="501"/>
      <c r="DEO548" s="501"/>
      <c r="DEP548" s="501"/>
      <c r="DEQ548" s="501"/>
      <c r="DER548" s="501"/>
      <c r="DES548" s="501"/>
      <c r="DET548" s="501"/>
      <c r="DEU548" s="501"/>
      <c r="DEV548" s="501"/>
      <c r="DEW548" s="501"/>
      <c r="DEX548" s="501"/>
      <c r="DEY548" s="501"/>
      <c r="DEZ548" s="501"/>
      <c r="DFA548" s="501"/>
      <c r="DFB548" s="501"/>
      <c r="DFC548" s="501"/>
      <c r="DFD548" s="501"/>
      <c r="DFE548" s="501"/>
      <c r="DFF548" s="501"/>
      <c r="DFG548" s="501"/>
      <c r="DFH548" s="501"/>
      <c r="DFI548" s="501"/>
      <c r="DFJ548" s="501"/>
      <c r="DFK548" s="501"/>
      <c r="DFL548" s="501"/>
      <c r="DFM548" s="501"/>
      <c r="DFN548" s="501"/>
      <c r="DFO548" s="501"/>
      <c r="DFP548" s="501"/>
      <c r="DFQ548" s="501"/>
      <c r="DFR548" s="501"/>
      <c r="DFS548" s="501"/>
      <c r="DFT548" s="501"/>
      <c r="DFU548" s="501"/>
      <c r="DFV548" s="501"/>
      <c r="DFW548" s="501"/>
      <c r="DFX548" s="501"/>
      <c r="DFY548" s="501"/>
      <c r="DFZ548" s="501"/>
      <c r="DGA548" s="501"/>
      <c r="DGB548" s="501"/>
      <c r="DGC548" s="501"/>
      <c r="DGD548" s="501"/>
      <c r="DGE548" s="501"/>
      <c r="DGF548" s="501"/>
      <c r="DGG548" s="501"/>
      <c r="DGH548" s="501"/>
      <c r="DGI548" s="501"/>
      <c r="DGJ548" s="501"/>
      <c r="DGK548" s="501"/>
      <c r="DGL548" s="501"/>
      <c r="DGM548" s="501"/>
      <c r="DGN548" s="501"/>
      <c r="DGO548" s="501"/>
      <c r="DGP548" s="501"/>
      <c r="DGQ548" s="501"/>
      <c r="DGR548" s="501"/>
      <c r="DGS548" s="501"/>
      <c r="DGT548" s="501"/>
      <c r="DGU548" s="501"/>
      <c r="DGV548" s="501"/>
      <c r="DGW548" s="501"/>
      <c r="DGX548" s="501"/>
      <c r="DGY548" s="501"/>
      <c r="DGZ548" s="501"/>
      <c r="DHA548" s="501"/>
      <c r="DHB548" s="501"/>
      <c r="DHC548" s="501"/>
      <c r="DHD548" s="501"/>
      <c r="DHE548" s="501"/>
      <c r="DHF548" s="501"/>
      <c r="DHG548" s="501"/>
      <c r="DHH548" s="501"/>
      <c r="DHI548" s="501"/>
      <c r="DHJ548" s="501"/>
      <c r="DHK548" s="501"/>
      <c r="DHL548" s="501"/>
      <c r="DHM548" s="501"/>
      <c r="DHN548" s="501"/>
      <c r="DHO548" s="501"/>
      <c r="DHP548" s="501"/>
      <c r="DHQ548" s="501"/>
      <c r="DHR548" s="501"/>
      <c r="DHS548" s="501"/>
      <c r="DHT548" s="501"/>
      <c r="DHU548" s="501"/>
      <c r="DHV548" s="501"/>
      <c r="DHW548" s="501"/>
      <c r="DHX548" s="501"/>
      <c r="DHY548" s="501"/>
      <c r="DHZ548" s="501"/>
      <c r="DIA548" s="501"/>
      <c r="DIB548" s="501"/>
      <c r="DIC548" s="501"/>
      <c r="DID548" s="501"/>
      <c r="DIE548" s="501"/>
      <c r="DIF548" s="501"/>
      <c r="DIG548" s="501"/>
      <c r="DIH548" s="501"/>
      <c r="DII548" s="501"/>
      <c r="DIJ548" s="501"/>
      <c r="DIK548" s="501"/>
      <c r="DIL548" s="501"/>
      <c r="DIM548" s="501"/>
      <c r="DIN548" s="501"/>
      <c r="DIO548" s="501"/>
      <c r="DIP548" s="501"/>
      <c r="DIQ548" s="501"/>
      <c r="DIR548" s="501"/>
      <c r="DIS548" s="501"/>
      <c r="DIT548" s="501"/>
      <c r="DIU548" s="501"/>
      <c r="DIV548" s="501"/>
      <c r="DIW548" s="501"/>
      <c r="DIX548" s="501"/>
      <c r="DIY548" s="501"/>
      <c r="DIZ548" s="501"/>
      <c r="DJA548" s="501"/>
      <c r="DJB548" s="501"/>
      <c r="DJC548" s="501"/>
      <c r="DJD548" s="501"/>
      <c r="DJE548" s="501"/>
      <c r="DJF548" s="501"/>
      <c r="DJG548" s="501"/>
      <c r="DJH548" s="501"/>
      <c r="DJI548" s="501"/>
      <c r="DJJ548" s="501"/>
      <c r="DJK548" s="501"/>
      <c r="DJL548" s="501"/>
      <c r="DJM548" s="501"/>
      <c r="DJN548" s="501"/>
      <c r="DJO548" s="501"/>
      <c r="DJP548" s="501"/>
      <c r="DJQ548" s="501"/>
      <c r="DJR548" s="501"/>
      <c r="DJS548" s="501"/>
      <c r="DJT548" s="501"/>
      <c r="DJU548" s="501"/>
      <c r="DJV548" s="501"/>
      <c r="DJW548" s="501"/>
      <c r="DJX548" s="501"/>
      <c r="DJY548" s="501"/>
      <c r="DJZ548" s="501"/>
      <c r="DKA548" s="501"/>
      <c r="DKB548" s="501"/>
      <c r="DKC548" s="501"/>
      <c r="DKD548" s="501"/>
      <c r="DKE548" s="501"/>
      <c r="DKF548" s="501"/>
      <c r="DKG548" s="501"/>
      <c r="DKH548" s="501"/>
      <c r="DKI548" s="501"/>
      <c r="DKJ548" s="501"/>
      <c r="DKK548" s="501"/>
      <c r="DKL548" s="501"/>
      <c r="DKM548" s="501"/>
      <c r="DKN548" s="501"/>
      <c r="DKO548" s="501"/>
      <c r="DKP548" s="501"/>
      <c r="DKQ548" s="501"/>
      <c r="DKR548" s="501"/>
      <c r="DKS548" s="501"/>
      <c r="DKT548" s="501"/>
      <c r="DKU548" s="501"/>
      <c r="DKV548" s="501"/>
      <c r="DKW548" s="501"/>
      <c r="DKX548" s="501"/>
      <c r="DKY548" s="501"/>
      <c r="DKZ548" s="501"/>
      <c r="DLA548" s="501"/>
      <c r="DLB548" s="501"/>
      <c r="DLC548" s="501"/>
      <c r="DLD548" s="501"/>
      <c r="DLE548" s="501"/>
      <c r="DLF548" s="501"/>
      <c r="DLG548" s="501"/>
      <c r="DLH548" s="501"/>
      <c r="DLI548" s="501"/>
      <c r="DLJ548" s="501"/>
      <c r="DLK548" s="501"/>
      <c r="DLL548" s="501"/>
      <c r="DLM548" s="501"/>
      <c r="DLN548" s="501"/>
      <c r="DLO548" s="501"/>
      <c r="DLP548" s="501"/>
      <c r="DLQ548" s="501"/>
      <c r="DLR548" s="501"/>
      <c r="DLS548" s="501"/>
      <c r="DLT548" s="501"/>
      <c r="DLU548" s="501"/>
      <c r="DLV548" s="501"/>
      <c r="DLW548" s="501"/>
      <c r="DLX548" s="501"/>
      <c r="DLY548" s="501"/>
      <c r="DLZ548" s="501"/>
      <c r="DMA548" s="501"/>
      <c r="DMB548" s="501"/>
      <c r="DMC548" s="501"/>
      <c r="DMD548" s="501"/>
      <c r="DME548" s="501"/>
      <c r="DMF548" s="501"/>
      <c r="DMG548" s="501"/>
      <c r="DMH548" s="501"/>
      <c r="DMI548" s="501"/>
      <c r="DMJ548" s="501"/>
      <c r="DMK548" s="501"/>
      <c r="DML548" s="501"/>
      <c r="DMM548" s="501"/>
      <c r="DMN548" s="501"/>
      <c r="DMO548" s="501"/>
      <c r="DMP548" s="501"/>
      <c r="DMQ548" s="501"/>
      <c r="DMR548" s="501"/>
      <c r="DMS548" s="501"/>
      <c r="DMT548" s="501"/>
      <c r="DMU548" s="501"/>
      <c r="DMV548" s="501"/>
      <c r="DMW548" s="501"/>
      <c r="DMX548" s="501"/>
      <c r="DMY548" s="501"/>
      <c r="DMZ548" s="501"/>
      <c r="DNA548" s="501"/>
      <c r="DNB548" s="501"/>
      <c r="DNC548" s="501"/>
      <c r="DND548" s="501"/>
      <c r="DNE548" s="501"/>
      <c r="DNF548" s="501"/>
      <c r="DNG548" s="501"/>
      <c r="DNH548" s="501"/>
      <c r="DNI548" s="501"/>
      <c r="DNJ548" s="501"/>
      <c r="DNK548" s="501"/>
      <c r="DNL548" s="501"/>
      <c r="DNM548" s="501"/>
      <c r="DNN548" s="501"/>
      <c r="DNO548" s="501"/>
      <c r="DNP548" s="501"/>
      <c r="DNQ548" s="501"/>
      <c r="DNR548" s="501"/>
      <c r="DNS548" s="501"/>
      <c r="DNT548" s="501"/>
      <c r="DNU548" s="501"/>
      <c r="DNV548" s="501"/>
      <c r="DNW548" s="501"/>
      <c r="DNX548" s="501"/>
      <c r="DNY548" s="501"/>
      <c r="DNZ548" s="501"/>
      <c r="DOA548" s="501"/>
      <c r="DOB548" s="501"/>
      <c r="DOC548" s="501"/>
      <c r="DOD548" s="501"/>
      <c r="DOE548" s="501"/>
      <c r="DOF548" s="501"/>
      <c r="DOG548" s="501"/>
      <c r="DOH548" s="501"/>
      <c r="DOI548" s="501"/>
      <c r="DOJ548" s="501"/>
      <c r="DOK548" s="501"/>
      <c r="DOL548" s="501"/>
      <c r="DOM548" s="501"/>
      <c r="DON548" s="501"/>
      <c r="DOO548" s="501"/>
      <c r="DOP548" s="501"/>
      <c r="DOQ548" s="501"/>
      <c r="DOR548" s="501"/>
      <c r="DOS548" s="501"/>
      <c r="DOT548" s="501"/>
      <c r="DOU548" s="501"/>
      <c r="DOV548" s="501"/>
      <c r="DOW548" s="501"/>
      <c r="DOX548" s="501"/>
      <c r="DOY548" s="501"/>
      <c r="DOZ548" s="501"/>
      <c r="DPA548" s="501"/>
      <c r="DPB548" s="501"/>
      <c r="DPC548" s="501"/>
      <c r="DPD548" s="501"/>
      <c r="DPE548" s="501"/>
      <c r="DPF548" s="501"/>
      <c r="DPG548" s="501"/>
      <c r="DPH548" s="501"/>
      <c r="DPI548" s="501"/>
      <c r="DPJ548" s="501"/>
      <c r="DPK548" s="501"/>
      <c r="DPL548" s="501"/>
      <c r="DPM548" s="501"/>
      <c r="DPN548" s="501"/>
      <c r="DPO548" s="501"/>
      <c r="DPP548" s="501"/>
      <c r="DPQ548" s="501"/>
      <c r="DPR548" s="501"/>
      <c r="DPS548" s="501"/>
      <c r="DPT548" s="501"/>
      <c r="DPU548" s="501"/>
      <c r="DPV548" s="501"/>
      <c r="DPW548" s="501"/>
      <c r="DPX548" s="501"/>
      <c r="DPY548" s="501"/>
      <c r="DPZ548" s="501"/>
      <c r="DQA548" s="501"/>
      <c r="DQB548" s="501"/>
      <c r="DQC548" s="501"/>
      <c r="DQD548" s="501"/>
      <c r="DQE548" s="501"/>
      <c r="DQF548" s="501"/>
      <c r="DQG548" s="501"/>
      <c r="DQH548" s="501"/>
      <c r="DQI548" s="501"/>
      <c r="DQJ548" s="501"/>
      <c r="DQK548" s="501"/>
      <c r="DQL548" s="501"/>
      <c r="DQM548" s="501"/>
      <c r="DQN548" s="501"/>
      <c r="DQO548" s="501"/>
      <c r="DQP548" s="501"/>
      <c r="DQQ548" s="501"/>
      <c r="DQR548" s="501"/>
      <c r="DQS548" s="501"/>
      <c r="DQT548" s="501"/>
      <c r="DQU548" s="501"/>
      <c r="DQV548" s="501"/>
      <c r="DQW548" s="501"/>
      <c r="DQX548" s="501"/>
      <c r="DQY548" s="501"/>
      <c r="DQZ548" s="501"/>
      <c r="DRA548" s="501"/>
      <c r="DRB548" s="501"/>
      <c r="DRC548" s="501"/>
      <c r="DRD548" s="501"/>
      <c r="DRE548" s="501"/>
      <c r="DRF548" s="501"/>
      <c r="DRG548" s="501"/>
      <c r="DRH548" s="501"/>
      <c r="DRI548" s="501"/>
      <c r="DRJ548" s="501"/>
      <c r="DRK548" s="501"/>
      <c r="DRL548" s="501"/>
      <c r="DRM548" s="501"/>
      <c r="DRN548" s="501"/>
      <c r="DRO548" s="501"/>
      <c r="DRP548" s="501"/>
      <c r="DRQ548" s="501"/>
      <c r="DRR548" s="501"/>
      <c r="DRS548" s="501"/>
      <c r="DRT548" s="501"/>
      <c r="DRU548" s="501"/>
      <c r="DRV548" s="501"/>
      <c r="DRW548" s="501"/>
      <c r="DRX548" s="501"/>
      <c r="DRY548" s="501"/>
      <c r="DRZ548" s="501"/>
      <c r="DSA548" s="501"/>
      <c r="DSB548" s="501"/>
      <c r="DSC548" s="501"/>
      <c r="DSD548" s="501"/>
      <c r="DSE548" s="501"/>
      <c r="DSF548" s="501"/>
      <c r="DSG548" s="501"/>
      <c r="DSH548" s="501"/>
      <c r="DSI548" s="501"/>
      <c r="DSJ548" s="501"/>
      <c r="DSK548" s="501"/>
      <c r="DSL548" s="501"/>
      <c r="DSM548" s="501"/>
      <c r="DSN548" s="501"/>
      <c r="DSO548" s="501"/>
      <c r="DSP548" s="501"/>
      <c r="DSQ548" s="501"/>
      <c r="DSR548" s="501"/>
      <c r="DSS548" s="501"/>
      <c r="DST548" s="501"/>
      <c r="DSU548" s="501"/>
      <c r="DSV548" s="501"/>
      <c r="DSW548" s="501"/>
      <c r="DSX548" s="501"/>
      <c r="DSY548" s="501"/>
      <c r="DSZ548" s="501"/>
      <c r="DTA548" s="501"/>
      <c r="DTB548" s="501"/>
      <c r="DTC548" s="501"/>
      <c r="DTD548" s="501"/>
      <c r="DTE548" s="501"/>
      <c r="DTF548" s="501"/>
      <c r="DTG548" s="501"/>
      <c r="DTH548" s="501"/>
      <c r="DTI548" s="501"/>
      <c r="DTJ548" s="501"/>
      <c r="DTK548" s="501"/>
      <c r="DTL548" s="501"/>
      <c r="DTM548" s="501"/>
      <c r="DTN548" s="501"/>
      <c r="DTO548" s="501"/>
      <c r="DTP548" s="501"/>
      <c r="DTQ548" s="501"/>
      <c r="DTR548" s="501"/>
      <c r="DTS548" s="501"/>
      <c r="DTT548" s="501"/>
      <c r="DTU548" s="501"/>
      <c r="DTV548" s="501"/>
      <c r="DTW548" s="501"/>
      <c r="DTX548" s="501"/>
      <c r="DTY548" s="501"/>
      <c r="DTZ548" s="501"/>
      <c r="DUA548" s="501"/>
      <c r="DUB548" s="501"/>
      <c r="DUC548" s="501"/>
      <c r="DUD548" s="501"/>
      <c r="DUE548" s="501"/>
      <c r="DUF548" s="501"/>
      <c r="DUG548" s="501"/>
      <c r="DUH548" s="501"/>
      <c r="DUI548" s="501"/>
      <c r="DUJ548" s="501"/>
      <c r="DUK548" s="501"/>
      <c r="DUL548" s="501"/>
      <c r="DUM548" s="501"/>
      <c r="DUN548" s="501"/>
      <c r="DUO548" s="501"/>
      <c r="DUP548" s="501"/>
      <c r="DUQ548" s="501"/>
      <c r="DUR548" s="501"/>
      <c r="DUS548" s="501"/>
      <c r="DUT548" s="501"/>
      <c r="DUU548" s="501"/>
      <c r="DUV548" s="501"/>
      <c r="DUW548" s="501"/>
      <c r="DUX548" s="501"/>
      <c r="DUY548" s="501"/>
      <c r="DUZ548" s="501"/>
      <c r="DVA548" s="501"/>
      <c r="DVB548" s="501"/>
      <c r="DVC548" s="501"/>
      <c r="DVD548" s="501"/>
      <c r="DVE548" s="501"/>
      <c r="DVF548" s="501"/>
      <c r="DVG548" s="501"/>
      <c r="DVH548" s="501"/>
      <c r="DVI548" s="501"/>
      <c r="DVJ548" s="501"/>
      <c r="DVK548" s="501"/>
      <c r="DVL548" s="501"/>
      <c r="DVM548" s="501"/>
      <c r="DVN548" s="501"/>
      <c r="DVO548" s="501"/>
      <c r="DVP548" s="501"/>
      <c r="DVQ548" s="501"/>
      <c r="DVR548" s="501"/>
      <c r="DVS548" s="501"/>
      <c r="DVT548" s="501"/>
      <c r="DVU548" s="501"/>
      <c r="DVV548" s="501"/>
      <c r="DVW548" s="501"/>
      <c r="DVX548" s="501"/>
      <c r="DVY548" s="501"/>
      <c r="DVZ548" s="501"/>
      <c r="DWA548" s="501"/>
      <c r="DWB548" s="501"/>
      <c r="DWC548" s="501"/>
      <c r="DWD548" s="501"/>
      <c r="DWE548" s="501"/>
      <c r="DWF548" s="501"/>
      <c r="DWG548" s="501"/>
      <c r="DWH548" s="501"/>
      <c r="DWI548" s="501"/>
      <c r="DWJ548" s="501"/>
      <c r="DWK548" s="501"/>
      <c r="DWL548" s="501"/>
      <c r="DWM548" s="501"/>
      <c r="DWN548" s="501"/>
      <c r="DWO548" s="501"/>
      <c r="DWP548" s="501"/>
      <c r="DWQ548" s="501"/>
      <c r="DWR548" s="501"/>
      <c r="DWS548" s="501"/>
      <c r="DWT548" s="501"/>
      <c r="DWU548" s="501"/>
      <c r="DWV548" s="501"/>
      <c r="DWW548" s="501"/>
      <c r="DWX548" s="501"/>
      <c r="DWY548" s="501"/>
      <c r="DWZ548" s="501"/>
      <c r="DXA548" s="501"/>
      <c r="DXB548" s="501"/>
      <c r="DXC548" s="501"/>
      <c r="DXD548" s="501"/>
      <c r="DXE548" s="501"/>
      <c r="DXF548" s="501"/>
      <c r="DXG548" s="501"/>
      <c r="DXH548" s="501"/>
      <c r="DXI548" s="501"/>
      <c r="DXJ548" s="501"/>
      <c r="DXK548" s="501"/>
      <c r="DXL548" s="501"/>
      <c r="DXM548" s="501"/>
      <c r="DXN548" s="501"/>
      <c r="DXO548" s="501"/>
      <c r="DXP548" s="501"/>
      <c r="DXQ548" s="501"/>
      <c r="DXR548" s="501"/>
      <c r="DXS548" s="501"/>
      <c r="DXT548" s="501"/>
      <c r="DXU548" s="501"/>
      <c r="DXV548" s="501"/>
      <c r="DXW548" s="501"/>
      <c r="DXX548" s="501"/>
      <c r="DXY548" s="501"/>
      <c r="DXZ548" s="501"/>
      <c r="DYA548" s="501"/>
      <c r="DYB548" s="501"/>
      <c r="DYC548" s="501"/>
      <c r="DYD548" s="501"/>
      <c r="DYE548" s="501"/>
      <c r="DYF548" s="501"/>
      <c r="DYG548" s="501"/>
      <c r="DYH548" s="501"/>
      <c r="DYI548" s="501"/>
      <c r="DYJ548" s="501"/>
      <c r="DYK548" s="501"/>
      <c r="DYL548" s="501"/>
      <c r="DYM548" s="501"/>
      <c r="DYN548" s="501"/>
      <c r="DYO548" s="501"/>
      <c r="DYP548" s="501"/>
      <c r="DYQ548" s="501"/>
      <c r="DYR548" s="501"/>
      <c r="DYS548" s="501"/>
      <c r="DYT548" s="501"/>
      <c r="DYU548" s="501"/>
      <c r="DYV548" s="501"/>
      <c r="DYW548" s="501"/>
      <c r="DYX548" s="501"/>
      <c r="DYY548" s="501"/>
      <c r="DYZ548" s="501"/>
      <c r="DZA548" s="501"/>
      <c r="DZB548" s="501"/>
      <c r="DZC548" s="501"/>
      <c r="DZD548" s="501"/>
      <c r="DZE548" s="501"/>
      <c r="DZF548" s="501"/>
      <c r="DZG548" s="501"/>
      <c r="DZH548" s="501"/>
      <c r="DZI548" s="501"/>
      <c r="DZJ548" s="501"/>
      <c r="DZK548" s="501"/>
      <c r="DZL548" s="501"/>
      <c r="DZM548" s="501"/>
      <c r="DZN548" s="501"/>
      <c r="DZO548" s="501"/>
      <c r="DZP548" s="501"/>
      <c r="DZQ548" s="501"/>
      <c r="DZR548" s="501"/>
      <c r="DZS548" s="501"/>
      <c r="DZT548" s="501"/>
      <c r="DZU548" s="501"/>
      <c r="DZV548" s="501"/>
      <c r="DZW548" s="501"/>
      <c r="DZX548" s="501"/>
      <c r="DZY548" s="501"/>
      <c r="DZZ548" s="501"/>
      <c r="EAA548" s="501"/>
      <c r="EAB548" s="501"/>
      <c r="EAC548" s="501"/>
      <c r="EAD548" s="501"/>
      <c r="EAE548" s="501"/>
      <c r="EAF548" s="501"/>
      <c r="EAG548" s="501"/>
      <c r="EAH548" s="501"/>
      <c r="EAI548" s="501"/>
      <c r="EAJ548" s="501"/>
      <c r="EAK548" s="501"/>
      <c r="EAL548" s="501"/>
      <c r="EAM548" s="501"/>
      <c r="EAN548" s="501"/>
      <c r="EAO548" s="501"/>
      <c r="EAP548" s="501"/>
      <c r="EAQ548" s="501"/>
      <c r="EAR548" s="501"/>
      <c r="EAS548" s="501"/>
      <c r="EAT548" s="501"/>
      <c r="EAU548" s="501"/>
      <c r="EAV548" s="501"/>
      <c r="EAW548" s="501"/>
      <c r="EAX548" s="501"/>
      <c r="EAY548" s="501"/>
      <c r="EAZ548" s="501"/>
      <c r="EBA548" s="501"/>
      <c r="EBB548" s="501"/>
      <c r="EBC548" s="501"/>
      <c r="EBD548" s="501"/>
      <c r="EBE548" s="501"/>
      <c r="EBF548" s="501"/>
      <c r="EBG548" s="501"/>
      <c r="EBH548" s="501"/>
      <c r="EBI548" s="501"/>
      <c r="EBJ548" s="501"/>
      <c r="EBK548" s="501"/>
      <c r="EBL548" s="501"/>
      <c r="EBM548" s="501"/>
      <c r="EBN548" s="501"/>
      <c r="EBO548" s="501"/>
      <c r="EBP548" s="501"/>
      <c r="EBQ548" s="501"/>
      <c r="EBR548" s="501"/>
      <c r="EBS548" s="501"/>
      <c r="EBT548" s="501"/>
      <c r="EBU548" s="501"/>
      <c r="EBV548" s="501"/>
      <c r="EBW548" s="501"/>
      <c r="EBX548" s="501"/>
      <c r="EBY548" s="501"/>
      <c r="EBZ548" s="501"/>
      <c r="ECA548" s="501"/>
      <c r="ECB548" s="501"/>
      <c r="ECC548" s="501"/>
      <c r="ECD548" s="501"/>
      <c r="ECE548" s="501"/>
      <c r="ECF548" s="501"/>
      <c r="ECG548" s="501"/>
      <c r="ECH548" s="501"/>
      <c r="ECI548" s="501"/>
      <c r="ECJ548" s="501"/>
      <c r="ECK548" s="501"/>
      <c r="ECL548" s="501"/>
      <c r="ECM548" s="501"/>
      <c r="ECN548" s="501"/>
      <c r="ECO548" s="501"/>
      <c r="ECP548" s="501"/>
      <c r="ECQ548" s="501"/>
      <c r="ECR548" s="501"/>
      <c r="ECS548" s="501"/>
      <c r="ECT548" s="501"/>
      <c r="ECU548" s="501"/>
      <c r="ECV548" s="501"/>
      <c r="ECW548" s="501"/>
      <c r="ECX548" s="501"/>
      <c r="ECY548" s="501"/>
      <c r="ECZ548" s="501"/>
      <c r="EDA548" s="501"/>
      <c r="EDB548" s="501"/>
      <c r="EDC548" s="501"/>
      <c r="EDD548" s="501"/>
      <c r="EDE548" s="501"/>
      <c r="EDF548" s="501"/>
      <c r="EDG548" s="501"/>
      <c r="EDH548" s="501"/>
      <c r="EDI548" s="501"/>
      <c r="EDJ548" s="501"/>
      <c r="EDK548" s="501"/>
      <c r="EDL548" s="501"/>
      <c r="EDM548" s="501"/>
      <c r="EDN548" s="501"/>
      <c r="EDO548" s="501"/>
      <c r="EDP548" s="501"/>
      <c r="EDQ548" s="501"/>
      <c r="EDR548" s="501"/>
      <c r="EDS548" s="501"/>
      <c r="EDT548" s="501"/>
      <c r="EDU548" s="501"/>
      <c r="EDV548" s="501"/>
      <c r="EDW548" s="501"/>
      <c r="EDX548" s="501"/>
      <c r="EDY548" s="501"/>
      <c r="EDZ548" s="501"/>
      <c r="EEA548" s="501"/>
      <c r="EEB548" s="501"/>
      <c r="EEC548" s="501"/>
      <c r="EED548" s="501"/>
      <c r="EEE548" s="501"/>
      <c r="EEF548" s="501"/>
      <c r="EEG548" s="501"/>
      <c r="EEH548" s="501"/>
      <c r="EEI548" s="501"/>
      <c r="EEJ548" s="501"/>
      <c r="EEK548" s="501"/>
      <c r="EEL548" s="501"/>
      <c r="EEM548" s="501"/>
      <c r="EEN548" s="501"/>
      <c r="EEO548" s="501"/>
      <c r="EEP548" s="501"/>
      <c r="EEQ548" s="501"/>
      <c r="EER548" s="501"/>
      <c r="EES548" s="501"/>
      <c r="EET548" s="501"/>
      <c r="EEU548" s="501"/>
      <c r="EEV548" s="501"/>
      <c r="EEW548" s="501"/>
      <c r="EEX548" s="501"/>
      <c r="EEY548" s="501"/>
      <c r="EEZ548" s="501"/>
      <c r="EFA548" s="501"/>
      <c r="EFB548" s="501"/>
      <c r="EFC548" s="501"/>
      <c r="EFD548" s="501"/>
      <c r="EFE548" s="501"/>
      <c r="EFF548" s="501"/>
      <c r="EFG548" s="501"/>
      <c r="EFH548" s="501"/>
      <c r="EFI548" s="501"/>
      <c r="EFJ548" s="501"/>
      <c r="EFK548" s="501"/>
      <c r="EFL548" s="501"/>
      <c r="EFM548" s="501"/>
      <c r="EFN548" s="501"/>
      <c r="EFO548" s="501"/>
      <c r="EFP548" s="501"/>
      <c r="EFQ548" s="501"/>
      <c r="EFR548" s="501"/>
      <c r="EFS548" s="501"/>
      <c r="EFT548" s="501"/>
      <c r="EFU548" s="501"/>
      <c r="EFV548" s="501"/>
      <c r="EFW548" s="501"/>
      <c r="EFX548" s="501"/>
      <c r="EFY548" s="501"/>
      <c r="EFZ548" s="501"/>
      <c r="EGA548" s="501"/>
      <c r="EGB548" s="501"/>
      <c r="EGC548" s="501"/>
      <c r="EGD548" s="501"/>
      <c r="EGE548" s="501"/>
      <c r="EGF548" s="501"/>
      <c r="EGG548" s="501"/>
      <c r="EGH548" s="501"/>
      <c r="EGI548" s="501"/>
      <c r="EGJ548" s="501"/>
      <c r="EGK548" s="501"/>
      <c r="EGL548" s="501"/>
      <c r="EGM548" s="501"/>
      <c r="EGN548" s="501"/>
      <c r="EGO548" s="501"/>
      <c r="EGP548" s="501"/>
      <c r="EGQ548" s="501"/>
      <c r="EGR548" s="501"/>
      <c r="EGS548" s="501"/>
      <c r="EGT548" s="501"/>
      <c r="EGU548" s="501"/>
      <c r="EGV548" s="501"/>
      <c r="EGW548" s="501"/>
      <c r="EGX548" s="501"/>
      <c r="EGY548" s="501"/>
      <c r="EGZ548" s="501"/>
      <c r="EHA548" s="501"/>
      <c r="EHB548" s="501"/>
      <c r="EHC548" s="501"/>
      <c r="EHD548" s="501"/>
      <c r="EHE548" s="501"/>
      <c r="EHF548" s="501"/>
      <c r="EHG548" s="501"/>
      <c r="EHH548" s="501"/>
      <c r="EHI548" s="501"/>
      <c r="EHJ548" s="501"/>
      <c r="EHK548" s="501"/>
      <c r="EHL548" s="501"/>
      <c r="EHM548" s="501"/>
      <c r="EHN548" s="501"/>
      <c r="EHO548" s="501"/>
      <c r="EHP548" s="501"/>
      <c r="EHQ548" s="501"/>
      <c r="EHR548" s="501"/>
      <c r="EHS548" s="501"/>
      <c r="EHT548" s="501"/>
      <c r="EHU548" s="501"/>
      <c r="EHV548" s="501"/>
      <c r="EHW548" s="501"/>
      <c r="EHX548" s="501"/>
      <c r="EHY548" s="501"/>
      <c r="EHZ548" s="501"/>
      <c r="EIA548" s="501"/>
      <c r="EIB548" s="501"/>
      <c r="EIC548" s="501"/>
      <c r="EID548" s="501"/>
      <c r="EIE548" s="501"/>
      <c r="EIF548" s="501"/>
      <c r="EIG548" s="501"/>
      <c r="EIH548" s="501"/>
      <c r="EII548" s="501"/>
      <c r="EIJ548" s="501"/>
      <c r="EIK548" s="501"/>
      <c r="EIL548" s="501"/>
      <c r="EIM548" s="501"/>
      <c r="EIN548" s="501"/>
      <c r="EIO548" s="501"/>
      <c r="EIP548" s="501"/>
      <c r="EIQ548" s="501"/>
      <c r="EIR548" s="501"/>
      <c r="EIS548" s="501"/>
      <c r="EIT548" s="501"/>
      <c r="EIU548" s="501"/>
      <c r="EIV548" s="501"/>
      <c r="EIW548" s="501"/>
      <c r="EIX548" s="501"/>
      <c r="EIY548" s="501"/>
      <c r="EIZ548" s="501"/>
      <c r="EJA548" s="501"/>
      <c r="EJB548" s="501"/>
      <c r="EJC548" s="501"/>
      <c r="EJD548" s="501"/>
      <c r="EJE548" s="501"/>
      <c r="EJF548" s="501"/>
      <c r="EJG548" s="501"/>
      <c r="EJH548" s="501"/>
      <c r="EJI548" s="501"/>
      <c r="EJJ548" s="501"/>
      <c r="EJK548" s="501"/>
      <c r="EJL548" s="501"/>
      <c r="EJM548" s="501"/>
      <c r="EJN548" s="501"/>
      <c r="EJO548" s="501"/>
      <c r="EJP548" s="501"/>
      <c r="EJQ548" s="501"/>
      <c r="EJR548" s="501"/>
      <c r="EJS548" s="501"/>
      <c r="EJT548" s="501"/>
      <c r="EJU548" s="501"/>
      <c r="EJV548" s="501"/>
      <c r="EJW548" s="501"/>
      <c r="EJX548" s="501"/>
      <c r="EJY548" s="501"/>
      <c r="EJZ548" s="501"/>
      <c r="EKA548" s="501"/>
      <c r="EKB548" s="501"/>
      <c r="EKC548" s="501"/>
      <c r="EKD548" s="501"/>
      <c r="EKE548" s="501"/>
      <c r="EKF548" s="501"/>
      <c r="EKG548" s="501"/>
      <c r="EKH548" s="501"/>
      <c r="EKI548" s="501"/>
      <c r="EKJ548" s="501"/>
      <c r="EKK548" s="501"/>
      <c r="EKL548" s="501"/>
      <c r="EKM548" s="501"/>
      <c r="EKN548" s="501"/>
      <c r="EKO548" s="501"/>
      <c r="EKP548" s="501"/>
      <c r="EKQ548" s="501"/>
      <c r="EKR548" s="501"/>
      <c r="EKS548" s="501"/>
      <c r="EKT548" s="501"/>
      <c r="EKU548" s="501"/>
      <c r="EKV548" s="501"/>
      <c r="EKW548" s="501"/>
      <c r="EKX548" s="501"/>
      <c r="EKY548" s="501"/>
      <c r="EKZ548" s="501"/>
      <c r="ELA548" s="501"/>
      <c r="ELB548" s="501"/>
      <c r="ELC548" s="501"/>
      <c r="ELD548" s="501"/>
      <c r="ELE548" s="501"/>
      <c r="ELF548" s="501"/>
      <c r="ELG548" s="501"/>
      <c r="ELH548" s="501"/>
      <c r="ELI548" s="501"/>
      <c r="ELJ548" s="501"/>
      <c r="ELK548" s="501"/>
      <c r="ELL548" s="501"/>
      <c r="ELM548" s="501"/>
      <c r="ELN548" s="501"/>
      <c r="ELO548" s="501"/>
      <c r="ELP548" s="501"/>
      <c r="ELQ548" s="501"/>
      <c r="ELR548" s="501"/>
      <c r="ELS548" s="501"/>
      <c r="ELT548" s="501"/>
      <c r="ELU548" s="501"/>
      <c r="ELV548" s="501"/>
      <c r="ELW548" s="501"/>
      <c r="ELX548" s="501"/>
      <c r="ELY548" s="501"/>
      <c r="ELZ548" s="501"/>
      <c r="EMA548" s="501"/>
      <c r="EMB548" s="501"/>
      <c r="EMC548" s="501"/>
      <c r="EMD548" s="501"/>
      <c r="EME548" s="501"/>
      <c r="EMF548" s="501"/>
      <c r="EMG548" s="501"/>
      <c r="EMH548" s="501"/>
      <c r="EMI548" s="501"/>
      <c r="EMJ548" s="501"/>
      <c r="EMK548" s="501"/>
      <c r="EML548" s="501"/>
      <c r="EMM548" s="501"/>
      <c r="EMN548" s="501"/>
      <c r="EMO548" s="501"/>
      <c r="EMP548" s="501"/>
      <c r="EMQ548" s="501"/>
      <c r="EMR548" s="501"/>
      <c r="EMS548" s="501"/>
      <c r="EMT548" s="501"/>
      <c r="EMU548" s="501"/>
      <c r="EMV548" s="501"/>
      <c r="EMW548" s="501"/>
      <c r="EMX548" s="501"/>
      <c r="EMY548" s="501"/>
      <c r="EMZ548" s="501"/>
      <c r="ENA548" s="501"/>
      <c r="ENB548" s="501"/>
      <c r="ENC548" s="501"/>
      <c r="END548" s="501"/>
      <c r="ENE548" s="501"/>
      <c r="ENF548" s="501"/>
      <c r="ENG548" s="501"/>
      <c r="ENH548" s="501"/>
      <c r="ENI548" s="501"/>
      <c r="ENJ548" s="501"/>
      <c r="ENK548" s="501"/>
      <c r="ENL548" s="501"/>
      <c r="ENM548" s="501"/>
      <c r="ENN548" s="501"/>
      <c r="ENO548" s="501"/>
      <c r="ENP548" s="501"/>
      <c r="ENQ548" s="501"/>
      <c r="ENR548" s="501"/>
      <c r="ENS548" s="501"/>
      <c r="ENT548" s="501"/>
      <c r="ENU548" s="501"/>
      <c r="ENV548" s="501"/>
      <c r="ENW548" s="501"/>
      <c r="ENX548" s="501"/>
      <c r="ENY548" s="501"/>
      <c r="ENZ548" s="501"/>
      <c r="EOA548" s="501"/>
      <c r="EOB548" s="501"/>
      <c r="EOC548" s="501"/>
      <c r="EOD548" s="501"/>
      <c r="EOE548" s="501"/>
      <c r="EOF548" s="501"/>
      <c r="EOG548" s="501"/>
      <c r="EOH548" s="501"/>
      <c r="EOI548" s="501"/>
      <c r="EOJ548" s="501"/>
      <c r="EOK548" s="501"/>
      <c r="EOL548" s="501"/>
      <c r="EOM548" s="501"/>
      <c r="EON548" s="501"/>
      <c r="EOO548" s="501"/>
      <c r="EOP548" s="501"/>
      <c r="EOQ548" s="501"/>
      <c r="EOR548" s="501"/>
      <c r="EOS548" s="501"/>
      <c r="EOT548" s="501"/>
      <c r="EOU548" s="501"/>
      <c r="EOV548" s="501"/>
      <c r="EOW548" s="501"/>
      <c r="EOX548" s="501"/>
      <c r="EOY548" s="501"/>
      <c r="EOZ548" s="501"/>
      <c r="EPA548" s="501"/>
      <c r="EPB548" s="501"/>
      <c r="EPC548" s="501"/>
      <c r="EPD548" s="501"/>
      <c r="EPE548" s="501"/>
      <c r="EPF548" s="501"/>
      <c r="EPG548" s="501"/>
      <c r="EPH548" s="501"/>
      <c r="EPI548" s="501"/>
      <c r="EPJ548" s="501"/>
      <c r="EPK548" s="501"/>
      <c r="EPL548" s="501"/>
      <c r="EPM548" s="501"/>
      <c r="EPN548" s="501"/>
      <c r="EPO548" s="501"/>
      <c r="EPP548" s="501"/>
      <c r="EPQ548" s="501"/>
      <c r="EPR548" s="501"/>
      <c r="EPS548" s="501"/>
      <c r="EPT548" s="501"/>
      <c r="EPU548" s="501"/>
      <c r="EPV548" s="501"/>
      <c r="EPW548" s="501"/>
      <c r="EPX548" s="501"/>
      <c r="EPY548" s="501"/>
      <c r="EPZ548" s="501"/>
      <c r="EQA548" s="501"/>
      <c r="EQB548" s="501"/>
      <c r="EQC548" s="501"/>
      <c r="EQD548" s="501"/>
      <c r="EQE548" s="501"/>
      <c r="EQF548" s="501"/>
      <c r="EQG548" s="501"/>
      <c r="EQH548" s="501"/>
      <c r="EQI548" s="501"/>
      <c r="EQJ548" s="501"/>
      <c r="EQK548" s="501"/>
      <c r="EQL548" s="501"/>
      <c r="EQM548" s="501"/>
      <c r="EQN548" s="501"/>
      <c r="EQO548" s="501"/>
      <c r="EQP548" s="501"/>
      <c r="EQQ548" s="501"/>
      <c r="EQR548" s="501"/>
      <c r="EQS548" s="501"/>
      <c r="EQT548" s="501"/>
      <c r="EQU548" s="501"/>
      <c r="EQV548" s="501"/>
      <c r="EQW548" s="501"/>
      <c r="EQX548" s="501"/>
      <c r="EQY548" s="501"/>
      <c r="EQZ548" s="501"/>
      <c r="ERA548" s="501"/>
      <c r="ERB548" s="501"/>
      <c r="ERC548" s="501"/>
      <c r="ERD548" s="501"/>
      <c r="ERE548" s="501"/>
      <c r="ERF548" s="501"/>
      <c r="ERG548" s="501"/>
      <c r="ERH548" s="501"/>
      <c r="ERI548" s="501"/>
      <c r="ERJ548" s="501"/>
      <c r="ERK548" s="501"/>
      <c r="ERL548" s="501"/>
      <c r="ERM548" s="501"/>
      <c r="ERN548" s="501"/>
      <c r="ERO548" s="501"/>
      <c r="ERP548" s="501"/>
      <c r="ERQ548" s="501"/>
      <c r="ERR548" s="501"/>
      <c r="ERS548" s="501"/>
      <c r="ERT548" s="501"/>
      <c r="ERU548" s="501"/>
      <c r="ERV548" s="501"/>
      <c r="ERW548" s="501"/>
      <c r="ERX548" s="501"/>
      <c r="ERY548" s="501"/>
      <c r="ERZ548" s="501"/>
      <c r="ESA548" s="501"/>
      <c r="ESB548" s="501"/>
      <c r="ESC548" s="501"/>
      <c r="ESD548" s="501"/>
      <c r="ESE548" s="501"/>
      <c r="ESF548" s="501"/>
      <c r="ESG548" s="501"/>
      <c r="ESH548" s="501"/>
      <c r="ESI548" s="501"/>
      <c r="ESJ548" s="501"/>
      <c r="ESK548" s="501"/>
      <c r="ESL548" s="501"/>
      <c r="ESM548" s="501"/>
      <c r="ESN548" s="501"/>
      <c r="ESO548" s="501"/>
      <c r="ESP548" s="501"/>
      <c r="ESQ548" s="501"/>
      <c r="ESR548" s="501"/>
      <c r="ESS548" s="501"/>
      <c r="EST548" s="501"/>
      <c r="ESU548" s="501"/>
      <c r="ESV548" s="501"/>
      <c r="ESW548" s="501"/>
      <c r="ESX548" s="501"/>
      <c r="ESY548" s="501"/>
      <c r="ESZ548" s="501"/>
      <c r="ETA548" s="501"/>
      <c r="ETB548" s="501"/>
      <c r="ETC548" s="501"/>
      <c r="ETD548" s="501"/>
      <c r="ETE548" s="501"/>
      <c r="ETF548" s="501"/>
      <c r="ETG548" s="501"/>
      <c r="ETH548" s="501"/>
      <c r="ETI548" s="501"/>
      <c r="ETJ548" s="501"/>
      <c r="ETK548" s="501"/>
      <c r="ETL548" s="501"/>
      <c r="ETM548" s="501"/>
      <c r="ETN548" s="501"/>
      <c r="ETO548" s="501"/>
      <c r="ETP548" s="501"/>
      <c r="ETQ548" s="501"/>
      <c r="ETR548" s="501"/>
      <c r="ETS548" s="501"/>
      <c r="ETT548" s="501"/>
      <c r="ETU548" s="501"/>
      <c r="ETV548" s="501"/>
      <c r="ETW548" s="501"/>
      <c r="ETX548" s="501"/>
      <c r="ETY548" s="501"/>
      <c r="ETZ548" s="501"/>
      <c r="EUA548" s="501"/>
      <c r="EUB548" s="501"/>
      <c r="EUC548" s="501"/>
      <c r="EUD548" s="501"/>
      <c r="EUE548" s="501"/>
      <c r="EUF548" s="501"/>
      <c r="EUG548" s="501"/>
      <c r="EUH548" s="501"/>
      <c r="EUI548" s="501"/>
      <c r="EUJ548" s="501"/>
      <c r="EUK548" s="501"/>
      <c r="EUL548" s="501"/>
      <c r="EUM548" s="501"/>
      <c r="EUN548" s="501"/>
      <c r="EUO548" s="501"/>
      <c r="EUP548" s="501"/>
      <c r="EUQ548" s="501"/>
      <c r="EUR548" s="501"/>
      <c r="EUS548" s="501"/>
      <c r="EUT548" s="501"/>
      <c r="EUU548" s="501"/>
      <c r="EUV548" s="501"/>
      <c r="EUW548" s="501"/>
      <c r="EUX548" s="501"/>
      <c r="EUY548" s="501"/>
      <c r="EUZ548" s="501"/>
      <c r="EVA548" s="501"/>
      <c r="EVB548" s="501"/>
      <c r="EVC548" s="501"/>
      <c r="EVD548" s="501"/>
      <c r="EVE548" s="501"/>
      <c r="EVF548" s="501"/>
      <c r="EVG548" s="501"/>
      <c r="EVH548" s="501"/>
      <c r="EVI548" s="501"/>
      <c r="EVJ548" s="501"/>
      <c r="EVK548" s="501"/>
      <c r="EVL548" s="501"/>
      <c r="EVM548" s="501"/>
      <c r="EVN548" s="501"/>
      <c r="EVO548" s="501"/>
      <c r="EVP548" s="501"/>
      <c r="EVQ548" s="501"/>
      <c r="EVR548" s="501"/>
      <c r="EVS548" s="501"/>
      <c r="EVT548" s="501"/>
      <c r="EVU548" s="501"/>
      <c r="EVV548" s="501"/>
      <c r="EVW548" s="501"/>
      <c r="EVX548" s="501"/>
      <c r="EVY548" s="501"/>
      <c r="EVZ548" s="501"/>
      <c r="EWA548" s="501"/>
      <c r="EWB548" s="501"/>
      <c r="EWC548" s="501"/>
      <c r="EWD548" s="501"/>
      <c r="EWE548" s="501"/>
      <c r="EWF548" s="501"/>
      <c r="EWG548" s="501"/>
      <c r="EWH548" s="501"/>
      <c r="EWI548" s="501"/>
      <c r="EWJ548" s="501"/>
      <c r="EWK548" s="501"/>
      <c r="EWL548" s="501"/>
      <c r="EWM548" s="501"/>
      <c r="EWN548" s="501"/>
      <c r="EWO548" s="501"/>
      <c r="EWP548" s="501"/>
      <c r="EWQ548" s="501"/>
      <c r="EWR548" s="501"/>
      <c r="EWS548" s="501"/>
      <c r="EWT548" s="501"/>
      <c r="EWU548" s="501"/>
      <c r="EWV548" s="501"/>
      <c r="EWW548" s="501"/>
      <c r="EWX548" s="501"/>
      <c r="EWY548" s="501"/>
      <c r="EWZ548" s="501"/>
      <c r="EXA548" s="501"/>
      <c r="EXB548" s="501"/>
      <c r="EXC548" s="501"/>
      <c r="EXD548" s="501"/>
      <c r="EXE548" s="501"/>
      <c r="EXF548" s="501"/>
      <c r="EXG548" s="501"/>
      <c r="EXH548" s="501"/>
      <c r="EXI548" s="501"/>
      <c r="EXJ548" s="501"/>
      <c r="EXK548" s="501"/>
      <c r="EXL548" s="501"/>
      <c r="EXM548" s="501"/>
      <c r="EXN548" s="501"/>
      <c r="EXO548" s="501"/>
      <c r="EXP548" s="501"/>
      <c r="EXQ548" s="501"/>
      <c r="EXR548" s="501"/>
      <c r="EXS548" s="501"/>
      <c r="EXT548" s="501"/>
      <c r="EXU548" s="501"/>
      <c r="EXV548" s="501"/>
      <c r="EXW548" s="501"/>
      <c r="EXX548" s="501"/>
      <c r="EXY548" s="501"/>
      <c r="EXZ548" s="501"/>
      <c r="EYA548" s="501"/>
      <c r="EYB548" s="501"/>
      <c r="EYC548" s="501"/>
      <c r="EYD548" s="501"/>
      <c r="EYE548" s="501"/>
      <c r="EYF548" s="501"/>
      <c r="EYG548" s="501"/>
      <c r="EYH548" s="501"/>
      <c r="EYI548" s="501"/>
      <c r="EYJ548" s="501"/>
      <c r="EYK548" s="501"/>
      <c r="EYL548" s="501"/>
      <c r="EYM548" s="501"/>
      <c r="EYN548" s="501"/>
      <c r="EYO548" s="501"/>
      <c r="EYP548" s="501"/>
      <c r="EYQ548" s="501"/>
      <c r="EYR548" s="501"/>
      <c r="EYS548" s="501"/>
      <c r="EYT548" s="501"/>
      <c r="EYU548" s="501"/>
      <c r="EYV548" s="501"/>
      <c r="EYW548" s="501"/>
      <c r="EYX548" s="501"/>
      <c r="EYY548" s="501"/>
      <c r="EYZ548" s="501"/>
      <c r="EZA548" s="501"/>
      <c r="EZB548" s="501"/>
      <c r="EZC548" s="501"/>
      <c r="EZD548" s="501"/>
      <c r="EZE548" s="501"/>
      <c r="EZF548" s="501"/>
      <c r="EZG548" s="501"/>
      <c r="EZH548" s="501"/>
      <c r="EZI548" s="501"/>
      <c r="EZJ548" s="501"/>
      <c r="EZK548" s="501"/>
      <c r="EZL548" s="501"/>
      <c r="EZM548" s="501"/>
      <c r="EZN548" s="501"/>
      <c r="EZO548" s="501"/>
      <c r="EZP548" s="501"/>
      <c r="EZQ548" s="501"/>
      <c r="EZR548" s="501"/>
      <c r="EZS548" s="501"/>
      <c r="EZT548" s="501"/>
      <c r="EZU548" s="501"/>
      <c r="EZV548" s="501"/>
      <c r="EZW548" s="501"/>
      <c r="EZX548" s="501"/>
      <c r="EZY548" s="501"/>
      <c r="EZZ548" s="501"/>
      <c r="FAA548" s="501"/>
      <c r="FAB548" s="501"/>
      <c r="FAC548" s="501"/>
      <c r="FAD548" s="501"/>
      <c r="FAE548" s="501"/>
      <c r="FAF548" s="501"/>
      <c r="FAG548" s="501"/>
      <c r="FAH548" s="501"/>
      <c r="FAI548" s="501"/>
      <c r="FAJ548" s="501"/>
      <c r="FAK548" s="501"/>
      <c r="FAL548" s="501"/>
      <c r="FAM548" s="501"/>
      <c r="FAN548" s="501"/>
      <c r="FAO548" s="501"/>
      <c r="FAP548" s="501"/>
      <c r="FAQ548" s="501"/>
      <c r="FAR548" s="501"/>
      <c r="FAS548" s="501"/>
      <c r="FAT548" s="501"/>
      <c r="FAU548" s="501"/>
      <c r="FAV548" s="501"/>
      <c r="FAW548" s="501"/>
      <c r="FAX548" s="501"/>
      <c r="FAY548" s="501"/>
      <c r="FAZ548" s="501"/>
      <c r="FBA548" s="501"/>
      <c r="FBB548" s="501"/>
      <c r="FBC548" s="501"/>
      <c r="FBD548" s="501"/>
      <c r="FBE548" s="501"/>
      <c r="FBF548" s="501"/>
      <c r="FBG548" s="501"/>
      <c r="FBH548" s="501"/>
      <c r="FBI548" s="501"/>
      <c r="FBJ548" s="501"/>
      <c r="FBK548" s="501"/>
      <c r="FBL548" s="501"/>
      <c r="FBM548" s="501"/>
      <c r="FBN548" s="501"/>
      <c r="FBO548" s="501"/>
      <c r="FBP548" s="501"/>
      <c r="FBQ548" s="501"/>
      <c r="FBR548" s="501"/>
      <c r="FBS548" s="501"/>
      <c r="FBT548" s="501"/>
      <c r="FBU548" s="501"/>
      <c r="FBV548" s="501"/>
      <c r="FBW548" s="501"/>
      <c r="FBX548" s="501"/>
      <c r="FBY548" s="501"/>
      <c r="FBZ548" s="501"/>
      <c r="FCA548" s="501"/>
      <c r="FCB548" s="501"/>
      <c r="FCC548" s="501"/>
      <c r="FCD548" s="501"/>
      <c r="FCE548" s="501"/>
      <c r="FCF548" s="501"/>
      <c r="FCG548" s="501"/>
      <c r="FCH548" s="501"/>
      <c r="FCI548" s="501"/>
      <c r="FCJ548" s="501"/>
      <c r="FCK548" s="501"/>
      <c r="FCL548" s="501"/>
      <c r="FCM548" s="501"/>
      <c r="FCN548" s="501"/>
      <c r="FCO548" s="501"/>
      <c r="FCP548" s="501"/>
      <c r="FCQ548" s="501"/>
      <c r="FCR548" s="501"/>
      <c r="FCS548" s="501"/>
      <c r="FCT548" s="501"/>
      <c r="FCU548" s="501"/>
      <c r="FCV548" s="501"/>
      <c r="FCW548" s="501"/>
      <c r="FCX548" s="501"/>
      <c r="FCY548" s="501"/>
      <c r="FCZ548" s="501"/>
      <c r="FDA548" s="501"/>
      <c r="FDB548" s="501"/>
      <c r="FDC548" s="501"/>
      <c r="FDD548" s="501"/>
      <c r="FDE548" s="501"/>
      <c r="FDF548" s="501"/>
      <c r="FDG548" s="501"/>
      <c r="FDH548" s="501"/>
      <c r="FDI548" s="501"/>
      <c r="FDJ548" s="501"/>
      <c r="FDK548" s="501"/>
      <c r="FDL548" s="501"/>
      <c r="FDM548" s="501"/>
      <c r="FDN548" s="501"/>
      <c r="FDO548" s="501"/>
      <c r="FDP548" s="501"/>
      <c r="FDQ548" s="501"/>
      <c r="FDR548" s="501"/>
      <c r="FDS548" s="501"/>
      <c r="FDT548" s="501"/>
      <c r="FDU548" s="501"/>
      <c r="FDV548" s="501"/>
      <c r="FDW548" s="501"/>
      <c r="FDX548" s="501"/>
      <c r="FDY548" s="501"/>
      <c r="FDZ548" s="501"/>
      <c r="FEA548" s="501"/>
      <c r="FEB548" s="501"/>
      <c r="FEC548" s="501"/>
      <c r="FED548" s="501"/>
      <c r="FEE548" s="501"/>
      <c r="FEF548" s="501"/>
      <c r="FEG548" s="501"/>
      <c r="FEH548" s="501"/>
      <c r="FEI548" s="501"/>
      <c r="FEJ548" s="501"/>
      <c r="FEK548" s="501"/>
      <c r="FEL548" s="501"/>
      <c r="FEM548" s="501"/>
      <c r="FEN548" s="501"/>
      <c r="FEO548" s="501"/>
      <c r="FEP548" s="501"/>
      <c r="FEQ548" s="501"/>
      <c r="FER548" s="501"/>
      <c r="FES548" s="501"/>
      <c r="FET548" s="501"/>
      <c r="FEU548" s="501"/>
      <c r="FEV548" s="501"/>
      <c r="FEW548" s="501"/>
      <c r="FEX548" s="501"/>
      <c r="FEY548" s="501"/>
      <c r="FEZ548" s="501"/>
      <c r="FFA548" s="501"/>
      <c r="FFB548" s="501"/>
      <c r="FFC548" s="501"/>
      <c r="FFD548" s="501"/>
      <c r="FFE548" s="501"/>
      <c r="FFF548" s="501"/>
      <c r="FFG548" s="501"/>
      <c r="FFH548" s="501"/>
      <c r="FFI548" s="501"/>
      <c r="FFJ548" s="501"/>
      <c r="FFK548" s="501"/>
      <c r="FFL548" s="501"/>
      <c r="FFM548" s="501"/>
      <c r="FFN548" s="501"/>
      <c r="FFO548" s="501"/>
      <c r="FFP548" s="501"/>
      <c r="FFQ548" s="501"/>
      <c r="FFR548" s="501"/>
      <c r="FFS548" s="501"/>
      <c r="FFT548" s="501"/>
      <c r="FFU548" s="501"/>
      <c r="FFV548" s="501"/>
      <c r="FFW548" s="501"/>
      <c r="FFX548" s="501"/>
      <c r="FFY548" s="501"/>
      <c r="FFZ548" s="501"/>
      <c r="FGA548" s="501"/>
      <c r="FGB548" s="501"/>
      <c r="FGC548" s="501"/>
      <c r="FGD548" s="501"/>
      <c r="FGE548" s="501"/>
      <c r="FGF548" s="501"/>
      <c r="FGG548" s="501"/>
      <c r="FGH548" s="501"/>
      <c r="FGI548" s="501"/>
      <c r="FGJ548" s="501"/>
      <c r="FGK548" s="501"/>
      <c r="FGL548" s="501"/>
      <c r="FGM548" s="501"/>
      <c r="FGN548" s="501"/>
      <c r="FGO548" s="501"/>
      <c r="FGP548" s="501"/>
      <c r="FGQ548" s="501"/>
      <c r="FGR548" s="501"/>
      <c r="FGS548" s="501"/>
      <c r="FGT548" s="501"/>
      <c r="FGU548" s="501"/>
      <c r="FGV548" s="501"/>
      <c r="FGW548" s="501"/>
      <c r="FGX548" s="501"/>
      <c r="FGY548" s="501"/>
      <c r="FGZ548" s="501"/>
      <c r="FHA548" s="501"/>
      <c r="FHB548" s="501"/>
      <c r="FHC548" s="501"/>
      <c r="FHD548" s="501"/>
      <c r="FHE548" s="501"/>
      <c r="FHF548" s="501"/>
      <c r="FHG548" s="501"/>
      <c r="FHH548" s="501"/>
      <c r="FHI548" s="501"/>
      <c r="FHJ548" s="501"/>
      <c r="FHK548" s="501"/>
      <c r="FHL548" s="501"/>
      <c r="FHM548" s="501"/>
      <c r="FHN548" s="501"/>
      <c r="FHO548" s="501"/>
      <c r="FHP548" s="501"/>
      <c r="FHQ548" s="501"/>
      <c r="FHR548" s="501"/>
      <c r="FHS548" s="501"/>
      <c r="FHT548" s="501"/>
      <c r="FHU548" s="501"/>
      <c r="FHV548" s="501"/>
      <c r="FHW548" s="501"/>
      <c r="FHX548" s="501"/>
      <c r="FHY548" s="501"/>
      <c r="FHZ548" s="501"/>
      <c r="FIA548" s="501"/>
      <c r="FIB548" s="501"/>
      <c r="FIC548" s="501"/>
      <c r="FID548" s="501"/>
      <c r="FIE548" s="501"/>
      <c r="FIF548" s="501"/>
      <c r="FIG548" s="501"/>
      <c r="FIH548" s="501"/>
      <c r="FII548" s="501"/>
      <c r="FIJ548" s="501"/>
      <c r="FIK548" s="501"/>
      <c r="FIL548" s="501"/>
      <c r="FIM548" s="501"/>
      <c r="FIN548" s="501"/>
      <c r="FIO548" s="501"/>
      <c r="FIP548" s="501"/>
      <c r="FIQ548" s="501"/>
      <c r="FIR548" s="501"/>
      <c r="FIS548" s="501"/>
      <c r="FIT548" s="501"/>
      <c r="FIU548" s="501"/>
      <c r="FIV548" s="501"/>
      <c r="FIW548" s="501"/>
      <c r="FIX548" s="501"/>
      <c r="FIY548" s="501"/>
      <c r="FIZ548" s="501"/>
      <c r="FJA548" s="501"/>
      <c r="FJB548" s="501"/>
      <c r="FJC548" s="501"/>
      <c r="FJD548" s="501"/>
      <c r="FJE548" s="501"/>
      <c r="FJF548" s="501"/>
      <c r="FJG548" s="501"/>
      <c r="FJH548" s="501"/>
      <c r="FJI548" s="501"/>
      <c r="FJJ548" s="501"/>
      <c r="FJK548" s="501"/>
      <c r="FJL548" s="501"/>
      <c r="FJM548" s="501"/>
      <c r="FJN548" s="501"/>
      <c r="FJO548" s="501"/>
      <c r="FJP548" s="501"/>
      <c r="FJQ548" s="501"/>
      <c r="FJR548" s="501"/>
      <c r="FJS548" s="501"/>
      <c r="FJT548" s="501"/>
      <c r="FJU548" s="501"/>
      <c r="FJV548" s="501"/>
      <c r="FJW548" s="501"/>
      <c r="FJX548" s="501"/>
      <c r="FJY548" s="501"/>
      <c r="FJZ548" s="501"/>
      <c r="FKA548" s="501"/>
      <c r="FKB548" s="501"/>
      <c r="FKC548" s="501"/>
      <c r="FKD548" s="501"/>
      <c r="FKE548" s="501"/>
      <c r="FKF548" s="501"/>
      <c r="FKG548" s="501"/>
      <c r="FKH548" s="501"/>
      <c r="FKI548" s="501"/>
      <c r="FKJ548" s="501"/>
      <c r="FKK548" s="501"/>
      <c r="FKL548" s="501"/>
      <c r="FKM548" s="501"/>
      <c r="FKN548" s="501"/>
      <c r="FKO548" s="501"/>
      <c r="FKP548" s="501"/>
      <c r="FKQ548" s="501"/>
      <c r="FKR548" s="501"/>
      <c r="FKS548" s="501"/>
      <c r="FKT548" s="501"/>
      <c r="FKU548" s="501"/>
      <c r="FKV548" s="501"/>
      <c r="FKW548" s="501"/>
      <c r="FKX548" s="501"/>
      <c r="FKY548" s="501"/>
      <c r="FKZ548" s="501"/>
      <c r="FLA548" s="501"/>
      <c r="FLB548" s="501"/>
      <c r="FLC548" s="501"/>
      <c r="FLD548" s="501"/>
      <c r="FLE548" s="501"/>
      <c r="FLF548" s="501"/>
      <c r="FLG548" s="501"/>
      <c r="FLH548" s="501"/>
      <c r="FLI548" s="501"/>
      <c r="FLJ548" s="501"/>
      <c r="FLK548" s="501"/>
      <c r="FLL548" s="501"/>
      <c r="FLM548" s="501"/>
      <c r="FLN548" s="501"/>
      <c r="FLO548" s="501"/>
      <c r="FLP548" s="501"/>
      <c r="FLQ548" s="501"/>
      <c r="FLR548" s="501"/>
      <c r="FLS548" s="501"/>
      <c r="FLT548" s="501"/>
      <c r="FLU548" s="501"/>
      <c r="FLV548" s="501"/>
      <c r="FLW548" s="501"/>
      <c r="FLX548" s="501"/>
      <c r="FLY548" s="501"/>
      <c r="FLZ548" s="501"/>
      <c r="FMA548" s="501"/>
      <c r="FMB548" s="501"/>
      <c r="FMC548" s="501"/>
      <c r="FMD548" s="501"/>
      <c r="FME548" s="501"/>
      <c r="FMF548" s="501"/>
      <c r="FMG548" s="501"/>
      <c r="FMH548" s="501"/>
      <c r="FMI548" s="501"/>
      <c r="FMJ548" s="501"/>
      <c r="FMK548" s="501"/>
      <c r="FML548" s="501"/>
      <c r="FMM548" s="501"/>
      <c r="FMN548" s="501"/>
      <c r="FMO548" s="501"/>
      <c r="FMP548" s="501"/>
      <c r="FMQ548" s="501"/>
      <c r="FMR548" s="501"/>
      <c r="FMS548" s="501"/>
      <c r="FMT548" s="501"/>
      <c r="FMU548" s="501"/>
      <c r="FMV548" s="501"/>
      <c r="FMW548" s="501"/>
      <c r="FMX548" s="501"/>
      <c r="FMY548" s="501"/>
      <c r="FMZ548" s="501"/>
      <c r="FNA548" s="501"/>
      <c r="FNB548" s="501"/>
      <c r="FNC548" s="501"/>
      <c r="FND548" s="501"/>
      <c r="FNE548" s="501"/>
      <c r="FNF548" s="501"/>
      <c r="FNG548" s="501"/>
      <c r="FNH548" s="501"/>
      <c r="FNI548" s="501"/>
      <c r="FNJ548" s="501"/>
      <c r="FNK548" s="501"/>
      <c r="FNL548" s="501"/>
      <c r="FNM548" s="501"/>
      <c r="FNN548" s="501"/>
      <c r="FNO548" s="501"/>
      <c r="FNP548" s="501"/>
      <c r="FNQ548" s="501"/>
      <c r="FNR548" s="501"/>
      <c r="FNS548" s="501"/>
      <c r="FNT548" s="501"/>
      <c r="FNU548" s="501"/>
      <c r="FNV548" s="501"/>
      <c r="FNW548" s="501"/>
      <c r="FNX548" s="501"/>
      <c r="FNY548" s="501"/>
      <c r="FNZ548" s="501"/>
      <c r="FOA548" s="501"/>
      <c r="FOB548" s="501"/>
      <c r="FOC548" s="501"/>
      <c r="FOD548" s="501"/>
      <c r="FOE548" s="501"/>
      <c r="FOF548" s="501"/>
      <c r="FOG548" s="501"/>
      <c r="FOH548" s="501"/>
      <c r="FOI548" s="501"/>
      <c r="FOJ548" s="501"/>
      <c r="FOK548" s="501"/>
      <c r="FOL548" s="501"/>
      <c r="FOM548" s="501"/>
      <c r="FON548" s="501"/>
      <c r="FOO548" s="501"/>
      <c r="FOP548" s="501"/>
      <c r="FOQ548" s="501"/>
      <c r="FOR548" s="501"/>
      <c r="FOS548" s="501"/>
      <c r="FOT548" s="501"/>
      <c r="FOU548" s="501"/>
      <c r="FOV548" s="501"/>
      <c r="FOW548" s="501"/>
      <c r="FOX548" s="501"/>
      <c r="FOY548" s="501"/>
      <c r="FOZ548" s="501"/>
      <c r="FPA548" s="501"/>
      <c r="FPB548" s="501"/>
      <c r="FPC548" s="501"/>
      <c r="FPD548" s="501"/>
      <c r="FPE548" s="501"/>
      <c r="FPF548" s="501"/>
      <c r="FPG548" s="501"/>
      <c r="FPH548" s="501"/>
      <c r="FPI548" s="501"/>
      <c r="FPJ548" s="501"/>
      <c r="FPK548" s="501"/>
      <c r="FPL548" s="501"/>
      <c r="FPM548" s="501"/>
      <c r="FPN548" s="501"/>
      <c r="FPO548" s="501"/>
      <c r="FPP548" s="501"/>
      <c r="FPQ548" s="501"/>
      <c r="FPR548" s="501"/>
      <c r="FPS548" s="501"/>
      <c r="FPT548" s="501"/>
      <c r="FPU548" s="501"/>
      <c r="FPV548" s="501"/>
      <c r="FPW548" s="501"/>
      <c r="FPX548" s="501"/>
      <c r="FPY548" s="501"/>
      <c r="FPZ548" s="501"/>
      <c r="FQA548" s="501"/>
      <c r="FQB548" s="501"/>
      <c r="FQC548" s="501"/>
      <c r="FQD548" s="501"/>
      <c r="FQE548" s="501"/>
      <c r="FQF548" s="501"/>
      <c r="FQG548" s="501"/>
      <c r="FQH548" s="501"/>
      <c r="FQI548" s="501"/>
      <c r="FQJ548" s="501"/>
      <c r="FQK548" s="501"/>
      <c r="FQL548" s="501"/>
      <c r="FQM548" s="501"/>
      <c r="FQN548" s="501"/>
      <c r="FQO548" s="501"/>
      <c r="FQP548" s="501"/>
      <c r="FQQ548" s="501"/>
      <c r="FQR548" s="501"/>
      <c r="FQS548" s="501"/>
      <c r="FQT548" s="501"/>
      <c r="FQU548" s="501"/>
      <c r="FQV548" s="501"/>
      <c r="FQW548" s="501"/>
      <c r="FQX548" s="501"/>
      <c r="FQY548" s="501"/>
      <c r="FQZ548" s="501"/>
      <c r="FRA548" s="501"/>
      <c r="FRB548" s="501"/>
      <c r="FRC548" s="501"/>
      <c r="FRD548" s="501"/>
      <c r="FRE548" s="501"/>
      <c r="FRF548" s="501"/>
      <c r="FRG548" s="501"/>
      <c r="FRH548" s="501"/>
      <c r="FRI548" s="501"/>
      <c r="FRJ548" s="501"/>
      <c r="FRK548" s="501"/>
      <c r="FRL548" s="501"/>
      <c r="FRM548" s="501"/>
      <c r="FRN548" s="501"/>
      <c r="FRO548" s="501"/>
      <c r="FRP548" s="501"/>
      <c r="FRQ548" s="501"/>
      <c r="FRR548" s="501"/>
      <c r="FRS548" s="501"/>
      <c r="FRT548" s="501"/>
      <c r="FRU548" s="501"/>
      <c r="FRV548" s="501"/>
      <c r="FRW548" s="501"/>
      <c r="FRX548" s="501"/>
      <c r="FRY548" s="501"/>
      <c r="FRZ548" s="501"/>
      <c r="FSA548" s="501"/>
      <c r="FSB548" s="501"/>
      <c r="FSC548" s="501"/>
      <c r="FSD548" s="501"/>
      <c r="FSE548" s="501"/>
      <c r="FSF548" s="501"/>
      <c r="FSG548" s="501"/>
      <c r="FSH548" s="501"/>
      <c r="FSI548" s="501"/>
      <c r="FSJ548" s="501"/>
      <c r="FSK548" s="501"/>
      <c r="FSL548" s="501"/>
      <c r="FSM548" s="501"/>
      <c r="FSN548" s="501"/>
      <c r="FSO548" s="501"/>
      <c r="FSP548" s="501"/>
      <c r="FSQ548" s="501"/>
      <c r="FSR548" s="501"/>
      <c r="FSS548" s="501"/>
      <c r="FST548" s="501"/>
      <c r="FSU548" s="501"/>
      <c r="FSV548" s="501"/>
      <c r="FSW548" s="501"/>
      <c r="FSX548" s="501"/>
      <c r="FSY548" s="501"/>
      <c r="FSZ548" s="501"/>
      <c r="FTA548" s="501"/>
      <c r="FTB548" s="501"/>
      <c r="FTC548" s="501"/>
      <c r="FTD548" s="501"/>
      <c r="FTE548" s="501"/>
      <c r="FTF548" s="501"/>
      <c r="FTG548" s="501"/>
      <c r="FTH548" s="501"/>
      <c r="FTI548" s="501"/>
      <c r="FTJ548" s="501"/>
      <c r="FTK548" s="501"/>
      <c r="FTL548" s="501"/>
      <c r="FTM548" s="501"/>
      <c r="FTN548" s="501"/>
      <c r="FTO548" s="501"/>
      <c r="FTP548" s="501"/>
      <c r="FTQ548" s="501"/>
      <c r="FTR548" s="501"/>
      <c r="FTS548" s="501"/>
      <c r="FTT548" s="501"/>
      <c r="FTU548" s="501"/>
      <c r="FTV548" s="501"/>
      <c r="FTW548" s="501"/>
      <c r="FTX548" s="501"/>
      <c r="FTY548" s="501"/>
      <c r="FTZ548" s="501"/>
      <c r="FUA548" s="501"/>
      <c r="FUB548" s="501"/>
      <c r="FUC548" s="501"/>
      <c r="FUD548" s="501"/>
      <c r="FUE548" s="501"/>
      <c r="FUF548" s="501"/>
      <c r="FUG548" s="501"/>
      <c r="FUH548" s="501"/>
      <c r="FUI548" s="501"/>
      <c r="FUJ548" s="501"/>
      <c r="FUK548" s="501"/>
      <c r="FUL548" s="501"/>
      <c r="FUM548" s="501"/>
      <c r="FUN548" s="501"/>
      <c r="FUO548" s="501"/>
      <c r="FUP548" s="501"/>
      <c r="FUQ548" s="501"/>
      <c r="FUR548" s="501"/>
      <c r="FUS548" s="501"/>
      <c r="FUT548" s="501"/>
      <c r="FUU548" s="501"/>
      <c r="FUV548" s="501"/>
      <c r="FUW548" s="501"/>
      <c r="FUX548" s="501"/>
      <c r="FUY548" s="501"/>
      <c r="FUZ548" s="501"/>
      <c r="FVA548" s="501"/>
      <c r="FVB548" s="501"/>
      <c r="FVC548" s="501"/>
      <c r="FVD548" s="501"/>
      <c r="FVE548" s="501"/>
      <c r="FVF548" s="501"/>
      <c r="FVG548" s="501"/>
      <c r="FVH548" s="501"/>
      <c r="FVI548" s="501"/>
      <c r="FVJ548" s="501"/>
      <c r="FVK548" s="501"/>
      <c r="FVL548" s="501"/>
      <c r="FVM548" s="501"/>
      <c r="FVN548" s="501"/>
      <c r="FVO548" s="501"/>
      <c r="FVP548" s="501"/>
      <c r="FVQ548" s="501"/>
      <c r="FVR548" s="501"/>
      <c r="FVS548" s="501"/>
      <c r="FVT548" s="501"/>
      <c r="FVU548" s="501"/>
      <c r="FVV548" s="501"/>
      <c r="FVW548" s="501"/>
      <c r="FVX548" s="501"/>
      <c r="FVY548" s="501"/>
      <c r="FVZ548" s="501"/>
      <c r="FWA548" s="501"/>
      <c r="FWB548" s="501"/>
      <c r="FWC548" s="501"/>
      <c r="FWD548" s="501"/>
      <c r="FWE548" s="501"/>
      <c r="FWF548" s="501"/>
      <c r="FWG548" s="501"/>
      <c r="FWH548" s="501"/>
      <c r="FWI548" s="501"/>
      <c r="FWJ548" s="501"/>
      <c r="FWK548" s="501"/>
      <c r="FWL548" s="501"/>
      <c r="FWM548" s="501"/>
      <c r="FWN548" s="501"/>
      <c r="FWO548" s="501"/>
      <c r="FWP548" s="501"/>
      <c r="FWQ548" s="501"/>
      <c r="FWR548" s="501"/>
      <c r="FWS548" s="501"/>
      <c r="FWT548" s="501"/>
      <c r="FWU548" s="501"/>
      <c r="FWV548" s="501"/>
      <c r="FWW548" s="501"/>
      <c r="FWX548" s="501"/>
      <c r="FWY548" s="501"/>
      <c r="FWZ548" s="501"/>
      <c r="FXA548" s="501"/>
      <c r="FXB548" s="501"/>
      <c r="FXC548" s="501"/>
      <c r="FXD548" s="501"/>
      <c r="FXE548" s="501"/>
      <c r="FXF548" s="501"/>
      <c r="FXG548" s="501"/>
      <c r="FXH548" s="501"/>
      <c r="FXI548" s="501"/>
      <c r="FXJ548" s="501"/>
      <c r="FXK548" s="501"/>
      <c r="FXL548" s="501"/>
      <c r="FXM548" s="501"/>
      <c r="FXN548" s="501"/>
      <c r="FXO548" s="501"/>
      <c r="FXP548" s="501"/>
      <c r="FXQ548" s="501"/>
      <c r="FXR548" s="501"/>
      <c r="FXS548" s="501"/>
      <c r="FXT548" s="501"/>
      <c r="FXU548" s="501"/>
      <c r="FXV548" s="501"/>
      <c r="FXW548" s="501"/>
      <c r="FXX548" s="501"/>
      <c r="FXY548" s="501"/>
      <c r="FXZ548" s="501"/>
      <c r="FYA548" s="501"/>
      <c r="FYB548" s="501"/>
      <c r="FYC548" s="501"/>
      <c r="FYD548" s="501"/>
      <c r="FYE548" s="501"/>
      <c r="FYF548" s="501"/>
      <c r="FYG548" s="501"/>
      <c r="FYH548" s="501"/>
      <c r="FYI548" s="501"/>
      <c r="FYJ548" s="501"/>
      <c r="FYK548" s="501"/>
      <c r="FYL548" s="501"/>
      <c r="FYM548" s="501"/>
      <c r="FYN548" s="501"/>
      <c r="FYO548" s="501"/>
      <c r="FYP548" s="501"/>
      <c r="FYQ548" s="501"/>
      <c r="FYR548" s="501"/>
      <c r="FYS548" s="501"/>
      <c r="FYT548" s="501"/>
      <c r="FYU548" s="501"/>
      <c r="FYV548" s="501"/>
      <c r="FYW548" s="501"/>
      <c r="FYX548" s="501"/>
      <c r="FYY548" s="501"/>
      <c r="FYZ548" s="501"/>
      <c r="FZA548" s="501"/>
      <c r="FZB548" s="501"/>
      <c r="FZC548" s="501"/>
      <c r="FZD548" s="501"/>
      <c r="FZE548" s="501"/>
      <c r="FZF548" s="501"/>
      <c r="FZG548" s="501"/>
      <c r="FZH548" s="501"/>
      <c r="FZI548" s="501"/>
      <c r="FZJ548" s="501"/>
      <c r="FZK548" s="501"/>
      <c r="FZL548" s="501"/>
      <c r="FZM548" s="501"/>
      <c r="FZN548" s="501"/>
      <c r="FZO548" s="501"/>
      <c r="FZP548" s="501"/>
      <c r="FZQ548" s="501"/>
      <c r="FZR548" s="501"/>
      <c r="FZS548" s="501"/>
      <c r="FZT548" s="501"/>
      <c r="FZU548" s="501"/>
      <c r="FZV548" s="501"/>
      <c r="FZW548" s="501"/>
      <c r="FZX548" s="501"/>
      <c r="FZY548" s="501"/>
      <c r="FZZ548" s="501"/>
      <c r="GAA548" s="501"/>
      <c r="GAB548" s="501"/>
      <c r="GAC548" s="501"/>
      <c r="GAD548" s="501"/>
      <c r="GAE548" s="501"/>
      <c r="GAF548" s="501"/>
      <c r="GAG548" s="501"/>
      <c r="GAH548" s="501"/>
      <c r="GAI548" s="501"/>
      <c r="GAJ548" s="501"/>
      <c r="GAK548" s="501"/>
      <c r="GAL548" s="501"/>
      <c r="GAM548" s="501"/>
      <c r="GAN548" s="501"/>
      <c r="GAO548" s="501"/>
      <c r="GAP548" s="501"/>
      <c r="GAQ548" s="501"/>
      <c r="GAR548" s="501"/>
      <c r="GAS548" s="501"/>
      <c r="GAT548" s="501"/>
      <c r="GAU548" s="501"/>
      <c r="GAV548" s="501"/>
      <c r="GAW548" s="501"/>
      <c r="GAX548" s="501"/>
      <c r="GAY548" s="501"/>
      <c r="GAZ548" s="501"/>
      <c r="GBA548" s="501"/>
      <c r="GBB548" s="501"/>
      <c r="GBC548" s="501"/>
      <c r="GBD548" s="501"/>
      <c r="GBE548" s="501"/>
      <c r="GBF548" s="501"/>
      <c r="GBG548" s="501"/>
      <c r="GBH548" s="501"/>
      <c r="GBI548" s="501"/>
      <c r="GBJ548" s="501"/>
      <c r="GBK548" s="501"/>
      <c r="GBL548" s="501"/>
      <c r="GBM548" s="501"/>
      <c r="GBN548" s="501"/>
      <c r="GBO548" s="501"/>
      <c r="GBP548" s="501"/>
      <c r="GBQ548" s="501"/>
      <c r="GBR548" s="501"/>
      <c r="GBS548" s="501"/>
      <c r="GBT548" s="501"/>
      <c r="GBU548" s="501"/>
      <c r="GBV548" s="501"/>
      <c r="GBW548" s="501"/>
      <c r="GBX548" s="501"/>
      <c r="GBY548" s="501"/>
      <c r="GBZ548" s="501"/>
      <c r="GCA548" s="501"/>
      <c r="GCB548" s="501"/>
      <c r="GCC548" s="501"/>
      <c r="GCD548" s="501"/>
      <c r="GCE548" s="501"/>
      <c r="GCF548" s="501"/>
      <c r="GCG548" s="501"/>
      <c r="GCH548" s="501"/>
      <c r="GCI548" s="501"/>
      <c r="GCJ548" s="501"/>
      <c r="GCK548" s="501"/>
      <c r="GCL548" s="501"/>
      <c r="GCM548" s="501"/>
      <c r="GCN548" s="501"/>
      <c r="GCO548" s="501"/>
      <c r="GCP548" s="501"/>
      <c r="GCQ548" s="501"/>
      <c r="GCR548" s="501"/>
      <c r="GCS548" s="501"/>
      <c r="GCT548" s="501"/>
      <c r="GCU548" s="501"/>
      <c r="GCV548" s="501"/>
      <c r="GCW548" s="501"/>
      <c r="GCX548" s="501"/>
      <c r="GCY548" s="501"/>
      <c r="GCZ548" s="501"/>
      <c r="GDA548" s="501"/>
      <c r="GDB548" s="501"/>
      <c r="GDC548" s="501"/>
      <c r="GDD548" s="501"/>
      <c r="GDE548" s="501"/>
      <c r="GDF548" s="501"/>
      <c r="GDG548" s="501"/>
      <c r="GDH548" s="501"/>
      <c r="GDI548" s="501"/>
      <c r="GDJ548" s="501"/>
      <c r="GDK548" s="501"/>
      <c r="GDL548" s="501"/>
      <c r="GDM548" s="501"/>
      <c r="GDN548" s="501"/>
      <c r="GDO548" s="501"/>
      <c r="GDP548" s="501"/>
      <c r="GDQ548" s="501"/>
      <c r="GDR548" s="501"/>
      <c r="GDS548" s="501"/>
      <c r="GDT548" s="501"/>
      <c r="GDU548" s="501"/>
      <c r="GDV548" s="501"/>
      <c r="GDW548" s="501"/>
      <c r="GDX548" s="501"/>
      <c r="GDY548" s="501"/>
      <c r="GDZ548" s="501"/>
      <c r="GEA548" s="501"/>
      <c r="GEB548" s="501"/>
      <c r="GEC548" s="501"/>
      <c r="GED548" s="501"/>
      <c r="GEE548" s="501"/>
      <c r="GEF548" s="501"/>
      <c r="GEG548" s="501"/>
      <c r="GEH548" s="501"/>
      <c r="GEI548" s="501"/>
      <c r="GEJ548" s="501"/>
      <c r="GEK548" s="501"/>
      <c r="GEL548" s="501"/>
      <c r="GEM548" s="501"/>
      <c r="GEN548" s="501"/>
      <c r="GEO548" s="501"/>
      <c r="GEP548" s="501"/>
      <c r="GEQ548" s="501"/>
      <c r="GER548" s="501"/>
      <c r="GES548" s="501"/>
      <c r="GET548" s="501"/>
      <c r="GEU548" s="501"/>
      <c r="GEV548" s="501"/>
      <c r="GEW548" s="501"/>
      <c r="GEX548" s="501"/>
      <c r="GEY548" s="501"/>
      <c r="GEZ548" s="501"/>
      <c r="GFA548" s="501"/>
      <c r="GFB548" s="501"/>
      <c r="GFC548" s="501"/>
      <c r="GFD548" s="501"/>
      <c r="GFE548" s="501"/>
      <c r="GFF548" s="501"/>
      <c r="GFG548" s="501"/>
      <c r="GFH548" s="501"/>
      <c r="GFI548" s="501"/>
      <c r="GFJ548" s="501"/>
      <c r="GFK548" s="501"/>
      <c r="GFL548" s="501"/>
      <c r="GFM548" s="501"/>
      <c r="GFN548" s="501"/>
      <c r="GFO548" s="501"/>
      <c r="GFP548" s="501"/>
      <c r="GFQ548" s="501"/>
      <c r="GFR548" s="501"/>
      <c r="GFS548" s="501"/>
      <c r="GFT548" s="501"/>
      <c r="GFU548" s="501"/>
      <c r="GFV548" s="501"/>
      <c r="GFW548" s="501"/>
      <c r="GFX548" s="501"/>
      <c r="GFY548" s="501"/>
      <c r="GFZ548" s="501"/>
      <c r="GGA548" s="501"/>
      <c r="GGB548" s="501"/>
      <c r="GGC548" s="501"/>
      <c r="GGD548" s="501"/>
      <c r="GGE548" s="501"/>
      <c r="GGF548" s="501"/>
      <c r="GGG548" s="501"/>
      <c r="GGH548" s="501"/>
      <c r="GGI548" s="501"/>
      <c r="GGJ548" s="501"/>
      <c r="GGK548" s="501"/>
      <c r="GGL548" s="501"/>
      <c r="GGM548" s="501"/>
      <c r="GGN548" s="501"/>
      <c r="GGO548" s="501"/>
      <c r="GGP548" s="501"/>
      <c r="GGQ548" s="501"/>
      <c r="GGR548" s="501"/>
      <c r="GGS548" s="501"/>
      <c r="GGT548" s="501"/>
      <c r="GGU548" s="501"/>
      <c r="GGV548" s="501"/>
      <c r="GGW548" s="501"/>
      <c r="GGX548" s="501"/>
      <c r="GGY548" s="501"/>
      <c r="GGZ548" s="501"/>
      <c r="GHA548" s="501"/>
      <c r="GHB548" s="501"/>
      <c r="GHC548" s="501"/>
      <c r="GHD548" s="501"/>
      <c r="GHE548" s="501"/>
      <c r="GHF548" s="501"/>
      <c r="GHG548" s="501"/>
      <c r="GHH548" s="501"/>
      <c r="GHI548" s="501"/>
      <c r="GHJ548" s="501"/>
      <c r="GHK548" s="501"/>
      <c r="GHL548" s="501"/>
      <c r="GHM548" s="501"/>
      <c r="GHN548" s="501"/>
      <c r="GHO548" s="501"/>
      <c r="GHP548" s="501"/>
      <c r="GHQ548" s="501"/>
      <c r="GHR548" s="501"/>
      <c r="GHS548" s="501"/>
      <c r="GHT548" s="501"/>
      <c r="GHU548" s="501"/>
      <c r="GHV548" s="501"/>
      <c r="GHW548" s="501"/>
      <c r="GHX548" s="501"/>
      <c r="GHY548" s="501"/>
      <c r="GHZ548" s="501"/>
      <c r="GIA548" s="501"/>
      <c r="GIB548" s="501"/>
      <c r="GIC548" s="501"/>
      <c r="GID548" s="501"/>
      <c r="GIE548" s="501"/>
      <c r="GIF548" s="501"/>
      <c r="GIG548" s="501"/>
      <c r="GIH548" s="501"/>
      <c r="GII548" s="501"/>
      <c r="GIJ548" s="501"/>
      <c r="GIK548" s="501"/>
      <c r="GIL548" s="501"/>
      <c r="GIM548" s="501"/>
      <c r="GIN548" s="501"/>
      <c r="GIO548" s="501"/>
      <c r="GIP548" s="501"/>
      <c r="GIQ548" s="501"/>
      <c r="GIR548" s="501"/>
      <c r="GIS548" s="501"/>
      <c r="GIT548" s="501"/>
      <c r="GIU548" s="501"/>
      <c r="GIV548" s="501"/>
      <c r="GIW548" s="501"/>
      <c r="GIX548" s="501"/>
      <c r="GIY548" s="501"/>
      <c r="GIZ548" s="501"/>
      <c r="GJA548" s="501"/>
      <c r="GJB548" s="501"/>
      <c r="GJC548" s="501"/>
      <c r="GJD548" s="501"/>
      <c r="GJE548" s="501"/>
      <c r="GJF548" s="501"/>
      <c r="GJG548" s="501"/>
      <c r="GJH548" s="501"/>
      <c r="GJI548" s="501"/>
      <c r="GJJ548" s="501"/>
      <c r="GJK548" s="501"/>
      <c r="GJL548" s="501"/>
      <c r="GJM548" s="501"/>
      <c r="GJN548" s="501"/>
      <c r="GJO548" s="501"/>
      <c r="GJP548" s="501"/>
      <c r="GJQ548" s="501"/>
      <c r="GJR548" s="501"/>
      <c r="GJS548" s="501"/>
      <c r="GJT548" s="501"/>
      <c r="GJU548" s="501"/>
      <c r="GJV548" s="501"/>
      <c r="GJW548" s="501"/>
      <c r="GJX548" s="501"/>
      <c r="GJY548" s="501"/>
      <c r="GJZ548" s="501"/>
      <c r="GKA548" s="501"/>
      <c r="GKB548" s="501"/>
      <c r="GKC548" s="501"/>
      <c r="GKD548" s="501"/>
      <c r="GKE548" s="501"/>
      <c r="GKF548" s="501"/>
      <c r="GKG548" s="501"/>
      <c r="GKH548" s="501"/>
      <c r="GKI548" s="501"/>
      <c r="GKJ548" s="501"/>
      <c r="GKK548" s="501"/>
      <c r="GKL548" s="501"/>
      <c r="GKM548" s="501"/>
      <c r="GKN548" s="501"/>
      <c r="GKO548" s="501"/>
      <c r="GKP548" s="501"/>
      <c r="GKQ548" s="501"/>
      <c r="GKR548" s="501"/>
      <c r="GKS548" s="501"/>
      <c r="GKT548" s="501"/>
      <c r="GKU548" s="501"/>
      <c r="GKV548" s="501"/>
      <c r="GKW548" s="501"/>
      <c r="GKX548" s="501"/>
      <c r="GKY548" s="501"/>
      <c r="GKZ548" s="501"/>
      <c r="GLA548" s="501"/>
      <c r="GLB548" s="501"/>
      <c r="GLC548" s="501"/>
      <c r="GLD548" s="501"/>
      <c r="GLE548" s="501"/>
      <c r="GLF548" s="501"/>
      <c r="GLG548" s="501"/>
      <c r="GLH548" s="501"/>
      <c r="GLI548" s="501"/>
      <c r="GLJ548" s="501"/>
      <c r="GLK548" s="501"/>
      <c r="GLL548" s="501"/>
      <c r="GLM548" s="501"/>
      <c r="GLN548" s="501"/>
      <c r="GLO548" s="501"/>
      <c r="GLP548" s="501"/>
      <c r="GLQ548" s="501"/>
      <c r="GLR548" s="501"/>
      <c r="GLS548" s="501"/>
      <c r="GLT548" s="501"/>
      <c r="GLU548" s="501"/>
      <c r="GLV548" s="501"/>
      <c r="GLW548" s="501"/>
      <c r="GLX548" s="501"/>
      <c r="GLY548" s="501"/>
      <c r="GLZ548" s="501"/>
      <c r="GMA548" s="501"/>
      <c r="GMB548" s="501"/>
      <c r="GMC548" s="501"/>
      <c r="GMD548" s="501"/>
      <c r="GME548" s="501"/>
      <c r="GMF548" s="501"/>
      <c r="GMG548" s="501"/>
      <c r="GMH548" s="501"/>
      <c r="GMI548" s="501"/>
      <c r="GMJ548" s="501"/>
      <c r="GMK548" s="501"/>
      <c r="GML548" s="501"/>
      <c r="GMM548" s="501"/>
      <c r="GMN548" s="501"/>
      <c r="GMO548" s="501"/>
      <c r="GMP548" s="501"/>
      <c r="GMQ548" s="501"/>
      <c r="GMR548" s="501"/>
      <c r="GMS548" s="501"/>
      <c r="GMT548" s="501"/>
      <c r="GMU548" s="501"/>
      <c r="GMV548" s="501"/>
      <c r="GMW548" s="501"/>
      <c r="GMX548" s="501"/>
      <c r="GMY548" s="501"/>
      <c r="GMZ548" s="501"/>
      <c r="GNA548" s="501"/>
      <c r="GNB548" s="501"/>
      <c r="GNC548" s="501"/>
      <c r="GND548" s="501"/>
      <c r="GNE548" s="501"/>
      <c r="GNF548" s="501"/>
      <c r="GNG548" s="501"/>
      <c r="GNH548" s="501"/>
      <c r="GNI548" s="501"/>
      <c r="GNJ548" s="501"/>
      <c r="GNK548" s="501"/>
      <c r="GNL548" s="501"/>
      <c r="GNM548" s="501"/>
      <c r="GNN548" s="501"/>
      <c r="GNO548" s="501"/>
      <c r="GNP548" s="501"/>
      <c r="GNQ548" s="501"/>
      <c r="GNR548" s="501"/>
      <c r="GNS548" s="501"/>
      <c r="GNT548" s="501"/>
      <c r="GNU548" s="501"/>
      <c r="GNV548" s="501"/>
      <c r="GNW548" s="501"/>
      <c r="GNX548" s="501"/>
      <c r="GNY548" s="501"/>
      <c r="GNZ548" s="501"/>
      <c r="GOA548" s="501"/>
      <c r="GOB548" s="501"/>
      <c r="GOC548" s="501"/>
      <c r="GOD548" s="501"/>
      <c r="GOE548" s="501"/>
      <c r="GOF548" s="501"/>
      <c r="GOG548" s="501"/>
      <c r="GOH548" s="501"/>
      <c r="GOI548" s="501"/>
      <c r="GOJ548" s="501"/>
      <c r="GOK548" s="501"/>
      <c r="GOL548" s="501"/>
      <c r="GOM548" s="501"/>
      <c r="GON548" s="501"/>
      <c r="GOO548" s="501"/>
      <c r="GOP548" s="501"/>
      <c r="GOQ548" s="501"/>
      <c r="GOR548" s="501"/>
      <c r="GOS548" s="501"/>
      <c r="GOT548" s="501"/>
      <c r="GOU548" s="501"/>
      <c r="GOV548" s="501"/>
      <c r="GOW548" s="501"/>
      <c r="GOX548" s="501"/>
      <c r="GOY548" s="501"/>
      <c r="GOZ548" s="501"/>
      <c r="GPA548" s="501"/>
      <c r="GPB548" s="501"/>
      <c r="GPC548" s="501"/>
      <c r="GPD548" s="501"/>
      <c r="GPE548" s="501"/>
      <c r="GPF548" s="501"/>
      <c r="GPG548" s="501"/>
      <c r="GPH548" s="501"/>
      <c r="GPI548" s="501"/>
      <c r="GPJ548" s="501"/>
      <c r="GPK548" s="501"/>
      <c r="GPL548" s="501"/>
      <c r="GPM548" s="501"/>
      <c r="GPN548" s="501"/>
      <c r="GPO548" s="501"/>
      <c r="GPP548" s="501"/>
      <c r="GPQ548" s="501"/>
      <c r="GPR548" s="501"/>
      <c r="GPS548" s="501"/>
      <c r="GPT548" s="501"/>
      <c r="GPU548" s="501"/>
      <c r="GPV548" s="501"/>
      <c r="GPW548" s="501"/>
      <c r="GPX548" s="501"/>
      <c r="GPY548" s="501"/>
      <c r="GPZ548" s="501"/>
      <c r="GQA548" s="501"/>
      <c r="GQB548" s="501"/>
      <c r="GQC548" s="501"/>
      <c r="GQD548" s="501"/>
      <c r="GQE548" s="501"/>
      <c r="GQF548" s="501"/>
      <c r="GQG548" s="501"/>
      <c r="GQH548" s="501"/>
      <c r="GQI548" s="501"/>
      <c r="GQJ548" s="501"/>
      <c r="GQK548" s="501"/>
      <c r="GQL548" s="501"/>
      <c r="GQM548" s="501"/>
      <c r="GQN548" s="501"/>
      <c r="GQO548" s="501"/>
      <c r="GQP548" s="501"/>
      <c r="GQQ548" s="501"/>
      <c r="GQR548" s="501"/>
      <c r="GQS548" s="501"/>
      <c r="GQT548" s="501"/>
      <c r="GQU548" s="501"/>
      <c r="GQV548" s="501"/>
      <c r="GQW548" s="501"/>
      <c r="GQX548" s="501"/>
      <c r="GQY548" s="501"/>
      <c r="GQZ548" s="501"/>
      <c r="GRA548" s="501"/>
      <c r="GRB548" s="501"/>
      <c r="GRC548" s="501"/>
      <c r="GRD548" s="501"/>
      <c r="GRE548" s="501"/>
      <c r="GRF548" s="501"/>
      <c r="GRG548" s="501"/>
      <c r="GRH548" s="501"/>
      <c r="GRI548" s="501"/>
      <c r="GRJ548" s="501"/>
      <c r="GRK548" s="501"/>
      <c r="GRL548" s="501"/>
      <c r="GRM548" s="501"/>
      <c r="GRN548" s="501"/>
      <c r="GRO548" s="501"/>
      <c r="GRP548" s="501"/>
      <c r="GRQ548" s="501"/>
      <c r="GRR548" s="501"/>
      <c r="GRS548" s="501"/>
      <c r="GRT548" s="501"/>
      <c r="GRU548" s="501"/>
      <c r="GRV548" s="501"/>
      <c r="GRW548" s="501"/>
      <c r="GRX548" s="501"/>
      <c r="GRY548" s="501"/>
      <c r="GRZ548" s="501"/>
      <c r="GSA548" s="501"/>
      <c r="GSB548" s="501"/>
      <c r="GSC548" s="501"/>
      <c r="GSD548" s="501"/>
      <c r="GSE548" s="501"/>
      <c r="GSF548" s="501"/>
      <c r="GSG548" s="501"/>
      <c r="GSH548" s="501"/>
      <c r="GSI548" s="501"/>
      <c r="GSJ548" s="501"/>
      <c r="GSK548" s="501"/>
      <c r="GSL548" s="501"/>
      <c r="GSM548" s="501"/>
      <c r="GSN548" s="501"/>
      <c r="GSO548" s="501"/>
      <c r="GSP548" s="501"/>
      <c r="GSQ548" s="501"/>
      <c r="GSR548" s="501"/>
      <c r="GSS548" s="501"/>
      <c r="GST548" s="501"/>
      <c r="GSU548" s="501"/>
      <c r="GSV548" s="501"/>
      <c r="GSW548" s="501"/>
      <c r="GSX548" s="501"/>
      <c r="GSY548" s="501"/>
      <c r="GSZ548" s="501"/>
      <c r="GTA548" s="501"/>
      <c r="GTB548" s="501"/>
      <c r="GTC548" s="501"/>
      <c r="GTD548" s="501"/>
      <c r="GTE548" s="501"/>
      <c r="GTF548" s="501"/>
      <c r="GTG548" s="501"/>
      <c r="GTH548" s="501"/>
      <c r="GTI548" s="501"/>
      <c r="GTJ548" s="501"/>
      <c r="GTK548" s="501"/>
      <c r="GTL548" s="501"/>
      <c r="GTM548" s="501"/>
      <c r="GTN548" s="501"/>
      <c r="GTO548" s="501"/>
      <c r="GTP548" s="501"/>
      <c r="GTQ548" s="501"/>
      <c r="GTR548" s="501"/>
      <c r="GTS548" s="501"/>
      <c r="GTT548" s="501"/>
      <c r="GTU548" s="501"/>
      <c r="GTV548" s="501"/>
      <c r="GTW548" s="501"/>
      <c r="GTX548" s="501"/>
      <c r="GTY548" s="501"/>
      <c r="GTZ548" s="501"/>
      <c r="GUA548" s="501"/>
      <c r="GUB548" s="501"/>
      <c r="GUC548" s="501"/>
      <c r="GUD548" s="501"/>
      <c r="GUE548" s="501"/>
      <c r="GUF548" s="501"/>
      <c r="GUG548" s="501"/>
      <c r="GUH548" s="501"/>
      <c r="GUI548" s="501"/>
      <c r="GUJ548" s="501"/>
      <c r="GUK548" s="501"/>
      <c r="GUL548" s="501"/>
      <c r="GUM548" s="501"/>
      <c r="GUN548" s="501"/>
      <c r="GUO548" s="501"/>
      <c r="GUP548" s="501"/>
      <c r="GUQ548" s="501"/>
      <c r="GUR548" s="501"/>
      <c r="GUS548" s="501"/>
      <c r="GUT548" s="501"/>
      <c r="GUU548" s="501"/>
      <c r="GUV548" s="501"/>
      <c r="GUW548" s="501"/>
      <c r="GUX548" s="501"/>
      <c r="GUY548" s="501"/>
      <c r="GUZ548" s="501"/>
      <c r="GVA548" s="501"/>
      <c r="GVB548" s="501"/>
      <c r="GVC548" s="501"/>
      <c r="GVD548" s="501"/>
      <c r="GVE548" s="501"/>
      <c r="GVF548" s="501"/>
      <c r="GVG548" s="501"/>
      <c r="GVH548" s="501"/>
      <c r="GVI548" s="501"/>
      <c r="GVJ548" s="501"/>
      <c r="GVK548" s="501"/>
      <c r="GVL548" s="501"/>
      <c r="GVM548" s="501"/>
      <c r="GVN548" s="501"/>
      <c r="GVO548" s="501"/>
      <c r="GVP548" s="501"/>
      <c r="GVQ548" s="501"/>
      <c r="GVR548" s="501"/>
      <c r="GVS548" s="501"/>
      <c r="GVT548" s="501"/>
      <c r="GVU548" s="501"/>
      <c r="GVV548" s="501"/>
      <c r="GVW548" s="501"/>
      <c r="GVX548" s="501"/>
      <c r="GVY548" s="501"/>
      <c r="GVZ548" s="501"/>
      <c r="GWA548" s="501"/>
      <c r="GWB548" s="501"/>
      <c r="GWC548" s="501"/>
      <c r="GWD548" s="501"/>
      <c r="GWE548" s="501"/>
      <c r="GWF548" s="501"/>
      <c r="GWG548" s="501"/>
      <c r="GWH548" s="501"/>
      <c r="GWI548" s="501"/>
      <c r="GWJ548" s="501"/>
      <c r="GWK548" s="501"/>
      <c r="GWL548" s="501"/>
      <c r="GWM548" s="501"/>
      <c r="GWN548" s="501"/>
      <c r="GWO548" s="501"/>
      <c r="GWP548" s="501"/>
      <c r="GWQ548" s="501"/>
      <c r="GWR548" s="501"/>
      <c r="GWS548" s="501"/>
      <c r="GWT548" s="501"/>
      <c r="GWU548" s="501"/>
      <c r="GWV548" s="501"/>
      <c r="GWW548" s="501"/>
      <c r="GWX548" s="501"/>
      <c r="GWY548" s="501"/>
      <c r="GWZ548" s="501"/>
      <c r="GXA548" s="501"/>
      <c r="GXB548" s="501"/>
      <c r="GXC548" s="501"/>
      <c r="GXD548" s="501"/>
      <c r="GXE548" s="501"/>
      <c r="GXF548" s="501"/>
      <c r="GXG548" s="501"/>
      <c r="GXH548" s="501"/>
      <c r="GXI548" s="501"/>
      <c r="GXJ548" s="501"/>
      <c r="GXK548" s="501"/>
      <c r="GXL548" s="501"/>
      <c r="GXM548" s="501"/>
      <c r="GXN548" s="501"/>
      <c r="GXO548" s="501"/>
      <c r="GXP548" s="501"/>
      <c r="GXQ548" s="501"/>
      <c r="GXR548" s="501"/>
      <c r="GXS548" s="501"/>
      <c r="GXT548" s="501"/>
      <c r="GXU548" s="501"/>
      <c r="GXV548" s="501"/>
      <c r="GXW548" s="501"/>
      <c r="GXX548" s="501"/>
      <c r="GXY548" s="501"/>
      <c r="GXZ548" s="501"/>
      <c r="GYA548" s="501"/>
      <c r="GYB548" s="501"/>
      <c r="GYC548" s="501"/>
      <c r="GYD548" s="501"/>
      <c r="GYE548" s="501"/>
      <c r="GYF548" s="501"/>
      <c r="GYG548" s="501"/>
      <c r="GYH548" s="501"/>
      <c r="GYI548" s="501"/>
      <c r="GYJ548" s="501"/>
      <c r="GYK548" s="501"/>
      <c r="GYL548" s="501"/>
      <c r="GYM548" s="501"/>
      <c r="GYN548" s="501"/>
      <c r="GYO548" s="501"/>
      <c r="GYP548" s="501"/>
      <c r="GYQ548" s="501"/>
      <c r="GYR548" s="501"/>
      <c r="GYS548" s="501"/>
      <c r="GYT548" s="501"/>
      <c r="GYU548" s="501"/>
      <c r="GYV548" s="501"/>
      <c r="GYW548" s="501"/>
      <c r="GYX548" s="501"/>
      <c r="GYY548" s="501"/>
      <c r="GYZ548" s="501"/>
      <c r="GZA548" s="501"/>
      <c r="GZB548" s="501"/>
      <c r="GZC548" s="501"/>
      <c r="GZD548" s="501"/>
      <c r="GZE548" s="501"/>
      <c r="GZF548" s="501"/>
      <c r="GZG548" s="501"/>
      <c r="GZH548" s="501"/>
      <c r="GZI548" s="501"/>
      <c r="GZJ548" s="501"/>
      <c r="GZK548" s="501"/>
      <c r="GZL548" s="501"/>
      <c r="GZM548" s="501"/>
      <c r="GZN548" s="501"/>
      <c r="GZO548" s="501"/>
      <c r="GZP548" s="501"/>
      <c r="GZQ548" s="501"/>
      <c r="GZR548" s="501"/>
      <c r="GZS548" s="501"/>
      <c r="GZT548" s="501"/>
      <c r="GZU548" s="501"/>
      <c r="GZV548" s="501"/>
      <c r="GZW548" s="501"/>
      <c r="GZX548" s="501"/>
      <c r="GZY548" s="501"/>
      <c r="GZZ548" s="501"/>
      <c r="HAA548" s="501"/>
      <c r="HAB548" s="501"/>
      <c r="HAC548" s="501"/>
      <c r="HAD548" s="501"/>
      <c r="HAE548" s="501"/>
      <c r="HAF548" s="501"/>
      <c r="HAG548" s="501"/>
      <c r="HAH548" s="501"/>
      <c r="HAI548" s="501"/>
      <c r="HAJ548" s="501"/>
      <c r="HAK548" s="501"/>
      <c r="HAL548" s="501"/>
      <c r="HAM548" s="501"/>
      <c r="HAN548" s="501"/>
      <c r="HAO548" s="501"/>
      <c r="HAP548" s="501"/>
      <c r="HAQ548" s="501"/>
      <c r="HAR548" s="501"/>
      <c r="HAS548" s="501"/>
      <c r="HAT548" s="501"/>
      <c r="HAU548" s="501"/>
      <c r="HAV548" s="501"/>
      <c r="HAW548" s="501"/>
      <c r="HAX548" s="501"/>
      <c r="HAY548" s="501"/>
      <c r="HAZ548" s="501"/>
      <c r="HBA548" s="501"/>
      <c r="HBB548" s="501"/>
      <c r="HBC548" s="501"/>
      <c r="HBD548" s="501"/>
      <c r="HBE548" s="501"/>
      <c r="HBF548" s="501"/>
      <c r="HBG548" s="501"/>
      <c r="HBH548" s="501"/>
      <c r="HBI548" s="501"/>
      <c r="HBJ548" s="501"/>
      <c r="HBK548" s="501"/>
      <c r="HBL548" s="501"/>
      <c r="HBM548" s="501"/>
      <c r="HBN548" s="501"/>
      <c r="HBO548" s="501"/>
      <c r="HBP548" s="501"/>
      <c r="HBQ548" s="501"/>
      <c r="HBR548" s="501"/>
      <c r="HBS548" s="501"/>
      <c r="HBT548" s="501"/>
      <c r="HBU548" s="501"/>
      <c r="HBV548" s="501"/>
      <c r="HBW548" s="501"/>
      <c r="HBX548" s="501"/>
      <c r="HBY548" s="501"/>
      <c r="HBZ548" s="501"/>
      <c r="HCA548" s="501"/>
      <c r="HCB548" s="501"/>
      <c r="HCC548" s="501"/>
      <c r="HCD548" s="501"/>
      <c r="HCE548" s="501"/>
      <c r="HCF548" s="501"/>
      <c r="HCG548" s="501"/>
      <c r="HCH548" s="501"/>
      <c r="HCI548" s="501"/>
      <c r="HCJ548" s="501"/>
      <c r="HCK548" s="501"/>
      <c r="HCL548" s="501"/>
      <c r="HCM548" s="501"/>
      <c r="HCN548" s="501"/>
      <c r="HCO548" s="501"/>
      <c r="HCP548" s="501"/>
      <c r="HCQ548" s="501"/>
      <c r="HCR548" s="501"/>
      <c r="HCS548" s="501"/>
      <c r="HCT548" s="501"/>
      <c r="HCU548" s="501"/>
      <c r="HCV548" s="501"/>
      <c r="HCW548" s="501"/>
      <c r="HCX548" s="501"/>
      <c r="HCY548" s="501"/>
      <c r="HCZ548" s="501"/>
      <c r="HDA548" s="501"/>
      <c r="HDB548" s="501"/>
      <c r="HDC548" s="501"/>
      <c r="HDD548" s="501"/>
      <c r="HDE548" s="501"/>
      <c r="HDF548" s="501"/>
      <c r="HDG548" s="501"/>
      <c r="HDH548" s="501"/>
      <c r="HDI548" s="501"/>
      <c r="HDJ548" s="501"/>
      <c r="HDK548" s="501"/>
      <c r="HDL548" s="501"/>
      <c r="HDM548" s="501"/>
      <c r="HDN548" s="501"/>
      <c r="HDO548" s="501"/>
      <c r="HDP548" s="501"/>
      <c r="HDQ548" s="501"/>
      <c r="HDR548" s="501"/>
      <c r="HDS548" s="501"/>
      <c r="HDT548" s="501"/>
      <c r="HDU548" s="501"/>
      <c r="HDV548" s="501"/>
      <c r="HDW548" s="501"/>
      <c r="HDX548" s="501"/>
      <c r="HDY548" s="501"/>
      <c r="HDZ548" s="501"/>
      <c r="HEA548" s="501"/>
      <c r="HEB548" s="501"/>
      <c r="HEC548" s="501"/>
      <c r="HED548" s="501"/>
      <c r="HEE548" s="501"/>
      <c r="HEF548" s="501"/>
      <c r="HEG548" s="501"/>
      <c r="HEH548" s="501"/>
      <c r="HEI548" s="501"/>
      <c r="HEJ548" s="501"/>
      <c r="HEK548" s="501"/>
      <c r="HEL548" s="501"/>
      <c r="HEM548" s="501"/>
      <c r="HEN548" s="501"/>
      <c r="HEO548" s="501"/>
      <c r="HEP548" s="501"/>
      <c r="HEQ548" s="501"/>
      <c r="HER548" s="501"/>
      <c r="HES548" s="501"/>
      <c r="HET548" s="501"/>
      <c r="HEU548" s="501"/>
      <c r="HEV548" s="501"/>
      <c r="HEW548" s="501"/>
      <c r="HEX548" s="501"/>
      <c r="HEY548" s="501"/>
      <c r="HEZ548" s="501"/>
      <c r="HFA548" s="501"/>
      <c r="HFB548" s="501"/>
      <c r="HFC548" s="501"/>
      <c r="HFD548" s="501"/>
      <c r="HFE548" s="501"/>
      <c r="HFF548" s="501"/>
      <c r="HFG548" s="501"/>
      <c r="HFH548" s="501"/>
      <c r="HFI548" s="501"/>
      <c r="HFJ548" s="501"/>
      <c r="HFK548" s="501"/>
      <c r="HFL548" s="501"/>
      <c r="HFM548" s="501"/>
      <c r="HFN548" s="501"/>
      <c r="HFO548" s="501"/>
      <c r="HFP548" s="501"/>
      <c r="HFQ548" s="501"/>
      <c r="HFR548" s="501"/>
      <c r="HFS548" s="501"/>
      <c r="HFT548" s="501"/>
      <c r="HFU548" s="501"/>
      <c r="HFV548" s="501"/>
      <c r="HFW548" s="501"/>
      <c r="HFX548" s="501"/>
      <c r="HFY548" s="501"/>
      <c r="HFZ548" s="501"/>
      <c r="HGA548" s="501"/>
      <c r="HGB548" s="501"/>
      <c r="HGC548" s="501"/>
      <c r="HGD548" s="501"/>
      <c r="HGE548" s="501"/>
      <c r="HGF548" s="501"/>
      <c r="HGG548" s="501"/>
      <c r="HGH548" s="501"/>
      <c r="HGI548" s="501"/>
      <c r="HGJ548" s="501"/>
      <c r="HGK548" s="501"/>
      <c r="HGL548" s="501"/>
      <c r="HGM548" s="501"/>
      <c r="HGN548" s="501"/>
      <c r="HGO548" s="501"/>
      <c r="HGP548" s="501"/>
      <c r="HGQ548" s="501"/>
      <c r="HGR548" s="501"/>
      <c r="HGS548" s="501"/>
      <c r="HGT548" s="501"/>
      <c r="HGU548" s="501"/>
      <c r="HGV548" s="501"/>
      <c r="HGW548" s="501"/>
      <c r="HGX548" s="501"/>
      <c r="HGY548" s="501"/>
      <c r="HGZ548" s="501"/>
      <c r="HHA548" s="501"/>
      <c r="HHB548" s="501"/>
      <c r="HHC548" s="501"/>
      <c r="HHD548" s="501"/>
      <c r="HHE548" s="501"/>
      <c r="HHF548" s="501"/>
      <c r="HHG548" s="501"/>
      <c r="HHH548" s="501"/>
      <c r="HHI548" s="501"/>
      <c r="HHJ548" s="501"/>
      <c r="HHK548" s="501"/>
      <c r="HHL548" s="501"/>
      <c r="HHM548" s="501"/>
      <c r="HHN548" s="501"/>
      <c r="HHO548" s="501"/>
      <c r="HHP548" s="501"/>
      <c r="HHQ548" s="501"/>
      <c r="HHR548" s="501"/>
      <c r="HHS548" s="501"/>
      <c r="HHT548" s="501"/>
      <c r="HHU548" s="501"/>
      <c r="HHV548" s="501"/>
      <c r="HHW548" s="501"/>
      <c r="HHX548" s="501"/>
      <c r="HHY548" s="501"/>
      <c r="HHZ548" s="501"/>
      <c r="HIA548" s="501"/>
      <c r="HIB548" s="501"/>
      <c r="HIC548" s="501"/>
      <c r="HID548" s="501"/>
      <c r="HIE548" s="501"/>
      <c r="HIF548" s="501"/>
      <c r="HIG548" s="501"/>
      <c r="HIH548" s="501"/>
      <c r="HII548" s="501"/>
      <c r="HIJ548" s="501"/>
      <c r="HIK548" s="501"/>
      <c r="HIL548" s="501"/>
      <c r="HIM548" s="501"/>
      <c r="HIN548" s="501"/>
      <c r="HIO548" s="501"/>
      <c r="HIP548" s="501"/>
      <c r="HIQ548" s="501"/>
      <c r="HIR548" s="501"/>
      <c r="HIS548" s="501"/>
      <c r="HIT548" s="501"/>
      <c r="HIU548" s="501"/>
      <c r="HIV548" s="501"/>
      <c r="HIW548" s="501"/>
      <c r="HIX548" s="501"/>
      <c r="HIY548" s="501"/>
      <c r="HIZ548" s="501"/>
      <c r="HJA548" s="501"/>
      <c r="HJB548" s="501"/>
      <c r="HJC548" s="501"/>
      <c r="HJD548" s="501"/>
      <c r="HJE548" s="501"/>
      <c r="HJF548" s="501"/>
      <c r="HJG548" s="501"/>
      <c r="HJH548" s="501"/>
      <c r="HJI548" s="501"/>
      <c r="HJJ548" s="501"/>
      <c r="HJK548" s="501"/>
      <c r="HJL548" s="501"/>
      <c r="HJM548" s="501"/>
      <c r="HJN548" s="501"/>
      <c r="HJO548" s="501"/>
      <c r="HJP548" s="501"/>
      <c r="HJQ548" s="501"/>
      <c r="HJR548" s="501"/>
      <c r="HJS548" s="501"/>
      <c r="HJT548" s="501"/>
      <c r="HJU548" s="501"/>
      <c r="HJV548" s="501"/>
      <c r="HJW548" s="501"/>
      <c r="HJX548" s="501"/>
      <c r="HJY548" s="501"/>
      <c r="HJZ548" s="501"/>
      <c r="HKA548" s="501"/>
      <c r="HKB548" s="501"/>
      <c r="HKC548" s="501"/>
      <c r="HKD548" s="501"/>
      <c r="HKE548" s="501"/>
      <c r="HKF548" s="501"/>
      <c r="HKG548" s="501"/>
      <c r="HKH548" s="501"/>
      <c r="HKI548" s="501"/>
      <c r="HKJ548" s="501"/>
      <c r="HKK548" s="501"/>
      <c r="HKL548" s="501"/>
      <c r="HKM548" s="501"/>
      <c r="HKN548" s="501"/>
      <c r="HKO548" s="501"/>
      <c r="HKP548" s="501"/>
      <c r="HKQ548" s="501"/>
      <c r="HKR548" s="501"/>
      <c r="HKS548" s="501"/>
      <c r="HKT548" s="501"/>
      <c r="HKU548" s="501"/>
      <c r="HKV548" s="501"/>
      <c r="HKW548" s="501"/>
      <c r="HKX548" s="501"/>
      <c r="HKY548" s="501"/>
      <c r="HKZ548" s="501"/>
      <c r="HLA548" s="501"/>
      <c r="HLB548" s="501"/>
      <c r="HLC548" s="501"/>
      <c r="HLD548" s="501"/>
      <c r="HLE548" s="501"/>
      <c r="HLF548" s="501"/>
      <c r="HLG548" s="501"/>
      <c r="HLH548" s="501"/>
      <c r="HLI548" s="501"/>
      <c r="HLJ548" s="501"/>
      <c r="HLK548" s="501"/>
      <c r="HLL548" s="501"/>
      <c r="HLM548" s="501"/>
      <c r="HLN548" s="501"/>
      <c r="HLO548" s="501"/>
      <c r="HLP548" s="501"/>
      <c r="HLQ548" s="501"/>
      <c r="HLR548" s="501"/>
      <c r="HLS548" s="501"/>
      <c r="HLT548" s="501"/>
      <c r="HLU548" s="501"/>
      <c r="HLV548" s="501"/>
      <c r="HLW548" s="501"/>
      <c r="HLX548" s="501"/>
      <c r="HLY548" s="501"/>
      <c r="HLZ548" s="501"/>
      <c r="HMA548" s="501"/>
      <c r="HMB548" s="501"/>
      <c r="HMC548" s="501"/>
      <c r="HMD548" s="501"/>
      <c r="HME548" s="501"/>
      <c r="HMF548" s="501"/>
      <c r="HMG548" s="501"/>
      <c r="HMH548" s="501"/>
      <c r="HMI548" s="501"/>
      <c r="HMJ548" s="501"/>
      <c r="HMK548" s="501"/>
      <c r="HML548" s="501"/>
      <c r="HMM548" s="501"/>
      <c r="HMN548" s="501"/>
      <c r="HMO548" s="501"/>
      <c r="HMP548" s="501"/>
      <c r="HMQ548" s="501"/>
      <c r="HMR548" s="501"/>
      <c r="HMS548" s="501"/>
      <c r="HMT548" s="501"/>
      <c r="HMU548" s="501"/>
      <c r="HMV548" s="501"/>
      <c r="HMW548" s="501"/>
      <c r="HMX548" s="501"/>
      <c r="HMY548" s="501"/>
      <c r="HMZ548" s="501"/>
      <c r="HNA548" s="501"/>
      <c r="HNB548" s="501"/>
      <c r="HNC548" s="501"/>
      <c r="HND548" s="501"/>
      <c r="HNE548" s="501"/>
      <c r="HNF548" s="501"/>
      <c r="HNG548" s="501"/>
      <c r="HNH548" s="501"/>
      <c r="HNI548" s="501"/>
      <c r="HNJ548" s="501"/>
      <c r="HNK548" s="501"/>
      <c r="HNL548" s="501"/>
      <c r="HNM548" s="501"/>
      <c r="HNN548" s="501"/>
      <c r="HNO548" s="501"/>
      <c r="HNP548" s="501"/>
      <c r="HNQ548" s="501"/>
      <c r="HNR548" s="501"/>
      <c r="HNS548" s="501"/>
      <c r="HNT548" s="501"/>
      <c r="HNU548" s="501"/>
      <c r="HNV548" s="501"/>
      <c r="HNW548" s="501"/>
      <c r="HNX548" s="501"/>
      <c r="HNY548" s="501"/>
      <c r="HNZ548" s="501"/>
      <c r="HOA548" s="501"/>
      <c r="HOB548" s="501"/>
      <c r="HOC548" s="501"/>
      <c r="HOD548" s="501"/>
      <c r="HOE548" s="501"/>
      <c r="HOF548" s="501"/>
      <c r="HOG548" s="501"/>
      <c r="HOH548" s="501"/>
      <c r="HOI548" s="501"/>
      <c r="HOJ548" s="501"/>
      <c r="HOK548" s="501"/>
      <c r="HOL548" s="501"/>
      <c r="HOM548" s="501"/>
      <c r="HON548" s="501"/>
      <c r="HOO548" s="501"/>
      <c r="HOP548" s="501"/>
      <c r="HOQ548" s="501"/>
      <c r="HOR548" s="501"/>
      <c r="HOS548" s="501"/>
      <c r="HOT548" s="501"/>
      <c r="HOU548" s="501"/>
      <c r="HOV548" s="501"/>
      <c r="HOW548" s="501"/>
      <c r="HOX548" s="501"/>
      <c r="HOY548" s="501"/>
      <c r="HOZ548" s="501"/>
      <c r="HPA548" s="501"/>
      <c r="HPB548" s="501"/>
      <c r="HPC548" s="501"/>
      <c r="HPD548" s="501"/>
      <c r="HPE548" s="501"/>
      <c r="HPF548" s="501"/>
      <c r="HPG548" s="501"/>
      <c r="HPH548" s="501"/>
      <c r="HPI548" s="501"/>
      <c r="HPJ548" s="501"/>
      <c r="HPK548" s="501"/>
      <c r="HPL548" s="501"/>
      <c r="HPM548" s="501"/>
      <c r="HPN548" s="501"/>
      <c r="HPO548" s="501"/>
      <c r="HPP548" s="501"/>
      <c r="HPQ548" s="501"/>
      <c r="HPR548" s="501"/>
      <c r="HPS548" s="501"/>
      <c r="HPT548" s="501"/>
      <c r="HPU548" s="501"/>
      <c r="HPV548" s="501"/>
      <c r="HPW548" s="501"/>
      <c r="HPX548" s="501"/>
      <c r="HPY548" s="501"/>
      <c r="HPZ548" s="501"/>
      <c r="HQA548" s="501"/>
      <c r="HQB548" s="501"/>
      <c r="HQC548" s="501"/>
      <c r="HQD548" s="501"/>
      <c r="HQE548" s="501"/>
      <c r="HQF548" s="501"/>
      <c r="HQG548" s="501"/>
      <c r="HQH548" s="501"/>
      <c r="HQI548" s="501"/>
      <c r="HQJ548" s="501"/>
      <c r="HQK548" s="501"/>
      <c r="HQL548" s="501"/>
      <c r="HQM548" s="501"/>
      <c r="HQN548" s="501"/>
      <c r="HQO548" s="501"/>
      <c r="HQP548" s="501"/>
      <c r="HQQ548" s="501"/>
      <c r="HQR548" s="501"/>
      <c r="HQS548" s="501"/>
      <c r="HQT548" s="501"/>
      <c r="HQU548" s="501"/>
      <c r="HQV548" s="501"/>
      <c r="HQW548" s="501"/>
      <c r="HQX548" s="501"/>
      <c r="HQY548" s="501"/>
      <c r="HQZ548" s="501"/>
      <c r="HRA548" s="501"/>
      <c r="HRB548" s="501"/>
      <c r="HRC548" s="501"/>
      <c r="HRD548" s="501"/>
      <c r="HRE548" s="501"/>
      <c r="HRF548" s="501"/>
      <c r="HRG548" s="501"/>
      <c r="HRH548" s="501"/>
      <c r="HRI548" s="501"/>
      <c r="HRJ548" s="501"/>
      <c r="HRK548" s="501"/>
      <c r="HRL548" s="501"/>
      <c r="HRM548" s="501"/>
      <c r="HRN548" s="501"/>
      <c r="HRO548" s="501"/>
      <c r="HRP548" s="501"/>
      <c r="HRQ548" s="501"/>
      <c r="HRR548" s="501"/>
      <c r="HRS548" s="501"/>
      <c r="HRT548" s="501"/>
      <c r="HRU548" s="501"/>
      <c r="HRV548" s="501"/>
      <c r="HRW548" s="501"/>
      <c r="HRX548" s="501"/>
      <c r="HRY548" s="501"/>
      <c r="HRZ548" s="501"/>
      <c r="HSA548" s="501"/>
      <c r="HSB548" s="501"/>
      <c r="HSC548" s="501"/>
      <c r="HSD548" s="501"/>
      <c r="HSE548" s="501"/>
      <c r="HSF548" s="501"/>
      <c r="HSG548" s="501"/>
      <c r="HSH548" s="501"/>
      <c r="HSI548" s="501"/>
      <c r="HSJ548" s="501"/>
      <c r="HSK548" s="501"/>
      <c r="HSL548" s="501"/>
      <c r="HSM548" s="501"/>
      <c r="HSN548" s="501"/>
      <c r="HSO548" s="501"/>
      <c r="HSP548" s="501"/>
      <c r="HSQ548" s="501"/>
      <c r="HSR548" s="501"/>
      <c r="HSS548" s="501"/>
      <c r="HST548" s="501"/>
      <c r="HSU548" s="501"/>
      <c r="HSV548" s="501"/>
      <c r="HSW548" s="501"/>
      <c r="HSX548" s="501"/>
      <c r="HSY548" s="501"/>
      <c r="HSZ548" s="501"/>
      <c r="HTA548" s="501"/>
      <c r="HTB548" s="501"/>
      <c r="HTC548" s="501"/>
      <c r="HTD548" s="501"/>
      <c r="HTE548" s="501"/>
      <c r="HTF548" s="501"/>
      <c r="HTG548" s="501"/>
      <c r="HTH548" s="501"/>
      <c r="HTI548" s="501"/>
      <c r="HTJ548" s="501"/>
      <c r="HTK548" s="501"/>
      <c r="HTL548" s="501"/>
      <c r="HTM548" s="501"/>
      <c r="HTN548" s="501"/>
      <c r="HTO548" s="501"/>
      <c r="HTP548" s="501"/>
      <c r="HTQ548" s="501"/>
      <c r="HTR548" s="501"/>
      <c r="HTS548" s="501"/>
      <c r="HTT548" s="501"/>
      <c r="HTU548" s="501"/>
      <c r="HTV548" s="501"/>
      <c r="HTW548" s="501"/>
      <c r="HTX548" s="501"/>
      <c r="HTY548" s="501"/>
      <c r="HTZ548" s="501"/>
      <c r="HUA548" s="501"/>
      <c r="HUB548" s="501"/>
      <c r="HUC548" s="501"/>
      <c r="HUD548" s="501"/>
      <c r="HUE548" s="501"/>
      <c r="HUF548" s="501"/>
      <c r="HUG548" s="501"/>
      <c r="HUH548" s="501"/>
      <c r="HUI548" s="501"/>
      <c r="HUJ548" s="501"/>
      <c r="HUK548" s="501"/>
      <c r="HUL548" s="501"/>
      <c r="HUM548" s="501"/>
      <c r="HUN548" s="501"/>
      <c r="HUO548" s="501"/>
      <c r="HUP548" s="501"/>
      <c r="HUQ548" s="501"/>
      <c r="HUR548" s="501"/>
      <c r="HUS548" s="501"/>
      <c r="HUT548" s="501"/>
      <c r="HUU548" s="501"/>
      <c r="HUV548" s="501"/>
      <c r="HUW548" s="501"/>
      <c r="HUX548" s="501"/>
      <c r="HUY548" s="501"/>
      <c r="HUZ548" s="501"/>
      <c r="HVA548" s="501"/>
      <c r="HVB548" s="501"/>
      <c r="HVC548" s="501"/>
      <c r="HVD548" s="501"/>
      <c r="HVE548" s="501"/>
      <c r="HVF548" s="501"/>
      <c r="HVG548" s="501"/>
      <c r="HVH548" s="501"/>
      <c r="HVI548" s="501"/>
      <c r="HVJ548" s="501"/>
      <c r="HVK548" s="501"/>
      <c r="HVL548" s="501"/>
      <c r="HVM548" s="501"/>
      <c r="HVN548" s="501"/>
      <c r="HVO548" s="501"/>
      <c r="HVP548" s="501"/>
      <c r="HVQ548" s="501"/>
      <c r="HVR548" s="501"/>
      <c r="HVS548" s="501"/>
      <c r="HVT548" s="501"/>
      <c r="HVU548" s="501"/>
      <c r="HVV548" s="501"/>
      <c r="HVW548" s="501"/>
      <c r="HVX548" s="501"/>
      <c r="HVY548" s="501"/>
      <c r="HVZ548" s="501"/>
      <c r="HWA548" s="501"/>
      <c r="HWB548" s="501"/>
      <c r="HWC548" s="501"/>
      <c r="HWD548" s="501"/>
      <c r="HWE548" s="501"/>
      <c r="HWF548" s="501"/>
      <c r="HWG548" s="501"/>
      <c r="HWH548" s="501"/>
      <c r="HWI548" s="501"/>
      <c r="HWJ548" s="501"/>
      <c r="HWK548" s="501"/>
      <c r="HWL548" s="501"/>
      <c r="HWM548" s="501"/>
      <c r="HWN548" s="501"/>
      <c r="HWO548" s="501"/>
      <c r="HWP548" s="501"/>
      <c r="HWQ548" s="501"/>
      <c r="HWR548" s="501"/>
      <c r="HWS548" s="501"/>
      <c r="HWT548" s="501"/>
      <c r="HWU548" s="501"/>
      <c r="HWV548" s="501"/>
      <c r="HWW548" s="501"/>
      <c r="HWX548" s="501"/>
      <c r="HWY548" s="501"/>
      <c r="HWZ548" s="501"/>
      <c r="HXA548" s="501"/>
      <c r="HXB548" s="501"/>
      <c r="HXC548" s="501"/>
      <c r="HXD548" s="501"/>
      <c r="HXE548" s="501"/>
      <c r="HXF548" s="501"/>
      <c r="HXG548" s="501"/>
      <c r="HXH548" s="501"/>
      <c r="HXI548" s="501"/>
      <c r="HXJ548" s="501"/>
      <c r="HXK548" s="501"/>
      <c r="HXL548" s="501"/>
      <c r="HXM548" s="501"/>
      <c r="HXN548" s="501"/>
      <c r="HXO548" s="501"/>
      <c r="HXP548" s="501"/>
      <c r="HXQ548" s="501"/>
      <c r="HXR548" s="501"/>
      <c r="HXS548" s="501"/>
      <c r="HXT548" s="501"/>
      <c r="HXU548" s="501"/>
      <c r="HXV548" s="501"/>
      <c r="HXW548" s="501"/>
      <c r="HXX548" s="501"/>
      <c r="HXY548" s="501"/>
      <c r="HXZ548" s="501"/>
      <c r="HYA548" s="501"/>
      <c r="HYB548" s="501"/>
      <c r="HYC548" s="501"/>
      <c r="HYD548" s="501"/>
      <c r="HYE548" s="501"/>
      <c r="HYF548" s="501"/>
      <c r="HYG548" s="501"/>
      <c r="HYH548" s="501"/>
      <c r="HYI548" s="501"/>
      <c r="HYJ548" s="501"/>
      <c r="HYK548" s="501"/>
      <c r="HYL548" s="501"/>
      <c r="HYM548" s="501"/>
      <c r="HYN548" s="501"/>
      <c r="HYO548" s="501"/>
      <c r="HYP548" s="501"/>
      <c r="HYQ548" s="501"/>
      <c r="HYR548" s="501"/>
      <c r="HYS548" s="501"/>
      <c r="HYT548" s="501"/>
      <c r="HYU548" s="501"/>
      <c r="HYV548" s="501"/>
      <c r="HYW548" s="501"/>
      <c r="HYX548" s="501"/>
      <c r="HYY548" s="501"/>
      <c r="HYZ548" s="501"/>
      <c r="HZA548" s="501"/>
      <c r="HZB548" s="501"/>
      <c r="HZC548" s="501"/>
      <c r="HZD548" s="501"/>
      <c r="HZE548" s="501"/>
      <c r="HZF548" s="501"/>
      <c r="HZG548" s="501"/>
      <c r="HZH548" s="501"/>
      <c r="HZI548" s="501"/>
      <c r="HZJ548" s="501"/>
      <c r="HZK548" s="501"/>
      <c r="HZL548" s="501"/>
      <c r="HZM548" s="501"/>
      <c r="HZN548" s="501"/>
      <c r="HZO548" s="501"/>
      <c r="HZP548" s="501"/>
      <c r="HZQ548" s="501"/>
      <c r="HZR548" s="501"/>
      <c r="HZS548" s="501"/>
      <c r="HZT548" s="501"/>
      <c r="HZU548" s="501"/>
      <c r="HZV548" s="501"/>
      <c r="HZW548" s="501"/>
      <c r="HZX548" s="501"/>
      <c r="HZY548" s="501"/>
      <c r="HZZ548" s="501"/>
      <c r="IAA548" s="501"/>
      <c r="IAB548" s="501"/>
      <c r="IAC548" s="501"/>
      <c r="IAD548" s="501"/>
      <c r="IAE548" s="501"/>
      <c r="IAF548" s="501"/>
      <c r="IAG548" s="501"/>
      <c r="IAH548" s="501"/>
      <c r="IAI548" s="501"/>
      <c r="IAJ548" s="501"/>
      <c r="IAK548" s="501"/>
      <c r="IAL548" s="501"/>
      <c r="IAM548" s="501"/>
      <c r="IAN548" s="501"/>
      <c r="IAO548" s="501"/>
      <c r="IAP548" s="501"/>
      <c r="IAQ548" s="501"/>
      <c r="IAR548" s="501"/>
      <c r="IAS548" s="501"/>
      <c r="IAT548" s="501"/>
      <c r="IAU548" s="501"/>
      <c r="IAV548" s="501"/>
      <c r="IAW548" s="501"/>
      <c r="IAX548" s="501"/>
      <c r="IAY548" s="501"/>
      <c r="IAZ548" s="501"/>
      <c r="IBA548" s="501"/>
      <c r="IBB548" s="501"/>
      <c r="IBC548" s="501"/>
      <c r="IBD548" s="501"/>
      <c r="IBE548" s="501"/>
      <c r="IBF548" s="501"/>
      <c r="IBG548" s="501"/>
      <c r="IBH548" s="501"/>
      <c r="IBI548" s="501"/>
      <c r="IBJ548" s="501"/>
      <c r="IBK548" s="501"/>
      <c r="IBL548" s="501"/>
      <c r="IBM548" s="501"/>
      <c r="IBN548" s="501"/>
      <c r="IBO548" s="501"/>
      <c r="IBP548" s="501"/>
      <c r="IBQ548" s="501"/>
      <c r="IBR548" s="501"/>
      <c r="IBS548" s="501"/>
      <c r="IBT548" s="501"/>
      <c r="IBU548" s="501"/>
      <c r="IBV548" s="501"/>
      <c r="IBW548" s="501"/>
      <c r="IBX548" s="501"/>
      <c r="IBY548" s="501"/>
      <c r="IBZ548" s="501"/>
      <c r="ICA548" s="501"/>
      <c r="ICB548" s="501"/>
      <c r="ICC548" s="501"/>
      <c r="ICD548" s="501"/>
      <c r="ICE548" s="501"/>
      <c r="ICF548" s="501"/>
      <c r="ICG548" s="501"/>
      <c r="ICH548" s="501"/>
      <c r="ICI548" s="501"/>
      <c r="ICJ548" s="501"/>
      <c r="ICK548" s="501"/>
      <c r="ICL548" s="501"/>
      <c r="ICM548" s="501"/>
      <c r="ICN548" s="501"/>
      <c r="ICO548" s="501"/>
      <c r="ICP548" s="501"/>
      <c r="ICQ548" s="501"/>
      <c r="ICR548" s="501"/>
      <c r="ICS548" s="501"/>
      <c r="ICT548" s="501"/>
      <c r="ICU548" s="501"/>
      <c r="ICV548" s="501"/>
      <c r="ICW548" s="501"/>
      <c r="ICX548" s="501"/>
      <c r="ICY548" s="501"/>
      <c r="ICZ548" s="501"/>
      <c r="IDA548" s="501"/>
      <c r="IDB548" s="501"/>
      <c r="IDC548" s="501"/>
      <c r="IDD548" s="501"/>
      <c r="IDE548" s="501"/>
      <c r="IDF548" s="501"/>
      <c r="IDG548" s="501"/>
      <c r="IDH548" s="501"/>
      <c r="IDI548" s="501"/>
      <c r="IDJ548" s="501"/>
      <c r="IDK548" s="501"/>
      <c r="IDL548" s="501"/>
      <c r="IDM548" s="501"/>
      <c r="IDN548" s="501"/>
      <c r="IDO548" s="501"/>
      <c r="IDP548" s="501"/>
      <c r="IDQ548" s="501"/>
      <c r="IDR548" s="501"/>
      <c r="IDS548" s="501"/>
      <c r="IDT548" s="501"/>
      <c r="IDU548" s="501"/>
      <c r="IDV548" s="501"/>
      <c r="IDW548" s="501"/>
      <c r="IDX548" s="501"/>
      <c r="IDY548" s="501"/>
      <c r="IDZ548" s="501"/>
      <c r="IEA548" s="501"/>
      <c r="IEB548" s="501"/>
      <c r="IEC548" s="501"/>
      <c r="IED548" s="501"/>
      <c r="IEE548" s="501"/>
      <c r="IEF548" s="501"/>
      <c r="IEG548" s="501"/>
      <c r="IEH548" s="501"/>
      <c r="IEI548" s="501"/>
      <c r="IEJ548" s="501"/>
      <c r="IEK548" s="501"/>
      <c r="IEL548" s="501"/>
      <c r="IEM548" s="501"/>
      <c r="IEN548" s="501"/>
      <c r="IEO548" s="501"/>
      <c r="IEP548" s="501"/>
      <c r="IEQ548" s="501"/>
      <c r="IER548" s="501"/>
      <c r="IES548" s="501"/>
      <c r="IET548" s="501"/>
      <c r="IEU548" s="501"/>
      <c r="IEV548" s="501"/>
      <c r="IEW548" s="501"/>
      <c r="IEX548" s="501"/>
      <c r="IEY548" s="501"/>
      <c r="IEZ548" s="501"/>
      <c r="IFA548" s="501"/>
      <c r="IFB548" s="501"/>
      <c r="IFC548" s="501"/>
      <c r="IFD548" s="501"/>
      <c r="IFE548" s="501"/>
      <c r="IFF548" s="501"/>
      <c r="IFG548" s="501"/>
      <c r="IFH548" s="501"/>
      <c r="IFI548" s="501"/>
      <c r="IFJ548" s="501"/>
      <c r="IFK548" s="501"/>
      <c r="IFL548" s="501"/>
      <c r="IFM548" s="501"/>
      <c r="IFN548" s="501"/>
      <c r="IFO548" s="501"/>
      <c r="IFP548" s="501"/>
      <c r="IFQ548" s="501"/>
      <c r="IFR548" s="501"/>
      <c r="IFS548" s="501"/>
      <c r="IFT548" s="501"/>
      <c r="IFU548" s="501"/>
      <c r="IFV548" s="501"/>
      <c r="IFW548" s="501"/>
      <c r="IFX548" s="501"/>
      <c r="IFY548" s="501"/>
      <c r="IFZ548" s="501"/>
      <c r="IGA548" s="501"/>
      <c r="IGB548" s="501"/>
      <c r="IGC548" s="501"/>
      <c r="IGD548" s="501"/>
      <c r="IGE548" s="501"/>
      <c r="IGF548" s="501"/>
      <c r="IGG548" s="501"/>
      <c r="IGH548" s="501"/>
      <c r="IGI548" s="501"/>
      <c r="IGJ548" s="501"/>
      <c r="IGK548" s="501"/>
      <c r="IGL548" s="501"/>
      <c r="IGM548" s="501"/>
      <c r="IGN548" s="501"/>
      <c r="IGO548" s="501"/>
      <c r="IGP548" s="501"/>
      <c r="IGQ548" s="501"/>
      <c r="IGR548" s="501"/>
      <c r="IGS548" s="501"/>
      <c r="IGT548" s="501"/>
      <c r="IGU548" s="501"/>
      <c r="IGV548" s="501"/>
      <c r="IGW548" s="501"/>
      <c r="IGX548" s="501"/>
      <c r="IGY548" s="501"/>
      <c r="IGZ548" s="501"/>
      <c r="IHA548" s="501"/>
      <c r="IHB548" s="501"/>
      <c r="IHC548" s="501"/>
      <c r="IHD548" s="501"/>
      <c r="IHE548" s="501"/>
      <c r="IHF548" s="501"/>
      <c r="IHG548" s="501"/>
      <c r="IHH548" s="501"/>
      <c r="IHI548" s="501"/>
      <c r="IHJ548" s="501"/>
      <c r="IHK548" s="501"/>
      <c r="IHL548" s="501"/>
      <c r="IHM548" s="501"/>
      <c r="IHN548" s="501"/>
      <c r="IHO548" s="501"/>
      <c r="IHP548" s="501"/>
      <c r="IHQ548" s="501"/>
      <c r="IHR548" s="501"/>
      <c r="IHS548" s="501"/>
      <c r="IHT548" s="501"/>
      <c r="IHU548" s="501"/>
      <c r="IHV548" s="501"/>
      <c r="IHW548" s="501"/>
      <c r="IHX548" s="501"/>
      <c r="IHY548" s="501"/>
      <c r="IHZ548" s="501"/>
      <c r="IIA548" s="501"/>
      <c r="IIB548" s="501"/>
      <c r="IIC548" s="501"/>
      <c r="IID548" s="501"/>
      <c r="IIE548" s="501"/>
      <c r="IIF548" s="501"/>
      <c r="IIG548" s="501"/>
      <c r="IIH548" s="501"/>
      <c r="III548" s="501"/>
      <c r="IIJ548" s="501"/>
      <c r="IIK548" s="501"/>
      <c r="IIL548" s="501"/>
      <c r="IIM548" s="501"/>
      <c r="IIN548" s="501"/>
      <c r="IIO548" s="501"/>
      <c r="IIP548" s="501"/>
      <c r="IIQ548" s="501"/>
      <c r="IIR548" s="501"/>
      <c r="IIS548" s="501"/>
      <c r="IIT548" s="501"/>
      <c r="IIU548" s="501"/>
      <c r="IIV548" s="501"/>
      <c r="IIW548" s="501"/>
      <c r="IIX548" s="501"/>
      <c r="IIY548" s="501"/>
      <c r="IIZ548" s="501"/>
      <c r="IJA548" s="501"/>
      <c r="IJB548" s="501"/>
      <c r="IJC548" s="501"/>
      <c r="IJD548" s="501"/>
      <c r="IJE548" s="501"/>
      <c r="IJF548" s="501"/>
      <c r="IJG548" s="501"/>
      <c r="IJH548" s="501"/>
      <c r="IJI548" s="501"/>
      <c r="IJJ548" s="501"/>
      <c r="IJK548" s="501"/>
      <c r="IJL548" s="501"/>
      <c r="IJM548" s="501"/>
      <c r="IJN548" s="501"/>
      <c r="IJO548" s="501"/>
      <c r="IJP548" s="501"/>
      <c r="IJQ548" s="501"/>
      <c r="IJR548" s="501"/>
      <c r="IJS548" s="501"/>
      <c r="IJT548" s="501"/>
      <c r="IJU548" s="501"/>
      <c r="IJV548" s="501"/>
      <c r="IJW548" s="501"/>
      <c r="IJX548" s="501"/>
      <c r="IJY548" s="501"/>
      <c r="IJZ548" s="501"/>
      <c r="IKA548" s="501"/>
      <c r="IKB548" s="501"/>
      <c r="IKC548" s="501"/>
      <c r="IKD548" s="501"/>
      <c r="IKE548" s="501"/>
      <c r="IKF548" s="501"/>
      <c r="IKG548" s="501"/>
      <c r="IKH548" s="501"/>
      <c r="IKI548" s="501"/>
      <c r="IKJ548" s="501"/>
      <c r="IKK548" s="501"/>
      <c r="IKL548" s="501"/>
      <c r="IKM548" s="501"/>
      <c r="IKN548" s="501"/>
      <c r="IKO548" s="501"/>
      <c r="IKP548" s="501"/>
      <c r="IKQ548" s="501"/>
      <c r="IKR548" s="501"/>
      <c r="IKS548" s="501"/>
      <c r="IKT548" s="501"/>
      <c r="IKU548" s="501"/>
      <c r="IKV548" s="501"/>
      <c r="IKW548" s="501"/>
      <c r="IKX548" s="501"/>
      <c r="IKY548" s="501"/>
      <c r="IKZ548" s="501"/>
      <c r="ILA548" s="501"/>
      <c r="ILB548" s="501"/>
      <c r="ILC548" s="501"/>
      <c r="ILD548" s="501"/>
      <c r="ILE548" s="501"/>
      <c r="ILF548" s="501"/>
      <c r="ILG548" s="501"/>
      <c r="ILH548" s="501"/>
      <c r="ILI548" s="501"/>
      <c r="ILJ548" s="501"/>
      <c r="ILK548" s="501"/>
      <c r="ILL548" s="501"/>
      <c r="ILM548" s="501"/>
      <c r="ILN548" s="501"/>
      <c r="ILO548" s="501"/>
      <c r="ILP548" s="501"/>
      <c r="ILQ548" s="501"/>
      <c r="ILR548" s="501"/>
      <c r="ILS548" s="501"/>
      <c r="ILT548" s="501"/>
      <c r="ILU548" s="501"/>
      <c r="ILV548" s="501"/>
      <c r="ILW548" s="501"/>
      <c r="ILX548" s="501"/>
      <c r="ILY548" s="501"/>
      <c r="ILZ548" s="501"/>
      <c r="IMA548" s="501"/>
      <c r="IMB548" s="501"/>
      <c r="IMC548" s="501"/>
      <c r="IMD548" s="501"/>
      <c r="IME548" s="501"/>
      <c r="IMF548" s="501"/>
      <c r="IMG548" s="501"/>
      <c r="IMH548" s="501"/>
      <c r="IMI548" s="501"/>
      <c r="IMJ548" s="501"/>
      <c r="IMK548" s="501"/>
      <c r="IML548" s="501"/>
      <c r="IMM548" s="501"/>
      <c r="IMN548" s="501"/>
      <c r="IMO548" s="501"/>
      <c r="IMP548" s="501"/>
      <c r="IMQ548" s="501"/>
      <c r="IMR548" s="501"/>
      <c r="IMS548" s="501"/>
      <c r="IMT548" s="501"/>
      <c r="IMU548" s="501"/>
      <c r="IMV548" s="501"/>
      <c r="IMW548" s="501"/>
      <c r="IMX548" s="501"/>
      <c r="IMY548" s="501"/>
      <c r="IMZ548" s="501"/>
      <c r="INA548" s="501"/>
      <c r="INB548" s="501"/>
      <c r="INC548" s="501"/>
      <c r="IND548" s="501"/>
      <c r="INE548" s="501"/>
      <c r="INF548" s="501"/>
      <c r="ING548" s="501"/>
      <c r="INH548" s="501"/>
      <c r="INI548" s="501"/>
      <c r="INJ548" s="501"/>
      <c r="INK548" s="501"/>
      <c r="INL548" s="501"/>
      <c r="INM548" s="501"/>
      <c r="INN548" s="501"/>
      <c r="INO548" s="501"/>
      <c r="INP548" s="501"/>
      <c r="INQ548" s="501"/>
      <c r="INR548" s="501"/>
      <c r="INS548" s="501"/>
      <c r="INT548" s="501"/>
      <c r="INU548" s="501"/>
      <c r="INV548" s="501"/>
      <c r="INW548" s="501"/>
      <c r="INX548" s="501"/>
      <c r="INY548" s="501"/>
      <c r="INZ548" s="501"/>
      <c r="IOA548" s="501"/>
      <c r="IOB548" s="501"/>
      <c r="IOC548" s="501"/>
      <c r="IOD548" s="501"/>
      <c r="IOE548" s="501"/>
      <c r="IOF548" s="501"/>
      <c r="IOG548" s="501"/>
      <c r="IOH548" s="501"/>
      <c r="IOI548" s="501"/>
      <c r="IOJ548" s="501"/>
      <c r="IOK548" s="501"/>
      <c r="IOL548" s="501"/>
      <c r="IOM548" s="501"/>
      <c r="ION548" s="501"/>
      <c r="IOO548" s="501"/>
      <c r="IOP548" s="501"/>
      <c r="IOQ548" s="501"/>
      <c r="IOR548" s="501"/>
      <c r="IOS548" s="501"/>
      <c r="IOT548" s="501"/>
      <c r="IOU548" s="501"/>
      <c r="IOV548" s="501"/>
      <c r="IOW548" s="501"/>
      <c r="IOX548" s="501"/>
      <c r="IOY548" s="501"/>
      <c r="IOZ548" s="501"/>
      <c r="IPA548" s="501"/>
      <c r="IPB548" s="501"/>
      <c r="IPC548" s="501"/>
      <c r="IPD548" s="501"/>
      <c r="IPE548" s="501"/>
      <c r="IPF548" s="501"/>
      <c r="IPG548" s="501"/>
      <c r="IPH548" s="501"/>
      <c r="IPI548" s="501"/>
      <c r="IPJ548" s="501"/>
      <c r="IPK548" s="501"/>
      <c r="IPL548" s="501"/>
      <c r="IPM548" s="501"/>
      <c r="IPN548" s="501"/>
      <c r="IPO548" s="501"/>
      <c r="IPP548" s="501"/>
      <c r="IPQ548" s="501"/>
      <c r="IPR548" s="501"/>
      <c r="IPS548" s="501"/>
      <c r="IPT548" s="501"/>
      <c r="IPU548" s="501"/>
      <c r="IPV548" s="501"/>
      <c r="IPW548" s="501"/>
      <c r="IPX548" s="501"/>
      <c r="IPY548" s="501"/>
      <c r="IPZ548" s="501"/>
      <c r="IQA548" s="501"/>
      <c r="IQB548" s="501"/>
      <c r="IQC548" s="501"/>
      <c r="IQD548" s="501"/>
      <c r="IQE548" s="501"/>
      <c r="IQF548" s="501"/>
      <c r="IQG548" s="501"/>
      <c r="IQH548" s="501"/>
      <c r="IQI548" s="501"/>
      <c r="IQJ548" s="501"/>
      <c r="IQK548" s="501"/>
      <c r="IQL548" s="501"/>
      <c r="IQM548" s="501"/>
      <c r="IQN548" s="501"/>
      <c r="IQO548" s="501"/>
      <c r="IQP548" s="501"/>
      <c r="IQQ548" s="501"/>
      <c r="IQR548" s="501"/>
      <c r="IQS548" s="501"/>
      <c r="IQT548" s="501"/>
      <c r="IQU548" s="501"/>
      <c r="IQV548" s="501"/>
      <c r="IQW548" s="501"/>
      <c r="IQX548" s="501"/>
      <c r="IQY548" s="501"/>
      <c r="IQZ548" s="501"/>
      <c r="IRA548" s="501"/>
      <c r="IRB548" s="501"/>
      <c r="IRC548" s="501"/>
      <c r="IRD548" s="501"/>
      <c r="IRE548" s="501"/>
      <c r="IRF548" s="501"/>
      <c r="IRG548" s="501"/>
      <c r="IRH548" s="501"/>
      <c r="IRI548" s="501"/>
      <c r="IRJ548" s="501"/>
      <c r="IRK548" s="501"/>
      <c r="IRL548" s="501"/>
      <c r="IRM548" s="501"/>
      <c r="IRN548" s="501"/>
      <c r="IRO548" s="501"/>
      <c r="IRP548" s="501"/>
      <c r="IRQ548" s="501"/>
      <c r="IRR548" s="501"/>
      <c r="IRS548" s="501"/>
      <c r="IRT548" s="501"/>
      <c r="IRU548" s="501"/>
      <c r="IRV548" s="501"/>
      <c r="IRW548" s="501"/>
      <c r="IRX548" s="501"/>
      <c r="IRY548" s="501"/>
      <c r="IRZ548" s="501"/>
      <c r="ISA548" s="501"/>
      <c r="ISB548" s="501"/>
      <c r="ISC548" s="501"/>
      <c r="ISD548" s="501"/>
      <c r="ISE548" s="501"/>
      <c r="ISF548" s="501"/>
      <c r="ISG548" s="501"/>
      <c r="ISH548" s="501"/>
      <c r="ISI548" s="501"/>
      <c r="ISJ548" s="501"/>
      <c r="ISK548" s="501"/>
      <c r="ISL548" s="501"/>
      <c r="ISM548" s="501"/>
      <c r="ISN548" s="501"/>
      <c r="ISO548" s="501"/>
      <c r="ISP548" s="501"/>
      <c r="ISQ548" s="501"/>
      <c r="ISR548" s="501"/>
      <c r="ISS548" s="501"/>
      <c r="IST548" s="501"/>
      <c r="ISU548" s="501"/>
      <c r="ISV548" s="501"/>
      <c r="ISW548" s="501"/>
      <c r="ISX548" s="501"/>
      <c r="ISY548" s="501"/>
      <c r="ISZ548" s="501"/>
      <c r="ITA548" s="501"/>
      <c r="ITB548" s="501"/>
      <c r="ITC548" s="501"/>
      <c r="ITD548" s="501"/>
      <c r="ITE548" s="501"/>
      <c r="ITF548" s="501"/>
      <c r="ITG548" s="501"/>
      <c r="ITH548" s="501"/>
      <c r="ITI548" s="501"/>
      <c r="ITJ548" s="501"/>
      <c r="ITK548" s="501"/>
      <c r="ITL548" s="501"/>
      <c r="ITM548" s="501"/>
      <c r="ITN548" s="501"/>
      <c r="ITO548" s="501"/>
      <c r="ITP548" s="501"/>
      <c r="ITQ548" s="501"/>
      <c r="ITR548" s="501"/>
      <c r="ITS548" s="501"/>
      <c r="ITT548" s="501"/>
      <c r="ITU548" s="501"/>
      <c r="ITV548" s="501"/>
      <c r="ITW548" s="501"/>
      <c r="ITX548" s="501"/>
      <c r="ITY548" s="501"/>
      <c r="ITZ548" s="501"/>
      <c r="IUA548" s="501"/>
      <c r="IUB548" s="501"/>
      <c r="IUC548" s="501"/>
      <c r="IUD548" s="501"/>
      <c r="IUE548" s="501"/>
      <c r="IUF548" s="501"/>
      <c r="IUG548" s="501"/>
      <c r="IUH548" s="501"/>
      <c r="IUI548" s="501"/>
      <c r="IUJ548" s="501"/>
      <c r="IUK548" s="501"/>
      <c r="IUL548" s="501"/>
      <c r="IUM548" s="501"/>
      <c r="IUN548" s="501"/>
      <c r="IUO548" s="501"/>
      <c r="IUP548" s="501"/>
      <c r="IUQ548" s="501"/>
      <c r="IUR548" s="501"/>
      <c r="IUS548" s="501"/>
      <c r="IUT548" s="501"/>
      <c r="IUU548" s="501"/>
      <c r="IUV548" s="501"/>
      <c r="IUW548" s="501"/>
      <c r="IUX548" s="501"/>
      <c r="IUY548" s="501"/>
      <c r="IUZ548" s="501"/>
      <c r="IVA548" s="501"/>
      <c r="IVB548" s="501"/>
      <c r="IVC548" s="501"/>
      <c r="IVD548" s="501"/>
      <c r="IVE548" s="501"/>
      <c r="IVF548" s="501"/>
      <c r="IVG548" s="501"/>
      <c r="IVH548" s="501"/>
      <c r="IVI548" s="501"/>
      <c r="IVJ548" s="501"/>
      <c r="IVK548" s="501"/>
      <c r="IVL548" s="501"/>
      <c r="IVM548" s="501"/>
      <c r="IVN548" s="501"/>
      <c r="IVO548" s="501"/>
      <c r="IVP548" s="501"/>
      <c r="IVQ548" s="501"/>
      <c r="IVR548" s="501"/>
      <c r="IVS548" s="501"/>
      <c r="IVT548" s="501"/>
      <c r="IVU548" s="501"/>
      <c r="IVV548" s="501"/>
      <c r="IVW548" s="501"/>
      <c r="IVX548" s="501"/>
      <c r="IVY548" s="501"/>
      <c r="IVZ548" s="501"/>
      <c r="IWA548" s="501"/>
      <c r="IWB548" s="501"/>
      <c r="IWC548" s="501"/>
      <c r="IWD548" s="501"/>
      <c r="IWE548" s="501"/>
      <c r="IWF548" s="501"/>
      <c r="IWG548" s="501"/>
      <c r="IWH548" s="501"/>
      <c r="IWI548" s="501"/>
      <c r="IWJ548" s="501"/>
      <c r="IWK548" s="501"/>
      <c r="IWL548" s="501"/>
      <c r="IWM548" s="501"/>
      <c r="IWN548" s="501"/>
      <c r="IWO548" s="501"/>
      <c r="IWP548" s="501"/>
      <c r="IWQ548" s="501"/>
      <c r="IWR548" s="501"/>
      <c r="IWS548" s="501"/>
      <c r="IWT548" s="501"/>
      <c r="IWU548" s="501"/>
      <c r="IWV548" s="501"/>
      <c r="IWW548" s="501"/>
      <c r="IWX548" s="501"/>
      <c r="IWY548" s="501"/>
      <c r="IWZ548" s="501"/>
      <c r="IXA548" s="501"/>
      <c r="IXB548" s="501"/>
      <c r="IXC548" s="501"/>
      <c r="IXD548" s="501"/>
      <c r="IXE548" s="501"/>
      <c r="IXF548" s="501"/>
      <c r="IXG548" s="501"/>
      <c r="IXH548" s="501"/>
      <c r="IXI548" s="501"/>
      <c r="IXJ548" s="501"/>
      <c r="IXK548" s="501"/>
      <c r="IXL548" s="501"/>
      <c r="IXM548" s="501"/>
      <c r="IXN548" s="501"/>
      <c r="IXO548" s="501"/>
      <c r="IXP548" s="501"/>
      <c r="IXQ548" s="501"/>
      <c r="IXR548" s="501"/>
      <c r="IXS548" s="501"/>
      <c r="IXT548" s="501"/>
      <c r="IXU548" s="501"/>
      <c r="IXV548" s="501"/>
      <c r="IXW548" s="501"/>
      <c r="IXX548" s="501"/>
      <c r="IXY548" s="501"/>
      <c r="IXZ548" s="501"/>
      <c r="IYA548" s="501"/>
      <c r="IYB548" s="501"/>
      <c r="IYC548" s="501"/>
      <c r="IYD548" s="501"/>
      <c r="IYE548" s="501"/>
      <c r="IYF548" s="501"/>
      <c r="IYG548" s="501"/>
      <c r="IYH548" s="501"/>
      <c r="IYI548" s="501"/>
      <c r="IYJ548" s="501"/>
      <c r="IYK548" s="501"/>
      <c r="IYL548" s="501"/>
      <c r="IYM548" s="501"/>
      <c r="IYN548" s="501"/>
      <c r="IYO548" s="501"/>
      <c r="IYP548" s="501"/>
      <c r="IYQ548" s="501"/>
      <c r="IYR548" s="501"/>
      <c r="IYS548" s="501"/>
      <c r="IYT548" s="501"/>
      <c r="IYU548" s="501"/>
      <c r="IYV548" s="501"/>
      <c r="IYW548" s="501"/>
      <c r="IYX548" s="501"/>
      <c r="IYY548" s="501"/>
      <c r="IYZ548" s="501"/>
      <c r="IZA548" s="501"/>
      <c r="IZB548" s="501"/>
      <c r="IZC548" s="501"/>
      <c r="IZD548" s="501"/>
      <c r="IZE548" s="501"/>
      <c r="IZF548" s="501"/>
      <c r="IZG548" s="501"/>
      <c r="IZH548" s="501"/>
      <c r="IZI548" s="501"/>
      <c r="IZJ548" s="501"/>
      <c r="IZK548" s="501"/>
      <c r="IZL548" s="501"/>
      <c r="IZM548" s="501"/>
      <c r="IZN548" s="501"/>
      <c r="IZO548" s="501"/>
      <c r="IZP548" s="501"/>
      <c r="IZQ548" s="501"/>
      <c r="IZR548" s="501"/>
      <c r="IZS548" s="501"/>
      <c r="IZT548" s="501"/>
      <c r="IZU548" s="501"/>
      <c r="IZV548" s="501"/>
      <c r="IZW548" s="501"/>
      <c r="IZX548" s="501"/>
      <c r="IZY548" s="501"/>
      <c r="IZZ548" s="501"/>
      <c r="JAA548" s="501"/>
      <c r="JAB548" s="501"/>
      <c r="JAC548" s="501"/>
      <c r="JAD548" s="501"/>
      <c r="JAE548" s="501"/>
      <c r="JAF548" s="501"/>
      <c r="JAG548" s="501"/>
      <c r="JAH548" s="501"/>
      <c r="JAI548" s="501"/>
      <c r="JAJ548" s="501"/>
      <c r="JAK548" s="501"/>
      <c r="JAL548" s="501"/>
      <c r="JAM548" s="501"/>
      <c r="JAN548" s="501"/>
      <c r="JAO548" s="501"/>
      <c r="JAP548" s="501"/>
      <c r="JAQ548" s="501"/>
      <c r="JAR548" s="501"/>
      <c r="JAS548" s="501"/>
      <c r="JAT548" s="501"/>
      <c r="JAU548" s="501"/>
      <c r="JAV548" s="501"/>
      <c r="JAW548" s="501"/>
      <c r="JAX548" s="501"/>
      <c r="JAY548" s="501"/>
      <c r="JAZ548" s="501"/>
      <c r="JBA548" s="501"/>
      <c r="JBB548" s="501"/>
      <c r="JBC548" s="501"/>
      <c r="JBD548" s="501"/>
      <c r="JBE548" s="501"/>
      <c r="JBF548" s="501"/>
      <c r="JBG548" s="501"/>
      <c r="JBH548" s="501"/>
      <c r="JBI548" s="501"/>
      <c r="JBJ548" s="501"/>
      <c r="JBK548" s="501"/>
      <c r="JBL548" s="501"/>
      <c r="JBM548" s="501"/>
      <c r="JBN548" s="501"/>
      <c r="JBO548" s="501"/>
      <c r="JBP548" s="501"/>
      <c r="JBQ548" s="501"/>
      <c r="JBR548" s="501"/>
      <c r="JBS548" s="501"/>
      <c r="JBT548" s="501"/>
      <c r="JBU548" s="501"/>
      <c r="JBV548" s="501"/>
      <c r="JBW548" s="501"/>
      <c r="JBX548" s="501"/>
      <c r="JBY548" s="501"/>
      <c r="JBZ548" s="501"/>
      <c r="JCA548" s="501"/>
      <c r="JCB548" s="501"/>
      <c r="JCC548" s="501"/>
      <c r="JCD548" s="501"/>
      <c r="JCE548" s="501"/>
      <c r="JCF548" s="501"/>
      <c r="JCG548" s="501"/>
      <c r="JCH548" s="501"/>
      <c r="JCI548" s="501"/>
      <c r="JCJ548" s="501"/>
      <c r="JCK548" s="501"/>
      <c r="JCL548" s="501"/>
      <c r="JCM548" s="501"/>
      <c r="JCN548" s="501"/>
      <c r="JCO548" s="501"/>
      <c r="JCP548" s="501"/>
      <c r="JCQ548" s="501"/>
      <c r="JCR548" s="501"/>
      <c r="JCS548" s="501"/>
      <c r="JCT548" s="501"/>
      <c r="JCU548" s="501"/>
      <c r="JCV548" s="501"/>
      <c r="JCW548" s="501"/>
      <c r="JCX548" s="501"/>
      <c r="JCY548" s="501"/>
      <c r="JCZ548" s="501"/>
      <c r="JDA548" s="501"/>
      <c r="JDB548" s="501"/>
      <c r="JDC548" s="501"/>
      <c r="JDD548" s="501"/>
      <c r="JDE548" s="501"/>
      <c r="JDF548" s="501"/>
      <c r="JDG548" s="501"/>
      <c r="JDH548" s="501"/>
      <c r="JDI548" s="501"/>
      <c r="JDJ548" s="501"/>
      <c r="JDK548" s="501"/>
      <c r="JDL548" s="501"/>
      <c r="JDM548" s="501"/>
      <c r="JDN548" s="501"/>
      <c r="JDO548" s="501"/>
      <c r="JDP548" s="501"/>
      <c r="JDQ548" s="501"/>
      <c r="JDR548" s="501"/>
      <c r="JDS548" s="501"/>
      <c r="JDT548" s="501"/>
      <c r="JDU548" s="501"/>
      <c r="JDV548" s="501"/>
      <c r="JDW548" s="501"/>
      <c r="JDX548" s="501"/>
      <c r="JDY548" s="501"/>
      <c r="JDZ548" s="501"/>
      <c r="JEA548" s="501"/>
      <c r="JEB548" s="501"/>
      <c r="JEC548" s="501"/>
      <c r="JED548" s="501"/>
      <c r="JEE548" s="501"/>
      <c r="JEF548" s="501"/>
      <c r="JEG548" s="501"/>
      <c r="JEH548" s="501"/>
      <c r="JEI548" s="501"/>
      <c r="JEJ548" s="501"/>
      <c r="JEK548" s="501"/>
      <c r="JEL548" s="501"/>
      <c r="JEM548" s="501"/>
      <c r="JEN548" s="501"/>
      <c r="JEO548" s="501"/>
      <c r="JEP548" s="501"/>
      <c r="JEQ548" s="501"/>
      <c r="JER548" s="501"/>
      <c r="JES548" s="501"/>
      <c r="JET548" s="501"/>
      <c r="JEU548" s="501"/>
      <c r="JEV548" s="501"/>
      <c r="JEW548" s="501"/>
      <c r="JEX548" s="501"/>
      <c r="JEY548" s="501"/>
      <c r="JEZ548" s="501"/>
      <c r="JFA548" s="501"/>
      <c r="JFB548" s="501"/>
      <c r="JFC548" s="501"/>
      <c r="JFD548" s="501"/>
      <c r="JFE548" s="501"/>
      <c r="JFF548" s="501"/>
      <c r="JFG548" s="501"/>
      <c r="JFH548" s="501"/>
      <c r="JFI548" s="501"/>
      <c r="JFJ548" s="501"/>
      <c r="JFK548" s="501"/>
      <c r="JFL548" s="501"/>
      <c r="JFM548" s="501"/>
      <c r="JFN548" s="501"/>
      <c r="JFO548" s="501"/>
      <c r="JFP548" s="501"/>
      <c r="JFQ548" s="501"/>
      <c r="JFR548" s="501"/>
      <c r="JFS548" s="501"/>
      <c r="JFT548" s="501"/>
      <c r="JFU548" s="501"/>
      <c r="JFV548" s="501"/>
      <c r="JFW548" s="501"/>
      <c r="JFX548" s="501"/>
      <c r="JFY548" s="501"/>
      <c r="JFZ548" s="501"/>
      <c r="JGA548" s="501"/>
      <c r="JGB548" s="501"/>
      <c r="JGC548" s="501"/>
      <c r="JGD548" s="501"/>
      <c r="JGE548" s="501"/>
      <c r="JGF548" s="501"/>
      <c r="JGG548" s="501"/>
      <c r="JGH548" s="501"/>
      <c r="JGI548" s="501"/>
      <c r="JGJ548" s="501"/>
      <c r="JGK548" s="501"/>
      <c r="JGL548" s="501"/>
      <c r="JGM548" s="501"/>
      <c r="JGN548" s="501"/>
      <c r="JGO548" s="501"/>
      <c r="JGP548" s="501"/>
      <c r="JGQ548" s="501"/>
      <c r="JGR548" s="501"/>
      <c r="JGS548" s="501"/>
      <c r="JGT548" s="501"/>
      <c r="JGU548" s="501"/>
      <c r="JGV548" s="501"/>
      <c r="JGW548" s="501"/>
      <c r="JGX548" s="501"/>
      <c r="JGY548" s="501"/>
      <c r="JGZ548" s="501"/>
      <c r="JHA548" s="501"/>
      <c r="JHB548" s="501"/>
      <c r="JHC548" s="501"/>
      <c r="JHD548" s="501"/>
      <c r="JHE548" s="501"/>
      <c r="JHF548" s="501"/>
      <c r="JHG548" s="501"/>
      <c r="JHH548" s="501"/>
      <c r="JHI548" s="501"/>
      <c r="JHJ548" s="501"/>
      <c r="JHK548" s="501"/>
      <c r="JHL548" s="501"/>
      <c r="JHM548" s="501"/>
      <c r="JHN548" s="501"/>
      <c r="JHO548" s="501"/>
      <c r="JHP548" s="501"/>
      <c r="JHQ548" s="501"/>
      <c r="JHR548" s="501"/>
      <c r="JHS548" s="501"/>
      <c r="JHT548" s="501"/>
      <c r="JHU548" s="501"/>
      <c r="JHV548" s="501"/>
      <c r="JHW548" s="501"/>
      <c r="JHX548" s="501"/>
      <c r="JHY548" s="501"/>
      <c r="JHZ548" s="501"/>
      <c r="JIA548" s="501"/>
      <c r="JIB548" s="501"/>
      <c r="JIC548" s="501"/>
      <c r="JID548" s="501"/>
      <c r="JIE548" s="501"/>
      <c r="JIF548" s="501"/>
      <c r="JIG548" s="501"/>
      <c r="JIH548" s="501"/>
      <c r="JII548" s="501"/>
      <c r="JIJ548" s="501"/>
      <c r="JIK548" s="501"/>
      <c r="JIL548" s="501"/>
      <c r="JIM548" s="501"/>
      <c r="JIN548" s="501"/>
      <c r="JIO548" s="501"/>
      <c r="JIP548" s="501"/>
      <c r="JIQ548" s="501"/>
      <c r="JIR548" s="501"/>
      <c r="JIS548" s="501"/>
      <c r="JIT548" s="501"/>
      <c r="JIU548" s="501"/>
      <c r="JIV548" s="501"/>
      <c r="JIW548" s="501"/>
      <c r="JIX548" s="501"/>
      <c r="JIY548" s="501"/>
      <c r="JIZ548" s="501"/>
      <c r="JJA548" s="501"/>
      <c r="JJB548" s="501"/>
      <c r="JJC548" s="501"/>
      <c r="JJD548" s="501"/>
      <c r="JJE548" s="501"/>
      <c r="JJF548" s="501"/>
      <c r="JJG548" s="501"/>
      <c r="JJH548" s="501"/>
      <c r="JJI548" s="501"/>
      <c r="JJJ548" s="501"/>
      <c r="JJK548" s="501"/>
      <c r="JJL548" s="501"/>
      <c r="JJM548" s="501"/>
      <c r="JJN548" s="501"/>
      <c r="JJO548" s="501"/>
      <c r="JJP548" s="501"/>
      <c r="JJQ548" s="501"/>
      <c r="JJR548" s="501"/>
      <c r="JJS548" s="501"/>
      <c r="JJT548" s="501"/>
      <c r="JJU548" s="501"/>
      <c r="JJV548" s="501"/>
      <c r="JJW548" s="501"/>
      <c r="JJX548" s="501"/>
      <c r="JJY548" s="501"/>
      <c r="JJZ548" s="501"/>
      <c r="JKA548" s="501"/>
      <c r="JKB548" s="501"/>
      <c r="JKC548" s="501"/>
      <c r="JKD548" s="501"/>
      <c r="JKE548" s="501"/>
      <c r="JKF548" s="501"/>
      <c r="JKG548" s="501"/>
      <c r="JKH548" s="501"/>
      <c r="JKI548" s="501"/>
      <c r="JKJ548" s="501"/>
      <c r="JKK548" s="501"/>
      <c r="JKL548" s="501"/>
      <c r="JKM548" s="501"/>
      <c r="JKN548" s="501"/>
      <c r="JKO548" s="501"/>
      <c r="JKP548" s="501"/>
      <c r="JKQ548" s="501"/>
      <c r="JKR548" s="501"/>
      <c r="JKS548" s="501"/>
      <c r="JKT548" s="501"/>
      <c r="JKU548" s="501"/>
      <c r="JKV548" s="501"/>
      <c r="JKW548" s="501"/>
      <c r="JKX548" s="501"/>
      <c r="JKY548" s="501"/>
      <c r="JKZ548" s="501"/>
      <c r="JLA548" s="501"/>
      <c r="JLB548" s="501"/>
      <c r="JLC548" s="501"/>
      <c r="JLD548" s="501"/>
      <c r="JLE548" s="501"/>
      <c r="JLF548" s="501"/>
      <c r="JLG548" s="501"/>
      <c r="JLH548" s="501"/>
      <c r="JLI548" s="501"/>
      <c r="JLJ548" s="501"/>
      <c r="JLK548" s="501"/>
      <c r="JLL548" s="501"/>
      <c r="JLM548" s="501"/>
      <c r="JLN548" s="501"/>
      <c r="JLO548" s="501"/>
      <c r="JLP548" s="501"/>
      <c r="JLQ548" s="501"/>
      <c r="JLR548" s="501"/>
      <c r="JLS548" s="501"/>
      <c r="JLT548" s="501"/>
      <c r="JLU548" s="501"/>
      <c r="JLV548" s="501"/>
      <c r="JLW548" s="501"/>
      <c r="JLX548" s="501"/>
      <c r="JLY548" s="501"/>
      <c r="JLZ548" s="501"/>
      <c r="JMA548" s="501"/>
      <c r="JMB548" s="501"/>
      <c r="JMC548" s="501"/>
      <c r="JMD548" s="501"/>
      <c r="JME548" s="501"/>
      <c r="JMF548" s="501"/>
      <c r="JMG548" s="501"/>
      <c r="JMH548" s="501"/>
      <c r="JMI548" s="501"/>
      <c r="JMJ548" s="501"/>
      <c r="JMK548" s="501"/>
      <c r="JML548" s="501"/>
      <c r="JMM548" s="501"/>
      <c r="JMN548" s="501"/>
      <c r="JMO548" s="501"/>
      <c r="JMP548" s="501"/>
      <c r="JMQ548" s="501"/>
      <c r="JMR548" s="501"/>
      <c r="JMS548" s="501"/>
      <c r="JMT548" s="501"/>
      <c r="JMU548" s="501"/>
      <c r="JMV548" s="501"/>
      <c r="JMW548" s="501"/>
      <c r="JMX548" s="501"/>
      <c r="JMY548" s="501"/>
      <c r="JMZ548" s="501"/>
      <c r="JNA548" s="501"/>
      <c r="JNB548" s="501"/>
      <c r="JNC548" s="501"/>
      <c r="JND548" s="501"/>
      <c r="JNE548" s="501"/>
      <c r="JNF548" s="501"/>
      <c r="JNG548" s="501"/>
      <c r="JNH548" s="501"/>
      <c r="JNI548" s="501"/>
      <c r="JNJ548" s="501"/>
      <c r="JNK548" s="501"/>
      <c r="JNL548" s="501"/>
      <c r="JNM548" s="501"/>
      <c r="JNN548" s="501"/>
      <c r="JNO548" s="501"/>
      <c r="JNP548" s="501"/>
      <c r="JNQ548" s="501"/>
      <c r="JNR548" s="501"/>
      <c r="JNS548" s="501"/>
      <c r="JNT548" s="501"/>
      <c r="JNU548" s="501"/>
      <c r="JNV548" s="501"/>
      <c r="JNW548" s="501"/>
      <c r="JNX548" s="501"/>
      <c r="JNY548" s="501"/>
      <c r="JNZ548" s="501"/>
      <c r="JOA548" s="501"/>
      <c r="JOB548" s="501"/>
      <c r="JOC548" s="501"/>
      <c r="JOD548" s="501"/>
      <c r="JOE548" s="501"/>
      <c r="JOF548" s="501"/>
      <c r="JOG548" s="501"/>
      <c r="JOH548" s="501"/>
      <c r="JOI548" s="501"/>
      <c r="JOJ548" s="501"/>
      <c r="JOK548" s="501"/>
      <c r="JOL548" s="501"/>
      <c r="JOM548" s="501"/>
      <c r="JON548" s="501"/>
      <c r="JOO548" s="501"/>
      <c r="JOP548" s="501"/>
      <c r="JOQ548" s="501"/>
      <c r="JOR548" s="501"/>
      <c r="JOS548" s="501"/>
      <c r="JOT548" s="501"/>
      <c r="JOU548" s="501"/>
      <c r="JOV548" s="501"/>
      <c r="JOW548" s="501"/>
      <c r="JOX548" s="501"/>
      <c r="JOY548" s="501"/>
      <c r="JOZ548" s="501"/>
      <c r="JPA548" s="501"/>
      <c r="JPB548" s="501"/>
      <c r="JPC548" s="501"/>
      <c r="JPD548" s="501"/>
      <c r="JPE548" s="501"/>
      <c r="JPF548" s="501"/>
      <c r="JPG548" s="501"/>
      <c r="JPH548" s="501"/>
      <c r="JPI548" s="501"/>
      <c r="JPJ548" s="501"/>
      <c r="JPK548" s="501"/>
      <c r="JPL548" s="501"/>
      <c r="JPM548" s="501"/>
      <c r="JPN548" s="501"/>
      <c r="JPO548" s="501"/>
      <c r="JPP548" s="501"/>
      <c r="JPQ548" s="501"/>
      <c r="JPR548" s="501"/>
      <c r="JPS548" s="501"/>
      <c r="JPT548" s="501"/>
      <c r="JPU548" s="501"/>
      <c r="JPV548" s="501"/>
      <c r="JPW548" s="501"/>
      <c r="JPX548" s="501"/>
      <c r="JPY548" s="501"/>
      <c r="JPZ548" s="501"/>
      <c r="JQA548" s="501"/>
      <c r="JQB548" s="501"/>
      <c r="JQC548" s="501"/>
      <c r="JQD548" s="501"/>
      <c r="JQE548" s="501"/>
      <c r="JQF548" s="501"/>
      <c r="JQG548" s="501"/>
      <c r="JQH548" s="501"/>
      <c r="JQI548" s="501"/>
      <c r="JQJ548" s="501"/>
      <c r="JQK548" s="501"/>
      <c r="JQL548" s="501"/>
      <c r="JQM548" s="501"/>
      <c r="JQN548" s="501"/>
      <c r="JQO548" s="501"/>
      <c r="JQP548" s="501"/>
      <c r="JQQ548" s="501"/>
      <c r="JQR548" s="501"/>
      <c r="JQS548" s="501"/>
      <c r="JQT548" s="501"/>
      <c r="JQU548" s="501"/>
      <c r="JQV548" s="501"/>
      <c r="JQW548" s="501"/>
      <c r="JQX548" s="501"/>
      <c r="JQY548" s="501"/>
      <c r="JQZ548" s="501"/>
      <c r="JRA548" s="501"/>
      <c r="JRB548" s="501"/>
      <c r="JRC548" s="501"/>
      <c r="JRD548" s="501"/>
      <c r="JRE548" s="501"/>
      <c r="JRF548" s="501"/>
      <c r="JRG548" s="501"/>
      <c r="JRH548" s="501"/>
      <c r="JRI548" s="501"/>
      <c r="JRJ548" s="501"/>
      <c r="JRK548" s="501"/>
      <c r="JRL548" s="501"/>
      <c r="JRM548" s="501"/>
      <c r="JRN548" s="501"/>
      <c r="JRO548" s="501"/>
      <c r="JRP548" s="501"/>
      <c r="JRQ548" s="501"/>
      <c r="JRR548" s="501"/>
      <c r="JRS548" s="501"/>
      <c r="JRT548" s="501"/>
      <c r="JRU548" s="501"/>
      <c r="JRV548" s="501"/>
      <c r="JRW548" s="501"/>
      <c r="JRX548" s="501"/>
      <c r="JRY548" s="501"/>
      <c r="JRZ548" s="501"/>
      <c r="JSA548" s="501"/>
      <c r="JSB548" s="501"/>
      <c r="JSC548" s="501"/>
      <c r="JSD548" s="501"/>
      <c r="JSE548" s="501"/>
      <c r="JSF548" s="501"/>
      <c r="JSG548" s="501"/>
      <c r="JSH548" s="501"/>
      <c r="JSI548" s="501"/>
      <c r="JSJ548" s="501"/>
      <c r="JSK548" s="501"/>
      <c r="JSL548" s="501"/>
      <c r="JSM548" s="501"/>
      <c r="JSN548" s="501"/>
      <c r="JSO548" s="501"/>
      <c r="JSP548" s="501"/>
      <c r="JSQ548" s="501"/>
      <c r="JSR548" s="501"/>
      <c r="JSS548" s="501"/>
      <c r="JST548" s="501"/>
      <c r="JSU548" s="501"/>
      <c r="JSV548" s="501"/>
      <c r="JSW548" s="501"/>
      <c r="JSX548" s="501"/>
      <c r="JSY548" s="501"/>
      <c r="JSZ548" s="501"/>
      <c r="JTA548" s="501"/>
      <c r="JTB548" s="501"/>
      <c r="JTC548" s="501"/>
      <c r="JTD548" s="501"/>
      <c r="JTE548" s="501"/>
      <c r="JTF548" s="501"/>
      <c r="JTG548" s="501"/>
      <c r="JTH548" s="501"/>
      <c r="JTI548" s="501"/>
      <c r="JTJ548" s="501"/>
      <c r="JTK548" s="501"/>
      <c r="JTL548" s="501"/>
      <c r="JTM548" s="501"/>
      <c r="JTN548" s="501"/>
      <c r="JTO548" s="501"/>
      <c r="JTP548" s="501"/>
      <c r="JTQ548" s="501"/>
      <c r="JTR548" s="501"/>
      <c r="JTS548" s="501"/>
      <c r="JTT548" s="501"/>
      <c r="JTU548" s="501"/>
      <c r="JTV548" s="501"/>
      <c r="JTW548" s="501"/>
      <c r="JTX548" s="501"/>
      <c r="JTY548" s="501"/>
      <c r="JTZ548" s="501"/>
      <c r="JUA548" s="501"/>
      <c r="JUB548" s="501"/>
      <c r="JUC548" s="501"/>
      <c r="JUD548" s="501"/>
      <c r="JUE548" s="501"/>
      <c r="JUF548" s="501"/>
      <c r="JUG548" s="501"/>
      <c r="JUH548" s="501"/>
      <c r="JUI548" s="501"/>
      <c r="JUJ548" s="501"/>
      <c r="JUK548" s="501"/>
      <c r="JUL548" s="501"/>
      <c r="JUM548" s="501"/>
      <c r="JUN548" s="501"/>
      <c r="JUO548" s="501"/>
      <c r="JUP548" s="501"/>
      <c r="JUQ548" s="501"/>
      <c r="JUR548" s="501"/>
      <c r="JUS548" s="501"/>
      <c r="JUT548" s="501"/>
      <c r="JUU548" s="501"/>
      <c r="JUV548" s="501"/>
      <c r="JUW548" s="501"/>
      <c r="JUX548" s="501"/>
      <c r="JUY548" s="501"/>
      <c r="JUZ548" s="501"/>
      <c r="JVA548" s="501"/>
      <c r="JVB548" s="501"/>
      <c r="JVC548" s="501"/>
      <c r="JVD548" s="501"/>
      <c r="JVE548" s="501"/>
      <c r="JVF548" s="501"/>
      <c r="JVG548" s="501"/>
      <c r="JVH548" s="501"/>
      <c r="JVI548" s="501"/>
      <c r="JVJ548" s="501"/>
      <c r="JVK548" s="501"/>
      <c r="JVL548" s="501"/>
      <c r="JVM548" s="501"/>
      <c r="JVN548" s="501"/>
      <c r="JVO548" s="501"/>
      <c r="JVP548" s="501"/>
      <c r="JVQ548" s="501"/>
      <c r="JVR548" s="501"/>
      <c r="JVS548" s="501"/>
      <c r="JVT548" s="501"/>
      <c r="JVU548" s="501"/>
      <c r="JVV548" s="501"/>
      <c r="JVW548" s="501"/>
      <c r="JVX548" s="501"/>
      <c r="JVY548" s="501"/>
      <c r="JVZ548" s="501"/>
      <c r="JWA548" s="501"/>
      <c r="JWB548" s="501"/>
      <c r="JWC548" s="501"/>
      <c r="JWD548" s="501"/>
      <c r="JWE548" s="501"/>
      <c r="JWF548" s="501"/>
      <c r="JWG548" s="501"/>
      <c r="JWH548" s="501"/>
      <c r="JWI548" s="501"/>
      <c r="JWJ548" s="501"/>
      <c r="JWK548" s="501"/>
      <c r="JWL548" s="501"/>
      <c r="JWM548" s="501"/>
      <c r="JWN548" s="501"/>
      <c r="JWO548" s="501"/>
      <c r="JWP548" s="501"/>
      <c r="JWQ548" s="501"/>
      <c r="JWR548" s="501"/>
      <c r="JWS548" s="501"/>
      <c r="JWT548" s="501"/>
      <c r="JWU548" s="501"/>
      <c r="JWV548" s="501"/>
      <c r="JWW548" s="501"/>
      <c r="JWX548" s="501"/>
      <c r="JWY548" s="501"/>
      <c r="JWZ548" s="501"/>
      <c r="JXA548" s="501"/>
      <c r="JXB548" s="501"/>
      <c r="JXC548" s="501"/>
      <c r="JXD548" s="501"/>
      <c r="JXE548" s="501"/>
      <c r="JXF548" s="501"/>
      <c r="JXG548" s="501"/>
      <c r="JXH548" s="501"/>
      <c r="JXI548" s="501"/>
      <c r="JXJ548" s="501"/>
      <c r="JXK548" s="501"/>
      <c r="JXL548" s="501"/>
      <c r="JXM548" s="501"/>
      <c r="JXN548" s="501"/>
      <c r="JXO548" s="501"/>
      <c r="JXP548" s="501"/>
      <c r="JXQ548" s="501"/>
      <c r="JXR548" s="501"/>
      <c r="JXS548" s="501"/>
      <c r="JXT548" s="501"/>
      <c r="JXU548" s="501"/>
      <c r="JXV548" s="501"/>
      <c r="JXW548" s="501"/>
      <c r="JXX548" s="501"/>
      <c r="JXY548" s="501"/>
      <c r="JXZ548" s="501"/>
      <c r="JYA548" s="501"/>
      <c r="JYB548" s="501"/>
      <c r="JYC548" s="501"/>
      <c r="JYD548" s="501"/>
      <c r="JYE548" s="501"/>
      <c r="JYF548" s="501"/>
      <c r="JYG548" s="501"/>
      <c r="JYH548" s="501"/>
      <c r="JYI548" s="501"/>
      <c r="JYJ548" s="501"/>
      <c r="JYK548" s="501"/>
      <c r="JYL548" s="501"/>
      <c r="JYM548" s="501"/>
      <c r="JYN548" s="501"/>
      <c r="JYO548" s="501"/>
      <c r="JYP548" s="501"/>
      <c r="JYQ548" s="501"/>
      <c r="JYR548" s="501"/>
      <c r="JYS548" s="501"/>
      <c r="JYT548" s="501"/>
      <c r="JYU548" s="501"/>
      <c r="JYV548" s="501"/>
      <c r="JYW548" s="501"/>
      <c r="JYX548" s="501"/>
      <c r="JYY548" s="501"/>
      <c r="JYZ548" s="501"/>
      <c r="JZA548" s="501"/>
      <c r="JZB548" s="501"/>
      <c r="JZC548" s="501"/>
      <c r="JZD548" s="501"/>
      <c r="JZE548" s="501"/>
      <c r="JZF548" s="501"/>
      <c r="JZG548" s="501"/>
      <c r="JZH548" s="501"/>
      <c r="JZI548" s="501"/>
      <c r="JZJ548" s="501"/>
      <c r="JZK548" s="501"/>
      <c r="JZL548" s="501"/>
      <c r="JZM548" s="501"/>
      <c r="JZN548" s="501"/>
      <c r="JZO548" s="501"/>
      <c r="JZP548" s="501"/>
      <c r="JZQ548" s="501"/>
      <c r="JZR548" s="501"/>
      <c r="JZS548" s="501"/>
      <c r="JZT548" s="501"/>
      <c r="JZU548" s="501"/>
      <c r="JZV548" s="501"/>
      <c r="JZW548" s="501"/>
      <c r="JZX548" s="501"/>
      <c r="JZY548" s="501"/>
      <c r="JZZ548" s="501"/>
      <c r="KAA548" s="501"/>
      <c r="KAB548" s="501"/>
      <c r="KAC548" s="501"/>
      <c r="KAD548" s="501"/>
      <c r="KAE548" s="501"/>
      <c r="KAF548" s="501"/>
      <c r="KAG548" s="501"/>
      <c r="KAH548" s="501"/>
      <c r="KAI548" s="501"/>
      <c r="KAJ548" s="501"/>
      <c r="KAK548" s="501"/>
      <c r="KAL548" s="501"/>
      <c r="KAM548" s="501"/>
      <c r="KAN548" s="501"/>
      <c r="KAO548" s="501"/>
      <c r="KAP548" s="501"/>
      <c r="KAQ548" s="501"/>
      <c r="KAR548" s="501"/>
      <c r="KAS548" s="501"/>
      <c r="KAT548" s="501"/>
      <c r="KAU548" s="501"/>
      <c r="KAV548" s="501"/>
      <c r="KAW548" s="501"/>
      <c r="KAX548" s="501"/>
      <c r="KAY548" s="501"/>
      <c r="KAZ548" s="501"/>
      <c r="KBA548" s="501"/>
      <c r="KBB548" s="501"/>
      <c r="KBC548" s="501"/>
      <c r="KBD548" s="501"/>
      <c r="KBE548" s="501"/>
      <c r="KBF548" s="501"/>
      <c r="KBG548" s="501"/>
      <c r="KBH548" s="501"/>
      <c r="KBI548" s="501"/>
      <c r="KBJ548" s="501"/>
      <c r="KBK548" s="501"/>
      <c r="KBL548" s="501"/>
      <c r="KBM548" s="501"/>
      <c r="KBN548" s="501"/>
      <c r="KBO548" s="501"/>
      <c r="KBP548" s="501"/>
      <c r="KBQ548" s="501"/>
      <c r="KBR548" s="501"/>
      <c r="KBS548" s="501"/>
      <c r="KBT548" s="501"/>
      <c r="KBU548" s="501"/>
      <c r="KBV548" s="501"/>
      <c r="KBW548" s="501"/>
      <c r="KBX548" s="501"/>
      <c r="KBY548" s="501"/>
      <c r="KBZ548" s="501"/>
      <c r="KCA548" s="501"/>
      <c r="KCB548" s="501"/>
      <c r="KCC548" s="501"/>
      <c r="KCD548" s="501"/>
      <c r="KCE548" s="501"/>
      <c r="KCF548" s="501"/>
      <c r="KCG548" s="501"/>
      <c r="KCH548" s="501"/>
      <c r="KCI548" s="501"/>
      <c r="KCJ548" s="501"/>
      <c r="KCK548" s="501"/>
      <c r="KCL548" s="501"/>
      <c r="KCM548" s="501"/>
      <c r="KCN548" s="501"/>
      <c r="KCO548" s="501"/>
      <c r="KCP548" s="501"/>
      <c r="KCQ548" s="501"/>
      <c r="KCR548" s="501"/>
      <c r="KCS548" s="501"/>
      <c r="KCT548" s="501"/>
      <c r="KCU548" s="501"/>
      <c r="KCV548" s="501"/>
      <c r="KCW548" s="501"/>
      <c r="KCX548" s="501"/>
      <c r="KCY548" s="501"/>
      <c r="KCZ548" s="501"/>
      <c r="KDA548" s="501"/>
      <c r="KDB548" s="501"/>
      <c r="KDC548" s="501"/>
      <c r="KDD548" s="501"/>
      <c r="KDE548" s="501"/>
      <c r="KDF548" s="501"/>
      <c r="KDG548" s="501"/>
      <c r="KDH548" s="501"/>
      <c r="KDI548" s="501"/>
      <c r="KDJ548" s="501"/>
      <c r="KDK548" s="501"/>
      <c r="KDL548" s="501"/>
      <c r="KDM548" s="501"/>
      <c r="KDN548" s="501"/>
      <c r="KDO548" s="501"/>
      <c r="KDP548" s="501"/>
      <c r="KDQ548" s="501"/>
      <c r="KDR548" s="501"/>
      <c r="KDS548" s="501"/>
      <c r="KDT548" s="501"/>
      <c r="KDU548" s="501"/>
      <c r="KDV548" s="501"/>
      <c r="KDW548" s="501"/>
      <c r="KDX548" s="501"/>
      <c r="KDY548" s="501"/>
      <c r="KDZ548" s="501"/>
      <c r="KEA548" s="501"/>
      <c r="KEB548" s="501"/>
      <c r="KEC548" s="501"/>
      <c r="KED548" s="501"/>
      <c r="KEE548" s="501"/>
      <c r="KEF548" s="501"/>
      <c r="KEG548" s="501"/>
      <c r="KEH548" s="501"/>
      <c r="KEI548" s="501"/>
      <c r="KEJ548" s="501"/>
      <c r="KEK548" s="501"/>
      <c r="KEL548" s="501"/>
      <c r="KEM548" s="501"/>
      <c r="KEN548" s="501"/>
      <c r="KEO548" s="501"/>
      <c r="KEP548" s="501"/>
      <c r="KEQ548" s="501"/>
      <c r="KER548" s="501"/>
      <c r="KES548" s="501"/>
      <c r="KET548" s="501"/>
      <c r="KEU548" s="501"/>
      <c r="KEV548" s="501"/>
      <c r="KEW548" s="501"/>
      <c r="KEX548" s="501"/>
      <c r="KEY548" s="501"/>
      <c r="KEZ548" s="501"/>
      <c r="KFA548" s="501"/>
      <c r="KFB548" s="501"/>
      <c r="KFC548" s="501"/>
      <c r="KFD548" s="501"/>
      <c r="KFE548" s="501"/>
      <c r="KFF548" s="501"/>
      <c r="KFG548" s="501"/>
      <c r="KFH548" s="501"/>
      <c r="KFI548" s="501"/>
      <c r="KFJ548" s="501"/>
      <c r="KFK548" s="501"/>
      <c r="KFL548" s="501"/>
      <c r="KFM548" s="501"/>
      <c r="KFN548" s="501"/>
      <c r="KFO548" s="501"/>
      <c r="KFP548" s="501"/>
      <c r="KFQ548" s="501"/>
      <c r="KFR548" s="501"/>
      <c r="KFS548" s="501"/>
      <c r="KFT548" s="501"/>
      <c r="KFU548" s="501"/>
      <c r="KFV548" s="501"/>
      <c r="KFW548" s="501"/>
      <c r="KFX548" s="501"/>
      <c r="KFY548" s="501"/>
      <c r="KFZ548" s="501"/>
      <c r="KGA548" s="501"/>
      <c r="KGB548" s="501"/>
      <c r="KGC548" s="501"/>
      <c r="KGD548" s="501"/>
      <c r="KGE548" s="501"/>
      <c r="KGF548" s="501"/>
      <c r="KGG548" s="501"/>
      <c r="KGH548" s="501"/>
      <c r="KGI548" s="501"/>
      <c r="KGJ548" s="501"/>
      <c r="KGK548" s="501"/>
      <c r="KGL548" s="501"/>
      <c r="KGM548" s="501"/>
      <c r="KGN548" s="501"/>
      <c r="KGO548" s="501"/>
      <c r="KGP548" s="501"/>
      <c r="KGQ548" s="501"/>
      <c r="KGR548" s="501"/>
      <c r="KGS548" s="501"/>
      <c r="KGT548" s="501"/>
      <c r="KGU548" s="501"/>
      <c r="KGV548" s="501"/>
      <c r="KGW548" s="501"/>
      <c r="KGX548" s="501"/>
      <c r="KGY548" s="501"/>
      <c r="KGZ548" s="501"/>
      <c r="KHA548" s="501"/>
      <c r="KHB548" s="501"/>
      <c r="KHC548" s="501"/>
      <c r="KHD548" s="501"/>
      <c r="KHE548" s="501"/>
      <c r="KHF548" s="501"/>
      <c r="KHG548" s="501"/>
      <c r="KHH548" s="501"/>
      <c r="KHI548" s="501"/>
      <c r="KHJ548" s="501"/>
      <c r="KHK548" s="501"/>
      <c r="KHL548" s="501"/>
      <c r="KHM548" s="501"/>
      <c r="KHN548" s="501"/>
      <c r="KHO548" s="501"/>
      <c r="KHP548" s="501"/>
      <c r="KHQ548" s="501"/>
      <c r="KHR548" s="501"/>
      <c r="KHS548" s="501"/>
      <c r="KHT548" s="501"/>
      <c r="KHU548" s="501"/>
      <c r="KHV548" s="501"/>
      <c r="KHW548" s="501"/>
      <c r="KHX548" s="501"/>
      <c r="KHY548" s="501"/>
      <c r="KHZ548" s="501"/>
      <c r="KIA548" s="501"/>
      <c r="KIB548" s="501"/>
      <c r="KIC548" s="501"/>
      <c r="KID548" s="501"/>
      <c r="KIE548" s="501"/>
      <c r="KIF548" s="501"/>
      <c r="KIG548" s="501"/>
      <c r="KIH548" s="501"/>
      <c r="KII548" s="501"/>
      <c r="KIJ548" s="501"/>
      <c r="KIK548" s="501"/>
      <c r="KIL548" s="501"/>
      <c r="KIM548" s="501"/>
      <c r="KIN548" s="501"/>
      <c r="KIO548" s="501"/>
      <c r="KIP548" s="501"/>
      <c r="KIQ548" s="501"/>
      <c r="KIR548" s="501"/>
      <c r="KIS548" s="501"/>
      <c r="KIT548" s="501"/>
      <c r="KIU548" s="501"/>
      <c r="KIV548" s="501"/>
      <c r="KIW548" s="501"/>
      <c r="KIX548" s="501"/>
      <c r="KIY548" s="501"/>
      <c r="KIZ548" s="501"/>
      <c r="KJA548" s="501"/>
      <c r="KJB548" s="501"/>
      <c r="KJC548" s="501"/>
      <c r="KJD548" s="501"/>
      <c r="KJE548" s="501"/>
      <c r="KJF548" s="501"/>
      <c r="KJG548" s="501"/>
      <c r="KJH548" s="501"/>
      <c r="KJI548" s="501"/>
      <c r="KJJ548" s="501"/>
      <c r="KJK548" s="501"/>
      <c r="KJL548" s="501"/>
      <c r="KJM548" s="501"/>
      <c r="KJN548" s="501"/>
      <c r="KJO548" s="501"/>
      <c r="KJP548" s="501"/>
      <c r="KJQ548" s="501"/>
      <c r="KJR548" s="501"/>
      <c r="KJS548" s="501"/>
      <c r="KJT548" s="501"/>
      <c r="KJU548" s="501"/>
      <c r="KJV548" s="501"/>
      <c r="KJW548" s="501"/>
      <c r="KJX548" s="501"/>
      <c r="KJY548" s="501"/>
      <c r="KJZ548" s="501"/>
      <c r="KKA548" s="501"/>
      <c r="KKB548" s="501"/>
      <c r="KKC548" s="501"/>
      <c r="KKD548" s="501"/>
      <c r="KKE548" s="501"/>
      <c r="KKF548" s="501"/>
      <c r="KKG548" s="501"/>
      <c r="KKH548" s="501"/>
      <c r="KKI548" s="501"/>
      <c r="KKJ548" s="501"/>
      <c r="KKK548" s="501"/>
      <c r="KKL548" s="501"/>
      <c r="KKM548" s="501"/>
      <c r="KKN548" s="501"/>
      <c r="KKO548" s="501"/>
      <c r="KKP548" s="501"/>
      <c r="KKQ548" s="501"/>
      <c r="KKR548" s="501"/>
      <c r="KKS548" s="501"/>
      <c r="KKT548" s="501"/>
      <c r="KKU548" s="501"/>
      <c r="KKV548" s="501"/>
      <c r="KKW548" s="501"/>
      <c r="KKX548" s="501"/>
      <c r="KKY548" s="501"/>
      <c r="KKZ548" s="501"/>
      <c r="KLA548" s="501"/>
      <c r="KLB548" s="501"/>
      <c r="KLC548" s="501"/>
      <c r="KLD548" s="501"/>
      <c r="KLE548" s="501"/>
      <c r="KLF548" s="501"/>
      <c r="KLG548" s="501"/>
      <c r="KLH548" s="501"/>
      <c r="KLI548" s="501"/>
      <c r="KLJ548" s="501"/>
      <c r="KLK548" s="501"/>
      <c r="KLL548" s="501"/>
      <c r="KLM548" s="501"/>
      <c r="KLN548" s="501"/>
      <c r="KLO548" s="501"/>
      <c r="KLP548" s="501"/>
      <c r="KLQ548" s="501"/>
      <c r="KLR548" s="501"/>
      <c r="KLS548" s="501"/>
      <c r="KLT548" s="501"/>
      <c r="KLU548" s="501"/>
      <c r="KLV548" s="501"/>
      <c r="KLW548" s="501"/>
      <c r="KLX548" s="501"/>
      <c r="KLY548" s="501"/>
      <c r="KLZ548" s="501"/>
      <c r="KMA548" s="501"/>
      <c r="KMB548" s="501"/>
      <c r="KMC548" s="501"/>
      <c r="KMD548" s="501"/>
      <c r="KME548" s="501"/>
      <c r="KMF548" s="501"/>
      <c r="KMG548" s="501"/>
      <c r="KMH548" s="501"/>
      <c r="KMI548" s="501"/>
      <c r="KMJ548" s="501"/>
      <c r="KMK548" s="501"/>
      <c r="KML548" s="501"/>
      <c r="KMM548" s="501"/>
      <c r="KMN548" s="501"/>
      <c r="KMO548" s="501"/>
      <c r="KMP548" s="501"/>
      <c r="KMQ548" s="501"/>
      <c r="KMR548" s="501"/>
      <c r="KMS548" s="501"/>
      <c r="KMT548" s="501"/>
      <c r="KMU548" s="501"/>
      <c r="KMV548" s="501"/>
      <c r="KMW548" s="501"/>
      <c r="KMX548" s="501"/>
      <c r="KMY548" s="501"/>
      <c r="KMZ548" s="501"/>
      <c r="KNA548" s="501"/>
      <c r="KNB548" s="501"/>
      <c r="KNC548" s="501"/>
      <c r="KND548" s="501"/>
      <c r="KNE548" s="501"/>
      <c r="KNF548" s="501"/>
      <c r="KNG548" s="501"/>
      <c r="KNH548" s="501"/>
      <c r="KNI548" s="501"/>
      <c r="KNJ548" s="501"/>
      <c r="KNK548" s="501"/>
      <c r="KNL548" s="501"/>
      <c r="KNM548" s="501"/>
      <c r="KNN548" s="501"/>
      <c r="KNO548" s="501"/>
      <c r="KNP548" s="501"/>
      <c r="KNQ548" s="501"/>
      <c r="KNR548" s="501"/>
      <c r="KNS548" s="501"/>
      <c r="KNT548" s="501"/>
      <c r="KNU548" s="501"/>
      <c r="KNV548" s="501"/>
      <c r="KNW548" s="501"/>
      <c r="KNX548" s="501"/>
      <c r="KNY548" s="501"/>
      <c r="KNZ548" s="501"/>
      <c r="KOA548" s="501"/>
      <c r="KOB548" s="501"/>
      <c r="KOC548" s="501"/>
      <c r="KOD548" s="501"/>
      <c r="KOE548" s="501"/>
      <c r="KOF548" s="501"/>
      <c r="KOG548" s="501"/>
      <c r="KOH548" s="501"/>
      <c r="KOI548" s="501"/>
      <c r="KOJ548" s="501"/>
      <c r="KOK548" s="501"/>
      <c r="KOL548" s="501"/>
      <c r="KOM548" s="501"/>
      <c r="KON548" s="501"/>
      <c r="KOO548" s="501"/>
      <c r="KOP548" s="501"/>
      <c r="KOQ548" s="501"/>
      <c r="KOR548" s="501"/>
      <c r="KOS548" s="501"/>
      <c r="KOT548" s="501"/>
      <c r="KOU548" s="501"/>
      <c r="KOV548" s="501"/>
      <c r="KOW548" s="501"/>
      <c r="KOX548" s="501"/>
      <c r="KOY548" s="501"/>
      <c r="KOZ548" s="501"/>
      <c r="KPA548" s="501"/>
      <c r="KPB548" s="501"/>
      <c r="KPC548" s="501"/>
      <c r="KPD548" s="501"/>
      <c r="KPE548" s="501"/>
      <c r="KPF548" s="501"/>
      <c r="KPG548" s="501"/>
      <c r="KPH548" s="501"/>
      <c r="KPI548" s="501"/>
      <c r="KPJ548" s="501"/>
      <c r="KPK548" s="501"/>
      <c r="KPL548" s="501"/>
      <c r="KPM548" s="501"/>
      <c r="KPN548" s="501"/>
      <c r="KPO548" s="501"/>
      <c r="KPP548" s="501"/>
      <c r="KPQ548" s="501"/>
      <c r="KPR548" s="501"/>
      <c r="KPS548" s="501"/>
      <c r="KPT548" s="501"/>
      <c r="KPU548" s="501"/>
      <c r="KPV548" s="501"/>
      <c r="KPW548" s="501"/>
      <c r="KPX548" s="501"/>
      <c r="KPY548" s="501"/>
      <c r="KPZ548" s="501"/>
      <c r="KQA548" s="501"/>
      <c r="KQB548" s="501"/>
      <c r="KQC548" s="501"/>
      <c r="KQD548" s="501"/>
      <c r="KQE548" s="501"/>
      <c r="KQF548" s="501"/>
      <c r="KQG548" s="501"/>
      <c r="KQH548" s="501"/>
      <c r="KQI548" s="501"/>
      <c r="KQJ548" s="501"/>
      <c r="KQK548" s="501"/>
      <c r="KQL548" s="501"/>
      <c r="KQM548" s="501"/>
      <c r="KQN548" s="501"/>
      <c r="KQO548" s="501"/>
      <c r="KQP548" s="501"/>
      <c r="KQQ548" s="501"/>
      <c r="KQR548" s="501"/>
      <c r="KQS548" s="501"/>
      <c r="KQT548" s="501"/>
      <c r="KQU548" s="501"/>
      <c r="KQV548" s="501"/>
      <c r="KQW548" s="501"/>
      <c r="KQX548" s="501"/>
      <c r="KQY548" s="501"/>
      <c r="KQZ548" s="501"/>
      <c r="KRA548" s="501"/>
      <c r="KRB548" s="501"/>
      <c r="KRC548" s="501"/>
      <c r="KRD548" s="501"/>
      <c r="KRE548" s="501"/>
      <c r="KRF548" s="501"/>
      <c r="KRG548" s="501"/>
      <c r="KRH548" s="501"/>
      <c r="KRI548" s="501"/>
      <c r="KRJ548" s="501"/>
      <c r="KRK548" s="501"/>
      <c r="KRL548" s="501"/>
      <c r="KRM548" s="501"/>
      <c r="KRN548" s="501"/>
      <c r="KRO548" s="501"/>
      <c r="KRP548" s="501"/>
      <c r="KRQ548" s="501"/>
      <c r="KRR548" s="501"/>
      <c r="KRS548" s="501"/>
      <c r="KRT548" s="501"/>
      <c r="KRU548" s="501"/>
      <c r="KRV548" s="501"/>
      <c r="KRW548" s="501"/>
      <c r="KRX548" s="501"/>
      <c r="KRY548" s="501"/>
      <c r="KRZ548" s="501"/>
      <c r="KSA548" s="501"/>
      <c r="KSB548" s="501"/>
      <c r="KSC548" s="501"/>
      <c r="KSD548" s="501"/>
      <c r="KSE548" s="501"/>
      <c r="KSF548" s="501"/>
      <c r="KSG548" s="501"/>
      <c r="KSH548" s="501"/>
      <c r="KSI548" s="501"/>
      <c r="KSJ548" s="501"/>
      <c r="KSK548" s="501"/>
      <c r="KSL548" s="501"/>
      <c r="KSM548" s="501"/>
      <c r="KSN548" s="501"/>
      <c r="KSO548" s="501"/>
      <c r="KSP548" s="501"/>
      <c r="KSQ548" s="501"/>
      <c r="KSR548" s="501"/>
      <c r="KSS548" s="501"/>
      <c r="KST548" s="501"/>
      <c r="KSU548" s="501"/>
      <c r="KSV548" s="501"/>
      <c r="KSW548" s="501"/>
      <c r="KSX548" s="501"/>
      <c r="KSY548" s="501"/>
      <c r="KSZ548" s="501"/>
      <c r="KTA548" s="501"/>
      <c r="KTB548" s="501"/>
      <c r="KTC548" s="501"/>
      <c r="KTD548" s="501"/>
      <c r="KTE548" s="501"/>
      <c r="KTF548" s="501"/>
      <c r="KTG548" s="501"/>
      <c r="KTH548" s="501"/>
      <c r="KTI548" s="501"/>
      <c r="KTJ548" s="501"/>
      <c r="KTK548" s="501"/>
      <c r="KTL548" s="501"/>
      <c r="KTM548" s="501"/>
      <c r="KTN548" s="501"/>
      <c r="KTO548" s="501"/>
      <c r="KTP548" s="501"/>
      <c r="KTQ548" s="501"/>
      <c r="KTR548" s="501"/>
      <c r="KTS548" s="501"/>
      <c r="KTT548" s="501"/>
      <c r="KTU548" s="501"/>
      <c r="KTV548" s="501"/>
      <c r="KTW548" s="501"/>
      <c r="KTX548" s="501"/>
      <c r="KTY548" s="501"/>
      <c r="KTZ548" s="501"/>
      <c r="KUA548" s="501"/>
      <c r="KUB548" s="501"/>
      <c r="KUC548" s="501"/>
      <c r="KUD548" s="501"/>
      <c r="KUE548" s="501"/>
      <c r="KUF548" s="501"/>
      <c r="KUG548" s="501"/>
      <c r="KUH548" s="501"/>
      <c r="KUI548" s="501"/>
      <c r="KUJ548" s="501"/>
      <c r="KUK548" s="501"/>
      <c r="KUL548" s="501"/>
      <c r="KUM548" s="501"/>
      <c r="KUN548" s="501"/>
      <c r="KUO548" s="501"/>
      <c r="KUP548" s="501"/>
      <c r="KUQ548" s="501"/>
      <c r="KUR548" s="501"/>
      <c r="KUS548" s="501"/>
      <c r="KUT548" s="501"/>
      <c r="KUU548" s="501"/>
      <c r="KUV548" s="501"/>
      <c r="KUW548" s="501"/>
      <c r="KUX548" s="501"/>
      <c r="KUY548" s="501"/>
      <c r="KUZ548" s="501"/>
      <c r="KVA548" s="501"/>
      <c r="KVB548" s="501"/>
      <c r="KVC548" s="501"/>
      <c r="KVD548" s="501"/>
      <c r="KVE548" s="501"/>
      <c r="KVF548" s="501"/>
      <c r="KVG548" s="501"/>
      <c r="KVH548" s="501"/>
      <c r="KVI548" s="501"/>
      <c r="KVJ548" s="501"/>
      <c r="KVK548" s="501"/>
      <c r="KVL548" s="501"/>
      <c r="KVM548" s="501"/>
      <c r="KVN548" s="501"/>
      <c r="KVO548" s="501"/>
      <c r="KVP548" s="501"/>
      <c r="KVQ548" s="501"/>
      <c r="KVR548" s="501"/>
      <c r="KVS548" s="501"/>
      <c r="KVT548" s="501"/>
      <c r="KVU548" s="501"/>
      <c r="KVV548" s="501"/>
      <c r="KVW548" s="501"/>
      <c r="KVX548" s="501"/>
      <c r="KVY548" s="501"/>
      <c r="KVZ548" s="501"/>
      <c r="KWA548" s="501"/>
      <c r="KWB548" s="501"/>
      <c r="KWC548" s="501"/>
      <c r="KWD548" s="501"/>
      <c r="KWE548" s="501"/>
      <c r="KWF548" s="501"/>
      <c r="KWG548" s="501"/>
      <c r="KWH548" s="501"/>
      <c r="KWI548" s="501"/>
      <c r="KWJ548" s="501"/>
      <c r="KWK548" s="501"/>
      <c r="KWL548" s="501"/>
      <c r="KWM548" s="501"/>
      <c r="KWN548" s="501"/>
      <c r="KWO548" s="501"/>
      <c r="KWP548" s="501"/>
      <c r="KWQ548" s="501"/>
      <c r="KWR548" s="501"/>
      <c r="KWS548" s="501"/>
      <c r="KWT548" s="501"/>
      <c r="KWU548" s="501"/>
      <c r="KWV548" s="501"/>
      <c r="KWW548" s="501"/>
      <c r="KWX548" s="501"/>
      <c r="KWY548" s="501"/>
      <c r="KWZ548" s="501"/>
      <c r="KXA548" s="501"/>
      <c r="KXB548" s="501"/>
      <c r="KXC548" s="501"/>
      <c r="KXD548" s="501"/>
      <c r="KXE548" s="501"/>
      <c r="KXF548" s="501"/>
      <c r="KXG548" s="501"/>
      <c r="KXH548" s="501"/>
      <c r="KXI548" s="501"/>
      <c r="KXJ548" s="501"/>
      <c r="KXK548" s="501"/>
      <c r="KXL548" s="501"/>
      <c r="KXM548" s="501"/>
      <c r="KXN548" s="501"/>
      <c r="KXO548" s="501"/>
      <c r="KXP548" s="501"/>
      <c r="KXQ548" s="501"/>
      <c r="KXR548" s="501"/>
      <c r="KXS548" s="501"/>
      <c r="KXT548" s="501"/>
      <c r="KXU548" s="501"/>
      <c r="KXV548" s="501"/>
      <c r="KXW548" s="501"/>
      <c r="KXX548" s="501"/>
      <c r="KXY548" s="501"/>
      <c r="KXZ548" s="501"/>
      <c r="KYA548" s="501"/>
      <c r="KYB548" s="501"/>
      <c r="KYC548" s="501"/>
      <c r="KYD548" s="501"/>
      <c r="KYE548" s="501"/>
      <c r="KYF548" s="501"/>
      <c r="KYG548" s="501"/>
      <c r="KYH548" s="501"/>
      <c r="KYI548" s="501"/>
      <c r="KYJ548" s="501"/>
      <c r="KYK548" s="501"/>
      <c r="KYL548" s="501"/>
      <c r="KYM548" s="501"/>
      <c r="KYN548" s="501"/>
      <c r="KYO548" s="501"/>
      <c r="KYP548" s="501"/>
      <c r="KYQ548" s="501"/>
      <c r="KYR548" s="501"/>
      <c r="KYS548" s="501"/>
      <c r="KYT548" s="501"/>
      <c r="KYU548" s="501"/>
      <c r="KYV548" s="501"/>
      <c r="KYW548" s="501"/>
      <c r="KYX548" s="501"/>
      <c r="KYY548" s="501"/>
      <c r="KYZ548" s="501"/>
      <c r="KZA548" s="501"/>
      <c r="KZB548" s="501"/>
      <c r="KZC548" s="501"/>
      <c r="KZD548" s="501"/>
      <c r="KZE548" s="501"/>
      <c r="KZF548" s="501"/>
      <c r="KZG548" s="501"/>
      <c r="KZH548" s="501"/>
      <c r="KZI548" s="501"/>
      <c r="KZJ548" s="501"/>
      <c r="KZK548" s="501"/>
      <c r="KZL548" s="501"/>
      <c r="KZM548" s="501"/>
      <c r="KZN548" s="501"/>
      <c r="KZO548" s="501"/>
      <c r="KZP548" s="501"/>
      <c r="KZQ548" s="501"/>
      <c r="KZR548" s="501"/>
      <c r="KZS548" s="501"/>
      <c r="KZT548" s="501"/>
      <c r="KZU548" s="501"/>
      <c r="KZV548" s="501"/>
      <c r="KZW548" s="501"/>
      <c r="KZX548" s="501"/>
      <c r="KZY548" s="501"/>
      <c r="KZZ548" s="501"/>
      <c r="LAA548" s="501"/>
      <c r="LAB548" s="501"/>
      <c r="LAC548" s="501"/>
      <c r="LAD548" s="501"/>
      <c r="LAE548" s="501"/>
      <c r="LAF548" s="501"/>
      <c r="LAG548" s="501"/>
      <c r="LAH548" s="501"/>
      <c r="LAI548" s="501"/>
      <c r="LAJ548" s="501"/>
      <c r="LAK548" s="501"/>
      <c r="LAL548" s="501"/>
      <c r="LAM548" s="501"/>
      <c r="LAN548" s="501"/>
      <c r="LAO548" s="501"/>
      <c r="LAP548" s="501"/>
      <c r="LAQ548" s="501"/>
      <c r="LAR548" s="501"/>
      <c r="LAS548" s="501"/>
      <c r="LAT548" s="501"/>
      <c r="LAU548" s="501"/>
      <c r="LAV548" s="501"/>
      <c r="LAW548" s="501"/>
      <c r="LAX548" s="501"/>
      <c r="LAY548" s="501"/>
      <c r="LAZ548" s="501"/>
      <c r="LBA548" s="501"/>
      <c r="LBB548" s="501"/>
      <c r="LBC548" s="501"/>
      <c r="LBD548" s="501"/>
      <c r="LBE548" s="501"/>
      <c r="LBF548" s="501"/>
      <c r="LBG548" s="501"/>
      <c r="LBH548" s="501"/>
      <c r="LBI548" s="501"/>
      <c r="LBJ548" s="501"/>
      <c r="LBK548" s="501"/>
      <c r="LBL548" s="501"/>
      <c r="LBM548" s="501"/>
      <c r="LBN548" s="501"/>
      <c r="LBO548" s="501"/>
      <c r="LBP548" s="501"/>
      <c r="LBQ548" s="501"/>
      <c r="LBR548" s="501"/>
      <c r="LBS548" s="501"/>
      <c r="LBT548" s="501"/>
      <c r="LBU548" s="501"/>
      <c r="LBV548" s="501"/>
      <c r="LBW548" s="501"/>
      <c r="LBX548" s="501"/>
      <c r="LBY548" s="501"/>
      <c r="LBZ548" s="501"/>
      <c r="LCA548" s="501"/>
      <c r="LCB548" s="501"/>
      <c r="LCC548" s="501"/>
      <c r="LCD548" s="501"/>
      <c r="LCE548" s="501"/>
      <c r="LCF548" s="501"/>
      <c r="LCG548" s="501"/>
      <c r="LCH548" s="501"/>
      <c r="LCI548" s="501"/>
      <c r="LCJ548" s="501"/>
      <c r="LCK548" s="501"/>
      <c r="LCL548" s="501"/>
      <c r="LCM548" s="501"/>
      <c r="LCN548" s="501"/>
      <c r="LCO548" s="501"/>
      <c r="LCP548" s="501"/>
      <c r="LCQ548" s="501"/>
      <c r="LCR548" s="501"/>
      <c r="LCS548" s="501"/>
      <c r="LCT548" s="501"/>
      <c r="LCU548" s="501"/>
      <c r="LCV548" s="501"/>
      <c r="LCW548" s="501"/>
      <c r="LCX548" s="501"/>
      <c r="LCY548" s="501"/>
      <c r="LCZ548" s="501"/>
      <c r="LDA548" s="501"/>
      <c r="LDB548" s="501"/>
      <c r="LDC548" s="501"/>
      <c r="LDD548" s="501"/>
      <c r="LDE548" s="501"/>
      <c r="LDF548" s="501"/>
      <c r="LDG548" s="501"/>
      <c r="LDH548" s="501"/>
      <c r="LDI548" s="501"/>
      <c r="LDJ548" s="501"/>
      <c r="LDK548" s="501"/>
      <c r="LDL548" s="501"/>
      <c r="LDM548" s="501"/>
      <c r="LDN548" s="501"/>
      <c r="LDO548" s="501"/>
      <c r="LDP548" s="501"/>
      <c r="LDQ548" s="501"/>
      <c r="LDR548" s="501"/>
      <c r="LDS548" s="501"/>
      <c r="LDT548" s="501"/>
      <c r="LDU548" s="501"/>
      <c r="LDV548" s="501"/>
      <c r="LDW548" s="501"/>
      <c r="LDX548" s="501"/>
      <c r="LDY548" s="501"/>
      <c r="LDZ548" s="501"/>
      <c r="LEA548" s="501"/>
      <c r="LEB548" s="501"/>
      <c r="LEC548" s="501"/>
      <c r="LED548" s="501"/>
      <c r="LEE548" s="501"/>
      <c r="LEF548" s="501"/>
      <c r="LEG548" s="501"/>
      <c r="LEH548" s="501"/>
      <c r="LEI548" s="501"/>
      <c r="LEJ548" s="501"/>
      <c r="LEK548" s="501"/>
      <c r="LEL548" s="501"/>
      <c r="LEM548" s="501"/>
      <c r="LEN548" s="501"/>
      <c r="LEO548" s="501"/>
      <c r="LEP548" s="501"/>
      <c r="LEQ548" s="501"/>
      <c r="LER548" s="501"/>
      <c r="LES548" s="501"/>
      <c r="LET548" s="501"/>
      <c r="LEU548" s="501"/>
      <c r="LEV548" s="501"/>
      <c r="LEW548" s="501"/>
      <c r="LEX548" s="501"/>
      <c r="LEY548" s="501"/>
      <c r="LEZ548" s="501"/>
      <c r="LFA548" s="501"/>
      <c r="LFB548" s="501"/>
      <c r="LFC548" s="501"/>
      <c r="LFD548" s="501"/>
      <c r="LFE548" s="501"/>
      <c r="LFF548" s="501"/>
      <c r="LFG548" s="501"/>
      <c r="LFH548" s="501"/>
      <c r="LFI548" s="501"/>
      <c r="LFJ548" s="501"/>
      <c r="LFK548" s="501"/>
      <c r="LFL548" s="501"/>
      <c r="LFM548" s="501"/>
      <c r="LFN548" s="501"/>
      <c r="LFO548" s="501"/>
      <c r="LFP548" s="501"/>
      <c r="LFQ548" s="501"/>
      <c r="LFR548" s="501"/>
      <c r="LFS548" s="501"/>
      <c r="LFT548" s="501"/>
      <c r="LFU548" s="501"/>
      <c r="LFV548" s="501"/>
      <c r="LFW548" s="501"/>
      <c r="LFX548" s="501"/>
      <c r="LFY548" s="501"/>
      <c r="LFZ548" s="501"/>
      <c r="LGA548" s="501"/>
      <c r="LGB548" s="501"/>
      <c r="LGC548" s="501"/>
      <c r="LGD548" s="501"/>
      <c r="LGE548" s="501"/>
      <c r="LGF548" s="501"/>
      <c r="LGG548" s="501"/>
      <c r="LGH548" s="501"/>
      <c r="LGI548" s="501"/>
      <c r="LGJ548" s="501"/>
      <c r="LGK548" s="501"/>
      <c r="LGL548" s="501"/>
      <c r="LGM548" s="501"/>
      <c r="LGN548" s="501"/>
      <c r="LGO548" s="501"/>
      <c r="LGP548" s="501"/>
      <c r="LGQ548" s="501"/>
      <c r="LGR548" s="501"/>
      <c r="LGS548" s="501"/>
      <c r="LGT548" s="501"/>
      <c r="LGU548" s="501"/>
      <c r="LGV548" s="501"/>
      <c r="LGW548" s="501"/>
      <c r="LGX548" s="501"/>
      <c r="LGY548" s="501"/>
      <c r="LGZ548" s="501"/>
      <c r="LHA548" s="501"/>
      <c r="LHB548" s="501"/>
      <c r="LHC548" s="501"/>
      <c r="LHD548" s="501"/>
      <c r="LHE548" s="501"/>
      <c r="LHF548" s="501"/>
      <c r="LHG548" s="501"/>
      <c r="LHH548" s="501"/>
      <c r="LHI548" s="501"/>
      <c r="LHJ548" s="501"/>
      <c r="LHK548" s="501"/>
      <c r="LHL548" s="501"/>
      <c r="LHM548" s="501"/>
      <c r="LHN548" s="501"/>
      <c r="LHO548" s="501"/>
      <c r="LHP548" s="501"/>
      <c r="LHQ548" s="501"/>
      <c r="LHR548" s="501"/>
      <c r="LHS548" s="501"/>
      <c r="LHT548" s="501"/>
      <c r="LHU548" s="501"/>
      <c r="LHV548" s="501"/>
      <c r="LHW548" s="501"/>
      <c r="LHX548" s="501"/>
      <c r="LHY548" s="501"/>
      <c r="LHZ548" s="501"/>
      <c r="LIA548" s="501"/>
      <c r="LIB548" s="501"/>
      <c r="LIC548" s="501"/>
      <c r="LID548" s="501"/>
      <c r="LIE548" s="501"/>
      <c r="LIF548" s="501"/>
      <c r="LIG548" s="501"/>
      <c r="LIH548" s="501"/>
      <c r="LII548" s="501"/>
      <c r="LIJ548" s="501"/>
      <c r="LIK548" s="501"/>
      <c r="LIL548" s="501"/>
      <c r="LIM548" s="501"/>
      <c r="LIN548" s="501"/>
      <c r="LIO548" s="501"/>
      <c r="LIP548" s="501"/>
      <c r="LIQ548" s="501"/>
      <c r="LIR548" s="501"/>
      <c r="LIS548" s="501"/>
      <c r="LIT548" s="501"/>
      <c r="LIU548" s="501"/>
      <c r="LIV548" s="501"/>
      <c r="LIW548" s="501"/>
      <c r="LIX548" s="501"/>
      <c r="LIY548" s="501"/>
      <c r="LIZ548" s="501"/>
      <c r="LJA548" s="501"/>
      <c r="LJB548" s="501"/>
      <c r="LJC548" s="501"/>
      <c r="LJD548" s="501"/>
      <c r="LJE548" s="501"/>
      <c r="LJF548" s="501"/>
      <c r="LJG548" s="501"/>
      <c r="LJH548" s="501"/>
      <c r="LJI548" s="501"/>
      <c r="LJJ548" s="501"/>
      <c r="LJK548" s="501"/>
      <c r="LJL548" s="501"/>
      <c r="LJM548" s="501"/>
      <c r="LJN548" s="501"/>
      <c r="LJO548" s="501"/>
      <c r="LJP548" s="501"/>
      <c r="LJQ548" s="501"/>
      <c r="LJR548" s="501"/>
      <c r="LJS548" s="501"/>
      <c r="LJT548" s="501"/>
      <c r="LJU548" s="501"/>
      <c r="LJV548" s="501"/>
      <c r="LJW548" s="501"/>
      <c r="LJX548" s="501"/>
      <c r="LJY548" s="501"/>
      <c r="LJZ548" s="501"/>
      <c r="LKA548" s="501"/>
      <c r="LKB548" s="501"/>
      <c r="LKC548" s="501"/>
      <c r="LKD548" s="501"/>
      <c r="LKE548" s="501"/>
      <c r="LKF548" s="501"/>
      <c r="LKG548" s="501"/>
      <c r="LKH548" s="501"/>
      <c r="LKI548" s="501"/>
      <c r="LKJ548" s="501"/>
      <c r="LKK548" s="501"/>
      <c r="LKL548" s="501"/>
      <c r="LKM548" s="501"/>
      <c r="LKN548" s="501"/>
      <c r="LKO548" s="501"/>
      <c r="LKP548" s="501"/>
      <c r="LKQ548" s="501"/>
      <c r="LKR548" s="501"/>
      <c r="LKS548" s="501"/>
      <c r="LKT548" s="501"/>
      <c r="LKU548" s="501"/>
      <c r="LKV548" s="501"/>
      <c r="LKW548" s="501"/>
      <c r="LKX548" s="501"/>
      <c r="LKY548" s="501"/>
      <c r="LKZ548" s="501"/>
      <c r="LLA548" s="501"/>
      <c r="LLB548" s="501"/>
      <c r="LLC548" s="501"/>
      <c r="LLD548" s="501"/>
      <c r="LLE548" s="501"/>
      <c r="LLF548" s="501"/>
      <c r="LLG548" s="501"/>
      <c r="LLH548" s="501"/>
      <c r="LLI548" s="501"/>
      <c r="LLJ548" s="501"/>
      <c r="LLK548" s="501"/>
      <c r="LLL548" s="501"/>
      <c r="LLM548" s="501"/>
      <c r="LLN548" s="501"/>
      <c r="LLO548" s="501"/>
      <c r="LLP548" s="501"/>
      <c r="LLQ548" s="501"/>
      <c r="LLR548" s="501"/>
      <c r="LLS548" s="501"/>
      <c r="LLT548" s="501"/>
      <c r="LLU548" s="501"/>
      <c r="LLV548" s="501"/>
      <c r="LLW548" s="501"/>
      <c r="LLX548" s="501"/>
      <c r="LLY548" s="501"/>
      <c r="LLZ548" s="501"/>
      <c r="LMA548" s="501"/>
      <c r="LMB548" s="501"/>
      <c r="LMC548" s="501"/>
      <c r="LMD548" s="501"/>
      <c r="LME548" s="501"/>
      <c r="LMF548" s="501"/>
      <c r="LMG548" s="501"/>
      <c r="LMH548" s="501"/>
      <c r="LMI548" s="501"/>
      <c r="LMJ548" s="501"/>
      <c r="LMK548" s="501"/>
      <c r="LML548" s="501"/>
      <c r="LMM548" s="501"/>
      <c r="LMN548" s="501"/>
      <c r="LMO548" s="501"/>
      <c r="LMP548" s="501"/>
      <c r="LMQ548" s="501"/>
      <c r="LMR548" s="501"/>
      <c r="LMS548" s="501"/>
      <c r="LMT548" s="501"/>
      <c r="LMU548" s="501"/>
      <c r="LMV548" s="501"/>
      <c r="LMW548" s="501"/>
      <c r="LMX548" s="501"/>
      <c r="LMY548" s="501"/>
      <c r="LMZ548" s="501"/>
      <c r="LNA548" s="501"/>
      <c r="LNB548" s="501"/>
      <c r="LNC548" s="501"/>
      <c r="LND548" s="501"/>
      <c r="LNE548" s="501"/>
      <c r="LNF548" s="501"/>
      <c r="LNG548" s="501"/>
      <c r="LNH548" s="501"/>
      <c r="LNI548" s="501"/>
      <c r="LNJ548" s="501"/>
      <c r="LNK548" s="501"/>
      <c r="LNL548" s="501"/>
      <c r="LNM548" s="501"/>
      <c r="LNN548" s="501"/>
      <c r="LNO548" s="501"/>
      <c r="LNP548" s="501"/>
      <c r="LNQ548" s="501"/>
      <c r="LNR548" s="501"/>
      <c r="LNS548" s="501"/>
      <c r="LNT548" s="501"/>
      <c r="LNU548" s="501"/>
      <c r="LNV548" s="501"/>
      <c r="LNW548" s="501"/>
      <c r="LNX548" s="501"/>
      <c r="LNY548" s="501"/>
      <c r="LNZ548" s="501"/>
      <c r="LOA548" s="501"/>
      <c r="LOB548" s="501"/>
      <c r="LOC548" s="501"/>
      <c r="LOD548" s="501"/>
      <c r="LOE548" s="501"/>
      <c r="LOF548" s="501"/>
      <c r="LOG548" s="501"/>
      <c r="LOH548" s="501"/>
      <c r="LOI548" s="501"/>
      <c r="LOJ548" s="501"/>
      <c r="LOK548" s="501"/>
      <c r="LOL548" s="501"/>
      <c r="LOM548" s="501"/>
      <c r="LON548" s="501"/>
      <c r="LOO548" s="501"/>
      <c r="LOP548" s="501"/>
      <c r="LOQ548" s="501"/>
      <c r="LOR548" s="501"/>
      <c r="LOS548" s="501"/>
      <c r="LOT548" s="501"/>
      <c r="LOU548" s="501"/>
      <c r="LOV548" s="501"/>
      <c r="LOW548" s="501"/>
      <c r="LOX548" s="501"/>
      <c r="LOY548" s="501"/>
      <c r="LOZ548" s="501"/>
      <c r="LPA548" s="501"/>
      <c r="LPB548" s="501"/>
      <c r="LPC548" s="501"/>
      <c r="LPD548" s="501"/>
      <c r="LPE548" s="501"/>
      <c r="LPF548" s="501"/>
      <c r="LPG548" s="501"/>
      <c r="LPH548" s="501"/>
      <c r="LPI548" s="501"/>
      <c r="LPJ548" s="501"/>
      <c r="LPK548" s="501"/>
      <c r="LPL548" s="501"/>
      <c r="LPM548" s="501"/>
      <c r="LPN548" s="501"/>
      <c r="LPO548" s="501"/>
      <c r="LPP548" s="501"/>
      <c r="LPQ548" s="501"/>
      <c r="LPR548" s="501"/>
      <c r="LPS548" s="501"/>
      <c r="LPT548" s="501"/>
      <c r="LPU548" s="501"/>
      <c r="LPV548" s="501"/>
      <c r="LPW548" s="501"/>
      <c r="LPX548" s="501"/>
      <c r="LPY548" s="501"/>
      <c r="LPZ548" s="501"/>
      <c r="LQA548" s="501"/>
      <c r="LQB548" s="501"/>
      <c r="LQC548" s="501"/>
      <c r="LQD548" s="501"/>
      <c r="LQE548" s="501"/>
      <c r="LQF548" s="501"/>
      <c r="LQG548" s="501"/>
      <c r="LQH548" s="501"/>
      <c r="LQI548" s="501"/>
      <c r="LQJ548" s="501"/>
      <c r="LQK548" s="501"/>
      <c r="LQL548" s="501"/>
      <c r="LQM548" s="501"/>
      <c r="LQN548" s="501"/>
      <c r="LQO548" s="501"/>
      <c r="LQP548" s="501"/>
      <c r="LQQ548" s="501"/>
      <c r="LQR548" s="501"/>
      <c r="LQS548" s="501"/>
      <c r="LQT548" s="501"/>
      <c r="LQU548" s="501"/>
      <c r="LQV548" s="501"/>
      <c r="LQW548" s="501"/>
      <c r="LQX548" s="501"/>
      <c r="LQY548" s="501"/>
      <c r="LQZ548" s="501"/>
      <c r="LRA548" s="501"/>
      <c r="LRB548" s="501"/>
      <c r="LRC548" s="501"/>
      <c r="LRD548" s="501"/>
      <c r="LRE548" s="501"/>
      <c r="LRF548" s="501"/>
      <c r="LRG548" s="501"/>
      <c r="LRH548" s="501"/>
      <c r="LRI548" s="501"/>
      <c r="LRJ548" s="501"/>
      <c r="LRK548" s="501"/>
      <c r="LRL548" s="501"/>
      <c r="LRM548" s="501"/>
      <c r="LRN548" s="501"/>
      <c r="LRO548" s="501"/>
      <c r="LRP548" s="501"/>
      <c r="LRQ548" s="501"/>
      <c r="LRR548" s="501"/>
      <c r="LRS548" s="501"/>
      <c r="LRT548" s="501"/>
      <c r="LRU548" s="501"/>
      <c r="LRV548" s="501"/>
      <c r="LRW548" s="501"/>
      <c r="LRX548" s="501"/>
      <c r="LRY548" s="501"/>
      <c r="LRZ548" s="501"/>
      <c r="LSA548" s="501"/>
      <c r="LSB548" s="501"/>
      <c r="LSC548" s="501"/>
      <c r="LSD548" s="501"/>
      <c r="LSE548" s="501"/>
      <c r="LSF548" s="501"/>
      <c r="LSG548" s="501"/>
      <c r="LSH548" s="501"/>
      <c r="LSI548" s="501"/>
      <c r="LSJ548" s="501"/>
      <c r="LSK548" s="501"/>
      <c r="LSL548" s="501"/>
      <c r="LSM548" s="501"/>
      <c r="LSN548" s="501"/>
      <c r="LSO548" s="501"/>
      <c r="LSP548" s="501"/>
      <c r="LSQ548" s="501"/>
      <c r="LSR548" s="501"/>
      <c r="LSS548" s="501"/>
      <c r="LST548" s="501"/>
      <c r="LSU548" s="501"/>
      <c r="LSV548" s="501"/>
      <c r="LSW548" s="501"/>
      <c r="LSX548" s="501"/>
      <c r="LSY548" s="501"/>
      <c r="LSZ548" s="501"/>
      <c r="LTA548" s="501"/>
      <c r="LTB548" s="501"/>
      <c r="LTC548" s="501"/>
      <c r="LTD548" s="501"/>
      <c r="LTE548" s="501"/>
      <c r="LTF548" s="501"/>
      <c r="LTG548" s="501"/>
      <c r="LTH548" s="501"/>
      <c r="LTI548" s="501"/>
      <c r="LTJ548" s="501"/>
      <c r="LTK548" s="501"/>
      <c r="LTL548" s="501"/>
      <c r="LTM548" s="501"/>
      <c r="LTN548" s="501"/>
      <c r="LTO548" s="501"/>
      <c r="LTP548" s="501"/>
      <c r="LTQ548" s="501"/>
      <c r="LTR548" s="501"/>
      <c r="LTS548" s="501"/>
      <c r="LTT548" s="501"/>
      <c r="LTU548" s="501"/>
      <c r="LTV548" s="501"/>
      <c r="LTW548" s="501"/>
      <c r="LTX548" s="501"/>
      <c r="LTY548" s="501"/>
      <c r="LTZ548" s="501"/>
      <c r="LUA548" s="501"/>
      <c r="LUB548" s="501"/>
      <c r="LUC548" s="501"/>
      <c r="LUD548" s="501"/>
      <c r="LUE548" s="501"/>
      <c r="LUF548" s="501"/>
      <c r="LUG548" s="501"/>
      <c r="LUH548" s="501"/>
      <c r="LUI548" s="501"/>
      <c r="LUJ548" s="501"/>
      <c r="LUK548" s="501"/>
      <c r="LUL548" s="501"/>
      <c r="LUM548" s="501"/>
      <c r="LUN548" s="501"/>
      <c r="LUO548" s="501"/>
      <c r="LUP548" s="501"/>
      <c r="LUQ548" s="501"/>
      <c r="LUR548" s="501"/>
      <c r="LUS548" s="501"/>
      <c r="LUT548" s="501"/>
      <c r="LUU548" s="501"/>
      <c r="LUV548" s="501"/>
      <c r="LUW548" s="501"/>
      <c r="LUX548" s="501"/>
      <c r="LUY548" s="501"/>
      <c r="LUZ548" s="501"/>
      <c r="LVA548" s="501"/>
      <c r="LVB548" s="501"/>
      <c r="LVC548" s="501"/>
      <c r="LVD548" s="501"/>
      <c r="LVE548" s="501"/>
      <c r="LVF548" s="501"/>
      <c r="LVG548" s="501"/>
      <c r="LVH548" s="501"/>
      <c r="LVI548" s="501"/>
      <c r="LVJ548" s="501"/>
      <c r="LVK548" s="501"/>
      <c r="LVL548" s="501"/>
      <c r="LVM548" s="501"/>
      <c r="LVN548" s="501"/>
      <c r="LVO548" s="501"/>
      <c r="LVP548" s="501"/>
      <c r="LVQ548" s="501"/>
      <c r="LVR548" s="501"/>
      <c r="LVS548" s="501"/>
      <c r="LVT548" s="501"/>
      <c r="LVU548" s="501"/>
      <c r="LVV548" s="501"/>
      <c r="LVW548" s="501"/>
      <c r="LVX548" s="501"/>
      <c r="LVY548" s="501"/>
      <c r="LVZ548" s="501"/>
      <c r="LWA548" s="501"/>
      <c r="LWB548" s="501"/>
      <c r="LWC548" s="501"/>
      <c r="LWD548" s="501"/>
      <c r="LWE548" s="501"/>
      <c r="LWF548" s="501"/>
      <c r="LWG548" s="501"/>
      <c r="LWH548" s="501"/>
      <c r="LWI548" s="501"/>
      <c r="LWJ548" s="501"/>
      <c r="LWK548" s="501"/>
      <c r="LWL548" s="501"/>
      <c r="LWM548" s="501"/>
      <c r="LWN548" s="501"/>
      <c r="LWO548" s="501"/>
      <c r="LWP548" s="501"/>
      <c r="LWQ548" s="501"/>
      <c r="LWR548" s="501"/>
      <c r="LWS548" s="501"/>
      <c r="LWT548" s="501"/>
      <c r="LWU548" s="501"/>
      <c r="LWV548" s="501"/>
      <c r="LWW548" s="501"/>
      <c r="LWX548" s="501"/>
      <c r="LWY548" s="501"/>
      <c r="LWZ548" s="501"/>
      <c r="LXA548" s="501"/>
      <c r="LXB548" s="501"/>
      <c r="LXC548" s="501"/>
      <c r="LXD548" s="501"/>
      <c r="LXE548" s="501"/>
      <c r="LXF548" s="501"/>
      <c r="LXG548" s="501"/>
      <c r="LXH548" s="501"/>
      <c r="LXI548" s="501"/>
      <c r="LXJ548" s="501"/>
      <c r="LXK548" s="501"/>
      <c r="LXL548" s="501"/>
      <c r="LXM548" s="501"/>
      <c r="LXN548" s="501"/>
      <c r="LXO548" s="501"/>
      <c r="LXP548" s="501"/>
      <c r="LXQ548" s="501"/>
      <c r="LXR548" s="501"/>
      <c r="LXS548" s="501"/>
      <c r="LXT548" s="501"/>
      <c r="LXU548" s="501"/>
      <c r="LXV548" s="501"/>
      <c r="LXW548" s="501"/>
      <c r="LXX548" s="501"/>
      <c r="LXY548" s="501"/>
      <c r="LXZ548" s="501"/>
      <c r="LYA548" s="501"/>
      <c r="LYB548" s="501"/>
      <c r="LYC548" s="501"/>
      <c r="LYD548" s="501"/>
      <c r="LYE548" s="501"/>
      <c r="LYF548" s="501"/>
      <c r="LYG548" s="501"/>
      <c r="LYH548" s="501"/>
      <c r="LYI548" s="501"/>
      <c r="LYJ548" s="501"/>
      <c r="LYK548" s="501"/>
      <c r="LYL548" s="501"/>
      <c r="LYM548" s="501"/>
      <c r="LYN548" s="501"/>
      <c r="LYO548" s="501"/>
      <c r="LYP548" s="501"/>
      <c r="LYQ548" s="501"/>
      <c r="LYR548" s="501"/>
      <c r="LYS548" s="501"/>
      <c r="LYT548" s="501"/>
      <c r="LYU548" s="501"/>
      <c r="LYV548" s="501"/>
      <c r="LYW548" s="501"/>
      <c r="LYX548" s="501"/>
      <c r="LYY548" s="501"/>
      <c r="LYZ548" s="501"/>
      <c r="LZA548" s="501"/>
      <c r="LZB548" s="501"/>
      <c r="LZC548" s="501"/>
      <c r="LZD548" s="501"/>
      <c r="LZE548" s="501"/>
      <c r="LZF548" s="501"/>
      <c r="LZG548" s="501"/>
      <c r="LZH548" s="501"/>
      <c r="LZI548" s="501"/>
      <c r="LZJ548" s="501"/>
      <c r="LZK548" s="501"/>
      <c r="LZL548" s="501"/>
      <c r="LZM548" s="501"/>
      <c r="LZN548" s="501"/>
      <c r="LZO548" s="501"/>
      <c r="LZP548" s="501"/>
      <c r="LZQ548" s="501"/>
      <c r="LZR548" s="501"/>
      <c r="LZS548" s="501"/>
      <c r="LZT548" s="501"/>
      <c r="LZU548" s="501"/>
      <c r="LZV548" s="501"/>
      <c r="LZW548" s="501"/>
      <c r="LZX548" s="501"/>
      <c r="LZY548" s="501"/>
      <c r="LZZ548" s="501"/>
      <c r="MAA548" s="501"/>
      <c r="MAB548" s="501"/>
      <c r="MAC548" s="501"/>
      <c r="MAD548" s="501"/>
      <c r="MAE548" s="501"/>
      <c r="MAF548" s="501"/>
      <c r="MAG548" s="501"/>
      <c r="MAH548" s="501"/>
      <c r="MAI548" s="501"/>
      <c r="MAJ548" s="501"/>
      <c r="MAK548" s="501"/>
      <c r="MAL548" s="501"/>
      <c r="MAM548" s="501"/>
      <c r="MAN548" s="501"/>
      <c r="MAO548" s="501"/>
      <c r="MAP548" s="501"/>
      <c r="MAQ548" s="501"/>
      <c r="MAR548" s="501"/>
      <c r="MAS548" s="501"/>
      <c r="MAT548" s="501"/>
      <c r="MAU548" s="501"/>
      <c r="MAV548" s="501"/>
      <c r="MAW548" s="501"/>
      <c r="MAX548" s="501"/>
      <c r="MAY548" s="501"/>
      <c r="MAZ548" s="501"/>
      <c r="MBA548" s="501"/>
      <c r="MBB548" s="501"/>
      <c r="MBC548" s="501"/>
      <c r="MBD548" s="501"/>
      <c r="MBE548" s="501"/>
      <c r="MBF548" s="501"/>
      <c r="MBG548" s="501"/>
      <c r="MBH548" s="501"/>
      <c r="MBI548" s="501"/>
      <c r="MBJ548" s="501"/>
      <c r="MBK548" s="501"/>
      <c r="MBL548" s="501"/>
      <c r="MBM548" s="501"/>
      <c r="MBN548" s="501"/>
      <c r="MBO548" s="501"/>
      <c r="MBP548" s="501"/>
      <c r="MBQ548" s="501"/>
      <c r="MBR548" s="501"/>
      <c r="MBS548" s="501"/>
      <c r="MBT548" s="501"/>
      <c r="MBU548" s="501"/>
      <c r="MBV548" s="501"/>
      <c r="MBW548" s="501"/>
      <c r="MBX548" s="501"/>
      <c r="MBY548" s="501"/>
      <c r="MBZ548" s="501"/>
      <c r="MCA548" s="501"/>
      <c r="MCB548" s="501"/>
      <c r="MCC548" s="501"/>
      <c r="MCD548" s="501"/>
      <c r="MCE548" s="501"/>
      <c r="MCF548" s="501"/>
      <c r="MCG548" s="501"/>
      <c r="MCH548" s="501"/>
      <c r="MCI548" s="501"/>
      <c r="MCJ548" s="501"/>
      <c r="MCK548" s="501"/>
      <c r="MCL548" s="501"/>
      <c r="MCM548" s="501"/>
      <c r="MCN548" s="501"/>
      <c r="MCO548" s="501"/>
      <c r="MCP548" s="501"/>
      <c r="MCQ548" s="501"/>
      <c r="MCR548" s="501"/>
      <c r="MCS548" s="501"/>
      <c r="MCT548" s="501"/>
      <c r="MCU548" s="501"/>
      <c r="MCV548" s="501"/>
      <c r="MCW548" s="501"/>
      <c r="MCX548" s="501"/>
      <c r="MCY548" s="501"/>
      <c r="MCZ548" s="501"/>
      <c r="MDA548" s="501"/>
      <c r="MDB548" s="501"/>
      <c r="MDC548" s="501"/>
      <c r="MDD548" s="501"/>
      <c r="MDE548" s="501"/>
      <c r="MDF548" s="501"/>
      <c r="MDG548" s="501"/>
      <c r="MDH548" s="501"/>
      <c r="MDI548" s="501"/>
      <c r="MDJ548" s="501"/>
      <c r="MDK548" s="501"/>
      <c r="MDL548" s="501"/>
      <c r="MDM548" s="501"/>
      <c r="MDN548" s="501"/>
      <c r="MDO548" s="501"/>
      <c r="MDP548" s="501"/>
      <c r="MDQ548" s="501"/>
      <c r="MDR548" s="501"/>
      <c r="MDS548" s="501"/>
      <c r="MDT548" s="501"/>
      <c r="MDU548" s="501"/>
      <c r="MDV548" s="501"/>
      <c r="MDW548" s="501"/>
      <c r="MDX548" s="501"/>
      <c r="MDY548" s="501"/>
      <c r="MDZ548" s="501"/>
      <c r="MEA548" s="501"/>
      <c r="MEB548" s="501"/>
      <c r="MEC548" s="501"/>
      <c r="MED548" s="501"/>
      <c r="MEE548" s="501"/>
      <c r="MEF548" s="501"/>
      <c r="MEG548" s="501"/>
      <c r="MEH548" s="501"/>
      <c r="MEI548" s="501"/>
      <c r="MEJ548" s="501"/>
      <c r="MEK548" s="501"/>
      <c r="MEL548" s="501"/>
      <c r="MEM548" s="501"/>
      <c r="MEN548" s="501"/>
      <c r="MEO548" s="501"/>
      <c r="MEP548" s="501"/>
      <c r="MEQ548" s="501"/>
      <c r="MER548" s="501"/>
      <c r="MES548" s="501"/>
      <c r="MET548" s="501"/>
      <c r="MEU548" s="501"/>
      <c r="MEV548" s="501"/>
      <c r="MEW548" s="501"/>
      <c r="MEX548" s="501"/>
      <c r="MEY548" s="501"/>
      <c r="MEZ548" s="501"/>
      <c r="MFA548" s="501"/>
      <c r="MFB548" s="501"/>
      <c r="MFC548" s="501"/>
      <c r="MFD548" s="501"/>
      <c r="MFE548" s="501"/>
      <c r="MFF548" s="501"/>
      <c r="MFG548" s="501"/>
      <c r="MFH548" s="501"/>
      <c r="MFI548" s="501"/>
      <c r="MFJ548" s="501"/>
      <c r="MFK548" s="501"/>
      <c r="MFL548" s="501"/>
      <c r="MFM548" s="501"/>
      <c r="MFN548" s="501"/>
      <c r="MFO548" s="501"/>
      <c r="MFP548" s="501"/>
      <c r="MFQ548" s="501"/>
      <c r="MFR548" s="501"/>
      <c r="MFS548" s="501"/>
      <c r="MFT548" s="501"/>
      <c r="MFU548" s="501"/>
      <c r="MFV548" s="501"/>
      <c r="MFW548" s="501"/>
      <c r="MFX548" s="501"/>
      <c r="MFY548" s="501"/>
      <c r="MFZ548" s="501"/>
      <c r="MGA548" s="501"/>
      <c r="MGB548" s="501"/>
      <c r="MGC548" s="501"/>
      <c r="MGD548" s="501"/>
      <c r="MGE548" s="501"/>
      <c r="MGF548" s="501"/>
      <c r="MGG548" s="501"/>
      <c r="MGH548" s="501"/>
      <c r="MGI548" s="501"/>
      <c r="MGJ548" s="501"/>
      <c r="MGK548" s="501"/>
      <c r="MGL548" s="501"/>
      <c r="MGM548" s="501"/>
      <c r="MGN548" s="501"/>
      <c r="MGO548" s="501"/>
      <c r="MGP548" s="501"/>
      <c r="MGQ548" s="501"/>
      <c r="MGR548" s="501"/>
      <c r="MGS548" s="501"/>
      <c r="MGT548" s="501"/>
      <c r="MGU548" s="501"/>
      <c r="MGV548" s="501"/>
      <c r="MGW548" s="501"/>
      <c r="MGX548" s="501"/>
      <c r="MGY548" s="501"/>
      <c r="MGZ548" s="501"/>
      <c r="MHA548" s="501"/>
      <c r="MHB548" s="501"/>
      <c r="MHC548" s="501"/>
      <c r="MHD548" s="501"/>
      <c r="MHE548" s="501"/>
      <c r="MHF548" s="501"/>
      <c r="MHG548" s="501"/>
      <c r="MHH548" s="501"/>
      <c r="MHI548" s="501"/>
      <c r="MHJ548" s="501"/>
      <c r="MHK548" s="501"/>
      <c r="MHL548" s="501"/>
      <c r="MHM548" s="501"/>
      <c r="MHN548" s="501"/>
      <c r="MHO548" s="501"/>
      <c r="MHP548" s="501"/>
      <c r="MHQ548" s="501"/>
      <c r="MHR548" s="501"/>
      <c r="MHS548" s="501"/>
      <c r="MHT548" s="501"/>
      <c r="MHU548" s="501"/>
      <c r="MHV548" s="501"/>
      <c r="MHW548" s="501"/>
      <c r="MHX548" s="501"/>
      <c r="MHY548" s="501"/>
      <c r="MHZ548" s="501"/>
      <c r="MIA548" s="501"/>
      <c r="MIB548" s="501"/>
      <c r="MIC548" s="501"/>
      <c r="MID548" s="501"/>
      <c r="MIE548" s="501"/>
      <c r="MIF548" s="501"/>
      <c r="MIG548" s="501"/>
      <c r="MIH548" s="501"/>
      <c r="MII548" s="501"/>
      <c r="MIJ548" s="501"/>
      <c r="MIK548" s="501"/>
      <c r="MIL548" s="501"/>
      <c r="MIM548" s="501"/>
      <c r="MIN548" s="501"/>
      <c r="MIO548" s="501"/>
      <c r="MIP548" s="501"/>
      <c r="MIQ548" s="501"/>
      <c r="MIR548" s="501"/>
      <c r="MIS548" s="501"/>
      <c r="MIT548" s="501"/>
      <c r="MIU548" s="501"/>
      <c r="MIV548" s="501"/>
      <c r="MIW548" s="501"/>
      <c r="MIX548" s="501"/>
      <c r="MIY548" s="501"/>
      <c r="MIZ548" s="501"/>
      <c r="MJA548" s="501"/>
      <c r="MJB548" s="501"/>
      <c r="MJC548" s="501"/>
      <c r="MJD548" s="501"/>
      <c r="MJE548" s="501"/>
      <c r="MJF548" s="501"/>
      <c r="MJG548" s="501"/>
      <c r="MJH548" s="501"/>
      <c r="MJI548" s="501"/>
      <c r="MJJ548" s="501"/>
      <c r="MJK548" s="501"/>
      <c r="MJL548" s="501"/>
      <c r="MJM548" s="501"/>
      <c r="MJN548" s="501"/>
      <c r="MJO548" s="501"/>
      <c r="MJP548" s="501"/>
      <c r="MJQ548" s="501"/>
      <c r="MJR548" s="501"/>
      <c r="MJS548" s="501"/>
      <c r="MJT548" s="501"/>
      <c r="MJU548" s="501"/>
      <c r="MJV548" s="501"/>
      <c r="MJW548" s="501"/>
      <c r="MJX548" s="501"/>
      <c r="MJY548" s="501"/>
      <c r="MJZ548" s="501"/>
      <c r="MKA548" s="501"/>
      <c r="MKB548" s="501"/>
      <c r="MKC548" s="501"/>
      <c r="MKD548" s="501"/>
      <c r="MKE548" s="501"/>
      <c r="MKF548" s="501"/>
      <c r="MKG548" s="501"/>
      <c r="MKH548" s="501"/>
      <c r="MKI548" s="501"/>
      <c r="MKJ548" s="501"/>
      <c r="MKK548" s="501"/>
      <c r="MKL548" s="501"/>
      <c r="MKM548" s="501"/>
      <c r="MKN548" s="501"/>
      <c r="MKO548" s="501"/>
      <c r="MKP548" s="501"/>
      <c r="MKQ548" s="501"/>
      <c r="MKR548" s="501"/>
      <c r="MKS548" s="501"/>
      <c r="MKT548" s="501"/>
      <c r="MKU548" s="501"/>
      <c r="MKV548" s="501"/>
      <c r="MKW548" s="501"/>
      <c r="MKX548" s="501"/>
      <c r="MKY548" s="501"/>
      <c r="MKZ548" s="501"/>
      <c r="MLA548" s="501"/>
      <c r="MLB548" s="501"/>
      <c r="MLC548" s="501"/>
      <c r="MLD548" s="501"/>
      <c r="MLE548" s="501"/>
      <c r="MLF548" s="501"/>
      <c r="MLG548" s="501"/>
      <c r="MLH548" s="501"/>
      <c r="MLI548" s="501"/>
      <c r="MLJ548" s="501"/>
      <c r="MLK548" s="501"/>
      <c r="MLL548" s="501"/>
      <c r="MLM548" s="501"/>
      <c r="MLN548" s="501"/>
      <c r="MLO548" s="501"/>
      <c r="MLP548" s="501"/>
      <c r="MLQ548" s="501"/>
      <c r="MLR548" s="501"/>
      <c r="MLS548" s="501"/>
      <c r="MLT548" s="501"/>
      <c r="MLU548" s="501"/>
      <c r="MLV548" s="501"/>
      <c r="MLW548" s="501"/>
      <c r="MLX548" s="501"/>
      <c r="MLY548" s="501"/>
      <c r="MLZ548" s="501"/>
      <c r="MMA548" s="501"/>
      <c r="MMB548" s="501"/>
      <c r="MMC548" s="501"/>
      <c r="MMD548" s="501"/>
      <c r="MME548" s="501"/>
      <c r="MMF548" s="501"/>
      <c r="MMG548" s="501"/>
      <c r="MMH548" s="501"/>
      <c r="MMI548" s="501"/>
      <c r="MMJ548" s="501"/>
      <c r="MMK548" s="501"/>
      <c r="MML548" s="501"/>
      <c r="MMM548" s="501"/>
      <c r="MMN548" s="501"/>
      <c r="MMO548" s="501"/>
      <c r="MMP548" s="501"/>
      <c r="MMQ548" s="501"/>
      <c r="MMR548" s="501"/>
      <c r="MMS548" s="501"/>
      <c r="MMT548" s="501"/>
      <c r="MMU548" s="501"/>
      <c r="MMV548" s="501"/>
      <c r="MMW548" s="501"/>
      <c r="MMX548" s="501"/>
      <c r="MMY548" s="501"/>
      <c r="MMZ548" s="501"/>
      <c r="MNA548" s="501"/>
      <c r="MNB548" s="501"/>
      <c r="MNC548" s="501"/>
      <c r="MND548" s="501"/>
      <c r="MNE548" s="501"/>
      <c r="MNF548" s="501"/>
      <c r="MNG548" s="501"/>
      <c r="MNH548" s="501"/>
      <c r="MNI548" s="501"/>
      <c r="MNJ548" s="501"/>
      <c r="MNK548" s="501"/>
      <c r="MNL548" s="501"/>
      <c r="MNM548" s="501"/>
      <c r="MNN548" s="501"/>
      <c r="MNO548" s="501"/>
      <c r="MNP548" s="501"/>
      <c r="MNQ548" s="501"/>
      <c r="MNR548" s="501"/>
      <c r="MNS548" s="501"/>
      <c r="MNT548" s="501"/>
      <c r="MNU548" s="501"/>
      <c r="MNV548" s="501"/>
      <c r="MNW548" s="501"/>
      <c r="MNX548" s="501"/>
      <c r="MNY548" s="501"/>
      <c r="MNZ548" s="501"/>
      <c r="MOA548" s="501"/>
      <c r="MOB548" s="501"/>
      <c r="MOC548" s="501"/>
      <c r="MOD548" s="501"/>
      <c r="MOE548" s="501"/>
      <c r="MOF548" s="501"/>
      <c r="MOG548" s="501"/>
      <c r="MOH548" s="501"/>
      <c r="MOI548" s="501"/>
      <c r="MOJ548" s="501"/>
      <c r="MOK548" s="501"/>
      <c r="MOL548" s="501"/>
      <c r="MOM548" s="501"/>
      <c r="MON548" s="501"/>
      <c r="MOO548" s="501"/>
      <c r="MOP548" s="501"/>
      <c r="MOQ548" s="501"/>
      <c r="MOR548" s="501"/>
      <c r="MOS548" s="501"/>
      <c r="MOT548" s="501"/>
      <c r="MOU548" s="501"/>
      <c r="MOV548" s="501"/>
      <c r="MOW548" s="501"/>
      <c r="MOX548" s="501"/>
      <c r="MOY548" s="501"/>
      <c r="MOZ548" s="501"/>
      <c r="MPA548" s="501"/>
      <c r="MPB548" s="501"/>
      <c r="MPC548" s="501"/>
      <c r="MPD548" s="501"/>
      <c r="MPE548" s="501"/>
      <c r="MPF548" s="501"/>
      <c r="MPG548" s="501"/>
      <c r="MPH548" s="501"/>
      <c r="MPI548" s="501"/>
      <c r="MPJ548" s="501"/>
      <c r="MPK548" s="501"/>
      <c r="MPL548" s="501"/>
      <c r="MPM548" s="501"/>
      <c r="MPN548" s="501"/>
      <c r="MPO548" s="501"/>
      <c r="MPP548" s="501"/>
      <c r="MPQ548" s="501"/>
      <c r="MPR548" s="501"/>
      <c r="MPS548" s="501"/>
      <c r="MPT548" s="501"/>
      <c r="MPU548" s="501"/>
      <c r="MPV548" s="501"/>
      <c r="MPW548" s="501"/>
      <c r="MPX548" s="501"/>
      <c r="MPY548" s="501"/>
      <c r="MPZ548" s="501"/>
      <c r="MQA548" s="501"/>
      <c r="MQB548" s="501"/>
      <c r="MQC548" s="501"/>
      <c r="MQD548" s="501"/>
      <c r="MQE548" s="501"/>
      <c r="MQF548" s="501"/>
      <c r="MQG548" s="501"/>
      <c r="MQH548" s="501"/>
      <c r="MQI548" s="501"/>
      <c r="MQJ548" s="501"/>
      <c r="MQK548" s="501"/>
      <c r="MQL548" s="501"/>
      <c r="MQM548" s="501"/>
      <c r="MQN548" s="501"/>
      <c r="MQO548" s="501"/>
      <c r="MQP548" s="501"/>
      <c r="MQQ548" s="501"/>
      <c r="MQR548" s="501"/>
      <c r="MQS548" s="501"/>
      <c r="MQT548" s="501"/>
      <c r="MQU548" s="501"/>
      <c r="MQV548" s="501"/>
      <c r="MQW548" s="501"/>
      <c r="MQX548" s="501"/>
      <c r="MQY548" s="501"/>
      <c r="MQZ548" s="501"/>
      <c r="MRA548" s="501"/>
      <c r="MRB548" s="501"/>
      <c r="MRC548" s="501"/>
      <c r="MRD548" s="501"/>
      <c r="MRE548" s="501"/>
      <c r="MRF548" s="501"/>
      <c r="MRG548" s="501"/>
      <c r="MRH548" s="501"/>
      <c r="MRI548" s="501"/>
      <c r="MRJ548" s="501"/>
      <c r="MRK548" s="501"/>
      <c r="MRL548" s="501"/>
      <c r="MRM548" s="501"/>
      <c r="MRN548" s="501"/>
      <c r="MRO548" s="501"/>
      <c r="MRP548" s="501"/>
      <c r="MRQ548" s="501"/>
      <c r="MRR548" s="501"/>
      <c r="MRS548" s="501"/>
      <c r="MRT548" s="501"/>
      <c r="MRU548" s="501"/>
      <c r="MRV548" s="501"/>
      <c r="MRW548" s="501"/>
      <c r="MRX548" s="501"/>
      <c r="MRY548" s="501"/>
      <c r="MRZ548" s="501"/>
      <c r="MSA548" s="501"/>
      <c r="MSB548" s="501"/>
      <c r="MSC548" s="501"/>
      <c r="MSD548" s="501"/>
      <c r="MSE548" s="501"/>
      <c r="MSF548" s="501"/>
      <c r="MSG548" s="501"/>
      <c r="MSH548" s="501"/>
      <c r="MSI548" s="501"/>
      <c r="MSJ548" s="501"/>
      <c r="MSK548" s="501"/>
      <c r="MSL548" s="501"/>
      <c r="MSM548" s="501"/>
      <c r="MSN548" s="501"/>
      <c r="MSO548" s="501"/>
      <c r="MSP548" s="501"/>
      <c r="MSQ548" s="501"/>
      <c r="MSR548" s="501"/>
      <c r="MSS548" s="501"/>
      <c r="MST548" s="501"/>
      <c r="MSU548" s="501"/>
      <c r="MSV548" s="501"/>
      <c r="MSW548" s="501"/>
      <c r="MSX548" s="501"/>
      <c r="MSY548" s="501"/>
      <c r="MSZ548" s="501"/>
      <c r="MTA548" s="501"/>
      <c r="MTB548" s="501"/>
      <c r="MTC548" s="501"/>
      <c r="MTD548" s="501"/>
      <c r="MTE548" s="501"/>
      <c r="MTF548" s="501"/>
      <c r="MTG548" s="501"/>
      <c r="MTH548" s="501"/>
      <c r="MTI548" s="501"/>
      <c r="MTJ548" s="501"/>
      <c r="MTK548" s="501"/>
      <c r="MTL548" s="501"/>
      <c r="MTM548" s="501"/>
      <c r="MTN548" s="501"/>
      <c r="MTO548" s="501"/>
      <c r="MTP548" s="501"/>
      <c r="MTQ548" s="501"/>
      <c r="MTR548" s="501"/>
      <c r="MTS548" s="501"/>
      <c r="MTT548" s="501"/>
      <c r="MTU548" s="501"/>
      <c r="MTV548" s="501"/>
      <c r="MTW548" s="501"/>
      <c r="MTX548" s="501"/>
      <c r="MTY548" s="501"/>
      <c r="MTZ548" s="501"/>
      <c r="MUA548" s="501"/>
      <c r="MUB548" s="501"/>
      <c r="MUC548" s="501"/>
      <c r="MUD548" s="501"/>
      <c r="MUE548" s="501"/>
      <c r="MUF548" s="501"/>
      <c r="MUG548" s="501"/>
      <c r="MUH548" s="501"/>
      <c r="MUI548" s="501"/>
      <c r="MUJ548" s="501"/>
      <c r="MUK548" s="501"/>
      <c r="MUL548" s="501"/>
      <c r="MUM548" s="501"/>
      <c r="MUN548" s="501"/>
      <c r="MUO548" s="501"/>
      <c r="MUP548" s="501"/>
      <c r="MUQ548" s="501"/>
      <c r="MUR548" s="501"/>
      <c r="MUS548" s="501"/>
      <c r="MUT548" s="501"/>
      <c r="MUU548" s="501"/>
      <c r="MUV548" s="501"/>
      <c r="MUW548" s="501"/>
      <c r="MUX548" s="501"/>
      <c r="MUY548" s="501"/>
      <c r="MUZ548" s="501"/>
      <c r="MVA548" s="501"/>
      <c r="MVB548" s="501"/>
      <c r="MVC548" s="501"/>
      <c r="MVD548" s="501"/>
      <c r="MVE548" s="501"/>
      <c r="MVF548" s="501"/>
      <c r="MVG548" s="501"/>
      <c r="MVH548" s="501"/>
      <c r="MVI548" s="501"/>
      <c r="MVJ548" s="501"/>
      <c r="MVK548" s="501"/>
      <c r="MVL548" s="501"/>
      <c r="MVM548" s="501"/>
      <c r="MVN548" s="501"/>
      <c r="MVO548" s="501"/>
      <c r="MVP548" s="501"/>
      <c r="MVQ548" s="501"/>
      <c r="MVR548" s="501"/>
      <c r="MVS548" s="501"/>
      <c r="MVT548" s="501"/>
      <c r="MVU548" s="501"/>
      <c r="MVV548" s="501"/>
      <c r="MVW548" s="501"/>
      <c r="MVX548" s="501"/>
      <c r="MVY548" s="501"/>
      <c r="MVZ548" s="501"/>
      <c r="MWA548" s="501"/>
      <c r="MWB548" s="501"/>
      <c r="MWC548" s="501"/>
      <c r="MWD548" s="501"/>
      <c r="MWE548" s="501"/>
      <c r="MWF548" s="501"/>
      <c r="MWG548" s="501"/>
      <c r="MWH548" s="501"/>
      <c r="MWI548" s="501"/>
      <c r="MWJ548" s="501"/>
      <c r="MWK548" s="501"/>
      <c r="MWL548" s="501"/>
      <c r="MWM548" s="501"/>
      <c r="MWN548" s="501"/>
      <c r="MWO548" s="501"/>
      <c r="MWP548" s="501"/>
      <c r="MWQ548" s="501"/>
      <c r="MWR548" s="501"/>
      <c r="MWS548" s="501"/>
      <c r="MWT548" s="501"/>
      <c r="MWU548" s="501"/>
      <c r="MWV548" s="501"/>
      <c r="MWW548" s="501"/>
      <c r="MWX548" s="501"/>
      <c r="MWY548" s="501"/>
      <c r="MWZ548" s="501"/>
      <c r="MXA548" s="501"/>
      <c r="MXB548" s="501"/>
      <c r="MXC548" s="501"/>
      <c r="MXD548" s="501"/>
      <c r="MXE548" s="501"/>
      <c r="MXF548" s="501"/>
      <c r="MXG548" s="501"/>
      <c r="MXH548" s="501"/>
      <c r="MXI548" s="501"/>
      <c r="MXJ548" s="501"/>
      <c r="MXK548" s="501"/>
      <c r="MXL548" s="501"/>
      <c r="MXM548" s="501"/>
      <c r="MXN548" s="501"/>
      <c r="MXO548" s="501"/>
      <c r="MXP548" s="501"/>
      <c r="MXQ548" s="501"/>
      <c r="MXR548" s="501"/>
      <c r="MXS548" s="501"/>
      <c r="MXT548" s="501"/>
      <c r="MXU548" s="501"/>
      <c r="MXV548" s="501"/>
      <c r="MXW548" s="501"/>
      <c r="MXX548" s="501"/>
      <c r="MXY548" s="501"/>
      <c r="MXZ548" s="501"/>
      <c r="MYA548" s="501"/>
      <c r="MYB548" s="501"/>
      <c r="MYC548" s="501"/>
      <c r="MYD548" s="501"/>
      <c r="MYE548" s="501"/>
      <c r="MYF548" s="501"/>
      <c r="MYG548" s="501"/>
      <c r="MYH548" s="501"/>
      <c r="MYI548" s="501"/>
      <c r="MYJ548" s="501"/>
      <c r="MYK548" s="501"/>
      <c r="MYL548" s="501"/>
      <c r="MYM548" s="501"/>
      <c r="MYN548" s="501"/>
      <c r="MYO548" s="501"/>
      <c r="MYP548" s="501"/>
      <c r="MYQ548" s="501"/>
      <c r="MYR548" s="501"/>
      <c r="MYS548" s="501"/>
      <c r="MYT548" s="501"/>
      <c r="MYU548" s="501"/>
      <c r="MYV548" s="501"/>
      <c r="MYW548" s="501"/>
      <c r="MYX548" s="501"/>
      <c r="MYY548" s="501"/>
      <c r="MYZ548" s="501"/>
      <c r="MZA548" s="501"/>
      <c r="MZB548" s="501"/>
      <c r="MZC548" s="501"/>
      <c r="MZD548" s="501"/>
      <c r="MZE548" s="501"/>
      <c r="MZF548" s="501"/>
      <c r="MZG548" s="501"/>
      <c r="MZH548" s="501"/>
      <c r="MZI548" s="501"/>
      <c r="MZJ548" s="501"/>
      <c r="MZK548" s="501"/>
      <c r="MZL548" s="501"/>
      <c r="MZM548" s="501"/>
      <c r="MZN548" s="501"/>
      <c r="MZO548" s="501"/>
      <c r="MZP548" s="501"/>
      <c r="MZQ548" s="501"/>
      <c r="MZR548" s="501"/>
      <c r="MZS548" s="501"/>
      <c r="MZT548" s="501"/>
      <c r="MZU548" s="501"/>
      <c r="MZV548" s="501"/>
      <c r="MZW548" s="501"/>
      <c r="MZX548" s="501"/>
      <c r="MZY548" s="501"/>
      <c r="MZZ548" s="501"/>
      <c r="NAA548" s="501"/>
      <c r="NAB548" s="501"/>
      <c r="NAC548" s="501"/>
      <c r="NAD548" s="501"/>
      <c r="NAE548" s="501"/>
      <c r="NAF548" s="501"/>
      <c r="NAG548" s="501"/>
      <c r="NAH548" s="501"/>
      <c r="NAI548" s="501"/>
      <c r="NAJ548" s="501"/>
      <c r="NAK548" s="501"/>
      <c r="NAL548" s="501"/>
      <c r="NAM548" s="501"/>
      <c r="NAN548" s="501"/>
      <c r="NAO548" s="501"/>
      <c r="NAP548" s="501"/>
      <c r="NAQ548" s="501"/>
      <c r="NAR548" s="501"/>
      <c r="NAS548" s="501"/>
      <c r="NAT548" s="501"/>
      <c r="NAU548" s="501"/>
      <c r="NAV548" s="501"/>
      <c r="NAW548" s="501"/>
      <c r="NAX548" s="501"/>
      <c r="NAY548" s="501"/>
      <c r="NAZ548" s="501"/>
      <c r="NBA548" s="501"/>
      <c r="NBB548" s="501"/>
      <c r="NBC548" s="501"/>
      <c r="NBD548" s="501"/>
      <c r="NBE548" s="501"/>
      <c r="NBF548" s="501"/>
      <c r="NBG548" s="501"/>
      <c r="NBH548" s="501"/>
      <c r="NBI548" s="501"/>
      <c r="NBJ548" s="501"/>
      <c r="NBK548" s="501"/>
      <c r="NBL548" s="501"/>
      <c r="NBM548" s="501"/>
      <c r="NBN548" s="501"/>
      <c r="NBO548" s="501"/>
      <c r="NBP548" s="501"/>
      <c r="NBQ548" s="501"/>
      <c r="NBR548" s="501"/>
      <c r="NBS548" s="501"/>
      <c r="NBT548" s="501"/>
      <c r="NBU548" s="501"/>
      <c r="NBV548" s="501"/>
      <c r="NBW548" s="501"/>
      <c r="NBX548" s="501"/>
      <c r="NBY548" s="501"/>
      <c r="NBZ548" s="501"/>
      <c r="NCA548" s="501"/>
      <c r="NCB548" s="501"/>
      <c r="NCC548" s="501"/>
      <c r="NCD548" s="501"/>
      <c r="NCE548" s="501"/>
      <c r="NCF548" s="501"/>
      <c r="NCG548" s="501"/>
      <c r="NCH548" s="501"/>
      <c r="NCI548" s="501"/>
      <c r="NCJ548" s="501"/>
      <c r="NCK548" s="501"/>
      <c r="NCL548" s="501"/>
      <c r="NCM548" s="501"/>
      <c r="NCN548" s="501"/>
      <c r="NCO548" s="501"/>
      <c r="NCP548" s="501"/>
      <c r="NCQ548" s="501"/>
      <c r="NCR548" s="501"/>
      <c r="NCS548" s="501"/>
      <c r="NCT548" s="501"/>
      <c r="NCU548" s="501"/>
      <c r="NCV548" s="501"/>
      <c r="NCW548" s="501"/>
      <c r="NCX548" s="501"/>
      <c r="NCY548" s="501"/>
      <c r="NCZ548" s="501"/>
      <c r="NDA548" s="501"/>
      <c r="NDB548" s="501"/>
      <c r="NDC548" s="501"/>
      <c r="NDD548" s="501"/>
      <c r="NDE548" s="501"/>
      <c r="NDF548" s="501"/>
      <c r="NDG548" s="501"/>
      <c r="NDH548" s="501"/>
      <c r="NDI548" s="501"/>
      <c r="NDJ548" s="501"/>
      <c r="NDK548" s="501"/>
      <c r="NDL548" s="501"/>
      <c r="NDM548" s="501"/>
      <c r="NDN548" s="501"/>
      <c r="NDO548" s="501"/>
      <c r="NDP548" s="501"/>
      <c r="NDQ548" s="501"/>
      <c r="NDR548" s="501"/>
      <c r="NDS548" s="501"/>
      <c r="NDT548" s="501"/>
      <c r="NDU548" s="501"/>
      <c r="NDV548" s="501"/>
      <c r="NDW548" s="501"/>
      <c r="NDX548" s="501"/>
      <c r="NDY548" s="501"/>
      <c r="NDZ548" s="501"/>
      <c r="NEA548" s="501"/>
      <c r="NEB548" s="501"/>
      <c r="NEC548" s="501"/>
      <c r="NED548" s="501"/>
      <c r="NEE548" s="501"/>
      <c r="NEF548" s="501"/>
      <c r="NEG548" s="501"/>
      <c r="NEH548" s="501"/>
      <c r="NEI548" s="501"/>
      <c r="NEJ548" s="501"/>
      <c r="NEK548" s="501"/>
      <c r="NEL548" s="501"/>
      <c r="NEM548" s="501"/>
      <c r="NEN548" s="501"/>
      <c r="NEO548" s="501"/>
      <c r="NEP548" s="501"/>
      <c r="NEQ548" s="501"/>
      <c r="NER548" s="501"/>
      <c r="NES548" s="501"/>
      <c r="NET548" s="501"/>
      <c r="NEU548" s="501"/>
      <c r="NEV548" s="501"/>
      <c r="NEW548" s="501"/>
      <c r="NEX548" s="501"/>
      <c r="NEY548" s="501"/>
      <c r="NEZ548" s="501"/>
      <c r="NFA548" s="501"/>
      <c r="NFB548" s="501"/>
      <c r="NFC548" s="501"/>
      <c r="NFD548" s="501"/>
      <c r="NFE548" s="501"/>
      <c r="NFF548" s="501"/>
      <c r="NFG548" s="501"/>
      <c r="NFH548" s="501"/>
      <c r="NFI548" s="501"/>
      <c r="NFJ548" s="501"/>
      <c r="NFK548" s="501"/>
      <c r="NFL548" s="501"/>
      <c r="NFM548" s="501"/>
      <c r="NFN548" s="501"/>
      <c r="NFO548" s="501"/>
      <c r="NFP548" s="501"/>
      <c r="NFQ548" s="501"/>
      <c r="NFR548" s="501"/>
      <c r="NFS548" s="501"/>
      <c r="NFT548" s="501"/>
      <c r="NFU548" s="501"/>
      <c r="NFV548" s="501"/>
      <c r="NFW548" s="501"/>
      <c r="NFX548" s="501"/>
      <c r="NFY548" s="501"/>
      <c r="NFZ548" s="501"/>
      <c r="NGA548" s="501"/>
      <c r="NGB548" s="501"/>
      <c r="NGC548" s="501"/>
      <c r="NGD548" s="501"/>
      <c r="NGE548" s="501"/>
      <c r="NGF548" s="501"/>
      <c r="NGG548" s="501"/>
      <c r="NGH548" s="501"/>
      <c r="NGI548" s="501"/>
      <c r="NGJ548" s="501"/>
      <c r="NGK548" s="501"/>
      <c r="NGL548" s="501"/>
      <c r="NGM548" s="501"/>
      <c r="NGN548" s="501"/>
      <c r="NGO548" s="501"/>
      <c r="NGP548" s="501"/>
      <c r="NGQ548" s="501"/>
      <c r="NGR548" s="501"/>
      <c r="NGS548" s="501"/>
      <c r="NGT548" s="501"/>
      <c r="NGU548" s="501"/>
      <c r="NGV548" s="501"/>
      <c r="NGW548" s="501"/>
      <c r="NGX548" s="501"/>
      <c r="NGY548" s="501"/>
      <c r="NGZ548" s="501"/>
      <c r="NHA548" s="501"/>
      <c r="NHB548" s="501"/>
      <c r="NHC548" s="501"/>
      <c r="NHD548" s="501"/>
      <c r="NHE548" s="501"/>
      <c r="NHF548" s="501"/>
      <c r="NHG548" s="501"/>
      <c r="NHH548" s="501"/>
      <c r="NHI548" s="501"/>
      <c r="NHJ548" s="501"/>
      <c r="NHK548" s="501"/>
      <c r="NHL548" s="501"/>
      <c r="NHM548" s="501"/>
      <c r="NHN548" s="501"/>
      <c r="NHO548" s="501"/>
      <c r="NHP548" s="501"/>
      <c r="NHQ548" s="501"/>
      <c r="NHR548" s="501"/>
      <c r="NHS548" s="501"/>
      <c r="NHT548" s="501"/>
      <c r="NHU548" s="501"/>
      <c r="NHV548" s="501"/>
      <c r="NHW548" s="501"/>
      <c r="NHX548" s="501"/>
      <c r="NHY548" s="501"/>
      <c r="NHZ548" s="501"/>
      <c r="NIA548" s="501"/>
      <c r="NIB548" s="501"/>
      <c r="NIC548" s="501"/>
      <c r="NID548" s="501"/>
      <c r="NIE548" s="501"/>
      <c r="NIF548" s="501"/>
      <c r="NIG548" s="501"/>
      <c r="NIH548" s="501"/>
      <c r="NII548" s="501"/>
      <c r="NIJ548" s="501"/>
      <c r="NIK548" s="501"/>
      <c r="NIL548" s="501"/>
      <c r="NIM548" s="501"/>
      <c r="NIN548" s="501"/>
      <c r="NIO548" s="501"/>
      <c r="NIP548" s="501"/>
      <c r="NIQ548" s="501"/>
      <c r="NIR548" s="501"/>
      <c r="NIS548" s="501"/>
      <c r="NIT548" s="501"/>
      <c r="NIU548" s="501"/>
      <c r="NIV548" s="501"/>
      <c r="NIW548" s="501"/>
      <c r="NIX548" s="501"/>
      <c r="NIY548" s="501"/>
      <c r="NIZ548" s="501"/>
      <c r="NJA548" s="501"/>
      <c r="NJB548" s="501"/>
      <c r="NJC548" s="501"/>
      <c r="NJD548" s="501"/>
      <c r="NJE548" s="501"/>
      <c r="NJF548" s="501"/>
      <c r="NJG548" s="501"/>
      <c r="NJH548" s="501"/>
      <c r="NJI548" s="501"/>
      <c r="NJJ548" s="501"/>
      <c r="NJK548" s="501"/>
      <c r="NJL548" s="501"/>
      <c r="NJM548" s="501"/>
      <c r="NJN548" s="501"/>
      <c r="NJO548" s="501"/>
      <c r="NJP548" s="501"/>
      <c r="NJQ548" s="501"/>
      <c r="NJR548" s="501"/>
      <c r="NJS548" s="501"/>
      <c r="NJT548" s="501"/>
      <c r="NJU548" s="501"/>
      <c r="NJV548" s="501"/>
      <c r="NJW548" s="501"/>
      <c r="NJX548" s="501"/>
      <c r="NJY548" s="501"/>
      <c r="NJZ548" s="501"/>
      <c r="NKA548" s="501"/>
      <c r="NKB548" s="501"/>
      <c r="NKC548" s="501"/>
      <c r="NKD548" s="501"/>
      <c r="NKE548" s="501"/>
      <c r="NKF548" s="501"/>
      <c r="NKG548" s="501"/>
      <c r="NKH548" s="501"/>
      <c r="NKI548" s="501"/>
      <c r="NKJ548" s="501"/>
      <c r="NKK548" s="501"/>
      <c r="NKL548" s="501"/>
      <c r="NKM548" s="501"/>
      <c r="NKN548" s="501"/>
      <c r="NKO548" s="501"/>
      <c r="NKP548" s="501"/>
      <c r="NKQ548" s="501"/>
      <c r="NKR548" s="501"/>
      <c r="NKS548" s="501"/>
      <c r="NKT548" s="501"/>
      <c r="NKU548" s="501"/>
      <c r="NKV548" s="501"/>
      <c r="NKW548" s="501"/>
      <c r="NKX548" s="501"/>
      <c r="NKY548" s="501"/>
      <c r="NKZ548" s="501"/>
      <c r="NLA548" s="501"/>
      <c r="NLB548" s="501"/>
      <c r="NLC548" s="501"/>
      <c r="NLD548" s="501"/>
      <c r="NLE548" s="501"/>
      <c r="NLF548" s="501"/>
      <c r="NLG548" s="501"/>
      <c r="NLH548" s="501"/>
      <c r="NLI548" s="501"/>
      <c r="NLJ548" s="501"/>
      <c r="NLK548" s="501"/>
      <c r="NLL548" s="501"/>
      <c r="NLM548" s="501"/>
      <c r="NLN548" s="501"/>
      <c r="NLO548" s="501"/>
      <c r="NLP548" s="501"/>
      <c r="NLQ548" s="501"/>
      <c r="NLR548" s="501"/>
      <c r="NLS548" s="501"/>
      <c r="NLT548" s="501"/>
      <c r="NLU548" s="501"/>
      <c r="NLV548" s="501"/>
      <c r="NLW548" s="501"/>
      <c r="NLX548" s="501"/>
      <c r="NLY548" s="501"/>
      <c r="NLZ548" s="501"/>
      <c r="NMA548" s="501"/>
      <c r="NMB548" s="501"/>
      <c r="NMC548" s="501"/>
      <c r="NMD548" s="501"/>
      <c r="NME548" s="501"/>
      <c r="NMF548" s="501"/>
      <c r="NMG548" s="501"/>
      <c r="NMH548" s="501"/>
      <c r="NMI548" s="501"/>
      <c r="NMJ548" s="501"/>
      <c r="NMK548" s="501"/>
      <c r="NML548" s="501"/>
      <c r="NMM548" s="501"/>
      <c r="NMN548" s="501"/>
      <c r="NMO548" s="501"/>
      <c r="NMP548" s="501"/>
      <c r="NMQ548" s="501"/>
      <c r="NMR548" s="501"/>
      <c r="NMS548" s="501"/>
      <c r="NMT548" s="501"/>
      <c r="NMU548" s="501"/>
      <c r="NMV548" s="501"/>
      <c r="NMW548" s="501"/>
      <c r="NMX548" s="501"/>
      <c r="NMY548" s="501"/>
      <c r="NMZ548" s="501"/>
      <c r="NNA548" s="501"/>
      <c r="NNB548" s="501"/>
      <c r="NNC548" s="501"/>
      <c r="NND548" s="501"/>
      <c r="NNE548" s="501"/>
      <c r="NNF548" s="501"/>
      <c r="NNG548" s="501"/>
      <c r="NNH548" s="501"/>
      <c r="NNI548" s="501"/>
      <c r="NNJ548" s="501"/>
      <c r="NNK548" s="501"/>
      <c r="NNL548" s="501"/>
      <c r="NNM548" s="501"/>
      <c r="NNN548" s="501"/>
      <c r="NNO548" s="501"/>
      <c r="NNP548" s="501"/>
      <c r="NNQ548" s="501"/>
      <c r="NNR548" s="501"/>
      <c r="NNS548" s="501"/>
      <c r="NNT548" s="501"/>
      <c r="NNU548" s="501"/>
      <c r="NNV548" s="501"/>
      <c r="NNW548" s="501"/>
      <c r="NNX548" s="501"/>
      <c r="NNY548" s="501"/>
      <c r="NNZ548" s="501"/>
      <c r="NOA548" s="501"/>
      <c r="NOB548" s="501"/>
      <c r="NOC548" s="501"/>
      <c r="NOD548" s="501"/>
      <c r="NOE548" s="501"/>
      <c r="NOF548" s="501"/>
      <c r="NOG548" s="501"/>
      <c r="NOH548" s="501"/>
      <c r="NOI548" s="501"/>
      <c r="NOJ548" s="501"/>
      <c r="NOK548" s="501"/>
      <c r="NOL548" s="501"/>
      <c r="NOM548" s="501"/>
      <c r="NON548" s="501"/>
      <c r="NOO548" s="501"/>
      <c r="NOP548" s="501"/>
      <c r="NOQ548" s="501"/>
      <c r="NOR548" s="501"/>
      <c r="NOS548" s="501"/>
      <c r="NOT548" s="501"/>
      <c r="NOU548" s="501"/>
      <c r="NOV548" s="501"/>
      <c r="NOW548" s="501"/>
      <c r="NOX548" s="501"/>
      <c r="NOY548" s="501"/>
      <c r="NOZ548" s="501"/>
      <c r="NPA548" s="501"/>
      <c r="NPB548" s="501"/>
      <c r="NPC548" s="501"/>
      <c r="NPD548" s="501"/>
      <c r="NPE548" s="501"/>
      <c r="NPF548" s="501"/>
      <c r="NPG548" s="501"/>
      <c r="NPH548" s="501"/>
      <c r="NPI548" s="501"/>
      <c r="NPJ548" s="501"/>
      <c r="NPK548" s="501"/>
      <c r="NPL548" s="501"/>
      <c r="NPM548" s="501"/>
      <c r="NPN548" s="501"/>
      <c r="NPO548" s="501"/>
      <c r="NPP548" s="501"/>
      <c r="NPQ548" s="501"/>
      <c r="NPR548" s="501"/>
      <c r="NPS548" s="501"/>
      <c r="NPT548" s="501"/>
      <c r="NPU548" s="501"/>
      <c r="NPV548" s="501"/>
      <c r="NPW548" s="501"/>
      <c r="NPX548" s="501"/>
      <c r="NPY548" s="501"/>
      <c r="NPZ548" s="501"/>
      <c r="NQA548" s="501"/>
      <c r="NQB548" s="501"/>
      <c r="NQC548" s="501"/>
      <c r="NQD548" s="501"/>
      <c r="NQE548" s="501"/>
      <c r="NQF548" s="501"/>
      <c r="NQG548" s="501"/>
      <c r="NQH548" s="501"/>
      <c r="NQI548" s="501"/>
      <c r="NQJ548" s="501"/>
      <c r="NQK548" s="501"/>
      <c r="NQL548" s="501"/>
      <c r="NQM548" s="501"/>
      <c r="NQN548" s="501"/>
      <c r="NQO548" s="501"/>
      <c r="NQP548" s="501"/>
      <c r="NQQ548" s="501"/>
      <c r="NQR548" s="501"/>
      <c r="NQS548" s="501"/>
      <c r="NQT548" s="501"/>
      <c r="NQU548" s="501"/>
      <c r="NQV548" s="501"/>
      <c r="NQW548" s="501"/>
      <c r="NQX548" s="501"/>
      <c r="NQY548" s="501"/>
      <c r="NQZ548" s="501"/>
      <c r="NRA548" s="501"/>
      <c r="NRB548" s="501"/>
      <c r="NRC548" s="501"/>
      <c r="NRD548" s="501"/>
      <c r="NRE548" s="501"/>
      <c r="NRF548" s="501"/>
      <c r="NRG548" s="501"/>
      <c r="NRH548" s="501"/>
      <c r="NRI548" s="501"/>
      <c r="NRJ548" s="501"/>
      <c r="NRK548" s="501"/>
      <c r="NRL548" s="501"/>
      <c r="NRM548" s="501"/>
      <c r="NRN548" s="501"/>
      <c r="NRO548" s="501"/>
      <c r="NRP548" s="501"/>
      <c r="NRQ548" s="501"/>
      <c r="NRR548" s="501"/>
      <c r="NRS548" s="501"/>
      <c r="NRT548" s="501"/>
      <c r="NRU548" s="501"/>
      <c r="NRV548" s="501"/>
      <c r="NRW548" s="501"/>
      <c r="NRX548" s="501"/>
      <c r="NRY548" s="501"/>
      <c r="NRZ548" s="501"/>
      <c r="NSA548" s="501"/>
      <c r="NSB548" s="501"/>
      <c r="NSC548" s="501"/>
      <c r="NSD548" s="501"/>
      <c r="NSE548" s="501"/>
      <c r="NSF548" s="501"/>
      <c r="NSG548" s="501"/>
      <c r="NSH548" s="501"/>
      <c r="NSI548" s="501"/>
      <c r="NSJ548" s="501"/>
      <c r="NSK548" s="501"/>
      <c r="NSL548" s="501"/>
      <c r="NSM548" s="501"/>
      <c r="NSN548" s="501"/>
      <c r="NSO548" s="501"/>
      <c r="NSP548" s="501"/>
      <c r="NSQ548" s="501"/>
      <c r="NSR548" s="501"/>
      <c r="NSS548" s="501"/>
      <c r="NST548" s="501"/>
      <c r="NSU548" s="501"/>
      <c r="NSV548" s="501"/>
      <c r="NSW548" s="501"/>
      <c r="NSX548" s="501"/>
      <c r="NSY548" s="501"/>
      <c r="NSZ548" s="501"/>
      <c r="NTA548" s="501"/>
      <c r="NTB548" s="501"/>
      <c r="NTC548" s="501"/>
      <c r="NTD548" s="501"/>
      <c r="NTE548" s="501"/>
      <c r="NTF548" s="501"/>
      <c r="NTG548" s="501"/>
      <c r="NTH548" s="501"/>
      <c r="NTI548" s="501"/>
      <c r="NTJ548" s="501"/>
      <c r="NTK548" s="501"/>
      <c r="NTL548" s="501"/>
      <c r="NTM548" s="501"/>
      <c r="NTN548" s="501"/>
      <c r="NTO548" s="501"/>
      <c r="NTP548" s="501"/>
      <c r="NTQ548" s="501"/>
      <c r="NTR548" s="501"/>
      <c r="NTS548" s="501"/>
      <c r="NTT548" s="501"/>
      <c r="NTU548" s="501"/>
      <c r="NTV548" s="501"/>
      <c r="NTW548" s="501"/>
      <c r="NTX548" s="501"/>
      <c r="NTY548" s="501"/>
      <c r="NTZ548" s="501"/>
      <c r="NUA548" s="501"/>
      <c r="NUB548" s="501"/>
      <c r="NUC548" s="501"/>
      <c r="NUD548" s="501"/>
      <c r="NUE548" s="501"/>
      <c r="NUF548" s="501"/>
      <c r="NUG548" s="501"/>
      <c r="NUH548" s="501"/>
      <c r="NUI548" s="501"/>
      <c r="NUJ548" s="501"/>
      <c r="NUK548" s="501"/>
      <c r="NUL548" s="501"/>
      <c r="NUM548" s="501"/>
      <c r="NUN548" s="501"/>
      <c r="NUO548" s="501"/>
      <c r="NUP548" s="501"/>
      <c r="NUQ548" s="501"/>
      <c r="NUR548" s="501"/>
      <c r="NUS548" s="501"/>
      <c r="NUT548" s="501"/>
      <c r="NUU548" s="501"/>
      <c r="NUV548" s="501"/>
      <c r="NUW548" s="501"/>
      <c r="NUX548" s="501"/>
      <c r="NUY548" s="501"/>
      <c r="NUZ548" s="501"/>
      <c r="NVA548" s="501"/>
      <c r="NVB548" s="501"/>
      <c r="NVC548" s="501"/>
      <c r="NVD548" s="501"/>
      <c r="NVE548" s="501"/>
      <c r="NVF548" s="501"/>
      <c r="NVG548" s="501"/>
      <c r="NVH548" s="501"/>
      <c r="NVI548" s="501"/>
      <c r="NVJ548" s="501"/>
      <c r="NVK548" s="501"/>
      <c r="NVL548" s="501"/>
      <c r="NVM548" s="501"/>
      <c r="NVN548" s="501"/>
      <c r="NVO548" s="501"/>
      <c r="NVP548" s="501"/>
      <c r="NVQ548" s="501"/>
      <c r="NVR548" s="501"/>
      <c r="NVS548" s="501"/>
      <c r="NVT548" s="501"/>
      <c r="NVU548" s="501"/>
      <c r="NVV548" s="501"/>
      <c r="NVW548" s="501"/>
      <c r="NVX548" s="501"/>
      <c r="NVY548" s="501"/>
      <c r="NVZ548" s="501"/>
      <c r="NWA548" s="501"/>
      <c r="NWB548" s="501"/>
      <c r="NWC548" s="501"/>
      <c r="NWD548" s="501"/>
      <c r="NWE548" s="501"/>
      <c r="NWF548" s="501"/>
      <c r="NWG548" s="501"/>
      <c r="NWH548" s="501"/>
      <c r="NWI548" s="501"/>
      <c r="NWJ548" s="501"/>
      <c r="NWK548" s="501"/>
      <c r="NWL548" s="501"/>
      <c r="NWM548" s="501"/>
      <c r="NWN548" s="501"/>
      <c r="NWO548" s="501"/>
      <c r="NWP548" s="501"/>
      <c r="NWQ548" s="501"/>
      <c r="NWR548" s="501"/>
      <c r="NWS548" s="501"/>
      <c r="NWT548" s="501"/>
      <c r="NWU548" s="501"/>
      <c r="NWV548" s="501"/>
      <c r="NWW548" s="501"/>
      <c r="NWX548" s="501"/>
      <c r="NWY548" s="501"/>
      <c r="NWZ548" s="501"/>
      <c r="NXA548" s="501"/>
      <c r="NXB548" s="501"/>
      <c r="NXC548" s="501"/>
      <c r="NXD548" s="501"/>
      <c r="NXE548" s="501"/>
      <c r="NXF548" s="501"/>
      <c r="NXG548" s="501"/>
      <c r="NXH548" s="501"/>
      <c r="NXI548" s="501"/>
      <c r="NXJ548" s="501"/>
      <c r="NXK548" s="501"/>
      <c r="NXL548" s="501"/>
      <c r="NXM548" s="501"/>
      <c r="NXN548" s="501"/>
      <c r="NXO548" s="501"/>
      <c r="NXP548" s="501"/>
      <c r="NXQ548" s="501"/>
      <c r="NXR548" s="501"/>
      <c r="NXS548" s="501"/>
      <c r="NXT548" s="501"/>
      <c r="NXU548" s="501"/>
      <c r="NXV548" s="501"/>
      <c r="NXW548" s="501"/>
      <c r="NXX548" s="501"/>
      <c r="NXY548" s="501"/>
      <c r="NXZ548" s="501"/>
      <c r="NYA548" s="501"/>
      <c r="NYB548" s="501"/>
      <c r="NYC548" s="501"/>
      <c r="NYD548" s="501"/>
      <c r="NYE548" s="501"/>
      <c r="NYF548" s="501"/>
      <c r="NYG548" s="501"/>
      <c r="NYH548" s="501"/>
      <c r="NYI548" s="501"/>
      <c r="NYJ548" s="501"/>
      <c r="NYK548" s="501"/>
      <c r="NYL548" s="501"/>
      <c r="NYM548" s="501"/>
      <c r="NYN548" s="501"/>
      <c r="NYO548" s="501"/>
      <c r="NYP548" s="501"/>
      <c r="NYQ548" s="501"/>
      <c r="NYR548" s="501"/>
      <c r="NYS548" s="501"/>
      <c r="NYT548" s="501"/>
      <c r="NYU548" s="501"/>
      <c r="NYV548" s="501"/>
      <c r="NYW548" s="501"/>
      <c r="NYX548" s="501"/>
      <c r="NYY548" s="501"/>
      <c r="NYZ548" s="501"/>
      <c r="NZA548" s="501"/>
      <c r="NZB548" s="501"/>
      <c r="NZC548" s="501"/>
      <c r="NZD548" s="501"/>
      <c r="NZE548" s="501"/>
      <c r="NZF548" s="501"/>
      <c r="NZG548" s="501"/>
      <c r="NZH548" s="501"/>
      <c r="NZI548" s="501"/>
      <c r="NZJ548" s="501"/>
      <c r="NZK548" s="501"/>
      <c r="NZL548" s="501"/>
      <c r="NZM548" s="501"/>
      <c r="NZN548" s="501"/>
      <c r="NZO548" s="501"/>
      <c r="NZP548" s="501"/>
      <c r="NZQ548" s="501"/>
      <c r="NZR548" s="501"/>
      <c r="NZS548" s="501"/>
      <c r="NZT548" s="501"/>
      <c r="NZU548" s="501"/>
      <c r="NZV548" s="501"/>
      <c r="NZW548" s="501"/>
      <c r="NZX548" s="501"/>
      <c r="NZY548" s="501"/>
      <c r="NZZ548" s="501"/>
      <c r="OAA548" s="501"/>
      <c r="OAB548" s="501"/>
      <c r="OAC548" s="501"/>
      <c r="OAD548" s="501"/>
      <c r="OAE548" s="501"/>
      <c r="OAF548" s="501"/>
      <c r="OAG548" s="501"/>
      <c r="OAH548" s="501"/>
      <c r="OAI548" s="501"/>
      <c r="OAJ548" s="501"/>
      <c r="OAK548" s="501"/>
      <c r="OAL548" s="501"/>
      <c r="OAM548" s="501"/>
      <c r="OAN548" s="501"/>
      <c r="OAO548" s="501"/>
      <c r="OAP548" s="501"/>
      <c r="OAQ548" s="501"/>
      <c r="OAR548" s="501"/>
      <c r="OAS548" s="501"/>
      <c r="OAT548" s="501"/>
      <c r="OAU548" s="501"/>
      <c r="OAV548" s="501"/>
      <c r="OAW548" s="501"/>
      <c r="OAX548" s="501"/>
      <c r="OAY548" s="501"/>
      <c r="OAZ548" s="501"/>
      <c r="OBA548" s="501"/>
      <c r="OBB548" s="501"/>
      <c r="OBC548" s="501"/>
      <c r="OBD548" s="501"/>
      <c r="OBE548" s="501"/>
      <c r="OBF548" s="501"/>
      <c r="OBG548" s="501"/>
      <c r="OBH548" s="501"/>
      <c r="OBI548" s="501"/>
      <c r="OBJ548" s="501"/>
      <c r="OBK548" s="501"/>
      <c r="OBL548" s="501"/>
      <c r="OBM548" s="501"/>
      <c r="OBN548" s="501"/>
      <c r="OBO548" s="501"/>
      <c r="OBP548" s="501"/>
      <c r="OBQ548" s="501"/>
      <c r="OBR548" s="501"/>
      <c r="OBS548" s="501"/>
      <c r="OBT548" s="501"/>
      <c r="OBU548" s="501"/>
      <c r="OBV548" s="501"/>
      <c r="OBW548" s="501"/>
      <c r="OBX548" s="501"/>
      <c r="OBY548" s="501"/>
      <c r="OBZ548" s="501"/>
      <c r="OCA548" s="501"/>
      <c r="OCB548" s="501"/>
      <c r="OCC548" s="501"/>
      <c r="OCD548" s="501"/>
      <c r="OCE548" s="501"/>
      <c r="OCF548" s="501"/>
      <c r="OCG548" s="501"/>
      <c r="OCH548" s="501"/>
      <c r="OCI548" s="501"/>
      <c r="OCJ548" s="501"/>
      <c r="OCK548" s="501"/>
      <c r="OCL548" s="501"/>
      <c r="OCM548" s="501"/>
      <c r="OCN548" s="501"/>
      <c r="OCO548" s="501"/>
      <c r="OCP548" s="501"/>
      <c r="OCQ548" s="501"/>
      <c r="OCR548" s="501"/>
      <c r="OCS548" s="501"/>
      <c r="OCT548" s="501"/>
      <c r="OCU548" s="501"/>
      <c r="OCV548" s="501"/>
      <c r="OCW548" s="501"/>
      <c r="OCX548" s="501"/>
      <c r="OCY548" s="501"/>
      <c r="OCZ548" s="501"/>
      <c r="ODA548" s="501"/>
      <c r="ODB548" s="501"/>
      <c r="ODC548" s="501"/>
      <c r="ODD548" s="501"/>
      <c r="ODE548" s="501"/>
      <c r="ODF548" s="501"/>
      <c r="ODG548" s="501"/>
      <c r="ODH548" s="501"/>
      <c r="ODI548" s="501"/>
      <c r="ODJ548" s="501"/>
      <c r="ODK548" s="501"/>
      <c r="ODL548" s="501"/>
      <c r="ODM548" s="501"/>
      <c r="ODN548" s="501"/>
      <c r="ODO548" s="501"/>
      <c r="ODP548" s="501"/>
      <c r="ODQ548" s="501"/>
      <c r="ODR548" s="501"/>
      <c r="ODS548" s="501"/>
      <c r="ODT548" s="501"/>
      <c r="ODU548" s="501"/>
      <c r="ODV548" s="501"/>
      <c r="ODW548" s="501"/>
      <c r="ODX548" s="501"/>
      <c r="ODY548" s="501"/>
      <c r="ODZ548" s="501"/>
      <c r="OEA548" s="501"/>
      <c r="OEB548" s="501"/>
      <c r="OEC548" s="501"/>
      <c r="OED548" s="501"/>
      <c r="OEE548" s="501"/>
      <c r="OEF548" s="501"/>
      <c r="OEG548" s="501"/>
      <c r="OEH548" s="501"/>
      <c r="OEI548" s="501"/>
      <c r="OEJ548" s="501"/>
      <c r="OEK548" s="501"/>
      <c r="OEL548" s="501"/>
      <c r="OEM548" s="501"/>
      <c r="OEN548" s="501"/>
      <c r="OEO548" s="501"/>
      <c r="OEP548" s="501"/>
      <c r="OEQ548" s="501"/>
      <c r="OER548" s="501"/>
      <c r="OES548" s="501"/>
      <c r="OET548" s="501"/>
      <c r="OEU548" s="501"/>
      <c r="OEV548" s="501"/>
      <c r="OEW548" s="501"/>
      <c r="OEX548" s="501"/>
      <c r="OEY548" s="501"/>
      <c r="OEZ548" s="501"/>
      <c r="OFA548" s="501"/>
      <c r="OFB548" s="501"/>
      <c r="OFC548" s="501"/>
      <c r="OFD548" s="501"/>
      <c r="OFE548" s="501"/>
      <c r="OFF548" s="501"/>
      <c r="OFG548" s="501"/>
      <c r="OFH548" s="501"/>
      <c r="OFI548" s="501"/>
      <c r="OFJ548" s="501"/>
      <c r="OFK548" s="501"/>
      <c r="OFL548" s="501"/>
      <c r="OFM548" s="501"/>
      <c r="OFN548" s="501"/>
      <c r="OFO548" s="501"/>
      <c r="OFP548" s="501"/>
      <c r="OFQ548" s="501"/>
      <c r="OFR548" s="501"/>
      <c r="OFS548" s="501"/>
      <c r="OFT548" s="501"/>
      <c r="OFU548" s="501"/>
      <c r="OFV548" s="501"/>
      <c r="OFW548" s="501"/>
      <c r="OFX548" s="501"/>
      <c r="OFY548" s="501"/>
      <c r="OFZ548" s="501"/>
      <c r="OGA548" s="501"/>
      <c r="OGB548" s="501"/>
      <c r="OGC548" s="501"/>
      <c r="OGD548" s="501"/>
      <c r="OGE548" s="501"/>
      <c r="OGF548" s="501"/>
      <c r="OGG548" s="501"/>
      <c r="OGH548" s="501"/>
      <c r="OGI548" s="501"/>
      <c r="OGJ548" s="501"/>
      <c r="OGK548" s="501"/>
      <c r="OGL548" s="501"/>
      <c r="OGM548" s="501"/>
      <c r="OGN548" s="501"/>
      <c r="OGO548" s="501"/>
      <c r="OGP548" s="501"/>
      <c r="OGQ548" s="501"/>
      <c r="OGR548" s="501"/>
      <c r="OGS548" s="501"/>
      <c r="OGT548" s="501"/>
      <c r="OGU548" s="501"/>
      <c r="OGV548" s="501"/>
      <c r="OGW548" s="501"/>
      <c r="OGX548" s="501"/>
      <c r="OGY548" s="501"/>
      <c r="OGZ548" s="501"/>
      <c r="OHA548" s="501"/>
      <c r="OHB548" s="501"/>
      <c r="OHC548" s="501"/>
      <c r="OHD548" s="501"/>
      <c r="OHE548" s="501"/>
      <c r="OHF548" s="501"/>
      <c r="OHG548" s="501"/>
      <c r="OHH548" s="501"/>
      <c r="OHI548" s="501"/>
      <c r="OHJ548" s="501"/>
      <c r="OHK548" s="501"/>
      <c r="OHL548" s="501"/>
      <c r="OHM548" s="501"/>
      <c r="OHN548" s="501"/>
      <c r="OHO548" s="501"/>
      <c r="OHP548" s="501"/>
      <c r="OHQ548" s="501"/>
      <c r="OHR548" s="501"/>
      <c r="OHS548" s="501"/>
      <c r="OHT548" s="501"/>
      <c r="OHU548" s="501"/>
      <c r="OHV548" s="501"/>
      <c r="OHW548" s="501"/>
      <c r="OHX548" s="501"/>
      <c r="OHY548" s="501"/>
      <c r="OHZ548" s="501"/>
      <c r="OIA548" s="501"/>
      <c r="OIB548" s="501"/>
      <c r="OIC548" s="501"/>
      <c r="OID548" s="501"/>
      <c r="OIE548" s="501"/>
      <c r="OIF548" s="501"/>
      <c r="OIG548" s="501"/>
      <c r="OIH548" s="501"/>
      <c r="OII548" s="501"/>
      <c r="OIJ548" s="501"/>
      <c r="OIK548" s="501"/>
      <c r="OIL548" s="501"/>
      <c r="OIM548" s="501"/>
      <c r="OIN548" s="501"/>
      <c r="OIO548" s="501"/>
      <c r="OIP548" s="501"/>
      <c r="OIQ548" s="501"/>
      <c r="OIR548" s="501"/>
      <c r="OIS548" s="501"/>
      <c r="OIT548" s="501"/>
      <c r="OIU548" s="501"/>
      <c r="OIV548" s="501"/>
      <c r="OIW548" s="501"/>
      <c r="OIX548" s="501"/>
      <c r="OIY548" s="501"/>
      <c r="OIZ548" s="501"/>
      <c r="OJA548" s="501"/>
      <c r="OJB548" s="501"/>
      <c r="OJC548" s="501"/>
      <c r="OJD548" s="501"/>
      <c r="OJE548" s="501"/>
      <c r="OJF548" s="501"/>
      <c r="OJG548" s="501"/>
      <c r="OJH548" s="501"/>
      <c r="OJI548" s="501"/>
      <c r="OJJ548" s="501"/>
      <c r="OJK548" s="501"/>
      <c r="OJL548" s="501"/>
      <c r="OJM548" s="501"/>
      <c r="OJN548" s="501"/>
      <c r="OJO548" s="501"/>
      <c r="OJP548" s="501"/>
      <c r="OJQ548" s="501"/>
      <c r="OJR548" s="501"/>
      <c r="OJS548" s="501"/>
      <c r="OJT548" s="501"/>
      <c r="OJU548" s="501"/>
      <c r="OJV548" s="501"/>
      <c r="OJW548" s="501"/>
      <c r="OJX548" s="501"/>
      <c r="OJY548" s="501"/>
      <c r="OJZ548" s="501"/>
      <c r="OKA548" s="501"/>
      <c r="OKB548" s="501"/>
      <c r="OKC548" s="501"/>
      <c r="OKD548" s="501"/>
      <c r="OKE548" s="501"/>
      <c r="OKF548" s="501"/>
      <c r="OKG548" s="501"/>
      <c r="OKH548" s="501"/>
      <c r="OKI548" s="501"/>
      <c r="OKJ548" s="501"/>
      <c r="OKK548" s="501"/>
      <c r="OKL548" s="501"/>
      <c r="OKM548" s="501"/>
      <c r="OKN548" s="501"/>
      <c r="OKO548" s="501"/>
      <c r="OKP548" s="501"/>
      <c r="OKQ548" s="501"/>
      <c r="OKR548" s="501"/>
      <c r="OKS548" s="501"/>
      <c r="OKT548" s="501"/>
      <c r="OKU548" s="501"/>
      <c r="OKV548" s="501"/>
      <c r="OKW548" s="501"/>
      <c r="OKX548" s="501"/>
      <c r="OKY548" s="501"/>
      <c r="OKZ548" s="501"/>
      <c r="OLA548" s="501"/>
      <c r="OLB548" s="501"/>
      <c r="OLC548" s="501"/>
      <c r="OLD548" s="501"/>
      <c r="OLE548" s="501"/>
      <c r="OLF548" s="501"/>
      <c r="OLG548" s="501"/>
      <c r="OLH548" s="501"/>
      <c r="OLI548" s="501"/>
      <c r="OLJ548" s="501"/>
      <c r="OLK548" s="501"/>
      <c r="OLL548" s="501"/>
      <c r="OLM548" s="501"/>
      <c r="OLN548" s="501"/>
      <c r="OLO548" s="501"/>
      <c r="OLP548" s="501"/>
      <c r="OLQ548" s="501"/>
      <c r="OLR548" s="501"/>
      <c r="OLS548" s="501"/>
      <c r="OLT548" s="501"/>
      <c r="OLU548" s="501"/>
      <c r="OLV548" s="501"/>
      <c r="OLW548" s="501"/>
      <c r="OLX548" s="501"/>
      <c r="OLY548" s="501"/>
      <c r="OLZ548" s="501"/>
      <c r="OMA548" s="501"/>
      <c r="OMB548" s="501"/>
      <c r="OMC548" s="501"/>
      <c r="OMD548" s="501"/>
      <c r="OME548" s="501"/>
      <c r="OMF548" s="501"/>
      <c r="OMG548" s="501"/>
      <c r="OMH548" s="501"/>
      <c r="OMI548" s="501"/>
      <c r="OMJ548" s="501"/>
      <c r="OMK548" s="501"/>
      <c r="OML548" s="501"/>
      <c r="OMM548" s="501"/>
      <c r="OMN548" s="501"/>
      <c r="OMO548" s="501"/>
      <c r="OMP548" s="501"/>
      <c r="OMQ548" s="501"/>
      <c r="OMR548" s="501"/>
      <c r="OMS548" s="501"/>
      <c r="OMT548" s="501"/>
      <c r="OMU548" s="501"/>
      <c r="OMV548" s="501"/>
      <c r="OMW548" s="501"/>
      <c r="OMX548" s="501"/>
      <c r="OMY548" s="501"/>
      <c r="OMZ548" s="501"/>
      <c r="ONA548" s="501"/>
      <c r="ONB548" s="501"/>
      <c r="ONC548" s="501"/>
      <c r="OND548" s="501"/>
      <c r="ONE548" s="501"/>
      <c r="ONF548" s="501"/>
      <c r="ONG548" s="501"/>
      <c r="ONH548" s="501"/>
      <c r="ONI548" s="501"/>
      <c r="ONJ548" s="501"/>
      <c r="ONK548" s="501"/>
      <c r="ONL548" s="501"/>
      <c r="ONM548" s="501"/>
      <c r="ONN548" s="501"/>
      <c r="ONO548" s="501"/>
      <c r="ONP548" s="501"/>
      <c r="ONQ548" s="501"/>
      <c r="ONR548" s="501"/>
      <c r="ONS548" s="501"/>
      <c r="ONT548" s="501"/>
      <c r="ONU548" s="501"/>
      <c r="ONV548" s="501"/>
      <c r="ONW548" s="501"/>
      <c r="ONX548" s="501"/>
      <c r="ONY548" s="501"/>
      <c r="ONZ548" s="501"/>
      <c r="OOA548" s="501"/>
      <c r="OOB548" s="501"/>
      <c r="OOC548" s="501"/>
      <c r="OOD548" s="501"/>
      <c r="OOE548" s="501"/>
      <c r="OOF548" s="501"/>
      <c r="OOG548" s="501"/>
      <c r="OOH548" s="501"/>
      <c r="OOI548" s="501"/>
      <c r="OOJ548" s="501"/>
      <c r="OOK548" s="501"/>
      <c r="OOL548" s="501"/>
      <c r="OOM548" s="501"/>
      <c r="OON548" s="501"/>
      <c r="OOO548" s="501"/>
      <c r="OOP548" s="501"/>
      <c r="OOQ548" s="501"/>
      <c r="OOR548" s="501"/>
      <c r="OOS548" s="501"/>
      <c r="OOT548" s="501"/>
      <c r="OOU548" s="501"/>
      <c r="OOV548" s="501"/>
      <c r="OOW548" s="501"/>
      <c r="OOX548" s="501"/>
      <c r="OOY548" s="501"/>
      <c r="OOZ548" s="501"/>
      <c r="OPA548" s="501"/>
      <c r="OPB548" s="501"/>
      <c r="OPC548" s="501"/>
      <c r="OPD548" s="501"/>
      <c r="OPE548" s="501"/>
      <c r="OPF548" s="501"/>
      <c r="OPG548" s="501"/>
      <c r="OPH548" s="501"/>
      <c r="OPI548" s="501"/>
      <c r="OPJ548" s="501"/>
      <c r="OPK548" s="501"/>
      <c r="OPL548" s="501"/>
      <c r="OPM548" s="501"/>
      <c r="OPN548" s="501"/>
      <c r="OPO548" s="501"/>
      <c r="OPP548" s="501"/>
      <c r="OPQ548" s="501"/>
      <c r="OPR548" s="501"/>
      <c r="OPS548" s="501"/>
      <c r="OPT548" s="501"/>
      <c r="OPU548" s="501"/>
      <c r="OPV548" s="501"/>
      <c r="OPW548" s="501"/>
      <c r="OPX548" s="501"/>
      <c r="OPY548" s="501"/>
      <c r="OPZ548" s="501"/>
      <c r="OQA548" s="501"/>
      <c r="OQB548" s="501"/>
      <c r="OQC548" s="501"/>
      <c r="OQD548" s="501"/>
      <c r="OQE548" s="501"/>
      <c r="OQF548" s="501"/>
      <c r="OQG548" s="501"/>
      <c r="OQH548" s="501"/>
      <c r="OQI548" s="501"/>
      <c r="OQJ548" s="501"/>
      <c r="OQK548" s="501"/>
      <c r="OQL548" s="501"/>
      <c r="OQM548" s="501"/>
      <c r="OQN548" s="501"/>
      <c r="OQO548" s="501"/>
      <c r="OQP548" s="501"/>
      <c r="OQQ548" s="501"/>
      <c r="OQR548" s="501"/>
      <c r="OQS548" s="501"/>
      <c r="OQT548" s="501"/>
      <c r="OQU548" s="501"/>
      <c r="OQV548" s="501"/>
      <c r="OQW548" s="501"/>
      <c r="OQX548" s="501"/>
      <c r="OQY548" s="501"/>
      <c r="OQZ548" s="501"/>
      <c r="ORA548" s="501"/>
      <c r="ORB548" s="501"/>
      <c r="ORC548" s="501"/>
      <c r="ORD548" s="501"/>
      <c r="ORE548" s="501"/>
      <c r="ORF548" s="501"/>
      <c r="ORG548" s="501"/>
      <c r="ORH548" s="501"/>
      <c r="ORI548" s="501"/>
      <c r="ORJ548" s="501"/>
      <c r="ORK548" s="501"/>
      <c r="ORL548" s="501"/>
      <c r="ORM548" s="501"/>
      <c r="ORN548" s="501"/>
      <c r="ORO548" s="501"/>
      <c r="ORP548" s="501"/>
      <c r="ORQ548" s="501"/>
      <c r="ORR548" s="501"/>
      <c r="ORS548" s="501"/>
      <c r="ORT548" s="501"/>
      <c r="ORU548" s="501"/>
      <c r="ORV548" s="501"/>
      <c r="ORW548" s="501"/>
      <c r="ORX548" s="501"/>
      <c r="ORY548" s="501"/>
      <c r="ORZ548" s="501"/>
      <c r="OSA548" s="501"/>
      <c r="OSB548" s="501"/>
      <c r="OSC548" s="501"/>
      <c r="OSD548" s="501"/>
      <c r="OSE548" s="501"/>
      <c r="OSF548" s="501"/>
      <c r="OSG548" s="501"/>
      <c r="OSH548" s="501"/>
      <c r="OSI548" s="501"/>
      <c r="OSJ548" s="501"/>
      <c r="OSK548" s="501"/>
      <c r="OSL548" s="501"/>
      <c r="OSM548" s="501"/>
      <c r="OSN548" s="501"/>
      <c r="OSO548" s="501"/>
      <c r="OSP548" s="501"/>
      <c r="OSQ548" s="501"/>
      <c r="OSR548" s="501"/>
      <c r="OSS548" s="501"/>
      <c r="OST548" s="501"/>
      <c r="OSU548" s="501"/>
      <c r="OSV548" s="501"/>
      <c r="OSW548" s="501"/>
      <c r="OSX548" s="501"/>
      <c r="OSY548" s="501"/>
      <c r="OSZ548" s="501"/>
      <c r="OTA548" s="501"/>
      <c r="OTB548" s="501"/>
      <c r="OTC548" s="501"/>
      <c r="OTD548" s="501"/>
      <c r="OTE548" s="501"/>
      <c r="OTF548" s="501"/>
      <c r="OTG548" s="501"/>
      <c r="OTH548" s="501"/>
      <c r="OTI548" s="501"/>
      <c r="OTJ548" s="501"/>
      <c r="OTK548" s="501"/>
      <c r="OTL548" s="501"/>
      <c r="OTM548" s="501"/>
      <c r="OTN548" s="501"/>
      <c r="OTO548" s="501"/>
      <c r="OTP548" s="501"/>
      <c r="OTQ548" s="501"/>
      <c r="OTR548" s="501"/>
      <c r="OTS548" s="501"/>
      <c r="OTT548" s="501"/>
      <c r="OTU548" s="501"/>
      <c r="OTV548" s="501"/>
      <c r="OTW548" s="501"/>
      <c r="OTX548" s="501"/>
      <c r="OTY548" s="501"/>
      <c r="OTZ548" s="501"/>
      <c r="OUA548" s="501"/>
      <c r="OUB548" s="501"/>
      <c r="OUC548" s="501"/>
      <c r="OUD548" s="501"/>
      <c r="OUE548" s="501"/>
      <c r="OUF548" s="501"/>
      <c r="OUG548" s="501"/>
      <c r="OUH548" s="501"/>
      <c r="OUI548" s="501"/>
      <c r="OUJ548" s="501"/>
      <c r="OUK548" s="501"/>
      <c r="OUL548" s="501"/>
      <c r="OUM548" s="501"/>
      <c r="OUN548" s="501"/>
      <c r="OUO548" s="501"/>
      <c r="OUP548" s="501"/>
      <c r="OUQ548" s="501"/>
      <c r="OUR548" s="501"/>
      <c r="OUS548" s="501"/>
      <c r="OUT548" s="501"/>
      <c r="OUU548" s="501"/>
      <c r="OUV548" s="501"/>
      <c r="OUW548" s="501"/>
      <c r="OUX548" s="501"/>
      <c r="OUY548" s="501"/>
      <c r="OUZ548" s="501"/>
      <c r="OVA548" s="501"/>
      <c r="OVB548" s="501"/>
      <c r="OVC548" s="501"/>
      <c r="OVD548" s="501"/>
      <c r="OVE548" s="501"/>
      <c r="OVF548" s="501"/>
      <c r="OVG548" s="501"/>
      <c r="OVH548" s="501"/>
      <c r="OVI548" s="501"/>
      <c r="OVJ548" s="501"/>
      <c r="OVK548" s="501"/>
      <c r="OVL548" s="501"/>
      <c r="OVM548" s="501"/>
      <c r="OVN548" s="501"/>
      <c r="OVO548" s="501"/>
      <c r="OVP548" s="501"/>
      <c r="OVQ548" s="501"/>
      <c r="OVR548" s="501"/>
      <c r="OVS548" s="501"/>
      <c r="OVT548" s="501"/>
      <c r="OVU548" s="501"/>
      <c r="OVV548" s="501"/>
      <c r="OVW548" s="501"/>
      <c r="OVX548" s="501"/>
      <c r="OVY548" s="501"/>
      <c r="OVZ548" s="501"/>
      <c r="OWA548" s="501"/>
      <c r="OWB548" s="501"/>
      <c r="OWC548" s="501"/>
      <c r="OWD548" s="501"/>
      <c r="OWE548" s="501"/>
      <c r="OWF548" s="501"/>
      <c r="OWG548" s="501"/>
      <c r="OWH548" s="501"/>
      <c r="OWI548" s="501"/>
      <c r="OWJ548" s="501"/>
      <c r="OWK548" s="501"/>
      <c r="OWL548" s="501"/>
      <c r="OWM548" s="501"/>
      <c r="OWN548" s="501"/>
      <c r="OWO548" s="501"/>
      <c r="OWP548" s="501"/>
      <c r="OWQ548" s="501"/>
      <c r="OWR548" s="501"/>
      <c r="OWS548" s="501"/>
      <c r="OWT548" s="501"/>
      <c r="OWU548" s="501"/>
      <c r="OWV548" s="501"/>
      <c r="OWW548" s="501"/>
      <c r="OWX548" s="501"/>
      <c r="OWY548" s="501"/>
      <c r="OWZ548" s="501"/>
      <c r="OXA548" s="501"/>
      <c r="OXB548" s="501"/>
      <c r="OXC548" s="501"/>
      <c r="OXD548" s="501"/>
      <c r="OXE548" s="501"/>
      <c r="OXF548" s="501"/>
      <c r="OXG548" s="501"/>
      <c r="OXH548" s="501"/>
      <c r="OXI548" s="501"/>
      <c r="OXJ548" s="501"/>
      <c r="OXK548" s="501"/>
      <c r="OXL548" s="501"/>
      <c r="OXM548" s="501"/>
      <c r="OXN548" s="501"/>
      <c r="OXO548" s="501"/>
      <c r="OXP548" s="501"/>
      <c r="OXQ548" s="501"/>
      <c r="OXR548" s="501"/>
      <c r="OXS548" s="501"/>
      <c r="OXT548" s="501"/>
      <c r="OXU548" s="501"/>
      <c r="OXV548" s="501"/>
      <c r="OXW548" s="501"/>
      <c r="OXX548" s="501"/>
      <c r="OXY548" s="501"/>
      <c r="OXZ548" s="501"/>
      <c r="OYA548" s="501"/>
      <c r="OYB548" s="501"/>
      <c r="OYC548" s="501"/>
      <c r="OYD548" s="501"/>
      <c r="OYE548" s="501"/>
      <c r="OYF548" s="501"/>
      <c r="OYG548" s="501"/>
      <c r="OYH548" s="501"/>
      <c r="OYI548" s="501"/>
      <c r="OYJ548" s="501"/>
      <c r="OYK548" s="501"/>
      <c r="OYL548" s="501"/>
      <c r="OYM548" s="501"/>
      <c r="OYN548" s="501"/>
      <c r="OYO548" s="501"/>
      <c r="OYP548" s="501"/>
      <c r="OYQ548" s="501"/>
      <c r="OYR548" s="501"/>
      <c r="OYS548" s="501"/>
      <c r="OYT548" s="501"/>
      <c r="OYU548" s="501"/>
      <c r="OYV548" s="501"/>
      <c r="OYW548" s="501"/>
      <c r="OYX548" s="501"/>
      <c r="OYY548" s="501"/>
      <c r="OYZ548" s="501"/>
      <c r="OZA548" s="501"/>
      <c r="OZB548" s="501"/>
      <c r="OZC548" s="501"/>
      <c r="OZD548" s="501"/>
      <c r="OZE548" s="501"/>
      <c r="OZF548" s="501"/>
      <c r="OZG548" s="501"/>
      <c r="OZH548" s="501"/>
      <c r="OZI548" s="501"/>
      <c r="OZJ548" s="501"/>
      <c r="OZK548" s="501"/>
      <c r="OZL548" s="501"/>
      <c r="OZM548" s="501"/>
      <c r="OZN548" s="501"/>
      <c r="OZO548" s="501"/>
      <c r="OZP548" s="501"/>
      <c r="OZQ548" s="501"/>
      <c r="OZR548" s="501"/>
      <c r="OZS548" s="501"/>
      <c r="OZT548" s="501"/>
      <c r="OZU548" s="501"/>
      <c r="OZV548" s="501"/>
      <c r="OZW548" s="501"/>
      <c r="OZX548" s="501"/>
      <c r="OZY548" s="501"/>
      <c r="OZZ548" s="501"/>
      <c r="PAA548" s="501"/>
      <c r="PAB548" s="501"/>
      <c r="PAC548" s="501"/>
      <c r="PAD548" s="501"/>
      <c r="PAE548" s="501"/>
      <c r="PAF548" s="501"/>
      <c r="PAG548" s="501"/>
      <c r="PAH548" s="501"/>
      <c r="PAI548" s="501"/>
      <c r="PAJ548" s="501"/>
      <c r="PAK548" s="501"/>
      <c r="PAL548" s="501"/>
      <c r="PAM548" s="501"/>
      <c r="PAN548" s="501"/>
      <c r="PAO548" s="501"/>
      <c r="PAP548" s="501"/>
      <c r="PAQ548" s="501"/>
      <c r="PAR548" s="501"/>
      <c r="PAS548" s="501"/>
      <c r="PAT548" s="501"/>
      <c r="PAU548" s="501"/>
      <c r="PAV548" s="501"/>
      <c r="PAW548" s="501"/>
      <c r="PAX548" s="501"/>
      <c r="PAY548" s="501"/>
      <c r="PAZ548" s="501"/>
      <c r="PBA548" s="501"/>
      <c r="PBB548" s="501"/>
      <c r="PBC548" s="501"/>
      <c r="PBD548" s="501"/>
      <c r="PBE548" s="501"/>
      <c r="PBF548" s="501"/>
      <c r="PBG548" s="501"/>
      <c r="PBH548" s="501"/>
      <c r="PBI548" s="501"/>
      <c r="PBJ548" s="501"/>
      <c r="PBK548" s="501"/>
      <c r="PBL548" s="501"/>
      <c r="PBM548" s="501"/>
      <c r="PBN548" s="501"/>
      <c r="PBO548" s="501"/>
      <c r="PBP548" s="501"/>
      <c r="PBQ548" s="501"/>
      <c r="PBR548" s="501"/>
      <c r="PBS548" s="501"/>
      <c r="PBT548" s="501"/>
      <c r="PBU548" s="501"/>
      <c r="PBV548" s="501"/>
      <c r="PBW548" s="501"/>
      <c r="PBX548" s="501"/>
      <c r="PBY548" s="501"/>
      <c r="PBZ548" s="501"/>
      <c r="PCA548" s="501"/>
      <c r="PCB548" s="501"/>
      <c r="PCC548" s="501"/>
      <c r="PCD548" s="501"/>
      <c r="PCE548" s="501"/>
      <c r="PCF548" s="501"/>
      <c r="PCG548" s="501"/>
      <c r="PCH548" s="501"/>
      <c r="PCI548" s="501"/>
      <c r="PCJ548" s="501"/>
      <c r="PCK548" s="501"/>
      <c r="PCL548" s="501"/>
      <c r="PCM548" s="501"/>
      <c r="PCN548" s="501"/>
      <c r="PCO548" s="501"/>
      <c r="PCP548" s="501"/>
      <c r="PCQ548" s="501"/>
      <c r="PCR548" s="501"/>
      <c r="PCS548" s="501"/>
      <c r="PCT548" s="501"/>
      <c r="PCU548" s="501"/>
      <c r="PCV548" s="501"/>
      <c r="PCW548" s="501"/>
      <c r="PCX548" s="501"/>
      <c r="PCY548" s="501"/>
      <c r="PCZ548" s="501"/>
      <c r="PDA548" s="501"/>
      <c r="PDB548" s="501"/>
      <c r="PDC548" s="501"/>
      <c r="PDD548" s="501"/>
      <c r="PDE548" s="501"/>
      <c r="PDF548" s="501"/>
      <c r="PDG548" s="501"/>
      <c r="PDH548" s="501"/>
      <c r="PDI548" s="501"/>
      <c r="PDJ548" s="501"/>
      <c r="PDK548" s="501"/>
      <c r="PDL548" s="501"/>
      <c r="PDM548" s="501"/>
      <c r="PDN548" s="501"/>
      <c r="PDO548" s="501"/>
      <c r="PDP548" s="501"/>
      <c r="PDQ548" s="501"/>
      <c r="PDR548" s="501"/>
      <c r="PDS548" s="501"/>
      <c r="PDT548" s="501"/>
      <c r="PDU548" s="501"/>
      <c r="PDV548" s="501"/>
      <c r="PDW548" s="501"/>
      <c r="PDX548" s="501"/>
      <c r="PDY548" s="501"/>
      <c r="PDZ548" s="501"/>
      <c r="PEA548" s="501"/>
      <c r="PEB548" s="501"/>
      <c r="PEC548" s="501"/>
      <c r="PED548" s="501"/>
      <c r="PEE548" s="501"/>
      <c r="PEF548" s="501"/>
      <c r="PEG548" s="501"/>
      <c r="PEH548" s="501"/>
      <c r="PEI548" s="501"/>
      <c r="PEJ548" s="501"/>
      <c r="PEK548" s="501"/>
      <c r="PEL548" s="501"/>
      <c r="PEM548" s="501"/>
      <c r="PEN548" s="501"/>
      <c r="PEO548" s="501"/>
      <c r="PEP548" s="501"/>
      <c r="PEQ548" s="501"/>
      <c r="PER548" s="501"/>
      <c r="PES548" s="501"/>
      <c r="PET548" s="501"/>
      <c r="PEU548" s="501"/>
      <c r="PEV548" s="501"/>
      <c r="PEW548" s="501"/>
      <c r="PEX548" s="501"/>
      <c r="PEY548" s="501"/>
      <c r="PEZ548" s="501"/>
      <c r="PFA548" s="501"/>
      <c r="PFB548" s="501"/>
      <c r="PFC548" s="501"/>
      <c r="PFD548" s="501"/>
      <c r="PFE548" s="501"/>
      <c r="PFF548" s="501"/>
      <c r="PFG548" s="501"/>
      <c r="PFH548" s="501"/>
      <c r="PFI548" s="501"/>
      <c r="PFJ548" s="501"/>
      <c r="PFK548" s="501"/>
      <c r="PFL548" s="501"/>
      <c r="PFM548" s="501"/>
      <c r="PFN548" s="501"/>
      <c r="PFO548" s="501"/>
      <c r="PFP548" s="501"/>
      <c r="PFQ548" s="501"/>
      <c r="PFR548" s="501"/>
      <c r="PFS548" s="501"/>
      <c r="PFT548" s="501"/>
      <c r="PFU548" s="501"/>
      <c r="PFV548" s="501"/>
      <c r="PFW548" s="501"/>
      <c r="PFX548" s="501"/>
      <c r="PFY548" s="501"/>
      <c r="PFZ548" s="501"/>
      <c r="PGA548" s="501"/>
      <c r="PGB548" s="501"/>
      <c r="PGC548" s="501"/>
      <c r="PGD548" s="501"/>
      <c r="PGE548" s="501"/>
      <c r="PGF548" s="501"/>
      <c r="PGG548" s="501"/>
      <c r="PGH548" s="501"/>
      <c r="PGI548" s="501"/>
      <c r="PGJ548" s="501"/>
      <c r="PGK548" s="501"/>
      <c r="PGL548" s="501"/>
      <c r="PGM548" s="501"/>
      <c r="PGN548" s="501"/>
      <c r="PGO548" s="501"/>
      <c r="PGP548" s="501"/>
      <c r="PGQ548" s="501"/>
      <c r="PGR548" s="501"/>
      <c r="PGS548" s="501"/>
      <c r="PGT548" s="501"/>
      <c r="PGU548" s="501"/>
      <c r="PGV548" s="501"/>
      <c r="PGW548" s="501"/>
      <c r="PGX548" s="501"/>
      <c r="PGY548" s="501"/>
      <c r="PGZ548" s="501"/>
      <c r="PHA548" s="501"/>
      <c r="PHB548" s="501"/>
      <c r="PHC548" s="501"/>
      <c r="PHD548" s="501"/>
      <c r="PHE548" s="501"/>
      <c r="PHF548" s="501"/>
      <c r="PHG548" s="501"/>
      <c r="PHH548" s="501"/>
      <c r="PHI548" s="501"/>
      <c r="PHJ548" s="501"/>
      <c r="PHK548" s="501"/>
      <c r="PHL548" s="501"/>
      <c r="PHM548" s="501"/>
      <c r="PHN548" s="501"/>
      <c r="PHO548" s="501"/>
      <c r="PHP548" s="501"/>
      <c r="PHQ548" s="501"/>
      <c r="PHR548" s="501"/>
      <c r="PHS548" s="501"/>
      <c r="PHT548" s="501"/>
      <c r="PHU548" s="501"/>
      <c r="PHV548" s="501"/>
      <c r="PHW548" s="501"/>
      <c r="PHX548" s="501"/>
      <c r="PHY548" s="501"/>
      <c r="PHZ548" s="501"/>
      <c r="PIA548" s="501"/>
      <c r="PIB548" s="501"/>
      <c r="PIC548" s="501"/>
      <c r="PID548" s="501"/>
      <c r="PIE548" s="501"/>
      <c r="PIF548" s="501"/>
      <c r="PIG548" s="501"/>
      <c r="PIH548" s="501"/>
      <c r="PII548" s="501"/>
      <c r="PIJ548" s="501"/>
      <c r="PIK548" s="501"/>
      <c r="PIL548" s="501"/>
      <c r="PIM548" s="501"/>
      <c r="PIN548" s="501"/>
      <c r="PIO548" s="501"/>
      <c r="PIP548" s="501"/>
      <c r="PIQ548" s="501"/>
      <c r="PIR548" s="501"/>
      <c r="PIS548" s="501"/>
      <c r="PIT548" s="501"/>
      <c r="PIU548" s="501"/>
      <c r="PIV548" s="501"/>
      <c r="PIW548" s="501"/>
      <c r="PIX548" s="501"/>
      <c r="PIY548" s="501"/>
      <c r="PIZ548" s="501"/>
      <c r="PJA548" s="501"/>
      <c r="PJB548" s="501"/>
      <c r="PJC548" s="501"/>
      <c r="PJD548" s="501"/>
      <c r="PJE548" s="501"/>
      <c r="PJF548" s="501"/>
      <c r="PJG548" s="501"/>
      <c r="PJH548" s="501"/>
      <c r="PJI548" s="501"/>
      <c r="PJJ548" s="501"/>
      <c r="PJK548" s="501"/>
      <c r="PJL548" s="501"/>
      <c r="PJM548" s="501"/>
      <c r="PJN548" s="501"/>
      <c r="PJO548" s="501"/>
      <c r="PJP548" s="501"/>
      <c r="PJQ548" s="501"/>
      <c r="PJR548" s="501"/>
      <c r="PJS548" s="501"/>
      <c r="PJT548" s="501"/>
      <c r="PJU548" s="501"/>
      <c r="PJV548" s="501"/>
      <c r="PJW548" s="501"/>
      <c r="PJX548" s="501"/>
      <c r="PJY548" s="501"/>
      <c r="PJZ548" s="501"/>
      <c r="PKA548" s="501"/>
      <c r="PKB548" s="501"/>
      <c r="PKC548" s="501"/>
      <c r="PKD548" s="501"/>
      <c r="PKE548" s="501"/>
      <c r="PKF548" s="501"/>
      <c r="PKG548" s="501"/>
      <c r="PKH548" s="501"/>
      <c r="PKI548" s="501"/>
      <c r="PKJ548" s="501"/>
      <c r="PKK548" s="501"/>
      <c r="PKL548" s="501"/>
      <c r="PKM548" s="501"/>
      <c r="PKN548" s="501"/>
      <c r="PKO548" s="501"/>
      <c r="PKP548" s="501"/>
      <c r="PKQ548" s="501"/>
      <c r="PKR548" s="501"/>
      <c r="PKS548" s="501"/>
      <c r="PKT548" s="501"/>
      <c r="PKU548" s="501"/>
      <c r="PKV548" s="501"/>
      <c r="PKW548" s="501"/>
      <c r="PKX548" s="501"/>
      <c r="PKY548" s="501"/>
      <c r="PKZ548" s="501"/>
      <c r="PLA548" s="501"/>
      <c r="PLB548" s="501"/>
      <c r="PLC548" s="501"/>
      <c r="PLD548" s="501"/>
      <c r="PLE548" s="501"/>
      <c r="PLF548" s="501"/>
      <c r="PLG548" s="501"/>
      <c r="PLH548" s="501"/>
      <c r="PLI548" s="501"/>
      <c r="PLJ548" s="501"/>
      <c r="PLK548" s="501"/>
      <c r="PLL548" s="501"/>
      <c r="PLM548" s="501"/>
      <c r="PLN548" s="501"/>
      <c r="PLO548" s="501"/>
      <c r="PLP548" s="501"/>
      <c r="PLQ548" s="501"/>
      <c r="PLR548" s="501"/>
      <c r="PLS548" s="501"/>
      <c r="PLT548" s="501"/>
      <c r="PLU548" s="501"/>
      <c r="PLV548" s="501"/>
      <c r="PLW548" s="501"/>
      <c r="PLX548" s="501"/>
      <c r="PLY548" s="501"/>
      <c r="PLZ548" s="501"/>
      <c r="PMA548" s="501"/>
      <c r="PMB548" s="501"/>
      <c r="PMC548" s="501"/>
      <c r="PMD548" s="501"/>
      <c r="PME548" s="501"/>
      <c r="PMF548" s="501"/>
      <c r="PMG548" s="501"/>
      <c r="PMH548" s="501"/>
      <c r="PMI548" s="501"/>
      <c r="PMJ548" s="501"/>
      <c r="PMK548" s="501"/>
      <c r="PML548" s="501"/>
      <c r="PMM548" s="501"/>
      <c r="PMN548" s="501"/>
      <c r="PMO548" s="501"/>
      <c r="PMP548" s="501"/>
      <c r="PMQ548" s="501"/>
      <c r="PMR548" s="501"/>
      <c r="PMS548" s="501"/>
      <c r="PMT548" s="501"/>
      <c r="PMU548" s="501"/>
      <c r="PMV548" s="501"/>
      <c r="PMW548" s="501"/>
      <c r="PMX548" s="501"/>
      <c r="PMY548" s="501"/>
      <c r="PMZ548" s="501"/>
      <c r="PNA548" s="501"/>
      <c r="PNB548" s="501"/>
      <c r="PNC548" s="501"/>
      <c r="PND548" s="501"/>
      <c r="PNE548" s="501"/>
      <c r="PNF548" s="501"/>
      <c r="PNG548" s="501"/>
      <c r="PNH548" s="501"/>
      <c r="PNI548" s="501"/>
      <c r="PNJ548" s="501"/>
      <c r="PNK548" s="501"/>
      <c r="PNL548" s="501"/>
      <c r="PNM548" s="501"/>
      <c r="PNN548" s="501"/>
      <c r="PNO548" s="501"/>
      <c r="PNP548" s="501"/>
      <c r="PNQ548" s="501"/>
      <c r="PNR548" s="501"/>
      <c r="PNS548" s="501"/>
      <c r="PNT548" s="501"/>
      <c r="PNU548" s="501"/>
      <c r="PNV548" s="501"/>
      <c r="PNW548" s="501"/>
      <c r="PNX548" s="501"/>
      <c r="PNY548" s="501"/>
      <c r="PNZ548" s="501"/>
      <c r="POA548" s="501"/>
      <c r="POB548" s="501"/>
      <c r="POC548" s="501"/>
      <c r="POD548" s="501"/>
      <c r="POE548" s="501"/>
      <c r="POF548" s="501"/>
      <c r="POG548" s="501"/>
      <c r="POH548" s="501"/>
      <c r="POI548" s="501"/>
      <c r="POJ548" s="501"/>
      <c r="POK548" s="501"/>
      <c r="POL548" s="501"/>
      <c r="POM548" s="501"/>
      <c r="PON548" s="501"/>
      <c r="POO548" s="501"/>
      <c r="POP548" s="501"/>
      <c r="POQ548" s="501"/>
      <c r="POR548" s="501"/>
      <c r="POS548" s="501"/>
      <c r="POT548" s="501"/>
      <c r="POU548" s="501"/>
      <c r="POV548" s="501"/>
      <c r="POW548" s="501"/>
      <c r="POX548" s="501"/>
      <c r="POY548" s="501"/>
      <c r="POZ548" s="501"/>
      <c r="PPA548" s="501"/>
      <c r="PPB548" s="501"/>
      <c r="PPC548" s="501"/>
      <c r="PPD548" s="501"/>
      <c r="PPE548" s="501"/>
      <c r="PPF548" s="501"/>
      <c r="PPG548" s="501"/>
      <c r="PPH548" s="501"/>
      <c r="PPI548" s="501"/>
      <c r="PPJ548" s="501"/>
      <c r="PPK548" s="501"/>
      <c r="PPL548" s="501"/>
      <c r="PPM548" s="501"/>
      <c r="PPN548" s="501"/>
      <c r="PPO548" s="501"/>
      <c r="PPP548" s="501"/>
      <c r="PPQ548" s="501"/>
      <c r="PPR548" s="501"/>
      <c r="PPS548" s="501"/>
      <c r="PPT548" s="501"/>
      <c r="PPU548" s="501"/>
      <c r="PPV548" s="501"/>
      <c r="PPW548" s="501"/>
      <c r="PPX548" s="501"/>
      <c r="PPY548" s="501"/>
      <c r="PPZ548" s="501"/>
      <c r="PQA548" s="501"/>
      <c r="PQB548" s="501"/>
      <c r="PQC548" s="501"/>
      <c r="PQD548" s="501"/>
      <c r="PQE548" s="501"/>
      <c r="PQF548" s="501"/>
      <c r="PQG548" s="501"/>
      <c r="PQH548" s="501"/>
      <c r="PQI548" s="501"/>
      <c r="PQJ548" s="501"/>
      <c r="PQK548" s="501"/>
      <c r="PQL548" s="501"/>
      <c r="PQM548" s="501"/>
      <c r="PQN548" s="501"/>
      <c r="PQO548" s="501"/>
      <c r="PQP548" s="501"/>
      <c r="PQQ548" s="501"/>
      <c r="PQR548" s="501"/>
      <c r="PQS548" s="501"/>
      <c r="PQT548" s="501"/>
      <c r="PQU548" s="501"/>
      <c r="PQV548" s="501"/>
      <c r="PQW548" s="501"/>
      <c r="PQX548" s="501"/>
      <c r="PQY548" s="501"/>
      <c r="PQZ548" s="501"/>
      <c r="PRA548" s="501"/>
      <c r="PRB548" s="501"/>
      <c r="PRC548" s="501"/>
      <c r="PRD548" s="501"/>
      <c r="PRE548" s="501"/>
      <c r="PRF548" s="501"/>
      <c r="PRG548" s="501"/>
      <c r="PRH548" s="501"/>
      <c r="PRI548" s="501"/>
      <c r="PRJ548" s="501"/>
      <c r="PRK548" s="501"/>
      <c r="PRL548" s="501"/>
      <c r="PRM548" s="501"/>
      <c r="PRN548" s="501"/>
      <c r="PRO548" s="501"/>
      <c r="PRP548" s="501"/>
      <c r="PRQ548" s="501"/>
      <c r="PRR548" s="501"/>
      <c r="PRS548" s="501"/>
      <c r="PRT548" s="501"/>
      <c r="PRU548" s="501"/>
      <c r="PRV548" s="501"/>
      <c r="PRW548" s="501"/>
      <c r="PRX548" s="501"/>
      <c r="PRY548" s="501"/>
      <c r="PRZ548" s="501"/>
      <c r="PSA548" s="501"/>
      <c r="PSB548" s="501"/>
      <c r="PSC548" s="501"/>
      <c r="PSD548" s="501"/>
      <c r="PSE548" s="501"/>
      <c r="PSF548" s="501"/>
      <c r="PSG548" s="501"/>
      <c r="PSH548" s="501"/>
      <c r="PSI548" s="501"/>
      <c r="PSJ548" s="501"/>
      <c r="PSK548" s="501"/>
      <c r="PSL548" s="501"/>
      <c r="PSM548" s="501"/>
      <c r="PSN548" s="501"/>
      <c r="PSO548" s="501"/>
      <c r="PSP548" s="501"/>
      <c r="PSQ548" s="501"/>
      <c r="PSR548" s="501"/>
      <c r="PSS548" s="501"/>
      <c r="PST548" s="501"/>
      <c r="PSU548" s="501"/>
      <c r="PSV548" s="501"/>
      <c r="PSW548" s="501"/>
      <c r="PSX548" s="501"/>
      <c r="PSY548" s="501"/>
      <c r="PSZ548" s="501"/>
      <c r="PTA548" s="501"/>
      <c r="PTB548" s="501"/>
      <c r="PTC548" s="501"/>
      <c r="PTD548" s="501"/>
      <c r="PTE548" s="501"/>
      <c r="PTF548" s="501"/>
      <c r="PTG548" s="501"/>
      <c r="PTH548" s="501"/>
      <c r="PTI548" s="501"/>
      <c r="PTJ548" s="501"/>
      <c r="PTK548" s="501"/>
      <c r="PTL548" s="501"/>
      <c r="PTM548" s="501"/>
      <c r="PTN548" s="501"/>
      <c r="PTO548" s="501"/>
      <c r="PTP548" s="501"/>
      <c r="PTQ548" s="501"/>
      <c r="PTR548" s="501"/>
      <c r="PTS548" s="501"/>
      <c r="PTT548" s="501"/>
      <c r="PTU548" s="501"/>
      <c r="PTV548" s="501"/>
      <c r="PTW548" s="501"/>
      <c r="PTX548" s="501"/>
      <c r="PTY548" s="501"/>
      <c r="PTZ548" s="501"/>
      <c r="PUA548" s="501"/>
      <c r="PUB548" s="501"/>
      <c r="PUC548" s="501"/>
      <c r="PUD548" s="501"/>
      <c r="PUE548" s="501"/>
      <c r="PUF548" s="501"/>
      <c r="PUG548" s="501"/>
      <c r="PUH548" s="501"/>
      <c r="PUI548" s="501"/>
      <c r="PUJ548" s="501"/>
      <c r="PUK548" s="501"/>
      <c r="PUL548" s="501"/>
      <c r="PUM548" s="501"/>
      <c r="PUN548" s="501"/>
      <c r="PUO548" s="501"/>
      <c r="PUP548" s="501"/>
      <c r="PUQ548" s="501"/>
      <c r="PUR548" s="501"/>
      <c r="PUS548" s="501"/>
      <c r="PUT548" s="501"/>
      <c r="PUU548" s="501"/>
      <c r="PUV548" s="501"/>
      <c r="PUW548" s="501"/>
      <c r="PUX548" s="501"/>
      <c r="PUY548" s="501"/>
      <c r="PUZ548" s="501"/>
      <c r="PVA548" s="501"/>
      <c r="PVB548" s="501"/>
      <c r="PVC548" s="501"/>
      <c r="PVD548" s="501"/>
      <c r="PVE548" s="501"/>
      <c r="PVF548" s="501"/>
      <c r="PVG548" s="501"/>
      <c r="PVH548" s="501"/>
      <c r="PVI548" s="501"/>
      <c r="PVJ548" s="501"/>
      <c r="PVK548" s="501"/>
      <c r="PVL548" s="501"/>
      <c r="PVM548" s="501"/>
      <c r="PVN548" s="501"/>
      <c r="PVO548" s="501"/>
      <c r="PVP548" s="501"/>
      <c r="PVQ548" s="501"/>
      <c r="PVR548" s="501"/>
      <c r="PVS548" s="501"/>
      <c r="PVT548" s="501"/>
      <c r="PVU548" s="501"/>
      <c r="PVV548" s="501"/>
      <c r="PVW548" s="501"/>
      <c r="PVX548" s="501"/>
      <c r="PVY548" s="501"/>
      <c r="PVZ548" s="501"/>
      <c r="PWA548" s="501"/>
      <c r="PWB548" s="501"/>
      <c r="PWC548" s="501"/>
      <c r="PWD548" s="501"/>
      <c r="PWE548" s="501"/>
      <c r="PWF548" s="501"/>
      <c r="PWG548" s="501"/>
      <c r="PWH548" s="501"/>
      <c r="PWI548" s="501"/>
      <c r="PWJ548" s="501"/>
      <c r="PWK548" s="501"/>
      <c r="PWL548" s="501"/>
      <c r="PWM548" s="501"/>
      <c r="PWN548" s="501"/>
      <c r="PWO548" s="501"/>
      <c r="PWP548" s="501"/>
      <c r="PWQ548" s="501"/>
      <c r="PWR548" s="501"/>
      <c r="PWS548" s="501"/>
      <c r="PWT548" s="501"/>
      <c r="PWU548" s="501"/>
      <c r="PWV548" s="501"/>
      <c r="PWW548" s="501"/>
      <c r="PWX548" s="501"/>
      <c r="PWY548" s="501"/>
      <c r="PWZ548" s="501"/>
      <c r="PXA548" s="501"/>
      <c r="PXB548" s="501"/>
      <c r="PXC548" s="501"/>
      <c r="PXD548" s="501"/>
      <c r="PXE548" s="501"/>
      <c r="PXF548" s="501"/>
      <c r="PXG548" s="501"/>
      <c r="PXH548" s="501"/>
      <c r="PXI548" s="501"/>
      <c r="PXJ548" s="501"/>
      <c r="PXK548" s="501"/>
      <c r="PXL548" s="501"/>
      <c r="PXM548" s="501"/>
      <c r="PXN548" s="501"/>
      <c r="PXO548" s="501"/>
      <c r="PXP548" s="501"/>
      <c r="PXQ548" s="501"/>
      <c r="PXR548" s="501"/>
      <c r="PXS548" s="501"/>
      <c r="PXT548" s="501"/>
      <c r="PXU548" s="501"/>
      <c r="PXV548" s="501"/>
      <c r="PXW548" s="501"/>
      <c r="PXX548" s="501"/>
      <c r="PXY548" s="501"/>
      <c r="PXZ548" s="501"/>
      <c r="PYA548" s="501"/>
      <c r="PYB548" s="501"/>
      <c r="PYC548" s="501"/>
      <c r="PYD548" s="501"/>
      <c r="PYE548" s="501"/>
      <c r="PYF548" s="501"/>
      <c r="PYG548" s="501"/>
      <c r="PYH548" s="501"/>
      <c r="PYI548" s="501"/>
      <c r="PYJ548" s="501"/>
      <c r="PYK548" s="501"/>
      <c r="PYL548" s="501"/>
      <c r="PYM548" s="501"/>
      <c r="PYN548" s="501"/>
      <c r="PYO548" s="501"/>
      <c r="PYP548" s="501"/>
      <c r="PYQ548" s="501"/>
      <c r="PYR548" s="501"/>
      <c r="PYS548" s="501"/>
      <c r="PYT548" s="501"/>
      <c r="PYU548" s="501"/>
      <c r="PYV548" s="501"/>
      <c r="PYW548" s="501"/>
      <c r="PYX548" s="501"/>
      <c r="PYY548" s="501"/>
      <c r="PYZ548" s="501"/>
      <c r="PZA548" s="501"/>
      <c r="PZB548" s="501"/>
      <c r="PZC548" s="501"/>
      <c r="PZD548" s="501"/>
      <c r="PZE548" s="501"/>
      <c r="PZF548" s="501"/>
      <c r="PZG548" s="501"/>
      <c r="PZH548" s="501"/>
      <c r="PZI548" s="501"/>
      <c r="PZJ548" s="501"/>
      <c r="PZK548" s="501"/>
      <c r="PZL548" s="501"/>
      <c r="PZM548" s="501"/>
      <c r="PZN548" s="501"/>
      <c r="PZO548" s="501"/>
      <c r="PZP548" s="501"/>
      <c r="PZQ548" s="501"/>
      <c r="PZR548" s="501"/>
      <c r="PZS548" s="501"/>
      <c r="PZT548" s="501"/>
      <c r="PZU548" s="501"/>
      <c r="PZV548" s="501"/>
      <c r="PZW548" s="501"/>
      <c r="PZX548" s="501"/>
      <c r="PZY548" s="501"/>
      <c r="PZZ548" s="501"/>
      <c r="QAA548" s="501"/>
      <c r="QAB548" s="501"/>
      <c r="QAC548" s="501"/>
      <c r="QAD548" s="501"/>
      <c r="QAE548" s="501"/>
      <c r="QAF548" s="501"/>
      <c r="QAG548" s="501"/>
      <c r="QAH548" s="501"/>
      <c r="QAI548" s="501"/>
      <c r="QAJ548" s="501"/>
      <c r="QAK548" s="501"/>
      <c r="QAL548" s="501"/>
      <c r="QAM548" s="501"/>
      <c r="QAN548" s="501"/>
      <c r="QAO548" s="501"/>
      <c r="QAP548" s="501"/>
      <c r="QAQ548" s="501"/>
      <c r="QAR548" s="501"/>
      <c r="QAS548" s="501"/>
      <c r="QAT548" s="501"/>
      <c r="QAU548" s="501"/>
      <c r="QAV548" s="501"/>
      <c r="QAW548" s="501"/>
      <c r="QAX548" s="501"/>
      <c r="QAY548" s="501"/>
      <c r="QAZ548" s="501"/>
      <c r="QBA548" s="501"/>
      <c r="QBB548" s="501"/>
      <c r="QBC548" s="501"/>
      <c r="QBD548" s="501"/>
      <c r="QBE548" s="501"/>
      <c r="QBF548" s="501"/>
      <c r="QBG548" s="501"/>
      <c r="QBH548" s="501"/>
      <c r="QBI548" s="501"/>
      <c r="QBJ548" s="501"/>
      <c r="QBK548" s="501"/>
      <c r="QBL548" s="501"/>
      <c r="QBM548" s="501"/>
      <c r="QBN548" s="501"/>
      <c r="QBO548" s="501"/>
      <c r="QBP548" s="501"/>
      <c r="QBQ548" s="501"/>
      <c r="QBR548" s="501"/>
      <c r="QBS548" s="501"/>
      <c r="QBT548" s="501"/>
      <c r="QBU548" s="501"/>
      <c r="QBV548" s="501"/>
      <c r="QBW548" s="501"/>
      <c r="QBX548" s="501"/>
      <c r="QBY548" s="501"/>
      <c r="QBZ548" s="501"/>
      <c r="QCA548" s="501"/>
      <c r="QCB548" s="501"/>
      <c r="QCC548" s="501"/>
      <c r="QCD548" s="501"/>
      <c r="QCE548" s="501"/>
      <c r="QCF548" s="501"/>
      <c r="QCG548" s="501"/>
      <c r="QCH548" s="501"/>
      <c r="QCI548" s="501"/>
      <c r="QCJ548" s="501"/>
      <c r="QCK548" s="501"/>
      <c r="QCL548" s="501"/>
      <c r="QCM548" s="501"/>
      <c r="QCN548" s="501"/>
      <c r="QCO548" s="501"/>
      <c r="QCP548" s="501"/>
      <c r="QCQ548" s="501"/>
      <c r="QCR548" s="501"/>
      <c r="QCS548" s="501"/>
      <c r="QCT548" s="501"/>
      <c r="QCU548" s="501"/>
      <c r="QCV548" s="501"/>
      <c r="QCW548" s="501"/>
      <c r="QCX548" s="501"/>
      <c r="QCY548" s="501"/>
      <c r="QCZ548" s="501"/>
      <c r="QDA548" s="501"/>
      <c r="QDB548" s="501"/>
      <c r="QDC548" s="501"/>
      <c r="QDD548" s="501"/>
      <c r="QDE548" s="501"/>
      <c r="QDF548" s="501"/>
      <c r="QDG548" s="501"/>
      <c r="QDH548" s="501"/>
      <c r="QDI548" s="501"/>
      <c r="QDJ548" s="501"/>
      <c r="QDK548" s="501"/>
      <c r="QDL548" s="501"/>
      <c r="QDM548" s="501"/>
      <c r="QDN548" s="501"/>
      <c r="QDO548" s="501"/>
      <c r="QDP548" s="501"/>
      <c r="QDQ548" s="501"/>
      <c r="QDR548" s="501"/>
      <c r="QDS548" s="501"/>
      <c r="QDT548" s="501"/>
      <c r="QDU548" s="501"/>
      <c r="QDV548" s="501"/>
      <c r="QDW548" s="501"/>
      <c r="QDX548" s="501"/>
      <c r="QDY548" s="501"/>
      <c r="QDZ548" s="501"/>
      <c r="QEA548" s="501"/>
      <c r="QEB548" s="501"/>
      <c r="QEC548" s="501"/>
      <c r="QED548" s="501"/>
      <c r="QEE548" s="501"/>
      <c r="QEF548" s="501"/>
      <c r="QEG548" s="501"/>
      <c r="QEH548" s="501"/>
      <c r="QEI548" s="501"/>
      <c r="QEJ548" s="501"/>
      <c r="QEK548" s="501"/>
      <c r="QEL548" s="501"/>
      <c r="QEM548" s="501"/>
      <c r="QEN548" s="501"/>
      <c r="QEO548" s="501"/>
      <c r="QEP548" s="501"/>
      <c r="QEQ548" s="501"/>
      <c r="QER548" s="501"/>
      <c r="QES548" s="501"/>
      <c r="QET548" s="501"/>
      <c r="QEU548" s="501"/>
      <c r="QEV548" s="501"/>
      <c r="QEW548" s="501"/>
      <c r="QEX548" s="501"/>
      <c r="QEY548" s="501"/>
      <c r="QEZ548" s="501"/>
      <c r="QFA548" s="501"/>
      <c r="QFB548" s="501"/>
      <c r="QFC548" s="501"/>
      <c r="QFD548" s="501"/>
      <c r="QFE548" s="501"/>
      <c r="QFF548" s="501"/>
      <c r="QFG548" s="501"/>
      <c r="QFH548" s="501"/>
      <c r="QFI548" s="501"/>
      <c r="QFJ548" s="501"/>
      <c r="QFK548" s="501"/>
      <c r="QFL548" s="501"/>
      <c r="QFM548" s="501"/>
      <c r="QFN548" s="501"/>
      <c r="QFO548" s="501"/>
      <c r="QFP548" s="501"/>
      <c r="QFQ548" s="501"/>
      <c r="QFR548" s="501"/>
      <c r="QFS548" s="501"/>
      <c r="QFT548" s="501"/>
      <c r="QFU548" s="501"/>
      <c r="QFV548" s="501"/>
      <c r="QFW548" s="501"/>
      <c r="QFX548" s="501"/>
      <c r="QFY548" s="501"/>
      <c r="QFZ548" s="501"/>
      <c r="QGA548" s="501"/>
      <c r="QGB548" s="501"/>
      <c r="QGC548" s="501"/>
      <c r="QGD548" s="501"/>
      <c r="QGE548" s="501"/>
      <c r="QGF548" s="501"/>
      <c r="QGG548" s="501"/>
      <c r="QGH548" s="501"/>
      <c r="QGI548" s="501"/>
      <c r="QGJ548" s="501"/>
      <c r="QGK548" s="501"/>
      <c r="QGL548" s="501"/>
      <c r="QGM548" s="501"/>
      <c r="QGN548" s="501"/>
      <c r="QGO548" s="501"/>
      <c r="QGP548" s="501"/>
      <c r="QGQ548" s="501"/>
      <c r="QGR548" s="501"/>
      <c r="QGS548" s="501"/>
      <c r="QGT548" s="501"/>
      <c r="QGU548" s="501"/>
      <c r="QGV548" s="501"/>
      <c r="QGW548" s="501"/>
      <c r="QGX548" s="501"/>
      <c r="QGY548" s="501"/>
      <c r="QGZ548" s="501"/>
      <c r="QHA548" s="501"/>
      <c r="QHB548" s="501"/>
      <c r="QHC548" s="501"/>
      <c r="QHD548" s="501"/>
      <c r="QHE548" s="501"/>
      <c r="QHF548" s="501"/>
      <c r="QHG548" s="501"/>
      <c r="QHH548" s="501"/>
      <c r="QHI548" s="501"/>
      <c r="QHJ548" s="501"/>
      <c r="QHK548" s="501"/>
      <c r="QHL548" s="501"/>
      <c r="QHM548" s="501"/>
      <c r="QHN548" s="501"/>
      <c r="QHO548" s="501"/>
      <c r="QHP548" s="501"/>
      <c r="QHQ548" s="501"/>
      <c r="QHR548" s="501"/>
      <c r="QHS548" s="501"/>
      <c r="QHT548" s="501"/>
      <c r="QHU548" s="501"/>
      <c r="QHV548" s="501"/>
      <c r="QHW548" s="501"/>
      <c r="QHX548" s="501"/>
      <c r="QHY548" s="501"/>
      <c r="QHZ548" s="501"/>
      <c r="QIA548" s="501"/>
      <c r="QIB548" s="501"/>
      <c r="QIC548" s="501"/>
      <c r="QID548" s="501"/>
      <c r="QIE548" s="501"/>
      <c r="QIF548" s="501"/>
      <c r="QIG548" s="501"/>
      <c r="QIH548" s="501"/>
      <c r="QII548" s="501"/>
      <c r="QIJ548" s="501"/>
      <c r="QIK548" s="501"/>
      <c r="QIL548" s="501"/>
      <c r="QIM548" s="501"/>
      <c r="QIN548" s="501"/>
      <c r="QIO548" s="501"/>
      <c r="QIP548" s="501"/>
      <c r="QIQ548" s="501"/>
      <c r="QIR548" s="501"/>
      <c r="QIS548" s="501"/>
      <c r="QIT548" s="501"/>
      <c r="QIU548" s="501"/>
      <c r="QIV548" s="501"/>
      <c r="QIW548" s="501"/>
      <c r="QIX548" s="501"/>
      <c r="QIY548" s="501"/>
      <c r="QIZ548" s="501"/>
      <c r="QJA548" s="501"/>
      <c r="QJB548" s="501"/>
      <c r="QJC548" s="501"/>
      <c r="QJD548" s="501"/>
      <c r="QJE548" s="501"/>
      <c r="QJF548" s="501"/>
      <c r="QJG548" s="501"/>
      <c r="QJH548" s="501"/>
      <c r="QJI548" s="501"/>
      <c r="QJJ548" s="501"/>
      <c r="QJK548" s="501"/>
      <c r="QJL548" s="501"/>
      <c r="QJM548" s="501"/>
      <c r="QJN548" s="501"/>
      <c r="QJO548" s="501"/>
      <c r="QJP548" s="501"/>
      <c r="QJQ548" s="501"/>
      <c r="QJR548" s="501"/>
      <c r="QJS548" s="501"/>
      <c r="QJT548" s="501"/>
      <c r="QJU548" s="501"/>
      <c r="QJV548" s="501"/>
      <c r="QJW548" s="501"/>
      <c r="QJX548" s="501"/>
      <c r="QJY548" s="501"/>
      <c r="QJZ548" s="501"/>
      <c r="QKA548" s="501"/>
      <c r="QKB548" s="501"/>
      <c r="QKC548" s="501"/>
      <c r="QKD548" s="501"/>
      <c r="QKE548" s="501"/>
      <c r="QKF548" s="501"/>
      <c r="QKG548" s="501"/>
      <c r="QKH548" s="501"/>
      <c r="QKI548" s="501"/>
      <c r="QKJ548" s="501"/>
      <c r="QKK548" s="501"/>
      <c r="QKL548" s="501"/>
      <c r="QKM548" s="501"/>
      <c r="QKN548" s="501"/>
      <c r="QKO548" s="501"/>
      <c r="QKP548" s="501"/>
      <c r="QKQ548" s="501"/>
      <c r="QKR548" s="501"/>
      <c r="QKS548" s="501"/>
      <c r="QKT548" s="501"/>
      <c r="QKU548" s="501"/>
      <c r="QKV548" s="501"/>
      <c r="QKW548" s="501"/>
      <c r="QKX548" s="501"/>
      <c r="QKY548" s="501"/>
      <c r="QKZ548" s="501"/>
      <c r="QLA548" s="501"/>
      <c r="QLB548" s="501"/>
      <c r="QLC548" s="501"/>
      <c r="QLD548" s="501"/>
      <c r="QLE548" s="501"/>
      <c r="QLF548" s="501"/>
      <c r="QLG548" s="501"/>
      <c r="QLH548" s="501"/>
      <c r="QLI548" s="501"/>
      <c r="QLJ548" s="501"/>
      <c r="QLK548" s="501"/>
      <c r="QLL548" s="501"/>
      <c r="QLM548" s="501"/>
      <c r="QLN548" s="501"/>
      <c r="QLO548" s="501"/>
      <c r="QLP548" s="501"/>
      <c r="QLQ548" s="501"/>
      <c r="QLR548" s="501"/>
      <c r="QLS548" s="501"/>
      <c r="QLT548" s="501"/>
      <c r="QLU548" s="501"/>
      <c r="QLV548" s="501"/>
      <c r="QLW548" s="501"/>
      <c r="QLX548" s="501"/>
      <c r="QLY548" s="501"/>
      <c r="QLZ548" s="501"/>
      <c r="QMA548" s="501"/>
      <c r="QMB548" s="501"/>
      <c r="QMC548" s="501"/>
      <c r="QMD548" s="501"/>
      <c r="QME548" s="501"/>
      <c r="QMF548" s="501"/>
      <c r="QMG548" s="501"/>
      <c r="QMH548" s="501"/>
      <c r="QMI548" s="501"/>
      <c r="QMJ548" s="501"/>
      <c r="QMK548" s="501"/>
      <c r="QML548" s="501"/>
      <c r="QMM548" s="501"/>
      <c r="QMN548" s="501"/>
      <c r="QMO548" s="501"/>
      <c r="QMP548" s="501"/>
      <c r="QMQ548" s="501"/>
      <c r="QMR548" s="501"/>
      <c r="QMS548" s="501"/>
      <c r="QMT548" s="501"/>
      <c r="QMU548" s="501"/>
      <c r="QMV548" s="501"/>
      <c r="QMW548" s="501"/>
      <c r="QMX548" s="501"/>
      <c r="QMY548" s="501"/>
      <c r="QMZ548" s="501"/>
      <c r="QNA548" s="501"/>
      <c r="QNB548" s="501"/>
      <c r="QNC548" s="501"/>
      <c r="QND548" s="501"/>
      <c r="QNE548" s="501"/>
      <c r="QNF548" s="501"/>
      <c r="QNG548" s="501"/>
      <c r="QNH548" s="501"/>
      <c r="QNI548" s="501"/>
      <c r="QNJ548" s="501"/>
      <c r="QNK548" s="501"/>
      <c r="QNL548" s="501"/>
      <c r="QNM548" s="501"/>
      <c r="QNN548" s="501"/>
      <c r="QNO548" s="501"/>
      <c r="QNP548" s="501"/>
      <c r="QNQ548" s="501"/>
      <c r="QNR548" s="501"/>
      <c r="QNS548" s="501"/>
      <c r="QNT548" s="501"/>
      <c r="QNU548" s="501"/>
      <c r="QNV548" s="501"/>
      <c r="QNW548" s="501"/>
      <c r="QNX548" s="501"/>
      <c r="QNY548" s="501"/>
      <c r="QNZ548" s="501"/>
      <c r="QOA548" s="501"/>
      <c r="QOB548" s="501"/>
      <c r="QOC548" s="501"/>
      <c r="QOD548" s="501"/>
      <c r="QOE548" s="501"/>
      <c r="QOF548" s="501"/>
      <c r="QOG548" s="501"/>
      <c r="QOH548" s="501"/>
      <c r="QOI548" s="501"/>
      <c r="QOJ548" s="501"/>
      <c r="QOK548" s="501"/>
      <c r="QOL548" s="501"/>
      <c r="QOM548" s="501"/>
      <c r="QON548" s="501"/>
      <c r="QOO548" s="501"/>
      <c r="QOP548" s="501"/>
      <c r="QOQ548" s="501"/>
      <c r="QOR548" s="501"/>
      <c r="QOS548" s="501"/>
      <c r="QOT548" s="501"/>
      <c r="QOU548" s="501"/>
      <c r="QOV548" s="501"/>
      <c r="QOW548" s="501"/>
      <c r="QOX548" s="501"/>
      <c r="QOY548" s="501"/>
      <c r="QOZ548" s="501"/>
      <c r="QPA548" s="501"/>
      <c r="QPB548" s="501"/>
      <c r="QPC548" s="501"/>
      <c r="QPD548" s="501"/>
      <c r="QPE548" s="501"/>
      <c r="QPF548" s="501"/>
      <c r="QPG548" s="501"/>
      <c r="QPH548" s="501"/>
      <c r="QPI548" s="501"/>
      <c r="QPJ548" s="501"/>
      <c r="QPK548" s="501"/>
      <c r="QPL548" s="501"/>
      <c r="QPM548" s="501"/>
      <c r="QPN548" s="501"/>
      <c r="QPO548" s="501"/>
      <c r="QPP548" s="501"/>
      <c r="QPQ548" s="501"/>
      <c r="QPR548" s="501"/>
      <c r="QPS548" s="501"/>
      <c r="QPT548" s="501"/>
      <c r="QPU548" s="501"/>
      <c r="QPV548" s="501"/>
      <c r="QPW548" s="501"/>
      <c r="QPX548" s="501"/>
      <c r="QPY548" s="501"/>
      <c r="QPZ548" s="501"/>
      <c r="QQA548" s="501"/>
      <c r="QQB548" s="501"/>
      <c r="QQC548" s="501"/>
      <c r="QQD548" s="501"/>
      <c r="QQE548" s="501"/>
      <c r="QQF548" s="501"/>
      <c r="QQG548" s="501"/>
      <c r="QQH548" s="501"/>
      <c r="QQI548" s="501"/>
      <c r="QQJ548" s="501"/>
      <c r="QQK548" s="501"/>
      <c r="QQL548" s="501"/>
      <c r="QQM548" s="501"/>
      <c r="QQN548" s="501"/>
      <c r="QQO548" s="501"/>
      <c r="QQP548" s="501"/>
      <c r="QQQ548" s="501"/>
      <c r="QQR548" s="501"/>
      <c r="QQS548" s="501"/>
      <c r="QQT548" s="501"/>
      <c r="QQU548" s="501"/>
      <c r="QQV548" s="501"/>
      <c r="QQW548" s="501"/>
      <c r="QQX548" s="501"/>
      <c r="QQY548" s="501"/>
      <c r="QQZ548" s="501"/>
      <c r="QRA548" s="501"/>
      <c r="QRB548" s="501"/>
      <c r="QRC548" s="501"/>
      <c r="QRD548" s="501"/>
      <c r="QRE548" s="501"/>
      <c r="QRF548" s="501"/>
      <c r="QRG548" s="501"/>
      <c r="QRH548" s="501"/>
      <c r="QRI548" s="501"/>
      <c r="QRJ548" s="501"/>
      <c r="QRK548" s="501"/>
      <c r="QRL548" s="501"/>
      <c r="QRM548" s="501"/>
      <c r="QRN548" s="501"/>
      <c r="QRO548" s="501"/>
      <c r="QRP548" s="501"/>
      <c r="QRQ548" s="501"/>
      <c r="QRR548" s="501"/>
      <c r="QRS548" s="501"/>
      <c r="QRT548" s="501"/>
      <c r="QRU548" s="501"/>
      <c r="QRV548" s="501"/>
      <c r="QRW548" s="501"/>
      <c r="QRX548" s="501"/>
      <c r="QRY548" s="501"/>
      <c r="QRZ548" s="501"/>
      <c r="QSA548" s="501"/>
      <c r="QSB548" s="501"/>
      <c r="QSC548" s="501"/>
      <c r="QSD548" s="501"/>
      <c r="QSE548" s="501"/>
      <c r="QSF548" s="501"/>
      <c r="QSG548" s="501"/>
      <c r="QSH548" s="501"/>
      <c r="QSI548" s="501"/>
      <c r="QSJ548" s="501"/>
      <c r="QSK548" s="501"/>
      <c r="QSL548" s="501"/>
      <c r="QSM548" s="501"/>
      <c r="QSN548" s="501"/>
      <c r="QSO548" s="501"/>
      <c r="QSP548" s="501"/>
      <c r="QSQ548" s="501"/>
      <c r="QSR548" s="501"/>
      <c r="QSS548" s="501"/>
      <c r="QST548" s="501"/>
      <c r="QSU548" s="501"/>
      <c r="QSV548" s="501"/>
      <c r="QSW548" s="501"/>
      <c r="QSX548" s="501"/>
      <c r="QSY548" s="501"/>
      <c r="QSZ548" s="501"/>
      <c r="QTA548" s="501"/>
      <c r="QTB548" s="501"/>
      <c r="QTC548" s="501"/>
      <c r="QTD548" s="501"/>
      <c r="QTE548" s="501"/>
      <c r="QTF548" s="501"/>
      <c r="QTG548" s="501"/>
      <c r="QTH548" s="501"/>
      <c r="QTI548" s="501"/>
      <c r="QTJ548" s="501"/>
      <c r="QTK548" s="501"/>
      <c r="QTL548" s="501"/>
      <c r="QTM548" s="501"/>
      <c r="QTN548" s="501"/>
      <c r="QTO548" s="501"/>
      <c r="QTP548" s="501"/>
      <c r="QTQ548" s="501"/>
      <c r="QTR548" s="501"/>
      <c r="QTS548" s="501"/>
      <c r="QTT548" s="501"/>
      <c r="QTU548" s="501"/>
      <c r="QTV548" s="501"/>
      <c r="QTW548" s="501"/>
      <c r="QTX548" s="501"/>
      <c r="QTY548" s="501"/>
      <c r="QTZ548" s="501"/>
      <c r="QUA548" s="501"/>
      <c r="QUB548" s="501"/>
      <c r="QUC548" s="501"/>
      <c r="QUD548" s="501"/>
      <c r="QUE548" s="501"/>
      <c r="QUF548" s="501"/>
      <c r="QUG548" s="501"/>
      <c r="QUH548" s="501"/>
      <c r="QUI548" s="501"/>
      <c r="QUJ548" s="501"/>
      <c r="QUK548" s="501"/>
      <c r="QUL548" s="501"/>
      <c r="QUM548" s="501"/>
      <c r="QUN548" s="501"/>
      <c r="QUO548" s="501"/>
      <c r="QUP548" s="501"/>
      <c r="QUQ548" s="501"/>
      <c r="QUR548" s="501"/>
      <c r="QUS548" s="501"/>
      <c r="QUT548" s="501"/>
      <c r="QUU548" s="501"/>
      <c r="QUV548" s="501"/>
      <c r="QUW548" s="501"/>
      <c r="QUX548" s="501"/>
      <c r="QUY548" s="501"/>
      <c r="QUZ548" s="501"/>
      <c r="QVA548" s="501"/>
      <c r="QVB548" s="501"/>
      <c r="QVC548" s="501"/>
      <c r="QVD548" s="501"/>
      <c r="QVE548" s="501"/>
      <c r="QVF548" s="501"/>
      <c r="QVG548" s="501"/>
      <c r="QVH548" s="501"/>
      <c r="QVI548" s="501"/>
      <c r="QVJ548" s="501"/>
      <c r="QVK548" s="501"/>
      <c r="QVL548" s="501"/>
      <c r="QVM548" s="501"/>
      <c r="QVN548" s="501"/>
      <c r="QVO548" s="501"/>
      <c r="QVP548" s="501"/>
      <c r="QVQ548" s="501"/>
      <c r="QVR548" s="501"/>
      <c r="QVS548" s="501"/>
      <c r="QVT548" s="501"/>
      <c r="QVU548" s="501"/>
      <c r="QVV548" s="501"/>
      <c r="QVW548" s="501"/>
      <c r="QVX548" s="501"/>
      <c r="QVY548" s="501"/>
      <c r="QVZ548" s="501"/>
      <c r="QWA548" s="501"/>
      <c r="QWB548" s="501"/>
      <c r="QWC548" s="501"/>
      <c r="QWD548" s="501"/>
      <c r="QWE548" s="501"/>
      <c r="QWF548" s="501"/>
      <c r="QWG548" s="501"/>
      <c r="QWH548" s="501"/>
      <c r="QWI548" s="501"/>
      <c r="QWJ548" s="501"/>
      <c r="QWK548" s="501"/>
      <c r="QWL548" s="501"/>
      <c r="QWM548" s="501"/>
      <c r="QWN548" s="501"/>
      <c r="QWO548" s="501"/>
      <c r="QWP548" s="501"/>
      <c r="QWQ548" s="501"/>
      <c r="QWR548" s="501"/>
      <c r="QWS548" s="501"/>
      <c r="QWT548" s="501"/>
      <c r="QWU548" s="501"/>
      <c r="QWV548" s="501"/>
      <c r="QWW548" s="501"/>
      <c r="QWX548" s="501"/>
      <c r="QWY548" s="501"/>
      <c r="QWZ548" s="501"/>
      <c r="QXA548" s="501"/>
      <c r="QXB548" s="501"/>
      <c r="QXC548" s="501"/>
      <c r="QXD548" s="501"/>
      <c r="QXE548" s="501"/>
      <c r="QXF548" s="501"/>
      <c r="QXG548" s="501"/>
      <c r="QXH548" s="501"/>
      <c r="QXI548" s="501"/>
      <c r="QXJ548" s="501"/>
      <c r="QXK548" s="501"/>
      <c r="QXL548" s="501"/>
      <c r="QXM548" s="501"/>
      <c r="QXN548" s="501"/>
      <c r="QXO548" s="501"/>
      <c r="QXP548" s="501"/>
      <c r="QXQ548" s="501"/>
      <c r="QXR548" s="501"/>
      <c r="QXS548" s="501"/>
      <c r="QXT548" s="501"/>
      <c r="QXU548" s="501"/>
      <c r="QXV548" s="501"/>
      <c r="QXW548" s="501"/>
      <c r="QXX548" s="501"/>
      <c r="QXY548" s="501"/>
      <c r="QXZ548" s="501"/>
      <c r="QYA548" s="501"/>
      <c r="QYB548" s="501"/>
      <c r="QYC548" s="501"/>
      <c r="QYD548" s="501"/>
      <c r="QYE548" s="501"/>
      <c r="QYF548" s="501"/>
      <c r="QYG548" s="501"/>
      <c r="QYH548" s="501"/>
      <c r="QYI548" s="501"/>
      <c r="QYJ548" s="501"/>
      <c r="QYK548" s="501"/>
      <c r="QYL548" s="501"/>
      <c r="QYM548" s="501"/>
      <c r="QYN548" s="501"/>
      <c r="QYO548" s="501"/>
      <c r="QYP548" s="501"/>
      <c r="QYQ548" s="501"/>
      <c r="QYR548" s="501"/>
      <c r="QYS548" s="501"/>
      <c r="QYT548" s="501"/>
      <c r="QYU548" s="501"/>
      <c r="QYV548" s="501"/>
      <c r="QYW548" s="501"/>
      <c r="QYX548" s="501"/>
      <c r="QYY548" s="501"/>
      <c r="QYZ548" s="501"/>
      <c r="QZA548" s="501"/>
      <c r="QZB548" s="501"/>
      <c r="QZC548" s="501"/>
      <c r="QZD548" s="501"/>
      <c r="QZE548" s="501"/>
      <c r="QZF548" s="501"/>
      <c r="QZG548" s="501"/>
      <c r="QZH548" s="501"/>
      <c r="QZI548" s="501"/>
      <c r="QZJ548" s="501"/>
      <c r="QZK548" s="501"/>
      <c r="QZL548" s="501"/>
      <c r="QZM548" s="501"/>
      <c r="QZN548" s="501"/>
      <c r="QZO548" s="501"/>
      <c r="QZP548" s="501"/>
      <c r="QZQ548" s="501"/>
      <c r="QZR548" s="501"/>
      <c r="QZS548" s="501"/>
      <c r="QZT548" s="501"/>
      <c r="QZU548" s="501"/>
      <c r="QZV548" s="501"/>
      <c r="QZW548" s="501"/>
      <c r="QZX548" s="501"/>
      <c r="QZY548" s="501"/>
      <c r="QZZ548" s="501"/>
      <c r="RAA548" s="501"/>
      <c r="RAB548" s="501"/>
      <c r="RAC548" s="501"/>
      <c r="RAD548" s="501"/>
      <c r="RAE548" s="501"/>
      <c r="RAF548" s="501"/>
      <c r="RAG548" s="501"/>
      <c r="RAH548" s="501"/>
      <c r="RAI548" s="501"/>
      <c r="RAJ548" s="501"/>
      <c r="RAK548" s="501"/>
      <c r="RAL548" s="501"/>
      <c r="RAM548" s="501"/>
      <c r="RAN548" s="501"/>
      <c r="RAO548" s="501"/>
      <c r="RAP548" s="501"/>
      <c r="RAQ548" s="501"/>
      <c r="RAR548" s="501"/>
      <c r="RAS548" s="501"/>
      <c r="RAT548" s="501"/>
      <c r="RAU548" s="501"/>
      <c r="RAV548" s="501"/>
      <c r="RAW548" s="501"/>
      <c r="RAX548" s="501"/>
      <c r="RAY548" s="501"/>
      <c r="RAZ548" s="501"/>
      <c r="RBA548" s="501"/>
      <c r="RBB548" s="501"/>
      <c r="RBC548" s="501"/>
      <c r="RBD548" s="501"/>
      <c r="RBE548" s="501"/>
      <c r="RBF548" s="501"/>
      <c r="RBG548" s="501"/>
      <c r="RBH548" s="501"/>
      <c r="RBI548" s="501"/>
      <c r="RBJ548" s="501"/>
      <c r="RBK548" s="501"/>
      <c r="RBL548" s="501"/>
      <c r="RBM548" s="501"/>
      <c r="RBN548" s="501"/>
      <c r="RBO548" s="501"/>
      <c r="RBP548" s="501"/>
      <c r="RBQ548" s="501"/>
      <c r="RBR548" s="501"/>
      <c r="RBS548" s="501"/>
      <c r="RBT548" s="501"/>
      <c r="RBU548" s="501"/>
      <c r="RBV548" s="501"/>
      <c r="RBW548" s="501"/>
      <c r="RBX548" s="501"/>
      <c r="RBY548" s="501"/>
      <c r="RBZ548" s="501"/>
      <c r="RCA548" s="501"/>
      <c r="RCB548" s="501"/>
      <c r="RCC548" s="501"/>
      <c r="RCD548" s="501"/>
      <c r="RCE548" s="501"/>
      <c r="RCF548" s="501"/>
      <c r="RCG548" s="501"/>
      <c r="RCH548" s="501"/>
      <c r="RCI548" s="501"/>
      <c r="RCJ548" s="501"/>
      <c r="RCK548" s="501"/>
      <c r="RCL548" s="501"/>
      <c r="RCM548" s="501"/>
      <c r="RCN548" s="501"/>
      <c r="RCO548" s="501"/>
      <c r="RCP548" s="501"/>
      <c r="RCQ548" s="501"/>
      <c r="RCR548" s="501"/>
      <c r="RCS548" s="501"/>
      <c r="RCT548" s="501"/>
      <c r="RCU548" s="501"/>
      <c r="RCV548" s="501"/>
      <c r="RCW548" s="501"/>
      <c r="RCX548" s="501"/>
      <c r="RCY548" s="501"/>
      <c r="RCZ548" s="501"/>
      <c r="RDA548" s="501"/>
      <c r="RDB548" s="501"/>
      <c r="RDC548" s="501"/>
      <c r="RDD548" s="501"/>
      <c r="RDE548" s="501"/>
      <c r="RDF548" s="501"/>
      <c r="RDG548" s="501"/>
      <c r="RDH548" s="501"/>
      <c r="RDI548" s="501"/>
      <c r="RDJ548" s="501"/>
      <c r="RDK548" s="501"/>
      <c r="RDL548" s="501"/>
      <c r="RDM548" s="501"/>
      <c r="RDN548" s="501"/>
      <c r="RDO548" s="501"/>
      <c r="RDP548" s="501"/>
      <c r="RDQ548" s="501"/>
      <c r="RDR548" s="501"/>
      <c r="RDS548" s="501"/>
      <c r="RDT548" s="501"/>
      <c r="RDU548" s="501"/>
      <c r="RDV548" s="501"/>
      <c r="RDW548" s="501"/>
      <c r="RDX548" s="501"/>
      <c r="RDY548" s="501"/>
      <c r="RDZ548" s="501"/>
      <c r="REA548" s="501"/>
      <c r="REB548" s="501"/>
      <c r="REC548" s="501"/>
      <c r="RED548" s="501"/>
      <c r="REE548" s="501"/>
      <c r="REF548" s="501"/>
      <c r="REG548" s="501"/>
      <c r="REH548" s="501"/>
      <c r="REI548" s="501"/>
      <c r="REJ548" s="501"/>
      <c r="REK548" s="501"/>
      <c r="REL548" s="501"/>
      <c r="REM548" s="501"/>
      <c r="REN548" s="501"/>
      <c r="REO548" s="501"/>
      <c r="REP548" s="501"/>
      <c r="REQ548" s="501"/>
      <c r="RER548" s="501"/>
      <c r="RES548" s="501"/>
      <c r="RET548" s="501"/>
      <c r="REU548" s="501"/>
      <c r="REV548" s="501"/>
      <c r="REW548" s="501"/>
      <c r="REX548" s="501"/>
      <c r="REY548" s="501"/>
      <c r="REZ548" s="501"/>
      <c r="RFA548" s="501"/>
      <c r="RFB548" s="501"/>
      <c r="RFC548" s="501"/>
      <c r="RFD548" s="501"/>
      <c r="RFE548" s="501"/>
      <c r="RFF548" s="501"/>
      <c r="RFG548" s="501"/>
      <c r="RFH548" s="501"/>
      <c r="RFI548" s="501"/>
      <c r="RFJ548" s="501"/>
      <c r="RFK548" s="501"/>
      <c r="RFL548" s="501"/>
      <c r="RFM548" s="501"/>
      <c r="RFN548" s="501"/>
      <c r="RFO548" s="501"/>
      <c r="RFP548" s="501"/>
      <c r="RFQ548" s="501"/>
      <c r="RFR548" s="501"/>
      <c r="RFS548" s="501"/>
      <c r="RFT548" s="501"/>
      <c r="RFU548" s="501"/>
      <c r="RFV548" s="501"/>
      <c r="RFW548" s="501"/>
      <c r="RFX548" s="501"/>
      <c r="RFY548" s="501"/>
      <c r="RFZ548" s="501"/>
      <c r="RGA548" s="501"/>
      <c r="RGB548" s="501"/>
      <c r="RGC548" s="501"/>
      <c r="RGD548" s="501"/>
      <c r="RGE548" s="501"/>
      <c r="RGF548" s="501"/>
      <c r="RGG548" s="501"/>
      <c r="RGH548" s="501"/>
      <c r="RGI548" s="501"/>
      <c r="RGJ548" s="501"/>
      <c r="RGK548" s="501"/>
      <c r="RGL548" s="501"/>
      <c r="RGM548" s="501"/>
      <c r="RGN548" s="501"/>
      <c r="RGO548" s="501"/>
      <c r="RGP548" s="501"/>
      <c r="RGQ548" s="501"/>
      <c r="RGR548" s="501"/>
      <c r="RGS548" s="501"/>
      <c r="RGT548" s="501"/>
      <c r="RGU548" s="501"/>
      <c r="RGV548" s="501"/>
      <c r="RGW548" s="501"/>
      <c r="RGX548" s="501"/>
      <c r="RGY548" s="501"/>
      <c r="RGZ548" s="501"/>
      <c r="RHA548" s="501"/>
      <c r="RHB548" s="501"/>
      <c r="RHC548" s="501"/>
      <c r="RHD548" s="501"/>
      <c r="RHE548" s="501"/>
      <c r="RHF548" s="501"/>
      <c r="RHG548" s="501"/>
      <c r="RHH548" s="501"/>
      <c r="RHI548" s="501"/>
      <c r="RHJ548" s="501"/>
      <c r="RHK548" s="501"/>
      <c r="RHL548" s="501"/>
      <c r="RHM548" s="501"/>
      <c r="RHN548" s="501"/>
      <c r="RHO548" s="501"/>
      <c r="RHP548" s="501"/>
      <c r="RHQ548" s="501"/>
      <c r="RHR548" s="501"/>
      <c r="RHS548" s="501"/>
      <c r="RHT548" s="501"/>
      <c r="RHU548" s="501"/>
      <c r="RHV548" s="501"/>
      <c r="RHW548" s="501"/>
      <c r="RHX548" s="501"/>
      <c r="RHY548" s="501"/>
      <c r="RHZ548" s="501"/>
      <c r="RIA548" s="501"/>
      <c r="RIB548" s="501"/>
      <c r="RIC548" s="501"/>
      <c r="RID548" s="501"/>
      <c r="RIE548" s="501"/>
      <c r="RIF548" s="501"/>
      <c r="RIG548" s="501"/>
      <c r="RIH548" s="501"/>
      <c r="RII548" s="501"/>
      <c r="RIJ548" s="501"/>
      <c r="RIK548" s="501"/>
      <c r="RIL548" s="501"/>
      <c r="RIM548" s="501"/>
      <c r="RIN548" s="501"/>
      <c r="RIO548" s="501"/>
      <c r="RIP548" s="501"/>
      <c r="RIQ548" s="501"/>
      <c r="RIR548" s="501"/>
      <c r="RIS548" s="501"/>
      <c r="RIT548" s="501"/>
      <c r="RIU548" s="501"/>
      <c r="RIV548" s="501"/>
      <c r="RIW548" s="501"/>
      <c r="RIX548" s="501"/>
      <c r="RIY548" s="501"/>
      <c r="RIZ548" s="501"/>
      <c r="RJA548" s="501"/>
      <c r="RJB548" s="501"/>
      <c r="RJC548" s="501"/>
      <c r="RJD548" s="501"/>
      <c r="RJE548" s="501"/>
      <c r="RJF548" s="501"/>
      <c r="RJG548" s="501"/>
      <c r="RJH548" s="501"/>
      <c r="RJI548" s="501"/>
      <c r="RJJ548" s="501"/>
      <c r="RJK548" s="501"/>
      <c r="RJL548" s="501"/>
      <c r="RJM548" s="501"/>
      <c r="RJN548" s="501"/>
      <c r="RJO548" s="501"/>
      <c r="RJP548" s="501"/>
      <c r="RJQ548" s="501"/>
      <c r="RJR548" s="501"/>
      <c r="RJS548" s="501"/>
      <c r="RJT548" s="501"/>
      <c r="RJU548" s="501"/>
      <c r="RJV548" s="501"/>
      <c r="RJW548" s="501"/>
      <c r="RJX548" s="501"/>
      <c r="RJY548" s="501"/>
      <c r="RJZ548" s="501"/>
      <c r="RKA548" s="501"/>
      <c r="RKB548" s="501"/>
      <c r="RKC548" s="501"/>
      <c r="RKD548" s="501"/>
      <c r="RKE548" s="501"/>
      <c r="RKF548" s="501"/>
      <c r="RKG548" s="501"/>
      <c r="RKH548" s="501"/>
      <c r="RKI548" s="501"/>
      <c r="RKJ548" s="501"/>
      <c r="RKK548" s="501"/>
      <c r="RKL548" s="501"/>
      <c r="RKM548" s="501"/>
      <c r="RKN548" s="501"/>
      <c r="RKO548" s="501"/>
      <c r="RKP548" s="501"/>
      <c r="RKQ548" s="501"/>
      <c r="RKR548" s="501"/>
      <c r="RKS548" s="501"/>
      <c r="RKT548" s="501"/>
      <c r="RKU548" s="501"/>
      <c r="RKV548" s="501"/>
      <c r="RKW548" s="501"/>
      <c r="RKX548" s="501"/>
      <c r="RKY548" s="501"/>
      <c r="RKZ548" s="501"/>
      <c r="RLA548" s="501"/>
      <c r="RLB548" s="501"/>
      <c r="RLC548" s="501"/>
      <c r="RLD548" s="501"/>
      <c r="RLE548" s="501"/>
      <c r="RLF548" s="501"/>
      <c r="RLG548" s="501"/>
      <c r="RLH548" s="501"/>
      <c r="RLI548" s="501"/>
      <c r="RLJ548" s="501"/>
      <c r="RLK548" s="501"/>
      <c r="RLL548" s="501"/>
      <c r="RLM548" s="501"/>
      <c r="RLN548" s="501"/>
      <c r="RLO548" s="501"/>
      <c r="RLP548" s="501"/>
      <c r="RLQ548" s="501"/>
      <c r="RLR548" s="501"/>
      <c r="RLS548" s="501"/>
      <c r="RLT548" s="501"/>
      <c r="RLU548" s="501"/>
      <c r="RLV548" s="501"/>
      <c r="RLW548" s="501"/>
      <c r="RLX548" s="501"/>
      <c r="RLY548" s="501"/>
      <c r="RLZ548" s="501"/>
      <c r="RMA548" s="501"/>
      <c r="RMB548" s="501"/>
      <c r="RMC548" s="501"/>
      <c r="RMD548" s="501"/>
      <c r="RME548" s="501"/>
      <c r="RMF548" s="501"/>
      <c r="RMG548" s="501"/>
      <c r="RMH548" s="501"/>
      <c r="RMI548" s="501"/>
      <c r="RMJ548" s="501"/>
      <c r="RMK548" s="501"/>
      <c r="RML548" s="501"/>
      <c r="RMM548" s="501"/>
      <c r="RMN548" s="501"/>
      <c r="RMO548" s="501"/>
      <c r="RMP548" s="501"/>
      <c r="RMQ548" s="501"/>
      <c r="RMR548" s="501"/>
      <c r="RMS548" s="501"/>
      <c r="RMT548" s="501"/>
      <c r="RMU548" s="501"/>
      <c r="RMV548" s="501"/>
      <c r="RMW548" s="501"/>
      <c r="RMX548" s="501"/>
      <c r="RMY548" s="501"/>
      <c r="RMZ548" s="501"/>
      <c r="RNA548" s="501"/>
      <c r="RNB548" s="501"/>
      <c r="RNC548" s="501"/>
      <c r="RND548" s="501"/>
      <c r="RNE548" s="501"/>
      <c r="RNF548" s="501"/>
      <c r="RNG548" s="501"/>
      <c r="RNH548" s="501"/>
      <c r="RNI548" s="501"/>
      <c r="RNJ548" s="501"/>
      <c r="RNK548" s="501"/>
      <c r="RNL548" s="501"/>
      <c r="RNM548" s="501"/>
      <c r="RNN548" s="501"/>
      <c r="RNO548" s="501"/>
      <c r="RNP548" s="501"/>
      <c r="RNQ548" s="501"/>
      <c r="RNR548" s="501"/>
      <c r="RNS548" s="501"/>
      <c r="RNT548" s="501"/>
      <c r="RNU548" s="501"/>
      <c r="RNV548" s="501"/>
      <c r="RNW548" s="501"/>
      <c r="RNX548" s="501"/>
      <c r="RNY548" s="501"/>
      <c r="RNZ548" s="501"/>
      <c r="ROA548" s="501"/>
      <c r="ROB548" s="501"/>
      <c r="ROC548" s="501"/>
      <c r="ROD548" s="501"/>
      <c r="ROE548" s="501"/>
      <c r="ROF548" s="501"/>
      <c r="ROG548" s="501"/>
      <c r="ROH548" s="501"/>
      <c r="ROI548" s="501"/>
      <c r="ROJ548" s="501"/>
      <c r="ROK548" s="501"/>
      <c r="ROL548" s="501"/>
      <c r="ROM548" s="501"/>
      <c r="RON548" s="501"/>
      <c r="ROO548" s="501"/>
      <c r="ROP548" s="501"/>
      <c r="ROQ548" s="501"/>
      <c r="ROR548" s="501"/>
      <c r="ROS548" s="501"/>
      <c r="ROT548" s="501"/>
      <c r="ROU548" s="501"/>
      <c r="ROV548" s="501"/>
      <c r="ROW548" s="501"/>
      <c r="ROX548" s="501"/>
      <c r="ROY548" s="501"/>
      <c r="ROZ548" s="501"/>
      <c r="RPA548" s="501"/>
      <c r="RPB548" s="501"/>
      <c r="RPC548" s="501"/>
      <c r="RPD548" s="501"/>
      <c r="RPE548" s="501"/>
      <c r="RPF548" s="501"/>
      <c r="RPG548" s="501"/>
      <c r="RPH548" s="501"/>
      <c r="RPI548" s="501"/>
      <c r="RPJ548" s="501"/>
      <c r="RPK548" s="501"/>
      <c r="RPL548" s="501"/>
      <c r="RPM548" s="501"/>
      <c r="RPN548" s="501"/>
      <c r="RPO548" s="501"/>
      <c r="RPP548" s="501"/>
      <c r="RPQ548" s="501"/>
      <c r="RPR548" s="501"/>
      <c r="RPS548" s="501"/>
      <c r="RPT548" s="501"/>
      <c r="RPU548" s="501"/>
      <c r="RPV548" s="501"/>
      <c r="RPW548" s="501"/>
      <c r="RPX548" s="501"/>
      <c r="RPY548" s="501"/>
      <c r="RPZ548" s="501"/>
      <c r="RQA548" s="501"/>
      <c r="RQB548" s="501"/>
      <c r="RQC548" s="501"/>
      <c r="RQD548" s="501"/>
      <c r="RQE548" s="501"/>
      <c r="RQF548" s="501"/>
      <c r="RQG548" s="501"/>
      <c r="RQH548" s="501"/>
      <c r="RQI548" s="501"/>
      <c r="RQJ548" s="501"/>
      <c r="RQK548" s="501"/>
      <c r="RQL548" s="501"/>
      <c r="RQM548" s="501"/>
      <c r="RQN548" s="501"/>
      <c r="RQO548" s="501"/>
      <c r="RQP548" s="501"/>
      <c r="RQQ548" s="501"/>
      <c r="RQR548" s="501"/>
      <c r="RQS548" s="501"/>
      <c r="RQT548" s="501"/>
      <c r="RQU548" s="501"/>
      <c r="RQV548" s="501"/>
      <c r="RQW548" s="501"/>
      <c r="RQX548" s="501"/>
      <c r="RQY548" s="501"/>
      <c r="RQZ548" s="501"/>
      <c r="RRA548" s="501"/>
      <c r="RRB548" s="501"/>
      <c r="RRC548" s="501"/>
      <c r="RRD548" s="501"/>
      <c r="RRE548" s="501"/>
      <c r="RRF548" s="501"/>
      <c r="RRG548" s="501"/>
      <c r="RRH548" s="501"/>
      <c r="RRI548" s="501"/>
      <c r="RRJ548" s="501"/>
      <c r="RRK548" s="501"/>
      <c r="RRL548" s="501"/>
      <c r="RRM548" s="501"/>
      <c r="RRN548" s="501"/>
      <c r="RRO548" s="501"/>
      <c r="RRP548" s="501"/>
      <c r="RRQ548" s="501"/>
      <c r="RRR548" s="501"/>
      <c r="RRS548" s="501"/>
      <c r="RRT548" s="501"/>
      <c r="RRU548" s="501"/>
      <c r="RRV548" s="501"/>
      <c r="RRW548" s="501"/>
      <c r="RRX548" s="501"/>
      <c r="RRY548" s="501"/>
      <c r="RRZ548" s="501"/>
      <c r="RSA548" s="501"/>
      <c r="RSB548" s="501"/>
      <c r="RSC548" s="501"/>
      <c r="RSD548" s="501"/>
      <c r="RSE548" s="501"/>
      <c r="RSF548" s="501"/>
      <c r="RSG548" s="501"/>
      <c r="RSH548" s="501"/>
      <c r="RSI548" s="501"/>
      <c r="RSJ548" s="501"/>
      <c r="RSK548" s="501"/>
      <c r="RSL548" s="501"/>
      <c r="RSM548" s="501"/>
      <c r="RSN548" s="501"/>
      <c r="RSO548" s="501"/>
      <c r="RSP548" s="501"/>
      <c r="RSQ548" s="501"/>
      <c r="RSR548" s="501"/>
      <c r="RSS548" s="501"/>
      <c r="RST548" s="501"/>
      <c r="RSU548" s="501"/>
      <c r="RSV548" s="501"/>
      <c r="RSW548" s="501"/>
      <c r="RSX548" s="501"/>
      <c r="RSY548" s="501"/>
      <c r="RSZ548" s="501"/>
      <c r="RTA548" s="501"/>
      <c r="RTB548" s="501"/>
      <c r="RTC548" s="501"/>
      <c r="RTD548" s="501"/>
      <c r="RTE548" s="501"/>
      <c r="RTF548" s="501"/>
      <c r="RTG548" s="501"/>
      <c r="RTH548" s="501"/>
      <c r="RTI548" s="501"/>
      <c r="RTJ548" s="501"/>
      <c r="RTK548" s="501"/>
      <c r="RTL548" s="501"/>
      <c r="RTM548" s="501"/>
      <c r="RTN548" s="501"/>
      <c r="RTO548" s="501"/>
      <c r="RTP548" s="501"/>
      <c r="RTQ548" s="501"/>
      <c r="RTR548" s="501"/>
      <c r="RTS548" s="501"/>
      <c r="RTT548" s="501"/>
      <c r="RTU548" s="501"/>
      <c r="RTV548" s="501"/>
      <c r="RTW548" s="501"/>
      <c r="RTX548" s="501"/>
      <c r="RTY548" s="501"/>
      <c r="RTZ548" s="501"/>
      <c r="RUA548" s="501"/>
      <c r="RUB548" s="501"/>
      <c r="RUC548" s="501"/>
      <c r="RUD548" s="501"/>
      <c r="RUE548" s="501"/>
      <c r="RUF548" s="501"/>
      <c r="RUG548" s="501"/>
      <c r="RUH548" s="501"/>
      <c r="RUI548" s="501"/>
      <c r="RUJ548" s="501"/>
      <c r="RUK548" s="501"/>
      <c r="RUL548" s="501"/>
      <c r="RUM548" s="501"/>
      <c r="RUN548" s="501"/>
      <c r="RUO548" s="501"/>
      <c r="RUP548" s="501"/>
      <c r="RUQ548" s="501"/>
      <c r="RUR548" s="501"/>
      <c r="RUS548" s="501"/>
      <c r="RUT548" s="501"/>
      <c r="RUU548" s="501"/>
      <c r="RUV548" s="501"/>
      <c r="RUW548" s="501"/>
      <c r="RUX548" s="501"/>
      <c r="RUY548" s="501"/>
      <c r="RUZ548" s="501"/>
      <c r="RVA548" s="501"/>
      <c r="RVB548" s="501"/>
      <c r="RVC548" s="501"/>
      <c r="RVD548" s="501"/>
      <c r="RVE548" s="501"/>
      <c r="RVF548" s="501"/>
      <c r="RVG548" s="501"/>
      <c r="RVH548" s="501"/>
      <c r="RVI548" s="501"/>
      <c r="RVJ548" s="501"/>
      <c r="RVK548" s="501"/>
      <c r="RVL548" s="501"/>
      <c r="RVM548" s="501"/>
      <c r="RVN548" s="501"/>
      <c r="RVO548" s="501"/>
      <c r="RVP548" s="501"/>
      <c r="RVQ548" s="501"/>
      <c r="RVR548" s="501"/>
      <c r="RVS548" s="501"/>
      <c r="RVT548" s="501"/>
      <c r="RVU548" s="501"/>
      <c r="RVV548" s="501"/>
      <c r="RVW548" s="501"/>
      <c r="RVX548" s="501"/>
      <c r="RVY548" s="501"/>
      <c r="RVZ548" s="501"/>
      <c r="RWA548" s="501"/>
      <c r="RWB548" s="501"/>
      <c r="RWC548" s="501"/>
      <c r="RWD548" s="501"/>
      <c r="RWE548" s="501"/>
      <c r="RWF548" s="501"/>
      <c r="RWG548" s="501"/>
      <c r="RWH548" s="501"/>
      <c r="RWI548" s="501"/>
      <c r="RWJ548" s="501"/>
      <c r="RWK548" s="501"/>
      <c r="RWL548" s="501"/>
      <c r="RWM548" s="501"/>
      <c r="RWN548" s="501"/>
      <c r="RWO548" s="501"/>
      <c r="RWP548" s="501"/>
      <c r="RWQ548" s="501"/>
      <c r="RWR548" s="501"/>
      <c r="RWS548" s="501"/>
      <c r="RWT548" s="501"/>
      <c r="RWU548" s="501"/>
      <c r="RWV548" s="501"/>
      <c r="RWW548" s="501"/>
      <c r="RWX548" s="501"/>
      <c r="RWY548" s="501"/>
      <c r="RWZ548" s="501"/>
      <c r="RXA548" s="501"/>
      <c r="RXB548" s="501"/>
      <c r="RXC548" s="501"/>
      <c r="RXD548" s="501"/>
      <c r="RXE548" s="501"/>
      <c r="RXF548" s="501"/>
      <c r="RXG548" s="501"/>
      <c r="RXH548" s="501"/>
      <c r="RXI548" s="501"/>
      <c r="RXJ548" s="501"/>
      <c r="RXK548" s="501"/>
      <c r="RXL548" s="501"/>
      <c r="RXM548" s="501"/>
      <c r="RXN548" s="501"/>
      <c r="RXO548" s="501"/>
      <c r="RXP548" s="501"/>
      <c r="RXQ548" s="501"/>
      <c r="RXR548" s="501"/>
      <c r="RXS548" s="501"/>
      <c r="RXT548" s="501"/>
      <c r="RXU548" s="501"/>
      <c r="RXV548" s="501"/>
      <c r="RXW548" s="501"/>
      <c r="RXX548" s="501"/>
      <c r="RXY548" s="501"/>
      <c r="RXZ548" s="501"/>
      <c r="RYA548" s="501"/>
      <c r="RYB548" s="501"/>
      <c r="RYC548" s="501"/>
      <c r="RYD548" s="501"/>
      <c r="RYE548" s="501"/>
      <c r="RYF548" s="501"/>
      <c r="RYG548" s="501"/>
      <c r="RYH548" s="501"/>
      <c r="RYI548" s="501"/>
      <c r="RYJ548" s="501"/>
      <c r="RYK548" s="501"/>
      <c r="RYL548" s="501"/>
      <c r="RYM548" s="501"/>
      <c r="RYN548" s="501"/>
      <c r="RYO548" s="501"/>
      <c r="RYP548" s="501"/>
      <c r="RYQ548" s="501"/>
      <c r="RYR548" s="501"/>
      <c r="RYS548" s="501"/>
      <c r="RYT548" s="501"/>
      <c r="RYU548" s="501"/>
      <c r="RYV548" s="501"/>
      <c r="RYW548" s="501"/>
      <c r="RYX548" s="501"/>
      <c r="RYY548" s="501"/>
      <c r="RYZ548" s="501"/>
      <c r="RZA548" s="501"/>
      <c r="RZB548" s="501"/>
      <c r="RZC548" s="501"/>
      <c r="RZD548" s="501"/>
      <c r="RZE548" s="501"/>
      <c r="RZF548" s="501"/>
      <c r="RZG548" s="501"/>
      <c r="RZH548" s="501"/>
      <c r="RZI548" s="501"/>
      <c r="RZJ548" s="501"/>
      <c r="RZK548" s="501"/>
      <c r="RZL548" s="501"/>
      <c r="RZM548" s="501"/>
      <c r="RZN548" s="501"/>
      <c r="RZO548" s="501"/>
      <c r="RZP548" s="501"/>
      <c r="RZQ548" s="501"/>
      <c r="RZR548" s="501"/>
      <c r="RZS548" s="501"/>
      <c r="RZT548" s="501"/>
      <c r="RZU548" s="501"/>
      <c r="RZV548" s="501"/>
      <c r="RZW548" s="501"/>
      <c r="RZX548" s="501"/>
      <c r="RZY548" s="501"/>
      <c r="RZZ548" s="501"/>
      <c r="SAA548" s="501"/>
      <c r="SAB548" s="501"/>
      <c r="SAC548" s="501"/>
      <c r="SAD548" s="501"/>
      <c r="SAE548" s="501"/>
      <c r="SAF548" s="501"/>
      <c r="SAG548" s="501"/>
      <c r="SAH548" s="501"/>
      <c r="SAI548" s="501"/>
      <c r="SAJ548" s="501"/>
      <c r="SAK548" s="501"/>
      <c r="SAL548" s="501"/>
      <c r="SAM548" s="501"/>
      <c r="SAN548" s="501"/>
      <c r="SAO548" s="501"/>
      <c r="SAP548" s="501"/>
      <c r="SAQ548" s="501"/>
      <c r="SAR548" s="501"/>
      <c r="SAS548" s="501"/>
      <c r="SAT548" s="501"/>
      <c r="SAU548" s="501"/>
      <c r="SAV548" s="501"/>
      <c r="SAW548" s="501"/>
      <c r="SAX548" s="501"/>
      <c r="SAY548" s="501"/>
      <c r="SAZ548" s="501"/>
      <c r="SBA548" s="501"/>
      <c r="SBB548" s="501"/>
      <c r="SBC548" s="501"/>
      <c r="SBD548" s="501"/>
      <c r="SBE548" s="501"/>
      <c r="SBF548" s="501"/>
      <c r="SBG548" s="501"/>
      <c r="SBH548" s="501"/>
      <c r="SBI548" s="501"/>
      <c r="SBJ548" s="501"/>
      <c r="SBK548" s="501"/>
      <c r="SBL548" s="501"/>
      <c r="SBM548" s="501"/>
      <c r="SBN548" s="501"/>
      <c r="SBO548" s="501"/>
      <c r="SBP548" s="501"/>
      <c r="SBQ548" s="501"/>
      <c r="SBR548" s="501"/>
      <c r="SBS548" s="501"/>
      <c r="SBT548" s="501"/>
      <c r="SBU548" s="501"/>
      <c r="SBV548" s="501"/>
      <c r="SBW548" s="501"/>
      <c r="SBX548" s="501"/>
      <c r="SBY548" s="501"/>
      <c r="SBZ548" s="501"/>
      <c r="SCA548" s="501"/>
      <c r="SCB548" s="501"/>
      <c r="SCC548" s="501"/>
      <c r="SCD548" s="501"/>
      <c r="SCE548" s="501"/>
      <c r="SCF548" s="501"/>
      <c r="SCG548" s="501"/>
      <c r="SCH548" s="501"/>
      <c r="SCI548" s="501"/>
      <c r="SCJ548" s="501"/>
      <c r="SCK548" s="501"/>
      <c r="SCL548" s="501"/>
      <c r="SCM548" s="501"/>
      <c r="SCN548" s="501"/>
      <c r="SCO548" s="501"/>
      <c r="SCP548" s="501"/>
      <c r="SCQ548" s="501"/>
      <c r="SCR548" s="501"/>
      <c r="SCS548" s="501"/>
      <c r="SCT548" s="501"/>
      <c r="SCU548" s="501"/>
      <c r="SCV548" s="501"/>
      <c r="SCW548" s="501"/>
      <c r="SCX548" s="501"/>
      <c r="SCY548" s="501"/>
      <c r="SCZ548" s="501"/>
      <c r="SDA548" s="501"/>
      <c r="SDB548" s="501"/>
      <c r="SDC548" s="501"/>
      <c r="SDD548" s="501"/>
      <c r="SDE548" s="501"/>
      <c r="SDF548" s="501"/>
      <c r="SDG548" s="501"/>
      <c r="SDH548" s="501"/>
      <c r="SDI548" s="501"/>
      <c r="SDJ548" s="501"/>
      <c r="SDK548" s="501"/>
      <c r="SDL548" s="501"/>
      <c r="SDM548" s="501"/>
      <c r="SDN548" s="501"/>
      <c r="SDO548" s="501"/>
      <c r="SDP548" s="501"/>
      <c r="SDQ548" s="501"/>
      <c r="SDR548" s="501"/>
      <c r="SDS548" s="501"/>
      <c r="SDT548" s="501"/>
      <c r="SDU548" s="501"/>
      <c r="SDV548" s="501"/>
      <c r="SDW548" s="501"/>
      <c r="SDX548" s="501"/>
      <c r="SDY548" s="501"/>
      <c r="SDZ548" s="501"/>
      <c r="SEA548" s="501"/>
      <c r="SEB548" s="501"/>
      <c r="SEC548" s="501"/>
      <c r="SED548" s="501"/>
      <c r="SEE548" s="501"/>
      <c r="SEF548" s="501"/>
      <c r="SEG548" s="501"/>
      <c r="SEH548" s="501"/>
      <c r="SEI548" s="501"/>
      <c r="SEJ548" s="501"/>
      <c r="SEK548" s="501"/>
      <c r="SEL548" s="501"/>
      <c r="SEM548" s="501"/>
      <c r="SEN548" s="501"/>
      <c r="SEO548" s="501"/>
      <c r="SEP548" s="501"/>
      <c r="SEQ548" s="501"/>
      <c r="SER548" s="501"/>
      <c r="SES548" s="501"/>
      <c r="SET548" s="501"/>
      <c r="SEU548" s="501"/>
      <c r="SEV548" s="501"/>
      <c r="SEW548" s="501"/>
      <c r="SEX548" s="501"/>
      <c r="SEY548" s="501"/>
      <c r="SEZ548" s="501"/>
      <c r="SFA548" s="501"/>
      <c r="SFB548" s="501"/>
      <c r="SFC548" s="501"/>
      <c r="SFD548" s="501"/>
      <c r="SFE548" s="501"/>
      <c r="SFF548" s="501"/>
      <c r="SFG548" s="501"/>
      <c r="SFH548" s="501"/>
      <c r="SFI548" s="501"/>
      <c r="SFJ548" s="501"/>
      <c r="SFK548" s="501"/>
      <c r="SFL548" s="501"/>
      <c r="SFM548" s="501"/>
      <c r="SFN548" s="501"/>
      <c r="SFO548" s="501"/>
      <c r="SFP548" s="501"/>
      <c r="SFQ548" s="501"/>
      <c r="SFR548" s="501"/>
      <c r="SFS548" s="501"/>
      <c r="SFT548" s="501"/>
      <c r="SFU548" s="501"/>
      <c r="SFV548" s="501"/>
      <c r="SFW548" s="501"/>
      <c r="SFX548" s="501"/>
      <c r="SFY548" s="501"/>
      <c r="SFZ548" s="501"/>
      <c r="SGA548" s="501"/>
      <c r="SGB548" s="501"/>
      <c r="SGC548" s="501"/>
      <c r="SGD548" s="501"/>
      <c r="SGE548" s="501"/>
      <c r="SGF548" s="501"/>
      <c r="SGG548" s="501"/>
      <c r="SGH548" s="501"/>
      <c r="SGI548" s="501"/>
      <c r="SGJ548" s="501"/>
      <c r="SGK548" s="501"/>
      <c r="SGL548" s="501"/>
      <c r="SGM548" s="501"/>
      <c r="SGN548" s="501"/>
      <c r="SGO548" s="501"/>
      <c r="SGP548" s="501"/>
      <c r="SGQ548" s="501"/>
      <c r="SGR548" s="501"/>
      <c r="SGS548" s="501"/>
      <c r="SGT548" s="501"/>
      <c r="SGU548" s="501"/>
      <c r="SGV548" s="501"/>
      <c r="SGW548" s="501"/>
      <c r="SGX548" s="501"/>
      <c r="SGY548" s="501"/>
      <c r="SGZ548" s="501"/>
      <c r="SHA548" s="501"/>
      <c r="SHB548" s="501"/>
      <c r="SHC548" s="501"/>
      <c r="SHD548" s="501"/>
      <c r="SHE548" s="501"/>
      <c r="SHF548" s="501"/>
      <c r="SHG548" s="501"/>
      <c r="SHH548" s="501"/>
      <c r="SHI548" s="501"/>
      <c r="SHJ548" s="501"/>
      <c r="SHK548" s="501"/>
      <c r="SHL548" s="501"/>
      <c r="SHM548" s="501"/>
      <c r="SHN548" s="501"/>
      <c r="SHO548" s="501"/>
      <c r="SHP548" s="501"/>
      <c r="SHQ548" s="501"/>
      <c r="SHR548" s="501"/>
      <c r="SHS548" s="501"/>
      <c r="SHT548" s="501"/>
      <c r="SHU548" s="501"/>
      <c r="SHV548" s="501"/>
      <c r="SHW548" s="501"/>
      <c r="SHX548" s="501"/>
      <c r="SHY548" s="501"/>
      <c r="SHZ548" s="501"/>
      <c r="SIA548" s="501"/>
      <c r="SIB548" s="501"/>
      <c r="SIC548" s="501"/>
      <c r="SID548" s="501"/>
      <c r="SIE548" s="501"/>
      <c r="SIF548" s="501"/>
      <c r="SIG548" s="501"/>
      <c r="SIH548" s="501"/>
      <c r="SII548" s="501"/>
      <c r="SIJ548" s="501"/>
      <c r="SIK548" s="501"/>
      <c r="SIL548" s="501"/>
      <c r="SIM548" s="501"/>
      <c r="SIN548" s="501"/>
      <c r="SIO548" s="501"/>
      <c r="SIP548" s="501"/>
      <c r="SIQ548" s="501"/>
      <c r="SIR548" s="501"/>
      <c r="SIS548" s="501"/>
      <c r="SIT548" s="501"/>
      <c r="SIU548" s="501"/>
      <c r="SIV548" s="501"/>
      <c r="SIW548" s="501"/>
      <c r="SIX548" s="501"/>
      <c r="SIY548" s="501"/>
      <c r="SIZ548" s="501"/>
      <c r="SJA548" s="501"/>
      <c r="SJB548" s="501"/>
      <c r="SJC548" s="501"/>
      <c r="SJD548" s="501"/>
      <c r="SJE548" s="501"/>
      <c r="SJF548" s="501"/>
      <c r="SJG548" s="501"/>
      <c r="SJH548" s="501"/>
      <c r="SJI548" s="501"/>
      <c r="SJJ548" s="501"/>
      <c r="SJK548" s="501"/>
      <c r="SJL548" s="501"/>
      <c r="SJM548" s="501"/>
      <c r="SJN548" s="501"/>
      <c r="SJO548" s="501"/>
      <c r="SJP548" s="501"/>
      <c r="SJQ548" s="501"/>
      <c r="SJR548" s="501"/>
      <c r="SJS548" s="501"/>
      <c r="SJT548" s="501"/>
      <c r="SJU548" s="501"/>
      <c r="SJV548" s="501"/>
      <c r="SJW548" s="501"/>
      <c r="SJX548" s="501"/>
      <c r="SJY548" s="501"/>
      <c r="SJZ548" s="501"/>
      <c r="SKA548" s="501"/>
      <c r="SKB548" s="501"/>
      <c r="SKC548" s="501"/>
      <c r="SKD548" s="501"/>
      <c r="SKE548" s="501"/>
      <c r="SKF548" s="501"/>
      <c r="SKG548" s="501"/>
      <c r="SKH548" s="501"/>
      <c r="SKI548" s="501"/>
      <c r="SKJ548" s="501"/>
      <c r="SKK548" s="501"/>
      <c r="SKL548" s="501"/>
      <c r="SKM548" s="501"/>
      <c r="SKN548" s="501"/>
      <c r="SKO548" s="501"/>
      <c r="SKP548" s="501"/>
      <c r="SKQ548" s="501"/>
      <c r="SKR548" s="501"/>
      <c r="SKS548" s="501"/>
      <c r="SKT548" s="501"/>
      <c r="SKU548" s="501"/>
      <c r="SKV548" s="501"/>
      <c r="SKW548" s="501"/>
      <c r="SKX548" s="501"/>
      <c r="SKY548" s="501"/>
      <c r="SKZ548" s="501"/>
      <c r="SLA548" s="501"/>
      <c r="SLB548" s="501"/>
      <c r="SLC548" s="501"/>
      <c r="SLD548" s="501"/>
      <c r="SLE548" s="501"/>
      <c r="SLF548" s="501"/>
      <c r="SLG548" s="501"/>
      <c r="SLH548" s="501"/>
      <c r="SLI548" s="501"/>
      <c r="SLJ548" s="501"/>
      <c r="SLK548" s="501"/>
      <c r="SLL548" s="501"/>
      <c r="SLM548" s="501"/>
      <c r="SLN548" s="501"/>
      <c r="SLO548" s="501"/>
      <c r="SLP548" s="501"/>
      <c r="SLQ548" s="501"/>
      <c r="SLR548" s="501"/>
      <c r="SLS548" s="501"/>
      <c r="SLT548" s="501"/>
      <c r="SLU548" s="501"/>
      <c r="SLV548" s="501"/>
      <c r="SLW548" s="501"/>
      <c r="SLX548" s="501"/>
      <c r="SLY548" s="501"/>
      <c r="SLZ548" s="501"/>
      <c r="SMA548" s="501"/>
      <c r="SMB548" s="501"/>
      <c r="SMC548" s="501"/>
      <c r="SMD548" s="501"/>
      <c r="SME548" s="501"/>
      <c r="SMF548" s="501"/>
      <c r="SMG548" s="501"/>
      <c r="SMH548" s="501"/>
      <c r="SMI548" s="501"/>
      <c r="SMJ548" s="501"/>
      <c r="SMK548" s="501"/>
      <c r="SML548" s="501"/>
      <c r="SMM548" s="501"/>
      <c r="SMN548" s="501"/>
      <c r="SMO548" s="501"/>
      <c r="SMP548" s="501"/>
      <c r="SMQ548" s="501"/>
      <c r="SMR548" s="501"/>
      <c r="SMS548" s="501"/>
      <c r="SMT548" s="501"/>
      <c r="SMU548" s="501"/>
      <c r="SMV548" s="501"/>
      <c r="SMW548" s="501"/>
      <c r="SMX548" s="501"/>
      <c r="SMY548" s="501"/>
      <c r="SMZ548" s="501"/>
      <c r="SNA548" s="501"/>
      <c r="SNB548" s="501"/>
      <c r="SNC548" s="501"/>
      <c r="SND548" s="501"/>
      <c r="SNE548" s="501"/>
      <c r="SNF548" s="501"/>
      <c r="SNG548" s="501"/>
      <c r="SNH548" s="501"/>
      <c r="SNI548" s="501"/>
      <c r="SNJ548" s="501"/>
      <c r="SNK548" s="501"/>
      <c r="SNL548" s="501"/>
      <c r="SNM548" s="501"/>
      <c r="SNN548" s="501"/>
      <c r="SNO548" s="501"/>
      <c r="SNP548" s="501"/>
      <c r="SNQ548" s="501"/>
      <c r="SNR548" s="501"/>
      <c r="SNS548" s="501"/>
      <c r="SNT548" s="501"/>
      <c r="SNU548" s="501"/>
      <c r="SNV548" s="501"/>
      <c r="SNW548" s="501"/>
      <c r="SNX548" s="501"/>
      <c r="SNY548" s="501"/>
      <c r="SNZ548" s="501"/>
      <c r="SOA548" s="501"/>
      <c r="SOB548" s="501"/>
      <c r="SOC548" s="501"/>
      <c r="SOD548" s="501"/>
      <c r="SOE548" s="501"/>
      <c r="SOF548" s="501"/>
      <c r="SOG548" s="501"/>
      <c r="SOH548" s="501"/>
      <c r="SOI548" s="501"/>
      <c r="SOJ548" s="501"/>
      <c r="SOK548" s="501"/>
      <c r="SOL548" s="501"/>
      <c r="SOM548" s="501"/>
      <c r="SON548" s="501"/>
      <c r="SOO548" s="501"/>
      <c r="SOP548" s="501"/>
      <c r="SOQ548" s="501"/>
      <c r="SOR548" s="501"/>
      <c r="SOS548" s="501"/>
      <c r="SOT548" s="501"/>
      <c r="SOU548" s="501"/>
      <c r="SOV548" s="501"/>
      <c r="SOW548" s="501"/>
      <c r="SOX548" s="501"/>
      <c r="SOY548" s="501"/>
      <c r="SOZ548" s="501"/>
      <c r="SPA548" s="501"/>
      <c r="SPB548" s="501"/>
      <c r="SPC548" s="501"/>
      <c r="SPD548" s="501"/>
      <c r="SPE548" s="501"/>
      <c r="SPF548" s="501"/>
      <c r="SPG548" s="501"/>
      <c r="SPH548" s="501"/>
      <c r="SPI548" s="501"/>
      <c r="SPJ548" s="501"/>
      <c r="SPK548" s="501"/>
      <c r="SPL548" s="501"/>
      <c r="SPM548" s="501"/>
      <c r="SPN548" s="501"/>
      <c r="SPO548" s="501"/>
      <c r="SPP548" s="501"/>
      <c r="SPQ548" s="501"/>
      <c r="SPR548" s="501"/>
      <c r="SPS548" s="501"/>
      <c r="SPT548" s="501"/>
      <c r="SPU548" s="501"/>
      <c r="SPV548" s="501"/>
      <c r="SPW548" s="501"/>
      <c r="SPX548" s="501"/>
      <c r="SPY548" s="501"/>
      <c r="SPZ548" s="501"/>
      <c r="SQA548" s="501"/>
      <c r="SQB548" s="501"/>
      <c r="SQC548" s="501"/>
      <c r="SQD548" s="501"/>
      <c r="SQE548" s="501"/>
      <c r="SQF548" s="501"/>
      <c r="SQG548" s="501"/>
      <c r="SQH548" s="501"/>
      <c r="SQI548" s="501"/>
      <c r="SQJ548" s="501"/>
      <c r="SQK548" s="501"/>
      <c r="SQL548" s="501"/>
      <c r="SQM548" s="501"/>
      <c r="SQN548" s="501"/>
      <c r="SQO548" s="501"/>
      <c r="SQP548" s="501"/>
      <c r="SQQ548" s="501"/>
      <c r="SQR548" s="501"/>
      <c r="SQS548" s="501"/>
      <c r="SQT548" s="501"/>
      <c r="SQU548" s="501"/>
      <c r="SQV548" s="501"/>
      <c r="SQW548" s="501"/>
      <c r="SQX548" s="501"/>
      <c r="SQY548" s="501"/>
      <c r="SQZ548" s="501"/>
      <c r="SRA548" s="501"/>
      <c r="SRB548" s="501"/>
      <c r="SRC548" s="501"/>
      <c r="SRD548" s="501"/>
      <c r="SRE548" s="501"/>
      <c r="SRF548" s="501"/>
      <c r="SRG548" s="501"/>
      <c r="SRH548" s="501"/>
      <c r="SRI548" s="501"/>
      <c r="SRJ548" s="501"/>
      <c r="SRK548" s="501"/>
      <c r="SRL548" s="501"/>
      <c r="SRM548" s="501"/>
      <c r="SRN548" s="501"/>
      <c r="SRO548" s="501"/>
      <c r="SRP548" s="501"/>
      <c r="SRQ548" s="501"/>
      <c r="SRR548" s="501"/>
      <c r="SRS548" s="501"/>
      <c r="SRT548" s="501"/>
      <c r="SRU548" s="501"/>
      <c r="SRV548" s="501"/>
      <c r="SRW548" s="501"/>
      <c r="SRX548" s="501"/>
      <c r="SRY548" s="501"/>
      <c r="SRZ548" s="501"/>
      <c r="SSA548" s="501"/>
      <c r="SSB548" s="501"/>
      <c r="SSC548" s="501"/>
      <c r="SSD548" s="501"/>
      <c r="SSE548" s="501"/>
      <c r="SSF548" s="501"/>
      <c r="SSG548" s="501"/>
      <c r="SSH548" s="501"/>
      <c r="SSI548" s="501"/>
      <c r="SSJ548" s="501"/>
      <c r="SSK548" s="501"/>
      <c r="SSL548" s="501"/>
      <c r="SSM548" s="501"/>
      <c r="SSN548" s="501"/>
      <c r="SSO548" s="501"/>
      <c r="SSP548" s="501"/>
      <c r="SSQ548" s="501"/>
      <c r="SSR548" s="501"/>
      <c r="SSS548" s="501"/>
      <c r="SST548" s="501"/>
      <c r="SSU548" s="501"/>
      <c r="SSV548" s="501"/>
      <c r="SSW548" s="501"/>
      <c r="SSX548" s="501"/>
      <c r="SSY548" s="501"/>
      <c r="SSZ548" s="501"/>
      <c r="STA548" s="501"/>
      <c r="STB548" s="501"/>
      <c r="STC548" s="501"/>
      <c r="STD548" s="501"/>
      <c r="STE548" s="501"/>
      <c r="STF548" s="501"/>
      <c r="STG548" s="501"/>
      <c r="STH548" s="501"/>
      <c r="STI548" s="501"/>
      <c r="STJ548" s="501"/>
      <c r="STK548" s="501"/>
      <c r="STL548" s="501"/>
      <c r="STM548" s="501"/>
      <c r="STN548" s="501"/>
      <c r="STO548" s="501"/>
      <c r="STP548" s="501"/>
      <c r="STQ548" s="501"/>
      <c r="STR548" s="501"/>
      <c r="STS548" s="501"/>
      <c r="STT548" s="501"/>
      <c r="STU548" s="501"/>
      <c r="STV548" s="501"/>
      <c r="STW548" s="501"/>
      <c r="STX548" s="501"/>
      <c r="STY548" s="501"/>
      <c r="STZ548" s="501"/>
      <c r="SUA548" s="501"/>
      <c r="SUB548" s="501"/>
      <c r="SUC548" s="501"/>
      <c r="SUD548" s="501"/>
      <c r="SUE548" s="501"/>
      <c r="SUF548" s="501"/>
      <c r="SUG548" s="501"/>
      <c r="SUH548" s="501"/>
      <c r="SUI548" s="501"/>
      <c r="SUJ548" s="501"/>
      <c r="SUK548" s="501"/>
      <c r="SUL548" s="501"/>
      <c r="SUM548" s="501"/>
      <c r="SUN548" s="501"/>
      <c r="SUO548" s="501"/>
      <c r="SUP548" s="501"/>
      <c r="SUQ548" s="501"/>
      <c r="SUR548" s="501"/>
      <c r="SUS548" s="501"/>
      <c r="SUT548" s="501"/>
      <c r="SUU548" s="501"/>
      <c r="SUV548" s="501"/>
      <c r="SUW548" s="501"/>
      <c r="SUX548" s="501"/>
      <c r="SUY548" s="501"/>
      <c r="SUZ548" s="501"/>
      <c r="SVA548" s="501"/>
      <c r="SVB548" s="501"/>
      <c r="SVC548" s="501"/>
      <c r="SVD548" s="501"/>
      <c r="SVE548" s="501"/>
      <c r="SVF548" s="501"/>
      <c r="SVG548" s="501"/>
      <c r="SVH548" s="501"/>
      <c r="SVI548" s="501"/>
      <c r="SVJ548" s="501"/>
      <c r="SVK548" s="501"/>
      <c r="SVL548" s="501"/>
      <c r="SVM548" s="501"/>
      <c r="SVN548" s="501"/>
      <c r="SVO548" s="501"/>
      <c r="SVP548" s="501"/>
      <c r="SVQ548" s="501"/>
      <c r="SVR548" s="501"/>
      <c r="SVS548" s="501"/>
      <c r="SVT548" s="501"/>
      <c r="SVU548" s="501"/>
      <c r="SVV548" s="501"/>
      <c r="SVW548" s="501"/>
      <c r="SVX548" s="501"/>
      <c r="SVY548" s="501"/>
      <c r="SVZ548" s="501"/>
      <c r="SWA548" s="501"/>
      <c r="SWB548" s="501"/>
      <c r="SWC548" s="501"/>
      <c r="SWD548" s="501"/>
      <c r="SWE548" s="501"/>
      <c r="SWF548" s="501"/>
      <c r="SWG548" s="501"/>
      <c r="SWH548" s="501"/>
      <c r="SWI548" s="501"/>
      <c r="SWJ548" s="501"/>
      <c r="SWK548" s="501"/>
      <c r="SWL548" s="501"/>
      <c r="SWM548" s="501"/>
      <c r="SWN548" s="501"/>
      <c r="SWO548" s="501"/>
      <c r="SWP548" s="501"/>
      <c r="SWQ548" s="501"/>
      <c r="SWR548" s="501"/>
      <c r="SWS548" s="501"/>
      <c r="SWT548" s="501"/>
      <c r="SWU548" s="501"/>
      <c r="SWV548" s="501"/>
      <c r="SWW548" s="501"/>
      <c r="SWX548" s="501"/>
      <c r="SWY548" s="501"/>
      <c r="SWZ548" s="501"/>
      <c r="SXA548" s="501"/>
      <c r="SXB548" s="501"/>
      <c r="SXC548" s="501"/>
      <c r="SXD548" s="501"/>
      <c r="SXE548" s="501"/>
      <c r="SXF548" s="501"/>
      <c r="SXG548" s="501"/>
      <c r="SXH548" s="501"/>
      <c r="SXI548" s="501"/>
      <c r="SXJ548" s="501"/>
      <c r="SXK548" s="501"/>
      <c r="SXL548" s="501"/>
      <c r="SXM548" s="501"/>
      <c r="SXN548" s="501"/>
      <c r="SXO548" s="501"/>
      <c r="SXP548" s="501"/>
      <c r="SXQ548" s="501"/>
      <c r="SXR548" s="501"/>
      <c r="SXS548" s="501"/>
      <c r="SXT548" s="501"/>
      <c r="SXU548" s="501"/>
      <c r="SXV548" s="501"/>
      <c r="SXW548" s="501"/>
      <c r="SXX548" s="501"/>
      <c r="SXY548" s="501"/>
      <c r="SXZ548" s="501"/>
      <c r="SYA548" s="501"/>
      <c r="SYB548" s="501"/>
      <c r="SYC548" s="501"/>
      <c r="SYD548" s="501"/>
      <c r="SYE548" s="501"/>
      <c r="SYF548" s="501"/>
      <c r="SYG548" s="501"/>
      <c r="SYH548" s="501"/>
      <c r="SYI548" s="501"/>
      <c r="SYJ548" s="501"/>
      <c r="SYK548" s="501"/>
      <c r="SYL548" s="501"/>
      <c r="SYM548" s="501"/>
      <c r="SYN548" s="501"/>
      <c r="SYO548" s="501"/>
      <c r="SYP548" s="501"/>
      <c r="SYQ548" s="501"/>
      <c r="SYR548" s="501"/>
      <c r="SYS548" s="501"/>
      <c r="SYT548" s="501"/>
      <c r="SYU548" s="501"/>
      <c r="SYV548" s="501"/>
      <c r="SYW548" s="501"/>
      <c r="SYX548" s="501"/>
      <c r="SYY548" s="501"/>
      <c r="SYZ548" s="501"/>
      <c r="SZA548" s="501"/>
      <c r="SZB548" s="501"/>
      <c r="SZC548" s="501"/>
      <c r="SZD548" s="501"/>
      <c r="SZE548" s="501"/>
      <c r="SZF548" s="501"/>
      <c r="SZG548" s="501"/>
      <c r="SZH548" s="501"/>
      <c r="SZI548" s="501"/>
      <c r="SZJ548" s="501"/>
      <c r="SZK548" s="501"/>
      <c r="SZL548" s="501"/>
      <c r="SZM548" s="501"/>
      <c r="SZN548" s="501"/>
      <c r="SZO548" s="501"/>
      <c r="SZP548" s="501"/>
      <c r="SZQ548" s="501"/>
      <c r="SZR548" s="501"/>
      <c r="SZS548" s="501"/>
      <c r="SZT548" s="501"/>
      <c r="SZU548" s="501"/>
      <c r="SZV548" s="501"/>
      <c r="SZW548" s="501"/>
      <c r="SZX548" s="501"/>
      <c r="SZY548" s="501"/>
      <c r="SZZ548" s="501"/>
      <c r="TAA548" s="501"/>
      <c r="TAB548" s="501"/>
      <c r="TAC548" s="501"/>
      <c r="TAD548" s="501"/>
      <c r="TAE548" s="501"/>
      <c r="TAF548" s="501"/>
      <c r="TAG548" s="501"/>
      <c r="TAH548" s="501"/>
      <c r="TAI548" s="501"/>
      <c r="TAJ548" s="501"/>
      <c r="TAK548" s="501"/>
      <c r="TAL548" s="501"/>
      <c r="TAM548" s="501"/>
      <c r="TAN548" s="501"/>
      <c r="TAO548" s="501"/>
      <c r="TAP548" s="501"/>
      <c r="TAQ548" s="501"/>
      <c r="TAR548" s="501"/>
      <c r="TAS548" s="501"/>
      <c r="TAT548" s="501"/>
      <c r="TAU548" s="501"/>
      <c r="TAV548" s="501"/>
      <c r="TAW548" s="501"/>
      <c r="TAX548" s="501"/>
      <c r="TAY548" s="501"/>
      <c r="TAZ548" s="501"/>
      <c r="TBA548" s="501"/>
      <c r="TBB548" s="501"/>
      <c r="TBC548" s="501"/>
      <c r="TBD548" s="501"/>
      <c r="TBE548" s="501"/>
      <c r="TBF548" s="501"/>
      <c r="TBG548" s="501"/>
      <c r="TBH548" s="501"/>
      <c r="TBI548" s="501"/>
      <c r="TBJ548" s="501"/>
      <c r="TBK548" s="501"/>
      <c r="TBL548" s="501"/>
      <c r="TBM548" s="501"/>
      <c r="TBN548" s="501"/>
      <c r="TBO548" s="501"/>
      <c r="TBP548" s="501"/>
      <c r="TBQ548" s="501"/>
      <c r="TBR548" s="501"/>
      <c r="TBS548" s="501"/>
      <c r="TBT548" s="501"/>
      <c r="TBU548" s="501"/>
      <c r="TBV548" s="501"/>
      <c r="TBW548" s="501"/>
      <c r="TBX548" s="501"/>
      <c r="TBY548" s="501"/>
      <c r="TBZ548" s="501"/>
      <c r="TCA548" s="501"/>
      <c r="TCB548" s="501"/>
      <c r="TCC548" s="501"/>
      <c r="TCD548" s="501"/>
      <c r="TCE548" s="501"/>
      <c r="TCF548" s="501"/>
      <c r="TCG548" s="501"/>
      <c r="TCH548" s="501"/>
      <c r="TCI548" s="501"/>
      <c r="TCJ548" s="501"/>
      <c r="TCK548" s="501"/>
      <c r="TCL548" s="501"/>
      <c r="TCM548" s="501"/>
      <c r="TCN548" s="501"/>
      <c r="TCO548" s="501"/>
      <c r="TCP548" s="501"/>
      <c r="TCQ548" s="501"/>
      <c r="TCR548" s="501"/>
      <c r="TCS548" s="501"/>
      <c r="TCT548" s="501"/>
      <c r="TCU548" s="501"/>
      <c r="TCV548" s="501"/>
      <c r="TCW548" s="501"/>
      <c r="TCX548" s="501"/>
      <c r="TCY548" s="501"/>
      <c r="TCZ548" s="501"/>
      <c r="TDA548" s="501"/>
      <c r="TDB548" s="501"/>
      <c r="TDC548" s="501"/>
      <c r="TDD548" s="501"/>
      <c r="TDE548" s="501"/>
      <c r="TDF548" s="501"/>
      <c r="TDG548" s="501"/>
      <c r="TDH548" s="501"/>
      <c r="TDI548" s="501"/>
      <c r="TDJ548" s="501"/>
      <c r="TDK548" s="501"/>
      <c r="TDL548" s="501"/>
      <c r="TDM548" s="501"/>
      <c r="TDN548" s="501"/>
      <c r="TDO548" s="501"/>
      <c r="TDP548" s="501"/>
      <c r="TDQ548" s="501"/>
      <c r="TDR548" s="501"/>
      <c r="TDS548" s="501"/>
      <c r="TDT548" s="501"/>
      <c r="TDU548" s="501"/>
      <c r="TDV548" s="501"/>
      <c r="TDW548" s="501"/>
      <c r="TDX548" s="501"/>
      <c r="TDY548" s="501"/>
      <c r="TDZ548" s="501"/>
      <c r="TEA548" s="501"/>
      <c r="TEB548" s="501"/>
      <c r="TEC548" s="501"/>
      <c r="TED548" s="501"/>
      <c r="TEE548" s="501"/>
      <c r="TEF548" s="501"/>
      <c r="TEG548" s="501"/>
      <c r="TEH548" s="501"/>
      <c r="TEI548" s="501"/>
      <c r="TEJ548" s="501"/>
      <c r="TEK548" s="501"/>
      <c r="TEL548" s="501"/>
      <c r="TEM548" s="501"/>
      <c r="TEN548" s="501"/>
      <c r="TEO548" s="501"/>
      <c r="TEP548" s="501"/>
      <c r="TEQ548" s="501"/>
      <c r="TER548" s="501"/>
      <c r="TES548" s="501"/>
      <c r="TET548" s="501"/>
      <c r="TEU548" s="501"/>
      <c r="TEV548" s="501"/>
      <c r="TEW548" s="501"/>
      <c r="TEX548" s="501"/>
      <c r="TEY548" s="501"/>
      <c r="TEZ548" s="501"/>
      <c r="TFA548" s="501"/>
      <c r="TFB548" s="501"/>
      <c r="TFC548" s="501"/>
      <c r="TFD548" s="501"/>
      <c r="TFE548" s="501"/>
      <c r="TFF548" s="501"/>
      <c r="TFG548" s="501"/>
      <c r="TFH548" s="501"/>
      <c r="TFI548" s="501"/>
      <c r="TFJ548" s="501"/>
      <c r="TFK548" s="501"/>
      <c r="TFL548" s="501"/>
      <c r="TFM548" s="501"/>
      <c r="TFN548" s="501"/>
      <c r="TFO548" s="501"/>
      <c r="TFP548" s="501"/>
      <c r="TFQ548" s="501"/>
      <c r="TFR548" s="501"/>
      <c r="TFS548" s="501"/>
      <c r="TFT548" s="501"/>
      <c r="TFU548" s="501"/>
      <c r="TFV548" s="501"/>
      <c r="TFW548" s="501"/>
      <c r="TFX548" s="501"/>
      <c r="TFY548" s="501"/>
      <c r="TFZ548" s="501"/>
      <c r="TGA548" s="501"/>
      <c r="TGB548" s="501"/>
      <c r="TGC548" s="501"/>
      <c r="TGD548" s="501"/>
      <c r="TGE548" s="501"/>
      <c r="TGF548" s="501"/>
      <c r="TGG548" s="501"/>
      <c r="TGH548" s="501"/>
      <c r="TGI548" s="501"/>
      <c r="TGJ548" s="501"/>
      <c r="TGK548" s="501"/>
      <c r="TGL548" s="501"/>
      <c r="TGM548" s="501"/>
      <c r="TGN548" s="501"/>
      <c r="TGO548" s="501"/>
      <c r="TGP548" s="501"/>
      <c r="TGQ548" s="501"/>
      <c r="TGR548" s="501"/>
      <c r="TGS548" s="501"/>
      <c r="TGT548" s="501"/>
      <c r="TGU548" s="501"/>
      <c r="TGV548" s="501"/>
      <c r="TGW548" s="501"/>
      <c r="TGX548" s="501"/>
      <c r="TGY548" s="501"/>
      <c r="TGZ548" s="501"/>
      <c r="THA548" s="501"/>
      <c r="THB548" s="501"/>
      <c r="THC548" s="501"/>
      <c r="THD548" s="501"/>
      <c r="THE548" s="501"/>
      <c r="THF548" s="501"/>
      <c r="THG548" s="501"/>
      <c r="THH548" s="501"/>
      <c r="THI548" s="501"/>
      <c r="THJ548" s="501"/>
      <c r="THK548" s="501"/>
      <c r="THL548" s="501"/>
      <c r="THM548" s="501"/>
      <c r="THN548" s="501"/>
      <c r="THO548" s="501"/>
      <c r="THP548" s="501"/>
      <c r="THQ548" s="501"/>
      <c r="THR548" s="501"/>
      <c r="THS548" s="501"/>
      <c r="THT548" s="501"/>
      <c r="THU548" s="501"/>
      <c r="THV548" s="501"/>
      <c r="THW548" s="501"/>
      <c r="THX548" s="501"/>
      <c r="THY548" s="501"/>
      <c r="THZ548" s="501"/>
      <c r="TIA548" s="501"/>
      <c r="TIB548" s="501"/>
      <c r="TIC548" s="501"/>
      <c r="TID548" s="501"/>
      <c r="TIE548" s="501"/>
      <c r="TIF548" s="501"/>
      <c r="TIG548" s="501"/>
      <c r="TIH548" s="501"/>
      <c r="TII548" s="501"/>
      <c r="TIJ548" s="501"/>
      <c r="TIK548" s="501"/>
      <c r="TIL548" s="501"/>
      <c r="TIM548" s="501"/>
      <c r="TIN548" s="501"/>
      <c r="TIO548" s="501"/>
      <c r="TIP548" s="501"/>
      <c r="TIQ548" s="501"/>
      <c r="TIR548" s="501"/>
      <c r="TIS548" s="501"/>
      <c r="TIT548" s="501"/>
      <c r="TIU548" s="501"/>
      <c r="TIV548" s="501"/>
      <c r="TIW548" s="501"/>
      <c r="TIX548" s="501"/>
      <c r="TIY548" s="501"/>
      <c r="TIZ548" s="501"/>
      <c r="TJA548" s="501"/>
      <c r="TJB548" s="501"/>
      <c r="TJC548" s="501"/>
      <c r="TJD548" s="501"/>
      <c r="TJE548" s="501"/>
      <c r="TJF548" s="501"/>
      <c r="TJG548" s="501"/>
      <c r="TJH548" s="501"/>
      <c r="TJI548" s="501"/>
      <c r="TJJ548" s="501"/>
      <c r="TJK548" s="501"/>
      <c r="TJL548" s="501"/>
      <c r="TJM548" s="501"/>
      <c r="TJN548" s="501"/>
      <c r="TJO548" s="501"/>
      <c r="TJP548" s="501"/>
      <c r="TJQ548" s="501"/>
      <c r="TJR548" s="501"/>
      <c r="TJS548" s="501"/>
      <c r="TJT548" s="501"/>
      <c r="TJU548" s="501"/>
      <c r="TJV548" s="501"/>
      <c r="TJW548" s="501"/>
      <c r="TJX548" s="501"/>
      <c r="TJY548" s="501"/>
      <c r="TJZ548" s="501"/>
      <c r="TKA548" s="501"/>
      <c r="TKB548" s="501"/>
      <c r="TKC548" s="501"/>
      <c r="TKD548" s="501"/>
      <c r="TKE548" s="501"/>
      <c r="TKF548" s="501"/>
      <c r="TKG548" s="501"/>
      <c r="TKH548" s="501"/>
      <c r="TKI548" s="501"/>
      <c r="TKJ548" s="501"/>
      <c r="TKK548" s="501"/>
      <c r="TKL548" s="501"/>
      <c r="TKM548" s="501"/>
      <c r="TKN548" s="501"/>
      <c r="TKO548" s="501"/>
      <c r="TKP548" s="501"/>
      <c r="TKQ548" s="501"/>
      <c r="TKR548" s="501"/>
      <c r="TKS548" s="501"/>
      <c r="TKT548" s="501"/>
      <c r="TKU548" s="501"/>
      <c r="TKV548" s="501"/>
      <c r="TKW548" s="501"/>
      <c r="TKX548" s="501"/>
      <c r="TKY548" s="501"/>
      <c r="TKZ548" s="501"/>
      <c r="TLA548" s="501"/>
      <c r="TLB548" s="501"/>
      <c r="TLC548" s="501"/>
      <c r="TLD548" s="501"/>
      <c r="TLE548" s="501"/>
      <c r="TLF548" s="501"/>
      <c r="TLG548" s="501"/>
      <c r="TLH548" s="501"/>
      <c r="TLI548" s="501"/>
      <c r="TLJ548" s="501"/>
      <c r="TLK548" s="501"/>
      <c r="TLL548" s="501"/>
      <c r="TLM548" s="501"/>
      <c r="TLN548" s="501"/>
      <c r="TLO548" s="501"/>
      <c r="TLP548" s="501"/>
      <c r="TLQ548" s="501"/>
      <c r="TLR548" s="501"/>
      <c r="TLS548" s="501"/>
      <c r="TLT548" s="501"/>
      <c r="TLU548" s="501"/>
      <c r="TLV548" s="501"/>
      <c r="TLW548" s="501"/>
      <c r="TLX548" s="501"/>
      <c r="TLY548" s="501"/>
      <c r="TLZ548" s="501"/>
      <c r="TMA548" s="501"/>
      <c r="TMB548" s="501"/>
      <c r="TMC548" s="501"/>
      <c r="TMD548" s="501"/>
      <c r="TME548" s="501"/>
      <c r="TMF548" s="501"/>
      <c r="TMG548" s="501"/>
      <c r="TMH548" s="501"/>
      <c r="TMI548" s="501"/>
      <c r="TMJ548" s="501"/>
      <c r="TMK548" s="501"/>
      <c r="TML548" s="501"/>
      <c r="TMM548" s="501"/>
      <c r="TMN548" s="501"/>
      <c r="TMO548" s="501"/>
      <c r="TMP548" s="501"/>
      <c r="TMQ548" s="501"/>
      <c r="TMR548" s="501"/>
      <c r="TMS548" s="501"/>
      <c r="TMT548" s="501"/>
      <c r="TMU548" s="501"/>
      <c r="TMV548" s="501"/>
      <c r="TMW548" s="501"/>
      <c r="TMX548" s="501"/>
      <c r="TMY548" s="501"/>
      <c r="TMZ548" s="501"/>
      <c r="TNA548" s="501"/>
      <c r="TNB548" s="501"/>
      <c r="TNC548" s="501"/>
      <c r="TND548" s="501"/>
      <c r="TNE548" s="501"/>
      <c r="TNF548" s="501"/>
      <c r="TNG548" s="501"/>
      <c r="TNH548" s="501"/>
      <c r="TNI548" s="501"/>
      <c r="TNJ548" s="501"/>
      <c r="TNK548" s="501"/>
      <c r="TNL548" s="501"/>
      <c r="TNM548" s="501"/>
      <c r="TNN548" s="501"/>
      <c r="TNO548" s="501"/>
      <c r="TNP548" s="501"/>
      <c r="TNQ548" s="501"/>
      <c r="TNR548" s="501"/>
      <c r="TNS548" s="501"/>
      <c r="TNT548" s="501"/>
      <c r="TNU548" s="501"/>
      <c r="TNV548" s="501"/>
      <c r="TNW548" s="501"/>
      <c r="TNX548" s="501"/>
      <c r="TNY548" s="501"/>
      <c r="TNZ548" s="501"/>
      <c r="TOA548" s="501"/>
      <c r="TOB548" s="501"/>
      <c r="TOC548" s="501"/>
      <c r="TOD548" s="501"/>
      <c r="TOE548" s="501"/>
      <c r="TOF548" s="501"/>
      <c r="TOG548" s="501"/>
      <c r="TOH548" s="501"/>
      <c r="TOI548" s="501"/>
      <c r="TOJ548" s="501"/>
      <c r="TOK548" s="501"/>
      <c r="TOL548" s="501"/>
      <c r="TOM548" s="501"/>
      <c r="TON548" s="501"/>
      <c r="TOO548" s="501"/>
      <c r="TOP548" s="501"/>
      <c r="TOQ548" s="501"/>
      <c r="TOR548" s="501"/>
      <c r="TOS548" s="501"/>
      <c r="TOT548" s="501"/>
      <c r="TOU548" s="501"/>
      <c r="TOV548" s="501"/>
      <c r="TOW548" s="501"/>
      <c r="TOX548" s="501"/>
      <c r="TOY548" s="501"/>
      <c r="TOZ548" s="501"/>
      <c r="TPA548" s="501"/>
      <c r="TPB548" s="501"/>
      <c r="TPC548" s="501"/>
      <c r="TPD548" s="501"/>
      <c r="TPE548" s="501"/>
      <c r="TPF548" s="501"/>
      <c r="TPG548" s="501"/>
      <c r="TPH548" s="501"/>
      <c r="TPI548" s="501"/>
      <c r="TPJ548" s="501"/>
      <c r="TPK548" s="501"/>
      <c r="TPL548" s="501"/>
      <c r="TPM548" s="501"/>
      <c r="TPN548" s="501"/>
      <c r="TPO548" s="501"/>
      <c r="TPP548" s="501"/>
      <c r="TPQ548" s="501"/>
      <c r="TPR548" s="501"/>
      <c r="TPS548" s="501"/>
      <c r="TPT548" s="501"/>
      <c r="TPU548" s="501"/>
      <c r="TPV548" s="501"/>
      <c r="TPW548" s="501"/>
      <c r="TPX548" s="501"/>
      <c r="TPY548" s="501"/>
      <c r="TPZ548" s="501"/>
      <c r="TQA548" s="501"/>
      <c r="TQB548" s="501"/>
      <c r="TQC548" s="501"/>
      <c r="TQD548" s="501"/>
      <c r="TQE548" s="501"/>
      <c r="TQF548" s="501"/>
      <c r="TQG548" s="501"/>
      <c r="TQH548" s="501"/>
      <c r="TQI548" s="501"/>
      <c r="TQJ548" s="501"/>
      <c r="TQK548" s="501"/>
      <c r="TQL548" s="501"/>
      <c r="TQM548" s="501"/>
      <c r="TQN548" s="501"/>
      <c r="TQO548" s="501"/>
      <c r="TQP548" s="501"/>
      <c r="TQQ548" s="501"/>
      <c r="TQR548" s="501"/>
      <c r="TQS548" s="501"/>
      <c r="TQT548" s="501"/>
      <c r="TQU548" s="501"/>
      <c r="TQV548" s="501"/>
      <c r="TQW548" s="501"/>
      <c r="TQX548" s="501"/>
      <c r="TQY548" s="501"/>
      <c r="TQZ548" s="501"/>
      <c r="TRA548" s="501"/>
      <c r="TRB548" s="501"/>
      <c r="TRC548" s="501"/>
      <c r="TRD548" s="501"/>
      <c r="TRE548" s="501"/>
      <c r="TRF548" s="501"/>
      <c r="TRG548" s="501"/>
      <c r="TRH548" s="501"/>
      <c r="TRI548" s="501"/>
      <c r="TRJ548" s="501"/>
      <c r="TRK548" s="501"/>
      <c r="TRL548" s="501"/>
      <c r="TRM548" s="501"/>
      <c r="TRN548" s="501"/>
      <c r="TRO548" s="501"/>
      <c r="TRP548" s="501"/>
      <c r="TRQ548" s="501"/>
      <c r="TRR548" s="501"/>
      <c r="TRS548" s="501"/>
      <c r="TRT548" s="501"/>
      <c r="TRU548" s="501"/>
      <c r="TRV548" s="501"/>
      <c r="TRW548" s="501"/>
      <c r="TRX548" s="501"/>
      <c r="TRY548" s="501"/>
      <c r="TRZ548" s="501"/>
      <c r="TSA548" s="501"/>
      <c r="TSB548" s="501"/>
      <c r="TSC548" s="501"/>
      <c r="TSD548" s="501"/>
      <c r="TSE548" s="501"/>
      <c r="TSF548" s="501"/>
      <c r="TSG548" s="501"/>
      <c r="TSH548" s="501"/>
      <c r="TSI548" s="501"/>
      <c r="TSJ548" s="501"/>
      <c r="TSK548" s="501"/>
      <c r="TSL548" s="501"/>
      <c r="TSM548" s="501"/>
      <c r="TSN548" s="501"/>
      <c r="TSO548" s="501"/>
      <c r="TSP548" s="501"/>
      <c r="TSQ548" s="501"/>
      <c r="TSR548" s="501"/>
      <c r="TSS548" s="501"/>
      <c r="TST548" s="501"/>
      <c r="TSU548" s="501"/>
      <c r="TSV548" s="501"/>
      <c r="TSW548" s="501"/>
      <c r="TSX548" s="501"/>
      <c r="TSY548" s="501"/>
      <c r="TSZ548" s="501"/>
      <c r="TTA548" s="501"/>
      <c r="TTB548" s="501"/>
      <c r="TTC548" s="501"/>
      <c r="TTD548" s="501"/>
      <c r="TTE548" s="501"/>
      <c r="TTF548" s="501"/>
      <c r="TTG548" s="501"/>
      <c r="TTH548" s="501"/>
      <c r="TTI548" s="501"/>
      <c r="TTJ548" s="501"/>
      <c r="TTK548" s="501"/>
      <c r="TTL548" s="501"/>
      <c r="TTM548" s="501"/>
      <c r="TTN548" s="501"/>
      <c r="TTO548" s="501"/>
      <c r="TTP548" s="501"/>
      <c r="TTQ548" s="501"/>
      <c r="TTR548" s="501"/>
      <c r="TTS548" s="501"/>
      <c r="TTT548" s="501"/>
      <c r="TTU548" s="501"/>
      <c r="TTV548" s="501"/>
      <c r="TTW548" s="501"/>
      <c r="TTX548" s="501"/>
      <c r="TTY548" s="501"/>
      <c r="TTZ548" s="501"/>
      <c r="TUA548" s="501"/>
      <c r="TUB548" s="501"/>
      <c r="TUC548" s="501"/>
      <c r="TUD548" s="501"/>
      <c r="TUE548" s="501"/>
      <c r="TUF548" s="501"/>
      <c r="TUG548" s="501"/>
      <c r="TUH548" s="501"/>
      <c r="TUI548" s="501"/>
      <c r="TUJ548" s="501"/>
      <c r="TUK548" s="501"/>
      <c r="TUL548" s="501"/>
      <c r="TUM548" s="501"/>
      <c r="TUN548" s="501"/>
      <c r="TUO548" s="501"/>
      <c r="TUP548" s="501"/>
      <c r="TUQ548" s="501"/>
      <c r="TUR548" s="501"/>
      <c r="TUS548" s="501"/>
      <c r="TUT548" s="501"/>
      <c r="TUU548" s="501"/>
      <c r="TUV548" s="501"/>
      <c r="TUW548" s="501"/>
      <c r="TUX548" s="501"/>
      <c r="TUY548" s="501"/>
      <c r="TUZ548" s="501"/>
      <c r="TVA548" s="501"/>
      <c r="TVB548" s="501"/>
      <c r="TVC548" s="501"/>
      <c r="TVD548" s="501"/>
      <c r="TVE548" s="501"/>
      <c r="TVF548" s="501"/>
      <c r="TVG548" s="501"/>
      <c r="TVH548" s="501"/>
      <c r="TVI548" s="501"/>
      <c r="TVJ548" s="501"/>
      <c r="TVK548" s="501"/>
      <c r="TVL548" s="501"/>
      <c r="TVM548" s="501"/>
      <c r="TVN548" s="501"/>
      <c r="TVO548" s="501"/>
      <c r="TVP548" s="501"/>
      <c r="TVQ548" s="501"/>
      <c r="TVR548" s="501"/>
      <c r="TVS548" s="501"/>
      <c r="TVT548" s="501"/>
      <c r="TVU548" s="501"/>
      <c r="TVV548" s="501"/>
      <c r="TVW548" s="501"/>
      <c r="TVX548" s="501"/>
      <c r="TVY548" s="501"/>
      <c r="TVZ548" s="501"/>
      <c r="TWA548" s="501"/>
      <c r="TWB548" s="501"/>
      <c r="TWC548" s="501"/>
      <c r="TWD548" s="501"/>
      <c r="TWE548" s="501"/>
      <c r="TWF548" s="501"/>
      <c r="TWG548" s="501"/>
      <c r="TWH548" s="501"/>
      <c r="TWI548" s="501"/>
      <c r="TWJ548" s="501"/>
      <c r="TWK548" s="501"/>
      <c r="TWL548" s="501"/>
      <c r="TWM548" s="501"/>
      <c r="TWN548" s="501"/>
      <c r="TWO548" s="501"/>
      <c r="TWP548" s="501"/>
      <c r="TWQ548" s="501"/>
      <c r="TWR548" s="501"/>
      <c r="TWS548" s="501"/>
      <c r="TWT548" s="501"/>
      <c r="TWU548" s="501"/>
      <c r="TWV548" s="501"/>
      <c r="TWW548" s="501"/>
      <c r="TWX548" s="501"/>
      <c r="TWY548" s="501"/>
      <c r="TWZ548" s="501"/>
      <c r="TXA548" s="501"/>
      <c r="TXB548" s="501"/>
      <c r="TXC548" s="501"/>
      <c r="TXD548" s="501"/>
      <c r="TXE548" s="501"/>
      <c r="TXF548" s="501"/>
      <c r="TXG548" s="501"/>
      <c r="TXH548" s="501"/>
      <c r="TXI548" s="501"/>
      <c r="TXJ548" s="501"/>
      <c r="TXK548" s="501"/>
      <c r="TXL548" s="501"/>
      <c r="TXM548" s="501"/>
      <c r="TXN548" s="501"/>
      <c r="TXO548" s="501"/>
      <c r="TXP548" s="501"/>
      <c r="TXQ548" s="501"/>
      <c r="TXR548" s="501"/>
      <c r="TXS548" s="501"/>
      <c r="TXT548" s="501"/>
      <c r="TXU548" s="501"/>
      <c r="TXV548" s="501"/>
      <c r="TXW548" s="501"/>
      <c r="TXX548" s="501"/>
      <c r="TXY548" s="501"/>
      <c r="TXZ548" s="501"/>
      <c r="TYA548" s="501"/>
      <c r="TYB548" s="501"/>
      <c r="TYC548" s="501"/>
      <c r="TYD548" s="501"/>
      <c r="TYE548" s="501"/>
      <c r="TYF548" s="501"/>
      <c r="TYG548" s="501"/>
      <c r="TYH548" s="501"/>
      <c r="TYI548" s="501"/>
      <c r="TYJ548" s="501"/>
      <c r="TYK548" s="501"/>
      <c r="TYL548" s="501"/>
      <c r="TYM548" s="501"/>
      <c r="TYN548" s="501"/>
      <c r="TYO548" s="501"/>
      <c r="TYP548" s="501"/>
      <c r="TYQ548" s="501"/>
      <c r="TYR548" s="501"/>
      <c r="TYS548" s="501"/>
      <c r="TYT548" s="501"/>
      <c r="TYU548" s="501"/>
      <c r="TYV548" s="501"/>
      <c r="TYW548" s="501"/>
      <c r="TYX548" s="501"/>
      <c r="TYY548" s="501"/>
      <c r="TYZ548" s="501"/>
      <c r="TZA548" s="501"/>
      <c r="TZB548" s="501"/>
      <c r="TZC548" s="501"/>
      <c r="TZD548" s="501"/>
      <c r="TZE548" s="501"/>
      <c r="TZF548" s="501"/>
      <c r="TZG548" s="501"/>
      <c r="TZH548" s="501"/>
      <c r="TZI548" s="501"/>
      <c r="TZJ548" s="501"/>
      <c r="TZK548" s="501"/>
      <c r="TZL548" s="501"/>
      <c r="TZM548" s="501"/>
      <c r="TZN548" s="501"/>
      <c r="TZO548" s="501"/>
      <c r="TZP548" s="501"/>
      <c r="TZQ548" s="501"/>
      <c r="TZR548" s="501"/>
      <c r="TZS548" s="501"/>
      <c r="TZT548" s="501"/>
      <c r="TZU548" s="501"/>
      <c r="TZV548" s="501"/>
      <c r="TZW548" s="501"/>
      <c r="TZX548" s="501"/>
      <c r="TZY548" s="501"/>
      <c r="TZZ548" s="501"/>
      <c r="UAA548" s="501"/>
      <c r="UAB548" s="501"/>
      <c r="UAC548" s="501"/>
      <c r="UAD548" s="501"/>
      <c r="UAE548" s="501"/>
      <c r="UAF548" s="501"/>
      <c r="UAG548" s="501"/>
      <c r="UAH548" s="501"/>
      <c r="UAI548" s="501"/>
      <c r="UAJ548" s="501"/>
      <c r="UAK548" s="501"/>
      <c r="UAL548" s="501"/>
      <c r="UAM548" s="501"/>
      <c r="UAN548" s="501"/>
      <c r="UAO548" s="501"/>
      <c r="UAP548" s="501"/>
      <c r="UAQ548" s="501"/>
      <c r="UAR548" s="501"/>
      <c r="UAS548" s="501"/>
      <c r="UAT548" s="501"/>
      <c r="UAU548" s="501"/>
      <c r="UAV548" s="501"/>
      <c r="UAW548" s="501"/>
      <c r="UAX548" s="501"/>
      <c r="UAY548" s="501"/>
      <c r="UAZ548" s="501"/>
      <c r="UBA548" s="501"/>
      <c r="UBB548" s="501"/>
      <c r="UBC548" s="501"/>
      <c r="UBD548" s="501"/>
      <c r="UBE548" s="501"/>
      <c r="UBF548" s="501"/>
      <c r="UBG548" s="501"/>
      <c r="UBH548" s="501"/>
      <c r="UBI548" s="501"/>
      <c r="UBJ548" s="501"/>
      <c r="UBK548" s="501"/>
      <c r="UBL548" s="501"/>
      <c r="UBM548" s="501"/>
      <c r="UBN548" s="501"/>
      <c r="UBO548" s="501"/>
      <c r="UBP548" s="501"/>
      <c r="UBQ548" s="501"/>
      <c r="UBR548" s="501"/>
      <c r="UBS548" s="501"/>
      <c r="UBT548" s="501"/>
      <c r="UBU548" s="501"/>
      <c r="UBV548" s="501"/>
      <c r="UBW548" s="501"/>
      <c r="UBX548" s="501"/>
      <c r="UBY548" s="501"/>
      <c r="UBZ548" s="501"/>
      <c r="UCA548" s="501"/>
      <c r="UCB548" s="501"/>
      <c r="UCC548" s="501"/>
      <c r="UCD548" s="501"/>
      <c r="UCE548" s="501"/>
      <c r="UCF548" s="501"/>
      <c r="UCG548" s="501"/>
      <c r="UCH548" s="501"/>
      <c r="UCI548" s="501"/>
      <c r="UCJ548" s="501"/>
      <c r="UCK548" s="501"/>
      <c r="UCL548" s="501"/>
      <c r="UCM548" s="501"/>
      <c r="UCN548" s="501"/>
      <c r="UCO548" s="501"/>
      <c r="UCP548" s="501"/>
      <c r="UCQ548" s="501"/>
      <c r="UCR548" s="501"/>
      <c r="UCS548" s="501"/>
      <c r="UCT548" s="501"/>
      <c r="UCU548" s="501"/>
      <c r="UCV548" s="501"/>
      <c r="UCW548" s="501"/>
      <c r="UCX548" s="501"/>
      <c r="UCY548" s="501"/>
      <c r="UCZ548" s="501"/>
      <c r="UDA548" s="501"/>
      <c r="UDB548" s="501"/>
      <c r="UDC548" s="501"/>
      <c r="UDD548" s="501"/>
      <c r="UDE548" s="501"/>
      <c r="UDF548" s="501"/>
      <c r="UDG548" s="501"/>
      <c r="UDH548" s="501"/>
      <c r="UDI548" s="501"/>
      <c r="UDJ548" s="501"/>
      <c r="UDK548" s="501"/>
      <c r="UDL548" s="501"/>
      <c r="UDM548" s="501"/>
      <c r="UDN548" s="501"/>
      <c r="UDO548" s="501"/>
      <c r="UDP548" s="501"/>
      <c r="UDQ548" s="501"/>
      <c r="UDR548" s="501"/>
      <c r="UDS548" s="501"/>
      <c r="UDT548" s="501"/>
      <c r="UDU548" s="501"/>
      <c r="UDV548" s="501"/>
      <c r="UDW548" s="501"/>
      <c r="UDX548" s="501"/>
      <c r="UDY548" s="501"/>
      <c r="UDZ548" s="501"/>
      <c r="UEA548" s="501"/>
      <c r="UEB548" s="501"/>
      <c r="UEC548" s="501"/>
      <c r="UED548" s="501"/>
      <c r="UEE548" s="501"/>
      <c r="UEF548" s="501"/>
      <c r="UEG548" s="501"/>
      <c r="UEH548" s="501"/>
      <c r="UEI548" s="501"/>
      <c r="UEJ548" s="501"/>
      <c r="UEK548" s="501"/>
      <c r="UEL548" s="501"/>
      <c r="UEM548" s="501"/>
      <c r="UEN548" s="501"/>
      <c r="UEO548" s="501"/>
      <c r="UEP548" s="501"/>
      <c r="UEQ548" s="501"/>
      <c r="UER548" s="501"/>
      <c r="UES548" s="501"/>
      <c r="UET548" s="501"/>
      <c r="UEU548" s="501"/>
      <c r="UEV548" s="501"/>
      <c r="UEW548" s="501"/>
      <c r="UEX548" s="501"/>
      <c r="UEY548" s="501"/>
      <c r="UEZ548" s="501"/>
      <c r="UFA548" s="501"/>
      <c r="UFB548" s="501"/>
      <c r="UFC548" s="501"/>
      <c r="UFD548" s="501"/>
      <c r="UFE548" s="501"/>
      <c r="UFF548" s="501"/>
      <c r="UFG548" s="501"/>
      <c r="UFH548" s="501"/>
      <c r="UFI548" s="501"/>
      <c r="UFJ548" s="501"/>
      <c r="UFK548" s="501"/>
      <c r="UFL548" s="501"/>
      <c r="UFM548" s="501"/>
      <c r="UFN548" s="501"/>
      <c r="UFO548" s="501"/>
      <c r="UFP548" s="501"/>
      <c r="UFQ548" s="501"/>
      <c r="UFR548" s="501"/>
      <c r="UFS548" s="501"/>
      <c r="UFT548" s="501"/>
      <c r="UFU548" s="501"/>
      <c r="UFV548" s="501"/>
      <c r="UFW548" s="501"/>
      <c r="UFX548" s="501"/>
      <c r="UFY548" s="501"/>
      <c r="UFZ548" s="501"/>
      <c r="UGA548" s="501"/>
      <c r="UGB548" s="501"/>
      <c r="UGC548" s="501"/>
      <c r="UGD548" s="501"/>
      <c r="UGE548" s="501"/>
      <c r="UGF548" s="501"/>
      <c r="UGG548" s="501"/>
      <c r="UGH548" s="501"/>
      <c r="UGI548" s="501"/>
      <c r="UGJ548" s="501"/>
      <c r="UGK548" s="501"/>
      <c r="UGL548" s="501"/>
      <c r="UGM548" s="501"/>
      <c r="UGN548" s="501"/>
      <c r="UGO548" s="501"/>
      <c r="UGP548" s="501"/>
      <c r="UGQ548" s="501"/>
      <c r="UGR548" s="501"/>
      <c r="UGS548" s="501"/>
      <c r="UGT548" s="501"/>
      <c r="UGU548" s="501"/>
      <c r="UGV548" s="501"/>
      <c r="UGW548" s="501"/>
      <c r="UGX548" s="501"/>
      <c r="UGY548" s="501"/>
      <c r="UGZ548" s="501"/>
      <c r="UHA548" s="501"/>
      <c r="UHB548" s="501"/>
      <c r="UHC548" s="501"/>
      <c r="UHD548" s="501"/>
      <c r="UHE548" s="501"/>
      <c r="UHF548" s="501"/>
      <c r="UHG548" s="501"/>
      <c r="UHH548" s="501"/>
      <c r="UHI548" s="501"/>
      <c r="UHJ548" s="501"/>
      <c r="UHK548" s="501"/>
      <c r="UHL548" s="501"/>
      <c r="UHM548" s="501"/>
      <c r="UHN548" s="501"/>
      <c r="UHO548" s="501"/>
      <c r="UHP548" s="501"/>
      <c r="UHQ548" s="501"/>
      <c r="UHR548" s="501"/>
      <c r="UHS548" s="501"/>
      <c r="UHT548" s="501"/>
      <c r="UHU548" s="501"/>
      <c r="UHV548" s="501"/>
      <c r="UHW548" s="501"/>
      <c r="UHX548" s="501"/>
      <c r="UHY548" s="501"/>
      <c r="UHZ548" s="501"/>
      <c r="UIA548" s="501"/>
      <c r="UIB548" s="501"/>
      <c r="UIC548" s="501"/>
      <c r="UID548" s="501"/>
      <c r="UIE548" s="501"/>
      <c r="UIF548" s="501"/>
      <c r="UIG548" s="501"/>
      <c r="UIH548" s="501"/>
      <c r="UII548" s="501"/>
      <c r="UIJ548" s="501"/>
      <c r="UIK548" s="501"/>
      <c r="UIL548" s="501"/>
      <c r="UIM548" s="501"/>
      <c r="UIN548" s="501"/>
      <c r="UIO548" s="501"/>
      <c r="UIP548" s="501"/>
      <c r="UIQ548" s="501"/>
      <c r="UIR548" s="501"/>
      <c r="UIS548" s="501"/>
      <c r="UIT548" s="501"/>
      <c r="UIU548" s="501"/>
      <c r="UIV548" s="501"/>
      <c r="UIW548" s="501"/>
      <c r="UIX548" s="501"/>
      <c r="UIY548" s="501"/>
      <c r="UIZ548" s="501"/>
      <c r="UJA548" s="501"/>
      <c r="UJB548" s="501"/>
      <c r="UJC548" s="501"/>
      <c r="UJD548" s="501"/>
      <c r="UJE548" s="501"/>
      <c r="UJF548" s="501"/>
      <c r="UJG548" s="501"/>
      <c r="UJH548" s="501"/>
      <c r="UJI548" s="501"/>
      <c r="UJJ548" s="501"/>
      <c r="UJK548" s="501"/>
      <c r="UJL548" s="501"/>
      <c r="UJM548" s="501"/>
      <c r="UJN548" s="501"/>
      <c r="UJO548" s="501"/>
      <c r="UJP548" s="501"/>
      <c r="UJQ548" s="501"/>
      <c r="UJR548" s="501"/>
      <c r="UJS548" s="501"/>
      <c r="UJT548" s="501"/>
      <c r="UJU548" s="501"/>
      <c r="UJV548" s="501"/>
      <c r="UJW548" s="501"/>
      <c r="UJX548" s="501"/>
      <c r="UJY548" s="501"/>
      <c r="UJZ548" s="501"/>
      <c r="UKA548" s="501"/>
      <c r="UKB548" s="501"/>
      <c r="UKC548" s="501"/>
      <c r="UKD548" s="501"/>
      <c r="UKE548" s="501"/>
      <c r="UKF548" s="501"/>
      <c r="UKG548" s="501"/>
      <c r="UKH548" s="501"/>
      <c r="UKI548" s="501"/>
      <c r="UKJ548" s="501"/>
      <c r="UKK548" s="501"/>
      <c r="UKL548" s="501"/>
      <c r="UKM548" s="501"/>
      <c r="UKN548" s="501"/>
      <c r="UKO548" s="501"/>
      <c r="UKP548" s="501"/>
      <c r="UKQ548" s="501"/>
      <c r="UKR548" s="501"/>
      <c r="UKS548" s="501"/>
      <c r="UKT548" s="501"/>
      <c r="UKU548" s="501"/>
      <c r="UKV548" s="501"/>
      <c r="UKW548" s="501"/>
      <c r="UKX548" s="501"/>
      <c r="UKY548" s="501"/>
      <c r="UKZ548" s="501"/>
      <c r="ULA548" s="501"/>
      <c r="ULB548" s="501"/>
      <c r="ULC548" s="501"/>
      <c r="ULD548" s="501"/>
      <c r="ULE548" s="501"/>
      <c r="ULF548" s="501"/>
      <c r="ULG548" s="501"/>
      <c r="ULH548" s="501"/>
      <c r="ULI548" s="501"/>
      <c r="ULJ548" s="501"/>
      <c r="ULK548" s="501"/>
      <c r="ULL548" s="501"/>
      <c r="ULM548" s="501"/>
      <c r="ULN548" s="501"/>
      <c r="ULO548" s="501"/>
      <c r="ULP548" s="501"/>
      <c r="ULQ548" s="501"/>
      <c r="ULR548" s="501"/>
      <c r="ULS548" s="501"/>
      <c r="ULT548" s="501"/>
      <c r="ULU548" s="501"/>
      <c r="ULV548" s="501"/>
      <c r="ULW548" s="501"/>
      <c r="ULX548" s="501"/>
      <c r="ULY548" s="501"/>
      <c r="ULZ548" s="501"/>
      <c r="UMA548" s="501"/>
      <c r="UMB548" s="501"/>
      <c r="UMC548" s="501"/>
      <c r="UMD548" s="501"/>
      <c r="UME548" s="501"/>
      <c r="UMF548" s="501"/>
      <c r="UMG548" s="501"/>
      <c r="UMH548" s="501"/>
      <c r="UMI548" s="501"/>
      <c r="UMJ548" s="501"/>
      <c r="UMK548" s="501"/>
      <c r="UML548" s="501"/>
      <c r="UMM548" s="501"/>
      <c r="UMN548" s="501"/>
      <c r="UMO548" s="501"/>
      <c r="UMP548" s="501"/>
      <c r="UMQ548" s="501"/>
      <c r="UMR548" s="501"/>
      <c r="UMS548" s="501"/>
      <c r="UMT548" s="501"/>
      <c r="UMU548" s="501"/>
      <c r="UMV548" s="501"/>
      <c r="UMW548" s="501"/>
      <c r="UMX548" s="501"/>
      <c r="UMY548" s="501"/>
      <c r="UMZ548" s="501"/>
      <c r="UNA548" s="501"/>
      <c r="UNB548" s="501"/>
      <c r="UNC548" s="501"/>
      <c r="UND548" s="501"/>
      <c r="UNE548" s="501"/>
      <c r="UNF548" s="501"/>
      <c r="UNG548" s="501"/>
      <c r="UNH548" s="501"/>
      <c r="UNI548" s="501"/>
      <c r="UNJ548" s="501"/>
      <c r="UNK548" s="501"/>
      <c r="UNL548" s="501"/>
      <c r="UNM548" s="501"/>
      <c r="UNN548" s="501"/>
      <c r="UNO548" s="501"/>
      <c r="UNP548" s="501"/>
      <c r="UNQ548" s="501"/>
      <c r="UNR548" s="501"/>
      <c r="UNS548" s="501"/>
      <c r="UNT548" s="501"/>
      <c r="UNU548" s="501"/>
      <c r="UNV548" s="501"/>
      <c r="UNW548" s="501"/>
      <c r="UNX548" s="501"/>
      <c r="UNY548" s="501"/>
      <c r="UNZ548" s="501"/>
      <c r="UOA548" s="501"/>
      <c r="UOB548" s="501"/>
      <c r="UOC548" s="501"/>
      <c r="UOD548" s="501"/>
      <c r="UOE548" s="501"/>
      <c r="UOF548" s="501"/>
      <c r="UOG548" s="501"/>
      <c r="UOH548" s="501"/>
      <c r="UOI548" s="501"/>
      <c r="UOJ548" s="501"/>
      <c r="UOK548" s="501"/>
      <c r="UOL548" s="501"/>
      <c r="UOM548" s="501"/>
      <c r="UON548" s="501"/>
      <c r="UOO548" s="501"/>
      <c r="UOP548" s="501"/>
      <c r="UOQ548" s="501"/>
      <c r="UOR548" s="501"/>
      <c r="UOS548" s="501"/>
      <c r="UOT548" s="501"/>
      <c r="UOU548" s="501"/>
      <c r="UOV548" s="501"/>
      <c r="UOW548" s="501"/>
      <c r="UOX548" s="501"/>
      <c r="UOY548" s="501"/>
      <c r="UOZ548" s="501"/>
      <c r="UPA548" s="501"/>
      <c r="UPB548" s="501"/>
      <c r="UPC548" s="501"/>
      <c r="UPD548" s="501"/>
      <c r="UPE548" s="501"/>
      <c r="UPF548" s="501"/>
      <c r="UPG548" s="501"/>
      <c r="UPH548" s="501"/>
      <c r="UPI548" s="501"/>
      <c r="UPJ548" s="501"/>
      <c r="UPK548" s="501"/>
      <c r="UPL548" s="501"/>
      <c r="UPM548" s="501"/>
      <c r="UPN548" s="501"/>
      <c r="UPO548" s="501"/>
      <c r="UPP548" s="501"/>
      <c r="UPQ548" s="501"/>
      <c r="UPR548" s="501"/>
      <c r="UPS548" s="501"/>
      <c r="UPT548" s="501"/>
      <c r="UPU548" s="501"/>
      <c r="UPV548" s="501"/>
      <c r="UPW548" s="501"/>
      <c r="UPX548" s="501"/>
      <c r="UPY548" s="501"/>
      <c r="UPZ548" s="501"/>
      <c r="UQA548" s="501"/>
      <c r="UQB548" s="501"/>
      <c r="UQC548" s="501"/>
      <c r="UQD548" s="501"/>
      <c r="UQE548" s="501"/>
      <c r="UQF548" s="501"/>
      <c r="UQG548" s="501"/>
      <c r="UQH548" s="501"/>
      <c r="UQI548" s="501"/>
      <c r="UQJ548" s="501"/>
      <c r="UQK548" s="501"/>
      <c r="UQL548" s="501"/>
      <c r="UQM548" s="501"/>
      <c r="UQN548" s="501"/>
      <c r="UQO548" s="501"/>
      <c r="UQP548" s="501"/>
      <c r="UQQ548" s="501"/>
      <c r="UQR548" s="501"/>
      <c r="UQS548" s="501"/>
      <c r="UQT548" s="501"/>
      <c r="UQU548" s="501"/>
      <c r="UQV548" s="501"/>
      <c r="UQW548" s="501"/>
      <c r="UQX548" s="501"/>
      <c r="UQY548" s="501"/>
      <c r="UQZ548" s="501"/>
      <c r="URA548" s="501"/>
      <c r="URB548" s="501"/>
      <c r="URC548" s="501"/>
      <c r="URD548" s="501"/>
      <c r="URE548" s="501"/>
      <c r="URF548" s="501"/>
      <c r="URG548" s="501"/>
      <c r="URH548" s="501"/>
      <c r="URI548" s="501"/>
      <c r="URJ548" s="501"/>
      <c r="URK548" s="501"/>
      <c r="URL548" s="501"/>
      <c r="URM548" s="501"/>
      <c r="URN548" s="501"/>
      <c r="URO548" s="501"/>
      <c r="URP548" s="501"/>
      <c r="URQ548" s="501"/>
      <c r="URR548" s="501"/>
      <c r="URS548" s="501"/>
      <c r="URT548" s="501"/>
      <c r="URU548" s="501"/>
      <c r="URV548" s="501"/>
      <c r="URW548" s="501"/>
      <c r="URX548" s="501"/>
      <c r="URY548" s="501"/>
      <c r="URZ548" s="501"/>
      <c r="USA548" s="501"/>
      <c r="USB548" s="501"/>
      <c r="USC548" s="501"/>
      <c r="USD548" s="501"/>
      <c r="USE548" s="501"/>
      <c r="USF548" s="501"/>
      <c r="USG548" s="501"/>
      <c r="USH548" s="501"/>
      <c r="USI548" s="501"/>
      <c r="USJ548" s="501"/>
      <c r="USK548" s="501"/>
      <c r="USL548" s="501"/>
      <c r="USM548" s="501"/>
      <c r="USN548" s="501"/>
      <c r="USO548" s="501"/>
      <c r="USP548" s="501"/>
      <c r="USQ548" s="501"/>
      <c r="USR548" s="501"/>
      <c r="USS548" s="501"/>
      <c r="UST548" s="501"/>
      <c r="USU548" s="501"/>
      <c r="USV548" s="501"/>
      <c r="USW548" s="501"/>
      <c r="USX548" s="501"/>
      <c r="USY548" s="501"/>
      <c r="USZ548" s="501"/>
      <c r="UTA548" s="501"/>
      <c r="UTB548" s="501"/>
      <c r="UTC548" s="501"/>
      <c r="UTD548" s="501"/>
      <c r="UTE548" s="501"/>
      <c r="UTF548" s="501"/>
      <c r="UTG548" s="501"/>
      <c r="UTH548" s="501"/>
      <c r="UTI548" s="501"/>
      <c r="UTJ548" s="501"/>
      <c r="UTK548" s="501"/>
      <c r="UTL548" s="501"/>
      <c r="UTM548" s="501"/>
      <c r="UTN548" s="501"/>
      <c r="UTO548" s="501"/>
      <c r="UTP548" s="501"/>
      <c r="UTQ548" s="501"/>
      <c r="UTR548" s="501"/>
      <c r="UTS548" s="501"/>
      <c r="UTT548" s="501"/>
      <c r="UTU548" s="501"/>
      <c r="UTV548" s="501"/>
      <c r="UTW548" s="501"/>
      <c r="UTX548" s="501"/>
      <c r="UTY548" s="501"/>
      <c r="UTZ548" s="501"/>
      <c r="UUA548" s="501"/>
      <c r="UUB548" s="501"/>
      <c r="UUC548" s="501"/>
      <c r="UUD548" s="501"/>
      <c r="UUE548" s="501"/>
      <c r="UUF548" s="501"/>
      <c r="UUG548" s="501"/>
      <c r="UUH548" s="501"/>
      <c r="UUI548" s="501"/>
      <c r="UUJ548" s="501"/>
      <c r="UUK548" s="501"/>
      <c r="UUL548" s="501"/>
      <c r="UUM548" s="501"/>
      <c r="UUN548" s="501"/>
      <c r="UUO548" s="501"/>
      <c r="UUP548" s="501"/>
      <c r="UUQ548" s="501"/>
      <c r="UUR548" s="501"/>
      <c r="UUS548" s="501"/>
      <c r="UUT548" s="501"/>
      <c r="UUU548" s="501"/>
      <c r="UUV548" s="501"/>
      <c r="UUW548" s="501"/>
      <c r="UUX548" s="501"/>
      <c r="UUY548" s="501"/>
      <c r="UUZ548" s="501"/>
      <c r="UVA548" s="501"/>
      <c r="UVB548" s="501"/>
      <c r="UVC548" s="501"/>
      <c r="UVD548" s="501"/>
      <c r="UVE548" s="501"/>
      <c r="UVF548" s="501"/>
      <c r="UVG548" s="501"/>
      <c r="UVH548" s="501"/>
      <c r="UVI548" s="501"/>
      <c r="UVJ548" s="501"/>
      <c r="UVK548" s="501"/>
      <c r="UVL548" s="501"/>
      <c r="UVM548" s="501"/>
      <c r="UVN548" s="501"/>
      <c r="UVO548" s="501"/>
      <c r="UVP548" s="501"/>
      <c r="UVQ548" s="501"/>
      <c r="UVR548" s="501"/>
      <c r="UVS548" s="501"/>
      <c r="UVT548" s="501"/>
      <c r="UVU548" s="501"/>
      <c r="UVV548" s="501"/>
      <c r="UVW548" s="501"/>
      <c r="UVX548" s="501"/>
      <c r="UVY548" s="501"/>
      <c r="UVZ548" s="501"/>
      <c r="UWA548" s="501"/>
      <c r="UWB548" s="501"/>
      <c r="UWC548" s="501"/>
      <c r="UWD548" s="501"/>
      <c r="UWE548" s="501"/>
      <c r="UWF548" s="501"/>
      <c r="UWG548" s="501"/>
      <c r="UWH548" s="501"/>
      <c r="UWI548" s="501"/>
      <c r="UWJ548" s="501"/>
      <c r="UWK548" s="501"/>
      <c r="UWL548" s="501"/>
      <c r="UWM548" s="501"/>
      <c r="UWN548" s="501"/>
      <c r="UWO548" s="501"/>
      <c r="UWP548" s="501"/>
      <c r="UWQ548" s="501"/>
      <c r="UWR548" s="501"/>
      <c r="UWS548" s="501"/>
      <c r="UWT548" s="501"/>
      <c r="UWU548" s="501"/>
      <c r="UWV548" s="501"/>
      <c r="UWW548" s="501"/>
      <c r="UWX548" s="501"/>
      <c r="UWY548" s="501"/>
      <c r="UWZ548" s="501"/>
      <c r="UXA548" s="501"/>
      <c r="UXB548" s="501"/>
      <c r="UXC548" s="501"/>
      <c r="UXD548" s="501"/>
      <c r="UXE548" s="501"/>
      <c r="UXF548" s="501"/>
      <c r="UXG548" s="501"/>
      <c r="UXH548" s="501"/>
      <c r="UXI548" s="501"/>
      <c r="UXJ548" s="501"/>
      <c r="UXK548" s="501"/>
      <c r="UXL548" s="501"/>
      <c r="UXM548" s="501"/>
      <c r="UXN548" s="501"/>
      <c r="UXO548" s="501"/>
      <c r="UXP548" s="501"/>
      <c r="UXQ548" s="501"/>
      <c r="UXR548" s="501"/>
      <c r="UXS548" s="501"/>
      <c r="UXT548" s="501"/>
      <c r="UXU548" s="501"/>
      <c r="UXV548" s="501"/>
      <c r="UXW548" s="501"/>
      <c r="UXX548" s="501"/>
      <c r="UXY548" s="501"/>
      <c r="UXZ548" s="501"/>
      <c r="UYA548" s="501"/>
      <c r="UYB548" s="501"/>
      <c r="UYC548" s="501"/>
      <c r="UYD548" s="501"/>
      <c r="UYE548" s="501"/>
      <c r="UYF548" s="501"/>
      <c r="UYG548" s="501"/>
      <c r="UYH548" s="501"/>
      <c r="UYI548" s="501"/>
      <c r="UYJ548" s="501"/>
      <c r="UYK548" s="501"/>
      <c r="UYL548" s="501"/>
      <c r="UYM548" s="501"/>
      <c r="UYN548" s="501"/>
      <c r="UYO548" s="501"/>
      <c r="UYP548" s="501"/>
      <c r="UYQ548" s="501"/>
      <c r="UYR548" s="501"/>
      <c r="UYS548" s="501"/>
      <c r="UYT548" s="501"/>
      <c r="UYU548" s="501"/>
      <c r="UYV548" s="501"/>
      <c r="UYW548" s="501"/>
      <c r="UYX548" s="501"/>
      <c r="UYY548" s="501"/>
      <c r="UYZ548" s="501"/>
      <c r="UZA548" s="501"/>
      <c r="UZB548" s="501"/>
      <c r="UZC548" s="501"/>
      <c r="UZD548" s="501"/>
      <c r="UZE548" s="501"/>
      <c r="UZF548" s="501"/>
      <c r="UZG548" s="501"/>
      <c r="UZH548" s="501"/>
      <c r="UZI548" s="501"/>
      <c r="UZJ548" s="501"/>
      <c r="UZK548" s="501"/>
      <c r="UZL548" s="501"/>
      <c r="UZM548" s="501"/>
      <c r="UZN548" s="501"/>
      <c r="UZO548" s="501"/>
      <c r="UZP548" s="501"/>
      <c r="UZQ548" s="501"/>
      <c r="UZR548" s="501"/>
      <c r="UZS548" s="501"/>
      <c r="UZT548" s="501"/>
      <c r="UZU548" s="501"/>
      <c r="UZV548" s="501"/>
      <c r="UZW548" s="501"/>
      <c r="UZX548" s="501"/>
      <c r="UZY548" s="501"/>
      <c r="UZZ548" s="501"/>
      <c r="VAA548" s="501"/>
      <c r="VAB548" s="501"/>
      <c r="VAC548" s="501"/>
      <c r="VAD548" s="501"/>
      <c r="VAE548" s="501"/>
      <c r="VAF548" s="501"/>
      <c r="VAG548" s="501"/>
      <c r="VAH548" s="501"/>
      <c r="VAI548" s="501"/>
      <c r="VAJ548" s="501"/>
      <c r="VAK548" s="501"/>
      <c r="VAL548" s="501"/>
      <c r="VAM548" s="501"/>
      <c r="VAN548" s="501"/>
      <c r="VAO548" s="501"/>
      <c r="VAP548" s="501"/>
      <c r="VAQ548" s="501"/>
      <c r="VAR548" s="501"/>
      <c r="VAS548" s="501"/>
      <c r="VAT548" s="501"/>
      <c r="VAU548" s="501"/>
      <c r="VAV548" s="501"/>
      <c r="VAW548" s="501"/>
      <c r="VAX548" s="501"/>
      <c r="VAY548" s="501"/>
      <c r="VAZ548" s="501"/>
      <c r="VBA548" s="501"/>
      <c r="VBB548" s="501"/>
      <c r="VBC548" s="501"/>
      <c r="VBD548" s="501"/>
      <c r="VBE548" s="501"/>
      <c r="VBF548" s="501"/>
      <c r="VBG548" s="501"/>
      <c r="VBH548" s="501"/>
      <c r="VBI548" s="501"/>
      <c r="VBJ548" s="501"/>
      <c r="VBK548" s="501"/>
      <c r="VBL548" s="501"/>
      <c r="VBM548" s="501"/>
      <c r="VBN548" s="501"/>
      <c r="VBO548" s="501"/>
      <c r="VBP548" s="501"/>
      <c r="VBQ548" s="501"/>
      <c r="VBR548" s="501"/>
      <c r="VBS548" s="501"/>
      <c r="VBT548" s="501"/>
      <c r="VBU548" s="501"/>
      <c r="VBV548" s="501"/>
      <c r="VBW548" s="501"/>
      <c r="VBX548" s="501"/>
      <c r="VBY548" s="501"/>
      <c r="VBZ548" s="501"/>
      <c r="VCA548" s="501"/>
      <c r="VCB548" s="501"/>
      <c r="VCC548" s="501"/>
      <c r="VCD548" s="501"/>
      <c r="VCE548" s="501"/>
      <c r="VCF548" s="501"/>
      <c r="VCG548" s="501"/>
      <c r="VCH548" s="501"/>
      <c r="VCI548" s="501"/>
      <c r="VCJ548" s="501"/>
      <c r="VCK548" s="501"/>
      <c r="VCL548" s="501"/>
      <c r="VCM548" s="501"/>
      <c r="VCN548" s="501"/>
      <c r="VCO548" s="501"/>
      <c r="VCP548" s="501"/>
      <c r="VCQ548" s="501"/>
      <c r="VCR548" s="501"/>
      <c r="VCS548" s="501"/>
      <c r="VCT548" s="501"/>
      <c r="VCU548" s="501"/>
      <c r="VCV548" s="501"/>
      <c r="VCW548" s="501"/>
      <c r="VCX548" s="501"/>
      <c r="VCY548" s="501"/>
      <c r="VCZ548" s="501"/>
      <c r="VDA548" s="501"/>
      <c r="VDB548" s="501"/>
      <c r="VDC548" s="501"/>
      <c r="VDD548" s="501"/>
      <c r="VDE548" s="501"/>
      <c r="VDF548" s="501"/>
      <c r="VDG548" s="501"/>
      <c r="VDH548" s="501"/>
      <c r="VDI548" s="501"/>
      <c r="VDJ548" s="501"/>
      <c r="VDK548" s="501"/>
      <c r="VDL548" s="501"/>
      <c r="VDM548" s="501"/>
      <c r="VDN548" s="501"/>
      <c r="VDO548" s="501"/>
      <c r="VDP548" s="501"/>
      <c r="VDQ548" s="501"/>
      <c r="VDR548" s="501"/>
      <c r="VDS548" s="501"/>
      <c r="VDT548" s="501"/>
      <c r="VDU548" s="501"/>
      <c r="VDV548" s="501"/>
      <c r="VDW548" s="501"/>
      <c r="VDX548" s="501"/>
      <c r="VDY548" s="501"/>
      <c r="VDZ548" s="501"/>
      <c r="VEA548" s="501"/>
      <c r="VEB548" s="501"/>
      <c r="VEC548" s="501"/>
      <c r="VED548" s="501"/>
      <c r="VEE548" s="501"/>
      <c r="VEF548" s="501"/>
      <c r="VEG548" s="501"/>
      <c r="VEH548" s="501"/>
      <c r="VEI548" s="501"/>
      <c r="VEJ548" s="501"/>
      <c r="VEK548" s="501"/>
      <c r="VEL548" s="501"/>
      <c r="VEM548" s="501"/>
      <c r="VEN548" s="501"/>
      <c r="VEO548" s="501"/>
      <c r="VEP548" s="501"/>
      <c r="VEQ548" s="501"/>
      <c r="VER548" s="501"/>
      <c r="VES548" s="501"/>
      <c r="VET548" s="501"/>
      <c r="VEU548" s="501"/>
      <c r="VEV548" s="501"/>
      <c r="VEW548" s="501"/>
      <c r="VEX548" s="501"/>
      <c r="VEY548" s="501"/>
      <c r="VEZ548" s="501"/>
      <c r="VFA548" s="501"/>
      <c r="VFB548" s="501"/>
      <c r="VFC548" s="501"/>
      <c r="VFD548" s="501"/>
      <c r="VFE548" s="501"/>
      <c r="VFF548" s="501"/>
      <c r="VFG548" s="501"/>
      <c r="VFH548" s="501"/>
      <c r="VFI548" s="501"/>
      <c r="VFJ548" s="501"/>
      <c r="VFK548" s="501"/>
      <c r="VFL548" s="501"/>
      <c r="VFM548" s="501"/>
      <c r="VFN548" s="501"/>
      <c r="VFO548" s="501"/>
      <c r="VFP548" s="501"/>
      <c r="VFQ548" s="501"/>
      <c r="VFR548" s="501"/>
      <c r="VFS548" s="501"/>
      <c r="VFT548" s="501"/>
      <c r="VFU548" s="501"/>
      <c r="VFV548" s="501"/>
      <c r="VFW548" s="501"/>
      <c r="VFX548" s="501"/>
      <c r="VFY548" s="501"/>
      <c r="VFZ548" s="501"/>
      <c r="VGA548" s="501"/>
      <c r="VGB548" s="501"/>
      <c r="VGC548" s="501"/>
      <c r="VGD548" s="501"/>
      <c r="VGE548" s="501"/>
      <c r="VGF548" s="501"/>
      <c r="VGG548" s="501"/>
      <c r="VGH548" s="501"/>
      <c r="VGI548" s="501"/>
      <c r="VGJ548" s="501"/>
      <c r="VGK548" s="501"/>
      <c r="VGL548" s="501"/>
      <c r="VGM548" s="501"/>
      <c r="VGN548" s="501"/>
      <c r="VGO548" s="501"/>
      <c r="VGP548" s="501"/>
      <c r="VGQ548" s="501"/>
      <c r="VGR548" s="501"/>
      <c r="VGS548" s="501"/>
      <c r="VGT548" s="501"/>
      <c r="VGU548" s="501"/>
      <c r="VGV548" s="501"/>
      <c r="VGW548" s="501"/>
      <c r="VGX548" s="501"/>
      <c r="VGY548" s="501"/>
      <c r="VGZ548" s="501"/>
      <c r="VHA548" s="501"/>
      <c r="VHB548" s="501"/>
      <c r="VHC548" s="501"/>
      <c r="VHD548" s="501"/>
      <c r="VHE548" s="501"/>
      <c r="VHF548" s="501"/>
      <c r="VHG548" s="501"/>
      <c r="VHH548" s="501"/>
      <c r="VHI548" s="501"/>
      <c r="VHJ548" s="501"/>
      <c r="VHK548" s="501"/>
      <c r="VHL548" s="501"/>
      <c r="VHM548" s="501"/>
      <c r="VHN548" s="501"/>
      <c r="VHO548" s="501"/>
      <c r="VHP548" s="501"/>
      <c r="VHQ548" s="501"/>
      <c r="VHR548" s="501"/>
      <c r="VHS548" s="501"/>
      <c r="VHT548" s="501"/>
      <c r="VHU548" s="501"/>
      <c r="VHV548" s="501"/>
      <c r="VHW548" s="501"/>
      <c r="VHX548" s="501"/>
      <c r="VHY548" s="501"/>
      <c r="VHZ548" s="501"/>
      <c r="VIA548" s="501"/>
      <c r="VIB548" s="501"/>
      <c r="VIC548" s="501"/>
      <c r="VID548" s="501"/>
      <c r="VIE548" s="501"/>
      <c r="VIF548" s="501"/>
      <c r="VIG548" s="501"/>
      <c r="VIH548" s="501"/>
      <c r="VII548" s="501"/>
      <c r="VIJ548" s="501"/>
      <c r="VIK548" s="501"/>
      <c r="VIL548" s="501"/>
      <c r="VIM548" s="501"/>
      <c r="VIN548" s="501"/>
      <c r="VIO548" s="501"/>
      <c r="VIP548" s="501"/>
      <c r="VIQ548" s="501"/>
      <c r="VIR548" s="501"/>
      <c r="VIS548" s="501"/>
      <c r="VIT548" s="501"/>
      <c r="VIU548" s="501"/>
      <c r="VIV548" s="501"/>
      <c r="VIW548" s="501"/>
      <c r="VIX548" s="501"/>
      <c r="VIY548" s="501"/>
      <c r="VIZ548" s="501"/>
      <c r="VJA548" s="501"/>
      <c r="VJB548" s="501"/>
      <c r="VJC548" s="501"/>
      <c r="VJD548" s="501"/>
      <c r="VJE548" s="501"/>
      <c r="VJF548" s="501"/>
      <c r="VJG548" s="501"/>
      <c r="VJH548" s="501"/>
      <c r="VJI548" s="501"/>
      <c r="VJJ548" s="501"/>
      <c r="VJK548" s="501"/>
      <c r="VJL548" s="501"/>
      <c r="VJM548" s="501"/>
      <c r="VJN548" s="501"/>
      <c r="VJO548" s="501"/>
      <c r="VJP548" s="501"/>
      <c r="VJQ548" s="501"/>
      <c r="VJR548" s="501"/>
      <c r="VJS548" s="501"/>
      <c r="VJT548" s="501"/>
      <c r="VJU548" s="501"/>
      <c r="VJV548" s="501"/>
      <c r="VJW548" s="501"/>
      <c r="VJX548" s="501"/>
      <c r="VJY548" s="501"/>
      <c r="VJZ548" s="501"/>
      <c r="VKA548" s="501"/>
      <c r="VKB548" s="501"/>
      <c r="VKC548" s="501"/>
      <c r="VKD548" s="501"/>
      <c r="VKE548" s="501"/>
      <c r="VKF548" s="501"/>
      <c r="VKG548" s="501"/>
      <c r="VKH548" s="501"/>
      <c r="VKI548" s="501"/>
      <c r="VKJ548" s="501"/>
      <c r="VKK548" s="501"/>
      <c r="VKL548" s="501"/>
      <c r="VKM548" s="501"/>
      <c r="VKN548" s="501"/>
      <c r="VKO548" s="501"/>
      <c r="VKP548" s="501"/>
      <c r="VKQ548" s="501"/>
      <c r="VKR548" s="501"/>
      <c r="VKS548" s="501"/>
      <c r="VKT548" s="501"/>
      <c r="VKU548" s="501"/>
      <c r="VKV548" s="501"/>
      <c r="VKW548" s="501"/>
      <c r="VKX548" s="501"/>
      <c r="VKY548" s="501"/>
      <c r="VKZ548" s="501"/>
      <c r="VLA548" s="501"/>
      <c r="VLB548" s="501"/>
      <c r="VLC548" s="501"/>
      <c r="VLD548" s="501"/>
      <c r="VLE548" s="501"/>
      <c r="VLF548" s="501"/>
      <c r="VLG548" s="501"/>
      <c r="VLH548" s="501"/>
      <c r="VLI548" s="501"/>
      <c r="VLJ548" s="501"/>
      <c r="VLK548" s="501"/>
      <c r="VLL548" s="501"/>
      <c r="VLM548" s="501"/>
      <c r="VLN548" s="501"/>
      <c r="VLO548" s="501"/>
      <c r="VLP548" s="501"/>
      <c r="VLQ548" s="501"/>
      <c r="VLR548" s="501"/>
      <c r="VLS548" s="501"/>
      <c r="VLT548" s="501"/>
      <c r="VLU548" s="501"/>
      <c r="VLV548" s="501"/>
      <c r="VLW548" s="501"/>
      <c r="VLX548" s="501"/>
      <c r="VLY548" s="501"/>
      <c r="VLZ548" s="501"/>
      <c r="VMA548" s="501"/>
      <c r="VMB548" s="501"/>
      <c r="VMC548" s="501"/>
      <c r="VMD548" s="501"/>
      <c r="VME548" s="501"/>
      <c r="VMF548" s="501"/>
      <c r="VMG548" s="501"/>
      <c r="VMH548" s="501"/>
      <c r="VMI548" s="501"/>
      <c r="VMJ548" s="501"/>
      <c r="VMK548" s="501"/>
      <c r="VML548" s="501"/>
      <c r="VMM548" s="501"/>
      <c r="VMN548" s="501"/>
      <c r="VMO548" s="501"/>
      <c r="VMP548" s="501"/>
      <c r="VMQ548" s="501"/>
      <c r="VMR548" s="501"/>
      <c r="VMS548" s="501"/>
      <c r="VMT548" s="501"/>
      <c r="VMU548" s="501"/>
      <c r="VMV548" s="501"/>
      <c r="VMW548" s="501"/>
      <c r="VMX548" s="501"/>
      <c r="VMY548" s="501"/>
      <c r="VMZ548" s="501"/>
      <c r="VNA548" s="501"/>
      <c r="VNB548" s="501"/>
      <c r="VNC548" s="501"/>
      <c r="VND548" s="501"/>
      <c r="VNE548" s="501"/>
      <c r="VNF548" s="501"/>
      <c r="VNG548" s="501"/>
      <c r="VNH548" s="501"/>
      <c r="VNI548" s="501"/>
      <c r="VNJ548" s="501"/>
      <c r="VNK548" s="501"/>
      <c r="VNL548" s="501"/>
      <c r="VNM548" s="501"/>
      <c r="VNN548" s="501"/>
      <c r="VNO548" s="501"/>
      <c r="VNP548" s="501"/>
      <c r="VNQ548" s="501"/>
      <c r="VNR548" s="501"/>
      <c r="VNS548" s="501"/>
      <c r="VNT548" s="501"/>
      <c r="VNU548" s="501"/>
      <c r="VNV548" s="501"/>
      <c r="VNW548" s="501"/>
      <c r="VNX548" s="501"/>
      <c r="VNY548" s="501"/>
      <c r="VNZ548" s="501"/>
      <c r="VOA548" s="501"/>
      <c r="VOB548" s="501"/>
      <c r="VOC548" s="501"/>
      <c r="VOD548" s="501"/>
      <c r="VOE548" s="501"/>
      <c r="VOF548" s="501"/>
      <c r="VOG548" s="501"/>
      <c r="VOH548" s="501"/>
      <c r="VOI548" s="501"/>
      <c r="VOJ548" s="501"/>
      <c r="VOK548" s="501"/>
      <c r="VOL548" s="501"/>
      <c r="VOM548" s="501"/>
      <c r="VON548" s="501"/>
      <c r="VOO548" s="501"/>
      <c r="VOP548" s="501"/>
      <c r="VOQ548" s="501"/>
      <c r="VOR548" s="501"/>
      <c r="VOS548" s="501"/>
      <c r="VOT548" s="501"/>
      <c r="VOU548" s="501"/>
      <c r="VOV548" s="501"/>
      <c r="VOW548" s="501"/>
      <c r="VOX548" s="501"/>
      <c r="VOY548" s="501"/>
      <c r="VOZ548" s="501"/>
      <c r="VPA548" s="501"/>
      <c r="VPB548" s="501"/>
      <c r="VPC548" s="501"/>
      <c r="VPD548" s="501"/>
      <c r="VPE548" s="501"/>
      <c r="VPF548" s="501"/>
      <c r="VPG548" s="501"/>
      <c r="VPH548" s="501"/>
      <c r="VPI548" s="501"/>
      <c r="VPJ548" s="501"/>
      <c r="VPK548" s="501"/>
      <c r="VPL548" s="501"/>
      <c r="VPM548" s="501"/>
      <c r="VPN548" s="501"/>
      <c r="VPO548" s="501"/>
      <c r="VPP548" s="501"/>
      <c r="VPQ548" s="501"/>
      <c r="VPR548" s="501"/>
      <c r="VPS548" s="501"/>
      <c r="VPT548" s="501"/>
      <c r="VPU548" s="501"/>
      <c r="VPV548" s="501"/>
      <c r="VPW548" s="501"/>
      <c r="VPX548" s="501"/>
      <c r="VPY548" s="501"/>
      <c r="VPZ548" s="501"/>
      <c r="VQA548" s="501"/>
      <c r="VQB548" s="501"/>
      <c r="VQC548" s="501"/>
      <c r="VQD548" s="501"/>
      <c r="VQE548" s="501"/>
      <c r="VQF548" s="501"/>
      <c r="VQG548" s="501"/>
      <c r="VQH548" s="501"/>
      <c r="VQI548" s="501"/>
      <c r="VQJ548" s="501"/>
      <c r="VQK548" s="501"/>
      <c r="VQL548" s="501"/>
      <c r="VQM548" s="501"/>
      <c r="VQN548" s="501"/>
      <c r="VQO548" s="501"/>
      <c r="VQP548" s="501"/>
      <c r="VQQ548" s="501"/>
      <c r="VQR548" s="501"/>
      <c r="VQS548" s="501"/>
      <c r="VQT548" s="501"/>
      <c r="VQU548" s="501"/>
      <c r="VQV548" s="501"/>
      <c r="VQW548" s="501"/>
      <c r="VQX548" s="501"/>
      <c r="VQY548" s="501"/>
      <c r="VQZ548" s="501"/>
      <c r="VRA548" s="501"/>
      <c r="VRB548" s="501"/>
      <c r="VRC548" s="501"/>
      <c r="VRD548" s="501"/>
      <c r="VRE548" s="501"/>
      <c r="VRF548" s="501"/>
      <c r="VRG548" s="501"/>
      <c r="VRH548" s="501"/>
      <c r="VRI548" s="501"/>
      <c r="VRJ548" s="501"/>
      <c r="VRK548" s="501"/>
      <c r="VRL548" s="501"/>
      <c r="VRM548" s="501"/>
      <c r="VRN548" s="501"/>
      <c r="VRO548" s="501"/>
      <c r="VRP548" s="501"/>
      <c r="VRQ548" s="501"/>
      <c r="VRR548" s="501"/>
      <c r="VRS548" s="501"/>
      <c r="VRT548" s="501"/>
      <c r="VRU548" s="501"/>
      <c r="VRV548" s="501"/>
      <c r="VRW548" s="501"/>
      <c r="VRX548" s="501"/>
      <c r="VRY548" s="501"/>
      <c r="VRZ548" s="501"/>
      <c r="VSA548" s="501"/>
      <c r="VSB548" s="501"/>
      <c r="VSC548" s="501"/>
      <c r="VSD548" s="501"/>
      <c r="VSE548" s="501"/>
      <c r="VSF548" s="501"/>
      <c r="VSG548" s="501"/>
      <c r="VSH548" s="501"/>
      <c r="VSI548" s="501"/>
      <c r="VSJ548" s="501"/>
      <c r="VSK548" s="501"/>
      <c r="VSL548" s="501"/>
      <c r="VSM548" s="501"/>
      <c r="VSN548" s="501"/>
      <c r="VSO548" s="501"/>
      <c r="VSP548" s="501"/>
      <c r="VSQ548" s="501"/>
      <c r="VSR548" s="501"/>
      <c r="VSS548" s="501"/>
      <c r="VST548" s="501"/>
      <c r="VSU548" s="501"/>
      <c r="VSV548" s="501"/>
      <c r="VSW548" s="501"/>
      <c r="VSX548" s="501"/>
      <c r="VSY548" s="501"/>
      <c r="VSZ548" s="501"/>
      <c r="VTA548" s="501"/>
      <c r="VTB548" s="501"/>
      <c r="VTC548" s="501"/>
      <c r="VTD548" s="501"/>
      <c r="VTE548" s="501"/>
      <c r="VTF548" s="501"/>
      <c r="VTG548" s="501"/>
      <c r="VTH548" s="501"/>
      <c r="VTI548" s="501"/>
      <c r="VTJ548" s="501"/>
      <c r="VTK548" s="501"/>
      <c r="VTL548" s="501"/>
      <c r="VTM548" s="501"/>
      <c r="VTN548" s="501"/>
      <c r="VTO548" s="501"/>
      <c r="VTP548" s="501"/>
      <c r="VTQ548" s="501"/>
      <c r="VTR548" s="501"/>
      <c r="VTS548" s="501"/>
      <c r="VTT548" s="501"/>
      <c r="VTU548" s="501"/>
      <c r="VTV548" s="501"/>
      <c r="VTW548" s="501"/>
      <c r="VTX548" s="501"/>
      <c r="VTY548" s="501"/>
      <c r="VTZ548" s="501"/>
      <c r="VUA548" s="501"/>
      <c r="VUB548" s="501"/>
      <c r="VUC548" s="501"/>
      <c r="VUD548" s="501"/>
      <c r="VUE548" s="501"/>
      <c r="VUF548" s="501"/>
      <c r="VUG548" s="501"/>
      <c r="VUH548" s="501"/>
      <c r="VUI548" s="501"/>
      <c r="VUJ548" s="501"/>
      <c r="VUK548" s="501"/>
      <c r="VUL548" s="501"/>
      <c r="VUM548" s="501"/>
      <c r="VUN548" s="501"/>
      <c r="VUO548" s="501"/>
      <c r="VUP548" s="501"/>
      <c r="VUQ548" s="501"/>
      <c r="VUR548" s="501"/>
      <c r="VUS548" s="501"/>
      <c r="VUT548" s="501"/>
      <c r="VUU548" s="501"/>
      <c r="VUV548" s="501"/>
      <c r="VUW548" s="501"/>
      <c r="VUX548" s="501"/>
      <c r="VUY548" s="501"/>
      <c r="VUZ548" s="501"/>
      <c r="VVA548" s="501"/>
      <c r="VVB548" s="501"/>
      <c r="VVC548" s="501"/>
      <c r="VVD548" s="501"/>
      <c r="VVE548" s="501"/>
      <c r="VVF548" s="501"/>
      <c r="VVG548" s="501"/>
      <c r="VVH548" s="501"/>
      <c r="VVI548" s="501"/>
      <c r="VVJ548" s="501"/>
      <c r="VVK548" s="501"/>
      <c r="VVL548" s="501"/>
      <c r="VVM548" s="501"/>
      <c r="VVN548" s="501"/>
      <c r="VVO548" s="501"/>
      <c r="VVP548" s="501"/>
      <c r="VVQ548" s="501"/>
      <c r="VVR548" s="501"/>
      <c r="VVS548" s="501"/>
      <c r="VVT548" s="501"/>
      <c r="VVU548" s="501"/>
      <c r="VVV548" s="501"/>
      <c r="VVW548" s="501"/>
      <c r="VVX548" s="501"/>
      <c r="VVY548" s="501"/>
      <c r="VVZ548" s="501"/>
      <c r="VWA548" s="501"/>
      <c r="VWB548" s="501"/>
      <c r="VWC548" s="501"/>
      <c r="VWD548" s="501"/>
      <c r="VWE548" s="501"/>
      <c r="VWF548" s="501"/>
      <c r="VWG548" s="501"/>
      <c r="VWH548" s="501"/>
      <c r="VWI548" s="501"/>
      <c r="VWJ548" s="501"/>
      <c r="VWK548" s="501"/>
      <c r="VWL548" s="501"/>
      <c r="VWM548" s="501"/>
      <c r="VWN548" s="501"/>
      <c r="VWO548" s="501"/>
      <c r="VWP548" s="501"/>
      <c r="VWQ548" s="501"/>
      <c r="VWR548" s="501"/>
      <c r="VWS548" s="501"/>
      <c r="VWT548" s="501"/>
      <c r="VWU548" s="501"/>
      <c r="VWV548" s="501"/>
      <c r="VWW548" s="501"/>
      <c r="VWX548" s="501"/>
      <c r="VWY548" s="501"/>
      <c r="VWZ548" s="501"/>
      <c r="VXA548" s="501"/>
      <c r="VXB548" s="501"/>
      <c r="VXC548" s="501"/>
      <c r="VXD548" s="501"/>
      <c r="VXE548" s="501"/>
      <c r="VXF548" s="501"/>
      <c r="VXG548" s="501"/>
      <c r="VXH548" s="501"/>
      <c r="VXI548" s="501"/>
      <c r="VXJ548" s="501"/>
      <c r="VXK548" s="501"/>
      <c r="VXL548" s="501"/>
      <c r="VXM548" s="501"/>
      <c r="VXN548" s="501"/>
      <c r="VXO548" s="501"/>
      <c r="VXP548" s="501"/>
      <c r="VXQ548" s="501"/>
      <c r="VXR548" s="501"/>
      <c r="VXS548" s="501"/>
      <c r="VXT548" s="501"/>
      <c r="VXU548" s="501"/>
      <c r="VXV548" s="501"/>
      <c r="VXW548" s="501"/>
      <c r="VXX548" s="501"/>
      <c r="VXY548" s="501"/>
      <c r="VXZ548" s="501"/>
      <c r="VYA548" s="501"/>
      <c r="VYB548" s="501"/>
      <c r="VYC548" s="501"/>
      <c r="VYD548" s="501"/>
      <c r="VYE548" s="501"/>
      <c r="VYF548" s="501"/>
      <c r="VYG548" s="501"/>
      <c r="VYH548" s="501"/>
      <c r="VYI548" s="501"/>
      <c r="VYJ548" s="501"/>
      <c r="VYK548" s="501"/>
      <c r="VYL548" s="501"/>
      <c r="VYM548" s="501"/>
      <c r="VYN548" s="501"/>
      <c r="VYO548" s="501"/>
      <c r="VYP548" s="501"/>
      <c r="VYQ548" s="501"/>
      <c r="VYR548" s="501"/>
      <c r="VYS548" s="501"/>
      <c r="VYT548" s="501"/>
      <c r="VYU548" s="501"/>
      <c r="VYV548" s="501"/>
      <c r="VYW548" s="501"/>
      <c r="VYX548" s="501"/>
      <c r="VYY548" s="501"/>
      <c r="VYZ548" s="501"/>
      <c r="VZA548" s="501"/>
      <c r="VZB548" s="501"/>
      <c r="VZC548" s="501"/>
      <c r="VZD548" s="501"/>
      <c r="VZE548" s="501"/>
      <c r="VZF548" s="501"/>
      <c r="VZG548" s="501"/>
      <c r="VZH548" s="501"/>
      <c r="VZI548" s="501"/>
      <c r="VZJ548" s="501"/>
      <c r="VZK548" s="501"/>
      <c r="VZL548" s="501"/>
      <c r="VZM548" s="501"/>
      <c r="VZN548" s="501"/>
      <c r="VZO548" s="501"/>
      <c r="VZP548" s="501"/>
      <c r="VZQ548" s="501"/>
      <c r="VZR548" s="501"/>
      <c r="VZS548" s="501"/>
      <c r="VZT548" s="501"/>
      <c r="VZU548" s="501"/>
      <c r="VZV548" s="501"/>
      <c r="VZW548" s="501"/>
      <c r="VZX548" s="501"/>
      <c r="VZY548" s="501"/>
      <c r="VZZ548" s="501"/>
      <c r="WAA548" s="501"/>
      <c r="WAB548" s="501"/>
      <c r="WAC548" s="501"/>
      <c r="WAD548" s="501"/>
      <c r="WAE548" s="501"/>
      <c r="WAF548" s="501"/>
      <c r="WAG548" s="501"/>
      <c r="WAH548" s="501"/>
      <c r="WAI548" s="501"/>
      <c r="WAJ548" s="501"/>
      <c r="WAK548" s="501"/>
      <c r="WAL548" s="501"/>
      <c r="WAM548" s="501"/>
      <c r="WAN548" s="501"/>
      <c r="WAO548" s="501"/>
      <c r="WAP548" s="501"/>
      <c r="WAQ548" s="501"/>
      <c r="WAR548" s="501"/>
      <c r="WAS548" s="501"/>
      <c r="WAT548" s="501"/>
      <c r="WAU548" s="501"/>
      <c r="WAV548" s="501"/>
      <c r="WAW548" s="501"/>
      <c r="WAX548" s="501"/>
      <c r="WAY548" s="501"/>
      <c r="WAZ548" s="501"/>
      <c r="WBA548" s="501"/>
      <c r="WBB548" s="501"/>
      <c r="WBC548" s="501"/>
      <c r="WBD548" s="501"/>
      <c r="WBE548" s="501"/>
      <c r="WBF548" s="501"/>
      <c r="WBG548" s="501"/>
      <c r="WBH548" s="501"/>
      <c r="WBI548" s="501"/>
      <c r="WBJ548" s="501"/>
      <c r="WBK548" s="501"/>
      <c r="WBL548" s="501"/>
      <c r="WBM548" s="501"/>
      <c r="WBN548" s="501"/>
      <c r="WBO548" s="501"/>
      <c r="WBP548" s="501"/>
      <c r="WBQ548" s="501"/>
      <c r="WBR548" s="501"/>
      <c r="WBS548" s="501"/>
      <c r="WBT548" s="501"/>
      <c r="WBU548" s="501"/>
      <c r="WBV548" s="501"/>
      <c r="WBW548" s="501"/>
      <c r="WBX548" s="501"/>
      <c r="WBY548" s="501"/>
      <c r="WBZ548" s="501"/>
      <c r="WCA548" s="501"/>
      <c r="WCB548" s="501"/>
      <c r="WCC548" s="501"/>
      <c r="WCD548" s="501"/>
      <c r="WCE548" s="501"/>
      <c r="WCF548" s="501"/>
      <c r="WCG548" s="501"/>
      <c r="WCH548" s="501"/>
      <c r="WCI548" s="501"/>
      <c r="WCJ548" s="501"/>
      <c r="WCK548" s="501"/>
      <c r="WCL548" s="501"/>
      <c r="WCM548" s="501"/>
      <c r="WCN548" s="501"/>
      <c r="WCO548" s="501"/>
      <c r="WCP548" s="501"/>
      <c r="WCQ548" s="501"/>
      <c r="WCR548" s="501"/>
      <c r="WCS548" s="501"/>
      <c r="WCT548" s="501"/>
      <c r="WCU548" s="501"/>
      <c r="WCV548" s="501"/>
      <c r="WCW548" s="501"/>
      <c r="WCX548" s="501"/>
      <c r="WCY548" s="501"/>
      <c r="WCZ548" s="501"/>
      <c r="WDA548" s="501"/>
      <c r="WDB548" s="501"/>
      <c r="WDC548" s="501"/>
      <c r="WDD548" s="501"/>
      <c r="WDE548" s="501"/>
      <c r="WDF548" s="501"/>
      <c r="WDG548" s="501"/>
      <c r="WDH548" s="501"/>
      <c r="WDI548" s="501"/>
      <c r="WDJ548" s="501"/>
      <c r="WDK548" s="501"/>
      <c r="WDL548" s="501"/>
      <c r="WDM548" s="501"/>
      <c r="WDN548" s="501"/>
      <c r="WDO548" s="501"/>
      <c r="WDP548" s="501"/>
      <c r="WDQ548" s="501"/>
      <c r="WDR548" s="501"/>
      <c r="WDS548" s="501"/>
      <c r="WDT548" s="501"/>
      <c r="WDU548" s="501"/>
      <c r="WDV548" s="501"/>
      <c r="WDW548" s="501"/>
      <c r="WDX548" s="501"/>
      <c r="WDY548" s="501"/>
      <c r="WDZ548" s="501"/>
      <c r="WEA548" s="501"/>
      <c r="WEB548" s="501"/>
      <c r="WEC548" s="501"/>
      <c r="WED548" s="501"/>
      <c r="WEE548" s="501"/>
      <c r="WEF548" s="501"/>
      <c r="WEG548" s="501"/>
      <c r="WEH548" s="501"/>
      <c r="WEI548" s="501"/>
      <c r="WEJ548" s="501"/>
      <c r="WEK548" s="501"/>
      <c r="WEL548" s="501"/>
      <c r="WEM548" s="501"/>
      <c r="WEN548" s="501"/>
      <c r="WEO548" s="501"/>
      <c r="WEP548" s="501"/>
      <c r="WEQ548" s="501"/>
      <c r="WER548" s="501"/>
      <c r="WES548" s="501"/>
      <c r="WET548" s="501"/>
      <c r="WEU548" s="501"/>
      <c r="WEV548" s="501"/>
      <c r="WEW548" s="501"/>
      <c r="WEX548" s="501"/>
      <c r="WEY548" s="501"/>
      <c r="WEZ548" s="501"/>
      <c r="WFA548" s="501"/>
      <c r="WFB548" s="501"/>
      <c r="WFC548" s="501"/>
      <c r="WFD548" s="501"/>
      <c r="WFE548" s="501"/>
      <c r="WFF548" s="501"/>
      <c r="WFG548" s="501"/>
      <c r="WFH548" s="501"/>
      <c r="WFI548" s="501"/>
      <c r="WFJ548" s="501"/>
      <c r="WFK548" s="501"/>
      <c r="WFL548" s="501"/>
      <c r="WFM548" s="501"/>
      <c r="WFN548" s="501"/>
      <c r="WFO548" s="501"/>
      <c r="WFP548" s="501"/>
      <c r="WFQ548" s="501"/>
      <c r="WFR548" s="501"/>
      <c r="WFS548" s="501"/>
      <c r="WFT548" s="501"/>
      <c r="WFU548" s="501"/>
      <c r="WFV548" s="501"/>
      <c r="WFW548" s="501"/>
      <c r="WFX548" s="501"/>
      <c r="WFY548" s="501"/>
      <c r="WFZ548" s="501"/>
      <c r="WGA548" s="501"/>
      <c r="WGB548" s="501"/>
      <c r="WGC548" s="501"/>
      <c r="WGD548" s="501"/>
      <c r="WGE548" s="501"/>
      <c r="WGF548" s="501"/>
      <c r="WGG548" s="501"/>
      <c r="WGH548" s="501"/>
      <c r="WGI548" s="501"/>
      <c r="WGJ548" s="501"/>
      <c r="WGK548" s="501"/>
      <c r="WGL548" s="501"/>
      <c r="WGM548" s="501"/>
      <c r="WGN548" s="501"/>
      <c r="WGO548" s="501"/>
      <c r="WGP548" s="501"/>
      <c r="WGQ548" s="501"/>
      <c r="WGR548" s="501"/>
      <c r="WGS548" s="501"/>
      <c r="WGT548" s="501"/>
      <c r="WGU548" s="501"/>
      <c r="WGV548" s="501"/>
      <c r="WGW548" s="501"/>
      <c r="WGX548" s="501"/>
      <c r="WGY548" s="501"/>
      <c r="WGZ548" s="501"/>
      <c r="WHA548" s="501"/>
      <c r="WHB548" s="501"/>
      <c r="WHC548" s="501"/>
      <c r="WHD548" s="501"/>
      <c r="WHE548" s="501"/>
      <c r="WHF548" s="501"/>
      <c r="WHG548" s="501"/>
      <c r="WHH548" s="501"/>
      <c r="WHI548" s="501"/>
      <c r="WHJ548" s="501"/>
      <c r="WHK548" s="501"/>
      <c r="WHL548" s="501"/>
      <c r="WHM548" s="501"/>
      <c r="WHN548" s="501"/>
      <c r="WHO548" s="501"/>
      <c r="WHP548" s="501"/>
      <c r="WHQ548" s="501"/>
      <c r="WHR548" s="501"/>
      <c r="WHS548" s="501"/>
      <c r="WHT548" s="501"/>
      <c r="WHU548" s="501"/>
      <c r="WHV548" s="501"/>
      <c r="WHW548" s="501"/>
      <c r="WHX548" s="501"/>
      <c r="WHY548" s="501"/>
      <c r="WHZ548" s="501"/>
      <c r="WIA548" s="501"/>
      <c r="WIB548" s="501"/>
      <c r="WIC548" s="501"/>
      <c r="WID548" s="501"/>
      <c r="WIE548" s="501"/>
      <c r="WIF548" s="501"/>
      <c r="WIG548" s="501"/>
      <c r="WIH548" s="501"/>
      <c r="WII548" s="501"/>
      <c r="WIJ548" s="501"/>
      <c r="WIK548" s="501"/>
      <c r="WIL548" s="501"/>
      <c r="WIM548" s="501"/>
      <c r="WIN548" s="501"/>
      <c r="WIO548" s="501"/>
      <c r="WIP548" s="501"/>
      <c r="WIQ548" s="501"/>
      <c r="WIR548" s="501"/>
      <c r="WIS548" s="501"/>
      <c r="WIT548" s="501"/>
      <c r="WIU548" s="501"/>
      <c r="WIV548" s="501"/>
      <c r="WIW548" s="501"/>
      <c r="WIX548" s="501"/>
      <c r="WIY548" s="501"/>
      <c r="WIZ548" s="501"/>
      <c r="WJA548" s="501"/>
      <c r="WJB548" s="501"/>
      <c r="WJC548" s="501"/>
      <c r="WJD548" s="501"/>
      <c r="WJE548" s="501"/>
      <c r="WJF548" s="501"/>
      <c r="WJG548" s="501"/>
      <c r="WJH548" s="501"/>
      <c r="WJI548" s="501"/>
      <c r="WJJ548" s="501"/>
      <c r="WJK548" s="501"/>
      <c r="WJL548" s="501"/>
      <c r="WJM548" s="501"/>
      <c r="WJN548" s="501"/>
      <c r="WJO548" s="501"/>
      <c r="WJP548" s="501"/>
      <c r="WJQ548" s="501"/>
      <c r="WJR548" s="501"/>
      <c r="WJS548" s="501"/>
      <c r="WJT548" s="501"/>
      <c r="WJU548" s="501"/>
      <c r="WJV548" s="501"/>
      <c r="WJW548" s="501"/>
      <c r="WJX548" s="501"/>
      <c r="WJY548" s="501"/>
      <c r="WJZ548" s="501"/>
      <c r="WKA548" s="501"/>
      <c r="WKB548" s="501"/>
      <c r="WKC548" s="501"/>
      <c r="WKD548" s="501"/>
      <c r="WKE548" s="501"/>
      <c r="WKF548" s="501"/>
      <c r="WKG548" s="501"/>
      <c r="WKH548" s="501"/>
      <c r="WKI548" s="501"/>
      <c r="WKJ548" s="501"/>
      <c r="WKK548" s="501"/>
      <c r="WKL548" s="501"/>
      <c r="WKM548" s="501"/>
      <c r="WKN548" s="501"/>
      <c r="WKO548" s="501"/>
      <c r="WKP548" s="501"/>
      <c r="WKQ548" s="501"/>
      <c r="WKR548" s="501"/>
      <c r="WKS548" s="501"/>
      <c r="WKT548" s="501"/>
      <c r="WKU548" s="501"/>
      <c r="WKV548" s="501"/>
      <c r="WKW548" s="501"/>
      <c r="WKX548" s="501"/>
      <c r="WKY548" s="501"/>
      <c r="WKZ548" s="501"/>
      <c r="WLA548" s="501"/>
      <c r="WLB548" s="501"/>
      <c r="WLC548" s="501"/>
      <c r="WLD548" s="501"/>
      <c r="WLE548" s="501"/>
      <c r="WLF548" s="501"/>
      <c r="WLG548" s="501"/>
      <c r="WLH548" s="501"/>
      <c r="WLI548" s="501"/>
      <c r="WLJ548" s="501"/>
      <c r="WLK548" s="501"/>
      <c r="WLL548" s="501"/>
      <c r="WLM548" s="501"/>
      <c r="WLN548" s="501"/>
      <c r="WLO548" s="501"/>
      <c r="WLP548" s="501"/>
      <c r="WLQ548" s="501"/>
      <c r="WLR548" s="501"/>
      <c r="WLS548" s="501"/>
      <c r="WLT548" s="501"/>
      <c r="WLU548" s="501"/>
      <c r="WLV548" s="501"/>
      <c r="WLW548" s="501"/>
      <c r="WLX548" s="501"/>
      <c r="WLY548" s="501"/>
      <c r="WLZ548" s="501"/>
      <c r="WMA548" s="501"/>
      <c r="WMB548" s="501"/>
      <c r="WMC548" s="501"/>
      <c r="WMD548" s="501"/>
      <c r="WME548" s="501"/>
      <c r="WMF548" s="501"/>
      <c r="WMG548" s="501"/>
      <c r="WMH548" s="501"/>
      <c r="WMI548" s="501"/>
      <c r="WMJ548" s="501"/>
      <c r="WMK548" s="501"/>
      <c r="WML548" s="501"/>
      <c r="WMM548" s="501"/>
      <c r="WMN548" s="501"/>
      <c r="WMO548" s="501"/>
      <c r="WMP548" s="501"/>
      <c r="WMQ548" s="501"/>
      <c r="WMR548" s="501"/>
      <c r="WMS548" s="501"/>
      <c r="WMT548" s="501"/>
      <c r="WMU548" s="501"/>
      <c r="WMV548" s="501"/>
      <c r="WMW548" s="501"/>
      <c r="WMX548" s="501"/>
      <c r="WMY548" s="501"/>
      <c r="WMZ548" s="501"/>
      <c r="WNA548" s="501"/>
      <c r="WNB548" s="501"/>
      <c r="WNC548" s="501"/>
      <c r="WND548" s="501"/>
      <c r="WNE548" s="501"/>
      <c r="WNF548" s="501"/>
      <c r="WNG548" s="501"/>
      <c r="WNH548" s="501"/>
      <c r="WNI548" s="501"/>
      <c r="WNJ548" s="501"/>
      <c r="WNK548" s="501"/>
      <c r="WNL548" s="501"/>
      <c r="WNM548" s="501"/>
      <c r="WNN548" s="501"/>
      <c r="WNO548" s="501"/>
      <c r="WNP548" s="501"/>
      <c r="WNQ548" s="501"/>
      <c r="WNR548" s="501"/>
      <c r="WNS548" s="501"/>
      <c r="WNT548" s="501"/>
      <c r="WNU548" s="501"/>
      <c r="WNV548" s="501"/>
      <c r="WNW548" s="501"/>
      <c r="WNX548" s="501"/>
      <c r="WNY548" s="501"/>
      <c r="WNZ548" s="501"/>
      <c r="WOA548" s="501"/>
      <c r="WOB548" s="501"/>
      <c r="WOC548" s="501"/>
      <c r="WOD548" s="501"/>
      <c r="WOE548" s="501"/>
      <c r="WOF548" s="501"/>
      <c r="WOG548" s="501"/>
      <c r="WOH548" s="501"/>
      <c r="WOI548" s="501"/>
      <c r="WOJ548" s="501"/>
      <c r="WOK548" s="501"/>
      <c r="WOL548" s="501"/>
      <c r="WOM548" s="501"/>
      <c r="WON548" s="501"/>
      <c r="WOO548" s="501"/>
      <c r="WOP548" s="501"/>
      <c r="WOQ548" s="501"/>
      <c r="WOR548" s="501"/>
      <c r="WOS548" s="501"/>
      <c r="WOT548" s="501"/>
      <c r="WOU548" s="501"/>
      <c r="WOV548" s="501"/>
      <c r="WOW548" s="501"/>
      <c r="WOX548" s="501"/>
      <c r="WOY548" s="501"/>
      <c r="WOZ548" s="501"/>
      <c r="WPA548" s="501"/>
      <c r="WPB548" s="501"/>
      <c r="WPC548" s="501"/>
      <c r="WPD548" s="501"/>
      <c r="WPE548" s="501"/>
      <c r="WPF548" s="501"/>
      <c r="WPG548" s="501"/>
      <c r="WPH548" s="501"/>
      <c r="WPI548" s="501"/>
      <c r="WPJ548" s="501"/>
      <c r="WPK548" s="501"/>
      <c r="WPL548" s="501"/>
      <c r="WPM548" s="501"/>
      <c r="WPN548" s="501"/>
      <c r="WPO548" s="501"/>
      <c r="WPP548" s="501"/>
      <c r="WPQ548" s="501"/>
      <c r="WPR548" s="501"/>
      <c r="WPS548" s="501"/>
      <c r="WPT548" s="501"/>
      <c r="WPU548" s="501"/>
      <c r="WPV548" s="501"/>
      <c r="WPW548" s="501"/>
      <c r="WPX548" s="501"/>
      <c r="WPY548" s="501"/>
      <c r="WPZ548" s="501"/>
      <c r="WQA548" s="501"/>
      <c r="WQB548" s="501"/>
      <c r="WQC548" s="501"/>
      <c r="WQD548" s="501"/>
      <c r="WQE548" s="501"/>
      <c r="WQF548" s="501"/>
      <c r="WQG548" s="501"/>
      <c r="WQH548" s="501"/>
      <c r="WQI548" s="501"/>
      <c r="WQJ548" s="501"/>
      <c r="WQK548" s="501"/>
      <c r="WQL548" s="501"/>
      <c r="WQM548" s="501"/>
      <c r="WQN548" s="501"/>
      <c r="WQO548" s="501"/>
      <c r="WQP548" s="501"/>
      <c r="WQQ548" s="501"/>
      <c r="WQR548" s="501"/>
      <c r="WQS548" s="501"/>
      <c r="WQT548" s="501"/>
      <c r="WQU548" s="501"/>
      <c r="WQV548" s="501"/>
      <c r="WQW548" s="501"/>
      <c r="WQX548" s="501"/>
      <c r="WQY548" s="501"/>
      <c r="WQZ548" s="501"/>
      <c r="WRA548" s="501"/>
      <c r="WRB548" s="501"/>
      <c r="WRC548" s="501"/>
      <c r="WRD548" s="501"/>
      <c r="WRE548" s="501"/>
      <c r="WRF548" s="501"/>
      <c r="WRG548" s="501"/>
      <c r="WRH548" s="501"/>
      <c r="WRI548" s="501"/>
      <c r="WRJ548" s="501"/>
      <c r="WRK548" s="501"/>
      <c r="WRL548" s="501"/>
      <c r="WRM548" s="501"/>
      <c r="WRN548" s="501"/>
      <c r="WRO548" s="501"/>
      <c r="WRP548" s="501"/>
      <c r="WRQ548" s="501"/>
      <c r="WRR548" s="501"/>
      <c r="WRS548" s="501"/>
      <c r="WRT548" s="501"/>
      <c r="WRU548" s="501"/>
      <c r="WRV548" s="501"/>
      <c r="WRW548" s="501"/>
      <c r="WRX548" s="501"/>
      <c r="WRY548" s="501"/>
      <c r="WRZ548" s="501"/>
      <c r="WSA548" s="501"/>
      <c r="WSB548" s="501"/>
      <c r="WSC548" s="501"/>
      <c r="WSD548" s="501"/>
      <c r="WSE548" s="501"/>
      <c r="WSF548" s="501"/>
      <c r="WSG548" s="501"/>
      <c r="WSH548" s="501"/>
      <c r="WSI548" s="501"/>
      <c r="WSJ548" s="501"/>
      <c r="WSK548" s="501"/>
      <c r="WSL548" s="501"/>
      <c r="WSM548" s="501"/>
      <c r="WSN548" s="501"/>
      <c r="WSO548" s="501"/>
      <c r="WSP548" s="501"/>
      <c r="WSQ548" s="501"/>
      <c r="WSR548" s="501"/>
      <c r="WSS548" s="501"/>
      <c r="WST548" s="501"/>
      <c r="WSU548" s="501"/>
      <c r="WSV548" s="501"/>
      <c r="WSW548" s="501"/>
      <c r="WSX548" s="501"/>
      <c r="WSY548" s="501"/>
      <c r="WSZ548" s="501"/>
      <c r="WTA548" s="501"/>
      <c r="WTB548" s="501"/>
      <c r="WTC548" s="501"/>
      <c r="WTD548" s="501"/>
      <c r="WTE548" s="501"/>
      <c r="WTF548" s="501"/>
      <c r="WTG548" s="501"/>
      <c r="WTH548" s="501"/>
      <c r="WTI548" s="501"/>
      <c r="WTJ548" s="501"/>
      <c r="WTK548" s="501"/>
      <c r="WTL548" s="501"/>
      <c r="WTM548" s="501"/>
      <c r="WTN548" s="501"/>
      <c r="WTO548" s="501"/>
      <c r="WTP548" s="501"/>
      <c r="WTQ548" s="501"/>
      <c r="WTR548" s="501"/>
      <c r="WTS548" s="501"/>
      <c r="WTT548" s="501"/>
      <c r="WTU548" s="501"/>
      <c r="WTV548" s="501"/>
      <c r="WTW548" s="501"/>
      <c r="WTX548" s="501"/>
      <c r="WTY548" s="501"/>
      <c r="WTZ548" s="501"/>
      <c r="WUA548" s="501"/>
      <c r="WUB548" s="501"/>
      <c r="WUC548" s="501"/>
      <c r="WUD548" s="501"/>
      <c r="WUE548" s="501"/>
      <c r="WUF548" s="501"/>
      <c r="WUG548" s="501"/>
      <c r="WUH548" s="501"/>
      <c r="WUI548" s="501"/>
      <c r="WUJ548" s="501"/>
      <c r="WUK548" s="501"/>
      <c r="WUL548" s="501"/>
      <c r="WUM548" s="501"/>
      <c r="WUN548" s="501"/>
      <c r="WUO548" s="501"/>
      <c r="WUP548" s="501"/>
      <c r="WUQ548" s="501"/>
      <c r="WUR548" s="501"/>
      <c r="WUS548" s="501"/>
      <c r="WUT548" s="501"/>
      <c r="WUU548" s="501"/>
      <c r="WUV548" s="501"/>
      <c r="WUW548" s="501"/>
      <c r="WUX548" s="501"/>
      <c r="WUY548" s="501"/>
      <c r="WUZ548" s="501"/>
      <c r="WVA548" s="501"/>
      <c r="WVB548" s="501"/>
      <c r="WVC548" s="501"/>
      <c r="WVD548" s="501"/>
      <c r="WVE548" s="501"/>
      <c r="WVF548" s="501"/>
      <c r="WVG548" s="501"/>
      <c r="WVH548" s="501"/>
      <c r="WVI548" s="501"/>
      <c r="WVJ548" s="501"/>
      <c r="WVK548" s="501"/>
      <c r="WVL548" s="501"/>
      <c r="WVM548" s="501"/>
      <c r="WVN548" s="501"/>
      <c r="WVO548" s="501"/>
      <c r="WVP548" s="501"/>
      <c r="WVQ548" s="501"/>
      <c r="WVR548" s="501"/>
      <c r="WVS548" s="501"/>
      <c r="WVT548" s="501"/>
      <c r="WVU548" s="501"/>
      <c r="WVV548" s="501"/>
      <c r="WVW548" s="501"/>
      <c r="WVX548" s="501"/>
      <c r="WVY548" s="501"/>
      <c r="WVZ548" s="501"/>
      <c r="WWA548" s="501"/>
      <c r="WWB548" s="501"/>
      <c r="WWC548" s="501"/>
      <c r="WWD548" s="501"/>
      <c r="WWE548" s="501"/>
      <c r="WWF548" s="501"/>
      <c r="WWG548" s="501"/>
      <c r="WWH548" s="501"/>
      <c r="WWI548" s="501"/>
      <c r="WWJ548" s="501"/>
      <c r="WWK548" s="501"/>
      <c r="WWL548" s="501"/>
      <c r="WWM548" s="501"/>
      <c r="WWN548" s="501"/>
      <c r="WWO548" s="501"/>
      <c r="WWP548" s="501"/>
      <c r="WWQ548" s="501"/>
      <c r="WWR548" s="501"/>
      <c r="WWS548" s="501"/>
      <c r="WWT548" s="501"/>
      <c r="WWU548" s="501"/>
      <c r="WWV548" s="501"/>
      <c r="WWW548" s="501"/>
      <c r="WWX548" s="501"/>
      <c r="WWY548" s="501"/>
      <c r="WWZ548" s="501"/>
      <c r="WXA548" s="501"/>
      <c r="WXB548" s="501"/>
      <c r="WXC548" s="501"/>
      <c r="WXD548" s="501"/>
      <c r="WXE548" s="501"/>
      <c r="WXF548" s="501"/>
      <c r="WXG548" s="501"/>
      <c r="WXH548" s="501"/>
      <c r="WXI548" s="501"/>
      <c r="WXJ548" s="501"/>
      <c r="WXK548" s="501"/>
      <c r="WXL548" s="501"/>
      <c r="WXM548" s="501"/>
      <c r="WXN548" s="501"/>
      <c r="WXO548" s="501"/>
      <c r="WXP548" s="501"/>
      <c r="WXQ548" s="501"/>
      <c r="WXR548" s="501"/>
      <c r="WXS548" s="501"/>
      <c r="WXT548" s="501"/>
      <c r="WXU548" s="501"/>
      <c r="WXV548" s="501"/>
      <c r="WXW548" s="501"/>
      <c r="WXX548" s="501"/>
      <c r="WXY548" s="501"/>
      <c r="WXZ548" s="501"/>
      <c r="WYA548" s="501"/>
      <c r="WYB548" s="501"/>
      <c r="WYC548" s="501"/>
      <c r="WYD548" s="501"/>
      <c r="WYE548" s="501"/>
      <c r="WYF548" s="501"/>
      <c r="WYG548" s="501"/>
      <c r="WYH548" s="501"/>
      <c r="WYI548" s="501"/>
      <c r="WYJ548" s="501"/>
      <c r="WYK548" s="501"/>
      <c r="WYL548" s="501"/>
      <c r="WYM548" s="501"/>
      <c r="WYN548" s="501"/>
      <c r="WYO548" s="501"/>
      <c r="WYP548" s="501"/>
      <c r="WYQ548" s="501"/>
      <c r="WYR548" s="501"/>
      <c r="WYS548" s="501"/>
      <c r="WYT548" s="501"/>
      <c r="WYU548" s="501"/>
      <c r="WYV548" s="501"/>
      <c r="WYW548" s="501"/>
      <c r="WYX548" s="501"/>
      <c r="WYY548" s="501"/>
      <c r="WYZ548" s="501"/>
      <c r="WZA548" s="501"/>
      <c r="WZB548" s="501"/>
      <c r="WZC548" s="501"/>
      <c r="WZD548" s="501"/>
      <c r="WZE548" s="501"/>
      <c r="WZF548" s="501"/>
      <c r="WZG548" s="501"/>
      <c r="WZH548" s="501"/>
      <c r="WZI548" s="501"/>
      <c r="WZJ548" s="501"/>
      <c r="WZK548" s="501"/>
      <c r="WZL548" s="501"/>
      <c r="WZM548" s="501"/>
      <c r="WZN548" s="501"/>
      <c r="WZO548" s="501"/>
      <c r="WZP548" s="501"/>
      <c r="WZQ548" s="501"/>
      <c r="WZR548" s="501"/>
      <c r="WZS548" s="501"/>
      <c r="WZT548" s="501"/>
      <c r="WZU548" s="501"/>
      <c r="WZV548" s="501"/>
      <c r="WZW548" s="501"/>
      <c r="WZX548" s="501"/>
      <c r="WZY548" s="501"/>
      <c r="WZZ548" s="501"/>
      <c r="XAA548" s="501"/>
      <c r="XAB548" s="501"/>
      <c r="XAC548" s="501"/>
      <c r="XAD548" s="501"/>
      <c r="XAE548" s="501"/>
      <c r="XAF548" s="501"/>
      <c r="XAG548" s="501"/>
      <c r="XAH548" s="501"/>
      <c r="XAI548" s="501"/>
      <c r="XAJ548" s="501"/>
      <c r="XAK548" s="501"/>
      <c r="XAL548" s="501"/>
      <c r="XAM548" s="501"/>
      <c r="XAN548" s="501"/>
      <c r="XAO548" s="501"/>
      <c r="XAP548" s="501"/>
      <c r="XAQ548" s="501"/>
      <c r="XAR548" s="501"/>
      <c r="XAS548" s="501"/>
      <c r="XAT548" s="501"/>
      <c r="XAU548" s="501"/>
      <c r="XAV548" s="501"/>
      <c r="XAW548" s="501"/>
      <c r="XAX548" s="501"/>
      <c r="XAY548" s="501"/>
      <c r="XAZ548" s="501"/>
      <c r="XBA548" s="501"/>
      <c r="XBB548" s="501"/>
      <c r="XBC548" s="501"/>
      <c r="XBD548" s="501"/>
      <c r="XBE548" s="501"/>
      <c r="XBF548" s="501"/>
      <c r="XBG548" s="501"/>
      <c r="XBH548" s="501"/>
      <c r="XBI548" s="501"/>
      <c r="XBJ548" s="501"/>
      <c r="XBK548" s="501"/>
      <c r="XBL548" s="501"/>
      <c r="XBM548" s="501"/>
      <c r="XBN548" s="501"/>
      <c r="XBO548" s="501"/>
      <c r="XBP548" s="501"/>
      <c r="XBQ548" s="501"/>
      <c r="XBR548" s="501"/>
      <c r="XBS548" s="501"/>
      <c r="XBT548" s="501"/>
      <c r="XBU548" s="501"/>
      <c r="XBV548" s="501"/>
      <c r="XBW548" s="501"/>
      <c r="XBX548" s="501"/>
      <c r="XBY548" s="501"/>
      <c r="XBZ548" s="501"/>
      <c r="XCA548" s="501"/>
      <c r="XCB548" s="501"/>
      <c r="XCC548" s="501"/>
      <c r="XCD548" s="501"/>
      <c r="XCE548" s="501"/>
    </row>
    <row r="549" spans="1:16307" s="26" customFormat="1" x14ac:dyDescent="0.2">
      <c r="A549" s="107"/>
      <c r="B549" s="500"/>
      <c r="C549" s="836"/>
      <c r="D549" s="836"/>
      <c r="E549" s="836"/>
      <c r="F549" s="836"/>
      <c r="G549" s="836"/>
      <c r="H549" s="836"/>
      <c r="I549" s="836"/>
      <c r="J549" s="836"/>
      <c r="K549" s="836"/>
      <c r="L549" s="836"/>
      <c r="M549" s="836"/>
      <c r="N549" s="836"/>
      <c r="O549" s="836"/>
      <c r="P549" s="836"/>
      <c r="Q549" s="836"/>
      <c r="R549" s="836"/>
      <c r="S549" s="836"/>
      <c r="T549" s="836"/>
      <c r="U549" s="836"/>
      <c r="V549" s="836"/>
      <c r="W549" s="836"/>
      <c r="X549" s="836"/>
      <c r="Y549" s="836"/>
      <c r="Z549" s="836"/>
      <c r="AA549" s="836"/>
      <c r="AB549" s="836"/>
      <c r="AC549" s="836"/>
      <c r="AD549" s="836"/>
      <c r="AE549" s="836"/>
      <c r="AF549" s="836"/>
      <c r="AG549" s="836"/>
      <c r="AH549" s="836"/>
      <c r="AI549" s="836"/>
      <c r="AJ549" s="836"/>
      <c r="AK549" s="836"/>
      <c r="AL549" s="836"/>
      <c r="AM549" s="836"/>
      <c r="AN549" s="836"/>
      <c r="AO549" s="836"/>
      <c r="AP549" s="836"/>
      <c r="AQ549" s="836"/>
      <c r="AR549" s="836"/>
      <c r="AS549" s="836"/>
      <c r="AT549" s="836"/>
      <c r="AU549" s="836"/>
      <c r="AV549" s="836"/>
      <c r="AW549" s="836"/>
      <c r="AX549" s="836"/>
      <c r="AY549" s="836"/>
    </row>
    <row r="550" spans="1:16307" s="26" customFormat="1" x14ac:dyDescent="0.2">
      <c r="A550" s="2256" t="s">
        <v>897</v>
      </c>
      <c r="B550" s="2257"/>
      <c r="C550" s="2257"/>
      <c r="D550" s="2257"/>
      <c r="E550" s="2257"/>
      <c r="F550" s="2257"/>
      <c r="G550" s="2257"/>
      <c r="H550" s="2257"/>
      <c r="I550" s="2257"/>
      <c r="J550" s="2257"/>
      <c r="K550" s="2257"/>
      <c r="L550" s="2257"/>
      <c r="M550" s="2257"/>
      <c r="N550" s="2257"/>
      <c r="O550" s="2257"/>
      <c r="P550" s="2257"/>
      <c r="Q550" s="2257"/>
      <c r="R550" s="2257"/>
      <c r="S550" s="2257"/>
      <c r="T550" s="2257"/>
      <c r="U550" s="2257"/>
      <c r="V550" s="2257"/>
      <c r="W550" s="2257"/>
      <c r="X550" s="2257"/>
      <c r="Y550" s="2257"/>
      <c r="Z550" s="2257"/>
      <c r="AA550" s="2257"/>
      <c r="AB550" s="2257"/>
      <c r="AC550" s="2257"/>
      <c r="AD550" s="2257"/>
      <c r="AE550" s="2257"/>
      <c r="AF550" s="2257"/>
      <c r="AG550" s="2257"/>
      <c r="AH550" s="2257"/>
      <c r="AI550" s="2257"/>
      <c r="AJ550" s="2257"/>
      <c r="AK550" s="2257"/>
      <c r="AL550" s="2257"/>
      <c r="AM550" s="2257"/>
      <c r="AN550" s="2257"/>
      <c r="AO550" s="2257"/>
      <c r="AP550" s="2257"/>
      <c r="AQ550" s="2257"/>
      <c r="AR550" s="2257"/>
      <c r="AS550" s="2257"/>
      <c r="AT550" s="2257"/>
      <c r="AU550" s="2257"/>
      <c r="AV550" s="2257"/>
      <c r="AW550" s="2257"/>
      <c r="AX550" s="2257"/>
      <c r="AY550" s="2258"/>
    </row>
    <row r="551" spans="1:16307" s="26" customFormat="1" x14ac:dyDescent="0.2">
      <c r="A551" s="824" t="s">
        <v>654</v>
      </c>
      <c r="B551" s="825" t="s">
        <v>655</v>
      </c>
      <c r="C551" s="826">
        <v>40360</v>
      </c>
      <c r="D551" s="826">
        <v>40391</v>
      </c>
      <c r="E551" s="826">
        <v>40422</v>
      </c>
      <c r="F551" s="826">
        <v>40452</v>
      </c>
      <c r="G551" s="826">
        <v>40483</v>
      </c>
      <c r="H551" s="826">
        <v>40513</v>
      </c>
      <c r="I551" s="826">
        <v>40544</v>
      </c>
      <c r="J551" s="826">
        <v>40575</v>
      </c>
      <c r="K551" s="826">
        <v>40603</v>
      </c>
      <c r="L551" s="826">
        <v>40634</v>
      </c>
      <c r="M551" s="826">
        <v>40664</v>
      </c>
      <c r="N551" s="826">
        <v>40695</v>
      </c>
      <c r="O551" s="826">
        <v>40725</v>
      </c>
      <c r="P551" s="826">
        <v>40756</v>
      </c>
      <c r="Q551" s="826">
        <v>40787</v>
      </c>
      <c r="R551" s="826">
        <v>40817</v>
      </c>
      <c r="S551" s="826">
        <v>40848</v>
      </c>
      <c r="T551" s="826">
        <v>40878</v>
      </c>
      <c r="U551" s="826">
        <v>40909</v>
      </c>
      <c r="V551" s="826">
        <v>40940</v>
      </c>
      <c r="W551" s="826">
        <v>40969</v>
      </c>
      <c r="X551" s="826">
        <v>41000</v>
      </c>
      <c r="Y551" s="826">
        <v>41030</v>
      </c>
      <c r="Z551" s="826">
        <v>41061</v>
      </c>
      <c r="AA551" s="826">
        <v>41091</v>
      </c>
      <c r="AB551" s="826">
        <v>41122</v>
      </c>
      <c r="AC551" s="826">
        <v>41153</v>
      </c>
      <c r="AD551" s="826">
        <v>41183</v>
      </c>
      <c r="AE551" s="826">
        <v>41214</v>
      </c>
      <c r="AF551" s="826">
        <v>41244</v>
      </c>
      <c r="AG551" s="826">
        <v>41275</v>
      </c>
      <c r="AH551" s="826">
        <v>41306</v>
      </c>
      <c r="AI551" s="826">
        <v>41334</v>
      </c>
      <c r="AJ551" s="826">
        <v>41365</v>
      </c>
      <c r="AK551" s="826">
        <v>41395</v>
      </c>
      <c r="AL551" s="826">
        <v>41426</v>
      </c>
      <c r="AM551" s="826">
        <v>41456</v>
      </c>
      <c r="AN551" s="826">
        <v>41487</v>
      </c>
      <c r="AO551" s="826">
        <v>41518</v>
      </c>
      <c r="AP551" s="826">
        <v>41548</v>
      </c>
      <c r="AQ551" s="826">
        <v>41579</v>
      </c>
      <c r="AR551" s="826">
        <v>41609</v>
      </c>
      <c r="AS551" s="826">
        <v>41640</v>
      </c>
      <c r="AT551" s="826">
        <v>41671</v>
      </c>
      <c r="AU551" s="826">
        <v>41699</v>
      </c>
      <c r="AV551" s="826">
        <v>41730</v>
      </c>
      <c r="AW551" s="826">
        <v>41760</v>
      </c>
      <c r="AX551" s="826">
        <v>41791</v>
      </c>
      <c r="AY551" s="826">
        <v>41821</v>
      </c>
    </row>
    <row r="552" spans="1:16307" s="500" customFormat="1" x14ac:dyDescent="0.2">
      <c r="A552" s="827" t="s">
        <v>889</v>
      </c>
      <c r="B552" s="828" t="s">
        <v>898</v>
      </c>
      <c r="C552" s="829">
        <v>519706.60000000003</v>
      </c>
      <c r="D552" s="829">
        <v>395410.80000000005</v>
      </c>
      <c r="E552" s="829">
        <v>316161.80000000005</v>
      </c>
      <c r="F552" s="829">
        <v>308654</v>
      </c>
      <c r="G552" s="829">
        <v>493012.2</v>
      </c>
      <c r="H552" s="829">
        <v>947651.20000000007</v>
      </c>
      <c r="I552" s="829">
        <v>982687.60000000009</v>
      </c>
      <c r="J552" s="829">
        <v>474659.80000000005</v>
      </c>
      <c r="K552" s="829">
        <v>401250.2</v>
      </c>
      <c r="L552" s="829">
        <v>322001.2</v>
      </c>
      <c r="M552" s="829">
        <v>351198.2</v>
      </c>
      <c r="N552" s="829">
        <v>274451.8</v>
      </c>
      <c r="O552" s="829">
        <v>37539</v>
      </c>
      <c r="P552" s="829">
        <v>404587</v>
      </c>
      <c r="Q552" s="829">
        <v>459644.2</v>
      </c>
      <c r="R552" s="829">
        <v>527214.4</v>
      </c>
      <c r="S552" s="829">
        <v>569758.60000000009</v>
      </c>
      <c r="T552" s="829">
        <v>608966</v>
      </c>
      <c r="U552" s="829">
        <v>654847</v>
      </c>
      <c r="V552" s="829">
        <v>620644.80000000005</v>
      </c>
      <c r="W552" s="829">
        <v>524711.80000000005</v>
      </c>
      <c r="X552" s="829">
        <v>1393948.2000000002</v>
      </c>
      <c r="Y552" s="829">
        <v>601458.20000000007</v>
      </c>
      <c r="Z552" s="829">
        <v>583105.80000000005</v>
      </c>
      <c r="AA552" s="829">
        <v>642334</v>
      </c>
      <c r="AB552" s="829">
        <v>733261.8</v>
      </c>
      <c r="AC552" s="829">
        <v>677370.4</v>
      </c>
      <c r="AD552" s="829">
        <v>742438</v>
      </c>
      <c r="AE552" s="829">
        <v>886754.60000000009</v>
      </c>
      <c r="AF552" s="829">
        <v>978516.60000000009</v>
      </c>
      <c r="AG552" s="829">
        <v>1117828</v>
      </c>
      <c r="AH552" s="829">
        <v>953490.60000000009</v>
      </c>
      <c r="AI552" s="829">
        <v>797495.20000000007</v>
      </c>
      <c r="AJ552" s="829">
        <v>533888</v>
      </c>
      <c r="AK552" s="829">
        <v>681541.4</v>
      </c>
      <c r="AL552" s="829">
        <v>413763.2</v>
      </c>
      <c r="AM552" s="829">
        <v>726588.20000000007</v>
      </c>
      <c r="AN552" s="829">
        <v>731593.4</v>
      </c>
      <c r="AO552" s="829">
        <v>461312.60000000003</v>
      </c>
      <c r="AP552" s="829">
        <v>842542</v>
      </c>
      <c r="AQ552" s="829">
        <v>674867.8</v>
      </c>
      <c r="AR552" s="829">
        <v>809174</v>
      </c>
      <c r="AS552" s="829">
        <v>1115325.4000000001</v>
      </c>
      <c r="AT552" s="829">
        <v>682375.60000000009</v>
      </c>
      <c r="AU552" s="829">
        <v>902604.4</v>
      </c>
      <c r="AV552" s="829">
        <v>724919.8</v>
      </c>
      <c r="AW552" s="829">
        <v>504691.00000000006</v>
      </c>
      <c r="AX552" s="829">
        <v>397913.4</v>
      </c>
      <c r="AY552" s="829">
        <v>470488.80000000005</v>
      </c>
    </row>
    <row r="553" spans="1:16307" s="500" customFormat="1" ht="12.75" customHeight="1" x14ac:dyDescent="0.2">
      <c r="A553" s="830">
        <v>315</v>
      </c>
      <c r="B553" s="831" t="s">
        <v>899</v>
      </c>
      <c r="C553" s="832">
        <v>41710</v>
      </c>
      <c r="D553" s="832">
        <v>62565.000000000007</v>
      </c>
      <c r="E553" s="832">
        <v>100104</v>
      </c>
      <c r="F553" s="832">
        <v>153492.80000000002</v>
      </c>
      <c r="G553" s="832">
        <v>163503.20000000001</v>
      </c>
      <c r="H553" s="832">
        <v>216892</v>
      </c>
      <c r="I553" s="832">
        <v>296141</v>
      </c>
      <c r="J553" s="832">
        <v>200208</v>
      </c>
      <c r="K553" s="832">
        <v>166840</v>
      </c>
      <c r="L553" s="832">
        <v>135140.4</v>
      </c>
      <c r="M553" s="832">
        <v>94264.6</v>
      </c>
      <c r="N553" s="832">
        <v>101772.40000000001</v>
      </c>
      <c r="O553" s="832">
        <v>79249</v>
      </c>
      <c r="P553" s="832">
        <v>165171.6</v>
      </c>
      <c r="Q553" s="832">
        <v>141814</v>
      </c>
      <c r="R553" s="832">
        <v>164337.40000000002</v>
      </c>
      <c r="S553" s="832">
        <v>206881.6</v>
      </c>
      <c r="T553" s="832">
        <v>207048.44</v>
      </c>
      <c r="U553" s="832">
        <v>208216.32000000001</v>
      </c>
      <c r="V553" s="832">
        <v>242752.2</v>
      </c>
      <c r="W553" s="832">
        <v>211052.6</v>
      </c>
      <c r="X553" s="832">
        <v>160166.40000000002</v>
      </c>
      <c r="Y553" s="832">
        <v>82585.8</v>
      </c>
      <c r="Z553" s="832">
        <v>59228.200000000004</v>
      </c>
      <c r="AA553" s="832">
        <v>65901.8</v>
      </c>
      <c r="AB553" s="832">
        <v>85922.6</v>
      </c>
      <c r="AC553" s="832">
        <v>171011</v>
      </c>
      <c r="AD553" s="832">
        <v>170176.80000000002</v>
      </c>
      <c r="AE553" s="832">
        <v>208550</v>
      </c>
      <c r="AF553" s="832">
        <v>219394.6</v>
      </c>
      <c r="AG553" s="832">
        <v>291970</v>
      </c>
      <c r="AH553" s="832">
        <v>254848.1</v>
      </c>
      <c r="AI553" s="832">
        <v>229405</v>
      </c>
      <c r="AJ553" s="832">
        <v>171011</v>
      </c>
      <c r="AK553" s="832">
        <v>145985</v>
      </c>
      <c r="AL553" s="832">
        <v>52554.600000000006</v>
      </c>
      <c r="AM553" s="832">
        <v>59228.200000000004</v>
      </c>
      <c r="AN553" s="832">
        <v>95933</v>
      </c>
      <c r="AO553" s="832">
        <v>132637.80000000002</v>
      </c>
      <c r="AP553" s="832">
        <v>192700.2</v>
      </c>
      <c r="AQ553" s="832">
        <v>214389.40000000002</v>
      </c>
      <c r="AR553" s="832">
        <v>207715.80000000002</v>
      </c>
      <c r="AS553" s="832">
        <v>381229.4</v>
      </c>
      <c r="AT553" s="832">
        <v>204379</v>
      </c>
      <c r="AU553" s="832">
        <v>255265.2</v>
      </c>
      <c r="AV553" s="832">
        <v>206881.6</v>
      </c>
      <c r="AW553" s="832">
        <v>81751.600000000006</v>
      </c>
      <c r="AX553" s="832">
        <v>45881</v>
      </c>
      <c r="AY553" s="832">
        <v>58394.000000000007</v>
      </c>
    </row>
    <row r="554" spans="1:16307" s="500" customFormat="1" ht="12.75" customHeight="1" x14ac:dyDescent="0.2">
      <c r="A554" s="830" t="s">
        <v>892</v>
      </c>
      <c r="B554" s="831" t="s">
        <v>900</v>
      </c>
      <c r="C554" s="832">
        <v>0</v>
      </c>
      <c r="D554" s="832">
        <v>0</v>
      </c>
      <c r="E554" s="832">
        <v>0</v>
      </c>
      <c r="F554" s="832">
        <v>0</v>
      </c>
      <c r="G554" s="832">
        <v>0</v>
      </c>
      <c r="H554" s="832">
        <v>0</v>
      </c>
      <c r="I554" s="832">
        <v>0</v>
      </c>
      <c r="J554" s="832">
        <v>0</v>
      </c>
      <c r="K554" s="832">
        <v>0</v>
      </c>
      <c r="L554" s="832">
        <v>0</v>
      </c>
      <c r="M554" s="832">
        <v>0</v>
      </c>
      <c r="N554" s="832">
        <v>0</v>
      </c>
      <c r="O554" s="832">
        <v>0</v>
      </c>
      <c r="P554" s="832">
        <v>0</v>
      </c>
      <c r="Q554" s="832">
        <v>0</v>
      </c>
      <c r="R554" s="832">
        <v>0</v>
      </c>
      <c r="S554" s="832">
        <v>0</v>
      </c>
      <c r="T554" s="832">
        <v>0</v>
      </c>
      <c r="U554" s="832">
        <v>0</v>
      </c>
      <c r="V554" s="832">
        <v>0</v>
      </c>
      <c r="W554" s="832">
        <v>0</v>
      </c>
      <c r="X554" s="832">
        <v>0</v>
      </c>
      <c r="Y554" s="832">
        <v>210652.18400000001</v>
      </c>
      <c r="Z554" s="832">
        <v>60696.392000000007</v>
      </c>
      <c r="AA554" s="832">
        <v>83545.13</v>
      </c>
      <c r="AB554" s="832">
        <v>170660.636</v>
      </c>
      <c r="AC554" s="832">
        <v>189229.92800000001</v>
      </c>
      <c r="AD554" s="832">
        <v>343473.50800000003</v>
      </c>
      <c r="AE554" s="832">
        <v>382747.64400000003</v>
      </c>
      <c r="AF554" s="832">
        <v>356320.18800000002</v>
      </c>
      <c r="AG554" s="832">
        <v>498426.15800000005</v>
      </c>
      <c r="AH554" s="832">
        <v>606463.4</v>
      </c>
      <c r="AI554" s="832">
        <v>623147.4</v>
      </c>
      <c r="AJ554" s="832">
        <v>367048</v>
      </c>
      <c r="AK554" s="832">
        <v>385400.4</v>
      </c>
      <c r="AL554" s="832">
        <v>272783.40000000002</v>
      </c>
      <c r="AM554" s="832">
        <v>340353.60000000003</v>
      </c>
      <c r="AN554" s="832">
        <v>437120.80000000005</v>
      </c>
      <c r="AO554" s="832">
        <v>359540.2</v>
      </c>
      <c r="AP554" s="832">
        <v>462981.00000000006</v>
      </c>
      <c r="AQ554" s="832">
        <v>530551.20000000007</v>
      </c>
      <c r="AR554" s="832">
        <v>387068.80000000005</v>
      </c>
      <c r="AS554" s="832">
        <v>846713</v>
      </c>
      <c r="AT554" s="832">
        <v>451302.2</v>
      </c>
      <c r="AU554" s="832">
        <v>542230</v>
      </c>
      <c r="AV554" s="832">
        <v>358706</v>
      </c>
      <c r="AW554" s="832">
        <v>216892</v>
      </c>
      <c r="AX554" s="832">
        <v>246923.2</v>
      </c>
      <c r="AY554" s="832">
        <v>286964.80000000005</v>
      </c>
    </row>
    <row r="555" spans="1:16307" s="501" customFormat="1" x14ac:dyDescent="0.2">
      <c r="A555" s="833" t="s">
        <v>889</v>
      </c>
      <c r="B555" s="834" t="s">
        <v>901</v>
      </c>
      <c r="C555" s="835">
        <v>22867.09</v>
      </c>
      <c r="D555" s="835">
        <v>17398.079999999998</v>
      </c>
      <c r="E555" s="835">
        <v>13911.12</v>
      </c>
      <c r="F555" s="835">
        <v>13580.779999999999</v>
      </c>
      <c r="G555" s="835">
        <v>21692.54</v>
      </c>
      <c r="H555" s="835">
        <v>41696.649999999994</v>
      </c>
      <c r="I555" s="835">
        <v>43238.25</v>
      </c>
      <c r="J555" s="835">
        <v>20885.04</v>
      </c>
      <c r="K555" s="835">
        <v>17655.009999999998</v>
      </c>
      <c r="L555" s="835">
        <v>14168.050000000001</v>
      </c>
      <c r="M555" s="835">
        <v>15452.72</v>
      </c>
      <c r="N555" s="835">
        <v>5764.08</v>
      </c>
      <c r="O555" s="835">
        <v>788.4</v>
      </c>
      <c r="P555" s="835">
        <v>8497.2000000000007</v>
      </c>
      <c r="Q555" s="835">
        <v>9653.52</v>
      </c>
      <c r="R555" s="835">
        <v>11072.64</v>
      </c>
      <c r="S555" s="835">
        <v>11966.16</v>
      </c>
      <c r="T555" s="835">
        <v>12789.6</v>
      </c>
      <c r="U555" s="835">
        <v>13753.199999999999</v>
      </c>
      <c r="V555" s="835">
        <v>13034.880000000001</v>
      </c>
      <c r="W555" s="835">
        <v>11020.08</v>
      </c>
      <c r="X555" s="835">
        <v>29275.919999999998</v>
      </c>
      <c r="Y555" s="835">
        <v>12631.92</v>
      </c>
      <c r="Z555" s="835">
        <v>12246.48</v>
      </c>
      <c r="AA555" s="835">
        <v>13490.4</v>
      </c>
      <c r="AB555" s="835">
        <v>15400.08</v>
      </c>
      <c r="AC555" s="835">
        <v>14226.24</v>
      </c>
      <c r="AD555" s="835">
        <v>15592.8</v>
      </c>
      <c r="AE555" s="835">
        <v>18623.760000000002</v>
      </c>
      <c r="AF555" s="835">
        <v>20550.96</v>
      </c>
      <c r="AG555" s="835">
        <v>23476.799999999999</v>
      </c>
      <c r="AH555" s="835">
        <v>20025.36</v>
      </c>
      <c r="AI555" s="835">
        <v>16749.12</v>
      </c>
      <c r="AJ555" s="835">
        <v>11212.8</v>
      </c>
      <c r="AK555" s="835">
        <v>14313.84</v>
      </c>
      <c r="AL555" s="835">
        <v>8689.92</v>
      </c>
      <c r="AM555" s="835">
        <v>15259.92</v>
      </c>
      <c r="AN555" s="835">
        <v>15365.04</v>
      </c>
      <c r="AO555" s="835">
        <v>9688.5600000000013</v>
      </c>
      <c r="AP555" s="835">
        <v>17695.2</v>
      </c>
      <c r="AQ555" s="835">
        <v>14173.679999999998</v>
      </c>
      <c r="AR555" s="835">
        <v>16994.400000000001</v>
      </c>
      <c r="AS555" s="835">
        <v>23424.239999999998</v>
      </c>
      <c r="AT555" s="835">
        <v>14331.36</v>
      </c>
      <c r="AU555" s="835">
        <v>18956.64</v>
      </c>
      <c r="AV555" s="835">
        <v>15224.88</v>
      </c>
      <c r="AW555" s="835">
        <v>10599.6</v>
      </c>
      <c r="AX555" s="835">
        <v>8357.0399999999991</v>
      </c>
      <c r="AY555" s="835">
        <v>9881.2800000000007</v>
      </c>
      <c r="AZ555" s="500"/>
      <c r="BA555" s="500"/>
      <c r="BB555" s="500"/>
      <c r="BC555" s="500"/>
      <c r="BD555" s="500"/>
      <c r="BE555" s="500"/>
      <c r="BF555" s="500"/>
      <c r="BG555" s="500"/>
      <c r="BH555" s="500"/>
      <c r="BI555" s="500"/>
      <c r="BJ555" s="500"/>
      <c r="BK555" s="500"/>
      <c r="BL555" s="500"/>
      <c r="BM555" s="500"/>
      <c r="BN555" s="500"/>
      <c r="BO555" s="500"/>
      <c r="BP555" s="500"/>
      <c r="BQ555" s="500"/>
      <c r="BR555" s="500"/>
      <c r="BS555" s="500"/>
      <c r="BT555" s="500"/>
      <c r="BU555" s="500"/>
      <c r="BV555" s="500"/>
      <c r="BW555" s="500"/>
      <c r="BX555" s="500"/>
      <c r="BY555" s="500"/>
      <c r="BZ555" s="500"/>
      <c r="CA555" s="500"/>
      <c r="CB555" s="500"/>
      <c r="CC555" s="500"/>
      <c r="CD555" s="500"/>
      <c r="CE555" s="500"/>
      <c r="CF555" s="500"/>
      <c r="CG555" s="500"/>
      <c r="CH555" s="500"/>
      <c r="CI555" s="500"/>
      <c r="CJ555" s="500"/>
      <c r="CK555" s="500"/>
      <c r="CL555" s="500"/>
      <c r="CM555" s="500"/>
      <c r="CN555" s="500"/>
      <c r="CO555" s="500"/>
      <c r="CP555" s="500"/>
      <c r="CQ555" s="500"/>
      <c r="CR555" s="500"/>
      <c r="CS555" s="500"/>
      <c r="CT555" s="500"/>
      <c r="CU555" s="500"/>
      <c r="CV555" s="500"/>
      <c r="CW555" s="500"/>
      <c r="CX555" s="500"/>
      <c r="CY555" s="500"/>
      <c r="CZ555" s="500"/>
      <c r="DA555" s="500"/>
      <c r="DB555" s="500"/>
      <c r="DC555" s="500"/>
      <c r="DD555" s="500"/>
      <c r="DE555" s="500"/>
      <c r="DF555" s="500"/>
      <c r="DG555" s="500"/>
      <c r="DH555" s="500"/>
      <c r="DI555" s="500"/>
      <c r="DJ555" s="500"/>
      <c r="DK555" s="500"/>
      <c r="DL555" s="500"/>
      <c r="DM555" s="500"/>
      <c r="DN555" s="500"/>
      <c r="DO555" s="500"/>
      <c r="DP555" s="500"/>
      <c r="DQ555" s="500"/>
      <c r="DR555" s="500"/>
      <c r="DS555" s="500"/>
      <c r="DT555" s="500"/>
      <c r="DU555" s="500"/>
      <c r="DV555" s="500"/>
      <c r="DW555" s="500"/>
      <c r="DX555" s="500"/>
      <c r="DY555" s="500"/>
      <c r="DZ555" s="500"/>
      <c r="EA555" s="500"/>
      <c r="EB555" s="500"/>
      <c r="EC555" s="500"/>
      <c r="ED555" s="500"/>
      <c r="EE555" s="500"/>
      <c r="EF555" s="500"/>
      <c r="EG555" s="500"/>
      <c r="EH555" s="500"/>
      <c r="EI555" s="500"/>
      <c r="EJ555" s="500"/>
      <c r="EK555" s="500"/>
      <c r="EL555" s="500"/>
      <c r="EM555" s="500"/>
      <c r="EN555" s="500"/>
      <c r="EO555" s="500"/>
      <c r="EP555" s="500"/>
      <c r="EQ555" s="500"/>
      <c r="ER555" s="500"/>
      <c r="ES555" s="500"/>
      <c r="ET555" s="500"/>
      <c r="EU555" s="500"/>
      <c r="EV555" s="500"/>
      <c r="EW555" s="500"/>
      <c r="EX555" s="500"/>
      <c r="EY555" s="500"/>
      <c r="EZ555" s="500"/>
      <c r="FA555" s="500"/>
      <c r="FB555" s="500"/>
      <c r="FC555" s="500"/>
      <c r="FD555" s="500"/>
      <c r="FE555" s="500"/>
      <c r="FF555" s="500"/>
      <c r="FG555" s="500"/>
      <c r="FH555" s="500"/>
      <c r="FI555" s="500"/>
      <c r="FJ555" s="500"/>
      <c r="FK555" s="500"/>
      <c r="FL555" s="500"/>
      <c r="FM555" s="500"/>
      <c r="FN555" s="500"/>
      <c r="FO555" s="500"/>
      <c r="FP555" s="500"/>
      <c r="FQ555" s="500"/>
      <c r="FR555" s="500"/>
      <c r="FS555" s="500"/>
      <c r="FT555" s="500"/>
      <c r="FU555" s="500"/>
      <c r="FV555" s="500"/>
      <c r="FW555" s="500"/>
      <c r="FX555" s="500"/>
      <c r="FY555" s="500"/>
      <c r="FZ555" s="500"/>
      <c r="GA555" s="500"/>
      <c r="GB555" s="500"/>
      <c r="GC555" s="500"/>
      <c r="GD555" s="500"/>
      <c r="GE555" s="500"/>
      <c r="GF555" s="500"/>
      <c r="GG555" s="500"/>
      <c r="GH555" s="500"/>
      <c r="GI555" s="500"/>
      <c r="GJ555" s="500"/>
      <c r="GK555" s="500"/>
      <c r="GL555" s="500"/>
      <c r="GM555" s="500"/>
      <c r="GN555" s="500"/>
      <c r="GO555" s="500"/>
      <c r="GP555" s="500"/>
      <c r="GQ555" s="500"/>
      <c r="GR555" s="500"/>
      <c r="GS555" s="500"/>
      <c r="GT555" s="500"/>
      <c r="GU555" s="500"/>
      <c r="GV555" s="500"/>
      <c r="GW555" s="500"/>
      <c r="GX555" s="500"/>
      <c r="GY555" s="500"/>
      <c r="GZ555" s="500"/>
      <c r="HA555" s="500"/>
      <c r="HB555" s="500"/>
      <c r="HC555" s="500"/>
      <c r="HD555" s="500"/>
      <c r="HE555" s="500"/>
      <c r="HF555" s="500"/>
      <c r="HG555" s="500"/>
      <c r="HH555" s="500"/>
      <c r="HI555" s="500"/>
      <c r="HJ555" s="500"/>
      <c r="HK555" s="500"/>
      <c r="HL555" s="500"/>
      <c r="HM555" s="500"/>
      <c r="HN555" s="500"/>
      <c r="HO555" s="500"/>
      <c r="HP555" s="500"/>
      <c r="HQ555" s="500"/>
      <c r="HR555" s="500"/>
      <c r="HS555" s="500"/>
      <c r="HT555" s="500"/>
      <c r="HU555" s="500"/>
      <c r="HV555" s="500"/>
      <c r="HW555" s="500"/>
      <c r="HX555" s="500"/>
      <c r="HY555" s="500"/>
      <c r="HZ555" s="500"/>
      <c r="IA555" s="500"/>
      <c r="IB555" s="500"/>
      <c r="IC555" s="500"/>
      <c r="ID555" s="500"/>
      <c r="IE555" s="500"/>
      <c r="IF555" s="500"/>
      <c r="IG555" s="500"/>
      <c r="IH555" s="500"/>
      <c r="II555" s="500"/>
      <c r="IJ555" s="500"/>
      <c r="IK555" s="500"/>
      <c r="IL555" s="500"/>
      <c r="IM555" s="500"/>
      <c r="IN555" s="500"/>
      <c r="IO555" s="500"/>
      <c r="IP555" s="500"/>
      <c r="IQ555" s="500"/>
      <c r="IR555" s="500"/>
      <c r="IS555" s="500"/>
      <c r="IT555" s="500"/>
      <c r="IU555" s="500"/>
      <c r="IV555" s="500"/>
      <c r="IW555" s="500"/>
      <c r="IX555" s="500"/>
      <c r="IY555" s="500"/>
      <c r="IZ555" s="500"/>
      <c r="JA555" s="500"/>
      <c r="JB555" s="500"/>
      <c r="JC555" s="500"/>
      <c r="JD555" s="500"/>
      <c r="JE555" s="500"/>
      <c r="JF555" s="500"/>
      <c r="JG555" s="500"/>
      <c r="JH555" s="500"/>
      <c r="JI555" s="500"/>
      <c r="JJ555" s="500"/>
      <c r="JK555" s="500"/>
      <c r="JL555" s="500"/>
      <c r="JM555" s="500"/>
      <c r="JN555" s="500"/>
      <c r="JO555" s="500"/>
      <c r="JP555" s="500"/>
      <c r="JQ555" s="500"/>
      <c r="JR555" s="500"/>
      <c r="JS555" s="500"/>
      <c r="JT555" s="500"/>
      <c r="JU555" s="500"/>
      <c r="JV555" s="500"/>
      <c r="JW555" s="500"/>
      <c r="JX555" s="500"/>
      <c r="JY555" s="500"/>
      <c r="JZ555" s="500"/>
      <c r="KA555" s="500"/>
      <c r="KB555" s="500"/>
      <c r="KC555" s="500"/>
      <c r="KD555" s="500"/>
      <c r="KE555" s="500"/>
      <c r="KF555" s="500"/>
      <c r="KG555" s="500"/>
      <c r="KH555" s="500"/>
      <c r="KI555" s="500"/>
      <c r="KJ555" s="500"/>
      <c r="KK555" s="500"/>
      <c r="KL555" s="500"/>
      <c r="KM555" s="500"/>
      <c r="KN555" s="500"/>
      <c r="KO555" s="500"/>
      <c r="KP555" s="500"/>
      <c r="KQ555" s="500"/>
      <c r="KR555" s="500"/>
      <c r="KS555" s="500"/>
      <c r="KT555" s="500"/>
      <c r="KU555" s="500"/>
      <c r="KV555" s="500"/>
      <c r="KW555" s="500"/>
      <c r="KX555" s="500"/>
      <c r="KY555" s="500"/>
      <c r="KZ555" s="500"/>
      <c r="LA555" s="500"/>
      <c r="LB555" s="500"/>
      <c r="LC555" s="500"/>
      <c r="LD555" s="500"/>
      <c r="LE555" s="500"/>
      <c r="LF555" s="500"/>
      <c r="LG555" s="500"/>
      <c r="LH555" s="500"/>
      <c r="LI555" s="500"/>
      <c r="LJ555" s="500"/>
      <c r="LK555" s="500"/>
      <c r="LL555" s="500"/>
      <c r="LM555" s="500"/>
      <c r="LN555" s="500"/>
      <c r="LO555" s="500"/>
      <c r="LP555" s="500"/>
      <c r="LQ555" s="500"/>
      <c r="LR555" s="500"/>
      <c r="LS555" s="500"/>
      <c r="LT555" s="500"/>
      <c r="LU555" s="500"/>
      <c r="LV555" s="500"/>
      <c r="LW555" s="500"/>
      <c r="LX555" s="500"/>
      <c r="LY555" s="500"/>
      <c r="LZ555" s="500"/>
      <c r="MA555" s="500"/>
      <c r="MB555" s="500"/>
      <c r="MC555" s="500"/>
      <c r="MD555" s="500"/>
      <c r="ME555" s="500"/>
      <c r="MF555" s="500"/>
      <c r="MG555" s="500"/>
      <c r="MH555" s="500"/>
      <c r="MI555" s="500"/>
      <c r="MJ555" s="500"/>
      <c r="MK555" s="500"/>
      <c r="ML555" s="500"/>
      <c r="MM555" s="500"/>
      <c r="MN555" s="500"/>
      <c r="MO555" s="500"/>
      <c r="MP555" s="500"/>
      <c r="MQ555" s="500"/>
      <c r="MR555" s="500"/>
      <c r="MS555" s="500"/>
      <c r="MT555" s="500"/>
      <c r="MU555" s="500"/>
      <c r="MV555" s="500"/>
      <c r="MW555" s="500"/>
      <c r="MX555" s="500"/>
      <c r="MY555" s="500"/>
      <c r="MZ555" s="500"/>
      <c r="NA555" s="500"/>
      <c r="NB555" s="500"/>
      <c r="NC555" s="500"/>
      <c r="ND555" s="500"/>
      <c r="NE555" s="500"/>
      <c r="NF555" s="500"/>
      <c r="NG555" s="500"/>
      <c r="NH555" s="500"/>
      <c r="NI555" s="500"/>
      <c r="NJ555" s="500"/>
      <c r="NK555" s="500"/>
      <c r="NL555" s="500"/>
      <c r="NM555" s="500"/>
      <c r="NN555" s="500"/>
      <c r="NO555" s="500"/>
      <c r="NP555" s="500"/>
      <c r="NQ555" s="500"/>
      <c r="NR555" s="500"/>
      <c r="NS555" s="500"/>
      <c r="NT555" s="500"/>
      <c r="NU555" s="500"/>
      <c r="NV555" s="500"/>
      <c r="NW555" s="500"/>
      <c r="NX555" s="500"/>
      <c r="NY555" s="500"/>
      <c r="NZ555" s="500"/>
      <c r="OA555" s="500"/>
      <c r="OB555" s="500"/>
      <c r="OC555" s="500"/>
      <c r="OD555" s="500"/>
      <c r="OE555" s="500"/>
      <c r="OF555" s="500"/>
      <c r="OG555" s="500"/>
      <c r="OH555" s="500"/>
      <c r="OI555" s="500"/>
      <c r="OJ555" s="500"/>
      <c r="OK555" s="500"/>
      <c r="OL555" s="500"/>
      <c r="OM555" s="500"/>
      <c r="ON555" s="500"/>
      <c r="OO555" s="500"/>
      <c r="OP555" s="500"/>
      <c r="OQ555" s="500"/>
      <c r="OR555" s="500"/>
      <c r="OS555" s="500"/>
      <c r="OT555" s="500"/>
      <c r="OU555" s="500"/>
      <c r="OV555" s="500"/>
      <c r="OW555" s="500"/>
      <c r="OX555" s="500"/>
      <c r="OY555" s="500"/>
      <c r="OZ555" s="500"/>
      <c r="PA555" s="500"/>
      <c r="PB555" s="500"/>
      <c r="PC555" s="500"/>
      <c r="PD555" s="500"/>
      <c r="PE555" s="500"/>
      <c r="PF555" s="500"/>
      <c r="PG555" s="500"/>
      <c r="PH555" s="500"/>
      <c r="PI555" s="500"/>
      <c r="PJ555" s="500"/>
      <c r="PK555" s="500"/>
      <c r="PL555" s="500"/>
      <c r="PM555" s="500"/>
      <c r="PN555" s="500"/>
      <c r="PO555" s="500"/>
      <c r="PP555" s="500"/>
      <c r="PQ555" s="500"/>
      <c r="PR555" s="500"/>
      <c r="PS555" s="500"/>
      <c r="PT555" s="500"/>
      <c r="PU555" s="500"/>
      <c r="PV555" s="500"/>
      <c r="PW555" s="500"/>
      <c r="PX555" s="500"/>
      <c r="PY555" s="500"/>
      <c r="PZ555" s="500"/>
      <c r="QA555" s="500"/>
      <c r="QB555" s="500"/>
      <c r="QC555" s="500"/>
      <c r="QD555" s="500"/>
      <c r="QE555" s="500"/>
      <c r="QF555" s="500"/>
      <c r="QG555" s="500"/>
      <c r="QH555" s="500"/>
      <c r="QI555" s="500"/>
      <c r="QJ555" s="500"/>
      <c r="QK555" s="500"/>
      <c r="QL555" s="500"/>
      <c r="QM555" s="500"/>
      <c r="QN555" s="500"/>
      <c r="QO555" s="500"/>
      <c r="QP555" s="500"/>
      <c r="QQ555" s="500"/>
      <c r="QR555" s="500"/>
      <c r="QS555" s="500"/>
      <c r="QT555" s="500"/>
      <c r="QU555" s="500"/>
      <c r="QV555" s="500"/>
      <c r="QW555" s="500"/>
      <c r="QX555" s="500"/>
      <c r="QY555" s="500"/>
      <c r="QZ555" s="500"/>
      <c r="RA555" s="500"/>
      <c r="RB555" s="500"/>
      <c r="RC555" s="500"/>
      <c r="RD555" s="500"/>
      <c r="RE555" s="500"/>
      <c r="RF555" s="500"/>
      <c r="RG555" s="500"/>
      <c r="RH555" s="500"/>
      <c r="RI555" s="500"/>
      <c r="RJ555" s="500"/>
      <c r="RK555" s="500"/>
      <c r="RL555" s="500"/>
      <c r="RM555" s="500"/>
      <c r="RN555" s="500"/>
      <c r="RO555" s="500"/>
      <c r="RP555" s="500"/>
      <c r="RQ555" s="500"/>
      <c r="RR555" s="500"/>
      <c r="RS555" s="500"/>
      <c r="RT555" s="500"/>
      <c r="RU555" s="500"/>
      <c r="RV555" s="500"/>
      <c r="RW555" s="500"/>
      <c r="RX555" s="500"/>
      <c r="RY555" s="500"/>
      <c r="RZ555" s="500"/>
      <c r="SA555" s="500"/>
      <c r="SB555" s="500"/>
      <c r="SC555" s="500"/>
      <c r="SD555" s="500"/>
      <c r="SE555" s="500"/>
      <c r="SF555" s="500"/>
      <c r="SG555" s="500"/>
      <c r="SH555" s="500"/>
      <c r="SI555" s="500"/>
      <c r="SJ555" s="500"/>
      <c r="SK555" s="500"/>
      <c r="SL555" s="500"/>
      <c r="SM555" s="500"/>
      <c r="SN555" s="500"/>
      <c r="SO555" s="500"/>
      <c r="SP555" s="500"/>
      <c r="SQ555" s="500"/>
      <c r="SR555" s="500"/>
      <c r="SS555" s="500"/>
      <c r="ST555" s="500"/>
      <c r="SU555" s="500"/>
      <c r="SV555" s="500"/>
      <c r="SW555" s="500"/>
      <c r="SX555" s="500"/>
      <c r="SY555" s="500"/>
      <c r="SZ555" s="500"/>
      <c r="TA555" s="500"/>
      <c r="TB555" s="500"/>
      <c r="TC555" s="500"/>
      <c r="TD555" s="500"/>
      <c r="TE555" s="500"/>
      <c r="TF555" s="500"/>
      <c r="TG555" s="500"/>
      <c r="TH555" s="500"/>
      <c r="TI555" s="500"/>
      <c r="TJ555" s="500"/>
      <c r="TK555" s="500"/>
      <c r="TL555" s="500"/>
      <c r="TM555" s="500"/>
      <c r="TN555" s="500"/>
      <c r="TO555" s="500"/>
      <c r="TP555" s="500"/>
      <c r="TQ555" s="500"/>
      <c r="TR555" s="500"/>
      <c r="TS555" s="500"/>
      <c r="TT555" s="500"/>
      <c r="TU555" s="500"/>
      <c r="TV555" s="500"/>
      <c r="TW555" s="500"/>
      <c r="TX555" s="500"/>
      <c r="TY555" s="500"/>
      <c r="TZ555" s="500"/>
      <c r="UA555" s="500"/>
      <c r="UB555" s="500"/>
      <c r="UC555" s="500"/>
      <c r="UD555" s="500"/>
      <c r="UE555" s="500"/>
      <c r="UF555" s="500"/>
      <c r="UG555" s="500"/>
      <c r="UH555" s="500"/>
      <c r="UI555" s="500"/>
      <c r="UJ555" s="500"/>
      <c r="UK555" s="500"/>
      <c r="UL555" s="500"/>
      <c r="UM555" s="500"/>
      <c r="UN555" s="500"/>
      <c r="UO555" s="500"/>
      <c r="UP555" s="500"/>
      <c r="UQ555" s="500"/>
      <c r="UR555" s="500"/>
      <c r="US555" s="500"/>
      <c r="UT555" s="500"/>
      <c r="UU555" s="500"/>
      <c r="UV555" s="500"/>
      <c r="UW555" s="500"/>
      <c r="UX555" s="500"/>
      <c r="UY555" s="500"/>
      <c r="UZ555" s="500"/>
      <c r="VA555" s="500"/>
      <c r="VB555" s="500"/>
      <c r="VC555" s="500"/>
      <c r="VD555" s="500"/>
      <c r="VE555" s="500"/>
      <c r="VF555" s="500"/>
      <c r="VG555" s="500"/>
      <c r="VH555" s="500"/>
      <c r="VI555" s="500"/>
      <c r="VJ555" s="500"/>
      <c r="VK555" s="500"/>
      <c r="VL555" s="500"/>
      <c r="VM555" s="500"/>
      <c r="VN555" s="500"/>
      <c r="VO555" s="500"/>
      <c r="VP555" s="500"/>
      <c r="VQ555" s="500"/>
      <c r="VR555" s="500"/>
      <c r="VS555" s="500"/>
      <c r="VT555" s="500"/>
      <c r="VU555" s="500"/>
      <c r="VV555" s="500"/>
      <c r="VW555" s="500"/>
      <c r="VX555" s="500"/>
      <c r="VY555" s="500"/>
      <c r="VZ555" s="500"/>
      <c r="WA555" s="500"/>
      <c r="WB555" s="500"/>
      <c r="WC555" s="500"/>
      <c r="WD555" s="500"/>
      <c r="WE555" s="500"/>
      <c r="WF555" s="500"/>
      <c r="WG555" s="500"/>
      <c r="WH555" s="500"/>
      <c r="WI555" s="500"/>
      <c r="WJ555" s="500"/>
      <c r="WK555" s="500"/>
      <c r="WL555" s="500"/>
      <c r="WM555" s="500"/>
      <c r="WN555" s="500"/>
      <c r="WO555" s="500"/>
      <c r="WP555" s="500"/>
      <c r="WQ555" s="500"/>
      <c r="WR555" s="500"/>
      <c r="WS555" s="500"/>
      <c r="WT555" s="500"/>
      <c r="WU555" s="500"/>
      <c r="WV555" s="500"/>
      <c r="WW555" s="500"/>
      <c r="WX555" s="500"/>
      <c r="WY555" s="500"/>
      <c r="WZ555" s="500"/>
      <c r="XA555" s="500"/>
      <c r="XB555" s="500"/>
      <c r="XC555" s="500"/>
      <c r="XD555" s="500"/>
      <c r="XE555" s="500"/>
      <c r="XF555" s="500"/>
      <c r="XG555" s="500"/>
      <c r="XH555" s="500"/>
      <c r="XI555" s="500"/>
      <c r="XJ555" s="500"/>
      <c r="XK555" s="500"/>
      <c r="XL555" s="500"/>
      <c r="XM555" s="500"/>
      <c r="XN555" s="500"/>
      <c r="XO555" s="500"/>
      <c r="XP555" s="500"/>
      <c r="XQ555" s="500"/>
      <c r="XR555" s="500"/>
      <c r="XS555" s="500"/>
      <c r="XT555" s="500"/>
      <c r="XU555" s="500"/>
      <c r="XV555" s="500"/>
      <c r="XW555" s="500"/>
      <c r="XX555" s="500"/>
      <c r="XY555" s="500"/>
      <c r="XZ555" s="500"/>
      <c r="YA555" s="500"/>
      <c r="YB555" s="500"/>
      <c r="YC555" s="500"/>
      <c r="YD555" s="500"/>
      <c r="YE555" s="500"/>
      <c r="YF555" s="500"/>
      <c r="YG555" s="500"/>
      <c r="YH555" s="500"/>
      <c r="YI555" s="500"/>
      <c r="YJ555" s="500"/>
      <c r="YK555" s="500"/>
      <c r="YL555" s="500"/>
      <c r="YM555" s="500"/>
      <c r="YN555" s="500"/>
      <c r="YO555" s="500"/>
      <c r="YP555" s="500"/>
      <c r="YQ555" s="500"/>
      <c r="YR555" s="500"/>
      <c r="YS555" s="500"/>
      <c r="YT555" s="500"/>
      <c r="YU555" s="500"/>
      <c r="YV555" s="500"/>
      <c r="YW555" s="500"/>
      <c r="YX555" s="500"/>
      <c r="YY555" s="500"/>
      <c r="YZ555" s="500"/>
      <c r="ZA555" s="500"/>
      <c r="ZB555" s="500"/>
      <c r="ZC555" s="500"/>
      <c r="ZD555" s="500"/>
      <c r="ZE555" s="500"/>
      <c r="ZF555" s="500"/>
      <c r="ZG555" s="500"/>
      <c r="ZH555" s="500"/>
      <c r="ZI555" s="500"/>
      <c r="ZJ555" s="500"/>
      <c r="ZK555" s="500"/>
      <c r="ZL555" s="500"/>
      <c r="ZM555" s="500"/>
      <c r="ZN555" s="500"/>
      <c r="ZO555" s="500"/>
      <c r="ZP555" s="500"/>
      <c r="ZQ555" s="500"/>
      <c r="ZR555" s="500"/>
      <c r="ZS555" s="500"/>
      <c r="ZT555" s="500"/>
      <c r="ZU555" s="500"/>
      <c r="ZV555" s="500"/>
      <c r="ZW555" s="500"/>
      <c r="ZX555" s="500"/>
      <c r="ZY555" s="500"/>
      <c r="ZZ555" s="500"/>
      <c r="AAA555" s="500"/>
      <c r="AAB555" s="500"/>
      <c r="AAC555" s="500"/>
      <c r="AAD555" s="500"/>
      <c r="AAE555" s="500"/>
      <c r="AAF555" s="500"/>
      <c r="AAG555" s="500"/>
      <c r="AAH555" s="500"/>
      <c r="AAI555" s="500"/>
      <c r="AAJ555" s="500"/>
      <c r="AAK555" s="500"/>
      <c r="AAL555" s="500"/>
      <c r="AAM555" s="500"/>
      <c r="AAN555" s="500"/>
      <c r="AAO555" s="500"/>
      <c r="AAP555" s="500"/>
      <c r="AAQ555" s="500"/>
      <c r="AAR555" s="500"/>
      <c r="AAS555" s="500"/>
      <c r="AAT555" s="500"/>
      <c r="AAU555" s="500"/>
      <c r="AAV555" s="500"/>
      <c r="AAW555" s="500"/>
      <c r="AAX555" s="500"/>
      <c r="AAY555" s="500"/>
      <c r="AAZ555" s="500"/>
      <c r="ABA555" s="500"/>
      <c r="ABB555" s="500"/>
      <c r="ABC555" s="500"/>
      <c r="ABD555" s="500"/>
      <c r="ABE555" s="500"/>
      <c r="ABF555" s="500"/>
      <c r="ABG555" s="500"/>
      <c r="ABH555" s="500"/>
      <c r="ABI555" s="500"/>
      <c r="ABJ555" s="500"/>
      <c r="ABK555" s="500"/>
      <c r="ABL555" s="500"/>
      <c r="ABM555" s="500"/>
      <c r="ABN555" s="500"/>
      <c r="ABO555" s="500"/>
      <c r="ABP555" s="500"/>
      <c r="ABQ555" s="500"/>
      <c r="ABR555" s="500"/>
      <c r="ABS555" s="500"/>
      <c r="ABT555" s="500"/>
      <c r="ABU555" s="500"/>
      <c r="ABV555" s="500"/>
      <c r="ABW555" s="500"/>
      <c r="ABX555" s="500"/>
      <c r="ABY555" s="500"/>
      <c r="ABZ555" s="500"/>
      <c r="ACA555" s="500"/>
      <c r="ACB555" s="500"/>
      <c r="ACC555" s="500"/>
      <c r="ACD555" s="500"/>
      <c r="ACE555" s="500"/>
      <c r="ACF555" s="500"/>
      <c r="ACG555" s="500"/>
      <c r="ACH555" s="500"/>
      <c r="ACI555" s="500"/>
      <c r="ACJ555" s="500"/>
      <c r="ACK555" s="500"/>
      <c r="ACL555" s="500"/>
      <c r="ACM555" s="500"/>
      <c r="ACN555" s="500"/>
      <c r="ACO555" s="500"/>
      <c r="ACP555" s="500"/>
      <c r="ACQ555" s="500"/>
      <c r="ACR555" s="500"/>
      <c r="ACS555" s="500"/>
      <c r="ACT555" s="500"/>
      <c r="ACU555" s="500"/>
      <c r="ACV555" s="500"/>
      <c r="ACW555" s="500"/>
      <c r="ACX555" s="500"/>
      <c r="ACY555" s="500"/>
      <c r="ACZ555" s="500"/>
      <c r="ADA555" s="500"/>
      <c r="ADB555" s="500"/>
      <c r="ADC555" s="500"/>
      <c r="ADD555" s="500"/>
      <c r="ADE555" s="500"/>
      <c r="ADF555" s="500"/>
      <c r="ADG555" s="500"/>
      <c r="ADH555" s="500"/>
      <c r="ADI555" s="500"/>
      <c r="ADJ555" s="500"/>
      <c r="ADK555" s="500"/>
      <c r="ADL555" s="500"/>
      <c r="ADM555" s="500"/>
      <c r="ADN555" s="500"/>
      <c r="ADO555" s="500"/>
      <c r="ADP555" s="500"/>
      <c r="ADQ555" s="500"/>
      <c r="ADR555" s="500"/>
      <c r="ADS555" s="500"/>
      <c r="ADT555" s="500"/>
      <c r="ADU555" s="500"/>
      <c r="ADV555" s="500"/>
      <c r="ADW555" s="500"/>
      <c r="ADX555" s="500"/>
      <c r="ADY555" s="500"/>
      <c r="ADZ555" s="500"/>
      <c r="AEA555" s="500"/>
      <c r="AEB555" s="500"/>
      <c r="AEC555" s="500"/>
      <c r="AED555" s="500"/>
      <c r="AEE555" s="500"/>
      <c r="AEF555" s="500"/>
      <c r="AEG555" s="500"/>
      <c r="AEH555" s="500"/>
      <c r="AEI555" s="500"/>
      <c r="AEJ555" s="500"/>
      <c r="AEK555" s="500"/>
      <c r="AEL555" s="500"/>
      <c r="AEM555" s="500"/>
      <c r="AEN555" s="500"/>
      <c r="AEO555" s="500"/>
      <c r="AEP555" s="500"/>
      <c r="AEQ555" s="500"/>
      <c r="AER555" s="500"/>
      <c r="AES555" s="500"/>
      <c r="AET555" s="500"/>
      <c r="AEU555" s="500"/>
      <c r="AEV555" s="500"/>
      <c r="AEW555" s="500"/>
      <c r="AEX555" s="500"/>
      <c r="AEY555" s="500"/>
      <c r="AEZ555" s="500"/>
      <c r="AFA555" s="500"/>
      <c r="AFB555" s="500"/>
      <c r="AFC555" s="500"/>
      <c r="AFD555" s="500"/>
      <c r="AFE555" s="500"/>
      <c r="AFF555" s="500"/>
      <c r="AFG555" s="500"/>
      <c r="AFH555" s="500"/>
      <c r="AFI555" s="500"/>
      <c r="AFJ555" s="500"/>
      <c r="AFK555" s="500"/>
      <c r="AFL555" s="500"/>
      <c r="AFM555" s="500"/>
      <c r="AFN555" s="500"/>
      <c r="AFO555" s="500"/>
      <c r="AFP555" s="500"/>
      <c r="AFQ555" s="500"/>
      <c r="AFR555" s="500"/>
      <c r="AFS555" s="500"/>
      <c r="AFT555" s="500"/>
      <c r="AFU555" s="500"/>
      <c r="AFV555" s="500"/>
      <c r="AFW555" s="500"/>
      <c r="AFX555" s="500"/>
      <c r="AFY555" s="500"/>
      <c r="AFZ555" s="500"/>
      <c r="AGA555" s="500"/>
      <c r="AGB555" s="500"/>
      <c r="AGC555" s="500"/>
      <c r="AGD555" s="500"/>
      <c r="AGE555" s="500"/>
      <c r="AGF555" s="500"/>
      <c r="AGG555" s="500"/>
      <c r="AGH555" s="500"/>
      <c r="AGI555" s="500"/>
      <c r="AGJ555" s="500"/>
      <c r="AGK555" s="500"/>
      <c r="AGL555" s="500"/>
      <c r="AGM555" s="500"/>
      <c r="AGN555" s="500"/>
      <c r="AGO555" s="500"/>
      <c r="AGP555" s="500"/>
      <c r="AGQ555" s="500"/>
      <c r="AGR555" s="500"/>
      <c r="AGS555" s="500"/>
      <c r="AGT555" s="500"/>
      <c r="AGU555" s="500"/>
      <c r="AGV555" s="500"/>
      <c r="AGW555" s="500"/>
      <c r="AGX555" s="500"/>
      <c r="AGY555" s="500"/>
      <c r="AGZ555" s="500"/>
      <c r="AHA555" s="500"/>
      <c r="AHB555" s="500"/>
      <c r="AHC555" s="500"/>
      <c r="AHD555" s="500"/>
      <c r="AHE555" s="500"/>
      <c r="AHF555" s="500"/>
      <c r="AHG555" s="500"/>
      <c r="AHH555" s="500"/>
      <c r="AHI555" s="500"/>
      <c r="AHJ555" s="500"/>
      <c r="AHK555" s="500"/>
      <c r="AHL555" s="500"/>
      <c r="AHM555" s="500"/>
      <c r="AHN555" s="500"/>
      <c r="AHO555" s="500"/>
      <c r="AHP555" s="500"/>
      <c r="AHQ555" s="500"/>
      <c r="AHR555" s="500"/>
      <c r="AHS555" s="500"/>
      <c r="AHT555" s="500"/>
      <c r="AHU555" s="500"/>
      <c r="AHV555" s="500"/>
      <c r="AHW555" s="500"/>
      <c r="AHX555" s="500"/>
      <c r="AHY555" s="500"/>
      <c r="AHZ555" s="500"/>
      <c r="AIA555" s="500"/>
      <c r="AIB555" s="500"/>
      <c r="AIC555" s="500"/>
      <c r="AID555" s="500"/>
      <c r="AIE555" s="500"/>
      <c r="AIF555" s="500"/>
      <c r="AIG555" s="500"/>
      <c r="AIH555" s="500"/>
      <c r="AII555" s="500"/>
      <c r="AIJ555" s="500"/>
      <c r="AIK555" s="500"/>
      <c r="AIL555" s="500"/>
      <c r="AIM555" s="500"/>
      <c r="AIN555" s="500"/>
      <c r="AIO555" s="500"/>
      <c r="AIP555" s="500"/>
      <c r="AIQ555" s="500"/>
      <c r="AIR555" s="500"/>
      <c r="AIS555" s="500"/>
      <c r="AIT555" s="500"/>
      <c r="AIU555" s="500"/>
      <c r="AIV555" s="500"/>
      <c r="AIW555" s="500"/>
      <c r="AIX555" s="500"/>
      <c r="AIY555" s="500"/>
      <c r="AIZ555" s="500"/>
      <c r="AJA555" s="500"/>
      <c r="AJB555" s="500"/>
      <c r="AJC555" s="500"/>
      <c r="AJD555" s="500"/>
      <c r="AJE555" s="500"/>
      <c r="AJF555" s="500"/>
      <c r="AJG555" s="500"/>
      <c r="AJH555" s="500"/>
      <c r="AJI555" s="500"/>
      <c r="AJJ555" s="500"/>
      <c r="AJK555" s="500"/>
      <c r="AJL555" s="500"/>
      <c r="AJM555" s="500"/>
      <c r="AJN555" s="500"/>
      <c r="AJO555" s="500"/>
      <c r="AJP555" s="500"/>
      <c r="AJQ555" s="500"/>
      <c r="AJR555" s="500"/>
      <c r="AJS555" s="500"/>
      <c r="AJT555" s="500"/>
      <c r="AJU555" s="500"/>
      <c r="AJV555" s="500"/>
      <c r="AJW555" s="500"/>
      <c r="AJX555" s="500"/>
      <c r="AJY555" s="500"/>
      <c r="AJZ555" s="500"/>
      <c r="AKA555" s="500"/>
      <c r="AKB555" s="500"/>
      <c r="AKC555" s="500"/>
      <c r="AKD555" s="500"/>
      <c r="AKE555" s="500"/>
      <c r="AKF555" s="500"/>
      <c r="AKG555" s="500"/>
      <c r="AKH555" s="500"/>
      <c r="AKI555" s="500"/>
      <c r="AKJ555" s="500"/>
      <c r="AKK555" s="500"/>
      <c r="AKL555" s="500"/>
      <c r="AKM555" s="500"/>
      <c r="AKN555" s="500"/>
      <c r="AKO555" s="500"/>
      <c r="AKP555" s="500"/>
      <c r="AKQ555" s="500"/>
      <c r="AKR555" s="500"/>
      <c r="AKS555" s="500"/>
      <c r="AKT555" s="500"/>
      <c r="AKU555" s="500"/>
      <c r="AKV555" s="500"/>
      <c r="AKW555" s="500"/>
      <c r="AKX555" s="500"/>
      <c r="AKY555" s="500"/>
      <c r="AKZ555" s="500"/>
      <c r="ALA555" s="500"/>
      <c r="ALB555" s="500"/>
      <c r="ALC555" s="500"/>
      <c r="ALD555" s="500"/>
      <c r="ALE555" s="500"/>
      <c r="ALF555" s="500"/>
      <c r="ALG555" s="500"/>
      <c r="ALH555" s="500"/>
      <c r="ALI555" s="500"/>
      <c r="ALJ555" s="500"/>
      <c r="ALK555" s="500"/>
      <c r="ALL555" s="500"/>
      <c r="ALM555" s="500"/>
      <c r="ALN555" s="500"/>
      <c r="ALO555" s="500"/>
      <c r="ALP555" s="500"/>
      <c r="ALQ555" s="500"/>
      <c r="ALR555" s="500"/>
      <c r="ALS555" s="500"/>
      <c r="ALT555" s="500"/>
      <c r="ALU555" s="500"/>
      <c r="ALV555" s="500"/>
      <c r="ALW555" s="500"/>
      <c r="ALX555" s="500"/>
      <c r="ALY555" s="500"/>
      <c r="ALZ555" s="500"/>
      <c r="AMA555" s="500"/>
      <c r="AMB555" s="500"/>
      <c r="AMC555" s="500"/>
      <c r="AMD555" s="500"/>
      <c r="AME555" s="500"/>
      <c r="AMF555" s="500"/>
      <c r="AMG555" s="500"/>
      <c r="AMH555" s="500"/>
      <c r="AMI555" s="500"/>
      <c r="AMJ555" s="500"/>
      <c r="AMK555" s="500"/>
      <c r="AML555" s="500"/>
      <c r="AMM555" s="500"/>
      <c r="AMN555" s="500"/>
      <c r="AMO555" s="500"/>
      <c r="AMP555" s="500"/>
      <c r="AMQ555" s="500"/>
      <c r="AMR555" s="500"/>
      <c r="AMS555" s="500"/>
      <c r="AMT555" s="500"/>
      <c r="AMU555" s="500"/>
      <c r="AMV555" s="500"/>
      <c r="AMW555" s="500"/>
      <c r="AMX555" s="500"/>
      <c r="AMY555" s="500"/>
      <c r="AMZ555" s="500"/>
      <c r="ANA555" s="500"/>
      <c r="ANB555" s="500"/>
      <c r="ANC555" s="500"/>
      <c r="AND555" s="500"/>
      <c r="ANE555" s="500"/>
      <c r="ANF555" s="500"/>
      <c r="ANG555" s="500"/>
      <c r="ANH555" s="500"/>
      <c r="ANI555" s="500"/>
      <c r="ANJ555" s="500"/>
      <c r="ANK555" s="500"/>
      <c r="ANL555" s="500"/>
      <c r="ANM555" s="500"/>
      <c r="ANN555" s="500"/>
      <c r="ANO555" s="500"/>
      <c r="ANP555" s="500"/>
      <c r="ANQ555" s="500"/>
      <c r="ANR555" s="500"/>
      <c r="ANS555" s="500"/>
      <c r="ANT555" s="500"/>
      <c r="ANU555" s="500"/>
      <c r="ANV555" s="500"/>
      <c r="ANW555" s="500"/>
      <c r="ANX555" s="500"/>
      <c r="ANY555" s="500"/>
      <c r="ANZ555" s="500"/>
      <c r="AOA555" s="500"/>
      <c r="AOB555" s="500"/>
      <c r="AOC555" s="500"/>
      <c r="AOD555" s="500"/>
      <c r="AOE555" s="500"/>
      <c r="AOF555" s="500"/>
      <c r="AOG555" s="500"/>
      <c r="AOH555" s="500"/>
      <c r="AOI555" s="500"/>
      <c r="AOJ555" s="500"/>
      <c r="AOK555" s="500"/>
      <c r="AOL555" s="500"/>
      <c r="AOM555" s="500"/>
      <c r="AON555" s="500"/>
      <c r="AOO555" s="500"/>
      <c r="AOP555" s="500"/>
      <c r="AOQ555" s="500"/>
      <c r="AOR555" s="500"/>
      <c r="AOS555" s="500"/>
      <c r="AOT555" s="500"/>
      <c r="AOU555" s="500"/>
      <c r="AOV555" s="500"/>
      <c r="AOW555" s="500"/>
      <c r="AOX555" s="500"/>
      <c r="AOY555" s="500"/>
      <c r="AOZ555" s="500"/>
      <c r="APA555" s="500"/>
      <c r="APB555" s="500"/>
      <c r="APC555" s="500"/>
      <c r="APD555" s="500"/>
      <c r="APE555" s="500"/>
      <c r="APF555" s="500"/>
      <c r="APG555" s="500"/>
      <c r="APH555" s="500"/>
      <c r="API555" s="500"/>
      <c r="APJ555" s="500"/>
      <c r="APK555" s="500"/>
      <c r="APL555" s="500"/>
      <c r="APM555" s="500"/>
      <c r="APN555" s="500"/>
      <c r="APO555" s="500"/>
      <c r="APP555" s="500"/>
      <c r="APQ555" s="500"/>
      <c r="APR555" s="500"/>
      <c r="APS555" s="500"/>
      <c r="APT555" s="500"/>
      <c r="APU555" s="500"/>
      <c r="APV555" s="500"/>
      <c r="APW555" s="500"/>
      <c r="APX555" s="500"/>
      <c r="APY555" s="500"/>
      <c r="APZ555" s="500"/>
      <c r="AQA555" s="500"/>
      <c r="AQB555" s="500"/>
      <c r="AQC555" s="500"/>
      <c r="AQD555" s="500"/>
      <c r="AQE555" s="500"/>
      <c r="AQF555" s="500"/>
      <c r="AQG555" s="500"/>
      <c r="AQH555" s="500"/>
      <c r="AQI555" s="500"/>
      <c r="AQJ555" s="500"/>
      <c r="AQK555" s="500"/>
      <c r="AQL555" s="500"/>
      <c r="AQM555" s="500"/>
      <c r="AQN555" s="500"/>
      <c r="AQO555" s="500"/>
      <c r="AQP555" s="500"/>
      <c r="AQQ555" s="500"/>
      <c r="AQR555" s="500"/>
      <c r="AQS555" s="500"/>
      <c r="AQT555" s="500"/>
      <c r="AQU555" s="500"/>
      <c r="AQV555" s="500"/>
      <c r="AQW555" s="500"/>
      <c r="AQX555" s="500"/>
      <c r="AQY555" s="500"/>
      <c r="AQZ555" s="500"/>
      <c r="ARA555" s="500"/>
      <c r="ARB555" s="500"/>
      <c r="ARC555" s="500"/>
      <c r="ARD555" s="500"/>
      <c r="ARE555" s="500"/>
      <c r="ARF555" s="500"/>
      <c r="ARG555" s="500"/>
      <c r="ARH555" s="500"/>
      <c r="ARI555" s="500"/>
      <c r="ARJ555" s="500"/>
      <c r="ARK555" s="500"/>
      <c r="ARL555" s="500"/>
      <c r="ARM555" s="500"/>
      <c r="ARN555" s="500"/>
      <c r="ARO555" s="500"/>
      <c r="ARP555" s="500"/>
      <c r="ARQ555" s="500"/>
      <c r="ARR555" s="500"/>
      <c r="ARS555" s="500"/>
      <c r="ART555" s="500"/>
      <c r="ARU555" s="500"/>
      <c r="ARV555" s="500"/>
      <c r="ARW555" s="500"/>
      <c r="ARX555" s="500"/>
      <c r="ARY555" s="500"/>
      <c r="ARZ555" s="500"/>
      <c r="ASA555" s="500"/>
      <c r="ASB555" s="500"/>
      <c r="ASC555" s="500"/>
      <c r="ASD555" s="500"/>
      <c r="ASE555" s="500"/>
      <c r="ASF555" s="500"/>
      <c r="ASG555" s="500"/>
      <c r="ASH555" s="500"/>
      <c r="ASI555" s="500"/>
      <c r="ASJ555" s="500"/>
      <c r="ASK555" s="500"/>
      <c r="ASL555" s="500"/>
      <c r="ASM555" s="500"/>
      <c r="ASN555" s="500"/>
      <c r="ASO555" s="500"/>
      <c r="ASP555" s="500"/>
      <c r="ASQ555" s="500"/>
      <c r="ASR555" s="500"/>
      <c r="ASS555" s="500"/>
      <c r="AST555" s="500"/>
      <c r="ASU555" s="500"/>
      <c r="ASV555" s="500"/>
      <c r="ASW555" s="500"/>
      <c r="ASX555" s="500"/>
      <c r="ASY555" s="500"/>
      <c r="ASZ555" s="500"/>
      <c r="ATA555" s="500"/>
      <c r="ATB555" s="500"/>
      <c r="ATC555" s="500"/>
      <c r="ATD555" s="500"/>
      <c r="ATE555" s="500"/>
      <c r="ATF555" s="500"/>
      <c r="ATG555" s="500"/>
      <c r="ATH555" s="500"/>
      <c r="ATI555" s="500"/>
      <c r="ATJ555" s="500"/>
      <c r="ATK555" s="500"/>
      <c r="ATL555" s="500"/>
      <c r="ATM555" s="500"/>
      <c r="ATN555" s="500"/>
      <c r="ATO555" s="500"/>
      <c r="ATP555" s="500"/>
      <c r="ATQ555" s="500"/>
      <c r="ATR555" s="500"/>
      <c r="ATS555" s="500"/>
      <c r="ATT555" s="500"/>
      <c r="ATU555" s="500"/>
      <c r="ATV555" s="500"/>
      <c r="ATW555" s="500"/>
      <c r="ATX555" s="500"/>
      <c r="ATY555" s="500"/>
      <c r="ATZ555" s="500"/>
      <c r="AUA555" s="500"/>
      <c r="AUB555" s="500"/>
      <c r="AUC555" s="500"/>
      <c r="AUD555" s="500"/>
      <c r="AUE555" s="500"/>
      <c r="AUF555" s="500"/>
      <c r="AUG555" s="500"/>
      <c r="AUH555" s="500"/>
      <c r="AUI555" s="500"/>
      <c r="AUJ555" s="500"/>
      <c r="AUK555" s="500"/>
      <c r="AUL555" s="500"/>
      <c r="AUM555" s="500"/>
      <c r="AUN555" s="500"/>
      <c r="AUO555" s="500"/>
      <c r="AUP555" s="500"/>
      <c r="AUQ555" s="500"/>
      <c r="AUR555" s="500"/>
      <c r="AUS555" s="500"/>
      <c r="AUT555" s="500"/>
      <c r="AUU555" s="500"/>
      <c r="AUV555" s="500"/>
      <c r="AUW555" s="500"/>
      <c r="AUX555" s="500"/>
      <c r="AUY555" s="500"/>
      <c r="AUZ555" s="500"/>
      <c r="AVA555" s="500"/>
      <c r="AVB555" s="500"/>
      <c r="AVC555" s="500"/>
      <c r="AVD555" s="500"/>
      <c r="AVE555" s="500"/>
      <c r="AVF555" s="500"/>
      <c r="AVG555" s="500"/>
      <c r="AVH555" s="500"/>
      <c r="AVI555" s="500"/>
      <c r="AVJ555" s="500"/>
      <c r="AVK555" s="500"/>
      <c r="AVL555" s="500"/>
      <c r="AVM555" s="500"/>
      <c r="AVN555" s="500"/>
      <c r="AVO555" s="500"/>
      <c r="AVP555" s="500"/>
      <c r="AVQ555" s="500"/>
      <c r="AVR555" s="500"/>
      <c r="AVS555" s="500"/>
      <c r="AVT555" s="500"/>
      <c r="AVU555" s="500"/>
      <c r="AVV555" s="500"/>
      <c r="AVW555" s="500"/>
      <c r="AVX555" s="500"/>
      <c r="AVY555" s="500"/>
      <c r="AVZ555" s="500"/>
      <c r="AWA555" s="500"/>
      <c r="AWB555" s="500"/>
      <c r="AWC555" s="500"/>
      <c r="AWD555" s="500"/>
      <c r="AWE555" s="500"/>
      <c r="AWF555" s="500"/>
      <c r="AWG555" s="500"/>
      <c r="AWH555" s="500"/>
      <c r="AWI555" s="500"/>
      <c r="AWJ555" s="500"/>
      <c r="AWK555" s="500"/>
      <c r="AWL555" s="500"/>
      <c r="AWM555" s="500"/>
      <c r="AWN555" s="500"/>
      <c r="AWO555" s="500"/>
      <c r="AWP555" s="500"/>
      <c r="AWQ555" s="500"/>
      <c r="AWR555" s="500"/>
      <c r="AWS555" s="500"/>
      <c r="AWT555" s="500"/>
      <c r="AWU555" s="500"/>
      <c r="AWV555" s="500"/>
      <c r="AWW555" s="500"/>
      <c r="AWX555" s="500"/>
      <c r="AWY555" s="500"/>
      <c r="AWZ555" s="500"/>
      <c r="AXA555" s="500"/>
      <c r="AXB555" s="500"/>
      <c r="AXC555" s="500"/>
      <c r="AXD555" s="500"/>
      <c r="AXE555" s="500"/>
      <c r="AXF555" s="500"/>
      <c r="AXG555" s="500"/>
      <c r="AXH555" s="500"/>
      <c r="AXI555" s="500"/>
      <c r="AXJ555" s="500"/>
      <c r="AXK555" s="500"/>
      <c r="AXL555" s="500"/>
      <c r="AXM555" s="500"/>
      <c r="AXN555" s="500"/>
      <c r="AXO555" s="500"/>
      <c r="AXP555" s="500"/>
      <c r="AXQ555" s="500"/>
      <c r="AXR555" s="500"/>
      <c r="AXS555" s="500"/>
      <c r="AXT555" s="500"/>
      <c r="AXU555" s="500"/>
      <c r="AXV555" s="500"/>
      <c r="AXW555" s="500"/>
      <c r="AXX555" s="500"/>
      <c r="AXY555" s="500"/>
      <c r="AXZ555" s="500"/>
      <c r="AYA555" s="500"/>
      <c r="AYB555" s="500"/>
      <c r="AYC555" s="500"/>
      <c r="AYD555" s="500"/>
      <c r="AYE555" s="500"/>
      <c r="AYF555" s="500"/>
      <c r="AYG555" s="500"/>
      <c r="AYH555" s="500"/>
      <c r="AYI555" s="500"/>
      <c r="AYJ555" s="500"/>
      <c r="AYK555" s="500"/>
      <c r="AYL555" s="500"/>
      <c r="AYM555" s="500"/>
      <c r="AYN555" s="500"/>
      <c r="AYO555" s="500"/>
      <c r="AYP555" s="500"/>
      <c r="AYQ555" s="500"/>
      <c r="AYR555" s="500"/>
      <c r="AYS555" s="500"/>
      <c r="AYT555" s="500"/>
      <c r="AYU555" s="500"/>
      <c r="AYV555" s="500"/>
      <c r="AYW555" s="500"/>
      <c r="AYX555" s="500"/>
      <c r="AYY555" s="500"/>
      <c r="AYZ555" s="500"/>
      <c r="AZA555" s="500"/>
      <c r="AZB555" s="500"/>
      <c r="AZC555" s="500"/>
      <c r="AZD555" s="500"/>
      <c r="AZE555" s="500"/>
      <c r="AZF555" s="500"/>
      <c r="AZG555" s="500"/>
      <c r="AZH555" s="500"/>
      <c r="AZI555" s="500"/>
      <c r="AZJ555" s="500"/>
      <c r="AZK555" s="500"/>
      <c r="AZL555" s="500"/>
      <c r="AZM555" s="500"/>
      <c r="AZN555" s="500"/>
      <c r="AZO555" s="500"/>
      <c r="AZP555" s="500"/>
      <c r="AZQ555" s="500"/>
      <c r="AZR555" s="500"/>
      <c r="AZS555" s="500"/>
      <c r="AZT555" s="500"/>
      <c r="AZU555" s="500"/>
      <c r="AZV555" s="500"/>
      <c r="AZW555" s="500"/>
      <c r="AZX555" s="500"/>
      <c r="AZY555" s="500"/>
      <c r="AZZ555" s="500"/>
      <c r="BAA555" s="500"/>
      <c r="BAB555" s="500"/>
      <c r="BAC555" s="500"/>
      <c r="BAD555" s="500"/>
      <c r="BAE555" s="500"/>
      <c r="BAF555" s="500"/>
      <c r="BAG555" s="500"/>
      <c r="BAH555" s="500"/>
      <c r="BAI555" s="500"/>
      <c r="BAJ555" s="500"/>
      <c r="BAK555" s="500"/>
      <c r="BAL555" s="500"/>
      <c r="BAM555" s="500"/>
      <c r="BAN555" s="500"/>
      <c r="BAO555" s="500"/>
      <c r="BAP555" s="500"/>
      <c r="BAQ555" s="500"/>
      <c r="BAR555" s="500"/>
      <c r="BAS555" s="500"/>
      <c r="BAT555" s="500"/>
      <c r="BAU555" s="500"/>
      <c r="BAV555" s="500"/>
      <c r="BAW555" s="500"/>
      <c r="BAX555" s="500"/>
      <c r="BAY555" s="500"/>
      <c r="BAZ555" s="500"/>
      <c r="BBA555" s="500"/>
      <c r="BBB555" s="500"/>
      <c r="BBC555" s="500"/>
      <c r="BBD555" s="500"/>
      <c r="BBE555" s="500"/>
      <c r="BBF555" s="500"/>
      <c r="BBG555" s="500"/>
      <c r="BBH555" s="500"/>
      <c r="BBI555" s="500"/>
      <c r="BBJ555" s="500"/>
      <c r="BBK555" s="500"/>
      <c r="BBL555" s="500"/>
      <c r="BBM555" s="500"/>
      <c r="BBN555" s="500"/>
      <c r="BBO555" s="500"/>
      <c r="BBP555" s="500"/>
      <c r="BBQ555" s="500"/>
      <c r="BBR555" s="500"/>
      <c r="BBS555" s="500"/>
      <c r="BBT555" s="500"/>
      <c r="BBU555" s="500"/>
      <c r="BBV555" s="500"/>
      <c r="BBW555" s="500"/>
      <c r="BBX555" s="500"/>
      <c r="BBY555" s="500"/>
      <c r="BBZ555" s="500"/>
      <c r="BCA555" s="500"/>
      <c r="BCB555" s="500"/>
      <c r="BCC555" s="500"/>
      <c r="BCD555" s="500"/>
      <c r="BCE555" s="500"/>
      <c r="BCF555" s="500"/>
      <c r="BCG555" s="500"/>
      <c r="BCH555" s="500"/>
      <c r="BCI555" s="500"/>
      <c r="BCJ555" s="500"/>
      <c r="BCK555" s="500"/>
      <c r="BCL555" s="500"/>
      <c r="BCM555" s="500"/>
      <c r="BCN555" s="500"/>
      <c r="BCO555" s="500"/>
      <c r="BCP555" s="500"/>
      <c r="BCQ555" s="500"/>
      <c r="BCR555" s="500"/>
      <c r="BCS555" s="500"/>
      <c r="BCT555" s="500"/>
      <c r="BCU555" s="500"/>
      <c r="BCV555" s="500"/>
      <c r="BCW555" s="500"/>
      <c r="BCX555" s="500"/>
      <c r="BCY555" s="500"/>
      <c r="BCZ555" s="500"/>
      <c r="BDA555" s="500"/>
      <c r="BDB555" s="500"/>
      <c r="BDC555" s="500"/>
      <c r="BDD555" s="500"/>
      <c r="BDE555" s="500"/>
      <c r="BDF555" s="500"/>
      <c r="BDG555" s="500"/>
      <c r="BDH555" s="500"/>
      <c r="BDI555" s="500"/>
      <c r="BDJ555" s="500"/>
      <c r="BDK555" s="500"/>
      <c r="BDL555" s="500"/>
      <c r="BDM555" s="500"/>
      <c r="BDN555" s="500"/>
      <c r="BDO555" s="500"/>
      <c r="BDP555" s="500"/>
      <c r="BDQ555" s="500"/>
      <c r="BDR555" s="500"/>
      <c r="BDS555" s="500"/>
      <c r="BDT555" s="500"/>
      <c r="BDU555" s="500"/>
      <c r="BDV555" s="500"/>
      <c r="BDW555" s="500"/>
      <c r="BDX555" s="500"/>
      <c r="BDY555" s="500"/>
      <c r="BDZ555" s="500"/>
      <c r="BEA555" s="500"/>
      <c r="BEB555" s="500"/>
      <c r="BEC555" s="500"/>
      <c r="BED555" s="500"/>
      <c r="BEE555" s="500"/>
      <c r="BEF555" s="500"/>
      <c r="BEG555" s="500"/>
      <c r="BEH555" s="500"/>
      <c r="BEI555" s="500"/>
      <c r="BEJ555" s="500"/>
      <c r="BEK555" s="500"/>
      <c r="BEL555" s="500"/>
      <c r="BEM555" s="500"/>
      <c r="BEN555" s="500"/>
      <c r="BEO555" s="500"/>
      <c r="BEP555" s="500"/>
      <c r="BEQ555" s="500"/>
      <c r="BER555" s="500"/>
      <c r="BES555" s="500"/>
      <c r="BET555" s="500"/>
      <c r="BEU555" s="500"/>
      <c r="BEV555" s="500"/>
      <c r="BEW555" s="500"/>
      <c r="BEX555" s="500"/>
      <c r="BEY555" s="500"/>
      <c r="BEZ555" s="500"/>
      <c r="BFA555" s="500"/>
      <c r="BFB555" s="500"/>
      <c r="BFC555" s="500"/>
      <c r="BFD555" s="500"/>
      <c r="BFE555" s="500"/>
      <c r="BFF555" s="500"/>
      <c r="BFG555" s="500"/>
      <c r="BFH555" s="500"/>
      <c r="BFI555" s="500"/>
      <c r="BFJ555" s="500"/>
      <c r="BFK555" s="500"/>
      <c r="BFL555" s="500"/>
      <c r="BFM555" s="500"/>
      <c r="BFN555" s="500"/>
      <c r="BFO555" s="500"/>
      <c r="BFP555" s="500"/>
      <c r="BFQ555" s="500"/>
      <c r="BFR555" s="500"/>
      <c r="BFS555" s="500"/>
      <c r="BFT555" s="500"/>
      <c r="BFU555" s="500"/>
      <c r="BFV555" s="500"/>
      <c r="BFW555" s="500"/>
      <c r="BFX555" s="500"/>
      <c r="BFY555" s="500"/>
      <c r="BFZ555" s="500"/>
      <c r="BGA555" s="500"/>
      <c r="BGB555" s="500"/>
      <c r="BGC555" s="500"/>
      <c r="BGD555" s="500"/>
      <c r="BGE555" s="500"/>
      <c r="BGF555" s="500"/>
      <c r="BGG555" s="500"/>
      <c r="BGH555" s="500"/>
      <c r="BGI555" s="500"/>
      <c r="BGJ555" s="500"/>
      <c r="BGK555" s="500"/>
      <c r="BGL555" s="500"/>
      <c r="BGM555" s="500"/>
      <c r="BGN555" s="500"/>
      <c r="BGO555" s="500"/>
      <c r="BGP555" s="500"/>
      <c r="BGQ555" s="500"/>
      <c r="BGR555" s="500"/>
      <c r="BGS555" s="500"/>
      <c r="BGT555" s="500"/>
      <c r="BGU555" s="500"/>
      <c r="BGV555" s="500"/>
      <c r="BGW555" s="500"/>
      <c r="BGX555" s="500"/>
      <c r="BGY555" s="500"/>
      <c r="BGZ555" s="500"/>
      <c r="BHA555" s="500"/>
      <c r="BHB555" s="500"/>
      <c r="BHC555" s="500"/>
      <c r="BHD555" s="500"/>
      <c r="BHE555" s="500"/>
      <c r="BHF555" s="500"/>
      <c r="BHG555" s="500"/>
      <c r="BHH555" s="500"/>
      <c r="BHI555" s="500"/>
      <c r="BHJ555" s="500"/>
      <c r="BHK555" s="500"/>
      <c r="BHL555" s="500"/>
      <c r="BHM555" s="500"/>
      <c r="BHN555" s="500"/>
      <c r="BHO555" s="500"/>
      <c r="BHP555" s="500"/>
      <c r="BHQ555" s="500"/>
      <c r="BHR555" s="500"/>
      <c r="BHS555" s="500"/>
      <c r="BHT555" s="500"/>
      <c r="BHU555" s="500"/>
      <c r="BHV555" s="500"/>
      <c r="BHW555" s="500"/>
      <c r="BHX555" s="500"/>
      <c r="BHY555" s="500"/>
      <c r="BHZ555" s="500"/>
      <c r="BIA555" s="500"/>
      <c r="BIB555" s="500"/>
      <c r="BIC555" s="500"/>
      <c r="BID555" s="500"/>
      <c r="BIE555" s="500"/>
      <c r="BIF555" s="500"/>
      <c r="BIG555" s="500"/>
      <c r="BIH555" s="500"/>
      <c r="BII555" s="500"/>
      <c r="BIJ555" s="500"/>
      <c r="BIK555" s="500"/>
      <c r="BIL555" s="500"/>
      <c r="BIM555" s="500"/>
      <c r="BIN555" s="500"/>
      <c r="BIO555" s="500"/>
      <c r="BIP555" s="500"/>
      <c r="BIQ555" s="500"/>
      <c r="BIR555" s="500"/>
      <c r="BIS555" s="500"/>
      <c r="BIT555" s="500"/>
      <c r="BIU555" s="500"/>
      <c r="BIV555" s="500"/>
      <c r="BIW555" s="500"/>
      <c r="BIX555" s="500"/>
      <c r="BIY555" s="500"/>
      <c r="BIZ555" s="500"/>
      <c r="BJA555" s="500"/>
      <c r="BJB555" s="500"/>
      <c r="BJC555" s="500"/>
      <c r="BJD555" s="500"/>
      <c r="BJE555" s="500"/>
      <c r="BJF555" s="500"/>
      <c r="BJG555" s="500"/>
      <c r="BJH555" s="500"/>
      <c r="BJI555" s="500"/>
      <c r="BJJ555" s="500"/>
      <c r="BJK555" s="500"/>
      <c r="BJL555" s="500"/>
      <c r="BJM555" s="500"/>
      <c r="BJN555" s="500"/>
      <c r="BJO555" s="500"/>
      <c r="BJP555" s="500"/>
      <c r="BJQ555" s="500"/>
      <c r="BJR555" s="500"/>
      <c r="BJS555" s="500"/>
      <c r="BJT555" s="500"/>
      <c r="BJU555" s="500"/>
      <c r="BJV555" s="500"/>
      <c r="BJW555" s="500"/>
      <c r="BJX555" s="500"/>
      <c r="BJY555" s="500"/>
      <c r="BJZ555" s="500"/>
      <c r="BKA555" s="500"/>
      <c r="BKB555" s="500"/>
      <c r="BKC555" s="500"/>
      <c r="BKD555" s="500"/>
      <c r="BKE555" s="500"/>
      <c r="BKF555" s="500"/>
      <c r="BKG555" s="500"/>
      <c r="BKH555" s="500"/>
      <c r="BKI555" s="500"/>
      <c r="BKJ555" s="500"/>
      <c r="BKK555" s="500"/>
      <c r="BKL555" s="500"/>
      <c r="BKM555" s="500"/>
      <c r="BKN555" s="500"/>
      <c r="BKO555" s="500"/>
      <c r="BKP555" s="500"/>
      <c r="BKQ555" s="500"/>
      <c r="BKR555" s="500"/>
      <c r="BKS555" s="500"/>
      <c r="BKT555" s="500"/>
      <c r="BKU555" s="500"/>
      <c r="BKV555" s="500"/>
      <c r="BKW555" s="500"/>
      <c r="BKX555" s="500"/>
      <c r="BKY555" s="500"/>
      <c r="BKZ555" s="500"/>
      <c r="BLA555" s="500"/>
      <c r="BLB555" s="500"/>
      <c r="BLC555" s="500"/>
      <c r="BLD555" s="500"/>
      <c r="BLE555" s="500"/>
      <c r="BLF555" s="500"/>
      <c r="BLG555" s="500"/>
      <c r="BLH555" s="500"/>
      <c r="BLI555" s="500"/>
      <c r="BLJ555" s="500"/>
      <c r="BLK555" s="500"/>
      <c r="BLL555" s="500"/>
      <c r="BLM555" s="500"/>
      <c r="BLN555" s="500"/>
      <c r="BLO555" s="500"/>
      <c r="BLP555" s="500"/>
      <c r="BLQ555" s="500"/>
      <c r="BLR555" s="500"/>
      <c r="BLS555" s="500"/>
      <c r="BLT555" s="500"/>
      <c r="BLU555" s="500"/>
      <c r="BLV555" s="500"/>
      <c r="BLW555" s="500"/>
      <c r="BLX555" s="500"/>
      <c r="BLY555" s="500"/>
      <c r="BLZ555" s="500"/>
      <c r="BMA555" s="500"/>
      <c r="BMB555" s="500"/>
      <c r="BMC555" s="500"/>
      <c r="BMD555" s="500"/>
      <c r="BME555" s="500"/>
      <c r="BMF555" s="500"/>
      <c r="BMG555" s="500"/>
      <c r="BMH555" s="500"/>
      <c r="BMI555" s="500"/>
      <c r="BMJ555" s="500"/>
      <c r="BMK555" s="500"/>
      <c r="BML555" s="500"/>
      <c r="BMM555" s="500"/>
      <c r="BMN555" s="500"/>
      <c r="BMO555" s="500"/>
      <c r="BMP555" s="500"/>
      <c r="BMQ555" s="500"/>
      <c r="BMR555" s="500"/>
      <c r="BMS555" s="500"/>
      <c r="BMT555" s="500"/>
      <c r="BMU555" s="500"/>
      <c r="BMV555" s="500"/>
      <c r="BMW555" s="500"/>
      <c r="BMX555" s="500"/>
      <c r="BMY555" s="500"/>
      <c r="BMZ555" s="500"/>
      <c r="BNA555" s="500"/>
      <c r="BNB555" s="500"/>
      <c r="BNC555" s="500"/>
      <c r="BND555" s="500"/>
      <c r="BNE555" s="500"/>
      <c r="BNF555" s="500"/>
      <c r="BNG555" s="500"/>
      <c r="BNH555" s="500"/>
      <c r="BNI555" s="500"/>
      <c r="BNJ555" s="500"/>
      <c r="BNK555" s="500"/>
      <c r="BNL555" s="500"/>
      <c r="BNM555" s="500"/>
      <c r="BNN555" s="500"/>
      <c r="BNO555" s="500"/>
      <c r="BNP555" s="500"/>
      <c r="BNQ555" s="500"/>
      <c r="BNR555" s="500"/>
      <c r="BNS555" s="500"/>
      <c r="BNT555" s="500"/>
      <c r="BNU555" s="500"/>
      <c r="BNV555" s="500"/>
      <c r="BNW555" s="500"/>
      <c r="BNX555" s="500"/>
      <c r="BNY555" s="500"/>
      <c r="BNZ555" s="500"/>
      <c r="BOA555" s="500"/>
      <c r="BOB555" s="500"/>
      <c r="BOC555" s="500"/>
      <c r="BOD555" s="500"/>
      <c r="BOE555" s="500"/>
      <c r="BOF555" s="500"/>
      <c r="BOG555" s="500"/>
      <c r="BOH555" s="500"/>
      <c r="BOI555" s="500"/>
      <c r="BOJ555" s="500"/>
      <c r="BOK555" s="500"/>
      <c r="BOL555" s="500"/>
      <c r="BOM555" s="500"/>
      <c r="BON555" s="500"/>
      <c r="BOO555" s="500"/>
      <c r="BOP555" s="500"/>
      <c r="BOQ555" s="500"/>
      <c r="BOR555" s="500"/>
      <c r="BOS555" s="500"/>
      <c r="BOT555" s="500"/>
      <c r="BOU555" s="500"/>
      <c r="BOV555" s="500"/>
      <c r="BOW555" s="500"/>
      <c r="BOX555" s="500"/>
      <c r="BOY555" s="500"/>
      <c r="BOZ555" s="500"/>
      <c r="BPA555" s="500"/>
      <c r="BPB555" s="500"/>
      <c r="BPC555" s="500"/>
      <c r="BPD555" s="500"/>
      <c r="BPE555" s="500"/>
      <c r="BPF555" s="500"/>
      <c r="BPG555" s="500"/>
      <c r="BPH555" s="500"/>
      <c r="BPI555" s="500"/>
      <c r="BPJ555" s="500"/>
      <c r="BPK555" s="500"/>
      <c r="BPL555" s="500"/>
      <c r="BPM555" s="500"/>
      <c r="BPN555" s="500"/>
      <c r="BPO555" s="500"/>
      <c r="BPP555" s="500"/>
      <c r="BPQ555" s="500"/>
      <c r="BPR555" s="500"/>
      <c r="BPS555" s="500"/>
      <c r="BPT555" s="500"/>
      <c r="BPU555" s="500"/>
      <c r="BPV555" s="500"/>
      <c r="BPW555" s="500"/>
      <c r="BPX555" s="500"/>
      <c r="BPY555" s="500"/>
      <c r="BPZ555" s="500"/>
      <c r="BQA555" s="500"/>
      <c r="BQB555" s="500"/>
      <c r="BQC555" s="500"/>
      <c r="BQD555" s="500"/>
      <c r="BQE555" s="500"/>
      <c r="BQF555" s="500"/>
      <c r="BQG555" s="500"/>
      <c r="BQH555" s="500"/>
      <c r="BQI555" s="500"/>
      <c r="BQJ555" s="500"/>
      <c r="BQK555" s="500"/>
      <c r="BQL555" s="500"/>
      <c r="BQM555" s="500"/>
      <c r="BQN555" s="500"/>
      <c r="BQO555" s="500"/>
      <c r="BQP555" s="500"/>
      <c r="BQQ555" s="500"/>
      <c r="BQR555" s="500"/>
      <c r="BQS555" s="500"/>
      <c r="BQT555" s="500"/>
      <c r="BQU555" s="500"/>
      <c r="BQV555" s="500"/>
      <c r="BQW555" s="500"/>
      <c r="BQX555" s="500"/>
      <c r="BQY555" s="500"/>
      <c r="BQZ555" s="500"/>
      <c r="BRA555" s="500"/>
      <c r="BRB555" s="500"/>
      <c r="BRC555" s="500"/>
      <c r="BRD555" s="500"/>
      <c r="BRE555" s="500"/>
      <c r="BRF555" s="500"/>
      <c r="BRG555" s="500"/>
      <c r="BRH555" s="500"/>
      <c r="BRI555" s="500"/>
      <c r="BRJ555" s="500"/>
      <c r="BRK555" s="500"/>
      <c r="BRL555" s="500"/>
      <c r="BRM555" s="500"/>
      <c r="BRN555" s="500"/>
      <c r="BRO555" s="500"/>
      <c r="BRP555" s="500"/>
      <c r="BRQ555" s="500"/>
      <c r="BRR555" s="500"/>
      <c r="BRS555" s="500"/>
      <c r="BRT555" s="500"/>
      <c r="BRU555" s="500"/>
      <c r="BRV555" s="500"/>
      <c r="BRW555" s="500"/>
      <c r="BRX555" s="500"/>
      <c r="BRY555" s="500"/>
      <c r="BRZ555" s="500"/>
      <c r="BSA555" s="500"/>
      <c r="BSB555" s="500"/>
      <c r="BSC555" s="500"/>
      <c r="BSD555" s="500"/>
      <c r="BSE555" s="500"/>
      <c r="BSF555" s="500"/>
      <c r="BSG555" s="500"/>
      <c r="BSH555" s="500"/>
      <c r="BSI555" s="500"/>
      <c r="BSJ555" s="500"/>
      <c r="BSK555" s="500"/>
      <c r="BSL555" s="500"/>
      <c r="BSM555" s="500"/>
      <c r="BSN555" s="500"/>
      <c r="BSO555" s="500"/>
      <c r="BSP555" s="500"/>
      <c r="BSQ555" s="500"/>
      <c r="BSR555" s="500"/>
      <c r="BSS555" s="500"/>
      <c r="BST555" s="500"/>
      <c r="BSU555" s="500"/>
      <c r="BSV555" s="500"/>
      <c r="BSW555" s="500"/>
      <c r="BSX555" s="500"/>
      <c r="BSY555" s="500"/>
      <c r="BSZ555" s="500"/>
      <c r="BTA555" s="500"/>
      <c r="BTB555" s="500"/>
      <c r="BTC555" s="500"/>
      <c r="BTD555" s="500"/>
      <c r="BTE555" s="500"/>
      <c r="BTF555" s="500"/>
      <c r="BTG555" s="500"/>
      <c r="BTH555" s="500"/>
      <c r="BTI555" s="500"/>
      <c r="BTJ555" s="500"/>
      <c r="BTK555" s="500"/>
      <c r="BTL555" s="500"/>
      <c r="BTM555" s="500"/>
      <c r="BTN555" s="500"/>
      <c r="BTO555" s="500"/>
      <c r="BTP555" s="500"/>
      <c r="BTQ555" s="500"/>
      <c r="BTR555" s="500"/>
      <c r="BTS555" s="500"/>
      <c r="BTT555" s="500"/>
      <c r="BTU555" s="500"/>
      <c r="BTV555" s="500"/>
      <c r="BTW555" s="500"/>
      <c r="BTX555" s="500"/>
      <c r="BTY555" s="500"/>
      <c r="BTZ555" s="500"/>
      <c r="BUA555" s="500"/>
      <c r="BUB555" s="500"/>
      <c r="BUC555" s="500"/>
      <c r="BUD555" s="500"/>
      <c r="BUE555" s="500"/>
      <c r="BUF555" s="500"/>
      <c r="BUG555" s="500"/>
      <c r="BUH555" s="500"/>
      <c r="BUI555" s="500"/>
      <c r="BUJ555" s="500"/>
      <c r="BUK555" s="500"/>
      <c r="BUL555" s="500"/>
      <c r="BUM555" s="500"/>
      <c r="BUN555" s="500"/>
      <c r="BUO555" s="500"/>
      <c r="BUP555" s="500"/>
      <c r="BUQ555" s="500"/>
      <c r="BUR555" s="500"/>
      <c r="BUS555" s="500"/>
      <c r="BUT555" s="500"/>
      <c r="BUU555" s="500"/>
      <c r="BUV555" s="500"/>
      <c r="BUW555" s="500"/>
      <c r="BUX555" s="500"/>
      <c r="BUY555" s="500"/>
      <c r="BUZ555" s="500"/>
      <c r="BVA555" s="500"/>
      <c r="BVB555" s="500"/>
      <c r="BVC555" s="500"/>
      <c r="BVD555" s="500"/>
      <c r="BVE555" s="500"/>
      <c r="BVF555" s="500"/>
      <c r="BVG555" s="500"/>
      <c r="BVH555" s="500"/>
      <c r="BVI555" s="500"/>
      <c r="BVJ555" s="500"/>
      <c r="BVK555" s="500"/>
      <c r="BVL555" s="500"/>
      <c r="BVM555" s="500"/>
      <c r="BVN555" s="500"/>
      <c r="BVO555" s="500"/>
      <c r="BVP555" s="500"/>
      <c r="BVQ555" s="500"/>
      <c r="BVR555" s="500"/>
      <c r="BVS555" s="500"/>
      <c r="BVT555" s="500"/>
      <c r="BVU555" s="500"/>
      <c r="BVV555" s="500"/>
      <c r="BVW555" s="500"/>
      <c r="BVX555" s="500"/>
      <c r="BVY555" s="500"/>
      <c r="BVZ555" s="500"/>
      <c r="BWA555" s="500"/>
      <c r="BWB555" s="500"/>
      <c r="BWC555" s="500"/>
      <c r="BWD555" s="500"/>
      <c r="BWE555" s="500"/>
      <c r="BWF555" s="500"/>
      <c r="BWG555" s="500"/>
      <c r="BWH555" s="500"/>
      <c r="BWI555" s="500"/>
      <c r="BWJ555" s="500"/>
      <c r="BWK555" s="500"/>
      <c r="BWL555" s="500"/>
      <c r="BWM555" s="500"/>
      <c r="BWN555" s="500"/>
      <c r="BWO555" s="500"/>
      <c r="BWP555" s="500"/>
      <c r="BWQ555" s="500"/>
      <c r="BWR555" s="500"/>
      <c r="BWS555" s="500"/>
      <c r="BWT555" s="500"/>
      <c r="BWU555" s="500"/>
      <c r="BWV555" s="500"/>
      <c r="BWW555" s="500"/>
      <c r="BWX555" s="500"/>
      <c r="BWY555" s="500"/>
      <c r="BWZ555" s="500"/>
      <c r="BXA555" s="500"/>
      <c r="BXB555" s="500"/>
      <c r="BXC555" s="500"/>
      <c r="BXD555" s="500"/>
      <c r="BXE555" s="500"/>
      <c r="BXF555" s="500"/>
      <c r="BXG555" s="500"/>
      <c r="BXH555" s="500"/>
      <c r="BXI555" s="500"/>
      <c r="BXJ555" s="500"/>
      <c r="BXK555" s="500"/>
      <c r="BXL555" s="500"/>
      <c r="BXM555" s="500"/>
      <c r="BXN555" s="500"/>
      <c r="BXO555" s="500"/>
      <c r="BXP555" s="500"/>
      <c r="BXQ555" s="500"/>
      <c r="BXR555" s="500"/>
      <c r="BXS555" s="500"/>
      <c r="BXT555" s="500"/>
      <c r="BXU555" s="500"/>
      <c r="BXV555" s="500"/>
      <c r="BXW555" s="500"/>
      <c r="BXX555" s="500"/>
      <c r="BXY555" s="500"/>
      <c r="BXZ555" s="500"/>
      <c r="BYA555" s="500"/>
      <c r="BYB555" s="500"/>
      <c r="BYC555" s="500"/>
      <c r="BYD555" s="500"/>
      <c r="BYE555" s="500"/>
      <c r="BYF555" s="500"/>
      <c r="BYG555" s="500"/>
      <c r="BYH555" s="500"/>
      <c r="BYI555" s="500"/>
      <c r="BYJ555" s="500"/>
      <c r="BYK555" s="500"/>
      <c r="BYL555" s="500"/>
      <c r="BYM555" s="500"/>
      <c r="BYN555" s="500"/>
      <c r="BYO555" s="500"/>
      <c r="BYP555" s="500"/>
      <c r="BYQ555" s="500"/>
      <c r="BYR555" s="500"/>
      <c r="BYS555" s="500"/>
      <c r="BYT555" s="500"/>
      <c r="BYU555" s="500"/>
      <c r="BYV555" s="500"/>
      <c r="BYW555" s="500"/>
      <c r="BYX555" s="500"/>
      <c r="BYY555" s="500"/>
      <c r="BYZ555" s="500"/>
      <c r="BZA555" s="500"/>
      <c r="BZB555" s="500"/>
      <c r="BZC555" s="500"/>
      <c r="BZD555" s="500"/>
      <c r="BZE555" s="500"/>
      <c r="BZF555" s="500"/>
      <c r="BZG555" s="500"/>
      <c r="BZH555" s="500"/>
      <c r="BZI555" s="500"/>
      <c r="BZJ555" s="500"/>
      <c r="BZK555" s="500"/>
      <c r="BZL555" s="500"/>
      <c r="BZM555" s="500"/>
      <c r="BZN555" s="500"/>
      <c r="BZO555" s="500"/>
      <c r="BZP555" s="500"/>
      <c r="BZQ555" s="500"/>
      <c r="BZR555" s="500"/>
      <c r="BZS555" s="500"/>
      <c r="BZT555" s="500"/>
      <c r="BZU555" s="500"/>
      <c r="BZV555" s="500"/>
      <c r="BZW555" s="500"/>
      <c r="BZX555" s="500"/>
      <c r="BZY555" s="500"/>
      <c r="BZZ555" s="500"/>
      <c r="CAA555" s="500"/>
      <c r="CAB555" s="500"/>
      <c r="CAC555" s="500"/>
      <c r="CAD555" s="500"/>
      <c r="CAE555" s="500"/>
      <c r="CAF555" s="500"/>
      <c r="CAG555" s="500"/>
      <c r="CAH555" s="500"/>
      <c r="CAI555" s="500"/>
      <c r="CAJ555" s="500"/>
      <c r="CAK555" s="500"/>
      <c r="CAL555" s="500"/>
      <c r="CAM555" s="500"/>
      <c r="CAN555" s="500"/>
      <c r="CAO555" s="500"/>
      <c r="CAP555" s="500"/>
      <c r="CAQ555" s="500"/>
      <c r="CAR555" s="500"/>
      <c r="CAS555" s="500"/>
      <c r="CAT555" s="500"/>
      <c r="CAU555" s="500"/>
      <c r="CAV555" s="500"/>
      <c r="CAW555" s="500"/>
      <c r="CAX555" s="500"/>
      <c r="CAY555" s="500"/>
      <c r="CAZ555" s="500"/>
      <c r="CBA555" s="500"/>
      <c r="CBB555" s="500"/>
      <c r="CBC555" s="500"/>
      <c r="CBD555" s="500"/>
      <c r="CBE555" s="500"/>
      <c r="CBF555" s="500"/>
      <c r="CBG555" s="500"/>
      <c r="CBH555" s="500"/>
      <c r="CBI555" s="500"/>
      <c r="CBJ555" s="500"/>
      <c r="CBK555" s="500"/>
      <c r="CBL555" s="500"/>
      <c r="CBM555" s="500"/>
      <c r="CBN555" s="500"/>
      <c r="CBO555" s="500"/>
      <c r="CBP555" s="500"/>
      <c r="CBQ555" s="500"/>
      <c r="CBR555" s="500"/>
      <c r="CBS555" s="500"/>
      <c r="CBT555" s="500"/>
      <c r="CBU555" s="500"/>
      <c r="CBV555" s="500"/>
      <c r="CBW555" s="500"/>
      <c r="CBX555" s="500"/>
      <c r="CBY555" s="500"/>
      <c r="CBZ555" s="500"/>
      <c r="CCA555" s="500"/>
      <c r="CCB555" s="500"/>
      <c r="CCC555" s="500"/>
      <c r="CCD555" s="500"/>
      <c r="CCE555" s="500"/>
      <c r="CCF555" s="500"/>
      <c r="CCG555" s="500"/>
      <c r="CCH555" s="500"/>
      <c r="CCI555" s="500"/>
      <c r="CCJ555" s="500"/>
      <c r="CCK555" s="500"/>
      <c r="CCL555" s="500"/>
      <c r="CCM555" s="500"/>
      <c r="CCN555" s="500"/>
      <c r="CCO555" s="500"/>
      <c r="CCP555" s="500"/>
      <c r="CCQ555" s="500"/>
      <c r="CCR555" s="500"/>
      <c r="CCS555" s="500"/>
      <c r="CCT555" s="500"/>
      <c r="CCU555" s="500"/>
      <c r="CCV555" s="500"/>
      <c r="CCW555" s="500"/>
      <c r="CCX555" s="500"/>
      <c r="CCY555" s="500"/>
      <c r="CCZ555" s="500"/>
      <c r="CDA555" s="500"/>
      <c r="CDB555" s="500"/>
      <c r="CDC555" s="500"/>
      <c r="CDD555" s="500"/>
      <c r="CDE555" s="500"/>
      <c r="CDF555" s="500"/>
      <c r="CDG555" s="500"/>
      <c r="CDH555" s="500"/>
      <c r="CDI555" s="500"/>
      <c r="CDJ555" s="500"/>
      <c r="CDK555" s="500"/>
      <c r="CDL555" s="500"/>
      <c r="CDM555" s="500"/>
      <c r="CDN555" s="500"/>
      <c r="CDO555" s="500"/>
      <c r="CDP555" s="500"/>
      <c r="CDQ555" s="500"/>
      <c r="CDR555" s="500"/>
      <c r="CDS555" s="500"/>
      <c r="CDT555" s="500"/>
      <c r="CDU555" s="500"/>
      <c r="CDV555" s="500"/>
      <c r="CDW555" s="500"/>
      <c r="CDX555" s="500"/>
      <c r="CDY555" s="500"/>
      <c r="CDZ555" s="500"/>
      <c r="CEA555" s="500"/>
      <c r="CEB555" s="500"/>
      <c r="CEC555" s="500"/>
      <c r="CED555" s="500"/>
      <c r="CEE555" s="500"/>
      <c r="CEF555" s="500"/>
      <c r="CEG555" s="500"/>
      <c r="CEH555" s="500"/>
      <c r="CEI555" s="500"/>
      <c r="CEJ555" s="500"/>
      <c r="CEK555" s="500"/>
      <c r="CEL555" s="500"/>
      <c r="CEM555" s="500"/>
      <c r="CEN555" s="500"/>
      <c r="CEO555" s="500"/>
      <c r="CEP555" s="500"/>
      <c r="CEQ555" s="500"/>
      <c r="CER555" s="500"/>
      <c r="CES555" s="500"/>
      <c r="CET555" s="500"/>
      <c r="CEU555" s="500"/>
      <c r="CEV555" s="500"/>
      <c r="CEW555" s="500"/>
      <c r="CEX555" s="500"/>
      <c r="CEY555" s="500"/>
      <c r="CEZ555" s="500"/>
      <c r="CFA555" s="500"/>
      <c r="CFB555" s="500"/>
      <c r="CFC555" s="500"/>
      <c r="CFD555" s="500"/>
      <c r="CFE555" s="500"/>
      <c r="CFF555" s="500"/>
      <c r="CFG555" s="500"/>
      <c r="CFH555" s="500"/>
      <c r="CFI555" s="500"/>
      <c r="CFJ555" s="500"/>
      <c r="CFK555" s="500"/>
      <c r="CFL555" s="500"/>
      <c r="CFM555" s="500"/>
      <c r="CFN555" s="500"/>
      <c r="CFO555" s="500"/>
      <c r="CFP555" s="500"/>
      <c r="CFQ555" s="500"/>
      <c r="CFR555" s="500"/>
      <c r="CFS555" s="500"/>
      <c r="CFT555" s="500"/>
      <c r="CFU555" s="500"/>
      <c r="CFV555" s="500"/>
      <c r="CFW555" s="500"/>
      <c r="CFX555" s="500"/>
      <c r="CFY555" s="500"/>
      <c r="CFZ555" s="500"/>
      <c r="CGA555" s="500"/>
      <c r="CGB555" s="500"/>
      <c r="CGC555" s="500"/>
      <c r="CGD555" s="500"/>
      <c r="CGE555" s="500"/>
      <c r="CGF555" s="500"/>
      <c r="CGG555" s="500"/>
      <c r="CGH555" s="500"/>
      <c r="CGI555" s="500"/>
      <c r="CGJ555" s="500"/>
      <c r="CGK555" s="500"/>
      <c r="CGL555" s="500"/>
      <c r="CGM555" s="500"/>
      <c r="CGN555" s="500"/>
      <c r="CGO555" s="500"/>
      <c r="CGP555" s="500"/>
      <c r="CGQ555" s="500"/>
      <c r="CGR555" s="500"/>
      <c r="CGS555" s="500"/>
      <c r="CGT555" s="500"/>
      <c r="CGU555" s="500"/>
      <c r="CGV555" s="500"/>
      <c r="CGW555" s="500"/>
      <c r="CGX555" s="500"/>
      <c r="CGY555" s="500"/>
      <c r="CGZ555" s="500"/>
      <c r="CHA555" s="500"/>
      <c r="CHB555" s="500"/>
      <c r="CHC555" s="500"/>
      <c r="CHD555" s="500"/>
      <c r="CHE555" s="500"/>
      <c r="CHF555" s="500"/>
      <c r="CHG555" s="500"/>
      <c r="CHH555" s="500"/>
      <c r="CHI555" s="500"/>
      <c r="CHJ555" s="500"/>
      <c r="CHK555" s="500"/>
      <c r="CHL555" s="500"/>
      <c r="CHM555" s="500"/>
      <c r="CHN555" s="500"/>
      <c r="CHO555" s="500"/>
      <c r="CHP555" s="500"/>
      <c r="CHQ555" s="500"/>
      <c r="CHR555" s="500"/>
      <c r="CHS555" s="500"/>
      <c r="CHT555" s="500"/>
      <c r="CHU555" s="500"/>
      <c r="CHV555" s="500"/>
      <c r="CHW555" s="500"/>
      <c r="CHX555" s="500"/>
      <c r="CHY555" s="500"/>
      <c r="CHZ555" s="500"/>
      <c r="CIA555" s="500"/>
      <c r="CIB555" s="500"/>
      <c r="CIC555" s="500"/>
      <c r="CID555" s="500"/>
      <c r="CIE555" s="500"/>
      <c r="CIF555" s="500"/>
      <c r="CIG555" s="500"/>
      <c r="CIH555" s="500"/>
      <c r="CII555" s="500"/>
      <c r="CIJ555" s="500"/>
      <c r="CIK555" s="500"/>
      <c r="CIL555" s="500"/>
      <c r="CIM555" s="500"/>
      <c r="CIN555" s="500"/>
      <c r="CIO555" s="500"/>
      <c r="CIP555" s="500"/>
      <c r="CIQ555" s="500"/>
      <c r="CIR555" s="500"/>
      <c r="CIS555" s="500"/>
      <c r="CIT555" s="500"/>
      <c r="CIU555" s="500"/>
      <c r="CIV555" s="500"/>
      <c r="CIW555" s="500"/>
      <c r="CIX555" s="500"/>
      <c r="CIY555" s="500"/>
      <c r="CIZ555" s="500"/>
      <c r="CJA555" s="500"/>
      <c r="CJB555" s="500"/>
      <c r="CJC555" s="500"/>
      <c r="CJD555" s="500"/>
      <c r="CJE555" s="500"/>
      <c r="CJF555" s="500"/>
      <c r="CJG555" s="500"/>
      <c r="CJH555" s="500"/>
      <c r="CJI555" s="500"/>
      <c r="CJJ555" s="500"/>
      <c r="CJK555" s="500"/>
      <c r="CJL555" s="500"/>
      <c r="CJM555" s="500"/>
      <c r="CJN555" s="500"/>
      <c r="CJO555" s="500"/>
      <c r="CJP555" s="500"/>
      <c r="CJQ555" s="500"/>
      <c r="CJR555" s="500"/>
      <c r="CJS555" s="500"/>
      <c r="CJT555" s="500"/>
      <c r="CJU555" s="500"/>
      <c r="CJV555" s="500"/>
      <c r="CJW555" s="500"/>
      <c r="CJX555" s="500"/>
      <c r="CJY555" s="500"/>
      <c r="CJZ555" s="500"/>
      <c r="CKA555" s="500"/>
      <c r="CKB555" s="500"/>
      <c r="CKC555" s="500"/>
      <c r="CKD555" s="500"/>
      <c r="CKE555" s="500"/>
      <c r="CKF555" s="500"/>
      <c r="CKG555" s="500"/>
      <c r="CKH555" s="500"/>
      <c r="CKI555" s="500"/>
      <c r="CKJ555" s="500"/>
      <c r="CKK555" s="500"/>
      <c r="CKL555" s="500"/>
      <c r="CKM555" s="500"/>
      <c r="CKN555" s="500"/>
      <c r="CKO555" s="500"/>
      <c r="CKP555" s="500"/>
      <c r="CKQ555" s="500"/>
      <c r="CKR555" s="500"/>
      <c r="CKS555" s="500"/>
      <c r="CKT555" s="500"/>
      <c r="CKU555" s="500"/>
      <c r="CKV555" s="500"/>
      <c r="CKW555" s="500"/>
      <c r="CKX555" s="500"/>
      <c r="CKY555" s="500"/>
      <c r="CKZ555" s="500"/>
      <c r="CLA555" s="500"/>
      <c r="CLB555" s="500"/>
      <c r="CLC555" s="500"/>
      <c r="CLD555" s="500"/>
      <c r="CLE555" s="500"/>
      <c r="CLF555" s="500"/>
      <c r="CLG555" s="500"/>
      <c r="CLH555" s="500"/>
      <c r="CLI555" s="500"/>
      <c r="CLJ555" s="500"/>
      <c r="CLK555" s="500"/>
      <c r="CLL555" s="500"/>
      <c r="CLM555" s="500"/>
      <c r="CLN555" s="500"/>
      <c r="CLO555" s="500"/>
      <c r="CLP555" s="500"/>
      <c r="CLQ555" s="500"/>
      <c r="CLR555" s="500"/>
      <c r="CLS555" s="500"/>
      <c r="CLT555" s="500"/>
      <c r="CLU555" s="500"/>
      <c r="CLV555" s="500"/>
      <c r="CLW555" s="500"/>
      <c r="CLX555" s="500"/>
      <c r="CLY555" s="500"/>
      <c r="CLZ555" s="500"/>
      <c r="CMA555" s="500"/>
      <c r="CMB555" s="500"/>
      <c r="CMC555" s="500"/>
      <c r="CMD555" s="500"/>
      <c r="CME555" s="500"/>
      <c r="CMF555" s="500"/>
      <c r="CMG555" s="500"/>
      <c r="CMH555" s="500"/>
      <c r="CMI555" s="500"/>
      <c r="CMJ555" s="500"/>
      <c r="CMK555" s="500"/>
      <c r="CML555" s="500"/>
      <c r="CMM555" s="500"/>
      <c r="CMN555" s="500"/>
      <c r="CMO555" s="500"/>
      <c r="CMP555" s="500"/>
      <c r="CMQ555" s="500"/>
      <c r="CMR555" s="500"/>
      <c r="CMS555" s="500"/>
      <c r="CMT555" s="500"/>
      <c r="CMU555" s="500"/>
      <c r="CMV555" s="500"/>
      <c r="CMW555" s="500"/>
      <c r="CMX555" s="500"/>
      <c r="CMY555" s="500"/>
      <c r="CMZ555" s="500"/>
      <c r="CNA555" s="500"/>
      <c r="CNB555" s="500"/>
      <c r="CNC555" s="500"/>
      <c r="CND555" s="500"/>
      <c r="CNE555" s="500"/>
      <c r="CNF555" s="500"/>
      <c r="CNG555" s="500"/>
      <c r="CNH555" s="500"/>
      <c r="CNI555" s="500"/>
      <c r="CNJ555" s="500"/>
      <c r="CNK555" s="500"/>
      <c r="CNL555" s="500"/>
      <c r="CNM555" s="500"/>
      <c r="CNN555" s="500"/>
      <c r="CNO555" s="500"/>
      <c r="CNP555" s="500"/>
      <c r="CNQ555" s="500"/>
      <c r="CNR555" s="500"/>
      <c r="CNS555" s="500"/>
      <c r="CNT555" s="500"/>
      <c r="CNU555" s="500"/>
      <c r="CNV555" s="500"/>
      <c r="CNW555" s="500"/>
      <c r="CNX555" s="500"/>
      <c r="CNY555" s="500"/>
      <c r="CNZ555" s="500"/>
      <c r="COA555" s="500"/>
      <c r="COB555" s="500"/>
      <c r="COC555" s="500"/>
      <c r="COD555" s="500"/>
      <c r="COE555" s="500"/>
      <c r="COF555" s="500"/>
      <c r="COG555" s="500"/>
      <c r="COH555" s="500"/>
      <c r="COI555" s="500"/>
      <c r="COJ555" s="500"/>
      <c r="COK555" s="500"/>
      <c r="COL555" s="500"/>
      <c r="COM555" s="500"/>
      <c r="CON555" s="500"/>
      <c r="COO555" s="500"/>
      <c r="COP555" s="500"/>
      <c r="COQ555" s="500"/>
      <c r="COR555" s="500"/>
      <c r="COS555" s="500"/>
      <c r="COT555" s="500"/>
      <c r="COU555" s="500"/>
      <c r="COV555" s="500"/>
      <c r="COW555" s="500"/>
      <c r="COX555" s="500"/>
      <c r="COY555" s="500"/>
      <c r="COZ555" s="500"/>
      <c r="CPA555" s="500"/>
      <c r="CPB555" s="500"/>
      <c r="CPC555" s="500"/>
      <c r="CPD555" s="500"/>
      <c r="CPE555" s="500"/>
      <c r="CPF555" s="500"/>
      <c r="CPG555" s="500"/>
      <c r="CPH555" s="500"/>
      <c r="CPI555" s="500"/>
      <c r="CPJ555" s="500"/>
      <c r="CPK555" s="500"/>
      <c r="CPL555" s="500"/>
      <c r="CPM555" s="500"/>
      <c r="CPN555" s="500"/>
      <c r="CPO555" s="500"/>
      <c r="CPP555" s="500"/>
      <c r="CPQ555" s="500"/>
      <c r="CPR555" s="500"/>
      <c r="CPS555" s="500"/>
      <c r="CPT555" s="500"/>
      <c r="CPU555" s="500"/>
      <c r="CPV555" s="500"/>
      <c r="CPW555" s="500"/>
      <c r="CPX555" s="500"/>
      <c r="CPY555" s="500"/>
      <c r="CPZ555" s="500"/>
      <c r="CQA555" s="500"/>
      <c r="CQB555" s="500"/>
      <c r="CQC555" s="500"/>
      <c r="CQD555" s="500"/>
      <c r="CQE555" s="500"/>
      <c r="CQF555" s="500"/>
      <c r="CQG555" s="500"/>
      <c r="CQH555" s="500"/>
      <c r="CQI555" s="500"/>
      <c r="CQJ555" s="500"/>
      <c r="CQK555" s="500"/>
      <c r="CQL555" s="500"/>
      <c r="CQM555" s="500"/>
      <c r="CQN555" s="500"/>
      <c r="CQO555" s="500"/>
      <c r="CQP555" s="500"/>
      <c r="CQQ555" s="500"/>
      <c r="CQR555" s="500"/>
      <c r="CQS555" s="500"/>
      <c r="CQT555" s="500"/>
      <c r="CQU555" s="500"/>
      <c r="CQV555" s="500"/>
      <c r="CQW555" s="500"/>
      <c r="CQX555" s="500"/>
      <c r="CQY555" s="500"/>
      <c r="CQZ555" s="500"/>
      <c r="CRA555" s="500"/>
      <c r="CRB555" s="500"/>
      <c r="CRC555" s="500"/>
      <c r="CRD555" s="500"/>
      <c r="CRE555" s="500"/>
      <c r="CRF555" s="500"/>
      <c r="CRG555" s="500"/>
      <c r="CRH555" s="500"/>
      <c r="CRI555" s="500"/>
      <c r="CRJ555" s="500"/>
      <c r="CRK555" s="500"/>
      <c r="CRL555" s="500"/>
      <c r="CRM555" s="500"/>
      <c r="CRN555" s="500"/>
      <c r="CRO555" s="500"/>
      <c r="CRP555" s="500"/>
      <c r="CRQ555" s="500"/>
      <c r="CRR555" s="500"/>
      <c r="CRS555" s="500"/>
      <c r="CRT555" s="500"/>
      <c r="CRU555" s="500"/>
      <c r="CRV555" s="500"/>
      <c r="CRW555" s="500"/>
      <c r="CRX555" s="500"/>
      <c r="CRY555" s="500"/>
      <c r="CRZ555" s="500"/>
      <c r="CSA555" s="500"/>
      <c r="CSB555" s="500"/>
      <c r="CSC555" s="500"/>
      <c r="CSD555" s="500"/>
      <c r="CSE555" s="500"/>
      <c r="CSF555" s="500"/>
      <c r="CSG555" s="500"/>
      <c r="CSH555" s="500"/>
      <c r="CSI555" s="500"/>
      <c r="CSJ555" s="500"/>
      <c r="CSK555" s="500"/>
      <c r="CSL555" s="500"/>
      <c r="CSM555" s="500"/>
      <c r="CSN555" s="500"/>
      <c r="CSO555" s="500"/>
      <c r="CSP555" s="500"/>
      <c r="CSQ555" s="500"/>
      <c r="CSR555" s="500"/>
      <c r="CSS555" s="500"/>
      <c r="CST555" s="500"/>
      <c r="CSU555" s="500"/>
      <c r="CSV555" s="500"/>
      <c r="CSW555" s="500"/>
      <c r="CSX555" s="500"/>
      <c r="CSY555" s="500"/>
      <c r="CSZ555" s="500"/>
      <c r="CTA555" s="500"/>
      <c r="CTB555" s="500"/>
      <c r="CTC555" s="500"/>
      <c r="CTD555" s="500"/>
      <c r="CTE555" s="500"/>
      <c r="CTF555" s="500"/>
      <c r="CTG555" s="500"/>
      <c r="CTH555" s="500"/>
      <c r="CTI555" s="500"/>
      <c r="CTJ555" s="500"/>
      <c r="CTK555" s="500"/>
      <c r="CTL555" s="500"/>
      <c r="CTM555" s="500"/>
      <c r="CTN555" s="500"/>
      <c r="CTO555" s="500"/>
      <c r="CTP555" s="500"/>
      <c r="CTQ555" s="500"/>
      <c r="CTR555" s="500"/>
      <c r="CTS555" s="500"/>
      <c r="CTT555" s="500"/>
      <c r="CTU555" s="500"/>
      <c r="CTV555" s="500"/>
      <c r="CTW555" s="500"/>
      <c r="CTX555" s="500"/>
      <c r="CTY555" s="500"/>
      <c r="CTZ555" s="500"/>
      <c r="CUA555" s="500"/>
      <c r="CUB555" s="500"/>
      <c r="CUC555" s="500"/>
      <c r="CUD555" s="500"/>
      <c r="CUE555" s="500"/>
      <c r="CUF555" s="500"/>
      <c r="CUG555" s="500"/>
      <c r="CUH555" s="500"/>
      <c r="CUI555" s="500"/>
      <c r="CUJ555" s="500"/>
      <c r="CUK555" s="500"/>
      <c r="CUL555" s="500"/>
      <c r="CUM555" s="500"/>
      <c r="CUN555" s="500"/>
      <c r="CUO555" s="500"/>
      <c r="CUP555" s="500"/>
      <c r="CUQ555" s="500"/>
      <c r="CUR555" s="500"/>
      <c r="CUS555" s="500"/>
      <c r="CUT555" s="500"/>
      <c r="CUU555" s="500"/>
      <c r="CUV555" s="500"/>
      <c r="CUW555" s="500"/>
      <c r="CUX555" s="500"/>
      <c r="CUY555" s="500"/>
      <c r="CUZ555" s="500"/>
      <c r="CVA555" s="500"/>
      <c r="CVB555" s="500"/>
      <c r="CVC555" s="500"/>
      <c r="CVD555" s="500"/>
      <c r="CVE555" s="500"/>
      <c r="CVF555" s="500"/>
      <c r="CVG555" s="500"/>
      <c r="CVH555" s="500"/>
      <c r="CVI555" s="500"/>
      <c r="CVJ555" s="500"/>
      <c r="CVK555" s="500"/>
      <c r="CVL555" s="500"/>
      <c r="CVM555" s="500"/>
      <c r="CVN555" s="500"/>
      <c r="CVO555" s="500"/>
      <c r="CVP555" s="500"/>
      <c r="CVQ555" s="500"/>
      <c r="CVR555" s="500"/>
      <c r="CVS555" s="500"/>
      <c r="CVT555" s="500"/>
      <c r="CVU555" s="500"/>
      <c r="CVV555" s="500"/>
      <c r="CVW555" s="500"/>
      <c r="CVX555" s="500"/>
      <c r="CVY555" s="500"/>
      <c r="CVZ555" s="500"/>
      <c r="CWA555" s="500"/>
      <c r="CWB555" s="500"/>
      <c r="CWC555" s="500"/>
      <c r="CWD555" s="500"/>
      <c r="CWE555" s="500"/>
      <c r="CWF555" s="500"/>
      <c r="CWG555" s="500"/>
      <c r="CWH555" s="500"/>
      <c r="CWI555" s="500"/>
      <c r="CWJ555" s="500"/>
      <c r="CWK555" s="500"/>
      <c r="CWL555" s="500"/>
      <c r="CWM555" s="500"/>
      <c r="CWN555" s="500"/>
      <c r="CWO555" s="500"/>
      <c r="CWP555" s="500"/>
      <c r="CWQ555" s="500"/>
      <c r="CWR555" s="500"/>
      <c r="CWS555" s="500"/>
      <c r="CWT555" s="500"/>
      <c r="CWU555" s="500"/>
      <c r="CWV555" s="500"/>
      <c r="CWW555" s="500"/>
      <c r="CWX555" s="500"/>
      <c r="CWY555" s="500"/>
      <c r="CWZ555" s="500"/>
      <c r="CXA555" s="500"/>
      <c r="CXB555" s="500"/>
      <c r="CXC555" s="500"/>
      <c r="CXD555" s="500"/>
      <c r="CXE555" s="500"/>
      <c r="CXF555" s="500"/>
      <c r="CXG555" s="500"/>
      <c r="CXH555" s="500"/>
      <c r="CXI555" s="500"/>
      <c r="CXJ555" s="500"/>
      <c r="CXK555" s="500"/>
      <c r="CXL555" s="500"/>
      <c r="CXM555" s="500"/>
      <c r="CXN555" s="500"/>
      <c r="CXO555" s="500"/>
      <c r="CXP555" s="500"/>
      <c r="CXQ555" s="500"/>
      <c r="CXR555" s="500"/>
      <c r="CXS555" s="500"/>
      <c r="CXT555" s="500"/>
      <c r="CXU555" s="500"/>
      <c r="CXV555" s="500"/>
      <c r="CXW555" s="500"/>
      <c r="CXX555" s="500"/>
      <c r="CXY555" s="500"/>
      <c r="CXZ555" s="500"/>
      <c r="CYA555" s="500"/>
      <c r="CYB555" s="500"/>
      <c r="CYC555" s="500"/>
      <c r="CYD555" s="500"/>
      <c r="CYE555" s="500"/>
      <c r="CYF555" s="500"/>
      <c r="CYG555" s="500"/>
      <c r="CYH555" s="500"/>
      <c r="CYI555" s="500"/>
      <c r="CYJ555" s="500"/>
      <c r="CYK555" s="500"/>
      <c r="CYL555" s="500"/>
      <c r="CYM555" s="500"/>
      <c r="CYN555" s="500"/>
      <c r="CYO555" s="500"/>
      <c r="CYP555" s="500"/>
      <c r="CYQ555" s="500"/>
      <c r="CYR555" s="500"/>
      <c r="CYS555" s="500"/>
      <c r="CYT555" s="500"/>
      <c r="CYU555" s="500"/>
      <c r="CYV555" s="500"/>
      <c r="CYW555" s="500"/>
      <c r="CYX555" s="500"/>
      <c r="CYY555" s="500"/>
      <c r="CYZ555" s="500"/>
      <c r="CZA555" s="500"/>
      <c r="CZB555" s="500"/>
      <c r="CZC555" s="500"/>
      <c r="CZD555" s="500"/>
      <c r="CZE555" s="500"/>
      <c r="CZF555" s="500"/>
      <c r="CZG555" s="500"/>
      <c r="CZH555" s="500"/>
      <c r="CZI555" s="500"/>
      <c r="CZJ555" s="500"/>
      <c r="CZK555" s="500"/>
      <c r="CZL555" s="500"/>
      <c r="CZM555" s="500"/>
      <c r="CZN555" s="500"/>
      <c r="CZO555" s="500"/>
      <c r="CZP555" s="500"/>
      <c r="CZQ555" s="500"/>
      <c r="CZR555" s="500"/>
      <c r="CZS555" s="500"/>
      <c r="CZT555" s="500"/>
      <c r="CZU555" s="500"/>
      <c r="CZV555" s="500"/>
      <c r="CZW555" s="500"/>
      <c r="CZX555" s="500"/>
      <c r="CZY555" s="500"/>
      <c r="CZZ555" s="500"/>
      <c r="DAA555" s="500"/>
      <c r="DAB555" s="500"/>
      <c r="DAC555" s="500"/>
      <c r="DAD555" s="500"/>
      <c r="DAE555" s="500"/>
      <c r="DAF555" s="500"/>
      <c r="DAG555" s="500"/>
      <c r="DAH555" s="500"/>
      <c r="DAI555" s="500"/>
      <c r="DAJ555" s="500"/>
      <c r="DAK555" s="500"/>
      <c r="DAL555" s="500"/>
      <c r="DAM555" s="500"/>
      <c r="DAN555" s="500"/>
      <c r="DAO555" s="500"/>
      <c r="DAP555" s="500"/>
      <c r="DAQ555" s="500"/>
      <c r="DAR555" s="500"/>
      <c r="DAS555" s="500"/>
      <c r="DAT555" s="500"/>
      <c r="DAU555" s="500"/>
      <c r="DAV555" s="500"/>
      <c r="DAW555" s="500"/>
      <c r="DAX555" s="500"/>
      <c r="DAY555" s="500"/>
      <c r="DAZ555" s="500"/>
      <c r="DBA555" s="500"/>
      <c r="DBB555" s="500"/>
      <c r="DBC555" s="500"/>
      <c r="DBD555" s="500"/>
      <c r="DBE555" s="500"/>
      <c r="DBF555" s="500"/>
      <c r="DBG555" s="500"/>
      <c r="DBH555" s="500"/>
      <c r="DBI555" s="500"/>
      <c r="DBJ555" s="500"/>
      <c r="DBK555" s="500"/>
      <c r="DBL555" s="500"/>
      <c r="DBM555" s="500"/>
      <c r="DBN555" s="500"/>
      <c r="DBO555" s="500"/>
      <c r="DBP555" s="500"/>
      <c r="DBQ555" s="500"/>
      <c r="DBR555" s="500"/>
      <c r="DBS555" s="500"/>
      <c r="DBT555" s="500"/>
      <c r="DBU555" s="500"/>
      <c r="DBV555" s="500"/>
      <c r="DBW555" s="500"/>
      <c r="DBX555" s="500"/>
      <c r="DBY555" s="500"/>
      <c r="DBZ555" s="500"/>
      <c r="DCA555" s="500"/>
      <c r="DCB555" s="500"/>
      <c r="DCC555" s="500"/>
      <c r="DCD555" s="500"/>
      <c r="DCE555" s="500"/>
      <c r="DCF555" s="500"/>
      <c r="DCG555" s="500"/>
      <c r="DCH555" s="500"/>
      <c r="DCI555" s="500"/>
      <c r="DCJ555" s="500"/>
      <c r="DCK555" s="500"/>
      <c r="DCL555" s="500"/>
      <c r="DCM555" s="500"/>
      <c r="DCN555" s="500"/>
      <c r="DCO555" s="500"/>
      <c r="DCP555" s="500"/>
      <c r="DCQ555" s="500"/>
      <c r="DCR555" s="500"/>
      <c r="DCS555" s="500"/>
      <c r="DCT555" s="500"/>
      <c r="DCU555" s="500"/>
      <c r="DCV555" s="500"/>
      <c r="DCW555" s="500"/>
      <c r="DCX555" s="500"/>
      <c r="DCY555" s="500"/>
      <c r="DCZ555" s="500"/>
      <c r="DDA555" s="500"/>
      <c r="DDB555" s="500"/>
      <c r="DDC555" s="500"/>
      <c r="DDD555" s="500"/>
      <c r="DDE555" s="500"/>
      <c r="DDF555" s="500"/>
      <c r="DDG555" s="500"/>
      <c r="DDH555" s="500"/>
      <c r="DDI555" s="500"/>
      <c r="DDJ555" s="500"/>
      <c r="DDK555" s="500"/>
      <c r="DDL555" s="500"/>
      <c r="DDM555" s="500"/>
      <c r="DDN555" s="500"/>
      <c r="DDO555" s="500"/>
      <c r="DDP555" s="500"/>
      <c r="DDQ555" s="500"/>
      <c r="DDR555" s="500"/>
      <c r="DDS555" s="500"/>
      <c r="DDT555" s="500"/>
      <c r="DDU555" s="500"/>
      <c r="DDV555" s="500"/>
      <c r="DDW555" s="500"/>
      <c r="DDX555" s="500"/>
      <c r="DDY555" s="500"/>
      <c r="DDZ555" s="500"/>
      <c r="DEA555" s="500"/>
      <c r="DEB555" s="500"/>
      <c r="DEC555" s="500"/>
      <c r="DED555" s="500"/>
      <c r="DEE555" s="500"/>
      <c r="DEF555" s="500"/>
      <c r="DEG555" s="500"/>
      <c r="DEH555" s="500"/>
      <c r="DEI555" s="500"/>
      <c r="DEJ555" s="500"/>
      <c r="DEK555" s="500"/>
      <c r="DEL555" s="500"/>
      <c r="DEM555" s="500"/>
      <c r="DEN555" s="500"/>
      <c r="DEO555" s="500"/>
      <c r="DEP555" s="500"/>
      <c r="DEQ555" s="500"/>
      <c r="DER555" s="500"/>
      <c r="DES555" s="500"/>
      <c r="DET555" s="500"/>
      <c r="DEU555" s="500"/>
      <c r="DEV555" s="500"/>
      <c r="DEW555" s="500"/>
      <c r="DEX555" s="500"/>
      <c r="DEY555" s="500"/>
      <c r="DEZ555" s="500"/>
      <c r="DFA555" s="500"/>
      <c r="DFB555" s="500"/>
      <c r="DFC555" s="500"/>
      <c r="DFD555" s="500"/>
      <c r="DFE555" s="500"/>
      <c r="DFF555" s="500"/>
      <c r="DFG555" s="500"/>
      <c r="DFH555" s="500"/>
      <c r="DFI555" s="500"/>
      <c r="DFJ555" s="500"/>
      <c r="DFK555" s="500"/>
      <c r="DFL555" s="500"/>
      <c r="DFM555" s="500"/>
      <c r="DFN555" s="500"/>
      <c r="DFO555" s="500"/>
      <c r="DFP555" s="500"/>
      <c r="DFQ555" s="500"/>
      <c r="DFR555" s="500"/>
      <c r="DFS555" s="500"/>
      <c r="DFT555" s="500"/>
      <c r="DFU555" s="500"/>
      <c r="DFV555" s="500"/>
      <c r="DFW555" s="500"/>
      <c r="DFX555" s="500"/>
      <c r="DFY555" s="500"/>
      <c r="DFZ555" s="500"/>
      <c r="DGA555" s="500"/>
      <c r="DGB555" s="500"/>
      <c r="DGC555" s="500"/>
      <c r="DGD555" s="500"/>
      <c r="DGE555" s="500"/>
      <c r="DGF555" s="500"/>
      <c r="DGG555" s="500"/>
      <c r="DGH555" s="500"/>
      <c r="DGI555" s="500"/>
      <c r="DGJ555" s="500"/>
      <c r="DGK555" s="500"/>
      <c r="DGL555" s="500"/>
      <c r="DGM555" s="500"/>
      <c r="DGN555" s="500"/>
      <c r="DGO555" s="500"/>
      <c r="DGP555" s="500"/>
      <c r="DGQ555" s="500"/>
      <c r="DGR555" s="500"/>
      <c r="DGS555" s="500"/>
      <c r="DGT555" s="500"/>
      <c r="DGU555" s="500"/>
      <c r="DGV555" s="500"/>
      <c r="DGW555" s="500"/>
      <c r="DGX555" s="500"/>
      <c r="DGY555" s="500"/>
      <c r="DGZ555" s="500"/>
      <c r="DHA555" s="500"/>
      <c r="DHB555" s="500"/>
      <c r="DHC555" s="500"/>
      <c r="DHD555" s="500"/>
      <c r="DHE555" s="500"/>
      <c r="DHF555" s="500"/>
      <c r="DHG555" s="500"/>
      <c r="DHH555" s="500"/>
      <c r="DHI555" s="500"/>
      <c r="DHJ555" s="500"/>
      <c r="DHK555" s="500"/>
      <c r="DHL555" s="500"/>
      <c r="DHM555" s="500"/>
      <c r="DHN555" s="500"/>
      <c r="DHO555" s="500"/>
      <c r="DHP555" s="500"/>
      <c r="DHQ555" s="500"/>
      <c r="DHR555" s="500"/>
      <c r="DHS555" s="500"/>
      <c r="DHT555" s="500"/>
      <c r="DHU555" s="500"/>
      <c r="DHV555" s="500"/>
      <c r="DHW555" s="500"/>
      <c r="DHX555" s="500"/>
      <c r="DHY555" s="500"/>
      <c r="DHZ555" s="500"/>
      <c r="DIA555" s="500"/>
      <c r="DIB555" s="500"/>
      <c r="DIC555" s="500"/>
      <c r="DID555" s="500"/>
      <c r="DIE555" s="500"/>
      <c r="DIF555" s="500"/>
      <c r="DIG555" s="500"/>
      <c r="DIH555" s="500"/>
      <c r="DII555" s="500"/>
      <c r="DIJ555" s="500"/>
      <c r="DIK555" s="500"/>
      <c r="DIL555" s="500"/>
      <c r="DIM555" s="500"/>
      <c r="DIN555" s="500"/>
      <c r="DIO555" s="500"/>
      <c r="DIP555" s="500"/>
      <c r="DIQ555" s="500"/>
      <c r="DIR555" s="500"/>
      <c r="DIS555" s="500"/>
      <c r="DIT555" s="500"/>
      <c r="DIU555" s="500"/>
      <c r="DIV555" s="500"/>
      <c r="DIW555" s="500"/>
      <c r="DIX555" s="500"/>
      <c r="DIY555" s="500"/>
      <c r="DIZ555" s="500"/>
      <c r="DJA555" s="500"/>
      <c r="DJB555" s="500"/>
      <c r="DJC555" s="500"/>
      <c r="DJD555" s="500"/>
      <c r="DJE555" s="500"/>
      <c r="DJF555" s="500"/>
      <c r="DJG555" s="500"/>
      <c r="DJH555" s="500"/>
      <c r="DJI555" s="500"/>
      <c r="DJJ555" s="500"/>
      <c r="DJK555" s="500"/>
      <c r="DJL555" s="500"/>
      <c r="DJM555" s="500"/>
      <c r="DJN555" s="500"/>
      <c r="DJO555" s="500"/>
      <c r="DJP555" s="500"/>
      <c r="DJQ555" s="500"/>
      <c r="DJR555" s="500"/>
      <c r="DJS555" s="500"/>
      <c r="DJT555" s="500"/>
      <c r="DJU555" s="500"/>
      <c r="DJV555" s="500"/>
      <c r="DJW555" s="500"/>
      <c r="DJX555" s="500"/>
      <c r="DJY555" s="500"/>
      <c r="DJZ555" s="500"/>
      <c r="DKA555" s="500"/>
      <c r="DKB555" s="500"/>
      <c r="DKC555" s="500"/>
      <c r="DKD555" s="500"/>
      <c r="DKE555" s="500"/>
      <c r="DKF555" s="500"/>
      <c r="DKG555" s="500"/>
      <c r="DKH555" s="500"/>
      <c r="DKI555" s="500"/>
      <c r="DKJ555" s="500"/>
      <c r="DKK555" s="500"/>
      <c r="DKL555" s="500"/>
      <c r="DKM555" s="500"/>
      <c r="DKN555" s="500"/>
      <c r="DKO555" s="500"/>
      <c r="DKP555" s="500"/>
      <c r="DKQ555" s="500"/>
      <c r="DKR555" s="500"/>
      <c r="DKS555" s="500"/>
      <c r="DKT555" s="500"/>
      <c r="DKU555" s="500"/>
      <c r="DKV555" s="500"/>
      <c r="DKW555" s="500"/>
      <c r="DKX555" s="500"/>
      <c r="DKY555" s="500"/>
      <c r="DKZ555" s="500"/>
      <c r="DLA555" s="500"/>
      <c r="DLB555" s="500"/>
      <c r="DLC555" s="500"/>
      <c r="DLD555" s="500"/>
      <c r="DLE555" s="500"/>
      <c r="DLF555" s="500"/>
      <c r="DLG555" s="500"/>
      <c r="DLH555" s="500"/>
      <c r="DLI555" s="500"/>
      <c r="DLJ555" s="500"/>
      <c r="DLK555" s="500"/>
      <c r="DLL555" s="500"/>
      <c r="DLM555" s="500"/>
      <c r="DLN555" s="500"/>
      <c r="DLO555" s="500"/>
      <c r="DLP555" s="500"/>
      <c r="DLQ555" s="500"/>
      <c r="DLR555" s="500"/>
      <c r="DLS555" s="500"/>
      <c r="DLT555" s="500"/>
      <c r="DLU555" s="500"/>
      <c r="DLV555" s="500"/>
      <c r="DLW555" s="500"/>
      <c r="DLX555" s="500"/>
      <c r="DLY555" s="500"/>
      <c r="DLZ555" s="500"/>
      <c r="DMA555" s="500"/>
      <c r="DMB555" s="500"/>
      <c r="DMC555" s="500"/>
      <c r="DMD555" s="500"/>
      <c r="DME555" s="500"/>
      <c r="DMF555" s="500"/>
      <c r="DMG555" s="500"/>
      <c r="DMH555" s="500"/>
      <c r="DMI555" s="500"/>
      <c r="DMJ555" s="500"/>
      <c r="DMK555" s="500"/>
      <c r="DML555" s="500"/>
      <c r="DMM555" s="500"/>
      <c r="DMN555" s="500"/>
      <c r="DMO555" s="500"/>
      <c r="DMP555" s="500"/>
      <c r="DMQ555" s="500"/>
      <c r="DMR555" s="500"/>
      <c r="DMS555" s="500"/>
      <c r="DMT555" s="500"/>
      <c r="DMU555" s="500"/>
      <c r="DMV555" s="500"/>
      <c r="DMW555" s="500"/>
      <c r="DMX555" s="500"/>
      <c r="DMY555" s="500"/>
      <c r="DMZ555" s="500"/>
      <c r="DNA555" s="500"/>
      <c r="DNB555" s="500"/>
      <c r="DNC555" s="500"/>
      <c r="DND555" s="500"/>
      <c r="DNE555" s="500"/>
      <c r="DNF555" s="500"/>
      <c r="DNG555" s="500"/>
      <c r="DNH555" s="500"/>
      <c r="DNI555" s="500"/>
      <c r="DNJ555" s="500"/>
      <c r="DNK555" s="500"/>
      <c r="DNL555" s="500"/>
      <c r="DNM555" s="500"/>
      <c r="DNN555" s="500"/>
      <c r="DNO555" s="500"/>
      <c r="DNP555" s="500"/>
      <c r="DNQ555" s="500"/>
      <c r="DNR555" s="500"/>
      <c r="DNS555" s="500"/>
      <c r="DNT555" s="500"/>
      <c r="DNU555" s="500"/>
      <c r="DNV555" s="500"/>
      <c r="DNW555" s="500"/>
      <c r="DNX555" s="500"/>
      <c r="DNY555" s="500"/>
      <c r="DNZ555" s="500"/>
      <c r="DOA555" s="500"/>
      <c r="DOB555" s="500"/>
      <c r="DOC555" s="500"/>
      <c r="DOD555" s="500"/>
      <c r="DOE555" s="500"/>
      <c r="DOF555" s="500"/>
      <c r="DOG555" s="500"/>
      <c r="DOH555" s="500"/>
      <c r="DOI555" s="500"/>
      <c r="DOJ555" s="500"/>
      <c r="DOK555" s="500"/>
      <c r="DOL555" s="500"/>
      <c r="DOM555" s="500"/>
      <c r="DON555" s="500"/>
      <c r="DOO555" s="500"/>
      <c r="DOP555" s="500"/>
      <c r="DOQ555" s="500"/>
      <c r="DOR555" s="500"/>
      <c r="DOS555" s="500"/>
      <c r="DOT555" s="500"/>
      <c r="DOU555" s="500"/>
      <c r="DOV555" s="500"/>
      <c r="DOW555" s="500"/>
      <c r="DOX555" s="500"/>
      <c r="DOY555" s="500"/>
      <c r="DOZ555" s="500"/>
      <c r="DPA555" s="500"/>
      <c r="DPB555" s="500"/>
      <c r="DPC555" s="500"/>
      <c r="DPD555" s="500"/>
      <c r="DPE555" s="500"/>
      <c r="DPF555" s="500"/>
      <c r="DPG555" s="500"/>
      <c r="DPH555" s="500"/>
      <c r="DPI555" s="500"/>
      <c r="DPJ555" s="500"/>
      <c r="DPK555" s="500"/>
      <c r="DPL555" s="500"/>
      <c r="DPM555" s="500"/>
      <c r="DPN555" s="500"/>
      <c r="DPO555" s="500"/>
      <c r="DPP555" s="500"/>
      <c r="DPQ555" s="500"/>
      <c r="DPR555" s="500"/>
      <c r="DPS555" s="500"/>
      <c r="DPT555" s="500"/>
      <c r="DPU555" s="500"/>
      <c r="DPV555" s="500"/>
      <c r="DPW555" s="500"/>
      <c r="DPX555" s="500"/>
      <c r="DPY555" s="500"/>
      <c r="DPZ555" s="500"/>
      <c r="DQA555" s="500"/>
      <c r="DQB555" s="500"/>
      <c r="DQC555" s="500"/>
      <c r="DQD555" s="500"/>
      <c r="DQE555" s="500"/>
      <c r="DQF555" s="500"/>
      <c r="DQG555" s="500"/>
      <c r="DQH555" s="500"/>
      <c r="DQI555" s="500"/>
      <c r="DQJ555" s="500"/>
      <c r="DQK555" s="500"/>
      <c r="DQL555" s="500"/>
      <c r="DQM555" s="500"/>
      <c r="DQN555" s="500"/>
      <c r="DQO555" s="500"/>
      <c r="DQP555" s="500"/>
      <c r="DQQ555" s="500"/>
      <c r="DQR555" s="500"/>
      <c r="DQS555" s="500"/>
      <c r="DQT555" s="500"/>
      <c r="DQU555" s="500"/>
      <c r="DQV555" s="500"/>
      <c r="DQW555" s="500"/>
      <c r="DQX555" s="500"/>
      <c r="DQY555" s="500"/>
      <c r="DQZ555" s="500"/>
      <c r="DRA555" s="500"/>
      <c r="DRB555" s="500"/>
      <c r="DRC555" s="500"/>
      <c r="DRD555" s="500"/>
      <c r="DRE555" s="500"/>
      <c r="DRF555" s="500"/>
      <c r="DRG555" s="500"/>
      <c r="DRH555" s="500"/>
      <c r="DRI555" s="500"/>
      <c r="DRJ555" s="500"/>
      <c r="DRK555" s="500"/>
      <c r="DRL555" s="500"/>
      <c r="DRM555" s="500"/>
      <c r="DRN555" s="500"/>
      <c r="DRO555" s="500"/>
      <c r="DRP555" s="500"/>
      <c r="DRQ555" s="500"/>
      <c r="DRR555" s="500"/>
      <c r="DRS555" s="500"/>
      <c r="DRT555" s="500"/>
      <c r="DRU555" s="500"/>
      <c r="DRV555" s="500"/>
      <c r="DRW555" s="500"/>
      <c r="DRX555" s="500"/>
      <c r="DRY555" s="500"/>
      <c r="DRZ555" s="500"/>
      <c r="DSA555" s="500"/>
      <c r="DSB555" s="500"/>
      <c r="DSC555" s="500"/>
      <c r="DSD555" s="500"/>
      <c r="DSE555" s="500"/>
      <c r="DSF555" s="500"/>
      <c r="DSG555" s="500"/>
      <c r="DSH555" s="500"/>
      <c r="DSI555" s="500"/>
      <c r="DSJ555" s="500"/>
      <c r="DSK555" s="500"/>
      <c r="DSL555" s="500"/>
      <c r="DSM555" s="500"/>
      <c r="DSN555" s="500"/>
      <c r="DSO555" s="500"/>
      <c r="DSP555" s="500"/>
      <c r="DSQ555" s="500"/>
      <c r="DSR555" s="500"/>
      <c r="DSS555" s="500"/>
      <c r="DST555" s="500"/>
      <c r="DSU555" s="500"/>
      <c r="DSV555" s="500"/>
      <c r="DSW555" s="500"/>
      <c r="DSX555" s="500"/>
      <c r="DSY555" s="500"/>
      <c r="DSZ555" s="500"/>
      <c r="DTA555" s="500"/>
      <c r="DTB555" s="500"/>
      <c r="DTC555" s="500"/>
      <c r="DTD555" s="500"/>
      <c r="DTE555" s="500"/>
      <c r="DTF555" s="500"/>
      <c r="DTG555" s="500"/>
      <c r="DTH555" s="500"/>
      <c r="DTI555" s="500"/>
      <c r="DTJ555" s="500"/>
      <c r="DTK555" s="500"/>
      <c r="DTL555" s="500"/>
      <c r="DTM555" s="500"/>
      <c r="DTN555" s="500"/>
      <c r="DTO555" s="500"/>
      <c r="DTP555" s="500"/>
      <c r="DTQ555" s="500"/>
      <c r="DTR555" s="500"/>
      <c r="DTS555" s="500"/>
      <c r="DTT555" s="500"/>
      <c r="DTU555" s="500"/>
      <c r="DTV555" s="500"/>
      <c r="DTW555" s="500"/>
      <c r="DTX555" s="500"/>
      <c r="DTY555" s="500"/>
      <c r="DTZ555" s="500"/>
      <c r="DUA555" s="500"/>
      <c r="DUB555" s="500"/>
      <c r="DUC555" s="500"/>
      <c r="DUD555" s="500"/>
      <c r="DUE555" s="500"/>
      <c r="DUF555" s="500"/>
      <c r="DUG555" s="500"/>
      <c r="DUH555" s="500"/>
      <c r="DUI555" s="500"/>
      <c r="DUJ555" s="500"/>
      <c r="DUK555" s="500"/>
      <c r="DUL555" s="500"/>
      <c r="DUM555" s="500"/>
      <c r="DUN555" s="500"/>
      <c r="DUO555" s="500"/>
      <c r="DUP555" s="500"/>
      <c r="DUQ555" s="500"/>
      <c r="DUR555" s="500"/>
      <c r="DUS555" s="500"/>
      <c r="DUT555" s="500"/>
      <c r="DUU555" s="500"/>
      <c r="DUV555" s="500"/>
      <c r="DUW555" s="500"/>
      <c r="DUX555" s="500"/>
      <c r="DUY555" s="500"/>
      <c r="DUZ555" s="500"/>
      <c r="DVA555" s="500"/>
      <c r="DVB555" s="500"/>
      <c r="DVC555" s="500"/>
      <c r="DVD555" s="500"/>
      <c r="DVE555" s="500"/>
      <c r="DVF555" s="500"/>
      <c r="DVG555" s="500"/>
      <c r="DVH555" s="500"/>
      <c r="DVI555" s="500"/>
      <c r="DVJ555" s="500"/>
      <c r="DVK555" s="500"/>
      <c r="DVL555" s="500"/>
      <c r="DVM555" s="500"/>
      <c r="DVN555" s="500"/>
      <c r="DVO555" s="500"/>
      <c r="DVP555" s="500"/>
      <c r="DVQ555" s="500"/>
      <c r="DVR555" s="500"/>
      <c r="DVS555" s="500"/>
      <c r="DVT555" s="500"/>
      <c r="DVU555" s="500"/>
      <c r="DVV555" s="500"/>
      <c r="DVW555" s="500"/>
      <c r="DVX555" s="500"/>
      <c r="DVY555" s="500"/>
      <c r="DVZ555" s="500"/>
      <c r="DWA555" s="500"/>
      <c r="DWB555" s="500"/>
      <c r="DWC555" s="500"/>
      <c r="DWD555" s="500"/>
      <c r="DWE555" s="500"/>
      <c r="DWF555" s="500"/>
      <c r="DWG555" s="500"/>
      <c r="DWH555" s="500"/>
      <c r="DWI555" s="500"/>
      <c r="DWJ555" s="500"/>
      <c r="DWK555" s="500"/>
      <c r="DWL555" s="500"/>
      <c r="DWM555" s="500"/>
      <c r="DWN555" s="500"/>
      <c r="DWO555" s="500"/>
      <c r="DWP555" s="500"/>
      <c r="DWQ555" s="500"/>
      <c r="DWR555" s="500"/>
      <c r="DWS555" s="500"/>
      <c r="DWT555" s="500"/>
      <c r="DWU555" s="500"/>
      <c r="DWV555" s="500"/>
      <c r="DWW555" s="500"/>
      <c r="DWX555" s="500"/>
      <c r="DWY555" s="500"/>
      <c r="DWZ555" s="500"/>
      <c r="DXA555" s="500"/>
      <c r="DXB555" s="500"/>
      <c r="DXC555" s="500"/>
      <c r="DXD555" s="500"/>
      <c r="DXE555" s="500"/>
      <c r="DXF555" s="500"/>
      <c r="DXG555" s="500"/>
      <c r="DXH555" s="500"/>
      <c r="DXI555" s="500"/>
      <c r="DXJ555" s="500"/>
      <c r="DXK555" s="500"/>
      <c r="DXL555" s="500"/>
      <c r="DXM555" s="500"/>
      <c r="DXN555" s="500"/>
      <c r="DXO555" s="500"/>
      <c r="DXP555" s="500"/>
      <c r="DXQ555" s="500"/>
      <c r="DXR555" s="500"/>
      <c r="DXS555" s="500"/>
      <c r="DXT555" s="500"/>
      <c r="DXU555" s="500"/>
      <c r="DXV555" s="500"/>
      <c r="DXW555" s="500"/>
      <c r="DXX555" s="500"/>
      <c r="DXY555" s="500"/>
      <c r="DXZ555" s="500"/>
      <c r="DYA555" s="500"/>
      <c r="DYB555" s="500"/>
      <c r="DYC555" s="500"/>
      <c r="DYD555" s="500"/>
      <c r="DYE555" s="500"/>
      <c r="DYF555" s="500"/>
      <c r="DYG555" s="500"/>
      <c r="DYH555" s="500"/>
      <c r="DYI555" s="500"/>
      <c r="DYJ555" s="500"/>
      <c r="DYK555" s="500"/>
      <c r="DYL555" s="500"/>
      <c r="DYM555" s="500"/>
      <c r="DYN555" s="500"/>
      <c r="DYO555" s="500"/>
      <c r="DYP555" s="500"/>
      <c r="DYQ555" s="500"/>
      <c r="DYR555" s="500"/>
      <c r="DYS555" s="500"/>
      <c r="DYT555" s="500"/>
      <c r="DYU555" s="500"/>
      <c r="DYV555" s="500"/>
      <c r="DYW555" s="500"/>
      <c r="DYX555" s="500"/>
      <c r="DYY555" s="500"/>
      <c r="DYZ555" s="500"/>
      <c r="DZA555" s="500"/>
      <c r="DZB555" s="500"/>
      <c r="DZC555" s="500"/>
      <c r="DZD555" s="500"/>
      <c r="DZE555" s="500"/>
      <c r="DZF555" s="500"/>
      <c r="DZG555" s="500"/>
      <c r="DZH555" s="500"/>
      <c r="DZI555" s="500"/>
      <c r="DZJ555" s="500"/>
      <c r="DZK555" s="500"/>
      <c r="DZL555" s="500"/>
      <c r="DZM555" s="500"/>
      <c r="DZN555" s="500"/>
      <c r="DZO555" s="500"/>
      <c r="DZP555" s="500"/>
      <c r="DZQ555" s="500"/>
      <c r="DZR555" s="500"/>
      <c r="DZS555" s="500"/>
      <c r="DZT555" s="500"/>
      <c r="DZU555" s="500"/>
      <c r="DZV555" s="500"/>
      <c r="DZW555" s="500"/>
      <c r="DZX555" s="500"/>
      <c r="DZY555" s="500"/>
      <c r="DZZ555" s="500"/>
      <c r="EAA555" s="500"/>
      <c r="EAB555" s="500"/>
      <c r="EAC555" s="500"/>
      <c r="EAD555" s="500"/>
      <c r="EAE555" s="500"/>
      <c r="EAF555" s="500"/>
      <c r="EAG555" s="500"/>
      <c r="EAH555" s="500"/>
      <c r="EAI555" s="500"/>
      <c r="EAJ555" s="500"/>
      <c r="EAK555" s="500"/>
      <c r="EAL555" s="500"/>
      <c r="EAM555" s="500"/>
      <c r="EAN555" s="500"/>
      <c r="EAO555" s="500"/>
      <c r="EAP555" s="500"/>
      <c r="EAQ555" s="500"/>
      <c r="EAR555" s="500"/>
      <c r="EAS555" s="500"/>
      <c r="EAT555" s="500"/>
      <c r="EAU555" s="500"/>
      <c r="EAV555" s="500"/>
      <c r="EAW555" s="500"/>
      <c r="EAX555" s="500"/>
      <c r="EAY555" s="500"/>
      <c r="EAZ555" s="500"/>
      <c r="EBA555" s="500"/>
      <c r="EBB555" s="500"/>
      <c r="EBC555" s="500"/>
      <c r="EBD555" s="500"/>
      <c r="EBE555" s="500"/>
      <c r="EBF555" s="500"/>
      <c r="EBG555" s="500"/>
      <c r="EBH555" s="500"/>
      <c r="EBI555" s="500"/>
      <c r="EBJ555" s="500"/>
      <c r="EBK555" s="500"/>
      <c r="EBL555" s="500"/>
      <c r="EBM555" s="500"/>
      <c r="EBN555" s="500"/>
      <c r="EBO555" s="500"/>
      <c r="EBP555" s="500"/>
      <c r="EBQ555" s="500"/>
      <c r="EBR555" s="500"/>
      <c r="EBS555" s="500"/>
      <c r="EBT555" s="500"/>
      <c r="EBU555" s="500"/>
      <c r="EBV555" s="500"/>
      <c r="EBW555" s="500"/>
      <c r="EBX555" s="500"/>
      <c r="EBY555" s="500"/>
      <c r="EBZ555" s="500"/>
      <c r="ECA555" s="500"/>
      <c r="ECB555" s="500"/>
      <c r="ECC555" s="500"/>
      <c r="ECD555" s="500"/>
      <c r="ECE555" s="500"/>
      <c r="ECF555" s="500"/>
      <c r="ECG555" s="500"/>
      <c r="ECH555" s="500"/>
      <c r="ECI555" s="500"/>
      <c r="ECJ555" s="500"/>
      <c r="ECK555" s="500"/>
      <c r="ECL555" s="500"/>
      <c r="ECM555" s="500"/>
      <c r="ECN555" s="500"/>
      <c r="ECO555" s="500"/>
      <c r="ECP555" s="500"/>
      <c r="ECQ555" s="500"/>
      <c r="ECR555" s="500"/>
      <c r="ECS555" s="500"/>
      <c r="ECT555" s="500"/>
      <c r="ECU555" s="500"/>
      <c r="ECV555" s="500"/>
      <c r="ECW555" s="500"/>
      <c r="ECX555" s="500"/>
      <c r="ECY555" s="500"/>
      <c r="ECZ555" s="500"/>
      <c r="EDA555" s="500"/>
      <c r="EDB555" s="500"/>
      <c r="EDC555" s="500"/>
      <c r="EDD555" s="500"/>
      <c r="EDE555" s="500"/>
      <c r="EDF555" s="500"/>
      <c r="EDG555" s="500"/>
      <c r="EDH555" s="500"/>
      <c r="EDI555" s="500"/>
      <c r="EDJ555" s="500"/>
      <c r="EDK555" s="500"/>
      <c r="EDL555" s="500"/>
      <c r="EDM555" s="500"/>
      <c r="EDN555" s="500"/>
      <c r="EDO555" s="500"/>
      <c r="EDP555" s="500"/>
      <c r="EDQ555" s="500"/>
      <c r="EDR555" s="500"/>
      <c r="EDS555" s="500"/>
      <c r="EDT555" s="500"/>
      <c r="EDU555" s="500"/>
      <c r="EDV555" s="500"/>
      <c r="EDW555" s="500"/>
      <c r="EDX555" s="500"/>
      <c r="EDY555" s="500"/>
      <c r="EDZ555" s="500"/>
      <c r="EEA555" s="500"/>
      <c r="EEB555" s="500"/>
      <c r="EEC555" s="500"/>
      <c r="EED555" s="500"/>
      <c r="EEE555" s="500"/>
      <c r="EEF555" s="500"/>
      <c r="EEG555" s="500"/>
      <c r="EEH555" s="500"/>
      <c r="EEI555" s="500"/>
      <c r="EEJ555" s="500"/>
      <c r="EEK555" s="500"/>
      <c r="EEL555" s="500"/>
      <c r="EEM555" s="500"/>
      <c r="EEN555" s="500"/>
      <c r="EEO555" s="500"/>
      <c r="EEP555" s="500"/>
      <c r="EEQ555" s="500"/>
      <c r="EER555" s="500"/>
      <c r="EES555" s="500"/>
      <c r="EET555" s="500"/>
      <c r="EEU555" s="500"/>
      <c r="EEV555" s="500"/>
      <c r="EEW555" s="500"/>
      <c r="EEX555" s="500"/>
      <c r="EEY555" s="500"/>
      <c r="EEZ555" s="500"/>
      <c r="EFA555" s="500"/>
      <c r="EFB555" s="500"/>
      <c r="EFC555" s="500"/>
      <c r="EFD555" s="500"/>
      <c r="EFE555" s="500"/>
      <c r="EFF555" s="500"/>
      <c r="EFG555" s="500"/>
      <c r="EFH555" s="500"/>
      <c r="EFI555" s="500"/>
      <c r="EFJ555" s="500"/>
      <c r="EFK555" s="500"/>
      <c r="EFL555" s="500"/>
      <c r="EFM555" s="500"/>
      <c r="EFN555" s="500"/>
      <c r="EFO555" s="500"/>
      <c r="EFP555" s="500"/>
      <c r="EFQ555" s="500"/>
      <c r="EFR555" s="500"/>
      <c r="EFS555" s="500"/>
      <c r="EFT555" s="500"/>
      <c r="EFU555" s="500"/>
      <c r="EFV555" s="500"/>
      <c r="EFW555" s="500"/>
      <c r="EFX555" s="500"/>
      <c r="EFY555" s="500"/>
      <c r="EFZ555" s="500"/>
      <c r="EGA555" s="500"/>
      <c r="EGB555" s="500"/>
      <c r="EGC555" s="500"/>
      <c r="EGD555" s="500"/>
      <c r="EGE555" s="500"/>
      <c r="EGF555" s="500"/>
      <c r="EGG555" s="500"/>
      <c r="EGH555" s="500"/>
      <c r="EGI555" s="500"/>
      <c r="EGJ555" s="500"/>
      <c r="EGK555" s="500"/>
      <c r="EGL555" s="500"/>
      <c r="EGM555" s="500"/>
      <c r="EGN555" s="500"/>
      <c r="EGO555" s="500"/>
      <c r="EGP555" s="500"/>
      <c r="EGQ555" s="500"/>
      <c r="EGR555" s="500"/>
      <c r="EGS555" s="500"/>
      <c r="EGT555" s="500"/>
      <c r="EGU555" s="500"/>
      <c r="EGV555" s="500"/>
      <c r="EGW555" s="500"/>
      <c r="EGX555" s="500"/>
      <c r="EGY555" s="500"/>
      <c r="EGZ555" s="500"/>
      <c r="EHA555" s="500"/>
      <c r="EHB555" s="500"/>
      <c r="EHC555" s="500"/>
      <c r="EHD555" s="500"/>
      <c r="EHE555" s="500"/>
      <c r="EHF555" s="500"/>
      <c r="EHG555" s="500"/>
      <c r="EHH555" s="500"/>
      <c r="EHI555" s="500"/>
      <c r="EHJ555" s="500"/>
      <c r="EHK555" s="500"/>
      <c r="EHL555" s="500"/>
      <c r="EHM555" s="500"/>
      <c r="EHN555" s="500"/>
      <c r="EHO555" s="500"/>
      <c r="EHP555" s="500"/>
      <c r="EHQ555" s="500"/>
      <c r="EHR555" s="500"/>
      <c r="EHS555" s="500"/>
      <c r="EHT555" s="500"/>
      <c r="EHU555" s="500"/>
      <c r="EHV555" s="500"/>
      <c r="EHW555" s="500"/>
      <c r="EHX555" s="500"/>
      <c r="EHY555" s="500"/>
      <c r="EHZ555" s="500"/>
      <c r="EIA555" s="500"/>
      <c r="EIB555" s="500"/>
      <c r="EIC555" s="500"/>
      <c r="EID555" s="500"/>
      <c r="EIE555" s="500"/>
      <c r="EIF555" s="500"/>
      <c r="EIG555" s="500"/>
      <c r="EIH555" s="500"/>
      <c r="EII555" s="500"/>
      <c r="EIJ555" s="500"/>
      <c r="EIK555" s="500"/>
      <c r="EIL555" s="500"/>
      <c r="EIM555" s="500"/>
      <c r="EIN555" s="500"/>
      <c r="EIO555" s="500"/>
      <c r="EIP555" s="500"/>
      <c r="EIQ555" s="500"/>
      <c r="EIR555" s="500"/>
      <c r="EIS555" s="500"/>
      <c r="EIT555" s="500"/>
      <c r="EIU555" s="500"/>
      <c r="EIV555" s="500"/>
      <c r="EIW555" s="500"/>
      <c r="EIX555" s="500"/>
      <c r="EIY555" s="500"/>
      <c r="EIZ555" s="500"/>
      <c r="EJA555" s="500"/>
      <c r="EJB555" s="500"/>
      <c r="EJC555" s="500"/>
      <c r="EJD555" s="500"/>
      <c r="EJE555" s="500"/>
      <c r="EJF555" s="500"/>
      <c r="EJG555" s="500"/>
      <c r="EJH555" s="500"/>
      <c r="EJI555" s="500"/>
      <c r="EJJ555" s="500"/>
      <c r="EJK555" s="500"/>
      <c r="EJL555" s="500"/>
      <c r="EJM555" s="500"/>
      <c r="EJN555" s="500"/>
      <c r="EJO555" s="500"/>
      <c r="EJP555" s="500"/>
      <c r="EJQ555" s="500"/>
      <c r="EJR555" s="500"/>
      <c r="EJS555" s="500"/>
      <c r="EJT555" s="500"/>
      <c r="EJU555" s="500"/>
      <c r="EJV555" s="500"/>
      <c r="EJW555" s="500"/>
      <c r="EJX555" s="500"/>
      <c r="EJY555" s="500"/>
      <c r="EJZ555" s="500"/>
      <c r="EKA555" s="500"/>
      <c r="EKB555" s="500"/>
      <c r="EKC555" s="500"/>
      <c r="EKD555" s="500"/>
      <c r="EKE555" s="500"/>
      <c r="EKF555" s="500"/>
      <c r="EKG555" s="500"/>
      <c r="EKH555" s="500"/>
      <c r="EKI555" s="500"/>
      <c r="EKJ555" s="500"/>
      <c r="EKK555" s="500"/>
      <c r="EKL555" s="500"/>
      <c r="EKM555" s="500"/>
      <c r="EKN555" s="500"/>
      <c r="EKO555" s="500"/>
      <c r="EKP555" s="500"/>
      <c r="EKQ555" s="500"/>
      <c r="EKR555" s="500"/>
      <c r="EKS555" s="500"/>
      <c r="EKT555" s="500"/>
      <c r="EKU555" s="500"/>
      <c r="EKV555" s="500"/>
      <c r="EKW555" s="500"/>
      <c r="EKX555" s="500"/>
      <c r="EKY555" s="500"/>
      <c r="EKZ555" s="500"/>
      <c r="ELA555" s="500"/>
      <c r="ELB555" s="500"/>
      <c r="ELC555" s="500"/>
      <c r="ELD555" s="500"/>
      <c r="ELE555" s="500"/>
      <c r="ELF555" s="500"/>
      <c r="ELG555" s="500"/>
      <c r="ELH555" s="500"/>
      <c r="ELI555" s="500"/>
      <c r="ELJ555" s="500"/>
      <c r="ELK555" s="500"/>
      <c r="ELL555" s="500"/>
      <c r="ELM555" s="500"/>
      <c r="ELN555" s="500"/>
      <c r="ELO555" s="500"/>
      <c r="ELP555" s="500"/>
      <c r="ELQ555" s="500"/>
      <c r="ELR555" s="500"/>
      <c r="ELS555" s="500"/>
      <c r="ELT555" s="500"/>
      <c r="ELU555" s="500"/>
      <c r="ELV555" s="500"/>
      <c r="ELW555" s="500"/>
      <c r="ELX555" s="500"/>
      <c r="ELY555" s="500"/>
      <c r="ELZ555" s="500"/>
      <c r="EMA555" s="500"/>
      <c r="EMB555" s="500"/>
      <c r="EMC555" s="500"/>
      <c r="EMD555" s="500"/>
      <c r="EME555" s="500"/>
      <c r="EMF555" s="500"/>
      <c r="EMG555" s="500"/>
      <c r="EMH555" s="500"/>
      <c r="EMI555" s="500"/>
      <c r="EMJ555" s="500"/>
      <c r="EMK555" s="500"/>
      <c r="EML555" s="500"/>
      <c r="EMM555" s="500"/>
      <c r="EMN555" s="500"/>
      <c r="EMO555" s="500"/>
      <c r="EMP555" s="500"/>
      <c r="EMQ555" s="500"/>
      <c r="EMR555" s="500"/>
      <c r="EMS555" s="500"/>
      <c r="EMT555" s="500"/>
      <c r="EMU555" s="500"/>
      <c r="EMV555" s="500"/>
      <c r="EMW555" s="500"/>
      <c r="EMX555" s="500"/>
      <c r="EMY555" s="500"/>
      <c r="EMZ555" s="500"/>
      <c r="ENA555" s="500"/>
      <c r="ENB555" s="500"/>
      <c r="ENC555" s="500"/>
      <c r="END555" s="500"/>
      <c r="ENE555" s="500"/>
      <c r="ENF555" s="500"/>
      <c r="ENG555" s="500"/>
      <c r="ENH555" s="500"/>
      <c r="ENI555" s="500"/>
      <c r="ENJ555" s="500"/>
      <c r="ENK555" s="500"/>
      <c r="ENL555" s="500"/>
      <c r="ENM555" s="500"/>
      <c r="ENN555" s="500"/>
      <c r="ENO555" s="500"/>
      <c r="ENP555" s="500"/>
      <c r="ENQ555" s="500"/>
      <c r="ENR555" s="500"/>
      <c r="ENS555" s="500"/>
      <c r="ENT555" s="500"/>
      <c r="ENU555" s="500"/>
      <c r="ENV555" s="500"/>
      <c r="ENW555" s="500"/>
      <c r="ENX555" s="500"/>
      <c r="ENY555" s="500"/>
      <c r="ENZ555" s="500"/>
      <c r="EOA555" s="500"/>
      <c r="EOB555" s="500"/>
      <c r="EOC555" s="500"/>
      <c r="EOD555" s="500"/>
      <c r="EOE555" s="500"/>
      <c r="EOF555" s="500"/>
      <c r="EOG555" s="500"/>
      <c r="EOH555" s="500"/>
      <c r="EOI555" s="500"/>
      <c r="EOJ555" s="500"/>
      <c r="EOK555" s="500"/>
      <c r="EOL555" s="500"/>
      <c r="EOM555" s="500"/>
      <c r="EON555" s="500"/>
      <c r="EOO555" s="500"/>
      <c r="EOP555" s="500"/>
      <c r="EOQ555" s="500"/>
      <c r="EOR555" s="500"/>
      <c r="EOS555" s="500"/>
      <c r="EOT555" s="500"/>
      <c r="EOU555" s="500"/>
      <c r="EOV555" s="500"/>
      <c r="EOW555" s="500"/>
      <c r="EOX555" s="500"/>
      <c r="EOY555" s="500"/>
      <c r="EOZ555" s="500"/>
      <c r="EPA555" s="500"/>
      <c r="EPB555" s="500"/>
      <c r="EPC555" s="500"/>
      <c r="EPD555" s="500"/>
      <c r="EPE555" s="500"/>
      <c r="EPF555" s="500"/>
      <c r="EPG555" s="500"/>
      <c r="EPH555" s="500"/>
      <c r="EPI555" s="500"/>
      <c r="EPJ555" s="500"/>
      <c r="EPK555" s="500"/>
      <c r="EPL555" s="500"/>
      <c r="EPM555" s="500"/>
      <c r="EPN555" s="500"/>
      <c r="EPO555" s="500"/>
      <c r="EPP555" s="500"/>
      <c r="EPQ555" s="500"/>
      <c r="EPR555" s="500"/>
      <c r="EPS555" s="500"/>
      <c r="EPT555" s="500"/>
      <c r="EPU555" s="500"/>
      <c r="EPV555" s="500"/>
      <c r="EPW555" s="500"/>
      <c r="EPX555" s="500"/>
      <c r="EPY555" s="500"/>
      <c r="EPZ555" s="500"/>
      <c r="EQA555" s="500"/>
      <c r="EQB555" s="500"/>
      <c r="EQC555" s="500"/>
      <c r="EQD555" s="500"/>
      <c r="EQE555" s="500"/>
      <c r="EQF555" s="500"/>
      <c r="EQG555" s="500"/>
      <c r="EQH555" s="500"/>
      <c r="EQI555" s="500"/>
      <c r="EQJ555" s="500"/>
      <c r="EQK555" s="500"/>
      <c r="EQL555" s="500"/>
      <c r="EQM555" s="500"/>
      <c r="EQN555" s="500"/>
      <c r="EQO555" s="500"/>
      <c r="EQP555" s="500"/>
      <c r="EQQ555" s="500"/>
      <c r="EQR555" s="500"/>
      <c r="EQS555" s="500"/>
      <c r="EQT555" s="500"/>
      <c r="EQU555" s="500"/>
      <c r="EQV555" s="500"/>
      <c r="EQW555" s="500"/>
      <c r="EQX555" s="500"/>
      <c r="EQY555" s="500"/>
      <c r="EQZ555" s="500"/>
      <c r="ERA555" s="500"/>
      <c r="ERB555" s="500"/>
      <c r="ERC555" s="500"/>
      <c r="ERD555" s="500"/>
      <c r="ERE555" s="500"/>
      <c r="ERF555" s="500"/>
      <c r="ERG555" s="500"/>
      <c r="ERH555" s="500"/>
      <c r="ERI555" s="500"/>
      <c r="ERJ555" s="500"/>
      <c r="ERK555" s="500"/>
      <c r="ERL555" s="500"/>
      <c r="ERM555" s="500"/>
      <c r="ERN555" s="500"/>
      <c r="ERO555" s="500"/>
      <c r="ERP555" s="500"/>
      <c r="ERQ555" s="500"/>
      <c r="ERR555" s="500"/>
      <c r="ERS555" s="500"/>
      <c r="ERT555" s="500"/>
      <c r="ERU555" s="500"/>
      <c r="ERV555" s="500"/>
      <c r="ERW555" s="500"/>
      <c r="ERX555" s="500"/>
      <c r="ERY555" s="500"/>
      <c r="ERZ555" s="500"/>
      <c r="ESA555" s="500"/>
      <c r="ESB555" s="500"/>
      <c r="ESC555" s="500"/>
      <c r="ESD555" s="500"/>
      <c r="ESE555" s="500"/>
      <c r="ESF555" s="500"/>
      <c r="ESG555" s="500"/>
      <c r="ESH555" s="500"/>
      <c r="ESI555" s="500"/>
      <c r="ESJ555" s="500"/>
      <c r="ESK555" s="500"/>
      <c r="ESL555" s="500"/>
      <c r="ESM555" s="500"/>
      <c r="ESN555" s="500"/>
      <c r="ESO555" s="500"/>
      <c r="ESP555" s="500"/>
      <c r="ESQ555" s="500"/>
      <c r="ESR555" s="500"/>
      <c r="ESS555" s="500"/>
      <c r="EST555" s="500"/>
      <c r="ESU555" s="500"/>
      <c r="ESV555" s="500"/>
      <c r="ESW555" s="500"/>
      <c r="ESX555" s="500"/>
      <c r="ESY555" s="500"/>
      <c r="ESZ555" s="500"/>
      <c r="ETA555" s="500"/>
      <c r="ETB555" s="500"/>
      <c r="ETC555" s="500"/>
      <c r="ETD555" s="500"/>
      <c r="ETE555" s="500"/>
      <c r="ETF555" s="500"/>
      <c r="ETG555" s="500"/>
      <c r="ETH555" s="500"/>
      <c r="ETI555" s="500"/>
      <c r="ETJ555" s="500"/>
      <c r="ETK555" s="500"/>
      <c r="ETL555" s="500"/>
      <c r="ETM555" s="500"/>
      <c r="ETN555" s="500"/>
      <c r="ETO555" s="500"/>
      <c r="ETP555" s="500"/>
      <c r="ETQ555" s="500"/>
      <c r="ETR555" s="500"/>
      <c r="ETS555" s="500"/>
      <c r="ETT555" s="500"/>
      <c r="ETU555" s="500"/>
      <c r="ETV555" s="500"/>
      <c r="ETW555" s="500"/>
      <c r="ETX555" s="500"/>
      <c r="ETY555" s="500"/>
      <c r="ETZ555" s="500"/>
      <c r="EUA555" s="500"/>
      <c r="EUB555" s="500"/>
      <c r="EUC555" s="500"/>
      <c r="EUD555" s="500"/>
      <c r="EUE555" s="500"/>
      <c r="EUF555" s="500"/>
      <c r="EUG555" s="500"/>
      <c r="EUH555" s="500"/>
      <c r="EUI555" s="500"/>
      <c r="EUJ555" s="500"/>
      <c r="EUK555" s="500"/>
      <c r="EUL555" s="500"/>
      <c r="EUM555" s="500"/>
      <c r="EUN555" s="500"/>
      <c r="EUO555" s="500"/>
      <c r="EUP555" s="500"/>
      <c r="EUQ555" s="500"/>
      <c r="EUR555" s="500"/>
      <c r="EUS555" s="500"/>
      <c r="EUT555" s="500"/>
      <c r="EUU555" s="500"/>
      <c r="EUV555" s="500"/>
      <c r="EUW555" s="500"/>
      <c r="EUX555" s="500"/>
      <c r="EUY555" s="500"/>
      <c r="EUZ555" s="500"/>
      <c r="EVA555" s="500"/>
      <c r="EVB555" s="500"/>
      <c r="EVC555" s="500"/>
      <c r="EVD555" s="500"/>
      <c r="EVE555" s="500"/>
      <c r="EVF555" s="500"/>
      <c r="EVG555" s="500"/>
      <c r="EVH555" s="500"/>
      <c r="EVI555" s="500"/>
      <c r="EVJ555" s="500"/>
      <c r="EVK555" s="500"/>
      <c r="EVL555" s="500"/>
      <c r="EVM555" s="500"/>
      <c r="EVN555" s="500"/>
      <c r="EVO555" s="500"/>
      <c r="EVP555" s="500"/>
      <c r="EVQ555" s="500"/>
      <c r="EVR555" s="500"/>
      <c r="EVS555" s="500"/>
      <c r="EVT555" s="500"/>
      <c r="EVU555" s="500"/>
      <c r="EVV555" s="500"/>
      <c r="EVW555" s="500"/>
      <c r="EVX555" s="500"/>
      <c r="EVY555" s="500"/>
      <c r="EVZ555" s="500"/>
      <c r="EWA555" s="500"/>
      <c r="EWB555" s="500"/>
      <c r="EWC555" s="500"/>
      <c r="EWD555" s="500"/>
      <c r="EWE555" s="500"/>
      <c r="EWF555" s="500"/>
      <c r="EWG555" s="500"/>
      <c r="EWH555" s="500"/>
      <c r="EWI555" s="500"/>
      <c r="EWJ555" s="500"/>
      <c r="EWK555" s="500"/>
      <c r="EWL555" s="500"/>
      <c r="EWM555" s="500"/>
      <c r="EWN555" s="500"/>
      <c r="EWO555" s="500"/>
      <c r="EWP555" s="500"/>
      <c r="EWQ555" s="500"/>
      <c r="EWR555" s="500"/>
      <c r="EWS555" s="500"/>
      <c r="EWT555" s="500"/>
      <c r="EWU555" s="500"/>
      <c r="EWV555" s="500"/>
      <c r="EWW555" s="500"/>
      <c r="EWX555" s="500"/>
      <c r="EWY555" s="500"/>
      <c r="EWZ555" s="500"/>
      <c r="EXA555" s="500"/>
      <c r="EXB555" s="500"/>
      <c r="EXC555" s="500"/>
      <c r="EXD555" s="500"/>
      <c r="EXE555" s="500"/>
      <c r="EXF555" s="500"/>
      <c r="EXG555" s="500"/>
      <c r="EXH555" s="500"/>
      <c r="EXI555" s="500"/>
      <c r="EXJ555" s="500"/>
      <c r="EXK555" s="500"/>
      <c r="EXL555" s="500"/>
      <c r="EXM555" s="500"/>
      <c r="EXN555" s="500"/>
      <c r="EXO555" s="500"/>
      <c r="EXP555" s="500"/>
      <c r="EXQ555" s="500"/>
      <c r="EXR555" s="500"/>
      <c r="EXS555" s="500"/>
      <c r="EXT555" s="500"/>
      <c r="EXU555" s="500"/>
      <c r="EXV555" s="500"/>
      <c r="EXW555" s="500"/>
      <c r="EXX555" s="500"/>
      <c r="EXY555" s="500"/>
      <c r="EXZ555" s="500"/>
      <c r="EYA555" s="500"/>
      <c r="EYB555" s="500"/>
      <c r="EYC555" s="500"/>
      <c r="EYD555" s="500"/>
      <c r="EYE555" s="500"/>
      <c r="EYF555" s="500"/>
      <c r="EYG555" s="500"/>
      <c r="EYH555" s="500"/>
      <c r="EYI555" s="500"/>
      <c r="EYJ555" s="500"/>
      <c r="EYK555" s="500"/>
      <c r="EYL555" s="500"/>
      <c r="EYM555" s="500"/>
      <c r="EYN555" s="500"/>
      <c r="EYO555" s="500"/>
      <c r="EYP555" s="500"/>
      <c r="EYQ555" s="500"/>
      <c r="EYR555" s="500"/>
      <c r="EYS555" s="500"/>
      <c r="EYT555" s="500"/>
      <c r="EYU555" s="500"/>
      <c r="EYV555" s="500"/>
      <c r="EYW555" s="500"/>
      <c r="EYX555" s="500"/>
      <c r="EYY555" s="500"/>
      <c r="EYZ555" s="500"/>
      <c r="EZA555" s="500"/>
      <c r="EZB555" s="500"/>
      <c r="EZC555" s="500"/>
      <c r="EZD555" s="500"/>
      <c r="EZE555" s="500"/>
      <c r="EZF555" s="500"/>
      <c r="EZG555" s="500"/>
      <c r="EZH555" s="500"/>
      <c r="EZI555" s="500"/>
      <c r="EZJ555" s="500"/>
      <c r="EZK555" s="500"/>
      <c r="EZL555" s="500"/>
      <c r="EZM555" s="500"/>
      <c r="EZN555" s="500"/>
      <c r="EZO555" s="500"/>
      <c r="EZP555" s="500"/>
      <c r="EZQ555" s="500"/>
      <c r="EZR555" s="500"/>
      <c r="EZS555" s="500"/>
      <c r="EZT555" s="500"/>
      <c r="EZU555" s="500"/>
      <c r="EZV555" s="500"/>
      <c r="EZW555" s="500"/>
      <c r="EZX555" s="500"/>
      <c r="EZY555" s="500"/>
      <c r="EZZ555" s="500"/>
      <c r="FAA555" s="500"/>
      <c r="FAB555" s="500"/>
      <c r="FAC555" s="500"/>
      <c r="FAD555" s="500"/>
      <c r="FAE555" s="500"/>
      <c r="FAF555" s="500"/>
      <c r="FAG555" s="500"/>
      <c r="FAH555" s="500"/>
      <c r="FAI555" s="500"/>
      <c r="FAJ555" s="500"/>
      <c r="FAK555" s="500"/>
      <c r="FAL555" s="500"/>
      <c r="FAM555" s="500"/>
      <c r="FAN555" s="500"/>
      <c r="FAO555" s="500"/>
      <c r="FAP555" s="500"/>
      <c r="FAQ555" s="500"/>
      <c r="FAR555" s="500"/>
      <c r="FAS555" s="500"/>
      <c r="FAT555" s="500"/>
      <c r="FAU555" s="500"/>
      <c r="FAV555" s="500"/>
      <c r="FAW555" s="500"/>
      <c r="FAX555" s="500"/>
      <c r="FAY555" s="500"/>
      <c r="FAZ555" s="500"/>
      <c r="FBA555" s="500"/>
      <c r="FBB555" s="500"/>
      <c r="FBC555" s="500"/>
      <c r="FBD555" s="500"/>
      <c r="FBE555" s="500"/>
      <c r="FBF555" s="500"/>
      <c r="FBG555" s="500"/>
      <c r="FBH555" s="500"/>
      <c r="FBI555" s="500"/>
      <c r="FBJ555" s="500"/>
      <c r="FBK555" s="500"/>
      <c r="FBL555" s="500"/>
      <c r="FBM555" s="500"/>
      <c r="FBN555" s="500"/>
      <c r="FBO555" s="500"/>
      <c r="FBP555" s="500"/>
      <c r="FBQ555" s="500"/>
      <c r="FBR555" s="500"/>
      <c r="FBS555" s="500"/>
      <c r="FBT555" s="500"/>
      <c r="FBU555" s="500"/>
      <c r="FBV555" s="500"/>
      <c r="FBW555" s="500"/>
      <c r="FBX555" s="500"/>
      <c r="FBY555" s="500"/>
      <c r="FBZ555" s="500"/>
      <c r="FCA555" s="500"/>
      <c r="FCB555" s="500"/>
      <c r="FCC555" s="500"/>
      <c r="FCD555" s="500"/>
      <c r="FCE555" s="500"/>
      <c r="FCF555" s="500"/>
      <c r="FCG555" s="500"/>
      <c r="FCH555" s="500"/>
      <c r="FCI555" s="500"/>
      <c r="FCJ555" s="500"/>
      <c r="FCK555" s="500"/>
      <c r="FCL555" s="500"/>
      <c r="FCM555" s="500"/>
      <c r="FCN555" s="500"/>
      <c r="FCO555" s="500"/>
      <c r="FCP555" s="500"/>
      <c r="FCQ555" s="500"/>
      <c r="FCR555" s="500"/>
      <c r="FCS555" s="500"/>
      <c r="FCT555" s="500"/>
      <c r="FCU555" s="500"/>
      <c r="FCV555" s="500"/>
      <c r="FCW555" s="500"/>
      <c r="FCX555" s="500"/>
      <c r="FCY555" s="500"/>
      <c r="FCZ555" s="500"/>
      <c r="FDA555" s="500"/>
      <c r="FDB555" s="500"/>
      <c r="FDC555" s="500"/>
      <c r="FDD555" s="500"/>
      <c r="FDE555" s="500"/>
      <c r="FDF555" s="500"/>
      <c r="FDG555" s="500"/>
      <c r="FDH555" s="500"/>
      <c r="FDI555" s="500"/>
      <c r="FDJ555" s="500"/>
      <c r="FDK555" s="500"/>
      <c r="FDL555" s="500"/>
      <c r="FDM555" s="500"/>
      <c r="FDN555" s="500"/>
      <c r="FDO555" s="500"/>
      <c r="FDP555" s="500"/>
      <c r="FDQ555" s="500"/>
      <c r="FDR555" s="500"/>
      <c r="FDS555" s="500"/>
      <c r="FDT555" s="500"/>
      <c r="FDU555" s="500"/>
      <c r="FDV555" s="500"/>
      <c r="FDW555" s="500"/>
      <c r="FDX555" s="500"/>
      <c r="FDY555" s="500"/>
      <c r="FDZ555" s="500"/>
      <c r="FEA555" s="500"/>
      <c r="FEB555" s="500"/>
      <c r="FEC555" s="500"/>
      <c r="FED555" s="500"/>
      <c r="FEE555" s="500"/>
      <c r="FEF555" s="500"/>
      <c r="FEG555" s="500"/>
      <c r="FEH555" s="500"/>
      <c r="FEI555" s="500"/>
      <c r="FEJ555" s="500"/>
      <c r="FEK555" s="500"/>
      <c r="FEL555" s="500"/>
      <c r="FEM555" s="500"/>
      <c r="FEN555" s="500"/>
      <c r="FEO555" s="500"/>
      <c r="FEP555" s="500"/>
      <c r="FEQ555" s="500"/>
      <c r="FER555" s="500"/>
      <c r="FES555" s="500"/>
      <c r="FET555" s="500"/>
      <c r="FEU555" s="500"/>
      <c r="FEV555" s="500"/>
      <c r="FEW555" s="500"/>
      <c r="FEX555" s="500"/>
      <c r="FEY555" s="500"/>
      <c r="FEZ555" s="500"/>
      <c r="FFA555" s="500"/>
      <c r="FFB555" s="500"/>
      <c r="FFC555" s="500"/>
      <c r="FFD555" s="500"/>
      <c r="FFE555" s="500"/>
      <c r="FFF555" s="500"/>
      <c r="FFG555" s="500"/>
      <c r="FFH555" s="500"/>
      <c r="FFI555" s="500"/>
      <c r="FFJ555" s="500"/>
      <c r="FFK555" s="500"/>
      <c r="FFL555" s="500"/>
      <c r="FFM555" s="500"/>
      <c r="FFN555" s="500"/>
      <c r="FFO555" s="500"/>
      <c r="FFP555" s="500"/>
      <c r="FFQ555" s="500"/>
      <c r="FFR555" s="500"/>
      <c r="FFS555" s="500"/>
      <c r="FFT555" s="500"/>
      <c r="FFU555" s="500"/>
      <c r="FFV555" s="500"/>
      <c r="FFW555" s="500"/>
      <c r="FFX555" s="500"/>
      <c r="FFY555" s="500"/>
      <c r="FFZ555" s="500"/>
      <c r="FGA555" s="500"/>
      <c r="FGB555" s="500"/>
      <c r="FGC555" s="500"/>
      <c r="FGD555" s="500"/>
      <c r="FGE555" s="500"/>
      <c r="FGF555" s="500"/>
      <c r="FGG555" s="500"/>
      <c r="FGH555" s="500"/>
      <c r="FGI555" s="500"/>
      <c r="FGJ555" s="500"/>
      <c r="FGK555" s="500"/>
      <c r="FGL555" s="500"/>
      <c r="FGM555" s="500"/>
      <c r="FGN555" s="500"/>
      <c r="FGO555" s="500"/>
      <c r="FGP555" s="500"/>
      <c r="FGQ555" s="500"/>
      <c r="FGR555" s="500"/>
      <c r="FGS555" s="500"/>
      <c r="FGT555" s="500"/>
      <c r="FGU555" s="500"/>
      <c r="FGV555" s="500"/>
      <c r="FGW555" s="500"/>
      <c r="FGX555" s="500"/>
      <c r="FGY555" s="500"/>
      <c r="FGZ555" s="500"/>
      <c r="FHA555" s="500"/>
      <c r="FHB555" s="500"/>
      <c r="FHC555" s="500"/>
      <c r="FHD555" s="500"/>
      <c r="FHE555" s="500"/>
      <c r="FHF555" s="500"/>
      <c r="FHG555" s="500"/>
      <c r="FHH555" s="500"/>
      <c r="FHI555" s="500"/>
      <c r="FHJ555" s="500"/>
      <c r="FHK555" s="500"/>
      <c r="FHL555" s="500"/>
      <c r="FHM555" s="500"/>
      <c r="FHN555" s="500"/>
      <c r="FHO555" s="500"/>
      <c r="FHP555" s="500"/>
      <c r="FHQ555" s="500"/>
      <c r="FHR555" s="500"/>
      <c r="FHS555" s="500"/>
      <c r="FHT555" s="500"/>
      <c r="FHU555" s="500"/>
      <c r="FHV555" s="500"/>
      <c r="FHW555" s="500"/>
      <c r="FHX555" s="500"/>
      <c r="FHY555" s="500"/>
      <c r="FHZ555" s="500"/>
      <c r="FIA555" s="500"/>
      <c r="FIB555" s="500"/>
      <c r="FIC555" s="500"/>
      <c r="FID555" s="500"/>
      <c r="FIE555" s="500"/>
      <c r="FIF555" s="500"/>
      <c r="FIG555" s="500"/>
      <c r="FIH555" s="500"/>
      <c r="FII555" s="500"/>
      <c r="FIJ555" s="500"/>
      <c r="FIK555" s="500"/>
      <c r="FIL555" s="500"/>
      <c r="FIM555" s="500"/>
      <c r="FIN555" s="500"/>
      <c r="FIO555" s="500"/>
      <c r="FIP555" s="500"/>
      <c r="FIQ555" s="500"/>
      <c r="FIR555" s="500"/>
      <c r="FIS555" s="500"/>
      <c r="FIT555" s="500"/>
      <c r="FIU555" s="500"/>
      <c r="FIV555" s="500"/>
      <c r="FIW555" s="500"/>
      <c r="FIX555" s="500"/>
      <c r="FIY555" s="500"/>
      <c r="FIZ555" s="500"/>
      <c r="FJA555" s="500"/>
      <c r="FJB555" s="500"/>
      <c r="FJC555" s="500"/>
      <c r="FJD555" s="500"/>
      <c r="FJE555" s="500"/>
      <c r="FJF555" s="500"/>
      <c r="FJG555" s="500"/>
      <c r="FJH555" s="500"/>
      <c r="FJI555" s="500"/>
      <c r="FJJ555" s="500"/>
      <c r="FJK555" s="500"/>
      <c r="FJL555" s="500"/>
      <c r="FJM555" s="500"/>
      <c r="FJN555" s="500"/>
      <c r="FJO555" s="500"/>
      <c r="FJP555" s="500"/>
      <c r="FJQ555" s="500"/>
      <c r="FJR555" s="500"/>
      <c r="FJS555" s="500"/>
      <c r="FJT555" s="500"/>
      <c r="FJU555" s="500"/>
      <c r="FJV555" s="500"/>
      <c r="FJW555" s="500"/>
      <c r="FJX555" s="500"/>
      <c r="FJY555" s="500"/>
      <c r="FJZ555" s="500"/>
      <c r="FKA555" s="500"/>
      <c r="FKB555" s="500"/>
      <c r="FKC555" s="500"/>
      <c r="FKD555" s="500"/>
      <c r="FKE555" s="500"/>
      <c r="FKF555" s="500"/>
      <c r="FKG555" s="500"/>
      <c r="FKH555" s="500"/>
      <c r="FKI555" s="500"/>
      <c r="FKJ555" s="500"/>
      <c r="FKK555" s="500"/>
      <c r="FKL555" s="500"/>
      <c r="FKM555" s="500"/>
      <c r="FKN555" s="500"/>
      <c r="FKO555" s="500"/>
      <c r="FKP555" s="500"/>
      <c r="FKQ555" s="500"/>
      <c r="FKR555" s="500"/>
      <c r="FKS555" s="500"/>
      <c r="FKT555" s="500"/>
      <c r="FKU555" s="500"/>
      <c r="FKV555" s="500"/>
      <c r="FKW555" s="500"/>
      <c r="FKX555" s="500"/>
      <c r="FKY555" s="500"/>
      <c r="FKZ555" s="500"/>
      <c r="FLA555" s="500"/>
      <c r="FLB555" s="500"/>
      <c r="FLC555" s="500"/>
      <c r="FLD555" s="500"/>
      <c r="FLE555" s="500"/>
      <c r="FLF555" s="500"/>
      <c r="FLG555" s="500"/>
      <c r="FLH555" s="500"/>
      <c r="FLI555" s="500"/>
      <c r="FLJ555" s="500"/>
      <c r="FLK555" s="500"/>
      <c r="FLL555" s="500"/>
      <c r="FLM555" s="500"/>
      <c r="FLN555" s="500"/>
      <c r="FLO555" s="500"/>
      <c r="FLP555" s="500"/>
      <c r="FLQ555" s="500"/>
      <c r="FLR555" s="500"/>
      <c r="FLS555" s="500"/>
      <c r="FLT555" s="500"/>
      <c r="FLU555" s="500"/>
      <c r="FLV555" s="500"/>
      <c r="FLW555" s="500"/>
      <c r="FLX555" s="500"/>
      <c r="FLY555" s="500"/>
      <c r="FLZ555" s="500"/>
      <c r="FMA555" s="500"/>
      <c r="FMB555" s="500"/>
      <c r="FMC555" s="500"/>
      <c r="FMD555" s="500"/>
      <c r="FME555" s="500"/>
      <c r="FMF555" s="500"/>
      <c r="FMG555" s="500"/>
      <c r="FMH555" s="500"/>
      <c r="FMI555" s="500"/>
      <c r="FMJ555" s="500"/>
      <c r="FMK555" s="500"/>
      <c r="FML555" s="500"/>
      <c r="FMM555" s="500"/>
      <c r="FMN555" s="500"/>
      <c r="FMO555" s="500"/>
      <c r="FMP555" s="500"/>
      <c r="FMQ555" s="500"/>
      <c r="FMR555" s="500"/>
      <c r="FMS555" s="500"/>
      <c r="FMT555" s="500"/>
      <c r="FMU555" s="500"/>
      <c r="FMV555" s="500"/>
      <c r="FMW555" s="500"/>
      <c r="FMX555" s="500"/>
      <c r="FMY555" s="500"/>
      <c r="FMZ555" s="500"/>
      <c r="FNA555" s="500"/>
      <c r="FNB555" s="500"/>
      <c r="FNC555" s="500"/>
      <c r="FND555" s="500"/>
      <c r="FNE555" s="500"/>
      <c r="FNF555" s="500"/>
      <c r="FNG555" s="500"/>
      <c r="FNH555" s="500"/>
      <c r="FNI555" s="500"/>
      <c r="FNJ555" s="500"/>
      <c r="FNK555" s="500"/>
      <c r="FNL555" s="500"/>
      <c r="FNM555" s="500"/>
      <c r="FNN555" s="500"/>
      <c r="FNO555" s="500"/>
      <c r="FNP555" s="500"/>
      <c r="FNQ555" s="500"/>
      <c r="FNR555" s="500"/>
      <c r="FNS555" s="500"/>
      <c r="FNT555" s="500"/>
      <c r="FNU555" s="500"/>
      <c r="FNV555" s="500"/>
      <c r="FNW555" s="500"/>
      <c r="FNX555" s="500"/>
      <c r="FNY555" s="500"/>
      <c r="FNZ555" s="500"/>
      <c r="FOA555" s="500"/>
      <c r="FOB555" s="500"/>
      <c r="FOC555" s="500"/>
      <c r="FOD555" s="500"/>
      <c r="FOE555" s="500"/>
      <c r="FOF555" s="500"/>
      <c r="FOG555" s="500"/>
      <c r="FOH555" s="500"/>
      <c r="FOI555" s="500"/>
      <c r="FOJ555" s="500"/>
      <c r="FOK555" s="500"/>
      <c r="FOL555" s="500"/>
      <c r="FOM555" s="500"/>
      <c r="FON555" s="500"/>
      <c r="FOO555" s="500"/>
      <c r="FOP555" s="500"/>
      <c r="FOQ555" s="500"/>
      <c r="FOR555" s="500"/>
      <c r="FOS555" s="500"/>
      <c r="FOT555" s="500"/>
      <c r="FOU555" s="500"/>
      <c r="FOV555" s="500"/>
      <c r="FOW555" s="500"/>
      <c r="FOX555" s="500"/>
      <c r="FOY555" s="500"/>
      <c r="FOZ555" s="500"/>
      <c r="FPA555" s="500"/>
      <c r="FPB555" s="500"/>
      <c r="FPC555" s="500"/>
      <c r="FPD555" s="500"/>
      <c r="FPE555" s="500"/>
      <c r="FPF555" s="500"/>
      <c r="FPG555" s="500"/>
      <c r="FPH555" s="500"/>
      <c r="FPI555" s="500"/>
      <c r="FPJ555" s="500"/>
      <c r="FPK555" s="500"/>
      <c r="FPL555" s="500"/>
      <c r="FPM555" s="500"/>
      <c r="FPN555" s="500"/>
      <c r="FPO555" s="500"/>
      <c r="FPP555" s="500"/>
      <c r="FPQ555" s="500"/>
      <c r="FPR555" s="500"/>
      <c r="FPS555" s="500"/>
      <c r="FPT555" s="500"/>
      <c r="FPU555" s="500"/>
      <c r="FPV555" s="500"/>
      <c r="FPW555" s="500"/>
      <c r="FPX555" s="500"/>
      <c r="FPY555" s="500"/>
      <c r="FPZ555" s="500"/>
      <c r="FQA555" s="500"/>
      <c r="FQB555" s="500"/>
      <c r="FQC555" s="500"/>
      <c r="FQD555" s="500"/>
      <c r="FQE555" s="500"/>
      <c r="FQF555" s="500"/>
      <c r="FQG555" s="500"/>
      <c r="FQH555" s="500"/>
      <c r="FQI555" s="500"/>
      <c r="FQJ555" s="500"/>
      <c r="FQK555" s="500"/>
      <c r="FQL555" s="500"/>
      <c r="FQM555" s="500"/>
      <c r="FQN555" s="500"/>
      <c r="FQO555" s="500"/>
      <c r="FQP555" s="500"/>
      <c r="FQQ555" s="500"/>
      <c r="FQR555" s="500"/>
      <c r="FQS555" s="500"/>
      <c r="FQT555" s="500"/>
      <c r="FQU555" s="500"/>
      <c r="FQV555" s="500"/>
      <c r="FQW555" s="500"/>
      <c r="FQX555" s="500"/>
      <c r="FQY555" s="500"/>
      <c r="FQZ555" s="500"/>
      <c r="FRA555" s="500"/>
      <c r="FRB555" s="500"/>
      <c r="FRC555" s="500"/>
      <c r="FRD555" s="500"/>
      <c r="FRE555" s="500"/>
      <c r="FRF555" s="500"/>
      <c r="FRG555" s="500"/>
      <c r="FRH555" s="500"/>
      <c r="FRI555" s="500"/>
      <c r="FRJ555" s="500"/>
      <c r="FRK555" s="500"/>
      <c r="FRL555" s="500"/>
      <c r="FRM555" s="500"/>
      <c r="FRN555" s="500"/>
      <c r="FRO555" s="500"/>
      <c r="FRP555" s="500"/>
      <c r="FRQ555" s="500"/>
      <c r="FRR555" s="500"/>
      <c r="FRS555" s="500"/>
      <c r="FRT555" s="500"/>
      <c r="FRU555" s="500"/>
      <c r="FRV555" s="500"/>
      <c r="FRW555" s="500"/>
      <c r="FRX555" s="500"/>
      <c r="FRY555" s="500"/>
      <c r="FRZ555" s="500"/>
      <c r="FSA555" s="500"/>
      <c r="FSB555" s="500"/>
      <c r="FSC555" s="500"/>
      <c r="FSD555" s="500"/>
      <c r="FSE555" s="500"/>
      <c r="FSF555" s="500"/>
      <c r="FSG555" s="500"/>
      <c r="FSH555" s="500"/>
      <c r="FSI555" s="500"/>
      <c r="FSJ555" s="500"/>
      <c r="FSK555" s="500"/>
      <c r="FSL555" s="500"/>
      <c r="FSM555" s="500"/>
      <c r="FSN555" s="500"/>
      <c r="FSO555" s="500"/>
      <c r="FSP555" s="500"/>
      <c r="FSQ555" s="500"/>
      <c r="FSR555" s="500"/>
      <c r="FSS555" s="500"/>
      <c r="FST555" s="500"/>
      <c r="FSU555" s="500"/>
      <c r="FSV555" s="500"/>
      <c r="FSW555" s="500"/>
      <c r="FSX555" s="500"/>
      <c r="FSY555" s="500"/>
      <c r="FSZ555" s="500"/>
      <c r="FTA555" s="500"/>
      <c r="FTB555" s="500"/>
      <c r="FTC555" s="500"/>
      <c r="FTD555" s="500"/>
      <c r="FTE555" s="500"/>
      <c r="FTF555" s="500"/>
      <c r="FTG555" s="500"/>
      <c r="FTH555" s="500"/>
      <c r="FTI555" s="500"/>
      <c r="FTJ555" s="500"/>
      <c r="FTK555" s="500"/>
      <c r="FTL555" s="500"/>
      <c r="FTM555" s="500"/>
      <c r="FTN555" s="500"/>
      <c r="FTO555" s="500"/>
      <c r="FTP555" s="500"/>
      <c r="FTQ555" s="500"/>
      <c r="FTR555" s="500"/>
      <c r="FTS555" s="500"/>
      <c r="FTT555" s="500"/>
      <c r="FTU555" s="500"/>
      <c r="FTV555" s="500"/>
      <c r="FTW555" s="500"/>
      <c r="FTX555" s="500"/>
      <c r="FTY555" s="500"/>
      <c r="FTZ555" s="500"/>
      <c r="FUA555" s="500"/>
      <c r="FUB555" s="500"/>
      <c r="FUC555" s="500"/>
      <c r="FUD555" s="500"/>
      <c r="FUE555" s="500"/>
      <c r="FUF555" s="500"/>
      <c r="FUG555" s="500"/>
      <c r="FUH555" s="500"/>
      <c r="FUI555" s="500"/>
      <c r="FUJ555" s="500"/>
      <c r="FUK555" s="500"/>
      <c r="FUL555" s="500"/>
      <c r="FUM555" s="500"/>
      <c r="FUN555" s="500"/>
      <c r="FUO555" s="500"/>
      <c r="FUP555" s="500"/>
      <c r="FUQ555" s="500"/>
      <c r="FUR555" s="500"/>
      <c r="FUS555" s="500"/>
      <c r="FUT555" s="500"/>
      <c r="FUU555" s="500"/>
      <c r="FUV555" s="500"/>
      <c r="FUW555" s="500"/>
      <c r="FUX555" s="500"/>
      <c r="FUY555" s="500"/>
      <c r="FUZ555" s="500"/>
      <c r="FVA555" s="500"/>
      <c r="FVB555" s="500"/>
      <c r="FVC555" s="500"/>
      <c r="FVD555" s="500"/>
      <c r="FVE555" s="500"/>
      <c r="FVF555" s="500"/>
      <c r="FVG555" s="500"/>
      <c r="FVH555" s="500"/>
      <c r="FVI555" s="500"/>
      <c r="FVJ555" s="500"/>
      <c r="FVK555" s="500"/>
      <c r="FVL555" s="500"/>
      <c r="FVM555" s="500"/>
      <c r="FVN555" s="500"/>
      <c r="FVO555" s="500"/>
      <c r="FVP555" s="500"/>
      <c r="FVQ555" s="500"/>
      <c r="FVR555" s="500"/>
      <c r="FVS555" s="500"/>
      <c r="FVT555" s="500"/>
      <c r="FVU555" s="500"/>
      <c r="FVV555" s="500"/>
      <c r="FVW555" s="500"/>
      <c r="FVX555" s="500"/>
      <c r="FVY555" s="500"/>
      <c r="FVZ555" s="500"/>
      <c r="FWA555" s="500"/>
      <c r="FWB555" s="500"/>
      <c r="FWC555" s="500"/>
      <c r="FWD555" s="500"/>
      <c r="FWE555" s="500"/>
      <c r="FWF555" s="500"/>
      <c r="FWG555" s="500"/>
      <c r="FWH555" s="500"/>
      <c r="FWI555" s="500"/>
      <c r="FWJ555" s="500"/>
      <c r="FWK555" s="500"/>
      <c r="FWL555" s="500"/>
      <c r="FWM555" s="500"/>
      <c r="FWN555" s="500"/>
      <c r="FWO555" s="500"/>
      <c r="FWP555" s="500"/>
      <c r="FWQ555" s="500"/>
      <c r="FWR555" s="500"/>
      <c r="FWS555" s="500"/>
      <c r="FWT555" s="500"/>
      <c r="FWU555" s="500"/>
      <c r="FWV555" s="500"/>
      <c r="FWW555" s="500"/>
      <c r="FWX555" s="500"/>
      <c r="FWY555" s="500"/>
      <c r="FWZ555" s="500"/>
      <c r="FXA555" s="500"/>
      <c r="FXB555" s="500"/>
      <c r="FXC555" s="500"/>
      <c r="FXD555" s="500"/>
      <c r="FXE555" s="500"/>
      <c r="FXF555" s="500"/>
      <c r="FXG555" s="500"/>
      <c r="FXH555" s="500"/>
      <c r="FXI555" s="500"/>
      <c r="FXJ555" s="500"/>
      <c r="FXK555" s="500"/>
      <c r="FXL555" s="500"/>
      <c r="FXM555" s="500"/>
      <c r="FXN555" s="500"/>
      <c r="FXO555" s="500"/>
      <c r="FXP555" s="500"/>
      <c r="FXQ555" s="500"/>
      <c r="FXR555" s="500"/>
      <c r="FXS555" s="500"/>
      <c r="FXT555" s="500"/>
      <c r="FXU555" s="500"/>
      <c r="FXV555" s="500"/>
      <c r="FXW555" s="500"/>
      <c r="FXX555" s="500"/>
      <c r="FXY555" s="500"/>
      <c r="FXZ555" s="500"/>
      <c r="FYA555" s="500"/>
      <c r="FYB555" s="500"/>
      <c r="FYC555" s="500"/>
      <c r="FYD555" s="500"/>
      <c r="FYE555" s="500"/>
      <c r="FYF555" s="500"/>
      <c r="FYG555" s="500"/>
      <c r="FYH555" s="500"/>
      <c r="FYI555" s="500"/>
      <c r="FYJ555" s="500"/>
      <c r="FYK555" s="500"/>
      <c r="FYL555" s="500"/>
      <c r="FYM555" s="500"/>
      <c r="FYN555" s="500"/>
      <c r="FYO555" s="500"/>
      <c r="FYP555" s="500"/>
      <c r="FYQ555" s="500"/>
      <c r="FYR555" s="500"/>
      <c r="FYS555" s="500"/>
      <c r="FYT555" s="500"/>
      <c r="FYU555" s="500"/>
      <c r="FYV555" s="500"/>
      <c r="FYW555" s="500"/>
      <c r="FYX555" s="500"/>
      <c r="FYY555" s="500"/>
      <c r="FYZ555" s="500"/>
      <c r="FZA555" s="500"/>
      <c r="FZB555" s="500"/>
      <c r="FZC555" s="500"/>
      <c r="FZD555" s="500"/>
      <c r="FZE555" s="500"/>
      <c r="FZF555" s="500"/>
      <c r="FZG555" s="500"/>
      <c r="FZH555" s="500"/>
      <c r="FZI555" s="500"/>
      <c r="FZJ555" s="500"/>
      <c r="FZK555" s="500"/>
      <c r="FZL555" s="500"/>
      <c r="FZM555" s="500"/>
      <c r="FZN555" s="500"/>
      <c r="FZO555" s="500"/>
      <c r="FZP555" s="500"/>
      <c r="FZQ555" s="500"/>
      <c r="FZR555" s="500"/>
      <c r="FZS555" s="500"/>
      <c r="FZT555" s="500"/>
      <c r="FZU555" s="500"/>
      <c r="FZV555" s="500"/>
      <c r="FZW555" s="500"/>
      <c r="FZX555" s="500"/>
      <c r="FZY555" s="500"/>
      <c r="FZZ555" s="500"/>
      <c r="GAA555" s="500"/>
      <c r="GAB555" s="500"/>
      <c r="GAC555" s="500"/>
      <c r="GAD555" s="500"/>
      <c r="GAE555" s="500"/>
      <c r="GAF555" s="500"/>
      <c r="GAG555" s="500"/>
      <c r="GAH555" s="500"/>
      <c r="GAI555" s="500"/>
      <c r="GAJ555" s="500"/>
      <c r="GAK555" s="500"/>
      <c r="GAL555" s="500"/>
      <c r="GAM555" s="500"/>
      <c r="GAN555" s="500"/>
      <c r="GAO555" s="500"/>
      <c r="GAP555" s="500"/>
      <c r="GAQ555" s="500"/>
      <c r="GAR555" s="500"/>
      <c r="GAS555" s="500"/>
      <c r="GAT555" s="500"/>
      <c r="GAU555" s="500"/>
      <c r="GAV555" s="500"/>
      <c r="GAW555" s="500"/>
      <c r="GAX555" s="500"/>
      <c r="GAY555" s="500"/>
      <c r="GAZ555" s="500"/>
      <c r="GBA555" s="500"/>
      <c r="GBB555" s="500"/>
      <c r="GBC555" s="500"/>
      <c r="GBD555" s="500"/>
      <c r="GBE555" s="500"/>
      <c r="GBF555" s="500"/>
      <c r="GBG555" s="500"/>
      <c r="GBH555" s="500"/>
      <c r="GBI555" s="500"/>
      <c r="GBJ555" s="500"/>
      <c r="GBK555" s="500"/>
      <c r="GBL555" s="500"/>
      <c r="GBM555" s="500"/>
      <c r="GBN555" s="500"/>
      <c r="GBO555" s="500"/>
      <c r="GBP555" s="500"/>
      <c r="GBQ555" s="500"/>
      <c r="GBR555" s="500"/>
      <c r="GBS555" s="500"/>
      <c r="GBT555" s="500"/>
      <c r="GBU555" s="500"/>
      <c r="GBV555" s="500"/>
      <c r="GBW555" s="500"/>
      <c r="GBX555" s="500"/>
      <c r="GBY555" s="500"/>
      <c r="GBZ555" s="500"/>
      <c r="GCA555" s="500"/>
      <c r="GCB555" s="500"/>
      <c r="GCC555" s="500"/>
      <c r="GCD555" s="500"/>
      <c r="GCE555" s="500"/>
      <c r="GCF555" s="500"/>
      <c r="GCG555" s="500"/>
      <c r="GCH555" s="500"/>
      <c r="GCI555" s="500"/>
      <c r="GCJ555" s="500"/>
      <c r="GCK555" s="500"/>
      <c r="GCL555" s="500"/>
      <c r="GCM555" s="500"/>
      <c r="GCN555" s="500"/>
      <c r="GCO555" s="500"/>
      <c r="GCP555" s="500"/>
      <c r="GCQ555" s="500"/>
      <c r="GCR555" s="500"/>
      <c r="GCS555" s="500"/>
      <c r="GCT555" s="500"/>
      <c r="GCU555" s="500"/>
      <c r="GCV555" s="500"/>
      <c r="GCW555" s="500"/>
      <c r="GCX555" s="500"/>
      <c r="GCY555" s="500"/>
      <c r="GCZ555" s="500"/>
      <c r="GDA555" s="500"/>
      <c r="GDB555" s="500"/>
      <c r="GDC555" s="500"/>
      <c r="GDD555" s="500"/>
      <c r="GDE555" s="500"/>
      <c r="GDF555" s="500"/>
      <c r="GDG555" s="500"/>
      <c r="GDH555" s="500"/>
      <c r="GDI555" s="500"/>
      <c r="GDJ555" s="500"/>
      <c r="GDK555" s="500"/>
      <c r="GDL555" s="500"/>
      <c r="GDM555" s="500"/>
      <c r="GDN555" s="500"/>
      <c r="GDO555" s="500"/>
      <c r="GDP555" s="500"/>
      <c r="GDQ555" s="500"/>
      <c r="GDR555" s="500"/>
      <c r="GDS555" s="500"/>
      <c r="GDT555" s="500"/>
      <c r="GDU555" s="500"/>
      <c r="GDV555" s="500"/>
      <c r="GDW555" s="500"/>
      <c r="GDX555" s="500"/>
      <c r="GDY555" s="500"/>
      <c r="GDZ555" s="500"/>
      <c r="GEA555" s="500"/>
      <c r="GEB555" s="500"/>
      <c r="GEC555" s="500"/>
      <c r="GED555" s="500"/>
      <c r="GEE555" s="500"/>
      <c r="GEF555" s="500"/>
      <c r="GEG555" s="500"/>
      <c r="GEH555" s="500"/>
      <c r="GEI555" s="500"/>
      <c r="GEJ555" s="500"/>
      <c r="GEK555" s="500"/>
      <c r="GEL555" s="500"/>
      <c r="GEM555" s="500"/>
      <c r="GEN555" s="500"/>
      <c r="GEO555" s="500"/>
      <c r="GEP555" s="500"/>
      <c r="GEQ555" s="500"/>
      <c r="GER555" s="500"/>
      <c r="GES555" s="500"/>
      <c r="GET555" s="500"/>
      <c r="GEU555" s="500"/>
      <c r="GEV555" s="500"/>
      <c r="GEW555" s="500"/>
      <c r="GEX555" s="500"/>
      <c r="GEY555" s="500"/>
      <c r="GEZ555" s="500"/>
      <c r="GFA555" s="500"/>
      <c r="GFB555" s="500"/>
      <c r="GFC555" s="500"/>
      <c r="GFD555" s="500"/>
      <c r="GFE555" s="500"/>
      <c r="GFF555" s="500"/>
      <c r="GFG555" s="500"/>
      <c r="GFH555" s="500"/>
      <c r="GFI555" s="500"/>
      <c r="GFJ555" s="500"/>
      <c r="GFK555" s="500"/>
      <c r="GFL555" s="500"/>
      <c r="GFM555" s="500"/>
      <c r="GFN555" s="500"/>
      <c r="GFO555" s="500"/>
      <c r="GFP555" s="500"/>
      <c r="GFQ555" s="500"/>
      <c r="GFR555" s="500"/>
      <c r="GFS555" s="500"/>
      <c r="GFT555" s="500"/>
      <c r="GFU555" s="500"/>
      <c r="GFV555" s="500"/>
      <c r="GFW555" s="500"/>
      <c r="GFX555" s="500"/>
      <c r="GFY555" s="500"/>
      <c r="GFZ555" s="500"/>
      <c r="GGA555" s="500"/>
      <c r="GGB555" s="500"/>
      <c r="GGC555" s="500"/>
      <c r="GGD555" s="500"/>
      <c r="GGE555" s="500"/>
      <c r="GGF555" s="500"/>
      <c r="GGG555" s="500"/>
      <c r="GGH555" s="500"/>
      <c r="GGI555" s="500"/>
      <c r="GGJ555" s="500"/>
      <c r="GGK555" s="500"/>
      <c r="GGL555" s="500"/>
      <c r="GGM555" s="500"/>
      <c r="GGN555" s="500"/>
      <c r="GGO555" s="500"/>
      <c r="GGP555" s="500"/>
      <c r="GGQ555" s="500"/>
      <c r="GGR555" s="500"/>
      <c r="GGS555" s="500"/>
      <c r="GGT555" s="500"/>
      <c r="GGU555" s="500"/>
      <c r="GGV555" s="500"/>
      <c r="GGW555" s="500"/>
      <c r="GGX555" s="500"/>
      <c r="GGY555" s="500"/>
      <c r="GGZ555" s="500"/>
      <c r="GHA555" s="500"/>
      <c r="GHB555" s="500"/>
      <c r="GHC555" s="500"/>
      <c r="GHD555" s="500"/>
      <c r="GHE555" s="500"/>
      <c r="GHF555" s="500"/>
      <c r="GHG555" s="500"/>
      <c r="GHH555" s="500"/>
      <c r="GHI555" s="500"/>
      <c r="GHJ555" s="500"/>
      <c r="GHK555" s="500"/>
      <c r="GHL555" s="500"/>
      <c r="GHM555" s="500"/>
      <c r="GHN555" s="500"/>
      <c r="GHO555" s="500"/>
      <c r="GHP555" s="500"/>
      <c r="GHQ555" s="500"/>
      <c r="GHR555" s="500"/>
      <c r="GHS555" s="500"/>
      <c r="GHT555" s="500"/>
      <c r="GHU555" s="500"/>
      <c r="GHV555" s="500"/>
      <c r="GHW555" s="500"/>
      <c r="GHX555" s="500"/>
      <c r="GHY555" s="500"/>
      <c r="GHZ555" s="500"/>
      <c r="GIA555" s="500"/>
      <c r="GIB555" s="500"/>
      <c r="GIC555" s="500"/>
      <c r="GID555" s="500"/>
      <c r="GIE555" s="500"/>
      <c r="GIF555" s="500"/>
      <c r="GIG555" s="500"/>
      <c r="GIH555" s="500"/>
      <c r="GII555" s="500"/>
      <c r="GIJ555" s="500"/>
      <c r="GIK555" s="500"/>
      <c r="GIL555" s="500"/>
      <c r="GIM555" s="500"/>
      <c r="GIN555" s="500"/>
      <c r="GIO555" s="500"/>
      <c r="GIP555" s="500"/>
      <c r="GIQ555" s="500"/>
      <c r="GIR555" s="500"/>
      <c r="GIS555" s="500"/>
      <c r="GIT555" s="500"/>
      <c r="GIU555" s="500"/>
      <c r="GIV555" s="500"/>
      <c r="GIW555" s="500"/>
      <c r="GIX555" s="500"/>
      <c r="GIY555" s="500"/>
      <c r="GIZ555" s="500"/>
      <c r="GJA555" s="500"/>
      <c r="GJB555" s="500"/>
      <c r="GJC555" s="500"/>
      <c r="GJD555" s="500"/>
      <c r="GJE555" s="500"/>
      <c r="GJF555" s="500"/>
      <c r="GJG555" s="500"/>
      <c r="GJH555" s="500"/>
      <c r="GJI555" s="500"/>
      <c r="GJJ555" s="500"/>
      <c r="GJK555" s="500"/>
      <c r="GJL555" s="500"/>
      <c r="GJM555" s="500"/>
      <c r="GJN555" s="500"/>
      <c r="GJO555" s="500"/>
      <c r="GJP555" s="500"/>
      <c r="GJQ555" s="500"/>
      <c r="GJR555" s="500"/>
      <c r="GJS555" s="500"/>
      <c r="GJT555" s="500"/>
      <c r="GJU555" s="500"/>
      <c r="GJV555" s="500"/>
      <c r="GJW555" s="500"/>
      <c r="GJX555" s="500"/>
      <c r="GJY555" s="500"/>
      <c r="GJZ555" s="500"/>
      <c r="GKA555" s="500"/>
      <c r="GKB555" s="500"/>
      <c r="GKC555" s="500"/>
      <c r="GKD555" s="500"/>
      <c r="GKE555" s="500"/>
      <c r="GKF555" s="500"/>
      <c r="GKG555" s="500"/>
      <c r="GKH555" s="500"/>
      <c r="GKI555" s="500"/>
      <c r="GKJ555" s="500"/>
      <c r="GKK555" s="500"/>
      <c r="GKL555" s="500"/>
      <c r="GKM555" s="500"/>
      <c r="GKN555" s="500"/>
      <c r="GKO555" s="500"/>
      <c r="GKP555" s="500"/>
      <c r="GKQ555" s="500"/>
      <c r="GKR555" s="500"/>
      <c r="GKS555" s="500"/>
      <c r="GKT555" s="500"/>
      <c r="GKU555" s="500"/>
      <c r="GKV555" s="500"/>
      <c r="GKW555" s="500"/>
      <c r="GKX555" s="500"/>
      <c r="GKY555" s="500"/>
      <c r="GKZ555" s="500"/>
      <c r="GLA555" s="500"/>
      <c r="GLB555" s="500"/>
      <c r="GLC555" s="500"/>
      <c r="GLD555" s="500"/>
      <c r="GLE555" s="500"/>
      <c r="GLF555" s="500"/>
      <c r="GLG555" s="500"/>
      <c r="GLH555" s="500"/>
      <c r="GLI555" s="500"/>
      <c r="GLJ555" s="500"/>
      <c r="GLK555" s="500"/>
      <c r="GLL555" s="500"/>
      <c r="GLM555" s="500"/>
      <c r="GLN555" s="500"/>
      <c r="GLO555" s="500"/>
      <c r="GLP555" s="500"/>
      <c r="GLQ555" s="500"/>
      <c r="GLR555" s="500"/>
      <c r="GLS555" s="500"/>
      <c r="GLT555" s="500"/>
      <c r="GLU555" s="500"/>
      <c r="GLV555" s="500"/>
      <c r="GLW555" s="500"/>
      <c r="GLX555" s="500"/>
      <c r="GLY555" s="500"/>
      <c r="GLZ555" s="500"/>
      <c r="GMA555" s="500"/>
      <c r="GMB555" s="500"/>
      <c r="GMC555" s="500"/>
      <c r="GMD555" s="500"/>
      <c r="GME555" s="500"/>
      <c r="GMF555" s="500"/>
      <c r="GMG555" s="500"/>
      <c r="GMH555" s="500"/>
      <c r="GMI555" s="500"/>
      <c r="GMJ555" s="500"/>
      <c r="GMK555" s="500"/>
      <c r="GML555" s="500"/>
      <c r="GMM555" s="500"/>
      <c r="GMN555" s="500"/>
      <c r="GMO555" s="500"/>
      <c r="GMP555" s="500"/>
      <c r="GMQ555" s="500"/>
      <c r="GMR555" s="500"/>
      <c r="GMS555" s="500"/>
      <c r="GMT555" s="500"/>
      <c r="GMU555" s="500"/>
      <c r="GMV555" s="500"/>
      <c r="GMW555" s="500"/>
      <c r="GMX555" s="500"/>
      <c r="GMY555" s="500"/>
      <c r="GMZ555" s="500"/>
      <c r="GNA555" s="500"/>
      <c r="GNB555" s="500"/>
      <c r="GNC555" s="500"/>
      <c r="GND555" s="500"/>
      <c r="GNE555" s="500"/>
      <c r="GNF555" s="500"/>
      <c r="GNG555" s="500"/>
      <c r="GNH555" s="500"/>
      <c r="GNI555" s="500"/>
      <c r="GNJ555" s="500"/>
      <c r="GNK555" s="500"/>
      <c r="GNL555" s="500"/>
      <c r="GNM555" s="500"/>
      <c r="GNN555" s="500"/>
      <c r="GNO555" s="500"/>
      <c r="GNP555" s="500"/>
      <c r="GNQ555" s="500"/>
      <c r="GNR555" s="500"/>
      <c r="GNS555" s="500"/>
      <c r="GNT555" s="500"/>
      <c r="GNU555" s="500"/>
      <c r="GNV555" s="500"/>
      <c r="GNW555" s="500"/>
      <c r="GNX555" s="500"/>
      <c r="GNY555" s="500"/>
      <c r="GNZ555" s="500"/>
      <c r="GOA555" s="500"/>
      <c r="GOB555" s="500"/>
      <c r="GOC555" s="500"/>
      <c r="GOD555" s="500"/>
      <c r="GOE555" s="500"/>
      <c r="GOF555" s="500"/>
      <c r="GOG555" s="500"/>
      <c r="GOH555" s="500"/>
      <c r="GOI555" s="500"/>
      <c r="GOJ555" s="500"/>
      <c r="GOK555" s="500"/>
      <c r="GOL555" s="500"/>
      <c r="GOM555" s="500"/>
      <c r="GON555" s="500"/>
      <c r="GOO555" s="500"/>
      <c r="GOP555" s="500"/>
      <c r="GOQ555" s="500"/>
      <c r="GOR555" s="500"/>
      <c r="GOS555" s="500"/>
      <c r="GOT555" s="500"/>
      <c r="GOU555" s="500"/>
      <c r="GOV555" s="500"/>
      <c r="GOW555" s="500"/>
      <c r="GOX555" s="500"/>
      <c r="GOY555" s="500"/>
      <c r="GOZ555" s="500"/>
      <c r="GPA555" s="500"/>
      <c r="GPB555" s="500"/>
      <c r="GPC555" s="500"/>
      <c r="GPD555" s="500"/>
      <c r="GPE555" s="500"/>
      <c r="GPF555" s="500"/>
      <c r="GPG555" s="500"/>
      <c r="GPH555" s="500"/>
      <c r="GPI555" s="500"/>
      <c r="GPJ555" s="500"/>
      <c r="GPK555" s="500"/>
      <c r="GPL555" s="500"/>
      <c r="GPM555" s="500"/>
      <c r="GPN555" s="500"/>
      <c r="GPO555" s="500"/>
      <c r="GPP555" s="500"/>
      <c r="GPQ555" s="500"/>
      <c r="GPR555" s="500"/>
      <c r="GPS555" s="500"/>
      <c r="GPT555" s="500"/>
      <c r="GPU555" s="500"/>
      <c r="GPV555" s="500"/>
      <c r="GPW555" s="500"/>
      <c r="GPX555" s="500"/>
      <c r="GPY555" s="500"/>
      <c r="GPZ555" s="500"/>
      <c r="GQA555" s="500"/>
      <c r="GQB555" s="500"/>
      <c r="GQC555" s="500"/>
      <c r="GQD555" s="500"/>
      <c r="GQE555" s="500"/>
      <c r="GQF555" s="500"/>
      <c r="GQG555" s="500"/>
      <c r="GQH555" s="500"/>
      <c r="GQI555" s="500"/>
      <c r="GQJ555" s="500"/>
      <c r="GQK555" s="500"/>
      <c r="GQL555" s="500"/>
      <c r="GQM555" s="500"/>
      <c r="GQN555" s="500"/>
      <c r="GQO555" s="500"/>
      <c r="GQP555" s="500"/>
      <c r="GQQ555" s="500"/>
      <c r="GQR555" s="500"/>
      <c r="GQS555" s="500"/>
      <c r="GQT555" s="500"/>
      <c r="GQU555" s="500"/>
      <c r="GQV555" s="500"/>
      <c r="GQW555" s="500"/>
      <c r="GQX555" s="500"/>
      <c r="GQY555" s="500"/>
      <c r="GQZ555" s="500"/>
      <c r="GRA555" s="500"/>
      <c r="GRB555" s="500"/>
      <c r="GRC555" s="500"/>
      <c r="GRD555" s="500"/>
      <c r="GRE555" s="500"/>
      <c r="GRF555" s="500"/>
      <c r="GRG555" s="500"/>
      <c r="GRH555" s="500"/>
      <c r="GRI555" s="500"/>
      <c r="GRJ555" s="500"/>
      <c r="GRK555" s="500"/>
      <c r="GRL555" s="500"/>
      <c r="GRM555" s="500"/>
      <c r="GRN555" s="500"/>
      <c r="GRO555" s="500"/>
      <c r="GRP555" s="500"/>
      <c r="GRQ555" s="500"/>
      <c r="GRR555" s="500"/>
      <c r="GRS555" s="500"/>
      <c r="GRT555" s="500"/>
      <c r="GRU555" s="500"/>
      <c r="GRV555" s="500"/>
      <c r="GRW555" s="500"/>
      <c r="GRX555" s="500"/>
      <c r="GRY555" s="500"/>
      <c r="GRZ555" s="500"/>
      <c r="GSA555" s="500"/>
      <c r="GSB555" s="500"/>
      <c r="GSC555" s="500"/>
      <c r="GSD555" s="500"/>
      <c r="GSE555" s="500"/>
      <c r="GSF555" s="500"/>
      <c r="GSG555" s="500"/>
      <c r="GSH555" s="500"/>
      <c r="GSI555" s="500"/>
      <c r="GSJ555" s="500"/>
      <c r="GSK555" s="500"/>
      <c r="GSL555" s="500"/>
      <c r="GSM555" s="500"/>
      <c r="GSN555" s="500"/>
      <c r="GSO555" s="500"/>
      <c r="GSP555" s="500"/>
      <c r="GSQ555" s="500"/>
      <c r="GSR555" s="500"/>
      <c r="GSS555" s="500"/>
      <c r="GST555" s="500"/>
      <c r="GSU555" s="500"/>
      <c r="GSV555" s="500"/>
      <c r="GSW555" s="500"/>
      <c r="GSX555" s="500"/>
      <c r="GSY555" s="500"/>
      <c r="GSZ555" s="500"/>
      <c r="GTA555" s="500"/>
      <c r="GTB555" s="500"/>
      <c r="GTC555" s="500"/>
      <c r="GTD555" s="500"/>
      <c r="GTE555" s="500"/>
      <c r="GTF555" s="500"/>
      <c r="GTG555" s="500"/>
      <c r="GTH555" s="500"/>
      <c r="GTI555" s="500"/>
      <c r="GTJ555" s="500"/>
      <c r="GTK555" s="500"/>
      <c r="GTL555" s="500"/>
      <c r="GTM555" s="500"/>
      <c r="GTN555" s="500"/>
      <c r="GTO555" s="500"/>
      <c r="GTP555" s="500"/>
      <c r="GTQ555" s="500"/>
      <c r="GTR555" s="500"/>
      <c r="GTS555" s="500"/>
      <c r="GTT555" s="500"/>
      <c r="GTU555" s="500"/>
      <c r="GTV555" s="500"/>
      <c r="GTW555" s="500"/>
      <c r="GTX555" s="500"/>
      <c r="GTY555" s="500"/>
      <c r="GTZ555" s="500"/>
      <c r="GUA555" s="500"/>
      <c r="GUB555" s="500"/>
      <c r="GUC555" s="500"/>
      <c r="GUD555" s="500"/>
      <c r="GUE555" s="500"/>
      <c r="GUF555" s="500"/>
      <c r="GUG555" s="500"/>
      <c r="GUH555" s="500"/>
      <c r="GUI555" s="500"/>
      <c r="GUJ555" s="500"/>
      <c r="GUK555" s="500"/>
      <c r="GUL555" s="500"/>
      <c r="GUM555" s="500"/>
      <c r="GUN555" s="500"/>
      <c r="GUO555" s="500"/>
      <c r="GUP555" s="500"/>
      <c r="GUQ555" s="500"/>
      <c r="GUR555" s="500"/>
      <c r="GUS555" s="500"/>
      <c r="GUT555" s="500"/>
      <c r="GUU555" s="500"/>
      <c r="GUV555" s="500"/>
      <c r="GUW555" s="500"/>
      <c r="GUX555" s="500"/>
      <c r="GUY555" s="500"/>
      <c r="GUZ555" s="500"/>
      <c r="GVA555" s="500"/>
      <c r="GVB555" s="500"/>
      <c r="GVC555" s="500"/>
      <c r="GVD555" s="500"/>
      <c r="GVE555" s="500"/>
      <c r="GVF555" s="500"/>
      <c r="GVG555" s="500"/>
      <c r="GVH555" s="500"/>
      <c r="GVI555" s="500"/>
      <c r="GVJ555" s="500"/>
      <c r="GVK555" s="500"/>
      <c r="GVL555" s="500"/>
      <c r="GVM555" s="500"/>
      <c r="GVN555" s="500"/>
      <c r="GVO555" s="500"/>
      <c r="GVP555" s="500"/>
      <c r="GVQ555" s="500"/>
      <c r="GVR555" s="500"/>
      <c r="GVS555" s="500"/>
      <c r="GVT555" s="500"/>
      <c r="GVU555" s="500"/>
      <c r="GVV555" s="500"/>
      <c r="GVW555" s="500"/>
      <c r="GVX555" s="500"/>
      <c r="GVY555" s="500"/>
      <c r="GVZ555" s="500"/>
      <c r="GWA555" s="500"/>
      <c r="GWB555" s="500"/>
      <c r="GWC555" s="500"/>
      <c r="GWD555" s="500"/>
      <c r="GWE555" s="500"/>
      <c r="GWF555" s="500"/>
      <c r="GWG555" s="500"/>
      <c r="GWH555" s="500"/>
      <c r="GWI555" s="500"/>
      <c r="GWJ555" s="500"/>
      <c r="GWK555" s="500"/>
      <c r="GWL555" s="500"/>
      <c r="GWM555" s="500"/>
      <c r="GWN555" s="500"/>
      <c r="GWO555" s="500"/>
      <c r="GWP555" s="500"/>
      <c r="GWQ555" s="500"/>
      <c r="GWR555" s="500"/>
      <c r="GWS555" s="500"/>
      <c r="GWT555" s="500"/>
      <c r="GWU555" s="500"/>
      <c r="GWV555" s="500"/>
      <c r="GWW555" s="500"/>
      <c r="GWX555" s="500"/>
      <c r="GWY555" s="500"/>
      <c r="GWZ555" s="500"/>
      <c r="GXA555" s="500"/>
      <c r="GXB555" s="500"/>
      <c r="GXC555" s="500"/>
      <c r="GXD555" s="500"/>
      <c r="GXE555" s="500"/>
      <c r="GXF555" s="500"/>
      <c r="GXG555" s="500"/>
      <c r="GXH555" s="500"/>
      <c r="GXI555" s="500"/>
      <c r="GXJ555" s="500"/>
      <c r="GXK555" s="500"/>
      <c r="GXL555" s="500"/>
      <c r="GXM555" s="500"/>
      <c r="GXN555" s="500"/>
      <c r="GXO555" s="500"/>
      <c r="GXP555" s="500"/>
      <c r="GXQ555" s="500"/>
      <c r="GXR555" s="500"/>
      <c r="GXS555" s="500"/>
      <c r="GXT555" s="500"/>
      <c r="GXU555" s="500"/>
      <c r="GXV555" s="500"/>
      <c r="GXW555" s="500"/>
      <c r="GXX555" s="500"/>
      <c r="GXY555" s="500"/>
      <c r="GXZ555" s="500"/>
      <c r="GYA555" s="500"/>
      <c r="GYB555" s="500"/>
      <c r="GYC555" s="500"/>
      <c r="GYD555" s="500"/>
      <c r="GYE555" s="500"/>
      <c r="GYF555" s="500"/>
      <c r="GYG555" s="500"/>
      <c r="GYH555" s="500"/>
      <c r="GYI555" s="500"/>
      <c r="GYJ555" s="500"/>
      <c r="GYK555" s="500"/>
      <c r="GYL555" s="500"/>
      <c r="GYM555" s="500"/>
      <c r="GYN555" s="500"/>
      <c r="GYO555" s="500"/>
      <c r="GYP555" s="500"/>
      <c r="GYQ555" s="500"/>
      <c r="GYR555" s="500"/>
      <c r="GYS555" s="500"/>
      <c r="GYT555" s="500"/>
      <c r="GYU555" s="500"/>
      <c r="GYV555" s="500"/>
      <c r="GYW555" s="500"/>
      <c r="GYX555" s="500"/>
      <c r="GYY555" s="500"/>
      <c r="GYZ555" s="500"/>
      <c r="GZA555" s="500"/>
      <c r="GZB555" s="500"/>
      <c r="GZC555" s="500"/>
      <c r="GZD555" s="500"/>
      <c r="GZE555" s="500"/>
      <c r="GZF555" s="500"/>
      <c r="GZG555" s="500"/>
      <c r="GZH555" s="500"/>
      <c r="GZI555" s="500"/>
      <c r="GZJ555" s="500"/>
      <c r="GZK555" s="500"/>
      <c r="GZL555" s="500"/>
      <c r="GZM555" s="500"/>
      <c r="GZN555" s="500"/>
      <c r="GZO555" s="500"/>
      <c r="GZP555" s="500"/>
      <c r="GZQ555" s="500"/>
      <c r="GZR555" s="500"/>
      <c r="GZS555" s="500"/>
      <c r="GZT555" s="500"/>
      <c r="GZU555" s="500"/>
      <c r="GZV555" s="500"/>
      <c r="GZW555" s="500"/>
      <c r="GZX555" s="500"/>
      <c r="GZY555" s="500"/>
      <c r="GZZ555" s="500"/>
      <c r="HAA555" s="500"/>
      <c r="HAB555" s="500"/>
      <c r="HAC555" s="500"/>
      <c r="HAD555" s="500"/>
      <c r="HAE555" s="500"/>
      <c r="HAF555" s="500"/>
      <c r="HAG555" s="500"/>
      <c r="HAH555" s="500"/>
      <c r="HAI555" s="500"/>
      <c r="HAJ555" s="500"/>
      <c r="HAK555" s="500"/>
      <c r="HAL555" s="500"/>
      <c r="HAM555" s="500"/>
      <c r="HAN555" s="500"/>
      <c r="HAO555" s="500"/>
      <c r="HAP555" s="500"/>
      <c r="HAQ555" s="500"/>
      <c r="HAR555" s="500"/>
      <c r="HAS555" s="500"/>
      <c r="HAT555" s="500"/>
      <c r="HAU555" s="500"/>
      <c r="HAV555" s="500"/>
      <c r="HAW555" s="500"/>
      <c r="HAX555" s="500"/>
      <c r="HAY555" s="500"/>
      <c r="HAZ555" s="500"/>
      <c r="HBA555" s="500"/>
      <c r="HBB555" s="500"/>
      <c r="HBC555" s="500"/>
      <c r="HBD555" s="500"/>
      <c r="HBE555" s="500"/>
      <c r="HBF555" s="500"/>
      <c r="HBG555" s="500"/>
      <c r="HBH555" s="500"/>
      <c r="HBI555" s="500"/>
      <c r="HBJ555" s="500"/>
      <c r="HBK555" s="500"/>
      <c r="HBL555" s="500"/>
      <c r="HBM555" s="500"/>
      <c r="HBN555" s="500"/>
      <c r="HBO555" s="500"/>
      <c r="HBP555" s="500"/>
      <c r="HBQ555" s="500"/>
      <c r="HBR555" s="500"/>
      <c r="HBS555" s="500"/>
      <c r="HBT555" s="500"/>
      <c r="HBU555" s="500"/>
      <c r="HBV555" s="500"/>
      <c r="HBW555" s="500"/>
      <c r="HBX555" s="500"/>
      <c r="HBY555" s="500"/>
      <c r="HBZ555" s="500"/>
      <c r="HCA555" s="500"/>
      <c r="HCB555" s="500"/>
      <c r="HCC555" s="500"/>
      <c r="HCD555" s="500"/>
      <c r="HCE555" s="500"/>
      <c r="HCF555" s="500"/>
      <c r="HCG555" s="500"/>
      <c r="HCH555" s="500"/>
      <c r="HCI555" s="500"/>
      <c r="HCJ555" s="500"/>
      <c r="HCK555" s="500"/>
      <c r="HCL555" s="500"/>
      <c r="HCM555" s="500"/>
      <c r="HCN555" s="500"/>
      <c r="HCO555" s="500"/>
      <c r="HCP555" s="500"/>
      <c r="HCQ555" s="500"/>
      <c r="HCR555" s="500"/>
      <c r="HCS555" s="500"/>
      <c r="HCT555" s="500"/>
      <c r="HCU555" s="500"/>
      <c r="HCV555" s="500"/>
      <c r="HCW555" s="500"/>
      <c r="HCX555" s="500"/>
      <c r="HCY555" s="500"/>
      <c r="HCZ555" s="500"/>
      <c r="HDA555" s="500"/>
      <c r="HDB555" s="500"/>
      <c r="HDC555" s="500"/>
      <c r="HDD555" s="500"/>
      <c r="HDE555" s="500"/>
      <c r="HDF555" s="500"/>
      <c r="HDG555" s="500"/>
      <c r="HDH555" s="500"/>
      <c r="HDI555" s="500"/>
      <c r="HDJ555" s="500"/>
      <c r="HDK555" s="500"/>
      <c r="HDL555" s="500"/>
      <c r="HDM555" s="500"/>
      <c r="HDN555" s="500"/>
      <c r="HDO555" s="500"/>
      <c r="HDP555" s="500"/>
      <c r="HDQ555" s="500"/>
      <c r="HDR555" s="500"/>
      <c r="HDS555" s="500"/>
      <c r="HDT555" s="500"/>
      <c r="HDU555" s="500"/>
      <c r="HDV555" s="500"/>
      <c r="HDW555" s="500"/>
      <c r="HDX555" s="500"/>
      <c r="HDY555" s="500"/>
      <c r="HDZ555" s="500"/>
      <c r="HEA555" s="500"/>
      <c r="HEB555" s="500"/>
      <c r="HEC555" s="500"/>
      <c r="HED555" s="500"/>
      <c r="HEE555" s="500"/>
      <c r="HEF555" s="500"/>
      <c r="HEG555" s="500"/>
      <c r="HEH555" s="500"/>
      <c r="HEI555" s="500"/>
      <c r="HEJ555" s="500"/>
      <c r="HEK555" s="500"/>
      <c r="HEL555" s="500"/>
      <c r="HEM555" s="500"/>
      <c r="HEN555" s="500"/>
      <c r="HEO555" s="500"/>
      <c r="HEP555" s="500"/>
      <c r="HEQ555" s="500"/>
      <c r="HER555" s="500"/>
      <c r="HES555" s="500"/>
      <c r="HET555" s="500"/>
      <c r="HEU555" s="500"/>
      <c r="HEV555" s="500"/>
      <c r="HEW555" s="500"/>
      <c r="HEX555" s="500"/>
      <c r="HEY555" s="500"/>
      <c r="HEZ555" s="500"/>
      <c r="HFA555" s="500"/>
      <c r="HFB555" s="500"/>
      <c r="HFC555" s="500"/>
      <c r="HFD555" s="500"/>
      <c r="HFE555" s="500"/>
      <c r="HFF555" s="500"/>
      <c r="HFG555" s="500"/>
      <c r="HFH555" s="500"/>
      <c r="HFI555" s="500"/>
      <c r="HFJ555" s="500"/>
      <c r="HFK555" s="500"/>
      <c r="HFL555" s="500"/>
      <c r="HFM555" s="500"/>
      <c r="HFN555" s="500"/>
      <c r="HFO555" s="500"/>
      <c r="HFP555" s="500"/>
      <c r="HFQ555" s="500"/>
      <c r="HFR555" s="500"/>
      <c r="HFS555" s="500"/>
      <c r="HFT555" s="500"/>
      <c r="HFU555" s="500"/>
      <c r="HFV555" s="500"/>
      <c r="HFW555" s="500"/>
      <c r="HFX555" s="500"/>
      <c r="HFY555" s="500"/>
      <c r="HFZ555" s="500"/>
      <c r="HGA555" s="500"/>
      <c r="HGB555" s="500"/>
      <c r="HGC555" s="500"/>
      <c r="HGD555" s="500"/>
      <c r="HGE555" s="500"/>
      <c r="HGF555" s="500"/>
      <c r="HGG555" s="500"/>
      <c r="HGH555" s="500"/>
      <c r="HGI555" s="500"/>
      <c r="HGJ555" s="500"/>
      <c r="HGK555" s="500"/>
      <c r="HGL555" s="500"/>
      <c r="HGM555" s="500"/>
      <c r="HGN555" s="500"/>
      <c r="HGO555" s="500"/>
      <c r="HGP555" s="500"/>
      <c r="HGQ555" s="500"/>
      <c r="HGR555" s="500"/>
      <c r="HGS555" s="500"/>
      <c r="HGT555" s="500"/>
      <c r="HGU555" s="500"/>
      <c r="HGV555" s="500"/>
      <c r="HGW555" s="500"/>
      <c r="HGX555" s="500"/>
      <c r="HGY555" s="500"/>
      <c r="HGZ555" s="500"/>
      <c r="HHA555" s="500"/>
      <c r="HHB555" s="500"/>
      <c r="HHC555" s="500"/>
      <c r="HHD555" s="500"/>
      <c r="HHE555" s="500"/>
      <c r="HHF555" s="500"/>
      <c r="HHG555" s="500"/>
      <c r="HHH555" s="500"/>
      <c r="HHI555" s="500"/>
      <c r="HHJ555" s="500"/>
      <c r="HHK555" s="500"/>
      <c r="HHL555" s="500"/>
      <c r="HHM555" s="500"/>
      <c r="HHN555" s="500"/>
      <c r="HHO555" s="500"/>
      <c r="HHP555" s="500"/>
      <c r="HHQ555" s="500"/>
      <c r="HHR555" s="500"/>
      <c r="HHS555" s="500"/>
      <c r="HHT555" s="500"/>
      <c r="HHU555" s="500"/>
      <c r="HHV555" s="500"/>
      <c r="HHW555" s="500"/>
      <c r="HHX555" s="500"/>
      <c r="HHY555" s="500"/>
      <c r="HHZ555" s="500"/>
      <c r="HIA555" s="500"/>
      <c r="HIB555" s="500"/>
      <c r="HIC555" s="500"/>
      <c r="HID555" s="500"/>
      <c r="HIE555" s="500"/>
      <c r="HIF555" s="500"/>
      <c r="HIG555" s="500"/>
      <c r="HIH555" s="500"/>
      <c r="HII555" s="500"/>
      <c r="HIJ555" s="500"/>
      <c r="HIK555" s="500"/>
      <c r="HIL555" s="500"/>
      <c r="HIM555" s="500"/>
      <c r="HIN555" s="500"/>
      <c r="HIO555" s="500"/>
      <c r="HIP555" s="500"/>
      <c r="HIQ555" s="500"/>
      <c r="HIR555" s="500"/>
      <c r="HIS555" s="500"/>
      <c r="HIT555" s="500"/>
      <c r="HIU555" s="500"/>
      <c r="HIV555" s="500"/>
      <c r="HIW555" s="500"/>
      <c r="HIX555" s="500"/>
      <c r="HIY555" s="500"/>
      <c r="HIZ555" s="500"/>
      <c r="HJA555" s="500"/>
      <c r="HJB555" s="500"/>
      <c r="HJC555" s="500"/>
      <c r="HJD555" s="500"/>
      <c r="HJE555" s="500"/>
      <c r="HJF555" s="500"/>
      <c r="HJG555" s="500"/>
      <c r="HJH555" s="500"/>
      <c r="HJI555" s="500"/>
      <c r="HJJ555" s="500"/>
      <c r="HJK555" s="500"/>
      <c r="HJL555" s="500"/>
      <c r="HJM555" s="500"/>
      <c r="HJN555" s="500"/>
      <c r="HJO555" s="500"/>
      <c r="HJP555" s="500"/>
      <c r="HJQ555" s="500"/>
      <c r="HJR555" s="500"/>
      <c r="HJS555" s="500"/>
      <c r="HJT555" s="500"/>
      <c r="HJU555" s="500"/>
      <c r="HJV555" s="500"/>
      <c r="HJW555" s="500"/>
      <c r="HJX555" s="500"/>
      <c r="HJY555" s="500"/>
      <c r="HJZ555" s="500"/>
      <c r="HKA555" s="500"/>
      <c r="HKB555" s="500"/>
      <c r="HKC555" s="500"/>
      <c r="HKD555" s="500"/>
      <c r="HKE555" s="500"/>
      <c r="HKF555" s="500"/>
      <c r="HKG555" s="500"/>
      <c r="HKH555" s="500"/>
      <c r="HKI555" s="500"/>
      <c r="HKJ555" s="500"/>
      <c r="HKK555" s="500"/>
      <c r="HKL555" s="500"/>
      <c r="HKM555" s="500"/>
      <c r="HKN555" s="500"/>
      <c r="HKO555" s="500"/>
      <c r="HKP555" s="500"/>
      <c r="HKQ555" s="500"/>
      <c r="HKR555" s="500"/>
      <c r="HKS555" s="500"/>
      <c r="HKT555" s="500"/>
      <c r="HKU555" s="500"/>
      <c r="HKV555" s="500"/>
      <c r="HKW555" s="500"/>
      <c r="HKX555" s="500"/>
      <c r="HKY555" s="500"/>
      <c r="HKZ555" s="500"/>
      <c r="HLA555" s="500"/>
      <c r="HLB555" s="500"/>
      <c r="HLC555" s="500"/>
      <c r="HLD555" s="500"/>
      <c r="HLE555" s="500"/>
      <c r="HLF555" s="500"/>
      <c r="HLG555" s="500"/>
      <c r="HLH555" s="500"/>
      <c r="HLI555" s="500"/>
      <c r="HLJ555" s="500"/>
      <c r="HLK555" s="500"/>
      <c r="HLL555" s="500"/>
      <c r="HLM555" s="500"/>
      <c r="HLN555" s="500"/>
      <c r="HLO555" s="500"/>
      <c r="HLP555" s="500"/>
      <c r="HLQ555" s="500"/>
      <c r="HLR555" s="500"/>
      <c r="HLS555" s="500"/>
      <c r="HLT555" s="500"/>
      <c r="HLU555" s="500"/>
      <c r="HLV555" s="500"/>
      <c r="HLW555" s="500"/>
      <c r="HLX555" s="500"/>
      <c r="HLY555" s="500"/>
      <c r="HLZ555" s="500"/>
      <c r="HMA555" s="500"/>
      <c r="HMB555" s="500"/>
      <c r="HMC555" s="500"/>
      <c r="HMD555" s="500"/>
      <c r="HME555" s="500"/>
      <c r="HMF555" s="500"/>
      <c r="HMG555" s="500"/>
      <c r="HMH555" s="500"/>
      <c r="HMI555" s="500"/>
      <c r="HMJ555" s="500"/>
      <c r="HMK555" s="500"/>
      <c r="HML555" s="500"/>
      <c r="HMM555" s="500"/>
      <c r="HMN555" s="500"/>
      <c r="HMO555" s="500"/>
      <c r="HMP555" s="500"/>
      <c r="HMQ555" s="500"/>
      <c r="HMR555" s="500"/>
      <c r="HMS555" s="500"/>
      <c r="HMT555" s="500"/>
      <c r="HMU555" s="500"/>
      <c r="HMV555" s="500"/>
      <c r="HMW555" s="500"/>
      <c r="HMX555" s="500"/>
      <c r="HMY555" s="500"/>
      <c r="HMZ555" s="500"/>
      <c r="HNA555" s="500"/>
      <c r="HNB555" s="500"/>
      <c r="HNC555" s="500"/>
      <c r="HND555" s="500"/>
      <c r="HNE555" s="500"/>
      <c r="HNF555" s="500"/>
      <c r="HNG555" s="500"/>
      <c r="HNH555" s="500"/>
      <c r="HNI555" s="500"/>
      <c r="HNJ555" s="500"/>
      <c r="HNK555" s="500"/>
      <c r="HNL555" s="500"/>
      <c r="HNM555" s="500"/>
      <c r="HNN555" s="500"/>
      <c r="HNO555" s="500"/>
      <c r="HNP555" s="500"/>
      <c r="HNQ555" s="500"/>
      <c r="HNR555" s="500"/>
      <c r="HNS555" s="500"/>
      <c r="HNT555" s="500"/>
      <c r="HNU555" s="500"/>
      <c r="HNV555" s="500"/>
      <c r="HNW555" s="500"/>
      <c r="HNX555" s="500"/>
      <c r="HNY555" s="500"/>
      <c r="HNZ555" s="500"/>
      <c r="HOA555" s="500"/>
      <c r="HOB555" s="500"/>
      <c r="HOC555" s="500"/>
      <c r="HOD555" s="500"/>
      <c r="HOE555" s="500"/>
      <c r="HOF555" s="500"/>
      <c r="HOG555" s="500"/>
      <c r="HOH555" s="500"/>
      <c r="HOI555" s="500"/>
      <c r="HOJ555" s="500"/>
      <c r="HOK555" s="500"/>
      <c r="HOL555" s="500"/>
      <c r="HOM555" s="500"/>
      <c r="HON555" s="500"/>
      <c r="HOO555" s="500"/>
      <c r="HOP555" s="500"/>
      <c r="HOQ555" s="500"/>
      <c r="HOR555" s="500"/>
      <c r="HOS555" s="500"/>
      <c r="HOT555" s="500"/>
      <c r="HOU555" s="500"/>
      <c r="HOV555" s="500"/>
      <c r="HOW555" s="500"/>
      <c r="HOX555" s="500"/>
      <c r="HOY555" s="500"/>
      <c r="HOZ555" s="500"/>
      <c r="HPA555" s="500"/>
      <c r="HPB555" s="500"/>
      <c r="HPC555" s="500"/>
      <c r="HPD555" s="500"/>
      <c r="HPE555" s="500"/>
      <c r="HPF555" s="500"/>
      <c r="HPG555" s="500"/>
      <c r="HPH555" s="500"/>
      <c r="HPI555" s="500"/>
      <c r="HPJ555" s="500"/>
      <c r="HPK555" s="500"/>
      <c r="HPL555" s="500"/>
      <c r="HPM555" s="500"/>
      <c r="HPN555" s="500"/>
      <c r="HPO555" s="500"/>
      <c r="HPP555" s="500"/>
      <c r="HPQ555" s="500"/>
      <c r="HPR555" s="500"/>
      <c r="HPS555" s="500"/>
      <c r="HPT555" s="500"/>
      <c r="HPU555" s="500"/>
      <c r="HPV555" s="500"/>
      <c r="HPW555" s="500"/>
      <c r="HPX555" s="500"/>
      <c r="HPY555" s="500"/>
      <c r="HPZ555" s="500"/>
      <c r="HQA555" s="500"/>
      <c r="HQB555" s="500"/>
      <c r="HQC555" s="500"/>
      <c r="HQD555" s="500"/>
      <c r="HQE555" s="500"/>
      <c r="HQF555" s="500"/>
      <c r="HQG555" s="500"/>
      <c r="HQH555" s="500"/>
      <c r="HQI555" s="500"/>
      <c r="HQJ555" s="500"/>
      <c r="HQK555" s="500"/>
      <c r="HQL555" s="500"/>
      <c r="HQM555" s="500"/>
      <c r="HQN555" s="500"/>
      <c r="HQO555" s="500"/>
      <c r="HQP555" s="500"/>
      <c r="HQQ555" s="500"/>
      <c r="HQR555" s="500"/>
      <c r="HQS555" s="500"/>
      <c r="HQT555" s="500"/>
      <c r="HQU555" s="500"/>
      <c r="HQV555" s="500"/>
      <c r="HQW555" s="500"/>
      <c r="HQX555" s="500"/>
      <c r="HQY555" s="500"/>
      <c r="HQZ555" s="500"/>
      <c r="HRA555" s="500"/>
      <c r="HRB555" s="500"/>
      <c r="HRC555" s="500"/>
      <c r="HRD555" s="500"/>
      <c r="HRE555" s="500"/>
      <c r="HRF555" s="500"/>
      <c r="HRG555" s="500"/>
      <c r="HRH555" s="500"/>
      <c r="HRI555" s="500"/>
      <c r="HRJ555" s="500"/>
      <c r="HRK555" s="500"/>
      <c r="HRL555" s="500"/>
      <c r="HRM555" s="500"/>
      <c r="HRN555" s="500"/>
      <c r="HRO555" s="500"/>
      <c r="HRP555" s="500"/>
      <c r="HRQ555" s="500"/>
      <c r="HRR555" s="500"/>
      <c r="HRS555" s="500"/>
      <c r="HRT555" s="500"/>
      <c r="HRU555" s="500"/>
      <c r="HRV555" s="500"/>
      <c r="HRW555" s="500"/>
      <c r="HRX555" s="500"/>
      <c r="HRY555" s="500"/>
      <c r="HRZ555" s="500"/>
      <c r="HSA555" s="500"/>
      <c r="HSB555" s="500"/>
      <c r="HSC555" s="500"/>
      <c r="HSD555" s="500"/>
      <c r="HSE555" s="500"/>
      <c r="HSF555" s="500"/>
      <c r="HSG555" s="500"/>
      <c r="HSH555" s="500"/>
      <c r="HSI555" s="500"/>
      <c r="HSJ555" s="500"/>
      <c r="HSK555" s="500"/>
      <c r="HSL555" s="500"/>
      <c r="HSM555" s="500"/>
      <c r="HSN555" s="500"/>
      <c r="HSO555" s="500"/>
      <c r="HSP555" s="500"/>
      <c r="HSQ555" s="500"/>
      <c r="HSR555" s="500"/>
      <c r="HSS555" s="500"/>
      <c r="HST555" s="500"/>
      <c r="HSU555" s="500"/>
      <c r="HSV555" s="500"/>
      <c r="HSW555" s="500"/>
      <c r="HSX555" s="500"/>
      <c r="HSY555" s="500"/>
      <c r="HSZ555" s="500"/>
      <c r="HTA555" s="500"/>
      <c r="HTB555" s="500"/>
      <c r="HTC555" s="500"/>
      <c r="HTD555" s="500"/>
      <c r="HTE555" s="500"/>
      <c r="HTF555" s="500"/>
      <c r="HTG555" s="500"/>
      <c r="HTH555" s="500"/>
      <c r="HTI555" s="500"/>
      <c r="HTJ555" s="500"/>
      <c r="HTK555" s="500"/>
      <c r="HTL555" s="500"/>
      <c r="HTM555" s="500"/>
      <c r="HTN555" s="500"/>
      <c r="HTO555" s="500"/>
      <c r="HTP555" s="500"/>
      <c r="HTQ555" s="500"/>
      <c r="HTR555" s="500"/>
      <c r="HTS555" s="500"/>
      <c r="HTT555" s="500"/>
      <c r="HTU555" s="500"/>
      <c r="HTV555" s="500"/>
      <c r="HTW555" s="500"/>
      <c r="HTX555" s="500"/>
      <c r="HTY555" s="500"/>
      <c r="HTZ555" s="500"/>
      <c r="HUA555" s="500"/>
      <c r="HUB555" s="500"/>
      <c r="HUC555" s="500"/>
      <c r="HUD555" s="500"/>
      <c r="HUE555" s="500"/>
      <c r="HUF555" s="500"/>
      <c r="HUG555" s="500"/>
      <c r="HUH555" s="500"/>
      <c r="HUI555" s="500"/>
      <c r="HUJ555" s="500"/>
      <c r="HUK555" s="500"/>
      <c r="HUL555" s="500"/>
      <c r="HUM555" s="500"/>
      <c r="HUN555" s="500"/>
      <c r="HUO555" s="500"/>
      <c r="HUP555" s="500"/>
      <c r="HUQ555" s="500"/>
      <c r="HUR555" s="500"/>
      <c r="HUS555" s="500"/>
      <c r="HUT555" s="500"/>
      <c r="HUU555" s="500"/>
      <c r="HUV555" s="500"/>
      <c r="HUW555" s="500"/>
      <c r="HUX555" s="500"/>
      <c r="HUY555" s="500"/>
      <c r="HUZ555" s="500"/>
      <c r="HVA555" s="500"/>
      <c r="HVB555" s="500"/>
      <c r="HVC555" s="500"/>
      <c r="HVD555" s="500"/>
      <c r="HVE555" s="500"/>
      <c r="HVF555" s="500"/>
      <c r="HVG555" s="500"/>
      <c r="HVH555" s="500"/>
      <c r="HVI555" s="500"/>
      <c r="HVJ555" s="500"/>
      <c r="HVK555" s="500"/>
      <c r="HVL555" s="500"/>
      <c r="HVM555" s="500"/>
      <c r="HVN555" s="500"/>
      <c r="HVO555" s="500"/>
      <c r="HVP555" s="500"/>
      <c r="HVQ555" s="500"/>
      <c r="HVR555" s="500"/>
      <c r="HVS555" s="500"/>
      <c r="HVT555" s="500"/>
      <c r="HVU555" s="500"/>
      <c r="HVV555" s="500"/>
      <c r="HVW555" s="500"/>
      <c r="HVX555" s="500"/>
      <c r="HVY555" s="500"/>
      <c r="HVZ555" s="500"/>
      <c r="HWA555" s="500"/>
      <c r="HWB555" s="500"/>
      <c r="HWC555" s="500"/>
      <c r="HWD555" s="500"/>
      <c r="HWE555" s="500"/>
      <c r="HWF555" s="500"/>
      <c r="HWG555" s="500"/>
      <c r="HWH555" s="500"/>
      <c r="HWI555" s="500"/>
      <c r="HWJ555" s="500"/>
      <c r="HWK555" s="500"/>
      <c r="HWL555" s="500"/>
      <c r="HWM555" s="500"/>
      <c r="HWN555" s="500"/>
      <c r="HWO555" s="500"/>
      <c r="HWP555" s="500"/>
      <c r="HWQ555" s="500"/>
      <c r="HWR555" s="500"/>
      <c r="HWS555" s="500"/>
      <c r="HWT555" s="500"/>
      <c r="HWU555" s="500"/>
      <c r="HWV555" s="500"/>
      <c r="HWW555" s="500"/>
      <c r="HWX555" s="500"/>
      <c r="HWY555" s="500"/>
      <c r="HWZ555" s="500"/>
      <c r="HXA555" s="500"/>
      <c r="HXB555" s="500"/>
      <c r="HXC555" s="500"/>
      <c r="HXD555" s="500"/>
      <c r="HXE555" s="500"/>
      <c r="HXF555" s="500"/>
      <c r="HXG555" s="500"/>
      <c r="HXH555" s="500"/>
      <c r="HXI555" s="500"/>
      <c r="HXJ555" s="500"/>
      <c r="HXK555" s="500"/>
      <c r="HXL555" s="500"/>
      <c r="HXM555" s="500"/>
      <c r="HXN555" s="500"/>
      <c r="HXO555" s="500"/>
      <c r="HXP555" s="500"/>
      <c r="HXQ555" s="500"/>
      <c r="HXR555" s="500"/>
      <c r="HXS555" s="500"/>
      <c r="HXT555" s="500"/>
      <c r="HXU555" s="500"/>
      <c r="HXV555" s="500"/>
      <c r="HXW555" s="500"/>
      <c r="HXX555" s="500"/>
      <c r="HXY555" s="500"/>
      <c r="HXZ555" s="500"/>
      <c r="HYA555" s="500"/>
      <c r="HYB555" s="500"/>
      <c r="HYC555" s="500"/>
      <c r="HYD555" s="500"/>
      <c r="HYE555" s="500"/>
      <c r="HYF555" s="500"/>
      <c r="HYG555" s="500"/>
      <c r="HYH555" s="500"/>
      <c r="HYI555" s="500"/>
      <c r="HYJ555" s="500"/>
      <c r="HYK555" s="500"/>
      <c r="HYL555" s="500"/>
      <c r="HYM555" s="500"/>
      <c r="HYN555" s="500"/>
      <c r="HYO555" s="500"/>
      <c r="HYP555" s="500"/>
      <c r="HYQ555" s="500"/>
      <c r="HYR555" s="500"/>
      <c r="HYS555" s="500"/>
      <c r="HYT555" s="500"/>
      <c r="HYU555" s="500"/>
      <c r="HYV555" s="500"/>
      <c r="HYW555" s="500"/>
      <c r="HYX555" s="500"/>
      <c r="HYY555" s="500"/>
      <c r="HYZ555" s="500"/>
      <c r="HZA555" s="500"/>
      <c r="HZB555" s="500"/>
      <c r="HZC555" s="500"/>
      <c r="HZD555" s="500"/>
      <c r="HZE555" s="500"/>
      <c r="HZF555" s="500"/>
      <c r="HZG555" s="500"/>
      <c r="HZH555" s="500"/>
      <c r="HZI555" s="500"/>
      <c r="HZJ555" s="500"/>
      <c r="HZK555" s="500"/>
      <c r="HZL555" s="500"/>
      <c r="HZM555" s="500"/>
      <c r="HZN555" s="500"/>
      <c r="HZO555" s="500"/>
      <c r="HZP555" s="500"/>
      <c r="HZQ555" s="500"/>
      <c r="HZR555" s="500"/>
      <c r="HZS555" s="500"/>
      <c r="HZT555" s="500"/>
      <c r="HZU555" s="500"/>
      <c r="HZV555" s="500"/>
      <c r="HZW555" s="500"/>
      <c r="HZX555" s="500"/>
      <c r="HZY555" s="500"/>
      <c r="HZZ555" s="500"/>
      <c r="IAA555" s="500"/>
      <c r="IAB555" s="500"/>
      <c r="IAC555" s="500"/>
      <c r="IAD555" s="500"/>
      <c r="IAE555" s="500"/>
      <c r="IAF555" s="500"/>
      <c r="IAG555" s="500"/>
      <c r="IAH555" s="500"/>
      <c r="IAI555" s="500"/>
      <c r="IAJ555" s="500"/>
      <c r="IAK555" s="500"/>
      <c r="IAL555" s="500"/>
      <c r="IAM555" s="500"/>
      <c r="IAN555" s="500"/>
      <c r="IAO555" s="500"/>
      <c r="IAP555" s="500"/>
      <c r="IAQ555" s="500"/>
      <c r="IAR555" s="500"/>
      <c r="IAS555" s="500"/>
      <c r="IAT555" s="500"/>
      <c r="IAU555" s="500"/>
      <c r="IAV555" s="500"/>
      <c r="IAW555" s="500"/>
      <c r="IAX555" s="500"/>
      <c r="IAY555" s="500"/>
      <c r="IAZ555" s="500"/>
      <c r="IBA555" s="500"/>
      <c r="IBB555" s="500"/>
      <c r="IBC555" s="500"/>
      <c r="IBD555" s="500"/>
      <c r="IBE555" s="500"/>
      <c r="IBF555" s="500"/>
      <c r="IBG555" s="500"/>
      <c r="IBH555" s="500"/>
      <c r="IBI555" s="500"/>
      <c r="IBJ555" s="500"/>
      <c r="IBK555" s="500"/>
      <c r="IBL555" s="500"/>
      <c r="IBM555" s="500"/>
      <c r="IBN555" s="500"/>
      <c r="IBO555" s="500"/>
      <c r="IBP555" s="500"/>
      <c r="IBQ555" s="500"/>
      <c r="IBR555" s="500"/>
      <c r="IBS555" s="500"/>
      <c r="IBT555" s="500"/>
      <c r="IBU555" s="500"/>
      <c r="IBV555" s="500"/>
      <c r="IBW555" s="500"/>
      <c r="IBX555" s="500"/>
      <c r="IBY555" s="500"/>
      <c r="IBZ555" s="500"/>
      <c r="ICA555" s="500"/>
      <c r="ICB555" s="500"/>
      <c r="ICC555" s="500"/>
      <c r="ICD555" s="500"/>
      <c r="ICE555" s="500"/>
      <c r="ICF555" s="500"/>
      <c r="ICG555" s="500"/>
      <c r="ICH555" s="500"/>
      <c r="ICI555" s="500"/>
      <c r="ICJ555" s="500"/>
      <c r="ICK555" s="500"/>
      <c r="ICL555" s="500"/>
      <c r="ICM555" s="500"/>
      <c r="ICN555" s="500"/>
      <c r="ICO555" s="500"/>
      <c r="ICP555" s="500"/>
      <c r="ICQ555" s="500"/>
      <c r="ICR555" s="500"/>
      <c r="ICS555" s="500"/>
      <c r="ICT555" s="500"/>
      <c r="ICU555" s="500"/>
      <c r="ICV555" s="500"/>
      <c r="ICW555" s="500"/>
      <c r="ICX555" s="500"/>
      <c r="ICY555" s="500"/>
      <c r="ICZ555" s="500"/>
      <c r="IDA555" s="500"/>
      <c r="IDB555" s="500"/>
      <c r="IDC555" s="500"/>
      <c r="IDD555" s="500"/>
      <c r="IDE555" s="500"/>
      <c r="IDF555" s="500"/>
      <c r="IDG555" s="500"/>
      <c r="IDH555" s="500"/>
      <c r="IDI555" s="500"/>
      <c r="IDJ555" s="500"/>
      <c r="IDK555" s="500"/>
      <c r="IDL555" s="500"/>
      <c r="IDM555" s="500"/>
      <c r="IDN555" s="500"/>
      <c r="IDO555" s="500"/>
      <c r="IDP555" s="500"/>
      <c r="IDQ555" s="500"/>
      <c r="IDR555" s="500"/>
      <c r="IDS555" s="500"/>
      <c r="IDT555" s="500"/>
      <c r="IDU555" s="500"/>
      <c r="IDV555" s="500"/>
      <c r="IDW555" s="500"/>
      <c r="IDX555" s="500"/>
      <c r="IDY555" s="500"/>
      <c r="IDZ555" s="500"/>
      <c r="IEA555" s="500"/>
      <c r="IEB555" s="500"/>
      <c r="IEC555" s="500"/>
      <c r="IED555" s="500"/>
      <c r="IEE555" s="500"/>
      <c r="IEF555" s="500"/>
      <c r="IEG555" s="500"/>
      <c r="IEH555" s="500"/>
      <c r="IEI555" s="500"/>
      <c r="IEJ555" s="500"/>
      <c r="IEK555" s="500"/>
      <c r="IEL555" s="500"/>
      <c r="IEM555" s="500"/>
      <c r="IEN555" s="500"/>
      <c r="IEO555" s="500"/>
      <c r="IEP555" s="500"/>
      <c r="IEQ555" s="500"/>
      <c r="IER555" s="500"/>
      <c r="IES555" s="500"/>
      <c r="IET555" s="500"/>
      <c r="IEU555" s="500"/>
      <c r="IEV555" s="500"/>
      <c r="IEW555" s="500"/>
      <c r="IEX555" s="500"/>
      <c r="IEY555" s="500"/>
      <c r="IEZ555" s="500"/>
      <c r="IFA555" s="500"/>
      <c r="IFB555" s="500"/>
      <c r="IFC555" s="500"/>
      <c r="IFD555" s="500"/>
      <c r="IFE555" s="500"/>
      <c r="IFF555" s="500"/>
      <c r="IFG555" s="500"/>
      <c r="IFH555" s="500"/>
      <c r="IFI555" s="500"/>
      <c r="IFJ555" s="500"/>
      <c r="IFK555" s="500"/>
      <c r="IFL555" s="500"/>
      <c r="IFM555" s="500"/>
      <c r="IFN555" s="500"/>
      <c r="IFO555" s="500"/>
      <c r="IFP555" s="500"/>
      <c r="IFQ555" s="500"/>
      <c r="IFR555" s="500"/>
      <c r="IFS555" s="500"/>
      <c r="IFT555" s="500"/>
      <c r="IFU555" s="500"/>
      <c r="IFV555" s="500"/>
      <c r="IFW555" s="500"/>
      <c r="IFX555" s="500"/>
      <c r="IFY555" s="500"/>
      <c r="IFZ555" s="500"/>
      <c r="IGA555" s="500"/>
      <c r="IGB555" s="500"/>
      <c r="IGC555" s="500"/>
      <c r="IGD555" s="500"/>
      <c r="IGE555" s="500"/>
      <c r="IGF555" s="500"/>
      <c r="IGG555" s="500"/>
      <c r="IGH555" s="500"/>
      <c r="IGI555" s="500"/>
      <c r="IGJ555" s="500"/>
      <c r="IGK555" s="500"/>
      <c r="IGL555" s="500"/>
      <c r="IGM555" s="500"/>
      <c r="IGN555" s="500"/>
      <c r="IGO555" s="500"/>
      <c r="IGP555" s="500"/>
      <c r="IGQ555" s="500"/>
      <c r="IGR555" s="500"/>
      <c r="IGS555" s="500"/>
      <c r="IGT555" s="500"/>
      <c r="IGU555" s="500"/>
      <c r="IGV555" s="500"/>
      <c r="IGW555" s="500"/>
      <c r="IGX555" s="500"/>
      <c r="IGY555" s="500"/>
      <c r="IGZ555" s="500"/>
      <c r="IHA555" s="500"/>
      <c r="IHB555" s="500"/>
      <c r="IHC555" s="500"/>
      <c r="IHD555" s="500"/>
      <c r="IHE555" s="500"/>
      <c r="IHF555" s="500"/>
      <c r="IHG555" s="500"/>
      <c r="IHH555" s="500"/>
      <c r="IHI555" s="500"/>
      <c r="IHJ555" s="500"/>
      <c r="IHK555" s="500"/>
      <c r="IHL555" s="500"/>
      <c r="IHM555" s="500"/>
      <c r="IHN555" s="500"/>
      <c r="IHO555" s="500"/>
      <c r="IHP555" s="500"/>
      <c r="IHQ555" s="500"/>
      <c r="IHR555" s="500"/>
      <c r="IHS555" s="500"/>
      <c r="IHT555" s="500"/>
      <c r="IHU555" s="500"/>
      <c r="IHV555" s="500"/>
      <c r="IHW555" s="500"/>
      <c r="IHX555" s="500"/>
      <c r="IHY555" s="500"/>
      <c r="IHZ555" s="500"/>
      <c r="IIA555" s="500"/>
      <c r="IIB555" s="500"/>
      <c r="IIC555" s="500"/>
      <c r="IID555" s="500"/>
      <c r="IIE555" s="500"/>
      <c r="IIF555" s="500"/>
      <c r="IIG555" s="500"/>
      <c r="IIH555" s="500"/>
      <c r="III555" s="500"/>
      <c r="IIJ555" s="500"/>
      <c r="IIK555" s="500"/>
      <c r="IIL555" s="500"/>
      <c r="IIM555" s="500"/>
      <c r="IIN555" s="500"/>
      <c r="IIO555" s="500"/>
      <c r="IIP555" s="500"/>
      <c r="IIQ555" s="500"/>
      <c r="IIR555" s="500"/>
      <c r="IIS555" s="500"/>
      <c r="IIT555" s="500"/>
      <c r="IIU555" s="500"/>
      <c r="IIV555" s="500"/>
      <c r="IIW555" s="500"/>
      <c r="IIX555" s="500"/>
      <c r="IIY555" s="500"/>
      <c r="IIZ555" s="500"/>
      <c r="IJA555" s="500"/>
      <c r="IJB555" s="500"/>
      <c r="IJC555" s="500"/>
      <c r="IJD555" s="500"/>
      <c r="IJE555" s="500"/>
      <c r="IJF555" s="500"/>
      <c r="IJG555" s="500"/>
      <c r="IJH555" s="500"/>
      <c r="IJI555" s="500"/>
      <c r="IJJ555" s="500"/>
      <c r="IJK555" s="500"/>
      <c r="IJL555" s="500"/>
      <c r="IJM555" s="500"/>
      <c r="IJN555" s="500"/>
      <c r="IJO555" s="500"/>
      <c r="IJP555" s="500"/>
      <c r="IJQ555" s="500"/>
      <c r="IJR555" s="500"/>
      <c r="IJS555" s="500"/>
      <c r="IJT555" s="500"/>
      <c r="IJU555" s="500"/>
      <c r="IJV555" s="500"/>
      <c r="IJW555" s="500"/>
      <c r="IJX555" s="500"/>
      <c r="IJY555" s="500"/>
      <c r="IJZ555" s="500"/>
      <c r="IKA555" s="500"/>
      <c r="IKB555" s="500"/>
      <c r="IKC555" s="500"/>
      <c r="IKD555" s="500"/>
      <c r="IKE555" s="500"/>
      <c r="IKF555" s="500"/>
      <c r="IKG555" s="500"/>
      <c r="IKH555" s="500"/>
      <c r="IKI555" s="500"/>
      <c r="IKJ555" s="500"/>
      <c r="IKK555" s="500"/>
      <c r="IKL555" s="500"/>
      <c r="IKM555" s="500"/>
      <c r="IKN555" s="500"/>
      <c r="IKO555" s="500"/>
      <c r="IKP555" s="500"/>
      <c r="IKQ555" s="500"/>
      <c r="IKR555" s="500"/>
      <c r="IKS555" s="500"/>
      <c r="IKT555" s="500"/>
      <c r="IKU555" s="500"/>
      <c r="IKV555" s="500"/>
      <c r="IKW555" s="500"/>
      <c r="IKX555" s="500"/>
      <c r="IKY555" s="500"/>
      <c r="IKZ555" s="500"/>
      <c r="ILA555" s="500"/>
      <c r="ILB555" s="500"/>
      <c r="ILC555" s="500"/>
      <c r="ILD555" s="500"/>
      <c r="ILE555" s="500"/>
      <c r="ILF555" s="500"/>
      <c r="ILG555" s="500"/>
      <c r="ILH555" s="500"/>
      <c r="ILI555" s="500"/>
      <c r="ILJ555" s="500"/>
      <c r="ILK555" s="500"/>
      <c r="ILL555" s="500"/>
      <c r="ILM555" s="500"/>
      <c r="ILN555" s="500"/>
      <c r="ILO555" s="500"/>
      <c r="ILP555" s="500"/>
      <c r="ILQ555" s="500"/>
      <c r="ILR555" s="500"/>
      <c r="ILS555" s="500"/>
      <c r="ILT555" s="500"/>
      <c r="ILU555" s="500"/>
      <c r="ILV555" s="500"/>
      <c r="ILW555" s="500"/>
      <c r="ILX555" s="500"/>
      <c r="ILY555" s="500"/>
      <c r="ILZ555" s="500"/>
      <c r="IMA555" s="500"/>
      <c r="IMB555" s="500"/>
      <c r="IMC555" s="500"/>
      <c r="IMD555" s="500"/>
      <c r="IME555" s="500"/>
      <c r="IMF555" s="500"/>
      <c r="IMG555" s="500"/>
      <c r="IMH555" s="500"/>
      <c r="IMI555" s="500"/>
      <c r="IMJ555" s="500"/>
      <c r="IMK555" s="500"/>
      <c r="IML555" s="500"/>
      <c r="IMM555" s="500"/>
      <c r="IMN555" s="500"/>
      <c r="IMO555" s="500"/>
      <c r="IMP555" s="500"/>
      <c r="IMQ555" s="500"/>
      <c r="IMR555" s="500"/>
      <c r="IMS555" s="500"/>
      <c r="IMT555" s="500"/>
      <c r="IMU555" s="500"/>
      <c r="IMV555" s="500"/>
      <c r="IMW555" s="500"/>
      <c r="IMX555" s="500"/>
      <c r="IMY555" s="500"/>
      <c r="IMZ555" s="500"/>
      <c r="INA555" s="500"/>
      <c r="INB555" s="500"/>
      <c r="INC555" s="500"/>
      <c r="IND555" s="500"/>
      <c r="INE555" s="500"/>
      <c r="INF555" s="500"/>
      <c r="ING555" s="500"/>
      <c r="INH555" s="500"/>
      <c r="INI555" s="500"/>
      <c r="INJ555" s="500"/>
      <c r="INK555" s="500"/>
      <c r="INL555" s="500"/>
      <c r="INM555" s="500"/>
      <c r="INN555" s="500"/>
      <c r="INO555" s="500"/>
      <c r="INP555" s="500"/>
      <c r="INQ555" s="500"/>
      <c r="INR555" s="500"/>
      <c r="INS555" s="500"/>
      <c r="INT555" s="500"/>
      <c r="INU555" s="500"/>
      <c r="INV555" s="500"/>
      <c r="INW555" s="500"/>
      <c r="INX555" s="500"/>
      <c r="INY555" s="500"/>
      <c r="INZ555" s="500"/>
      <c r="IOA555" s="500"/>
      <c r="IOB555" s="500"/>
      <c r="IOC555" s="500"/>
      <c r="IOD555" s="500"/>
      <c r="IOE555" s="500"/>
      <c r="IOF555" s="500"/>
      <c r="IOG555" s="500"/>
      <c r="IOH555" s="500"/>
      <c r="IOI555" s="500"/>
      <c r="IOJ555" s="500"/>
      <c r="IOK555" s="500"/>
      <c r="IOL555" s="500"/>
      <c r="IOM555" s="500"/>
      <c r="ION555" s="500"/>
      <c r="IOO555" s="500"/>
      <c r="IOP555" s="500"/>
      <c r="IOQ555" s="500"/>
      <c r="IOR555" s="500"/>
      <c r="IOS555" s="500"/>
      <c r="IOT555" s="500"/>
      <c r="IOU555" s="500"/>
      <c r="IOV555" s="500"/>
      <c r="IOW555" s="500"/>
      <c r="IOX555" s="500"/>
      <c r="IOY555" s="500"/>
      <c r="IOZ555" s="500"/>
      <c r="IPA555" s="500"/>
      <c r="IPB555" s="500"/>
      <c r="IPC555" s="500"/>
      <c r="IPD555" s="500"/>
      <c r="IPE555" s="500"/>
      <c r="IPF555" s="500"/>
      <c r="IPG555" s="500"/>
      <c r="IPH555" s="500"/>
      <c r="IPI555" s="500"/>
      <c r="IPJ555" s="500"/>
      <c r="IPK555" s="500"/>
      <c r="IPL555" s="500"/>
      <c r="IPM555" s="500"/>
      <c r="IPN555" s="500"/>
      <c r="IPO555" s="500"/>
      <c r="IPP555" s="500"/>
      <c r="IPQ555" s="500"/>
      <c r="IPR555" s="500"/>
      <c r="IPS555" s="500"/>
      <c r="IPT555" s="500"/>
      <c r="IPU555" s="500"/>
      <c r="IPV555" s="500"/>
      <c r="IPW555" s="500"/>
      <c r="IPX555" s="500"/>
      <c r="IPY555" s="500"/>
      <c r="IPZ555" s="500"/>
      <c r="IQA555" s="500"/>
      <c r="IQB555" s="500"/>
      <c r="IQC555" s="500"/>
      <c r="IQD555" s="500"/>
      <c r="IQE555" s="500"/>
      <c r="IQF555" s="500"/>
      <c r="IQG555" s="500"/>
      <c r="IQH555" s="500"/>
      <c r="IQI555" s="500"/>
      <c r="IQJ555" s="500"/>
      <c r="IQK555" s="500"/>
      <c r="IQL555" s="500"/>
      <c r="IQM555" s="500"/>
      <c r="IQN555" s="500"/>
      <c r="IQO555" s="500"/>
      <c r="IQP555" s="500"/>
      <c r="IQQ555" s="500"/>
      <c r="IQR555" s="500"/>
      <c r="IQS555" s="500"/>
      <c r="IQT555" s="500"/>
      <c r="IQU555" s="500"/>
      <c r="IQV555" s="500"/>
      <c r="IQW555" s="500"/>
      <c r="IQX555" s="500"/>
      <c r="IQY555" s="500"/>
      <c r="IQZ555" s="500"/>
      <c r="IRA555" s="500"/>
      <c r="IRB555" s="500"/>
      <c r="IRC555" s="500"/>
      <c r="IRD555" s="500"/>
      <c r="IRE555" s="500"/>
      <c r="IRF555" s="500"/>
      <c r="IRG555" s="500"/>
      <c r="IRH555" s="500"/>
      <c r="IRI555" s="500"/>
      <c r="IRJ555" s="500"/>
      <c r="IRK555" s="500"/>
      <c r="IRL555" s="500"/>
      <c r="IRM555" s="500"/>
      <c r="IRN555" s="500"/>
      <c r="IRO555" s="500"/>
      <c r="IRP555" s="500"/>
      <c r="IRQ555" s="500"/>
      <c r="IRR555" s="500"/>
      <c r="IRS555" s="500"/>
      <c r="IRT555" s="500"/>
      <c r="IRU555" s="500"/>
      <c r="IRV555" s="500"/>
      <c r="IRW555" s="500"/>
      <c r="IRX555" s="500"/>
      <c r="IRY555" s="500"/>
      <c r="IRZ555" s="500"/>
      <c r="ISA555" s="500"/>
      <c r="ISB555" s="500"/>
      <c r="ISC555" s="500"/>
      <c r="ISD555" s="500"/>
      <c r="ISE555" s="500"/>
      <c r="ISF555" s="500"/>
      <c r="ISG555" s="500"/>
      <c r="ISH555" s="500"/>
      <c r="ISI555" s="500"/>
      <c r="ISJ555" s="500"/>
      <c r="ISK555" s="500"/>
      <c r="ISL555" s="500"/>
      <c r="ISM555" s="500"/>
      <c r="ISN555" s="500"/>
      <c r="ISO555" s="500"/>
      <c r="ISP555" s="500"/>
      <c r="ISQ555" s="500"/>
      <c r="ISR555" s="500"/>
      <c r="ISS555" s="500"/>
      <c r="IST555" s="500"/>
      <c r="ISU555" s="500"/>
      <c r="ISV555" s="500"/>
      <c r="ISW555" s="500"/>
      <c r="ISX555" s="500"/>
      <c r="ISY555" s="500"/>
      <c r="ISZ555" s="500"/>
      <c r="ITA555" s="500"/>
      <c r="ITB555" s="500"/>
      <c r="ITC555" s="500"/>
      <c r="ITD555" s="500"/>
      <c r="ITE555" s="500"/>
      <c r="ITF555" s="500"/>
      <c r="ITG555" s="500"/>
      <c r="ITH555" s="500"/>
      <c r="ITI555" s="500"/>
      <c r="ITJ555" s="500"/>
      <c r="ITK555" s="500"/>
      <c r="ITL555" s="500"/>
      <c r="ITM555" s="500"/>
      <c r="ITN555" s="500"/>
      <c r="ITO555" s="500"/>
      <c r="ITP555" s="500"/>
      <c r="ITQ555" s="500"/>
      <c r="ITR555" s="500"/>
      <c r="ITS555" s="500"/>
      <c r="ITT555" s="500"/>
      <c r="ITU555" s="500"/>
      <c r="ITV555" s="500"/>
      <c r="ITW555" s="500"/>
      <c r="ITX555" s="500"/>
      <c r="ITY555" s="500"/>
      <c r="ITZ555" s="500"/>
      <c r="IUA555" s="500"/>
      <c r="IUB555" s="500"/>
      <c r="IUC555" s="500"/>
      <c r="IUD555" s="500"/>
      <c r="IUE555" s="500"/>
      <c r="IUF555" s="500"/>
      <c r="IUG555" s="500"/>
      <c r="IUH555" s="500"/>
      <c r="IUI555" s="500"/>
      <c r="IUJ555" s="500"/>
      <c r="IUK555" s="500"/>
      <c r="IUL555" s="500"/>
      <c r="IUM555" s="500"/>
      <c r="IUN555" s="500"/>
      <c r="IUO555" s="500"/>
      <c r="IUP555" s="500"/>
      <c r="IUQ555" s="500"/>
      <c r="IUR555" s="500"/>
      <c r="IUS555" s="500"/>
      <c r="IUT555" s="500"/>
      <c r="IUU555" s="500"/>
      <c r="IUV555" s="500"/>
      <c r="IUW555" s="500"/>
      <c r="IUX555" s="500"/>
      <c r="IUY555" s="500"/>
      <c r="IUZ555" s="500"/>
      <c r="IVA555" s="500"/>
      <c r="IVB555" s="500"/>
      <c r="IVC555" s="500"/>
      <c r="IVD555" s="500"/>
      <c r="IVE555" s="500"/>
      <c r="IVF555" s="500"/>
      <c r="IVG555" s="500"/>
      <c r="IVH555" s="500"/>
      <c r="IVI555" s="500"/>
      <c r="IVJ555" s="500"/>
      <c r="IVK555" s="500"/>
      <c r="IVL555" s="500"/>
      <c r="IVM555" s="500"/>
      <c r="IVN555" s="500"/>
      <c r="IVO555" s="500"/>
      <c r="IVP555" s="500"/>
      <c r="IVQ555" s="500"/>
      <c r="IVR555" s="500"/>
      <c r="IVS555" s="500"/>
      <c r="IVT555" s="500"/>
      <c r="IVU555" s="500"/>
      <c r="IVV555" s="500"/>
      <c r="IVW555" s="500"/>
      <c r="IVX555" s="500"/>
      <c r="IVY555" s="500"/>
      <c r="IVZ555" s="500"/>
      <c r="IWA555" s="500"/>
      <c r="IWB555" s="500"/>
      <c r="IWC555" s="500"/>
      <c r="IWD555" s="500"/>
      <c r="IWE555" s="500"/>
      <c r="IWF555" s="500"/>
      <c r="IWG555" s="500"/>
      <c r="IWH555" s="500"/>
      <c r="IWI555" s="500"/>
      <c r="IWJ555" s="500"/>
      <c r="IWK555" s="500"/>
      <c r="IWL555" s="500"/>
      <c r="IWM555" s="500"/>
      <c r="IWN555" s="500"/>
      <c r="IWO555" s="500"/>
      <c r="IWP555" s="500"/>
      <c r="IWQ555" s="500"/>
      <c r="IWR555" s="500"/>
      <c r="IWS555" s="500"/>
      <c r="IWT555" s="500"/>
      <c r="IWU555" s="500"/>
      <c r="IWV555" s="500"/>
      <c r="IWW555" s="500"/>
      <c r="IWX555" s="500"/>
      <c r="IWY555" s="500"/>
      <c r="IWZ555" s="500"/>
      <c r="IXA555" s="500"/>
      <c r="IXB555" s="500"/>
      <c r="IXC555" s="500"/>
      <c r="IXD555" s="500"/>
      <c r="IXE555" s="500"/>
      <c r="IXF555" s="500"/>
      <c r="IXG555" s="500"/>
      <c r="IXH555" s="500"/>
      <c r="IXI555" s="500"/>
      <c r="IXJ555" s="500"/>
      <c r="IXK555" s="500"/>
      <c r="IXL555" s="500"/>
      <c r="IXM555" s="500"/>
      <c r="IXN555" s="500"/>
      <c r="IXO555" s="500"/>
      <c r="IXP555" s="500"/>
      <c r="IXQ555" s="500"/>
      <c r="IXR555" s="500"/>
      <c r="IXS555" s="500"/>
      <c r="IXT555" s="500"/>
      <c r="IXU555" s="500"/>
      <c r="IXV555" s="500"/>
      <c r="IXW555" s="500"/>
      <c r="IXX555" s="500"/>
      <c r="IXY555" s="500"/>
      <c r="IXZ555" s="500"/>
      <c r="IYA555" s="500"/>
      <c r="IYB555" s="500"/>
      <c r="IYC555" s="500"/>
      <c r="IYD555" s="500"/>
      <c r="IYE555" s="500"/>
      <c r="IYF555" s="500"/>
      <c r="IYG555" s="500"/>
      <c r="IYH555" s="500"/>
      <c r="IYI555" s="500"/>
      <c r="IYJ555" s="500"/>
      <c r="IYK555" s="500"/>
      <c r="IYL555" s="500"/>
      <c r="IYM555" s="500"/>
      <c r="IYN555" s="500"/>
      <c r="IYO555" s="500"/>
      <c r="IYP555" s="500"/>
      <c r="IYQ555" s="500"/>
      <c r="IYR555" s="500"/>
      <c r="IYS555" s="500"/>
      <c r="IYT555" s="500"/>
      <c r="IYU555" s="500"/>
      <c r="IYV555" s="500"/>
      <c r="IYW555" s="500"/>
      <c r="IYX555" s="500"/>
      <c r="IYY555" s="500"/>
      <c r="IYZ555" s="500"/>
      <c r="IZA555" s="500"/>
      <c r="IZB555" s="500"/>
      <c r="IZC555" s="500"/>
      <c r="IZD555" s="500"/>
      <c r="IZE555" s="500"/>
      <c r="IZF555" s="500"/>
      <c r="IZG555" s="500"/>
      <c r="IZH555" s="500"/>
      <c r="IZI555" s="500"/>
      <c r="IZJ555" s="500"/>
      <c r="IZK555" s="500"/>
      <c r="IZL555" s="500"/>
      <c r="IZM555" s="500"/>
      <c r="IZN555" s="500"/>
      <c r="IZO555" s="500"/>
      <c r="IZP555" s="500"/>
      <c r="IZQ555" s="500"/>
      <c r="IZR555" s="500"/>
      <c r="IZS555" s="500"/>
      <c r="IZT555" s="500"/>
      <c r="IZU555" s="500"/>
      <c r="IZV555" s="500"/>
      <c r="IZW555" s="500"/>
      <c r="IZX555" s="500"/>
      <c r="IZY555" s="500"/>
      <c r="IZZ555" s="500"/>
      <c r="JAA555" s="500"/>
      <c r="JAB555" s="500"/>
      <c r="JAC555" s="500"/>
      <c r="JAD555" s="500"/>
      <c r="JAE555" s="500"/>
      <c r="JAF555" s="500"/>
      <c r="JAG555" s="500"/>
      <c r="JAH555" s="500"/>
      <c r="JAI555" s="500"/>
      <c r="JAJ555" s="500"/>
      <c r="JAK555" s="500"/>
      <c r="JAL555" s="500"/>
      <c r="JAM555" s="500"/>
      <c r="JAN555" s="500"/>
      <c r="JAO555" s="500"/>
      <c r="JAP555" s="500"/>
      <c r="JAQ555" s="500"/>
      <c r="JAR555" s="500"/>
      <c r="JAS555" s="500"/>
      <c r="JAT555" s="500"/>
      <c r="JAU555" s="500"/>
      <c r="JAV555" s="500"/>
      <c r="JAW555" s="500"/>
      <c r="JAX555" s="500"/>
      <c r="JAY555" s="500"/>
      <c r="JAZ555" s="500"/>
      <c r="JBA555" s="500"/>
      <c r="JBB555" s="500"/>
      <c r="JBC555" s="500"/>
      <c r="JBD555" s="500"/>
      <c r="JBE555" s="500"/>
      <c r="JBF555" s="500"/>
      <c r="JBG555" s="500"/>
      <c r="JBH555" s="500"/>
      <c r="JBI555" s="500"/>
      <c r="JBJ555" s="500"/>
      <c r="JBK555" s="500"/>
      <c r="JBL555" s="500"/>
      <c r="JBM555" s="500"/>
      <c r="JBN555" s="500"/>
      <c r="JBO555" s="500"/>
      <c r="JBP555" s="500"/>
      <c r="JBQ555" s="500"/>
      <c r="JBR555" s="500"/>
      <c r="JBS555" s="500"/>
      <c r="JBT555" s="500"/>
      <c r="JBU555" s="500"/>
      <c r="JBV555" s="500"/>
      <c r="JBW555" s="500"/>
      <c r="JBX555" s="500"/>
      <c r="JBY555" s="500"/>
      <c r="JBZ555" s="500"/>
      <c r="JCA555" s="500"/>
      <c r="JCB555" s="500"/>
      <c r="JCC555" s="500"/>
      <c r="JCD555" s="500"/>
      <c r="JCE555" s="500"/>
      <c r="JCF555" s="500"/>
      <c r="JCG555" s="500"/>
      <c r="JCH555" s="500"/>
      <c r="JCI555" s="500"/>
      <c r="JCJ555" s="500"/>
      <c r="JCK555" s="500"/>
      <c r="JCL555" s="500"/>
      <c r="JCM555" s="500"/>
      <c r="JCN555" s="500"/>
      <c r="JCO555" s="500"/>
      <c r="JCP555" s="500"/>
      <c r="JCQ555" s="500"/>
      <c r="JCR555" s="500"/>
      <c r="JCS555" s="500"/>
      <c r="JCT555" s="500"/>
      <c r="JCU555" s="500"/>
      <c r="JCV555" s="500"/>
      <c r="JCW555" s="500"/>
      <c r="JCX555" s="500"/>
      <c r="JCY555" s="500"/>
      <c r="JCZ555" s="500"/>
      <c r="JDA555" s="500"/>
      <c r="JDB555" s="500"/>
      <c r="JDC555" s="500"/>
      <c r="JDD555" s="500"/>
      <c r="JDE555" s="500"/>
      <c r="JDF555" s="500"/>
      <c r="JDG555" s="500"/>
      <c r="JDH555" s="500"/>
      <c r="JDI555" s="500"/>
      <c r="JDJ555" s="500"/>
      <c r="JDK555" s="500"/>
      <c r="JDL555" s="500"/>
      <c r="JDM555" s="500"/>
      <c r="JDN555" s="500"/>
      <c r="JDO555" s="500"/>
      <c r="JDP555" s="500"/>
      <c r="JDQ555" s="500"/>
      <c r="JDR555" s="500"/>
      <c r="JDS555" s="500"/>
      <c r="JDT555" s="500"/>
      <c r="JDU555" s="500"/>
      <c r="JDV555" s="500"/>
      <c r="JDW555" s="500"/>
      <c r="JDX555" s="500"/>
      <c r="JDY555" s="500"/>
      <c r="JDZ555" s="500"/>
      <c r="JEA555" s="500"/>
      <c r="JEB555" s="500"/>
      <c r="JEC555" s="500"/>
      <c r="JED555" s="500"/>
      <c r="JEE555" s="500"/>
      <c r="JEF555" s="500"/>
      <c r="JEG555" s="500"/>
      <c r="JEH555" s="500"/>
      <c r="JEI555" s="500"/>
      <c r="JEJ555" s="500"/>
      <c r="JEK555" s="500"/>
      <c r="JEL555" s="500"/>
      <c r="JEM555" s="500"/>
      <c r="JEN555" s="500"/>
      <c r="JEO555" s="500"/>
      <c r="JEP555" s="500"/>
      <c r="JEQ555" s="500"/>
      <c r="JER555" s="500"/>
      <c r="JES555" s="500"/>
      <c r="JET555" s="500"/>
      <c r="JEU555" s="500"/>
      <c r="JEV555" s="500"/>
      <c r="JEW555" s="500"/>
      <c r="JEX555" s="500"/>
      <c r="JEY555" s="500"/>
      <c r="JEZ555" s="500"/>
      <c r="JFA555" s="500"/>
      <c r="JFB555" s="500"/>
      <c r="JFC555" s="500"/>
      <c r="JFD555" s="500"/>
      <c r="JFE555" s="500"/>
      <c r="JFF555" s="500"/>
      <c r="JFG555" s="500"/>
      <c r="JFH555" s="500"/>
      <c r="JFI555" s="500"/>
      <c r="JFJ555" s="500"/>
      <c r="JFK555" s="500"/>
      <c r="JFL555" s="500"/>
      <c r="JFM555" s="500"/>
      <c r="JFN555" s="500"/>
      <c r="JFO555" s="500"/>
      <c r="JFP555" s="500"/>
      <c r="JFQ555" s="500"/>
      <c r="JFR555" s="500"/>
      <c r="JFS555" s="500"/>
      <c r="JFT555" s="500"/>
      <c r="JFU555" s="500"/>
      <c r="JFV555" s="500"/>
      <c r="JFW555" s="500"/>
      <c r="JFX555" s="500"/>
      <c r="JFY555" s="500"/>
      <c r="JFZ555" s="500"/>
      <c r="JGA555" s="500"/>
      <c r="JGB555" s="500"/>
      <c r="JGC555" s="500"/>
      <c r="JGD555" s="500"/>
      <c r="JGE555" s="500"/>
      <c r="JGF555" s="500"/>
      <c r="JGG555" s="500"/>
      <c r="JGH555" s="500"/>
      <c r="JGI555" s="500"/>
      <c r="JGJ555" s="500"/>
      <c r="JGK555" s="500"/>
      <c r="JGL555" s="500"/>
      <c r="JGM555" s="500"/>
      <c r="JGN555" s="500"/>
      <c r="JGO555" s="500"/>
      <c r="JGP555" s="500"/>
      <c r="JGQ555" s="500"/>
      <c r="JGR555" s="500"/>
      <c r="JGS555" s="500"/>
      <c r="JGT555" s="500"/>
      <c r="JGU555" s="500"/>
      <c r="JGV555" s="500"/>
      <c r="JGW555" s="500"/>
      <c r="JGX555" s="500"/>
      <c r="JGY555" s="500"/>
      <c r="JGZ555" s="500"/>
      <c r="JHA555" s="500"/>
      <c r="JHB555" s="500"/>
      <c r="JHC555" s="500"/>
      <c r="JHD555" s="500"/>
      <c r="JHE555" s="500"/>
      <c r="JHF555" s="500"/>
      <c r="JHG555" s="500"/>
      <c r="JHH555" s="500"/>
      <c r="JHI555" s="500"/>
      <c r="JHJ555" s="500"/>
      <c r="JHK555" s="500"/>
      <c r="JHL555" s="500"/>
      <c r="JHM555" s="500"/>
      <c r="JHN555" s="500"/>
      <c r="JHO555" s="500"/>
      <c r="JHP555" s="500"/>
      <c r="JHQ555" s="500"/>
      <c r="JHR555" s="500"/>
      <c r="JHS555" s="500"/>
      <c r="JHT555" s="500"/>
      <c r="JHU555" s="500"/>
      <c r="JHV555" s="500"/>
      <c r="JHW555" s="500"/>
      <c r="JHX555" s="500"/>
      <c r="JHY555" s="500"/>
      <c r="JHZ555" s="500"/>
      <c r="JIA555" s="500"/>
      <c r="JIB555" s="500"/>
      <c r="JIC555" s="500"/>
      <c r="JID555" s="500"/>
      <c r="JIE555" s="500"/>
      <c r="JIF555" s="500"/>
      <c r="JIG555" s="500"/>
      <c r="JIH555" s="500"/>
      <c r="JII555" s="500"/>
      <c r="JIJ555" s="500"/>
      <c r="JIK555" s="500"/>
      <c r="JIL555" s="500"/>
      <c r="JIM555" s="500"/>
      <c r="JIN555" s="500"/>
      <c r="JIO555" s="500"/>
      <c r="JIP555" s="500"/>
      <c r="JIQ555" s="500"/>
      <c r="JIR555" s="500"/>
      <c r="JIS555" s="500"/>
      <c r="JIT555" s="500"/>
      <c r="JIU555" s="500"/>
      <c r="JIV555" s="500"/>
      <c r="JIW555" s="500"/>
      <c r="JIX555" s="500"/>
      <c r="JIY555" s="500"/>
      <c r="JIZ555" s="500"/>
      <c r="JJA555" s="500"/>
      <c r="JJB555" s="500"/>
      <c r="JJC555" s="500"/>
      <c r="JJD555" s="500"/>
      <c r="JJE555" s="500"/>
      <c r="JJF555" s="500"/>
      <c r="JJG555" s="500"/>
      <c r="JJH555" s="500"/>
      <c r="JJI555" s="500"/>
      <c r="JJJ555" s="500"/>
      <c r="JJK555" s="500"/>
      <c r="JJL555" s="500"/>
      <c r="JJM555" s="500"/>
      <c r="JJN555" s="500"/>
      <c r="JJO555" s="500"/>
      <c r="JJP555" s="500"/>
      <c r="JJQ555" s="500"/>
      <c r="JJR555" s="500"/>
      <c r="JJS555" s="500"/>
      <c r="JJT555" s="500"/>
      <c r="JJU555" s="500"/>
      <c r="JJV555" s="500"/>
      <c r="JJW555" s="500"/>
      <c r="JJX555" s="500"/>
      <c r="JJY555" s="500"/>
      <c r="JJZ555" s="500"/>
      <c r="JKA555" s="500"/>
      <c r="JKB555" s="500"/>
      <c r="JKC555" s="500"/>
      <c r="JKD555" s="500"/>
      <c r="JKE555" s="500"/>
      <c r="JKF555" s="500"/>
      <c r="JKG555" s="500"/>
      <c r="JKH555" s="500"/>
      <c r="JKI555" s="500"/>
      <c r="JKJ555" s="500"/>
      <c r="JKK555" s="500"/>
      <c r="JKL555" s="500"/>
      <c r="JKM555" s="500"/>
      <c r="JKN555" s="500"/>
      <c r="JKO555" s="500"/>
      <c r="JKP555" s="500"/>
      <c r="JKQ555" s="500"/>
      <c r="JKR555" s="500"/>
      <c r="JKS555" s="500"/>
      <c r="JKT555" s="500"/>
      <c r="JKU555" s="500"/>
      <c r="JKV555" s="500"/>
      <c r="JKW555" s="500"/>
      <c r="JKX555" s="500"/>
      <c r="JKY555" s="500"/>
      <c r="JKZ555" s="500"/>
      <c r="JLA555" s="500"/>
      <c r="JLB555" s="500"/>
      <c r="JLC555" s="500"/>
      <c r="JLD555" s="500"/>
      <c r="JLE555" s="500"/>
      <c r="JLF555" s="500"/>
      <c r="JLG555" s="500"/>
      <c r="JLH555" s="500"/>
      <c r="JLI555" s="500"/>
      <c r="JLJ555" s="500"/>
      <c r="JLK555" s="500"/>
      <c r="JLL555" s="500"/>
      <c r="JLM555" s="500"/>
      <c r="JLN555" s="500"/>
      <c r="JLO555" s="500"/>
      <c r="JLP555" s="500"/>
      <c r="JLQ555" s="500"/>
      <c r="JLR555" s="500"/>
      <c r="JLS555" s="500"/>
      <c r="JLT555" s="500"/>
      <c r="JLU555" s="500"/>
      <c r="JLV555" s="500"/>
      <c r="JLW555" s="500"/>
      <c r="JLX555" s="500"/>
      <c r="JLY555" s="500"/>
      <c r="JLZ555" s="500"/>
      <c r="JMA555" s="500"/>
      <c r="JMB555" s="500"/>
      <c r="JMC555" s="500"/>
      <c r="JMD555" s="500"/>
      <c r="JME555" s="500"/>
      <c r="JMF555" s="500"/>
      <c r="JMG555" s="500"/>
      <c r="JMH555" s="500"/>
      <c r="JMI555" s="500"/>
      <c r="JMJ555" s="500"/>
      <c r="JMK555" s="500"/>
      <c r="JML555" s="500"/>
      <c r="JMM555" s="500"/>
      <c r="JMN555" s="500"/>
      <c r="JMO555" s="500"/>
      <c r="JMP555" s="500"/>
      <c r="JMQ555" s="500"/>
      <c r="JMR555" s="500"/>
      <c r="JMS555" s="500"/>
      <c r="JMT555" s="500"/>
      <c r="JMU555" s="500"/>
      <c r="JMV555" s="500"/>
      <c r="JMW555" s="500"/>
      <c r="JMX555" s="500"/>
      <c r="JMY555" s="500"/>
      <c r="JMZ555" s="500"/>
      <c r="JNA555" s="500"/>
      <c r="JNB555" s="500"/>
      <c r="JNC555" s="500"/>
      <c r="JND555" s="500"/>
      <c r="JNE555" s="500"/>
      <c r="JNF555" s="500"/>
      <c r="JNG555" s="500"/>
      <c r="JNH555" s="500"/>
      <c r="JNI555" s="500"/>
      <c r="JNJ555" s="500"/>
      <c r="JNK555" s="500"/>
      <c r="JNL555" s="500"/>
      <c r="JNM555" s="500"/>
      <c r="JNN555" s="500"/>
      <c r="JNO555" s="500"/>
      <c r="JNP555" s="500"/>
      <c r="JNQ555" s="500"/>
      <c r="JNR555" s="500"/>
      <c r="JNS555" s="500"/>
      <c r="JNT555" s="500"/>
      <c r="JNU555" s="500"/>
      <c r="JNV555" s="500"/>
      <c r="JNW555" s="500"/>
      <c r="JNX555" s="500"/>
      <c r="JNY555" s="500"/>
      <c r="JNZ555" s="500"/>
      <c r="JOA555" s="500"/>
      <c r="JOB555" s="500"/>
      <c r="JOC555" s="500"/>
      <c r="JOD555" s="500"/>
      <c r="JOE555" s="500"/>
      <c r="JOF555" s="500"/>
      <c r="JOG555" s="500"/>
      <c r="JOH555" s="500"/>
      <c r="JOI555" s="500"/>
      <c r="JOJ555" s="500"/>
      <c r="JOK555" s="500"/>
      <c r="JOL555" s="500"/>
      <c r="JOM555" s="500"/>
      <c r="JON555" s="500"/>
      <c r="JOO555" s="500"/>
      <c r="JOP555" s="500"/>
      <c r="JOQ555" s="500"/>
      <c r="JOR555" s="500"/>
      <c r="JOS555" s="500"/>
      <c r="JOT555" s="500"/>
      <c r="JOU555" s="500"/>
      <c r="JOV555" s="500"/>
      <c r="JOW555" s="500"/>
      <c r="JOX555" s="500"/>
      <c r="JOY555" s="500"/>
      <c r="JOZ555" s="500"/>
      <c r="JPA555" s="500"/>
      <c r="JPB555" s="500"/>
      <c r="JPC555" s="500"/>
      <c r="JPD555" s="500"/>
      <c r="JPE555" s="500"/>
      <c r="JPF555" s="500"/>
      <c r="JPG555" s="500"/>
      <c r="JPH555" s="500"/>
      <c r="JPI555" s="500"/>
      <c r="JPJ555" s="500"/>
      <c r="JPK555" s="500"/>
      <c r="JPL555" s="500"/>
      <c r="JPM555" s="500"/>
      <c r="JPN555" s="500"/>
      <c r="JPO555" s="500"/>
      <c r="JPP555" s="500"/>
      <c r="JPQ555" s="500"/>
      <c r="JPR555" s="500"/>
      <c r="JPS555" s="500"/>
      <c r="JPT555" s="500"/>
      <c r="JPU555" s="500"/>
      <c r="JPV555" s="500"/>
      <c r="JPW555" s="500"/>
      <c r="JPX555" s="500"/>
      <c r="JPY555" s="500"/>
      <c r="JPZ555" s="500"/>
      <c r="JQA555" s="500"/>
      <c r="JQB555" s="500"/>
      <c r="JQC555" s="500"/>
      <c r="JQD555" s="500"/>
      <c r="JQE555" s="500"/>
      <c r="JQF555" s="500"/>
      <c r="JQG555" s="500"/>
      <c r="JQH555" s="500"/>
      <c r="JQI555" s="500"/>
      <c r="JQJ555" s="500"/>
      <c r="JQK555" s="500"/>
      <c r="JQL555" s="500"/>
      <c r="JQM555" s="500"/>
      <c r="JQN555" s="500"/>
      <c r="JQO555" s="500"/>
      <c r="JQP555" s="500"/>
      <c r="JQQ555" s="500"/>
      <c r="JQR555" s="500"/>
      <c r="JQS555" s="500"/>
      <c r="JQT555" s="500"/>
      <c r="JQU555" s="500"/>
      <c r="JQV555" s="500"/>
      <c r="JQW555" s="500"/>
      <c r="JQX555" s="500"/>
      <c r="JQY555" s="500"/>
      <c r="JQZ555" s="500"/>
      <c r="JRA555" s="500"/>
      <c r="JRB555" s="500"/>
      <c r="JRC555" s="500"/>
      <c r="JRD555" s="500"/>
      <c r="JRE555" s="500"/>
      <c r="JRF555" s="500"/>
      <c r="JRG555" s="500"/>
      <c r="JRH555" s="500"/>
      <c r="JRI555" s="500"/>
      <c r="JRJ555" s="500"/>
      <c r="JRK555" s="500"/>
      <c r="JRL555" s="500"/>
      <c r="JRM555" s="500"/>
      <c r="JRN555" s="500"/>
      <c r="JRO555" s="500"/>
      <c r="JRP555" s="500"/>
      <c r="JRQ555" s="500"/>
      <c r="JRR555" s="500"/>
      <c r="JRS555" s="500"/>
      <c r="JRT555" s="500"/>
      <c r="JRU555" s="500"/>
      <c r="JRV555" s="500"/>
      <c r="JRW555" s="500"/>
      <c r="JRX555" s="500"/>
      <c r="JRY555" s="500"/>
      <c r="JRZ555" s="500"/>
      <c r="JSA555" s="500"/>
      <c r="JSB555" s="500"/>
      <c r="JSC555" s="500"/>
      <c r="JSD555" s="500"/>
      <c r="JSE555" s="500"/>
      <c r="JSF555" s="500"/>
      <c r="JSG555" s="500"/>
      <c r="JSH555" s="500"/>
      <c r="JSI555" s="500"/>
      <c r="JSJ555" s="500"/>
      <c r="JSK555" s="500"/>
      <c r="JSL555" s="500"/>
      <c r="JSM555" s="500"/>
      <c r="JSN555" s="500"/>
      <c r="JSO555" s="500"/>
      <c r="JSP555" s="500"/>
      <c r="JSQ555" s="500"/>
      <c r="JSR555" s="500"/>
      <c r="JSS555" s="500"/>
      <c r="JST555" s="500"/>
      <c r="JSU555" s="500"/>
      <c r="JSV555" s="500"/>
      <c r="JSW555" s="500"/>
      <c r="JSX555" s="500"/>
      <c r="JSY555" s="500"/>
      <c r="JSZ555" s="500"/>
      <c r="JTA555" s="500"/>
      <c r="JTB555" s="500"/>
      <c r="JTC555" s="500"/>
      <c r="JTD555" s="500"/>
      <c r="JTE555" s="500"/>
      <c r="JTF555" s="500"/>
      <c r="JTG555" s="500"/>
      <c r="JTH555" s="500"/>
      <c r="JTI555" s="500"/>
      <c r="JTJ555" s="500"/>
      <c r="JTK555" s="500"/>
      <c r="JTL555" s="500"/>
      <c r="JTM555" s="500"/>
      <c r="JTN555" s="500"/>
      <c r="JTO555" s="500"/>
      <c r="JTP555" s="500"/>
      <c r="JTQ555" s="500"/>
      <c r="JTR555" s="500"/>
      <c r="JTS555" s="500"/>
      <c r="JTT555" s="500"/>
      <c r="JTU555" s="500"/>
      <c r="JTV555" s="500"/>
      <c r="JTW555" s="500"/>
      <c r="JTX555" s="500"/>
      <c r="JTY555" s="500"/>
      <c r="JTZ555" s="500"/>
      <c r="JUA555" s="500"/>
      <c r="JUB555" s="500"/>
      <c r="JUC555" s="500"/>
      <c r="JUD555" s="500"/>
      <c r="JUE555" s="500"/>
      <c r="JUF555" s="500"/>
      <c r="JUG555" s="500"/>
      <c r="JUH555" s="500"/>
      <c r="JUI555" s="500"/>
      <c r="JUJ555" s="500"/>
      <c r="JUK555" s="500"/>
      <c r="JUL555" s="500"/>
      <c r="JUM555" s="500"/>
      <c r="JUN555" s="500"/>
      <c r="JUO555" s="500"/>
      <c r="JUP555" s="500"/>
      <c r="JUQ555" s="500"/>
      <c r="JUR555" s="500"/>
      <c r="JUS555" s="500"/>
      <c r="JUT555" s="500"/>
      <c r="JUU555" s="500"/>
      <c r="JUV555" s="500"/>
      <c r="JUW555" s="500"/>
      <c r="JUX555" s="500"/>
      <c r="JUY555" s="500"/>
      <c r="JUZ555" s="500"/>
      <c r="JVA555" s="500"/>
      <c r="JVB555" s="500"/>
      <c r="JVC555" s="500"/>
      <c r="JVD555" s="500"/>
      <c r="JVE555" s="500"/>
      <c r="JVF555" s="500"/>
      <c r="JVG555" s="500"/>
      <c r="JVH555" s="500"/>
      <c r="JVI555" s="500"/>
      <c r="JVJ555" s="500"/>
      <c r="JVK555" s="500"/>
      <c r="JVL555" s="500"/>
      <c r="JVM555" s="500"/>
      <c r="JVN555" s="500"/>
      <c r="JVO555" s="500"/>
      <c r="JVP555" s="500"/>
      <c r="JVQ555" s="500"/>
      <c r="JVR555" s="500"/>
      <c r="JVS555" s="500"/>
      <c r="JVT555" s="500"/>
      <c r="JVU555" s="500"/>
      <c r="JVV555" s="500"/>
      <c r="JVW555" s="500"/>
      <c r="JVX555" s="500"/>
      <c r="JVY555" s="500"/>
      <c r="JVZ555" s="500"/>
      <c r="JWA555" s="500"/>
      <c r="JWB555" s="500"/>
      <c r="JWC555" s="500"/>
      <c r="JWD555" s="500"/>
      <c r="JWE555" s="500"/>
      <c r="JWF555" s="500"/>
      <c r="JWG555" s="500"/>
      <c r="JWH555" s="500"/>
      <c r="JWI555" s="500"/>
      <c r="JWJ555" s="500"/>
      <c r="JWK555" s="500"/>
      <c r="JWL555" s="500"/>
      <c r="JWM555" s="500"/>
      <c r="JWN555" s="500"/>
      <c r="JWO555" s="500"/>
      <c r="JWP555" s="500"/>
      <c r="JWQ555" s="500"/>
      <c r="JWR555" s="500"/>
      <c r="JWS555" s="500"/>
      <c r="JWT555" s="500"/>
      <c r="JWU555" s="500"/>
      <c r="JWV555" s="500"/>
      <c r="JWW555" s="500"/>
      <c r="JWX555" s="500"/>
      <c r="JWY555" s="500"/>
      <c r="JWZ555" s="500"/>
      <c r="JXA555" s="500"/>
      <c r="JXB555" s="500"/>
      <c r="JXC555" s="500"/>
      <c r="JXD555" s="500"/>
      <c r="JXE555" s="500"/>
      <c r="JXF555" s="500"/>
      <c r="JXG555" s="500"/>
      <c r="JXH555" s="500"/>
      <c r="JXI555" s="500"/>
      <c r="JXJ555" s="500"/>
      <c r="JXK555" s="500"/>
      <c r="JXL555" s="500"/>
      <c r="JXM555" s="500"/>
      <c r="JXN555" s="500"/>
      <c r="JXO555" s="500"/>
      <c r="JXP555" s="500"/>
      <c r="JXQ555" s="500"/>
      <c r="JXR555" s="500"/>
      <c r="JXS555" s="500"/>
      <c r="JXT555" s="500"/>
      <c r="JXU555" s="500"/>
      <c r="JXV555" s="500"/>
      <c r="JXW555" s="500"/>
      <c r="JXX555" s="500"/>
      <c r="JXY555" s="500"/>
      <c r="JXZ555" s="500"/>
      <c r="JYA555" s="500"/>
      <c r="JYB555" s="500"/>
      <c r="JYC555" s="500"/>
      <c r="JYD555" s="500"/>
      <c r="JYE555" s="500"/>
      <c r="JYF555" s="500"/>
      <c r="JYG555" s="500"/>
      <c r="JYH555" s="500"/>
      <c r="JYI555" s="500"/>
      <c r="JYJ555" s="500"/>
      <c r="JYK555" s="500"/>
      <c r="JYL555" s="500"/>
      <c r="JYM555" s="500"/>
      <c r="JYN555" s="500"/>
      <c r="JYO555" s="500"/>
      <c r="JYP555" s="500"/>
      <c r="JYQ555" s="500"/>
      <c r="JYR555" s="500"/>
      <c r="JYS555" s="500"/>
      <c r="JYT555" s="500"/>
      <c r="JYU555" s="500"/>
      <c r="JYV555" s="500"/>
      <c r="JYW555" s="500"/>
      <c r="JYX555" s="500"/>
      <c r="JYY555" s="500"/>
      <c r="JYZ555" s="500"/>
      <c r="JZA555" s="500"/>
      <c r="JZB555" s="500"/>
      <c r="JZC555" s="500"/>
      <c r="JZD555" s="500"/>
      <c r="JZE555" s="500"/>
      <c r="JZF555" s="500"/>
      <c r="JZG555" s="500"/>
      <c r="JZH555" s="500"/>
      <c r="JZI555" s="500"/>
      <c r="JZJ555" s="500"/>
      <c r="JZK555" s="500"/>
      <c r="JZL555" s="500"/>
      <c r="JZM555" s="500"/>
      <c r="JZN555" s="500"/>
      <c r="JZO555" s="500"/>
      <c r="JZP555" s="500"/>
      <c r="JZQ555" s="500"/>
      <c r="JZR555" s="500"/>
      <c r="JZS555" s="500"/>
      <c r="JZT555" s="500"/>
      <c r="JZU555" s="500"/>
      <c r="JZV555" s="500"/>
      <c r="JZW555" s="500"/>
      <c r="JZX555" s="500"/>
      <c r="JZY555" s="500"/>
      <c r="JZZ555" s="500"/>
      <c r="KAA555" s="500"/>
      <c r="KAB555" s="500"/>
      <c r="KAC555" s="500"/>
      <c r="KAD555" s="500"/>
      <c r="KAE555" s="500"/>
      <c r="KAF555" s="500"/>
      <c r="KAG555" s="500"/>
      <c r="KAH555" s="500"/>
      <c r="KAI555" s="500"/>
      <c r="KAJ555" s="500"/>
      <c r="KAK555" s="500"/>
      <c r="KAL555" s="500"/>
      <c r="KAM555" s="500"/>
      <c r="KAN555" s="500"/>
      <c r="KAO555" s="500"/>
      <c r="KAP555" s="500"/>
      <c r="KAQ555" s="500"/>
      <c r="KAR555" s="500"/>
      <c r="KAS555" s="500"/>
      <c r="KAT555" s="500"/>
      <c r="KAU555" s="500"/>
      <c r="KAV555" s="500"/>
      <c r="KAW555" s="500"/>
      <c r="KAX555" s="500"/>
      <c r="KAY555" s="500"/>
      <c r="KAZ555" s="500"/>
      <c r="KBA555" s="500"/>
      <c r="KBB555" s="500"/>
      <c r="KBC555" s="500"/>
      <c r="KBD555" s="500"/>
      <c r="KBE555" s="500"/>
      <c r="KBF555" s="500"/>
      <c r="KBG555" s="500"/>
      <c r="KBH555" s="500"/>
      <c r="KBI555" s="500"/>
      <c r="KBJ555" s="500"/>
      <c r="KBK555" s="500"/>
      <c r="KBL555" s="500"/>
      <c r="KBM555" s="500"/>
      <c r="KBN555" s="500"/>
      <c r="KBO555" s="500"/>
      <c r="KBP555" s="500"/>
      <c r="KBQ555" s="500"/>
      <c r="KBR555" s="500"/>
      <c r="KBS555" s="500"/>
      <c r="KBT555" s="500"/>
      <c r="KBU555" s="500"/>
      <c r="KBV555" s="500"/>
      <c r="KBW555" s="500"/>
      <c r="KBX555" s="500"/>
      <c r="KBY555" s="500"/>
      <c r="KBZ555" s="500"/>
      <c r="KCA555" s="500"/>
      <c r="KCB555" s="500"/>
      <c r="KCC555" s="500"/>
      <c r="KCD555" s="500"/>
      <c r="KCE555" s="500"/>
      <c r="KCF555" s="500"/>
      <c r="KCG555" s="500"/>
      <c r="KCH555" s="500"/>
      <c r="KCI555" s="500"/>
      <c r="KCJ555" s="500"/>
      <c r="KCK555" s="500"/>
      <c r="KCL555" s="500"/>
      <c r="KCM555" s="500"/>
      <c r="KCN555" s="500"/>
      <c r="KCO555" s="500"/>
      <c r="KCP555" s="500"/>
      <c r="KCQ555" s="500"/>
      <c r="KCR555" s="500"/>
      <c r="KCS555" s="500"/>
      <c r="KCT555" s="500"/>
      <c r="KCU555" s="500"/>
      <c r="KCV555" s="500"/>
      <c r="KCW555" s="500"/>
      <c r="KCX555" s="500"/>
      <c r="KCY555" s="500"/>
      <c r="KCZ555" s="500"/>
      <c r="KDA555" s="500"/>
      <c r="KDB555" s="500"/>
      <c r="KDC555" s="500"/>
      <c r="KDD555" s="500"/>
      <c r="KDE555" s="500"/>
      <c r="KDF555" s="500"/>
      <c r="KDG555" s="500"/>
      <c r="KDH555" s="500"/>
      <c r="KDI555" s="500"/>
      <c r="KDJ555" s="500"/>
      <c r="KDK555" s="500"/>
      <c r="KDL555" s="500"/>
      <c r="KDM555" s="500"/>
      <c r="KDN555" s="500"/>
      <c r="KDO555" s="500"/>
      <c r="KDP555" s="500"/>
      <c r="KDQ555" s="500"/>
      <c r="KDR555" s="500"/>
      <c r="KDS555" s="500"/>
      <c r="KDT555" s="500"/>
      <c r="KDU555" s="500"/>
      <c r="KDV555" s="500"/>
      <c r="KDW555" s="500"/>
      <c r="KDX555" s="500"/>
      <c r="KDY555" s="500"/>
      <c r="KDZ555" s="500"/>
      <c r="KEA555" s="500"/>
      <c r="KEB555" s="500"/>
      <c r="KEC555" s="500"/>
      <c r="KED555" s="500"/>
      <c r="KEE555" s="500"/>
      <c r="KEF555" s="500"/>
      <c r="KEG555" s="500"/>
      <c r="KEH555" s="500"/>
      <c r="KEI555" s="500"/>
      <c r="KEJ555" s="500"/>
      <c r="KEK555" s="500"/>
      <c r="KEL555" s="500"/>
      <c r="KEM555" s="500"/>
      <c r="KEN555" s="500"/>
      <c r="KEO555" s="500"/>
      <c r="KEP555" s="500"/>
      <c r="KEQ555" s="500"/>
      <c r="KER555" s="500"/>
      <c r="KES555" s="500"/>
      <c r="KET555" s="500"/>
      <c r="KEU555" s="500"/>
      <c r="KEV555" s="500"/>
      <c r="KEW555" s="500"/>
      <c r="KEX555" s="500"/>
      <c r="KEY555" s="500"/>
      <c r="KEZ555" s="500"/>
      <c r="KFA555" s="500"/>
      <c r="KFB555" s="500"/>
      <c r="KFC555" s="500"/>
      <c r="KFD555" s="500"/>
      <c r="KFE555" s="500"/>
      <c r="KFF555" s="500"/>
      <c r="KFG555" s="500"/>
      <c r="KFH555" s="500"/>
      <c r="KFI555" s="500"/>
      <c r="KFJ555" s="500"/>
      <c r="KFK555" s="500"/>
      <c r="KFL555" s="500"/>
      <c r="KFM555" s="500"/>
      <c r="KFN555" s="500"/>
      <c r="KFO555" s="500"/>
      <c r="KFP555" s="500"/>
      <c r="KFQ555" s="500"/>
      <c r="KFR555" s="500"/>
      <c r="KFS555" s="500"/>
      <c r="KFT555" s="500"/>
      <c r="KFU555" s="500"/>
      <c r="KFV555" s="500"/>
      <c r="KFW555" s="500"/>
      <c r="KFX555" s="500"/>
      <c r="KFY555" s="500"/>
      <c r="KFZ555" s="500"/>
      <c r="KGA555" s="500"/>
      <c r="KGB555" s="500"/>
      <c r="KGC555" s="500"/>
      <c r="KGD555" s="500"/>
      <c r="KGE555" s="500"/>
      <c r="KGF555" s="500"/>
      <c r="KGG555" s="500"/>
      <c r="KGH555" s="500"/>
      <c r="KGI555" s="500"/>
      <c r="KGJ555" s="500"/>
      <c r="KGK555" s="500"/>
      <c r="KGL555" s="500"/>
      <c r="KGM555" s="500"/>
      <c r="KGN555" s="500"/>
      <c r="KGO555" s="500"/>
      <c r="KGP555" s="500"/>
      <c r="KGQ555" s="500"/>
      <c r="KGR555" s="500"/>
      <c r="KGS555" s="500"/>
      <c r="KGT555" s="500"/>
      <c r="KGU555" s="500"/>
      <c r="KGV555" s="500"/>
      <c r="KGW555" s="500"/>
      <c r="KGX555" s="500"/>
      <c r="KGY555" s="500"/>
      <c r="KGZ555" s="500"/>
      <c r="KHA555" s="500"/>
      <c r="KHB555" s="500"/>
      <c r="KHC555" s="500"/>
      <c r="KHD555" s="500"/>
      <c r="KHE555" s="500"/>
      <c r="KHF555" s="500"/>
      <c r="KHG555" s="500"/>
      <c r="KHH555" s="500"/>
      <c r="KHI555" s="500"/>
      <c r="KHJ555" s="500"/>
      <c r="KHK555" s="500"/>
      <c r="KHL555" s="500"/>
      <c r="KHM555" s="500"/>
      <c r="KHN555" s="500"/>
      <c r="KHO555" s="500"/>
      <c r="KHP555" s="500"/>
      <c r="KHQ555" s="500"/>
      <c r="KHR555" s="500"/>
      <c r="KHS555" s="500"/>
      <c r="KHT555" s="500"/>
      <c r="KHU555" s="500"/>
      <c r="KHV555" s="500"/>
      <c r="KHW555" s="500"/>
      <c r="KHX555" s="500"/>
      <c r="KHY555" s="500"/>
      <c r="KHZ555" s="500"/>
      <c r="KIA555" s="500"/>
      <c r="KIB555" s="500"/>
      <c r="KIC555" s="500"/>
      <c r="KID555" s="500"/>
      <c r="KIE555" s="500"/>
      <c r="KIF555" s="500"/>
      <c r="KIG555" s="500"/>
      <c r="KIH555" s="500"/>
      <c r="KII555" s="500"/>
      <c r="KIJ555" s="500"/>
      <c r="KIK555" s="500"/>
      <c r="KIL555" s="500"/>
      <c r="KIM555" s="500"/>
      <c r="KIN555" s="500"/>
      <c r="KIO555" s="500"/>
      <c r="KIP555" s="500"/>
      <c r="KIQ555" s="500"/>
      <c r="KIR555" s="500"/>
      <c r="KIS555" s="500"/>
      <c r="KIT555" s="500"/>
      <c r="KIU555" s="500"/>
      <c r="KIV555" s="500"/>
      <c r="KIW555" s="500"/>
      <c r="KIX555" s="500"/>
      <c r="KIY555" s="500"/>
      <c r="KIZ555" s="500"/>
      <c r="KJA555" s="500"/>
      <c r="KJB555" s="500"/>
      <c r="KJC555" s="500"/>
      <c r="KJD555" s="500"/>
      <c r="KJE555" s="500"/>
      <c r="KJF555" s="500"/>
      <c r="KJG555" s="500"/>
      <c r="KJH555" s="500"/>
      <c r="KJI555" s="500"/>
      <c r="KJJ555" s="500"/>
      <c r="KJK555" s="500"/>
      <c r="KJL555" s="500"/>
      <c r="KJM555" s="500"/>
      <c r="KJN555" s="500"/>
      <c r="KJO555" s="500"/>
      <c r="KJP555" s="500"/>
      <c r="KJQ555" s="500"/>
      <c r="KJR555" s="500"/>
      <c r="KJS555" s="500"/>
      <c r="KJT555" s="500"/>
      <c r="KJU555" s="500"/>
      <c r="KJV555" s="500"/>
      <c r="KJW555" s="500"/>
      <c r="KJX555" s="500"/>
      <c r="KJY555" s="500"/>
      <c r="KJZ555" s="500"/>
      <c r="KKA555" s="500"/>
      <c r="KKB555" s="500"/>
      <c r="KKC555" s="500"/>
      <c r="KKD555" s="500"/>
      <c r="KKE555" s="500"/>
      <c r="KKF555" s="500"/>
      <c r="KKG555" s="500"/>
      <c r="KKH555" s="500"/>
      <c r="KKI555" s="500"/>
      <c r="KKJ555" s="500"/>
      <c r="KKK555" s="500"/>
      <c r="KKL555" s="500"/>
      <c r="KKM555" s="500"/>
      <c r="KKN555" s="500"/>
      <c r="KKO555" s="500"/>
      <c r="KKP555" s="500"/>
      <c r="KKQ555" s="500"/>
      <c r="KKR555" s="500"/>
      <c r="KKS555" s="500"/>
      <c r="KKT555" s="500"/>
      <c r="KKU555" s="500"/>
      <c r="KKV555" s="500"/>
      <c r="KKW555" s="500"/>
      <c r="KKX555" s="500"/>
      <c r="KKY555" s="500"/>
      <c r="KKZ555" s="500"/>
      <c r="KLA555" s="500"/>
      <c r="KLB555" s="500"/>
      <c r="KLC555" s="500"/>
      <c r="KLD555" s="500"/>
      <c r="KLE555" s="500"/>
      <c r="KLF555" s="500"/>
      <c r="KLG555" s="500"/>
      <c r="KLH555" s="500"/>
      <c r="KLI555" s="500"/>
      <c r="KLJ555" s="500"/>
      <c r="KLK555" s="500"/>
      <c r="KLL555" s="500"/>
      <c r="KLM555" s="500"/>
      <c r="KLN555" s="500"/>
      <c r="KLO555" s="500"/>
      <c r="KLP555" s="500"/>
      <c r="KLQ555" s="500"/>
      <c r="KLR555" s="500"/>
      <c r="KLS555" s="500"/>
      <c r="KLT555" s="500"/>
      <c r="KLU555" s="500"/>
      <c r="KLV555" s="500"/>
      <c r="KLW555" s="500"/>
      <c r="KLX555" s="500"/>
      <c r="KLY555" s="500"/>
      <c r="KLZ555" s="500"/>
      <c r="KMA555" s="500"/>
      <c r="KMB555" s="500"/>
      <c r="KMC555" s="500"/>
      <c r="KMD555" s="500"/>
      <c r="KME555" s="500"/>
      <c r="KMF555" s="500"/>
      <c r="KMG555" s="500"/>
      <c r="KMH555" s="500"/>
      <c r="KMI555" s="500"/>
      <c r="KMJ555" s="500"/>
      <c r="KMK555" s="500"/>
      <c r="KML555" s="500"/>
      <c r="KMM555" s="500"/>
      <c r="KMN555" s="500"/>
      <c r="KMO555" s="500"/>
      <c r="KMP555" s="500"/>
      <c r="KMQ555" s="500"/>
      <c r="KMR555" s="500"/>
      <c r="KMS555" s="500"/>
      <c r="KMT555" s="500"/>
      <c r="KMU555" s="500"/>
      <c r="KMV555" s="500"/>
      <c r="KMW555" s="500"/>
      <c r="KMX555" s="500"/>
      <c r="KMY555" s="500"/>
      <c r="KMZ555" s="500"/>
      <c r="KNA555" s="500"/>
      <c r="KNB555" s="500"/>
      <c r="KNC555" s="500"/>
      <c r="KND555" s="500"/>
      <c r="KNE555" s="500"/>
      <c r="KNF555" s="500"/>
      <c r="KNG555" s="500"/>
      <c r="KNH555" s="500"/>
      <c r="KNI555" s="500"/>
      <c r="KNJ555" s="500"/>
      <c r="KNK555" s="500"/>
      <c r="KNL555" s="500"/>
      <c r="KNM555" s="500"/>
      <c r="KNN555" s="500"/>
      <c r="KNO555" s="500"/>
      <c r="KNP555" s="500"/>
      <c r="KNQ555" s="500"/>
      <c r="KNR555" s="500"/>
      <c r="KNS555" s="500"/>
      <c r="KNT555" s="500"/>
      <c r="KNU555" s="500"/>
      <c r="KNV555" s="500"/>
      <c r="KNW555" s="500"/>
      <c r="KNX555" s="500"/>
      <c r="KNY555" s="500"/>
      <c r="KNZ555" s="500"/>
      <c r="KOA555" s="500"/>
      <c r="KOB555" s="500"/>
      <c r="KOC555" s="500"/>
      <c r="KOD555" s="500"/>
      <c r="KOE555" s="500"/>
      <c r="KOF555" s="500"/>
      <c r="KOG555" s="500"/>
      <c r="KOH555" s="500"/>
      <c r="KOI555" s="500"/>
      <c r="KOJ555" s="500"/>
      <c r="KOK555" s="500"/>
      <c r="KOL555" s="500"/>
      <c r="KOM555" s="500"/>
      <c r="KON555" s="500"/>
      <c r="KOO555" s="500"/>
      <c r="KOP555" s="500"/>
      <c r="KOQ555" s="500"/>
      <c r="KOR555" s="500"/>
      <c r="KOS555" s="500"/>
      <c r="KOT555" s="500"/>
      <c r="KOU555" s="500"/>
      <c r="KOV555" s="500"/>
      <c r="KOW555" s="500"/>
      <c r="KOX555" s="500"/>
      <c r="KOY555" s="500"/>
      <c r="KOZ555" s="500"/>
      <c r="KPA555" s="500"/>
      <c r="KPB555" s="500"/>
      <c r="KPC555" s="500"/>
      <c r="KPD555" s="500"/>
      <c r="KPE555" s="500"/>
      <c r="KPF555" s="500"/>
      <c r="KPG555" s="500"/>
      <c r="KPH555" s="500"/>
      <c r="KPI555" s="500"/>
      <c r="KPJ555" s="500"/>
      <c r="KPK555" s="500"/>
      <c r="KPL555" s="500"/>
      <c r="KPM555" s="500"/>
      <c r="KPN555" s="500"/>
      <c r="KPO555" s="500"/>
      <c r="KPP555" s="500"/>
      <c r="KPQ555" s="500"/>
      <c r="KPR555" s="500"/>
      <c r="KPS555" s="500"/>
      <c r="KPT555" s="500"/>
      <c r="KPU555" s="500"/>
      <c r="KPV555" s="500"/>
      <c r="KPW555" s="500"/>
      <c r="KPX555" s="500"/>
      <c r="KPY555" s="500"/>
      <c r="KPZ555" s="500"/>
      <c r="KQA555" s="500"/>
      <c r="KQB555" s="500"/>
      <c r="KQC555" s="500"/>
      <c r="KQD555" s="500"/>
      <c r="KQE555" s="500"/>
      <c r="KQF555" s="500"/>
      <c r="KQG555" s="500"/>
      <c r="KQH555" s="500"/>
      <c r="KQI555" s="500"/>
      <c r="KQJ555" s="500"/>
      <c r="KQK555" s="500"/>
      <c r="KQL555" s="500"/>
      <c r="KQM555" s="500"/>
      <c r="KQN555" s="500"/>
      <c r="KQO555" s="500"/>
      <c r="KQP555" s="500"/>
      <c r="KQQ555" s="500"/>
      <c r="KQR555" s="500"/>
      <c r="KQS555" s="500"/>
      <c r="KQT555" s="500"/>
      <c r="KQU555" s="500"/>
      <c r="KQV555" s="500"/>
      <c r="KQW555" s="500"/>
      <c r="KQX555" s="500"/>
      <c r="KQY555" s="500"/>
      <c r="KQZ555" s="500"/>
      <c r="KRA555" s="500"/>
      <c r="KRB555" s="500"/>
      <c r="KRC555" s="500"/>
      <c r="KRD555" s="500"/>
      <c r="KRE555" s="500"/>
      <c r="KRF555" s="500"/>
      <c r="KRG555" s="500"/>
      <c r="KRH555" s="500"/>
      <c r="KRI555" s="500"/>
      <c r="KRJ555" s="500"/>
      <c r="KRK555" s="500"/>
      <c r="KRL555" s="500"/>
      <c r="KRM555" s="500"/>
      <c r="KRN555" s="500"/>
      <c r="KRO555" s="500"/>
      <c r="KRP555" s="500"/>
      <c r="KRQ555" s="500"/>
      <c r="KRR555" s="500"/>
      <c r="KRS555" s="500"/>
      <c r="KRT555" s="500"/>
      <c r="KRU555" s="500"/>
      <c r="KRV555" s="500"/>
      <c r="KRW555" s="500"/>
      <c r="KRX555" s="500"/>
      <c r="KRY555" s="500"/>
      <c r="KRZ555" s="500"/>
      <c r="KSA555" s="500"/>
      <c r="KSB555" s="500"/>
      <c r="KSC555" s="500"/>
      <c r="KSD555" s="500"/>
      <c r="KSE555" s="500"/>
      <c r="KSF555" s="500"/>
      <c r="KSG555" s="500"/>
      <c r="KSH555" s="500"/>
      <c r="KSI555" s="500"/>
      <c r="KSJ555" s="500"/>
      <c r="KSK555" s="500"/>
      <c r="KSL555" s="500"/>
      <c r="KSM555" s="500"/>
      <c r="KSN555" s="500"/>
      <c r="KSO555" s="500"/>
      <c r="KSP555" s="500"/>
      <c r="KSQ555" s="500"/>
      <c r="KSR555" s="500"/>
      <c r="KSS555" s="500"/>
      <c r="KST555" s="500"/>
      <c r="KSU555" s="500"/>
      <c r="KSV555" s="500"/>
      <c r="KSW555" s="500"/>
      <c r="KSX555" s="500"/>
      <c r="KSY555" s="500"/>
      <c r="KSZ555" s="500"/>
      <c r="KTA555" s="500"/>
      <c r="KTB555" s="500"/>
      <c r="KTC555" s="500"/>
      <c r="KTD555" s="500"/>
      <c r="KTE555" s="500"/>
      <c r="KTF555" s="500"/>
      <c r="KTG555" s="500"/>
      <c r="KTH555" s="500"/>
      <c r="KTI555" s="500"/>
      <c r="KTJ555" s="500"/>
      <c r="KTK555" s="500"/>
      <c r="KTL555" s="500"/>
      <c r="KTM555" s="500"/>
      <c r="KTN555" s="500"/>
      <c r="KTO555" s="500"/>
      <c r="KTP555" s="500"/>
      <c r="KTQ555" s="500"/>
      <c r="KTR555" s="500"/>
      <c r="KTS555" s="500"/>
      <c r="KTT555" s="500"/>
      <c r="KTU555" s="500"/>
      <c r="KTV555" s="500"/>
      <c r="KTW555" s="500"/>
      <c r="KTX555" s="500"/>
      <c r="KTY555" s="500"/>
      <c r="KTZ555" s="500"/>
      <c r="KUA555" s="500"/>
      <c r="KUB555" s="500"/>
      <c r="KUC555" s="500"/>
      <c r="KUD555" s="500"/>
      <c r="KUE555" s="500"/>
      <c r="KUF555" s="500"/>
      <c r="KUG555" s="500"/>
      <c r="KUH555" s="500"/>
      <c r="KUI555" s="500"/>
      <c r="KUJ555" s="500"/>
      <c r="KUK555" s="500"/>
      <c r="KUL555" s="500"/>
      <c r="KUM555" s="500"/>
      <c r="KUN555" s="500"/>
      <c r="KUO555" s="500"/>
      <c r="KUP555" s="500"/>
      <c r="KUQ555" s="500"/>
      <c r="KUR555" s="500"/>
      <c r="KUS555" s="500"/>
      <c r="KUT555" s="500"/>
      <c r="KUU555" s="500"/>
      <c r="KUV555" s="500"/>
      <c r="KUW555" s="500"/>
      <c r="KUX555" s="500"/>
      <c r="KUY555" s="500"/>
      <c r="KUZ555" s="500"/>
      <c r="KVA555" s="500"/>
      <c r="KVB555" s="500"/>
      <c r="KVC555" s="500"/>
      <c r="KVD555" s="500"/>
      <c r="KVE555" s="500"/>
      <c r="KVF555" s="500"/>
      <c r="KVG555" s="500"/>
      <c r="KVH555" s="500"/>
      <c r="KVI555" s="500"/>
      <c r="KVJ555" s="500"/>
      <c r="KVK555" s="500"/>
      <c r="KVL555" s="500"/>
      <c r="KVM555" s="500"/>
      <c r="KVN555" s="500"/>
      <c r="KVO555" s="500"/>
      <c r="KVP555" s="500"/>
      <c r="KVQ555" s="500"/>
      <c r="KVR555" s="500"/>
      <c r="KVS555" s="500"/>
      <c r="KVT555" s="500"/>
      <c r="KVU555" s="500"/>
      <c r="KVV555" s="500"/>
      <c r="KVW555" s="500"/>
      <c r="KVX555" s="500"/>
      <c r="KVY555" s="500"/>
      <c r="KVZ555" s="500"/>
      <c r="KWA555" s="500"/>
      <c r="KWB555" s="500"/>
      <c r="KWC555" s="500"/>
      <c r="KWD555" s="500"/>
      <c r="KWE555" s="500"/>
      <c r="KWF555" s="500"/>
      <c r="KWG555" s="500"/>
      <c r="KWH555" s="500"/>
      <c r="KWI555" s="500"/>
      <c r="KWJ555" s="500"/>
      <c r="KWK555" s="500"/>
      <c r="KWL555" s="500"/>
      <c r="KWM555" s="500"/>
      <c r="KWN555" s="500"/>
      <c r="KWO555" s="500"/>
      <c r="KWP555" s="500"/>
      <c r="KWQ555" s="500"/>
      <c r="KWR555" s="500"/>
      <c r="KWS555" s="500"/>
      <c r="KWT555" s="500"/>
      <c r="KWU555" s="500"/>
      <c r="KWV555" s="500"/>
      <c r="KWW555" s="500"/>
      <c r="KWX555" s="500"/>
      <c r="KWY555" s="500"/>
      <c r="KWZ555" s="500"/>
      <c r="KXA555" s="500"/>
      <c r="KXB555" s="500"/>
      <c r="KXC555" s="500"/>
      <c r="KXD555" s="500"/>
      <c r="KXE555" s="500"/>
      <c r="KXF555" s="500"/>
      <c r="KXG555" s="500"/>
      <c r="KXH555" s="500"/>
      <c r="KXI555" s="500"/>
      <c r="KXJ555" s="500"/>
      <c r="KXK555" s="500"/>
      <c r="KXL555" s="500"/>
      <c r="KXM555" s="500"/>
      <c r="KXN555" s="500"/>
      <c r="KXO555" s="500"/>
      <c r="KXP555" s="500"/>
      <c r="KXQ555" s="500"/>
      <c r="KXR555" s="500"/>
      <c r="KXS555" s="500"/>
      <c r="KXT555" s="500"/>
      <c r="KXU555" s="500"/>
      <c r="KXV555" s="500"/>
      <c r="KXW555" s="500"/>
      <c r="KXX555" s="500"/>
      <c r="KXY555" s="500"/>
      <c r="KXZ555" s="500"/>
      <c r="KYA555" s="500"/>
      <c r="KYB555" s="500"/>
      <c r="KYC555" s="500"/>
      <c r="KYD555" s="500"/>
      <c r="KYE555" s="500"/>
      <c r="KYF555" s="500"/>
      <c r="KYG555" s="500"/>
      <c r="KYH555" s="500"/>
      <c r="KYI555" s="500"/>
      <c r="KYJ555" s="500"/>
      <c r="KYK555" s="500"/>
      <c r="KYL555" s="500"/>
      <c r="KYM555" s="500"/>
      <c r="KYN555" s="500"/>
      <c r="KYO555" s="500"/>
      <c r="KYP555" s="500"/>
      <c r="KYQ555" s="500"/>
      <c r="KYR555" s="500"/>
      <c r="KYS555" s="500"/>
      <c r="KYT555" s="500"/>
      <c r="KYU555" s="500"/>
      <c r="KYV555" s="500"/>
      <c r="KYW555" s="500"/>
      <c r="KYX555" s="500"/>
      <c r="KYY555" s="500"/>
      <c r="KYZ555" s="500"/>
      <c r="KZA555" s="500"/>
      <c r="KZB555" s="500"/>
      <c r="KZC555" s="500"/>
      <c r="KZD555" s="500"/>
      <c r="KZE555" s="500"/>
      <c r="KZF555" s="500"/>
      <c r="KZG555" s="500"/>
      <c r="KZH555" s="500"/>
      <c r="KZI555" s="500"/>
      <c r="KZJ555" s="500"/>
      <c r="KZK555" s="500"/>
      <c r="KZL555" s="500"/>
      <c r="KZM555" s="500"/>
      <c r="KZN555" s="500"/>
      <c r="KZO555" s="500"/>
      <c r="KZP555" s="500"/>
      <c r="KZQ555" s="500"/>
      <c r="KZR555" s="500"/>
      <c r="KZS555" s="500"/>
      <c r="KZT555" s="500"/>
      <c r="KZU555" s="500"/>
      <c r="KZV555" s="500"/>
      <c r="KZW555" s="500"/>
      <c r="KZX555" s="500"/>
      <c r="KZY555" s="500"/>
      <c r="KZZ555" s="500"/>
      <c r="LAA555" s="500"/>
      <c r="LAB555" s="500"/>
      <c r="LAC555" s="500"/>
      <c r="LAD555" s="500"/>
      <c r="LAE555" s="500"/>
      <c r="LAF555" s="500"/>
      <c r="LAG555" s="500"/>
      <c r="LAH555" s="500"/>
      <c r="LAI555" s="500"/>
      <c r="LAJ555" s="500"/>
      <c r="LAK555" s="500"/>
      <c r="LAL555" s="500"/>
      <c r="LAM555" s="500"/>
      <c r="LAN555" s="500"/>
      <c r="LAO555" s="500"/>
      <c r="LAP555" s="500"/>
      <c r="LAQ555" s="500"/>
      <c r="LAR555" s="500"/>
      <c r="LAS555" s="500"/>
      <c r="LAT555" s="500"/>
      <c r="LAU555" s="500"/>
      <c r="LAV555" s="500"/>
      <c r="LAW555" s="500"/>
      <c r="LAX555" s="500"/>
      <c r="LAY555" s="500"/>
      <c r="LAZ555" s="500"/>
      <c r="LBA555" s="500"/>
      <c r="LBB555" s="500"/>
      <c r="LBC555" s="500"/>
      <c r="LBD555" s="500"/>
      <c r="LBE555" s="500"/>
      <c r="LBF555" s="500"/>
      <c r="LBG555" s="500"/>
      <c r="LBH555" s="500"/>
      <c r="LBI555" s="500"/>
      <c r="LBJ555" s="500"/>
      <c r="LBK555" s="500"/>
      <c r="LBL555" s="500"/>
      <c r="LBM555" s="500"/>
      <c r="LBN555" s="500"/>
      <c r="LBO555" s="500"/>
      <c r="LBP555" s="500"/>
      <c r="LBQ555" s="500"/>
      <c r="LBR555" s="500"/>
      <c r="LBS555" s="500"/>
      <c r="LBT555" s="500"/>
      <c r="LBU555" s="500"/>
      <c r="LBV555" s="500"/>
      <c r="LBW555" s="500"/>
      <c r="LBX555" s="500"/>
      <c r="LBY555" s="500"/>
      <c r="LBZ555" s="500"/>
      <c r="LCA555" s="500"/>
      <c r="LCB555" s="500"/>
      <c r="LCC555" s="500"/>
      <c r="LCD555" s="500"/>
      <c r="LCE555" s="500"/>
      <c r="LCF555" s="500"/>
      <c r="LCG555" s="500"/>
      <c r="LCH555" s="500"/>
      <c r="LCI555" s="500"/>
      <c r="LCJ555" s="500"/>
      <c r="LCK555" s="500"/>
      <c r="LCL555" s="500"/>
      <c r="LCM555" s="500"/>
      <c r="LCN555" s="500"/>
      <c r="LCO555" s="500"/>
      <c r="LCP555" s="500"/>
      <c r="LCQ555" s="500"/>
      <c r="LCR555" s="500"/>
      <c r="LCS555" s="500"/>
      <c r="LCT555" s="500"/>
      <c r="LCU555" s="500"/>
      <c r="LCV555" s="500"/>
      <c r="LCW555" s="500"/>
      <c r="LCX555" s="500"/>
      <c r="LCY555" s="500"/>
      <c r="LCZ555" s="500"/>
      <c r="LDA555" s="500"/>
      <c r="LDB555" s="500"/>
      <c r="LDC555" s="500"/>
      <c r="LDD555" s="500"/>
      <c r="LDE555" s="500"/>
      <c r="LDF555" s="500"/>
      <c r="LDG555" s="500"/>
      <c r="LDH555" s="500"/>
      <c r="LDI555" s="500"/>
      <c r="LDJ555" s="500"/>
      <c r="LDK555" s="500"/>
      <c r="LDL555" s="500"/>
      <c r="LDM555" s="500"/>
      <c r="LDN555" s="500"/>
      <c r="LDO555" s="500"/>
      <c r="LDP555" s="500"/>
      <c r="LDQ555" s="500"/>
      <c r="LDR555" s="500"/>
      <c r="LDS555" s="500"/>
      <c r="LDT555" s="500"/>
      <c r="LDU555" s="500"/>
      <c r="LDV555" s="500"/>
      <c r="LDW555" s="500"/>
      <c r="LDX555" s="500"/>
      <c r="LDY555" s="500"/>
      <c r="LDZ555" s="500"/>
      <c r="LEA555" s="500"/>
      <c r="LEB555" s="500"/>
      <c r="LEC555" s="500"/>
      <c r="LED555" s="500"/>
      <c r="LEE555" s="500"/>
      <c r="LEF555" s="500"/>
      <c r="LEG555" s="500"/>
      <c r="LEH555" s="500"/>
      <c r="LEI555" s="500"/>
      <c r="LEJ555" s="500"/>
      <c r="LEK555" s="500"/>
      <c r="LEL555" s="500"/>
      <c r="LEM555" s="500"/>
      <c r="LEN555" s="500"/>
      <c r="LEO555" s="500"/>
      <c r="LEP555" s="500"/>
      <c r="LEQ555" s="500"/>
      <c r="LER555" s="500"/>
      <c r="LES555" s="500"/>
      <c r="LET555" s="500"/>
      <c r="LEU555" s="500"/>
      <c r="LEV555" s="500"/>
      <c r="LEW555" s="500"/>
      <c r="LEX555" s="500"/>
      <c r="LEY555" s="500"/>
      <c r="LEZ555" s="500"/>
      <c r="LFA555" s="500"/>
      <c r="LFB555" s="500"/>
      <c r="LFC555" s="500"/>
      <c r="LFD555" s="500"/>
      <c r="LFE555" s="500"/>
      <c r="LFF555" s="500"/>
      <c r="LFG555" s="500"/>
      <c r="LFH555" s="500"/>
      <c r="LFI555" s="500"/>
      <c r="LFJ555" s="500"/>
      <c r="LFK555" s="500"/>
      <c r="LFL555" s="500"/>
      <c r="LFM555" s="500"/>
      <c r="LFN555" s="500"/>
      <c r="LFO555" s="500"/>
      <c r="LFP555" s="500"/>
      <c r="LFQ555" s="500"/>
      <c r="LFR555" s="500"/>
      <c r="LFS555" s="500"/>
      <c r="LFT555" s="500"/>
      <c r="LFU555" s="500"/>
      <c r="LFV555" s="500"/>
      <c r="LFW555" s="500"/>
      <c r="LFX555" s="500"/>
      <c r="LFY555" s="500"/>
      <c r="LFZ555" s="500"/>
      <c r="LGA555" s="500"/>
      <c r="LGB555" s="500"/>
      <c r="LGC555" s="500"/>
      <c r="LGD555" s="500"/>
      <c r="LGE555" s="500"/>
      <c r="LGF555" s="500"/>
      <c r="LGG555" s="500"/>
      <c r="LGH555" s="500"/>
      <c r="LGI555" s="500"/>
      <c r="LGJ555" s="500"/>
      <c r="LGK555" s="500"/>
      <c r="LGL555" s="500"/>
      <c r="LGM555" s="500"/>
      <c r="LGN555" s="500"/>
      <c r="LGO555" s="500"/>
      <c r="LGP555" s="500"/>
      <c r="LGQ555" s="500"/>
      <c r="LGR555" s="500"/>
      <c r="LGS555" s="500"/>
      <c r="LGT555" s="500"/>
      <c r="LGU555" s="500"/>
      <c r="LGV555" s="500"/>
      <c r="LGW555" s="500"/>
      <c r="LGX555" s="500"/>
      <c r="LGY555" s="500"/>
      <c r="LGZ555" s="500"/>
      <c r="LHA555" s="500"/>
      <c r="LHB555" s="500"/>
      <c r="LHC555" s="500"/>
      <c r="LHD555" s="500"/>
      <c r="LHE555" s="500"/>
      <c r="LHF555" s="500"/>
      <c r="LHG555" s="500"/>
      <c r="LHH555" s="500"/>
      <c r="LHI555" s="500"/>
      <c r="LHJ555" s="500"/>
      <c r="LHK555" s="500"/>
      <c r="LHL555" s="500"/>
      <c r="LHM555" s="500"/>
      <c r="LHN555" s="500"/>
      <c r="LHO555" s="500"/>
      <c r="LHP555" s="500"/>
      <c r="LHQ555" s="500"/>
      <c r="LHR555" s="500"/>
      <c r="LHS555" s="500"/>
      <c r="LHT555" s="500"/>
      <c r="LHU555" s="500"/>
      <c r="LHV555" s="500"/>
      <c r="LHW555" s="500"/>
      <c r="LHX555" s="500"/>
      <c r="LHY555" s="500"/>
      <c r="LHZ555" s="500"/>
      <c r="LIA555" s="500"/>
      <c r="LIB555" s="500"/>
      <c r="LIC555" s="500"/>
      <c r="LID555" s="500"/>
      <c r="LIE555" s="500"/>
      <c r="LIF555" s="500"/>
      <c r="LIG555" s="500"/>
      <c r="LIH555" s="500"/>
      <c r="LII555" s="500"/>
      <c r="LIJ555" s="500"/>
      <c r="LIK555" s="500"/>
      <c r="LIL555" s="500"/>
      <c r="LIM555" s="500"/>
      <c r="LIN555" s="500"/>
      <c r="LIO555" s="500"/>
      <c r="LIP555" s="500"/>
      <c r="LIQ555" s="500"/>
      <c r="LIR555" s="500"/>
      <c r="LIS555" s="500"/>
      <c r="LIT555" s="500"/>
      <c r="LIU555" s="500"/>
      <c r="LIV555" s="500"/>
      <c r="LIW555" s="500"/>
      <c r="LIX555" s="500"/>
      <c r="LIY555" s="500"/>
      <c r="LIZ555" s="500"/>
      <c r="LJA555" s="500"/>
      <c r="LJB555" s="500"/>
      <c r="LJC555" s="500"/>
      <c r="LJD555" s="500"/>
      <c r="LJE555" s="500"/>
      <c r="LJF555" s="500"/>
      <c r="LJG555" s="500"/>
      <c r="LJH555" s="500"/>
      <c r="LJI555" s="500"/>
      <c r="LJJ555" s="500"/>
      <c r="LJK555" s="500"/>
      <c r="LJL555" s="500"/>
      <c r="LJM555" s="500"/>
      <c r="LJN555" s="500"/>
      <c r="LJO555" s="500"/>
      <c r="LJP555" s="500"/>
      <c r="LJQ555" s="500"/>
      <c r="LJR555" s="500"/>
      <c r="LJS555" s="500"/>
      <c r="LJT555" s="500"/>
      <c r="LJU555" s="500"/>
      <c r="LJV555" s="500"/>
      <c r="LJW555" s="500"/>
      <c r="LJX555" s="500"/>
      <c r="LJY555" s="500"/>
      <c r="LJZ555" s="500"/>
      <c r="LKA555" s="500"/>
      <c r="LKB555" s="500"/>
      <c r="LKC555" s="500"/>
      <c r="LKD555" s="500"/>
      <c r="LKE555" s="500"/>
      <c r="LKF555" s="500"/>
      <c r="LKG555" s="500"/>
      <c r="LKH555" s="500"/>
      <c r="LKI555" s="500"/>
      <c r="LKJ555" s="500"/>
      <c r="LKK555" s="500"/>
      <c r="LKL555" s="500"/>
      <c r="LKM555" s="500"/>
      <c r="LKN555" s="500"/>
      <c r="LKO555" s="500"/>
      <c r="LKP555" s="500"/>
      <c r="LKQ555" s="500"/>
      <c r="LKR555" s="500"/>
      <c r="LKS555" s="500"/>
      <c r="LKT555" s="500"/>
      <c r="LKU555" s="500"/>
      <c r="LKV555" s="500"/>
      <c r="LKW555" s="500"/>
      <c r="LKX555" s="500"/>
      <c r="LKY555" s="500"/>
      <c r="LKZ555" s="500"/>
      <c r="LLA555" s="500"/>
      <c r="LLB555" s="500"/>
      <c r="LLC555" s="500"/>
      <c r="LLD555" s="500"/>
      <c r="LLE555" s="500"/>
      <c r="LLF555" s="500"/>
      <c r="LLG555" s="500"/>
      <c r="LLH555" s="500"/>
      <c r="LLI555" s="500"/>
      <c r="LLJ555" s="500"/>
      <c r="LLK555" s="500"/>
      <c r="LLL555" s="500"/>
      <c r="LLM555" s="500"/>
      <c r="LLN555" s="500"/>
      <c r="LLO555" s="500"/>
      <c r="LLP555" s="500"/>
      <c r="LLQ555" s="500"/>
      <c r="LLR555" s="500"/>
      <c r="LLS555" s="500"/>
      <c r="LLT555" s="500"/>
      <c r="LLU555" s="500"/>
      <c r="LLV555" s="500"/>
      <c r="LLW555" s="500"/>
      <c r="LLX555" s="500"/>
      <c r="LLY555" s="500"/>
      <c r="LLZ555" s="500"/>
      <c r="LMA555" s="500"/>
      <c r="LMB555" s="500"/>
      <c r="LMC555" s="500"/>
      <c r="LMD555" s="500"/>
      <c r="LME555" s="500"/>
      <c r="LMF555" s="500"/>
      <c r="LMG555" s="500"/>
      <c r="LMH555" s="500"/>
      <c r="LMI555" s="500"/>
      <c r="LMJ555" s="500"/>
      <c r="LMK555" s="500"/>
      <c r="LML555" s="500"/>
      <c r="LMM555" s="500"/>
      <c r="LMN555" s="500"/>
      <c r="LMO555" s="500"/>
      <c r="LMP555" s="500"/>
      <c r="LMQ555" s="500"/>
      <c r="LMR555" s="500"/>
      <c r="LMS555" s="500"/>
      <c r="LMT555" s="500"/>
      <c r="LMU555" s="500"/>
      <c r="LMV555" s="500"/>
      <c r="LMW555" s="500"/>
      <c r="LMX555" s="500"/>
      <c r="LMY555" s="500"/>
      <c r="LMZ555" s="500"/>
      <c r="LNA555" s="500"/>
      <c r="LNB555" s="500"/>
      <c r="LNC555" s="500"/>
      <c r="LND555" s="500"/>
      <c r="LNE555" s="500"/>
      <c r="LNF555" s="500"/>
      <c r="LNG555" s="500"/>
      <c r="LNH555" s="500"/>
      <c r="LNI555" s="500"/>
      <c r="LNJ555" s="500"/>
      <c r="LNK555" s="500"/>
      <c r="LNL555" s="500"/>
      <c r="LNM555" s="500"/>
      <c r="LNN555" s="500"/>
      <c r="LNO555" s="500"/>
      <c r="LNP555" s="500"/>
      <c r="LNQ555" s="500"/>
      <c r="LNR555" s="500"/>
      <c r="LNS555" s="500"/>
      <c r="LNT555" s="500"/>
      <c r="LNU555" s="500"/>
      <c r="LNV555" s="500"/>
      <c r="LNW555" s="500"/>
      <c r="LNX555" s="500"/>
      <c r="LNY555" s="500"/>
      <c r="LNZ555" s="500"/>
      <c r="LOA555" s="500"/>
      <c r="LOB555" s="500"/>
      <c r="LOC555" s="500"/>
      <c r="LOD555" s="500"/>
      <c r="LOE555" s="500"/>
      <c r="LOF555" s="500"/>
      <c r="LOG555" s="500"/>
      <c r="LOH555" s="500"/>
      <c r="LOI555" s="500"/>
      <c r="LOJ555" s="500"/>
      <c r="LOK555" s="500"/>
      <c r="LOL555" s="500"/>
      <c r="LOM555" s="500"/>
      <c r="LON555" s="500"/>
      <c r="LOO555" s="500"/>
      <c r="LOP555" s="500"/>
      <c r="LOQ555" s="500"/>
      <c r="LOR555" s="500"/>
      <c r="LOS555" s="500"/>
      <c r="LOT555" s="500"/>
      <c r="LOU555" s="500"/>
      <c r="LOV555" s="500"/>
      <c r="LOW555" s="500"/>
      <c r="LOX555" s="500"/>
      <c r="LOY555" s="500"/>
      <c r="LOZ555" s="500"/>
      <c r="LPA555" s="500"/>
      <c r="LPB555" s="500"/>
      <c r="LPC555" s="500"/>
      <c r="LPD555" s="500"/>
      <c r="LPE555" s="500"/>
      <c r="LPF555" s="500"/>
      <c r="LPG555" s="500"/>
      <c r="LPH555" s="500"/>
      <c r="LPI555" s="500"/>
      <c r="LPJ555" s="500"/>
      <c r="LPK555" s="500"/>
      <c r="LPL555" s="500"/>
      <c r="LPM555" s="500"/>
      <c r="LPN555" s="500"/>
      <c r="LPO555" s="500"/>
      <c r="LPP555" s="500"/>
      <c r="LPQ555" s="500"/>
      <c r="LPR555" s="500"/>
      <c r="LPS555" s="500"/>
      <c r="LPT555" s="500"/>
      <c r="LPU555" s="500"/>
      <c r="LPV555" s="500"/>
      <c r="LPW555" s="500"/>
      <c r="LPX555" s="500"/>
      <c r="LPY555" s="500"/>
      <c r="LPZ555" s="500"/>
      <c r="LQA555" s="500"/>
      <c r="LQB555" s="500"/>
      <c r="LQC555" s="500"/>
      <c r="LQD555" s="500"/>
      <c r="LQE555" s="500"/>
      <c r="LQF555" s="500"/>
      <c r="LQG555" s="500"/>
      <c r="LQH555" s="500"/>
      <c r="LQI555" s="500"/>
      <c r="LQJ555" s="500"/>
      <c r="LQK555" s="500"/>
      <c r="LQL555" s="500"/>
      <c r="LQM555" s="500"/>
      <c r="LQN555" s="500"/>
      <c r="LQO555" s="500"/>
      <c r="LQP555" s="500"/>
      <c r="LQQ555" s="500"/>
      <c r="LQR555" s="500"/>
      <c r="LQS555" s="500"/>
      <c r="LQT555" s="500"/>
      <c r="LQU555" s="500"/>
      <c r="LQV555" s="500"/>
      <c r="LQW555" s="500"/>
      <c r="LQX555" s="500"/>
      <c r="LQY555" s="500"/>
      <c r="LQZ555" s="500"/>
      <c r="LRA555" s="500"/>
      <c r="LRB555" s="500"/>
      <c r="LRC555" s="500"/>
      <c r="LRD555" s="500"/>
      <c r="LRE555" s="500"/>
      <c r="LRF555" s="500"/>
      <c r="LRG555" s="500"/>
      <c r="LRH555" s="500"/>
      <c r="LRI555" s="500"/>
      <c r="LRJ555" s="500"/>
      <c r="LRK555" s="500"/>
      <c r="LRL555" s="500"/>
      <c r="LRM555" s="500"/>
      <c r="LRN555" s="500"/>
      <c r="LRO555" s="500"/>
      <c r="LRP555" s="500"/>
      <c r="LRQ555" s="500"/>
      <c r="LRR555" s="500"/>
      <c r="LRS555" s="500"/>
      <c r="LRT555" s="500"/>
      <c r="LRU555" s="500"/>
      <c r="LRV555" s="500"/>
      <c r="LRW555" s="500"/>
      <c r="LRX555" s="500"/>
      <c r="LRY555" s="500"/>
      <c r="LRZ555" s="500"/>
      <c r="LSA555" s="500"/>
      <c r="LSB555" s="500"/>
      <c r="LSC555" s="500"/>
      <c r="LSD555" s="500"/>
      <c r="LSE555" s="500"/>
      <c r="LSF555" s="500"/>
      <c r="LSG555" s="500"/>
      <c r="LSH555" s="500"/>
      <c r="LSI555" s="500"/>
      <c r="LSJ555" s="500"/>
      <c r="LSK555" s="500"/>
      <c r="LSL555" s="500"/>
      <c r="LSM555" s="500"/>
      <c r="LSN555" s="500"/>
      <c r="LSO555" s="500"/>
      <c r="LSP555" s="500"/>
      <c r="LSQ555" s="500"/>
      <c r="LSR555" s="500"/>
      <c r="LSS555" s="500"/>
      <c r="LST555" s="500"/>
      <c r="LSU555" s="500"/>
      <c r="LSV555" s="500"/>
      <c r="LSW555" s="500"/>
      <c r="LSX555" s="500"/>
      <c r="LSY555" s="500"/>
      <c r="LSZ555" s="500"/>
      <c r="LTA555" s="500"/>
      <c r="LTB555" s="500"/>
      <c r="LTC555" s="500"/>
      <c r="LTD555" s="500"/>
      <c r="LTE555" s="500"/>
      <c r="LTF555" s="500"/>
      <c r="LTG555" s="500"/>
      <c r="LTH555" s="500"/>
      <c r="LTI555" s="500"/>
      <c r="LTJ555" s="500"/>
      <c r="LTK555" s="500"/>
      <c r="LTL555" s="500"/>
      <c r="LTM555" s="500"/>
      <c r="LTN555" s="500"/>
      <c r="LTO555" s="500"/>
      <c r="LTP555" s="500"/>
      <c r="LTQ555" s="500"/>
      <c r="LTR555" s="500"/>
      <c r="LTS555" s="500"/>
      <c r="LTT555" s="500"/>
      <c r="LTU555" s="500"/>
      <c r="LTV555" s="500"/>
      <c r="LTW555" s="500"/>
      <c r="LTX555" s="500"/>
      <c r="LTY555" s="500"/>
      <c r="LTZ555" s="500"/>
      <c r="LUA555" s="500"/>
      <c r="LUB555" s="500"/>
      <c r="LUC555" s="500"/>
      <c r="LUD555" s="500"/>
      <c r="LUE555" s="500"/>
      <c r="LUF555" s="500"/>
      <c r="LUG555" s="500"/>
      <c r="LUH555" s="500"/>
      <c r="LUI555" s="500"/>
      <c r="LUJ555" s="500"/>
      <c r="LUK555" s="500"/>
      <c r="LUL555" s="500"/>
      <c r="LUM555" s="500"/>
      <c r="LUN555" s="500"/>
      <c r="LUO555" s="500"/>
      <c r="LUP555" s="500"/>
      <c r="LUQ555" s="500"/>
      <c r="LUR555" s="500"/>
      <c r="LUS555" s="500"/>
      <c r="LUT555" s="500"/>
      <c r="LUU555" s="500"/>
      <c r="LUV555" s="500"/>
      <c r="LUW555" s="500"/>
      <c r="LUX555" s="500"/>
      <c r="LUY555" s="500"/>
      <c r="LUZ555" s="500"/>
      <c r="LVA555" s="500"/>
      <c r="LVB555" s="500"/>
      <c r="LVC555" s="500"/>
      <c r="LVD555" s="500"/>
      <c r="LVE555" s="500"/>
      <c r="LVF555" s="500"/>
      <c r="LVG555" s="500"/>
      <c r="LVH555" s="500"/>
      <c r="LVI555" s="500"/>
      <c r="LVJ555" s="500"/>
      <c r="LVK555" s="500"/>
      <c r="LVL555" s="500"/>
      <c r="LVM555" s="500"/>
      <c r="LVN555" s="500"/>
      <c r="LVO555" s="500"/>
      <c r="LVP555" s="500"/>
      <c r="LVQ555" s="500"/>
      <c r="LVR555" s="500"/>
      <c r="LVS555" s="500"/>
      <c r="LVT555" s="500"/>
      <c r="LVU555" s="500"/>
      <c r="LVV555" s="500"/>
      <c r="LVW555" s="500"/>
      <c r="LVX555" s="500"/>
      <c r="LVY555" s="500"/>
      <c r="LVZ555" s="500"/>
      <c r="LWA555" s="500"/>
      <c r="LWB555" s="500"/>
      <c r="LWC555" s="500"/>
      <c r="LWD555" s="500"/>
      <c r="LWE555" s="500"/>
      <c r="LWF555" s="500"/>
      <c r="LWG555" s="500"/>
      <c r="LWH555" s="500"/>
      <c r="LWI555" s="500"/>
      <c r="LWJ555" s="500"/>
      <c r="LWK555" s="500"/>
      <c r="LWL555" s="500"/>
      <c r="LWM555" s="500"/>
      <c r="LWN555" s="500"/>
      <c r="LWO555" s="500"/>
      <c r="LWP555" s="500"/>
      <c r="LWQ555" s="500"/>
      <c r="LWR555" s="500"/>
      <c r="LWS555" s="500"/>
      <c r="LWT555" s="500"/>
      <c r="LWU555" s="500"/>
      <c r="LWV555" s="500"/>
      <c r="LWW555" s="500"/>
      <c r="LWX555" s="500"/>
      <c r="LWY555" s="500"/>
      <c r="LWZ555" s="500"/>
      <c r="LXA555" s="500"/>
      <c r="LXB555" s="500"/>
      <c r="LXC555" s="500"/>
      <c r="LXD555" s="500"/>
      <c r="LXE555" s="500"/>
      <c r="LXF555" s="500"/>
      <c r="LXG555" s="500"/>
      <c r="LXH555" s="500"/>
      <c r="LXI555" s="500"/>
      <c r="LXJ555" s="500"/>
      <c r="LXK555" s="500"/>
      <c r="LXL555" s="500"/>
      <c r="LXM555" s="500"/>
      <c r="LXN555" s="500"/>
      <c r="LXO555" s="500"/>
      <c r="LXP555" s="500"/>
      <c r="LXQ555" s="500"/>
      <c r="LXR555" s="500"/>
      <c r="LXS555" s="500"/>
      <c r="LXT555" s="500"/>
      <c r="LXU555" s="500"/>
      <c r="LXV555" s="500"/>
      <c r="LXW555" s="500"/>
      <c r="LXX555" s="500"/>
      <c r="LXY555" s="500"/>
      <c r="LXZ555" s="500"/>
      <c r="LYA555" s="500"/>
      <c r="LYB555" s="500"/>
      <c r="LYC555" s="500"/>
      <c r="LYD555" s="500"/>
      <c r="LYE555" s="500"/>
      <c r="LYF555" s="500"/>
      <c r="LYG555" s="500"/>
      <c r="LYH555" s="500"/>
      <c r="LYI555" s="500"/>
      <c r="LYJ555" s="500"/>
      <c r="LYK555" s="500"/>
      <c r="LYL555" s="500"/>
      <c r="LYM555" s="500"/>
      <c r="LYN555" s="500"/>
      <c r="LYO555" s="500"/>
      <c r="LYP555" s="500"/>
      <c r="LYQ555" s="500"/>
      <c r="LYR555" s="500"/>
      <c r="LYS555" s="500"/>
      <c r="LYT555" s="500"/>
      <c r="LYU555" s="500"/>
      <c r="LYV555" s="500"/>
      <c r="LYW555" s="500"/>
      <c r="LYX555" s="500"/>
      <c r="LYY555" s="500"/>
      <c r="LYZ555" s="500"/>
      <c r="LZA555" s="500"/>
      <c r="LZB555" s="500"/>
      <c r="LZC555" s="500"/>
      <c r="LZD555" s="500"/>
      <c r="LZE555" s="500"/>
      <c r="LZF555" s="500"/>
      <c r="LZG555" s="500"/>
      <c r="LZH555" s="500"/>
      <c r="LZI555" s="500"/>
      <c r="LZJ555" s="500"/>
      <c r="LZK555" s="500"/>
      <c r="LZL555" s="500"/>
      <c r="LZM555" s="500"/>
      <c r="LZN555" s="500"/>
      <c r="LZO555" s="500"/>
      <c r="LZP555" s="500"/>
      <c r="LZQ555" s="500"/>
      <c r="LZR555" s="500"/>
      <c r="LZS555" s="500"/>
      <c r="LZT555" s="500"/>
      <c r="LZU555" s="500"/>
      <c r="LZV555" s="500"/>
      <c r="LZW555" s="500"/>
      <c r="LZX555" s="500"/>
      <c r="LZY555" s="500"/>
      <c r="LZZ555" s="500"/>
      <c r="MAA555" s="500"/>
      <c r="MAB555" s="500"/>
      <c r="MAC555" s="500"/>
      <c r="MAD555" s="500"/>
      <c r="MAE555" s="500"/>
      <c r="MAF555" s="500"/>
      <c r="MAG555" s="500"/>
      <c r="MAH555" s="500"/>
      <c r="MAI555" s="500"/>
      <c r="MAJ555" s="500"/>
      <c r="MAK555" s="500"/>
      <c r="MAL555" s="500"/>
      <c r="MAM555" s="500"/>
      <c r="MAN555" s="500"/>
      <c r="MAO555" s="500"/>
      <c r="MAP555" s="500"/>
      <c r="MAQ555" s="500"/>
      <c r="MAR555" s="500"/>
      <c r="MAS555" s="500"/>
      <c r="MAT555" s="500"/>
      <c r="MAU555" s="500"/>
      <c r="MAV555" s="500"/>
      <c r="MAW555" s="500"/>
      <c r="MAX555" s="500"/>
      <c r="MAY555" s="500"/>
      <c r="MAZ555" s="500"/>
      <c r="MBA555" s="500"/>
      <c r="MBB555" s="500"/>
      <c r="MBC555" s="500"/>
      <c r="MBD555" s="500"/>
      <c r="MBE555" s="500"/>
      <c r="MBF555" s="500"/>
      <c r="MBG555" s="500"/>
      <c r="MBH555" s="500"/>
      <c r="MBI555" s="500"/>
      <c r="MBJ555" s="500"/>
      <c r="MBK555" s="500"/>
      <c r="MBL555" s="500"/>
      <c r="MBM555" s="500"/>
      <c r="MBN555" s="500"/>
      <c r="MBO555" s="500"/>
      <c r="MBP555" s="500"/>
      <c r="MBQ555" s="500"/>
      <c r="MBR555" s="500"/>
      <c r="MBS555" s="500"/>
      <c r="MBT555" s="500"/>
      <c r="MBU555" s="500"/>
      <c r="MBV555" s="500"/>
      <c r="MBW555" s="500"/>
      <c r="MBX555" s="500"/>
      <c r="MBY555" s="500"/>
      <c r="MBZ555" s="500"/>
      <c r="MCA555" s="500"/>
      <c r="MCB555" s="500"/>
      <c r="MCC555" s="500"/>
      <c r="MCD555" s="500"/>
      <c r="MCE555" s="500"/>
      <c r="MCF555" s="500"/>
      <c r="MCG555" s="500"/>
      <c r="MCH555" s="500"/>
      <c r="MCI555" s="500"/>
      <c r="MCJ555" s="500"/>
      <c r="MCK555" s="500"/>
      <c r="MCL555" s="500"/>
      <c r="MCM555" s="500"/>
      <c r="MCN555" s="500"/>
      <c r="MCO555" s="500"/>
      <c r="MCP555" s="500"/>
      <c r="MCQ555" s="500"/>
      <c r="MCR555" s="500"/>
      <c r="MCS555" s="500"/>
      <c r="MCT555" s="500"/>
      <c r="MCU555" s="500"/>
      <c r="MCV555" s="500"/>
      <c r="MCW555" s="500"/>
      <c r="MCX555" s="500"/>
      <c r="MCY555" s="500"/>
      <c r="MCZ555" s="500"/>
      <c r="MDA555" s="500"/>
      <c r="MDB555" s="500"/>
      <c r="MDC555" s="500"/>
      <c r="MDD555" s="500"/>
      <c r="MDE555" s="500"/>
      <c r="MDF555" s="500"/>
      <c r="MDG555" s="500"/>
      <c r="MDH555" s="500"/>
      <c r="MDI555" s="500"/>
      <c r="MDJ555" s="500"/>
      <c r="MDK555" s="500"/>
      <c r="MDL555" s="500"/>
      <c r="MDM555" s="500"/>
      <c r="MDN555" s="500"/>
      <c r="MDO555" s="500"/>
      <c r="MDP555" s="500"/>
      <c r="MDQ555" s="500"/>
      <c r="MDR555" s="500"/>
      <c r="MDS555" s="500"/>
      <c r="MDT555" s="500"/>
      <c r="MDU555" s="500"/>
      <c r="MDV555" s="500"/>
      <c r="MDW555" s="500"/>
      <c r="MDX555" s="500"/>
      <c r="MDY555" s="500"/>
      <c r="MDZ555" s="500"/>
      <c r="MEA555" s="500"/>
      <c r="MEB555" s="500"/>
      <c r="MEC555" s="500"/>
      <c r="MED555" s="500"/>
      <c r="MEE555" s="500"/>
      <c r="MEF555" s="500"/>
      <c r="MEG555" s="500"/>
      <c r="MEH555" s="500"/>
      <c r="MEI555" s="500"/>
      <c r="MEJ555" s="500"/>
      <c r="MEK555" s="500"/>
      <c r="MEL555" s="500"/>
      <c r="MEM555" s="500"/>
      <c r="MEN555" s="500"/>
      <c r="MEO555" s="500"/>
      <c r="MEP555" s="500"/>
      <c r="MEQ555" s="500"/>
      <c r="MER555" s="500"/>
      <c r="MES555" s="500"/>
      <c r="MET555" s="500"/>
      <c r="MEU555" s="500"/>
      <c r="MEV555" s="500"/>
      <c r="MEW555" s="500"/>
      <c r="MEX555" s="500"/>
      <c r="MEY555" s="500"/>
      <c r="MEZ555" s="500"/>
      <c r="MFA555" s="500"/>
      <c r="MFB555" s="500"/>
      <c r="MFC555" s="500"/>
      <c r="MFD555" s="500"/>
      <c r="MFE555" s="500"/>
      <c r="MFF555" s="500"/>
      <c r="MFG555" s="500"/>
      <c r="MFH555" s="500"/>
      <c r="MFI555" s="500"/>
      <c r="MFJ555" s="500"/>
      <c r="MFK555" s="500"/>
      <c r="MFL555" s="500"/>
      <c r="MFM555" s="500"/>
      <c r="MFN555" s="500"/>
      <c r="MFO555" s="500"/>
      <c r="MFP555" s="500"/>
      <c r="MFQ555" s="500"/>
      <c r="MFR555" s="500"/>
      <c r="MFS555" s="500"/>
      <c r="MFT555" s="500"/>
      <c r="MFU555" s="500"/>
      <c r="MFV555" s="500"/>
      <c r="MFW555" s="500"/>
      <c r="MFX555" s="500"/>
      <c r="MFY555" s="500"/>
      <c r="MFZ555" s="500"/>
      <c r="MGA555" s="500"/>
      <c r="MGB555" s="500"/>
      <c r="MGC555" s="500"/>
      <c r="MGD555" s="500"/>
      <c r="MGE555" s="500"/>
      <c r="MGF555" s="500"/>
      <c r="MGG555" s="500"/>
      <c r="MGH555" s="500"/>
      <c r="MGI555" s="500"/>
      <c r="MGJ555" s="500"/>
      <c r="MGK555" s="500"/>
      <c r="MGL555" s="500"/>
      <c r="MGM555" s="500"/>
      <c r="MGN555" s="500"/>
      <c r="MGO555" s="500"/>
      <c r="MGP555" s="500"/>
      <c r="MGQ555" s="500"/>
      <c r="MGR555" s="500"/>
      <c r="MGS555" s="500"/>
      <c r="MGT555" s="500"/>
      <c r="MGU555" s="500"/>
      <c r="MGV555" s="500"/>
      <c r="MGW555" s="500"/>
      <c r="MGX555" s="500"/>
      <c r="MGY555" s="500"/>
      <c r="MGZ555" s="500"/>
      <c r="MHA555" s="500"/>
      <c r="MHB555" s="500"/>
      <c r="MHC555" s="500"/>
      <c r="MHD555" s="500"/>
      <c r="MHE555" s="500"/>
      <c r="MHF555" s="500"/>
      <c r="MHG555" s="500"/>
      <c r="MHH555" s="500"/>
      <c r="MHI555" s="500"/>
      <c r="MHJ555" s="500"/>
      <c r="MHK555" s="500"/>
      <c r="MHL555" s="500"/>
      <c r="MHM555" s="500"/>
      <c r="MHN555" s="500"/>
      <c r="MHO555" s="500"/>
      <c r="MHP555" s="500"/>
      <c r="MHQ555" s="500"/>
      <c r="MHR555" s="500"/>
      <c r="MHS555" s="500"/>
      <c r="MHT555" s="500"/>
      <c r="MHU555" s="500"/>
      <c r="MHV555" s="500"/>
      <c r="MHW555" s="500"/>
      <c r="MHX555" s="500"/>
      <c r="MHY555" s="500"/>
      <c r="MHZ555" s="500"/>
      <c r="MIA555" s="500"/>
      <c r="MIB555" s="500"/>
      <c r="MIC555" s="500"/>
      <c r="MID555" s="500"/>
      <c r="MIE555" s="500"/>
      <c r="MIF555" s="500"/>
      <c r="MIG555" s="500"/>
      <c r="MIH555" s="500"/>
      <c r="MII555" s="500"/>
      <c r="MIJ555" s="500"/>
      <c r="MIK555" s="500"/>
      <c r="MIL555" s="500"/>
      <c r="MIM555" s="500"/>
      <c r="MIN555" s="500"/>
      <c r="MIO555" s="500"/>
      <c r="MIP555" s="500"/>
      <c r="MIQ555" s="500"/>
      <c r="MIR555" s="500"/>
      <c r="MIS555" s="500"/>
      <c r="MIT555" s="500"/>
      <c r="MIU555" s="500"/>
      <c r="MIV555" s="500"/>
      <c r="MIW555" s="500"/>
      <c r="MIX555" s="500"/>
      <c r="MIY555" s="500"/>
      <c r="MIZ555" s="500"/>
      <c r="MJA555" s="500"/>
      <c r="MJB555" s="500"/>
      <c r="MJC555" s="500"/>
      <c r="MJD555" s="500"/>
      <c r="MJE555" s="500"/>
      <c r="MJF555" s="500"/>
      <c r="MJG555" s="500"/>
      <c r="MJH555" s="500"/>
      <c r="MJI555" s="500"/>
      <c r="MJJ555" s="500"/>
      <c r="MJK555" s="500"/>
      <c r="MJL555" s="500"/>
      <c r="MJM555" s="500"/>
      <c r="MJN555" s="500"/>
      <c r="MJO555" s="500"/>
      <c r="MJP555" s="500"/>
      <c r="MJQ555" s="500"/>
      <c r="MJR555" s="500"/>
      <c r="MJS555" s="500"/>
      <c r="MJT555" s="500"/>
      <c r="MJU555" s="500"/>
      <c r="MJV555" s="500"/>
      <c r="MJW555" s="500"/>
      <c r="MJX555" s="500"/>
      <c r="MJY555" s="500"/>
      <c r="MJZ555" s="500"/>
      <c r="MKA555" s="500"/>
      <c r="MKB555" s="500"/>
      <c r="MKC555" s="500"/>
      <c r="MKD555" s="500"/>
      <c r="MKE555" s="500"/>
      <c r="MKF555" s="500"/>
      <c r="MKG555" s="500"/>
      <c r="MKH555" s="500"/>
      <c r="MKI555" s="500"/>
      <c r="MKJ555" s="500"/>
      <c r="MKK555" s="500"/>
      <c r="MKL555" s="500"/>
      <c r="MKM555" s="500"/>
      <c r="MKN555" s="500"/>
      <c r="MKO555" s="500"/>
      <c r="MKP555" s="500"/>
      <c r="MKQ555" s="500"/>
      <c r="MKR555" s="500"/>
      <c r="MKS555" s="500"/>
      <c r="MKT555" s="500"/>
      <c r="MKU555" s="500"/>
      <c r="MKV555" s="500"/>
      <c r="MKW555" s="500"/>
      <c r="MKX555" s="500"/>
      <c r="MKY555" s="500"/>
      <c r="MKZ555" s="500"/>
      <c r="MLA555" s="500"/>
      <c r="MLB555" s="500"/>
      <c r="MLC555" s="500"/>
      <c r="MLD555" s="500"/>
      <c r="MLE555" s="500"/>
      <c r="MLF555" s="500"/>
      <c r="MLG555" s="500"/>
      <c r="MLH555" s="500"/>
      <c r="MLI555" s="500"/>
      <c r="MLJ555" s="500"/>
      <c r="MLK555" s="500"/>
      <c r="MLL555" s="500"/>
      <c r="MLM555" s="500"/>
      <c r="MLN555" s="500"/>
      <c r="MLO555" s="500"/>
      <c r="MLP555" s="500"/>
      <c r="MLQ555" s="500"/>
      <c r="MLR555" s="500"/>
      <c r="MLS555" s="500"/>
      <c r="MLT555" s="500"/>
      <c r="MLU555" s="500"/>
      <c r="MLV555" s="500"/>
      <c r="MLW555" s="500"/>
      <c r="MLX555" s="500"/>
      <c r="MLY555" s="500"/>
      <c r="MLZ555" s="500"/>
      <c r="MMA555" s="500"/>
      <c r="MMB555" s="500"/>
      <c r="MMC555" s="500"/>
      <c r="MMD555" s="500"/>
      <c r="MME555" s="500"/>
      <c r="MMF555" s="500"/>
      <c r="MMG555" s="500"/>
      <c r="MMH555" s="500"/>
      <c r="MMI555" s="500"/>
      <c r="MMJ555" s="500"/>
      <c r="MMK555" s="500"/>
      <c r="MML555" s="500"/>
      <c r="MMM555" s="500"/>
      <c r="MMN555" s="500"/>
      <c r="MMO555" s="500"/>
      <c r="MMP555" s="500"/>
      <c r="MMQ555" s="500"/>
      <c r="MMR555" s="500"/>
      <c r="MMS555" s="500"/>
      <c r="MMT555" s="500"/>
      <c r="MMU555" s="500"/>
      <c r="MMV555" s="500"/>
      <c r="MMW555" s="500"/>
      <c r="MMX555" s="500"/>
      <c r="MMY555" s="500"/>
      <c r="MMZ555" s="500"/>
      <c r="MNA555" s="500"/>
      <c r="MNB555" s="500"/>
      <c r="MNC555" s="500"/>
      <c r="MND555" s="500"/>
      <c r="MNE555" s="500"/>
      <c r="MNF555" s="500"/>
      <c r="MNG555" s="500"/>
      <c r="MNH555" s="500"/>
      <c r="MNI555" s="500"/>
      <c r="MNJ555" s="500"/>
      <c r="MNK555" s="500"/>
      <c r="MNL555" s="500"/>
      <c r="MNM555" s="500"/>
      <c r="MNN555" s="500"/>
      <c r="MNO555" s="500"/>
      <c r="MNP555" s="500"/>
      <c r="MNQ555" s="500"/>
      <c r="MNR555" s="500"/>
      <c r="MNS555" s="500"/>
      <c r="MNT555" s="500"/>
      <c r="MNU555" s="500"/>
      <c r="MNV555" s="500"/>
      <c r="MNW555" s="500"/>
      <c r="MNX555" s="500"/>
      <c r="MNY555" s="500"/>
      <c r="MNZ555" s="500"/>
      <c r="MOA555" s="500"/>
      <c r="MOB555" s="500"/>
      <c r="MOC555" s="500"/>
      <c r="MOD555" s="500"/>
      <c r="MOE555" s="500"/>
      <c r="MOF555" s="500"/>
      <c r="MOG555" s="500"/>
      <c r="MOH555" s="500"/>
      <c r="MOI555" s="500"/>
      <c r="MOJ555" s="500"/>
      <c r="MOK555" s="500"/>
      <c r="MOL555" s="500"/>
      <c r="MOM555" s="500"/>
      <c r="MON555" s="500"/>
      <c r="MOO555" s="500"/>
      <c r="MOP555" s="500"/>
      <c r="MOQ555" s="500"/>
      <c r="MOR555" s="500"/>
      <c r="MOS555" s="500"/>
      <c r="MOT555" s="500"/>
      <c r="MOU555" s="500"/>
      <c r="MOV555" s="500"/>
      <c r="MOW555" s="500"/>
      <c r="MOX555" s="500"/>
      <c r="MOY555" s="500"/>
      <c r="MOZ555" s="500"/>
      <c r="MPA555" s="500"/>
      <c r="MPB555" s="500"/>
      <c r="MPC555" s="500"/>
      <c r="MPD555" s="500"/>
      <c r="MPE555" s="500"/>
      <c r="MPF555" s="500"/>
      <c r="MPG555" s="500"/>
      <c r="MPH555" s="500"/>
      <c r="MPI555" s="500"/>
      <c r="MPJ555" s="500"/>
      <c r="MPK555" s="500"/>
      <c r="MPL555" s="500"/>
      <c r="MPM555" s="500"/>
      <c r="MPN555" s="500"/>
      <c r="MPO555" s="500"/>
      <c r="MPP555" s="500"/>
      <c r="MPQ555" s="500"/>
      <c r="MPR555" s="500"/>
      <c r="MPS555" s="500"/>
      <c r="MPT555" s="500"/>
      <c r="MPU555" s="500"/>
      <c r="MPV555" s="500"/>
      <c r="MPW555" s="500"/>
      <c r="MPX555" s="500"/>
      <c r="MPY555" s="500"/>
      <c r="MPZ555" s="500"/>
      <c r="MQA555" s="500"/>
      <c r="MQB555" s="500"/>
      <c r="MQC555" s="500"/>
      <c r="MQD555" s="500"/>
      <c r="MQE555" s="500"/>
      <c r="MQF555" s="500"/>
      <c r="MQG555" s="500"/>
      <c r="MQH555" s="500"/>
      <c r="MQI555" s="500"/>
      <c r="MQJ555" s="500"/>
      <c r="MQK555" s="500"/>
      <c r="MQL555" s="500"/>
      <c r="MQM555" s="500"/>
      <c r="MQN555" s="500"/>
      <c r="MQO555" s="500"/>
      <c r="MQP555" s="500"/>
      <c r="MQQ555" s="500"/>
      <c r="MQR555" s="500"/>
      <c r="MQS555" s="500"/>
      <c r="MQT555" s="500"/>
      <c r="MQU555" s="500"/>
      <c r="MQV555" s="500"/>
      <c r="MQW555" s="500"/>
      <c r="MQX555" s="500"/>
      <c r="MQY555" s="500"/>
      <c r="MQZ555" s="500"/>
      <c r="MRA555" s="500"/>
      <c r="MRB555" s="500"/>
      <c r="MRC555" s="500"/>
      <c r="MRD555" s="500"/>
      <c r="MRE555" s="500"/>
      <c r="MRF555" s="500"/>
      <c r="MRG555" s="500"/>
      <c r="MRH555" s="500"/>
      <c r="MRI555" s="500"/>
      <c r="MRJ555" s="500"/>
      <c r="MRK555" s="500"/>
      <c r="MRL555" s="500"/>
      <c r="MRM555" s="500"/>
      <c r="MRN555" s="500"/>
      <c r="MRO555" s="500"/>
      <c r="MRP555" s="500"/>
      <c r="MRQ555" s="500"/>
      <c r="MRR555" s="500"/>
      <c r="MRS555" s="500"/>
      <c r="MRT555" s="500"/>
      <c r="MRU555" s="500"/>
      <c r="MRV555" s="500"/>
      <c r="MRW555" s="500"/>
      <c r="MRX555" s="500"/>
      <c r="MRY555" s="500"/>
      <c r="MRZ555" s="500"/>
      <c r="MSA555" s="500"/>
      <c r="MSB555" s="500"/>
      <c r="MSC555" s="500"/>
      <c r="MSD555" s="500"/>
      <c r="MSE555" s="500"/>
      <c r="MSF555" s="500"/>
      <c r="MSG555" s="500"/>
      <c r="MSH555" s="500"/>
      <c r="MSI555" s="500"/>
      <c r="MSJ555" s="500"/>
      <c r="MSK555" s="500"/>
      <c r="MSL555" s="500"/>
      <c r="MSM555" s="500"/>
      <c r="MSN555" s="500"/>
      <c r="MSO555" s="500"/>
      <c r="MSP555" s="500"/>
      <c r="MSQ555" s="500"/>
      <c r="MSR555" s="500"/>
      <c r="MSS555" s="500"/>
      <c r="MST555" s="500"/>
      <c r="MSU555" s="500"/>
      <c r="MSV555" s="500"/>
      <c r="MSW555" s="500"/>
      <c r="MSX555" s="500"/>
      <c r="MSY555" s="500"/>
      <c r="MSZ555" s="500"/>
      <c r="MTA555" s="500"/>
      <c r="MTB555" s="500"/>
      <c r="MTC555" s="500"/>
      <c r="MTD555" s="500"/>
      <c r="MTE555" s="500"/>
      <c r="MTF555" s="500"/>
      <c r="MTG555" s="500"/>
      <c r="MTH555" s="500"/>
      <c r="MTI555" s="500"/>
      <c r="MTJ555" s="500"/>
      <c r="MTK555" s="500"/>
      <c r="MTL555" s="500"/>
      <c r="MTM555" s="500"/>
      <c r="MTN555" s="500"/>
      <c r="MTO555" s="500"/>
      <c r="MTP555" s="500"/>
      <c r="MTQ555" s="500"/>
      <c r="MTR555" s="500"/>
      <c r="MTS555" s="500"/>
      <c r="MTT555" s="500"/>
      <c r="MTU555" s="500"/>
      <c r="MTV555" s="500"/>
      <c r="MTW555" s="500"/>
      <c r="MTX555" s="500"/>
      <c r="MTY555" s="500"/>
      <c r="MTZ555" s="500"/>
      <c r="MUA555" s="500"/>
      <c r="MUB555" s="500"/>
      <c r="MUC555" s="500"/>
      <c r="MUD555" s="500"/>
      <c r="MUE555" s="500"/>
      <c r="MUF555" s="500"/>
      <c r="MUG555" s="500"/>
      <c r="MUH555" s="500"/>
      <c r="MUI555" s="500"/>
      <c r="MUJ555" s="500"/>
      <c r="MUK555" s="500"/>
      <c r="MUL555" s="500"/>
      <c r="MUM555" s="500"/>
      <c r="MUN555" s="500"/>
      <c r="MUO555" s="500"/>
      <c r="MUP555" s="500"/>
      <c r="MUQ555" s="500"/>
      <c r="MUR555" s="500"/>
      <c r="MUS555" s="500"/>
      <c r="MUT555" s="500"/>
      <c r="MUU555" s="500"/>
      <c r="MUV555" s="500"/>
      <c r="MUW555" s="500"/>
      <c r="MUX555" s="500"/>
      <c r="MUY555" s="500"/>
      <c r="MUZ555" s="500"/>
      <c r="MVA555" s="500"/>
      <c r="MVB555" s="500"/>
      <c r="MVC555" s="500"/>
      <c r="MVD555" s="500"/>
      <c r="MVE555" s="500"/>
      <c r="MVF555" s="500"/>
      <c r="MVG555" s="500"/>
      <c r="MVH555" s="500"/>
      <c r="MVI555" s="500"/>
      <c r="MVJ555" s="500"/>
      <c r="MVK555" s="500"/>
      <c r="MVL555" s="500"/>
      <c r="MVM555" s="500"/>
      <c r="MVN555" s="500"/>
      <c r="MVO555" s="500"/>
      <c r="MVP555" s="500"/>
      <c r="MVQ555" s="500"/>
      <c r="MVR555" s="500"/>
      <c r="MVS555" s="500"/>
      <c r="MVT555" s="500"/>
      <c r="MVU555" s="500"/>
      <c r="MVV555" s="500"/>
      <c r="MVW555" s="500"/>
      <c r="MVX555" s="500"/>
      <c r="MVY555" s="500"/>
      <c r="MVZ555" s="500"/>
      <c r="MWA555" s="500"/>
      <c r="MWB555" s="500"/>
      <c r="MWC555" s="500"/>
      <c r="MWD555" s="500"/>
      <c r="MWE555" s="500"/>
      <c r="MWF555" s="500"/>
      <c r="MWG555" s="500"/>
      <c r="MWH555" s="500"/>
      <c r="MWI555" s="500"/>
      <c r="MWJ555" s="500"/>
      <c r="MWK555" s="500"/>
      <c r="MWL555" s="500"/>
      <c r="MWM555" s="500"/>
      <c r="MWN555" s="500"/>
      <c r="MWO555" s="500"/>
      <c r="MWP555" s="500"/>
      <c r="MWQ555" s="500"/>
      <c r="MWR555" s="500"/>
      <c r="MWS555" s="500"/>
      <c r="MWT555" s="500"/>
      <c r="MWU555" s="500"/>
      <c r="MWV555" s="500"/>
      <c r="MWW555" s="500"/>
      <c r="MWX555" s="500"/>
      <c r="MWY555" s="500"/>
      <c r="MWZ555" s="500"/>
      <c r="MXA555" s="500"/>
      <c r="MXB555" s="500"/>
      <c r="MXC555" s="500"/>
      <c r="MXD555" s="500"/>
      <c r="MXE555" s="500"/>
      <c r="MXF555" s="500"/>
      <c r="MXG555" s="500"/>
      <c r="MXH555" s="500"/>
      <c r="MXI555" s="500"/>
      <c r="MXJ555" s="500"/>
      <c r="MXK555" s="500"/>
      <c r="MXL555" s="500"/>
      <c r="MXM555" s="500"/>
      <c r="MXN555" s="500"/>
      <c r="MXO555" s="500"/>
      <c r="MXP555" s="500"/>
      <c r="MXQ555" s="500"/>
      <c r="MXR555" s="500"/>
      <c r="MXS555" s="500"/>
      <c r="MXT555" s="500"/>
      <c r="MXU555" s="500"/>
      <c r="MXV555" s="500"/>
      <c r="MXW555" s="500"/>
      <c r="MXX555" s="500"/>
      <c r="MXY555" s="500"/>
      <c r="MXZ555" s="500"/>
      <c r="MYA555" s="500"/>
      <c r="MYB555" s="500"/>
      <c r="MYC555" s="500"/>
      <c r="MYD555" s="500"/>
      <c r="MYE555" s="500"/>
      <c r="MYF555" s="500"/>
      <c r="MYG555" s="500"/>
      <c r="MYH555" s="500"/>
      <c r="MYI555" s="500"/>
      <c r="MYJ555" s="500"/>
      <c r="MYK555" s="500"/>
      <c r="MYL555" s="500"/>
      <c r="MYM555" s="500"/>
      <c r="MYN555" s="500"/>
      <c r="MYO555" s="500"/>
      <c r="MYP555" s="500"/>
      <c r="MYQ555" s="500"/>
      <c r="MYR555" s="500"/>
      <c r="MYS555" s="500"/>
      <c r="MYT555" s="500"/>
      <c r="MYU555" s="500"/>
      <c r="MYV555" s="500"/>
      <c r="MYW555" s="500"/>
      <c r="MYX555" s="500"/>
      <c r="MYY555" s="500"/>
      <c r="MYZ555" s="500"/>
      <c r="MZA555" s="500"/>
      <c r="MZB555" s="500"/>
      <c r="MZC555" s="500"/>
      <c r="MZD555" s="500"/>
      <c r="MZE555" s="500"/>
      <c r="MZF555" s="500"/>
      <c r="MZG555" s="500"/>
      <c r="MZH555" s="500"/>
      <c r="MZI555" s="500"/>
      <c r="MZJ555" s="500"/>
      <c r="MZK555" s="500"/>
      <c r="MZL555" s="500"/>
      <c r="MZM555" s="500"/>
      <c r="MZN555" s="500"/>
      <c r="MZO555" s="500"/>
      <c r="MZP555" s="500"/>
      <c r="MZQ555" s="500"/>
      <c r="MZR555" s="500"/>
      <c r="MZS555" s="500"/>
      <c r="MZT555" s="500"/>
      <c r="MZU555" s="500"/>
      <c r="MZV555" s="500"/>
      <c r="MZW555" s="500"/>
      <c r="MZX555" s="500"/>
      <c r="MZY555" s="500"/>
      <c r="MZZ555" s="500"/>
      <c r="NAA555" s="500"/>
      <c r="NAB555" s="500"/>
      <c r="NAC555" s="500"/>
      <c r="NAD555" s="500"/>
      <c r="NAE555" s="500"/>
      <c r="NAF555" s="500"/>
      <c r="NAG555" s="500"/>
      <c r="NAH555" s="500"/>
      <c r="NAI555" s="500"/>
      <c r="NAJ555" s="500"/>
      <c r="NAK555" s="500"/>
      <c r="NAL555" s="500"/>
      <c r="NAM555" s="500"/>
      <c r="NAN555" s="500"/>
      <c r="NAO555" s="500"/>
      <c r="NAP555" s="500"/>
      <c r="NAQ555" s="500"/>
      <c r="NAR555" s="500"/>
      <c r="NAS555" s="500"/>
      <c r="NAT555" s="500"/>
      <c r="NAU555" s="500"/>
      <c r="NAV555" s="500"/>
      <c r="NAW555" s="500"/>
      <c r="NAX555" s="500"/>
      <c r="NAY555" s="500"/>
      <c r="NAZ555" s="500"/>
      <c r="NBA555" s="500"/>
      <c r="NBB555" s="500"/>
      <c r="NBC555" s="500"/>
      <c r="NBD555" s="500"/>
      <c r="NBE555" s="500"/>
      <c r="NBF555" s="500"/>
      <c r="NBG555" s="500"/>
      <c r="NBH555" s="500"/>
      <c r="NBI555" s="500"/>
      <c r="NBJ555" s="500"/>
      <c r="NBK555" s="500"/>
      <c r="NBL555" s="500"/>
      <c r="NBM555" s="500"/>
      <c r="NBN555" s="500"/>
      <c r="NBO555" s="500"/>
      <c r="NBP555" s="500"/>
      <c r="NBQ555" s="500"/>
      <c r="NBR555" s="500"/>
      <c r="NBS555" s="500"/>
      <c r="NBT555" s="500"/>
      <c r="NBU555" s="500"/>
      <c r="NBV555" s="500"/>
      <c r="NBW555" s="500"/>
      <c r="NBX555" s="500"/>
      <c r="NBY555" s="500"/>
      <c r="NBZ555" s="500"/>
      <c r="NCA555" s="500"/>
      <c r="NCB555" s="500"/>
      <c r="NCC555" s="500"/>
      <c r="NCD555" s="500"/>
      <c r="NCE555" s="500"/>
      <c r="NCF555" s="500"/>
      <c r="NCG555" s="500"/>
      <c r="NCH555" s="500"/>
      <c r="NCI555" s="500"/>
      <c r="NCJ555" s="500"/>
      <c r="NCK555" s="500"/>
      <c r="NCL555" s="500"/>
      <c r="NCM555" s="500"/>
      <c r="NCN555" s="500"/>
      <c r="NCO555" s="500"/>
      <c r="NCP555" s="500"/>
      <c r="NCQ555" s="500"/>
      <c r="NCR555" s="500"/>
      <c r="NCS555" s="500"/>
      <c r="NCT555" s="500"/>
      <c r="NCU555" s="500"/>
      <c r="NCV555" s="500"/>
      <c r="NCW555" s="500"/>
      <c r="NCX555" s="500"/>
      <c r="NCY555" s="500"/>
      <c r="NCZ555" s="500"/>
      <c r="NDA555" s="500"/>
      <c r="NDB555" s="500"/>
      <c r="NDC555" s="500"/>
      <c r="NDD555" s="500"/>
      <c r="NDE555" s="500"/>
      <c r="NDF555" s="500"/>
      <c r="NDG555" s="500"/>
      <c r="NDH555" s="500"/>
      <c r="NDI555" s="500"/>
      <c r="NDJ555" s="500"/>
      <c r="NDK555" s="500"/>
      <c r="NDL555" s="500"/>
      <c r="NDM555" s="500"/>
      <c r="NDN555" s="500"/>
      <c r="NDO555" s="500"/>
      <c r="NDP555" s="500"/>
      <c r="NDQ555" s="500"/>
      <c r="NDR555" s="500"/>
      <c r="NDS555" s="500"/>
      <c r="NDT555" s="500"/>
      <c r="NDU555" s="500"/>
      <c r="NDV555" s="500"/>
      <c r="NDW555" s="500"/>
      <c r="NDX555" s="500"/>
      <c r="NDY555" s="500"/>
      <c r="NDZ555" s="500"/>
      <c r="NEA555" s="500"/>
      <c r="NEB555" s="500"/>
      <c r="NEC555" s="500"/>
      <c r="NED555" s="500"/>
      <c r="NEE555" s="500"/>
      <c r="NEF555" s="500"/>
      <c r="NEG555" s="500"/>
      <c r="NEH555" s="500"/>
      <c r="NEI555" s="500"/>
      <c r="NEJ555" s="500"/>
      <c r="NEK555" s="500"/>
      <c r="NEL555" s="500"/>
      <c r="NEM555" s="500"/>
      <c r="NEN555" s="500"/>
      <c r="NEO555" s="500"/>
      <c r="NEP555" s="500"/>
      <c r="NEQ555" s="500"/>
      <c r="NER555" s="500"/>
      <c r="NES555" s="500"/>
      <c r="NET555" s="500"/>
      <c r="NEU555" s="500"/>
      <c r="NEV555" s="500"/>
      <c r="NEW555" s="500"/>
      <c r="NEX555" s="500"/>
      <c r="NEY555" s="500"/>
      <c r="NEZ555" s="500"/>
      <c r="NFA555" s="500"/>
      <c r="NFB555" s="500"/>
      <c r="NFC555" s="500"/>
      <c r="NFD555" s="500"/>
      <c r="NFE555" s="500"/>
      <c r="NFF555" s="500"/>
      <c r="NFG555" s="500"/>
      <c r="NFH555" s="500"/>
      <c r="NFI555" s="500"/>
      <c r="NFJ555" s="500"/>
      <c r="NFK555" s="500"/>
      <c r="NFL555" s="500"/>
      <c r="NFM555" s="500"/>
      <c r="NFN555" s="500"/>
      <c r="NFO555" s="500"/>
      <c r="NFP555" s="500"/>
      <c r="NFQ555" s="500"/>
      <c r="NFR555" s="500"/>
      <c r="NFS555" s="500"/>
      <c r="NFT555" s="500"/>
      <c r="NFU555" s="500"/>
      <c r="NFV555" s="500"/>
      <c r="NFW555" s="500"/>
      <c r="NFX555" s="500"/>
      <c r="NFY555" s="500"/>
      <c r="NFZ555" s="500"/>
      <c r="NGA555" s="500"/>
      <c r="NGB555" s="500"/>
      <c r="NGC555" s="500"/>
      <c r="NGD555" s="500"/>
      <c r="NGE555" s="500"/>
      <c r="NGF555" s="500"/>
      <c r="NGG555" s="500"/>
      <c r="NGH555" s="500"/>
      <c r="NGI555" s="500"/>
      <c r="NGJ555" s="500"/>
      <c r="NGK555" s="500"/>
      <c r="NGL555" s="500"/>
      <c r="NGM555" s="500"/>
      <c r="NGN555" s="500"/>
      <c r="NGO555" s="500"/>
      <c r="NGP555" s="500"/>
      <c r="NGQ555" s="500"/>
      <c r="NGR555" s="500"/>
      <c r="NGS555" s="500"/>
      <c r="NGT555" s="500"/>
      <c r="NGU555" s="500"/>
      <c r="NGV555" s="500"/>
      <c r="NGW555" s="500"/>
      <c r="NGX555" s="500"/>
      <c r="NGY555" s="500"/>
      <c r="NGZ555" s="500"/>
      <c r="NHA555" s="500"/>
      <c r="NHB555" s="500"/>
      <c r="NHC555" s="500"/>
      <c r="NHD555" s="500"/>
      <c r="NHE555" s="500"/>
      <c r="NHF555" s="500"/>
      <c r="NHG555" s="500"/>
      <c r="NHH555" s="500"/>
      <c r="NHI555" s="500"/>
      <c r="NHJ555" s="500"/>
      <c r="NHK555" s="500"/>
      <c r="NHL555" s="500"/>
      <c r="NHM555" s="500"/>
      <c r="NHN555" s="500"/>
      <c r="NHO555" s="500"/>
      <c r="NHP555" s="500"/>
      <c r="NHQ555" s="500"/>
      <c r="NHR555" s="500"/>
      <c r="NHS555" s="500"/>
      <c r="NHT555" s="500"/>
      <c r="NHU555" s="500"/>
      <c r="NHV555" s="500"/>
      <c r="NHW555" s="500"/>
      <c r="NHX555" s="500"/>
      <c r="NHY555" s="500"/>
      <c r="NHZ555" s="500"/>
      <c r="NIA555" s="500"/>
      <c r="NIB555" s="500"/>
      <c r="NIC555" s="500"/>
      <c r="NID555" s="500"/>
      <c r="NIE555" s="500"/>
      <c r="NIF555" s="500"/>
      <c r="NIG555" s="500"/>
      <c r="NIH555" s="500"/>
      <c r="NII555" s="500"/>
      <c r="NIJ555" s="500"/>
      <c r="NIK555" s="500"/>
      <c r="NIL555" s="500"/>
      <c r="NIM555" s="500"/>
      <c r="NIN555" s="500"/>
      <c r="NIO555" s="500"/>
      <c r="NIP555" s="500"/>
      <c r="NIQ555" s="500"/>
      <c r="NIR555" s="500"/>
      <c r="NIS555" s="500"/>
      <c r="NIT555" s="500"/>
      <c r="NIU555" s="500"/>
      <c r="NIV555" s="500"/>
      <c r="NIW555" s="500"/>
      <c r="NIX555" s="500"/>
      <c r="NIY555" s="500"/>
      <c r="NIZ555" s="500"/>
      <c r="NJA555" s="500"/>
      <c r="NJB555" s="500"/>
      <c r="NJC555" s="500"/>
      <c r="NJD555" s="500"/>
      <c r="NJE555" s="500"/>
      <c r="NJF555" s="500"/>
      <c r="NJG555" s="500"/>
      <c r="NJH555" s="500"/>
      <c r="NJI555" s="500"/>
      <c r="NJJ555" s="500"/>
      <c r="NJK555" s="500"/>
      <c r="NJL555" s="500"/>
      <c r="NJM555" s="500"/>
      <c r="NJN555" s="500"/>
      <c r="NJO555" s="500"/>
      <c r="NJP555" s="500"/>
      <c r="NJQ555" s="500"/>
      <c r="NJR555" s="500"/>
      <c r="NJS555" s="500"/>
      <c r="NJT555" s="500"/>
      <c r="NJU555" s="500"/>
      <c r="NJV555" s="500"/>
      <c r="NJW555" s="500"/>
      <c r="NJX555" s="500"/>
      <c r="NJY555" s="500"/>
      <c r="NJZ555" s="500"/>
      <c r="NKA555" s="500"/>
      <c r="NKB555" s="500"/>
      <c r="NKC555" s="500"/>
      <c r="NKD555" s="500"/>
      <c r="NKE555" s="500"/>
      <c r="NKF555" s="500"/>
      <c r="NKG555" s="500"/>
      <c r="NKH555" s="500"/>
      <c r="NKI555" s="500"/>
      <c r="NKJ555" s="500"/>
      <c r="NKK555" s="500"/>
      <c r="NKL555" s="500"/>
      <c r="NKM555" s="500"/>
      <c r="NKN555" s="500"/>
      <c r="NKO555" s="500"/>
      <c r="NKP555" s="500"/>
      <c r="NKQ555" s="500"/>
      <c r="NKR555" s="500"/>
      <c r="NKS555" s="500"/>
      <c r="NKT555" s="500"/>
      <c r="NKU555" s="500"/>
      <c r="NKV555" s="500"/>
      <c r="NKW555" s="500"/>
      <c r="NKX555" s="500"/>
      <c r="NKY555" s="500"/>
      <c r="NKZ555" s="500"/>
      <c r="NLA555" s="500"/>
      <c r="NLB555" s="500"/>
      <c r="NLC555" s="500"/>
      <c r="NLD555" s="500"/>
      <c r="NLE555" s="500"/>
      <c r="NLF555" s="500"/>
      <c r="NLG555" s="500"/>
      <c r="NLH555" s="500"/>
      <c r="NLI555" s="500"/>
      <c r="NLJ555" s="500"/>
      <c r="NLK555" s="500"/>
      <c r="NLL555" s="500"/>
      <c r="NLM555" s="500"/>
      <c r="NLN555" s="500"/>
      <c r="NLO555" s="500"/>
      <c r="NLP555" s="500"/>
      <c r="NLQ555" s="500"/>
      <c r="NLR555" s="500"/>
      <c r="NLS555" s="500"/>
      <c r="NLT555" s="500"/>
      <c r="NLU555" s="500"/>
      <c r="NLV555" s="500"/>
      <c r="NLW555" s="500"/>
      <c r="NLX555" s="500"/>
      <c r="NLY555" s="500"/>
      <c r="NLZ555" s="500"/>
      <c r="NMA555" s="500"/>
      <c r="NMB555" s="500"/>
      <c r="NMC555" s="500"/>
      <c r="NMD555" s="500"/>
      <c r="NME555" s="500"/>
      <c r="NMF555" s="500"/>
      <c r="NMG555" s="500"/>
      <c r="NMH555" s="500"/>
      <c r="NMI555" s="500"/>
      <c r="NMJ555" s="500"/>
      <c r="NMK555" s="500"/>
      <c r="NML555" s="500"/>
      <c r="NMM555" s="500"/>
      <c r="NMN555" s="500"/>
      <c r="NMO555" s="500"/>
      <c r="NMP555" s="500"/>
      <c r="NMQ555" s="500"/>
      <c r="NMR555" s="500"/>
      <c r="NMS555" s="500"/>
      <c r="NMT555" s="500"/>
      <c r="NMU555" s="500"/>
      <c r="NMV555" s="500"/>
      <c r="NMW555" s="500"/>
      <c r="NMX555" s="500"/>
      <c r="NMY555" s="500"/>
      <c r="NMZ555" s="500"/>
      <c r="NNA555" s="500"/>
      <c r="NNB555" s="500"/>
      <c r="NNC555" s="500"/>
      <c r="NND555" s="500"/>
      <c r="NNE555" s="500"/>
      <c r="NNF555" s="500"/>
      <c r="NNG555" s="500"/>
      <c r="NNH555" s="500"/>
      <c r="NNI555" s="500"/>
      <c r="NNJ555" s="500"/>
      <c r="NNK555" s="500"/>
      <c r="NNL555" s="500"/>
      <c r="NNM555" s="500"/>
      <c r="NNN555" s="500"/>
      <c r="NNO555" s="500"/>
      <c r="NNP555" s="500"/>
      <c r="NNQ555" s="500"/>
      <c r="NNR555" s="500"/>
      <c r="NNS555" s="500"/>
      <c r="NNT555" s="500"/>
      <c r="NNU555" s="500"/>
      <c r="NNV555" s="500"/>
      <c r="NNW555" s="500"/>
      <c r="NNX555" s="500"/>
      <c r="NNY555" s="500"/>
      <c r="NNZ555" s="500"/>
      <c r="NOA555" s="500"/>
      <c r="NOB555" s="500"/>
      <c r="NOC555" s="500"/>
      <c r="NOD555" s="500"/>
      <c r="NOE555" s="500"/>
      <c r="NOF555" s="500"/>
      <c r="NOG555" s="500"/>
      <c r="NOH555" s="500"/>
      <c r="NOI555" s="500"/>
      <c r="NOJ555" s="500"/>
      <c r="NOK555" s="500"/>
      <c r="NOL555" s="500"/>
      <c r="NOM555" s="500"/>
      <c r="NON555" s="500"/>
      <c r="NOO555" s="500"/>
      <c r="NOP555" s="500"/>
      <c r="NOQ555" s="500"/>
      <c r="NOR555" s="500"/>
      <c r="NOS555" s="500"/>
      <c r="NOT555" s="500"/>
      <c r="NOU555" s="500"/>
      <c r="NOV555" s="500"/>
      <c r="NOW555" s="500"/>
      <c r="NOX555" s="500"/>
      <c r="NOY555" s="500"/>
      <c r="NOZ555" s="500"/>
      <c r="NPA555" s="500"/>
      <c r="NPB555" s="500"/>
      <c r="NPC555" s="500"/>
      <c r="NPD555" s="500"/>
      <c r="NPE555" s="500"/>
      <c r="NPF555" s="500"/>
      <c r="NPG555" s="500"/>
      <c r="NPH555" s="500"/>
      <c r="NPI555" s="500"/>
      <c r="NPJ555" s="500"/>
      <c r="NPK555" s="500"/>
      <c r="NPL555" s="500"/>
      <c r="NPM555" s="500"/>
      <c r="NPN555" s="500"/>
      <c r="NPO555" s="500"/>
      <c r="NPP555" s="500"/>
      <c r="NPQ555" s="500"/>
      <c r="NPR555" s="500"/>
      <c r="NPS555" s="500"/>
      <c r="NPT555" s="500"/>
      <c r="NPU555" s="500"/>
      <c r="NPV555" s="500"/>
      <c r="NPW555" s="500"/>
      <c r="NPX555" s="500"/>
      <c r="NPY555" s="500"/>
      <c r="NPZ555" s="500"/>
      <c r="NQA555" s="500"/>
      <c r="NQB555" s="500"/>
      <c r="NQC555" s="500"/>
      <c r="NQD555" s="500"/>
      <c r="NQE555" s="500"/>
      <c r="NQF555" s="500"/>
      <c r="NQG555" s="500"/>
      <c r="NQH555" s="500"/>
      <c r="NQI555" s="500"/>
      <c r="NQJ555" s="500"/>
      <c r="NQK555" s="500"/>
      <c r="NQL555" s="500"/>
      <c r="NQM555" s="500"/>
      <c r="NQN555" s="500"/>
      <c r="NQO555" s="500"/>
      <c r="NQP555" s="500"/>
      <c r="NQQ555" s="500"/>
      <c r="NQR555" s="500"/>
      <c r="NQS555" s="500"/>
      <c r="NQT555" s="500"/>
      <c r="NQU555" s="500"/>
      <c r="NQV555" s="500"/>
      <c r="NQW555" s="500"/>
      <c r="NQX555" s="500"/>
      <c r="NQY555" s="500"/>
      <c r="NQZ555" s="500"/>
      <c r="NRA555" s="500"/>
      <c r="NRB555" s="500"/>
      <c r="NRC555" s="500"/>
      <c r="NRD555" s="500"/>
      <c r="NRE555" s="500"/>
      <c r="NRF555" s="500"/>
      <c r="NRG555" s="500"/>
      <c r="NRH555" s="500"/>
      <c r="NRI555" s="500"/>
      <c r="NRJ555" s="500"/>
      <c r="NRK555" s="500"/>
      <c r="NRL555" s="500"/>
      <c r="NRM555" s="500"/>
      <c r="NRN555" s="500"/>
      <c r="NRO555" s="500"/>
      <c r="NRP555" s="500"/>
      <c r="NRQ555" s="500"/>
      <c r="NRR555" s="500"/>
      <c r="NRS555" s="500"/>
      <c r="NRT555" s="500"/>
      <c r="NRU555" s="500"/>
      <c r="NRV555" s="500"/>
      <c r="NRW555" s="500"/>
      <c r="NRX555" s="500"/>
      <c r="NRY555" s="500"/>
      <c r="NRZ555" s="500"/>
      <c r="NSA555" s="500"/>
      <c r="NSB555" s="500"/>
      <c r="NSC555" s="500"/>
      <c r="NSD555" s="500"/>
      <c r="NSE555" s="500"/>
      <c r="NSF555" s="500"/>
      <c r="NSG555" s="500"/>
      <c r="NSH555" s="500"/>
      <c r="NSI555" s="500"/>
      <c r="NSJ555" s="500"/>
      <c r="NSK555" s="500"/>
      <c r="NSL555" s="500"/>
      <c r="NSM555" s="500"/>
      <c r="NSN555" s="500"/>
      <c r="NSO555" s="500"/>
      <c r="NSP555" s="500"/>
      <c r="NSQ555" s="500"/>
      <c r="NSR555" s="500"/>
      <c r="NSS555" s="500"/>
      <c r="NST555" s="500"/>
      <c r="NSU555" s="500"/>
      <c r="NSV555" s="500"/>
      <c r="NSW555" s="500"/>
      <c r="NSX555" s="500"/>
      <c r="NSY555" s="500"/>
      <c r="NSZ555" s="500"/>
      <c r="NTA555" s="500"/>
      <c r="NTB555" s="500"/>
      <c r="NTC555" s="500"/>
      <c r="NTD555" s="500"/>
      <c r="NTE555" s="500"/>
      <c r="NTF555" s="500"/>
      <c r="NTG555" s="500"/>
      <c r="NTH555" s="500"/>
      <c r="NTI555" s="500"/>
      <c r="NTJ555" s="500"/>
      <c r="NTK555" s="500"/>
      <c r="NTL555" s="500"/>
      <c r="NTM555" s="500"/>
      <c r="NTN555" s="500"/>
      <c r="NTO555" s="500"/>
      <c r="NTP555" s="500"/>
      <c r="NTQ555" s="500"/>
      <c r="NTR555" s="500"/>
      <c r="NTS555" s="500"/>
      <c r="NTT555" s="500"/>
      <c r="NTU555" s="500"/>
      <c r="NTV555" s="500"/>
      <c r="NTW555" s="500"/>
      <c r="NTX555" s="500"/>
      <c r="NTY555" s="500"/>
      <c r="NTZ555" s="500"/>
      <c r="NUA555" s="500"/>
      <c r="NUB555" s="500"/>
      <c r="NUC555" s="500"/>
      <c r="NUD555" s="500"/>
      <c r="NUE555" s="500"/>
      <c r="NUF555" s="500"/>
      <c r="NUG555" s="500"/>
      <c r="NUH555" s="500"/>
      <c r="NUI555" s="500"/>
      <c r="NUJ555" s="500"/>
      <c r="NUK555" s="500"/>
      <c r="NUL555" s="500"/>
      <c r="NUM555" s="500"/>
      <c r="NUN555" s="500"/>
      <c r="NUO555" s="500"/>
      <c r="NUP555" s="500"/>
      <c r="NUQ555" s="500"/>
      <c r="NUR555" s="500"/>
      <c r="NUS555" s="500"/>
      <c r="NUT555" s="500"/>
      <c r="NUU555" s="500"/>
      <c r="NUV555" s="500"/>
      <c r="NUW555" s="500"/>
      <c r="NUX555" s="500"/>
      <c r="NUY555" s="500"/>
      <c r="NUZ555" s="500"/>
      <c r="NVA555" s="500"/>
      <c r="NVB555" s="500"/>
      <c r="NVC555" s="500"/>
      <c r="NVD555" s="500"/>
      <c r="NVE555" s="500"/>
      <c r="NVF555" s="500"/>
      <c r="NVG555" s="500"/>
      <c r="NVH555" s="500"/>
      <c r="NVI555" s="500"/>
      <c r="NVJ555" s="500"/>
      <c r="NVK555" s="500"/>
      <c r="NVL555" s="500"/>
      <c r="NVM555" s="500"/>
      <c r="NVN555" s="500"/>
      <c r="NVO555" s="500"/>
      <c r="NVP555" s="500"/>
      <c r="NVQ555" s="500"/>
      <c r="NVR555" s="500"/>
      <c r="NVS555" s="500"/>
      <c r="NVT555" s="500"/>
      <c r="NVU555" s="500"/>
      <c r="NVV555" s="500"/>
      <c r="NVW555" s="500"/>
      <c r="NVX555" s="500"/>
      <c r="NVY555" s="500"/>
      <c r="NVZ555" s="500"/>
      <c r="NWA555" s="500"/>
      <c r="NWB555" s="500"/>
      <c r="NWC555" s="500"/>
      <c r="NWD555" s="500"/>
      <c r="NWE555" s="500"/>
      <c r="NWF555" s="500"/>
      <c r="NWG555" s="500"/>
      <c r="NWH555" s="500"/>
      <c r="NWI555" s="500"/>
      <c r="NWJ555" s="500"/>
      <c r="NWK555" s="500"/>
      <c r="NWL555" s="500"/>
      <c r="NWM555" s="500"/>
      <c r="NWN555" s="500"/>
      <c r="NWO555" s="500"/>
      <c r="NWP555" s="500"/>
      <c r="NWQ555" s="500"/>
      <c r="NWR555" s="500"/>
      <c r="NWS555" s="500"/>
      <c r="NWT555" s="500"/>
      <c r="NWU555" s="500"/>
      <c r="NWV555" s="500"/>
      <c r="NWW555" s="500"/>
      <c r="NWX555" s="500"/>
      <c r="NWY555" s="500"/>
      <c r="NWZ555" s="500"/>
      <c r="NXA555" s="500"/>
      <c r="NXB555" s="500"/>
      <c r="NXC555" s="500"/>
      <c r="NXD555" s="500"/>
      <c r="NXE555" s="500"/>
      <c r="NXF555" s="500"/>
      <c r="NXG555" s="500"/>
      <c r="NXH555" s="500"/>
      <c r="NXI555" s="500"/>
      <c r="NXJ555" s="500"/>
      <c r="NXK555" s="500"/>
      <c r="NXL555" s="500"/>
      <c r="NXM555" s="500"/>
      <c r="NXN555" s="500"/>
      <c r="NXO555" s="500"/>
      <c r="NXP555" s="500"/>
      <c r="NXQ555" s="500"/>
      <c r="NXR555" s="500"/>
      <c r="NXS555" s="500"/>
      <c r="NXT555" s="500"/>
      <c r="NXU555" s="500"/>
      <c r="NXV555" s="500"/>
      <c r="NXW555" s="500"/>
      <c r="NXX555" s="500"/>
      <c r="NXY555" s="500"/>
      <c r="NXZ555" s="500"/>
      <c r="NYA555" s="500"/>
      <c r="NYB555" s="500"/>
      <c r="NYC555" s="500"/>
      <c r="NYD555" s="500"/>
      <c r="NYE555" s="500"/>
      <c r="NYF555" s="500"/>
      <c r="NYG555" s="500"/>
      <c r="NYH555" s="500"/>
      <c r="NYI555" s="500"/>
      <c r="NYJ555" s="500"/>
      <c r="NYK555" s="500"/>
      <c r="NYL555" s="500"/>
      <c r="NYM555" s="500"/>
      <c r="NYN555" s="500"/>
      <c r="NYO555" s="500"/>
      <c r="NYP555" s="500"/>
      <c r="NYQ555" s="500"/>
      <c r="NYR555" s="500"/>
      <c r="NYS555" s="500"/>
      <c r="NYT555" s="500"/>
      <c r="NYU555" s="500"/>
      <c r="NYV555" s="500"/>
      <c r="NYW555" s="500"/>
      <c r="NYX555" s="500"/>
      <c r="NYY555" s="500"/>
      <c r="NYZ555" s="500"/>
      <c r="NZA555" s="500"/>
      <c r="NZB555" s="500"/>
      <c r="NZC555" s="500"/>
      <c r="NZD555" s="500"/>
      <c r="NZE555" s="500"/>
      <c r="NZF555" s="500"/>
      <c r="NZG555" s="500"/>
      <c r="NZH555" s="500"/>
      <c r="NZI555" s="500"/>
      <c r="NZJ555" s="500"/>
      <c r="NZK555" s="500"/>
      <c r="NZL555" s="500"/>
      <c r="NZM555" s="500"/>
      <c r="NZN555" s="500"/>
      <c r="NZO555" s="500"/>
      <c r="NZP555" s="500"/>
      <c r="NZQ555" s="500"/>
      <c r="NZR555" s="500"/>
      <c r="NZS555" s="500"/>
      <c r="NZT555" s="500"/>
      <c r="NZU555" s="500"/>
      <c r="NZV555" s="500"/>
      <c r="NZW555" s="500"/>
      <c r="NZX555" s="500"/>
      <c r="NZY555" s="500"/>
      <c r="NZZ555" s="500"/>
      <c r="OAA555" s="500"/>
      <c r="OAB555" s="500"/>
      <c r="OAC555" s="500"/>
      <c r="OAD555" s="500"/>
      <c r="OAE555" s="500"/>
      <c r="OAF555" s="500"/>
      <c r="OAG555" s="500"/>
      <c r="OAH555" s="500"/>
      <c r="OAI555" s="500"/>
      <c r="OAJ555" s="500"/>
      <c r="OAK555" s="500"/>
      <c r="OAL555" s="500"/>
      <c r="OAM555" s="500"/>
      <c r="OAN555" s="500"/>
      <c r="OAO555" s="500"/>
      <c r="OAP555" s="500"/>
      <c r="OAQ555" s="500"/>
      <c r="OAR555" s="500"/>
      <c r="OAS555" s="500"/>
      <c r="OAT555" s="500"/>
      <c r="OAU555" s="500"/>
      <c r="OAV555" s="500"/>
      <c r="OAW555" s="500"/>
      <c r="OAX555" s="500"/>
      <c r="OAY555" s="500"/>
      <c r="OAZ555" s="500"/>
      <c r="OBA555" s="500"/>
      <c r="OBB555" s="500"/>
      <c r="OBC555" s="500"/>
      <c r="OBD555" s="500"/>
      <c r="OBE555" s="500"/>
      <c r="OBF555" s="500"/>
      <c r="OBG555" s="500"/>
      <c r="OBH555" s="500"/>
      <c r="OBI555" s="500"/>
      <c r="OBJ555" s="500"/>
      <c r="OBK555" s="500"/>
      <c r="OBL555" s="500"/>
      <c r="OBM555" s="500"/>
      <c r="OBN555" s="500"/>
      <c r="OBO555" s="500"/>
      <c r="OBP555" s="500"/>
      <c r="OBQ555" s="500"/>
      <c r="OBR555" s="500"/>
      <c r="OBS555" s="500"/>
      <c r="OBT555" s="500"/>
      <c r="OBU555" s="500"/>
      <c r="OBV555" s="500"/>
      <c r="OBW555" s="500"/>
      <c r="OBX555" s="500"/>
      <c r="OBY555" s="500"/>
      <c r="OBZ555" s="500"/>
      <c r="OCA555" s="500"/>
      <c r="OCB555" s="500"/>
      <c r="OCC555" s="500"/>
      <c r="OCD555" s="500"/>
      <c r="OCE555" s="500"/>
      <c r="OCF555" s="500"/>
      <c r="OCG555" s="500"/>
      <c r="OCH555" s="500"/>
      <c r="OCI555" s="500"/>
      <c r="OCJ555" s="500"/>
      <c r="OCK555" s="500"/>
      <c r="OCL555" s="500"/>
      <c r="OCM555" s="500"/>
      <c r="OCN555" s="500"/>
      <c r="OCO555" s="500"/>
      <c r="OCP555" s="500"/>
      <c r="OCQ555" s="500"/>
      <c r="OCR555" s="500"/>
      <c r="OCS555" s="500"/>
      <c r="OCT555" s="500"/>
      <c r="OCU555" s="500"/>
      <c r="OCV555" s="500"/>
      <c r="OCW555" s="500"/>
      <c r="OCX555" s="500"/>
      <c r="OCY555" s="500"/>
      <c r="OCZ555" s="500"/>
      <c r="ODA555" s="500"/>
      <c r="ODB555" s="500"/>
      <c r="ODC555" s="500"/>
      <c r="ODD555" s="500"/>
      <c r="ODE555" s="500"/>
      <c r="ODF555" s="500"/>
      <c r="ODG555" s="500"/>
      <c r="ODH555" s="500"/>
      <c r="ODI555" s="500"/>
      <c r="ODJ555" s="500"/>
      <c r="ODK555" s="500"/>
      <c r="ODL555" s="500"/>
      <c r="ODM555" s="500"/>
      <c r="ODN555" s="500"/>
      <c r="ODO555" s="500"/>
      <c r="ODP555" s="500"/>
      <c r="ODQ555" s="500"/>
      <c r="ODR555" s="500"/>
      <c r="ODS555" s="500"/>
      <c r="ODT555" s="500"/>
      <c r="ODU555" s="500"/>
      <c r="ODV555" s="500"/>
      <c r="ODW555" s="500"/>
      <c r="ODX555" s="500"/>
      <c r="ODY555" s="500"/>
      <c r="ODZ555" s="500"/>
      <c r="OEA555" s="500"/>
      <c r="OEB555" s="500"/>
      <c r="OEC555" s="500"/>
      <c r="OED555" s="500"/>
      <c r="OEE555" s="500"/>
      <c r="OEF555" s="500"/>
      <c r="OEG555" s="500"/>
      <c r="OEH555" s="500"/>
      <c r="OEI555" s="500"/>
      <c r="OEJ555" s="500"/>
      <c r="OEK555" s="500"/>
      <c r="OEL555" s="500"/>
      <c r="OEM555" s="500"/>
      <c r="OEN555" s="500"/>
      <c r="OEO555" s="500"/>
      <c r="OEP555" s="500"/>
      <c r="OEQ555" s="500"/>
      <c r="OER555" s="500"/>
      <c r="OES555" s="500"/>
      <c r="OET555" s="500"/>
      <c r="OEU555" s="500"/>
      <c r="OEV555" s="500"/>
      <c r="OEW555" s="500"/>
      <c r="OEX555" s="500"/>
      <c r="OEY555" s="500"/>
      <c r="OEZ555" s="500"/>
      <c r="OFA555" s="500"/>
      <c r="OFB555" s="500"/>
      <c r="OFC555" s="500"/>
      <c r="OFD555" s="500"/>
      <c r="OFE555" s="500"/>
      <c r="OFF555" s="500"/>
      <c r="OFG555" s="500"/>
      <c r="OFH555" s="500"/>
      <c r="OFI555" s="500"/>
      <c r="OFJ555" s="500"/>
      <c r="OFK555" s="500"/>
      <c r="OFL555" s="500"/>
      <c r="OFM555" s="500"/>
      <c r="OFN555" s="500"/>
      <c r="OFO555" s="500"/>
      <c r="OFP555" s="500"/>
      <c r="OFQ555" s="500"/>
      <c r="OFR555" s="500"/>
      <c r="OFS555" s="500"/>
      <c r="OFT555" s="500"/>
      <c r="OFU555" s="500"/>
      <c r="OFV555" s="500"/>
      <c r="OFW555" s="500"/>
      <c r="OFX555" s="500"/>
      <c r="OFY555" s="500"/>
      <c r="OFZ555" s="500"/>
      <c r="OGA555" s="500"/>
      <c r="OGB555" s="500"/>
      <c r="OGC555" s="500"/>
      <c r="OGD555" s="500"/>
      <c r="OGE555" s="500"/>
      <c r="OGF555" s="500"/>
      <c r="OGG555" s="500"/>
      <c r="OGH555" s="500"/>
      <c r="OGI555" s="500"/>
      <c r="OGJ555" s="500"/>
      <c r="OGK555" s="500"/>
      <c r="OGL555" s="500"/>
      <c r="OGM555" s="500"/>
      <c r="OGN555" s="500"/>
      <c r="OGO555" s="500"/>
      <c r="OGP555" s="500"/>
      <c r="OGQ555" s="500"/>
      <c r="OGR555" s="500"/>
      <c r="OGS555" s="500"/>
      <c r="OGT555" s="500"/>
      <c r="OGU555" s="500"/>
      <c r="OGV555" s="500"/>
      <c r="OGW555" s="500"/>
      <c r="OGX555" s="500"/>
      <c r="OGY555" s="500"/>
      <c r="OGZ555" s="500"/>
      <c r="OHA555" s="500"/>
      <c r="OHB555" s="500"/>
      <c r="OHC555" s="500"/>
      <c r="OHD555" s="500"/>
      <c r="OHE555" s="500"/>
      <c r="OHF555" s="500"/>
      <c r="OHG555" s="500"/>
      <c r="OHH555" s="500"/>
      <c r="OHI555" s="500"/>
      <c r="OHJ555" s="500"/>
      <c r="OHK555" s="500"/>
      <c r="OHL555" s="500"/>
      <c r="OHM555" s="500"/>
      <c r="OHN555" s="500"/>
      <c r="OHO555" s="500"/>
      <c r="OHP555" s="500"/>
      <c r="OHQ555" s="500"/>
      <c r="OHR555" s="500"/>
      <c r="OHS555" s="500"/>
      <c r="OHT555" s="500"/>
      <c r="OHU555" s="500"/>
      <c r="OHV555" s="500"/>
      <c r="OHW555" s="500"/>
      <c r="OHX555" s="500"/>
      <c r="OHY555" s="500"/>
      <c r="OHZ555" s="500"/>
      <c r="OIA555" s="500"/>
      <c r="OIB555" s="500"/>
      <c r="OIC555" s="500"/>
      <c r="OID555" s="500"/>
      <c r="OIE555" s="500"/>
      <c r="OIF555" s="500"/>
      <c r="OIG555" s="500"/>
      <c r="OIH555" s="500"/>
      <c r="OII555" s="500"/>
      <c r="OIJ555" s="500"/>
      <c r="OIK555" s="500"/>
      <c r="OIL555" s="500"/>
      <c r="OIM555" s="500"/>
      <c r="OIN555" s="500"/>
      <c r="OIO555" s="500"/>
      <c r="OIP555" s="500"/>
      <c r="OIQ555" s="500"/>
      <c r="OIR555" s="500"/>
      <c r="OIS555" s="500"/>
      <c r="OIT555" s="500"/>
      <c r="OIU555" s="500"/>
      <c r="OIV555" s="500"/>
      <c r="OIW555" s="500"/>
      <c r="OIX555" s="500"/>
      <c r="OIY555" s="500"/>
      <c r="OIZ555" s="500"/>
      <c r="OJA555" s="500"/>
      <c r="OJB555" s="500"/>
      <c r="OJC555" s="500"/>
      <c r="OJD555" s="500"/>
      <c r="OJE555" s="500"/>
      <c r="OJF555" s="500"/>
      <c r="OJG555" s="500"/>
      <c r="OJH555" s="500"/>
      <c r="OJI555" s="500"/>
      <c r="OJJ555" s="500"/>
      <c r="OJK555" s="500"/>
      <c r="OJL555" s="500"/>
      <c r="OJM555" s="500"/>
      <c r="OJN555" s="500"/>
      <c r="OJO555" s="500"/>
      <c r="OJP555" s="500"/>
      <c r="OJQ555" s="500"/>
      <c r="OJR555" s="500"/>
      <c r="OJS555" s="500"/>
      <c r="OJT555" s="500"/>
      <c r="OJU555" s="500"/>
      <c r="OJV555" s="500"/>
      <c r="OJW555" s="500"/>
      <c r="OJX555" s="500"/>
      <c r="OJY555" s="500"/>
      <c r="OJZ555" s="500"/>
      <c r="OKA555" s="500"/>
      <c r="OKB555" s="500"/>
      <c r="OKC555" s="500"/>
      <c r="OKD555" s="500"/>
      <c r="OKE555" s="500"/>
      <c r="OKF555" s="500"/>
      <c r="OKG555" s="500"/>
      <c r="OKH555" s="500"/>
      <c r="OKI555" s="500"/>
      <c r="OKJ555" s="500"/>
      <c r="OKK555" s="500"/>
      <c r="OKL555" s="500"/>
      <c r="OKM555" s="500"/>
      <c r="OKN555" s="500"/>
      <c r="OKO555" s="500"/>
      <c r="OKP555" s="500"/>
      <c r="OKQ555" s="500"/>
      <c r="OKR555" s="500"/>
      <c r="OKS555" s="500"/>
      <c r="OKT555" s="500"/>
      <c r="OKU555" s="500"/>
      <c r="OKV555" s="500"/>
      <c r="OKW555" s="500"/>
      <c r="OKX555" s="500"/>
      <c r="OKY555" s="500"/>
      <c r="OKZ555" s="500"/>
      <c r="OLA555" s="500"/>
      <c r="OLB555" s="500"/>
      <c r="OLC555" s="500"/>
      <c r="OLD555" s="500"/>
      <c r="OLE555" s="500"/>
      <c r="OLF555" s="500"/>
      <c r="OLG555" s="500"/>
      <c r="OLH555" s="500"/>
      <c r="OLI555" s="500"/>
      <c r="OLJ555" s="500"/>
      <c r="OLK555" s="500"/>
      <c r="OLL555" s="500"/>
      <c r="OLM555" s="500"/>
      <c r="OLN555" s="500"/>
      <c r="OLO555" s="500"/>
      <c r="OLP555" s="500"/>
      <c r="OLQ555" s="500"/>
      <c r="OLR555" s="500"/>
      <c r="OLS555" s="500"/>
      <c r="OLT555" s="500"/>
      <c r="OLU555" s="500"/>
      <c r="OLV555" s="500"/>
      <c r="OLW555" s="500"/>
      <c r="OLX555" s="500"/>
      <c r="OLY555" s="500"/>
      <c r="OLZ555" s="500"/>
      <c r="OMA555" s="500"/>
      <c r="OMB555" s="500"/>
      <c r="OMC555" s="500"/>
      <c r="OMD555" s="500"/>
      <c r="OME555" s="500"/>
      <c r="OMF555" s="500"/>
      <c r="OMG555" s="500"/>
      <c r="OMH555" s="500"/>
      <c r="OMI555" s="500"/>
      <c r="OMJ555" s="500"/>
      <c r="OMK555" s="500"/>
      <c r="OML555" s="500"/>
      <c r="OMM555" s="500"/>
      <c r="OMN555" s="500"/>
      <c r="OMO555" s="500"/>
      <c r="OMP555" s="500"/>
      <c r="OMQ555" s="500"/>
      <c r="OMR555" s="500"/>
      <c r="OMS555" s="500"/>
      <c r="OMT555" s="500"/>
      <c r="OMU555" s="500"/>
      <c r="OMV555" s="500"/>
      <c r="OMW555" s="500"/>
      <c r="OMX555" s="500"/>
      <c r="OMY555" s="500"/>
      <c r="OMZ555" s="500"/>
      <c r="ONA555" s="500"/>
      <c r="ONB555" s="500"/>
      <c r="ONC555" s="500"/>
      <c r="OND555" s="500"/>
      <c r="ONE555" s="500"/>
      <c r="ONF555" s="500"/>
      <c r="ONG555" s="500"/>
      <c r="ONH555" s="500"/>
      <c r="ONI555" s="500"/>
      <c r="ONJ555" s="500"/>
      <c r="ONK555" s="500"/>
      <c r="ONL555" s="500"/>
      <c r="ONM555" s="500"/>
      <c r="ONN555" s="500"/>
      <c r="ONO555" s="500"/>
      <c r="ONP555" s="500"/>
      <c r="ONQ555" s="500"/>
      <c r="ONR555" s="500"/>
      <c r="ONS555" s="500"/>
      <c r="ONT555" s="500"/>
      <c r="ONU555" s="500"/>
      <c r="ONV555" s="500"/>
      <c r="ONW555" s="500"/>
      <c r="ONX555" s="500"/>
      <c r="ONY555" s="500"/>
      <c r="ONZ555" s="500"/>
      <c r="OOA555" s="500"/>
      <c r="OOB555" s="500"/>
      <c r="OOC555" s="500"/>
      <c r="OOD555" s="500"/>
      <c r="OOE555" s="500"/>
      <c r="OOF555" s="500"/>
      <c r="OOG555" s="500"/>
      <c r="OOH555" s="500"/>
      <c r="OOI555" s="500"/>
      <c r="OOJ555" s="500"/>
      <c r="OOK555" s="500"/>
      <c r="OOL555" s="500"/>
      <c r="OOM555" s="500"/>
      <c r="OON555" s="500"/>
      <c r="OOO555" s="500"/>
      <c r="OOP555" s="500"/>
      <c r="OOQ555" s="500"/>
      <c r="OOR555" s="500"/>
      <c r="OOS555" s="500"/>
      <c r="OOT555" s="500"/>
      <c r="OOU555" s="500"/>
      <c r="OOV555" s="500"/>
      <c r="OOW555" s="500"/>
      <c r="OOX555" s="500"/>
      <c r="OOY555" s="500"/>
      <c r="OOZ555" s="500"/>
      <c r="OPA555" s="500"/>
      <c r="OPB555" s="500"/>
      <c r="OPC555" s="500"/>
      <c r="OPD555" s="500"/>
      <c r="OPE555" s="500"/>
      <c r="OPF555" s="500"/>
      <c r="OPG555" s="500"/>
      <c r="OPH555" s="500"/>
      <c r="OPI555" s="500"/>
      <c r="OPJ555" s="500"/>
      <c r="OPK555" s="500"/>
      <c r="OPL555" s="500"/>
      <c r="OPM555" s="500"/>
      <c r="OPN555" s="500"/>
      <c r="OPO555" s="500"/>
      <c r="OPP555" s="500"/>
      <c r="OPQ555" s="500"/>
      <c r="OPR555" s="500"/>
      <c r="OPS555" s="500"/>
      <c r="OPT555" s="500"/>
      <c r="OPU555" s="500"/>
      <c r="OPV555" s="500"/>
      <c r="OPW555" s="500"/>
      <c r="OPX555" s="500"/>
      <c r="OPY555" s="500"/>
      <c r="OPZ555" s="500"/>
      <c r="OQA555" s="500"/>
      <c r="OQB555" s="500"/>
      <c r="OQC555" s="500"/>
      <c r="OQD555" s="500"/>
      <c r="OQE555" s="500"/>
      <c r="OQF555" s="500"/>
      <c r="OQG555" s="500"/>
      <c r="OQH555" s="500"/>
      <c r="OQI555" s="500"/>
      <c r="OQJ555" s="500"/>
      <c r="OQK555" s="500"/>
      <c r="OQL555" s="500"/>
      <c r="OQM555" s="500"/>
      <c r="OQN555" s="500"/>
      <c r="OQO555" s="500"/>
      <c r="OQP555" s="500"/>
      <c r="OQQ555" s="500"/>
      <c r="OQR555" s="500"/>
      <c r="OQS555" s="500"/>
      <c r="OQT555" s="500"/>
      <c r="OQU555" s="500"/>
      <c r="OQV555" s="500"/>
      <c r="OQW555" s="500"/>
      <c r="OQX555" s="500"/>
      <c r="OQY555" s="500"/>
      <c r="OQZ555" s="500"/>
      <c r="ORA555" s="500"/>
      <c r="ORB555" s="500"/>
      <c r="ORC555" s="500"/>
      <c r="ORD555" s="500"/>
      <c r="ORE555" s="500"/>
      <c r="ORF555" s="500"/>
      <c r="ORG555" s="500"/>
      <c r="ORH555" s="500"/>
      <c r="ORI555" s="500"/>
      <c r="ORJ555" s="500"/>
      <c r="ORK555" s="500"/>
      <c r="ORL555" s="500"/>
      <c r="ORM555" s="500"/>
      <c r="ORN555" s="500"/>
      <c r="ORO555" s="500"/>
      <c r="ORP555" s="500"/>
      <c r="ORQ555" s="500"/>
      <c r="ORR555" s="500"/>
      <c r="ORS555" s="500"/>
      <c r="ORT555" s="500"/>
      <c r="ORU555" s="500"/>
      <c r="ORV555" s="500"/>
      <c r="ORW555" s="500"/>
      <c r="ORX555" s="500"/>
      <c r="ORY555" s="500"/>
      <c r="ORZ555" s="500"/>
      <c r="OSA555" s="500"/>
      <c r="OSB555" s="500"/>
      <c r="OSC555" s="500"/>
      <c r="OSD555" s="500"/>
      <c r="OSE555" s="500"/>
      <c r="OSF555" s="500"/>
      <c r="OSG555" s="500"/>
      <c r="OSH555" s="500"/>
      <c r="OSI555" s="500"/>
      <c r="OSJ555" s="500"/>
      <c r="OSK555" s="500"/>
      <c r="OSL555" s="500"/>
      <c r="OSM555" s="500"/>
      <c r="OSN555" s="500"/>
      <c r="OSO555" s="500"/>
      <c r="OSP555" s="500"/>
      <c r="OSQ555" s="500"/>
      <c r="OSR555" s="500"/>
      <c r="OSS555" s="500"/>
      <c r="OST555" s="500"/>
      <c r="OSU555" s="500"/>
      <c r="OSV555" s="500"/>
      <c r="OSW555" s="500"/>
      <c r="OSX555" s="500"/>
      <c r="OSY555" s="500"/>
      <c r="OSZ555" s="500"/>
      <c r="OTA555" s="500"/>
      <c r="OTB555" s="500"/>
      <c r="OTC555" s="500"/>
      <c r="OTD555" s="500"/>
      <c r="OTE555" s="500"/>
      <c r="OTF555" s="500"/>
      <c r="OTG555" s="500"/>
      <c r="OTH555" s="500"/>
      <c r="OTI555" s="500"/>
      <c r="OTJ555" s="500"/>
      <c r="OTK555" s="500"/>
      <c r="OTL555" s="500"/>
      <c r="OTM555" s="500"/>
      <c r="OTN555" s="500"/>
      <c r="OTO555" s="500"/>
      <c r="OTP555" s="500"/>
      <c r="OTQ555" s="500"/>
      <c r="OTR555" s="500"/>
      <c r="OTS555" s="500"/>
      <c r="OTT555" s="500"/>
      <c r="OTU555" s="500"/>
      <c r="OTV555" s="500"/>
      <c r="OTW555" s="500"/>
      <c r="OTX555" s="500"/>
      <c r="OTY555" s="500"/>
      <c r="OTZ555" s="500"/>
      <c r="OUA555" s="500"/>
      <c r="OUB555" s="500"/>
      <c r="OUC555" s="500"/>
      <c r="OUD555" s="500"/>
      <c r="OUE555" s="500"/>
      <c r="OUF555" s="500"/>
      <c r="OUG555" s="500"/>
      <c r="OUH555" s="500"/>
      <c r="OUI555" s="500"/>
      <c r="OUJ555" s="500"/>
      <c r="OUK555" s="500"/>
      <c r="OUL555" s="500"/>
      <c r="OUM555" s="500"/>
      <c r="OUN555" s="500"/>
      <c r="OUO555" s="500"/>
      <c r="OUP555" s="500"/>
      <c r="OUQ555" s="500"/>
      <c r="OUR555" s="500"/>
      <c r="OUS555" s="500"/>
      <c r="OUT555" s="500"/>
      <c r="OUU555" s="500"/>
      <c r="OUV555" s="500"/>
      <c r="OUW555" s="500"/>
      <c r="OUX555" s="500"/>
      <c r="OUY555" s="500"/>
      <c r="OUZ555" s="500"/>
      <c r="OVA555" s="500"/>
      <c r="OVB555" s="500"/>
      <c r="OVC555" s="500"/>
      <c r="OVD555" s="500"/>
      <c r="OVE555" s="500"/>
      <c r="OVF555" s="500"/>
      <c r="OVG555" s="500"/>
      <c r="OVH555" s="500"/>
      <c r="OVI555" s="500"/>
      <c r="OVJ555" s="500"/>
      <c r="OVK555" s="500"/>
      <c r="OVL555" s="500"/>
      <c r="OVM555" s="500"/>
      <c r="OVN555" s="500"/>
      <c r="OVO555" s="500"/>
      <c r="OVP555" s="500"/>
      <c r="OVQ555" s="500"/>
      <c r="OVR555" s="500"/>
      <c r="OVS555" s="500"/>
      <c r="OVT555" s="500"/>
      <c r="OVU555" s="500"/>
      <c r="OVV555" s="500"/>
      <c r="OVW555" s="500"/>
      <c r="OVX555" s="500"/>
      <c r="OVY555" s="500"/>
      <c r="OVZ555" s="500"/>
      <c r="OWA555" s="500"/>
      <c r="OWB555" s="500"/>
      <c r="OWC555" s="500"/>
      <c r="OWD555" s="500"/>
      <c r="OWE555" s="500"/>
      <c r="OWF555" s="500"/>
      <c r="OWG555" s="500"/>
      <c r="OWH555" s="500"/>
      <c r="OWI555" s="500"/>
      <c r="OWJ555" s="500"/>
      <c r="OWK555" s="500"/>
      <c r="OWL555" s="500"/>
      <c r="OWM555" s="500"/>
      <c r="OWN555" s="500"/>
      <c r="OWO555" s="500"/>
      <c r="OWP555" s="500"/>
      <c r="OWQ555" s="500"/>
      <c r="OWR555" s="500"/>
      <c r="OWS555" s="500"/>
      <c r="OWT555" s="500"/>
      <c r="OWU555" s="500"/>
      <c r="OWV555" s="500"/>
      <c r="OWW555" s="500"/>
      <c r="OWX555" s="500"/>
      <c r="OWY555" s="500"/>
      <c r="OWZ555" s="500"/>
      <c r="OXA555" s="500"/>
      <c r="OXB555" s="500"/>
      <c r="OXC555" s="500"/>
      <c r="OXD555" s="500"/>
      <c r="OXE555" s="500"/>
      <c r="OXF555" s="500"/>
      <c r="OXG555" s="500"/>
      <c r="OXH555" s="500"/>
      <c r="OXI555" s="500"/>
      <c r="OXJ555" s="500"/>
      <c r="OXK555" s="500"/>
      <c r="OXL555" s="500"/>
      <c r="OXM555" s="500"/>
      <c r="OXN555" s="500"/>
      <c r="OXO555" s="500"/>
      <c r="OXP555" s="500"/>
      <c r="OXQ555" s="500"/>
      <c r="OXR555" s="500"/>
      <c r="OXS555" s="500"/>
      <c r="OXT555" s="500"/>
      <c r="OXU555" s="500"/>
      <c r="OXV555" s="500"/>
      <c r="OXW555" s="500"/>
      <c r="OXX555" s="500"/>
      <c r="OXY555" s="500"/>
      <c r="OXZ555" s="500"/>
      <c r="OYA555" s="500"/>
      <c r="OYB555" s="500"/>
      <c r="OYC555" s="500"/>
      <c r="OYD555" s="500"/>
      <c r="OYE555" s="500"/>
      <c r="OYF555" s="500"/>
      <c r="OYG555" s="500"/>
      <c r="OYH555" s="500"/>
      <c r="OYI555" s="500"/>
      <c r="OYJ555" s="500"/>
      <c r="OYK555" s="500"/>
      <c r="OYL555" s="500"/>
      <c r="OYM555" s="500"/>
      <c r="OYN555" s="500"/>
      <c r="OYO555" s="500"/>
      <c r="OYP555" s="500"/>
      <c r="OYQ555" s="500"/>
      <c r="OYR555" s="500"/>
      <c r="OYS555" s="500"/>
      <c r="OYT555" s="500"/>
      <c r="OYU555" s="500"/>
      <c r="OYV555" s="500"/>
      <c r="OYW555" s="500"/>
      <c r="OYX555" s="500"/>
      <c r="OYY555" s="500"/>
      <c r="OYZ555" s="500"/>
      <c r="OZA555" s="500"/>
      <c r="OZB555" s="500"/>
      <c r="OZC555" s="500"/>
      <c r="OZD555" s="500"/>
      <c r="OZE555" s="500"/>
      <c r="OZF555" s="500"/>
      <c r="OZG555" s="500"/>
      <c r="OZH555" s="500"/>
      <c r="OZI555" s="500"/>
      <c r="OZJ555" s="500"/>
      <c r="OZK555" s="500"/>
      <c r="OZL555" s="500"/>
      <c r="OZM555" s="500"/>
      <c r="OZN555" s="500"/>
      <c r="OZO555" s="500"/>
      <c r="OZP555" s="500"/>
      <c r="OZQ555" s="500"/>
      <c r="OZR555" s="500"/>
      <c r="OZS555" s="500"/>
      <c r="OZT555" s="500"/>
      <c r="OZU555" s="500"/>
      <c r="OZV555" s="500"/>
      <c r="OZW555" s="500"/>
      <c r="OZX555" s="500"/>
      <c r="OZY555" s="500"/>
      <c r="OZZ555" s="500"/>
      <c r="PAA555" s="500"/>
      <c r="PAB555" s="500"/>
      <c r="PAC555" s="500"/>
      <c r="PAD555" s="500"/>
      <c r="PAE555" s="500"/>
      <c r="PAF555" s="500"/>
      <c r="PAG555" s="500"/>
      <c r="PAH555" s="500"/>
      <c r="PAI555" s="500"/>
      <c r="PAJ555" s="500"/>
      <c r="PAK555" s="500"/>
      <c r="PAL555" s="500"/>
      <c r="PAM555" s="500"/>
      <c r="PAN555" s="500"/>
      <c r="PAO555" s="500"/>
      <c r="PAP555" s="500"/>
      <c r="PAQ555" s="500"/>
      <c r="PAR555" s="500"/>
      <c r="PAS555" s="500"/>
      <c r="PAT555" s="500"/>
      <c r="PAU555" s="500"/>
      <c r="PAV555" s="500"/>
      <c r="PAW555" s="500"/>
      <c r="PAX555" s="500"/>
      <c r="PAY555" s="500"/>
      <c r="PAZ555" s="500"/>
      <c r="PBA555" s="500"/>
      <c r="PBB555" s="500"/>
      <c r="PBC555" s="500"/>
      <c r="PBD555" s="500"/>
      <c r="PBE555" s="500"/>
      <c r="PBF555" s="500"/>
      <c r="PBG555" s="500"/>
      <c r="PBH555" s="500"/>
      <c r="PBI555" s="500"/>
      <c r="PBJ555" s="500"/>
      <c r="PBK555" s="500"/>
      <c r="PBL555" s="500"/>
      <c r="PBM555" s="500"/>
      <c r="PBN555" s="500"/>
      <c r="PBO555" s="500"/>
      <c r="PBP555" s="500"/>
      <c r="PBQ555" s="500"/>
      <c r="PBR555" s="500"/>
      <c r="PBS555" s="500"/>
      <c r="PBT555" s="500"/>
      <c r="PBU555" s="500"/>
      <c r="PBV555" s="500"/>
      <c r="PBW555" s="500"/>
      <c r="PBX555" s="500"/>
      <c r="PBY555" s="500"/>
      <c r="PBZ555" s="500"/>
      <c r="PCA555" s="500"/>
      <c r="PCB555" s="500"/>
      <c r="PCC555" s="500"/>
      <c r="PCD555" s="500"/>
      <c r="PCE555" s="500"/>
      <c r="PCF555" s="500"/>
      <c r="PCG555" s="500"/>
      <c r="PCH555" s="500"/>
      <c r="PCI555" s="500"/>
      <c r="PCJ555" s="500"/>
      <c r="PCK555" s="500"/>
      <c r="PCL555" s="500"/>
      <c r="PCM555" s="500"/>
      <c r="PCN555" s="500"/>
      <c r="PCO555" s="500"/>
      <c r="PCP555" s="500"/>
      <c r="PCQ555" s="500"/>
      <c r="PCR555" s="500"/>
      <c r="PCS555" s="500"/>
      <c r="PCT555" s="500"/>
      <c r="PCU555" s="500"/>
      <c r="PCV555" s="500"/>
      <c r="PCW555" s="500"/>
      <c r="PCX555" s="500"/>
      <c r="PCY555" s="500"/>
      <c r="PCZ555" s="500"/>
      <c r="PDA555" s="500"/>
      <c r="PDB555" s="500"/>
      <c r="PDC555" s="500"/>
      <c r="PDD555" s="500"/>
      <c r="PDE555" s="500"/>
      <c r="PDF555" s="500"/>
      <c r="PDG555" s="500"/>
      <c r="PDH555" s="500"/>
      <c r="PDI555" s="500"/>
      <c r="PDJ555" s="500"/>
      <c r="PDK555" s="500"/>
      <c r="PDL555" s="500"/>
      <c r="PDM555" s="500"/>
      <c r="PDN555" s="500"/>
      <c r="PDO555" s="500"/>
      <c r="PDP555" s="500"/>
      <c r="PDQ555" s="500"/>
      <c r="PDR555" s="500"/>
      <c r="PDS555" s="500"/>
      <c r="PDT555" s="500"/>
      <c r="PDU555" s="500"/>
      <c r="PDV555" s="500"/>
      <c r="PDW555" s="500"/>
      <c r="PDX555" s="500"/>
      <c r="PDY555" s="500"/>
      <c r="PDZ555" s="500"/>
      <c r="PEA555" s="500"/>
      <c r="PEB555" s="500"/>
      <c r="PEC555" s="500"/>
      <c r="PED555" s="500"/>
      <c r="PEE555" s="500"/>
      <c r="PEF555" s="500"/>
      <c r="PEG555" s="500"/>
      <c r="PEH555" s="500"/>
      <c r="PEI555" s="500"/>
      <c r="PEJ555" s="500"/>
      <c r="PEK555" s="500"/>
      <c r="PEL555" s="500"/>
      <c r="PEM555" s="500"/>
      <c r="PEN555" s="500"/>
      <c r="PEO555" s="500"/>
      <c r="PEP555" s="500"/>
      <c r="PEQ555" s="500"/>
      <c r="PER555" s="500"/>
      <c r="PES555" s="500"/>
      <c r="PET555" s="500"/>
      <c r="PEU555" s="500"/>
      <c r="PEV555" s="500"/>
      <c r="PEW555" s="500"/>
      <c r="PEX555" s="500"/>
      <c r="PEY555" s="500"/>
      <c r="PEZ555" s="500"/>
      <c r="PFA555" s="500"/>
      <c r="PFB555" s="500"/>
      <c r="PFC555" s="500"/>
      <c r="PFD555" s="500"/>
      <c r="PFE555" s="500"/>
      <c r="PFF555" s="500"/>
      <c r="PFG555" s="500"/>
      <c r="PFH555" s="500"/>
      <c r="PFI555" s="500"/>
      <c r="PFJ555" s="500"/>
      <c r="PFK555" s="500"/>
      <c r="PFL555" s="500"/>
      <c r="PFM555" s="500"/>
      <c r="PFN555" s="500"/>
      <c r="PFO555" s="500"/>
      <c r="PFP555" s="500"/>
      <c r="PFQ555" s="500"/>
      <c r="PFR555" s="500"/>
      <c r="PFS555" s="500"/>
      <c r="PFT555" s="500"/>
      <c r="PFU555" s="500"/>
      <c r="PFV555" s="500"/>
      <c r="PFW555" s="500"/>
      <c r="PFX555" s="500"/>
      <c r="PFY555" s="500"/>
      <c r="PFZ555" s="500"/>
      <c r="PGA555" s="500"/>
      <c r="PGB555" s="500"/>
      <c r="PGC555" s="500"/>
      <c r="PGD555" s="500"/>
      <c r="PGE555" s="500"/>
      <c r="PGF555" s="500"/>
      <c r="PGG555" s="500"/>
      <c r="PGH555" s="500"/>
      <c r="PGI555" s="500"/>
      <c r="PGJ555" s="500"/>
      <c r="PGK555" s="500"/>
      <c r="PGL555" s="500"/>
      <c r="PGM555" s="500"/>
      <c r="PGN555" s="500"/>
      <c r="PGO555" s="500"/>
      <c r="PGP555" s="500"/>
      <c r="PGQ555" s="500"/>
      <c r="PGR555" s="500"/>
      <c r="PGS555" s="500"/>
      <c r="PGT555" s="500"/>
      <c r="PGU555" s="500"/>
      <c r="PGV555" s="500"/>
      <c r="PGW555" s="500"/>
      <c r="PGX555" s="500"/>
      <c r="PGY555" s="500"/>
      <c r="PGZ555" s="500"/>
      <c r="PHA555" s="500"/>
      <c r="PHB555" s="500"/>
      <c r="PHC555" s="500"/>
      <c r="PHD555" s="500"/>
      <c r="PHE555" s="500"/>
      <c r="PHF555" s="500"/>
      <c r="PHG555" s="500"/>
      <c r="PHH555" s="500"/>
      <c r="PHI555" s="500"/>
      <c r="PHJ555" s="500"/>
      <c r="PHK555" s="500"/>
      <c r="PHL555" s="500"/>
      <c r="PHM555" s="500"/>
      <c r="PHN555" s="500"/>
      <c r="PHO555" s="500"/>
      <c r="PHP555" s="500"/>
      <c r="PHQ555" s="500"/>
      <c r="PHR555" s="500"/>
      <c r="PHS555" s="500"/>
      <c r="PHT555" s="500"/>
      <c r="PHU555" s="500"/>
      <c r="PHV555" s="500"/>
      <c r="PHW555" s="500"/>
      <c r="PHX555" s="500"/>
      <c r="PHY555" s="500"/>
      <c r="PHZ555" s="500"/>
      <c r="PIA555" s="500"/>
      <c r="PIB555" s="500"/>
      <c r="PIC555" s="500"/>
      <c r="PID555" s="500"/>
      <c r="PIE555" s="500"/>
      <c r="PIF555" s="500"/>
      <c r="PIG555" s="500"/>
      <c r="PIH555" s="500"/>
      <c r="PII555" s="500"/>
      <c r="PIJ555" s="500"/>
      <c r="PIK555" s="500"/>
      <c r="PIL555" s="500"/>
      <c r="PIM555" s="500"/>
      <c r="PIN555" s="500"/>
      <c r="PIO555" s="500"/>
      <c r="PIP555" s="500"/>
      <c r="PIQ555" s="500"/>
      <c r="PIR555" s="500"/>
      <c r="PIS555" s="500"/>
      <c r="PIT555" s="500"/>
      <c r="PIU555" s="500"/>
      <c r="PIV555" s="500"/>
      <c r="PIW555" s="500"/>
      <c r="PIX555" s="500"/>
      <c r="PIY555" s="500"/>
      <c r="PIZ555" s="500"/>
      <c r="PJA555" s="500"/>
      <c r="PJB555" s="500"/>
      <c r="PJC555" s="500"/>
      <c r="PJD555" s="500"/>
      <c r="PJE555" s="500"/>
      <c r="PJF555" s="500"/>
      <c r="PJG555" s="500"/>
      <c r="PJH555" s="500"/>
      <c r="PJI555" s="500"/>
      <c r="PJJ555" s="500"/>
      <c r="PJK555" s="500"/>
      <c r="PJL555" s="500"/>
      <c r="PJM555" s="500"/>
      <c r="PJN555" s="500"/>
      <c r="PJO555" s="500"/>
      <c r="PJP555" s="500"/>
      <c r="PJQ555" s="500"/>
      <c r="PJR555" s="500"/>
      <c r="PJS555" s="500"/>
      <c r="PJT555" s="500"/>
      <c r="PJU555" s="500"/>
      <c r="PJV555" s="500"/>
      <c r="PJW555" s="500"/>
      <c r="PJX555" s="500"/>
      <c r="PJY555" s="500"/>
      <c r="PJZ555" s="500"/>
      <c r="PKA555" s="500"/>
      <c r="PKB555" s="500"/>
      <c r="PKC555" s="500"/>
      <c r="PKD555" s="500"/>
      <c r="PKE555" s="500"/>
      <c r="PKF555" s="500"/>
      <c r="PKG555" s="500"/>
      <c r="PKH555" s="500"/>
      <c r="PKI555" s="500"/>
      <c r="PKJ555" s="500"/>
      <c r="PKK555" s="500"/>
      <c r="PKL555" s="500"/>
      <c r="PKM555" s="500"/>
      <c r="PKN555" s="500"/>
      <c r="PKO555" s="500"/>
      <c r="PKP555" s="500"/>
      <c r="PKQ555" s="500"/>
      <c r="PKR555" s="500"/>
      <c r="PKS555" s="500"/>
      <c r="PKT555" s="500"/>
      <c r="PKU555" s="500"/>
      <c r="PKV555" s="500"/>
      <c r="PKW555" s="500"/>
      <c r="PKX555" s="500"/>
      <c r="PKY555" s="500"/>
      <c r="PKZ555" s="500"/>
      <c r="PLA555" s="500"/>
      <c r="PLB555" s="500"/>
      <c r="PLC555" s="500"/>
      <c r="PLD555" s="500"/>
      <c r="PLE555" s="500"/>
      <c r="PLF555" s="500"/>
      <c r="PLG555" s="500"/>
      <c r="PLH555" s="500"/>
      <c r="PLI555" s="500"/>
      <c r="PLJ555" s="500"/>
      <c r="PLK555" s="500"/>
      <c r="PLL555" s="500"/>
      <c r="PLM555" s="500"/>
      <c r="PLN555" s="500"/>
      <c r="PLO555" s="500"/>
      <c r="PLP555" s="500"/>
      <c r="PLQ555" s="500"/>
      <c r="PLR555" s="500"/>
      <c r="PLS555" s="500"/>
      <c r="PLT555" s="500"/>
      <c r="PLU555" s="500"/>
      <c r="PLV555" s="500"/>
      <c r="PLW555" s="500"/>
      <c r="PLX555" s="500"/>
      <c r="PLY555" s="500"/>
      <c r="PLZ555" s="500"/>
      <c r="PMA555" s="500"/>
      <c r="PMB555" s="500"/>
      <c r="PMC555" s="500"/>
      <c r="PMD555" s="500"/>
      <c r="PME555" s="500"/>
      <c r="PMF555" s="500"/>
      <c r="PMG555" s="500"/>
      <c r="PMH555" s="500"/>
      <c r="PMI555" s="500"/>
      <c r="PMJ555" s="500"/>
      <c r="PMK555" s="500"/>
      <c r="PML555" s="500"/>
      <c r="PMM555" s="500"/>
      <c r="PMN555" s="500"/>
      <c r="PMO555" s="500"/>
      <c r="PMP555" s="500"/>
      <c r="PMQ555" s="500"/>
      <c r="PMR555" s="500"/>
      <c r="PMS555" s="500"/>
      <c r="PMT555" s="500"/>
      <c r="PMU555" s="500"/>
      <c r="PMV555" s="500"/>
      <c r="PMW555" s="500"/>
      <c r="PMX555" s="500"/>
      <c r="PMY555" s="500"/>
      <c r="PMZ555" s="500"/>
      <c r="PNA555" s="500"/>
      <c r="PNB555" s="500"/>
      <c r="PNC555" s="500"/>
      <c r="PND555" s="500"/>
      <c r="PNE555" s="500"/>
      <c r="PNF555" s="500"/>
      <c r="PNG555" s="500"/>
      <c r="PNH555" s="500"/>
      <c r="PNI555" s="500"/>
      <c r="PNJ555" s="500"/>
      <c r="PNK555" s="500"/>
      <c r="PNL555" s="500"/>
      <c r="PNM555" s="500"/>
      <c r="PNN555" s="500"/>
      <c r="PNO555" s="500"/>
      <c r="PNP555" s="500"/>
      <c r="PNQ555" s="500"/>
      <c r="PNR555" s="500"/>
      <c r="PNS555" s="500"/>
      <c r="PNT555" s="500"/>
      <c r="PNU555" s="500"/>
      <c r="PNV555" s="500"/>
      <c r="PNW555" s="500"/>
      <c r="PNX555" s="500"/>
      <c r="PNY555" s="500"/>
      <c r="PNZ555" s="500"/>
      <c r="POA555" s="500"/>
      <c r="POB555" s="500"/>
      <c r="POC555" s="500"/>
      <c r="POD555" s="500"/>
      <c r="POE555" s="500"/>
      <c r="POF555" s="500"/>
      <c r="POG555" s="500"/>
      <c r="POH555" s="500"/>
      <c r="POI555" s="500"/>
      <c r="POJ555" s="500"/>
      <c r="POK555" s="500"/>
      <c r="POL555" s="500"/>
      <c r="POM555" s="500"/>
      <c r="PON555" s="500"/>
      <c r="POO555" s="500"/>
      <c r="POP555" s="500"/>
      <c r="POQ555" s="500"/>
      <c r="POR555" s="500"/>
      <c r="POS555" s="500"/>
      <c r="POT555" s="500"/>
      <c r="POU555" s="500"/>
      <c r="POV555" s="500"/>
      <c r="POW555" s="500"/>
      <c r="POX555" s="500"/>
      <c r="POY555" s="500"/>
      <c r="POZ555" s="500"/>
      <c r="PPA555" s="500"/>
      <c r="PPB555" s="500"/>
      <c r="PPC555" s="500"/>
      <c r="PPD555" s="500"/>
      <c r="PPE555" s="500"/>
      <c r="PPF555" s="500"/>
      <c r="PPG555" s="500"/>
      <c r="PPH555" s="500"/>
      <c r="PPI555" s="500"/>
      <c r="PPJ555" s="500"/>
      <c r="PPK555" s="500"/>
      <c r="PPL555" s="500"/>
      <c r="PPM555" s="500"/>
      <c r="PPN555" s="500"/>
      <c r="PPO555" s="500"/>
      <c r="PPP555" s="500"/>
      <c r="PPQ555" s="500"/>
      <c r="PPR555" s="500"/>
      <c r="PPS555" s="500"/>
      <c r="PPT555" s="500"/>
      <c r="PPU555" s="500"/>
      <c r="PPV555" s="500"/>
      <c r="PPW555" s="500"/>
      <c r="PPX555" s="500"/>
      <c r="PPY555" s="500"/>
      <c r="PPZ555" s="500"/>
      <c r="PQA555" s="500"/>
      <c r="PQB555" s="500"/>
      <c r="PQC555" s="500"/>
      <c r="PQD555" s="500"/>
      <c r="PQE555" s="500"/>
      <c r="PQF555" s="500"/>
      <c r="PQG555" s="500"/>
      <c r="PQH555" s="500"/>
      <c r="PQI555" s="500"/>
      <c r="PQJ555" s="500"/>
      <c r="PQK555" s="500"/>
      <c r="PQL555" s="500"/>
      <c r="PQM555" s="500"/>
      <c r="PQN555" s="500"/>
      <c r="PQO555" s="500"/>
      <c r="PQP555" s="500"/>
      <c r="PQQ555" s="500"/>
      <c r="PQR555" s="500"/>
      <c r="PQS555" s="500"/>
      <c r="PQT555" s="500"/>
      <c r="PQU555" s="500"/>
      <c r="PQV555" s="500"/>
      <c r="PQW555" s="500"/>
      <c r="PQX555" s="500"/>
      <c r="PQY555" s="500"/>
      <c r="PQZ555" s="500"/>
      <c r="PRA555" s="500"/>
      <c r="PRB555" s="500"/>
      <c r="PRC555" s="500"/>
      <c r="PRD555" s="500"/>
      <c r="PRE555" s="500"/>
      <c r="PRF555" s="500"/>
      <c r="PRG555" s="500"/>
      <c r="PRH555" s="500"/>
      <c r="PRI555" s="500"/>
      <c r="PRJ555" s="500"/>
      <c r="PRK555" s="500"/>
      <c r="PRL555" s="500"/>
      <c r="PRM555" s="500"/>
      <c r="PRN555" s="500"/>
      <c r="PRO555" s="500"/>
      <c r="PRP555" s="500"/>
      <c r="PRQ555" s="500"/>
      <c r="PRR555" s="500"/>
      <c r="PRS555" s="500"/>
      <c r="PRT555" s="500"/>
      <c r="PRU555" s="500"/>
      <c r="PRV555" s="500"/>
      <c r="PRW555" s="500"/>
      <c r="PRX555" s="500"/>
      <c r="PRY555" s="500"/>
      <c r="PRZ555" s="500"/>
      <c r="PSA555" s="500"/>
      <c r="PSB555" s="500"/>
      <c r="PSC555" s="500"/>
      <c r="PSD555" s="500"/>
      <c r="PSE555" s="500"/>
      <c r="PSF555" s="500"/>
      <c r="PSG555" s="500"/>
      <c r="PSH555" s="500"/>
      <c r="PSI555" s="500"/>
      <c r="PSJ555" s="500"/>
      <c r="PSK555" s="500"/>
      <c r="PSL555" s="500"/>
      <c r="PSM555" s="500"/>
      <c r="PSN555" s="500"/>
      <c r="PSO555" s="500"/>
      <c r="PSP555" s="500"/>
      <c r="PSQ555" s="500"/>
      <c r="PSR555" s="500"/>
      <c r="PSS555" s="500"/>
      <c r="PST555" s="500"/>
      <c r="PSU555" s="500"/>
      <c r="PSV555" s="500"/>
      <c r="PSW555" s="500"/>
      <c r="PSX555" s="500"/>
      <c r="PSY555" s="500"/>
      <c r="PSZ555" s="500"/>
      <c r="PTA555" s="500"/>
      <c r="PTB555" s="500"/>
      <c r="PTC555" s="500"/>
      <c r="PTD555" s="500"/>
      <c r="PTE555" s="500"/>
      <c r="PTF555" s="500"/>
      <c r="PTG555" s="500"/>
      <c r="PTH555" s="500"/>
      <c r="PTI555" s="500"/>
      <c r="PTJ555" s="500"/>
      <c r="PTK555" s="500"/>
      <c r="PTL555" s="500"/>
      <c r="PTM555" s="500"/>
      <c r="PTN555" s="500"/>
      <c r="PTO555" s="500"/>
      <c r="PTP555" s="500"/>
      <c r="PTQ555" s="500"/>
      <c r="PTR555" s="500"/>
      <c r="PTS555" s="500"/>
      <c r="PTT555" s="500"/>
      <c r="PTU555" s="500"/>
      <c r="PTV555" s="500"/>
      <c r="PTW555" s="500"/>
      <c r="PTX555" s="500"/>
      <c r="PTY555" s="500"/>
      <c r="PTZ555" s="500"/>
      <c r="PUA555" s="500"/>
      <c r="PUB555" s="500"/>
      <c r="PUC555" s="500"/>
      <c r="PUD555" s="500"/>
      <c r="PUE555" s="500"/>
      <c r="PUF555" s="500"/>
      <c r="PUG555" s="500"/>
      <c r="PUH555" s="500"/>
      <c r="PUI555" s="500"/>
      <c r="PUJ555" s="500"/>
      <c r="PUK555" s="500"/>
      <c r="PUL555" s="500"/>
      <c r="PUM555" s="500"/>
      <c r="PUN555" s="500"/>
      <c r="PUO555" s="500"/>
      <c r="PUP555" s="500"/>
      <c r="PUQ555" s="500"/>
      <c r="PUR555" s="500"/>
      <c r="PUS555" s="500"/>
      <c r="PUT555" s="500"/>
      <c r="PUU555" s="500"/>
      <c r="PUV555" s="500"/>
      <c r="PUW555" s="500"/>
      <c r="PUX555" s="500"/>
      <c r="PUY555" s="500"/>
      <c r="PUZ555" s="500"/>
      <c r="PVA555" s="500"/>
      <c r="PVB555" s="500"/>
      <c r="PVC555" s="500"/>
      <c r="PVD555" s="500"/>
      <c r="PVE555" s="500"/>
      <c r="PVF555" s="500"/>
      <c r="PVG555" s="500"/>
      <c r="PVH555" s="500"/>
      <c r="PVI555" s="500"/>
      <c r="PVJ555" s="500"/>
      <c r="PVK555" s="500"/>
      <c r="PVL555" s="500"/>
      <c r="PVM555" s="500"/>
      <c r="PVN555" s="500"/>
      <c r="PVO555" s="500"/>
      <c r="PVP555" s="500"/>
      <c r="PVQ555" s="500"/>
      <c r="PVR555" s="500"/>
      <c r="PVS555" s="500"/>
      <c r="PVT555" s="500"/>
      <c r="PVU555" s="500"/>
      <c r="PVV555" s="500"/>
      <c r="PVW555" s="500"/>
      <c r="PVX555" s="500"/>
      <c r="PVY555" s="500"/>
      <c r="PVZ555" s="500"/>
      <c r="PWA555" s="500"/>
      <c r="PWB555" s="500"/>
      <c r="PWC555" s="500"/>
      <c r="PWD555" s="500"/>
      <c r="PWE555" s="500"/>
      <c r="PWF555" s="500"/>
      <c r="PWG555" s="500"/>
      <c r="PWH555" s="500"/>
      <c r="PWI555" s="500"/>
      <c r="PWJ555" s="500"/>
      <c r="PWK555" s="500"/>
      <c r="PWL555" s="500"/>
      <c r="PWM555" s="500"/>
      <c r="PWN555" s="500"/>
      <c r="PWO555" s="500"/>
      <c r="PWP555" s="500"/>
      <c r="PWQ555" s="500"/>
      <c r="PWR555" s="500"/>
      <c r="PWS555" s="500"/>
      <c r="PWT555" s="500"/>
      <c r="PWU555" s="500"/>
      <c r="PWV555" s="500"/>
      <c r="PWW555" s="500"/>
      <c r="PWX555" s="500"/>
      <c r="PWY555" s="500"/>
      <c r="PWZ555" s="500"/>
      <c r="PXA555" s="500"/>
      <c r="PXB555" s="500"/>
      <c r="PXC555" s="500"/>
      <c r="PXD555" s="500"/>
      <c r="PXE555" s="500"/>
      <c r="PXF555" s="500"/>
      <c r="PXG555" s="500"/>
      <c r="PXH555" s="500"/>
      <c r="PXI555" s="500"/>
      <c r="PXJ555" s="500"/>
      <c r="PXK555" s="500"/>
      <c r="PXL555" s="500"/>
      <c r="PXM555" s="500"/>
      <c r="PXN555" s="500"/>
      <c r="PXO555" s="500"/>
      <c r="PXP555" s="500"/>
      <c r="PXQ555" s="500"/>
      <c r="PXR555" s="500"/>
      <c r="PXS555" s="500"/>
      <c r="PXT555" s="500"/>
      <c r="PXU555" s="500"/>
      <c r="PXV555" s="500"/>
      <c r="PXW555" s="500"/>
      <c r="PXX555" s="500"/>
      <c r="PXY555" s="500"/>
      <c r="PXZ555" s="500"/>
      <c r="PYA555" s="500"/>
      <c r="PYB555" s="500"/>
      <c r="PYC555" s="500"/>
      <c r="PYD555" s="500"/>
      <c r="PYE555" s="500"/>
      <c r="PYF555" s="500"/>
      <c r="PYG555" s="500"/>
      <c r="PYH555" s="500"/>
      <c r="PYI555" s="500"/>
      <c r="PYJ555" s="500"/>
      <c r="PYK555" s="500"/>
      <c r="PYL555" s="500"/>
      <c r="PYM555" s="500"/>
      <c r="PYN555" s="500"/>
      <c r="PYO555" s="500"/>
      <c r="PYP555" s="500"/>
      <c r="PYQ555" s="500"/>
      <c r="PYR555" s="500"/>
      <c r="PYS555" s="500"/>
      <c r="PYT555" s="500"/>
      <c r="PYU555" s="500"/>
      <c r="PYV555" s="500"/>
      <c r="PYW555" s="500"/>
      <c r="PYX555" s="500"/>
      <c r="PYY555" s="500"/>
      <c r="PYZ555" s="500"/>
      <c r="PZA555" s="500"/>
      <c r="PZB555" s="500"/>
      <c r="PZC555" s="500"/>
      <c r="PZD555" s="500"/>
      <c r="PZE555" s="500"/>
      <c r="PZF555" s="500"/>
      <c r="PZG555" s="500"/>
      <c r="PZH555" s="500"/>
      <c r="PZI555" s="500"/>
      <c r="PZJ555" s="500"/>
      <c r="PZK555" s="500"/>
      <c r="PZL555" s="500"/>
      <c r="PZM555" s="500"/>
      <c r="PZN555" s="500"/>
      <c r="PZO555" s="500"/>
      <c r="PZP555" s="500"/>
      <c r="PZQ555" s="500"/>
      <c r="PZR555" s="500"/>
      <c r="PZS555" s="500"/>
      <c r="PZT555" s="500"/>
      <c r="PZU555" s="500"/>
      <c r="PZV555" s="500"/>
      <c r="PZW555" s="500"/>
      <c r="PZX555" s="500"/>
      <c r="PZY555" s="500"/>
      <c r="PZZ555" s="500"/>
      <c r="QAA555" s="500"/>
      <c r="QAB555" s="500"/>
      <c r="QAC555" s="500"/>
      <c r="QAD555" s="500"/>
      <c r="QAE555" s="500"/>
      <c r="QAF555" s="500"/>
      <c r="QAG555" s="500"/>
      <c r="QAH555" s="500"/>
      <c r="QAI555" s="500"/>
      <c r="QAJ555" s="500"/>
      <c r="QAK555" s="500"/>
      <c r="QAL555" s="500"/>
      <c r="QAM555" s="500"/>
      <c r="QAN555" s="500"/>
      <c r="QAO555" s="500"/>
      <c r="QAP555" s="500"/>
      <c r="QAQ555" s="500"/>
      <c r="QAR555" s="500"/>
      <c r="QAS555" s="500"/>
      <c r="QAT555" s="500"/>
      <c r="QAU555" s="500"/>
      <c r="QAV555" s="500"/>
      <c r="QAW555" s="500"/>
      <c r="QAX555" s="500"/>
      <c r="QAY555" s="500"/>
      <c r="QAZ555" s="500"/>
      <c r="QBA555" s="500"/>
      <c r="QBB555" s="500"/>
      <c r="QBC555" s="500"/>
      <c r="QBD555" s="500"/>
      <c r="QBE555" s="500"/>
      <c r="QBF555" s="500"/>
      <c r="QBG555" s="500"/>
      <c r="QBH555" s="500"/>
      <c r="QBI555" s="500"/>
      <c r="QBJ555" s="500"/>
      <c r="QBK555" s="500"/>
      <c r="QBL555" s="500"/>
      <c r="QBM555" s="500"/>
      <c r="QBN555" s="500"/>
      <c r="QBO555" s="500"/>
      <c r="QBP555" s="500"/>
      <c r="QBQ555" s="500"/>
      <c r="QBR555" s="500"/>
      <c r="QBS555" s="500"/>
      <c r="QBT555" s="500"/>
      <c r="QBU555" s="500"/>
      <c r="QBV555" s="500"/>
      <c r="QBW555" s="500"/>
      <c r="QBX555" s="500"/>
      <c r="QBY555" s="500"/>
      <c r="QBZ555" s="500"/>
      <c r="QCA555" s="500"/>
      <c r="QCB555" s="500"/>
      <c r="QCC555" s="500"/>
      <c r="QCD555" s="500"/>
      <c r="QCE555" s="500"/>
      <c r="QCF555" s="500"/>
      <c r="QCG555" s="500"/>
      <c r="QCH555" s="500"/>
      <c r="QCI555" s="500"/>
      <c r="QCJ555" s="500"/>
      <c r="QCK555" s="500"/>
      <c r="QCL555" s="500"/>
      <c r="QCM555" s="500"/>
      <c r="QCN555" s="500"/>
      <c r="QCO555" s="500"/>
      <c r="QCP555" s="500"/>
      <c r="QCQ555" s="500"/>
      <c r="QCR555" s="500"/>
      <c r="QCS555" s="500"/>
      <c r="QCT555" s="500"/>
      <c r="QCU555" s="500"/>
      <c r="QCV555" s="500"/>
      <c r="QCW555" s="500"/>
      <c r="QCX555" s="500"/>
      <c r="QCY555" s="500"/>
      <c r="QCZ555" s="500"/>
      <c r="QDA555" s="500"/>
      <c r="QDB555" s="500"/>
      <c r="QDC555" s="500"/>
      <c r="QDD555" s="500"/>
      <c r="QDE555" s="500"/>
      <c r="QDF555" s="500"/>
      <c r="QDG555" s="500"/>
      <c r="QDH555" s="500"/>
      <c r="QDI555" s="500"/>
      <c r="QDJ555" s="500"/>
      <c r="QDK555" s="500"/>
      <c r="QDL555" s="500"/>
      <c r="QDM555" s="500"/>
      <c r="QDN555" s="500"/>
      <c r="QDO555" s="500"/>
      <c r="QDP555" s="500"/>
      <c r="QDQ555" s="500"/>
      <c r="QDR555" s="500"/>
      <c r="QDS555" s="500"/>
      <c r="QDT555" s="500"/>
      <c r="QDU555" s="500"/>
      <c r="QDV555" s="500"/>
      <c r="QDW555" s="500"/>
      <c r="QDX555" s="500"/>
      <c r="QDY555" s="500"/>
      <c r="QDZ555" s="500"/>
      <c r="QEA555" s="500"/>
      <c r="QEB555" s="500"/>
      <c r="QEC555" s="500"/>
      <c r="QED555" s="500"/>
      <c r="QEE555" s="500"/>
      <c r="QEF555" s="500"/>
      <c r="QEG555" s="500"/>
      <c r="QEH555" s="500"/>
      <c r="QEI555" s="500"/>
      <c r="QEJ555" s="500"/>
      <c r="QEK555" s="500"/>
      <c r="QEL555" s="500"/>
      <c r="QEM555" s="500"/>
      <c r="QEN555" s="500"/>
      <c r="QEO555" s="500"/>
      <c r="QEP555" s="500"/>
      <c r="QEQ555" s="500"/>
      <c r="QER555" s="500"/>
      <c r="QES555" s="500"/>
      <c r="QET555" s="500"/>
      <c r="QEU555" s="500"/>
      <c r="QEV555" s="500"/>
      <c r="QEW555" s="500"/>
      <c r="QEX555" s="500"/>
      <c r="QEY555" s="500"/>
      <c r="QEZ555" s="500"/>
      <c r="QFA555" s="500"/>
      <c r="QFB555" s="500"/>
      <c r="QFC555" s="500"/>
      <c r="QFD555" s="500"/>
      <c r="QFE555" s="500"/>
      <c r="QFF555" s="500"/>
      <c r="QFG555" s="500"/>
      <c r="QFH555" s="500"/>
      <c r="QFI555" s="500"/>
      <c r="QFJ555" s="500"/>
      <c r="QFK555" s="500"/>
      <c r="QFL555" s="500"/>
      <c r="QFM555" s="500"/>
      <c r="QFN555" s="500"/>
      <c r="QFO555" s="500"/>
      <c r="QFP555" s="500"/>
      <c r="QFQ555" s="500"/>
      <c r="QFR555" s="500"/>
      <c r="QFS555" s="500"/>
      <c r="QFT555" s="500"/>
      <c r="QFU555" s="500"/>
      <c r="QFV555" s="500"/>
      <c r="QFW555" s="500"/>
      <c r="QFX555" s="500"/>
      <c r="QFY555" s="500"/>
      <c r="QFZ555" s="500"/>
      <c r="QGA555" s="500"/>
      <c r="QGB555" s="500"/>
      <c r="QGC555" s="500"/>
      <c r="QGD555" s="500"/>
      <c r="QGE555" s="500"/>
      <c r="QGF555" s="500"/>
      <c r="QGG555" s="500"/>
      <c r="QGH555" s="500"/>
      <c r="QGI555" s="500"/>
      <c r="QGJ555" s="500"/>
      <c r="QGK555" s="500"/>
      <c r="QGL555" s="500"/>
      <c r="QGM555" s="500"/>
      <c r="QGN555" s="500"/>
      <c r="QGO555" s="500"/>
      <c r="QGP555" s="500"/>
      <c r="QGQ555" s="500"/>
      <c r="QGR555" s="500"/>
      <c r="QGS555" s="500"/>
      <c r="QGT555" s="500"/>
      <c r="QGU555" s="500"/>
      <c r="QGV555" s="500"/>
      <c r="QGW555" s="500"/>
      <c r="QGX555" s="500"/>
      <c r="QGY555" s="500"/>
      <c r="QGZ555" s="500"/>
      <c r="QHA555" s="500"/>
      <c r="QHB555" s="500"/>
      <c r="QHC555" s="500"/>
      <c r="QHD555" s="500"/>
      <c r="QHE555" s="500"/>
      <c r="QHF555" s="500"/>
      <c r="QHG555" s="500"/>
      <c r="QHH555" s="500"/>
      <c r="QHI555" s="500"/>
      <c r="QHJ555" s="500"/>
      <c r="QHK555" s="500"/>
      <c r="QHL555" s="500"/>
      <c r="QHM555" s="500"/>
      <c r="QHN555" s="500"/>
      <c r="QHO555" s="500"/>
      <c r="QHP555" s="500"/>
      <c r="QHQ555" s="500"/>
      <c r="QHR555" s="500"/>
      <c r="QHS555" s="500"/>
      <c r="QHT555" s="500"/>
      <c r="QHU555" s="500"/>
      <c r="QHV555" s="500"/>
      <c r="QHW555" s="500"/>
      <c r="QHX555" s="500"/>
      <c r="QHY555" s="500"/>
      <c r="QHZ555" s="500"/>
      <c r="QIA555" s="500"/>
      <c r="QIB555" s="500"/>
      <c r="QIC555" s="500"/>
      <c r="QID555" s="500"/>
      <c r="QIE555" s="500"/>
      <c r="QIF555" s="500"/>
      <c r="QIG555" s="500"/>
      <c r="QIH555" s="500"/>
      <c r="QII555" s="500"/>
      <c r="QIJ555" s="500"/>
      <c r="QIK555" s="500"/>
      <c r="QIL555" s="500"/>
      <c r="QIM555" s="500"/>
      <c r="QIN555" s="500"/>
      <c r="QIO555" s="500"/>
      <c r="QIP555" s="500"/>
      <c r="QIQ555" s="500"/>
      <c r="QIR555" s="500"/>
      <c r="QIS555" s="500"/>
      <c r="QIT555" s="500"/>
      <c r="QIU555" s="500"/>
      <c r="QIV555" s="500"/>
      <c r="QIW555" s="500"/>
      <c r="QIX555" s="500"/>
      <c r="QIY555" s="500"/>
      <c r="QIZ555" s="500"/>
      <c r="QJA555" s="500"/>
      <c r="QJB555" s="500"/>
      <c r="QJC555" s="500"/>
      <c r="QJD555" s="500"/>
      <c r="QJE555" s="500"/>
      <c r="QJF555" s="500"/>
      <c r="QJG555" s="500"/>
      <c r="QJH555" s="500"/>
      <c r="QJI555" s="500"/>
      <c r="QJJ555" s="500"/>
      <c r="QJK555" s="500"/>
      <c r="QJL555" s="500"/>
      <c r="QJM555" s="500"/>
      <c r="QJN555" s="500"/>
      <c r="QJO555" s="500"/>
      <c r="QJP555" s="500"/>
      <c r="QJQ555" s="500"/>
      <c r="QJR555" s="500"/>
      <c r="QJS555" s="500"/>
      <c r="QJT555" s="500"/>
      <c r="QJU555" s="500"/>
      <c r="QJV555" s="500"/>
      <c r="QJW555" s="500"/>
      <c r="QJX555" s="500"/>
      <c r="QJY555" s="500"/>
      <c r="QJZ555" s="500"/>
      <c r="QKA555" s="500"/>
      <c r="QKB555" s="500"/>
      <c r="QKC555" s="500"/>
      <c r="QKD555" s="500"/>
      <c r="QKE555" s="500"/>
      <c r="QKF555" s="500"/>
      <c r="QKG555" s="500"/>
      <c r="QKH555" s="500"/>
      <c r="QKI555" s="500"/>
      <c r="QKJ555" s="500"/>
      <c r="QKK555" s="500"/>
      <c r="QKL555" s="500"/>
      <c r="QKM555" s="500"/>
      <c r="QKN555" s="500"/>
      <c r="QKO555" s="500"/>
      <c r="QKP555" s="500"/>
      <c r="QKQ555" s="500"/>
      <c r="QKR555" s="500"/>
      <c r="QKS555" s="500"/>
      <c r="QKT555" s="500"/>
      <c r="QKU555" s="500"/>
      <c r="QKV555" s="500"/>
      <c r="QKW555" s="500"/>
      <c r="QKX555" s="500"/>
      <c r="QKY555" s="500"/>
      <c r="QKZ555" s="500"/>
      <c r="QLA555" s="500"/>
      <c r="QLB555" s="500"/>
      <c r="QLC555" s="500"/>
      <c r="QLD555" s="500"/>
      <c r="QLE555" s="500"/>
      <c r="QLF555" s="500"/>
      <c r="QLG555" s="500"/>
      <c r="QLH555" s="500"/>
      <c r="QLI555" s="500"/>
      <c r="QLJ555" s="500"/>
      <c r="QLK555" s="500"/>
      <c r="QLL555" s="500"/>
      <c r="QLM555" s="500"/>
      <c r="QLN555" s="500"/>
      <c r="QLO555" s="500"/>
      <c r="QLP555" s="500"/>
      <c r="QLQ555" s="500"/>
      <c r="QLR555" s="500"/>
      <c r="QLS555" s="500"/>
      <c r="QLT555" s="500"/>
      <c r="QLU555" s="500"/>
      <c r="QLV555" s="500"/>
      <c r="QLW555" s="500"/>
      <c r="QLX555" s="500"/>
      <c r="QLY555" s="500"/>
      <c r="QLZ555" s="500"/>
      <c r="QMA555" s="500"/>
      <c r="QMB555" s="500"/>
      <c r="QMC555" s="500"/>
      <c r="QMD555" s="500"/>
      <c r="QME555" s="500"/>
      <c r="QMF555" s="500"/>
      <c r="QMG555" s="500"/>
      <c r="QMH555" s="500"/>
      <c r="QMI555" s="500"/>
      <c r="QMJ555" s="500"/>
      <c r="QMK555" s="500"/>
      <c r="QML555" s="500"/>
      <c r="QMM555" s="500"/>
      <c r="QMN555" s="500"/>
      <c r="QMO555" s="500"/>
      <c r="QMP555" s="500"/>
      <c r="QMQ555" s="500"/>
      <c r="QMR555" s="500"/>
      <c r="QMS555" s="500"/>
      <c r="QMT555" s="500"/>
      <c r="QMU555" s="500"/>
      <c r="QMV555" s="500"/>
      <c r="QMW555" s="500"/>
      <c r="QMX555" s="500"/>
      <c r="QMY555" s="500"/>
      <c r="QMZ555" s="500"/>
      <c r="QNA555" s="500"/>
      <c r="QNB555" s="500"/>
      <c r="QNC555" s="500"/>
      <c r="QND555" s="500"/>
      <c r="QNE555" s="500"/>
      <c r="QNF555" s="500"/>
      <c r="QNG555" s="500"/>
      <c r="QNH555" s="500"/>
      <c r="QNI555" s="500"/>
      <c r="QNJ555" s="500"/>
      <c r="QNK555" s="500"/>
      <c r="QNL555" s="500"/>
      <c r="QNM555" s="500"/>
      <c r="QNN555" s="500"/>
      <c r="QNO555" s="500"/>
      <c r="QNP555" s="500"/>
      <c r="QNQ555" s="500"/>
      <c r="QNR555" s="500"/>
      <c r="QNS555" s="500"/>
      <c r="QNT555" s="500"/>
      <c r="QNU555" s="500"/>
      <c r="QNV555" s="500"/>
      <c r="QNW555" s="500"/>
      <c r="QNX555" s="500"/>
      <c r="QNY555" s="500"/>
      <c r="QNZ555" s="500"/>
      <c r="QOA555" s="500"/>
      <c r="QOB555" s="500"/>
      <c r="QOC555" s="500"/>
      <c r="QOD555" s="500"/>
      <c r="QOE555" s="500"/>
      <c r="QOF555" s="500"/>
      <c r="QOG555" s="500"/>
      <c r="QOH555" s="500"/>
      <c r="QOI555" s="500"/>
      <c r="QOJ555" s="500"/>
      <c r="QOK555" s="500"/>
      <c r="QOL555" s="500"/>
      <c r="QOM555" s="500"/>
      <c r="QON555" s="500"/>
      <c r="QOO555" s="500"/>
      <c r="QOP555" s="500"/>
      <c r="QOQ555" s="500"/>
      <c r="QOR555" s="500"/>
      <c r="QOS555" s="500"/>
      <c r="QOT555" s="500"/>
      <c r="QOU555" s="500"/>
      <c r="QOV555" s="500"/>
      <c r="QOW555" s="500"/>
      <c r="QOX555" s="500"/>
      <c r="QOY555" s="500"/>
      <c r="QOZ555" s="500"/>
      <c r="QPA555" s="500"/>
      <c r="QPB555" s="500"/>
      <c r="QPC555" s="500"/>
      <c r="QPD555" s="500"/>
      <c r="QPE555" s="500"/>
      <c r="QPF555" s="500"/>
      <c r="QPG555" s="500"/>
      <c r="QPH555" s="500"/>
      <c r="QPI555" s="500"/>
      <c r="QPJ555" s="500"/>
      <c r="QPK555" s="500"/>
      <c r="QPL555" s="500"/>
      <c r="QPM555" s="500"/>
      <c r="QPN555" s="500"/>
      <c r="QPO555" s="500"/>
      <c r="QPP555" s="500"/>
      <c r="QPQ555" s="500"/>
      <c r="QPR555" s="500"/>
      <c r="QPS555" s="500"/>
      <c r="QPT555" s="500"/>
      <c r="QPU555" s="500"/>
      <c r="QPV555" s="500"/>
      <c r="QPW555" s="500"/>
      <c r="QPX555" s="500"/>
      <c r="QPY555" s="500"/>
      <c r="QPZ555" s="500"/>
      <c r="QQA555" s="500"/>
      <c r="QQB555" s="500"/>
      <c r="QQC555" s="500"/>
      <c r="QQD555" s="500"/>
      <c r="QQE555" s="500"/>
      <c r="QQF555" s="500"/>
      <c r="QQG555" s="500"/>
      <c r="QQH555" s="500"/>
      <c r="QQI555" s="500"/>
      <c r="QQJ555" s="500"/>
      <c r="QQK555" s="500"/>
      <c r="QQL555" s="500"/>
      <c r="QQM555" s="500"/>
      <c r="QQN555" s="500"/>
      <c r="QQO555" s="500"/>
      <c r="QQP555" s="500"/>
      <c r="QQQ555" s="500"/>
      <c r="QQR555" s="500"/>
      <c r="QQS555" s="500"/>
      <c r="QQT555" s="500"/>
      <c r="QQU555" s="500"/>
      <c r="QQV555" s="500"/>
      <c r="QQW555" s="500"/>
      <c r="QQX555" s="500"/>
      <c r="QQY555" s="500"/>
      <c r="QQZ555" s="500"/>
      <c r="QRA555" s="500"/>
      <c r="QRB555" s="500"/>
      <c r="QRC555" s="500"/>
      <c r="QRD555" s="500"/>
      <c r="QRE555" s="500"/>
      <c r="QRF555" s="500"/>
      <c r="QRG555" s="500"/>
      <c r="QRH555" s="500"/>
      <c r="QRI555" s="500"/>
      <c r="QRJ555" s="500"/>
      <c r="QRK555" s="500"/>
      <c r="QRL555" s="500"/>
      <c r="QRM555" s="500"/>
      <c r="QRN555" s="500"/>
      <c r="QRO555" s="500"/>
      <c r="QRP555" s="500"/>
      <c r="QRQ555" s="500"/>
      <c r="QRR555" s="500"/>
      <c r="QRS555" s="500"/>
      <c r="QRT555" s="500"/>
      <c r="QRU555" s="500"/>
      <c r="QRV555" s="500"/>
      <c r="QRW555" s="500"/>
      <c r="QRX555" s="500"/>
      <c r="QRY555" s="500"/>
      <c r="QRZ555" s="500"/>
      <c r="QSA555" s="500"/>
      <c r="QSB555" s="500"/>
      <c r="QSC555" s="500"/>
      <c r="QSD555" s="500"/>
      <c r="QSE555" s="500"/>
      <c r="QSF555" s="500"/>
      <c r="QSG555" s="500"/>
      <c r="QSH555" s="500"/>
      <c r="QSI555" s="500"/>
      <c r="QSJ555" s="500"/>
      <c r="QSK555" s="500"/>
      <c r="QSL555" s="500"/>
      <c r="QSM555" s="500"/>
      <c r="QSN555" s="500"/>
      <c r="QSO555" s="500"/>
      <c r="QSP555" s="500"/>
      <c r="QSQ555" s="500"/>
      <c r="QSR555" s="500"/>
      <c r="QSS555" s="500"/>
      <c r="QST555" s="500"/>
      <c r="QSU555" s="500"/>
      <c r="QSV555" s="500"/>
      <c r="QSW555" s="500"/>
      <c r="QSX555" s="500"/>
      <c r="QSY555" s="500"/>
      <c r="QSZ555" s="500"/>
      <c r="QTA555" s="500"/>
      <c r="QTB555" s="500"/>
      <c r="QTC555" s="500"/>
      <c r="QTD555" s="500"/>
      <c r="QTE555" s="500"/>
      <c r="QTF555" s="500"/>
      <c r="QTG555" s="500"/>
      <c r="QTH555" s="500"/>
      <c r="QTI555" s="500"/>
      <c r="QTJ555" s="500"/>
      <c r="QTK555" s="500"/>
      <c r="QTL555" s="500"/>
      <c r="QTM555" s="500"/>
      <c r="QTN555" s="500"/>
      <c r="QTO555" s="500"/>
      <c r="QTP555" s="500"/>
      <c r="QTQ555" s="500"/>
      <c r="QTR555" s="500"/>
      <c r="QTS555" s="500"/>
      <c r="QTT555" s="500"/>
      <c r="QTU555" s="500"/>
      <c r="QTV555" s="500"/>
      <c r="QTW555" s="500"/>
      <c r="QTX555" s="500"/>
      <c r="QTY555" s="500"/>
      <c r="QTZ555" s="500"/>
      <c r="QUA555" s="500"/>
      <c r="QUB555" s="500"/>
      <c r="QUC555" s="500"/>
      <c r="QUD555" s="500"/>
      <c r="QUE555" s="500"/>
      <c r="QUF555" s="500"/>
      <c r="QUG555" s="500"/>
      <c r="QUH555" s="500"/>
      <c r="QUI555" s="500"/>
      <c r="QUJ555" s="500"/>
      <c r="QUK555" s="500"/>
      <c r="QUL555" s="500"/>
      <c r="QUM555" s="500"/>
      <c r="QUN555" s="500"/>
      <c r="QUO555" s="500"/>
      <c r="QUP555" s="500"/>
      <c r="QUQ555" s="500"/>
      <c r="QUR555" s="500"/>
      <c r="QUS555" s="500"/>
      <c r="QUT555" s="500"/>
      <c r="QUU555" s="500"/>
      <c r="QUV555" s="500"/>
      <c r="QUW555" s="500"/>
      <c r="QUX555" s="500"/>
      <c r="QUY555" s="500"/>
      <c r="QUZ555" s="500"/>
      <c r="QVA555" s="500"/>
      <c r="QVB555" s="500"/>
      <c r="QVC555" s="500"/>
      <c r="QVD555" s="500"/>
      <c r="QVE555" s="500"/>
      <c r="QVF555" s="500"/>
      <c r="QVG555" s="500"/>
      <c r="QVH555" s="500"/>
      <c r="QVI555" s="500"/>
      <c r="QVJ555" s="500"/>
      <c r="QVK555" s="500"/>
      <c r="QVL555" s="500"/>
      <c r="QVM555" s="500"/>
      <c r="QVN555" s="500"/>
      <c r="QVO555" s="500"/>
      <c r="QVP555" s="500"/>
      <c r="QVQ555" s="500"/>
      <c r="QVR555" s="500"/>
      <c r="QVS555" s="500"/>
      <c r="QVT555" s="500"/>
      <c r="QVU555" s="500"/>
      <c r="QVV555" s="500"/>
      <c r="QVW555" s="500"/>
      <c r="QVX555" s="500"/>
      <c r="QVY555" s="500"/>
      <c r="QVZ555" s="500"/>
      <c r="QWA555" s="500"/>
      <c r="QWB555" s="500"/>
      <c r="QWC555" s="500"/>
      <c r="QWD555" s="500"/>
      <c r="QWE555" s="500"/>
      <c r="QWF555" s="500"/>
      <c r="QWG555" s="500"/>
      <c r="QWH555" s="500"/>
      <c r="QWI555" s="500"/>
      <c r="QWJ555" s="500"/>
      <c r="QWK555" s="500"/>
      <c r="QWL555" s="500"/>
      <c r="QWM555" s="500"/>
      <c r="QWN555" s="500"/>
      <c r="QWO555" s="500"/>
      <c r="QWP555" s="500"/>
      <c r="QWQ555" s="500"/>
      <c r="QWR555" s="500"/>
      <c r="QWS555" s="500"/>
      <c r="QWT555" s="500"/>
      <c r="QWU555" s="500"/>
      <c r="QWV555" s="500"/>
      <c r="QWW555" s="500"/>
      <c r="QWX555" s="500"/>
      <c r="QWY555" s="500"/>
      <c r="QWZ555" s="500"/>
      <c r="QXA555" s="500"/>
      <c r="QXB555" s="500"/>
      <c r="QXC555" s="500"/>
      <c r="QXD555" s="500"/>
      <c r="QXE555" s="500"/>
      <c r="QXF555" s="500"/>
      <c r="QXG555" s="500"/>
      <c r="QXH555" s="500"/>
      <c r="QXI555" s="500"/>
      <c r="QXJ555" s="500"/>
      <c r="QXK555" s="500"/>
      <c r="QXL555" s="500"/>
      <c r="QXM555" s="500"/>
      <c r="QXN555" s="500"/>
      <c r="QXO555" s="500"/>
      <c r="QXP555" s="500"/>
      <c r="QXQ555" s="500"/>
      <c r="QXR555" s="500"/>
      <c r="QXS555" s="500"/>
      <c r="QXT555" s="500"/>
      <c r="QXU555" s="500"/>
      <c r="QXV555" s="500"/>
      <c r="QXW555" s="500"/>
      <c r="QXX555" s="500"/>
      <c r="QXY555" s="500"/>
      <c r="QXZ555" s="500"/>
      <c r="QYA555" s="500"/>
      <c r="QYB555" s="500"/>
      <c r="QYC555" s="500"/>
      <c r="QYD555" s="500"/>
      <c r="QYE555" s="500"/>
      <c r="QYF555" s="500"/>
      <c r="QYG555" s="500"/>
      <c r="QYH555" s="500"/>
      <c r="QYI555" s="500"/>
      <c r="QYJ555" s="500"/>
      <c r="QYK555" s="500"/>
      <c r="QYL555" s="500"/>
      <c r="QYM555" s="500"/>
      <c r="QYN555" s="500"/>
      <c r="QYO555" s="500"/>
      <c r="QYP555" s="500"/>
      <c r="QYQ555" s="500"/>
      <c r="QYR555" s="500"/>
      <c r="QYS555" s="500"/>
      <c r="QYT555" s="500"/>
      <c r="QYU555" s="500"/>
      <c r="QYV555" s="500"/>
      <c r="QYW555" s="500"/>
      <c r="QYX555" s="500"/>
      <c r="QYY555" s="500"/>
      <c r="QYZ555" s="500"/>
      <c r="QZA555" s="500"/>
      <c r="QZB555" s="500"/>
      <c r="QZC555" s="500"/>
      <c r="QZD555" s="500"/>
      <c r="QZE555" s="500"/>
      <c r="QZF555" s="500"/>
      <c r="QZG555" s="500"/>
      <c r="QZH555" s="500"/>
      <c r="QZI555" s="500"/>
      <c r="QZJ555" s="500"/>
      <c r="QZK555" s="500"/>
      <c r="QZL555" s="500"/>
      <c r="QZM555" s="500"/>
      <c r="QZN555" s="500"/>
      <c r="QZO555" s="500"/>
      <c r="QZP555" s="500"/>
      <c r="QZQ555" s="500"/>
      <c r="QZR555" s="500"/>
      <c r="QZS555" s="500"/>
      <c r="QZT555" s="500"/>
      <c r="QZU555" s="500"/>
      <c r="QZV555" s="500"/>
      <c r="QZW555" s="500"/>
      <c r="QZX555" s="500"/>
      <c r="QZY555" s="500"/>
      <c r="QZZ555" s="500"/>
      <c r="RAA555" s="500"/>
      <c r="RAB555" s="500"/>
      <c r="RAC555" s="500"/>
      <c r="RAD555" s="500"/>
      <c r="RAE555" s="500"/>
      <c r="RAF555" s="500"/>
      <c r="RAG555" s="500"/>
      <c r="RAH555" s="500"/>
      <c r="RAI555" s="500"/>
      <c r="RAJ555" s="500"/>
      <c r="RAK555" s="500"/>
      <c r="RAL555" s="500"/>
      <c r="RAM555" s="500"/>
      <c r="RAN555" s="500"/>
      <c r="RAO555" s="500"/>
      <c r="RAP555" s="500"/>
      <c r="RAQ555" s="500"/>
      <c r="RAR555" s="500"/>
      <c r="RAS555" s="500"/>
      <c r="RAT555" s="500"/>
      <c r="RAU555" s="500"/>
      <c r="RAV555" s="500"/>
      <c r="RAW555" s="500"/>
      <c r="RAX555" s="500"/>
      <c r="RAY555" s="500"/>
      <c r="RAZ555" s="500"/>
      <c r="RBA555" s="500"/>
      <c r="RBB555" s="500"/>
      <c r="RBC555" s="500"/>
      <c r="RBD555" s="500"/>
      <c r="RBE555" s="500"/>
      <c r="RBF555" s="500"/>
      <c r="RBG555" s="500"/>
      <c r="RBH555" s="500"/>
      <c r="RBI555" s="500"/>
      <c r="RBJ555" s="500"/>
      <c r="RBK555" s="500"/>
      <c r="RBL555" s="500"/>
      <c r="RBM555" s="500"/>
      <c r="RBN555" s="500"/>
      <c r="RBO555" s="500"/>
      <c r="RBP555" s="500"/>
      <c r="RBQ555" s="500"/>
      <c r="RBR555" s="500"/>
      <c r="RBS555" s="500"/>
      <c r="RBT555" s="500"/>
      <c r="RBU555" s="500"/>
      <c r="RBV555" s="500"/>
      <c r="RBW555" s="500"/>
      <c r="RBX555" s="500"/>
      <c r="RBY555" s="500"/>
      <c r="RBZ555" s="500"/>
      <c r="RCA555" s="500"/>
      <c r="RCB555" s="500"/>
      <c r="RCC555" s="500"/>
      <c r="RCD555" s="500"/>
      <c r="RCE555" s="500"/>
      <c r="RCF555" s="500"/>
      <c r="RCG555" s="500"/>
      <c r="RCH555" s="500"/>
      <c r="RCI555" s="500"/>
      <c r="RCJ555" s="500"/>
      <c r="RCK555" s="500"/>
      <c r="RCL555" s="500"/>
      <c r="RCM555" s="500"/>
      <c r="RCN555" s="500"/>
      <c r="RCO555" s="500"/>
      <c r="RCP555" s="500"/>
      <c r="RCQ555" s="500"/>
      <c r="RCR555" s="500"/>
      <c r="RCS555" s="500"/>
      <c r="RCT555" s="500"/>
      <c r="RCU555" s="500"/>
      <c r="RCV555" s="500"/>
      <c r="RCW555" s="500"/>
      <c r="RCX555" s="500"/>
      <c r="RCY555" s="500"/>
      <c r="RCZ555" s="500"/>
      <c r="RDA555" s="500"/>
      <c r="RDB555" s="500"/>
      <c r="RDC555" s="500"/>
      <c r="RDD555" s="500"/>
      <c r="RDE555" s="500"/>
      <c r="RDF555" s="500"/>
      <c r="RDG555" s="500"/>
      <c r="RDH555" s="500"/>
      <c r="RDI555" s="500"/>
      <c r="RDJ555" s="500"/>
      <c r="RDK555" s="500"/>
      <c r="RDL555" s="500"/>
      <c r="RDM555" s="500"/>
      <c r="RDN555" s="500"/>
      <c r="RDO555" s="500"/>
      <c r="RDP555" s="500"/>
      <c r="RDQ555" s="500"/>
      <c r="RDR555" s="500"/>
      <c r="RDS555" s="500"/>
      <c r="RDT555" s="500"/>
      <c r="RDU555" s="500"/>
      <c r="RDV555" s="500"/>
      <c r="RDW555" s="500"/>
      <c r="RDX555" s="500"/>
      <c r="RDY555" s="500"/>
      <c r="RDZ555" s="500"/>
      <c r="REA555" s="500"/>
      <c r="REB555" s="500"/>
      <c r="REC555" s="500"/>
      <c r="RED555" s="500"/>
      <c r="REE555" s="500"/>
      <c r="REF555" s="500"/>
      <c r="REG555" s="500"/>
      <c r="REH555" s="500"/>
      <c r="REI555" s="500"/>
      <c r="REJ555" s="500"/>
      <c r="REK555" s="500"/>
      <c r="REL555" s="500"/>
      <c r="REM555" s="500"/>
      <c r="REN555" s="500"/>
      <c r="REO555" s="500"/>
      <c r="REP555" s="500"/>
      <c r="REQ555" s="500"/>
      <c r="RER555" s="500"/>
      <c r="RES555" s="500"/>
      <c r="RET555" s="500"/>
      <c r="REU555" s="500"/>
      <c r="REV555" s="500"/>
      <c r="REW555" s="500"/>
      <c r="REX555" s="500"/>
      <c r="REY555" s="500"/>
      <c r="REZ555" s="500"/>
      <c r="RFA555" s="500"/>
      <c r="RFB555" s="500"/>
      <c r="RFC555" s="500"/>
      <c r="RFD555" s="500"/>
      <c r="RFE555" s="500"/>
      <c r="RFF555" s="500"/>
      <c r="RFG555" s="500"/>
      <c r="RFH555" s="500"/>
      <c r="RFI555" s="500"/>
      <c r="RFJ555" s="500"/>
      <c r="RFK555" s="500"/>
      <c r="RFL555" s="500"/>
      <c r="RFM555" s="500"/>
      <c r="RFN555" s="500"/>
      <c r="RFO555" s="500"/>
      <c r="RFP555" s="500"/>
      <c r="RFQ555" s="500"/>
      <c r="RFR555" s="500"/>
      <c r="RFS555" s="500"/>
      <c r="RFT555" s="500"/>
      <c r="RFU555" s="500"/>
      <c r="RFV555" s="500"/>
      <c r="RFW555" s="500"/>
      <c r="RFX555" s="500"/>
      <c r="RFY555" s="500"/>
      <c r="RFZ555" s="500"/>
      <c r="RGA555" s="500"/>
      <c r="RGB555" s="500"/>
      <c r="RGC555" s="500"/>
      <c r="RGD555" s="500"/>
      <c r="RGE555" s="500"/>
      <c r="RGF555" s="500"/>
      <c r="RGG555" s="500"/>
      <c r="RGH555" s="500"/>
      <c r="RGI555" s="500"/>
      <c r="RGJ555" s="500"/>
      <c r="RGK555" s="500"/>
      <c r="RGL555" s="500"/>
      <c r="RGM555" s="500"/>
      <c r="RGN555" s="500"/>
      <c r="RGO555" s="500"/>
      <c r="RGP555" s="500"/>
      <c r="RGQ555" s="500"/>
      <c r="RGR555" s="500"/>
      <c r="RGS555" s="500"/>
      <c r="RGT555" s="500"/>
      <c r="RGU555" s="500"/>
      <c r="RGV555" s="500"/>
      <c r="RGW555" s="500"/>
      <c r="RGX555" s="500"/>
      <c r="RGY555" s="500"/>
      <c r="RGZ555" s="500"/>
      <c r="RHA555" s="500"/>
      <c r="RHB555" s="500"/>
      <c r="RHC555" s="500"/>
      <c r="RHD555" s="500"/>
      <c r="RHE555" s="500"/>
      <c r="RHF555" s="500"/>
      <c r="RHG555" s="500"/>
      <c r="RHH555" s="500"/>
      <c r="RHI555" s="500"/>
      <c r="RHJ555" s="500"/>
      <c r="RHK555" s="500"/>
      <c r="RHL555" s="500"/>
      <c r="RHM555" s="500"/>
      <c r="RHN555" s="500"/>
      <c r="RHO555" s="500"/>
      <c r="RHP555" s="500"/>
      <c r="RHQ555" s="500"/>
      <c r="RHR555" s="500"/>
      <c r="RHS555" s="500"/>
      <c r="RHT555" s="500"/>
      <c r="RHU555" s="500"/>
      <c r="RHV555" s="500"/>
      <c r="RHW555" s="500"/>
      <c r="RHX555" s="500"/>
      <c r="RHY555" s="500"/>
      <c r="RHZ555" s="500"/>
      <c r="RIA555" s="500"/>
      <c r="RIB555" s="500"/>
      <c r="RIC555" s="500"/>
      <c r="RID555" s="500"/>
      <c r="RIE555" s="500"/>
      <c r="RIF555" s="500"/>
      <c r="RIG555" s="500"/>
      <c r="RIH555" s="500"/>
      <c r="RII555" s="500"/>
      <c r="RIJ555" s="500"/>
      <c r="RIK555" s="500"/>
      <c r="RIL555" s="500"/>
      <c r="RIM555" s="500"/>
      <c r="RIN555" s="500"/>
      <c r="RIO555" s="500"/>
      <c r="RIP555" s="500"/>
      <c r="RIQ555" s="500"/>
      <c r="RIR555" s="500"/>
      <c r="RIS555" s="500"/>
      <c r="RIT555" s="500"/>
      <c r="RIU555" s="500"/>
      <c r="RIV555" s="500"/>
      <c r="RIW555" s="500"/>
      <c r="RIX555" s="500"/>
      <c r="RIY555" s="500"/>
      <c r="RIZ555" s="500"/>
      <c r="RJA555" s="500"/>
      <c r="RJB555" s="500"/>
      <c r="RJC555" s="500"/>
      <c r="RJD555" s="500"/>
      <c r="RJE555" s="500"/>
      <c r="RJF555" s="500"/>
      <c r="RJG555" s="500"/>
      <c r="RJH555" s="500"/>
      <c r="RJI555" s="500"/>
      <c r="RJJ555" s="500"/>
      <c r="RJK555" s="500"/>
      <c r="RJL555" s="500"/>
      <c r="RJM555" s="500"/>
      <c r="RJN555" s="500"/>
      <c r="RJO555" s="500"/>
      <c r="RJP555" s="500"/>
      <c r="RJQ555" s="500"/>
      <c r="RJR555" s="500"/>
      <c r="RJS555" s="500"/>
      <c r="RJT555" s="500"/>
      <c r="RJU555" s="500"/>
      <c r="RJV555" s="500"/>
      <c r="RJW555" s="500"/>
      <c r="RJX555" s="500"/>
      <c r="RJY555" s="500"/>
      <c r="RJZ555" s="500"/>
      <c r="RKA555" s="500"/>
      <c r="RKB555" s="500"/>
      <c r="RKC555" s="500"/>
      <c r="RKD555" s="500"/>
      <c r="RKE555" s="500"/>
      <c r="RKF555" s="500"/>
      <c r="RKG555" s="500"/>
      <c r="RKH555" s="500"/>
      <c r="RKI555" s="500"/>
      <c r="RKJ555" s="500"/>
      <c r="RKK555" s="500"/>
      <c r="RKL555" s="500"/>
      <c r="RKM555" s="500"/>
      <c r="RKN555" s="500"/>
      <c r="RKO555" s="500"/>
      <c r="RKP555" s="500"/>
      <c r="RKQ555" s="500"/>
      <c r="RKR555" s="500"/>
      <c r="RKS555" s="500"/>
      <c r="RKT555" s="500"/>
      <c r="RKU555" s="500"/>
      <c r="RKV555" s="500"/>
      <c r="RKW555" s="500"/>
      <c r="RKX555" s="500"/>
      <c r="RKY555" s="500"/>
      <c r="RKZ555" s="500"/>
      <c r="RLA555" s="500"/>
      <c r="RLB555" s="500"/>
      <c r="RLC555" s="500"/>
      <c r="RLD555" s="500"/>
      <c r="RLE555" s="500"/>
      <c r="RLF555" s="500"/>
      <c r="RLG555" s="500"/>
      <c r="RLH555" s="500"/>
      <c r="RLI555" s="500"/>
      <c r="RLJ555" s="500"/>
      <c r="RLK555" s="500"/>
      <c r="RLL555" s="500"/>
      <c r="RLM555" s="500"/>
      <c r="RLN555" s="500"/>
      <c r="RLO555" s="500"/>
      <c r="RLP555" s="500"/>
      <c r="RLQ555" s="500"/>
      <c r="RLR555" s="500"/>
      <c r="RLS555" s="500"/>
      <c r="RLT555" s="500"/>
      <c r="RLU555" s="500"/>
      <c r="RLV555" s="500"/>
      <c r="RLW555" s="500"/>
      <c r="RLX555" s="500"/>
      <c r="RLY555" s="500"/>
      <c r="RLZ555" s="500"/>
      <c r="RMA555" s="500"/>
      <c r="RMB555" s="500"/>
      <c r="RMC555" s="500"/>
      <c r="RMD555" s="500"/>
      <c r="RME555" s="500"/>
      <c r="RMF555" s="500"/>
      <c r="RMG555" s="500"/>
      <c r="RMH555" s="500"/>
      <c r="RMI555" s="500"/>
      <c r="RMJ555" s="500"/>
      <c r="RMK555" s="500"/>
      <c r="RML555" s="500"/>
      <c r="RMM555" s="500"/>
      <c r="RMN555" s="500"/>
      <c r="RMO555" s="500"/>
      <c r="RMP555" s="500"/>
      <c r="RMQ555" s="500"/>
      <c r="RMR555" s="500"/>
      <c r="RMS555" s="500"/>
      <c r="RMT555" s="500"/>
      <c r="RMU555" s="500"/>
      <c r="RMV555" s="500"/>
      <c r="RMW555" s="500"/>
      <c r="RMX555" s="500"/>
      <c r="RMY555" s="500"/>
      <c r="RMZ555" s="500"/>
      <c r="RNA555" s="500"/>
      <c r="RNB555" s="500"/>
      <c r="RNC555" s="500"/>
      <c r="RND555" s="500"/>
      <c r="RNE555" s="500"/>
      <c r="RNF555" s="500"/>
      <c r="RNG555" s="500"/>
      <c r="RNH555" s="500"/>
      <c r="RNI555" s="500"/>
      <c r="RNJ555" s="500"/>
      <c r="RNK555" s="500"/>
      <c r="RNL555" s="500"/>
      <c r="RNM555" s="500"/>
      <c r="RNN555" s="500"/>
      <c r="RNO555" s="500"/>
      <c r="RNP555" s="500"/>
      <c r="RNQ555" s="500"/>
      <c r="RNR555" s="500"/>
      <c r="RNS555" s="500"/>
      <c r="RNT555" s="500"/>
      <c r="RNU555" s="500"/>
      <c r="RNV555" s="500"/>
      <c r="RNW555" s="500"/>
      <c r="RNX555" s="500"/>
      <c r="RNY555" s="500"/>
      <c r="RNZ555" s="500"/>
      <c r="ROA555" s="500"/>
      <c r="ROB555" s="500"/>
      <c r="ROC555" s="500"/>
      <c r="ROD555" s="500"/>
      <c r="ROE555" s="500"/>
      <c r="ROF555" s="500"/>
      <c r="ROG555" s="500"/>
      <c r="ROH555" s="500"/>
      <c r="ROI555" s="500"/>
      <c r="ROJ555" s="500"/>
      <c r="ROK555" s="500"/>
      <c r="ROL555" s="500"/>
      <c r="ROM555" s="500"/>
      <c r="RON555" s="500"/>
      <c r="ROO555" s="500"/>
      <c r="ROP555" s="500"/>
      <c r="ROQ555" s="500"/>
      <c r="ROR555" s="500"/>
      <c r="ROS555" s="500"/>
      <c r="ROT555" s="500"/>
      <c r="ROU555" s="500"/>
      <c r="ROV555" s="500"/>
      <c r="ROW555" s="500"/>
      <c r="ROX555" s="500"/>
      <c r="ROY555" s="500"/>
      <c r="ROZ555" s="500"/>
      <c r="RPA555" s="500"/>
      <c r="RPB555" s="500"/>
      <c r="RPC555" s="500"/>
      <c r="RPD555" s="500"/>
      <c r="RPE555" s="500"/>
      <c r="RPF555" s="500"/>
      <c r="RPG555" s="500"/>
      <c r="RPH555" s="500"/>
      <c r="RPI555" s="500"/>
      <c r="RPJ555" s="500"/>
      <c r="RPK555" s="500"/>
      <c r="RPL555" s="500"/>
      <c r="RPM555" s="500"/>
      <c r="RPN555" s="500"/>
      <c r="RPO555" s="500"/>
      <c r="RPP555" s="500"/>
      <c r="RPQ555" s="500"/>
      <c r="RPR555" s="500"/>
      <c r="RPS555" s="500"/>
      <c r="RPT555" s="500"/>
      <c r="RPU555" s="500"/>
      <c r="RPV555" s="500"/>
      <c r="RPW555" s="500"/>
      <c r="RPX555" s="500"/>
      <c r="RPY555" s="500"/>
      <c r="RPZ555" s="500"/>
      <c r="RQA555" s="500"/>
      <c r="RQB555" s="500"/>
      <c r="RQC555" s="500"/>
      <c r="RQD555" s="500"/>
      <c r="RQE555" s="500"/>
      <c r="RQF555" s="500"/>
      <c r="RQG555" s="500"/>
      <c r="RQH555" s="500"/>
      <c r="RQI555" s="500"/>
      <c r="RQJ555" s="500"/>
      <c r="RQK555" s="500"/>
      <c r="RQL555" s="500"/>
      <c r="RQM555" s="500"/>
      <c r="RQN555" s="500"/>
      <c r="RQO555" s="500"/>
      <c r="RQP555" s="500"/>
      <c r="RQQ555" s="500"/>
      <c r="RQR555" s="500"/>
      <c r="RQS555" s="500"/>
      <c r="RQT555" s="500"/>
      <c r="RQU555" s="500"/>
      <c r="RQV555" s="500"/>
      <c r="RQW555" s="500"/>
      <c r="RQX555" s="500"/>
      <c r="RQY555" s="500"/>
      <c r="RQZ555" s="500"/>
      <c r="RRA555" s="500"/>
      <c r="RRB555" s="500"/>
      <c r="RRC555" s="500"/>
      <c r="RRD555" s="500"/>
      <c r="RRE555" s="500"/>
      <c r="RRF555" s="500"/>
      <c r="RRG555" s="500"/>
      <c r="RRH555" s="500"/>
      <c r="RRI555" s="500"/>
      <c r="RRJ555" s="500"/>
      <c r="RRK555" s="500"/>
      <c r="RRL555" s="500"/>
      <c r="RRM555" s="500"/>
      <c r="RRN555" s="500"/>
      <c r="RRO555" s="500"/>
      <c r="RRP555" s="500"/>
      <c r="RRQ555" s="500"/>
      <c r="RRR555" s="500"/>
      <c r="RRS555" s="500"/>
      <c r="RRT555" s="500"/>
      <c r="RRU555" s="500"/>
      <c r="RRV555" s="500"/>
      <c r="RRW555" s="500"/>
      <c r="RRX555" s="500"/>
      <c r="RRY555" s="500"/>
      <c r="RRZ555" s="500"/>
      <c r="RSA555" s="500"/>
      <c r="RSB555" s="500"/>
      <c r="RSC555" s="500"/>
      <c r="RSD555" s="500"/>
      <c r="RSE555" s="500"/>
      <c r="RSF555" s="500"/>
      <c r="RSG555" s="500"/>
      <c r="RSH555" s="500"/>
      <c r="RSI555" s="500"/>
      <c r="RSJ555" s="500"/>
      <c r="RSK555" s="500"/>
      <c r="RSL555" s="500"/>
      <c r="RSM555" s="500"/>
      <c r="RSN555" s="500"/>
      <c r="RSO555" s="500"/>
      <c r="RSP555" s="500"/>
      <c r="RSQ555" s="500"/>
      <c r="RSR555" s="500"/>
      <c r="RSS555" s="500"/>
      <c r="RST555" s="500"/>
      <c r="RSU555" s="500"/>
      <c r="RSV555" s="500"/>
      <c r="RSW555" s="500"/>
      <c r="RSX555" s="500"/>
      <c r="RSY555" s="500"/>
      <c r="RSZ555" s="500"/>
      <c r="RTA555" s="500"/>
      <c r="RTB555" s="500"/>
      <c r="RTC555" s="500"/>
      <c r="RTD555" s="500"/>
      <c r="RTE555" s="500"/>
      <c r="RTF555" s="500"/>
      <c r="RTG555" s="500"/>
      <c r="RTH555" s="500"/>
      <c r="RTI555" s="500"/>
      <c r="RTJ555" s="500"/>
      <c r="RTK555" s="500"/>
      <c r="RTL555" s="500"/>
      <c r="RTM555" s="500"/>
      <c r="RTN555" s="500"/>
      <c r="RTO555" s="500"/>
      <c r="RTP555" s="500"/>
      <c r="RTQ555" s="500"/>
      <c r="RTR555" s="500"/>
      <c r="RTS555" s="500"/>
      <c r="RTT555" s="500"/>
      <c r="RTU555" s="500"/>
      <c r="RTV555" s="500"/>
      <c r="RTW555" s="500"/>
      <c r="RTX555" s="500"/>
      <c r="RTY555" s="500"/>
      <c r="RTZ555" s="500"/>
      <c r="RUA555" s="500"/>
      <c r="RUB555" s="500"/>
      <c r="RUC555" s="500"/>
      <c r="RUD555" s="500"/>
      <c r="RUE555" s="500"/>
      <c r="RUF555" s="500"/>
      <c r="RUG555" s="500"/>
      <c r="RUH555" s="500"/>
      <c r="RUI555" s="500"/>
      <c r="RUJ555" s="500"/>
      <c r="RUK555" s="500"/>
      <c r="RUL555" s="500"/>
      <c r="RUM555" s="500"/>
      <c r="RUN555" s="500"/>
      <c r="RUO555" s="500"/>
      <c r="RUP555" s="500"/>
      <c r="RUQ555" s="500"/>
      <c r="RUR555" s="500"/>
      <c r="RUS555" s="500"/>
      <c r="RUT555" s="500"/>
      <c r="RUU555" s="500"/>
      <c r="RUV555" s="500"/>
      <c r="RUW555" s="500"/>
      <c r="RUX555" s="500"/>
      <c r="RUY555" s="500"/>
      <c r="RUZ555" s="500"/>
      <c r="RVA555" s="500"/>
      <c r="RVB555" s="500"/>
      <c r="RVC555" s="500"/>
      <c r="RVD555" s="500"/>
      <c r="RVE555" s="500"/>
      <c r="RVF555" s="500"/>
      <c r="RVG555" s="500"/>
      <c r="RVH555" s="500"/>
      <c r="RVI555" s="500"/>
      <c r="RVJ555" s="500"/>
      <c r="RVK555" s="500"/>
      <c r="RVL555" s="500"/>
      <c r="RVM555" s="500"/>
      <c r="RVN555" s="500"/>
      <c r="RVO555" s="500"/>
      <c r="RVP555" s="500"/>
      <c r="RVQ555" s="500"/>
      <c r="RVR555" s="500"/>
      <c r="RVS555" s="500"/>
      <c r="RVT555" s="500"/>
      <c r="RVU555" s="500"/>
      <c r="RVV555" s="500"/>
      <c r="RVW555" s="500"/>
      <c r="RVX555" s="500"/>
      <c r="RVY555" s="500"/>
      <c r="RVZ555" s="500"/>
      <c r="RWA555" s="500"/>
      <c r="RWB555" s="500"/>
      <c r="RWC555" s="500"/>
      <c r="RWD555" s="500"/>
      <c r="RWE555" s="500"/>
      <c r="RWF555" s="500"/>
      <c r="RWG555" s="500"/>
      <c r="RWH555" s="500"/>
      <c r="RWI555" s="500"/>
      <c r="RWJ555" s="500"/>
      <c r="RWK555" s="500"/>
      <c r="RWL555" s="500"/>
      <c r="RWM555" s="500"/>
      <c r="RWN555" s="500"/>
      <c r="RWO555" s="500"/>
      <c r="RWP555" s="500"/>
      <c r="RWQ555" s="500"/>
      <c r="RWR555" s="500"/>
      <c r="RWS555" s="500"/>
      <c r="RWT555" s="500"/>
      <c r="RWU555" s="500"/>
      <c r="RWV555" s="500"/>
      <c r="RWW555" s="500"/>
      <c r="RWX555" s="500"/>
      <c r="RWY555" s="500"/>
      <c r="RWZ555" s="500"/>
      <c r="RXA555" s="500"/>
      <c r="RXB555" s="500"/>
      <c r="RXC555" s="500"/>
      <c r="RXD555" s="500"/>
      <c r="RXE555" s="500"/>
      <c r="RXF555" s="500"/>
      <c r="RXG555" s="500"/>
      <c r="RXH555" s="500"/>
      <c r="RXI555" s="500"/>
      <c r="RXJ555" s="500"/>
      <c r="RXK555" s="500"/>
      <c r="RXL555" s="500"/>
      <c r="RXM555" s="500"/>
      <c r="RXN555" s="500"/>
      <c r="RXO555" s="500"/>
      <c r="RXP555" s="500"/>
      <c r="RXQ555" s="500"/>
      <c r="RXR555" s="500"/>
      <c r="RXS555" s="500"/>
      <c r="RXT555" s="500"/>
      <c r="RXU555" s="500"/>
      <c r="RXV555" s="500"/>
      <c r="RXW555" s="500"/>
      <c r="RXX555" s="500"/>
      <c r="RXY555" s="500"/>
      <c r="RXZ555" s="500"/>
      <c r="RYA555" s="500"/>
      <c r="RYB555" s="500"/>
      <c r="RYC555" s="500"/>
      <c r="RYD555" s="500"/>
      <c r="RYE555" s="500"/>
      <c r="RYF555" s="500"/>
      <c r="RYG555" s="500"/>
      <c r="RYH555" s="500"/>
      <c r="RYI555" s="500"/>
      <c r="RYJ555" s="500"/>
      <c r="RYK555" s="500"/>
      <c r="RYL555" s="500"/>
      <c r="RYM555" s="500"/>
      <c r="RYN555" s="500"/>
      <c r="RYO555" s="500"/>
      <c r="RYP555" s="500"/>
      <c r="RYQ555" s="500"/>
      <c r="RYR555" s="500"/>
      <c r="RYS555" s="500"/>
      <c r="RYT555" s="500"/>
      <c r="RYU555" s="500"/>
      <c r="RYV555" s="500"/>
      <c r="RYW555" s="500"/>
      <c r="RYX555" s="500"/>
      <c r="RYY555" s="500"/>
      <c r="RYZ555" s="500"/>
      <c r="RZA555" s="500"/>
      <c r="RZB555" s="500"/>
      <c r="RZC555" s="500"/>
      <c r="RZD555" s="500"/>
      <c r="RZE555" s="500"/>
      <c r="RZF555" s="500"/>
      <c r="RZG555" s="500"/>
      <c r="RZH555" s="500"/>
      <c r="RZI555" s="500"/>
      <c r="RZJ555" s="500"/>
      <c r="RZK555" s="500"/>
      <c r="RZL555" s="500"/>
      <c r="RZM555" s="500"/>
      <c r="RZN555" s="500"/>
      <c r="RZO555" s="500"/>
      <c r="RZP555" s="500"/>
      <c r="RZQ555" s="500"/>
      <c r="RZR555" s="500"/>
      <c r="RZS555" s="500"/>
      <c r="RZT555" s="500"/>
      <c r="RZU555" s="500"/>
      <c r="RZV555" s="500"/>
      <c r="RZW555" s="500"/>
      <c r="RZX555" s="500"/>
      <c r="RZY555" s="500"/>
      <c r="RZZ555" s="500"/>
      <c r="SAA555" s="500"/>
      <c r="SAB555" s="500"/>
      <c r="SAC555" s="500"/>
      <c r="SAD555" s="500"/>
      <c r="SAE555" s="500"/>
      <c r="SAF555" s="500"/>
      <c r="SAG555" s="500"/>
      <c r="SAH555" s="500"/>
      <c r="SAI555" s="500"/>
      <c r="SAJ555" s="500"/>
      <c r="SAK555" s="500"/>
      <c r="SAL555" s="500"/>
      <c r="SAM555" s="500"/>
      <c r="SAN555" s="500"/>
      <c r="SAO555" s="500"/>
      <c r="SAP555" s="500"/>
      <c r="SAQ555" s="500"/>
      <c r="SAR555" s="500"/>
      <c r="SAS555" s="500"/>
      <c r="SAT555" s="500"/>
      <c r="SAU555" s="500"/>
      <c r="SAV555" s="500"/>
      <c r="SAW555" s="500"/>
      <c r="SAX555" s="500"/>
      <c r="SAY555" s="500"/>
      <c r="SAZ555" s="500"/>
      <c r="SBA555" s="500"/>
      <c r="SBB555" s="500"/>
      <c r="SBC555" s="500"/>
      <c r="SBD555" s="500"/>
      <c r="SBE555" s="500"/>
      <c r="SBF555" s="500"/>
      <c r="SBG555" s="500"/>
      <c r="SBH555" s="500"/>
      <c r="SBI555" s="500"/>
      <c r="SBJ555" s="500"/>
      <c r="SBK555" s="500"/>
      <c r="SBL555" s="500"/>
      <c r="SBM555" s="500"/>
      <c r="SBN555" s="500"/>
      <c r="SBO555" s="500"/>
      <c r="SBP555" s="500"/>
      <c r="SBQ555" s="500"/>
      <c r="SBR555" s="500"/>
      <c r="SBS555" s="500"/>
      <c r="SBT555" s="500"/>
      <c r="SBU555" s="500"/>
      <c r="SBV555" s="500"/>
      <c r="SBW555" s="500"/>
      <c r="SBX555" s="500"/>
      <c r="SBY555" s="500"/>
      <c r="SBZ555" s="500"/>
      <c r="SCA555" s="500"/>
      <c r="SCB555" s="500"/>
      <c r="SCC555" s="500"/>
      <c r="SCD555" s="500"/>
      <c r="SCE555" s="500"/>
      <c r="SCF555" s="500"/>
      <c r="SCG555" s="500"/>
      <c r="SCH555" s="500"/>
      <c r="SCI555" s="500"/>
      <c r="SCJ555" s="500"/>
      <c r="SCK555" s="500"/>
      <c r="SCL555" s="500"/>
      <c r="SCM555" s="500"/>
      <c r="SCN555" s="500"/>
      <c r="SCO555" s="500"/>
      <c r="SCP555" s="500"/>
      <c r="SCQ555" s="500"/>
      <c r="SCR555" s="500"/>
      <c r="SCS555" s="500"/>
      <c r="SCT555" s="500"/>
      <c r="SCU555" s="500"/>
      <c r="SCV555" s="500"/>
      <c r="SCW555" s="500"/>
      <c r="SCX555" s="500"/>
      <c r="SCY555" s="500"/>
      <c r="SCZ555" s="500"/>
      <c r="SDA555" s="500"/>
      <c r="SDB555" s="500"/>
      <c r="SDC555" s="500"/>
      <c r="SDD555" s="500"/>
      <c r="SDE555" s="500"/>
      <c r="SDF555" s="500"/>
      <c r="SDG555" s="500"/>
      <c r="SDH555" s="500"/>
      <c r="SDI555" s="500"/>
      <c r="SDJ555" s="500"/>
      <c r="SDK555" s="500"/>
      <c r="SDL555" s="500"/>
      <c r="SDM555" s="500"/>
      <c r="SDN555" s="500"/>
      <c r="SDO555" s="500"/>
      <c r="SDP555" s="500"/>
      <c r="SDQ555" s="500"/>
      <c r="SDR555" s="500"/>
      <c r="SDS555" s="500"/>
      <c r="SDT555" s="500"/>
      <c r="SDU555" s="500"/>
      <c r="SDV555" s="500"/>
      <c r="SDW555" s="500"/>
      <c r="SDX555" s="500"/>
      <c r="SDY555" s="500"/>
      <c r="SDZ555" s="500"/>
      <c r="SEA555" s="500"/>
      <c r="SEB555" s="500"/>
      <c r="SEC555" s="500"/>
      <c r="SED555" s="500"/>
      <c r="SEE555" s="500"/>
      <c r="SEF555" s="500"/>
      <c r="SEG555" s="500"/>
      <c r="SEH555" s="500"/>
      <c r="SEI555" s="500"/>
      <c r="SEJ555" s="500"/>
      <c r="SEK555" s="500"/>
      <c r="SEL555" s="500"/>
      <c r="SEM555" s="500"/>
      <c r="SEN555" s="500"/>
      <c r="SEO555" s="500"/>
      <c r="SEP555" s="500"/>
      <c r="SEQ555" s="500"/>
      <c r="SER555" s="500"/>
      <c r="SES555" s="500"/>
      <c r="SET555" s="500"/>
      <c r="SEU555" s="500"/>
      <c r="SEV555" s="500"/>
      <c r="SEW555" s="500"/>
      <c r="SEX555" s="500"/>
      <c r="SEY555" s="500"/>
      <c r="SEZ555" s="500"/>
      <c r="SFA555" s="500"/>
      <c r="SFB555" s="500"/>
      <c r="SFC555" s="500"/>
      <c r="SFD555" s="500"/>
      <c r="SFE555" s="500"/>
      <c r="SFF555" s="500"/>
      <c r="SFG555" s="500"/>
      <c r="SFH555" s="500"/>
      <c r="SFI555" s="500"/>
      <c r="SFJ555" s="500"/>
      <c r="SFK555" s="500"/>
      <c r="SFL555" s="500"/>
      <c r="SFM555" s="500"/>
      <c r="SFN555" s="500"/>
      <c r="SFO555" s="500"/>
      <c r="SFP555" s="500"/>
      <c r="SFQ555" s="500"/>
      <c r="SFR555" s="500"/>
      <c r="SFS555" s="500"/>
      <c r="SFT555" s="500"/>
      <c r="SFU555" s="500"/>
      <c r="SFV555" s="500"/>
      <c r="SFW555" s="500"/>
      <c r="SFX555" s="500"/>
      <c r="SFY555" s="500"/>
      <c r="SFZ555" s="500"/>
      <c r="SGA555" s="500"/>
      <c r="SGB555" s="500"/>
      <c r="SGC555" s="500"/>
      <c r="SGD555" s="500"/>
      <c r="SGE555" s="500"/>
      <c r="SGF555" s="500"/>
      <c r="SGG555" s="500"/>
      <c r="SGH555" s="500"/>
      <c r="SGI555" s="500"/>
      <c r="SGJ555" s="500"/>
      <c r="SGK555" s="500"/>
      <c r="SGL555" s="500"/>
      <c r="SGM555" s="500"/>
      <c r="SGN555" s="500"/>
      <c r="SGO555" s="500"/>
      <c r="SGP555" s="500"/>
      <c r="SGQ555" s="500"/>
      <c r="SGR555" s="500"/>
      <c r="SGS555" s="500"/>
      <c r="SGT555" s="500"/>
      <c r="SGU555" s="500"/>
      <c r="SGV555" s="500"/>
      <c r="SGW555" s="500"/>
      <c r="SGX555" s="500"/>
      <c r="SGY555" s="500"/>
      <c r="SGZ555" s="500"/>
      <c r="SHA555" s="500"/>
      <c r="SHB555" s="500"/>
      <c r="SHC555" s="500"/>
      <c r="SHD555" s="500"/>
      <c r="SHE555" s="500"/>
      <c r="SHF555" s="500"/>
      <c r="SHG555" s="500"/>
      <c r="SHH555" s="500"/>
      <c r="SHI555" s="500"/>
      <c r="SHJ555" s="500"/>
      <c r="SHK555" s="500"/>
      <c r="SHL555" s="500"/>
      <c r="SHM555" s="500"/>
      <c r="SHN555" s="500"/>
      <c r="SHO555" s="500"/>
      <c r="SHP555" s="500"/>
      <c r="SHQ555" s="500"/>
      <c r="SHR555" s="500"/>
      <c r="SHS555" s="500"/>
      <c r="SHT555" s="500"/>
      <c r="SHU555" s="500"/>
      <c r="SHV555" s="500"/>
      <c r="SHW555" s="500"/>
      <c r="SHX555" s="500"/>
      <c r="SHY555" s="500"/>
      <c r="SHZ555" s="500"/>
      <c r="SIA555" s="500"/>
      <c r="SIB555" s="500"/>
      <c r="SIC555" s="500"/>
      <c r="SID555" s="500"/>
      <c r="SIE555" s="500"/>
      <c r="SIF555" s="500"/>
      <c r="SIG555" s="500"/>
      <c r="SIH555" s="500"/>
      <c r="SII555" s="500"/>
      <c r="SIJ555" s="500"/>
      <c r="SIK555" s="500"/>
      <c r="SIL555" s="500"/>
      <c r="SIM555" s="500"/>
      <c r="SIN555" s="500"/>
      <c r="SIO555" s="500"/>
      <c r="SIP555" s="500"/>
      <c r="SIQ555" s="500"/>
      <c r="SIR555" s="500"/>
      <c r="SIS555" s="500"/>
      <c r="SIT555" s="500"/>
      <c r="SIU555" s="500"/>
      <c r="SIV555" s="500"/>
      <c r="SIW555" s="500"/>
      <c r="SIX555" s="500"/>
      <c r="SIY555" s="500"/>
      <c r="SIZ555" s="500"/>
      <c r="SJA555" s="500"/>
      <c r="SJB555" s="500"/>
      <c r="SJC555" s="500"/>
      <c r="SJD555" s="500"/>
      <c r="SJE555" s="500"/>
      <c r="SJF555" s="500"/>
      <c r="SJG555" s="500"/>
      <c r="SJH555" s="500"/>
      <c r="SJI555" s="500"/>
      <c r="SJJ555" s="500"/>
      <c r="SJK555" s="500"/>
      <c r="SJL555" s="500"/>
      <c r="SJM555" s="500"/>
      <c r="SJN555" s="500"/>
      <c r="SJO555" s="500"/>
      <c r="SJP555" s="500"/>
      <c r="SJQ555" s="500"/>
      <c r="SJR555" s="500"/>
      <c r="SJS555" s="500"/>
      <c r="SJT555" s="500"/>
      <c r="SJU555" s="500"/>
      <c r="SJV555" s="500"/>
      <c r="SJW555" s="500"/>
      <c r="SJX555" s="500"/>
      <c r="SJY555" s="500"/>
      <c r="SJZ555" s="500"/>
      <c r="SKA555" s="500"/>
      <c r="SKB555" s="500"/>
      <c r="SKC555" s="500"/>
      <c r="SKD555" s="500"/>
      <c r="SKE555" s="500"/>
      <c r="SKF555" s="500"/>
      <c r="SKG555" s="500"/>
      <c r="SKH555" s="500"/>
      <c r="SKI555" s="500"/>
      <c r="SKJ555" s="500"/>
      <c r="SKK555" s="500"/>
      <c r="SKL555" s="500"/>
      <c r="SKM555" s="500"/>
      <c r="SKN555" s="500"/>
      <c r="SKO555" s="500"/>
      <c r="SKP555" s="500"/>
      <c r="SKQ555" s="500"/>
      <c r="SKR555" s="500"/>
      <c r="SKS555" s="500"/>
      <c r="SKT555" s="500"/>
      <c r="SKU555" s="500"/>
      <c r="SKV555" s="500"/>
      <c r="SKW555" s="500"/>
      <c r="SKX555" s="500"/>
      <c r="SKY555" s="500"/>
      <c r="SKZ555" s="500"/>
      <c r="SLA555" s="500"/>
      <c r="SLB555" s="500"/>
      <c r="SLC555" s="500"/>
      <c r="SLD555" s="500"/>
      <c r="SLE555" s="500"/>
      <c r="SLF555" s="500"/>
      <c r="SLG555" s="500"/>
      <c r="SLH555" s="500"/>
      <c r="SLI555" s="500"/>
      <c r="SLJ555" s="500"/>
      <c r="SLK555" s="500"/>
      <c r="SLL555" s="500"/>
      <c r="SLM555" s="500"/>
      <c r="SLN555" s="500"/>
      <c r="SLO555" s="500"/>
      <c r="SLP555" s="500"/>
      <c r="SLQ555" s="500"/>
      <c r="SLR555" s="500"/>
      <c r="SLS555" s="500"/>
      <c r="SLT555" s="500"/>
      <c r="SLU555" s="500"/>
      <c r="SLV555" s="500"/>
      <c r="SLW555" s="500"/>
      <c r="SLX555" s="500"/>
      <c r="SLY555" s="500"/>
      <c r="SLZ555" s="500"/>
      <c r="SMA555" s="500"/>
      <c r="SMB555" s="500"/>
      <c r="SMC555" s="500"/>
      <c r="SMD555" s="500"/>
      <c r="SME555" s="500"/>
      <c r="SMF555" s="500"/>
      <c r="SMG555" s="500"/>
      <c r="SMH555" s="500"/>
      <c r="SMI555" s="500"/>
      <c r="SMJ555" s="500"/>
      <c r="SMK555" s="500"/>
      <c r="SML555" s="500"/>
      <c r="SMM555" s="500"/>
      <c r="SMN555" s="500"/>
      <c r="SMO555" s="500"/>
      <c r="SMP555" s="500"/>
      <c r="SMQ555" s="500"/>
      <c r="SMR555" s="500"/>
      <c r="SMS555" s="500"/>
      <c r="SMT555" s="500"/>
      <c r="SMU555" s="500"/>
      <c r="SMV555" s="500"/>
      <c r="SMW555" s="500"/>
      <c r="SMX555" s="500"/>
      <c r="SMY555" s="500"/>
      <c r="SMZ555" s="500"/>
      <c r="SNA555" s="500"/>
      <c r="SNB555" s="500"/>
      <c r="SNC555" s="500"/>
      <c r="SND555" s="500"/>
      <c r="SNE555" s="500"/>
      <c r="SNF555" s="500"/>
      <c r="SNG555" s="500"/>
      <c r="SNH555" s="500"/>
      <c r="SNI555" s="500"/>
      <c r="SNJ555" s="500"/>
      <c r="SNK555" s="500"/>
      <c r="SNL555" s="500"/>
      <c r="SNM555" s="500"/>
      <c r="SNN555" s="500"/>
      <c r="SNO555" s="500"/>
      <c r="SNP555" s="500"/>
      <c r="SNQ555" s="500"/>
      <c r="SNR555" s="500"/>
      <c r="SNS555" s="500"/>
      <c r="SNT555" s="500"/>
      <c r="SNU555" s="500"/>
      <c r="SNV555" s="500"/>
      <c r="SNW555" s="500"/>
      <c r="SNX555" s="500"/>
      <c r="SNY555" s="500"/>
      <c r="SNZ555" s="500"/>
      <c r="SOA555" s="500"/>
      <c r="SOB555" s="500"/>
      <c r="SOC555" s="500"/>
      <c r="SOD555" s="500"/>
      <c r="SOE555" s="500"/>
      <c r="SOF555" s="500"/>
      <c r="SOG555" s="500"/>
      <c r="SOH555" s="500"/>
      <c r="SOI555" s="500"/>
      <c r="SOJ555" s="500"/>
      <c r="SOK555" s="500"/>
      <c r="SOL555" s="500"/>
      <c r="SOM555" s="500"/>
      <c r="SON555" s="500"/>
      <c r="SOO555" s="500"/>
      <c r="SOP555" s="500"/>
      <c r="SOQ555" s="500"/>
      <c r="SOR555" s="500"/>
      <c r="SOS555" s="500"/>
      <c r="SOT555" s="500"/>
      <c r="SOU555" s="500"/>
      <c r="SOV555" s="500"/>
      <c r="SOW555" s="500"/>
      <c r="SOX555" s="500"/>
      <c r="SOY555" s="500"/>
      <c r="SOZ555" s="500"/>
      <c r="SPA555" s="500"/>
      <c r="SPB555" s="500"/>
      <c r="SPC555" s="500"/>
      <c r="SPD555" s="500"/>
      <c r="SPE555" s="500"/>
      <c r="SPF555" s="500"/>
      <c r="SPG555" s="500"/>
      <c r="SPH555" s="500"/>
      <c r="SPI555" s="500"/>
      <c r="SPJ555" s="500"/>
      <c r="SPK555" s="500"/>
      <c r="SPL555" s="500"/>
      <c r="SPM555" s="500"/>
      <c r="SPN555" s="500"/>
      <c r="SPO555" s="500"/>
      <c r="SPP555" s="500"/>
      <c r="SPQ555" s="500"/>
      <c r="SPR555" s="500"/>
      <c r="SPS555" s="500"/>
      <c r="SPT555" s="500"/>
      <c r="SPU555" s="500"/>
      <c r="SPV555" s="500"/>
      <c r="SPW555" s="500"/>
      <c r="SPX555" s="500"/>
      <c r="SPY555" s="500"/>
      <c r="SPZ555" s="500"/>
      <c r="SQA555" s="500"/>
      <c r="SQB555" s="500"/>
      <c r="SQC555" s="500"/>
      <c r="SQD555" s="500"/>
      <c r="SQE555" s="500"/>
      <c r="SQF555" s="500"/>
      <c r="SQG555" s="500"/>
      <c r="SQH555" s="500"/>
      <c r="SQI555" s="500"/>
      <c r="SQJ555" s="500"/>
      <c r="SQK555" s="500"/>
      <c r="SQL555" s="500"/>
      <c r="SQM555" s="500"/>
      <c r="SQN555" s="500"/>
      <c r="SQO555" s="500"/>
      <c r="SQP555" s="500"/>
      <c r="SQQ555" s="500"/>
      <c r="SQR555" s="500"/>
      <c r="SQS555" s="500"/>
      <c r="SQT555" s="500"/>
      <c r="SQU555" s="500"/>
      <c r="SQV555" s="500"/>
      <c r="SQW555" s="500"/>
      <c r="SQX555" s="500"/>
      <c r="SQY555" s="500"/>
      <c r="SQZ555" s="500"/>
      <c r="SRA555" s="500"/>
      <c r="SRB555" s="500"/>
      <c r="SRC555" s="500"/>
      <c r="SRD555" s="500"/>
      <c r="SRE555" s="500"/>
      <c r="SRF555" s="500"/>
      <c r="SRG555" s="500"/>
      <c r="SRH555" s="500"/>
      <c r="SRI555" s="500"/>
      <c r="SRJ555" s="500"/>
      <c r="SRK555" s="500"/>
      <c r="SRL555" s="500"/>
      <c r="SRM555" s="500"/>
      <c r="SRN555" s="500"/>
      <c r="SRO555" s="500"/>
      <c r="SRP555" s="500"/>
      <c r="SRQ555" s="500"/>
      <c r="SRR555" s="500"/>
      <c r="SRS555" s="500"/>
      <c r="SRT555" s="500"/>
      <c r="SRU555" s="500"/>
      <c r="SRV555" s="500"/>
      <c r="SRW555" s="500"/>
      <c r="SRX555" s="500"/>
      <c r="SRY555" s="500"/>
      <c r="SRZ555" s="500"/>
      <c r="SSA555" s="500"/>
      <c r="SSB555" s="500"/>
      <c r="SSC555" s="500"/>
      <c r="SSD555" s="500"/>
      <c r="SSE555" s="500"/>
      <c r="SSF555" s="500"/>
      <c r="SSG555" s="500"/>
      <c r="SSH555" s="500"/>
      <c r="SSI555" s="500"/>
      <c r="SSJ555" s="500"/>
      <c r="SSK555" s="500"/>
      <c r="SSL555" s="500"/>
      <c r="SSM555" s="500"/>
      <c r="SSN555" s="500"/>
      <c r="SSO555" s="500"/>
      <c r="SSP555" s="500"/>
      <c r="SSQ555" s="500"/>
      <c r="SSR555" s="500"/>
      <c r="SSS555" s="500"/>
      <c r="SST555" s="500"/>
      <c r="SSU555" s="500"/>
      <c r="SSV555" s="500"/>
      <c r="SSW555" s="500"/>
      <c r="SSX555" s="500"/>
      <c r="SSY555" s="500"/>
      <c r="SSZ555" s="500"/>
      <c r="STA555" s="500"/>
      <c r="STB555" s="500"/>
      <c r="STC555" s="500"/>
      <c r="STD555" s="500"/>
      <c r="STE555" s="500"/>
      <c r="STF555" s="500"/>
      <c r="STG555" s="500"/>
      <c r="STH555" s="500"/>
      <c r="STI555" s="500"/>
      <c r="STJ555" s="500"/>
      <c r="STK555" s="500"/>
      <c r="STL555" s="500"/>
      <c r="STM555" s="500"/>
      <c r="STN555" s="500"/>
      <c r="STO555" s="500"/>
      <c r="STP555" s="500"/>
      <c r="STQ555" s="500"/>
      <c r="STR555" s="500"/>
      <c r="STS555" s="500"/>
      <c r="STT555" s="500"/>
      <c r="STU555" s="500"/>
      <c r="STV555" s="500"/>
      <c r="STW555" s="500"/>
      <c r="STX555" s="500"/>
      <c r="STY555" s="500"/>
      <c r="STZ555" s="500"/>
      <c r="SUA555" s="500"/>
      <c r="SUB555" s="500"/>
      <c r="SUC555" s="500"/>
      <c r="SUD555" s="500"/>
      <c r="SUE555" s="500"/>
      <c r="SUF555" s="500"/>
      <c r="SUG555" s="500"/>
      <c r="SUH555" s="500"/>
      <c r="SUI555" s="500"/>
      <c r="SUJ555" s="500"/>
      <c r="SUK555" s="500"/>
      <c r="SUL555" s="500"/>
      <c r="SUM555" s="500"/>
      <c r="SUN555" s="500"/>
      <c r="SUO555" s="500"/>
      <c r="SUP555" s="500"/>
      <c r="SUQ555" s="500"/>
      <c r="SUR555" s="500"/>
      <c r="SUS555" s="500"/>
      <c r="SUT555" s="500"/>
      <c r="SUU555" s="500"/>
      <c r="SUV555" s="500"/>
      <c r="SUW555" s="500"/>
      <c r="SUX555" s="500"/>
      <c r="SUY555" s="500"/>
      <c r="SUZ555" s="500"/>
      <c r="SVA555" s="500"/>
      <c r="SVB555" s="500"/>
      <c r="SVC555" s="500"/>
      <c r="SVD555" s="500"/>
      <c r="SVE555" s="500"/>
      <c r="SVF555" s="500"/>
      <c r="SVG555" s="500"/>
      <c r="SVH555" s="500"/>
      <c r="SVI555" s="500"/>
      <c r="SVJ555" s="500"/>
      <c r="SVK555" s="500"/>
      <c r="SVL555" s="500"/>
      <c r="SVM555" s="500"/>
      <c r="SVN555" s="500"/>
      <c r="SVO555" s="500"/>
      <c r="SVP555" s="500"/>
      <c r="SVQ555" s="500"/>
      <c r="SVR555" s="500"/>
      <c r="SVS555" s="500"/>
      <c r="SVT555" s="500"/>
      <c r="SVU555" s="500"/>
      <c r="SVV555" s="500"/>
      <c r="SVW555" s="500"/>
      <c r="SVX555" s="500"/>
      <c r="SVY555" s="500"/>
      <c r="SVZ555" s="500"/>
      <c r="SWA555" s="500"/>
      <c r="SWB555" s="500"/>
      <c r="SWC555" s="500"/>
      <c r="SWD555" s="500"/>
      <c r="SWE555" s="500"/>
      <c r="SWF555" s="500"/>
      <c r="SWG555" s="500"/>
      <c r="SWH555" s="500"/>
      <c r="SWI555" s="500"/>
      <c r="SWJ555" s="500"/>
      <c r="SWK555" s="500"/>
      <c r="SWL555" s="500"/>
      <c r="SWM555" s="500"/>
      <c r="SWN555" s="500"/>
      <c r="SWO555" s="500"/>
      <c r="SWP555" s="500"/>
      <c r="SWQ555" s="500"/>
      <c r="SWR555" s="500"/>
      <c r="SWS555" s="500"/>
      <c r="SWT555" s="500"/>
      <c r="SWU555" s="500"/>
      <c r="SWV555" s="500"/>
      <c r="SWW555" s="500"/>
      <c r="SWX555" s="500"/>
      <c r="SWY555" s="500"/>
      <c r="SWZ555" s="500"/>
      <c r="SXA555" s="500"/>
      <c r="SXB555" s="500"/>
      <c r="SXC555" s="500"/>
      <c r="SXD555" s="500"/>
      <c r="SXE555" s="500"/>
      <c r="SXF555" s="500"/>
      <c r="SXG555" s="500"/>
      <c r="SXH555" s="500"/>
      <c r="SXI555" s="500"/>
      <c r="SXJ555" s="500"/>
      <c r="SXK555" s="500"/>
      <c r="SXL555" s="500"/>
      <c r="SXM555" s="500"/>
      <c r="SXN555" s="500"/>
      <c r="SXO555" s="500"/>
      <c r="SXP555" s="500"/>
      <c r="SXQ555" s="500"/>
      <c r="SXR555" s="500"/>
      <c r="SXS555" s="500"/>
      <c r="SXT555" s="500"/>
      <c r="SXU555" s="500"/>
      <c r="SXV555" s="500"/>
      <c r="SXW555" s="500"/>
      <c r="SXX555" s="500"/>
      <c r="SXY555" s="500"/>
      <c r="SXZ555" s="500"/>
      <c r="SYA555" s="500"/>
      <c r="SYB555" s="500"/>
      <c r="SYC555" s="500"/>
      <c r="SYD555" s="500"/>
      <c r="SYE555" s="500"/>
      <c r="SYF555" s="500"/>
      <c r="SYG555" s="500"/>
      <c r="SYH555" s="500"/>
      <c r="SYI555" s="500"/>
      <c r="SYJ555" s="500"/>
      <c r="SYK555" s="500"/>
      <c r="SYL555" s="500"/>
      <c r="SYM555" s="500"/>
      <c r="SYN555" s="500"/>
      <c r="SYO555" s="500"/>
      <c r="SYP555" s="500"/>
      <c r="SYQ555" s="500"/>
      <c r="SYR555" s="500"/>
      <c r="SYS555" s="500"/>
      <c r="SYT555" s="500"/>
      <c r="SYU555" s="500"/>
      <c r="SYV555" s="500"/>
      <c r="SYW555" s="500"/>
      <c r="SYX555" s="500"/>
      <c r="SYY555" s="500"/>
      <c r="SYZ555" s="500"/>
      <c r="SZA555" s="500"/>
      <c r="SZB555" s="500"/>
      <c r="SZC555" s="500"/>
      <c r="SZD555" s="500"/>
      <c r="SZE555" s="500"/>
      <c r="SZF555" s="500"/>
      <c r="SZG555" s="500"/>
      <c r="SZH555" s="500"/>
      <c r="SZI555" s="500"/>
      <c r="SZJ555" s="500"/>
      <c r="SZK555" s="500"/>
      <c r="SZL555" s="500"/>
      <c r="SZM555" s="500"/>
      <c r="SZN555" s="500"/>
      <c r="SZO555" s="500"/>
      <c r="SZP555" s="500"/>
      <c r="SZQ555" s="500"/>
      <c r="SZR555" s="500"/>
      <c r="SZS555" s="500"/>
      <c r="SZT555" s="500"/>
      <c r="SZU555" s="500"/>
      <c r="SZV555" s="500"/>
      <c r="SZW555" s="500"/>
      <c r="SZX555" s="500"/>
      <c r="SZY555" s="500"/>
      <c r="SZZ555" s="500"/>
      <c r="TAA555" s="500"/>
      <c r="TAB555" s="500"/>
      <c r="TAC555" s="500"/>
      <c r="TAD555" s="500"/>
      <c r="TAE555" s="500"/>
      <c r="TAF555" s="500"/>
      <c r="TAG555" s="500"/>
      <c r="TAH555" s="500"/>
      <c r="TAI555" s="500"/>
      <c r="TAJ555" s="500"/>
      <c r="TAK555" s="500"/>
      <c r="TAL555" s="500"/>
      <c r="TAM555" s="500"/>
      <c r="TAN555" s="500"/>
      <c r="TAO555" s="500"/>
      <c r="TAP555" s="500"/>
      <c r="TAQ555" s="500"/>
      <c r="TAR555" s="500"/>
      <c r="TAS555" s="500"/>
      <c r="TAT555" s="500"/>
      <c r="TAU555" s="500"/>
      <c r="TAV555" s="500"/>
      <c r="TAW555" s="500"/>
      <c r="TAX555" s="500"/>
      <c r="TAY555" s="500"/>
      <c r="TAZ555" s="500"/>
      <c r="TBA555" s="500"/>
      <c r="TBB555" s="500"/>
      <c r="TBC555" s="500"/>
      <c r="TBD555" s="500"/>
      <c r="TBE555" s="500"/>
      <c r="TBF555" s="500"/>
      <c r="TBG555" s="500"/>
      <c r="TBH555" s="500"/>
      <c r="TBI555" s="500"/>
      <c r="TBJ555" s="500"/>
      <c r="TBK555" s="500"/>
      <c r="TBL555" s="500"/>
      <c r="TBM555" s="500"/>
      <c r="TBN555" s="500"/>
      <c r="TBO555" s="500"/>
      <c r="TBP555" s="500"/>
      <c r="TBQ555" s="500"/>
      <c r="TBR555" s="500"/>
      <c r="TBS555" s="500"/>
      <c r="TBT555" s="500"/>
      <c r="TBU555" s="500"/>
      <c r="TBV555" s="500"/>
      <c r="TBW555" s="500"/>
      <c r="TBX555" s="500"/>
      <c r="TBY555" s="500"/>
      <c r="TBZ555" s="500"/>
      <c r="TCA555" s="500"/>
      <c r="TCB555" s="500"/>
      <c r="TCC555" s="500"/>
      <c r="TCD555" s="500"/>
      <c r="TCE555" s="500"/>
      <c r="TCF555" s="500"/>
      <c r="TCG555" s="500"/>
      <c r="TCH555" s="500"/>
      <c r="TCI555" s="500"/>
      <c r="TCJ555" s="500"/>
      <c r="TCK555" s="500"/>
      <c r="TCL555" s="500"/>
      <c r="TCM555" s="500"/>
      <c r="TCN555" s="500"/>
      <c r="TCO555" s="500"/>
      <c r="TCP555" s="500"/>
      <c r="TCQ555" s="500"/>
      <c r="TCR555" s="500"/>
      <c r="TCS555" s="500"/>
      <c r="TCT555" s="500"/>
      <c r="TCU555" s="500"/>
      <c r="TCV555" s="500"/>
      <c r="TCW555" s="500"/>
      <c r="TCX555" s="500"/>
      <c r="TCY555" s="500"/>
      <c r="TCZ555" s="500"/>
      <c r="TDA555" s="500"/>
      <c r="TDB555" s="500"/>
      <c r="TDC555" s="500"/>
      <c r="TDD555" s="500"/>
      <c r="TDE555" s="500"/>
      <c r="TDF555" s="500"/>
      <c r="TDG555" s="500"/>
      <c r="TDH555" s="500"/>
      <c r="TDI555" s="500"/>
      <c r="TDJ555" s="500"/>
      <c r="TDK555" s="500"/>
      <c r="TDL555" s="500"/>
      <c r="TDM555" s="500"/>
      <c r="TDN555" s="500"/>
      <c r="TDO555" s="500"/>
      <c r="TDP555" s="500"/>
      <c r="TDQ555" s="500"/>
      <c r="TDR555" s="500"/>
      <c r="TDS555" s="500"/>
      <c r="TDT555" s="500"/>
      <c r="TDU555" s="500"/>
      <c r="TDV555" s="500"/>
      <c r="TDW555" s="500"/>
      <c r="TDX555" s="500"/>
      <c r="TDY555" s="500"/>
      <c r="TDZ555" s="500"/>
      <c r="TEA555" s="500"/>
      <c r="TEB555" s="500"/>
      <c r="TEC555" s="500"/>
      <c r="TED555" s="500"/>
      <c r="TEE555" s="500"/>
      <c r="TEF555" s="500"/>
      <c r="TEG555" s="500"/>
      <c r="TEH555" s="500"/>
      <c r="TEI555" s="500"/>
      <c r="TEJ555" s="500"/>
      <c r="TEK555" s="500"/>
      <c r="TEL555" s="500"/>
      <c r="TEM555" s="500"/>
      <c r="TEN555" s="500"/>
      <c r="TEO555" s="500"/>
      <c r="TEP555" s="500"/>
      <c r="TEQ555" s="500"/>
      <c r="TER555" s="500"/>
      <c r="TES555" s="500"/>
      <c r="TET555" s="500"/>
      <c r="TEU555" s="500"/>
      <c r="TEV555" s="500"/>
      <c r="TEW555" s="500"/>
      <c r="TEX555" s="500"/>
      <c r="TEY555" s="500"/>
      <c r="TEZ555" s="500"/>
      <c r="TFA555" s="500"/>
      <c r="TFB555" s="500"/>
      <c r="TFC555" s="500"/>
      <c r="TFD555" s="500"/>
      <c r="TFE555" s="500"/>
      <c r="TFF555" s="500"/>
      <c r="TFG555" s="500"/>
      <c r="TFH555" s="500"/>
      <c r="TFI555" s="500"/>
      <c r="TFJ555" s="500"/>
      <c r="TFK555" s="500"/>
      <c r="TFL555" s="500"/>
      <c r="TFM555" s="500"/>
      <c r="TFN555" s="500"/>
      <c r="TFO555" s="500"/>
      <c r="TFP555" s="500"/>
      <c r="TFQ555" s="500"/>
      <c r="TFR555" s="500"/>
      <c r="TFS555" s="500"/>
      <c r="TFT555" s="500"/>
      <c r="TFU555" s="500"/>
      <c r="TFV555" s="500"/>
      <c r="TFW555" s="500"/>
      <c r="TFX555" s="500"/>
      <c r="TFY555" s="500"/>
      <c r="TFZ555" s="500"/>
      <c r="TGA555" s="500"/>
      <c r="TGB555" s="500"/>
      <c r="TGC555" s="500"/>
      <c r="TGD555" s="500"/>
      <c r="TGE555" s="500"/>
      <c r="TGF555" s="500"/>
      <c r="TGG555" s="500"/>
      <c r="TGH555" s="500"/>
      <c r="TGI555" s="500"/>
      <c r="TGJ555" s="500"/>
      <c r="TGK555" s="500"/>
      <c r="TGL555" s="500"/>
      <c r="TGM555" s="500"/>
      <c r="TGN555" s="500"/>
      <c r="TGO555" s="500"/>
      <c r="TGP555" s="500"/>
      <c r="TGQ555" s="500"/>
      <c r="TGR555" s="500"/>
      <c r="TGS555" s="500"/>
      <c r="TGT555" s="500"/>
      <c r="TGU555" s="500"/>
      <c r="TGV555" s="500"/>
      <c r="TGW555" s="500"/>
      <c r="TGX555" s="500"/>
      <c r="TGY555" s="500"/>
      <c r="TGZ555" s="500"/>
      <c r="THA555" s="500"/>
      <c r="THB555" s="500"/>
      <c r="THC555" s="500"/>
      <c r="THD555" s="500"/>
      <c r="THE555" s="500"/>
      <c r="THF555" s="500"/>
      <c r="THG555" s="500"/>
      <c r="THH555" s="500"/>
      <c r="THI555" s="500"/>
      <c r="THJ555" s="500"/>
      <c r="THK555" s="500"/>
      <c r="THL555" s="500"/>
      <c r="THM555" s="500"/>
      <c r="THN555" s="500"/>
      <c r="THO555" s="500"/>
      <c r="THP555" s="500"/>
      <c r="THQ555" s="500"/>
      <c r="THR555" s="500"/>
      <c r="THS555" s="500"/>
      <c r="THT555" s="500"/>
      <c r="THU555" s="500"/>
      <c r="THV555" s="500"/>
      <c r="THW555" s="500"/>
      <c r="THX555" s="500"/>
      <c r="THY555" s="500"/>
      <c r="THZ555" s="500"/>
      <c r="TIA555" s="500"/>
      <c r="TIB555" s="500"/>
      <c r="TIC555" s="500"/>
      <c r="TID555" s="500"/>
      <c r="TIE555" s="500"/>
      <c r="TIF555" s="500"/>
      <c r="TIG555" s="500"/>
      <c r="TIH555" s="500"/>
      <c r="TII555" s="500"/>
      <c r="TIJ555" s="500"/>
      <c r="TIK555" s="500"/>
      <c r="TIL555" s="500"/>
      <c r="TIM555" s="500"/>
      <c r="TIN555" s="500"/>
      <c r="TIO555" s="500"/>
      <c r="TIP555" s="500"/>
      <c r="TIQ555" s="500"/>
      <c r="TIR555" s="500"/>
      <c r="TIS555" s="500"/>
      <c r="TIT555" s="500"/>
      <c r="TIU555" s="500"/>
      <c r="TIV555" s="500"/>
      <c r="TIW555" s="500"/>
      <c r="TIX555" s="500"/>
      <c r="TIY555" s="500"/>
      <c r="TIZ555" s="500"/>
      <c r="TJA555" s="500"/>
      <c r="TJB555" s="500"/>
      <c r="TJC555" s="500"/>
      <c r="TJD555" s="500"/>
      <c r="TJE555" s="500"/>
      <c r="TJF555" s="500"/>
      <c r="TJG555" s="500"/>
      <c r="TJH555" s="500"/>
      <c r="TJI555" s="500"/>
      <c r="TJJ555" s="500"/>
      <c r="TJK555" s="500"/>
      <c r="TJL555" s="500"/>
      <c r="TJM555" s="500"/>
      <c r="TJN555" s="500"/>
      <c r="TJO555" s="500"/>
      <c r="TJP555" s="500"/>
      <c r="TJQ555" s="500"/>
      <c r="TJR555" s="500"/>
      <c r="TJS555" s="500"/>
      <c r="TJT555" s="500"/>
      <c r="TJU555" s="500"/>
      <c r="TJV555" s="500"/>
      <c r="TJW555" s="500"/>
      <c r="TJX555" s="500"/>
      <c r="TJY555" s="500"/>
      <c r="TJZ555" s="500"/>
      <c r="TKA555" s="500"/>
      <c r="TKB555" s="500"/>
      <c r="TKC555" s="500"/>
      <c r="TKD555" s="500"/>
      <c r="TKE555" s="500"/>
      <c r="TKF555" s="500"/>
      <c r="TKG555" s="500"/>
      <c r="TKH555" s="500"/>
      <c r="TKI555" s="500"/>
      <c r="TKJ555" s="500"/>
      <c r="TKK555" s="500"/>
      <c r="TKL555" s="500"/>
      <c r="TKM555" s="500"/>
      <c r="TKN555" s="500"/>
      <c r="TKO555" s="500"/>
      <c r="TKP555" s="500"/>
      <c r="TKQ555" s="500"/>
      <c r="TKR555" s="500"/>
      <c r="TKS555" s="500"/>
      <c r="TKT555" s="500"/>
      <c r="TKU555" s="500"/>
      <c r="TKV555" s="500"/>
      <c r="TKW555" s="500"/>
      <c r="TKX555" s="500"/>
      <c r="TKY555" s="500"/>
      <c r="TKZ555" s="500"/>
      <c r="TLA555" s="500"/>
      <c r="TLB555" s="500"/>
      <c r="TLC555" s="500"/>
      <c r="TLD555" s="500"/>
      <c r="TLE555" s="500"/>
      <c r="TLF555" s="500"/>
      <c r="TLG555" s="500"/>
      <c r="TLH555" s="500"/>
      <c r="TLI555" s="500"/>
      <c r="TLJ555" s="500"/>
      <c r="TLK555" s="500"/>
      <c r="TLL555" s="500"/>
      <c r="TLM555" s="500"/>
      <c r="TLN555" s="500"/>
      <c r="TLO555" s="500"/>
      <c r="TLP555" s="500"/>
      <c r="TLQ555" s="500"/>
      <c r="TLR555" s="500"/>
      <c r="TLS555" s="500"/>
      <c r="TLT555" s="500"/>
      <c r="TLU555" s="500"/>
      <c r="TLV555" s="500"/>
      <c r="TLW555" s="500"/>
      <c r="TLX555" s="500"/>
      <c r="TLY555" s="500"/>
      <c r="TLZ555" s="500"/>
      <c r="TMA555" s="500"/>
      <c r="TMB555" s="500"/>
      <c r="TMC555" s="500"/>
      <c r="TMD555" s="500"/>
      <c r="TME555" s="500"/>
      <c r="TMF555" s="500"/>
      <c r="TMG555" s="500"/>
      <c r="TMH555" s="500"/>
      <c r="TMI555" s="500"/>
      <c r="TMJ555" s="500"/>
      <c r="TMK555" s="500"/>
      <c r="TML555" s="500"/>
      <c r="TMM555" s="500"/>
      <c r="TMN555" s="500"/>
      <c r="TMO555" s="500"/>
      <c r="TMP555" s="500"/>
      <c r="TMQ555" s="500"/>
      <c r="TMR555" s="500"/>
      <c r="TMS555" s="500"/>
      <c r="TMT555" s="500"/>
      <c r="TMU555" s="500"/>
      <c r="TMV555" s="500"/>
      <c r="TMW555" s="500"/>
      <c r="TMX555" s="500"/>
      <c r="TMY555" s="500"/>
      <c r="TMZ555" s="500"/>
      <c r="TNA555" s="500"/>
      <c r="TNB555" s="500"/>
      <c r="TNC555" s="500"/>
      <c r="TND555" s="500"/>
      <c r="TNE555" s="500"/>
      <c r="TNF555" s="500"/>
      <c r="TNG555" s="500"/>
      <c r="TNH555" s="500"/>
      <c r="TNI555" s="500"/>
      <c r="TNJ555" s="500"/>
      <c r="TNK555" s="500"/>
      <c r="TNL555" s="500"/>
      <c r="TNM555" s="500"/>
      <c r="TNN555" s="500"/>
      <c r="TNO555" s="500"/>
      <c r="TNP555" s="500"/>
      <c r="TNQ555" s="500"/>
      <c r="TNR555" s="500"/>
      <c r="TNS555" s="500"/>
      <c r="TNT555" s="500"/>
      <c r="TNU555" s="500"/>
      <c r="TNV555" s="500"/>
      <c r="TNW555" s="500"/>
      <c r="TNX555" s="500"/>
      <c r="TNY555" s="500"/>
      <c r="TNZ555" s="500"/>
      <c r="TOA555" s="500"/>
      <c r="TOB555" s="500"/>
      <c r="TOC555" s="500"/>
      <c r="TOD555" s="500"/>
      <c r="TOE555" s="500"/>
      <c r="TOF555" s="500"/>
      <c r="TOG555" s="500"/>
      <c r="TOH555" s="500"/>
      <c r="TOI555" s="500"/>
      <c r="TOJ555" s="500"/>
      <c r="TOK555" s="500"/>
      <c r="TOL555" s="500"/>
      <c r="TOM555" s="500"/>
      <c r="TON555" s="500"/>
      <c r="TOO555" s="500"/>
      <c r="TOP555" s="500"/>
      <c r="TOQ555" s="500"/>
      <c r="TOR555" s="500"/>
      <c r="TOS555" s="500"/>
      <c r="TOT555" s="500"/>
      <c r="TOU555" s="500"/>
      <c r="TOV555" s="500"/>
      <c r="TOW555" s="500"/>
      <c r="TOX555" s="500"/>
      <c r="TOY555" s="500"/>
      <c r="TOZ555" s="500"/>
      <c r="TPA555" s="500"/>
      <c r="TPB555" s="500"/>
      <c r="TPC555" s="500"/>
      <c r="TPD555" s="500"/>
      <c r="TPE555" s="500"/>
      <c r="TPF555" s="500"/>
      <c r="TPG555" s="500"/>
      <c r="TPH555" s="500"/>
      <c r="TPI555" s="500"/>
      <c r="TPJ555" s="500"/>
      <c r="TPK555" s="500"/>
      <c r="TPL555" s="500"/>
      <c r="TPM555" s="500"/>
      <c r="TPN555" s="500"/>
      <c r="TPO555" s="500"/>
      <c r="TPP555" s="500"/>
      <c r="TPQ555" s="500"/>
      <c r="TPR555" s="500"/>
      <c r="TPS555" s="500"/>
      <c r="TPT555" s="500"/>
      <c r="TPU555" s="500"/>
      <c r="TPV555" s="500"/>
      <c r="TPW555" s="500"/>
      <c r="TPX555" s="500"/>
      <c r="TPY555" s="500"/>
      <c r="TPZ555" s="500"/>
      <c r="TQA555" s="500"/>
      <c r="TQB555" s="500"/>
      <c r="TQC555" s="500"/>
      <c r="TQD555" s="500"/>
      <c r="TQE555" s="500"/>
      <c r="TQF555" s="500"/>
      <c r="TQG555" s="500"/>
      <c r="TQH555" s="500"/>
      <c r="TQI555" s="500"/>
      <c r="TQJ555" s="500"/>
      <c r="TQK555" s="500"/>
      <c r="TQL555" s="500"/>
      <c r="TQM555" s="500"/>
      <c r="TQN555" s="500"/>
      <c r="TQO555" s="500"/>
      <c r="TQP555" s="500"/>
      <c r="TQQ555" s="500"/>
      <c r="TQR555" s="500"/>
      <c r="TQS555" s="500"/>
      <c r="TQT555" s="500"/>
      <c r="TQU555" s="500"/>
      <c r="TQV555" s="500"/>
      <c r="TQW555" s="500"/>
      <c r="TQX555" s="500"/>
      <c r="TQY555" s="500"/>
      <c r="TQZ555" s="500"/>
      <c r="TRA555" s="500"/>
      <c r="TRB555" s="500"/>
      <c r="TRC555" s="500"/>
      <c r="TRD555" s="500"/>
      <c r="TRE555" s="500"/>
      <c r="TRF555" s="500"/>
      <c r="TRG555" s="500"/>
      <c r="TRH555" s="500"/>
      <c r="TRI555" s="500"/>
      <c r="TRJ555" s="500"/>
      <c r="TRK555" s="500"/>
      <c r="TRL555" s="500"/>
      <c r="TRM555" s="500"/>
      <c r="TRN555" s="500"/>
      <c r="TRO555" s="500"/>
      <c r="TRP555" s="500"/>
      <c r="TRQ555" s="500"/>
      <c r="TRR555" s="500"/>
      <c r="TRS555" s="500"/>
      <c r="TRT555" s="500"/>
      <c r="TRU555" s="500"/>
      <c r="TRV555" s="500"/>
      <c r="TRW555" s="500"/>
      <c r="TRX555" s="500"/>
      <c r="TRY555" s="500"/>
      <c r="TRZ555" s="500"/>
      <c r="TSA555" s="500"/>
      <c r="TSB555" s="500"/>
      <c r="TSC555" s="500"/>
      <c r="TSD555" s="500"/>
      <c r="TSE555" s="500"/>
      <c r="TSF555" s="500"/>
      <c r="TSG555" s="500"/>
      <c r="TSH555" s="500"/>
      <c r="TSI555" s="500"/>
      <c r="TSJ555" s="500"/>
      <c r="TSK555" s="500"/>
      <c r="TSL555" s="500"/>
      <c r="TSM555" s="500"/>
      <c r="TSN555" s="500"/>
      <c r="TSO555" s="500"/>
      <c r="TSP555" s="500"/>
      <c r="TSQ555" s="500"/>
      <c r="TSR555" s="500"/>
      <c r="TSS555" s="500"/>
      <c r="TST555" s="500"/>
      <c r="TSU555" s="500"/>
      <c r="TSV555" s="500"/>
      <c r="TSW555" s="500"/>
      <c r="TSX555" s="500"/>
      <c r="TSY555" s="500"/>
      <c r="TSZ555" s="500"/>
      <c r="TTA555" s="500"/>
      <c r="TTB555" s="500"/>
      <c r="TTC555" s="500"/>
      <c r="TTD555" s="500"/>
      <c r="TTE555" s="500"/>
      <c r="TTF555" s="500"/>
      <c r="TTG555" s="500"/>
      <c r="TTH555" s="500"/>
      <c r="TTI555" s="500"/>
      <c r="TTJ555" s="500"/>
      <c r="TTK555" s="500"/>
      <c r="TTL555" s="500"/>
      <c r="TTM555" s="500"/>
      <c r="TTN555" s="500"/>
      <c r="TTO555" s="500"/>
      <c r="TTP555" s="500"/>
      <c r="TTQ555" s="500"/>
      <c r="TTR555" s="500"/>
      <c r="TTS555" s="500"/>
      <c r="TTT555" s="500"/>
      <c r="TTU555" s="500"/>
      <c r="TTV555" s="500"/>
      <c r="TTW555" s="500"/>
      <c r="TTX555" s="500"/>
      <c r="TTY555" s="500"/>
      <c r="TTZ555" s="500"/>
      <c r="TUA555" s="500"/>
      <c r="TUB555" s="500"/>
      <c r="TUC555" s="500"/>
      <c r="TUD555" s="500"/>
      <c r="TUE555" s="500"/>
      <c r="TUF555" s="500"/>
      <c r="TUG555" s="500"/>
      <c r="TUH555" s="500"/>
      <c r="TUI555" s="500"/>
      <c r="TUJ555" s="500"/>
      <c r="TUK555" s="500"/>
      <c r="TUL555" s="500"/>
      <c r="TUM555" s="500"/>
      <c r="TUN555" s="500"/>
      <c r="TUO555" s="500"/>
      <c r="TUP555" s="500"/>
      <c r="TUQ555" s="500"/>
      <c r="TUR555" s="500"/>
      <c r="TUS555" s="500"/>
      <c r="TUT555" s="500"/>
      <c r="TUU555" s="500"/>
      <c r="TUV555" s="500"/>
      <c r="TUW555" s="500"/>
      <c r="TUX555" s="500"/>
      <c r="TUY555" s="500"/>
      <c r="TUZ555" s="500"/>
      <c r="TVA555" s="500"/>
      <c r="TVB555" s="500"/>
      <c r="TVC555" s="500"/>
      <c r="TVD555" s="500"/>
      <c r="TVE555" s="500"/>
      <c r="TVF555" s="500"/>
      <c r="TVG555" s="500"/>
      <c r="TVH555" s="500"/>
      <c r="TVI555" s="500"/>
      <c r="TVJ555" s="500"/>
      <c r="TVK555" s="500"/>
      <c r="TVL555" s="500"/>
      <c r="TVM555" s="500"/>
      <c r="TVN555" s="500"/>
      <c r="TVO555" s="500"/>
      <c r="TVP555" s="500"/>
      <c r="TVQ555" s="500"/>
      <c r="TVR555" s="500"/>
      <c r="TVS555" s="500"/>
      <c r="TVT555" s="500"/>
      <c r="TVU555" s="500"/>
      <c r="TVV555" s="500"/>
      <c r="TVW555" s="500"/>
      <c r="TVX555" s="500"/>
      <c r="TVY555" s="500"/>
      <c r="TVZ555" s="500"/>
      <c r="TWA555" s="500"/>
      <c r="TWB555" s="500"/>
      <c r="TWC555" s="500"/>
      <c r="TWD555" s="500"/>
      <c r="TWE555" s="500"/>
      <c r="TWF555" s="500"/>
      <c r="TWG555" s="500"/>
      <c r="TWH555" s="500"/>
      <c r="TWI555" s="500"/>
      <c r="TWJ555" s="500"/>
      <c r="TWK555" s="500"/>
      <c r="TWL555" s="500"/>
      <c r="TWM555" s="500"/>
      <c r="TWN555" s="500"/>
      <c r="TWO555" s="500"/>
      <c r="TWP555" s="500"/>
      <c r="TWQ555" s="500"/>
      <c r="TWR555" s="500"/>
      <c r="TWS555" s="500"/>
      <c r="TWT555" s="500"/>
      <c r="TWU555" s="500"/>
      <c r="TWV555" s="500"/>
      <c r="TWW555" s="500"/>
      <c r="TWX555" s="500"/>
      <c r="TWY555" s="500"/>
      <c r="TWZ555" s="500"/>
      <c r="TXA555" s="500"/>
      <c r="TXB555" s="500"/>
      <c r="TXC555" s="500"/>
      <c r="TXD555" s="500"/>
      <c r="TXE555" s="500"/>
      <c r="TXF555" s="500"/>
      <c r="TXG555" s="500"/>
      <c r="TXH555" s="500"/>
      <c r="TXI555" s="500"/>
      <c r="TXJ555" s="500"/>
      <c r="TXK555" s="500"/>
      <c r="TXL555" s="500"/>
      <c r="TXM555" s="500"/>
      <c r="TXN555" s="500"/>
      <c r="TXO555" s="500"/>
      <c r="TXP555" s="500"/>
      <c r="TXQ555" s="500"/>
      <c r="TXR555" s="500"/>
      <c r="TXS555" s="500"/>
      <c r="TXT555" s="500"/>
      <c r="TXU555" s="500"/>
      <c r="TXV555" s="500"/>
      <c r="TXW555" s="500"/>
      <c r="TXX555" s="500"/>
      <c r="TXY555" s="500"/>
      <c r="TXZ555" s="500"/>
      <c r="TYA555" s="500"/>
      <c r="TYB555" s="500"/>
      <c r="TYC555" s="500"/>
      <c r="TYD555" s="500"/>
      <c r="TYE555" s="500"/>
      <c r="TYF555" s="500"/>
      <c r="TYG555" s="500"/>
      <c r="TYH555" s="500"/>
      <c r="TYI555" s="500"/>
      <c r="TYJ555" s="500"/>
      <c r="TYK555" s="500"/>
      <c r="TYL555" s="500"/>
      <c r="TYM555" s="500"/>
      <c r="TYN555" s="500"/>
      <c r="TYO555" s="500"/>
      <c r="TYP555" s="500"/>
      <c r="TYQ555" s="500"/>
      <c r="TYR555" s="500"/>
      <c r="TYS555" s="500"/>
      <c r="TYT555" s="500"/>
      <c r="TYU555" s="500"/>
      <c r="TYV555" s="500"/>
      <c r="TYW555" s="500"/>
      <c r="TYX555" s="500"/>
      <c r="TYY555" s="500"/>
      <c r="TYZ555" s="500"/>
      <c r="TZA555" s="500"/>
      <c r="TZB555" s="500"/>
      <c r="TZC555" s="500"/>
      <c r="TZD555" s="500"/>
      <c r="TZE555" s="500"/>
      <c r="TZF555" s="500"/>
      <c r="TZG555" s="500"/>
      <c r="TZH555" s="500"/>
      <c r="TZI555" s="500"/>
      <c r="TZJ555" s="500"/>
      <c r="TZK555" s="500"/>
      <c r="TZL555" s="500"/>
      <c r="TZM555" s="500"/>
      <c r="TZN555" s="500"/>
      <c r="TZO555" s="500"/>
      <c r="TZP555" s="500"/>
      <c r="TZQ555" s="500"/>
      <c r="TZR555" s="500"/>
      <c r="TZS555" s="500"/>
      <c r="TZT555" s="500"/>
      <c r="TZU555" s="500"/>
      <c r="TZV555" s="500"/>
      <c r="TZW555" s="500"/>
      <c r="TZX555" s="500"/>
      <c r="TZY555" s="500"/>
      <c r="TZZ555" s="500"/>
      <c r="UAA555" s="500"/>
      <c r="UAB555" s="500"/>
      <c r="UAC555" s="500"/>
      <c r="UAD555" s="500"/>
      <c r="UAE555" s="500"/>
      <c r="UAF555" s="500"/>
      <c r="UAG555" s="500"/>
      <c r="UAH555" s="500"/>
      <c r="UAI555" s="500"/>
      <c r="UAJ555" s="500"/>
      <c r="UAK555" s="500"/>
      <c r="UAL555" s="500"/>
      <c r="UAM555" s="500"/>
      <c r="UAN555" s="500"/>
      <c r="UAO555" s="500"/>
      <c r="UAP555" s="500"/>
      <c r="UAQ555" s="500"/>
      <c r="UAR555" s="500"/>
      <c r="UAS555" s="500"/>
      <c r="UAT555" s="500"/>
      <c r="UAU555" s="500"/>
      <c r="UAV555" s="500"/>
      <c r="UAW555" s="500"/>
      <c r="UAX555" s="500"/>
      <c r="UAY555" s="500"/>
      <c r="UAZ555" s="500"/>
      <c r="UBA555" s="500"/>
      <c r="UBB555" s="500"/>
      <c r="UBC555" s="500"/>
      <c r="UBD555" s="500"/>
      <c r="UBE555" s="500"/>
      <c r="UBF555" s="500"/>
      <c r="UBG555" s="500"/>
      <c r="UBH555" s="500"/>
      <c r="UBI555" s="500"/>
      <c r="UBJ555" s="500"/>
      <c r="UBK555" s="500"/>
      <c r="UBL555" s="500"/>
      <c r="UBM555" s="500"/>
      <c r="UBN555" s="500"/>
      <c r="UBO555" s="500"/>
      <c r="UBP555" s="500"/>
      <c r="UBQ555" s="500"/>
      <c r="UBR555" s="500"/>
      <c r="UBS555" s="500"/>
      <c r="UBT555" s="500"/>
      <c r="UBU555" s="500"/>
      <c r="UBV555" s="500"/>
      <c r="UBW555" s="500"/>
      <c r="UBX555" s="500"/>
      <c r="UBY555" s="500"/>
      <c r="UBZ555" s="500"/>
      <c r="UCA555" s="500"/>
      <c r="UCB555" s="500"/>
      <c r="UCC555" s="500"/>
      <c r="UCD555" s="500"/>
      <c r="UCE555" s="500"/>
      <c r="UCF555" s="500"/>
      <c r="UCG555" s="500"/>
      <c r="UCH555" s="500"/>
      <c r="UCI555" s="500"/>
      <c r="UCJ555" s="500"/>
      <c r="UCK555" s="500"/>
      <c r="UCL555" s="500"/>
      <c r="UCM555" s="500"/>
      <c r="UCN555" s="500"/>
      <c r="UCO555" s="500"/>
      <c r="UCP555" s="500"/>
      <c r="UCQ555" s="500"/>
      <c r="UCR555" s="500"/>
      <c r="UCS555" s="500"/>
      <c r="UCT555" s="500"/>
      <c r="UCU555" s="500"/>
      <c r="UCV555" s="500"/>
      <c r="UCW555" s="500"/>
      <c r="UCX555" s="500"/>
      <c r="UCY555" s="500"/>
      <c r="UCZ555" s="500"/>
      <c r="UDA555" s="500"/>
      <c r="UDB555" s="500"/>
      <c r="UDC555" s="500"/>
      <c r="UDD555" s="500"/>
      <c r="UDE555" s="500"/>
      <c r="UDF555" s="500"/>
      <c r="UDG555" s="500"/>
      <c r="UDH555" s="500"/>
      <c r="UDI555" s="500"/>
      <c r="UDJ555" s="500"/>
      <c r="UDK555" s="500"/>
      <c r="UDL555" s="500"/>
      <c r="UDM555" s="500"/>
      <c r="UDN555" s="500"/>
      <c r="UDO555" s="500"/>
      <c r="UDP555" s="500"/>
      <c r="UDQ555" s="500"/>
      <c r="UDR555" s="500"/>
      <c r="UDS555" s="500"/>
      <c r="UDT555" s="500"/>
      <c r="UDU555" s="500"/>
      <c r="UDV555" s="500"/>
      <c r="UDW555" s="500"/>
      <c r="UDX555" s="500"/>
      <c r="UDY555" s="500"/>
      <c r="UDZ555" s="500"/>
      <c r="UEA555" s="500"/>
      <c r="UEB555" s="500"/>
      <c r="UEC555" s="500"/>
      <c r="UED555" s="500"/>
      <c r="UEE555" s="500"/>
      <c r="UEF555" s="500"/>
      <c r="UEG555" s="500"/>
      <c r="UEH555" s="500"/>
      <c r="UEI555" s="500"/>
      <c r="UEJ555" s="500"/>
      <c r="UEK555" s="500"/>
      <c r="UEL555" s="500"/>
      <c r="UEM555" s="500"/>
      <c r="UEN555" s="500"/>
      <c r="UEO555" s="500"/>
      <c r="UEP555" s="500"/>
      <c r="UEQ555" s="500"/>
      <c r="UER555" s="500"/>
      <c r="UES555" s="500"/>
      <c r="UET555" s="500"/>
      <c r="UEU555" s="500"/>
      <c r="UEV555" s="500"/>
      <c r="UEW555" s="500"/>
      <c r="UEX555" s="500"/>
      <c r="UEY555" s="500"/>
      <c r="UEZ555" s="500"/>
      <c r="UFA555" s="500"/>
      <c r="UFB555" s="500"/>
      <c r="UFC555" s="500"/>
      <c r="UFD555" s="500"/>
      <c r="UFE555" s="500"/>
      <c r="UFF555" s="500"/>
      <c r="UFG555" s="500"/>
      <c r="UFH555" s="500"/>
      <c r="UFI555" s="500"/>
      <c r="UFJ555" s="500"/>
      <c r="UFK555" s="500"/>
      <c r="UFL555" s="500"/>
      <c r="UFM555" s="500"/>
      <c r="UFN555" s="500"/>
      <c r="UFO555" s="500"/>
      <c r="UFP555" s="500"/>
      <c r="UFQ555" s="500"/>
      <c r="UFR555" s="500"/>
      <c r="UFS555" s="500"/>
      <c r="UFT555" s="500"/>
      <c r="UFU555" s="500"/>
      <c r="UFV555" s="500"/>
      <c r="UFW555" s="500"/>
      <c r="UFX555" s="500"/>
      <c r="UFY555" s="500"/>
      <c r="UFZ555" s="500"/>
      <c r="UGA555" s="500"/>
      <c r="UGB555" s="500"/>
      <c r="UGC555" s="500"/>
      <c r="UGD555" s="500"/>
      <c r="UGE555" s="500"/>
      <c r="UGF555" s="500"/>
      <c r="UGG555" s="500"/>
      <c r="UGH555" s="500"/>
      <c r="UGI555" s="500"/>
      <c r="UGJ555" s="500"/>
      <c r="UGK555" s="500"/>
      <c r="UGL555" s="500"/>
      <c r="UGM555" s="500"/>
      <c r="UGN555" s="500"/>
      <c r="UGO555" s="500"/>
      <c r="UGP555" s="500"/>
      <c r="UGQ555" s="500"/>
      <c r="UGR555" s="500"/>
      <c r="UGS555" s="500"/>
      <c r="UGT555" s="500"/>
      <c r="UGU555" s="500"/>
      <c r="UGV555" s="500"/>
      <c r="UGW555" s="500"/>
      <c r="UGX555" s="500"/>
      <c r="UGY555" s="500"/>
      <c r="UGZ555" s="500"/>
      <c r="UHA555" s="500"/>
      <c r="UHB555" s="500"/>
      <c r="UHC555" s="500"/>
      <c r="UHD555" s="500"/>
      <c r="UHE555" s="500"/>
      <c r="UHF555" s="500"/>
      <c r="UHG555" s="500"/>
      <c r="UHH555" s="500"/>
      <c r="UHI555" s="500"/>
      <c r="UHJ555" s="500"/>
      <c r="UHK555" s="500"/>
      <c r="UHL555" s="500"/>
      <c r="UHM555" s="500"/>
      <c r="UHN555" s="500"/>
      <c r="UHO555" s="500"/>
      <c r="UHP555" s="500"/>
      <c r="UHQ555" s="500"/>
      <c r="UHR555" s="500"/>
      <c r="UHS555" s="500"/>
      <c r="UHT555" s="500"/>
      <c r="UHU555" s="500"/>
      <c r="UHV555" s="500"/>
      <c r="UHW555" s="500"/>
      <c r="UHX555" s="500"/>
      <c r="UHY555" s="500"/>
      <c r="UHZ555" s="500"/>
      <c r="UIA555" s="500"/>
      <c r="UIB555" s="500"/>
      <c r="UIC555" s="500"/>
      <c r="UID555" s="500"/>
      <c r="UIE555" s="500"/>
      <c r="UIF555" s="500"/>
      <c r="UIG555" s="500"/>
      <c r="UIH555" s="500"/>
      <c r="UII555" s="500"/>
      <c r="UIJ555" s="500"/>
      <c r="UIK555" s="500"/>
      <c r="UIL555" s="500"/>
      <c r="UIM555" s="500"/>
      <c r="UIN555" s="500"/>
      <c r="UIO555" s="500"/>
      <c r="UIP555" s="500"/>
      <c r="UIQ555" s="500"/>
      <c r="UIR555" s="500"/>
      <c r="UIS555" s="500"/>
      <c r="UIT555" s="500"/>
      <c r="UIU555" s="500"/>
      <c r="UIV555" s="500"/>
      <c r="UIW555" s="500"/>
      <c r="UIX555" s="500"/>
      <c r="UIY555" s="500"/>
      <c r="UIZ555" s="500"/>
      <c r="UJA555" s="500"/>
      <c r="UJB555" s="500"/>
      <c r="UJC555" s="500"/>
      <c r="UJD555" s="500"/>
      <c r="UJE555" s="500"/>
      <c r="UJF555" s="500"/>
      <c r="UJG555" s="500"/>
      <c r="UJH555" s="500"/>
      <c r="UJI555" s="500"/>
      <c r="UJJ555" s="500"/>
      <c r="UJK555" s="500"/>
      <c r="UJL555" s="500"/>
      <c r="UJM555" s="500"/>
      <c r="UJN555" s="500"/>
      <c r="UJO555" s="500"/>
      <c r="UJP555" s="500"/>
      <c r="UJQ555" s="500"/>
      <c r="UJR555" s="500"/>
      <c r="UJS555" s="500"/>
      <c r="UJT555" s="500"/>
      <c r="UJU555" s="500"/>
      <c r="UJV555" s="500"/>
      <c r="UJW555" s="500"/>
      <c r="UJX555" s="500"/>
      <c r="UJY555" s="500"/>
      <c r="UJZ555" s="500"/>
      <c r="UKA555" s="500"/>
      <c r="UKB555" s="500"/>
      <c r="UKC555" s="500"/>
      <c r="UKD555" s="500"/>
      <c r="UKE555" s="500"/>
      <c r="UKF555" s="500"/>
      <c r="UKG555" s="500"/>
      <c r="UKH555" s="500"/>
      <c r="UKI555" s="500"/>
      <c r="UKJ555" s="500"/>
      <c r="UKK555" s="500"/>
      <c r="UKL555" s="500"/>
      <c r="UKM555" s="500"/>
      <c r="UKN555" s="500"/>
      <c r="UKO555" s="500"/>
      <c r="UKP555" s="500"/>
      <c r="UKQ555" s="500"/>
      <c r="UKR555" s="500"/>
      <c r="UKS555" s="500"/>
      <c r="UKT555" s="500"/>
      <c r="UKU555" s="500"/>
      <c r="UKV555" s="500"/>
      <c r="UKW555" s="500"/>
      <c r="UKX555" s="500"/>
      <c r="UKY555" s="500"/>
      <c r="UKZ555" s="500"/>
      <c r="ULA555" s="500"/>
      <c r="ULB555" s="500"/>
      <c r="ULC555" s="500"/>
      <c r="ULD555" s="500"/>
      <c r="ULE555" s="500"/>
      <c r="ULF555" s="500"/>
      <c r="ULG555" s="500"/>
      <c r="ULH555" s="500"/>
      <c r="ULI555" s="500"/>
      <c r="ULJ555" s="500"/>
      <c r="ULK555" s="500"/>
      <c r="ULL555" s="500"/>
      <c r="ULM555" s="500"/>
      <c r="ULN555" s="500"/>
      <c r="ULO555" s="500"/>
      <c r="ULP555" s="500"/>
      <c r="ULQ555" s="500"/>
      <c r="ULR555" s="500"/>
      <c r="ULS555" s="500"/>
      <c r="ULT555" s="500"/>
      <c r="ULU555" s="500"/>
      <c r="ULV555" s="500"/>
      <c r="ULW555" s="500"/>
      <c r="ULX555" s="500"/>
      <c r="ULY555" s="500"/>
      <c r="ULZ555" s="500"/>
      <c r="UMA555" s="500"/>
      <c r="UMB555" s="500"/>
      <c r="UMC555" s="500"/>
      <c r="UMD555" s="500"/>
      <c r="UME555" s="500"/>
      <c r="UMF555" s="500"/>
      <c r="UMG555" s="500"/>
      <c r="UMH555" s="500"/>
      <c r="UMI555" s="500"/>
      <c r="UMJ555" s="500"/>
      <c r="UMK555" s="500"/>
      <c r="UML555" s="500"/>
      <c r="UMM555" s="500"/>
      <c r="UMN555" s="500"/>
      <c r="UMO555" s="500"/>
      <c r="UMP555" s="500"/>
      <c r="UMQ555" s="500"/>
      <c r="UMR555" s="500"/>
      <c r="UMS555" s="500"/>
      <c r="UMT555" s="500"/>
      <c r="UMU555" s="500"/>
      <c r="UMV555" s="500"/>
      <c r="UMW555" s="500"/>
      <c r="UMX555" s="500"/>
      <c r="UMY555" s="500"/>
      <c r="UMZ555" s="500"/>
      <c r="UNA555" s="500"/>
      <c r="UNB555" s="500"/>
      <c r="UNC555" s="500"/>
      <c r="UND555" s="500"/>
      <c r="UNE555" s="500"/>
      <c r="UNF555" s="500"/>
      <c r="UNG555" s="500"/>
      <c r="UNH555" s="500"/>
      <c r="UNI555" s="500"/>
      <c r="UNJ555" s="500"/>
      <c r="UNK555" s="500"/>
      <c r="UNL555" s="500"/>
      <c r="UNM555" s="500"/>
      <c r="UNN555" s="500"/>
      <c r="UNO555" s="500"/>
      <c r="UNP555" s="500"/>
      <c r="UNQ555" s="500"/>
      <c r="UNR555" s="500"/>
      <c r="UNS555" s="500"/>
      <c r="UNT555" s="500"/>
      <c r="UNU555" s="500"/>
      <c r="UNV555" s="500"/>
      <c r="UNW555" s="500"/>
      <c r="UNX555" s="500"/>
      <c r="UNY555" s="500"/>
      <c r="UNZ555" s="500"/>
      <c r="UOA555" s="500"/>
      <c r="UOB555" s="500"/>
      <c r="UOC555" s="500"/>
      <c r="UOD555" s="500"/>
      <c r="UOE555" s="500"/>
      <c r="UOF555" s="500"/>
      <c r="UOG555" s="500"/>
      <c r="UOH555" s="500"/>
      <c r="UOI555" s="500"/>
      <c r="UOJ555" s="500"/>
      <c r="UOK555" s="500"/>
      <c r="UOL555" s="500"/>
      <c r="UOM555" s="500"/>
      <c r="UON555" s="500"/>
      <c r="UOO555" s="500"/>
      <c r="UOP555" s="500"/>
      <c r="UOQ555" s="500"/>
      <c r="UOR555" s="500"/>
      <c r="UOS555" s="500"/>
      <c r="UOT555" s="500"/>
      <c r="UOU555" s="500"/>
      <c r="UOV555" s="500"/>
      <c r="UOW555" s="500"/>
      <c r="UOX555" s="500"/>
      <c r="UOY555" s="500"/>
      <c r="UOZ555" s="500"/>
      <c r="UPA555" s="500"/>
      <c r="UPB555" s="500"/>
      <c r="UPC555" s="500"/>
      <c r="UPD555" s="500"/>
      <c r="UPE555" s="500"/>
      <c r="UPF555" s="500"/>
      <c r="UPG555" s="500"/>
      <c r="UPH555" s="500"/>
      <c r="UPI555" s="500"/>
      <c r="UPJ555" s="500"/>
      <c r="UPK555" s="500"/>
      <c r="UPL555" s="500"/>
      <c r="UPM555" s="500"/>
      <c r="UPN555" s="500"/>
      <c r="UPO555" s="500"/>
      <c r="UPP555" s="500"/>
      <c r="UPQ555" s="500"/>
      <c r="UPR555" s="500"/>
      <c r="UPS555" s="500"/>
      <c r="UPT555" s="500"/>
      <c r="UPU555" s="500"/>
      <c r="UPV555" s="500"/>
      <c r="UPW555" s="500"/>
      <c r="UPX555" s="500"/>
      <c r="UPY555" s="500"/>
      <c r="UPZ555" s="500"/>
      <c r="UQA555" s="500"/>
      <c r="UQB555" s="500"/>
      <c r="UQC555" s="500"/>
      <c r="UQD555" s="500"/>
      <c r="UQE555" s="500"/>
      <c r="UQF555" s="500"/>
      <c r="UQG555" s="500"/>
      <c r="UQH555" s="500"/>
      <c r="UQI555" s="500"/>
      <c r="UQJ555" s="500"/>
      <c r="UQK555" s="500"/>
      <c r="UQL555" s="500"/>
      <c r="UQM555" s="500"/>
      <c r="UQN555" s="500"/>
      <c r="UQO555" s="500"/>
      <c r="UQP555" s="500"/>
      <c r="UQQ555" s="500"/>
      <c r="UQR555" s="500"/>
      <c r="UQS555" s="500"/>
      <c r="UQT555" s="500"/>
      <c r="UQU555" s="500"/>
      <c r="UQV555" s="500"/>
      <c r="UQW555" s="500"/>
      <c r="UQX555" s="500"/>
      <c r="UQY555" s="500"/>
      <c r="UQZ555" s="500"/>
      <c r="URA555" s="500"/>
      <c r="URB555" s="500"/>
      <c r="URC555" s="500"/>
      <c r="URD555" s="500"/>
      <c r="URE555" s="500"/>
      <c r="URF555" s="500"/>
      <c r="URG555" s="500"/>
      <c r="URH555" s="500"/>
      <c r="URI555" s="500"/>
      <c r="URJ555" s="500"/>
      <c r="URK555" s="500"/>
      <c r="URL555" s="500"/>
      <c r="URM555" s="500"/>
      <c r="URN555" s="500"/>
      <c r="URO555" s="500"/>
      <c r="URP555" s="500"/>
      <c r="URQ555" s="500"/>
      <c r="URR555" s="500"/>
      <c r="URS555" s="500"/>
      <c r="URT555" s="500"/>
      <c r="URU555" s="500"/>
      <c r="URV555" s="500"/>
      <c r="URW555" s="500"/>
      <c r="URX555" s="500"/>
      <c r="URY555" s="500"/>
      <c r="URZ555" s="500"/>
      <c r="USA555" s="500"/>
      <c r="USB555" s="500"/>
      <c r="USC555" s="500"/>
      <c r="USD555" s="500"/>
      <c r="USE555" s="500"/>
      <c r="USF555" s="500"/>
      <c r="USG555" s="500"/>
      <c r="USH555" s="500"/>
      <c r="USI555" s="500"/>
      <c r="USJ555" s="500"/>
      <c r="USK555" s="500"/>
      <c r="USL555" s="500"/>
      <c r="USM555" s="500"/>
      <c r="USN555" s="500"/>
      <c r="USO555" s="500"/>
      <c r="USP555" s="500"/>
      <c r="USQ555" s="500"/>
      <c r="USR555" s="500"/>
      <c r="USS555" s="500"/>
      <c r="UST555" s="500"/>
      <c r="USU555" s="500"/>
      <c r="USV555" s="500"/>
      <c r="USW555" s="500"/>
      <c r="USX555" s="500"/>
      <c r="USY555" s="500"/>
      <c r="USZ555" s="500"/>
      <c r="UTA555" s="500"/>
      <c r="UTB555" s="500"/>
      <c r="UTC555" s="500"/>
      <c r="UTD555" s="500"/>
      <c r="UTE555" s="500"/>
      <c r="UTF555" s="500"/>
      <c r="UTG555" s="500"/>
      <c r="UTH555" s="500"/>
      <c r="UTI555" s="500"/>
      <c r="UTJ555" s="500"/>
      <c r="UTK555" s="500"/>
      <c r="UTL555" s="500"/>
      <c r="UTM555" s="500"/>
      <c r="UTN555" s="500"/>
      <c r="UTO555" s="500"/>
      <c r="UTP555" s="500"/>
      <c r="UTQ555" s="500"/>
      <c r="UTR555" s="500"/>
      <c r="UTS555" s="500"/>
      <c r="UTT555" s="500"/>
      <c r="UTU555" s="500"/>
      <c r="UTV555" s="500"/>
      <c r="UTW555" s="500"/>
      <c r="UTX555" s="500"/>
      <c r="UTY555" s="500"/>
      <c r="UTZ555" s="500"/>
      <c r="UUA555" s="500"/>
      <c r="UUB555" s="500"/>
      <c r="UUC555" s="500"/>
      <c r="UUD555" s="500"/>
      <c r="UUE555" s="500"/>
      <c r="UUF555" s="500"/>
      <c r="UUG555" s="500"/>
      <c r="UUH555" s="500"/>
      <c r="UUI555" s="500"/>
      <c r="UUJ555" s="500"/>
      <c r="UUK555" s="500"/>
      <c r="UUL555" s="500"/>
      <c r="UUM555" s="500"/>
      <c r="UUN555" s="500"/>
      <c r="UUO555" s="500"/>
      <c r="UUP555" s="500"/>
      <c r="UUQ555" s="500"/>
      <c r="UUR555" s="500"/>
      <c r="UUS555" s="500"/>
      <c r="UUT555" s="500"/>
      <c r="UUU555" s="500"/>
      <c r="UUV555" s="500"/>
      <c r="UUW555" s="500"/>
      <c r="UUX555" s="500"/>
      <c r="UUY555" s="500"/>
      <c r="UUZ555" s="500"/>
      <c r="UVA555" s="500"/>
      <c r="UVB555" s="500"/>
      <c r="UVC555" s="500"/>
      <c r="UVD555" s="500"/>
      <c r="UVE555" s="500"/>
      <c r="UVF555" s="500"/>
      <c r="UVG555" s="500"/>
      <c r="UVH555" s="500"/>
      <c r="UVI555" s="500"/>
      <c r="UVJ555" s="500"/>
      <c r="UVK555" s="500"/>
      <c r="UVL555" s="500"/>
      <c r="UVM555" s="500"/>
      <c r="UVN555" s="500"/>
      <c r="UVO555" s="500"/>
      <c r="UVP555" s="500"/>
      <c r="UVQ555" s="500"/>
      <c r="UVR555" s="500"/>
      <c r="UVS555" s="500"/>
      <c r="UVT555" s="500"/>
      <c r="UVU555" s="500"/>
      <c r="UVV555" s="500"/>
      <c r="UVW555" s="500"/>
      <c r="UVX555" s="500"/>
      <c r="UVY555" s="500"/>
      <c r="UVZ555" s="500"/>
      <c r="UWA555" s="500"/>
      <c r="UWB555" s="500"/>
      <c r="UWC555" s="500"/>
      <c r="UWD555" s="500"/>
      <c r="UWE555" s="500"/>
      <c r="UWF555" s="500"/>
      <c r="UWG555" s="500"/>
      <c r="UWH555" s="500"/>
      <c r="UWI555" s="500"/>
      <c r="UWJ555" s="500"/>
      <c r="UWK555" s="500"/>
      <c r="UWL555" s="500"/>
      <c r="UWM555" s="500"/>
      <c r="UWN555" s="500"/>
      <c r="UWO555" s="500"/>
      <c r="UWP555" s="500"/>
      <c r="UWQ555" s="500"/>
      <c r="UWR555" s="500"/>
      <c r="UWS555" s="500"/>
      <c r="UWT555" s="500"/>
      <c r="UWU555" s="500"/>
      <c r="UWV555" s="500"/>
      <c r="UWW555" s="500"/>
      <c r="UWX555" s="500"/>
      <c r="UWY555" s="500"/>
      <c r="UWZ555" s="500"/>
      <c r="UXA555" s="500"/>
      <c r="UXB555" s="500"/>
      <c r="UXC555" s="500"/>
      <c r="UXD555" s="500"/>
      <c r="UXE555" s="500"/>
      <c r="UXF555" s="500"/>
      <c r="UXG555" s="500"/>
      <c r="UXH555" s="500"/>
      <c r="UXI555" s="500"/>
      <c r="UXJ555" s="500"/>
      <c r="UXK555" s="500"/>
      <c r="UXL555" s="500"/>
      <c r="UXM555" s="500"/>
      <c r="UXN555" s="500"/>
      <c r="UXO555" s="500"/>
      <c r="UXP555" s="500"/>
      <c r="UXQ555" s="500"/>
      <c r="UXR555" s="500"/>
      <c r="UXS555" s="500"/>
      <c r="UXT555" s="500"/>
      <c r="UXU555" s="500"/>
      <c r="UXV555" s="500"/>
      <c r="UXW555" s="500"/>
      <c r="UXX555" s="500"/>
      <c r="UXY555" s="500"/>
      <c r="UXZ555" s="500"/>
      <c r="UYA555" s="500"/>
      <c r="UYB555" s="500"/>
      <c r="UYC555" s="500"/>
      <c r="UYD555" s="500"/>
      <c r="UYE555" s="500"/>
      <c r="UYF555" s="500"/>
      <c r="UYG555" s="500"/>
      <c r="UYH555" s="500"/>
      <c r="UYI555" s="500"/>
      <c r="UYJ555" s="500"/>
      <c r="UYK555" s="500"/>
      <c r="UYL555" s="500"/>
      <c r="UYM555" s="500"/>
      <c r="UYN555" s="500"/>
      <c r="UYO555" s="500"/>
      <c r="UYP555" s="500"/>
      <c r="UYQ555" s="500"/>
      <c r="UYR555" s="500"/>
      <c r="UYS555" s="500"/>
      <c r="UYT555" s="500"/>
      <c r="UYU555" s="500"/>
      <c r="UYV555" s="500"/>
      <c r="UYW555" s="500"/>
      <c r="UYX555" s="500"/>
      <c r="UYY555" s="500"/>
      <c r="UYZ555" s="500"/>
      <c r="UZA555" s="500"/>
      <c r="UZB555" s="500"/>
      <c r="UZC555" s="500"/>
      <c r="UZD555" s="500"/>
      <c r="UZE555" s="500"/>
      <c r="UZF555" s="500"/>
      <c r="UZG555" s="500"/>
      <c r="UZH555" s="500"/>
      <c r="UZI555" s="500"/>
      <c r="UZJ555" s="500"/>
      <c r="UZK555" s="500"/>
      <c r="UZL555" s="500"/>
      <c r="UZM555" s="500"/>
      <c r="UZN555" s="500"/>
      <c r="UZO555" s="500"/>
      <c r="UZP555" s="500"/>
      <c r="UZQ555" s="500"/>
      <c r="UZR555" s="500"/>
      <c r="UZS555" s="500"/>
      <c r="UZT555" s="500"/>
      <c r="UZU555" s="500"/>
      <c r="UZV555" s="500"/>
      <c r="UZW555" s="500"/>
      <c r="UZX555" s="500"/>
      <c r="UZY555" s="500"/>
      <c r="UZZ555" s="500"/>
      <c r="VAA555" s="500"/>
      <c r="VAB555" s="500"/>
      <c r="VAC555" s="500"/>
      <c r="VAD555" s="500"/>
      <c r="VAE555" s="500"/>
      <c r="VAF555" s="500"/>
      <c r="VAG555" s="500"/>
      <c r="VAH555" s="500"/>
      <c r="VAI555" s="500"/>
      <c r="VAJ555" s="500"/>
      <c r="VAK555" s="500"/>
      <c r="VAL555" s="500"/>
      <c r="VAM555" s="500"/>
      <c r="VAN555" s="500"/>
      <c r="VAO555" s="500"/>
      <c r="VAP555" s="500"/>
      <c r="VAQ555" s="500"/>
      <c r="VAR555" s="500"/>
      <c r="VAS555" s="500"/>
      <c r="VAT555" s="500"/>
      <c r="VAU555" s="500"/>
      <c r="VAV555" s="500"/>
      <c r="VAW555" s="500"/>
      <c r="VAX555" s="500"/>
      <c r="VAY555" s="500"/>
      <c r="VAZ555" s="500"/>
      <c r="VBA555" s="500"/>
      <c r="VBB555" s="500"/>
      <c r="VBC555" s="500"/>
      <c r="VBD555" s="500"/>
      <c r="VBE555" s="500"/>
      <c r="VBF555" s="500"/>
      <c r="VBG555" s="500"/>
      <c r="VBH555" s="500"/>
      <c r="VBI555" s="500"/>
      <c r="VBJ555" s="500"/>
      <c r="VBK555" s="500"/>
      <c r="VBL555" s="500"/>
      <c r="VBM555" s="500"/>
      <c r="VBN555" s="500"/>
      <c r="VBO555" s="500"/>
      <c r="VBP555" s="500"/>
      <c r="VBQ555" s="500"/>
      <c r="VBR555" s="500"/>
      <c r="VBS555" s="500"/>
      <c r="VBT555" s="500"/>
      <c r="VBU555" s="500"/>
      <c r="VBV555" s="500"/>
      <c r="VBW555" s="500"/>
      <c r="VBX555" s="500"/>
      <c r="VBY555" s="500"/>
      <c r="VBZ555" s="500"/>
      <c r="VCA555" s="500"/>
      <c r="VCB555" s="500"/>
      <c r="VCC555" s="500"/>
      <c r="VCD555" s="500"/>
      <c r="VCE555" s="500"/>
      <c r="VCF555" s="500"/>
      <c r="VCG555" s="500"/>
      <c r="VCH555" s="500"/>
      <c r="VCI555" s="500"/>
      <c r="VCJ555" s="500"/>
      <c r="VCK555" s="500"/>
      <c r="VCL555" s="500"/>
      <c r="VCM555" s="500"/>
      <c r="VCN555" s="500"/>
      <c r="VCO555" s="500"/>
      <c r="VCP555" s="500"/>
      <c r="VCQ555" s="500"/>
      <c r="VCR555" s="500"/>
      <c r="VCS555" s="500"/>
      <c r="VCT555" s="500"/>
      <c r="VCU555" s="500"/>
      <c r="VCV555" s="500"/>
      <c r="VCW555" s="500"/>
      <c r="VCX555" s="500"/>
      <c r="VCY555" s="500"/>
      <c r="VCZ555" s="500"/>
      <c r="VDA555" s="500"/>
      <c r="VDB555" s="500"/>
      <c r="VDC555" s="500"/>
      <c r="VDD555" s="500"/>
      <c r="VDE555" s="500"/>
      <c r="VDF555" s="500"/>
      <c r="VDG555" s="500"/>
      <c r="VDH555" s="500"/>
      <c r="VDI555" s="500"/>
      <c r="VDJ555" s="500"/>
      <c r="VDK555" s="500"/>
      <c r="VDL555" s="500"/>
      <c r="VDM555" s="500"/>
      <c r="VDN555" s="500"/>
      <c r="VDO555" s="500"/>
      <c r="VDP555" s="500"/>
      <c r="VDQ555" s="500"/>
      <c r="VDR555" s="500"/>
      <c r="VDS555" s="500"/>
      <c r="VDT555" s="500"/>
      <c r="VDU555" s="500"/>
      <c r="VDV555" s="500"/>
      <c r="VDW555" s="500"/>
      <c r="VDX555" s="500"/>
      <c r="VDY555" s="500"/>
      <c r="VDZ555" s="500"/>
      <c r="VEA555" s="500"/>
      <c r="VEB555" s="500"/>
      <c r="VEC555" s="500"/>
      <c r="VED555" s="500"/>
      <c r="VEE555" s="500"/>
      <c r="VEF555" s="500"/>
      <c r="VEG555" s="500"/>
      <c r="VEH555" s="500"/>
      <c r="VEI555" s="500"/>
      <c r="VEJ555" s="500"/>
      <c r="VEK555" s="500"/>
      <c r="VEL555" s="500"/>
      <c r="VEM555" s="500"/>
      <c r="VEN555" s="500"/>
      <c r="VEO555" s="500"/>
      <c r="VEP555" s="500"/>
      <c r="VEQ555" s="500"/>
      <c r="VER555" s="500"/>
      <c r="VES555" s="500"/>
      <c r="VET555" s="500"/>
      <c r="VEU555" s="500"/>
      <c r="VEV555" s="500"/>
      <c r="VEW555" s="500"/>
      <c r="VEX555" s="500"/>
      <c r="VEY555" s="500"/>
      <c r="VEZ555" s="500"/>
      <c r="VFA555" s="500"/>
      <c r="VFB555" s="500"/>
      <c r="VFC555" s="500"/>
      <c r="VFD555" s="500"/>
      <c r="VFE555" s="500"/>
      <c r="VFF555" s="500"/>
      <c r="VFG555" s="500"/>
      <c r="VFH555" s="500"/>
      <c r="VFI555" s="500"/>
      <c r="VFJ555" s="500"/>
      <c r="VFK555" s="500"/>
      <c r="VFL555" s="500"/>
      <c r="VFM555" s="500"/>
      <c r="VFN555" s="500"/>
      <c r="VFO555" s="500"/>
      <c r="VFP555" s="500"/>
      <c r="VFQ555" s="500"/>
      <c r="VFR555" s="500"/>
      <c r="VFS555" s="500"/>
      <c r="VFT555" s="500"/>
      <c r="VFU555" s="500"/>
      <c r="VFV555" s="500"/>
      <c r="VFW555" s="500"/>
      <c r="VFX555" s="500"/>
      <c r="VFY555" s="500"/>
      <c r="VFZ555" s="500"/>
      <c r="VGA555" s="500"/>
      <c r="VGB555" s="500"/>
      <c r="VGC555" s="500"/>
      <c r="VGD555" s="500"/>
      <c r="VGE555" s="500"/>
      <c r="VGF555" s="500"/>
      <c r="VGG555" s="500"/>
      <c r="VGH555" s="500"/>
      <c r="VGI555" s="500"/>
      <c r="VGJ555" s="500"/>
      <c r="VGK555" s="500"/>
      <c r="VGL555" s="500"/>
      <c r="VGM555" s="500"/>
      <c r="VGN555" s="500"/>
      <c r="VGO555" s="500"/>
      <c r="VGP555" s="500"/>
      <c r="VGQ555" s="500"/>
      <c r="VGR555" s="500"/>
      <c r="VGS555" s="500"/>
      <c r="VGT555" s="500"/>
      <c r="VGU555" s="500"/>
      <c r="VGV555" s="500"/>
      <c r="VGW555" s="500"/>
      <c r="VGX555" s="500"/>
      <c r="VGY555" s="500"/>
      <c r="VGZ555" s="500"/>
      <c r="VHA555" s="500"/>
      <c r="VHB555" s="500"/>
      <c r="VHC555" s="500"/>
      <c r="VHD555" s="500"/>
      <c r="VHE555" s="500"/>
      <c r="VHF555" s="500"/>
      <c r="VHG555" s="500"/>
      <c r="VHH555" s="500"/>
      <c r="VHI555" s="500"/>
      <c r="VHJ555" s="500"/>
      <c r="VHK555" s="500"/>
      <c r="VHL555" s="500"/>
      <c r="VHM555" s="500"/>
      <c r="VHN555" s="500"/>
      <c r="VHO555" s="500"/>
      <c r="VHP555" s="500"/>
      <c r="VHQ555" s="500"/>
      <c r="VHR555" s="500"/>
      <c r="VHS555" s="500"/>
      <c r="VHT555" s="500"/>
      <c r="VHU555" s="500"/>
      <c r="VHV555" s="500"/>
      <c r="VHW555" s="500"/>
      <c r="VHX555" s="500"/>
      <c r="VHY555" s="500"/>
      <c r="VHZ555" s="500"/>
      <c r="VIA555" s="500"/>
      <c r="VIB555" s="500"/>
      <c r="VIC555" s="500"/>
      <c r="VID555" s="500"/>
      <c r="VIE555" s="500"/>
      <c r="VIF555" s="500"/>
      <c r="VIG555" s="500"/>
      <c r="VIH555" s="500"/>
      <c r="VII555" s="500"/>
      <c r="VIJ555" s="500"/>
      <c r="VIK555" s="500"/>
      <c r="VIL555" s="500"/>
      <c r="VIM555" s="500"/>
      <c r="VIN555" s="500"/>
      <c r="VIO555" s="500"/>
      <c r="VIP555" s="500"/>
      <c r="VIQ555" s="500"/>
      <c r="VIR555" s="500"/>
      <c r="VIS555" s="500"/>
      <c r="VIT555" s="500"/>
      <c r="VIU555" s="500"/>
      <c r="VIV555" s="500"/>
      <c r="VIW555" s="500"/>
      <c r="VIX555" s="500"/>
      <c r="VIY555" s="500"/>
      <c r="VIZ555" s="500"/>
      <c r="VJA555" s="500"/>
      <c r="VJB555" s="500"/>
      <c r="VJC555" s="500"/>
      <c r="VJD555" s="500"/>
      <c r="VJE555" s="500"/>
      <c r="VJF555" s="500"/>
      <c r="VJG555" s="500"/>
      <c r="VJH555" s="500"/>
      <c r="VJI555" s="500"/>
      <c r="VJJ555" s="500"/>
      <c r="VJK555" s="500"/>
      <c r="VJL555" s="500"/>
      <c r="VJM555" s="500"/>
      <c r="VJN555" s="500"/>
      <c r="VJO555" s="500"/>
      <c r="VJP555" s="500"/>
      <c r="VJQ555" s="500"/>
      <c r="VJR555" s="500"/>
      <c r="VJS555" s="500"/>
      <c r="VJT555" s="500"/>
      <c r="VJU555" s="500"/>
      <c r="VJV555" s="500"/>
      <c r="VJW555" s="500"/>
      <c r="VJX555" s="500"/>
      <c r="VJY555" s="500"/>
      <c r="VJZ555" s="500"/>
      <c r="VKA555" s="500"/>
      <c r="VKB555" s="500"/>
      <c r="VKC555" s="500"/>
      <c r="VKD555" s="500"/>
      <c r="VKE555" s="500"/>
      <c r="VKF555" s="500"/>
      <c r="VKG555" s="500"/>
      <c r="VKH555" s="500"/>
      <c r="VKI555" s="500"/>
      <c r="VKJ555" s="500"/>
      <c r="VKK555" s="500"/>
      <c r="VKL555" s="500"/>
      <c r="VKM555" s="500"/>
      <c r="VKN555" s="500"/>
      <c r="VKO555" s="500"/>
      <c r="VKP555" s="500"/>
      <c r="VKQ555" s="500"/>
      <c r="VKR555" s="500"/>
      <c r="VKS555" s="500"/>
      <c r="VKT555" s="500"/>
      <c r="VKU555" s="500"/>
      <c r="VKV555" s="500"/>
      <c r="VKW555" s="500"/>
      <c r="VKX555" s="500"/>
      <c r="VKY555" s="500"/>
      <c r="VKZ555" s="500"/>
      <c r="VLA555" s="500"/>
      <c r="VLB555" s="500"/>
      <c r="VLC555" s="500"/>
      <c r="VLD555" s="500"/>
      <c r="VLE555" s="500"/>
      <c r="VLF555" s="500"/>
      <c r="VLG555" s="500"/>
      <c r="VLH555" s="500"/>
      <c r="VLI555" s="500"/>
      <c r="VLJ555" s="500"/>
      <c r="VLK555" s="500"/>
      <c r="VLL555" s="500"/>
      <c r="VLM555" s="500"/>
      <c r="VLN555" s="500"/>
      <c r="VLO555" s="500"/>
      <c r="VLP555" s="500"/>
      <c r="VLQ555" s="500"/>
      <c r="VLR555" s="500"/>
      <c r="VLS555" s="500"/>
      <c r="VLT555" s="500"/>
      <c r="VLU555" s="500"/>
      <c r="VLV555" s="500"/>
      <c r="VLW555" s="500"/>
      <c r="VLX555" s="500"/>
      <c r="VLY555" s="500"/>
      <c r="VLZ555" s="500"/>
      <c r="VMA555" s="500"/>
      <c r="VMB555" s="500"/>
      <c r="VMC555" s="500"/>
      <c r="VMD555" s="500"/>
      <c r="VME555" s="500"/>
      <c r="VMF555" s="500"/>
      <c r="VMG555" s="500"/>
      <c r="VMH555" s="500"/>
      <c r="VMI555" s="500"/>
      <c r="VMJ555" s="500"/>
      <c r="VMK555" s="500"/>
      <c r="VML555" s="500"/>
      <c r="VMM555" s="500"/>
      <c r="VMN555" s="500"/>
      <c r="VMO555" s="500"/>
      <c r="VMP555" s="500"/>
      <c r="VMQ555" s="500"/>
      <c r="VMR555" s="500"/>
      <c r="VMS555" s="500"/>
      <c r="VMT555" s="500"/>
      <c r="VMU555" s="500"/>
      <c r="VMV555" s="500"/>
      <c r="VMW555" s="500"/>
      <c r="VMX555" s="500"/>
      <c r="VMY555" s="500"/>
      <c r="VMZ555" s="500"/>
      <c r="VNA555" s="500"/>
      <c r="VNB555" s="500"/>
      <c r="VNC555" s="500"/>
      <c r="VND555" s="500"/>
      <c r="VNE555" s="500"/>
      <c r="VNF555" s="500"/>
      <c r="VNG555" s="500"/>
      <c r="VNH555" s="500"/>
      <c r="VNI555" s="500"/>
      <c r="VNJ555" s="500"/>
      <c r="VNK555" s="500"/>
      <c r="VNL555" s="500"/>
      <c r="VNM555" s="500"/>
      <c r="VNN555" s="500"/>
      <c r="VNO555" s="500"/>
      <c r="VNP555" s="500"/>
      <c r="VNQ555" s="500"/>
      <c r="VNR555" s="500"/>
      <c r="VNS555" s="500"/>
      <c r="VNT555" s="500"/>
      <c r="VNU555" s="500"/>
      <c r="VNV555" s="500"/>
      <c r="VNW555" s="500"/>
      <c r="VNX555" s="500"/>
      <c r="VNY555" s="500"/>
      <c r="VNZ555" s="500"/>
      <c r="VOA555" s="500"/>
      <c r="VOB555" s="500"/>
      <c r="VOC555" s="500"/>
      <c r="VOD555" s="500"/>
      <c r="VOE555" s="500"/>
      <c r="VOF555" s="500"/>
      <c r="VOG555" s="500"/>
      <c r="VOH555" s="500"/>
      <c r="VOI555" s="500"/>
      <c r="VOJ555" s="500"/>
      <c r="VOK555" s="500"/>
      <c r="VOL555" s="500"/>
      <c r="VOM555" s="500"/>
      <c r="VON555" s="500"/>
      <c r="VOO555" s="500"/>
      <c r="VOP555" s="500"/>
      <c r="VOQ555" s="500"/>
      <c r="VOR555" s="500"/>
      <c r="VOS555" s="500"/>
      <c r="VOT555" s="500"/>
      <c r="VOU555" s="500"/>
      <c r="VOV555" s="500"/>
      <c r="VOW555" s="500"/>
      <c r="VOX555" s="500"/>
      <c r="VOY555" s="500"/>
      <c r="VOZ555" s="500"/>
      <c r="VPA555" s="500"/>
      <c r="VPB555" s="500"/>
      <c r="VPC555" s="500"/>
      <c r="VPD555" s="500"/>
      <c r="VPE555" s="500"/>
      <c r="VPF555" s="500"/>
      <c r="VPG555" s="500"/>
      <c r="VPH555" s="500"/>
      <c r="VPI555" s="500"/>
      <c r="VPJ555" s="500"/>
      <c r="VPK555" s="500"/>
      <c r="VPL555" s="500"/>
      <c r="VPM555" s="500"/>
      <c r="VPN555" s="500"/>
      <c r="VPO555" s="500"/>
      <c r="VPP555" s="500"/>
      <c r="VPQ555" s="500"/>
      <c r="VPR555" s="500"/>
      <c r="VPS555" s="500"/>
      <c r="VPT555" s="500"/>
      <c r="VPU555" s="500"/>
      <c r="VPV555" s="500"/>
      <c r="VPW555" s="500"/>
      <c r="VPX555" s="500"/>
      <c r="VPY555" s="500"/>
      <c r="VPZ555" s="500"/>
      <c r="VQA555" s="500"/>
      <c r="VQB555" s="500"/>
      <c r="VQC555" s="500"/>
      <c r="VQD555" s="500"/>
      <c r="VQE555" s="500"/>
      <c r="VQF555" s="500"/>
      <c r="VQG555" s="500"/>
      <c r="VQH555" s="500"/>
      <c r="VQI555" s="500"/>
      <c r="VQJ555" s="500"/>
      <c r="VQK555" s="500"/>
      <c r="VQL555" s="500"/>
      <c r="VQM555" s="500"/>
      <c r="VQN555" s="500"/>
      <c r="VQO555" s="500"/>
      <c r="VQP555" s="500"/>
      <c r="VQQ555" s="500"/>
      <c r="VQR555" s="500"/>
      <c r="VQS555" s="500"/>
      <c r="VQT555" s="500"/>
      <c r="VQU555" s="500"/>
      <c r="VQV555" s="500"/>
      <c r="VQW555" s="500"/>
      <c r="VQX555" s="500"/>
      <c r="VQY555" s="500"/>
      <c r="VQZ555" s="500"/>
      <c r="VRA555" s="500"/>
      <c r="VRB555" s="500"/>
      <c r="VRC555" s="500"/>
      <c r="VRD555" s="500"/>
      <c r="VRE555" s="500"/>
      <c r="VRF555" s="500"/>
      <c r="VRG555" s="500"/>
      <c r="VRH555" s="500"/>
      <c r="VRI555" s="500"/>
      <c r="VRJ555" s="500"/>
      <c r="VRK555" s="500"/>
      <c r="VRL555" s="500"/>
      <c r="VRM555" s="500"/>
      <c r="VRN555" s="500"/>
      <c r="VRO555" s="500"/>
      <c r="VRP555" s="500"/>
      <c r="VRQ555" s="500"/>
      <c r="VRR555" s="500"/>
      <c r="VRS555" s="500"/>
      <c r="VRT555" s="500"/>
      <c r="VRU555" s="500"/>
      <c r="VRV555" s="500"/>
      <c r="VRW555" s="500"/>
      <c r="VRX555" s="500"/>
      <c r="VRY555" s="500"/>
      <c r="VRZ555" s="500"/>
      <c r="VSA555" s="500"/>
      <c r="VSB555" s="500"/>
      <c r="VSC555" s="500"/>
      <c r="VSD555" s="500"/>
      <c r="VSE555" s="500"/>
      <c r="VSF555" s="500"/>
      <c r="VSG555" s="500"/>
      <c r="VSH555" s="500"/>
      <c r="VSI555" s="500"/>
      <c r="VSJ555" s="500"/>
      <c r="VSK555" s="500"/>
      <c r="VSL555" s="500"/>
      <c r="VSM555" s="500"/>
      <c r="VSN555" s="500"/>
      <c r="VSO555" s="500"/>
      <c r="VSP555" s="500"/>
      <c r="VSQ555" s="500"/>
      <c r="VSR555" s="500"/>
      <c r="VSS555" s="500"/>
      <c r="VST555" s="500"/>
      <c r="VSU555" s="500"/>
      <c r="VSV555" s="500"/>
      <c r="VSW555" s="500"/>
      <c r="VSX555" s="500"/>
      <c r="VSY555" s="500"/>
      <c r="VSZ555" s="500"/>
      <c r="VTA555" s="500"/>
      <c r="VTB555" s="500"/>
      <c r="VTC555" s="500"/>
      <c r="VTD555" s="500"/>
      <c r="VTE555" s="500"/>
      <c r="VTF555" s="500"/>
      <c r="VTG555" s="500"/>
      <c r="VTH555" s="500"/>
      <c r="VTI555" s="500"/>
      <c r="VTJ555" s="500"/>
      <c r="VTK555" s="500"/>
      <c r="VTL555" s="500"/>
      <c r="VTM555" s="500"/>
      <c r="VTN555" s="500"/>
      <c r="VTO555" s="500"/>
      <c r="VTP555" s="500"/>
      <c r="VTQ555" s="500"/>
      <c r="VTR555" s="500"/>
      <c r="VTS555" s="500"/>
      <c r="VTT555" s="500"/>
      <c r="VTU555" s="500"/>
      <c r="VTV555" s="500"/>
      <c r="VTW555" s="500"/>
      <c r="VTX555" s="500"/>
      <c r="VTY555" s="500"/>
      <c r="VTZ555" s="500"/>
      <c r="VUA555" s="500"/>
      <c r="VUB555" s="500"/>
      <c r="VUC555" s="500"/>
      <c r="VUD555" s="500"/>
      <c r="VUE555" s="500"/>
      <c r="VUF555" s="500"/>
      <c r="VUG555" s="500"/>
      <c r="VUH555" s="500"/>
      <c r="VUI555" s="500"/>
      <c r="VUJ555" s="500"/>
      <c r="VUK555" s="500"/>
      <c r="VUL555" s="500"/>
      <c r="VUM555" s="500"/>
      <c r="VUN555" s="500"/>
      <c r="VUO555" s="500"/>
      <c r="VUP555" s="500"/>
      <c r="VUQ555" s="500"/>
      <c r="VUR555" s="500"/>
      <c r="VUS555" s="500"/>
      <c r="VUT555" s="500"/>
      <c r="VUU555" s="500"/>
      <c r="VUV555" s="500"/>
      <c r="VUW555" s="500"/>
      <c r="VUX555" s="500"/>
      <c r="VUY555" s="500"/>
      <c r="VUZ555" s="500"/>
      <c r="VVA555" s="500"/>
      <c r="VVB555" s="500"/>
      <c r="VVC555" s="500"/>
      <c r="VVD555" s="500"/>
      <c r="VVE555" s="500"/>
      <c r="VVF555" s="500"/>
      <c r="VVG555" s="500"/>
      <c r="VVH555" s="500"/>
      <c r="VVI555" s="500"/>
      <c r="VVJ555" s="500"/>
      <c r="VVK555" s="500"/>
      <c r="VVL555" s="500"/>
      <c r="VVM555" s="500"/>
      <c r="VVN555" s="500"/>
      <c r="VVO555" s="500"/>
      <c r="VVP555" s="500"/>
      <c r="VVQ555" s="500"/>
      <c r="VVR555" s="500"/>
      <c r="VVS555" s="500"/>
      <c r="VVT555" s="500"/>
      <c r="VVU555" s="500"/>
      <c r="VVV555" s="500"/>
      <c r="VVW555" s="500"/>
      <c r="VVX555" s="500"/>
      <c r="VVY555" s="500"/>
      <c r="VVZ555" s="500"/>
      <c r="VWA555" s="500"/>
      <c r="VWB555" s="500"/>
      <c r="VWC555" s="500"/>
      <c r="VWD555" s="500"/>
      <c r="VWE555" s="500"/>
      <c r="VWF555" s="500"/>
      <c r="VWG555" s="500"/>
      <c r="VWH555" s="500"/>
      <c r="VWI555" s="500"/>
      <c r="VWJ555" s="500"/>
      <c r="VWK555" s="500"/>
      <c r="VWL555" s="500"/>
      <c r="VWM555" s="500"/>
      <c r="VWN555" s="500"/>
      <c r="VWO555" s="500"/>
      <c r="VWP555" s="500"/>
      <c r="VWQ555" s="500"/>
      <c r="VWR555" s="500"/>
      <c r="VWS555" s="500"/>
      <c r="VWT555" s="500"/>
      <c r="VWU555" s="500"/>
      <c r="VWV555" s="500"/>
      <c r="VWW555" s="500"/>
      <c r="VWX555" s="500"/>
      <c r="VWY555" s="500"/>
      <c r="VWZ555" s="500"/>
      <c r="VXA555" s="500"/>
      <c r="VXB555" s="500"/>
      <c r="VXC555" s="500"/>
      <c r="VXD555" s="500"/>
      <c r="VXE555" s="500"/>
      <c r="VXF555" s="500"/>
      <c r="VXG555" s="500"/>
      <c r="VXH555" s="500"/>
      <c r="VXI555" s="500"/>
      <c r="VXJ555" s="500"/>
      <c r="VXK555" s="500"/>
      <c r="VXL555" s="500"/>
      <c r="VXM555" s="500"/>
      <c r="VXN555" s="500"/>
      <c r="VXO555" s="500"/>
      <c r="VXP555" s="500"/>
      <c r="VXQ555" s="500"/>
      <c r="VXR555" s="500"/>
      <c r="VXS555" s="500"/>
      <c r="VXT555" s="500"/>
      <c r="VXU555" s="500"/>
      <c r="VXV555" s="500"/>
      <c r="VXW555" s="500"/>
      <c r="VXX555" s="500"/>
      <c r="VXY555" s="500"/>
      <c r="VXZ555" s="500"/>
      <c r="VYA555" s="500"/>
      <c r="VYB555" s="500"/>
      <c r="VYC555" s="500"/>
      <c r="VYD555" s="500"/>
      <c r="VYE555" s="500"/>
      <c r="VYF555" s="500"/>
      <c r="VYG555" s="500"/>
      <c r="VYH555" s="500"/>
      <c r="VYI555" s="500"/>
      <c r="VYJ555" s="500"/>
      <c r="VYK555" s="500"/>
      <c r="VYL555" s="500"/>
      <c r="VYM555" s="500"/>
      <c r="VYN555" s="500"/>
      <c r="VYO555" s="500"/>
      <c r="VYP555" s="500"/>
      <c r="VYQ555" s="500"/>
      <c r="VYR555" s="500"/>
      <c r="VYS555" s="500"/>
      <c r="VYT555" s="500"/>
      <c r="VYU555" s="500"/>
      <c r="VYV555" s="500"/>
      <c r="VYW555" s="500"/>
      <c r="VYX555" s="500"/>
      <c r="VYY555" s="500"/>
      <c r="VYZ555" s="500"/>
      <c r="VZA555" s="500"/>
      <c r="VZB555" s="500"/>
      <c r="VZC555" s="500"/>
      <c r="VZD555" s="500"/>
      <c r="VZE555" s="500"/>
      <c r="VZF555" s="500"/>
      <c r="VZG555" s="500"/>
      <c r="VZH555" s="500"/>
      <c r="VZI555" s="500"/>
      <c r="VZJ555" s="500"/>
      <c r="VZK555" s="500"/>
      <c r="VZL555" s="500"/>
      <c r="VZM555" s="500"/>
      <c r="VZN555" s="500"/>
      <c r="VZO555" s="500"/>
      <c r="VZP555" s="500"/>
      <c r="VZQ555" s="500"/>
      <c r="VZR555" s="500"/>
      <c r="VZS555" s="500"/>
      <c r="VZT555" s="500"/>
      <c r="VZU555" s="500"/>
      <c r="VZV555" s="500"/>
      <c r="VZW555" s="500"/>
      <c r="VZX555" s="500"/>
      <c r="VZY555" s="500"/>
      <c r="VZZ555" s="500"/>
      <c r="WAA555" s="500"/>
      <c r="WAB555" s="500"/>
      <c r="WAC555" s="500"/>
      <c r="WAD555" s="500"/>
      <c r="WAE555" s="500"/>
      <c r="WAF555" s="500"/>
      <c r="WAG555" s="500"/>
      <c r="WAH555" s="500"/>
      <c r="WAI555" s="500"/>
      <c r="WAJ555" s="500"/>
      <c r="WAK555" s="500"/>
      <c r="WAL555" s="500"/>
      <c r="WAM555" s="500"/>
      <c r="WAN555" s="500"/>
      <c r="WAO555" s="500"/>
      <c r="WAP555" s="500"/>
      <c r="WAQ555" s="500"/>
      <c r="WAR555" s="500"/>
      <c r="WAS555" s="500"/>
      <c r="WAT555" s="500"/>
      <c r="WAU555" s="500"/>
      <c r="WAV555" s="500"/>
      <c r="WAW555" s="500"/>
      <c r="WAX555" s="500"/>
      <c r="WAY555" s="500"/>
      <c r="WAZ555" s="500"/>
      <c r="WBA555" s="500"/>
      <c r="WBB555" s="500"/>
      <c r="WBC555" s="500"/>
      <c r="WBD555" s="500"/>
      <c r="WBE555" s="500"/>
      <c r="WBF555" s="500"/>
      <c r="WBG555" s="500"/>
      <c r="WBH555" s="500"/>
      <c r="WBI555" s="500"/>
      <c r="WBJ555" s="500"/>
      <c r="WBK555" s="500"/>
      <c r="WBL555" s="500"/>
      <c r="WBM555" s="500"/>
      <c r="WBN555" s="500"/>
      <c r="WBO555" s="500"/>
      <c r="WBP555" s="500"/>
      <c r="WBQ555" s="500"/>
      <c r="WBR555" s="500"/>
      <c r="WBS555" s="500"/>
      <c r="WBT555" s="500"/>
      <c r="WBU555" s="500"/>
      <c r="WBV555" s="500"/>
      <c r="WBW555" s="500"/>
      <c r="WBX555" s="500"/>
      <c r="WBY555" s="500"/>
      <c r="WBZ555" s="500"/>
      <c r="WCA555" s="500"/>
      <c r="WCB555" s="500"/>
      <c r="WCC555" s="500"/>
      <c r="WCD555" s="500"/>
      <c r="WCE555" s="500"/>
      <c r="WCF555" s="500"/>
      <c r="WCG555" s="500"/>
      <c r="WCH555" s="500"/>
      <c r="WCI555" s="500"/>
      <c r="WCJ555" s="500"/>
      <c r="WCK555" s="500"/>
      <c r="WCL555" s="500"/>
      <c r="WCM555" s="500"/>
      <c r="WCN555" s="500"/>
      <c r="WCO555" s="500"/>
      <c r="WCP555" s="500"/>
      <c r="WCQ555" s="500"/>
      <c r="WCR555" s="500"/>
      <c r="WCS555" s="500"/>
      <c r="WCT555" s="500"/>
      <c r="WCU555" s="500"/>
      <c r="WCV555" s="500"/>
      <c r="WCW555" s="500"/>
      <c r="WCX555" s="500"/>
      <c r="WCY555" s="500"/>
      <c r="WCZ555" s="500"/>
      <c r="WDA555" s="500"/>
      <c r="WDB555" s="500"/>
      <c r="WDC555" s="500"/>
      <c r="WDD555" s="500"/>
      <c r="WDE555" s="500"/>
      <c r="WDF555" s="500"/>
      <c r="WDG555" s="500"/>
      <c r="WDH555" s="500"/>
      <c r="WDI555" s="500"/>
      <c r="WDJ555" s="500"/>
      <c r="WDK555" s="500"/>
      <c r="WDL555" s="500"/>
      <c r="WDM555" s="500"/>
      <c r="WDN555" s="500"/>
      <c r="WDO555" s="500"/>
      <c r="WDP555" s="500"/>
      <c r="WDQ555" s="500"/>
      <c r="WDR555" s="500"/>
      <c r="WDS555" s="500"/>
      <c r="WDT555" s="500"/>
      <c r="WDU555" s="500"/>
      <c r="WDV555" s="500"/>
      <c r="WDW555" s="500"/>
      <c r="WDX555" s="500"/>
      <c r="WDY555" s="500"/>
      <c r="WDZ555" s="500"/>
      <c r="WEA555" s="500"/>
      <c r="WEB555" s="500"/>
      <c r="WEC555" s="500"/>
      <c r="WED555" s="500"/>
      <c r="WEE555" s="500"/>
      <c r="WEF555" s="500"/>
      <c r="WEG555" s="500"/>
      <c r="WEH555" s="500"/>
      <c r="WEI555" s="500"/>
      <c r="WEJ555" s="500"/>
      <c r="WEK555" s="500"/>
      <c r="WEL555" s="500"/>
      <c r="WEM555" s="500"/>
      <c r="WEN555" s="500"/>
      <c r="WEO555" s="500"/>
      <c r="WEP555" s="500"/>
      <c r="WEQ555" s="500"/>
      <c r="WER555" s="500"/>
      <c r="WES555" s="500"/>
      <c r="WET555" s="500"/>
      <c r="WEU555" s="500"/>
      <c r="WEV555" s="500"/>
      <c r="WEW555" s="500"/>
      <c r="WEX555" s="500"/>
      <c r="WEY555" s="500"/>
      <c r="WEZ555" s="500"/>
      <c r="WFA555" s="500"/>
      <c r="WFB555" s="500"/>
      <c r="WFC555" s="500"/>
      <c r="WFD555" s="500"/>
      <c r="WFE555" s="500"/>
      <c r="WFF555" s="500"/>
      <c r="WFG555" s="500"/>
      <c r="WFH555" s="500"/>
      <c r="WFI555" s="500"/>
      <c r="WFJ555" s="500"/>
      <c r="WFK555" s="500"/>
      <c r="WFL555" s="500"/>
      <c r="WFM555" s="500"/>
      <c r="WFN555" s="500"/>
      <c r="WFO555" s="500"/>
      <c r="WFP555" s="500"/>
      <c r="WFQ555" s="500"/>
      <c r="WFR555" s="500"/>
      <c r="WFS555" s="500"/>
      <c r="WFT555" s="500"/>
      <c r="WFU555" s="500"/>
      <c r="WFV555" s="500"/>
      <c r="WFW555" s="500"/>
      <c r="WFX555" s="500"/>
      <c r="WFY555" s="500"/>
      <c r="WFZ555" s="500"/>
      <c r="WGA555" s="500"/>
      <c r="WGB555" s="500"/>
      <c r="WGC555" s="500"/>
      <c r="WGD555" s="500"/>
      <c r="WGE555" s="500"/>
      <c r="WGF555" s="500"/>
      <c r="WGG555" s="500"/>
      <c r="WGH555" s="500"/>
      <c r="WGI555" s="500"/>
      <c r="WGJ555" s="500"/>
      <c r="WGK555" s="500"/>
      <c r="WGL555" s="500"/>
      <c r="WGM555" s="500"/>
      <c r="WGN555" s="500"/>
      <c r="WGO555" s="500"/>
      <c r="WGP555" s="500"/>
      <c r="WGQ555" s="500"/>
      <c r="WGR555" s="500"/>
      <c r="WGS555" s="500"/>
      <c r="WGT555" s="500"/>
      <c r="WGU555" s="500"/>
      <c r="WGV555" s="500"/>
      <c r="WGW555" s="500"/>
      <c r="WGX555" s="500"/>
      <c r="WGY555" s="500"/>
      <c r="WGZ555" s="500"/>
      <c r="WHA555" s="500"/>
      <c r="WHB555" s="500"/>
      <c r="WHC555" s="500"/>
      <c r="WHD555" s="500"/>
      <c r="WHE555" s="500"/>
      <c r="WHF555" s="500"/>
      <c r="WHG555" s="500"/>
      <c r="WHH555" s="500"/>
      <c r="WHI555" s="500"/>
      <c r="WHJ555" s="500"/>
      <c r="WHK555" s="500"/>
      <c r="WHL555" s="500"/>
      <c r="WHM555" s="500"/>
      <c r="WHN555" s="500"/>
      <c r="WHO555" s="500"/>
      <c r="WHP555" s="500"/>
      <c r="WHQ555" s="500"/>
      <c r="WHR555" s="500"/>
      <c r="WHS555" s="500"/>
      <c r="WHT555" s="500"/>
      <c r="WHU555" s="500"/>
      <c r="WHV555" s="500"/>
      <c r="WHW555" s="500"/>
      <c r="WHX555" s="500"/>
      <c r="WHY555" s="500"/>
      <c r="WHZ555" s="500"/>
      <c r="WIA555" s="500"/>
      <c r="WIB555" s="500"/>
      <c r="WIC555" s="500"/>
      <c r="WID555" s="500"/>
      <c r="WIE555" s="500"/>
      <c r="WIF555" s="500"/>
      <c r="WIG555" s="500"/>
      <c r="WIH555" s="500"/>
      <c r="WII555" s="500"/>
      <c r="WIJ555" s="500"/>
      <c r="WIK555" s="500"/>
      <c r="WIL555" s="500"/>
      <c r="WIM555" s="500"/>
      <c r="WIN555" s="500"/>
      <c r="WIO555" s="500"/>
      <c r="WIP555" s="500"/>
      <c r="WIQ555" s="500"/>
      <c r="WIR555" s="500"/>
      <c r="WIS555" s="500"/>
      <c r="WIT555" s="500"/>
      <c r="WIU555" s="500"/>
      <c r="WIV555" s="500"/>
      <c r="WIW555" s="500"/>
      <c r="WIX555" s="500"/>
      <c r="WIY555" s="500"/>
      <c r="WIZ555" s="500"/>
      <c r="WJA555" s="500"/>
      <c r="WJB555" s="500"/>
      <c r="WJC555" s="500"/>
      <c r="WJD555" s="500"/>
      <c r="WJE555" s="500"/>
      <c r="WJF555" s="500"/>
      <c r="WJG555" s="500"/>
      <c r="WJH555" s="500"/>
      <c r="WJI555" s="500"/>
      <c r="WJJ555" s="500"/>
      <c r="WJK555" s="500"/>
      <c r="WJL555" s="500"/>
      <c r="WJM555" s="500"/>
      <c r="WJN555" s="500"/>
      <c r="WJO555" s="500"/>
      <c r="WJP555" s="500"/>
      <c r="WJQ555" s="500"/>
      <c r="WJR555" s="500"/>
      <c r="WJS555" s="500"/>
      <c r="WJT555" s="500"/>
      <c r="WJU555" s="500"/>
      <c r="WJV555" s="500"/>
      <c r="WJW555" s="500"/>
      <c r="WJX555" s="500"/>
      <c r="WJY555" s="500"/>
      <c r="WJZ555" s="500"/>
      <c r="WKA555" s="500"/>
      <c r="WKB555" s="500"/>
      <c r="WKC555" s="500"/>
      <c r="WKD555" s="500"/>
      <c r="WKE555" s="500"/>
      <c r="WKF555" s="500"/>
      <c r="WKG555" s="500"/>
      <c r="WKH555" s="500"/>
      <c r="WKI555" s="500"/>
      <c r="WKJ555" s="500"/>
      <c r="WKK555" s="500"/>
      <c r="WKL555" s="500"/>
      <c r="WKM555" s="500"/>
      <c r="WKN555" s="500"/>
      <c r="WKO555" s="500"/>
      <c r="WKP555" s="500"/>
      <c r="WKQ555" s="500"/>
      <c r="WKR555" s="500"/>
      <c r="WKS555" s="500"/>
      <c r="WKT555" s="500"/>
      <c r="WKU555" s="500"/>
      <c r="WKV555" s="500"/>
      <c r="WKW555" s="500"/>
      <c r="WKX555" s="500"/>
      <c r="WKY555" s="500"/>
      <c r="WKZ555" s="500"/>
      <c r="WLA555" s="500"/>
      <c r="WLB555" s="500"/>
      <c r="WLC555" s="500"/>
      <c r="WLD555" s="500"/>
      <c r="WLE555" s="500"/>
      <c r="WLF555" s="500"/>
      <c r="WLG555" s="500"/>
      <c r="WLH555" s="500"/>
      <c r="WLI555" s="500"/>
      <c r="WLJ555" s="500"/>
      <c r="WLK555" s="500"/>
      <c r="WLL555" s="500"/>
      <c r="WLM555" s="500"/>
      <c r="WLN555" s="500"/>
      <c r="WLO555" s="500"/>
      <c r="WLP555" s="500"/>
      <c r="WLQ555" s="500"/>
      <c r="WLR555" s="500"/>
      <c r="WLS555" s="500"/>
      <c r="WLT555" s="500"/>
      <c r="WLU555" s="500"/>
      <c r="WLV555" s="500"/>
      <c r="WLW555" s="500"/>
      <c r="WLX555" s="500"/>
      <c r="WLY555" s="500"/>
      <c r="WLZ555" s="500"/>
      <c r="WMA555" s="500"/>
      <c r="WMB555" s="500"/>
      <c r="WMC555" s="500"/>
      <c r="WMD555" s="500"/>
      <c r="WME555" s="500"/>
      <c r="WMF555" s="500"/>
      <c r="WMG555" s="500"/>
      <c r="WMH555" s="500"/>
      <c r="WMI555" s="500"/>
      <c r="WMJ555" s="500"/>
      <c r="WMK555" s="500"/>
      <c r="WML555" s="500"/>
      <c r="WMM555" s="500"/>
      <c r="WMN555" s="500"/>
      <c r="WMO555" s="500"/>
      <c r="WMP555" s="500"/>
      <c r="WMQ555" s="500"/>
      <c r="WMR555" s="500"/>
      <c r="WMS555" s="500"/>
      <c r="WMT555" s="500"/>
      <c r="WMU555" s="500"/>
      <c r="WMV555" s="500"/>
      <c r="WMW555" s="500"/>
      <c r="WMX555" s="500"/>
      <c r="WMY555" s="500"/>
      <c r="WMZ555" s="500"/>
      <c r="WNA555" s="500"/>
      <c r="WNB555" s="500"/>
      <c r="WNC555" s="500"/>
      <c r="WND555" s="500"/>
      <c r="WNE555" s="500"/>
      <c r="WNF555" s="500"/>
      <c r="WNG555" s="500"/>
      <c r="WNH555" s="500"/>
      <c r="WNI555" s="500"/>
      <c r="WNJ555" s="500"/>
      <c r="WNK555" s="500"/>
      <c r="WNL555" s="500"/>
      <c r="WNM555" s="500"/>
      <c r="WNN555" s="500"/>
      <c r="WNO555" s="500"/>
      <c r="WNP555" s="500"/>
      <c r="WNQ555" s="500"/>
      <c r="WNR555" s="500"/>
      <c r="WNS555" s="500"/>
      <c r="WNT555" s="500"/>
      <c r="WNU555" s="500"/>
      <c r="WNV555" s="500"/>
      <c r="WNW555" s="500"/>
      <c r="WNX555" s="500"/>
      <c r="WNY555" s="500"/>
      <c r="WNZ555" s="500"/>
      <c r="WOA555" s="500"/>
      <c r="WOB555" s="500"/>
      <c r="WOC555" s="500"/>
      <c r="WOD555" s="500"/>
      <c r="WOE555" s="500"/>
      <c r="WOF555" s="500"/>
      <c r="WOG555" s="500"/>
      <c r="WOH555" s="500"/>
      <c r="WOI555" s="500"/>
      <c r="WOJ555" s="500"/>
      <c r="WOK555" s="500"/>
      <c r="WOL555" s="500"/>
      <c r="WOM555" s="500"/>
      <c r="WON555" s="500"/>
      <c r="WOO555" s="500"/>
      <c r="WOP555" s="500"/>
      <c r="WOQ555" s="500"/>
      <c r="WOR555" s="500"/>
      <c r="WOS555" s="500"/>
      <c r="WOT555" s="500"/>
      <c r="WOU555" s="500"/>
      <c r="WOV555" s="500"/>
      <c r="WOW555" s="500"/>
      <c r="WOX555" s="500"/>
      <c r="WOY555" s="500"/>
      <c r="WOZ555" s="500"/>
      <c r="WPA555" s="500"/>
      <c r="WPB555" s="500"/>
      <c r="WPC555" s="500"/>
      <c r="WPD555" s="500"/>
      <c r="WPE555" s="500"/>
      <c r="WPF555" s="500"/>
      <c r="WPG555" s="500"/>
      <c r="WPH555" s="500"/>
      <c r="WPI555" s="500"/>
      <c r="WPJ555" s="500"/>
      <c r="WPK555" s="500"/>
      <c r="WPL555" s="500"/>
      <c r="WPM555" s="500"/>
      <c r="WPN555" s="500"/>
      <c r="WPO555" s="500"/>
      <c r="WPP555" s="500"/>
      <c r="WPQ555" s="500"/>
      <c r="WPR555" s="500"/>
      <c r="WPS555" s="500"/>
      <c r="WPT555" s="500"/>
      <c r="WPU555" s="500"/>
      <c r="WPV555" s="500"/>
      <c r="WPW555" s="500"/>
      <c r="WPX555" s="500"/>
      <c r="WPY555" s="500"/>
      <c r="WPZ555" s="500"/>
      <c r="WQA555" s="500"/>
      <c r="WQB555" s="500"/>
      <c r="WQC555" s="500"/>
      <c r="WQD555" s="500"/>
      <c r="WQE555" s="500"/>
      <c r="WQF555" s="500"/>
      <c r="WQG555" s="500"/>
      <c r="WQH555" s="500"/>
      <c r="WQI555" s="500"/>
      <c r="WQJ555" s="500"/>
      <c r="WQK555" s="500"/>
      <c r="WQL555" s="500"/>
      <c r="WQM555" s="500"/>
      <c r="WQN555" s="500"/>
      <c r="WQO555" s="500"/>
      <c r="WQP555" s="500"/>
      <c r="WQQ555" s="500"/>
      <c r="WQR555" s="500"/>
      <c r="WQS555" s="500"/>
      <c r="WQT555" s="500"/>
      <c r="WQU555" s="500"/>
      <c r="WQV555" s="500"/>
      <c r="WQW555" s="500"/>
      <c r="WQX555" s="500"/>
      <c r="WQY555" s="500"/>
      <c r="WQZ555" s="500"/>
      <c r="WRA555" s="500"/>
      <c r="WRB555" s="500"/>
      <c r="WRC555" s="500"/>
      <c r="WRD555" s="500"/>
      <c r="WRE555" s="500"/>
      <c r="WRF555" s="500"/>
      <c r="WRG555" s="500"/>
      <c r="WRH555" s="500"/>
      <c r="WRI555" s="500"/>
      <c r="WRJ555" s="500"/>
      <c r="WRK555" s="500"/>
      <c r="WRL555" s="500"/>
      <c r="WRM555" s="500"/>
      <c r="WRN555" s="500"/>
      <c r="WRO555" s="500"/>
      <c r="WRP555" s="500"/>
      <c r="WRQ555" s="500"/>
      <c r="WRR555" s="500"/>
      <c r="WRS555" s="500"/>
      <c r="WRT555" s="500"/>
      <c r="WRU555" s="500"/>
      <c r="WRV555" s="500"/>
      <c r="WRW555" s="500"/>
      <c r="WRX555" s="500"/>
      <c r="WRY555" s="500"/>
      <c r="WRZ555" s="500"/>
      <c r="WSA555" s="500"/>
      <c r="WSB555" s="500"/>
      <c r="WSC555" s="500"/>
      <c r="WSD555" s="500"/>
      <c r="WSE555" s="500"/>
      <c r="WSF555" s="500"/>
      <c r="WSG555" s="500"/>
      <c r="WSH555" s="500"/>
      <c r="WSI555" s="500"/>
      <c r="WSJ555" s="500"/>
      <c r="WSK555" s="500"/>
      <c r="WSL555" s="500"/>
      <c r="WSM555" s="500"/>
      <c r="WSN555" s="500"/>
      <c r="WSO555" s="500"/>
      <c r="WSP555" s="500"/>
      <c r="WSQ555" s="500"/>
      <c r="WSR555" s="500"/>
      <c r="WSS555" s="500"/>
      <c r="WST555" s="500"/>
      <c r="WSU555" s="500"/>
      <c r="WSV555" s="500"/>
      <c r="WSW555" s="500"/>
      <c r="WSX555" s="500"/>
      <c r="WSY555" s="500"/>
      <c r="WSZ555" s="500"/>
      <c r="WTA555" s="500"/>
      <c r="WTB555" s="500"/>
      <c r="WTC555" s="500"/>
      <c r="WTD555" s="500"/>
      <c r="WTE555" s="500"/>
      <c r="WTF555" s="500"/>
      <c r="WTG555" s="500"/>
      <c r="WTH555" s="500"/>
      <c r="WTI555" s="500"/>
      <c r="WTJ555" s="500"/>
      <c r="WTK555" s="500"/>
      <c r="WTL555" s="500"/>
      <c r="WTM555" s="500"/>
      <c r="WTN555" s="500"/>
      <c r="WTO555" s="500"/>
      <c r="WTP555" s="500"/>
      <c r="WTQ555" s="500"/>
      <c r="WTR555" s="500"/>
      <c r="WTS555" s="500"/>
      <c r="WTT555" s="500"/>
      <c r="WTU555" s="500"/>
      <c r="WTV555" s="500"/>
      <c r="WTW555" s="500"/>
      <c r="WTX555" s="500"/>
      <c r="WTY555" s="500"/>
      <c r="WTZ555" s="500"/>
      <c r="WUA555" s="500"/>
      <c r="WUB555" s="500"/>
      <c r="WUC555" s="500"/>
      <c r="WUD555" s="500"/>
      <c r="WUE555" s="500"/>
      <c r="WUF555" s="500"/>
      <c r="WUG555" s="500"/>
      <c r="WUH555" s="500"/>
      <c r="WUI555" s="500"/>
      <c r="WUJ555" s="500"/>
      <c r="WUK555" s="500"/>
      <c r="WUL555" s="500"/>
      <c r="WUM555" s="500"/>
      <c r="WUN555" s="500"/>
      <c r="WUO555" s="500"/>
      <c r="WUP555" s="500"/>
      <c r="WUQ555" s="500"/>
      <c r="WUR555" s="500"/>
      <c r="WUS555" s="500"/>
      <c r="WUT555" s="500"/>
      <c r="WUU555" s="500"/>
      <c r="WUV555" s="500"/>
      <c r="WUW555" s="500"/>
      <c r="WUX555" s="500"/>
      <c r="WUY555" s="500"/>
      <c r="WUZ555" s="500"/>
      <c r="WVA555" s="500"/>
      <c r="WVB555" s="500"/>
      <c r="WVC555" s="500"/>
      <c r="WVD555" s="500"/>
      <c r="WVE555" s="500"/>
      <c r="WVF555" s="500"/>
      <c r="WVG555" s="500"/>
      <c r="WVH555" s="500"/>
      <c r="WVI555" s="500"/>
      <c r="WVJ555" s="500"/>
      <c r="WVK555" s="500"/>
      <c r="WVL555" s="500"/>
      <c r="WVM555" s="500"/>
      <c r="WVN555" s="500"/>
      <c r="WVO555" s="500"/>
      <c r="WVP555" s="500"/>
      <c r="WVQ555" s="500"/>
      <c r="WVR555" s="500"/>
      <c r="WVS555" s="500"/>
      <c r="WVT555" s="500"/>
      <c r="WVU555" s="500"/>
      <c r="WVV555" s="500"/>
      <c r="WVW555" s="500"/>
      <c r="WVX555" s="500"/>
      <c r="WVY555" s="500"/>
      <c r="WVZ555" s="500"/>
      <c r="WWA555" s="500"/>
      <c r="WWB555" s="500"/>
      <c r="WWC555" s="500"/>
      <c r="WWD555" s="500"/>
      <c r="WWE555" s="500"/>
      <c r="WWF555" s="500"/>
      <c r="WWG555" s="500"/>
      <c r="WWH555" s="500"/>
      <c r="WWI555" s="500"/>
      <c r="WWJ555" s="500"/>
      <c r="WWK555" s="500"/>
      <c r="WWL555" s="500"/>
      <c r="WWM555" s="500"/>
      <c r="WWN555" s="500"/>
      <c r="WWO555" s="500"/>
      <c r="WWP555" s="500"/>
      <c r="WWQ555" s="500"/>
      <c r="WWR555" s="500"/>
      <c r="WWS555" s="500"/>
      <c r="WWT555" s="500"/>
      <c r="WWU555" s="500"/>
      <c r="WWV555" s="500"/>
      <c r="WWW555" s="500"/>
      <c r="WWX555" s="500"/>
      <c r="WWY555" s="500"/>
      <c r="WWZ555" s="500"/>
      <c r="WXA555" s="500"/>
      <c r="WXB555" s="500"/>
      <c r="WXC555" s="500"/>
      <c r="WXD555" s="500"/>
      <c r="WXE555" s="500"/>
      <c r="WXF555" s="500"/>
      <c r="WXG555" s="500"/>
      <c r="WXH555" s="500"/>
      <c r="WXI555" s="500"/>
      <c r="WXJ555" s="500"/>
      <c r="WXK555" s="500"/>
      <c r="WXL555" s="500"/>
      <c r="WXM555" s="500"/>
      <c r="WXN555" s="500"/>
      <c r="WXO555" s="500"/>
      <c r="WXP555" s="500"/>
      <c r="WXQ555" s="500"/>
      <c r="WXR555" s="500"/>
      <c r="WXS555" s="500"/>
      <c r="WXT555" s="500"/>
      <c r="WXU555" s="500"/>
      <c r="WXV555" s="500"/>
      <c r="WXW555" s="500"/>
      <c r="WXX555" s="500"/>
      <c r="WXY555" s="500"/>
      <c r="WXZ555" s="500"/>
      <c r="WYA555" s="500"/>
      <c r="WYB555" s="500"/>
      <c r="WYC555" s="500"/>
      <c r="WYD555" s="500"/>
      <c r="WYE555" s="500"/>
      <c r="WYF555" s="500"/>
      <c r="WYG555" s="500"/>
      <c r="WYH555" s="500"/>
      <c r="WYI555" s="500"/>
      <c r="WYJ555" s="500"/>
      <c r="WYK555" s="500"/>
      <c r="WYL555" s="500"/>
      <c r="WYM555" s="500"/>
      <c r="WYN555" s="500"/>
      <c r="WYO555" s="500"/>
      <c r="WYP555" s="500"/>
      <c r="WYQ555" s="500"/>
      <c r="WYR555" s="500"/>
      <c r="WYS555" s="500"/>
      <c r="WYT555" s="500"/>
      <c r="WYU555" s="500"/>
      <c r="WYV555" s="500"/>
      <c r="WYW555" s="500"/>
      <c r="WYX555" s="500"/>
      <c r="WYY555" s="500"/>
      <c r="WYZ555" s="500"/>
      <c r="WZA555" s="500"/>
      <c r="WZB555" s="500"/>
      <c r="WZC555" s="500"/>
      <c r="WZD555" s="500"/>
      <c r="WZE555" s="500"/>
      <c r="WZF555" s="500"/>
      <c r="WZG555" s="500"/>
      <c r="WZH555" s="500"/>
      <c r="WZI555" s="500"/>
      <c r="WZJ555" s="500"/>
      <c r="WZK555" s="500"/>
      <c r="WZL555" s="500"/>
      <c r="WZM555" s="500"/>
      <c r="WZN555" s="500"/>
      <c r="WZO555" s="500"/>
      <c r="WZP555" s="500"/>
      <c r="WZQ555" s="500"/>
      <c r="WZR555" s="500"/>
      <c r="WZS555" s="500"/>
      <c r="WZT555" s="500"/>
      <c r="WZU555" s="500"/>
      <c r="WZV555" s="500"/>
      <c r="WZW555" s="500"/>
      <c r="WZX555" s="500"/>
      <c r="WZY555" s="500"/>
      <c r="WZZ555" s="500"/>
      <c r="XAA555" s="500"/>
      <c r="XAB555" s="500"/>
      <c r="XAC555" s="500"/>
      <c r="XAD555" s="500"/>
      <c r="XAE555" s="500"/>
      <c r="XAF555" s="500"/>
      <c r="XAG555" s="500"/>
      <c r="XAH555" s="500"/>
      <c r="XAI555" s="500"/>
      <c r="XAJ555" s="500"/>
      <c r="XAK555" s="500"/>
      <c r="XAL555" s="500"/>
      <c r="XAM555" s="500"/>
      <c r="XAN555" s="500"/>
      <c r="XAO555" s="500"/>
      <c r="XAP555" s="500"/>
      <c r="XAQ555" s="500"/>
      <c r="XAR555" s="500"/>
      <c r="XAS555" s="500"/>
      <c r="XAT555" s="500"/>
      <c r="XAU555" s="500"/>
      <c r="XAV555" s="500"/>
      <c r="XAW555" s="500"/>
      <c r="XAX555" s="500"/>
      <c r="XAY555" s="500"/>
      <c r="XAZ555" s="500"/>
      <c r="XBA555" s="500"/>
      <c r="XBB555" s="500"/>
      <c r="XBC555" s="500"/>
      <c r="XBD555" s="500"/>
      <c r="XBE555" s="500"/>
      <c r="XBF555" s="500"/>
      <c r="XBG555" s="500"/>
      <c r="XBH555" s="500"/>
      <c r="XBI555" s="500"/>
      <c r="XBJ555" s="500"/>
      <c r="XBK555" s="500"/>
      <c r="XBL555" s="500"/>
      <c r="XBM555" s="500"/>
      <c r="XBN555" s="500"/>
      <c r="XBO555" s="500"/>
      <c r="XBP555" s="500"/>
      <c r="XBQ555" s="500"/>
      <c r="XBR555" s="500"/>
      <c r="XBS555" s="500"/>
      <c r="XBT555" s="500"/>
      <c r="XBU555" s="500"/>
      <c r="XBV555" s="500"/>
      <c r="XBW555" s="500"/>
      <c r="XBX555" s="500"/>
      <c r="XBY555" s="500"/>
      <c r="XBZ555" s="500"/>
      <c r="XCA555" s="500"/>
      <c r="XCB555" s="500"/>
      <c r="XCC555" s="500"/>
      <c r="XCD555" s="500"/>
      <c r="XCE555" s="500"/>
    </row>
    <row r="556" spans="1:16307" s="500" customFormat="1" x14ac:dyDescent="0.2">
      <c r="A556" s="833">
        <v>315</v>
      </c>
      <c r="B556" s="834" t="s">
        <v>902</v>
      </c>
      <c r="C556" s="835">
        <v>1835.24</v>
      </c>
      <c r="D556" s="835">
        <v>2752.86</v>
      </c>
      <c r="E556" s="835">
        <v>4404.58</v>
      </c>
      <c r="F556" s="835">
        <v>6753.68</v>
      </c>
      <c r="G556" s="835">
        <v>7194.14</v>
      </c>
      <c r="H556" s="835">
        <v>9543.25</v>
      </c>
      <c r="I556" s="835">
        <v>13030.2</v>
      </c>
      <c r="J556" s="835">
        <v>8809.15</v>
      </c>
      <c r="K556" s="835">
        <v>7340.96</v>
      </c>
      <c r="L556" s="835">
        <v>5946.18</v>
      </c>
      <c r="M556" s="835">
        <v>4147.6400000000003</v>
      </c>
      <c r="N556" s="835">
        <v>2137.44</v>
      </c>
      <c r="O556" s="835">
        <v>1664.4</v>
      </c>
      <c r="P556" s="835">
        <v>3468.96</v>
      </c>
      <c r="Q556" s="835">
        <v>2978.4</v>
      </c>
      <c r="R556" s="835">
        <v>3451.44</v>
      </c>
      <c r="S556" s="835">
        <v>4344.96</v>
      </c>
      <c r="T556" s="835">
        <v>4348.46</v>
      </c>
      <c r="U556" s="835">
        <v>4372.99</v>
      </c>
      <c r="V556" s="835">
        <v>5098.32</v>
      </c>
      <c r="W556" s="835">
        <v>4432.5600000000004</v>
      </c>
      <c r="X556" s="835">
        <v>3363.84</v>
      </c>
      <c r="Y556" s="835">
        <v>1734.48</v>
      </c>
      <c r="Z556" s="835">
        <v>1243.92</v>
      </c>
      <c r="AA556" s="835">
        <v>1384.08</v>
      </c>
      <c r="AB556" s="835">
        <v>1804.56</v>
      </c>
      <c r="AC556" s="835">
        <v>3591.6</v>
      </c>
      <c r="AD556" s="835">
        <v>3574.08</v>
      </c>
      <c r="AE556" s="835">
        <v>4380</v>
      </c>
      <c r="AF556" s="835">
        <v>4607.76</v>
      </c>
      <c r="AG556" s="835">
        <v>6132</v>
      </c>
      <c r="AH556" s="835">
        <v>5352.36</v>
      </c>
      <c r="AI556" s="835">
        <v>4818</v>
      </c>
      <c r="AJ556" s="835">
        <v>3591.6</v>
      </c>
      <c r="AK556" s="835">
        <v>3066</v>
      </c>
      <c r="AL556" s="835">
        <v>1103.76</v>
      </c>
      <c r="AM556" s="835">
        <v>1243.92</v>
      </c>
      <c r="AN556" s="835">
        <v>2014.8</v>
      </c>
      <c r="AO556" s="835">
        <v>2785.68</v>
      </c>
      <c r="AP556" s="835">
        <v>4047.12</v>
      </c>
      <c r="AQ556" s="835">
        <v>4502.6400000000003</v>
      </c>
      <c r="AR556" s="835">
        <v>4362.4799999999996</v>
      </c>
      <c r="AS556" s="835">
        <v>8006.64</v>
      </c>
      <c r="AT556" s="835">
        <v>4292.3999999999996</v>
      </c>
      <c r="AU556" s="835">
        <v>5361.12</v>
      </c>
      <c r="AV556" s="835">
        <v>4344.96</v>
      </c>
      <c r="AW556" s="835">
        <v>1716.96</v>
      </c>
      <c r="AX556" s="835">
        <v>963.6</v>
      </c>
      <c r="AY556" s="835">
        <v>1226.4000000000001</v>
      </c>
    </row>
    <row r="557" spans="1:16307" s="500" customFormat="1" x14ac:dyDescent="0.2">
      <c r="A557" s="833" t="s">
        <v>892</v>
      </c>
      <c r="B557" s="834" t="s">
        <v>903</v>
      </c>
      <c r="C557" s="835">
        <v>0</v>
      </c>
      <c r="D557" s="835">
        <v>0</v>
      </c>
      <c r="E557" s="835">
        <v>0</v>
      </c>
      <c r="F557" s="835">
        <v>0</v>
      </c>
      <c r="G557" s="835">
        <v>0</v>
      </c>
      <c r="H557" s="835">
        <v>0</v>
      </c>
      <c r="I557" s="835">
        <v>0</v>
      </c>
      <c r="J557" s="835">
        <v>0</v>
      </c>
      <c r="K557" s="835">
        <v>0</v>
      </c>
      <c r="L557" s="835">
        <v>0</v>
      </c>
      <c r="M557" s="835">
        <v>0</v>
      </c>
      <c r="N557" s="835">
        <v>0</v>
      </c>
      <c r="O557" s="835">
        <v>0</v>
      </c>
      <c r="P557" s="835">
        <v>0</v>
      </c>
      <c r="Q557" s="835">
        <v>0</v>
      </c>
      <c r="R557" s="835">
        <v>0</v>
      </c>
      <c r="S557" s="835">
        <v>0</v>
      </c>
      <c r="T557" s="835">
        <v>0</v>
      </c>
      <c r="U557" s="835">
        <v>0</v>
      </c>
      <c r="V557" s="835">
        <v>0</v>
      </c>
      <c r="W557" s="835">
        <v>0</v>
      </c>
      <c r="X557" s="835">
        <v>0</v>
      </c>
      <c r="Y557" s="835">
        <v>4424.1499999999996</v>
      </c>
      <c r="Z557" s="835">
        <v>1274.76</v>
      </c>
      <c r="AA557" s="835">
        <v>1754.66</v>
      </c>
      <c r="AB557" s="835">
        <v>3584.31</v>
      </c>
      <c r="AC557" s="835">
        <v>3974.24</v>
      </c>
      <c r="AD557" s="835">
        <v>7213.61</v>
      </c>
      <c r="AE557" s="835">
        <v>8038.46</v>
      </c>
      <c r="AF557" s="835">
        <v>7483.56</v>
      </c>
      <c r="AG557" s="835">
        <v>10467.99</v>
      </c>
      <c r="AH557" s="835">
        <v>14829.71</v>
      </c>
      <c r="AI557" s="835">
        <v>15237.68</v>
      </c>
      <c r="AJ557" s="835">
        <v>8975.34</v>
      </c>
      <c r="AK557" s="835">
        <v>9424.1</v>
      </c>
      <c r="AL557" s="835">
        <v>6670.31</v>
      </c>
      <c r="AM557" s="835">
        <v>8322.59</v>
      </c>
      <c r="AN557" s="835">
        <v>10688.82</v>
      </c>
      <c r="AO557" s="835">
        <v>8791.75</v>
      </c>
      <c r="AP557" s="835">
        <v>11321.17</v>
      </c>
      <c r="AQ557" s="835">
        <v>12973.439999999999</v>
      </c>
      <c r="AR557" s="835">
        <v>9464.91</v>
      </c>
      <c r="AS557" s="835">
        <v>19687.449999999997</v>
      </c>
      <c r="AT557" s="835">
        <v>11035.59</v>
      </c>
      <c r="AU557" s="835">
        <v>13259.029999999999</v>
      </c>
      <c r="AV557" s="835">
        <v>8771.36</v>
      </c>
      <c r="AW557" s="835">
        <v>5303.6100000000006</v>
      </c>
      <c r="AX557" s="835">
        <v>6037.95</v>
      </c>
      <c r="AY557" s="835">
        <v>7017.09</v>
      </c>
      <c r="AZ557" s="501"/>
      <c r="BA557" s="501"/>
      <c r="BB557" s="501"/>
      <c r="BC557" s="501"/>
      <c r="BD557" s="501"/>
      <c r="BE557" s="501"/>
      <c r="BF557" s="501"/>
      <c r="BG557" s="501"/>
      <c r="BH557" s="501"/>
      <c r="BI557" s="501"/>
      <c r="BJ557" s="501"/>
      <c r="BK557" s="501"/>
      <c r="BL557" s="501"/>
      <c r="BM557" s="501"/>
      <c r="BN557" s="501"/>
      <c r="BO557" s="501"/>
      <c r="BP557" s="501"/>
      <c r="BQ557" s="501"/>
      <c r="BR557" s="501"/>
      <c r="BS557" s="501"/>
      <c r="BT557" s="501"/>
      <c r="BU557" s="501"/>
      <c r="BV557" s="501"/>
      <c r="BW557" s="501"/>
      <c r="BX557" s="501"/>
      <c r="BY557" s="501"/>
      <c r="BZ557" s="501"/>
      <c r="CA557" s="501"/>
      <c r="CB557" s="501"/>
      <c r="CC557" s="501"/>
      <c r="CD557" s="501"/>
      <c r="CE557" s="501"/>
      <c r="CF557" s="501"/>
      <c r="CG557" s="501"/>
      <c r="CH557" s="501"/>
      <c r="CI557" s="501"/>
      <c r="CJ557" s="501"/>
      <c r="CK557" s="501"/>
      <c r="CL557" s="501"/>
      <c r="CM557" s="501"/>
      <c r="CN557" s="501"/>
      <c r="CO557" s="501"/>
      <c r="CP557" s="501"/>
      <c r="CQ557" s="501"/>
      <c r="CR557" s="501"/>
      <c r="CS557" s="501"/>
      <c r="CT557" s="501"/>
      <c r="CU557" s="501"/>
      <c r="CV557" s="501"/>
      <c r="CW557" s="501"/>
      <c r="CX557" s="501"/>
      <c r="CY557" s="501"/>
      <c r="CZ557" s="501"/>
      <c r="DA557" s="501"/>
      <c r="DB557" s="501"/>
      <c r="DC557" s="501"/>
      <c r="DD557" s="501"/>
      <c r="DE557" s="501"/>
      <c r="DF557" s="501"/>
      <c r="DG557" s="501"/>
      <c r="DH557" s="501"/>
      <c r="DI557" s="501"/>
      <c r="DJ557" s="501"/>
      <c r="DK557" s="501"/>
      <c r="DL557" s="501"/>
      <c r="DM557" s="501"/>
      <c r="DN557" s="501"/>
      <c r="DO557" s="501"/>
      <c r="DP557" s="501"/>
      <c r="DQ557" s="501"/>
      <c r="DR557" s="501"/>
      <c r="DS557" s="501"/>
      <c r="DT557" s="501"/>
      <c r="DU557" s="501"/>
      <c r="DV557" s="501"/>
      <c r="DW557" s="501"/>
      <c r="DX557" s="501"/>
      <c r="DY557" s="501"/>
      <c r="DZ557" s="501"/>
      <c r="EA557" s="501"/>
      <c r="EB557" s="501"/>
      <c r="EC557" s="501"/>
      <c r="ED557" s="501"/>
      <c r="EE557" s="501"/>
      <c r="EF557" s="501"/>
      <c r="EG557" s="501"/>
      <c r="EH557" s="501"/>
      <c r="EI557" s="501"/>
      <c r="EJ557" s="501"/>
      <c r="EK557" s="501"/>
      <c r="EL557" s="501"/>
      <c r="EM557" s="501"/>
      <c r="EN557" s="501"/>
      <c r="EO557" s="501"/>
      <c r="EP557" s="501"/>
      <c r="EQ557" s="501"/>
      <c r="ER557" s="501"/>
      <c r="ES557" s="501"/>
      <c r="ET557" s="501"/>
      <c r="EU557" s="501"/>
      <c r="EV557" s="501"/>
      <c r="EW557" s="501"/>
      <c r="EX557" s="501"/>
      <c r="EY557" s="501"/>
      <c r="EZ557" s="501"/>
      <c r="FA557" s="501"/>
      <c r="FB557" s="501"/>
      <c r="FC557" s="501"/>
      <c r="FD557" s="501"/>
      <c r="FE557" s="501"/>
      <c r="FF557" s="501"/>
      <c r="FG557" s="501"/>
      <c r="FH557" s="501"/>
      <c r="FI557" s="501"/>
      <c r="FJ557" s="501"/>
      <c r="FK557" s="501"/>
      <c r="FL557" s="501"/>
      <c r="FM557" s="501"/>
      <c r="FN557" s="501"/>
      <c r="FO557" s="501"/>
      <c r="FP557" s="501"/>
      <c r="FQ557" s="501"/>
      <c r="FR557" s="501"/>
      <c r="FS557" s="501"/>
      <c r="FT557" s="501"/>
      <c r="FU557" s="501"/>
      <c r="FV557" s="501"/>
      <c r="FW557" s="501"/>
      <c r="FX557" s="501"/>
      <c r="FY557" s="501"/>
      <c r="FZ557" s="501"/>
      <c r="GA557" s="501"/>
      <c r="GB557" s="501"/>
      <c r="GC557" s="501"/>
      <c r="GD557" s="501"/>
      <c r="GE557" s="501"/>
      <c r="GF557" s="501"/>
      <c r="GG557" s="501"/>
      <c r="GH557" s="501"/>
      <c r="GI557" s="501"/>
      <c r="GJ557" s="501"/>
      <c r="GK557" s="501"/>
      <c r="GL557" s="501"/>
      <c r="GM557" s="501"/>
      <c r="GN557" s="501"/>
      <c r="GO557" s="501"/>
      <c r="GP557" s="501"/>
      <c r="GQ557" s="501"/>
      <c r="GR557" s="501"/>
      <c r="GS557" s="501"/>
      <c r="GT557" s="501"/>
      <c r="GU557" s="501"/>
      <c r="GV557" s="501"/>
      <c r="GW557" s="501"/>
      <c r="GX557" s="501"/>
      <c r="GY557" s="501"/>
      <c r="GZ557" s="501"/>
      <c r="HA557" s="501"/>
      <c r="HB557" s="501"/>
      <c r="HC557" s="501"/>
      <c r="HD557" s="501"/>
      <c r="HE557" s="501"/>
      <c r="HF557" s="501"/>
      <c r="HG557" s="501"/>
      <c r="HH557" s="501"/>
      <c r="HI557" s="501"/>
      <c r="HJ557" s="501"/>
      <c r="HK557" s="501"/>
      <c r="HL557" s="501"/>
      <c r="HM557" s="501"/>
      <c r="HN557" s="501"/>
      <c r="HO557" s="501"/>
      <c r="HP557" s="501"/>
      <c r="HQ557" s="501"/>
      <c r="HR557" s="501"/>
      <c r="HS557" s="501"/>
      <c r="HT557" s="501"/>
      <c r="HU557" s="501"/>
      <c r="HV557" s="501"/>
      <c r="HW557" s="501"/>
      <c r="HX557" s="501"/>
      <c r="HY557" s="501"/>
      <c r="HZ557" s="501"/>
      <c r="IA557" s="501"/>
      <c r="IB557" s="501"/>
      <c r="IC557" s="501"/>
      <c r="ID557" s="501"/>
      <c r="IE557" s="501"/>
      <c r="IF557" s="501"/>
      <c r="IG557" s="501"/>
      <c r="IH557" s="501"/>
      <c r="II557" s="501"/>
      <c r="IJ557" s="501"/>
      <c r="IK557" s="501"/>
      <c r="IL557" s="501"/>
      <c r="IM557" s="501"/>
      <c r="IN557" s="501"/>
      <c r="IO557" s="501"/>
      <c r="IP557" s="501"/>
      <c r="IQ557" s="501"/>
      <c r="IR557" s="501"/>
      <c r="IS557" s="501"/>
      <c r="IT557" s="501"/>
      <c r="IU557" s="501"/>
      <c r="IV557" s="501"/>
      <c r="IW557" s="501"/>
      <c r="IX557" s="501"/>
      <c r="IY557" s="501"/>
      <c r="IZ557" s="501"/>
      <c r="JA557" s="501"/>
      <c r="JB557" s="501"/>
      <c r="JC557" s="501"/>
      <c r="JD557" s="501"/>
      <c r="JE557" s="501"/>
      <c r="JF557" s="501"/>
      <c r="JG557" s="501"/>
      <c r="JH557" s="501"/>
      <c r="JI557" s="501"/>
      <c r="JJ557" s="501"/>
      <c r="JK557" s="501"/>
      <c r="JL557" s="501"/>
      <c r="JM557" s="501"/>
      <c r="JN557" s="501"/>
      <c r="JO557" s="501"/>
      <c r="JP557" s="501"/>
      <c r="JQ557" s="501"/>
      <c r="JR557" s="501"/>
      <c r="JS557" s="501"/>
      <c r="JT557" s="501"/>
      <c r="JU557" s="501"/>
      <c r="JV557" s="501"/>
      <c r="JW557" s="501"/>
      <c r="JX557" s="501"/>
      <c r="JY557" s="501"/>
      <c r="JZ557" s="501"/>
      <c r="KA557" s="501"/>
      <c r="KB557" s="501"/>
      <c r="KC557" s="501"/>
      <c r="KD557" s="501"/>
      <c r="KE557" s="501"/>
      <c r="KF557" s="501"/>
      <c r="KG557" s="501"/>
      <c r="KH557" s="501"/>
      <c r="KI557" s="501"/>
      <c r="KJ557" s="501"/>
      <c r="KK557" s="501"/>
      <c r="KL557" s="501"/>
      <c r="KM557" s="501"/>
      <c r="KN557" s="501"/>
      <c r="KO557" s="501"/>
      <c r="KP557" s="501"/>
      <c r="KQ557" s="501"/>
      <c r="KR557" s="501"/>
      <c r="KS557" s="501"/>
      <c r="KT557" s="501"/>
      <c r="KU557" s="501"/>
      <c r="KV557" s="501"/>
      <c r="KW557" s="501"/>
      <c r="KX557" s="501"/>
      <c r="KY557" s="501"/>
      <c r="KZ557" s="501"/>
      <c r="LA557" s="501"/>
      <c r="LB557" s="501"/>
      <c r="LC557" s="501"/>
      <c r="LD557" s="501"/>
      <c r="LE557" s="501"/>
      <c r="LF557" s="501"/>
      <c r="LG557" s="501"/>
      <c r="LH557" s="501"/>
      <c r="LI557" s="501"/>
      <c r="LJ557" s="501"/>
      <c r="LK557" s="501"/>
      <c r="LL557" s="501"/>
      <c r="LM557" s="501"/>
      <c r="LN557" s="501"/>
      <c r="LO557" s="501"/>
      <c r="LP557" s="501"/>
      <c r="LQ557" s="501"/>
      <c r="LR557" s="501"/>
      <c r="LS557" s="501"/>
      <c r="LT557" s="501"/>
      <c r="LU557" s="501"/>
      <c r="LV557" s="501"/>
      <c r="LW557" s="501"/>
      <c r="LX557" s="501"/>
      <c r="LY557" s="501"/>
      <c r="LZ557" s="501"/>
      <c r="MA557" s="501"/>
      <c r="MB557" s="501"/>
      <c r="MC557" s="501"/>
      <c r="MD557" s="501"/>
      <c r="ME557" s="501"/>
      <c r="MF557" s="501"/>
      <c r="MG557" s="501"/>
      <c r="MH557" s="501"/>
      <c r="MI557" s="501"/>
      <c r="MJ557" s="501"/>
      <c r="MK557" s="501"/>
      <c r="ML557" s="501"/>
      <c r="MM557" s="501"/>
      <c r="MN557" s="501"/>
      <c r="MO557" s="501"/>
      <c r="MP557" s="501"/>
      <c r="MQ557" s="501"/>
      <c r="MR557" s="501"/>
      <c r="MS557" s="501"/>
      <c r="MT557" s="501"/>
      <c r="MU557" s="501"/>
      <c r="MV557" s="501"/>
      <c r="MW557" s="501"/>
      <c r="MX557" s="501"/>
      <c r="MY557" s="501"/>
      <c r="MZ557" s="501"/>
      <c r="NA557" s="501"/>
      <c r="NB557" s="501"/>
      <c r="NC557" s="501"/>
      <c r="ND557" s="501"/>
      <c r="NE557" s="501"/>
      <c r="NF557" s="501"/>
      <c r="NG557" s="501"/>
      <c r="NH557" s="501"/>
      <c r="NI557" s="501"/>
      <c r="NJ557" s="501"/>
      <c r="NK557" s="501"/>
      <c r="NL557" s="501"/>
      <c r="NM557" s="501"/>
      <c r="NN557" s="501"/>
      <c r="NO557" s="501"/>
      <c r="NP557" s="501"/>
      <c r="NQ557" s="501"/>
      <c r="NR557" s="501"/>
      <c r="NS557" s="501"/>
      <c r="NT557" s="501"/>
      <c r="NU557" s="501"/>
      <c r="NV557" s="501"/>
      <c r="NW557" s="501"/>
      <c r="NX557" s="501"/>
      <c r="NY557" s="501"/>
      <c r="NZ557" s="501"/>
      <c r="OA557" s="501"/>
      <c r="OB557" s="501"/>
      <c r="OC557" s="501"/>
      <c r="OD557" s="501"/>
      <c r="OE557" s="501"/>
      <c r="OF557" s="501"/>
      <c r="OG557" s="501"/>
      <c r="OH557" s="501"/>
      <c r="OI557" s="501"/>
      <c r="OJ557" s="501"/>
      <c r="OK557" s="501"/>
      <c r="OL557" s="501"/>
      <c r="OM557" s="501"/>
      <c r="ON557" s="501"/>
      <c r="OO557" s="501"/>
      <c r="OP557" s="501"/>
      <c r="OQ557" s="501"/>
      <c r="OR557" s="501"/>
      <c r="OS557" s="501"/>
      <c r="OT557" s="501"/>
      <c r="OU557" s="501"/>
      <c r="OV557" s="501"/>
      <c r="OW557" s="501"/>
      <c r="OX557" s="501"/>
      <c r="OY557" s="501"/>
      <c r="OZ557" s="501"/>
      <c r="PA557" s="501"/>
      <c r="PB557" s="501"/>
      <c r="PC557" s="501"/>
      <c r="PD557" s="501"/>
      <c r="PE557" s="501"/>
      <c r="PF557" s="501"/>
      <c r="PG557" s="501"/>
      <c r="PH557" s="501"/>
      <c r="PI557" s="501"/>
      <c r="PJ557" s="501"/>
      <c r="PK557" s="501"/>
      <c r="PL557" s="501"/>
      <c r="PM557" s="501"/>
      <c r="PN557" s="501"/>
      <c r="PO557" s="501"/>
      <c r="PP557" s="501"/>
      <c r="PQ557" s="501"/>
      <c r="PR557" s="501"/>
      <c r="PS557" s="501"/>
      <c r="PT557" s="501"/>
      <c r="PU557" s="501"/>
      <c r="PV557" s="501"/>
      <c r="PW557" s="501"/>
      <c r="PX557" s="501"/>
      <c r="PY557" s="501"/>
      <c r="PZ557" s="501"/>
      <c r="QA557" s="501"/>
      <c r="QB557" s="501"/>
      <c r="QC557" s="501"/>
      <c r="QD557" s="501"/>
      <c r="QE557" s="501"/>
      <c r="QF557" s="501"/>
      <c r="QG557" s="501"/>
      <c r="QH557" s="501"/>
      <c r="QI557" s="501"/>
      <c r="QJ557" s="501"/>
      <c r="QK557" s="501"/>
      <c r="QL557" s="501"/>
      <c r="QM557" s="501"/>
      <c r="QN557" s="501"/>
      <c r="QO557" s="501"/>
      <c r="QP557" s="501"/>
      <c r="QQ557" s="501"/>
      <c r="QR557" s="501"/>
      <c r="QS557" s="501"/>
      <c r="QT557" s="501"/>
      <c r="QU557" s="501"/>
      <c r="QV557" s="501"/>
      <c r="QW557" s="501"/>
      <c r="QX557" s="501"/>
      <c r="QY557" s="501"/>
      <c r="QZ557" s="501"/>
      <c r="RA557" s="501"/>
      <c r="RB557" s="501"/>
      <c r="RC557" s="501"/>
      <c r="RD557" s="501"/>
      <c r="RE557" s="501"/>
      <c r="RF557" s="501"/>
      <c r="RG557" s="501"/>
      <c r="RH557" s="501"/>
      <c r="RI557" s="501"/>
      <c r="RJ557" s="501"/>
      <c r="RK557" s="501"/>
      <c r="RL557" s="501"/>
      <c r="RM557" s="501"/>
      <c r="RN557" s="501"/>
      <c r="RO557" s="501"/>
      <c r="RP557" s="501"/>
      <c r="RQ557" s="501"/>
      <c r="RR557" s="501"/>
      <c r="RS557" s="501"/>
      <c r="RT557" s="501"/>
      <c r="RU557" s="501"/>
      <c r="RV557" s="501"/>
      <c r="RW557" s="501"/>
      <c r="RX557" s="501"/>
      <c r="RY557" s="501"/>
      <c r="RZ557" s="501"/>
      <c r="SA557" s="501"/>
      <c r="SB557" s="501"/>
      <c r="SC557" s="501"/>
      <c r="SD557" s="501"/>
      <c r="SE557" s="501"/>
      <c r="SF557" s="501"/>
      <c r="SG557" s="501"/>
      <c r="SH557" s="501"/>
      <c r="SI557" s="501"/>
      <c r="SJ557" s="501"/>
      <c r="SK557" s="501"/>
      <c r="SL557" s="501"/>
      <c r="SM557" s="501"/>
      <c r="SN557" s="501"/>
      <c r="SO557" s="501"/>
      <c r="SP557" s="501"/>
      <c r="SQ557" s="501"/>
      <c r="SR557" s="501"/>
      <c r="SS557" s="501"/>
      <c r="ST557" s="501"/>
      <c r="SU557" s="501"/>
      <c r="SV557" s="501"/>
      <c r="SW557" s="501"/>
      <c r="SX557" s="501"/>
      <c r="SY557" s="501"/>
      <c r="SZ557" s="501"/>
      <c r="TA557" s="501"/>
      <c r="TB557" s="501"/>
      <c r="TC557" s="501"/>
      <c r="TD557" s="501"/>
      <c r="TE557" s="501"/>
      <c r="TF557" s="501"/>
      <c r="TG557" s="501"/>
      <c r="TH557" s="501"/>
      <c r="TI557" s="501"/>
      <c r="TJ557" s="501"/>
      <c r="TK557" s="501"/>
      <c r="TL557" s="501"/>
      <c r="TM557" s="501"/>
      <c r="TN557" s="501"/>
      <c r="TO557" s="501"/>
      <c r="TP557" s="501"/>
      <c r="TQ557" s="501"/>
      <c r="TR557" s="501"/>
      <c r="TS557" s="501"/>
      <c r="TT557" s="501"/>
      <c r="TU557" s="501"/>
      <c r="TV557" s="501"/>
      <c r="TW557" s="501"/>
      <c r="TX557" s="501"/>
      <c r="TY557" s="501"/>
      <c r="TZ557" s="501"/>
      <c r="UA557" s="501"/>
      <c r="UB557" s="501"/>
      <c r="UC557" s="501"/>
      <c r="UD557" s="501"/>
      <c r="UE557" s="501"/>
      <c r="UF557" s="501"/>
      <c r="UG557" s="501"/>
      <c r="UH557" s="501"/>
      <c r="UI557" s="501"/>
      <c r="UJ557" s="501"/>
      <c r="UK557" s="501"/>
      <c r="UL557" s="501"/>
      <c r="UM557" s="501"/>
      <c r="UN557" s="501"/>
      <c r="UO557" s="501"/>
      <c r="UP557" s="501"/>
      <c r="UQ557" s="501"/>
      <c r="UR557" s="501"/>
      <c r="US557" s="501"/>
      <c r="UT557" s="501"/>
      <c r="UU557" s="501"/>
      <c r="UV557" s="501"/>
      <c r="UW557" s="501"/>
      <c r="UX557" s="501"/>
      <c r="UY557" s="501"/>
      <c r="UZ557" s="501"/>
      <c r="VA557" s="501"/>
      <c r="VB557" s="501"/>
      <c r="VC557" s="501"/>
      <c r="VD557" s="501"/>
      <c r="VE557" s="501"/>
      <c r="VF557" s="501"/>
      <c r="VG557" s="501"/>
      <c r="VH557" s="501"/>
      <c r="VI557" s="501"/>
      <c r="VJ557" s="501"/>
      <c r="VK557" s="501"/>
      <c r="VL557" s="501"/>
      <c r="VM557" s="501"/>
      <c r="VN557" s="501"/>
      <c r="VO557" s="501"/>
      <c r="VP557" s="501"/>
      <c r="VQ557" s="501"/>
      <c r="VR557" s="501"/>
      <c r="VS557" s="501"/>
      <c r="VT557" s="501"/>
      <c r="VU557" s="501"/>
      <c r="VV557" s="501"/>
      <c r="VW557" s="501"/>
      <c r="VX557" s="501"/>
      <c r="VY557" s="501"/>
      <c r="VZ557" s="501"/>
      <c r="WA557" s="501"/>
      <c r="WB557" s="501"/>
      <c r="WC557" s="501"/>
      <c r="WD557" s="501"/>
      <c r="WE557" s="501"/>
      <c r="WF557" s="501"/>
      <c r="WG557" s="501"/>
      <c r="WH557" s="501"/>
      <c r="WI557" s="501"/>
      <c r="WJ557" s="501"/>
      <c r="WK557" s="501"/>
      <c r="WL557" s="501"/>
      <c r="WM557" s="501"/>
      <c r="WN557" s="501"/>
      <c r="WO557" s="501"/>
      <c r="WP557" s="501"/>
      <c r="WQ557" s="501"/>
      <c r="WR557" s="501"/>
      <c r="WS557" s="501"/>
      <c r="WT557" s="501"/>
      <c r="WU557" s="501"/>
      <c r="WV557" s="501"/>
      <c r="WW557" s="501"/>
      <c r="WX557" s="501"/>
      <c r="WY557" s="501"/>
      <c r="WZ557" s="501"/>
      <c r="XA557" s="501"/>
      <c r="XB557" s="501"/>
      <c r="XC557" s="501"/>
      <c r="XD557" s="501"/>
      <c r="XE557" s="501"/>
      <c r="XF557" s="501"/>
      <c r="XG557" s="501"/>
      <c r="XH557" s="501"/>
      <c r="XI557" s="501"/>
      <c r="XJ557" s="501"/>
      <c r="XK557" s="501"/>
      <c r="XL557" s="501"/>
      <c r="XM557" s="501"/>
      <c r="XN557" s="501"/>
      <c r="XO557" s="501"/>
      <c r="XP557" s="501"/>
      <c r="XQ557" s="501"/>
      <c r="XR557" s="501"/>
      <c r="XS557" s="501"/>
      <c r="XT557" s="501"/>
      <c r="XU557" s="501"/>
      <c r="XV557" s="501"/>
      <c r="XW557" s="501"/>
      <c r="XX557" s="501"/>
      <c r="XY557" s="501"/>
      <c r="XZ557" s="501"/>
      <c r="YA557" s="501"/>
      <c r="YB557" s="501"/>
      <c r="YC557" s="501"/>
      <c r="YD557" s="501"/>
      <c r="YE557" s="501"/>
      <c r="YF557" s="501"/>
      <c r="YG557" s="501"/>
      <c r="YH557" s="501"/>
      <c r="YI557" s="501"/>
      <c r="YJ557" s="501"/>
      <c r="YK557" s="501"/>
      <c r="YL557" s="501"/>
      <c r="YM557" s="501"/>
      <c r="YN557" s="501"/>
      <c r="YO557" s="501"/>
      <c r="YP557" s="501"/>
      <c r="YQ557" s="501"/>
      <c r="YR557" s="501"/>
      <c r="YS557" s="501"/>
      <c r="YT557" s="501"/>
      <c r="YU557" s="501"/>
      <c r="YV557" s="501"/>
      <c r="YW557" s="501"/>
      <c r="YX557" s="501"/>
      <c r="YY557" s="501"/>
      <c r="YZ557" s="501"/>
      <c r="ZA557" s="501"/>
      <c r="ZB557" s="501"/>
      <c r="ZC557" s="501"/>
      <c r="ZD557" s="501"/>
      <c r="ZE557" s="501"/>
      <c r="ZF557" s="501"/>
      <c r="ZG557" s="501"/>
      <c r="ZH557" s="501"/>
      <c r="ZI557" s="501"/>
      <c r="ZJ557" s="501"/>
      <c r="ZK557" s="501"/>
      <c r="ZL557" s="501"/>
      <c r="ZM557" s="501"/>
      <c r="ZN557" s="501"/>
      <c r="ZO557" s="501"/>
      <c r="ZP557" s="501"/>
      <c r="ZQ557" s="501"/>
      <c r="ZR557" s="501"/>
      <c r="ZS557" s="501"/>
      <c r="ZT557" s="501"/>
      <c r="ZU557" s="501"/>
      <c r="ZV557" s="501"/>
      <c r="ZW557" s="501"/>
      <c r="ZX557" s="501"/>
      <c r="ZY557" s="501"/>
      <c r="ZZ557" s="501"/>
      <c r="AAA557" s="501"/>
      <c r="AAB557" s="501"/>
      <c r="AAC557" s="501"/>
      <c r="AAD557" s="501"/>
      <c r="AAE557" s="501"/>
      <c r="AAF557" s="501"/>
      <c r="AAG557" s="501"/>
      <c r="AAH557" s="501"/>
      <c r="AAI557" s="501"/>
      <c r="AAJ557" s="501"/>
      <c r="AAK557" s="501"/>
      <c r="AAL557" s="501"/>
      <c r="AAM557" s="501"/>
      <c r="AAN557" s="501"/>
      <c r="AAO557" s="501"/>
      <c r="AAP557" s="501"/>
      <c r="AAQ557" s="501"/>
      <c r="AAR557" s="501"/>
      <c r="AAS557" s="501"/>
      <c r="AAT557" s="501"/>
      <c r="AAU557" s="501"/>
      <c r="AAV557" s="501"/>
      <c r="AAW557" s="501"/>
      <c r="AAX557" s="501"/>
      <c r="AAY557" s="501"/>
      <c r="AAZ557" s="501"/>
      <c r="ABA557" s="501"/>
      <c r="ABB557" s="501"/>
      <c r="ABC557" s="501"/>
      <c r="ABD557" s="501"/>
      <c r="ABE557" s="501"/>
      <c r="ABF557" s="501"/>
      <c r="ABG557" s="501"/>
      <c r="ABH557" s="501"/>
      <c r="ABI557" s="501"/>
      <c r="ABJ557" s="501"/>
      <c r="ABK557" s="501"/>
      <c r="ABL557" s="501"/>
      <c r="ABM557" s="501"/>
      <c r="ABN557" s="501"/>
      <c r="ABO557" s="501"/>
      <c r="ABP557" s="501"/>
      <c r="ABQ557" s="501"/>
      <c r="ABR557" s="501"/>
      <c r="ABS557" s="501"/>
      <c r="ABT557" s="501"/>
      <c r="ABU557" s="501"/>
      <c r="ABV557" s="501"/>
      <c r="ABW557" s="501"/>
      <c r="ABX557" s="501"/>
      <c r="ABY557" s="501"/>
      <c r="ABZ557" s="501"/>
      <c r="ACA557" s="501"/>
      <c r="ACB557" s="501"/>
      <c r="ACC557" s="501"/>
      <c r="ACD557" s="501"/>
      <c r="ACE557" s="501"/>
      <c r="ACF557" s="501"/>
      <c r="ACG557" s="501"/>
      <c r="ACH557" s="501"/>
      <c r="ACI557" s="501"/>
      <c r="ACJ557" s="501"/>
      <c r="ACK557" s="501"/>
      <c r="ACL557" s="501"/>
      <c r="ACM557" s="501"/>
      <c r="ACN557" s="501"/>
      <c r="ACO557" s="501"/>
      <c r="ACP557" s="501"/>
      <c r="ACQ557" s="501"/>
      <c r="ACR557" s="501"/>
      <c r="ACS557" s="501"/>
      <c r="ACT557" s="501"/>
      <c r="ACU557" s="501"/>
      <c r="ACV557" s="501"/>
      <c r="ACW557" s="501"/>
      <c r="ACX557" s="501"/>
      <c r="ACY557" s="501"/>
      <c r="ACZ557" s="501"/>
      <c r="ADA557" s="501"/>
      <c r="ADB557" s="501"/>
      <c r="ADC557" s="501"/>
      <c r="ADD557" s="501"/>
      <c r="ADE557" s="501"/>
      <c r="ADF557" s="501"/>
      <c r="ADG557" s="501"/>
      <c r="ADH557" s="501"/>
      <c r="ADI557" s="501"/>
      <c r="ADJ557" s="501"/>
      <c r="ADK557" s="501"/>
      <c r="ADL557" s="501"/>
      <c r="ADM557" s="501"/>
      <c r="ADN557" s="501"/>
      <c r="ADO557" s="501"/>
      <c r="ADP557" s="501"/>
      <c r="ADQ557" s="501"/>
      <c r="ADR557" s="501"/>
      <c r="ADS557" s="501"/>
      <c r="ADT557" s="501"/>
      <c r="ADU557" s="501"/>
      <c r="ADV557" s="501"/>
      <c r="ADW557" s="501"/>
      <c r="ADX557" s="501"/>
      <c r="ADY557" s="501"/>
      <c r="ADZ557" s="501"/>
      <c r="AEA557" s="501"/>
      <c r="AEB557" s="501"/>
      <c r="AEC557" s="501"/>
      <c r="AED557" s="501"/>
      <c r="AEE557" s="501"/>
      <c r="AEF557" s="501"/>
      <c r="AEG557" s="501"/>
      <c r="AEH557" s="501"/>
      <c r="AEI557" s="501"/>
      <c r="AEJ557" s="501"/>
      <c r="AEK557" s="501"/>
      <c r="AEL557" s="501"/>
      <c r="AEM557" s="501"/>
      <c r="AEN557" s="501"/>
      <c r="AEO557" s="501"/>
      <c r="AEP557" s="501"/>
      <c r="AEQ557" s="501"/>
      <c r="AER557" s="501"/>
      <c r="AES557" s="501"/>
      <c r="AET557" s="501"/>
      <c r="AEU557" s="501"/>
      <c r="AEV557" s="501"/>
      <c r="AEW557" s="501"/>
      <c r="AEX557" s="501"/>
      <c r="AEY557" s="501"/>
      <c r="AEZ557" s="501"/>
      <c r="AFA557" s="501"/>
      <c r="AFB557" s="501"/>
      <c r="AFC557" s="501"/>
      <c r="AFD557" s="501"/>
      <c r="AFE557" s="501"/>
      <c r="AFF557" s="501"/>
      <c r="AFG557" s="501"/>
      <c r="AFH557" s="501"/>
      <c r="AFI557" s="501"/>
      <c r="AFJ557" s="501"/>
      <c r="AFK557" s="501"/>
      <c r="AFL557" s="501"/>
      <c r="AFM557" s="501"/>
      <c r="AFN557" s="501"/>
      <c r="AFO557" s="501"/>
      <c r="AFP557" s="501"/>
      <c r="AFQ557" s="501"/>
      <c r="AFR557" s="501"/>
      <c r="AFS557" s="501"/>
      <c r="AFT557" s="501"/>
      <c r="AFU557" s="501"/>
      <c r="AFV557" s="501"/>
      <c r="AFW557" s="501"/>
      <c r="AFX557" s="501"/>
      <c r="AFY557" s="501"/>
      <c r="AFZ557" s="501"/>
      <c r="AGA557" s="501"/>
      <c r="AGB557" s="501"/>
      <c r="AGC557" s="501"/>
      <c r="AGD557" s="501"/>
      <c r="AGE557" s="501"/>
      <c r="AGF557" s="501"/>
      <c r="AGG557" s="501"/>
      <c r="AGH557" s="501"/>
      <c r="AGI557" s="501"/>
      <c r="AGJ557" s="501"/>
      <c r="AGK557" s="501"/>
      <c r="AGL557" s="501"/>
      <c r="AGM557" s="501"/>
      <c r="AGN557" s="501"/>
      <c r="AGO557" s="501"/>
      <c r="AGP557" s="501"/>
      <c r="AGQ557" s="501"/>
      <c r="AGR557" s="501"/>
      <c r="AGS557" s="501"/>
      <c r="AGT557" s="501"/>
      <c r="AGU557" s="501"/>
      <c r="AGV557" s="501"/>
      <c r="AGW557" s="501"/>
      <c r="AGX557" s="501"/>
      <c r="AGY557" s="501"/>
      <c r="AGZ557" s="501"/>
      <c r="AHA557" s="501"/>
      <c r="AHB557" s="501"/>
      <c r="AHC557" s="501"/>
      <c r="AHD557" s="501"/>
      <c r="AHE557" s="501"/>
      <c r="AHF557" s="501"/>
      <c r="AHG557" s="501"/>
      <c r="AHH557" s="501"/>
      <c r="AHI557" s="501"/>
      <c r="AHJ557" s="501"/>
      <c r="AHK557" s="501"/>
      <c r="AHL557" s="501"/>
      <c r="AHM557" s="501"/>
      <c r="AHN557" s="501"/>
      <c r="AHO557" s="501"/>
      <c r="AHP557" s="501"/>
      <c r="AHQ557" s="501"/>
      <c r="AHR557" s="501"/>
      <c r="AHS557" s="501"/>
      <c r="AHT557" s="501"/>
      <c r="AHU557" s="501"/>
      <c r="AHV557" s="501"/>
      <c r="AHW557" s="501"/>
      <c r="AHX557" s="501"/>
      <c r="AHY557" s="501"/>
      <c r="AHZ557" s="501"/>
      <c r="AIA557" s="501"/>
      <c r="AIB557" s="501"/>
      <c r="AIC557" s="501"/>
      <c r="AID557" s="501"/>
      <c r="AIE557" s="501"/>
      <c r="AIF557" s="501"/>
      <c r="AIG557" s="501"/>
      <c r="AIH557" s="501"/>
      <c r="AII557" s="501"/>
      <c r="AIJ557" s="501"/>
      <c r="AIK557" s="501"/>
      <c r="AIL557" s="501"/>
      <c r="AIM557" s="501"/>
      <c r="AIN557" s="501"/>
      <c r="AIO557" s="501"/>
      <c r="AIP557" s="501"/>
      <c r="AIQ557" s="501"/>
      <c r="AIR557" s="501"/>
      <c r="AIS557" s="501"/>
      <c r="AIT557" s="501"/>
      <c r="AIU557" s="501"/>
      <c r="AIV557" s="501"/>
      <c r="AIW557" s="501"/>
      <c r="AIX557" s="501"/>
      <c r="AIY557" s="501"/>
      <c r="AIZ557" s="501"/>
      <c r="AJA557" s="501"/>
      <c r="AJB557" s="501"/>
      <c r="AJC557" s="501"/>
      <c r="AJD557" s="501"/>
      <c r="AJE557" s="501"/>
      <c r="AJF557" s="501"/>
      <c r="AJG557" s="501"/>
      <c r="AJH557" s="501"/>
      <c r="AJI557" s="501"/>
      <c r="AJJ557" s="501"/>
      <c r="AJK557" s="501"/>
      <c r="AJL557" s="501"/>
      <c r="AJM557" s="501"/>
      <c r="AJN557" s="501"/>
      <c r="AJO557" s="501"/>
      <c r="AJP557" s="501"/>
      <c r="AJQ557" s="501"/>
      <c r="AJR557" s="501"/>
      <c r="AJS557" s="501"/>
      <c r="AJT557" s="501"/>
      <c r="AJU557" s="501"/>
      <c r="AJV557" s="501"/>
      <c r="AJW557" s="501"/>
      <c r="AJX557" s="501"/>
      <c r="AJY557" s="501"/>
      <c r="AJZ557" s="501"/>
      <c r="AKA557" s="501"/>
      <c r="AKB557" s="501"/>
      <c r="AKC557" s="501"/>
      <c r="AKD557" s="501"/>
      <c r="AKE557" s="501"/>
      <c r="AKF557" s="501"/>
      <c r="AKG557" s="501"/>
      <c r="AKH557" s="501"/>
      <c r="AKI557" s="501"/>
      <c r="AKJ557" s="501"/>
      <c r="AKK557" s="501"/>
      <c r="AKL557" s="501"/>
      <c r="AKM557" s="501"/>
      <c r="AKN557" s="501"/>
      <c r="AKO557" s="501"/>
      <c r="AKP557" s="501"/>
      <c r="AKQ557" s="501"/>
      <c r="AKR557" s="501"/>
      <c r="AKS557" s="501"/>
      <c r="AKT557" s="501"/>
      <c r="AKU557" s="501"/>
      <c r="AKV557" s="501"/>
      <c r="AKW557" s="501"/>
      <c r="AKX557" s="501"/>
      <c r="AKY557" s="501"/>
      <c r="AKZ557" s="501"/>
      <c r="ALA557" s="501"/>
      <c r="ALB557" s="501"/>
      <c r="ALC557" s="501"/>
      <c r="ALD557" s="501"/>
      <c r="ALE557" s="501"/>
      <c r="ALF557" s="501"/>
      <c r="ALG557" s="501"/>
      <c r="ALH557" s="501"/>
      <c r="ALI557" s="501"/>
      <c r="ALJ557" s="501"/>
      <c r="ALK557" s="501"/>
      <c r="ALL557" s="501"/>
      <c r="ALM557" s="501"/>
      <c r="ALN557" s="501"/>
      <c r="ALO557" s="501"/>
      <c r="ALP557" s="501"/>
      <c r="ALQ557" s="501"/>
      <c r="ALR557" s="501"/>
      <c r="ALS557" s="501"/>
      <c r="ALT557" s="501"/>
      <c r="ALU557" s="501"/>
      <c r="ALV557" s="501"/>
      <c r="ALW557" s="501"/>
      <c r="ALX557" s="501"/>
      <c r="ALY557" s="501"/>
      <c r="ALZ557" s="501"/>
      <c r="AMA557" s="501"/>
      <c r="AMB557" s="501"/>
      <c r="AMC557" s="501"/>
      <c r="AMD557" s="501"/>
      <c r="AME557" s="501"/>
      <c r="AMF557" s="501"/>
      <c r="AMG557" s="501"/>
      <c r="AMH557" s="501"/>
      <c r="AMI557" s="501"/>
      <c r="AMJ557" s="501"/>
      <c r="AMK557" s="501"/>
      <c r="AML557" s="501"/>
      <c r="AMM557" s="501"/>
      <c r="AMN557" s="501"/>
      <c r="AMO557" s="501"/>
      <c r="AMP557" s="501"/>
      <c r="AMQ557" s="501"/>
      <c r="AMR557" s="501"/>
      <c r="AMS557" s="501"/>
      <c r="AMT557" s="501"/>
      <c r="AMU557" s="501"/>
      <c r="AMV557" s="501"/>
      <c r="AMW557" s="501"/>
      <c r="AMX557" s="501"/>
      <c r="AMY557" s="501"/>
      <c r="AMZ557" s="501"/>
      <c r="ANA557" s="501"/>
      <c r="ANB557" s="501"/>
      <c r="ANC557" s="501"/>
      <c r="AND557" s="501"/>
      <c r="ANE557" s="501"/>
      <c r="ANF557" s="501"/>
      <c r="ANG557" s="501"/>
      <c r="ANH557" s="501"/>
      <c r="ANI557" s="501"/>
      <c r="ANJ557" s="501"/>
      <c r="ANK557" s="501"/>
      <c r="ANL557" s="501"/>
      <c r="ANM557" s="501"/>
      <c r="ANN557" s="501"/>
      <c r="ANO557" s="501"/>
      <c r="ANP557" s="501"/>
      <c r="ANQ557" s="501"/>
      <c r="ANR557" s="501"/>
      <c r="ANS557" s="501"/>
      <c r="ANT557" s="501"/>
      <c r="ANU557" s="501"/>
      <c r="ANV557" s="501"/>
      <c r="ANW557" s="501"/>
      <c r="ANX557" s="501"/>
      <c r="ANY557" s="501"/>
      <c r="ANZ557" s="501"/>
      <c r="AOA557" s="501"/>
      <c r="AOB557" s="501"/>
      <c r="AOC557" s="501"/>
      <c r="AOD557" s="501"/>
      <c r="AOE557" s="501"/>
      <c r="AOF557" s="501"/>
      <c r="AOG557" s="501"/>
      <c r="AOH557" s="501"/>
      <c r="AOI557" s="501"/>
      <c r="AOJ557" s="501"/>
      <c r="AOK557" s="501"/>
      <c r="AOL557" s="501"/>
      <c r="AOM557" s="501"/>
      <c r="AON557" s="501"/>
      <c r="AOO557" s="501"/>
      <c r="AOP557" s="501"/>
      <c r="AOQ557" s="501"/>
      <c r="AOR557" s="501"/>
      <c r="AOS557" s="501"/>
      <c r="AOT557" s="501"/>
      <c r="AOU557" s="501"/>
      <c r="AOV557" s="501"/>
      <c r="AOW557" s="501"/>
      <c r="AOX557" s="501"/>
      <c r="AOY557" s="501"/>
      <c r="AOZ557" s="501"/>
      <c r="APA557" s="501"/>
      <c r="APB557" s="501"/>
      <c r="APC557" s="501"/>
      <c r="APD557" s="501"/>
      <c r="APE557" s="501"/>
      <c r="APF557" s="501"/>
      <c r="APG557" s="501"/>
      <c r="APH557" s="501"/>
      <c r="API557" s="501"/>
      <c r="APJ557" s="501"/>
      <c r="APK557" s="501"/>
      <c r="APL557" s="501"/>
      <c r="APM557" s="501"/>
      <c r="APN557" s="501"/>
      <c r="APO557" s="501"/>
      <c r="APP557" s="501"/>
      <c r="APQ557" s="501"/>
      <c r="APR557" s="501"/>
      <c r="APS557" s="501"/>
      <c r="APT557" s="501"/>
      <c r="APU557" s="501"/>
      <c r="APV557" s="501"/>
      <c r="APW557" s="501"/>
      <c r="APX557" s="501"/>
      <c r="APY557" s="501"/>
      <c r="APZ557" s="501"/>
      <c r="AQA557" s="501"/>
      <c r="AQB557" s="501"/>
      <c r="AQC557" s="501"/>
      <c r="AQD557" s="501"/>
      <c r="AQE557" s="501"/>
      <c r="AQF557" s="501"/>
      <c r="AQG557" s="501"/>
      <c r="AQH557" s="501"/>
      <c r="AQI557" s="501"/>
      <c r="AQJ557" s="501"/>
      <c r="AQK557" s="501"/>
      <c r="AQL557" s="501"/>
      <c r="AQM557" s="501"/>
      <c r="AQN557" s="501"/>
      <c r="AQO557" s="501"/>
      <c r="AQP557" s="501"/>
      <c r="AQQ557" s="501"/>
      <c r="AQR557" s="501"/>
      <c r="AQS557" s="501"/>
      <c r="AQT557" s="501"/>
      <c r="AQU557" s="501"/>
      <c r="AQV557" s="501"/>
      <c r="AQW557" s="501"/>
      <c r="AQX557" s="501"/>
      <c r="AQY557" s="501"/>
      <c r="AQZ557" s="501"/>
      <c r="ARA557" s="501"/>
      <c r="ARB557" s="501"/>
      <c r="ARC557" s="501"/>
      <c r="ARD557" s="501"/>
      <c r="ARE557" s="501"/>
      <c r="ARF557" s="501"/>
      <c r="ARG557" s="501"/>
      <c r="ARH557" s="501"/>
      <c r="ARI557" s="501"/>
      <c r="ARJ557" s="501"/>
      <c r="ARK557" s="501"/>
      <c r="ARL557" s="501"/>
      <c r="ARM557" s="501"/>
      <c r="ARN557" s="501"/>
      <c r="ARO557" s="501"/>
      <c r="ARP557" s="501"/>
      <c r="ARQ557" s="501"/>
      <c r="ARR557" s="501"/>
      <c r="ARS557" s="501"/>
      <c r="ART557" s="501"/>
      <c r="ARU557" s="501"/>
      <c r="ARV557" s="501"/>
      <c r="ARW557" s="501"/>
      <c r="ARX557" s="501"/>
      <c r="ARY557" s="501"/>
      <c r="ARZ557" s="501"/>
      <c r="ASA557" s="501"/>
      <c r="ASB557" s="501"/>
      <c r="ASC557" s="501"/>
      <c r="ASD557" s="501"/>
      <c r="ASE557" s="501"/>
      <c r="ASF557" s="501"/>
      <c r="ASG557" s="501"/>
      <c r="ASH557" s="501"/>
      <c r="ASI557" s="501"/>
      <c r="ASJ557" s="501"/>
      <c r="ASK557" s="501"/>
      <c r="ASL557" s="501"/>
      <c r="ASM557" s="501"/>
      <c r="ASN557" s="501"/>
      <c r="ASO557" s="501"/>
      <c r="ASP557" s="501"/>
      <c r="ASQ557" s="501"/>
      <c r="ASR557" s="501"/>
      <c r="ASS557" s="501"/>
      <c r="AST557" s="501"/>
      <c r="ASU557" s="501"/>
      <c r="ASV557" s="501"/>
      <c r="ASW557" s="501"/>
      <c r="ASX557" s="501"/>
      <c r="ASY557" s="501"/>
      <c r="ASZ557" s="501"/>
      <c r="ATA557" s="501"/>
      <c r="ATB557" s="501"/>
      <c r="ATC557" s="501"/>
      <c r="ATD557" s="501"/>
      <c r="ATE557" s="501"/>
      <c r="ATF557" s="501"/>
      <c r="ATG557" s="501"/>
      <c r="ATH557" s="501"/>
      <c r="ATI557" s="501"/>
      <c r="ATJ557" s="501"/>
      <c r="ATK557" s="501"/>
      <c r="ATL557" s="501"/>
      <c r="ATM557" s="501"/>
      <c r="ATN557" s="501"/>
      <c r="ATO557" s="501"/>
      <c r="ATP557" s="501"/>
      <c r="ATQ557" s="501"/>
      <c r="ATR557" s="501"/>
      <c r="ATS557" s="501"/>
      <c r="ATT557" s="501"/>
      <c r="ATU557" s="501"/>
      <c r="ATV557" s="501"/>
      <c r="ATW557" s="501"/>
      <c r="ATX557" s="501"/>
      <c r="ATY557" s="501"/>
      <c r="ATZ557" s="501"/>
      <c r="AUA557" s="501"/>
      <c r="AUB557" s="501"/>
      <c r="AUC557" s="501"/>
      <c r="AUD557" s="501"/>
      <c r="AUE557" s="501"/>
      <c r="AUF557" s="501"/>
      <c r="AUG557" s="501"/>
      <c r="AUH557" s="501"/>
      <c r="AUI557" s="501"/>
      <c r="AUJ557" s="501"/>
      <c r="AUK557" s="501"/>
      <c r="AUL557" s="501"/>
      <c r="AUM557" s="501"/>
      <c r="AUN557" s="501"/>
      <c r="AUO557" s="501"/>
      <c r="AUP557" s="501"/>
      <c r="AUQ557" s="501"/>
      <c r="AUR557" s="501"/>
      <c r="AUS557" s="501"/>
      <c r="AUT557" s="501"/>
      <c r="AUU557" s="501"/>
      <c r="AUV557" s="501"/>
      <c r="AUW557" s="501"/>
      <c r="AUX557" s="501"/>
      <c r="AUY557" s="501"/>
      <c r="AUZ557" s="501"/>
      <c r="AVA557" s="501"/>
      <c r="AVB557" s="501"/>
      <c r="AVC557" s="501"/>
      <c r="AVD557" s="501"/>
      <c r="AVE557" s="501"/>
      <c r="AVF557" s="501"/>
      <c r="AVG557" s="501"/>
      <c r="AVH557" s="501"/>
      <c r="AVI557" s="501"/>
      <c r="AVJ557" s="501"/>
      <c r="AVK557" s="501"/>
      <c r="AVL557" s="501"/>
      <c r="AVM557" s="501"/>
      <c r="AVN557" s="501"/>
      <c r="AVO557" s="501"/>
      <c r="AVP557" s="501"/>
      <c r="AVQ557" s="501"/>
      <c r="AVR557" s="501"/>
      <c r="AVS557" s="501"/>
      <c r="AVT557" s="501"/>
      <c r="AVU557" s="501"/>
      <c r="AVV557" s="501"/>
      <c r="AVW557" s="501"/>
      <c r="AVX557" s="501"/>
      <c r="AVY557" s="501"/>
      <c r="AVZ557" s="501"/>
      <c r="AWA557" s="501"/>
      <c r="AWB557" s="501"/>
      <c r="AWC557" s="501"/>
      <c r="AWD557" s="501"/>
      <c r="AWE557" s="501"/>
      <c r="AWF557" s="501"/>
      <c r="AWG557" s="501"/>
      <c r="AWH557" s="501"/>
      <c r="AWI557" s="501"/>
      <c r="AWJ557" s="501"/>
      <c r="AWK557" s="501"/>
      <c r="AWL557" s="501"/>
      <c r="AWM557" s="501"/>
      <c r="AWN557" s="501"/>
      <c r="AWO557" s="501"/>
      <c r="AWP557" s="501"/>
      <c r="AWQ557" s="501"/>
      <c r="AWR557" s="501"/>
      <c r="AWS557" s="501"/>
      <c r="AWT557" s="501"/>
      <c r="AWU557" s="501"/>
      <c r="AWV557" s="501"/>
      <c r="AWW557" s="501"/>
      <c r="AWX557" s="501"/>
      <c r="AWY557" s="501"/>
      <c r="AWZ557" s="501"/>
      <c r="AXA557" s="501"/>
      <c r="AXB557" s="501"/>
      <c r="AXC557" s="501"/>
      <c r="AXD557" s="501"/>
      <c r="AXE557" s="501"/>
      <c r="AXF557" s="501"/>
      <c r="AXG557" s="501"/>
      <c r="AXH557" s="501"/>
      <c r="AXI557" s="501"/>
      <c r="AXJ557" s="501"/>
      <c r="AXK557" s="501"/>
      <c r="AXL557" s="501"/>
      <c r="AXM557" s="501"/>
      <c r="AXN557" s="501"/>
      <c r="AXO557" s="501"/>
      <c r="AXP557" s="501"/>
      <c r="AXQ557" s="501"/>
      <c r="AXR557" s="501"/>
      <c r="AXS557" s="501"/>
      <c r="AXT557" s="501"/>
      <c r="AXU557" s="501"/>
      <c r="AXV557" s="501"/>
      <c r="AXW557" s="501"/>
      <c r="AXX557" s="501"/>
      <c r="AXY557" s="501"/>
      <c r="AXZ557" s="501"/>
      <c r="AYA557" s="501"/>
      <c r="AYB557" s="501"/>
      <c r="AYC557" s="501"/>
      <c r="AYD557" s="501"/>
      <c r="AYE557" s="501"/>
      <c r="AYF557" s="501"/>
      <c r="AYG557" s="501"/>
      <c r="AYH557" s="501"/>
      <c r="AYI557" s="501"/>
      <c r="AYJ557" s="501"/>
      <c r="AYK557" s="501"/>
      <c r="AYL557" s="501"/>
      <c r="AYM557" s="501"/>
      <c r="AYN557" s="501"/>
      <c r="AYO557" s="501"/>
      <c r="AYP557" s="501"/>
      <c r="AYQ557" s="501"/>
      <c r="AYR557" s="501"/>
      <c r="AYS557" s="501"/>
      <c r="AYT557" s="501"/>
      <c r="AYU557" s="501"/>
      <c r="AYV557" s="501"/>
      <c r="AYW557" s="501"/>
      <c r="AYX557" s="501"/>
      <c r="AYY557" s="501"/>
      <c r="AYZ557" s="501"/>
      <c r="AZA557" s="501"/>
      <c r="AZB557" s="501"/>
      <c r="AZC557" s="501"/>
      <c r="AZD557" s="501"/>
      <c r="AZE557" s="501"/>
      <c r="AZF557" s="501"/>
      <c r="AZG557" s="501"/>
      <c r="AZH557" s="501"/>
      <c r="AZI557" s="501"/>
      <c r="AZJ557" s="501"/>
      <c r="AZK557" s="501"/>
      <c r="AZL557" s="501"/>
      <c r="AZM557" s="501"/>
      <c r="AZN557" s="501"/>
      <c r="AZO557" s="501"/>
      <c r="AZP557" s="501"/>
      <c r="AZQ557" s="501"/>
      <c r="AZR557" s="501"/>
      <c r="AZS557" s="501"/>
      <c r="AZT557" s="501"/>
      <c r="AZU557" s="501"/>
      <c r="AZV557" s="501"/>
      <c r="AZW557" s="501"/>
      <c r="AZX557" s="501"/>
      <c r="AZY557" s="501"/>
      <c r="AZZ557" s="501"/>
      <c r="BAA557" s="501"/>
      <c r="BAB557" s="501"/>
      <c r="BAC557" s="501"/>
      <c r="BAD557" s="501"/>
      <c r="BAE557" s="501"/>
      <c r="BAF557" s="501"/>
      <c r="BAG557" s="501"/>
      <c r="BAH557" s="501"/>
      <c r="BAI557" s="501"/>
      <c r="BAJ557" s="501"/>
      <c r="BAK557" s="501"/>
      <c r="BAL557" s="501"/>
      <c r="BAM557" s="501"/>
      <c r="BAN557" s="501"/>
      <c r="BAO557" s="501"/>
      <c r="BAP557" s="501"/>
      <c r="BAQ557" s="501"/>
      <c r="BAR557" s="501"/>
      <c r="BAS557" s="501"/>
      <c r="BAT557" s="501"/>
      <c r="BAU557" s="501"/>
      <c r="BAV557" s="501"/>
      <c r="BAW557" s="501"/>
      <c r="BAX557" s="501"/>
      <c r="BAY557" s="501"/>
      <c r="BAZ557" s="501"/>
      <c r="BBA557" s="501"/>
      <c r="BBB557" s="501"/>
      <c r="BBC557" s="501"/>
      <c r="BBD557" s="501"/>
      <c r="BBE557" s="501"/>
      <c r="BBF557" s="501"/>
      <c r="BBG557" s="501"/>
      <c r="BBH557" s="501"/>
      <c r="BBI557" s="501"/>
      <c r="BBJ557" s="501"/>
      <c r="BBK557" s="501"/>
      <c r="BBL557" s="501"/>
      <c r="BBM557" s="501"/>
      <c r="BBN557" s="501"/>
      <c r="BBO557" s="501"/>
      <c r="BBP557" s="501"/>
      <c r="BBQ557" s="501"/>
      <c r="BBR557" s="501"/>
      <c r="BBS557" s="501"/>
      <c r="BBT557" s="501"/>
      <c r="BBU557" s="501"/>
      <c r="BBV557" s="501"/>
      <c r="BBW557" s="501"/>
      <c r="BBX557" s="501"/>
      <c r="BBY557" s="501"/>
      <c r="BBZ557" s="501"/>
      <c r="BCA557" s="501"/>
      <c r="BCB557" s="501"/>
      <c r="BCC557" s="501"/>
      <c r="BCD557" s="501"/>
      <c r="BCE557" s="501"/>
      <c r="BCF557" s="501"/>
      <c r="BCG557" s="501"/>
      <c r="BCH557" s="501"/>
      <c r="BCI557" s="501"/>
      <c r="BCJ557" s="501"/>
      <c r="BCK557" s="501"/>
      <c r="BCL557" s="501"/>
      <c r="BCM557" s="501"/>
      <c r="BCN557" s="501"/>
      <c r="BCO557" s="501"/>
      <c r="BCP557" s="501"/>
      <c r="BCQ557" s="501"/>
      <c r="BCR557" s="501"/>
      <c r="BCS557" s="501"/>
      <c r="BCT557" s="501"/>
      <c r="BCU557" s="501"/>
      <c r="BCV557" s="501"/>
      <c r="BCW557" s="501"/>
      <c r="BCX557" s="501"/>
      <c r="BCY557" s="501"/>
      <c r="BCZ557" s="501"/>
      <c r="BDA557" s="501"/>
      <c r="BDB557" s="501"/>
      <c r="BDC557" s="501"/>
      <c r="BDD557" s="501"/>
      <c r="BDE557" s="501"/>
      <c r="BDF557" s="501"/>
      <c r="BDG557" s="501"/>
      <c r="BDH557" s="501"/>
      <c r="BDI557" s="501"/>
      <c r="BDJ557" s="501"/>
      <c r="BDK557" s="501"/>
      <c r="BDL557" s="501"/>
      <c r="BDM557" s="501"/>
      <c r="BDN557" s="501"/>
      <c r="BDO557" s="501"/>
      <c r="BDP557" s="501"/>
      <c r="BDQ557" s="501"/>
      <c r="BDR557" s="501"/>
      <c r="BDS557" s="501"/>
      <c r="BDT557" s="501"/>
      <c r="BDU557" s="501"/>
      <c r="BDV557" s="501"/>
      <c r="BDW557" s="501"/>
      <c r="BDX557" s="501"/>
      <c r="BDY557" s="501"/>
      <c r="BDZ557" s="501"/>
      <c r="BEA557" s="501"/>
      <c r="BEB557" s="501"/>
      <c r="BEC557" s="501"/>
      <c r="BED557" s="501"/>
      <c r="BEE557" s="501"/>
      <c r="BEF557" s="501"/>
      <c r="BEG557" s="501"/>
      <c r="BEH557" s="501"/>
      <c r="BEI557" s="501"/>
      <c r="BEJ557" s="501"/>
      <c r="BEK557" s="501"/>
      <c r="BEL557" s="501"/>
      <c r="BEM557" s="501"/>
      <c r="BEN557" s="501"/>
      <c r="BEO557" s="501"/>
      <c r="BEP557" s="501"/>
      <c r="BEQ557" s="501"/>
      <c r="BER557" s="501"/>
      <c r="BES557" s="501"/>
      <c r="BET557" s="501"/>
      <c r="BEU557" s="501"/>
      <c r="BEV557" s="501"/>
      <c r="BEW557" s="501"/>
      <c r="BEX557" s="501"/>
      <c r="BEY557" s="501"/>
      <c r="BEZ557" s="501"/>
      <c r="BFA557" s="501"/>
      <c r="BFB557" s="501"/>
      <c r="BFC557" s="501"/>
      <c r="BFD557" s="501"/>
      <c r="BFE557" s="501"/>
      <c r="BFF557" s="501"/>
      <c r="BFG557" s="501"/>
      <c r="BFH557" s="501"/>
      <c r="BFI557" s="501"/>
      <c r="BFJ557" s="501"/>
      <c r="BFK557" s="501"/>
      <c r="BFL557" s="501"/>
      <c r="BFM557" s="501"/>
      <c r="BFN557" s="501"/>
      <c r="BFO557" s="501"/>
      <c r="BFP557" s="501"/>
      <c r="BFQ557" s="501"/>
      <c r="BFR557" s="501"/>
      <c r="BFS557" s="501"/>
      <c r="BFT557" s="501"/>
      <c r="BFU557" s="501"/>
      <c r="BFV557" s="501"/>
      <c r="BFW557" s="501"/>
      <c r="BFX557" s="501"/>
      <c r="BFY557" s="501"/>
      <c r="BFZ557" s="501"/>
      <c r="BGA557" s="501"/>
      <c r="BGB557" s="501"/>
      <c r="BGC557" s="501"/>
      <c r="BGD557" s="501"/>
      <c r="BGE557" s="501"/>
      <c r="BGF557" s="501"/>
      <c r="BGG557" s="501"/>
      <c r="BGH557" s="501"/>
      <c r="BGI557" s="501"/>
      <c r="BGJ557" s="501"/>
      <c r="BGK557" s="501"/>
      <c r="BGL557" s="501"/>
      <c r="BGM557" s="501"/>
      <c r="BGN557" s="501"/>
      <c r="BGO557" s="501"/>
      <c r="BGP557" s="501"/>
      <c r="BGQ557" s="501"/>
      <c r="BGR557" s="501"/>
      <c r="BGS557" s="501"/>
      <c r="BGT557" s="501"/>
      <c r="BGU557" s="501"/>
      <c r="BGV557" s="501"/>
      <c r="BGW557" s="501"/>
      <c r="BGX557" s="501"/>
      <c r="BGY557" s="501"/>
      <c r="BGZ557" s="501"/>
      <c r="BHA557" s="501"/>
      <c r="BHB557" s="501"/>
      <c r="BHC557" s="501"/>
      <c r="BHD557" s="501"/>
      <c r="BHE557" s="501"/>
      <c r="BHF557" s="501"/>
      <c r="BHG557" s="501"/>
      <c r="BHH557" s="501"/>
      <c r="BHI557" s="501"/>
      <c r="BHJ557" s="501"/>
      <c r="BHK557" s="501"/>
      <c r="BHL557" s="501"/>
      <c r="BHM557" s="501"/>
      <c r="BHN557" s="501"/>
      <c r="BHO557" s="501"/>
      <c r="BHP557" s="501"/>
      <c r="BHQ557" s="501"/>
      <c r="BHR557" s="501"/>
      <c r="BHS557" s="501"/>
      <c r="BHT557" s="501"/>
      <c r="BHU557" s="501"/>
      <c r="BHV557" s="501"/>
      <c r="BHW557" s="501"/>
      <c r="BHX557" s="501"/>
      <c r="BHY557" s="501"/>
      <c r="BHZ557" s="501"/>
      <c r="BIA557" s="501"/>
      <c r="BIB557" s="501"/>
      <c r="BIC557" s="501"/>
      <c r="BID557" s="501"/>
      <c r="BIE557" s="501"/>
      <c r="BIF557" s="501"/>
      <c r="BIG557" s="501"/>
      <c r="BIH557" s="501"/>
      <c r="BII557" s="501"/>
      <c r="BIJ557" s="501"/>
      <c r="BIK557" s="501"/>
      <c r="BIL557" s="501"/>
      <c r="BIM557" s="501"/>
      <c r="BIN557" s="501"/>
      <c r="BIO557" s="501"/>
      <c r="BIP557" s="501"/>
      <c r="BIQ557" s="501"/>
      <c r="BIR557" s="501"/>
      <c r="BIS557" s="501"/>
      <c r="BIT557" s="501"/>
      <c r="BIU557" s="501"/>
      <c r="BIV557" s="501"/>
      <c r="BIW557" s="501"/>
      <c r="BIX557" s="501"/>
      <c r="BIY557" s="501"/>
      <c r="BIZ557" s="501"/>
      <c r="BJA557" s="501"/>
      <c r="BJB557" s="501"/>
      <c r="BJC557" s="501"/>
      <c r="BJD557" s="501"/>
      <c r="BJE557" s="501"/>
      <c r="BJF557" s="501"/>
      <c r="BJG557" s="501"/>
      <c r="BJH557" s="501"/>
      <c r="BJI557" s="501"/>
      <c r="BJJ557" s="501"/>
      <c r="BJK557" s="501"/>
      <c r="BJL557" s="501"/>
      <c r="BJM557" s="501"/>
      <c r="BJN557" s="501"/>
      <c r="BJO557" s="501"/>
      <c r="BJP557" s="501"/>
      <c r="BJQ557" s="501"/>
      <c r="BJR557" s="501"/>
      <c r="BJS557" s="501"/>
      <c r="BJT557" s="501"/>
      <c r="BJU557" s="501"/>
      <c r="BJV557" s="501"/>
      <c r="BJW557" s="501"/>
      <c r="BJX557" s="501"/>
      <c r="BJY557" s="501"/>
      <c r="BJZ557" s="501"/>
      <c r="BKA557" s="501"/>
      <c r="BKB557" s="501"/>
      <c r="BKC557" s="501"/>
      <c r="BKD557" s="501"/>
      <c r="BKE557" s="501"/>
      <c r="BKF557" s="501"/>
      <c r="BKG557" s="501"/>
      <c r="BKH557" s="501"/>
      <c r="BKI557" s="501"/>
      <c r="BKJ557" s="501"/>
      <c r="BKK557" s="501"/>
      <c r="BKL557" s="501"/>
      <c r="BKM557" s="501"/>
      <c r="BKN557" s="501"/>
      <c r="BKO557" s="501"/>
      <c r="BKP557" s="501"/>
      <c r="BKQ557" s="501"/>
      <c r="BKR557" s="501"/>
      <c r="BKS557" s="501"/>
      <c r="BKT557" s="501"/>
      <c r="BKU557" s="501"/>
      <c r="BKV557" s="501"/>
      <c r="BKW557" s="501"/>
      <c r="BKX557" s="501"/>
      <c r="BKY557" s="501"/>
      <c r="BKZ557" s="501"/>
      <c r="BLA557" s="501"/>
      <c r="BLB557" s="501"/>
      <c r="BLC557" s="501"/>
      <c r="BLD557" s="501"/>
      <c r="BLE557" s="501"/>
      <c r="BLF557" s="501"/>
      <c r="BLG557" s="501"/>
      <c r="BLH557" s="501"/>
      <c r="BLI557" s="501"/>
      <c r="BLJ557" s="501"/>
      <c r="BLK557" s="501"/>
      <c r="BLL557" s="501"/>
      <c r="BLM557" s="501"/>
      <c r="BLN557" s="501"/>
      <c r="BLO557" s="501"/>
      <c r="BLP557" s="501"/>
      <c r="BLQ557" s="501"/>
      <c r="BLR557" s="501"/>
      <c r="BLS557" s="501"/>
      <c r="BLT557" s="501"/>
      <c r="BLU557" s="501"/>
      <c r="BLV557" s="501"/>
      <c r="BLW557" s="501"/>
      <c r="BLX557" s="501"/>
      <c r="BLY557" s="501"/>
      <c r="BLZ557" s="501"/>
      <c r="BMA557" s="501"/>
      <c r="BMB557" s="501"/>
      <c r="BMC557" s="501"/>
      <c r="BMD557" s="501"/>
      <c r="BME557" s="501"/>
      <c r="BMF557" s="501"/>
      <c r="BMG557" s="501"/>
      <c r="BMH557" s="501"/>
      <c r="BMI557" s="501"/>
      <c r="BMJ557" s="501"/>
      <c r="BMK557" s="501"/>
      <c r="BML557" s="501"/>
      <c r="BMM557" s="501"/>
      <c r="BMN557" s="501"/>
      <c r="BMO557" s="501"/>
      <c r="BMP557" s="501"/>
      <c r="BMQ557" s="501"/>
      <c r="BMR557" s="501"/>
      <c r="BMS557" s="501"/>
      <c r="BMT557" s="501"/>
      <c r="BMU557" s="501"/>
      <c r="BMV557" s="501"/>
      <c r="BMW557" s="501"/>
      <c r="BMX557" s="501"/>
      <c r="BMY557" s="501"/>
      <c r="BMZ557" s="501"/>
      <c r="BNA557" s="501"/>
      <c r="BNB557" s="501"/>
      <c r="BNC557" s="501"/>
      <c r="BND557" s="501"/>
      <c r="BNE557" s="501"/>
      <c r="BNF557" s="501"/>
      <c r="BNG557" s="501"/>
      <c r="BNH557" s="501"/>
      <c r="BNI557" s="501"/>
      <c r="BNJ557" s="501"/>
      <c r="BNK557" s="501"/>
      <c r="BNL557" s="501"/>
      <c r="BNM557" s="501"/>
      <c r="BNN557" s="501"/>
      <c r="BNO557" s="501"/>
      <c r="BNP557" s="501"/>
      <c r="BNQ557" s="501"/>
      <c r="BNR557" s="501"/>
      <c r="BNS557" s="501"/>
      <c r="BNT557" s="501"/>
      <c r="BNU557" s="501"/>
      <c r="BNV557" s="501"/>
      <c r="BNW557" s="501"/>
      <c r="BNX557" s="501"/>
      <c r="BNY557" s="501"/>
      <c r="BNZ557" s="501"/>
      <c r="BOA557" s="501"/>
      <c r="BOB557" s="501"/>
      <c r="BOC557" s="501"/>
      <c r="BOD557" s="501"/>
      <c r="BOE557" s="501"/>
      <c r="BOF557" s="501"/>
      <c r="BOG557" s="501"/>
      <c r="BOH557" s="501"/>
      <c r="BOI557" s="501"/>
      <c r="BOJ557" s="501"/>
      <c r="BOK557" s="501"/>
      <c r="BOL557" s="501"/>
      <c r="BOM557" s="501"/>
      <c r="BON557" s="501"/>
      <c r="BOO557" s="501"/>
      <c r="BOP557" s="501"/>
      <c r="BOQ557" s="501"/>
      <c r="BOR557" s="501"/>
      <c r="BOS557" s="501"/>
      <c r="BOT557" s="501"/>
      <c r="BOU557" s="501"/>
      <c r="BOV557" s="501"/>
      <c r="BOW557" s="501"/>
      <c r="BOX557" s="501"/>
      <c r="BOY557" s="501"/>
      <c r="BOZ557" s="501"/>
      <c r="BPA557" s="501"/>
      <c r="BPB557" s="501"/>
      <c r="BPC557" s="501"/>
      <c r="BPD557" s="501"/>
      <c r="BPE557" s="501"/>
      <c r="BPF557" s="501"/>
      <c r="BPG557" s="501"/>
      <c r="BPH557" s="501"/>
      <c r="BPI557" s="501"/>
      <c r="BPJ557" s="501"/>
      <c r="BPK557" s="501"/>
      <c r="BPL557" s="501"/>
      <c r="BPM557" s="501"/>
      <c r="BPN557" s="501"/>
      <c r="BPO557" s="501"/>
      <c r="BPP557" s="501"/>
      <c r="BPQ557" s="501"/>
      <c r="BPR557" s="501"/>
      <c r="BPS557" s="501"/>
      <c r="BPT557" s="501"/>
      <c r="BPU557" s="501"/>
      <c r="BPV557" s="501"/>
      <c r="BPW557" s="501"/>
      <c r="BPX557" s="501"/>
      <c r="BPY557" s="501"/>
      <c r="BPZ557" s="501"/>
      <c r="BQA557" s="501"/>
      <c r="BQB557" s="501"/>
      <c r="BQC557" s="501"/>
      <c r="BQD557" s="501"/>
      <c r="BQE557" s="501"/>
      <c r="BQF557" s="501"/>
      <c r="BQG557" s="501"/>
      <c r="BQH557" s="501"/>
      <c r="BQI557" s="501"/>
      <c r="BQJ557" s="501"/>
      <c r="BQK557" s="501"/>
      <c r="BQL557" s="501"/>
      <c r="BQM557" s="501"/>
      <c r="BQN557" s="501"/>
      <c r="BQO557" s="501"/>
      <c r="BQP557" s="501"/>
      <c r="BQQ557" s="501"/>
      <c r="BQR557" s="501"/>
      <c r="BQS557" s="501"/>
      <c r="BQT557" s="501"/>
      <c r="BQU557" s="501"/>
      <c r="BQV557" s="501"/>
      <c r="BQW557" s="501"/>
      <c r="BQX557" s="501"/>
      <c r="BQY557" s="501"/>
      <c r="BQZ557" s="501"/>
      <c r="BRA557" s="501"/>
      <c r="BRB557" s="501"/>
      <c r="BRC557" s="501"/>
      <c r="BRD557" s="501"/>
      <c r="BRE557" s="501"/>
      <c r="BRF557" s="501"/>
      <c r="BRG557" s="501"/>
      <c r="BRH557" s="501"/>
      <c r="BRI557" s="501"/>
      <c r="BRJ557" s="501"/>
      <c r="BRK557" s="501"/>
      <c r="BRL557" s="501"/>
      <c r="BRM557" s="501"/>
      <c r="BRN557" s="501"/>
      <c r="BRO557" s="501"/>
      <c r="BRP557" s="501"/>
      <c r="BRQ557" s="501"/>
      <c r="BRR557" s="501"/>
      <c r="BRS557" s="501"/>
      <c r="BRT557" s="501"/>
      <c r="BRU557" s="501"/>
      <c r="BRV557" s="501"/>
      <c r="BRW557" s="501"/>
      <c r="BRX557" s="501"/>
      <c r="BRY557" s="501"/>
      <c r="BRZ557" s="501"/>
      <c r="BSA557" s="501"/>
      <c r="BSB557" s="501"/>
      <c r="BSC557" s="501"/>
      <c r="BSD557" s="501"/>
      <c r="BSE557" s="501"/>
      <c r="BSF557" s="501"/>
      <c r="BSG557" s="501"/>
      <c r="BSH557" s="501"/>
      <c r="BSI557" s="501"/>
      <c r="BSJ557" s="501"/>
      <c r="BSK557" s="501"/>
      <c r="BSL557" s="501"/>
      <c r="BSM557" s="501"/>
      <c r="BSN557" s="501"/>
      <c r="BSO557" s="501"/>
      <c r="BSP557" s="501"/>
      <c r="BSQ557" s="501"/>
      <c r="BSR557" s="501"/>
      <c r="BSS557" s="501"/>
      <c r="BST557" s="501"/>
      <c r="BSU557" s="501"/>
      <c r="BSV557" s="501"/>
      <c r="BSW557" s="501"/>
      <c r="BSX557" s="501"/>
      <c r="BSY557" s="501"/>
      <c r="BSZ557" s="501"/>
      <c r="BTA557" s="501"/>
      <c r="BTB557" s="501"/>
      <c r="BTC557" s="501"/>
      <c r="BTD557" s="501"/>
      <c r="BTE557" s="501"/>
      <c r="BTF557" s="501"/>
      <c r="BTG557" s="501"/>
      <c r="BTH557" s="501"/>
      <c r="BTI557" s="501"/>
      <c r="BTJ557" s="501"/>
      <c r="BTK557" s="501"/>
      <c r="BTL557" s="501"/>
      <c r="BTM557" s="501"/>
      <c r="BTN557" s="501"/>
      <c r="BTO557" s="501"/>
      <c r="BTP557" s="501"/>
      <c r="BTQ557" s="501"/>
      <c r="BTR557" s="501"/>
      <c r="BTS557" s="501"/>
      <c r="BTT557" s="501"/>
      <c r="BTU557" s="501"/>
      <c r="BTV557" s="501"/>
      <c r="BTW557" s="501"/>
      <c r="BTX557" s="501"/>
      <c r="BTY557" s="501"/>
      <c r="BTZ557" s="501"/>
      <c r="BUA557" s="501"/>
      <c r="BUB557" s="501"/>
      <c r="BUC557" s="501"/>
      <c r="BUD557" s="501"/>
      <c r="BUE557" s="501"/>
      <c r="BUF557" s="501"/>
      <c r="BUG557" s="501"/>
      <c r="BUH557" s="501"/>
      <c r="BUI557" s="501"/>
      <c r="BUJ557" s="501"/>
      <c r="BUK557" s="501"/>
      <c r="BUL557" s="501"/>
      <c r="BUM557" s="501"/>
      <c r="BUN557" s="501"/>
      <c r="BUO557" s="501"/>
      <c r="BUP557" s="501"/>
      <c r="BUQ557" s="501"/>
      <c r="BUR557" s="501"/>
      <c r="BUS557" s="501"/>
      <c r="BUT557" s="501"/>
      <c r="BUU557" s="501"/>
      <c r="BUV557" s="501"/>
      <c r="BUW557" s="501"/>
      <c r="BUX557" s="501"/>
      <c r="BUY557" s="501"/>
      <c r="BUZ557" s="501"/>
      <c r="BVA557" s="501"/>
      <c r="BVB557" s="501"/>
      <c r="BVC557" s="501"/>
      <c r="BVD557" s="501"/>
      <c r="BVE557" s="501"/>
      <c r="BVF557" s="501"/>
      <c r="BVG557" s="501"/>
      <c r="BVH557" s="501"/>
      <c r="BVI557" s="501"/>
      <c r="BVJ557" s="501"/>
      <c r="BVK557" s="501"/>
      <c r="BVL557" s="501"/>
      <c r="BVM557" s="501"/>
      <c r="BVN557" s="501"/>
      <c r="BVO557" s="501"/>
      <c r="BVP557" s="501"/>
      <c r="BVQ557" s="501"/>
      <c r="BVR557" s="501"/>
      <c r="BVS557" s="501"/>
      <c r="BVT557" s="501"/>
      <c r="BVU557" s="501"/>
      <c r="BVV557" s="501"/>
      <c r="BVW557" s="501"/>
      <c r="BVX557" s="501"/>
      <c r="BVY557" s="501"/>
      <c r="BVZ557" s="501"/>
      <c r="BWA557" s="501"/>
      <c r="BWB557" s="501"/>
      <c r="BWC557" s="501"/>
      <c r="BWD557" s="501"/>
      <c r="BWE557" s="501"/>
      <c r="BWF557" s="501"/>
      <c r="BWG557" s="501"/>
      <c r="BWH557" s="501"/>
      <c r="BWI557" s="501"/>
      <c r="BWJ557" s="501"/>
      <c r="BWK557" s="501"/>
      <c r="BWL557" s="501"/>
      <c r="BWM557" s="501"/>
      <c r="BWN557" s="501"/>
      <c r="BWO557" s="501"/>
      <c r="BWP557" s="501"/>
      <c r="BWQ557" s="501"/>
      <c r="BWR557" s="501"/>
      <c r="BWS557" s="501"/>
      <c r="BWT557" s="501"/>
      <c r="BWU557" s="501"/>
      <c r="BWV557" s="501"/>
      <c r="BWW557" s="501"/>
      <c r="BWX557" s="501"/>
      <c r="BWY557" s="501"/>
      <c r="BWZ557" s="501"/>
      <c r="BXA557" s="501"/>
      <c r="BXB557" s="501"/>
      <c r="BXC557" s="501"/>
      <c r="BXD557" s="501"/>
      <c r="BXE557" s="501"/>
      <c r="BXF557" s="501"/>
      <c r="BXG557" s="501"/>
      <c r="BXH557" s="501"/>
      <c r="BXI557" s="501"/>
      <c r="BXJ557" s="501"/>
      <c r="BXK557" s="501"/>
      <c r="BXL557" s="501"/>
      <c r="BXM557" s="501"/>
      <c r="BXN557" s="501"/>
      <c r="BXO557" s="501"/>
      <c r="BXP557" s="501"/>
      <c r="BXQ557" s="501"/>
      <c r="BXR557" s="501"/>
      <c r="BXS557" s="501"/>
      <c r="BXT557" s="501"/>
      <c r="BXU557" s="501"/>
      <c r="BXV557" s="501"/>
      <c r="BXW557" s="501"/>
      <c r="BXX557" s="501"/>
      <c r="BXY557" s="501"/>
      <c r="BXZ557" s="501"/>
      <c r="BYA557" s="501"/>
      <c r="BYB557" s="501"/>
      <c r="BYC557" s="501"/>
      <c r="BYD557" s="501"/>
      <c r="BYE557" s="501"/>
      <c r="BYF557" s="501"/>
      <c r="BYG557" s="501"/>
      <c r="BYH557" s="501"/>
      <c r="BYI557" s="501"/>
      <c r="BYJ557" s="501"/>
      <c r="BYK557" s="501"/>
      <c r="BYL557" s="501"/>
      <c r="BYM557" s="501"/>
      <c r="BYN557" s="501"/>
      <c r="BYO557" s="501"/>
      <c r="BYP557" s="501"/>
      <c r="BYQ557" s="501"/>
      <c r="BYR557" s="501"/>
      <c r="BYS557" s="501"/>
      <c r="BYT557" s="501"/>
      <c r="BYU557" s="501"/>
      <c r="BYV557" s="501"/>
      <c r="BYW557" s="501"/>
      <c r="BYX557" s="501"/>
      <c r="BYY557" s="501"/>
      <c r="BYZ557" s="501"/>
      <c r="BZA557" s="501"/>
      <c r="BZB557" s="501"/>
      <c r="BZC557" s="501"/>
      <c r="BZD557" s="501"/>
      <c r="BZE557" s="501"/>
      <c r="BZF557" s="501"/>
      <c r="BZG557" s="501"/>
      <c r="BZH557" s="501"/>
      <c r="BZI557" s="501"/>
      <c r="BZJ557" s="501"/>
      <c r="BZK557" s="501"/>
      <c r="BZL557" s="501"/>
      <c r="BZM557" s="501"/>
      <c r="BZN557" s="501"/>
      <c r="BZO557" s="501"/>
      <c r="BZP557" s="501"/>
      <c r="BZQ557" s="501"/>
      <c r="BZR557" s="501"/>
      <c r="BZS557" s="501"/>
      <c r="BZT557" s="501"/>
      <c r="BZU557" s="501"/>
      <c r="BZV557" s="501"/>
      <c r="BZW557" s="501"/>
      <c r="BZX557" s="501"/>
      <c r="BZY557" s="501"/>
      <c r="BZZ557" s="501"/>
      <c r="CAA557" s="501"/>
      <c r="CAB557" s="501"/>
      <c r="CAC557" s="501"/>
      <c r="CAD557" s="501"/>
      <c r="CAE557" s="501"/>
      <c r="CAF557" s="501"/>
      <c r="CAG557" s="501"/>
      <c r="CAH557" s="501"/>
      <c r="CAI557" s="501"/>
      <c r="CAJ557" s="501"/>
      <c r="CAK557" s="501"/>
      <c r="CAL557" s="501"/>
      <c r="CAM557" s="501"/>
      <c r="CAN557" s="501"/>
      <c r="CAO557" s="501"/>
      <c r="CAP557" s="501"/>
      <c r="CAQ557" s="501"/>
      <c r="CAR557" s="501"/>
      <c r="CAS557" s="501"/>
      <c r="CAT557" s="501"/>
      <c r="CAU557" s="501"/>
      <c r="CAV557" s="501"/>
      <c r="CAW557" s="501"/>
      <c r="CAX557" s="501"/>
      <c r="CAY557" s="501"/>
      <c r="CAZ557" s="501"/>
      <c r="CBA557" s="501"/>
      <c r="CBB557" s="501"/>
      <c r="CBC557" s="501"/>
      <c r="CBD557" s="501"/>
      <c r="CBE557" s="501"/>
      <c r="CBF557" s="501"/>
      <c r="CBG557" s="501"/>
      <c r="CBH557" s="501"/>
      <c r="CBI557" s="501"/>
      <c r="CBJ557" s="501"/>
      <c r="CBK557" s="501"/>
      <c r="CBL557" s="501"/>
      <c r="CBM557" s="501"/>
      <c r="CBN557" s="501"/>
      <c r="CBO557" s="501"/>
      <c r="CBP557" s="501"/>
      <c r="CBQ557" s="501"/>
      <c r="CBR557" s="501"/>
      <c r="CBS557" s="501"/>
      <c r="CBT557" s="501"/>
      <c r="CBU557" s="501"/>
      <c r="CBV557" s="501"/>
      <c r="CBW557" s="501"/>
      <c r="CBX557" s="501"/>
      <c r="CBY557" s="501"/>
      <c r="CBZ557" s="501"/>
      <c r="CCA557" s="501"/>
      <c r="CCB557" s="501"/>
      <c r="CCC557" s="501"/>
      <c r="CCD557" s="501"/>
      <c r="CCE557" s="501"/>
      <c r="CCF557" s="501"/>
      <c r="CCG557" s="501"/>
      <c r="CCH557" s="501"/>
      <c r="CCI557" s="501"/>
      <c r="CCJ557" s="501"/>
      <c r="CCK557" s="501"/>
      <c r="CCL557" s="501"/>
      <c r="CCM557" s="501"/>
      <c r="CCN557" s="501"/>
      <c r="CCO557" s="501"/>
      <c r="CCP557" s="501"/>
      <c r="CCQ557" s="501"/>
      <c r="CCR557" s="501"/>
      <c r="CCS557" s="501"/>
      <c r="CCT557" s="501"/>
      <c r="CCU557" s="501"/>
      <c r="CCV557" s="501"/>
      <c r="CCW557" s="501"/>
      <c r="CCX557" s="501"/>
      <c r="CCY557" s="501"/>
      <c r="CCZ557" s="501"/>
      <c r="CDA557" s="501"/>
      <c r="CDB557" s="501"/>
      <c r="CDC557" s="501"/>
      <c r="CDD557" s="501"/>
      <c r="CDE557" s="501"/>
      <c r="CDF557" s="501"/>
      <c r="CDG557" s="501"/>
      <c r="CDH557" s="501"/>
      <c r="CDI557" s="501"/>
      <c r="CDJ557" s="501"/>
      <c r="CDK557" s="501"/>
      <c r="CDL557" s="501"/>
      <c r="CDM557" s="501"/>
      <c r="CDN557" s="501"/>
      <c r="CDO557" s="501"/>
      <c r="CDP557" s="501"/>
      <c r="CDQ557" s="501"/>
      <c r="CDR557" s="501"/>
      <c r="CDS557" s="501"/>
      <c r="CDT557" s="501"/>
      <c r="CDU557" s="501"/>
      <c r="CDV557" s="501"/>
      <c r="CDW557" s="501"/>
      <c r="CDX557" s="501"/>
      <c r="CDY557" s="501"/>
      <c r="CDZ557" s="501"/>
      <c r="CEA557" s="501"/>
      <c r="CEB557" s="501"/>
      <c r="CEC557" s="501"/>
      <c r="CED557" s="501"/>
      <c r="CEE557" s="501"/>
      <c r="CEF557" s="501"/>
      <c r="CEG557" s="501"/>
      <c r="CEH557" s="501"/>
      <c r="CEI557" s="501"/>
      <c r="CEJ557" s="501"/>
      <c r="CEK557" s="501"/>
      <c r="CEL557" s="501"/>
      <c r="CEM557" s="501"/>
      <c r="CEN557" s="501"/>
      <c r="CEO557" s="501"/>
      <c r="CEP557" s="501"/>
      <c r="CEQ557" s="501"/>
      <c r="CER557" s="501"/>
      <c r="CES557" s="501"/>
      <c r="CET557" s="501"/>
      <c r="CEU557" s="501"/>
      <c r="CEV557" s="501"/>
      <c r="CEW557" s="501"/>
      <c r="CEX557" s="501"/>
      <c r="CEY557" s="501"/>
      <c r="CEZ557" s="501"/>
      <c r="CFA557" s="501"/>
      <c r="CFB557" s="501"/>
      <c r="CFC557" s="501"/>
      <c r="CFD557" s="501"/>
      <c r="CFE557" s="501"/>
      <c r="CFF557" s="501"/>
      <c r="CFG557" s="501"/>
      <c r="CFH557" s="501"/>
      <c r="CFI557" s="501"/>
      <c r="CFJ557" s="501"/>
      <c r="CFK557" s="501"/>
      <c r="CFL557" s="501"/>
      <c r="CFM557" s="501"/>
      <c r="CFN557" s="501"/>
      <c r="CFO557" s="501"/>
      <c r="CFP557" s="501"/>
      <c r="CFQ557" s="501"/>
      <c r="CFR557" s="501"/>
      <c r="CFS557" s="501"/>
      <c r="CFT557" s="501"/>
      <c r="CFU557" s="501"/>
      <c r="CFV557" s="501"/>
      <c r="CFW557" s="501"/>
      <c r="CFX557" s="501"/>
      <c r="CFY557" s="501"/>
      <c r="CFZ557" s="501"/>
      <c r="CGA557" s="501"/>
      <c r="CGB557" s="501"/>
      <c r="CGC557" s="501"/>
      <c r="CGD557" s="501"/>
      <c r="CGE557" s="501"/>
      <c r="CGF557" s="501"/>
      <c r="CGG557" s="501"/>
      <c r="CGH557" s="501"/>
      <c r="CGI557" s="501"/>
      <c r="CGJ557" s="501"/>
      <c r="CGK557" s="501"/>
      <c r="CGL557" s="501"/>
      <c r="CGM557" s="501"/>
      <c r="CGN557" s="501"/>
      <c r="CGO557" s="501"/>
      <c r="CGP557" s="501"/>
      <c r="CGQ557" s="501"/>
      <c r="CGR557" s="501"/>
      <c r="CGS557" s="501"/>
      <c r="CGT557" s="501"/>
      <c r="CGU557" s="501"/>
      <c r="CGV557" s="501"/>
      <c r="CGW557" s="501"/>
      <c r="CGX557" s="501"/>
      <c r="CGY557" s="501"/>
      <c r="CGZ557" s="501"/>
      <c r="CHA557" s="501"/>
      <c r="CHB557" s="501"/>
      <c r="CHC557" s="501"/>
      <c r="CHD557" s="501"/>
      <c r="CHE557" s="501"/>
      <c r="CHF557" s="501"/>
      <c r="CHG557" s="501"/>
      <c r="CHH557" s="501"/>
      <c r="CHI557" s="501"/>
      <c r="CHJ557" s="501"/>
      <c r="CHK557" s="501"/>
      <c r="CHL557" s="501"/>
      <c r="CHM557" s="501"/>
      <c r="CHN557" s="501"/>
      <c r="CHO557" s="501"/>
      <c r="CHP557" s="501"/>
      <c r="CHQ557" s="501"/>
      <c r="CHR557" s="501"/>
      <c r="CHS557" s="501"/>
      <c r="CHT557" s="501"/>
      <c r="CHU557" s="501"/>
      <c r="CHV557" s="501"/>
      <c r="CHW557" s="501"/>
      <c r="CHX557" s="501"/>
      <c r="CHY557" s="501"/>
      <c r="CHZ557" s="501"/>
      <c r="CIA557" s="501"/>
      <c r="CIB557" s="501"/>
      <c r="CIC557" s="501"/>
      <c r="CID557" s="501"/>
      <c r="CIE557" s="501"/>
      <c r="CIF557" s="501"/>
      <c r="CIG557" s="501"/>
      <c r="CIH557" s="501"/>
      <c r="CII557" s="501"/>
      <c r="CIJ557" s="501"/>
      <c r="CIK557" s="501"/>
      <c r="CIL557" s="501"/>
      <c r="CIM557" s="501"/>
      <c r="CIN557" s="501"/>
      <c r="CIO557" s="501"/>
      <c r="CIP557" s="501"/>
      <c r="CIQ557" s="501"/>
      <c r="CIR557" s="501"/>
      <c r="CIS557" s="501"/>
      <c r="CIT557" s="501"/>
      <c r="CIU557" s="501"/>
      <c r="CIV557" s="501"/>
      <c r="CIW557" s="501"/>
      <c r="CIX557" s="501"/>
      <c r="CIY557" s="501"/>
      <c r="CIZ557" s="501"/>
      <c r="CJA557" s="501"/>
      <c r="CJB557" s="501"/>
      <c r="CJC557" s="501"/>
      <c r="CJD557" s="501"/>
      <c r="CJE557" s="501"/>
      <c r="CJF557" s="501"/>
      <c r="CJG557" s="501"/>
      <c r="CJH557" s="501"/>
      <c r="CJI557" s="501"/>
      <c r="CJJ557" s="501"/>
      <c r="CJK557" s="501"/>
      <c r="CJL557" s="501"/>
      <c r="CJM557" s="501"/>
      <c r="CJN557" s="501"/>
      <c r="CJO557" s="501"/>
      <c r="CJP557" s="501"/>
      <c r="CJQ557" s="501"/>
      <c r="CJR557" s="501"/>
      <c r="CJS557" s="501"/>
      <c r="CJT557" s="501"/>
      <c r="CJU557" s="501"/>
      <c r="CJV557" s="501"/>
      <c r="CJW557" s="501"/>
      <c r="CJX557" s="501"/>
      <c r="CJY557" s="501"/>
      <c r="CJZ557" s="501"/>
      <c r="CKA557" s="501"/>
      <c r="CKB557" s="501"/>
      <c r="CKC557" s="501"/>
      <c r="CKD557" s="501"/>
      <c r="CKE557" s="501"/>
      <c r="CKF557" s="501"/>
      <c r="CKG557" s="501"/>
      <c r="CKH557" s="501"/>
      <c r="CKI557" s="501"/>
      <c r="CKJ557" s="501"/>
      <c r="CKK557" s="501"/>
      <c r="CKL557" s="501"/>
      <c r="CKM557" s="501"/>
      <c r="CKN557" s="501"/>
      <c r="CKO557" s="501"/>
      <c r="CKP557" s="501"/>
      <c r="CKQ557" s="501"/>
      <c r="CKR557" s="501"/>
      <c r="CKS557" s="501"/>
      <c r="CKT557" s="501"/>
      <c r="CKU557" s="501"/>
      <c r="CKV557" s="501"/>
      <c r="CKW557" s="501"/>
      <c r="CKX557" s="501"/>
      <c r="CKY557" s="501"/>
      <c r="CKZ557" s="501"/>
      <c r="CLA557" s="501"/>
      <c r="CLB557" s="501"/>
      <c r="CLC557" s="501"/>
      <c r="CLD557" s="501"/>
      <c r="CLE557" s="501"/>
      <c r="CLF557" s="501"/>
      <c r="CLG557" s="501"/>
      <c r="CLH557" s="501"/>
      <c r="CLI557" s="501"/>
      <c r="CLJ557" s="501"/>
      <c r="CLK557" s="501"/>
      <c r="CLL557" s="501"/>
      <c r="CLM557" s="501"/>
      <c r="CLN557" s="501"/>
      <c r="CLO557" s="501"/>
      <c r="CLP557" s="501"/>
      <c r="CLQ557" s="501"/>
      <c r="CLR557" s="501"/>
      <c r="CLS557" s="501"/>
      <c r="CLT557" s="501"/>
      <c r="CLU557" s="501"/>
      <c r="CLV557" s="501"/>
      <c r="CLW557" s="501"/>
      <c r="CLX557" s="501"/>
      <c r="CLY557" s="501"/>
      <c r="CLZ557" s="501"/>
      <c r="CMA557" s="501"/>
      <c r="CMB557" s="501"/>
      <c r="CMC557" s="501"/>
      <c r="CMD557" s="501"/>
      <c r="CME557" s="501"/>
      <c r="CMF557" s="501"/>
      <c r="CMG557" s="501"/>
      <c r="CMH557" s="501"/>
      <c r="CMI557" s="501"/>
      <c r="CMJ557" s="501"/>
      <c r="CMK557" s="501"/>
      <c r="CML557" s="501"/>
      <c r="CMM557" s="501"/>
      <c r="CMN557" s="501"/>
      <c r="CMO557" s="501"/>
      <c r="CMP557" s="501"/>
      <c r="CMQ557" s="501"/>
      <c r="CMR557" s="501"/>
      <c r="CMS557" s="501"/>
      <c r="CMT557" s="501"/>
      <c r="CMU557" s="501"/>
      <c r="CMV557" s="501"/>
      <c r="CMW557" s="501"/>
      <c r="CMX557" s="501"/>
      <c r="CMY557" s="501"/>
      <c r="CMZ557" s="501"/>
      <c r="CNA557" s="501"/>
      <c r="CNB557" s="501"/>
      <c r="CNC557" s="501"/>
      <c r="CND557" s="501"/>
      <c r="CNE557" s="501"/>
      <c r="CNF557" s="501"/>
      <c r="CNG557" s="501"/>
      <c r="CNH557" s="501"/>
      <c r="CNI557" s="501"/>
      <c r="CNJ557" s="501"/>
      <c r="CNK557" s="501"/>
      <c r="CNL557" s="501"/>
      <c r="CNM557" s="501"/>
      <c r="CNN557" s="501"/>
      <c r="CNO557" s="501"/>
      <c r="CNP557" s="501"/>
      <c r="CNQ557" s="501"/>
      <c r="CNR557" s="501"/>
      <c r="CNS557" s="501"/>
      <c r="CNT557" s="501"/>
      <c r="CNU557" s="501"/>
      <c r="CNV557" s="501"/>
      <c r="CNW557" s="501"/>
      <c r="CNX557" s="501"/>
      <c r="CNY557" s="501"/>
      <c r="CNZ557" s="501"/>
      <c r="COA557" s="501"/>
      <c r="COB557" s="501"/>
      <c r="COC557" s="501"/>
      <c r="COD557" s="501"/>
      <c r="COE557" s="501"/>
      <c r="COF557" s="501"/>
      <c r="COG557" s="501"/>
      <c r="COH557" s="501"/>
      <c r="COI557" s="501"/>
      <c r="COJ557" s="501"/>
      <c r="COK557" s="501"/>
      <c r="COL557" s="501"/>
      <c r="COM557" s="501"/>
      <c r="CON557" s="501"/>
      <c r="COO557" s="501"/>
      <c r="COP557" s="501"/>
      <c r="COQ557" s="501"/>
      <c r="COR557" s="501"/>
      <c r="COS557" s="501"/>
      <c r="COT557" s="501"/>
      <c r="COU557" s="501"/>
      <c r="COV557" s="501"/>
      <c r="COW557" s="501"/>
      <c r="COX557" s="501"/>
      <c r="COY557" s="501"/>
      <c r="COZ557" s="501"/>
      <c r="CPA557" s="501"/>
      <c r="CPB557" s="501"/>
      <c r="CPC557" s="501"/>
      <c r="CPD557" s="501"/>
      <c r="CPE557" s="501"/>
      <c r="CPF557" s="501"/>
      <c r="CPG557" s="501"/>
      <c r="CPH557" s="501"/>
      <c r="CPI557" s="501"/>
      <c r="CPJ557" s="501"/>
      <c r="CPK557" s="501"/>
      <c r="CPL557" s="501"/>
      <c r="CPM557" s="501"/>
      <c r="CPN557" s="501"/>
      <c r="CPO557" s="501"/>
      <c r="CPP557" s="501"/>
      <c r="CPQ557" s="501"/>
      <c r="CPR557" s="501"/>
      <c r="CPS557" s="501"/>
      <c r="CPT557" s="501"/>
      <c r="CPU557" s="501"/>
      <c r="CPV557" s="501"/>
      <c r="CPW557" s="501"/>
      <c r="CPX557" s="501"/>
      <c r="CPY557" s="501"/>
      <c r="CPZ557" s="501"/>
      <c r="CQA557" s="501"/>
      <c r="CQB557" s="501"/>
      <c r="CQC557" s="501"/>
      <c r="CQD557" s="501"/>
      <c r="CQE557" s="501"/>
      <c r="CQF557" s="501"/>
      <c r="CQG557" s="501"/>
      <c r="CQH557" s="501"/>
      <c r="CQI557" s="501"/>
      <c r="CQJ557" s="501"/>
      <c r="CQK557" s="501"/>
      <c r="CQL557" s="501"/>
      <c r="CQM557" s="501"/>
      <c r="CQN557" s="501"/>
      <c r="CQO557" s="501"/>
      <c r="CQP557" s="501"/>
      <c r="CQQ557" s="501"/>
      <c r="CQR557" s="501"/>
      <c r="CQS557" s="501"/>
      <c r="CQT557" s="501"/>
      <c r="CQU557" s="501"/>
      <c r="CQV557" s="501"/>
      <c r="CQW557" s="501"/>
      <c r="CQX557" s="501"/>
      <c r="CQY557" s="501"/>
      <c r="CQZ557" s="501"/>
      <c r="CRA557" s="501"/>
      <c r="CRB557" s="501"/>
      <c r="CRC557" s="501"/>
      <c r="CRD557" s="501"/>
      <c r="CRE557" s="501"/>
      <c r="CRF557" s="501"/>
      <c r="CRG557" s="501"/>
      <c r="CRH557" s="501"/>
      <c r="CRI557" s="501"/>
      <c r="CRJ557" s="501"/>
      <c r="CRK557" s="501"/>
      <c r="CRL557" s="501"/>
      <c r="CRM557" s="501"/>
      <c r="CRN557" s="501"/>
      <c r="CRO557" s="501"/>
      <c r="CRP557" s="501"/>
      <c r="CRQ557" s="501"/>
      <c r="CRR557" s="501"/>
      <c r="CRS557" s="501"/>
      <c r="CRT557" s="501"/>
      <c r="CRU557" s="501"/>
      <c r="CRV557" s="501"/>
      <c r="CRW557" s="501"/>
      <c r="CRX557" s="501"/>
      <c r="CRY557" s="501"/>
      <c r="CRZ557" s="501"/>
      <c r="CSA557" s="501"/>
      <c r="CSB557" s="501"/>
      <c r="CSC557" s="501"/>
      <c r="CSD557" s="501"/>
      <c r="CSE557" s="501"/>
      <c r="CSF557" s="501"/>
      <c r="CSG557" s="501"/>
      <c r="CSH557" s="501"/>
      <c r="CSI557" s="501"/>
      <c r="CSJ557" s="501"/>
      <c r="CSK557" s="501"/>
      <c r="CSL557" s="501"/>
      <c r="CSM557" s="501"/>
      <c r="CSN557" s="501"/>
      <c r="CSO557" s="501"/>
      <c r="CSP557" s="501"/>
      <c r="CSQ557" s="501"/>
      <c r="CSR557" s="501"/>
      <c r="CSS557" s="501"/>
      <c r="CST557" s="501"/>
      <c r="CSU557" s="501"/>
      <c r="CSV557" s="501"/>
      <c r="CSW557" s="501"/>
      <c r="CSX557" s="501"/>
      <c r="CSY557" s="501"/>
      <c r="CSZ557" s="501"/>
      <c r="CTA557" s="501"/>
      <c r="CTB557" s="501"/>
      <c r="CTC557" s="501"/>
      <c r="CTD557" s="501"/>
      <c r="CTE557" s="501"/>
      <c r="CTF557" s="501"/>
      <c r="CTG557" s="501"/>
      <c r="CTH557" s="501"/>
      <c r="CTI557" s="501"/>
      <c r="CTJ557" s="501"/>
      <c r="CTK557" s="501"/>
      <c r="CTL557" s="501"/>
      <c r="CTM557" s="501"/>
      <c r="CTN557" s="501"/>
      <c r="CTO557" s="501"/>
      <c r="CTP557" s="501"/>
      <c r="CTQ557" s="501"/>
      <c r="CTR557" s="501"/>
      <c r="CTS557" s="501"/>
      <c r="CTT557" s="501"/>
      <c r="CTU557" s="501"/>
      <c r="CTV557" s="501"/>
      <c r="CTW557" s="501"/>
      <c r="CTX557" s="501"/>
      <c r="CTY557" s="501"/>
      <c r="CTZ557" s="501"/>
      <c r="CUA557" s="501"/>
      <c r="CUB557" s="501"/>
      <c r="CUC557" s="501"/>
      <c r="CUD557" s="501"/>
      <c r="CUE557" s="501"/>
      <c r="CUF557" s="501"/>
      <c r="CUG557" s="501"/>
      <c r="CUH557" s="501"/>
      <c r="CUI557" s="501"/>
      <c r="CUJ557" s="501"/>
      <c r="CUK557" s="501"/>
      <c r="CUL557" s="501"/>
      <c r="CUM557" s="501"/>
      <c r="CUN557" s="501"/>
      <c r="CUO557" s="501"/>
      <c r="CUP557" s="501"/>
      <c r="CUQ557" s="501"/>
      <c r="CUR557" s="501"/>
      <c r="CUS557" s="501"/>
      <c r="CUT557" s="501"/>
      <c r="CUU557" s="501"/>
      <c r="CUV557" s="501"/>
      <c r="CUW557" s="501"/>
      <c r="CUX557" s="501"/>
      <c r="CUY557" s="501"/>
      <c r="CUZ557" s="501"/>
      <c r="CVA557" s="501"/>
      <c r="CVB557" s="501"/>
      <c r="CVC557" s="501"/>
      <c r="CVD557" s="501"/>
      <c r="CVE557" s="501"/>
      <c r="CVF557" s="501"/>
      <c r="CVG557" s="501"/>
      <c r="CVH557" s="501"/>
      <c r="CVI557" s="501"/>
      <c r="CVJ557" s="501"/>
      <c r="CVK557" s="501"/>
      <c r="CVL557" s="501"/>
      <c r="CVM557" s="501"/>
      <c r="CVN557" s="501"/>
      <c r="CVO557" s="501"/>
      <c r="CVP557" s="501"/>
      <c r="CVQ557" s="501"/>
      <c r="CVR557" s="501"/>
      <c r="CVS557" s="501"/>
      <c r="CVT557" s="501"/>
      <c r="CVU557" s="501"/>
      <c r="CVV557" s="501"/>
      <c r="CVW557" s="501"/>
      <c r="CVX557" s="501"/>
      <c r="CVY557" s="501"/>
      <c r="CVZ557" s="501"/>
      <c r="CWA557" s="501"/>
      <c r="CWB557" s="501"/>
      <c r="CWC557" s="501"/>
      <c r="CWD557" s="501"/>
      <c r="CWE557" s="501"/>
      <c r="CWF557" s="501"/>
      <c r="CWG557" s="501"/>
      <c r="CWH557" s="501"/>
      <c r="CWI557" s="501"/>
      <c r="CWJ557" s="501"/>
      <c r="CWK557" s="501"/>
      <c r="CWL557" s="501"/>
      <c r="CWM557" s="501"/>
      <c r="CWN557" s="501"/>
      <c r="CWO557" s="501"/>
      <c r="CWP557" s="501"/>
      <c r="CWQ557" s="501"/>
      <c r="CWR557" s="501"/>
      <c r="CWS557" s="501"/>
      <c r="CWT557" s="501"/>
      <c r="CWU557" s="501"/>
      <c r="CWV557" s="501"/>
      <c r="CWW557" s="501"/>
      <c r="CWX557" s="501"/>
      <c r="CWY557" s="501"/>
      <c r="CWZ557" s="501"/>
      <c r="CXA557" s="501"/>
      <c r="CXB557" s="501"/>
      <c r="CXC557" s="501"/>
      <c r="CXD557" s="501"/>
      <c r="CXE557" s="501"/>
      <c r="CXF557" s="501"/>
      <c r="CXG557" s="501"/>
      <c r="CXH557" s="501"/>
      <c r="CXI557" s="501"/>
      <c r="CXJ557" s="501"/>
      <c r="CXK557" s="501"/>
      <c r="CXL557" s="501"/>
      <c r="CXM557" s="501"/>
      <c r="CXN557" s="501"/>
      <c r="CXO557" s="501"/>
      <c r="CXP557" s="501"/>
      <c r="CXQ557" s="501"/>
      <c r="CXR557" s="501"/>
      <c r="CXS557" s="501"/>
      <c r="CXT557" s="501"/>
      <c r="CXU557" s="501"/>
      <c r="CXV557" s="501"/>
      <c r="CXW557" s="501"/>
      <c r="CXX557" s="501"/>
      <c r="CXY557" s="501"/>
      <c r="CXZ557" s="501"/>
      <c r="CYA557" s="501"/>
      <c r="CYB557" s="501"/>
      <c r="CYC557" s="501"/>
      <c r="CYD557" s="501"/>
      <c r="CYE557" s="501"/>
      <c r="CYF557" s="501"/>
      <c r="CYG557" s="501"/>
      <c r="CYH557" s="501"/>
      <c r="CYI557" s="501"/>
      <c r="CYJ557" s="501"/>
      <c r="CYK557" s="501"/>
      <c r="CYL557" s="501"/>
      <c r="CYM557" s="501"/>
      <c r="CYN557" s="501"/>
      <c r="CYO557" s="501"/>
      <c r="CYP557" s="501"/>
      <c r="CYQ557" s="501"/>
      <c r="CYR557" s="501"/>
      <c r="CYS557" s="501"/>
      <c r="CYT557" s="501"/>
      <c r="CYU557" s="501"/>
      <c r="CYV557" s="501"/>
      <c r="CYW557" s="501"/>
      <c r="CYX557" s="501"/>
      <c r="CYY557" s="501"/>
      <c r="CYZ557" s="501"/>
      <c r="CZA557" s="501"/>
      <c r="CZB557" s="501"/>
      <c r="CZC557" s="501"/>
      <c r="CZD557" s="501"/>
      <c r="CZE557" s="501"/>
      <c r="CZF557" s="501"/>
      <c r="CZG557" s="501"/>
      <c r="CZH557" s="501"/>
      <c r="CZI557" s="501"/>
      <c r="CZJ557" s="501"/>
      <c r="CZK557" s="501"/>
      <c r="CZL557" s="501"/>
      <c r="CZM557" s="501"/>
      <c r="CZN557" s="501"/>
      <c r="CZO557" s="501"/>
      <c r="CZP557" s="501"/>
      <c r="CZQ557" s="501"/>
      <c r="CZR557" s="501"/>
      <c r="CZS557" s="501"/>
      <c r="CZT557" s="501"/>
      <c r="CZU557" s="501"/>
      <c r="CZV557" s="501"/>
      <c r="CZW557" s="501"/>
      <c r="CZX557" s="501"/>
      <c r="CZY557" s="501"/>
      <c r="CZZ557" s="501"/>
      <c r="DAA557" s="501"/>
      <c r="DAB557" s="501"/>
      <c r="DAC557" s="501"/>
      <c r="DAD557" s="501"/>
      <c r="DAE557" s="501"/>
      <c r="DAF557" s="501"/>
      <c r="DAG557" s="501"/>
      <c r="DAH557" s="501"/>
      <c r="DAI557" s="501"/>
      <c r="DAJ557" s="501"/>
      <c r="DAK557" s="501"/>
      <c r="DAL557" s="501"/>
      <c r="DAM557" s="501"/>
      <c r="DAN557" s="501"/>
      <c r="DAO557" s="501"/>
      <c r="DAP557" s="501"/>
      <c r="DAQ557" s="501"/>
      <c r="DAR557" s="501"/>
      <c r="DAS557" s="501"/>
      <c r="DAT557" s="501"/>
      <c r="DAU557" s="501"/>
      <c r="DAV557" s="501"/>
      <c r="DAW557" s="501"/>
      <c r="DAX557" s="501"/>
      <c r="DAY557" s="501"/>
      <c r="DAZ557" s="501"/>
      <c r="DBA557" s="501"/>
      <c r="DBB557" s="501"/>
      <c r="DBC557" s="501"/>
      <c r="DBD557" s="501"/>
      <c r="DBE557" s="501"/>
      <c r="DBF557" s="501"/>
      <c r="DBG557" s="501"/>
      <c r="DBH557" s="501"/>
      <c r="DBI557" s="501"/>
      <c r="DBJ557" s="501"/>
      <c r="DBK557" s="501"/>
      <c r="DBL557" s="501"/>
      <c r="DBM557" s="501"/>
      <c r="DBN557" s="501"/>
      <c r="DBO557" s="501"/>
      <c r="DBP557" s="501"/>
      <c r="DBQ557" s="501"/>
      <c r="DBR557" s="501"/>
      <c r="DBS557" s="501"/>
      <c r="DBT557" s="501"/>
      <c r="DBU557" s="501"/>
      <c r="DBV557" s="501"/>
      <c r="DBW557" s="501"/>
      <c r="DBX557" s="501"/>
      <c r="DBY557" s="501"/>
      <c r="DBZ557" s="501"/>
      <c r="DCA557" s="501"/>
      <c r="DCB557" s="501"/>
      <c r="DCC557" s="501"/>
      <c r="DCD557" s="501"/>
      <c r="DCE557" s="501"/>
      <c r="DCF557" s="501"/>
      <c r="DCG557" s="501"/>
      <c r="DCH557" s="501"/>
      <c r="DCI557" s="501"/>
      <c r="DCJ557" s="501"/>
      <c r="DCK557" s="501"/>
      <c r="DCL557" s="501"/>
      <c r="DCM557" s="501"/>
      <c r="DCN557" s="501"/>
      <c r="DCO557" s="501"/>
      <c r="DCP557" s="501"/>
      <c r="DCQ557" s="501"/>
      <c r="DCR557" s="501"/>
      <c r="DCS557" s="501"/>
      <c r="DCT557" s="501"/>
      <c r="DCU557" s="501"/>
      <c r="DCV557" s="501"/>
      <c r="DCW557" s="501"/>
      <c r="DCX557" s="501"/>
      <c r="DCY557" s="501"/>
      <c r="DCZ557" s="501"/>
      <c r="DDA557" s="501"/>
      <c r="DDB557" s="501"/>
      <c r="DDC557" s="501"/>
      <c r="DDD557" s="501"/>
      <c r="DDE557" s="501"/>
      <c r="DDF557" s="501"/>
      <c r="DDG557" s="501"/>
      <c r="DDH557" s="501"/>
      <c r="DDI557" s="501"/>
      <c r="DDJ557" s="501"/>
      <c r="DDK557" s="501"/>
      <c r="DDL557" s="501"/>
      <c r="DDM557" s="501"/>
      <c r="DDN557" s="501"/>
      <c r="DDO557" s="501"/>
      <c r="DDP557" s="501"/>
      <c r="DDQ557" s="501"/>
      <c r="DDR557" s="501"/>
      <c r="DDS557" s="501"/>
      <c r="DDT557" s="501"/>
      <c r="DDU557" s="501"/>
      <c r="DDV557" s="501"/>
      <c r="DDW557" s="501"/>
      <c r="DDX557" s="501"/>
      <c r="DDY557" s="501"/>
      <c r="DDZ557" s="501"/>
      <c r="DEA557" s="501"/>
      <c r="DEB557" s="501"/>
      <c r="DEC557" s="501"/>
      <c r="DED557" s="501"/>
      <c r="DEE557" s="501"/>
      <c r="DEF557" s="501"/>
      <c r="DEG557" s="501"/>
      <c r="DEH557" s="501"/>
      <c r="DEI557" s="501"/>
      <c r="DEJ557" s="501"/>
      <c r="DEK557" s="501"/>
      <c r="DEL557" s="501"/>
      <c r="DEM557" s="501"/>
      <c r="DEN557" s="501"/>
      <c r="DEO557" s="501"/>
      <c r="DEP557" s="501"/>
      <c r="DEQ557" s="501"/>
      <c r="DER557" s="501"/>
      <c r="DES557" s="501"/>
      <c r="DET557" s="501"/>
      <c r="DEU557" s="501"/>
      <c r="DEV557" s="501"/>
      <c r="DEW557" s="501"/>
      <c r="DEX557" s="501"/>
      <c r="DEY557" s="501"/>
      <c r="DEZ557" s="501"/>
      <c r="DFA557" s="501"/>
      <c r="DFB557" s="501"/>
      <c r="DFC557" s="501"/>
      <c r="DFD557" s="501"/>
      <c r="DFE557" s="501"/>
      <c r="DFF557" s="501"/>
      <c r="DFG557" s="501"/>
      <c r="DFH557" s="501"/>
      <c r="DFI557" s="501"/>
      <c r="DFJ557" s="501"/>
      <c r="DFK557" s="501"/>
      <c r="DFL557" s="501"/>
      <c r="DFM557" s="501"/>
      <c r="DFN557" s="501"/>
      <c r="DFO557" s="501"/>
      <c r="DFP557" s="501"/>
      <c r="DFQ557" s="501"/>
      <c r="DFR557" s="501"/>
      <c r="DFS557" s="501"/>
      <c r="DFT557" s="501"/>
      <c r="DFU557" s="501"/>
      <c r="DFV557" s="501"/>
      <c r="DFW557" s="501"/>
      <c r="DFX557" s="501"/>
      <c r="DFY557" s="501"/>
      <c r="DFZ557" s="501"/>
      <c r="DGA557" s="501"/>
      <c r="DGB557" s="501"/>
      <c r="DGC557" s="501"/>
      <c r="DGD557" s="501"/>
      <c r="DGE557" s="501"/>
      <c r="DGF557" s="501"/>
      <c r="DGG557" s="501"/>
      <c r="DGH557" s="501"/>
      <c r="DGI557" s="501"/>
      <c r="DGJ557" s="501"/>
      <c r="DGK557" s="501"/>
      <c r="DGL557" s="501"/>
      <c r="DGM557" s="501"/>
      <c r="DGN557" s="501"/>
      <c r="DGO557" s="501"/>
      <c r="DGP557" s="501"/>
      <c r="DGQ557" s="501"/>
      <c r="DGR557" s="501"/>
      <c r="DGS557" s="501"/>
      <c r="DGT557" s="501"/>
      <c r="DGU557" s="501"/>
      <c r="DGV557" s="501"/>
      <c r="DGW557" s="501"/>
      <c r="DGX557" s="501"/>
      <c r="DGY557" s="501"/>
      <c r="DGZ557" s="501"/>
      <c r="DHA557" s="501"/>
      <c r="DHB557" s="501"/>
      <c r="DHC557" s="501"/>
      <c r="DHD557" s="501"/>
      <c r="DHE557" s="501"/>
      <c r="DHF557" s="501"/>
      <c r="DHG557" s="501"/>
      <c r="DHH557" s="501"/>
      <c r="DHI557" s="501"/>
      <c r="DHJ557" s="501"/>
      <c r="DHK557" s="501"/>
      <c r="DHL557" s="501"/>
      <c r="DHM557" s="501"/>
      <c r="DHN557" s="501"/>
      <c r="DHO557" s="501"/>
      <c r="DHP557" s="501"/>
      <c r="DHQ557" s="501"/>
      <c r="DHR557" s="501"/>
      <c r="DHS557" s="501"/>
      <c r="DHT557" s="501"/>
      <c r="DHU557" s="501"/>
      <c r="DHV557" s="501"/>
      <c r="DHW557" s="501"/>
      <c r="DHX557" s="501"/>
      <c r="DHY557" s="501"/>
      <c r="DHZ557" s="501"/>
      <c r="DIA557" s="501"/>
      <c r="DIB557" s="501"/>
      <c r="DIC557" s="501"/>
      <c r="DID557" s="501"/>
      <c r="DIE557" s="501"/>
      <c r="DIF557" s="501"/>
      <c r="DIG557" s="501"/>
      <c r="DIH557" s="501"/>
      <c r="DII557" s="501"/>
      <c r="DIJ557" s="501"/>
      <c r="DIK557" s="501"/>
      <c r="DIL557" s="501"/>
      <c r="DIM557" s="501"/>
      <c r="DIN557" s="501"/>
      <c r="DIO557" s="501"/>
      <c r="DIP557" s="501"/>
      <c r="DIQ557" s="501"/>
      <c r="DIR557" s="501"/>
      <c r="DIS557" s="501"/>
      <c r="DIT557" s="501"/>
      <c r="DIU557" s="501"/>
      <c r="DIV557" s="501"/>
      <c r="DIW557" s="501"/>
      <c r="DIX557" s="501"/>
      <c r="DIY557" s="501"/>
      <c r="DIZ557" s="501"/>
      <c r="DJA557" s="501"/>
      <c r="DJB557" s="501"/>
      <c r="DJC557" s="501"/>
      <c r="DJD557" s="501"/>
      <c r="DJE557" s="501"/>
      <c r="DJF557" s="501"/>
      <c r="DJG557" s="501"/>
      <c r="DJH557" s="501"/>
      <c r="DJI557" s="501"/>
      <c r="DJJ557" s="501"/>
      <c r="DJK557" s="501"/>
      <c r="DJL557" s="501"/>
      <c r="DJM557" s="501"/>
      <c r="DJN557" s="501"/>
      <c r="DJO557" s="501"/>
      <c r="DJP557" s="501"/>
      <c r="DJQ557" s="501"/>
      <c r="DJR557" s="501"/>
      <c r="DJS557" s="501"/>
      <c r="DJT557" s="501"/>
      <c r="DJU557" s="501"/>
      <c r="DJV557" s="501"/>
      <c r="DJW557" s="501"/>
      <c r="DJX557" s="501"/>
      <c r="DJY557" s="501"/>
      <c r="DJZ557" s="501"/>
      <c r="DKA557" s="501"/>
      <c r="DKB557" s="501"/>
      <c r="DKC557" s="501"/>
      <c r="DKD557" s="501"/>
      <c r="DKE557" s="501"/>
      <c r="DKF557" s="501"/>
      <c r="DKG557" s="501"/>
      <c r="DKH557" s="501"/>
      <c r="DKI557" s="501"/>
      <c r="DKJ557" s="501"/>
      <c r="DKK557" s="501"/>
      <c r="DKL557" s="501"/>
      <c r="DKM557" s="501"/>
      <c r="DKN557" s="501"/>
      <c r="DKO557" s="501"/>
      <c r="DKP557" s="501"/>
      <c r="DKQ557" s="501"/>
      <c r="DKR557" s="501"/>
      <c r="DKS557" s="501"/>
      <c r="DKT557" s="501"/>
      <c r="DKU557" s="501"/>
      <c r="DKV557" s="501"/>
      <c r="DKW557" s="501"/>
      <c r="DKX557" s="501"/>
      <c r="DKY557" s="501"/>
      <c r="DKZ557" s="501"/>
      <c r="DLA557" s="501"/>
      <c r="DLB557" s="501"/>
      <c r="DLC557" s="501"/>
      <c r="DLD557" s="501"/>
      <c r="DLE557" s="501"/>
      <c r="DLF557" s="501"/>
      <c r="DLG557" s="501"/>
      <c r="DLH557" s="501"/>
      <c r="DLI557" s="501"/>
      <c r="DLJ557" s="501"/>
      <c r="DLK557" s="501"/>
      <c r="DLL557" s="501"/>
      <c r="DLM557" s="501"/>
      <c r="DLN557" s="501"/>
      <c r="DLO557" s="501"/>
      <c r="DLP557" s="501"/>
      <c r="DLQ557" s="501"/>
      <c r="DLR557" s="501"/>
      <c r="DLS557" s="501"/>
      <c r="DLT557" s="501"/>
      <c r="DLU557" s="501"/>
      <c r="DLV557" s="501"/>
      <c r="DLW557" s="501"/>
      <c r="DLX557" s="501"/>
      <c r="DLY557" s="501"/>
      <c r="DLZ557" s="501"/>
      <c r="DMA557" s="501"/>
      <c r="DMB557" s="501"/>
      <c r="DMC557" s="501"/>
      <c r="DMD557" s="501"/>
      <c r="DME557" s="501"/>
      <c r="DMF557" s="501"/>
      <c r="DMG557" s="501"/>
      <c r="DMH557" s="501"/>
      <c r="DMI557" s="501"/>
      <c r="DMJ557" s="501"/>
      <c r="DMK557" s="501"/>
      <c r="DML557" s="501"/>
      <c r="DMM557" s="501"/>
      <c r="DMN557" s="501"/>
      <c r="DMO557" s="501"/>
      <c r="DMP557" s="501"/>
      <c r="DMQ557" s="501"/>
      <c r="DMR557" s="501"/>
      <c r="DMS557" s="501"/>
      <c r="DMT557" s="501"/>
      <c r="DMU557" s="501"/>
      <c r="DMV557" s="501"/>
      <c r="DMW557" s="501"/>
      <c r="DMX557" s="501"/>
      <c r="DMY557" s="501"/>
      <c r="DMZ557" s="501"/>
      <c r="DNA557" s="501"/>
      <c r="DNB557" s="501"/>
      <c r="DNC557" s="501"/>
      <c r="DND557" s="501"/>
      <c r="DNE557" s="501"/>
      <c r="DNF557" s="501"/>
      <c r="DNG557" s="501"/>
      <c r="DNH557" s="501"/>
      <c r="DNI557" s="501"/>
      <c r="DNJ557" s="501"/>
      <c r="DNK557" s="501"/>
      <c r="DNL557" s="501"/>
      <c r="DNM557" s="501"/>
      <c r="DNN557" s="501"/>
      <c r="DNO557" s="501"/>
      <c r="DNP557" s="501"/>
      <c r="DNQ557" s="501"/>
      <c r="DNR557" s="501"/>
      <c r="DNS557" s="501"/>
      <c r="DNT557" s="501"/>
      <c r="DNU557" s="501"/>
      <c r="DNV557" s="501"/>
      <c r="DNW557" s="501"/>
      <c r="DNX557" s="501"/>
      <c r="DNY557" s="501"/>
      <c r="DNZ557" s="501"/>
      <c r="DOA557" s="501"/>
      <c r="DOB557" s="501"/>
      <c r="DOC557" s="501"/>
      <c r="DOD557" s="501"/>
      <c r="DOE557" s="501"/>
      <c r="DOF557" s="501"/>
      <c r="DOG557" s="501"/>
      <c r="DOH557" s="501"/>
      <c r="DOI557" s="501"/>
      <c r="DOJ557" s="501"/>
      <c r="DOK557" s="501"/>
      <c r="DOL557" s="501"/>
      <c r="DOM557" s="501"/>
      <c r="DON557" s="501"/>
      <c r="DOO557" s="501"/>
      <c r="DOP557" s="501"/>
      <c r="DOQ557" s="501"/>
      <c r="DOR557" s="501"/>
      <c r="DOS557" s="501"/>
      <c r="DOT557" s="501"/>
      <c r="DOU557" s="501"/>
      <c r="DOV557" s="501"/>
      <c r="DOW557" s="501"/>
      <c r="DOX557" s="501"/>
      <c r="DOY557" s="501"/>
      <c r="DOZ557" s="501"/>
      <c r="DPA557" s="501"/>
      <c r="DPB557" s="501"/>
      <c r="DPC557" s="501"/>
      <c r="DPD557" s="501"/>
      <c r="DPE557" s="501"/>
      <c r="DPF557" s="501"/>
      <c r="DPG557" s="501"/>
      <c r="DPH557" s="501"/>
      <c r="DPI557" s="501"/>
      <c r="DPJ557" s="501"/>
      <c r="DPK557" s="501"/>
      <c r="DPL557" s="501"/>
      <c r="DPM557" s="501"/>
      <c r="DPN557" s="501"/>
      <c r="DPO557" s="501"/>
      <c r="DPP557" s="501"/>
      <c r="DPQ557" s="501"/>
      <c r="DPR557" s="501"/>
      <c r="DPS557" s="501"/>
      <c r="DPT557" s="501"/>
      <c r="DPU557" s="501"/>
      <c r="DPV557" s="501"/>
      <c r="DPW557" s="501"/>
      <c r="DPX557" s="501"/>
      <c r="DPY557" s="501"/>
      <c r="DPZ557" s="501"/>
      <c r="DQA557" s="501"/>
      <c r="DQB557" s="501"/>
      <c r="DQC557" s="501"/>
      <c r="DQD557" s="501"/>
      <c r="DQE557" s="501"/>
      <c r="DQF557" s="501"/>
      <c r="DQG557" s="501"/>
      <c r="DQH557" s="501"/>
      <c r="DQI557" s="501"/>
      <c r="DQJ557" s="501"/>
      <c r="DQK557" s="501"/>
      <c r="DQL557" s="501"/>
      <c r="DQM557" s="501"/>
      <c r="DQN557" s="501"/>
      <c r="DQO557" s="501"/>
      <c r="DQP557" s="501"/>
      <c r="DQQ557" s="501"/>
      <c r="DQR557" s="501"/>
      <c r="DQS557" s="501"/>
      <c r="DQT557" s="501"/>
      <c r="DQU557" s="501"/>
      <c r="DQV557" s="501"/>
      <c r="DQW557" s="501"/>
      <c r="DQX557" s="501"/>
      <c r="DQY557" s="501"/>
      <c r="DQZ557" s="501"/>
      <c r="DRA557" s="501"/>
      <c r="DRB557" s="501"/>
      <c r="DRC557" s="501"/>
      <c r="DRD557" s="501"/>
      <c r="DRE557" s="501"/>
      <c r="DRF557" s="501"/>
      <c r="DRG557" s="501"/>
      <c r="DRH557" s="501"/>
      <c r="DRI557" s="501"/>
      <c r="DRJ557" s="501"/>
      <c r="DRK557" s="501"/>
      <c r="DRL557" s="501"/>
      <c r="DRM557" s="501"/>
      <c r="DRN557" s="501"/>
      <c r="DRO557" s="501"/>
      <c r="DRP557" s="501"/>
      <c r="DRQ557" s="501"/>
      <c r="DRR557" s="501"/>
      <c r="DRS557" s="501"/>
      <c r="DRT557" s="501"/>
      <c r="DRU557" s="501"/>
      <c r="DRV557" s="501"/>
      <c r="DRW557" s="501"/>
      <c r="DRX557" s="501"/>
      <c r="DRY557" s="501"/>
      <c r="DRZ557" s="501"/>
      <c r="DSA557" s="501"/>
      <c r="DSB557" s="501"/>
      <c r="DSC557" s="501"/>
      <c r="DSD557" s="501"/>
      <c r="DSE557" s="501"/>
      <c r="DSF557" s="501"/>
      <c r="DSG557" s="501"/>
      <c r="DSH557" s="501"/>
      <c r="DSI557" s="501"/>
      <c r="DSJ557" s="501"/>
      <c r="DSK557" s="501"/>
      <c r="DSL557" s="501"/>
      <c r="DSM557" s="501"/>
      <c r="DSN557" s="501"/>
      <c r="DSO557" s="501"/>
      <c r="DSP557" s="501"/>
      <c r="DSQ557" s="501"/>
      <c r="DSR557" s="501"/>
      <c r="DSS557" s="501"/>
      <c r="DST557" s="501"/>
      <c r="DSU557" s="501"/>
      <c r="DSV557" s="501"/>
      <c r="DSW557" s="501"/>
      <c r="DSX557" s="501"/>
      <c r="DSY557" s="501"/>
      <c r="DSZ557" s="501"/>
      <c r="DTA557" s="501"/>
      <c r="DTB557" s="501"/>
      <c r="DTC557" s="501"/>
      <c r="DTD557" s="501"/>
      <c r="DTE557" s="501"/>
      <c r="DTF557" s="501"/>
      <c r="DTG557" s="501"/>
      <c r="DTH557" s="501"/>
      <c r="DTI557" s="501"/>
      <c r="DTJ557" s="501"/>
      <c r="DTK557" s="501"/>
      <c r="DTL557" s="501"/>
      <c r="DTM557" s="501"/>
      <c r="DTN557" s="501"/>
      <c r="DTO557" s="501"/>
      <c r="DTP557" s="501"/>
      <c r="DTQ557" s="501"/>
      <c r="DTR557" s="501"/>
      <c r="DTS557" s="501"/>
      <c r="DTT557" s="501"/>
      <c r="DTU557" s="501"/>
      <c r="DTV557" s="501"/>
      <c r="DTW557" s="501"/>
      <c r="DTX557" s="501"/>
      <c r="DTY557" s="501"/>
      <c r="DTZ557" s="501"/>
      <c r="DUA557" s="501"/>
      <c r="DUB557" s="501"/>
      <c r="DUC557" s="501"/>
      <c r="DUD557" s="501"/>
      <c r="DUE557" s="501"/>
      <c r="DUF557" s="501"/>
      <c r="DUG557" s="501"/>
      <c r="DUH557" s="501"/>
      <c r="DUI557" s="501"/>
      <c r="DUJ557" s="501"/>
      <c r="DUK557" s="501"/>
      <c r="DUL557" s="501"/>
      <c r="DUM557" s="501"/>
      <c r="DUN557" s="501"/>
      <c r="DUO557" s="501"/>
      <c r="DUP557" s="501"/>
      <c r="DUQ557" s="501"/>
      <c r="DUR557" s="501"/>
      <c r="DUS557" s="501"/>
      <c r="DUT557" s="501"/>
      <c r="DUU557" s="501"/>
      <c r="DUV557" s="501"/>
      <c r="DUW557" s="501"/>
      <c r="DUX557" s="501"/>
      <c r="DUY557" s="501"/>
      <c r="DUZ557" s="501"/>
      <c r="DVA557" s="501"/>
      <c r="DVB557" s="501"/>
      <c r="DVC557" s="501"/>
      <c r="DVD557" s="501"/>
      <c r="DVE557" s="501"/>
      <c r="DVF557" s="501"/>
      <c r="DVG557" s="501"/>
      <c r="DVH557" s="501"/>
      <c r="DVI557" s="501"/>
      <c r="DVJ557" s="501"/>
      <c r="DVK557" s="501"/>
      <c r="DVL557" s="501"/>
      <c r="DVM557" s="501"/>
      <c r="DVN557" s="501"/>
      <c r="DVO557" s="501"/>
      <c r="DVP557" s="501"/>
      <c r="DVQ557" s="501"/>
      <c r="DVR557" s="501"/>
      <c r="DVS557" s="501"/>
      <c r="DVT557" s="501"/>
      <c r="DVU557" s="501"/>
      <c r="DVV557" s="501"/>
      <c r="DVW557" s="501"/>
      <c r="DVX557" s="501"/>
      <c r="DVY557" s="501"/>
      <c r="DVZ557" s="501"/>
      <c r="DWA557" s="501"/>
      <c r="DWB557" s="501"/>
      <c r="DWC557" s="501"/>
      <c r="DWD557" s="501"/>
      <c r="DWE557" s="501"/>
      <c r="DWF557" s="501"/>
      <c r="DWG557" s="501"/>
      <c r="DWH557" s="501"/>
      <c r="DWI557" s="501"/>
      <c r="DWJ557" s="501"/>
      <c r="DWK557" s="501"/>
      <c r="DWL557" s="501"/>
      <c r="DWM557" s="501"/>
      <c r="DWN557" s="501"/>
      <c r="DWO557" s="501"/>
      <c r="DWP557" s="501"/>
      <c r="DWQ557" s="501"/>
      <c r="DWR557" s="501"/>
      <c r="DWS557" s="501"/>
      <c r="DWT557" s="501"/>
      <c r="DWU557" s="501"/>
      <c r="DWV557" s="501"/>
      <c r="DWW557" s="501"/>
      <c r="DWX557" s="501"/>
      <c r="DWY557" s="501"/>
      <c r="DWZ557" s="501"/>
      <c r="DXA557" s="501"/>
      <c r="DXB557" s="501"/>
      <c r="DXC557" s="501"/>
      <c r="DXD557" s="501"/>
      <c r="DXE557" s="501"/>
      <c r="DXF557" s="501"/>
      <c r="DXG557" s="501"/>
      <c r="DXH557" s="501"/>
      <c r="DXI557" s="501"/>
      <c r="DXJ557" s="501"/>
      <c r="DXK557" s="501"/>
      <c r="DXL557" s="501"/>
      <c r="DXM557" s="501"/>
      <c r="DXN557" s="501"/>
      <c r="DXO557" s="501"/>
      <c r="DXP557" s="501"/>
      <c r="DXQ557" s="501"/>
      <c r="DXR557" s="501"/>
      <c r="DXS557" s="501"/>
      <c r="DXT557" s="501"/>
      <c r="DXU557" s="501"/>
      <c r="DXV557" s="501"/>
      <c r="DXW557" s="501"/>
      <c r="DXX557" s="501"/>
      <c r="DXY557" s="501"/>
      <c r="DXZ557" s="501"/>
      <c r="DYA557" s="501"/>
      <c r="DYB557" s="501"/>
      <c r="DYC557" s="501"/>
      <c r="DYD557" s="501"/>
      <c r="DYE557" s="501"/>
      <c r="DYF557" s="501"/>
      <c r="DYG557" s="501"/>
      <c r="DYH557" s="501"/>
      <c r="DYI557" s="501"/>
      <c r="DYJ557" s="501"/>
      <c r="DYK557" s="501"/>
      <c r="DYL557" s="501"/>
      <c r="DYM557" s="501"/>
      <c r="DYN557" s="501"/>
      <c r="DYO557" s="501"/>
      <c r="DYP557" s="501"/>
      <c r="DYQ557" s="501"/>
      <c r="DYR557" s="501"/>
      <c r="DYS557" s="501"/>
      <c r="DYT557" s="501"/>
      <c r="DYU557" s="501"/>
      <c r="DYV557" s="501"/>
      <c r="DYW557" s="501"/>
      <c r="DYX557" s="501"/>
      <c r="DYY557" s="501"/>
      <c r="DYZ557" s="501"/>
      <c r="DZA557" s="501"/>
      <c r="DZB557" s="501"/>
      <c r="DZC557" s="501"/>
      <c r="DZD557" s="501"/>
      <c r="DZE557" s="501"/>
      <c r="DZF557" s="501"/>
      <c r="DZG557" s="501"/>
      <c r="DZH557" s="501"/>
      <c r="DZI557" s="501"/>
      <c r="DZJ557" s="501"/>
      <c r="DZK557" s="501"/>
      <c r="DZL557" s="501"/>
      <c r="DZM557" s="501"/>
      <c r="DZN557" s="501"/>
      <c r="DZO557" s="501"/>
      <c r="DZP557" s="501"/>
      <c r="DZQ557" s="501"/>
      <c r="DZR557" s="501"/>
      <c r="DZS557" s="501"/>
      <c r="DZT557" s="501"/>
      <c r="DZU557" s="501"/>
      <c r="DZV557" s="501"/>
      <c r="DZW557" s="501"/>
      <c r="DZX557" s="501"/>
      <c r="DZY557" s="501"/>
      <c r="DZZ557" s="501"/>
      <c r="EAA557" s="501"/>
      <c r="EAB557" s="501"/>
      <c r="EAC557" s="501"/>
      <c r="EAD557" s="501"/>
      <c r="EAE557" s="501"/>
      <c r="EAF557" s="501"/>
      <c r="EAG557" s="501"/>
      <c r="EAH557" s="501"/>
      <c r="EAI557" s="501"/>
      <c r="EAJ557" s="501"/>
      <c r="EAK557" s="501"/>
      <c r="EAL557" s="501"/>
      <c r="EAM557" s="501"/>
      <c r="EAN557" s="501"/>
      <c r="EAO557" s="501"/>
      <c r="EAP557" s="501"/>
      <c r="EAQ557" s="501"/>
      <c r="EAR557" s="501"/>
      <c r="EAS557" s="501"/>
      <c r="EAT557" s="501"/>
      <c r="EAU557" s="501"/>
      <c r="EAV557" s="501"/>
      <c r="EAW557" s="501"/>
      <c r="EAX557" s="501"/>
      <c r="EAY557" s="501"/>
      <c r="EAZ557" s="501"/>
      <c r="EBA557" s="501"/>
      <c r="EBB557" s="501"/>
      <c r="EBC557" s="501"/>
      <c r="EBD557" s="501"/>
      <c r="EBE557" s="501"/>
      <c r="EBF557" s="501"/>
      <c r="EBG557" s="501"/>
      <c r="EBH557" s="501"/>
      <c r="EBI557" s="501"/>
      <c r="EBJ557" s="501"/>
      <c r="EBK557" s="501"/>
      <c r="EBL557" s="501"/>
      <c r="EBM557" s="501"/>
      <c r="EBN557" s="501"/>
      <c r="EBO557" s="501"/>
      <c r="EBP557" s="501"/>
      <c r="EBQ557" s="501"/>
      <c r="EBR557" s="501"/>
      <c r="EBS557" s="501"/>
      <c r="EBT557" s="501"/>
      <c r="EBU557" s="501"/>
      <c r="EBV557" s="501"/>
      <c r="EBW557" s="501"/>
      <c r="EBX557" s="501"/>
      <c r="EBY557" s="501"/>
      <c r="EBZ557" s="501"/>
      <c r="ECA557" s="501"/>
      <c r="ECB557" s="501"/>
      <c r="ECC557" s="501"/>
      <c r="ECD557" s="501"/>
      <c r="ECE557" s="501"/>
      <c r="ECF557" s="501"/>
      <c r="ECG557" s="501"/>
      <c r="ECH557" s="501"/>
      <c r="ECI557" s="501"/>
      <c r="ECJ557" s="501"/>
      <c r="ECK557" s="501"/>
      <c r="ECL557" s="501"/>
      <c r="ECM557" s="501"/>
      <c r="ECN557" s="501"/>
      <c r="ECO557" s="501"/>
      <c r="ECP557" s="501"/>
      <c r="ECQ557" s="501"/>
      <c r="ECR557" s="501"/>
      <c r="ECS557" s="501"/>
      <c r="ECT557" s="501"/>
      <c r="ECU557" s="501"/>
      <c r="ECV557" s="501"/>
      <c r="ECW557" s="501"/>
      <c r="ECX557" s="501"/>
      <c r="ECY557" s="501"/>
      <c r="ECZ557" s="501"/>
      <c r="EDA557" s="501"/>
      <c r="EDB557" s="501"/>
      <c r="EDC557" s="501"/>
      <c r="EDD557" s="501"/>
      <c r="EDE557" s="501"/>
      <c r="EDF557" s="501"/>
      <c r="EDG557" s="501"/>
      <c r="EDH557" s="501"/>
      <c r="EDI557" s="501"/>
      <c r="EDJ557" s="501"/>
      <c r="EDK557" s="501"/>
      <c r="EDL557" s="501"/>
      <c r="EDM557" s="501"/>
      <c r="EDN557" s="501"/>
      <c r="EDO557" s="501"/>
      <c r="EDP557" s="501"/>
      <c r="EDQ557" s="501"/>
      <c r="EDR557" s="501"/>
      <c r="EDS557" s="501"/>
      <c r="EDT557" s="501"/>
      <c r="EDU557" s="501"/>
      <c r="EDV557" s="501"/>
      <c r="EDW557" s="501"/>
      <c r="EDX557" s="501"/>
      <c r="EDY557" s="501"/>
      <c r="EDZ557" s="501"/>
      <c r="EEA557" s="501"/>
      <c r="EEB557" s="501"/>
      <c r="EEC557" s="501"/>
      <c r="EED557" s="501"/>
      <c r="EEE557" s="501"/>
      <c r="EEF557" s="501"/>
      <c r="EEG557" s="501"/>
      <c r="EEH557" s="501"/>
      <c r="EEI557" s="501"/>
      <c r="EEJ557" s="501"/>
      <c r="EEK557" s="501"/>
      <c r="EEL557" s="501"/>
      <c r="EEM557" s="501"/>
      <c r="EEN557" s="501"/>
      <c r="EEO557" s="501"/>
      <c r="EEP557" s="501"/>
      <c r="EEQ557" s="501"/>
      <c r="EER557" s="501"/>
      <c r="EES557" s="501"/>
      <c r="EET557" s="501"/>
      <c r="EEU557" s="501"/>
      <c r="EEV557" s="501"/>
      <c r="EEW557" s="501"/>
      <c r="EEX557" s="501"/>
      <c r="EEY557" s="501"/>
      <c r="EEZ557" s="501"/>
      <c r="EFA557" s="501"/>
      <c r="EFB557" s="501"/>
      <c r="EFC557" s="501"/>
      <c r="EFD557" s="501"/>
      <c r="EFE557" s="501"/>
      <c r="EFF557" s="501"/>
      <c r="EFG557" s="501"/>
      <c r="EFH557" s="501"/>
      <c r="EFI557" s="501"/>
      <c r="EFJ557" s="501"/>
      <c r="EFK557" s="501"/>
      <c r="EFL557" s="501"/>
      <c r="EFM557" s="501"/>
      <c r="EFN557" s="501"/>
      <c r="EFO557" s="501"/>
      <c r="EFP557" s="501"/>
      <c r="EFQ557" s="501"/>
      <c r="EFR557" s="501"/>
      <c r="EFS557" s="501"/>
      <c r="EFT557" s="501"/>
      <c r="EFU557" s="501"/>
      <c r="EFV557" s="501"/>
      <c r="EFW557" s="501"/>
      <c r="EFX557" s="501"/>
      <c r="EFY557" s="501"/>
      <c r="EFZ557" s="501"/>
      <c r="EGA557" s="501"/>
      <c r="EGB557" s="501"/>
      <c r="EGC557" s="501"/>
      <c r="EGD557" s="501"/>
      <c r="EGE557" s="501"/>
      <c r="EGF557" s="501"/>
      <c r="EGG557" s="501"/>
      <c r="EGH557" s="501"/>
      <c r="EGI557" s="501"/>
      <c r="EGJ557" s="501"/>
      <c r="EGK557" s="501"/>
      <c r="EGL557" s="501"/>
      <c r="EGM557" s="501"/>
      <c r="EGN557" s="501"/>
      <c r="EGO557" s="501"/>
      <c r="EGP557" s="501"/>
      <c r="EGQ557" s="501"/>
      <c r="EGR557" s="501"/>
      <c r="EGS557" s="501"/>
      <c r="EGT557" s="501"/>
      <c r="EGU557" s="501"/>
      <c r="EGV557" s="501"/>
      <c r="EGW557" s="501"/>
      <c r="EGX557" s="501"/>
      <c r="EGY557" s="501"/>
      <c r="EGZ557" s="501"/>
      <c r="EHA557" s="501"/>
      <c r="EHB557" s="501"/>
      <c r="EHC557" s="501"/>
      <c r="EHD557" s="501"/>
      <c r="EHE557" s="501"/>
      <c r="EHF557" s="501"/>
      <c r="EHG557" s="501"/>
      <c r="EHH557" s="501"/>
      <c r="EHI557" s="501"/>
      <c r="EHJ557" s="501"/>
      <c r="EHK557" s="501"/>
      <c r="EHL557" s="501"/>
      <c r="EHM557" s="501"/>
      <c r="EHN557" s="501"/>
      <c r="EHO557" s="501"/>
      <c r="EHP557" s="501"/>
      <c r="EHQ557" s="501"/>
      <c r="EHR557" s="501"/>
      <c r="EHS557" s="501"/>
      <c r="EHT557" s="501"/>
      <c r="EHU557" s="501"/>
      <c r="EHV557" s="501"/>
      <c r="EHW557" s="501"/>
      <c r="EHX557" s="501"/>
      <c r="EHY557" s="501"/>
      <c r="EHZ557" s="501"/>
      <c r="EIA557" s="501"/>
      <c r="EIB557" s="501"/>
      <c r="EIC557" s="501"/>
      <c r="EID557" s="501"/>
      <c r="EIE557" s="501"/>
      <c r="EIF557" s="501"/>
      <c r="EIG557" s="501"/>
      <c r="EIH557" s="501"/>
      <c r="EII557" s="501"/>
      <c r="EIJ557" s="501"/>
      <c r="EIK557" s="501"/>
      <c r="EIL557" s="501"/>
      <c r="EIM557" s="501"/>
      <c r="EIN557" s="501"/>
      <c r="EIO557" s="501"/>
      <c r="EIP557" s="501"/>
      <c r="EIQ557" s="501"/>
      <c r="EIR557" s="501"/>
      <c r="EIS557" s="501"/>
      <c r="EIT557" s="501"/>
      <c r="EIU557" s="501"/>
      <c r="EIV557" s="501"/>
      <c r="EIW557" s="501"/>
      <c r="EIX557" s="501"/>
      <c r="EIY557" s="501"/>
      <c r="EIZ557" s="501"/>
      <c r="EJA557" s="501"/>
      <c r="EJB557" s="501"/>
      <c r="EJC557" s="501"/>
      <c r="EJD557" s="501"/>
      <c r="EJE557" s="501"/>
      <c r="EJF557" s="501"/>
      <c r="EJG557" s="501"/>
      <c r="EJH557" s="501"/>
      <c r="EJI557" s="501"/>
      <c r="EJJ557" s="501"/>
      <c r="EJK557" s="501"/>
      <c r="EJL557" s="501"/>
      <c r="EJM557" s="501"/>
      <c r="EJN557" s="501"/>
      <c r="EJO557" s="501"/>
      <c r="EJP557" s="501"/>
      <c r="EJQ557" s="501"/>
      <c r="EJR557" s="501"/>
      <c r="EJS557" s="501"/>
      <c r="EJT557" s="501"/>
      <c r="EJU557" s="501"/>
      <c r="EJV557" s="501"/>
      <c r="EJW557" s="501"/>
      <c r="EJX557" s="501"/>
      <c r="EJY557" s="501"/>
      <c r="EJZ557" s="501"/>
      <c r="EKA557" s="501"/>
      <c r="EKB557" s="501"/>
      <c r="EKC557" s="501"/>
      <c r="EKD557" s="501"/>
      <c r="EKE557" s="501"/>
      <c r="EKF557" s="501"/>
      <c r="EKG557" s="501"/>
      <c r="EKH557" s="501"/>
      <c r="EKI557" s="501"/>
      <c r="EKJ557" s="501"/>
      <c r="EKK557" s="501"/>
      <c r="EKL557" s="501"/>
      <c r="EKM557" s="501"/>
      <c r="EKN557" s="501"/>
      <c r="EKO557" s="501"/>
      <c r="EKP557" s="501"/>
      <c r="EKQ557" s="501"/>
      <c r="EKR557" s="501"/>
      <c r="EKS557" s="501"/>
      <c r="EKT557" s="501"/>
      <c r="EKU557" s="501"/>
      <c r="EKV557" s="501"/>
      <c r="EKW557" s="501"/>
      <c r="EKX557" s="501"/>
      <c r="EKY557" s="501"/>
      <c r="EKZ557" s="501"/>
      <c r="ELA557" s="501"/>
      <c r="ELB557" s="501"/>
      <c r="ELC557" s="501"/>
      <c r="ELD557" s="501"/>
      <c r="ELE557" s="501"/>
      <c r="ELF557" s="501"/>
      <c r="ELG557" s="501"/>
      <c r="ELH557" s="501"/>
      <c r="ELI557" s="501"/>
      <c r="ELJ557" s="501"/>
      <c r="ELK557" s="501"/>
      <c r="ELL557" s="501"/>
      <c r="ELM557" s="501"/>
      <c r="ELN557" s="501"/>
      <c r="ELO557" s="501"/>
      <c r="ELP557" s="501"/>
      <c r="ELQ557" s="501"/>
      <c r="ELR557" s="501"/>
      <c r="ELS557" s="501"/>
      <c r="ELT557" s="501"/>
      <c r="ELU557" s="501"/>
      <c r="ELV557" s="501"/>
      <c r="ELW557" s="501"/>
      <c r="ELX557" s="501"/>
      <c r="ELY557" s="501"/>
      <c r="ELZ557" s="501"/>
      <c r="EMA557" s="501"/>
      <c r="EMB557" s="501"/>
      <c r="EMC557" s="501"/>
      <c r="EMD557" s="501"/>
      <c r="EME557" s="501"/>
      <c r="EMF557" s="501"/>
      <c r="EMG557" s="501"/>
      <c r="EMH557" s="501"/>
      <c r="EMI557" s="501"/>
      <c r="EMJ557" s="501"/>
      <c r="EMK557" s="501"/>
      <c r="EML557" s="501"/>
      <c r="EMM557" s="501"/>
      <c r="EMN557" s="501"/>
      <c r="EMO557" s="501"/>
      <c r="EMP557" s="501"/>
      <c r="EMQ557" s="501"/>
      <c r="EMR557" s="501"/>
      <c r="EMS557" s="501"/>
      <c r="EMT557" s="501"/>
      <c r="EMU557" s="501"/>
      <c r="EMV557" s="501"/>
      <c r="EMW557" s="501"/>
      <c r="EMX557" s="501"/>
      <c r="EMY557" s="501"/>
      <c r="EMZ557" s="501"/>
      <c r="ENA557" s="501"/>
      <c r="ENB557" s="501"/>
      <c r="ENC557" s="501"/>
      <c r="END557" s="501"/>
      <c r="ENE557" s="501"/>
      <c r="ENF557" s="501"/>
      <c r="ENG557" s="501"/>
      <c r="ENH557" s="501"/>
      <c r="ENI557" s="501"/>
      <c r="ENJ557" s="501"/>
      <c r="ENK557" s="501"/>
      <c r="ENL557" s="501"/>
      <c r="ENM557" s="501"/>
      <c r="ENN557" s="501"/>
      <c r="ENO557" s="501"/>
      <c r="ENP557" s="501"/>
      <c r="ENQ557" s="501"/>
      <c r="ENR557" s="501"/>
      <c r="ENS557" s="501"/>
      <c r="ENT557" s="501"/>
      <c r="ENU557" s="501"/>
      <c r="ENV557" s="501"/>
      <c r="ENW557" s="501"/>
      <c r="ENX557" s="501"/>
      <c r="ENY557" s="501"/>
      <c r="ENZ557" s="501"/>
      <c r="EOA557" s="501"/>
      <c r="EOB557" s="501"/>
      <c r="EOC557" s="501"/>
      <c r="EOD557" s="501"/>
      <c r="EOE557" s="501"/>
      <c r="EOF557" s="501"/>
      <c r="EOG557" s="501"/>
      <c r="EOH557" s="501"/>
      <c r="EOI557" s="501"/>
      <c r="EOJ557" s="501"/>
      <c r="EOK557" s="501"/>
      <c r="EOL557" s="501"/>
      <c r="EOM557" s="501"/>
      <c r="EON557" s="501"/>
      <c r="EOO557" s="501"/>
      <c r="EOP557" s="501"/>
      <c r="EOQ557" s="501"/>
      <c r="EOR557" s="501"/>
      <c r="EOS557" s="501"/>
      <c r="EOT557" s="501"/>
      <c r="EOU557" s="501"/>
      <c r="EOV557" s="501"/>
      <c r="EOW557" s="501"/>
      <c r="EOX557" s="501"/>
      <c r="EOY557" s="501"/>
      <c r="EOZ557" s="501"/>
      <c r="EPA557" s="501"/>
      <c r="EPB557" s="501"/>
      <c r="EPC557" s="501"/>
      <c r="EPD557" s="501"/>
      <c r="EPE557" s="501"/>
      <c r="EPF557" s="501"/>
      <c r="EPG557" s="501"/>
      <c r="EPH557" s="501"/>
      <c r="EPI557" s="501"/>
      <c r="EPJ557" s="501"/>
      <c r="EPK557" s="501"/>
      <c r="EPL557" s="501"/>
      <c r="EPM557" s="501"/>
      <c r="EPN557" s="501"/>
      <c r="EPO557" s="501"/>
      <c r="EPP557" s="501"/>
      <c r="EPQ557" s="501"/>
      <c r="EPR557" s="501"/>
      <c r="EPS557" s="501"/>
      <c r="EPT557" s="501"/>
      <c r="EPU557" s="501"/>
      <c r="EPV557" s="501"/>
      <c r="EPW557" s="501"/>
      <c r="EPX557" s="501"/>
      <c r="EPY557" s="501"/>
      <c r="EPZ557" s="501"/>
      <c r="EQA557" s="501"/>
      <c r="EQB557" s="501"/>
      <c r="EQC557" s="501"/>
      <c r="EQD557" s="501"/>
      <c r="EQE557" s="501"/>
      <c r="EQF557" s="501"/>
      <c r="EQG557" s="501"/>
      <c r="EQH557" s="501"/>
      <c r="EQI557" s="501"/>
      <c r="EQJ557" s="501"/>
      <c r="EQK557" s="501"/>
      <c r="EQL557" s="501"/>
      <c r="EQM557" s="501"/>
      <c r="EQN557" s="501"/>
      <c r="EQO557" s="501"/>
      <c r="EQP557" s="501"/>
      <c r="EQQ557" s="501"/>
      <c r="EQR557" s="501"/>
      <c r="EQS557" s="501"/>
      <c r="EQT557" s="501"/>
      <c r="EQU557" s="501"/>
      <c r="EQV557" s="501"/>
      <c r="EQW557" s="501"/>
      <c r="EQX557" s="501"/>
      <c r="EQY557" s="501"/>
      <c r="EQZ557" s="501"/>
      <c r="ERA557" s="501"/>
      <c r="ERB557" s="501"/>
      <c r="ERC557" s="501"/>
      <c r="ERD557" s="501"/>
      <c r="ERE557" s="501"/>
      <c r="ERF557" s="501"/>
      <c r="ERG557" s="501"/>
      <c r="ERH557" s="501"/>
      <c r="ERI557" s="501"/>
      <c r="ERJ557" s="501"/>
      <c r="ERK557" s="501"/>
      <c r="ERL557" s="501"/>
      <c r="ERM557" s="501"/>
      <c r="ERN557" s="501"/>
      <c r="ERO557" s="501"/>
      <c r="ERP557" s="501"/>
      <c r="ERQ557" s="501"/>
      <c r="ERR557" s="501"/>
      <c r="ERS557" s="501"/>
      <c r="ERT557" s="501"/>
      <c r="ERU557" s="501"/>
      <c r="ERV557" s="501"/>
      <c r="ERW557" s="501"/>
      <c r="ERX557" s="501"/>
      <c r="ERY557" s="501"/>
      <c r="ERZ557" s="501"/>
      <c r="ESA557" s="501"/>
      <c r="ESB557" s="501"/>
      <c r="ESC557" s="501"/>
      <c r="ESD557" s="501"/>
      <c r="ESE557" s="501"/>
      <c r="ESF557" s="501"/>
      <c r="ESG557" s="501"/>
      <c r="ESH557" s="501"/>
      <c r="ESI557" s="501"/>
      <c r="ESJ557" s="501"/>
      <c r="ESK557" s="501"/>
      <c r="ESL557" s="501"/>
      <c r="ESM557" s="501"/>
      <c r="ESN557" s="501"/>
      <c r="ESO557" s="501"/>
      <c r="ESP557" s="501"/>
      <c r="ESQ557" s="501"/>
      <c r="ESR557" s="501"/>
      <c r="ESS557" s="501"/>
      <c r="EST557" s="501"/>
      <c r="ESU557" s="501"/>
      <c r="ESV557" s="501"/>
      <c r="ESW557" s="501"/>
      <c r="ESX557" s="501"/>
      <c r="ESY557" s="501"/>
      <c r="ESZ557" s="501"/>
      <c r="ETA557" s="501"/>
      <c r="ETB557" s="501"/>
      <c r="ETC557" s="501"/>
      <c r="ETD557" s="501"/>
      <c r="ETE557" s="501"/>
      <c r="ETF557" s="501"/>
      <c r="ETG557" s="501"/>
      <c r="ETH557" s="501"/>
      <c r="ETI557" s="501"/>
      <c r="ETJ557" s="501"/>
      <c r="ETK557" s="501"/>
      <c r="ETL557" s="501"/>
      <c r="ETM557" s="501"/>
      <c r="ETN557" s="501"/>
      <c r="ETO557" s="501"/>
      <c r="ETP557" s="501"/>
      <c r="ETQ557" s="501"/>
      <c r="ETR557" s="501"/>
      <c r="ETS557" s="501"/>
      <c r="ETT557" s="501"/>
      <c r="ETU557" s="501"/>
      <c r="ETV557" s="501"/>
      <c r="ETW557" s="501"/>
      <c r="ETX557" s="501"/>
      <c r="ETY557" s="501"/>
      <c r="ETZ557" s="501"/>
      <c r="EUA557" s="501"/>
      <c r="EUB557" s="501"/>
      <c r="EUC557" s="501"/>
      <c r="EUD557" s="501"/>
      <c r="EUE557" s="501"/>
      <c r="EUF557" s="501"/>
      <c r="EUG557" s="501"/>
      <c r="EUH557" s="501"/>
      <c r="EUI557" s="501"/>
      <c r="EUJ557" s="501"/>
      <c r="EUK557" s="501"/>
      <c r="EUL557" s="501"/>
      <c r="EUM557" s="501"/>
      <c r="EUN557" s="501"/>
      <c r="EUO557" s="501"/>
      <c r="EUP557" s="501"/>
      <c r="EUQ557" s="501"/>
      <c r="EUR557" s="501"/>
      <c r="EUS557" s="501"/>
      <c r="EUT557" s="501"/>
      <c r="EUU557" s="501"/>
      <c r="EUV557" s="501"/>
      <c r="EUW557" s="501"/>
      <c r="EUX557" s="501"/>
      <c r="EUY557" s="501"/>
      <c r="EUZ557" s="501"/>
      <c r="EVA557" s="501"/>
      <c r="EVB557" s="501"/>
      <c r="EVC557" s="501"/>
      <c r="EVD557" s="501"/>
      <c r="EVE557" s="501"/>
      <c r="EVF557" s="501"/>
      <c r="EVG557" s="501"/>
      <c r="EVH557" s="501"/>
      <c r="EVI557" s="501"/>
      <c r="EVJ557" s="501"/>
      <c r="EVK557" s="501"/>
      <c r="EVL557" s="501"/>
      <c r="EVM557" s="501"/>
      <c r="EVN557" s="501"/>
      <c r="EVO557" s="501"/>
      <c r="EVP557" s="501"/>
      <c r="EVQ557" s="501"/>
      <c r="EVR557" s="501"/>
      <c r="EVS557" s="501"/>
      <c r="EVT557" s="501"/>
      <c r="EVU557" s="501"/>
      <c r="EVV557" s="501"/>
      <c r="EVW557" s="501"/>
      <c r="EVX557" s="501"/>
      <c r="EVY557" s="501"/>
      <c r="EVZ557" s="501"/>
      <c r="EWA557" s="501"/>
      <c r="EWB557" s="501"/>
      <c r="EWC557" s="501"/>
      <c r="EWD557" s="501"/>
      <c r="EWE557" s="501"/>
      <c r="EWF557" s="501"/>
      <c r="EWG557" s="501"/>
      <c r="EWH557" s="501"/>
      <c r="EWI557" s="501"/>
      <c r="EWJ557" s="501"/>
      <c r="EWK557" s="501"/>
      <c r="EWL557" s="501"/>
      <c r="EWM557" s="501"/>
      <c r="EWN557" s="501"/>
      <c r="EWO557" s="501"/>
      <c r="EWP557" s="501"/>
      <c r="EWQ557" s="501"/>
      <c r="EWR557" s="501"/>
      <c r="EWS557" s="501"/>
      <c r="EWT557" s="501"/>
      <c r="EWU557" s="501"/>
      <c r="EWV557" s="501"/>
      <c r="EWW557" s="501"/>
      <c r="EWX557" s="501"/>
      <c r="EWY557" s="501"/>
      <c r="EWZ557" s="501"/>
      <c r="EXA557" s="501"/>
      <c r="EXB557" s="501"/>
      <c r="EXC557" s="501"/>
      <c r="EXD557" s="501"/>
      <c r="EXE557" s="501"/>
      <c r="EXF557" s="501"/>
      <c r="EXG557" s="501"/>
      <c r="EXH557" s="501"/>
      <c r="EXI557" s="501"/>
      <c r="EXJ557" s="501"/>
      <c r="EXK557" s="501"/>
      <c r="EXL557" s="501"/>
      <c r="EXM557" s="501"/>
      <c r="EXN557" s="501"/>
      <c r="EXO557" s="501"/>
      <c r="EXP557" s="501"/>
      <c r="EXQ557" s="501"/>
      <c r="EXR557" s="501"/>
      <c r="EXS557" s="501"/>
      <c r="EXT557" s="501"/>
      <c r="EXU557" s="501"/>
      <c r="EXV557" s="501"/>
      <c r="EXW557" s="501"/>
      <c r="EXX557" s="501"/>
      <c r="EXY557" s="501"/>
      <c r="EXZ557" s="501"/>
      <c r="EYA557" s="501"/>
      <c r="EYB557" s="501"/>
      <c r="EYC557" s="501"/>
      <c r="EYD557" s="501"/>
      <c r="EYE557" s="501"/>
      <c r="EYF557" s="501"/>
      <c r="EYG557" s="501"/>
      <c r="EYH557" s="501"/>
      <c r="EYI557" s="501"/>
      <c r="EYJ557" s="501"/>
      <c r="EYK557" s="501"/>
      <c r="EYL557" s="501"/>
      <c r="EYM557" s="501"/>
      <c r="EYN557" s="501"/>
      <c r="EYO557" s="501"/>
      <c r="EYP557" s="501"/>
      <c r="EYQ557" s="501"/>
      <c r="EYR557" s="501"/>
      <c r="EYS557" s="501"/>
      <c r="EYT557" s="501"/>
      <c r="EYU557" s="501"/>
      <c r="EYV557" s="501"/>
      <c r="EYW557" s="501"/>
      <c r="EYX557" s="501"/>
      <c r="EYY557" s="501"/>
      <c r="EYZ557" s="501"/>
      <c r="EZA557" s="501"/>
      <c r="EZB557" s="501"/>
      <c r="EZC557" s="501"/>
      <c r="EZD557" s="501"/>
      <c r="EZE557" s="501"/>
      <c r="EZF557" s="501"/>
      <c r="EZG557" s="501"/>
      <c r="EZH557" s="501"/>
      <c r="EZI557" s="501"/>
      <c r="EZJ557" s="501"/>
      <c r="EZK557" s="501"/>
      <c r="EZL557" s="501"/>
      <c r="EZM557" s="501"/>
      <c r="EZN557" s="501"/>
      <c r="EZO557" s="501"/>
      <c r="EZP557" s="501"/>
      <c r="EZQ557" s="501"/>
      <c r="EZR557" s="501"/>
      <c r="EZS557" s="501"/>
      <c r="EZT557" s="501"/>
      <c r="EZU557" s="501"/>
      <c r="EZV557" s="501"/>
      <c r="EZW557" s="501"/>
      <c r="EZX557" s="501"/>
      <c r="EZY557" s="501"/>
      <c r="EZZ557" s="501"/>
      <c r="FAA557" s="501"/>
      <c r="FAB557" s="501"/>
      <c r="FAC557" s="501"/>
      <c r="FAD557" s="501"/>
      <c r="FAE557" s="501"/>
      <c r="FAF557" s="501"/>
      <c r="FAG557" s="501"/>
      <c r="FAH557" s="501"/>
      <c r="FAI557" s="501"/>
      <c r="FAJ557" s="501"/>
      <c r="FAK557" s="501"/>
      <c r="FAL557" s="501"/>
      <c r="FAM557" s="501"/>
      <c r="FAN557" s="501"/>
      <c r="FAO557" s="501"/>
      <c r="FAP557" s="501"/>
      <c r="FAQ557" s="501"/>
      <c r="FAR557" s="501"/>
      <c r="FAS557" s="501"/>
      <c r="FAT557" s="501"/>
      <c r="FAU557" s="501"/>
      <c r="FAV557" s="501"/>
      <c r="FAW557" s="501"/>
      <c r="FAX557" s="501"/>
      <c r="FAY557" s="501"/>
      <c r="FAZ557" s="501"/>
      <c r="FBA557" s="501"/>
      <c r="FBB557" s="501"/>
      <c r="FBC557" s="501"/>
      <c r="FBD557" s="501"/>
      <c r="FBE557" s="501"/>
      <c r="FBF557" s="501"/>
      <c r="FBG557" s="501"/>
      <c r="FBH557" s="501"/>
      <c r="FBI557" s="501"/>
      <c r="FBJ557" s="501"/>
      <c r="FBK557" s="501"/>
      <c r="FBL557" s="501"/>
      <c r="FBM557" s="501"/>
      <c r="FBN557" s="501"/>
      <c r="FBO557" s="501"/>
      <c r="FBP557" s="501"/>
      <c r="FBQ557" s="501"/>
      <c r="FBR557" s="501"/>
      <c r="FBS557" s="501"/>
      <c r="FBT557" s="501"/>
      <c r="FBU557" s="501"/>
      <c r="FBV557" s="501"/>
      <c r="FBW557" s="501"/>
      <c r="FBX557" s="501"/>
      <c r="FBY557" s="501"/>
      <c r="FBZ557" s="501"/>
      <c r="FCA557" s="501"/>
      <c r="FCB557" s="501"/>
      <c r="FCC557" s="501"/>
      <c r="FCD557" s="501"/>
      <c r="FCE557" s="501"/>
      <c r="FCF557" s="501"/>
      <c r="FCG557" s="501"/>
      <c r="FCH557" s="501"/>
      <c r="FCI557" s="501"/>
      <c r="FCJ557" s="501"/>
      <c r="FCK557" s="501"/>
      <c r="FCL557" s="501"/>
      <c r="FCM557" s="501"/>
      <c r="FCN557" s="501"/>
      <c r="FCO557" s="501"/>
      <c r="FCP557" s="501"/>
      <c r="FCQ557" s="501"/>
      <c r="FCR557" s="501"/>
      <c r="FCS557" s="501"/>
      <c r="FCT557" s="501"/>
      <c r="FCU557" s="501"/>
      <c r="FCV557" s="501"/>
      <c r="FCW557" s="501"/>
      <c r="FCX557" s="501"/>
      <c r="FCY557" s="501"/>
      <c r="FCZ557" s="501"/>
      <c r="FDA557" s="501"/>
      <c r="FDB557" s="501"/>
      <c r="FDC557" s="501"/>
      <c r="FDD557" s="501"/>
      <c r="FDE557" s="501"/>
      <c r="FDF557" s="501"/>
      <c r="FDG557" s="501"/>
      <c r="FDH557" s="501"/>
      <c r="FDI557" s="501"/>
      <c r="FDJ557" s="501"/>
      <c r="FDK557" s="501"/>
      <c r="FDL557" s="501"/>
      <c r="FDM557" s="501"/>
      <c r="FDN557" s="501"/>
      <c r="FDO557" s="501"/>
      <c r="FDP557" s="501"/>
      <c r="FDQ557" s="501"/>
      <c r="FDR557" s="501"/>
      <c r="FDS557" s="501"/>
      <c r="FDT557" s="501"/>
      <c r="FDU557" s="501"/>
      <c r="FDV557" s="501"/>
      <c r="FDW557" s="501"/>
      <c r="FDX557" s="501"/>
      <c r="FDY557" s="501"/>
      <c r="FDZ557" s="501"/>
      <c r="FEA557" s="501"/>
      <c r="FEB557" s="501"/>
      <c r="FEC557" s="501"/>
      <c r="FED557" s="501"/>
      <c r="FEE557" s="501"/>
      <c r="FEF557" s="501"/>
      <c r="FEG557" s="501"/>
      <c r="FEH557" s="501"/>
      <c r="FEI557" s="501"/>
      <c r="FEJ557" s="501"/>
      <c r="FEK557" s="501"/>
      <c r="FEL557" s="501"/>
      <c r="FEM557" s="501"/>
      <c r="FEN557" s="501"/>
      <c r="FEO557" s="501"/>
      <c r="FEP557" s="501"/>
      <c r="FEQ557" s="501"/>
      <c r="FER557" s="501"/>
      <c r="FES557" s="501"/>
      <c r="FET557" s="501"/>
      <c r="FEU557" s="501"/>
      <c r="FEV557" s="501"/>
      <c r="FEW557" s="501"/>
      <c r="FEX557" s="501"/>
      <c r="FEY557" s="501"/>
      <c r="FEZ557" s="501"/>
      <c r="FFA557" s="501"/>
      <c r="FFB557" s="501"/>
      <c r="FFC557" s="501"/>
      <c r="FFD557" s="501"/>
      <c r="FFE557" s="501"/>
      <c r="FFF557" s="501"/>
      <c r="FFG557" s="501"/>
      <c r="FFH557" s="501"/>
      <c r="FFI557" s="501"/>
      <c r="FFJ557" s="501"/>
      <c r="FFK557" s="501"/>
      <c r="FFL557" s="501"/>
      <c r="FFM557" s="501"/>
      <c r="FFN557" s="501"/>
      <c r="FFO557" s="501"/>
      <c r="FFP557" s="501"/>
      <c r="FFQ557" s="501"/>
      <c r="FFR557" s="501"/>
      <c r="FFS557" s="501"/>
      <c r="FFT557" s="501"/>
      <c r="FFU557" s="501"/>
      <c r="FFV557" s="501"/>
      <c r="FFW557" s="501"/>
      <c r="FFX557" s="501"/>
      <c r="FFY557" s="501"/>
      <c r="FFZ557" s="501"/>
      <c r="FGA557" s="501"/>
      <c r="FGB557" s="501"/>
      <c r="FGC557" s="501"/>
      <c r="FGD557" s="501"/>
      <c r="FGE557" s="501"/>
      <c r="FGF557" s="501"/>
      <c r="FGG557" s="501"/>
      <c r="FGH557" s="501"/>
      <c r="FGI557" s="501"/>
      <c r="FGJ557" s="501"/>
      <c r="FGK557" s="501"/>
      <c r="FGL557" s="501"/>
      <c r="FGM557" s="501"/>
      <c r="FGN557" s="501"/>
      <c r="FGO557" s="501"/>
      <c r="FGP557" s="501"/>
      <c r="FGQ557" s="501"/>
      <c r="FGR557" s="501"/>
      <c r="FGS557" s="501"/>
      <c r="FGT557" s="501"/>
      <c r="FGU557" s="501"/>
      <c r="FGV557" s="501"/>
      <c r="FGW557" s="501"/>
      <c r="FGX557" s="501"/>
      <c r="FGY557" s="501"/>
      <c r="FGZ557" s="501"/>
      <c r="FHA557" s="501"/>
      <c r="FHB557" s="501"/>
      <c r="FHC557" s="501"/>
      <c r="FHD557" s="501"/>
      <c r="FHE557" s="501"/>
      <c r="FHF557" s="501"/>
      <c r="FHG557" s="501"/>
      <c r="FHH557" s="501"/>
      <c r="FHI557" s="501"/>
      <c r="FHJ557" s="501"/>
      <c r="FHK557" s="501"/>
      <c r="FHL557" s="501"/>
      <c r="FHM557" s="501"/>
      <c r="FHN557" s="501"/>
      <c r="FHO557" s="501"/>
      <c r="FHP557" s="501"/>
      <c r="FHQ557" s="501"/>
      <c r="FHR557" s="501"/>
      <c r="FHS557" s="501"/>
      <c r="FHT557" s="501"/>
      <c r="FHU557" s="501"/>
      <c r="FHV557" s="501"/>
      <c r="FHW557" s="501"/>
      <c r="FHX557" s="501"/>
      <c r="FHY557" s="501"/>
      <c r="FHZ557" s="501"/>
      <c r="FIA557" s="501"/>
      <c r="FIB557" s="501"/>
      <c r="FIC557" s="501"/>
      <c r="FID557" s="501"/>
      <c r="FIE557" s="501"/>
      <c r="FIF557" s="501"/>
      <c r="FIG557" s="501"/>
      <c r="FIH557" s="501"/>
      <c r="FII557" s="501"/>
      <c r="FIJ557" s="501"/>
      <c r="FIK557" s="501"/>
      <c r="FIL557" s="501"/>
      <c r="FIM557" s="501"/>
      <c r="FIN557" s="501"/>
      <c r="FIO557" s="501"/>
      <c r="FIP557" s="501"/>
      <c r="FIQ557" s="501"/>
      <c r="FIR557" s="501"/>
      <c r="FIS557" s="501"/>
      <c r="FIT557" s="501"/>
      <c r="FIU557" s="501"/>
      <c r="FIV557" s="501"/>
      <c r="FIW557" s="501"/>
      <c r="FIX557" s="501"/>
      <c r="FIY557" s="501"/>
      <c r="FIZ557" s="501"/>
      <c r="FJA557" s="501"/>
      <c r="FJB557" s="501"/>
      <c r="FJC557" s="501"/>
      <c r="FJD557" s="501"/>
      <c r="FJE557" s="501"/>
      <c r="FJF557" s="501"/>
      <c r="FJG557" s="501"/>
      <c r="FJH557" s="501"/>
      <c r="FJI557" s="501"/>
      <c r="FJJ557" s="501"/>
      <c r="FJK557" s="501"/>
      <c r="FJL557" s="501"/>
      <c r="FJM557" s="501"/>
      <c r="FJN557" s="501"/>
      <c r="FJO557" s="501"/>
      <c r="FJP557" s="501"/>
      <c r="FJQ557" s="501"/>
      <c r="FJR557" s="501"/>
      <c r="FJS557" s="501"/>
      <c r="FJT557" s="501"/>
      <c r="FJU557" s="501"/>
      <c r="FJV557" s="501"/>
      <c r="FJW557" s="501"/>
      <c r="FJX557" s="501"/>
      <c r="FJY557" s="501"/>
      <c r="FJZ557" s="501"/>
      <c r="FKA557" s="501"/>
      <c r="FKB557" s="501"/>
      <c r="FKC557" s="501"/>
      <c r="FKD557" s="501"/>
      <c r="FKE557" s="501"/>
      <c r="FKF557" s="501"/>
      <c r="FKG557" s="501"/>
      <c r="FKH557" s="501"/>
      <c r="FKI557" s="501"/>
      <c r="FKJ557" s="501"/>
      <c r="FKK557" s="501"/>
      <c r="FKL557" s="501"/>
      <c r="FKM557" s="501"/>
      <c r="FKN557" s="501"/>
      <c r="FKO557" s="501"/>
      <c r="FKP557" s="501"/>
      <c r="FKQ557" s="501"/>
      <c r="FKR557" s="501"/>
      <c r="FKS557" s="501"/>
      <c r="FKT557" s="501"/>
      <c r="FKU557" s="501"/>
      <c r="FKV557" s="501"/>
      <c r="FKW557" s="501"/>
      <c r="FKX557" s="501"/>
      <c r="FKY557" s="501"/>
      <c r="FKZ557" s="501"/>
      <c r="FLA557" s="501"/>
      <c r="FLB557" s="501"/>
      <c r="FLC557" s="501"/>
      <c r="FLD557" s="501"/>
      <c r="FLE557" s="501"/>
      <c r="FLF557" s="501"/>
      <c r="FLG557" s="501"/>
      <c r="FLH557" s="501"/>
      <c r="FLI557" s="501"/>
      <c r="FLJ557" s="501"/>
      <c r="FLK557" s="501"/>
      <c r="FLL557" s="501"/>
      <c r="FLM557" s="501"/>
      <c r="FLN557" s="501"/>
      <c r="FLO557" s="501"/>
      <c r="FLP557" s="501"/>
      <c r="FLQ557" s="501"/>
      <c r="FLR557" s="501"/>
      <c r="FLS557" s="501"/>
      <c r="FLT557" s="501"/>
      <c r="FLU557" s="501"/>
      <c r="FLV557" s="501"/>
      <c r="FLW557" s="501"/>
      <c r="FLX557" s="501"/>
      <c r="FLY557" s="501"/>
      <c r="FLZ557" s="501"/>
      <c r="FMA557" s="501"/>
      <c r="FMB557" s="501"/>
      <c r="FMC557" s="501"/>
      <c r="FMD557" s="501"/>
      <c r="FME557" s="501"/>
      <c r="FMF557" s="501"/>
      <c r="FMG557" s="501"/>
      <c r="FMH557" s="501"/>
      <c r="FMI557" s="501"/>
      <c r="FMJ557" s="501"/>
      <c r="FMK557" s="501"/>
      <c r="FML557" s="501"/>
      <c r="FMM557" s="501"/>
      <c r="FMN557" s="501"/>
      <c r="FMO557" s="501"/>
      <c r="FMP557" s="501"/>
      <c r="FMQ557" s="501"/>
      <c r="FMR557" s="501"/>
      <c r="FMS557" s="501"/>
      <c r="FMT557" s="501"/>
      <c r="FMU557" s="501"/>
      <c r="FMV557" s="501"/>
      <c r="FMW557" s="501"/>
      <c r="FMX557" s="501"/>
      <c r="FMY557" s="501"/>
      <c r="FMZ557" s="501"/>
      <c r="FNA557" s="501"/>
      <c r="FNB557" s="501"/>
      <c r="FNC557" s="501"/>
      <c r="FND557" s="501"/>
      <c r="FNE557" s="501"/>
      <c r="FNF557" s="501"/>
      <c r="FNG557" s="501"/>
      <c r="FNH557" s="501"/>
      <c r="FNI557" s="501"/>
      <c r="FNJ557" s="501"/>
      <c r="FNK557" s="501"/>
      <c r="FNL557" s="501"/>
      <c r="FNM557" s="501"/>
      <c r="FNN557" s="501"/>
      <c r="FNO557" s="501"/>
      <c r="FNP557" s="501"/>
      <c r="FNQ557" s="501"/>
      <c r="FNR557" s="501"/>
      <c r="FNS557" s="501"/>
      <c r="FNT557" s="501"/>
      <c r="FNU557" s="501"/>
      <c r="FNV557" s="501"/>
      <c r="FNW557" s="501"/>
      <c r="FNX557" s="501"/>
      <c r="FNY557" s="501"/>
      <c r="FNZ557" s="501"/>
      <c r="FOA557" s="501"/>
      <c r="FOB557" s="501"/>
      <c r="FOC557" s="501"/>
      <c r="FOD557" s="501"/>
      <c r="FOE557" s="501"/>
      <c r="FOF557" s="501"/>
      <c r="FOG557" s="501"/>
      <c r="FOH557" s="501"/>
      <c r="FOI557" s="501"/>
      <c r="FOJ557" s="501"/>
      <c r="FOK557" s="501"/>
      <c r="FOL557" s="501"/>
      <c r="FOM557" s="501"/>
      <c r="FON557" s="501"/>
      <c r="FOO557" s="501"/>
      <c r="FOP557" s="501"/>
      <c r="FOQ557" s="501"/>
      <c r="FOR557" s="501"/>
      <c r="FOS557" s="501"/>
      <c r="FOT557" s="501"/>
      <c r="FOU557" s="501"/>
      <c r="FOV557" s="501"/>
      <c r="FOW557" s="501"/>
      <c r="FOX557" s="501"/>
      <c r="FOY557" s="501"/>
      <c r="FOZ557" s="501"/>
      <c r="FPA557" s="501"/>
      <c r="FPB557" s="501"/>
      <c r="FPC557" s="501"/>
      <c r="FPD557" s="501"/>
      <c r="FPE557" s="501"/>
      <c r="FPF557" s="501"/>
      <c r="FPG557" s="501"/>
      <c r="FPH557" s="501"/>
      <c r="FPI557" s="501"/>
      <c r="FPJ557" s="501"/>
      <c r="FPK557" s="501"/>
      <c r="FPL557" s="501"/>
      <c r="FPM557" s="501"/>
      <c r="FPN557" s="501"/>
      <c r="FPO557" s="501"/>
      <c r="FPP557" s="501"/>
      <c r="FPQ557" s="501"/>
      <c r="FPR557" s="501"/>
      <c r="FPS557" s="501"/>
      <c r="FPT557" s="501"/>
      <c r="FPU557" s="501"/>
      <c r="FPV557" s="501"/>
      <c r="FPW557" s="501"/>
      <c r="FPX557" s="501"/>
      <c r="FPY557" s="501"/>
      <c r="FPZ557" s="501"/>
      <c r="FQA557" s="501"/>
      <c r="FQB557" s="501"/>
      <c r="FQC557" s="501"/>
      <c r="FQD557" s="501"/>
      <c r="FQE557" s="501"/>
      <c r="FQF557" s="501"/>
      <c r="FQG557" s="501"/>
      <c r="FQH557" s="501"/>
      <c r="FQI557" s="501"/>
      <c r="FQJ557" s="501"/>
      <c r="FQK557" s="501"/>
      <c r="FQL557" s="501"/>
      <c r="FQM557" s="501"/>
      <c r="FQN557" s="501"/>
      <c r="FQO557" s="501"/>
      <c r="FQP557" s="501"/>
      <c r="FQQ557" s="501"/>
      <c r="FQR557" s="501"/>
      <c r="FQS557" s="501"/>
      <c r="FQT557" s="501"/>
      <c r="FQU557" s="501"/>
      <c r="FQV557" s="501"/>
      <c r="FQW557" s="501"/>
      <c r="FQX557" s="501"/>
      <c r="FQY557" s="501"/>
      <c r="FQZ557" s="501"/>
      <c r="FRA557" s="501"/>
      <c r="FRB557" s="501"/>
      <c r="FRC557" s="501"/>
      <c r="FRD557" s="501"/>
      <c r="FRE557" s="501"/>
      <c r="FRF557" s="501"/>
      <c r="FRG557" s="501"/>
      <c r="FRH557" s="501"/>
      <c r="FRI557" s="501"/>
      <c r="FRJ557" s="501"/>
      <c r="FRK557" s="501"/>
      <c r="FRL557" s="501"/>
      <c r="FRM557" s="501"/>
      <c r="FRN557" s="501"/>
      <c r="FRO557" s="501"/>
      <c r="FRP557" s="501"/>
      <c r="FRQ557" s="501"/>
      <c r="FRR557" s="501"/>
      <c r="FRS557" s="501"/>
      <c r="FRT557" s="501"/>
      <c r="FRU557" s="501"/>
      <c r="FRV557" s="501"/>
      <c r="FRW557" s="501"/>
      <c r="FRX557" s="501"/>
      <c r="FRY557" s="501"/>
      <c r="FRZ557" s="501"/>
      <c r="FSA557" s="501"/>
      <c r="FSB557" s="501"/>
      <c r="FSC557" s="501"/>
      <c r="FSD557" s="501"/>
      <c r="FSE557" s="501"/>
      <c r="FSF557" s="501"/>
      <c r="FSG557" s="501"/>
      <c r="FSH557" s="501"/>
      <c r="FSI557" s="501"/>
      <c r="FSJ557" s="501"/>
      <c r="FSK557" s="501"/>
      <c r="FSL557" s="501"/>
      <c r="FSM557" s="501"/>
      <c r="FSN557" s="501"/>
      <c r="FSO557" s="501"/>
      <c r="FSP557" s="501"/>
      <c r="FSQ557" s="501"/>
      <c r="FSR557" s="501"/>
      <c r="FSS557" s="501"/>
      <c r="FST557" s="501"/>
      <c r="FSU557" s="501"/>
      <c r="FSV557" s="501"/>
      <c r="FSW557" s="501"/>
      <c r="FSX557" s="501"/>
      <c r="FSY557" s="501"/>
      <c r="FSZ557" s="501"/>
      <c r="FTA557" s="501"/>
      <c r="FTB557" s="501"/>
      <c r="FTC557" s="501"/>
      <c r="FTD557" s="501"/>
      <c r="FTE557" s="501"/>
      <c r="FTF557" s="501"/>
      <c r="FTG557" s="501"/>
      <c r="FTH557" s="501"/>
      <c r="FTI557" s="501"/>
      <c r="FTJ557" s="501"/>
      <c r="FTK557" s="501"/>
      <c r="FTL557" s="501"/>
      <c r="FTM557" s="501"/>
      <c r="FTN557" s="501"/>
      <c r="FTO557" s="501"/>
      <c r="FTP557" s="501"/>
      <c r="FTQ557" s="501"/>
      <c r="FTR557" s="501"/>
      <c r="FTS557" s="501"/>
      <c r="FTT557" s="501"/>
      <c r="FTU557" s="501"/>
      <c r="FTV557" s="501"/>
      <c r="FTW557" s="501"/>
      <c r="FTX557" s="501"/>
      <c r="FTY557" s="501"/>
      <c r="FTZ557" s="501"/>
      <c r="FUA557" s="501"/>
      <c r="FUB557" s="501"/>
      <c r="FUC557" s="501"/>
      <c r="FUD557" s="501"/>
      <c r="FUE557" s="501"/>
      <c r="FUF557" s="501"/>
      <c r="FUG557" s="501"/>
      <c r="FUH557" s="501"/>
      <c r="FUI557" s="501"/>
      <c r="FUJ557" s="501"/>
      <c r="FUK557" s="501"/>
      <c r="FUL557" s="501"/>
      <c r="FUM557" s="501"/>
      <c r="FUN557" s="501"/>
      <c r="FUO557" s="501"/>
      <c r="FUP557" s="501"/>
      <c r="FUQ557" s="501"/>
      <c r="FUR557" s="501"/>
      <c r="FUS557" s="501"/>
      <c r="FUT557" s="501"/>
      <c r="FUU557" s="501"/>
      <c r="FUV557" s="501"/>
      <c r="FUW557" s="501"/>
      <c r="FUX557" s="501"/>
      <c r="FUY557" s="501"/>
      <c r="FUZ557" s="501"/>
      <c r="FVA557" s="501"/>
      <c r="FVB557" s="501"/>
      <c r="FVC557" s="501"/>
      <c r="FVD557" s="501"/>
      <c r="FVE557" s="501"/>
      <c r="FVF557" s="501"/>
      <c r="FVG557" s="501"/>
      <c r="FVH557" s="501"/>
      <c r="FVI557" s="501"/>
      <c r="FVJ557" s="501"/>
      <c r="FVK557" s="501"/>
      <c r="FVL557" s="501"/>
      <c r="FVM557" s="501"/>
      <c r="FVN557" s="501"/>
      <c r="FVO557" s="501"/>
      <c r="FVP557" s="501"/>
      <c r="FVQ557" s="501"/>
      <c r="FVR557" s="501"/>
      <c r="FVS557" s="501"/>
      <c r="FVT557" s="501"/>
      <c r="FVU557" s="501"/>
      <c r="FVV557" s="501"/>
      <c r="FVW557" s="501"/>
      <c r="FVX557" s="501"/>
      <c r="FVY557" s="501"/>
      <c r="FVZ557" s="501"/>
      <c r="FWA557" s="501"/>
      <c r="FWB557" s="501"/>
      <c r="FWC557" s="501"/>
      <c r="FWD557" s="501"/>
      <c r="FWE557" s="501"/>
      <c r="FWF557" s="501"/>
      <c r="FWG557" s="501"/>
      <c r="FWH557" s="501"/>
      <c r="FWI557" s="501"/>
      <c r="FWJ557" s="501"/>
      <c r="FWK557" s="501"/>
      <c r="FWL557" s="501"/>
      <c r="FWM557" s="501"/>
      <c r="FWN557" s="501"/>
      <c r="FWO557" s="501"/>
      <c r="FWP557" s="501"/>
      <c r="FWQ557" s="501"/>
      <c r="FWR557" s="501"/>
      <c r="FWS557" s="501"/>
      <c r="FWT557" s="501"/>
      <c r="FWU557" s="501"/>
      <c r="FWV557" s="501"/>
      <c r="FWW557" s="501"/>
      <c r="FWX557" s="501"/>
      <c r="FWY557" s="501"/>
      <c r="FWZ557" s="501"/>
      <c r="FXA557" s="501"/>
      <c r="FXB557" s="501"/>
      <c r="FXC557" s="501"/>
      <c r="FXD557" s="501"/>
      <c r="FXE557" s="501"/>
      <c r="FXF557" s="501"/>
      <c r="FXG557" s="501"/>
      <c r="FXH557" s="501"/>
      <c r="FXI557" s="501"/>
      <c r="FXJ557" s="501"/>
      <c r="FXK557" s="501"/>
      <c r="FXL557" s="501"/>
      <c r="FXM557" s="501"/>
      <c r="FXN557" s="501"/>
      <c r="FXO557" s="501"/>
      <c r="FXP557" s="501"/>
      <c r="FXQ557" s="501"/>
      <c r="FXR557" s="501"/>
      <c r="FXS557" s="501"/>
      <c r="FXT557" s="501"/>
      <c r="FXU557" s="501"/>
      <c r="FXV557" s="501"/>
      <c r="FXW557" s="501"/>
      <c r="FXX557" s="501"/>
      <c r="FXY557" s="501"/>
      <c r="FXZ557" s="501"/>
      <c r="FYA557" s="501"/>
      <c r="FYB557" s="501"/>
      <c r="FYC557" s="501"/>
      <c r="FYD557" s="501"/>
      <c r="FYE557" s="501"/>
      <c r="FYF557" s="501"/>
      <c r="FYG557" s="501"/>
      <c r="FYH557" s="501"/>
      <c r="FYI557" s="501"/>
      <c r="FYJ557" s="501"/>
      <c r="FYK557" s="501"/>
      <c r="FYL557" s="501"/>
      <c r="FYM557" s="501"/>
      <c r="FYN557" s="501"/>
      <c r="FYO557" s="501"/>
      <c r="FYP557" s="501"/>
      <c r="FYQ557" s="501"/>
      <c r="FYR557" s="501"/>
      <c r="FYS557" s="501"/>
      <c r="FYT557" s="501"/>
      <c r="FYU557" s="501"/>
      <c r="FYV557" s="501"/>
      <c r="FYW557" s="501"/>
      <c r="FYX557" s="501"/>
      <c r="FYY557" s="501"/>
      <c r="FYZ557" s="501"/>
      <c r="FZA557" s="501"/>
      <c r="FZB557" s="501"/>
      <c r="FZC557" s="501"/>
      <c r="FZD557" s="501"/>
      <c r="FZE557" s="501"/>
      <c r="FZF557" s="501"/>
      <c r="FZG557" s="501"/>
      <c r="FZH557" s="501"/>
      <c r="FZI557" s="501"/>
      <c r="FZJ557" s="501"/>
      <c r="FZK557" s="501"/>
      <c r="FZL557" s="501"/>
      <c r="FZM557" s="501"/>
      <c r="FZN557" s="501"/>
      <c r="FZO557" s="501"/>
      <c r="FZP557" s="501"/>
      <c r="FZQ557" s="501"/>
      <c r="FZR557" s="501"/>
      <c r="FZS557" s="501"/>
      <c r="FZT557" s="501"/>
      <c r="FZU557" s="501"/>
      <c r="FZV557" s="501"/>
      <c r="FZW557" s="501"/>
      <c r="FZX557" s="501"/>
      <c r="FZY557" s="501"/>
      <c r="FZZ557" s="501"/>
      <c r="GAA557" s="501"/>
      <c r="GAB557" s="501"/>
      <c r="GAC557" s="501"/>
      <c r="GAD557" s="501"/>
      <c r="GAE557" s="501"/>
      <c r="GAF557" s="501"/>
      <c r="GAG557" s="501"/>
      <c r="GAH557" s="501"/>
      <c r="GAI557" s="501"/>
      <c r="GAJ557" s="501"/>
      <c r="GAK557" s="501"/>
      <c r="GAL557" s="501"/>
      <c r="GAM557" s="501"/>
      <c r="GAN557" s="501"/>
      <c r="GAO557" s="501"/>
      <c r="GAP557" s="501"/>
      <c r="GAQ557" s="501"/>
      <c r="GAR557" s="501"/>
      <c r="GAS557" s="501"/>
      <c r="GAT557" s="501"/>
      <c r="GAU557" s="501"/>
      <c r="GAV557" s="501"/>
      <c r="GAW557" s="501"/>
      <c r="GAX557" s="501"/>
      <c r="GAY557" s="501"/>
      <c r="GAZ557" s="501"/>
      <c r="GBA557" s="501"/>
      <c r="GBB557" s="501"/>
      <c r="GBC557" s="501"/>
      <c r="GBD557" s="501"/>
      <c r="GBE557" s="501"/>
      <c r="GBF557" s="501"/>
      <c r="GBG557" s="501"/>
      <c r="GBH557" s="501"/>
      <c r="GBI557" s="501"/>
      <c r="GBJ557" s="501"/>
      <c r="GBK557" s="501"/>
      <c r="GBL557" s="501"/>
      <c r="GBM557" s="501"/>
      <c r="GBN557" s="501"/>
      <c r="GBO557" s="501"/>
      <c r="GBP557" s="501"/>
      <c r="GBQ557" s="501"/>
      <c r="GBR557" s="501"/>
      <c r="GBS557" s="501"/>
      <c r="GBT557" s="501"/>
      <c r="GBU557" s="501"/>
      <c r="GBV557" s="501"/>
      <c r="GBW557" s="501"/>
      <c r="GBX557" s="501"/>
      <c r="GBY557" s="501"/>
      <c r="GBZ557" s="501"/>
      <c r="GCA557" s="501"/>
      <c r="GCB557" s="501"/>
      <c r="GCC557" s="501"/>
      <c r="GCD557" s="501"/>
      <c r="GCE557" s="501"/>
      <c r="GCF557" s="501"/>
      <c r="GCG557" s="501"/>
      <c r="GCH557" s="501"/>
      <c r="GCI557" s="501"/>
      <c r="GCJ557" s="501"/>
      <c r="GCK557" s="501"/>
      <c r="GCL557" s="501"/>
      <c r="GCM557" s="501"/>
      <c r="GCN557" s="501"/>
      <c r="GCO557" s="501"/>
      <c r="GCP557" s="501"/>
      <c r="GCQ557" s="501"/>
      <c r="GCR557" s="501"/>
      <c r="GCS557" s="501"/>
      <c r="GCT557" s="501"/>
      <c r="GCU557" s="501"/>
      <c r="GCV557" s="501"/>
      <c r="GCW557" s="501"/>
      <c r="GCX557" s="501"/>
      <c r="GCY557" s="501"/>
      <c r="GCZ557" s="501"/>
      <c r="GDA557" s="501"/>
      <c r="GDB557" s="501"/>
      <c r="GDC557" s="501"/>
      <c r="GDD557" s="501"/>
      <c r="GDE557" s="501"/>
      <c r="GDF557" s="501"/>
      <c r="GDG557" s="501"/>
      <c r="GDH557" s="501"/>
      <c r="GDI557" s="501"/>
      <c r="GDJ557" s="501"/>
      <c r="GDK557" s="501"/>
      <c r="GDL557" s="501"/>
      <c r="GDM557" s="501"/>
      <c r="GDN557" s="501"/>
      <c r="GDO557" s="501"/>
      <c r="GDP557" s="501"/>
      <c r="GDQ557" s="501"/>
      <c r="GDR557" s="501"/>
      <c r="GDS557" s="501"/>
      <c r="GDT557" s="501"/>
      <c r="GDU557" s="501"/>
      <c r="GDV557" s="501"/>
      <c r="GDW557" s="501"/>
      <c r="GDX557" s="501"/>
      <c r="GDY557" s="501"/>
      <c r="GDZ557" s="501"/>
      <c r="GEA557" s="501"/>
      <c r="GEB557" s="501"/>
      <c r="GEC557" s="501"/>
      <c r="GED557" s="501"/>
      <c r="GEE557" s="501"/>
      <c r="GEF557" s="501"/>
      <c r="GEG557" s="501"/>
      <c r="GEH557" s="501"/>
      <c r="GEI557" s="501"/>
      <c r="GEJ557" s="501"/>
      <c r="GEK557" s="501"/>
      <c r="GEL557" s="501"/>
      <c r="GEM557" s="501"/>
      <c r="GEN557" s="501"/>
      <c r="GEO557" s="501"/>
      <c r="GEP557" s="501"/>
      <c r="GEQ557" s="501"/>
      <c r="GER557" s="501"/>
      <c r="GES557" s="501"/>
      <c r="GET557" s="501"/>
      <c r="GEU557" s="501"/>
      <c r="GEV557" s="501"/>
      <c r="GEW557" s="501"/>
      <c r="GEX557" s="501"/>
      <c r="GEY557" s="501"/>
      <c r="GEZ557" s="501"/>
      <c r="GFA557" s="501"/>
      <c r="GFB557" s="501"/>
      <c r="GFC557" s="501"/>
      <c r="GFD557" s="501"/>
      <c r="GFE557" s="501"/>
      <c r="GFF557" s="501"/>
      <c r="GFG557" s="501"/>
      <c r="GFH557" s="501"/>
      <c r="GFI557" s="501"/>
      <c r="GFJ557" s="501"/>
      <c r="GFK557" s="501"/>
      <c r="GFL557" s="501"/>
      <c r="GFM557" s="501"/>
      <c r="GFN557" s="501"/>
      <c r="GFO557" s="501"/>
      <c r="GFP557" s="501"/>
      <c r="GFQ557" s="501"/>
      <c r="GFR557" s="501"/>
      <c r="GFS557" s="501"/>
      <c r="GFT557" s="501"/>
      <c r="GFU557" s="501"/>
      <c r="GFV557" s="501"/>
      <c r="GFW557" s="501"/>
      <c r="GFX557" s="501"/>
      <c r="GFY557" s="501"/>
      <c r="GFZ557" s="501"/>
      <c r="GGA557" s="501"/>
      <c r="GGB557" s="501"/>
      <c r="GGC557" s="501"/>
      <c r="GGD557" s="501"/>
      <c r="GGE557" s="501"/>
      <c r="GGF557" s="501"/>
      <c r="GGG557" s="501"/>
      <c r="GGH557" s="501"/>
      <c r="GGI557" s="501"/>
      <c r="GGJ557" s="501"/>
      <c r="GGK557" s="501"/>
      <c r="GGL557" s="501"/>
      <c r="GGM557" s="501"/>
      <c r="GGN557" s="501"/>
      <c r="GGO557" s="501"/>
      <c r="GGP557" s="501"/>
      <c r="GGQ557" s="501"/>
      <c r="GGR557" s="501"/>
      <c r="GGS557" s="501"/>
      <c r="GGT557" s="501"/>
      <c r="GGU557" s="501"/>
      <c r="GGV557" s="501"/>
      <c r="GGW557" s="501"/>
      <c r="GGX557" s="501"/>
      <c r="GGY557" s="501"/>
      <c r="GGZ557" s="501"/>
      <c r="GHA557" s="501"/>
      <c r="GHB557" s="501"/>
      <c r="GHC557" s="501"/>
      <c r="GHD557" s="501"/>
      <c r="GHE557" s="501"/>
      <c r="GHF557" s="501"/>
      <c r="GHG557" s="501"/>
      <c r="GHH557" s="501"/>
      <c r="GHI557" s="501"/>
      <c r="GHJ557" s="501"/>
      <c r="GHK557" s="501"/>
      <c r="GHL557" s="501"/>
      <c r="GHM557" s="501"/>
      <c r="GHN557" s="501"/>
      <c r="GHO557" s="501"/>
      <c r="GHP557" s="501"/>
      <c r="GHQ557" s="501"/>
      <c r="GHR557" s="501"/>
      <c r="GHS557" s="501"/>
      <c r="GHT557" s="501"/>
      <c r="GHU557" s="501"/>
      <c r="GHV557" s="501"/>
      <c r="GHW557" s="501"/>
      <c r="GHX557" s="501"/>
      <c r="GHY557" s="501"/>
      <c r="GHZ557" s="501"/>
      <c r="GIA557" s="501"/>
      <c r="GIB557" s="501"/>
      <c r="GIC557" s="501"/>
      <c r="GID557" s="501"/>
      <c r="GIE557" s="501"/>
      <c r="GIF557" s="501"/>
      <c r="GIG557" s="501"/>
      <c r="GIH557" s="501"/>
      <c r="GII557" s="501"/>
      <c r="GIJ557" s="501"/>
      <c r="GIK557" s="501"/>
      <c r="GIL557" s="501"/>
      <c r="GIM557" s="501"/>
      <c r="GIN557" s="501"/>
      <c r="GIO557" s="501"/>
      <c r="GIP557" s="501"/>
      <c r="GIQ557" s="501"/>
      <c r="GIR557" s="501"/>
      <c r="GIS557" s="501"/>
      <c r="GIT557" s="501"/>
      <c r="GIU557" s="501"/>
      <c r="GIV557" s="501"/>
      <c r="GIW557" s="501"/>
      <c r="GIX557" s="501"/>
      <c r="GIY557" s="501"/>
      <c r="GIZ557" s="501"/>
      <c r="GJA557" s="501"/>
      <c r="GJB557" s="501"/>
      <c r="GJC557" s="501"/>
      <c r="GJD557" s="501"/>
      <c r="GJE557" s="501"/>
      <c r="GJF557" s="501"/>
      <c r="GJG557" s="501"/>
      <c r="GJH557" s="501"/>
      <c r="GJI557" s="501"/>
      <c r="GJJ557" s="501"/>
      <c r="GJK557" s="501"/>
      <c r="GJL557" s="501"/>
      <c r="GJM557" s="501"/>
      <c r="GJN557" s="501"/>
      <c r="GJO557" s="501"/>
      <c r="GJP557" s="501"/>
      <c r="GJQ557" s="501"/>
      <c r="GJR557" s="501"/>
      <c r="GJS557" s="501"/>
      <c r="GJT557" s="501"/>
      <c r="GJU557" s="501"/>
      <c r="GJV557" s="501"/>
      <c r="GJW557" s="501"/>
      <c r="GJX557" s="501"/>
      <c r="GJY557" s="501"/>
      <c r="GJZ557" s="501"/>
      <c r="GKA557" s="501"/>
      <c r="GKB557" s="501"/>
      <c r="GKC557" s="501"/>
      <c r="GKD557" s="501"/>
      <c r="GKE557" s="501"/>
      <c r="GKF557" s="501"/>
      <c r="GKG557" s="501"/>
      <c r="GKH557" s="501"/>
      <c r="GKI557" s="501"/>
      <c r="GKJ557" s="501"/>
      <c r="GKK557" s="501"/>
      <c r="GKL557" s="501"/>
      <c r="GKM557" s="501"/>
      <c r="GKN557" s="501"/>
      <c r="GKO557" s="501"/>
      <c r="GKP557" s="501"/>
      <c r="GKQ557" s="501"/>
      <c r="GKR557" s="501"/>
      <c r="GKS557" s="501"/>
      <c r="GKT557" s="501"/>
      <c r="GKU557" s="501"/>
      <c r="GKV557" s="501"/>
      <c r="GKW557" s="501"/>
      <c r="GKX557" s="501"/>
      <c r="GKY557" s="501"/>
      <c r="GKZ557" s="501"/>
      <c r="GLA557" s="501"/>
      <c r="GLB557" s="501"/>
      <c r="GLC557" s="501"/>
      <c r="GLD557" s="501"/>
      <c r="GLE557" s="501"/>
      <c r="GLF557" s="501"/>
      <c r="GLG557" s="501"/>
      <c r="GLH557" s="501"/>
      <c r="GLI557" s="501"/>
      <c r="GLJ557" s="501"/>
      <c r="GLK557" s="501"/>
      <c r="GLL557" s="501"/>
      <c r="GLM557" s="501"/>
      <c r="GLN557" s="501"/>
      <c r="GLO557" s="501"/>
      <c r="GLP557" s="501"/>
      <c r="GLQ557" s="501"/>
      <c r="GLR557" s="501"/>
      <c r="GLS557" s="501"/>
      <c r="GLT557" s="501"/>
      <c r="GLU557" s="501"/>
      <c r="GLV557" s="501"/>
      <c r="GLW557" s="501"/>
      <c r="GLX557" s="501"/>
      <c r="GLY557" s="501"/>
      <c r="GLZ557" s="501"/>
      <c r="GMA557" s="501"/>
      <c r="GMB557" s="501"/>
      <c r="GMC557" s="501"/>
      <c r="GMD557" s="501"/>
      <c r="GME557" s="501"/>
      <c r="GMF557" s="501"/>
      <c r="GMG557" s="501"/>
      <c r="GMH557" s="501"/>
      <c r="GMI557" s="501"/>
      <c r="GMJ557" s="501"/>
      <c r="GMK557" s="501"/>
      <c r="GML557" s="501"/>
      <c r="GMM557" s="501"/>
      <c r="GMN557" s="501"/>
      <c r="GMO557" s="501"/>
      <c r="GMP557" s="501"/>
      <c r="GMQ557" s="501"/>
      <c r="GMR557" s="501"/>
      <c r="GMS557" s="501"/>
      <c r="GMT557" s="501"/>
      <c r="GMU557" s="501"/>
      <c r="GMV557" s="501"/>
      <c r="GMW557" s="501"/>
      <c r="GMX557" s="501"/>
      <c r="GMY557" s="501"/>
      <c r="GMZ557" s="501"/>
      <c r="GNA557" s="501"/>
      <c r="GNB557" s="501"/>
      <c r="GNC557" s="501"/>
      <c r="GND557" s="501"/>
      <c r="GNE557" s="501"/>
      <c r="GNF557" s="501"/>
      <c r="GNG557" s="501"/>
      <c r="GNH557" s="501"/>
      <c r="GNI557" s="501"/>
      <c r="GNJ557" s="501"/>
      <c r="GNK557" s="501"/>
      <c r="GNL557" s="501"/>
      <c r="GNM557" s="501"/>
      <c r="GNN557" s="501"/>
      <c r="GNO557" s="501"/>
      <c r="GNP557" s="501"/>
      <c r="GNQ557" s="501"/>
      <c r="GNR557" s="501"/>
      <c r="GNS557" s="501"/>
      <c r="GNT557" s="501"/>
      <c r="GNU557" s="501"/>
      <c r="GNV557" s="501"/>
      <c r="GNW557" s="501"/>
      <c r="GNX557" s="501"/>
      <c r="GNY557" s="501"/>
      <c r="GNZ557" s="501"/>
      <c r="GOA557" s="501"/>
      <c r="GOB557" s="501"/>
      <c r="GOC557" s="501"/>
      <c r="GOD557" s="501"/>
      <c r="GOE557" s="501"/>
      <c r="GOF557" s="501"/>
      <c r="GOG557" s="501"/>
      <c r="GOH557" s="501"/>
      <c r="GOI557" s="501"/>
      <c r="GOJ557" s="501"/>
      <c r="GOK557" s="501"/>
      <c r="GOL557" s="501"/>
      <c r="GOM557" s="501"/>
      <c r="GON557" s="501"/>
      <c r="GOO557" s="501"/>
      <c r="GOP557" s="501"/>
      <c r="GOQ557" s="501"/>
      <c r="GOR557" s="501"/>
      <c r="GOS557" s="501"/>
      <c r="GOT557" s="501"/>
      <c r="GOU557" s="501"/>
      <c r="GOV557" s="501"/>
      <c r="GOW557" s="501"/>
      <c r="GOX557" s="501"/>
      <c r="GOY557" s="501"/>
      <c r="GOZ557" s="501"/>
      <c r="GPA557" s="501"/>
      <c r="GPB557" s="501"/>
      <c r="GPC557" s="501"/>
      <c r="GPD557" s="501"/>
      <c r="GPE557" s="501"/>
      <c r="GPF557" s="501"/>
      <c r="GPG557" s="501"/>
      <c r="GPH557" s="501"/>
      <c r="GPI557" s="501"/>
      <c r="GPJ557" s="501"/>
      <c r="GPK557" s="501"/>
      <c r="GPL557" s="501"/>
      <c r="GPM557" s="501"/>
      <c r="GPN557" s="501"/>
      <c r="GPO557" s="501"/>
      <c r="GPP557" s="501"/>
      <c r="GPQ557" s="501"/>
      <c r="GPR557" s="501"/>
      <c r="GPS557" s="501"/>
      <c r="GPT557" s="501"/>
      <c r="GPU557" s="501"/>
      <c r="GPV557" s="501"/>
      <c r="GPW557" s="501"/>
      <c r="GPX557" s="501"/>
      <c r="GPY557" s="501"/>
      <c r="GPZ557" s="501"/>
      <c r="GQA557" s="501"/>
      <c r="GQB557" s="501"/>
      <c r="GQC557" s="501"/>
      <c r="GQD557" s="501"/>
      <c r="GQE557" s="501"/>
      <c r="GQF557" s="501"/>
      <c r="GQG557" s="501"/>
      <c r="GQH557" s="501"/>
      <c r="GQI557" s="501"/>
      <c r="GQJ557" s="501"/>
      <c r="GQK557" s="501"/>
      <c r="GQL557" s="501"/>
      <c r="GQM557" s="501"/>
      <c r="GQN557" s="501"/>
      <c r="GQO557" s="501"/>
      <c r="GQP557" s="501"/>
      <c r="GQQ557" s="501"/>
      <c r="GQR557" s="501"/>
      <c r="GQS557" s="501"/>
      <c r="GQT557" s="501"/>
      <c r="GQU557" s="501"/>
      <c r="GQV557" s="501"/>
      <c r="GQW557" s="501"/>
      <c r="GQX557" s="501"/>
      <c r="GQY557" s="501"/>
      <c r="GQZ557" s="501"/>
      <c r="GRA557" s="501"/>
      <c r="GRB557" s="501"/>
      <c r="GRC557" s="501"/>
      <c r="GRD557" s="501"/>
      <c r="GRE557" s="501"/>
      <c r="GRF557" s="501"/>
      <c r="GRG557" s="501"/>
      <c r="GRH557" s="501"/>
      <c r="GRI557" s="501"/>
      <c r="GRJ557" s="501"/>
      <c r="GRK557" s="501"/>
      <c r="GRL557" s="501"/>
      <c r="GRM557" s="501"/>
      <c r="GRN557" s="501"/>
      <c r="GRO557" s="501"/>
      <c r="GRP557" s="501"/>
      <c r="GRQ557" s="501"/>
      <c r="GRR557" s="501"/>
      <c r="GRS557" s="501"/>
      <c r="GRT557" s="501"/>
      <c r="GRU557" s="501"/>
      <c r="GRV557" s="501"/>
      <c r="GRW557" s="501"/>
      <c r="GRX557" s="501"/>
      <c r="GRY557" s="501"/>
      <c r="GRZ557" s="501"/>
      <c r="GSA557" s="501"/>
      <c r="GSB557" s="501"/>
      <c r="GSC557" s="501"/>
      <c r="GSD557" s="501"/>
      <c r="GSE557" s="501"/>
      <c r="GSF557" s="501"/>
      <c r="GSG557" s="501"/>
      <c r="GSH557" s="501"/>
      <c r="GSI557" s="501"/>
      <c r="GSJ557" s="501"/>
      <c r="GSK557" s="501"/>
      <c r="GSL557" s="501"/>
      <c r="GSM557" s="501"/>
      <c r="GSN557" s="501"/>
      <c r="GSO557" s="501"/>
      <c r="GSP557" s="501"/>
      <c r="GSQ557" s="501"/>
      <c r="GSR557" s="501"/>
      <c r="GSS557" s="501"/>
      <c r="GST557" s="501"/>
      <c r="GSU557" s="501"/>
      <c r="GSV557" s="501"/>
      <c r="GSW557" s="501"/>
      <c r="GSX557" s="501"/>
      <c r="GSY557" s="501"/>
      <c r="GSZ557" s="501"/>
      <c r="GTA557" s="501"/>
      <c r="GTB557" s="501"/>
      <c r="GTC557" s="501"/>
      <c r="GTD557" s="501"/>
      <c r="GTE557" s="501"/>
      <c r="GTF557" s="501"/>
      <c r="GTG557" s="501"/>
      <c r="GTH557" s="501"/>
      <c r="GTI557" s="501"/>
      <c r="GTJ557" s="501"/>
      <c r="GTK557" s="501"/>
      <c r="GTL557" s="501"/>
      <c r="GTM557" s="501"/>
      <c r="GTN557" s="501"/>
      <c r="GTO557" s="501"/>
      <c r="GTP557" s="501"/>
      <c r="GTQ557" s="501"/>
      <c r="GTR557" s="501"/>
      <c r="GTS557" s="501"/>
      <c r="GTT557" s="501"/>
      <c r="GTU557" s="501"/>
      <c r="GTV557" s="501"/>
      <c r="GTW557" s="501"/>
      <c r="GTX557" s="501"/>
      <c r="GTY557" s="501"/>
      <c r="GTZ557" s="501"/>
      <c r="GUA557" s="501"/>
      <c r="GUB557" s="501"/>
      <c r="GUC557" s="501"/>
      <c r="GUD557" s="501"/>
      <c r="GUE557" s="501"/>
      <c r="GUF557" s="501"/>
      <c r="GUG557" s="501"/>
      <c r="GUH557" s="501"/>
      <c r="GUI557" s="501"/>
      <c r="GUJ557" s="501"/>
      <c r="GUK557" s="501"/>
      <c r="GUL557" s="501"/>
      <c r="GUM557" s="501"/>
      <c r="GUN557" s="501"/>
      <c r="GUO557" s="501"/>
      <c r="GUP557" s="501"/>
      <c r="GUQ557" s="501"/>
      <c r="GUR557" s="501"/>
      <c r="GUS557" s="501"/>
      <c r="GUT557" s="501"/>
      <c r="GUU557" s="501"/>
      <c r="GUV557" s="501"/>
      <c r="GUW557" s="501"/>
      <c r="GUX557" s="501"/>
      <c r="GUY557" s="501"/>
      <c r="GUZ557" s="501"/>
      <c r="GVA557" s="501"/>
      <c r="GVB557" s="501"/>
      <c r="GVC557" s="501"/>
      <c r="GVD557" s="501"/>
      <c r="GVE557" s="501"/>
      <c r="GVF557" s="501"/>
      <c r="GVG557" s="501"/>
      <c r="GVH557" s="501"/>
      <c r="GVI557" s="501"/>
      <c r="GVJ557" s="501"/>
      <c r="GVK557" s="501"/>
      <c r="GVL557" s="501"/>
      <c r="GVM557" s="501"/>
      <c r="GVN557" s="501"/>
      <c r="GVO557" s="501"/>
      <c r="GVP557" s="501"/>
      <c r="GVQ557" s="501"/>
      <c r="GVR557" s="501"/>
      <c r="GVS557" s="501"/>
      <c r="GVT557" s="501"/>
      <c r="GVU557" s="501"/>
      <c r="GVV557" s="501"/>
      <c r="GVW557" s="501"/>
      <c r="GVX557" s="501"/>
      <c r="GVY557" s="501"/>
      <c r="GVZ557" s="501"/>
      <c r="GWA557" s="501"/>
      <c r="GWB557" s="501"/>
      <c r="GWC557" s="501"/>
      <c r="GWD557" s="501"/>
      <c r="GWE557" s="501"/>
      <c r="GWF557" s="501"/>
      <c r="GWG557" s="501"/>
      <c r="GWH557" s="501"/>
      <c r="GWI557" s="501"/>
      <c r="GWJ557" s="501"/>
      <c r="GWK557" s="501"/>
      <c r="GWL557" s="501"/>
      <c r="GWM557" s="501"/>
      <c r="GWN557" s="501"/>
      <c r="GWO557" s="501"/>
      <c r="GWP557" s="501"/>
      <c r="GWQ557" s="501"/>
      <c r="GWR557" s="501"/>
      <c r="GWS557" s="501"/>
      <c r="GWT557" s="501"/>
      <c r="GWU557" s="501"/>
      <c r="GWV557" s="501"/>
      <c r="GWW557" s="501"/>
      <c r="GWX557" s="501"/>
      <c r="GWY557" s="501"/>
      <c r="GWZ557" s="501"/>
      <c r="GXA557" s="501"/>
      <c r="GXB557" s="501"/>
      <c r="GXC557" s="501"/>
      <c r="GXD557" s="501"/>
      <c r="GXE557" s="501"/>
      <c r="GXF557" s="501"/>
      <c r="GXG557" s="501"/>
      <c r="GXH557" s="501"/>
      <c r="GXI557" s="501"/>
      <c r="GXJ557" s="501"/>
      <c r="GXK557" s="501"/>
      <c r="GXL557" s="501"/>
      <c r="GXM557" s="501"/>
      <c r="GXN557" s="501"/>
      <c r="GXO557" s="501"/>
      <c r="GXP557" s="501"/>
      <c r="GXQ557" s="501"/>
      <c r="GXR557" s="501"/>
      <c r="GXS557" s="501"/>
      <c r="GXT557" s="501"/>
      <c r="GXU557" s="501"/>
      <c r="GXV557" s="501"/>
      <c r="GXW557" s="501"/>
      <c r="GXX557" s="501"/>
      <c r="GXY557" s="501"/>
      <c r="GXZ557" s="501"/>
      <c r="GYA557" s="501"/>
      <c r="GYB557" s="501"/>
      <c r="GYC557" s="501"/>
      <c r="GYD557" s="501"/>
      <c r="GYE557" s="501"/>
      <c r="GYF557" s="501"/>
      <c r="GYG557" s="501"/>
      <c r="GYH557" s="501"/>
      <c r="GYI557" s="501"/>
      <c r="GYJ557" s="501"/>
      <c r="GYK557" s="501"/>
      <c r="GYL557" s="501"/>
      <c r="GYM557" s="501"/>
      <c r="GYN557" s="501"/>
      <c r="GYO557" s="501"/>
      <c r="GYP557" s="501"/>
      <c r="GYQ557" s="501"/>
      <c r="GYR557" s="501"/>
      <c r="GYS557" s="501"/>
      <c r="GYT557" s="501"/>
      <c r="GYU557" s="501"/>
      <c r="GYV557" s="501"/>
      <c r="GYW557" s="501"/>
      <c r="GYX557" s="501"/>
      <c r="GYY557" s="501"/>
      <c r="GYZ557" s="501"/>
      <c r="GZA557" s="501"/>
      <c r="GZB557" s="501"/>
      <c r="GZC557" s="501"/>
      <c r="GZD557" s="501"/>
      <c r="GZE557" s="501"/>
      <c r="GZF557" s="501"/>
      <c r="GZG557" s="501"/>
      <c r="GZH557" s="501"/>
      <c r="GZI557" s="501"/>
      <c r="GZJ557" s="501"/>
      <c r="GZK557" s="501"/>
      <c r="GZL557" s="501"/>
      <c r="GZM557" s="501"/>
      <c r="GZN557" s="501"/>
      <c r="GZO557" s="501"/>
      <c r="GZP557" s="501"/>
      <c r="GZQ557" s="501"/>
      <c r="GZR557" s="501"/>
      <c r="GZS557" s="501"/>
      <c r="GZT557" s="501"/>
      <c r="GZU557" s="501"/>
      <c r="GZV557" s="501"/>
      <c r="GZW557" s="501"/>
      <c r="GZX557" s="501"/>
      <c r="GZY557" s="501"/>
      <c r="GZZ557" s="501"/>
      <c r="HAA557" s="501"/>
      <c r="HAB557" s="501"/>
      <c r="HAC557" s="501"/>
      <c r="HAD557" s="501"/>
      <c r="HAE557" s="501"/>
      <c r="HAF557" s="501"/>
      <c r="HAG557" s="501"/>
      <c r="HAH557" s="501"/>
      <c r="HAI557" s="501"/>
      <c r="HAJ557" s="501"/>
      <c r="HAK557" s="501"/>
      <c r="HAL557" s="501"/>
      <c r="HAM557" s="501"/>
      <c r="HAN557" s="501"/>
      <c r="HAO557" s="501"/>
      <c r="HAP557" s="501"/>
      <c r="HAQ557" s="501"/>
      <c r="HAR557" s="501"/>
      <c r="HAS557" s="501"/>
      <c r="HAT557" s="501"/>
      <c r="HAU557" s="501"/>
      <c r="HAV557" s="501"/>
      <c r="HAW557" s="501"/>
      <c r="HAX557" s="501"/>
      <c r="HAY557" s="501"/>
      <c r="HAZ557" s="501"/>
      <c r="HBA557" s="501"/>
      <c r="HBB557" s="501"/>
      <c r="HBC557" s="501"/>
      <c r="HBD557" s="501"/>
      <c r="HBE557" s="501"/>
      <c r="HBF557" s="501"/>
      <c r="HBG557" s="501"/>
      <c r="HBH557" s="501"/>
      <c r="HBI557" s="501"/>
      <c r="HBJ557" s="501"/>
      <c r="HBK557" s="501"/>
      <c r="HBL557" s="501"/>
      <c r="HBM557" s="501"/>
      <c r="HBN557" s="501"/>
      <c r="HBO557" s="501"/>
      <c r="HBP557" s="501"/>
      <c r="HBQ557" s="501"/>
      <c r="HBR557" s="501"/>
      <c r="HBS557" s="501"/>
      <c r="HBT557" s="501"/>
      <c r="HBU557" s="501"/>
      <c r="HBV557" s="501"/>
      <c r="HBW557" s="501"/>
      <c r="HBX557" s="501"/>
      <c r="HBY557" s="501"/>
      <c r="HBZ557" s="501"/>
      <c r="HCA557" s="501"/>
      <c r="HCB557" s="501"/>
      <c r="HCC557" s="501"/>
      <c r="HCD557" s="501"/>
      <c r="HCE557" s="501"/>
      <c r="HCF557" s="501"/>
      <c r="HCG557" s="501"/>
      <c r="HCH557" s="501"/>
      <c r="HCI557" s="501"/>
      <c r="HCJ557" s="501"/>
      <c r="HCK557" s="501"/>
      <c r="HCL557" s="501"/>
      <c r="HCM557" s="501"/>
      <c r="HCN557" s="501"/>
      <c r="HCO557" s="501"/>
      <c r="HCP557" s="501"/>
      <c r="HCQ557" s="501"/>
      <c r="HCR557" s="501"/>
      <c r="HCS557" s="501"/>
      <c r="HCT557" s="501"/>
      <c r="HCU557" s="501"/>
      <c r="HCV557" s="501"/>
      <c r="HCW557" s="501"/>
      <c r="HCX557" s="501"/>
      <c r="HCY557" s="501"/>
      <c r="HCZ557" s="501"/>
      <c r="HDA557" s="501"/>
      <c r="HDB557" s="501"/>
      <c r="HDC557" s="501"/>
      <c r="HDD557" s="501"/>
      <c r="HDE557" s="501"/>
      <c r="HDF557" s="501"/>
      <c r="HDG557" s="501"/>
      <c r="HDH557" s="501"/>
      <c r="HDI557" s="501"/>
      <c r="HDJ557" s="501"/>
      <c r="HDK557" s="501"/>
      <c r="HDL557" s="501"/>
      <c r="HDM557" s="501"/>
      <c r="HDN557" s="501"/>
      <c r="HDO557" s="501"/>
      <c r="HDP557" s="501"/>
      <c r="HDQ557" s="501"/>
      <c r="HDR557" s="501"/>
      <c r="HDS557" s="501"/>
      <c r="HDT557" s="501"/>
      <c r="HDU557" s="501"/>
      <c r="HDV557" s="501"/>
      <c r="HDW557" s="501"/>
      <c r="HDX557" s="501"/>
      <c r="HDY557" s="501"/>
      <c r="HDZ557" s="501"/>
      <c r="HEA557" s="501"/>
      <c r="HEB557" s="501"/>
      <c r="HEC557" s="501"/>
      <c r="HED557" s="501"/>
      <c r="HEE557" s="501"/>
      <c r="HEF557" s="501"/>
      <c r="HEG557" s="501"/>
      <c r="HEH557" s="501"/>
      <c r="HEI557" s="501"/>
      <c r="HEJ557" s="501"/>
      <c r="HEK557" s="501"/>
      <c r="HEL557" s="501"/>
      <c r="HEM557" s="501"/>
      <c r="HEN557" s="501"/>
      <c r="HEO557" s="501"/>
      <c r="HEP557" s="501"/>
      <c r="HEQ557" s="501"/>
      <c r="HER557" s="501"/>
      <c r="HES557" s="501"/>
      <c r="HET557" s="501"/>
      <c r="HEU557" s="501"/>
      <c r="HEV557" s="501"/>
      <c r="HEW557" s="501"/>
      <c r="HEX557" s="501"/>
      <c r="HEY557" s="501"/>
      <c r="HEZ557" s="501"/>
      <c r="HFA557" s="501"/>
      <c r="HFB557" s="501"/>
      <c r="HFC557" s="501"/>
      <c r="HFD557" s="501"/>
      <c r="HFE557" s="501"/>
      <c r="HFF557" s="501"/>
      <c r="HFG557" s="501"/>
      <c r="HFH557" s="501"/>
      <c r="HFI557" s="501"/>
      <c r="HFJ557" s="501"/>
      <c r="HFK557" s="501"/>
      <c r="HFL557" s="501"/>
      <c r="HFM557" s="501"/>
      <c r="HFN557" s="501"/>
      <c r="HFO557" s="501"/>
      <c r="HFP557" s="501"/>
      <c r="HFQ557" s="501"/>
      <c r="HFR557" s="501"/>
      <c r="HFS557" s="501"/>
      <c r="HFT557" s="501"/>
      <c r="HFU557" s="501"/>
      <c r="HFV557" s="501"/>
      <c r="HFW557" s="501"/>
      <c r="HFX557" s="501"/>
      <c r="HFY557" s="501"/>
      <c r="HFZ557" s="501"/>
      <c r="HGA557" s="501"/>
      <c r="HGB557" s="501"/>
      <c r="HGC557" s="501"/>
      <c r="HGD557" s="501"/>
      <c r="HGE557" s="501"/>
      <c r="HGF557" s="501"/>
      <c r="HGG557" s="501"/>
      <c r="HGH557" s="501"/>
      <c r="HGI557" s="501"/>
      <c r="HGJ557" s="501"/>
      <c r="HGK557" s="501"/>
      <c r="HGL557" s="501"/>
      <c r="HGM557" s="501"/>
      <c r="HGN557" s="501"/>
      <c r="HGO557" s="501"/>
      <c r="HGP557" s="501"/>
      <c r="HGQ557" s="501"/>
      <c r="HGR557" s="501"/>
      <c r="HGS557" s="501"/>
      <c r="HGT557" s="501"/>
      <c r="HGU557" s="501"/>
      <c r="HGV557" s="501"/>
      <c r="HGW557" s="501"/>
      <c r="HGX557" s="501"/>
      <c r="HGY557" s="501"/>
      <c r="HGZ557" s="501"/>
      <c r="HHA557" s="501"/>
      <c r="HHB557" s="501"/>
      <c r="HHC557" s="501"/>
      <c r="HHD557" s="501"/>
      <c r="HHE557" s="501"/>
      <c r="HHF557" s="501"/>
      <c r="HHG557" s="501"/>
      <c r="HHH557" s="501"/>
      <c r="HHI557" s="501"/>
      <c r="HHJ557" s="501"/>
      <c r="HHK557" s="501"/>
      <c r="HHL557" s="501"/>
      <c r="HHM557" s="501"/>
      <c r="HHN557" s="501"/>
      <c r="HHO557" s="501"/>
      <c r="HHP557" s="501"/>
      <c r="HHQ557" s="501"/>
      <c r="HHR557" s="501"/>
      <c r="HHS557" s="501"/>
      <c r="HHT557" s="501"/>
      <c r="HHU557" s="501"/>
      <c r="HHV557" s="501"/>
      <c r="HHW557" s="501"/>
      <c r="HHX557" s="501"/>
      <c r="HHY557" s="501"/>
      <c r="HHZ557" s="501"/>
      <c r="HIA557" s="501"/>
      <c r="HIB557" s="501"/>
      <c r="HIC557" s="501"/>
      <c r="HID557" s="501"/>
      <c r="HIE557" s="501"/>
      <c r="HIF557" s="501"/>
      <c r="HIG557" s="501"/>
      <c r="HIH557" s="501"/>
      <c r="HII557" s="501"/>
      <c r="HIJ557" s="501"/>
      <c r="HIK557" s="501"/>
      <c r="HIL557" s="501"/>
      <c r="HIM557" s="501"/>
      <c r="HIN557" s="501"/>
      <c r="HIO557" s="501"/>
      <c r="HIP557" s="501"/>
      <c r="HIQ557" s="501"/>
      <c r="HIR557" s="501"/>
      <c r="HIS557" s="501"/>
      <c r="HIT557" s="501"/>
      <c r="HIU557" s="501"/>
      <c r="HIV557" s="501"/>
      <c r="HIW557" s="501"/>
      <c r="HIX557" s="501"/>
      <c r="HIY557" s="501"/>
      <c r="HIZ557" s="501"/>
      <c r="HJA557" s="501"/>
      <c r="HJB557" s="501"/>
      <c r="HJC557" s="501"/>
      <c r="HJD557" s="501"/>
      <c r="HJE557" s="501"/>
      <c r="HJF557" s="501"/>
      <c r="HJG557" s="501"/>
      <c r="HJH557" s="501"/>
      <c r="HJI557" s="501"/>
      <c r="HJJ557" s="501"/>
      <c r="HJK557" s="501"/>
      <c r="HJL557" s="501"/>
      <c r="HJM557" s="501"/>
      <c r="HJN557" s="501"/>
      <c r="HJO557" s="501"/>
      <c r="HJP557" s="501"/>
      <c r="HJQ557" s="501"/>
      <c r="HJR557" s="501"/>
      <c r="HJS557" s="501"/>
      <c r="HJT557" s="501"/>
      <c r="HJU557" s="501"/>
      <c r="HJV557" s="501"/>
      <c r="HJW557" s="501"/>
      <c r="HJX557" s="501"/>
      <c r="HJY557" s="501"/>
      <c r="HJZ557" s="501"/>
      <c r="HKA557" s="501"/>
      <c r="HKB557" s="501"/>
      <c r="HKC557" s="501"/>
      <c r="HKD557" s="501"/>
      <c r="HKE557" s="501"/>
      <c r="HKF557" s="501"/>
      <c r="HKG557" s="501"/>
      <c r="HKH557" s="501"/>
      <c r="HKI557" s="501"/>
      <c r="HKJ557" s="501"/>
      <c r="HKK557" s="501"/>
      <c r="HKL557" s="501"/>
      <c r="HKM557" s="501"/>
      <c r="HKN557" s="501"/>
      <c r="HKO557" s="501"/>
      <c r="HKP557" s="501"/>
      <c r="HKQ557" s="501"/>
      <c r="HKR557" s="501"/>
      <c r="HKS557" s="501"/>
      <c r="HKT557" s="501"/>
      <c r="HKU557" s="501"/>
      <c r="HKV557" s="501"/>
      <c r="HKW557" s="501"/>
      <c r="HKX557" s="501"/>
      <c r="HKY557" s="501"/>
      <c r="HKZ557" s="501"/>
      <c r="HLA557" s="501"/>
      <c r="HLB557" s="501"/>
      <c r="HLC557" s="501"/>
      <c r="HLD557" s="501"/>
      <c r="HLE557" s="501"/>
      <c r="HLF557" s="501"/>
      <c r="HLG557" s="501"/>
      <c r="HLH557" s="501"/>
      <c r="HLI557" s="501"/>
      <c r="HLJ557" s="501"/>
      <c r="HLK557" s="501"/>
      <c r="HLL557" s="501"/>
      <c r="HLM557" s="501"/>
      <c r="HLN557" s="501"/>
      <c r="HLO557" s="501"/>
      <c r="HLP557" s="501"/>
      <c r="HLQ557" s="501"/>
      <c r="HLR557" s="501"/>
      <c r="HLS557" s="501"/>
      <c r="HLT557" s="501"/>
      <c r="HLU557" s="501"/>
      <c r="HLV557" s="501"/>
      <c r="HLW557" s="501"/>
      <c r="HLX557" s="501"/>
      <c r="HLY557" s="501"/>
      <c r="HLZ557" s="501"/>
      <c r="HMA557" s="501"/>
      <c r="HMB557" s="501"/>
      <c r="HMC557" s="501"/>
      <c r="HMD557" s="501"/>
      <c r="HME557" s="501"/>
      <c r="HMF557" s="501"/>
      <c r="HMG557" s="501"/>
      <c r="HMH557" s="501"/>
      <c r="HMI557" s="501"/>
      <c r="HMJ557" s="501"/>
      <c r="HMK557" s="501"/>
      <c r="HML557" s="501"/>
      <c r="HMM557" s="501"/>
      <c r="HMN557" s="501"/>
      <c r="HMO557" s="501"/>
      <c r="HMP557" s="501"/>
      <c r="HMQ557" s="501"/>
      <c r="HMR557" s="501"/>
      <c r="HMS557" s="501"/>
      <c r="HMT557" s="501"/>
      <c r="HMU557" s="501"/>
      <c r="HMV557" s="501"/>
      <c r="HMW557" s="501"/>
      <c r="HMX557" s="501"/>
      <c r="HMY557" s="501"/>
      <c r="HMZ557" s="501"/>
      <c r="HNA557" s="501"/>
      <c r="HNB557" s="501"/>
      <c r="HNC557" s="501"/>
      <c r="HND557" s="501"/>
      <c r="HNE557" s="501"/>
      <c r="HNF557" s="501"/>
      <c r="HNG557" s="501"/>
      <c r="HNH557" s="501"/>
      <c r="HNI557" s="501"/>
      <c r="HNJ557" s="501"/>
      <c r="HNK557" s="501"/>
      <c r="HNL557" s="501"/>
      <c r="HNM557" s="501"/>
      <c r="HNN557" s="501"/>
      <c r="HNO557" s="501"/>
      <c r="HNP557" s="501"/>
      <c r="HNQ557" s="501"/>
      <c r="HNR557" s="501"/>
      <c r="HNS557" s="501"/>
      <c r="HNT557" s="501"/>
      <c r="HNU557" s="501"/>
      <c r="HNV557" s="501"/>
      <c r="HNW557" s="501"/>
      <c r="HNX557" s="501"/>
      <c r="HNY557" s="501"/>
      <c r="HNZ557" s="501"/>
      <c r="HOA557" s="501"/>
      <c r="HOB557" s="501"/>
      <c r="HOC557" s="501"/>
      <c r="HOD557" s="501"/>
      <c r="HOE557" s="501"/>
      <c r="HOF557" s="501"/>
      <c r="HOG557" s="501"/>
      <c r="HOH557" s="501"/>
      <c r="HOI557" s="501"/>
      <c r="HOJ557" s="501"/>
      <c r="HOK557" s="501"/>
      <c r="HOL557" s="501"/>
      <c r="HOM557" s="501"/>
      <c r="HON557" s="501"/>
      <c r="HOO557" s="501"/>
      <c r="HOP557" s="501"/>
      <c r="HOQ557" s="501"/>
      <c r="HOR557" s="501"/>
      <c r="HOS557" s="501"/>
      <c r="HOT557" s="501"/>
      <c r="HOU557" s="501"/>
      <c r="HOV557" s="501"/>
      <c r="HOW557" s="501"/>
      <c r="HOX557" s="501"/>
      <c r="HOY557" s="501"/>
      <c r="HOZ557" s="501"/>
      <c r="HPA557" s="501"/>
      <c r="HPB557" s="501"/>
      <c r="HPC557" s="501"/>
      <c r="HPD557" s="501"/>
      <c r="HPE557" s="501"/>
      <c r="HPF557" s="501"/>
      <c r="HPG557" s="501"/>
      <c r="HPH557" s="501"/>
      <c r="HPI557" s="501"/>
      <c r="HPJ557" s="501"/>
      <c r="HPK557" s="501"/>
      <c r="HPL557" s="501"/>
      <c r="HPM557" s="501"/>
      <c r="HPN557" s="501"/>
      <c r="HPO557" s="501"/>
      <c r="HPP557" s="501"/>
      <c r="HPQ557" s="501"/>
      <c r="HPR557" s="501"/>
      <c r="HPS557" s="501"/>
      <c r="HPT557" s="501"/>
      <c r="HPU557" s="501"/>
      <c r="HPV557" s="501"/>
      <c r="HPW557" s="501"/>
      <c r="HPX557" s="501"/>
      <c r="HPY557" s="501"/>
      <c r="HPZ557" s="501"/>
      <c r="HQA557" s="501"/>
      <c r="HQB557" s="501"/>
      <c r="HQC557" s="501"/>
      <c r="HQD557" s="501"/>
      <c r="HQE557" s="501"/>
      <c r="HQF557" s="501"/>
      <c r="HQG557" s="501"/>
      <c r="HQH557" s="501"/>
      <c r="HQI557" s="501"/>
      <c r="HQJ557" s="501"/>
      <c r="HQK557" s="501"/>
      <c r="HQL557" s="501"/>
      <c r="HQM557" s="501"/>
      <c r="HQN557" s="501"/>
      <c r="HQO557" s="501"/>
      <c r="HQP557" s="501"/>
      <c r="HQQ557" s="501"/>
      <c r="HQR557" s="501"/>
      <c r="HQS557" s="501"/>
      <c r="HQT557" s="501"/>
      <c r="HQU557" s="501"/>
      <c r="HQV557" s="501"/>
      <c r="HQW557" s="501"/>
      <c r="HQX557" s="501"/>
      <c r="HQY557" s="501"/>
      <c r="HQZ557" s="501"/>
      <c r="HRA557" s="501"/>
      <c r="HRB557" s="501"/>
      <c r="HRC557" s="501"/>
      <c r="HRD557" s="501"/>
      <c r="HRE557" s="501"/>
      <c r="HRF557" s="501"/>
      <c r="HRG557" s="501"/>
      <c r="HRH557" s="501"/>
      <c r="HRI557" s="501"/>
      <c r="HRJ557" s="501"/>
      <c r="HRK557" s="501"/>
      <c r="HRL557" s="501"/>
      <c r="HRM557" s="501"/>
      <c r="HRN557" s="501"/>
      <c r="HRO557" s="501"/>
      <c r="HRP557" s="501"/>
      <c r="HRQ557" s="501"/>
      <c r="HRR557" s="501"/>
      <c r="HRS557" s="501"/>
      <c r="HRT557" s="501"/>
      <c r="HRU557" s="501"/>
      <c r="HRV557" s="501"/>
      <c r="HRW557" s="501"/>
      <c r="HRX557" s="501"/>
      <c r="HRY557" s="501"/>
      <c r="HRZ557" s="501"/>
      <c r="HSA557" s="501"/>
      <c r="HSB557" s="501"/>
      <c r="HSC557" s="501"/>
      <c r="HSD557" s="501"/>
      <c r="HSE557" s="501"/>
      <c r="HSF557" s="501"/>
      <c r="HSG557" s="501"/>
      <c r="HSH557" s="501"/>
      <c r="HSI557" s="501"/>
      <c r="HSJ557" s="501"/>
      <c r="HSK557" s="501"/>
      <c r="HSL557" s="501"/>
      <c r="HSM557" s="501"/>
      <c r="HSN557" s="501"/>
      <c r="HSO557" s="501"/>
      <c r="HSP557" s="501"/>
      <c r="HSQ557" s="501"/>
      <c r="HSR557" s="501"/>
      <c r="HSS557" s="501"/>
      <c r="HST557" s="501"/>
      <c r="HSU557" s="501"/>
      <c r="HSV557" s="501"/>
      <c r="HSW557" s="501"/>
      <c r="HSX557" s="501"/>
      <c r="HSY557" s="501"/>
      <c r="HSZ557" s="501"/>
      <c r="HTA557" s="501"/>
      <c r="HTB557" s="501"/>
      <c r="HTC557" s="501"/>
      <c r="HTD557" s="501"/>
      <c r="HTE557" s="501"/>
      <c r="HTF557" s="501"/>
      <c r="HTG557" s="501"/>
      <c r="HTH557" s="501"/>
      <c r="HTI557" s="501"/>
      <c r="HTJ557" s="501"/>
      <c r="HTK557" s="501"/>
      <c r="HTL557" s="501"/>
      <c r="HTM557" s="501"/>
      <c r="HTN557" s="501"/>
      <c r="HTO557" s="501"/>
      <c r="HTP557" s="501"/>
      <c r="HTQ557" s="501"/>
      <c r="HTR557" s="501"/>
      <c r="HTS557" s="501"/>
      <c r="HTT557" s="501"/>
      <c r="HTU557" s="501"/>
      <c r="HTV557" s="501"/>
      <c r="HTW557" s="501"/>
      <c r="HTX557" s="501"/>
      <c r="HTY557" s="501"/>
      <c r="HTZ557" s="501"/>
      <c r="HUA557" s="501"/>
      <c r="HUB557" s="501"/>
      <c r="HUC557" s="501"/>
      <c r="HUD557" s="501"/>
      <c r="HUE557" s="501"/>
      <c r="HUF557" s="501"/>
      <c r="HUG557" s="501"/>
      <c r="HUH557" s="501"/>
      <c r="HUI557" s="501"/>
      <c r="HUJ557" s="501"/>
      <c r="HUK557" s="501"/>
      <c r="HUL557" s="501"/>
      <c r="HUM557" s="501"/>
      <c r="HUN557" s="501"/>
      <c r="HUO557" s="501"/>
      <c r="HUP557" s="501"/>
      <c r="HUQ557" s="501"/>
      <c r="HUR557" s="501"/>
      <c r="HUS557" s="501"/>
      <c r="HUT557" s="501"/>
      <c r="HUU557" s="501"/>
      <c r="HUV557" s="501"/>
      <c r="HUW557" s="501"/>
      <c r="HUX557" s="501"/>
      <c r="HUY557" s="501"/>
      <c r="HUZ557" s="501"/>
      <c r="HVA557" s="501"/>
      <c r="HVB557" s="501"/>
      <c r="HVC557" s="501"/>
      <c r="HVD557" s="501"/>
      <c r="HVE557" s="501"/>
      <c r="HVF557" s="501"/>
      <c r="HVG557" s="501"/>
      <c r="HVH557" s="501"/>
      <c r="HVI557" s="501"/>
      <c r="HVJ557" s="501"/>
      <c r="HVK557" s="501"/>
      <c r="HVL557" s="501"/>
      <c r="HVM557" s="501"/>
      <c r="HVN557" s="501"/>
      <c r="HVO557" s="501"/>
      <c r="HVP557" s="501"/>
      <c r="HVQ557" s="501"/>
      <c r="HVR557" s="501"/>
      <c r="HVS557" s="501"/>
      <c r="HVT557" s="501"/>
      <c r="HVU557" s="501"/>
      <c r="HVV557" s="501"/>
      <c r="HVW557" s="501"/>
      <c r="HVX557" s="501"/>
      <c r="HVY557" s="501"/>
      <c r="HVZ557" s="501"/>
      <c r="HWA557" s="501"/>
      <c r="HWB557" s="501"/>
      <c r="HWC557" s="501"/>
      <c r="HWD557" s="501"/>
      <c r="HWE557" s="501"/>
      <c r="HWF557" s="501"/>
      <c r="HWG557" s="501"/>
      <c r="HWH557" s="501"/>
      <c r="HWI557" s="501"/>
      <c r="HWJ557" s="501"/>
      <c r="HWK557" s="501"/>
      <c r="HWL557" s="501"/>
      <c r="HWM557" s="501"/>
      <c r="HWN557" s="501"/>
      <c r="HWO557" s="501"/>
      <c r="HWP557" s="501"/>
      <c r="HWQ557" s="501"/>
      <c r="HWR557" s="501"/>
      <c r="HWS557" s="501"/>
      <c r="HWT557" s="501"/>
      <c r="HWU557" s="501"/>
      <c r="HWV557" s="501"/>
      <c r="HWW557" s="501"/>
      <c r="HWX557" s="501"/>
      <c r="HWY557" s="501"/>
      <c r="HWZ557" s="501"/>
      <c r="HXA557" s="501"/>
      <c r="HXB557" s="501"/>
      <c r="HXC557" s="501"/>
      <c r="HXD557" s="501"/>
      <c r="HXE557" s="501"/>
      <c r="HXF557" s="501"/>
      <c r="HXG557" s="501"/>
      <c r="HXH557" s="501"/>
      <c r="HXI557" s="501"/>
      <c r="HXJ557" s="501"/>
      <c r="HXK557" s="501"/>
      <c r="HXL557" s="501"/>
      <c r="HXM557" s="501"/>
      <c r="HXN557" s="501"/>
      <c r="HXO557" s="501"/>
      <c r="HXP557" s="501"/>
      <c r="HXQ557" s="501"/>
      <c r="HXR557" s="501"/>
      <c r="HXS557" s="501"/>
      <c r="HXT557" s="501"/>
      <c r="HXU557" s="501"/>
      <c r="HXV557" s="501"/>
      <c r="HXW557" s="501"/>
      <c r="HXX557" s="501"/>
      <c r="HXY557" s="501"/>
      <c r="HXZ557" s="501"/>
      <c r="HYA557" s="501"/>
      <c r="HYB557" s="501"/>
      <c r="HYC557" s="501"/>
      <c r="HYD557" s="501"/>
      <c r="HYE557" s="501"/>
      <c r="HYF557" s="501"/>
      <c r="HYG557" s="501"/>
      <c r="HYH557" s="501"/>
      <c r="HYI557" s="501"/>
      <c r="HYJ557" s="501"/>
      <c r="HYK557" s="501"/>
      <c r="HYL557" s="501"/>
      <c r="HYM557" s="501"/>
      <c r="HYN557" s="501"/>
      <c r="HYO557" s="501"/>
      <c r="HYP557" s="501"/>
      <c r="HYQ557" s="501"/>
      <c r="HYR557" s="501"/>
      <c r="HYS557" s="501"/>
      <c r="HYT557" s="501"/>
      <c r="HYU557" s="501"/>
      <c r="HYV557" s="501"/>
      <c r="HYW557" s="501"/>
      <c r="HYX557" s="501"/>
      <c r="HYY557" s="501"/>
      <c r="HYZ557" s="501"/>
      <c r="HZA557" s="501"/>
      <c r="HZB557" s="501"/>
      <c r="HZC557" s="501"/>
      <c r="HZD557" s="501"/>
      <c r="HZE557" s="501"/>
      <c r="HZF557" s="501"/>
      <c r="HZG557" s="501"/>
      <c r="HZH557" s="501"/>
      <c r="HZI557" s="501"/>
      <c r="HZJ557" s="501"/>
      <c r="HZK557" s="501"/>
      <c r="HZL557" s="501"/>
      <c r="HZM557" s="501"/>
      <c r="HZN557" s="501"/>
      <c r="HZO557" s="501"/>
      <c r="HZP557" s="501"/>
      <c r="HZQ557" s="501"/>
      <c r="HZR557" s="501"/>
      <c r="HZS557" s="501"/>
      <c r="HZT557" s="501"/>
      <c r="HZU557" s="501"/>
      <c r="HZV557" s="501"/>
      <c r="HZW557" s="501"/>
      <c r="HZX557" s="501"/>
      <c r="HZY557" s="501"/>
      <c r="HZZ557" s="501"/>
      <c r="IAA557" s="501"/>
      <c r="IAB557" s="501"/>
      <c r="IAC557" s="501"/>
      <c r="IAD557" s="501"/>
      <c r="IAE557" s="501"/>
      <c r="IAF557" s="501"/>
      <c r="IAG557" s="501"/>
      <c r="IAH557" s="501"/>
      <c r="IAI557" s="501"/>
      <c r="IAJ557" s="501"/>
      <c r="IAK557" s="501"/>
      <c r="IAL557" s="501"/>
      <c r="IAM557" s="501"/>
      <c r="IAN557" s="501"/>
      <c r="IAO557" s="501"/>
      <c r="IAP557" s="501"/>
      <c r="IAQ557" s="501"/>
      <c r="IAR557" s="501"/>
      <c r="IAS557" s="501"/>
      <c r="IAT557" s="501"/>
      <c r="IAU557" s="501"/>
      <c r="IAV557" s="501"/>
      <c r="IAW557" s="501"/>
      <c r="IAX557" s="501"/>
      <c r="IAY557" s="501"/>
      <c r="IAZ557" s="501"/>
      <c r="IBA557" s="501"/>
      <c r="IBB557" s="501"/>
      <c r="IBC557" s="501"/>
      <c r="IBD557" s="501"/>
      <c r="IBE557" s="501"/>
      <c r="IBF557" s="501"/>
      <c r="IBG557" s="501"/>
      <c r="IBH557" s="501"/>
      <c r="IBI557" s="501"/>
      <c r="IBJ557" s="501"/>
      <c r="IBK557" s="501"/>
      <c r="IBL557" s="501"/>
      <c r="IBM557" s="501"/>
      <c r="IBN557" s="501"/>
      <c r="IBO557" s="501"/>
      <c r="IBP557" s="501"/>
      <c r="IBQ557" s="501"/>
      <c r="IBR557" s="501"/>
      <c r="IBS557" s="501"/>
      <c r="IBT557" s="501"/>
      <c r="IBU557" s="501"/>
      <c r="IBV557" s="501"/>
      <c r="IBW557" s="501"/>
      <c r="IBX557" s="501"/>
      <c r="IBY557" s="501"/>
      <c r="IBZ557" s="501"/>
      <c r="ICA557" s="501"/>
      <c r="ICB557" s="501"/>
      <c r="ICC557" s="501"/>
      <c r="ICD557" s="501"/>
      <c r="ICE557" s="501"/>
      <c r="ICF557" s="501"/>
      <c r="ICG557" s="501"/>
      <c r="ICH557" s="501"/>
      <c r="ICI557" s="501"/>
      <c r="ICJ557" s="501"/>
      <c r="ICK557" s="501"/>
      <c r="ICL557" s="501"/>
      <c r="ICM557" s="501"/>
      <c r="ICN557" s="501"/>
      <c r="ICO557" s="501"/>
      <c r="ICP557" s="501"/>
      <c r="ICQ557" s="501"/>
      <c r="ICR557" s="501"/>
      <c r="ICS557" s="501"/>
      <c r="ICT557" s="501"/>
      <c r="ICU557" s="501"/>
      <c r="ICV557" s="501"/>
      <c r="ICW557" s="501"/>
      <c r="ICX557" s="501"/>
      <c r="ICY557" s="501"/>
      <c r="ICZ557" s="501"/>
      <c r="IDA557" s="501"/>
      <c r="IDB557" s="501"/>
      <c r="IDC557" s="501"/>
      <c r="IDD557" s="501"/>
      <c r="IDE557" s="501"/>
      <c r="IDF557" s="501"/>
      <c r="IDG557" s="501"/>
      <c r="IDH557" s="501"/>
      <c r="IDI557" s="501"/>
      <c r="IDJ557" s="501"/>
      <c r="IDK557" s="501"/>
      <c r="IDL557" s="501"/>
      <c r="IDM557" s="501"/>
      <c r="IDN557" s="501"/>
      <c r="IDO557" s="501"/>
      <c r="IDP557" s="501"/>
      <c r="IDQ557" s="501"/>
      <c r="IDR557" s="501"/>
      <c r="IDS557" s="501"/>
      <c r="IDT557" s="501"/>
      <c r="IDU557" s="501"/>
      <c r="IDV557" s="501"/>
      <c r="IDW557" s="501"/>
      <c r="IDX557" s="501"/>
      <c r="IDY557" s="501"/>
      <c r="IDZ557" s="501"/>
      <c r="IEA557" s="501"/>
      <c r="IEB557" s="501"/>
      <c r="IEC557" s="501"/>
      <c r="IED557" s="501"/>
      <c r="IEE557" s="501"/>
      <c r="IEF557" s="501"/>
      <c r="IEG557" s="501"/>
      <c r="IEH557" s="501"/>
      <c r="IEI557" s="501"/>
      <c r="IEJ557" s="501"/>
      <c r="IEK557" s="501"/>
      <c r="IEL557" s="501"/>
      <c r="IEM557" s="501"/>
      <c r="IEN557" s="501"/>
      <c r="IEO557" s="501"/>
      <c r="IEP557" s="501"/>
      <c r="IEQ557" s="501"/>
      <c r="IER557" s="501"/>
      <c r="IES557" s="501"/>
      <c r="IET557" s="501"/>
      <c r="IEU557" s="501"/>
      <c r="IEV557" s="501"/>
      <c r="IEW557" s="501"/>
      <c r="IEX557" s="501"/>
      <c r="IEY557" s="501"/>
      <c r="IEZ557" s="501"/>
      <c r="IFA557" s="501"/>
      <c r="IFB557" s="501"/>
      <c r="IFC557" s="501"/>
      <c r="IFD557" s="501"/>
      <c r="IFE557" s="501"/>
      <c r="IFF557" s="501"/>
      <c r="IFG557" s="501"/>
      <c r="IFH557" s="501"/>
      <c r="IFI557" s="501"/>
      <c r="IFJ557" s="501"/>
      <c r="IFK557" s="501"/>
      <c r="IFL557" s="501"/>
      <c r="IFM557" s="501"/>
      <c r="IFN557" s="501"/>
      <c r="IFO557" s="501"/>
      <c r="IFP557" s="501"/>
      <c r="IFQ557" s="501"/>
      <c r="IFR557" s="501"/>
      <c r="IFS557" s="501"/>
      <c r="IFT557" s="501"/>
      <c r="IFU557" s="501"/>
      <c r="IFV557" s="501"/>
      <c r="IFW557" s="501"/>
      <c r="IFX557" s="501"/>
      <c r="IFY557" s="501"/>
      <c r="IFZ557" s="501"/>
      <c r="IGA557" s="501"/>
      <c r="IGB557" s="501"/>
      <c r="IGC557" s="501"/>
      <c r="IGD557" s="501"/>
      <c r="IGE557" s="501"/>
      <c r="IGF557" s="501"/>
      <c r="IGG557" s="501"/>
      <c r="IGH557" s="501"/>
      <c r="IGI557" s="501"/>
      <c r="IGJ557" s="501"/>
      <c r="IGK557" s="501"/>
      <c r="IGL557" s="501"/>
      <c r="IGM557" s="501"/>
      <c r="IGN557" s="501"/>
      <c r="IGO557" s="501"/>
      <c r="IGP557" s="501"/>
      <c r="IGQ557" s="501"/>
      <c r="IGR557" s="501"/>
      <c r="IGS557" s="501"/>
      <c r="IGT557" s="501"/>
      <c r="IGU557" s="501"/>
      <c r="IGV557" s="501"/>
      <c r="IGW557" s="501"/>
      <c r="IGX557" s="501"/>
      <c r="IGY557" s="501"/>
      <c r="IGZ557" s="501"/>
      <c r="IHA557" s="501"/>
      <c r="IHB557" s="501"/>
      <c r="IHC557" s="501"/>
      <c r="IHD557" s="501"/>
      <c r="IHE557" s="501"/>
      <c r="IHF557" s="501"/>
      <c r="IHG557" s="501"/>
      <c r="IHH557" s="501"/>
      <c r="IHI557" s="501"/>
      <c r="IHJ557" s="501"/>
      <c r="IHK557" s="501"/>
      <c r="IHL557" s="501"/>
      <c r="IHM557" s="501"/>
      <c r="IHN557" s="501"/>
      <c r="IHO557" s="501"/>
      <c r="IHP557" s="501"/>
      <c r="IHQ557" s="501"/>
      <c r="IHR557" s="501"/>
      <c r="IHS557" s="501"/>
      <c r="IHT557" s="501"/>
      <c r="IHU557" s="501"/>
      <c r="IHV557" s="501"/>
      <c r="IHW557" s="501"/>
      <c r="IHX557" s="501"/>
      <c r="IHY557" s="501"/>
      <c r="IHZ557" s="501"/>
      <c r="IIA557" s="501"/>
      <c r="IIB557" s="501"/>
      <c r="IIC557" s="501"/>
      <c r="IID557" s="501"/>
      <c r="IIE557" s="501"/>
      <c r="IIF557" s="501"/>
      <c r="IIG557" s="501"/>
      <c r="IIH557" s="501"/>
      <c r="III557" s="501"/>
      <c r="IIJ557" s="501"/>
      <c r="IIK557" s="501"/>
      <c r="IIL557" s="501"/>
      <c r="IIM557" s="501"/>
      <c r="IIN557" s="501"/>
      <c r="IIO557" s="501"/>
      <c r="IIP557" s="501"/>
      <c r="IIQ557" s="501"/>
      <c r="IIR557" s="501"/>
      <c r="IIS557" s="501"/>
      <c r="IIT557" s="501"/>
      <c r="IIU557" s="501"/>
      <c r="IIV557" s="501"/>
      <c r="IIW557" s="501"/>
      <c r="IIX557" s="501"/>
      <c r="IIY557" s="501"/>
      <c r="IIZ557" s="501"/>
      <c r="IJA557" s="501"/>
      <c r="IJB557" s="501"/>
      <c r="IJC557" s="501"/>
      <c r="IJD557" s="501"/>
      <c r="IJE557" s="501"/>
      <c r="IJF557" s="501"/>
      <c r="IJG557" s="501"/>
      <c r="IJH557" s="501"/>
      <c r="IJI557" s="501"/>
      <c r="IJJ557" s="501"/>
      <c r="IJK557" s="501"/>
      <c r="IJL557" s="501"/>
      <c r="IJM557" s="501"/>
      <c r="IJN557" s="501"/>
      <c r="IJO557" s="501"/>
      <c r="IJP557" s="501"/>
      <c r="IJQ557" s="501"/>
      <c r="IJR557" s="501"/>
      <c r="IJS557" s="501"/>
      <c r="IJT557" s="501"/>
      <c r="IJU557" s="501"/>
      <c r="IJV557" s="501"/>
      <c r="IJW557" s="501"/>
      <c r="IJX557" s="501"/>
      <c r="IJY557" s="501"/>
      <c r="IJZ557" s="501"/>
      <c r="IKA557" s="501"/>
      <c r="IKB557" s="501"/>
      <c r="IKC557" s="501"/>
      <c r="IKD557" s="501"/>
      <c r="IKE557" s="501"/>
      <c r="IKF557" s="501"/>
      <c r="IKG557" s="501"/>
      <c r="IKH557" s="501"/>
      <c r="IKI557" s="501"/>
      <c r="IKJ557" s="501"/>
      <c r="IKK557" s="501"/>
      <c r="IKL557" s="501"/>
      <c r="IKM557" s="501"/>
      <c r="IKN557" s="501"/>
      <c r="IKO557" s="501"/>
      <c r="IKP557" s="501"/>
      <c r="IKQ557" s="501"/>
      <c r="IKR557" s="501"/>
      <c r="IKS557" s="501"/>
      <c r="IKT557" s="501"/>
      <c r="IKU557" s="501"/>
      <c r="IKV557" s="501"/>
      <c r="IKW557" s="501"/>
      <c r="IKX557" s="501"/>
      <c r="IKY557" s="501"/>
      <c r="IKZ557" s="501"/>
      <c r="ILA557" s="501"/>
      <c r="ILB557" s="501"/>
      <c r="ILC557" s="501"/>
      <c r="ILD557" s="501"/>
      <c r="ILE557" s="501"/>
      <c r="ILF557" s="501"/>
      <c r="ILG557" s="501"/>
      <c r="ILH557" s="501"/>
      <c r="ILI557" s="501"/>
      <c r="ILJ557" s="501"/>
      <c r="ILK557" s="501"/>
      <c r="ILL557" s="501"/>
      <c r="ILM557" s="501"/>
      <c r="ILN557" s="501"/>
      <c r="ILO557" s="501"/>
      <c r="ILP557" s="501"/>
      <c r="ILQ557" s="501"/>
      <c r="ILR557" s="501"/>
      <c r="ILS557" s="501"/>
      <c r="ILT557" s="501"/>
      <c r="ILU557" s="501"/>
      <c r="ILV557" s="501"/>
      <c r="ILW557" s="501"/>
      <c r="ILX557" s="501"/>
      <c r="ILY557" s="501"/>
      <c r="ILZ557" s="501"/>
      <c r="IMA557" s="501"/>
      <c r="IMB557" s="501"/>
      <c r="IMC557" s="501"/>
      <c r="IMD557" s="501"/>
      <c r="IME557" s="501"/>
      <c r="IMF557" s="501"/>
      <c r="IMG557" s="501"/>
      <c r="IMH557" s="501"/>
      <c r="IMI557" s="501"/>
      <c r="IMJ557" s="501"/>
      <c r="IMK557" s="501"/>
      <c r="IML557" s="501"/>
      <c r="IMM557" s="501"/>
      <c r="IMN557" s="501"/>
      <c r="IMO557" s="501"/>
      <c r="IMP557" s="501"/>
      <c r="IMQ557" s="501"/>
      <c r="IMR557" s="501"/>
      <c r="IMS557" s="501"/>
      <c r="IMT557" s="501"/>
      <c r="IMU557" s="501"/>
      <c r="IMV557" s="501"/>
      <c r="IMW557" s="501"/>
      <c r="IMX557" s="501"/>
      <c r="IMY557" s="501"/>
      <c r="IMZ557" s="501"/>
      <c r="INA557" s="501"/>
      <c r="INB557" s="501"/>
      <c r="INC557" s="501"/>
      <c r="IND557" s="501"/>
      <c r="INE557" s="501"/>
      <c r="INF557" s="501"/>
      <c r="ING557" s="501"/>
      <c r="INH557" s="501"/>
      <c r="INI557" s="501"/>
      <c r="INJ557" s="501"/>
      <c r="INK557" s="501"/>
      <c r="INL557" s="501"/>
      <c r="INM557" s="501"/>
      <c r="INN557" s="501"/>
      <c r="INO557" s="501"/>
      <c r="INP557" s="501"/>
      <c r="INQ557" s="501"/>
      <c r="INR557" s="501"/>
      <c r="INS557" s="501"/>
      <c r="INT557" s="501"/>
      <c r="INU557" s="501"/>
      <c r="INV557" s="501"/>
      <c r="INW557" s="501"/>
      <c r="INX557" s="501"/>
      <c r="INY557" s="501"/>
      <c r="INZ557" s="501"/>
      <c r="IOA557" s="501"/>
      <c r="IOB557" s="501"/>
      <c r="IOC557" s="501"/>
      <c r="IOD557" s="501"/>
      <c r="IOE557" s="501"/>
      <c r="IOF557" s="501"/>
      <c r="IOG557" s="501"/>
      <c r="IOH557" s="501"/>
      <c r="IOI557" s="501"/>
      <c r="IOJ557" s="501"/>
      <c r="IOK557" s="501"/>
      <c r="IOL557" s="501"/>
      <c r="IOM557" s="501"/>
      <c r="ION557" s="501"/>
      <c r="IOO557" s="501"/>
      <c r="IOP557" s="501"/>
      <c r="IOQ557" s="501"/>
      <c r="IOR557" s="501"/>
      <c r="IOS557" s="501"/>
      <c r="IOT557" s="501"/>
      <c r="IOU557" s="501"/>
      <c r="IOV557" s="501"/>
      <c r="IOW557" s="501"/>
      <c r="IOX557" s="501"/>
      <c r="IOY557" s="501"/>
      <c r="IOZ557" s="501"/>
      <c r="IPA557" s="501"/>
      <c r="IPB557" s="501"/>
      <c r="IPC557" s="501"/>
      <c r="IPD557" s="501"/>
      <c r="IPE557" s="501"/>
      <c r="IPF557" s="501"/>
      <c r="IPG557" s="501"/>
      <c r="IPH557" s="501"/>
      <c r="IPI557" s="501"/>
      <c r="IPJ557" s="501"/>
      <c r="IPK557" s="501"/>
      <c r="IPL557" s="501"/>
      <c r="IPM557" s="501"/>
      <c r="IPN557" s="501"/>
      <c r="IPO557" s="501"/>
      <c r="IPP557" s="501"/>
      <c r="IPQ557" s="501"/>
      <c r="IPR557" s="501"/>
      <c r="IPS557" s="501"/>
      <c r="IPT557" s="501"/>
      <c r="IPU557" s="501"/>
      <c r="IPV557" s="501"/>
      <c r="IPW557" s="501"/>
      <c r="IPX557" s="501"/>
      <c r="IPY557" s="501"/>
      <c r="IPZ557" s="501"/>
      <c r="IQA557" s="501"/>
      <c r="IQB557" s="501"/>
      <c r="IQC557" s="501"/>
      <c r="IQD557" s="501"/>
      <c r="IQE557" s="501"/>
      <c r="IQF557" s="501"/>
      <c r="IQG557" s="501"/>
      <c r="IQH557" s="501"/>
      <c r="IQI557" s="501"/>
      <c r="IQJ557" s="501"/>
      <c r="IQK557" s="501"/>
      <c r="IQL557" s="501"/>
      <c r="IQM557" s="501"/>
      <c r="IQN557" s="501"/>
      <c r="IQO557" s="501"/>
      <c r="IQP557" s="501"/>
      <c r="IQQ557" s="501"/>
      <c r="IQR557" s="501"/>
      <c r="IQS557" s="501"/>
      <c r="IQT557" s="501"/>
      <c r="IQU557" s="501"/>
      <c r="IQV557" s="501"/>
      <c r="IQW557" s="501"/>
      <c r="IQX557" s="501"/>
      <c r="IQY557" s="501"/>
      <c r="IQZ557" s="501"/>
      <c r="IRA557" s="501"/>
      <c r="IRB557" s="501"/>
      <c r="IRC557" s="501"/>
      <c r="IRD557" s="501"/>
      <c r="IRE557" s="501"/>
      <c r="IRF557" s="501"/>
      <c r="IRG557" s="501"/>
      <c r="IRH557" s="501"/>
      <c r="IRI557" s="501"/>
      <c r="IRJ557" s="501"/>
      <c r="IRK557" s="501"/>
      <c r="IRL557" s="501"/>
      <c r="IRM557" s="501"/>
      <c r="IRN557" s="501"/>
      <c r="IRO557" s="501"/>
      <c r="IRP557" s="501"/>
      <c r="IRQ557" s="501"/>
      <c r="IRR557" s="501"/>
      <c r="IRS557" s="501"/>
      <c r="IRT557" s="501"/>
      <c r="IRU557" s="501"/>
      <c r="IRV557" s="501"/>
      <c r="IRW557" s="501"/>
      <c r="IRX557" s="501"/>
      <c r="IRY557" s="501"/>
      <c r="IRZ557" s="501"/>
      <c r="ISA557" s="501"/>
      <c r="ISB557" s="501"/>
      <c r="ISC557" s="501"/>
      <c r="ISD557" s="501"/>
      <c r="ISE557" s="501"/>
      <c r="ISF557" s="501"/>
      <c r="ISG557" s="501"/>
      <c r="ISH557" s="501"/>
      <c r="ISI557" s="501"/>
      <c r="ISJ557" s="501"/>
      <c r="ISK557" s="501"/>
      <c r="ISL557" s="501"/>
      <c r="ISM557" s="501"/>
      <c r="ISN557" s="501"/>
      <c r="ISO557" s="501"/>
      <c r="ISP557" s="501"/>
      <c r="ISQ557" s="501"/>
      <c r="ISR557" s="501"/>
      <c r="ISS557" s="501"/>
      <c r="IST557" s="501"/>
      <c r="ISU557" s="501"/>
      <c r="ISV557" s="501"/>
      <c r="ISW557" s="501"/>
      <c r="ISX557" s="501"/>
      <c r="ISY557" s="501"/>
      <c r="ISZ557" s="501"/>
      <c r="ITA557" s="501"/>
      <c r="ITB557" s="501"/>
      <c r="ITC557" s="501"/>
      <c r="ITD557" s="501"/>
      <c r="ITE557" s="501"/>
      <c r="ITF557" s="501"/>
      <c r="ITG557" s="501"/>
      <c r="ITH557" s="501"/>
      <c r="ITI557" s="501"/>
      <c r="ITJ557" s="501"/>
      <c r="ITK557" s="501"/>
      <c r="ITL557" s="501"/>
      <c r="ITM557" s="501"/>
      <c r="ITN557" s="501"/>
      <c r="ITO557" s="501"/>
      <c r="ITP557" s="501"/>
      <c r="ITQ557" s="501"/>
      <c r="ITR557" s="501"/>
      <c r="ITS557" s="501"/>
      <c r="ITT557" s="501"/>
      <c r="ITU557" s="501"/>
      <c r="ITV557" s="501"/>
      <c r="ITW557" s="501"/>
      <c r="ITX557" s="501"/>
      <c r="ITY557" s="501"/>
      <c r="ITZ557" s="501"/>
      <c r="IUA557" s="501"/>
      <c r="IUB557" s="501"/>
      <c r="IUC557" s="501"/>
      <c r="IUD557" s="501"/>
      <c r="IUE557" s="501"/>
      <c r="IUF557" s="501"/>
      <c r="IUG557" s="501"/>
      <c r="IUH557" s="501"/>
      <c r="IUI557" s="501"/>
      <c r="IUJ557" s="501"/>
      <c r="IUK557" s="501"/>
      <c r="IUL557" s="501"/>
      <c r="IUM557" s="501"/>
      <c r="IUN557" s="501"/>
      <c r="IUO557" s="501"/>
      <c r="IUP557" s="501"/>
      <c r="IUQ557" s="501"/>
      <c r="IUR557" s="501"/>
      <c r="IUS557" s="501"/>
      <c r="IUT557" s="501"/>
      <c r="IUU557" s="501"/>
      <c r="IUV557" s="501"/>
      <c r="IUW557" s="501"/>
      <c r="IUX557" s="501"/>
      <c r="IUY557" s="501"/>
      <c r="IUZ557" s="501"/>
      <c r="IVA557" s="501"/>
      <c r="IVB557" s="501"/>
      <c r="IVC557" s="501"/>
      <c r="IVD557" s="501"/>
      <c r="IVE557" s="501"/>
      <c r="IVF557" s="501"/>
      <c r="IVG557" s="501"/>
      <c r="IVH557" s="501"/>
      <c r="IVI557" s="501"/>
      <c r="IVJ557" s="501"/>
      <c r="IVK557" s="501"/>
      <c r="IVL557" s="501"/>
      <c r="IVM557" s="501"/>
      <c r="IVN557" s="501"/>
      <c r="IVO557" s="501"/>
      <c r="IVP557" s="501"/>
      <c r="IVQ557" s="501"/>
      <c r="IVR557" s="501"/>
      <c r="IVS557" s="501"/>
      <c r="IVT557" s="501"/>
      <c r="IVU557" s="501"/>
      <c r="IVV557" s="501"/>
      <c r="IVW557" s="501"/>
      <c r="IVX557" s="501"/>
      <c r="IVY557" s="501"/>
      <c r="IVZ557" s="501"/>
      <c r="IWA557" s="501"/>
      <c r="IWB557" s="501"/>
      <c r="IWC557" s="501"/>
      <c r="IWD557" s="501"/>
      <c r="IWE557" s="501"/>
      <c r="IWF557" s="501"/>
      <c r="IWG557" s="501"/>
      <c r="IWH557" s="501"/>
      <c r="IWI557" s="501"/>
      <c r="IWJ557" s="501"/>
      <c r="IWK557" s="501"/>
      <c r="IWL557" s="501"/>
      <c r="IWM557" s="501"/>
      <c r="IWN557" s="501"/>
      <c r="IWO557" s="501"/>
      <c r="IWP557" s="501"/>
      <c r="IWQ557" s="501"/>
      <c r="IWR557" s="501"/>
      <c r="IWS557" s="501"/>
      <c r="IWT557" s="501"/>
      <c r="IWU557" s="501"/>
      <c r="IWV557" s="501"/>
      <c r="IWW557" s="501"/>
      <c r="IWX557" s="501"/>
      <c r="IWY557" s="501"/>
      <c r="IWZ557" s="501"/>
      <c r="IXA557" s="501"/>
      <c r="IXB557" s="501"/>
      <c r="IXC557" s="501"/>
      <c r="IXD557" s="501"/>
      <c r="IXE557" s="501"/>
      <c r="IXF557" s="501"/>
      <c r="IXG557" s="501"/>
      <c r="IXH557" s="501"/>
      <c r="IXI557" s="501"/>
      <c r="IXJ557" s="501"/>
      <c r="IXK557" s="501"/>
      <c r="IXL557" s="501"/>
      <c r="IXM557" s="501"/>
      <c r="IXN557" s="501"/>
      <c r="IXO557" s="501"/>
      <c r="IXP557" s="501"/>
      <c r="IXQ557" s="501"/>
      <c r="IXR557" s="501"/>
      <c r="IXS557" s="501"/>
      <c r="IXT557" s="501"/>
      <c r="IXU557" s="501"/>
      <c r="IXV557" s="501"/>
      <c r="IXW557" s="501"/>
      <c r="IXX557" s="501"/>
      <c r="IXY557" s="501"/>
      <c r="IXZ557" s="501"/>
      <c r="IYA557" s="501"/>
      <c r="IYB557" s="501"/>
      <c r="IYC557" s="501"/>
      <c r="IYD557" s="501"/>
      <c r="IYE557" s="501"/>
      <c r="IYF557" s="501"/>
      <c r="IYG557" s="501"/>
      <c r="IYH557" s="501"/>
      <c r="IYI557" s="501"/>
      <c r="IYJ557" s="501"/>
      <c r="IYK557" s="501"/>
      <c r="IYL557" s="501"/>
      <c r="IYM557" s="501"/>
      <c r="IYN557" s="501"/>
      <c r="IYO557" s="501"/>
      <c r="IYP557" s="501"/>
      <c r="IYQ557" s="501"/>
      <c r="IYR557" s="501"/>
      <c r="IYS557" s="501"/>
      <c r="IYT557" s="501"/>
      <c r="IYU557" s="501"/>
      <c r="IYV557" s="501"/>
      <c r="IYW557" s="501"/>
      <c r="IYX557" s="501"/>
      <c r="IYY557" s="501"/>
      <c r="IYZ557" s="501"/>
      <c r="IZA557" s="501"/>
      <c r="IZB557" s="501"/>
      <c r="IZC557" s="501"/>
      <c r="IZD557" s="501"/>
      <c r="IZE557" s="501"/>
      <c r="IZF557" s="501"/>
      <c r="IZG557" s="501"/>
      <c r="IZH557" s="501"/>
      <c r="IZI557" s="501"/>
      <c r="IZJ557" s="501"/>
      <c r="IZK557" s="501"/>
      <c r="IZL557" s="501"/>
      <c r="IZM557" s="501"/>
      <c r="IZN557" s="501"/>
      <c r="IZO557" s="501"/>
      <c r="IZP557" s="501"/>
      <c r="IZQ557" s="501"/>
      <c r="IZR557" s="501"/>
      <c r="IZS557" s="501"/>
      <c r="IZT557" s="501"/>
      <c r="IZU557" s="501"/>
      <c r="IZV557" s="501"/>
      <c r="IZW557" s="501"/>
      <c r="IZX557" s="501"/>
      <c r="IZY557" s="501"/>
      <c r="IZZ557" s="501"/>
      <c r="JAA557" s="501"/>
      <c r="JAB557" s="501"/>
      <c r="JAC557" s="501"/>
      <c r="JAD557" s="501"/>
      <c r="JAE557" s="501"/>
      <c r="JAF557" s="501"/>
      <c r="JAG557" s="501"/>
      <c r="JAH557" s="501"/>
      <c r="JAI557" s="501"/>
      <c r="JAJ557" s="501"/>
      <c r="JAK557" s="501"/>
      <c r="JAL557" s="501"/>
      <c r="JAM557" s="501"/>
      <c r="JAN557" s="501"/>
      <c r="JAO557" s="501"/>
      <c r="JAP557" s="501"/>
      <c r="JAQ557" s="501"/>
      <c r="JAR557" s="501"/>
      <c r="JAS557" s="501"/>
      <c r="JAT557" s="501"/>
      <c r="JAU557" s="501"/>
      <c r="JAV557" s="501"/>
      <c r="JAW557" s="501"/>
      <c r="JAX557" s="501"/>
      <c r="JAY557" s="501"/>
      <c r="JAZ557" s="501"/>
      <c r="JBA557" s="501"/>
      <c r="JBB557" s="501"/>
      <c r="JBC557" s="501"/>
      <c r="JBD557" s="501"/>
      <c r="JBE557" s="501"/>
      <c r="JBF557" s="501"/>
      <c r="JBG557" s="501"/>
      <c r="JBH557" s="501"/>
      <c r="JBI557" s="501"/>
      <c r="JBJ557" s="501"/>
      <c r="JBK557" s="501"/>
      <c r="JBL557" s="501"/>
      <c r="JBM557" s="501"/>
      <c r="JBN557" s="501"/>
      <c r="JBO557" s="501"/>
      <c r="JBP557" s="501"/>
      <c r="JBQ557" s="501"/>
      <c r="JBR557" s="501"/>
      <c r="JBS557" s="501"/>
      <c r="JBT557" s="501"/>
      <c r="JBU557" s="501"/>
      <c r="JBV557" s="501"/>
      <c r="JBW557" s="501"/>
      <c r="JBX557" s="501"/>
      <c r="JBY557" s="501"/>
      <c r="JBZ557" s="501"/>
      <c r="JCA557" s="501"/>
      <c r="JCB557" s="501"/>
      <c r="JCC557" s="501"/>
      <c r="JCD557" s="501"/>
      <c r="JCE557" s="501"/>
      <c r="JCF557" s="501"/>
      <c r="JCG557" s="501"/>
      <c r="JCH557" s="501"/>
      <c r="JCI557" s="501"/>
      <c r="JCJ557" s="501"/>
      <c r="JCK557" s="501"/>
      <c r="JCL557" s="501"/>
      <c r="JCM557" s="501"/>
      <c r="JCN557" s="501"/>
      <c r="JCO557" s="501"/>
      <c r="JCP557" s="501"/>
      <c r="JCQ557" s="501"/>
      <c r="JCR557" s="501"/>
      <c r="JCS557" s="501"/>
      <c r="JCT557" s="501"/>
      <c r="JCU557" s="501"/>
      <c r="JCV557" s="501"/>
      <c r="JCW557" s="501"/>
      <c r="JCX557" s="501"/>
      <c r="JCY557" s="501"/>
      <c r="JCZ557" s="501"/>
      <c r="JDA557" s="501"/>
      <c r="JDB557" s="501"/>
      <c r="JDC557" s="501"/>
      <c r="JDD557" s="501"/>
      <c r="JDE557" s="501"/>
      <c r="JDF557" s="501"/>
      <c r="JDG557" s="501"/>
      <c r="JDH557" s="501"/>
      <c r="JDI557" s="501"/>
      <c r="JDJ557" s="501"/>
      <c r="JDK557" s="501"/>
      <c r="JDL557" s="501"/>
      <c r="JDM557" s="501"/>
      <c r="JDN557" s="501"/>
      <c r="JDO557" s="501"/>
      <c r="JDP557" s="501"/>
      <c r="JDQ557" s="501"/>
      <c r="JDR557" s="501"/>
      <c r="JDS557" s="501"/>
      <c r="JDT557" s="501"/>
      <c r="JDU557" s="501"/>
      <c r="JDV557" s="501"/>
      <c r="JDW557" s="501"/>
      <c r="JDX557" s="501"/>
      <c r="JDY557" s="501"/>
      <c r="JDZ557" s="501"/>
      <c r="JEA557" s="501"/>
      <c r="JEB557" s="501"/>
      <c r="JEC557" s="501"/>
      <c r="JED557" s="501"/>
      <c r="JEE557" s="501"/>
      <c r="JEF557" s="501"/>
      <c r="JEG557" s="501"/>
      <c r="JEH557" s="501"/>
      <c r="JEI557" s="501"/>
      <c r="JEJ557" s="501"/>
      <c r="JEK557" s="501"/>
      <c r="JEL557" s="501"/>
      <c r="JEM557" s="501"/>
      <c r="JEN557" s="501"/>
      <c r="JEO557" s="501"/>
      <c r="JEP557" s="501"/>
      <c r="JEQ557" s="501"/>
      <c r="JER557" s="501"/>
      <c r="JES557" s="501"/>
      <c r="JET557" s="501"/>
      <c r="JEU557" s="501"/>
      <c r="JEV557" s="501"/>
      <c r="JEW557" s="501"/>
      <c r="JEX557" s="501"/>
      <c r="JEY557" s="501"/>
      <c r="JEZ557" s="501"/>
      <c r="JFA557" s="501"/>
      <c r="JFB557" s="501"/>
      <c r="JFC557" s="501"/>
      <c r="JFD557" s="501"/>
      <c r="JFE557" s="501"/>
      <c r="JFF557" s="501"/>
      <c r="JFG557" s="501"/>
      <c r="JFH557" s="501"/>
      <c r="JFI557" s="501"/>
      <c r="JFJ557" s="501"/>
      <c r="JFK557" s="501"/>
      <c r="JFL557" s="501"/>
      <c r="JFM557" s="501"/>
      <c r="JFN557" s="501"/>
      <c r="JFO557" s="501"/>
      <c r="JFP557" s="501"/>
      <c r="JFQ557" s="501"/>
      <c r="JFR557" s="501"/>
      <c r="JFS557" s="501"/>
      <c r="JFT557" s="501"/>
      <c r="JFU557" s="501"/>
      <c r="JFV557" s="501"/>
      <c r="JFW557" s="501"/>
      <c r="JFX557" s="501"/>
      <c r="JFY557" s="501"/>
      <c r="JFZ557" s="501"/>
      <c r="JGA557" s="501"/>
      <c r="JGB557" s="501"/>
      <c r="JGC557" s="501"/>
      <c r="JGD557" s="501"/>
      <c r="JGE557" s="501"/>
      <c r="JGF557" s="501"/>
      <c r="JGG557" s="501"/>
      <c r="JGH557" s="501"/>
      <c r="JGI557" s="501"/>
      <c r="JGJ557" s="501"/>
      <c r="JGK557" s="501"/>
      <c r="JGL557" s="501"/>
      <c r="JGM557" s="501"/>
      <c r="JGN557" s="501"/>
      <c r="JGO557" s="501"/>
      <c r="JGP557" s="501"/>
      <c r="JGQ557" s="501"/>
      <c r="JGR557" s="501"/>
      <c r="JGS557" s="501"/>
      <c r="JGT557" s="501"/>
      <c r="JGU557" s="501"/>
      <c r="JGV557" s="501"/>
      <c r="JGW557" s="501"/>
      <c r="JGX557" s="501"/>
      <c r="JGY557" s="501"/>
      <c r="JGZ557" s="501"/>
      <c r="JHA557" s="501"/>
      <c r="JHB557" s="501"/>
      <c r="JHC557" s="501"/>
      <c r="JHD557" s="501"/>
      <c r="JHE557" s="501"/>
      <c r="JHF557" s="501"/>
      <c r="JHG557" s="501"/>
      <c r="JHH557" s="501"/>
      <c r="JHI557" s="501"/>
      <c r="JHJ557" s="501"/>
      <c r="JHK557" s="501"/>
      <c r="JHL557" s="501"/>
      <c r="JHM557" s="501"/>
      <c r="JHN557" s="501"/>
      <c r="JHO557" s="501"/>
      <c r="JHP557" s="501"/>
      <c r="JHQ557" s="501"/>
      <c r="JHR557" s="501"/>
      <c r="JHS557" s="501"/>
      <c r="JHT557" s="501"/>
      <c r="JHU557" s="501"/>
      <c r="JHV557" s="501"/>
      <c r="JHW557" s="501"/>
      <c r="JHX557" s="501"/>
      <c r="JHY557" s="501"/>
      <c r="JHZ557" s="501"/>
      <c r="JIA557" s="501"/>
      <c r="JIB557" s="501"/>
      <c r="JIC557" s="501"/>
      <c r="JID557" s="501"/>
      <c r="JIE557" s="501"/>
      <c r="JIF557" s="501"/>
      <c r="JIG557" s="501"/>
      <c r="JIH557" s="501"/>
      <c r="JII557" s="501"/>
      <c r="JIJ557" s="501"/>
      <c r="JIK557" s="501"/>
      <c r="JIL557" s="501"/>
      <c r="JIM557" s="501"/>
      <c r="JIN557" s="501"/>
      <c r="JIO557" s="501"/>
      <c r="JIP557" s="501"/>
      <c r="JIQ557" s="501"/>
      <c r="JIR557" s="501"/>
      <c r="JIS557" s="501"/>
      <c r="JIT557" s="501"/>
      <c r="JIU557" s="501"/>
      <c r="JIV557" s="501"/>
      <c r="JIW557" s="501"/>
      <c r="JIX557" s="501"/>
      <c r="JIY557" s="501"/>
      <c r="JIZ557" s="501"/>
      <c r="JJA557" s="501"/>
      <c r="JJB557" s="501"/>
      <c r="JJC557" s="501"/>
      <c r="JJD557" s="501"/>
      <c r="JJE557" s="501"/>
      <c r="JJF557" s="501"/>
      <c r="JJG557" s="501"/>
      <c r="JJH557" s="501"/>
      <c r="JJI557" s="501"/>
      <c r="JJJ557" s="501"/>
      <c r="JJK557" s="501"/>
      <c r="JJL557" s="501"/>
      <c r="JJM557" s="501"/>
      <c r="JJN557" s="501"/>
      <c r="JJO557" s="501"/>
      <c r="JJP557" s="501"/>
      <c r="JJQ557" s="501"/>
      <c r="JJR557" s="501"/>
      <c r="JJS557" s="501"/>
      <c r="JJT557" s="501"/>
      <c r="JJU557" s="501"/>
      <c r="JJV557" s="501"/>
      <c r="JJW557" s="501"/>
      <c r="JJX557" s="501"/>
      <c r="JJY557" s="501"/>
      <c r="JJZ557" s="501"/>
      <c r="JKA557" s="501"/>
      <c r="JKB557" s="501"/>
      <c r="JKC557" s="501"/>
      <c r="JKD557" s="501"/>
      <c r="JKE557" s="501"/>
      <c r="JKF557" s="501"/>
      <c r="JKG557" s="501"/>
      <c r="JKH557" s="501"/>
      <c r="JKI557" s="501"/>
      <c r="JKJ557" s="501"/>
      <c r="JKK557" s="501"/>
      <c r="JKL557" s="501"/>
      <c r="JKM557" s="501"/>
      <c r="JKN557" s="501"/>
      <c r="JKO557" s="501"/>
      <c r="JKP557" s="501"/>
      <c r="JKQ557" s="501"/>
      <c r="JKR557" s="501"/>
      <c r="JKS557" s="501"/>
      <c r="JKT557" s="501"/>
      <c r="JKU557" s="501"/>
      <c r="JKV557" s="501"/>
      <c r="JKW557" s="501"/>
      <c r="JKX557" s="501"/>
      <c r="JKY557" s="501"/>
      <c r="JKZ557" s="501"/>
      <c r="JLA557" s="501"/>
      <c r="JLB557" s="501"/>
      <c r="JLC557" s="501"/>
      <c r="JLD557" s="501"/>
      <c r="JLE557" s="501"/>
      <c r="JLF557" s="501"/>
      <c r="JLG557" s="501"/>
      <c r="JLH557" s="501"/>
      <c r="JLI557" s="501"/>
      <c r="JLJ557" s="501"/>
      <c r="JLK557" s="501"/>
      <c r="JLL557" s="501"/>
      <c r="JLM557" s="501"/>
      <c r="JLN557" s="501"/>
      <c r="JLO557" s="501"/>
      <c r="JLP557" s="501"/>
      <c r="JLQ557" s="501"/>
      <c r="JLR557" s="501"/>
      <c r="JLS557" s="501"/>
      <c r="JLT557" s="501"/>
      <c r="JLU557" s="501"/>
      <c r="JLV557" s="501"/>
      <c r="JLW557" s="501"/>
      <c r="JLX557" s="501"/>
      <c r="JLY557" s="501"/>
      <c r="JLZ557" s="501"/>
      <c r="JMA557" s="501"/>
      <c r="JMB557" s="501"/>
      <c r="JMC557" s="501"/>
      <c r="JMD557" s="501"/>
      <c r="JME557" s="501"/>
      <c r="JMF557" s="501"/>
      <c r="JMG557" s="501"/>
      <c r="JMH557" s="501"/>
      <c r="JMI557" s="501"/>
      <c r="JMJ557" s="501"/>
      <c r="JMK557" s="501"/>
      <c r="JML557" s="501"/>
      <c r="JMM557" s="501"/>
      <c r="JMN557" s="501"/>
      <c r="JMO557" s="501"/>
      <c r="JMP557" s="501"/>
      <c r="JMQ557" s="501"/>
      <c r="JMR557" s="501"/>
      <c r="JMS557" s="501"/>
      <c r="JMT557" s="501"/>
      <c r="JMU557" s="501"/>
      <c r="JMV557" s="501"/>
      <c r="JMW557" s="501"/>
      <c r="JMX557" s="501"/>
      <c r="JMY557" s="501"/>
      <c r="JMZ557" s="501"/>
      <c r="JNA557" s="501"/>
      <c r="JNB557" s="501"/>
      <c r="JNC557" s="501"/>
      <c r="JND557" s="501"/>
      <c r="JNE557" s="501"/>
      <c r="JNF557" s="501"/>
      <c r="JNG557" s="501"/>
      <c r="JNH557" s="501"/>
      <c r="JNI557" s="501"/>
      <c r="JNJ557" s="501"/>
      <c r="JNK557" s="501"/>
      <c r="JNL557" s="501"/>
      <c r="JNM557" s="501"/>
      <c r="JNN557" s="501"/>
      <c r="JNO557" s="501"/>
      <c r="JNP557" s="501"/>
      <c r="JNQ557" s="501"/>
      <c r="JNR557" s="501"/>
      <c r="JNS557" s="501"/>
      <c r="JNT557" s="501"/>
      <c r="JNU557" s="501"/>
      <c r="JNV557" s="501"/>
      <c r="JNW557" s="501"/>
      <c r="JNX557" s="501"/>
      <c r="JNY557" s="501"/>
      <c r="JNZ557" s="501"/>
      <c r="JOA557" s="501"/>
      <c r="JOB557" s="501"/>
      <c r="JOC557" s="501"/>
      <c r="JOD557" s="501"/>
      <c r="JOE557" s="501"/>
      <c r="JOF557" s="501"/>
      <c r="JOG557" s="501"/>
      <c r="JOH557" s="501"/>
      <c r="JOI557" s="501"/>
      <c r="JOJ557" s="501"/>
      <c r="JOK557" s="501"/>
      <c r="JOL557" s="501"/>
      <c r="JOM557" s="501"/>
      <c r="JON557" s="501"/>
      <c r="JOO557" s="501"/>
      <c r="JOP557" s="501"/>
      <c r="JOQ557" s="501"/>
      <c r="JOR557" s="501"/>
      <c r="JOS557" s="501"/>
      <c r="JOT557" s="501"/>
      <c r="JOU557" s="501"/>
      <c r="JOV557" s="501"/>
      <c r="JOW557" s="501"/>
      <c r="JOX557" s="501"/>
      <c r="JOY557" s="501"/>
      <c r="JOZ557" s="501"/>
      <c r="JPA557" s="501"/>
      <c r="JPB557" s="501"/>
      <c r="JPC557" s="501"/>
      <c r="JPD557" s="501"/>
      <c r="JPE557" s="501"/>
      <c r="JPF557" s="501"/>
      <c r="JPG557" s="501"/>
      <c r="JPH557" s="501"/>
      <c r="JPI557" s="501"/>
      <c r="JPJ557" s="501"/>
      <c r="JPK557" s="501"/>
      <c r="JPL557" s="501"/>
      <c r="JPM557" s="501"/>
      <c r="JPN557" s="501"/>
      <c r="JPO557" s="501"/>
      <c r="JPP557" s="501"/>
      <c r="JPQ557" s="501"/>
      <c r="JPR557" s="501"/>
      <c r="JPS557" s="501"/>
      <c r="JPT557" s="501"/>
      <c r="JPU557" s="501"/>
      <c r="JPV557" s="501"/>
      <c r="JPW557" s="501"/>
      <c r="JPX557" s="501"/>
      <c r="JPY557" s="501"/>
      <c r="JPZ557" s="501"/>
      <c r="JQA557" s="501"/>
      <c r="JQB557" s="501"/>
      <c r="JQC557" s="501"/>
      <c r="JQD557" s="501"/>
      <c r="JQE557" s="501"/>
      <c r="JQF557" s="501"/>
      <c r="JQG557" s="501"/>
      <c r="JQH557" s="501"/>
      <c r="JQI557" s="501"/>
      <c r="JQJ557" s="501"/>
      <c r="JQK557" s="501"/>
      <c r="JQL557" s="501"/>
      <c r="JQM557" s="501"/>
      <c r="JQN557" s="501"/>
      <c r="JQO557" s="501"/>
      <c r="JQP557" s="501"/>
      <c r="JQQ557" s="501"/>
      <c r="JQR557" s="501"/>
      <c r="JQS557" s="501"/>
      <c r="JQT557" s="501"/>
      <c r="JQU557" s="501"/>
      <c r="JQV557" s="501"/>
      <c r="JQW557" s="501"/>
      <c r="JQX557" s="501"/>
      <c r="JQY557" s="501"/>
      <c r="JQZ557" s="501"/>
      <c r="JRA557" s="501"/>
      <c r="JRB557" s="501"/>
      <c r="JRC557" s="501"/>
      <c r="JRD557" s="501"/>
      <c r="JRE557" s="501"/>
      <c r="JRF557" s="501"/>
      <c r="JRG557" s="501"/>
      <c r="JRH557" s="501"/>
      <c r="JRI557" s="501"/>
      <c r="JRJ557" s="501"/>
      <c r="JRK557" s="501"/>
      <c r="JRL557" s="501"/>
      <c r="JRM557" s="501"/>
      <c r="JRN557" s="501"/>
      <c r="JRO557" s="501"/>
      <c r="JRP557" s="501"/>
      <c r="JRQ557" s="501"/>
      <c r="JRR557" s="501"/>
      <c r="JRS557" s="501"/>
      <c r="JRT557" s="501"/>
      <c r="JRU557" s="501"/>
      <c r="JRV557" s="501"/>
      <c r="JRW557" s="501"/>
      <c r="JRX557" s="501"/>
      <c r="JRY557" s="501"/>
      <c r="JRZ557" s="501"/>
      <c r="JSA557" s="501"/>
      <c r="JSB557" s="501"/>
      <c r="JSC557" s="501"/>
      <c r="JSD557" s="501"/>
      <c r="JSE557" s="501"/>
      <c r="JSF557" s="501"/>
      <c r="JSG557" s="501"/>
      <c r="JSH557" s="501"/>
      <c r="JSI557" s="501"/>
      <c r="JSJ557" s="501"/>
      <c r="JSK557" s="501"/>
      <c r="JSL557" s="501"/>
      <c r="JSM557" s="501"/>
      <c r="JSN557" s="501"/>
      <c r="JSO557" s="501"/>
      <c r="JSP557" s="501"/>
      <c r="JSQ557" s="501"/>
      <c r="JSR557" s="501"/>
      <c r="JSS557" s="501"/>
      <c r="JST557" s="501"/>
      <c r="JSU557" s="501"/>
      <c r="JSV557" s="501"/>
      <c r="JSW557" s="501"/>
      <c r="JSX557" s="501"/>
      <c r="JSY557" s="501"/>
      <c r="JSZ557" s="501"/>
      <c r="JTA557" s="501"/>
      <c r="JTB557" s="501"/>
      <c r="JTC557" s="501"/>
      <c r="JTD557" s="501"/>
      <c r="JTE557" s="501"/>
      <c r="JTF557" s="501"/>
      <c r="JTG557" s="501"/>
      <c r="JTH557" s="501"/>
      <c r="JTI557" s="501"/>
      <c r="JTJ557" s="501"/>
      <c r="JTK557" s="501"/>
      <c r="JTL557" s="501"/>
      <c r="JTM557" s="501"/>
      <c r="JTN557" s="501"/>
      <c r="JTO557" s="501"/>
      <c r="JTP557" s="501"/>
      <c r="JTQ557" s="501"/>
      <c r="JTR557" s="501"/>
      <c r="JTS557" s="501"/>
      <c r="JTT557" s="501"/>
      <c r="JTU557" s="501"/>
      <c r="JTV557" s="501"/>
      <c r="JTW557" s="501"/>
      <c r="JTX557" s="501"/>
      <c r="JTY557" s="501"/>
      <c r="JTZ557" s="501"/>
      <c r="JUA557" s="501"/>
      <c r="JUB557" s="501"/>
      <c r="JUC557" s="501"/>
      <c r="JUD557" s="501"/>
      <c r="JUE557" s="501"/>
      <c r="JUF557" s="501"/>
      <c r="JUG557" s="501"/>
      <c r="JUH557" s="501"/>
      <c r="JUI557" s="501"/>
      <c r="JUJ557" s="501"/>
      <c r="JUK557" s="501"/>
      <c r="JUL557" s="501"/>
      <c r="JUM557" s="501"/>
      <c r="JUN557" s="501"/>
      <c r="JUO557" s="501"/>
      <c r="JUP557" s="501"/>
      <c r="JUQ557" s="501"/>
      <c r="JUR557" s="501"/>
      <c r="JUS557" s="501"/>
      <c r="JUT557" s="501"/>
      <c r="JUU557" s="501"/>
      <c r="JUV557" s="501"/>
      <c r="JUW557" s="501"/>
      <c r="JUX557" s="501"/>
      <c r="JUY557" s="501"/>
      <c r="JUZ557" s="501"/>
      <c r="JVA557" s="501"/>
      <c r="JVB557" s="501"/>
      <c r="JVC557" s="501"/>
      <c r="JVD557" s="501"/>
      <c r="JVE557" s="501"/>
      <c r="JVF557" s="501"/>
      <c r="JVG557" s="501"/>
      <c r="JVH557" s="501"/>
      <c r="JVI557" s="501"/>
      <c r="JVJ557" s="501"/>
      <c r="JVK557" s="501"/>
      <c r="JVL557" s="501"/>
      <c r="JVM557" s="501"/>
      <c r="JVN557" s="501"/>
      <c r="JVO557" s="501"/>
      <c r="JVP557" s="501"/>
      <c r="JVQ557" s="501"/>
      <c r="JVR557" s="501"/>
      <c r="JVS557" s="501"/>
      <c r="JVT557" s="501"/>
      <c r="JVU557" s="501"/>
      <c r="JVV557" s="501"/>
      <c r="JVW557" s="501"/>
      <c r="JVX557" s="501"/>
      <c r="JVY557" s="501"/>
      <c r="JVZ557" s="501"/>
      <c r="JWA557" s="501"/>
      <c r="JWB557" s="501"/>
      <c r="JWC557" s="501"/>
      <c r="JWD557" s="501"/>
      <c r="JWE557" s="501"/>
      <c r="JWF557" s="501"/>
      <c r="JWG557" s="501"/>
      <c r="JWH557" s="501"/>
      <c r="JWI557" s="501"/>
      <c r="JWJ557" s="501"/>
      <c r="JWK557" s="501"/>
      <c r="JWL557" s="501"/>
      <c r="JWM557" s="501"/>
      <c r="JWN557" s="501"/>
      <c r="JWO557" s="501"/>
      <c r="JWP557" s="501"/>
      <c r="JWQ557" s="501"/>
      <c r="JWR557" s="501"/>
      <c r="JWS557" s="501"/>
      <c r="JWT557" s="501"/>
      <c r="JWU557" s="501"/>
      <c r="JWV557" s="501"/>
      <c r="JWW557" s="501"/>
      <c r="JWX557" s="501"/>
      <c r="JWY557" s="501"/>
      <c r="JWZ557" s="501"/>
      <c r="JXA557" s="501"/>
      <c r="JXB557" s="501"/>
      <c r="JXC557" s="501"/>
      <c r="JXD557" s="501"/>
      <c r="JXE557" s="501"/>
      <c r="JXF557" s="501"/>
      <c r="JXG557" s="501"/>
      <c r="JXH557" s="501"/>
      <c r="JXI557" s="501"/>
      <c r="JXJ557" s="501"/>
      <c r="JXK557" s="501"/>
      <c r="JXL557" s="501"/>
      <c r="JXM557" s="501"/>
      <c r="JXN557" s="501"/>
      <c r="JXO557" s="501"/>
      <c r="JXP557" s="501"/>
      <c r="JXQ557" s="501"/>
      <c r="JXR557" s="501"/>
      <c r="JXS557" s="501"/>
      <c r="JXT557" s="501"/>
      <c r="JXU557" s="501"/>
      <c r="JXV557" s="501"/>
      <c r="JXW557" s="501"/>
      <c r="JXX557" s="501"/>
      <c r="JXY557" s="501"/>
      <c r="JXZ557" s="501"/>
      <c r="JYA557" s="501"/>
      <c r="JYB557" s="501"/>
      <c r="JYC557" s="501"/>
      <c r="JYD557" s="501"/>
      <c r="JYE557" s="501"/>
      <c r="JYF557" s="501"/>
      <c r="JYG557" s="501"/>
      <c r="JYH557" s="501"/>
      <c r="JYI557" s="501"/>
      <c r="JYJ557" s="501"/>
      <c r="JYK557" s="501"/>
      <c r="JYL557" s="501"/>
      <c r="JYM557" s="501"/>
      <c r="JYN557" s="501"/>
      <c r="JYO557" s="501"/>
      <c r="JYP557" s="501"/>
      <c r="JYQ557" s="501"/>
      <c r="JYR557" s="501"/>
      <c r="JYS557" s="501"/>
      <c r="JYT557" s="501"/>
      <c r="JYU557" s="501"/>
      <c r="JYV557" s="501"/>
      <c r="JYW557" s="501"/>
      <c r="JYX557" s="501"/>
      <c r="JYY557" s="501"/>
      <c r="JYZ557" s="501"/>
      <c r="JZA557" s="501"/>
      <c r="JZB557" s="501"/>
      <c r="JZC557" s="501"/>
      <c r="JZD557" s="501"/>
      <c r="JZE557" s="501"/>
      <c r="JZF557" s="501"/>
      <c r="JZG557" s="501"/>
      <c r="JZH557" s="501"/>
      <c r="JZI557" s="501"/>
      <c r="JZJ557" s="501"/>
      <c r="JZK557" s="501"/>
      <c r="JZL557" s="501"/>
      <c r="JZM557" s="501"/>
      <c r="JZN557" s="501"/>
      <c r="JZO557" s="501"/>
      <c r="JZP557" s="501"/>
      <c r="JZQ557" s="501"/>
      <c r="JZR557" s="501"/>
      <c r="JZS557" s="501"/>
      <c r="JZT557" s="501"/>
      <c r="JZU557" s="501"/>
      <c r="JZV557" s="501"/>
      <c r="JZW557" s="501"/>
      <c r="JZX557" s="501"/>
      <c r="JZY557" s="501"/>
      <c r="JZZ557" s="501"/>
      <c r="KAA557" s="501"/>
      <c r="KAB557" s="501"/>
      <c r="KAC557" s="501"/>
      <c r="KAD557" s="501"/>
      <c r="KAE557" s="501"/>
      <c r="KAF557" s="501"/>
      <c r="KAG557" s="501"/>
      <c r="KAH557" s="501"/>
      <c r="KAI557" s="501"/>
      <c r="KAJ557" s="501"/>
      <c r="KAK557" s="501"/>
      <c r="KAL557" s="501"/>
      <c r="KAM557" s="501"/>
      <c r="KAN557" s="501"/>
      <c r="KAO557" s="501"/>
      <c r="KAP557" s="501"/>
      <c r="KAQ557" s="501"/>
      <c r="KAR557" s="501"/>
      <c r="KAS557" s="501"/>
      <c r="KAT557" s="501"/>
      <c r="KAU557" s="501"/>
      <c r="KAV557" s="501"/>
      <c r="KAW557" s="501"/>
      <c r="KAX557" s="501"/>
      <c r="KAY557" s="501"/>
      <c r="KAZ557" s="501"/>
      <c r="KBA557" s="501"/>
      <c r="KBB557" s="501"/>
      <c r="KBC557" s="501"/>
      <c r="KBD557" s="501"/>
      <c r="KBE557" s="501"/>
      <c r="KBF557" s="501"/>
      <c r="KBG557" s="501"/>
      <c r="KBH557" s="501"/>
      <c r="KBI557" s="501"/>
      <c r="KBJ557" s="501"/>
      <c r="KBK557" s="501"/>
      <c r="KBL557" s="501"/>
      <c r="KBM557" s="501"/>
      <c r="KBN557" s="501"/>
      <c r="KBO557" s="501"/>
      <c r="KBP557" s="501"/>
      <c r="KBQ557" s="501"/>
      <c r="KBR557" s="501"/>
      <c r="KBS557" s="501"/>
      <c r="KBT557" s="501"/>
      <c r="KBU557" s="501"/>
      <c r="KBV557" s="501"/>
      <c r="KBW557" s="501"/>
      <c r="KBX557" s="501"/>
      <c r="KBY557" s="501"/>
      <c r="KBZ557" s="501"/>
      <c r="KCA557" s="501"/>
      <c r="KCB557" s="501"/>
      <c r="KCC557" s="501"/>
      <c r="KCD557" s="501"/>
      <c r="KCE557" s="501"/>
      <c r="KCF557" s="501"/>
      <c r="KCG557" s="501"/>
      <c r="KCH557" s="501"/>
      <c r="KCI557" s="501"/>
      <c r="KCJ557" s="501"/>
      <c r="KCK557" s="501"/>
      <c r="KCL557" s="501"/>
      <c r="KCM557" s="501"/>
      <c r="KCN557" s="501"/>
      <c r="KCO557" s="501"/>
      <c r="KCP557" s="501"/>
      <c r="KCQ557" s="501"/>
      <c r="KCR557" s="501"/>
      <c r="KCS557" s="501"/>
      <c r="KCT557" s="501"/>
      <c r="KCU557" s="501"/>
      <c r="KCV557" s="501"/>
      <c r="KCW557" s="501"/>
      <c r="KCX557" s="501"/>
      <c r="KCY557" s="501"/>
      <c r="KCZ557" s="501"/>
      <c r="KDA557" s="501"/>
      <c r="KDB557" s="501"/>
      <c r="KDC557" s="501"/>
      <c r="KDD557" s="501"/>
      <c r="KDE557" s="501"/>
      <c r="KDF557" s="501"/>
      <c r="KDG557" s="501"/>
      <c r="KDH557" s="501"/>
      <c r="KDI557" s="501"/>
      <c r="KDJ557" s="501"/>
      <c r="KDK557" s="501"/>
      <c r="KDL557" s="501"/>
      <c r="KDM557" s="501"/>
      <c r="KDN557" s="501"/>
      <c r="KDO557" s="501"/>
      <c r="KDP557" s="501"/>
      <c r="KDQ557" s="501"/>
      <c r="KDR557" s="501"/>
      <c r="KDS557" s="501"/>
      <c r="KDT557" s="501"/>
      <c r="KDU557" s="501"/>
      <c r="KDV557" s="501"/>
      <c r="KDW557" s="501"/>
      <c r="KDX557" s="501"/>
      <c r="KDY557" s="501"/>
      <c r="KDZ557" s="501"/>
      <c r="KEA557" s="501"/>
      <c r="KEB557" s="501"/>
      <c r="KEC557" s="501"/>
      <c r="KED557" s="501"/>
      <c r="KEE557" s="501"/>
      <c r="KEF557" s="501"/>
      <c r="KEG557" s="501"/>
      <c r="KEH557" s="501"/>
      <c r="KEI557" s="501"/>
      <c r="KEJ557" s="501"/>
      <c r="KEK557" s="501"/>
      <c r="KEL557" s="501"/>
      <c r="KEM557" s="501"/>
      <c r="KEN557" s="501"/>
      <c r="KEO557" s="501"/>
      <c r="KEP557" s="501"/>
      <c r="KEQ557" s="501"/>
      <c r="KER557" s="501"/>
      <c r="KES557" s="501"/>
      <c r="KET557" s="501"/>
      <c r="KEU557" s="501"/>
      <c r="KEV557" s="501"/>
      <c r="KEW557" s="501"/>
      <c r="KEX557" s="501"/>
      <c r="KEY557" s="501"/>
      <c r="KEZ557" s="501"/>
      <c r="KFA557" s="501"/>
      <c r="KFB557" s="501"/>
      <c r="KFC557" s="501"/>
      <c r="KFD557" s="501"/>
      <c r="KFE557" s="501"/>
      <c r="KFF557" s="501"/>
      <c r="KFG557" s="501"/>
      <c r="KFH557" s="501"/>
      <c r="KFI557" s="501"/>
      <c r="KFJ557" s="501"/>
      <c r="KFK557" s="501"/>
      <c r="KFL557" s="501"/>
      <c r="KFM557" s="501"/>
      <c r="KFN557" s="501"/>
      <c r="KFO557" s="501"/>
      <c r="KFP557" s="501"/>
      <c r="KFQ557" s="501"/>
      <c r="KFR557" s="501"/>
      <c r="KFS557" s="501"/>
      <c r="KFT557" s="501"/>
      <c r="KFU557" s="501"/>
      <c r="KFV557" s="501"/>
      <c r="KFW557" s="501"/>
      <c r="KFX557" s="501"/>
      <c r="KFY557" s="501"/>
      <c r="KFZ557" s="501"/>
      <c r="KGA557" s="501"/>
      <c r="KGB557" s="501"/>
      <c r="KGC557" s="501"/>
      <c r="KGD557" s="501"/>
      <c r="KGE557" s="501"/>
      <c r="KGF557" s="501"/>
      <c r="KGG557" s="501"/>
      <c r="KGH557" s="501"/>
      <c r="KGI557" s="501"/>
      <c r="KGJ557" s="501"/>
      <c r="KGK557" s="501"/>
      <c r="KGL557" s="501"/>
      <c r="KGM557" s="501"/>
      <c r="KGN557" s="501"/>
      <c r="KGO557" s="501"/>
      <c r="KGP557" s="501"/>
      <c r="KGQ557" s="501"/>
      <c r="KGR557" s="501"/>
      <c r="KGS557" s="501"/>
      <c r="KGT557" s="501"/>
      <c r="KGU557" s="501"/>
      <c r="KGV557" s="501"/>
      <c r="KGW557" s="501"/>
      <c r="KGX557" s="501"/>
      <c r="KGY557" s="501"/>
      <c r="KGZ557" s="501"/>
      <c r="KHA557" s="501"/>
      <c r="KHB557" s="501"/>
      <c r="KHC557" s="501"/>
      <c r="KHD557" s="501"/>
      <c r="KHE557" s="501"/>
      <c r="KHF557" s="501"/>
      <c r="KHG557" s="501"/>
      <c r="KHH557" s="501"/>
      <c r="KHI557" s="501"/>
      <c r="KHJ557" s="501"/>
      <c r="KHK557" s="501"/>
      <c r="KHL557" s="501"/>
      <c r="KHM557" s="501"/>
      <c r="KHN557" s="501"/>
      <c r="KHO557" s="501"/>
      <c r="KHP557" s="501"/>
      <c r="KHQ557" s="501"/>
      <c r="KHR557" s="501"/>
      <c r="KHS557" s="501"/>
      <c r="KHT557" s="501"/>
      <c r="KHU557" s="501"/>
      <c r="KHV557" s="501"/>
      <c r="KHW557" s="501"/>
      <c r="KHX557" s="501"/>
      <c r="KHY557" s="501"/>
      <c r="KHZ557" s="501"/>
      <c r="KIA557" s="501"/>
      <c r="KIB557" s="501"/>
      <c r="KIC557" s="501"/>
      <c r="KID557" s="501"/>
      <c r="KIE557" s="501"/>
      <c r="KIF557" s="501"/>
      <c r="KIG557" s="501"/>
      <c r="KIH557" s="501"/>
      <c r="KII557" s="501"/>
      <c r="KIJ557" s="501"/>
      <c r="KIK557" s="501"/>
      <c r="KIL557" s="501"/>
      <c r="KIM557" s="501"/>
      <c r="KIN557" s="501"/>
      <c r="KIO557" s="501"/>
      <c r="KIP557" s="501"/>
      <c r="KIQ557" s="501"/>
      <c r="KIR557" s="501"/>
      <c r="KIS557" s="501"/>
      <c r="KIT557" s="501"/>
      <c r="KIU557" s="501"/>
      <c r="KIV557" s="501"/>
      <c r="KIW557" s="501"/>
      <c r="KIX557" s="501"/>
      <c r="KIY557" s="501"/>
      <c r="KIZ557" s="501"/>
      <c r="KJA557" s="501"/>
      <c r="KJB557" s="501"/>
      <c r="KJC557" s="501"/>
      <c r="KJD557" s="501"/>
      <c r="KJE557" s="501"/>
      <c r="KJF557" s="501"/>
      <c r="KJG557" s="501"/>
      <c r="KJH557" s="501"/>
      <c r="KJI557" s="501"/>
      <c r="KJJ557" s="501"/>
      <c r="KJK557" s="501"/>
      <c r="KJL557" s="501"/>
      <c r="KJM557" s="501"/>
      <c r="KJN557" s="501"/>
      <c r="KJO557" s="501"/>
      <c r="KJP557" s="501"/>
      <c r="KJQ557" s="501"/>
      <c r="KJR557" s="501"/>
      <c r="KJS557" s="501"/>
      <c r="KJT557" s="501"/>
      <c r="KJU557" s="501"/>
      <c r="KJV557" s="501"/>
      <c r="KJW557" s="501"/>
      <c r="KJX557" s="501"/>
      <c r="KJY557" s="501"/>
      <c r="KJZ557" s="501"/>
      <c r="KKA557" s="501"/>
      <c r="KKB557" s="501"/>
      <c r="KKC557" s="501"/>
      <c r="KKD557" s="501"/>
      <c r="KKE557" s="501"/>
      <c r="KKF557" s="501"/>
      <c r="KKG557" s="501"/>
      <c r="KKH557" s="501"/>
      <c r="KKI557" s="501"/>
      <c r="KKJ557" s="501"/>
      <c r="KKK557" s="501"/>
      <c r="KKL557" s="501"/>
      <c r="KKM557" s="501"/>
      <c r="KKN557" s="501"/>
      <c r="KKO557" s="501"/>
      <c r="KKP557" s="501"/>
      <c r="KKQ557" s="501"/>
      <c r="KKR557" s="501"/>
      <c r="KKS557" s="501"/>
      <c r="KKT557" s="501"/>
      <c r="KKU557" s="501"/>
      <c r="KKV557" s="501"/>
      <c r="KKW557" s="501"/>
      <c r="KKX557" s="501"/>
      <c r="KKY557" s="501"/>
      <c r="KKZ557" s="501"/>
      <c r="KLA557" s="501"/>
      <c r="KLB557" s="501"/>
      <c r="KLC557" s="501"/>
      <c r="KLD557" s="501"/>
      <c r="KLE557" s="501"/>
      <c r="KLF557" s="501"/>
      <c r="KLG557" s="501"/>
      <c r="KLH557" s="501"/>
      <c r="KLI557" s="501"/>
      <c r="KLJ557" s="501"/>
      <c r="KLK557" s="501"/>
      <c r="KLL557" s="501"/>
      <c r="KLM557" s="501"/>
      <c r="KLN557" s="501"/>
      <c r="KLO557" s="501"/>
      <c r="KLP557" s="501"/>
      <c r="KLQ557" s="501"/>
      <c r="KLR557" s="501"/>
      <c r="KLS557" s="501"/>
      <c r="KLT557" s="501"/>
      <c r="KLU557" s="501"/>
      <c r="KLV557" s="501"/>
      <c r="KLW557" s="501"/>
      <c r="KLX557" s="501"/>
      <c r="KLY557" s="501"/>
      <c r="KLZ557" s="501"/>
      <c r="KMA557" s="501"/>
      <c r="KMB557" s="501"/>
      <c r="KMC557" s="501"/>
      <c r="KMD557" s="501"/>
      <c r="KME557" s="501"/>
      <c r="KMF557" s="501"/>
      <c r="KMG557" s="501"/>
      <c r="KMH557" s="501"/>
      <c r="KMI557" s="501"/>
      <c r="KMJ557" s="501"/>
      <c r="KMK557" s="501"/>
      <c r="KML557" s="501"/>
      <c r="KMM557" s="501"/>
      <c r="KMN557" s="501"/>
      <c r="KMO557" s="501"/>
      <c r="KMP557" s="501"/>
      <c r="KMQ557" s="501"/>
      <c r="KMR557" s="501"/>
      <c r="KMS557" s="501"/>
      <c r="KMT557" s="501"/>
      <c r="KMU557" s="501"/>
      <c r="KMV557" s="501"/>
      <c r="KMW557" s="501"/>
      <c r="KMX557" s="501"/>
      <c r="KMY557" s="501"/>
      <c r="KMZ557" s="501"/>
      <c r="KNA557" s="501"/>
      <c r="KNB557" s="501"/>
      <c r="KNC557" s="501"/>
      <c r="KND557" s="501"/>
      <c r="KNE557" s="501"/>
      <c r="KNF557" s="501"/>
      <c r="KNG557" s="501"/>
      <c r="KNH557" s="501"/>
      <c r="KNI557" s="501"/>
      <c r="KNJ557" s="501"/>
      <c r="KNK557" s="501"/>
      <c r="KNL557" s="501"/>
      <c r="KNM557" s="501"/>
      <c r="KNN557" s="501"/>
      <c r="KNO557" s="501"/>
      <c r="KNP557" s="501"/>
      <c r="KNQ557" s="501"/>
      <c r="KNR557" s="501"/>
      <c r="KNS557" s="501"/>
      <c r="KNT557" s="501"/>
      <c r="KNU557" s="501"/>
      <c r="KNV557" s="501"/>
      <c r="KNW557" s="501"/>
      <c r="KNX557" s="501"/>
      <c r="KNY557" s="501"/>
      <c r="KNZ557" s="501"/>
      <c r="KOA557" s="501"/>
      <c r="KOB557" s="501"/>
      <c r="KOC557" s="501"/>
      <c r="KOD557" s="501"/>
      <c r="KOE557" s="501"/>
      <c r="KOF557" s="501"/>
      <c r="KOG557" s="501"/>
      <c r="KOH557" s="501"/>
      <c r="KOI557" s="501"/>
      <c r="KOJ557" s="501"/>
      <c r="KOK557" s="501"/>
      <c r="KOL557" s="501"/>
      <c r="KOM557" s="501"/>
      <c r="KON557" s="501"/>
      <c r="KOO557" s="501"/>
      <c r="KOP557" s="501"/>
      <c r="KOQ557" s="501"/>
      <c r="KOR557" s="501"/>
      <c r="KOS557" s="501"/>
      <c r="KOT557" s="501"/>
      <c r="KOU557" s="501"/>
      <c r="KOV557" s="501"/>
      <c r="KOW557" s="501"/>
      <c r="KOX557" s="501"/>
      <c r="KOY557" s="501"/>
      <c r="KOZ557" s="501"/>
      <c r="KPA557" s="501"/>
      <c r="KPB557" s="501"/>
      <c r="KPC557" s="501"/>
      <c r="KPD557" s="501"/>
      <c r="KPE557" s="501"/>
      <c r="KPF557" s="501"/>
      <c r="KPG557" s="501"/>
      <c r="KPH557" s="501"/>
      <c r="KPI557" s="501"/>
      <c r="KPJ557" s="501"/>
      <c r="KPK557" s="501"/>
      <c r="KPL557" s="501"/>
      <c r="KPM557" s="501"/>
      <c r="KPN557" s="501"/>
      <c r="KPO557" s="501"/>
      <c r="KPP557" s="501"/>
      <c r="KPQ557" s="501"/>
      <c r="KPR557" s="501"/>
      <c r="KPS557" s="501"/>
      <c r="KPT557" s="501"/>
      <c r="KPU557" s="501"/>
      <c r="KPV557" s="501"/>
      <c r="KPW557" s="501"/>
      <c r="KPX557" s="501"/>
      <c r="KPY557" s="501"/>
      <c r="KPZ557" s="501"/>
      <c r="KQA557" s="501"/>
      <c r="KQB557" s="501"/>
      <c r="KQC557" s="501"/>
      <c r="KQD557" s="501"/>
      <c r="KQE557" s="501"/>
      <c r="KQF557" s="501"/>
      <c r="KQG557" s="501"/>
      <c r="KQH557" s="501"/>
      <c r="KQI557" s="501"/>
      <c r="KQJ557" s="501"/>
      <c r="KQK557" s="501"/>
      <c r="KQL557" s="501"/>
      <c r="KQM557" s="501"/>
      <c r="KQN557" s="501"/>
      <c r="KQO557" s="501"/>
      <c r="KQP557" s="501"/>
      <c r="KQQ557" s="501"/>
      <c r="KQR557" s="501"/>
      <c r="KQS557" s="501"/>
      <c r="KQT557" s="501"/>
      <c r="KQU557" s="501"/>
      <c r="KQV557" s="501"/>
      <c r="KQW557" s="501"/>
      <c r="KQX557" s="501"/>
      <c r="KQY557" s="501"/>
      <c r="KQZ557" s="501"/>
      <c r="KRA557" s="501"/>
      <c r="KRB557" s="501"/>
      <c r="KRC557" s="501"/>
      <c r="KRD557" s="501"/>
      <c r="KRE557" s="501"/>
      <c r="KRF557" s="501"/>
      <c r="KRG557" s="501"/>
      <c r="KRH557" s="501"/>
      <c r="KRI557" s="501"/>
      <c r="KRJ557" s="501"/>
      <c r="KRK557" s="501"/>
      <c r="KRL557" s="501"/>
      <c r="KRM557" s="501"/>
      <c r="KRN557" s="501"/>
      <c r="KRO557" s="501"/>
      <c r="KRP557" s="501"/>
      <c r="KRQ557" s="501"/>
      <c r="KRR557" s="501"/>
      <c r="KRS557" s="501"/>
      <c r="KRT557" s="501"/>
      <c r="KRU557" s="501"/>
      <c r="KRV557" s="501"/>
      <c r="KRW557" s="501"/>
      <c r="KRX557" s="501"/>
      <c r="KRY557" s="501"/>
      <c r="KRZ557" s="501"/>
      <c r="KSA557" s="501"/>
      <c r="KSB557" s="501"/>
      <c r="KSC557" s="501"/>
      <c r="KSD557" s="501"/>
      <c r="KSE557" s="501"/>
      <c r="KSF557" s="501"/>
      <c r="KSG557" s="501"/>
      <c r="KSH557" s="501"/>
      <c r="KSI557" s="501"/>
      <c r="KSJ557" s="501"/>
      <c r="KSK557" s="501"/>
      <c r="KSL557" s="501"/>
      <c r="KSM557" s="501"/>
      <c r="KSN557" s="501"/>
      <c r="KSO557" s="501"/>
      <c r="KSP557" s="501"/>
      <c r="KSQ557" s="501"/>
      <c r="KSR557" s="501"/>
      <c r="KSS557" s="501"/>
      <c r="KST557" s="501"/>
      <c r="KSU557" s="501"/>
      <c r="KSV557" s="501"/>
      <c r="KSW557" s="501"/>
      <c r="KSX557" s="501"/>
      <c r="KSY557" s="501"/>
      <c r="KSZ557" s="501"/>
      <c r="KTA557" s="501"/>
      <c r="KTB557" s="501"/>
      <c r="KTC557" s="501"/>
      <c r="KTD557" s="501"/>
      <c r="KTE557" s="501"/>
      <c r="KTF557" s="501"/>
      <c r="KTG557" s="501"/>
      <c r="KTH557" s="501"/>
      <c r="KTI557" s="501"/>
      <c r="KTJ557" s="501"/>
      <c r="KTK557" s="501"/>
      <c r="KTL557" s="501"/>
      <c r="KTM557" s="501"/>
      <c r="KTN557" s="501"/>
      <c r="KTO557" s="501"/>
      <c r="KTP557" s="501"/>
      <c r="KTQ557" s="501"/>
      <c r="KTR557" s="501"/>
      <c r="KTS557" s="501"/>
      <c r="KTT557" s="501"/>
      <c r="KTU557" s="501"/>
      <c r="KTV557" s="501"/>
      <c r="KTW557" s="501"/>
      <c r="KTX557" s="501"/>
      <c r="KTY557" s="501"/>
      <c r="KTZ557" s="501"/>
      <c r="KUA557" s="501"/>
      <c r="KUB557" s="501"/>
      <c r="KUC557" s="501"/>
      <c r="KUD557" s="501"/>
      <c r="KUE557" s="501"/>
      <c r="KUF557" s="501"/>
      <c r="KUG557" s="501"/>
      <c r="KUH557" s="501"/>
      <c r="KUI557" s="501"/>
      <c r="KUJ557" s="501"/>
      <c r="KUK557" s="501"/>
      <c r="KUL557" s="501"/>
      <c r="KUM557" s="501"/>
      <c r="KUN557" s="501"/>
      <c r="KUO557" s="501"/>
      <c r="KUP557" s="501"/>
      <c r="KUQ557" s="501"/>
      <c r="KUR557" s="501"/>
      <c r="KUS557" s="501"/>
      <c r="KUT557" s="501"/>
      <c r="KUU557" s="501"/>
      <c r="KUV557" s="501"/>
      <c r="KUW557" s="501"/>
      <c r="KUX557" s="501"/>
      <c r="KUY557" s="501"/>
      <c r="KUZ557" s="501"/>
      <c r="KVA557" s="501"/>
      <c r="KVB557" s="501"/>
      <c r="KVC557" s="501"/>
      <c r="KVD557" s="501"/>
      <c r="KVE557" s="501"/>
      <c r="KVF557" s="501"/>
      <c r="KVG557" s="501"/>
      <c r="KVH557" s="501"/>
      <c r="KVI557" s="501"/>
      <c r="KVJ557" s="501"/>
      <c r="KVK557" s="501"/>
      <c r="KVL557" s="501"/>
      <c r="KVM557" s="501"/>
      <c r="KVN557" s="501"/>
      <c r="KVO557" s="501"/>
      <c r="KVP557" s="501"/>
      <c r="KVQ557" s="501"/>
      <c r="KVR557" s="501"/>
      <c r="KVS557" s="501"/>
      <c r="KVT557" s="501"/>
      <c r="KVU557" s="501"/>
      <c r="KVV557" s="501"/>
      <c r="KVW557" s="501"/>
      <c r="KVX557" s="501"/>
      <c r="KVY557" s="501"/>
      <c r="KVZ557" s="501"/>
      <c r="KWA557" s="501"/>
      <c r="KWB557" s="501"/>
      <c r="KWC557" s="501"/>
      <c r="KWD557" s="501"/>
      <c r="KWE557" s="501"/>
      <c r="KWF557" s="501"/>
      <c r="KWG557" s="501"/>
      <c r="KWH557" s="501"/>
      <c r="KWI557" s="501"/>
      <c r="KWJ557" s="501"/>
      <c r="KWK557" s="501"/>
      <c r="KWL557" s="501"/>
      <c r="KWM557" s="501"/>
      <c r="KWN557" s="501"/>
      <c r="KWO557" s="501"/>
      <c r="KWP557" s="501"/>
      <c r="KWQ557" s="501"/>
      <c r="KWR557" s="501"/>
      <c r="KWS557" s="501"/>
      <c r="KWT557" s="501"/>
      <c r="KWU557" s="501"/>
      <c r="KWV557" s="501"/>
      <c r="KWW557" s="501"/>
      <c r="KWX557" s="501"/>
      <c r="KWY557" s="501"/>
      <c r="KWZ557" s="501"/>
      <c r="KXA557" s="501"/>
      <c r="KXB557" s="501"/>
      <c r="KXC557" s="501"/>
      <c r="KXD557" s="501"/>
      <c r="KXE557" s="501"/>
      <c r="KXF557" s="501"/>
      <c r="KXG557" s="501"/>
      <c r="KXH557" s="501"/>
      <c r="KXI557" s="501"/>
      <c r="KXJ557" s="501"/>
      <c r="KXK557" s="501"/>
      <c r="KXL557" s="501"/>
      <c r="KXM557" s="501"/>
      <c r="KXN557" s="501"/>
      <c r="KXO557" s="501"/>
      <c r="KXP557" s="501"/>
      <c r="KXQ557" s="501"/>
      <c r="KXR557" s="501"/>
      <c r="KXS557" s="501"/>
      <c r="KXT557" s="501"/>
      <c r="KXU557" s="501"/>
      <c r="KXV557" s="501"/>
      <c r="KXW557" s="501"/>
      <c r="KXX557" s="501"/>
      <c r="KXY557" s="501"/>
      <c r="KXZ557" s="501"/>
      <c r="KYA557" s="501"/>
      <c r="KYB557" s="501"/>
      <c r="KYC557" s="501"/>
      <c r="KYD557" s="501"/>
      <c r="KYE557" s="501"/>
      <c r="KYF557" s="501"/>
      <c r="KYG557" s="501"/>
      <c r="KYH557" s="501"/>
      <c r="KYI557" s="501"/>
      <c r="KYJ557" s="501"/>
      <c r="KYK557" s="501"/>
      <c r="KYL557" s="501"/>
      <c r="KYM557" s="501"/>
      <c r="KYN557" s="501"/>
      <c r="KYO557" s="501"/>
      <c r="KYP557" s="501"/>
      <c r="KYQ557" s="501"/>
      <c r="KYR557" s="501"/>
      <c r="KYS557" s="501"/>
      <c r="KYT557" s="501"/>
      <c r="KYU557" s="501"/>
      <c r="KYV557" s="501"/>
      <c r="KYW557" s="501"/>
      <c r="KYX557" s="501"/>
      <c r="KYY557" s="501"/>
      <c r="KYZ557" s="501"/>
      <c r="KZA557" s="501"/>
      <c r="KZB557" s="501"/>
      <c r="KZC557" s="501"/>
      <c r="KZD557" s="501"/>
      <c r="KZE557" s="501"/>
      <c r="KZF557" s="501"/>
      <c r="KZG557" s="501"/>
      <c r="KZH557" s="501"/>
      <c r="KZI557" s="501"/>
      <c r="KZJ557" s="501"/>
      <c r="KZK557" s="501"/>
      <c r="KZL557" s="501"/>
      <c r="KZM557" s="501"/>
      <c r="KZN557" s="501"/>
      <c r="KZO557" s="501"/>
      <c r="KZP557" s="501"/>
      <c r="KZQ557" s="501"/>
      <c r="KZR557" s="501"/>
      <c r="KZS557" s="501"/>
      <c r="KZT557" s="501"/>
      <c r="KZU557" s="501"/>
      <c r="KZV557" s="501"/>
      <c r="KZW557" s="501"/>
      <c r="KZX557" s="501"/>
      <c r="KZY557" s="501"/>
      <c r="KZZ557" s="501"/>
      <c r="LAA557" s="501"/>
      <c r="LAB557" s="501"/>
      <c r="LAC557" s="501"/>
      <c r="LAD557" s="501"/>
      <c r="LAE557" s="501"/>
      <c r="LAF557" s="501"/>
      <c r="LAG557" s="501"/>
      <c r="LAH557" s="501"/>
      <c r="LAI557" s="501"/>
      <c r="LAJ557" s="501"/>
      <c r="LAK557" s="501"/>
      <c r="LAL557" s="501"/>
      <c r="LAM557" s="501"/>
      <c r="LAN557" s="501"/>
      <c r="LAO557" s="501"/>
      <c r="LAP557" s="501"/>
      <c r="LAQ557" s="501"/>
      <c r="LAR557" s="501"/>
      <c r="LAS557" s="501"/>
      <c r="LAT557" s="501"/>
      <c r="LAU557" s="501"/>
      <c r="LAV557" s="501"/>
      <c r="LAW557" s="501"/>
      <c r="LAX557" s="501"/>
      <c r="LAY557" s="501"/>
      <c r="LAZ557" s="501"/>
      <c r="LBA557" s="501"/>
      <c r="LBB557" s="501"/>
      <c r="LBC557" s="501"/>
      <c r="LBD557" s="501"/>
      <c r="LBE557" s="501"/>
      <c r="LBF557" s="501"/>
      <c r="LBG557" s="501"/>
      <c r="LBH557" s="501"/>
      <c r="LBI557" s="501"/>
      <c r="LBJ557" s="501"/>
      <c r="LBK557" s="501"/>
      <c r="LBL557" s="501"/>
      <c r="LBM557" s="501"/>
      <c r="LBN557" s="501"/>
      <c r="LBO557" s="501"/>
      <c r="LBP557" s="501"/>
      <c r="LBQ557" s="501"/>
      <c r="LBR557" s="501"/>
      <c r="LBS557" s="501"/>
      <c r="LBT557" s="501"/>
      <c r="LBU557" s="501"/>
      <c r="LBV557" s="501"/>
      <c r="LBW557" s="501"/>
      <c r="LBX557" s="501"/>
      <c r="LBY557" s="501"/>
      <c r="LBZ557" s="501"/>
      <c r="LCA557" s="501"/>
      <c r="LCB557" s="501"/>
      <c r="LCC557" s="501"/>
      <c r="LCD557" s="501"/>
      <c r="LCE557" s="501"/>
      <c r="LCF557" s="501"/>
      <c r="LCG557" s="501"/>
      <c r="LCH557" s="501"/>
      <c r="LCI557" s="501"/>
      <c r="LCJ557" s="501"/>
      <c r="LCK557" s="501"/>
      <c r="LCL557" s="501"/>
      <c r="LCM557" s="501"/>
      <c r="LCN557" s="501"/>
      <c r="LCO557" s="501"/>
      <c r="LCP557" s="501"/>
      <c r="LCQ557" s="501"/>
      <c r="LCR557" s="501"/>
      <c r="LCS557" s="501"/>
      <c r="LCT557" s="501"/>
      <c r="LCU557" s="501"/>
      <c r="LCV557" s="501"/>
      <c r="LCW557" s="501"/>
      <c r="LCX557" s="501"/>
      <c r="LCY557" s="501"/>
      <c r="LCZ557" s="501"/>
      <c r="LDA557" s="501"/>
      <c r="LDB557" s="501"/>
      <c r="LDC557" s="501"/>
      <c r="LDD557" s="501"/>
      <c r="LDE557" s="501"/>
      <c r="LDF557" s="501"/>
      <c r="LDG557" s="501"/>
      <c r="LDH557" s="501"/>
      <c r="LDI557" s="501"/>
      <c r="LDJ557" s="501"/>
      <c r="LDK557" s="501"/>
      <c r="LDL557" s="501"/>
      <c r="LDM557" s="501"/>
      <c r="LDN557" s="501"/>
      <c r="LDO557" s="501"/>
      <c r="LDP557" s="501"/>
      <c r="LDQ557" s="501"/>
      <c r="LDR557" s="501"/>
      <c r="LDS557" s="501"/>
      <c r="LDT557" s="501"/>
      <c r="LDU557" s="501"/>
      <c r="LDV557" s="501"/>
      <c r="LDW557" s="501"/>
      <c r="LDX557" s="501"/>
      <c r="LDY557" s="501"/>
      <c r="LDZ557" s="501"/>
      <c r="LEA557" s="501"/>
      <c r="LEB557" s="501"/>
      <c r="LEC557" s="501"/>
      <c r="LED557" s="501"/>
      <c r="LEE557" s="501"/>
      <c r="LEF557" s="501"/>
      <c r="LEG557" s="501"/>
      <c r="LEH557" s="501"/>
      <c r="LEI557" s="501"/>
      <c r="LEJ557" s="501"/>
      <c r="LEK557" s="501"/>
      <c r="LEL557" s="501"/>
      <c r="LEM557" s="501"/>
      <c r="LEN557" s="501"/>
      <c r="LEO557" s="501"/>
      <c r="LEP557" s="501"/>
      <c r="LEQ557" s="501"/>
      <c r="LER557" s="501"/>
      <c r="LES557" s="501"/>
      <c r="LET557" s="501"/>
      <c r="LEU557" s="501"/>
      <c r="LEV557" s="501"/>
      <c r="LEW557" s="501"/>
      <c r="LEX557" s="501"/>
      <c r="LEY557" s="501"/>
      <c r="LEZ557" s="501"/>
      <c r="LFA557" s="501"/>
      <c r="LFB557" s="501"/>
      <c r="LFC557" s="501"/>
      <c r="LFD557" s="501"/>
      <c r="LFE557" s="501"/>
      <c r="LFF557" s="501"/>
      <c r="LFG557" s="501"/>
      <c r="LFH557" s="501"/>
      <c r="LFI557" s="501"/>
      <c r="LFJ557" s="501"/>
      <c r="LFK557" s="501"/>
      <c r="LFL557" s="501"/>
      <c r="LFM557" s="501"/>
      <c r="LFN557" s="501"/>
      <c r="LFO557" s="501"/>
      <c r="LFP557" s="501"/>
      <c r="LFQ557" s="501"/>
      <c r="LFR557" s="501"/>
      <c r="LFS557" s="501"/>
      <c r="LFT557" s="501"/>
      <c r="LFU557" s="501"/>
      <c r="LFV557" s="501"/>
      <c r="LFW557" s="501"/>
      <c r="LFX557" s="501"/>
      <c r="LFY557" s="501"/>
      <c r="LFZ557" s="501"/>
      <c r="LGA557" s="501"/>
      <c r="LGB557" s="501"/>
      <c r="LGC557" s="501"/>
      <c r="LGD557" s="501"/>
      <c r="LGE557" s="501"/>
      <c r="LGF557" s="501"/>
      <c r="LGG557" s="501"/>
      <c r="LGH557" s="501"/>
      <c r="LGI557" s="501"/>
      <c r="LGJ557" s="501"/>
      <c r="LGK557" s="501"/>
      <c r="LGL557" s="501"/>
      <c r="LGM557" s="501"/>
      <c r="LGN557" s="501"/>
      <c r="LGO557" s="501"/>
      <c r="LGP557" s="501"/>
      <c r="LGQ557" s="501"/>
      <c r="LGR557" s="501"/>
      <c r="LGS557" s="501"/>
      <c r="LGT557" s="501"/>
      <c r="LGU557" s="501"/>
      <c r="LGV557" s="501"/>
      <c r="LGW557" s="501"/>
      <c r="LGX557" s="501"/>
      <c r="LGY557" s="501"/>
      <c r="LGZ557" s="501"/>
      <c r="LHA557" s="501"/>
      <c r="LHB557" s="501"/>
      <c r="LHC557" s="501"/>
      <c r="LHD557" s="501"/>
      <c r="LHE557" s="501"/>
      <c r="LHF557" s="501"/>
      <c r="LHG557" s="501"/>
      <c r="LHH557" s="501"/>
      <c r="LHI557" s="501"/>
      <c r="LHJ557" s="501"/>
      <c r="LHK557" s="501"/>
      <c r="LHL557" s="501"/>
      <c r="LHM557" s="501"/>
      <c r="LHN557" s="501"/>
      <c r="LHO557" s="501"/>
      <c r="LHP557" s="501"/>
      <c r="LHQ557" s="501"/>
      <c r="LHR557" s="501"/>
      <c r="LHS557" s="501"/>
      <c r="LHT557" s="501"/>
      <c r="LHU557" s="501"/>
      <c r="LHV557" s="501"/>
      <c r="LHW557" s="501"/>
      <c r="LHX557" s="501"/>
      <c r="LHY557" s="501"/>
      <c r="LHZ557" s="501"/>
      <c r="LIA557" s="501"/>
      <c r="LIB557" s="501"/>
      <c r="LIC557" s="501"/>
      <c r="LID557" s="501"/>
      <c r="LIE557" s="501"/>
      <c r="LIF557" s="501"/>
      <c r="LIG557" s="501"/>
      <c r="LIH557" s="501"/>
      <c r="LII557" s="501"/>
      <c r="LIJ557" s="501"/>
      <c r="LIK557" s="501"/>
      <c r="LIL557" s="501"/>
      <c r="LIM557" s="501"/>
      <c r="LIN557" s="501"/>
      <c r="LIO557" s="501"/>
      <c r="LIP557" s="501"/>
      <c r="LIQ557" s="501"/>
      <c r="LIR557" s="501"/>
      <c r="LIS557" s="501"/>
      <c r="LIT557" s="501"/>
      <c r="LIU557" s="501"/>
      <c r="LIV557" s="501"/>
      <c r="LIW557" s="501"/>
      <c r="LIX557" s="501"/>
      <c r="LIY557" s="501"/>
      <c r="LIZ557" s="501"/>
      <c r="LJA557" s="501"/>
      <c r="LJB557" s="501"/>
      <c r="LJC557" s="501"/>
      <c r="LJD557" s="501"/>
      <c r="LJE557" s="501"/>
      <c r="LJF557" s="501"/>
      <c r="LJG557" s="501"/>
      <c r="LJH557" s="501"/>
      <c r="LJI557" s="501"/>
      <c r="LJJ557" s="501"/>
      <c r="LJK557" s="501"/>
      <c r="LJL557" s="501"/>
      <c r="LJM557" s="501"/>
      <c r="LJN557" s="501"/>
      <c r="LJO557" s="501"/>
      <c r="LJP557" s="501"/>
      <c r="LJQ557" s="501"/>
      <c r="LJR557" s="501"/>
      <c r="LJS557" s="501"/>
      <c r="LJT557" s="501"/>
      <c r="LJU557" s="501"/>
      <c r="LJV557" s="501"/>
      <c r="LJW557" s="501"/>
      <c r="LJX557" s="501"/>
      <c r="LJY557" s="501"/>
      <c r="LJZ557" s="501"/>
      <c r="LKA557" s="501"/>
      <c r="LKB557" s="501"/>
      <c r="LKC557" s="501"/>
      <c r="LKD557" s="501"/>
      <c r="LKE557" s="501"/>
      <c r="LKF557" s="501"/>
      <c r="LKG557" s="501"/>
      <c r="LKH557" s="501"/>
      <c r="LKI557" s="501"/>
      <c r="LKJ557" s="501"/>
      <c r="LKK557" s="501"/>
      <c r="LKL557" s="501"/>
      <c r="LKM557" s="501"/>
      <c r="LKN557" s="501"/>
      <c r="LKO557" s="501"/>
      <c r="LKP557" s="501"/>
      <c r="LKQ557" s="501"/>
      <c r="LKR557" s="501"/>
      <c r="LKS557" s="501"/>
      <c r="LKT557" s="501"/>
      <c r="LKU557" s="501"/>
      <c r="LKV557" s="501"/>
      <c r="LKW557" s="501"/>
      <c r="LKX557" s="501"/>
      <c r="LKY557" s="501"/>
      <c r="LKZ557" s="501"/>
      <c r="LLA557" s="501"/>
      <c r="LLB557" s="501"/>
      <c r="LLC557" s="501"/>
      <c r="LLD557" s="501"/>
      <c r="LLE557" s="501"/>
      <c r="LLF557" s="501"/>
      <c r="LLG557" s="501"/>
      <c r="LLH557" s="501"/>
      <c r="LLI557" s="501"/>
      <c r="LLJ557" s="501"/>
      <c r="LLK557" s="501"/>
      <c r="LLL557" s="501"/>
      <c r="LLM557" s="501"/>
      <c r="LLN557" s="501"/>
      <c r="LLO557" s="501"/>
      <c r="LLP557" s="501"/>
      <c r="LLQ557" s="501"/>
      <c r="LLR557" s="501"/>
      <c r="LLS557" s="501"/>
      <c r="LLT557" s="501"/>
      <c r="LLU557" s="501"/>
      <c r="LLV557" s="501"/>
      <c r="LLW557" s="501"/>
      <c r="LLX557" s="501"/>
      <c r="LLY557" s="501"/>
      <c r="LLZ557" s="501"/>
      <c r="LMA557" s="501"/>
      <c r="LMB557" s="501"/>
      <c r="LMC557" s="501"/>
      <c r="LMD557" s="501"/>
      <c r="LME557" s="501"/>
      <c r="LMF557" s="501"/>
      <c r="LMG557" s="501"/>
      <c r="LMH557" s="501"/>
      <c r="LMI557" s="501"/>
      <c r="LMJ557" s="501"/>
      <c r="LMK557" s="501"/>
      <c r="LML557" s="501"/>
      <c r="LMM557" s="501"/>
      <c r="LMN557" s="501"/>
      <c r="LMO557" s="501"/>
      <c r="LMP557" s="501"/>
      <c r="LMQ557" s="501"/>
      <c r="LMR557" s="501"/>
      <c r="LMS557" s="501"/>
      <c r="LMT557" s="501"/>
      <c r="LMU557" s="501"/>
      <c r="LMV557" s="501"/>
      <c r="LMW557" s="501"/>
      <c r="LMX557" s="501"/>
      <c r="LMY557" s="501"/>
      <c r="LMZ557" s="501"/>
      <c r="LNA557" s="501"/>
      <c r="LNB557" s="501"/>
      <c r="LNC557" s="501"/>
      <c r="LND557" s="501"/>
      <c r="LNE557" s="501"/>
      <c r="LNF557" s="501"/>
      <c r="LNG557" s="501"/>
      <c r="LNH557" s="501"/>
      <c r="LNI557" s="501"/>
      <c r="LNJ557" s="501"/>
      <c r="LNK557" s="501"/>
      <c r="LNL557" s="501"/>
      <c r="LNM557" s="501"/>
      <c r="LNN557" s="501"/>
      <c r="LNO557" s="501"/>
      <c r="LNP557" s="501"/>
      <c r="LNQ557" s="501"/>
      <c r="LNR557" s="501"/>
      <c r="LNS557" s="501"/>
      <c r="LNT557" s="501"/>
      <c r="LNU557" s="501"/>
      <c r="LNV557" s="501"/>
      <c r="LNW557" s="501"/>
      <c r="LNX557" s="501"/>
      <c r="LNY557" s="501"/>
      <c r="LNZ557" s="501"/>
      <c r="LOA557" s="501"/>
      <c r="LOB557" s="501"/>
      <c r="LOC557" s="501"/>
      <c r="LOD557" s="501"/>
      <c r="LOE557" s="501"/>
      <c r="LOF557" s="501"/>
      <c r="LOG557" s="501"/>
      <c r="LOH557" s="501"/>
      <c r="LOI557" s="501"/>
      <c r="LOJ557" s="501"/>
      <c r="LOK557" s="501"/>
      <c r="LOL557" s="501"/>
      <c r="LOM557" s="501"/>
      <c r="LON557" s="501"/>
      <c r="LOO557" s="501"/>
      <c r="LOP557" s="501"/>
      <c r="LOQ557" s="501"/>
      <c r="LOR557" s="501"/>
      <c r="LOS557" s="501"/>
      <c r="LOT557" s="501"/>
      <c r="LOU557" s="501"/>
      <c r="LOV557" s="501"/>
      <c r="LOW557" s="501"/>
      <c r="LOX557" s="501"/>
      <c r="LOY557" s="501"/>
      <c r="LOZ557" s="501"/>
      <c r="LPA557" s="501"/>
      <c r="LPB557" s="501"/>
      <c r="LPC557" s="501"/>
      <c r="LPD557" s="501"/>
      <c r="LPE557" s="501"/>
      <c r="LPF557" s="501"/>
      <c r="LPG557" s="501"/>
      <c r="LPH557" s="501"/>
      <c r="LPI557" s="501"/>
      <c r="LPJ557" s="501"/>
      <c r="LPK557" s="501"/>
      <c r="LPL557" s="501"/>
      <c r="LPM557" s="501"/>
      <c r="LPN557" s="501"/>
      <c r="LPO557" s="501"/>
      <c r="LPP557" s="501"/>
      <c r="LPQ557" s="501"/>
      <c r="LPR557" s="501"/>
      <c r="LPS557" s="501"/>
      <c r="LPT557" s="501"/>
      <c r="LPU557" s="501"/>
      <c r="LPV557" s="501"/>
      <c r="LPW557" s="501"/>
      <c r="LPX557" s="501"/>
      <c r="LPY557" s="501"/>
      <c r="LPZ557" s="501"/>
      <c r="LQA557" s="501"/>
      <c r="LQB557" s="501"/>
      <c r="LQC557" s="501"/>
      <c r="LQD557" s="501"/>
      <c r="LQE557" s="501"/>
      <c r="LQF557" s="501"/>
      <c r="LQG557" s="501"/>
      <c r="LQH557" s="501"/>
      <c r="LQI557" s="501"/>
      <c r="LQJ557" s="501"/>
      <c r="LQK557" s="501"/>
      <c r="LQL557" s="501"/>
      <c r="LQM557" s="501"/>
      <c r="LQN557" s="501"/>
      <c r="LQO557" s="501"/>
      <c r="LQP557" s="501"/>
      <c r="LQQ557" s="501"/>
      <c r="LQR557" s="501"/>
      <c r="LQS557" s="501"/>
      <c r="LQT557" s="501"/>
      <c r="LQU557" s="501"/>
      <c r="LQV557" s="501"/>
      <c r="LQW557" s="501"/>
      <c r="LQX557" s="501"/>
      <c r="LQY557" s="501"/>
      <c r="LQZ557" s="501"/>
      <c r="LRA557" s="501"/>
      <c r="LRB557" s="501"/>
      <c r="LRC557" s="501"/>
      <c r="LRD557" s="501"/>
      <c r="LRE557" s="501"/>
      <c r="LRF557" s="501"/>
      <c r="LRG557" s="501"/>
      <c r="LRH557" s="501"/>
      <c r="LRI557" s="501"/>
      <c r="LRJ557" s="501"/>
      <c r="LRK557" s="501"/>
      <c r="LRL557" s="501"/>
      <c r="LRM557" s="501"/>
      <c r="LRN557" s="501"/>
      <c r="LRO557" s="501"/>
      <c r="LRP557" s="501"/>
      <c r="LRQ557" s="501"/>
      <c r="LRR557" s="501"/>
      <c r="LRS557" s="501"/>
      <c r="LRT557" s="501"/>
      <c r="LRU557" s="501"/>
      <c r="LRV557" s="501"/>
      <c r="LRW557" s="501"/>
      <c r="LRX557" s="501"/>
      <c r="LRY557" s="501"/>
      <c r="LRZ557" s="501"/>
      <c r="LSA557" s="501"/>
      <c r="LSB557" s="501"/>
      <c r="LSC557" s="501"/>
      <c r="LSD557" s="501"/>
      <c r="LSE557" s="501"/>
      <c r="LSF557" s="501"/>
      <c r="LSG557" s="501"/>
      <c r="LSH557" s="501"/>
      <c r="LSI557" s="501"/>
      <c r="LSJ557" s="501"/>
      <c r="LSK557" s="501"/>
      <c r="LSL557" s="501"/>
      <c r="LSM557" s="501"/>
      <c r="LSN557" s="501"/>
      <c r="LSO557" s="501"/>
      <c r="LSP557" s="501"/>
      <c r="LSQ557" s="501"/>
      <c r="LSR557" s="501"/>
      <c r="LSS557" s="501"/>
      <c r="LST557" s="501"/>
      <c r="LSU557" s="501"/>
      <c r="LSV557" s="501"/>
      <c r="LSW557" s="501"/>
      <c r="LSX557" s="501"/>
      <c r="LSY557" s="501"/>
      <c r="LSZ557" s="501"/>
      <c r="LTA557" s="501"/>
      <c r="LTB557" s="501"/>
      <c r="LTC557" s="501"/>
      <c r="LTD557" s="501"/>
      <c r="LTE557" s="501"/>
      <c r="LTF557" s="501"/>
      <c r="LTG557" s="501"/>
      <c r="LTH557" s="501"/>
      <c r="LTI557" s="501"/>
      <c r="LTJ557" s="501"/>
      <c r="LTK557" s="501"/>
      <c r="LTL557" s="501"/>
      <c r="LTM557" s="501"/>
      <c r="LTN557" s="501"/>
      <c r="LTO557" s="501"/>
      <c r="LTP557" s="501"/>
      <c r="LTQ557" s="501"/>
      <c r="LTR557" s="501"/>
      <c r="LTS557" s="501"/>
      <c r="LTT557" s="501"/>
      <c r="LTU557" s="501"/>
      <c r="LTV557" s="501"/>
      <c r="LTW557" s="501"/>
      <c r="LTX557" s="501"/>
      <c r="LTY557" s="501"/>
      <c r="LTZ557" s="501"/>
      <c r="LUA557" s="501"/>
      <c r="LUB557" s="501"/>
      <c r="LUC557" s="501"/>
      <c r="LUD557" s="501"/>
      <c r="LUE557" s="501"/>
      <c r="LUF557" s="501"/>
      <c r="LUG557" s="501"/>
      <c r="LUH557" s="501"/>
      <c r="LUI557" s="501"/>
      <c r="LUJ557" s="501"/>
      <c r="LUK557" s="501"/>
      <c r="LUL557" s="501"/>
      <c r="LUM557" s="501"/>
      <c r="LUN557" s="501"/>
      <c r="LUO557" s="501"/>
      <c r="LUP557" s="501"/>
      <c r="LUQ557" s="501"/>
      <c r="LUR557" s="501"/>
      <c r="LUS557" s="501"/>
      <c r="LUT557" s="501"/>
      <c r="LUU557" s="501"/>
      <c r="LUV557" s="501"/>
      <c r="LUW557" s="501"/>
      <c r="LUX557" s="501"/>
      <c r="LUY557" s="501"/>
      <c r="LUZ557" s="501"/>
      <c r="LVA557" s="501"/>
      <c r="LVB557" s="501"/>
      <c r="LVC557" s="501"/>
      <c r="LVD557" s="501"/>
      <c r="LVE557" s="501"/>
      <c r="LVF557" s="501"/>
      <c r="LVG557" s="501"/>
      <c r="LVH557" s="501"/>
      <c r="LVI557" s="501"/>
      <c r="LVJ557" s="501"/>
      <c r="LVK557" s="501"/>
      <c r="LVL557" s="501"/>
      <c r="LVM557" s="501"/>
      <c r="LVN557" s="501"/>
      <c r="LVO557" s="501"/>
      <c r="LVP557" s="501"/>
      <c r="LVQ557" s="501"/>
      <c r="LVR557" s="501"/>
      <c r="LVS557" s="501"/>
      <c r="LVT557" s="501"/>
      <c r="LVU557" s="501"/>
      <c r="LVV557" s="501"/>
      <c r="LVW557" s="501"/>
      <c r="LVX557" s="501"/>
      <c r="LVY557" s="501"/>
      <c r="LVZ557" s="501"/>
      <c r="LWA557" s="501"/>
      <c r="LWB557" s="501"/>
      <c r="LWC557" s="501"/>
      <c r="LWD557" s="501"/>
      <c r="LWE557" s="501"/>
      <c r="LWF557" s="501"/>
      <c r="LWG557" s="501"/>
      <c r="LWH557" s="501"/>
      <c r="LWI557" s="501"/>
      <c r="LWJ557" s="501"/>
      <c r="LWK557" s="501"/>
      <c r="LWL557" s="501"/>
      <c r="LWM557" s="501"/>
      <c r="LWN557" s="501"/>
      <c r="LWO557" s="501"/>
      <c r="LWP557" s="501"/>
      <c r="LWQ557" s="501"/>
      <c r="LWR557" s="501"/>
      <c r="LWS557" s="501"/>
      <c r="LWT557" s="501"/>
      <c r="LWU557" s="501"/>
      <c r="LWV557" s="501"/>
      <c r="LWW557" s="501"/>
      <c r="LWX557" s="501"/>
      <c r="LWY557" s="501"/>
      <c r="LWZ557" s="501"/>
      <c r="LXA557" s="501"/>
      <c r="LXB557" s="501"/>
      <c r="LXC557" s="501"/>
      <c r="LXD557" s="501"/>
      <c r="LXE557" s="501"/>
      <c r="LXF557" s="501"/>
      <c r="LXG557" s="501"/>
      <c r="LXH557" s="501"/>
      <c r="LXI557" s="501"/>
      <c r="LXJ557" s="501"/>
      <c r="LXK557" s="501"/>
      <c r="LXL557" s="501"/>
      <c r="LXM557" s="501"/>
      <c r="LXN557" s="501"/>
      <c r="LXO557" s="501"/>
      <c r="LXP557" s="501"/>
      <c r="LXQ557" s="501"/>
      <c r="LXR557" s="501"/>
      <c r="LXS557" s="501"/>
      <c r="LXT557" s="501"/>
      <c r="LXU557" s="501"/>
      <c r="LXV557" s="501"/>
      <c r="LXW557" s="501"/>
      <c r="LXX557" s="501"/>
      <c r="LXY557" s="501"/>
      <c r="LXZ557" s="501"/>
      <c r="LYA557" s="501"/>
      <c r="LYB557" s="501"/>
      <c r="LYC557" s="501"/>
      <c r="LYD557" s="501"/>
      <c r="LYE557" s="501"/>
      <c r="LYF557" s="501"/>
      <c r="LYG557" s="501"/>
      <c r="LYH557" s="501"/>
      <c r="LYI557" s="501"/>
      <c r="LYJ557" s="501"/>
      <c r="LYK557" s="501"/>
      <c r="LYL557" s="501"/>
      <c r="LYM557" s="501"/>
      <c r="LYN557" s="501"/>
      <c r="LYO557" s="501"/>
      <c r="LYP557" s="501"/>
      <c r="LYQ557" s="501"/>
      <c r="LYR557" s="501"/>
      <c r="LYS557" s="501"/>
      <c r="LYT557" s="501"/>
      <c r="LYU557" s="501"/>
      <c r="LYV557" s="501"/>
      <c r="LYW557" s="501"/>
      <c r="LYX557" s="501"/>
      <c r="LYY557" s="501"/>
      <c r="LYZ557" s="501"/>
      <c r="LZA557" s="501"/>
      <c r="LZB557" s="501"/>
      <c r="LZC557" s="501"/>
      <c r="LZD557" s="501"/>
      <c r="LZE557" s="501"/>
      <c r="LZF557" s="501"/>
      <c r="LZG557" s="501"/>
      <c r="LZH557" s="501"/>
      <c r="LZI557" s="501"/>
      <c r="LZJ557" s="501"/>
      <c r="LZK557" s="501"/>
      <c r="LZL557" s="501"/>
      <c r="LZM557" s="501"/>
      <c r="LZN557" s="501"/>
      <c r="LZO557" s="501"/>
      <c r="LZP557" s="501"/>
      <c r="LZQ557" s="501"/>
      <c r="LZR557" s="501"/>
      <c r="LZS557" s="501"/>
      <c r="LZT557" s="501"/>
      <c r="LZU557" s="501"/>
      <c r="LZV557" s="501"/>
      <c r="LZW557" s="501"/>
      <c r="LZX557" s="501"/>
      <c r="LZY557" s="501"/>
      <c r="LZZ557" s="501"/>
      <c r="MAA557" s="501"/>
      <c r="MAB557" s="501"/>
      <c r="MAC557" s="501"/>
      <c r="MAD557" s="501"/>
      <c r="MAE557" s="501"/>
      <c r="MAF557" s="501"/>
      <c r="MAG557" s="501"/>
      <c r="MAH557" s="501"/>
      <c r="MAI557" s="501"/>
      <c r="MAJ557" s="501"/>
      <c r="MAK557" s="501"/>
      <c r="MAL557" s="501"/>
      <c r="MAM557" s="501"/>
      <c r="MAN557" s="501"/>
      <c r="MAO557" s="501"/>
      <c r="MAP557" s="501"/>
      <c r="MAQ557" s="501"/>
      <c r="MAR557" s="501"/>
      <c r="MAS557" s="501"/>
      <c r="MAT557" s="501"/>
      <c r="MAU557" s="501"/>
      <c r="MAV557" s="501"/>
      <c r="MAW557" s="501"/>
      <c r="MAX557" s="501"/>
      <c r="MAY557" s="501"/>
      <c r="MAZ557" s="501"/>
      <c r="MBA557" s="501"/>
      <c r="MBB557" s="501"/>
      <c r="MBC557" s="501"/>
      <c r="MBD557" s="501"/>
      <c r="MBE557" s="501"/>
      <c r="MBF557" s="501"/>
      <c r="MBG557" s="501"/>
      <c r="MBH557" s="501"/>
      <c r="MBI557" s="501"/>
      <c r="MBJ557" s="501"/>
      <c r="MBK557" s="501"/>
      <c r="MBL557" s="501"/>
      <c r="MBM557" s="501"/>
      <c r="MBN557" s="501"/>
      <c r="MBO557" s="501"/>
      <c r="MBP557" s="501"/>
      <c r="MBQ557" s="501"/>
      <c r="MBR557" s="501"/>
      <c r="MBS557" s="501"/>
      <c r="MBT557" s="501"/>
      <c r="MBU557" s="501"/>
      <c r="MBV557" s="501"/>
      <c r="MBW557" s="501"/>
      <c r="MBX557" s="501"/>
      <c r="MBY557" s="501"/>
      <c r="MBZ557" s="501"/>
      <c r="MCA557" s="501"/>
      <c r="MCB557" s="501"/>
      <c r="MCC557" s="501"/>
      <c r="MCD557" s="501"/>
      <c r="MCE557" s="501"/>
      <c r="MCF557" s="501"/>
      <c r="MCG557" s="501"/>
      <c r="MCH557" s="501"/>
      <c r="MCI557" s="501"/>
      <c r="MCJ557" s="501"/>
      <c r="MCK557" s="501"/>
      <c r="MCL557" s="501"/>
      <c r="MCM557" s="501"/>
      <c r="MCN557" s="501"/>
      <c r="MCO557" s="501"/>
      <c r="MCP557" s="501"/>
      <c r="MCQ557" s="501"/>
      <c r="MCR557" s="501"/>
      <c r="MCS557" s="501"/>
      <c r="MCT557" s="501"/>
      <c r="MCU557" s="501"/>
      <c r="MCV557" s="501"/>
      <c r="MCW557" s="501"/>
      <c r="MCX557" s="501"/>
      <c r="MCY557" s="501"/>
      <c r="MCZ557" s="501"/>
      <c r="MDA557" s="501"/>
      <c r="MDB557" s="501"/>
      <c r="MDC557" s="501"/>
      <c r="MDD557" s="501"/>
      <c r="MDE557" s="501"/>
      <c r="MDF557" s="501"/>
      <c r="MDG557" s="501"/>
      <c r="MDH557" s="501"/>
      <c r="MDI557" s="501"/>
      <c r="MDJ557" s="501"/>
      <c r="MDK557" s="501"/>
      <c r="MDL557" s="501"/>
      <c r="MDM557" s="501"/>
      <c r="MDN557" s="501"/>
      <c r="MDO557" s="501"/>
      <c r="MDP557" s="501"/>
      <c r="MDQ557" s="501"/>
      <c r="MDR557" s="501"/>
      <c r="MDS557" s="501"/>
      <c r="MDT557" s="501"/>
      <c r="MDU557" s="501"/>
      <c r="MDV557" s="501"/>
      <c r="MDW557" s="501"/>
      <c r="MDX557" s="501"/>
      <c r="MDY557" s="501"/>
      <c r="MDZ557" s="501"/>
      <c r="MEA557" s="501"/>
      <c r="MEB557" s="501"/>
      <c r="MEC557" s="501"/>
      <c r="MED557" s="501"/>
      <c r="MEE557" s="501"/>
      <c r="MEF557" s="501"/>
      <c r="MEG557" s="501"/>
      <c r="MEH557" s="501"/>
      <c r="MEI557" s="501"/>
      <c r="MEJ557" s="501"/>
      <c r="MEK557" s="501"/>
      <c r="MEL557" s="501"/>
      <c r="MEM557" s="501"/>
      <c r="MEN557" s="501"/>
      <c r="MEO557" s="501"/>
      <c r="MEP557" s="501"/>
      <c r="MEQ557" s="501"/>
      <c r="MER557" s="501"/>
      <c r="MES557" s="501"/>
      <c r="MET557" s="501"/>
      <c r="MEU557" s="501"/>
      <c r="MEV557" s="501"/>
      <c r="MEW557" s="501"/>
      <c r="MEX557" s="501"/>
      <c r="MEY557" s="501"/>
      <c r="MEZ557" s="501"/>
      <c r="MFA557" s="501"/>
      <c r="MFB557" s="501"/>
      <c r="MFC557" s="501"/>
      <c r="MFD557" s="501"/>
      <c r="MFE557" s="501"/>
      <c r="MFF557" s="501"/>
      <c r="MFG557" s="501"/>
      <c r="MFH557" s="501"/>
      <c r="MFI557" s="501"/>
      <c r="MFJ557" s="501"/>
      <c r="MFK557" s="501"/>
      <c r="MFL557" s="501"/>
      <c r="MFM557" s="501"/>
      <c r="MFN557" s="501"/>
      <c r="MFO557" s="501"/>
      <c r="MFP557" s="501"/>
      <c r="MFQ557" s="501"/>
      <c r="MFR557" s="501"/>
      <c r="MFS557" s="501"/>
      <c r="MFT557" s="501"/>
      <c r="MFU557" s="501"/>
      <c r="MFV557" s="501"/>
      <c r="MFW557" s="501"/>
      <c r="MFX557" s="501"/>
      <c r="MFY557" s="501"/>
      <c r="MFZ557" s="501"/>
      <c r="MGA557" s="501"/>
      <c r="MGB557" s="501"/>
      <c r="MGC557" s="501"/>
      <c r="MGD557" s="501"/>
      <c r="MGE557" s="501"/>
      <c r="MGF557" s="501"/>
      <c r="MGG557" s="501"/>
      <c r="MGH557" s="501"/>
      <c r="MGI557" s="501"/>
      <c r="MGJ557" s="501"/>
      <c r="MGK557" s="501"/>
      <c r="MGL557" s="501"/>
      <c r="MGM557" s="501"/>
      <c r="MGN557" s="501"/>
      <c r="MGO557" s="501"/>
      <c r="MGP557" s="501"/>
      <c r="MGQ557" s="501"/>
      <c r="MGR557" s="501"/>
      <c r="MGS557" s="501"/>
      <c r="MGT557" s="501"/>
      <c r="MGU557" s="501"/>
      <c r="MGV557" s="501"/>
      <c r="MGW557" s="501"/>
      <c r="MGX557" s="501"/>
      <c r="MGY557" s="501"/>
      <c r="MGZ557" s="501"/>
      <c r="MHA557" s="501"/>
      <c r="MHB557" s="501"/>
      <c r="MHC557" s="501"/>
      <c r="MHD557" s="501"/>
      <c r="MHE557" s="501"/>
      <c r="MHF557" s="501"/>
      <c r="MHG557" s="501"/>
      <c r="MHH557" s="501"/>
      <c r="MHI557" s="501"/>
      <c r="MHJ557" s="501"/>
      <c r="MHK557" s="501"/>
      <c r="MHL557" s="501"/>
      <c r="MHM557" s="501"/>
      <c r="MHN557" s="501"/>
      <c r="MHO557" s="501"/>
      <c r="MHP557" s="501"/>
      <c r="MHQ557" s="501"/>
      <c r="MHR557" s="501"/>
      <c r="MHS557" s="501"/>
      <c r="MHT557" s="501"/>
      <c r="MHU557" s="501"/>
      <c r="MHV557" s="501"/>
      <c r="MHW557" s="501"/>
      <c r="MHX557" s="501"/>
      <c r="MHY557" s="501"/>
      <c r="MHZ557" s="501"/>
      <c r="MIA557" s="501"/>
      <c r="MIB557" s="501"/>
      <c r="MIC557" s="501"/>
      <c r="MID557" s="501"/>
      <c r="MIE557" s="501"/>
      <c r="MIF557" s="501"/>
      <c r="MIG557" s="501"/>
      <c r="MIH557" s="501"/>
      <c r="MII557" s="501"/>
      <c r="MIJ557" s="501"/>
      <c r="MIK557" s="501"/>
      <c r="MIL557" s="501"/>
      <c r="MIM557" s="501"/>
      <c r="MIN557" s="501"/>
      <c r="MIO557" s="501"/>
      <c r="MIP557" s="501"/>
      <c r="MIQ557" s="501"/>
      <c r="MIR557" s="501"/>
      <c r="MIS557" s="501"/>
      <c r="MIT557" s="501"/>
      <c r="MIU557" s="501"/>
      <c r="MIV557" s="501"/>
      <c r="MIW557" s="501"/>
      <c r="MIX557" s="501"/>
      <c r="MIY557" s="501"/>
      <c r="MIZ557" s="501"/>
      <c r="MJA557" s="501"/>
      <c r="MJB557" s="501"/>
      <c r="MJC557" s="501"/>
      <c r="MJD557" s="501"/>
      <c r="MJE557" s="501"/>
      <c r="MJF557" s="501"/>
      <c r="MJG557" s="501"/>
      <c r="MJH557" s="501"/>
      <c r="MJI557" s="501"/>
      <c r="MJJ557" s="501"/>
      <c r="MJK557" s="501"/>
      <c r="MJL557" s="501"/>
      <c r="MJM557" s="501"/>
      <c r="MJN557" s="501"/>
      <c r="MJO557" s="501"/>
      <c r="MJP557" s="501"/>
      <c r="MJQ557" s="501"/>
      <c r="MJR557" s="501"/>
      <c r="MJS557" s="501"/>
      <c r="MJT557" s="501"/>
      <c r="MJU557" s="501"/>
      <c r="MJV557" s="501"/>
      <c r="MJW557" s="501"/>
      <c r="MJX557" s="501"/>
      <c r="MJY557" s="501"/>
      <c r="MJZ557" s="501"/>
      <c r="MKA557" s="501"/>
      <c r="MKB557" s="501"/>
      <c r="MKC557" s="501"/>
      <c r="MKD557" s="501"/>
      <c r="MKE557" s="501"/>
      <c r="MKF557" s="501"/>
      <c r="MKG557" s="501"/>
      <c r="MKH557" s="501"/>
      <c r="MKI557" s="501"/>
      <c r="MKJ557" s="501"/>
      <c r="MKK557" s="501"/>
      <c r="MKL557" s="501"/>
      <c r="MKM557" s="501"/>
      <c r="MKN557" s="501"/>
      <c r="MKO557" s="501"/>
      <c r="MKP557" s="501"/>
      <c r="MKQ557" s="501"/>
      <c r="MKR557" s="501"/>
      <c r="MKS557" s="501"/>
      <c r="MKT557" s="501"/>
      <c r="MKU557" s="501"/>
      <c r="MKV557" s="501"/>
      <c r="MKW557" s="501"/>
      <c r="MKX557" s="501"/>
      <c r="MKY557" s="501"/>
      <c r="MKZ557" s="501"/>
      <c r="MLA557" s="501"/>
      <c r="MLB557" s="501"/>
      <c r="MLC557" s="501"/>
      <c r="MLD557" s="501"/>
      <c r="MLE557" s="501"/>
      <c r="MLF557" s="501"/>
      <c r="MLG557" s="501"/>
      <c r="MLH557" s="501"/>
      <c r="MLI557" s="501"/>
      <c r="MLJ557" s="501"/>
      <c r="MLK557" s="501"/>
      <c r="MLL557" s="501"/>
      <c r="MLM557" s="501"/>
      <c r="MLN557" s="501"/>
      <c r="MLO557" s="501"/>
      <c r="MLP557" s="501"/>
      <c r="MLQ557" s="501"/>
      <c r="MLR557" s="501"/>
      <c r="MLS557" s="501"/>
      <c r="MLT557" s="501"/>
      <c r="MLU557" s="501"/>
      <c r="MLV557" s="501"/>
      <c r="MLW557" s="501"/>
      <c r="MLX557" s="501"/>
      <c r="MLY557" s="501"/>
      <c r="MLZ557" s="501"/>
      <c r="MMA557" s="501"/>
      <c r="MMB557" s="501"/>
      <c r="MMC557" s="501"/>
      <c r="MMD557" s="501"/>
      <c r="MME557" s="501"/>
      <c r="MMF557" s="501"/>
      <c r="MMG557" s="501"/>
      <c r="MMH557" s="501"/>
      <c r="MMI557" s="501"/>
      <c r="MMJ557" s="501"/>
      <c r="MMK557" s="501"/>
      <c r="MML557" s="501"/>
      <c r="MMM557" s="501"/>
      <c r="MMN557" s="501"/>
      <c r="MMO557" s="501"/>
      <c r="MMP557" s="501"/>
      <c r="MMQ557" s="501"/>
      <c r="MMR557" s="501"/>
      <c r="MMS557" s="501"/>
      <c r="MMT557" s="501"/>
      <c r="MMU557" s="501"/>
      <c r="MMV557" s="501"/>
      <c r="MMW557" s="501"/>
      <c r="MMX557" s="501"/>
      <c r="MMY557" s="501"/>
      <c r="MMZ557" s="501"/>
      <c r="MNA557" s="501"/>
      <c r="MNB557" s="501"/>
      <c r="MNC557" s="501"/>
      <c r="MND557" s="501"/>
      <c r="MNE557" s="501"/>
      <c r="MNF557" s="501"/>
      <c r="MNG557" s="501"/>
      <c r="MNH557" s="501"/>
      <c r="MNI557" s="501"/>
      <c r="MNJ557" s="501"/>
      <c r="MNK557" s="501"/>
      <c r="MNL557" s="501"/>
      <c r="MNM557" s="501"/>
      <c r="MNN557" s="501"/>
      <c r="MNO557" s="501"/>
      <c r="MNP557" s="501"/>
      <c r="MNQ557" s="501"/>
      <c r="MNR557" s="501"/>
      <c r="MNS557" s="501"/>
      <c r="MNT557" s="501"/>
      <c r="MNU557" s="501"/>
      <c r="MNV557" s="501"/>
      <c r="MNW557" s="501"/>
      <c r="MNX557" s="501"/>
      <c r="MNY557" s="501"/>
      <c r="MNZ557" s="501"/>
      <c r="MOA557" s="501"/>
      <c r="MOB557" s="501"/>
      <c r="MOC557" s="501"/>
      <c r="MOD557" s="501"/>
      <c r="MOE557" s="501"/>
      <c r="MOF557" s="501"/>
      <c r="MOG557" s="501"/>
      <c r="MOH557" s="501"/>
      <c r="MOI557" s="501"/>
      <c r="MOJ557" s="501"/>
      <c r="MOK557" s="501"/>
      <c r="MOL557" s="501"/>
      <c r="MOM557" s="501"/>
      <c r="MON557" s="501"/>
      <c r="MOO557" s="501"/>
      <c r="MOP557" s="501"/>
      <c r="MOQ557" s="501"/>
      <c r="MOR557" s="501"/>
      <c r="MOS557" s="501"/>
      <c r="MOT557" s="501"/>
      <c r="MOU557" s="501"/>
      <c r="MOV557" s="501"/>
      <c r="MOW557" s="501"/>
      <c r="MOX557" s="501"/>
      <c r="MOY557" s="501"/>
      <c r="MOZ557" s="501"/>
      <c r="MPA557" s="501"/>
      <c r="MPB557" s="501"/>
      <c r="MPC557" s="501"/>
      <c r="MPD557" s="501"/>
      <c r="MPE557" s="501"/>
      <c r="MPF557" s="501"/>
      <c r="MPG557" s="501"/>
      <c r="MPH557" s="501"/>
      <c r="MPI557" s="501"/>
      <c r="MPJ557" s="501"/>
      <c r="MPK557" s="501"/>
      <c r="MPL557" s="501"/>
      <c r="MPM557" s="501"/>
      <c r="MPN557" s="501"/>
      <c r="MPO557" s="501"/>
      <c r="MPP557" s="501"/>
      <c r="MPQ557" s="501"/>
      <c r="MPR557" s="501"/>
      <c r="MPS557" s="501"/>
      <c r="MPT557" s="501"/>
      <c r="MPU557" s="501"/>
      <c r="MPV557" s="501"/>
      <c r="MPW557" s="501"/>
      <c r="MPX557" s="501"/>
      <c r="MPY557" s="501"/>
      <c r="MPZ557" s="501"/>
      <c r="MQA557" s="501"/>
      <c r="MQB557" s="501"/>
      <c r="MQC557" s="501"/>
      <c r="MQD557" s="501"/>
      <c r="MQE557" s="501"/>
      <c r="MQF557" s="501"/>
      <c r="MQG557" s="501"/>
      <c r="MQH557" s="501"/>
      <c r="MQI557" s="501"/>
      <c r="MQJ557" s="501"/>
      <c r="MQK557" s="501"/>
      <c r="MQL557" s="501"/>
      <c r="MQM557" s="501"/>
      <c r="MQN557" s="501"/>
      <c r="MQO557" s="501"/>
      <c r="MQP557" s="501"/>
      <c r="MQQ557" s="501"/>
      <c r="MQR557" s="501"/>
      <c r="MQS557" s="501"/>
      <c r="MQT557" s="501"/>
      <c r="MQU557" s="501"/>
      <c r="MQV557" s="501"/>
      <c r="MQW557" s="501"/>
      <c r="MQX557" s="501"/>
      <c r="MQY557" s="501"/>
      <c r="MQZ557" s="501"/>
      <c r="MRA557" s="501"/>
      <c r="MRB557" s="501"/>
      <c r="MRC557" s="501"/>
      <c r="MRD557" s="501"/>
      <c r="MRE557" s="501"/>
      <c r="MRF557" s="501"/>
      <c r="MRG557" s="501"/>
      <c r="MRH557" s="501"/>
      <c r="MRI557" s="501"/>
      <c r="MRJ557" s="501"/>
      <c r="MRK557" s="501"/>
      <c r="MRL557" s="501"/>
      <c r="MRM557" s="501"/>
      <c r="MRN557" s="501"/>
      <c r="MRO557" s="501"/>
      <c r="MRP557" s="501"/>
      <c r="MRQ557" s="501"/>
      <c r="MRR557" s="501"/>
      <c r="MRS557" s="501"/>
      <c r="MRT557" s="501"/>
      <c r="MRU557" s="501"/>
      <c r="MRV557" s="501"/>
      <c r="MRW557" s="501"/>
      <c r="MRX557" s="501"/>
      <c r="MRY557" s="501"/>
      <c r="MRZ557" s="501"/>
      <c r="MSA557" s="501"/>
      <c r="MSB557" s="501"/>
      <c r="MSC557" s="501"/>
      <c r="MSD557" s="501"/>
      <c r="MSE557" s="501"/>
      <c r="MSF557" s="501"/>
      <c r="MSG557" s="501"/>
      <c r="MSH557" s="501"/>
      <c r="MSI557" s="501"/>
      <c r="MSJ557" s="501"/>
      <c r="MSK557" s="501"/>
      <c r="MSL557" s="501"/>
      <c r="MSM557" s="501"/>
      <c r="MSN557" s="501"/>
      <c r="MSO557" s="501"/>
      <c r="MSP557" s="501"/>
      <c r="MSQ557" s="501"/>
      <c r="MSR557" s="501"/>
      <c r="MSS557" s="501"/>
      <c r="MST557" s="501"/>
      <c r="MSU557" s="501"/>
      <c r="MSV557" s="501"/>
      <c r="MSW557" s="501"/>
      <c r="MSX557" s="501"/>
      <c r="MSY557" s="501"/>
      <c r="MSZ557" s="501"/>
      <c r="MTA557" s="501"/>
      <c r="MTB557" s="501"/>
      <c r="MTC557" s="501"/>
      <c r="MTD557" s="501"/>
      <c r="MTE557" s="501"/>
      <c r="MTF557" s="501"/>
      <c r="MTG557" s="501"/>
      <c r="MTH557" s="501"/>
      <c r="MTI557" s="501"/>
      <c r="MTJ557" s="501"/>
      <c r="MTK557" s="501"/>
      <c r="MTL557" s="501"/>
      <c r="MTM557" s="501"/>
      <c r="MTN557" s="501"/>
      <c r="MTO557" s="501"/>
      <c r="MTP557" s="501"/>
      <c r="MTQ557" s="501"/>
      <c r="MTR557" s="501"/>
      <c r="MTS557" s="501"/>
      <c r="MTT557" s="501"/>
      <c r="MTU557" s="501"/>
      <c r="MTV557" s="501"/>
      <c r="MTW557" s="501"/>
      <c r="MTX557" s="501"/>
      <c r="MTY557" s="501"/>
      <c r="MTZ557" s="501"/>
      <c r="MUA557" s="501"/>
      <c r="MUB557" s="501"/>
      <c r="MUC557" s="501"/>
      <c r="MUD557" s="501"/>
      <c r="MUE557" s="501"/>
      <c r="MUF557" s="501"/>
      <c r="MUG557" s="501"/>
      <c r="MUH557" s="501"/>
      <c r="MUI557" s="501"/>
      <c r="MUJ557" s="501"/>
      <c r="MUK557" s="501"/>
      <c r="MUL557" s="501"/>
      <c r="MUM557" s="501"/>
      <c r="MUN557" s="501"/>
      <c r="MUO557" s="501"/>
      <c r="MUP557" s="501"/>
      <c r="MUQ557" s="501"/>
      <c r="MUR557" s="501"/>
      <c r="MUS557" s="501"/>
      <c r="MUT557" s="501"/>
      <c r="MUU557" s="501"/>
      <c r="MUV557" s="501"/>
      <c r="MUW557" s="501"/>
      <c r="MUX557" s="501"/>
      <c r="MUY557" s="501"/>
      <c r="MUZ557" s="501"/>
      <c r="MVA557" s="501"/>
      <c r="MVB557" s="501"/>
      <c r="MVC557" s="501"/>
      <c r="MVD557" s="501"/>
      <c r="MVE557" s="501"/>
      <c r="MVF557" s="501"/>
      <c r="MVG557" s="501"/>
      <c r="MVH557" s="501"/>
      <c r="MVI557" s="501"/>
      <c r="MVJ557" s="501"/>
      <c r="MVK557" s="501"/>
      <c r="MVL557" s="501"/>
      <c r="MVM557" s="501"/>
      <c r="MVN557" s="501"/>
      <c r="MVO557" s="501"/>
      <c r="MVP557" s="501"/>
      <c r="MVQ557" s="501"/>
      <c r="MVR557" s="501"/>
      <c r="MVS557" s="501"/>
      <c r="MVT557" s="501"/>
      <c r="MVU557" s="501"/>
      <c r="MVV557" s="501"/>
      <c r="MVW557" s="501"/>
      <c r="MVX557" s="501"/>
      <c r="MVY557" s="501"/>
      <c r="MVZ557" s="501"/>
      <c r="MWA557" s="501"/>
      <c r="MWB557" s="501"/>
      <c r="MWC557" s="501"/>
      <c r="MWD557" s="501"/>
      <c r="MWE557" s="501"/>
      <c r="MWF557" s="501"/>
      <c r="MWG557" s="501"/>
      <c r="MWH557" s="501"/>
      <c r="MWI557" s="501"/>
      <c r="MWJ557" s="501"/>
      <c r="MWK557" s="501"/>
      <c r="MWL557" s="501"/>
      <c r="MWM557" s="501"/>
      <c r="MWN557" s="501"/>
      <c r="MWO557" s="501"/>
      <c r="MWP557" s="501"/>
      <c r="MWQ557" s="501"/>
      <c r="MWR557" s="501"/>
      <c r="MWS557" s="501"/>
      <c r="MWT557" s="501"/>
      <c r="MWU557" s="501"/>
      <c r="MWV557" s="501"/>
      <c r="MWW557" s="501"/>
      <c r="MWX557" s="501"/>
      <c r="MWY557" s="501"/>
      <c r="MWZ557" s="501"/>
      <c r="MXA557" s="501"/>
      <c r="MXB557" s="501"/>
      <c r="MXC557" s="501"/>
      <c r="MXD557" s="501"/>
      <c r="MXE557" s="501"/>
      <c r="MXF557" s="501"/>
      <c r="MXG557" s="501"/>
      <c r="MXH557" s="501"/>
      <c r="MXI557" s="501"/>
      <c r="MXJ557" s="501"/>
      <c r="MXK557" s="501"/>
      <c r="MXL557" s="501"/>
      <c r="MXM557" s="501"/>
      <c r="MXN557" s="501"/>
      <c r="MXO557" s="501"/>
      <c r="MXP557" s="501"/>
      <c r="MXQ557" s="501"/>
      <c r="MXR557" s="501"/>
      <c r="MXS557" s="501"/>
      <c r="MXT557" s="501"/>
      <c r="MXU557" s="501"/>
      <c r="MXV557" s="501"/>
      <c r="MXW557" s="501"/>
      <c r="MXX557" s="501"/>
      <c r="MXY557" s="501"/>
      <c r="MXZ557" s="501"/>
      <c r="MYA557" s="501"/>
      <c r="MYB557" s="501"/>
      <c r="MYC557" s="501"/>
      <c r="MYD557" s="501"/>
      <c r="MYE557" s="501"/>
      <c r="MYF557" s="501"/>
      <c r="MYG557" s="501"/>
      <c r="MYH557" s="501"/>
      <c r="MYI557" s="501"/>
      <c r="MYJ557" s="501"/>
      <c r="MYK557" s="501"/>
      <c r="MYL557" s="501"/>
      <c r="MYM557" s="501"/>
      <c r="MYN557" s="501"/>
      <c r="MYO557" s="501"/>
      <c r="MYP557" s="501"/>
      <c r="MYQ557" s="501"/>
      <c r="MYR557" s="501"/>
      <c r="MYS557" s="501"/>
      <c r="MYT557" s="501"/>
      <c r="MYU557" s="501"/>
      <c r="MYV557" s="501"/>
      <c r="MYW557" s="501"/>
      <c r="MYX557" s="501"/>
      <c r="MYY557" s="501"/>
      <c r="MYZ557" s="501"/>
      <c r="MZA557" s="501"/>
      <c r="MZB557" s="501"/>
      <c r="MZC557" s="501"/>
      <c r="MZD557" s="501"/>
      <c r="MZE557" s="501"/>
      <c r="MZF557" s="501"/>
      <c r="MZG557" s="501"/>
      <c r="MZH557" s="501"/>
      <c r="MZI557" s="501"/>
      <c r="MZJ557" s="501"/>
      <c r="MZK557" s="501"/>
      <c r="MZL557" s="501"/>
      <c r="MZM557" s="501"/>
      <c r="MZN557" s="501"/>
      <c r="MZO557" s="501"/>
      <c r="MZP557" s="501"/>
      <c r="MZQ557" s="501"/>
      <c r="MZR557" s="501"/>
      <c r="MZS557" s="501"/>
      <c r="MZT557" s="501"/>
      <c r="MZU557" s="501"/>
      <c r="MZV557" s="501"/>
      <c r="MZW557" s="501"/>
      <c r="MZX557" s="501"/>
      <c r="MZY557" s="501"/>
      <c r="MZZ557" s="501"/>
      <c r="NAA557" s="501"/>
      <c r="NAB557" s="501"/>
      <c r="NAC557" s="501"/>
      <c r="NAD557" s="501"/>
      <c r="NAE557" s="501"/>
      <c r="NAF557" s="501"/>
      <c r="NAG557" s="501"/>
      <c r="NAH557" s="501"/>
      <c r="NAI557" s="501"/>
      <c r="NAJ557" s="501"/>
      <c r="NAK557" s="501"/>
      <c r="NAL557" s="501"/>
      <c r="NAM557" s="501"/>
      <c r="NAN557" s="501"/>
      <c r="NAO557" s="501"/>
      <c r="NAP557" s="501"/>
      <c r="NAQ557" s="501"/>
      <c r="NAR557" s="501"/>
      <c r="NAS557" s="501"/>
      <c r="NAT557" s="501"/>
      <c r="NAU557" s="501"/>
      <c r="NAV557" s="501"/>
      <c r="NAW557" s="501"/>
      <c r="NAX557" s="501"/>
      <c r="NAY557" s="501"/>
      <c r="NAZ557" s="501"/>
      <c r="NBA557" s="501"/>
      <c r="NBB557" s="501"/>
      <c r="NBC557" s="501"/>
      <c r="NBD557" s="501"/>
      <c r="NBE557" s="501"/>
      <c r="NBF557" s="501"/>
      <c r="NBG557" s="501"/>
      <c r="NBH557" s="501"/>
      <c r="NBI557" s="501"/>
      <c r="NBJ557" s="501"/>
      <c r="NBK557" s="501"/>
      <c r="NBL557" s="501"/>
      <c r="NBM557" s="501"/>
      <c r="NBN557" s="501"/>
      <c r="NBO557" s="501"/>
      <c r="NBP557" s="501"/>
      <c r="NBQ557" s="501"/>
      <c r="NBR557" s="501"/>
      <c r="NBS557" s="501"/>
      <c r="NBT557" s="501"/>
      <c r="NBU557" s="501"/>
      <c r="NBV557" s="501"/>
      <c r="NBW557" s="501"/>
      <c r="NBX557" s="501"/>
      <c r="NBY557" s="501"/>
      <c r="NBZ557" s="501"/>
      <c r="NCA557" s="501"/>
      <c r="NCB557" s="501"/>
      <c r="NCC557" s="501"/>
      <c r="NCD557" s="501"/>
      <c r="NCE557" s="501"/>
      <c r="NCF557" s="501"/>
      <c r="NCG557" s="501"/>
      <c r="NCH557" s="501"/>
      <c r="NCI557" s="501"/>
      <c r="NCJ557" s="501"/>
      <c r="NCK557" s="501"/>
      <c r="NCL557" s="501"/>
      <c r="NCM557" s="501"/>
      <c r="NCN557" s="501"/>
      <c r="NCO557" s="501"/>
      <c r="NCP557" s="501"/>
      <c r="NCQ557" s="501"/>
      <c r="NCR557" s="501"/>
      <c r="NCS557" s="501"/>
      <c r="NCT557" s="501"/>
      <c r="NCU557" s="501"/>
      <c r="NCV557" s="501"/>
      <c r="NCW557" s="501"/>
      <c r="NCX557" s="501"/>
      <c r="NCY557" s="501"/>
      <c r="NCZ557" s="501"/>
      <c r="NDA557" s="501"/>
      <c r="NDB557" s="501"/>
      <c r="NDC557" s="501"/>
      <c r="NDD557" s="501"/>
      <c r="NDE557" s="501"/>
      <c r="NDF557" s="501"/>
      <c r="NDG557" s="501"/>
      <c r="NDH557" s="501"/>
      <c r="NDI557" s="501"/>
      <c r="NDJ557" s="501"/>
      <c r="NDK557" s="501"/>
      <c r="NDL557" s="501"/>
      <c r="NDM557" s="501"/>
      <c r="NDN557" s="501"/>
      <c r="NDO557" s="501"/>
      <c r="NDP557" s="501"/>
      <c r="NDQ557" s="501"/>
      <c r="NDR557" s="501"/>
      <c r="NDS557" s="501"/>
      <c r="NDT557" s="501"/>
      <c r="NDU557" s="501"/>
      <c r="NDV557" s="501"/>
      <c r="NDW557" s="501"/>
      <c r="NDX557" s="501"/>
      <c r="NDY557" s="501"/>
      <c r="NDZ557" s="501"/>
      <c r="NEA557" s="501"/>
      <c r="NEB557" s="501"/>
      <c r="NEC557" s="501"/>
      <c r="NED557" s="501"/>
      <c r="NEE557" s="501"/>
      <c r="NEF557" s="501"/>
      <c r="NEG557" s="501"/>
      <c r="NEH557" s="501"/>
      <c r="NEI557" s="501"/>
      <c r="NEJ557" s="501"/>
      <c r="NEK557" s="501"/>
      <c r="NEL557" s="501"/>
      <c r="NEM557" s="501"/>
      <c r="NEN557" s="501"/>
      <c r="NEO557" s="501"/>
      <c r="NEP557" s="501"/>
      <c r="NEQ557" s="501"/>
      <c r="NER557" s="501"/>
      <c r="NES557" s="501"/>
      <c r="NET557" s="501"/>
      <c r="NEU557" s="501"/>
      <c r="NEV557" s="501"/>
      <c r="NEW557" s="501"/>
      <c r="NEX557" s="501"/>
      <c r="NEY557" s="501"/>
      <c r="NEZ557" s="501"/>
      <c r="NFA557" s="501"/>
      <c r="NFB557" s="501"/>
      <c r="NFC557" s="501"/>
      <c r="NFD557" s="501"/>
      <c r="NFE557" s="501"/>
      <c r="NFF557" s="501"/>
      <c r="NFG557" s="501"/>
      <c r="NFH557" s="501"/>
      <c r="NFI557" s="501"/>
      <c r="NFJ557" s="501"/>
      <c r="NFK557" s="501"/>
      <c r="NFL557" s="501"/>
      <c r="NFM557" s="501"/>
      <c r="NFN557" s="501"/>
      <c r="NFO557" s="501"/>
      <c r="NFP557" s="501"/>
      <c r="NFQ557" s="501"/>
      <c r="NFR557" s="501"/>
      <c r="NFS557" s="501"/>
      <c r="NFT557" s="501"/>
      <c r="NFU557" s="501"/>
      <c r="NFV557" s="501"/>
      <c r="NFW557" s="501"/>
      <c r="NFX557" s="501"/>
      <c r="NFY557" s="501"/>
      <c r="NFZ557" s="501"/>
      <c r="NGA557" s="501"/>
      <c r="NGB557" s="501"/>
      <c r="NGC557" s="501"/>
      <c r="NGD557" s="501"/>
      <c r="NGE557" s="501"/>
      <c r="NGF557" s="501"/>
      <c r="NGG557" s="501"/>
      <c r="NGH557" s="501"/>
      <c r="NGI557" s="501"/>
      <c r="NGJ557" s="501"/>
      <c r="NGK557" s="501"/>
      <c r="NGL557" s="501"/>
      <c r="NGM557" s="501"/>
      <c r="NGN557" s="501"/>
      <c r="NGO557" s="501"/>
      <c r="NGP557" s="501"/>
      <c r="NGQ557" s="501"/>
      <c r="NGR557" s="501"/>
      <c r="NGS557" s="501"/>
      <c r="NGT557" s="501"/>
      <c r="NGU557" s="501"/>
      <c r="NGV557" s="501"/>
      <c r="NGW557" s="501"/>
      <c r="NGX557" s="501"/>
      <c r="NGY557" s="501"/>
      <c r="NGZ557" s="501"/>
      <c r="NHA557" s="501"/>
      <c r="NHB557" s="501"/>
      <c r="NHC557" s="501"/>
      <c r="NHD557" s="501"/>
      <c r="NHE557" s="501"/>
      <c r="NHF557" s="501"/>
      <c r="NHG557" s="501"/>
      <c r="NHH557" s="501"/>
      <c r="NHI557" s="501"/>
      <c r="NHJ557" s="501"/>
      <c r="NHK557" s="501"/>
      <c r="NHL557" s="501"/>
      <c r="NHM557" s="501"/>
      <c r="NHN557" s="501"/>
      <c r="NHO557" s="501"/>
      <c r="NHP557" s="501"/>
      <c r="NHQ557" s="501"/>
      <c r="NHR557" s="501"/>
      <c r="NHS557" s="501"/>
      <c r="NHT557" s="501"/>
      <c r="NHU557" s="501"/>
      <c r="NHV557" s="501"/>
      <c r="NHW557" s="501"/>
      <c r="NHX557" s="501"/>
      <c r="NHY557" s="501"/>
      <c r="NHZ557" s="501"/>
      <c r="NIA557" s="501"/>
      <c r="NIB557" s="501"/>
      <c r="NIC557" s="501"/>
      <c r="NID557" s="501"/>
      <c r="NIE557" s="501"/>
      <c r="NIF557" s="501"/>
      <c r="NIG557" s="501"/>
      <c r="NIH557" s="501"/>
      <c r="NII557" s="501"/>
      <c r="NIJ557" s="501"/>
      <c r="NIK557" s="501"/>
      <c r="NIL557" s="501"/>
      <c r="NIM557" s="501"/>
      <c r="NIN557" s="501"/>
      <c r="NIO557" s="501"/>
      <c r="NIP557" s="501"/>
      <c r="NIQ557" s="501"/>
      <c r="NIR557" s="501"/>
      <c r="NIS557" s="501"/>
      <c r="NIT557" s="501"/>
      <c r="NIU557" s="501"/>
      <c r="NIV557" s="501"/>
      <c r="NIW557" s="501"/>
      <c r="NIX557" s="501"/>
      <c r="NIY557" s="501"/>
      <c r="NIZ557" s="501"/>
      <c r="NJA557" s="501"/>
      <c r="NJB557" s="501"/>
      <c r="NJC557" s="501"/>
      <c r="NJD557" s="501"/>
      <c r="NJE557" s="501"/>
      <c r="NJF557" s="501"/>
      <c r="NJG557" s="501"/>
      <c r="NJH557" s="501"/>
      <c r="NJI557" s="501"/>
      <c r="NJJ557" s="501"/>
      <c r="NJK557" s="501"/>
      <c r="NJL557" s="501"/>
      <c r="NJM557" s="501"/>
      <c r="NJN557" s="501"/>
      <c r="NJO557" s="501"/>
      <c r="NJP557" s="501"/>
      <c r="NJQ557" s="501"/>
      <c r="NJR557" s="501"/>
      <c r="NJS557" s="501"/>
      <c r="NJT557" s="501"/>
      <c r="NJU557" s="501"/>
      <c r="NJV557" s="501"/>
      <c r="NJW557" s="501"/>
      <c r="NJX557" s="501"/>
      <c r="NJY557" s="501"/>
      <c r="NJZ557" s="501"/>
      <c r="NKA557" s="501"/>
      <c r="NKB557" s="501"/>
      <c r="NKC557" s="501"/>
      <c r="NKD557" s="501"/>
      <c r="NKE557" s="501"/>
      <c r="NKF557" s="501"/>
      <c r="NKG557" s="501"/>
      <c r="NKH557" s="501"/>
      <c r="NKI557" s="501"/>
      <c r="NKJ557" s="501"/>
      <c r="NKK557" s="501"/>
      <c r="NKL557" s="501"/>
      <c r="NKM557" s="501"/>
      <c r="NKN557" s="501"/>
      <c r="NKO557" s="501"/>
      <c r="NKP557" s="501"/>
      <c r="NKQ557" s="501"/>
      <c r="NKR557" s="501"/>
      <c r="NKS557" s="501"/>
      <c r="NKT557" s="501"/>
      <c r="NKU557" s="501"/>
      <c r="NKV557" s="501"/>
      <c r="NKW557" s="501"/>
      <c r="NKX557" s="501"/>
      <c r="NKY557" s="501"/>
      <c r="NKZ557" s="501"/>
      <c r="NLA557" s="501"/>
      <c r="NLB557" s="501"/>
      <c r="NLC557" s="501"/>
      <c r="NLD557" s="501"/>
      <c r="NLE557" s="501"/>
      <c r="NLF557" s="501"/>
      <c r="NLG557" s="501"/>
      <c r="NLH557" s="501"/>
      <c r="NLI557" s="501"/>
      <c r="NLJ557" s="501"/>
      <c r="NLK557" s="501"/>
      <c r="NLL557" s="501"/>
      <c r="NLM557" s="501"/>
      <c r="NLN557" s="501"/>
      <c r="NLO557" s="501"/>
      <c r="NLP557" s="501"/>
      <c r="NLQ557" s="501"/>
      <c r="NLR557" s="501"/>
      <c r="NLS557" s="501"/>
      <c r="NLT557" s="501"/>
      <c r="NLU557" s="501"/>
      <c r="NLV557" s="501"/>
      <c r="NLW557" s="501"/>
      <c r="NLX557" s="501"/>
      <c r="NLY557" s="501"/>
      <c r="NLZ557" s="501"/>
      <c r="NMA557" s="501"/>
      <c r="NMB557" s="501"/>
      <c r="NMC557" s="501"/>
      <c r="NMD557" s="501"/>
      <c r="NME557" s="501"/>
      <c r="NMF557" s="501"/>
      <c r="NMG557" s="501"/>
      <c r="NMH557" s="501"/>
      <c r="NMI557" s="501"/>
      <c r="NMJ557" s="501"/>
      <c r="NMK557" s="501"/>
      <c r="NML557" s="501"/>
      <c r="NMM557" s="501"/>
      <c r="NMN557" s="501"/>
      <c r="NMO557" s="501"/>
      <c r="NMP557" s="501"/>
      <c r="NMQ557" s="501"/>
      <c r="NMR557" s="501"/>
      <c r="NMS557" s="501"/>
      <c r="NMT557" s="501"/>
      <c r="NMU557" s="501"/>
      <c r="NMV557" s="501"/>
      <c r="NMW557" s="501"/>
      <c r="NMX557" s="501"/>
      <c r="NMY557" s="501"/>
      <c r="NMZ557" s="501"/>
      <c r="NNA557" s="501"/>
      <c r="NNB557" s="501"/>
      <c r="NNC557" s="501"/>
      <c r="NND557" s="501"/>
      <c r="NNE557" s="501"/>
      <c r="NNF557" s="501"/>
      <c r="NNG557" s="501"/>
      <c r="NNH557" s="501"/>
      <c r="NNI557" s="501"/>
      <c r="NNJ557" s="501"/>
      <c r="NNK557" s="501"/>
      <c r="NNL557" s="501"/>
      <c r="NNM557" s="501"/>
      <c r="NNN557" s="501"/>
      <c r="NNO557" s="501"/>
      <c r="NNP557" s="501"/>
      <c r="NNQ557" s="501"/>
      <c r="NNR557" s="501"/>
      <c r="NNS557" s="501"/>
      <c r="NNT557" s="501"/>
      <c r="NNU557" s="501"/>
      <c r="NNV557" s="501"/>
      <c r="NNW557" s="501"/>
      <c r="NNX557" s="501"/>
      <c r="NNY557" s="501"/>
      <c r="NNZ557" s="501"/>
      <c r="NOA557" s="501"/>
      <c r="NOB557" s="501"/>
      <c r="NOC557" s="501"/>
      <c r="NOD557" s="501"/>
      <c r="NOE557" s="501"/>
      <c r="NOF557" s="501"/>
      <c r="NOG557" s="501"/>
      <c r="NOH557" s="501"/>
      <c r="NOI557" s="501"/>
      <c r="NOJ557" s="501"/>
      <c r="NOK557" s="501"/>
      <c r="NOL557" s="501"/>
      <c r="NOM557" s="501"/>
      <c r="NON557" s="501"/>
      <c r="NOO557" s="501"/>
      <c r="NOP557" s="501"/>
      <c r="NOQ557" s="501"/>
      <c r="NOR557" s="501"/>
      <c r="NOS557" s="501"/>
      <c r="NOT557" s="501"/>
      <c r="NOU557" s="501"/>
      <c r="NOV557" s="501"/>
      <c r="NOW557" s="501"/>
      <c r="NOX557" s="501"/>
      <c r="NOY557" s="501"/>
      <c r="NOZ557" s="501"/>
      <c r="NPA557" s="501"/>
      <c r="NPB557" s="501"/>
      <c r="NPC557" s="501"/>
      <c r="NPD557" s="501"/>
      <c r="NPE557" s="501"/>
      <c r="NPF557" s="501"/>
      <c r="NPG557" s="501"/>
      <c r="NPH557" s="501"/>
      <c r="NPI557" s="501"/>
      <c r="NPJ557" s="501"/>
      <c r="NPK557" s="501"/>
      <c r="NPL557" s="501"/>
      <c r="NPM557" s="501"/>
      <c r="NPN557" s="501"/>
      <c r="NPO557" s="501"/>
      <c r="NPP557" s="501"/>
      <c r="NPQ557" s="501"/>
      <c r="NPR557" s="501"/>
      <c r="NPS557" s="501"/>
      <c r="NPT557" s="501"/>
      <c r="NPU557" s="501"/>
      <c r="NPV557" s="501"/>
      <c r="NPW557" s="501"/>
      <c r="NPX557" s="501"/>
      <c r="NPY557" s="501"/>
      <c r="NPZ557" s="501"/>
      <c r="NQA557" s="501"/>
      <c r="NQB557" s="501"/>
      <c r="NQC557" s="501"/>
      <c r="NQD557" s="501"/>
      <c r="NQE557" s="501"/>
      <c r="NQF557" s="501"/>
      <c r="NQG557" s="501"/>
      <c r="NQH557" s="501"/>
      <c r="NQI557" s="501"/>
      <c r="NQJ557" s="501"/>
      <c r="NQK557" s="501"/>
      <c r="NQL557" s="501"/>
      <c r="NQM557" s="501"/>
      <c r="NQN557" s="501"/>
      <c r="NQO557" s="501"/>
      <c r="NQP557" s="501"/>
      <c r="NQQ557" s="501"/>
      <c r="NQR557" s="501"/>
      <c r="NQS557" s="501"/>
      <c r="NQT557" s="501"/>
      <c r="NQU557" s="501"/>
      <c r="NQV557" s="501"/>
      <c r="NQW557" s="501"/>
      <c r="NQX557" s="501"/>
      <c r="NQY557" s="501"/>
      <c r="NQZ557" s="501"/>
      <c r="NRA557" s="501"/>
      <c r="NRB557" s="501"/>
      <c r="NRC557" s="501"/>
      <c r="NRD557" s="501"/>
      <c r="NRE557" s="501"/>
      <c r="NRF557" s="501"/>
      <c r="NRG557" s="501"/>
      <c r="NRH557" s="501"/>
      <c r="NRI557" s="501"/>
      <c r="NRJ557" s="501"/>
      <c r="NRK557" s="501"/>
      <c r="NRL557" s="501"/>
      <c r="NRM557" s="501"/>
      <c r="NRN557" s="501"/>
      <c r="NRO557" s="501"/>
      <c r="NRP557" s="501"/>
      <c r="NRQ557" s="501"/>
      <c r="NRR557" s="501"/>
      <c r="NRS557" s="501"/>
      <c r="NRT557" s="501"/>
      <c r="NRU557" s="501"/>
      <c r="NRV557" s="501"/>
      <c r="NRW557" s="501"/>
      <c r="NRX557" s="501"/>
      <c r="NRY557" s="501"/>
      <c r="NRZ557" s="501"/>
      <c r="NSA557" s="501"/>
      <c r="NSB557" s="501"/>
      <c r="NSC557" s="501"/>
      <c r="NSD557" s="501"/>
      <c r="NSE557" s="501"/>
      <c r="NSF557" s="501"/>
      <c r="NSG557" s="501"/>
      <c r="NSH557" s="501"/>
      <c r="NSI557" s="501"/>
      <c r="NSJ557" s="501"/>
      <c r="NSK557" s="501"/>
      <c r="NSL557" s="501"/>
      <c r="NSM557" s="501"/>
      <c r="NSN557" s="501"/>
      <c r="NSO557" s="501"/>
      <c r="NSP557" s="501"/>
      <c r="NSQ557" s="501"/>
      <c r="NSR557" s="501"/>
      <c r="NSS557" s="501"/>
      <c r="NST557" s="501"/>
      <c r="NSU557" s="501"/>
      <c r="NSV557" s="501"/>
      <c r="NSW557" s="501"/>
      <c r="NSX557" s="501"/>
      <c r="NSY557" s="501"/>
      <c r="NSZ557" s="501"/>
      <c r="NTA557" s="501"/>
      <c r="NTB557" s="501"/>
      <c r="NTC557" s="501"/>
      <c r="NTD557" s="501"/>
      <c r="NTE557" s="501"/>
      <c r="NTF557" s="501"/>
      <c r="NTG557" s="501"/>
      <c r="NTH557" s="501"/>
      <c r="NTI557" s="501"/>
      <c r="NTJ557" s="501"/>
      <c r="NTK557" s="501"/>
      <c r="NTL557" s="501"/>
      <c r="NTM557" s="501"/>
      <c r="NTN557" s="501"/>
      <c r="NTO557" s="501"/>
      <c r="NTP557" s="501"/>
      <c r="NTQ557" s="501"/>
      <c r="NTR557" s="501"/>
      <c r="NTS557" s="501"/>
      <c r="NTT557" s="501"/>
      <c r="NTU557" s="501"/>
      <c r="NTV557" s="501"/>
      <c r="NTW557" s="501"/>
      <c r="NTX557" s="501"/>
      <c r="NTY557" s="501"/>
      <c r="NTZ557" s="501"/>
      <c r="NUA557" s="501"/>
      <c r="NUB557" s="501"/>
      <c r="NUC557" s="501"/>
      <c r="NUD557" s="501"/>
      <c r="NUE557" s="501"/>
      <c r="NUF557" s="501"/>
      <c r="NUG557" s="501"/>
      <c r="NUH557" s="501"/>
      <c r="NUI557" s="501"/>
      <c r="NUJ557" s="501"/>
      <c r="NUK557" s="501"/>
      <c r="NUL557" s="501"/>
      <c r="NUM557" s="501"/>
      <c r="NUN557" s="501"/>
      <c r="NUO557" s="501"/>
      <c r="NUP557" s="501"/>
      <c r="NUQ557" s="501"/>
      <c r="NUR557" s="501"/>
      <c r="NUS557" s="501"/>
      <c r="NUT557" s="501"/>
      <c r="NUU557" s="501"/>
      <c r="NUV557" s="501"/>
      <c r="NUW557" s="501"/>
      <c r="NUX557" s="501"/>
      <c r="NUY557" s="501"/>
      <c r="NUZ557" s="501"/>
      <c r="NVA557" s="501"/>
      <c r="NVB557" s="501"/>
      <c r="NVC557" s="501"/>
      <c r="NVD557" s="501"/>
      <c r="NVE557" s="501"/>
      <c r="NVF557" s="501"/>
      <c r="NVG557" s="501"/>
      <c r="NVH557" s="501"/>
      <c r="NVI557" s="501"/>
      <c r="NVJ557" s="501"/>
      <c r="NVK557" s="501"/>
      <c r="NVL557" s="501"/>
      <c r="NVM557" s="501"/>
      <c r="NVN557" s="501"/>
      <c r="NVO557" s="501"/>
      <c r="NVP557" s="501"/>
      <c r="NVQ557" s="501"/>
      <c r="NVR557" s="501"/>
      <c r="NVS557" s="501"/>
      <c r="NVT557" s="501"/>
      <c r="NVU557" s="501"/>
      <c r="NVV557" s="501"/>
      <c r="NVW557" s="501"/>
      <c r="NVX557" s="501"/>
      <c r="NVY557" s="501"/>
      <c r="NVZ557" s="501"/>
      <c r="NWA557" s="501"/>
      <c r="NWB557" s="501"/>
      <c r="NWC557" s="501"/>
      <c r="NWD557" s="501"/>
      <c r="NWE557" s="501"/>
      <c r="NWF557" s="501"/>
      <c r="NWG557" s="501"/>
      <c r="NWH557" s="501"/>
      <c r="NWI557" s="501"/>
      <c r="NWJ557" s="501"/>
      <c r="NWK557" s="501"/>
      <c r="NWL557" s="501"/>
      <c r="NWM557" s="501"/>
      <c r="NWN557" s="501"/>
      <c r="NWO557" s="501"/>
      <c r="NWP557" s="501"/>
      <c r="NWQ557" s="501"/>
      <c r="NWR557" s="501"/>
      <c r="NWS557" s="501"/>
      <c r="NWT557" s="501"/>
      <c r="NWU557" s="501"/>
      <c r="NWV557" s="501"/>
      <c r="NWW557" s="501"/>
      <c r="NWX557" s="501"/>
      <c r="NWY557" s="501"/>
      <c r="NWZ557" s="501"/>
      <c r="NXA557" s="501"/>
      <c r="NXB557" s="501"/>
      <c r="NXC557" s="501"/>
      <c r="NXD557" s="501"/>
      <c r="NXE557" s="501"/>
      <c r="NXF557" s="501"/>
      <c r="NXG557" s="501"/>
      <c r="NXH557" s="501"/>
      <c r="NXI557" s="501"/>
      <c r="NXJ557" s="501"/>
      <c r="NXK557" s="501"/>
      <c r="NXL557" s="501"/>
      <c r="NXM557" s="501"/>
      <c r="NXN557" s="501"/>
      <c r="NXO557" s="501"/>
      <c r="NXP557" s="501"/>
      <c r="NXQ557" s="501"/>
      <c r="NXR557" s="501"/>
      <c r="NXS557" s="501"/>
      <c r="NXT557" s="501"/>
      <c r="NXU557" s="501"/>
      <c r="NXV557" s="501"/>
      <c r="NXW557" s="501"/>
      <c r="NXX557" s="501"/>
      <c r="NXY557" s="501"/>
      <c r="NXZ557" s="501"/>
      <c r="NYA557" s="501"/>
      <c r="NYB557" s="501"/>
      <c r="NYC557" s="501"/>
      <c r="NYD557" s="501"/>
      <c r="NYE557" s="501"/>
      <c r="NYF557" s="501"/>
      <c r="NYG557" s="501"/>
      <c r="NYH557" s="501"/>
      <c r="NYI557" s="501"/>
      <c r="NYJ557" s="501"/>
      <c r="NYK557" s="501"/>
      <c r="NYL557" s="501"/>
      <c r="NYM557" s="501"/>
      <c r="NYN557" s="501"/>
      <c r="NYO557" s="501"/>
      <c r="NYP557" s="501"/>
      <c r="NYQ557" s="501"/>
      <c r="NYR557" s="501"/>
      <c r="NYS557" s="501"/>
      <c r="NYT557" s="501"/>
      <c r="NYU557" s="501"/>
      <c r="NYV557" s="501"/>
      <c r="NYW557" s="501"/>
      <c r="NYX557" s="501"/>
      <c r="NYY557" s="501"/>
      <c r="NYZ557" s="501"/>
      <c r="NZA557" s="501"/>
      <c r="NZB557" s="501"/>
      <c r="NZC557" s="501"/>
      <c r="NZD557" s="501"/>
      <c r="NZE557" s="501"/>
      <c r="NZF557" s="501"/>
      <c r="NZG557" s="501"/>
      <c r="NZH557" s="501"/>
      <c r="NZI557" s="501"/>
      <c r="NZJ557" s="501"/>
      <c r="NZK557" s="501"/>
      <c r="NZL557" s="501"/>
      <c r="NZM557" s="501"/>
      <c r="NZN557" s="501"/>
      <c r="NZO557" s="501"/>
      <c r="NZP557" s="501"/>
      <c r="NZQ557" s="501"/>
      <c r="NZR557" s="501"/>
      <c r="NZS557" s="501"/>
      <c r="NZT557" s="501"/>
      <c r="NZU557" s="501"/>
      <c r="NZV557" s="501"/>
      <c r="NZW557" s="501"/>
      <c r="NZX557" s="501"/>
      <c r="NZY557" s="501"/>
      <c r="NZZ557" s="501"/>
      <c r="OAA557" s="501"/>
      <c r="OAB557" s="501"/>
      <c r="OAC557" s="501"/>
      <c r="OAD557" s="501"/>
      <c r="OAE557" s="501"/>
      <c r="OAF557" s="501"/>
      <c r="OAG557" s="501"/>
      <c r="OAH557" s="501"/>
      <c r="OAI557" s="501"/>
      <c r="OAJ557" s="501"/>
      <c r="OAK557" s="501"/>
      <c r="OAL557" s="501"/>
      <c r="OAM557" s="501"/>
      <c r="OAN557" s="501"/>
      <c r="OAO557" s="501"/>
      <c r="OAP557" s="501"/>
      <c r="OAQ557" s="501"/>
      <c r="OAR557" s="501"/>
      <c r="OAS557" s="501"/>
      <c r="OAT557" s="501"/>
      <c r="OAU557" s="501"/>
      <c r="OAV557" s="501"/>
      <c r="OAW557" s="501"/>
      <c r="OAX557" s="501"/>
      <c r="OAY557" s="501"/>
      <c r="OAZ557" s="501"/>
      <c r="OBA557" s="501"/>
      <c r="OBB557" s="501"/>
      <c r="OBC557" s="501"/>
      <c r="OBD557" s="501"/>
      <c r="OBE557" s="501"/>
      <c r="OBF557" s="501"/>
      <c r="OBG557" s="501"/>
      <c r="OBH557" s="501"/>
      <c r="OBI557" s="501"/>
      <c r="OBJ557" s="501"/>
      <c r="OBK557" s="501"/>
      <c r="OBL557" s="501"/>
      <c r="OBM557" s="501"/>
      <c r="OBN557" s="501"/>
      <c r="OBO557" s="501"/>
      <c r="OBP557" s="501"/>
      <c r="OBQ557" s="501"/>
      <c r="OBR557" s="501"/>
      <c r="OBS557" s="501"/>
      <c r="OBT557" s="501"/>
      <c r="OBU557" s="501"/>
      <c r="OBV557" s="501"/>
      <c r="OBW557" s="501"/>
      <c r="OBX557" s="501"/>
      <c r="OBY557" s="501"/>
      <c r="OBZ557" s="501"/>
      <c r="OCA557" s="501"/>
      <c r="OCB557" s="501"/>
      <c r="OCC557" s="501"/>
      <c r="OCD557" s="501"/>
      <c r="OCE557" s="501"/>
      <c r="OCF557" s="501"/>
      <c r="OCG557" s="501"/>
      <c r="OCH557" s="501"/>
      <c r="OCI557" s="501"/>
      <c r="OCJ557" s="501"/>
      <c r="OCK557" s="501"/>
      <c r="OCL557" s="501"/>
      <c r="OCM557" s="501"/>
      <c r="OCN557" s="501"/>
      <c r="OCO557" s="501"/>
      <c r="OCP557" s="501"/>
      <c r="OCQ557" s="501"/>
      <c r="OCR557" s="501"/>
      <c r="OCS557" s="501"/>
      <c r="OCT557" s="501"/>
      <c r="OCU557" s="501"/>
      <c r="OCV557" s="501"/>
      <c r="OCW557" s="501"/>
      <c r="OCX557" s="501"/>
      <c r="OCY557" s="501"/>
      <c r="OCZ557" s="501"/>
      <c r="ODA557" s="501"/>
      <c r="ODB557" s="501"/>
      <c r="ODC557" s="501"/>
      <c r="ODD557" s="501"/>
      <c r="ODE557" s="501"/>
      <c r="ODF557" s="501"/>
      <c r="ODG557" s="501"/>
      <c r="ODH557" s="501"/>
      <c r="ODI557" s="501"/>
      <c r="ODJ557" s="501"/>
      <c r="ODK557" s="501"/>
      <c r="ODL557" s="501"/>
      <c r="ODM557" s="501"/>
      <c r="ODN557" s="501"/>
      <c r="ODO557" s="501"/>
      <c r="ODP557" s="501"/>
      <c r="ODQ557" s="501"/>
      <c r="ODR557" s="501"/>
      <c r="ODS557" s="501"/>
      <c r="ODT557" s="501"/>
      <c r="ODU557" s="501"/>
      <c r="ODV557" s="501"/>
      <c r="ODW557" s="501"/>
      <c r="ODX557" s="501"/>
      <c r="ODY557" s="501"/>
      <c r="ODZ557" s="501"/>
      <c r="OEA557" s="501"/>
      <c r="OEB557" s="501"/>
      <c r="OEC557" s="501"/>
      <c r="OED557" s="501"/>
      <c r="OEE557" s="501"/>
      <c r="OEF557" s="501"/>
      <c r="OEG557" s="501"/>
      <c r="OEH557" s="501"/>
      <c r="OEI557" s="501"/>
      <c r="OEJ557" s="501"/>
      <c r="OEK557" s="501"/>
      <c r="OEL557" s="501"/>
      <c r="OEM557" s="501"/>
      <c r="OEN557" s="501"/>
      <c r="OEO557" s="501"/>
      <c r="OEP557" s="501"/>
      <c r="OEQ557" s="501"/>
      <c r="OER557" s="501"/>
      <c r="OES557" s="501"/>
      <c r="OET557" s="501"/>
      <c r="OEU557" s="501"/>
      <c r="OEV557" s="501"/>
      <c r="OEW557" s="501"/>
      <c r="OEX557" s="501"/>
      <c r="OEY557" s="501"/>
      <c r="OEZ557" s="501"/>
      <c r="OFA557" s="501"/>
      <c r="OFB557" s="501"/>
      <c r="OFC557" s="501"/>
      <c r="OFD557" s="501"/>
      <c r="OFE557" s="501"/>
      <c r="OFF557" s="501"/>
      <c r="OFG557" s="501"/>
      <c r="OFH557" s="501"/>
      <c r="OFI557" s="501"/>
      <c r="OFJ557" s="501"/>
      <c r="OFK557" s="501"/>
      <c r="OFL557" s="501"/>
      <c r="OFM557" s="501"/>
      <c r="OFN557" s="501"/>
      <c r="OFO557" s="501"/>
      <c r="OFP557" s="501"/>
      <c r="OFQ557" s="501"/>
      <c r="OFR557" s="501"/>
      <c r="OFS557" s="501"/>
      <c r="OFT557" s="501"/>
      <c r="OFU557" s="501"/>
      <c r="OFV557" s="501"/>
      <c r="OFW557" s="501"/>
      <c r="OFX557" s="501"/>
      <c r="OFY557" s="501"/>
      <c r="OFZ557" s="501"/>
      <c r="OGA557" s="501"/>
      <c r="OGB557" s="501"/>
      <c r="OGC557" s="501"/>
      <c r="OGD557" s="501"/>
      <c r="OGE557" s="501"/>
      <c r="OGF557" s="501"/>
      <c r="OGG557" s="501"/>
      <c r="OGH557" s="501"/>
      <c r="OGI557" s="501"/>
      <c r="OGJ557" s="501"/>
      <c r="OGK557" s="501"/>
      <c r="OGL557" s="501"/>
      <c r="OGM557" s="501"/>
      <c r="OGN557" s="501"/>
      <c r="OGO557" s="501"/>
      <c r="OGP557" s="501"/>
      <c r="OGQ557" s="501"/>
      <c r="OGR557" s="501"/>
      <c r="OGS557" s="501"/>
      <c r="OGT557" s="501"/>
      <c r="OGU557" s="501"/>
      <c r="OGV557" s="501"/>
      <c r="OGW557" s="501"/>
      <c r="OGX557" s="501"/>
      <c r="OGY557" s="501"/>
      <c r="OGZ557" s="501"/>
      <c r="OHA557" s="501"/>
      <c r="OHB557" s="501"/>
      <c r="OHC557" s="501"/>
      <c r="OHD557" s="501"/>
      <c r="OHE557" s="501"/>
      <c r="OHF557" s="501"/>
      <c r="OHG557" s="501"/>
      <c r="OHH557" s="501"/>
      <c r="OHI557" s="501"/>
      <c r="OHJ557" s="501"/>
      <c r="OHK557" s="501"/>
      <c r="OHL557" s="501"/>
      <c r="OHM557" s="501"/>
      <c r="OHN557" s="501"/>
      <c r="OHO557" s="501"/>
      <c r="OHP557" s="501"/>
      <c r="OHQ557" s="501"/>
      <c r="OHR557" s="501"/>
      <c r="OHS557" s="501"/>
      <c r="OHT557" s="501"/>
      <c r="OHU557" s="501"/>
      <c r="OHV557" s="501"/>
      <c r="OHW557" s="501"/>
      <c r="OHX557" s="501"/>
      <c r="OHY557" s="501"/>
      <c r="OHZ557" s="501"/>
      <c r="OIA557" s="501"/>
      <c r="OIB557" s="501"/>
      <c r="OIC557" s="501"/>
      <c r="OID557" s="501"/>
      <c r="OIE557" s="501"/>
      <c r="OIF557" s="501"/>
      <c r="OIG557" s="501"/>
      <c r="OIH557" s="501"/>
      <c r="OII557" s="501"/>
      <c r="OIJ557" s="501"/>
      <c r="OIK557" s="501"/>
      <c r="OIL557" s="501"/>
      <c r="OIM557" s="501"/>
      <c r="OIN557" s="501"/>
      <c r="OIO557" s="501"/>
      <c r="OIP557" s="501"/>
      <c r="OIQ557" s="501"/>
      <c r="OIR557" s="501"/>
      <c r="OIS557" s="501"/>
      <c r="OIT557" s="501"/>
      <c r="OIU557" s="501"/>
      <c r="OIV557" s="501"/>
      <c r="OIW557" s="501"/>
      <c r="OIX557" s="501"/>
      <c r="OIY557" s="501"/>
      <c r="OIZ557" s="501"/>
      <c r="OJA557" s="501"/>
      <c r="OJB557" s="501"/>
      <c r="OJC557" s="501"/>
      <c r="OJD557" s="501"/>
      <c r="OJE557" s="501"/>
      <c r="OJF557" s="501"/>
      <c r="OJG557" s="501"/>
      <c r="OJH557" s="501"/>
      <c r="OJI557" s="501"/>
      <c r="OJJ557" s="501"/>
      <c r="OJK557" s="501"/>
      <c r="OJL557" s="501"/>
      <c r="OJM557" s="501"/>
      <c r="OJN557" s="501"/>
      <c r="OJO557" s="501"/>
      <c r="OJP557" s="501"/>
      <c r="OJQ557" s="501"/>
      <c r="OJR557" s="501"/>
      <c r="OJS557" s="501"/>
      <c r="OJT557" s="501"/>
      <c r="OJU557" s="501"/>
      <c r="OJV557" s="501"/>
      <c r="OJW557" s="501"/>
      <c r="OJX557" s="501"/>
      <c r="OJY557" s="501"/>
      <c r="OJZ557" s="501"/>
      <c r="OKA557" s="501"/>
      <c r="OKB557" s="501"/>
      <c r="OKC557" s="501"/>
      <c r="OKD557" s="501"/>
      <c r="OKE557" s="501"/>
      <c r="OKF557" s="501"/>
      <c r="OKG557" s="501"/>
      <c r="OKH557" s="501"/>
      <c r="OKI557" s="501"/>
      <c r="OKJ557" s="501"/>
      <c r="OKK557" s="501"/>
      <c r="OKL557" s="501"/>
      <c r="OKM557" s="501"/>
      <c r="OKN557" s="501"/>
      <c r="OKO557" s="501"/>
      <c r="OKP557" s="501"/>
      <c r="OKQ557" s="501"/>
      <c r="OKR557" s="501"/>
      <c r="OKS557" s="501"/>
      <c r="OKT557" s="501"/>
      <c r="OKU557" s="501"/>
      <c r="OKV557" s="501"/>
      <c r="OKW557" s="501"/>
      <c r="OKX557" s="501"/>
      <c r="OKY557" s="501"/>
      <c r="OKZ557" s="501"/>
      <c r="OLA557" s="501"/>
      <c r="OLB557" s="501"/>
      <c r="OLC557" s="501"/>
      <c r="OLD557" s="501"/>
      <c r="OLE557" s="501"/>
      <c r="OLF557" s="501"/>
      <c r="OLG557" s="501"/>
      <c r="OLH557" s="501"/>
      <c r="OLI557" s="501"/>
      <c r="OLJ557" s="501"/>
      <c r="OLK557" s="501"/>
      <c r="OLL557" s="501"/>
      <c r="OLM557" s="501"/>
      <c r="OLN557" s="501"/>
      <c r="OLO557" s="501"/>
      <c r="OLP557" s="501"/>
      <c r="OLQ557" s="501"/>
      <c r="OLR557" s="501"/>
      <c r="OLS557" s="501"/>
      <c r="OLT557" s="501"/>
      <c r="OLU557" s="501"/>
      <c r="OLV557" s="501"/>
      <c r="OLW557" s="501"/>
      <c r="OLX557" s="501"/>
      <c r="OLY557" s="501"/>
      <c r="OLZ557" s="501"/>
      <c r="OMA557" s="501"/>
      <c r="OMB557" s="501"/>
      <c r="OMC557" s="501"/>
      <c r="OMD557" s="501"/>
      <c r="OME557" s="501"/>
      <c r="OMF557" s="501"/>
      <c r="OMG557" s="501"/>
      <c r="OMH557" s="501"/>
      <c r="OMI557" s="501"/>
      <c r="OMJ557" s="501"/>
      <c r="OMK557" s="501"/>
      <c r="OML557" s="501"/>
      <c r="OMM557" s="501"/>
      <c r="OMN557" s="501"/>
      <c r="OMO557" s="501"/>
      <c r="OMP557" s="501"/>
      <c r="OMQ557" s="501"/>
      <c r="OMR557" s="501"/>
      <c r="OMS557" s="501"/>
      <c r="OMT557" s="501"/>
      <c r="OMU557" s="501"/>
      <c r="OMV557" s="501"/>
      <c r="OMW557" s="501"/>
      <c r="OMX557" s="501"/>
      <c r="OMY557" s="501"/>
      <c r="OMZ557" s="501"/>
      <c r="ONA557" s="501"/>
      <c r="ONB557" s="501"/>
      <c r="ONC557" s="501"/>
      <c r="OND557" s="501"/>
      <c r="ONE557" s="501"/>
      <c r="ONF557" s="501"/>
      <c r="ONG557" s="501"/>
      <c r="ONH557" s="501"/>
      <c r="ONI557" s="501"/>
      <c r="ONJ557" s="501"/>
      <c r="ONK557" s="501"/>
      <c r="ONL557" s="501"/>
      <c r="ONM557" s="501"/>
      <c r="ONN557" s="501"/>
      <c r="ONO557" s="501"/>
      <c r="ONP557" s="501"/>
      <c r="ONQ557" s="501"/>
      <c r="ONR557" s="501"/>
      <c r="ONS557" s="501"/>
      <c r="ONT557" s="501"/>
      <c r="ONU557" s="501"/>
      <c r="ONV557" s="501"/>
      <c r="ONW557" s="501"/>
      <c r="ONX557" s="501"/>
      <c r="ONY557" s="501"/>
      <c r="ONZ557" s="501"/>
      <c r="OOA557" s="501"/>
      <c r="OOB557" s="501"/>
      <c r="OOC557" s="501"/>
      <c r="OOD557" s="501"/>
      <c r="OOE557" s="501"/>
      <c r="OOF557" s="501"/>
      <c r="OOG557" s="501"/>
      <c r="OOH557" s="501"/>
      <c r="OOI557" s="501"/>
      <c r="OOJ557" s="501"/>
      <c r="OOK557" s="501"/>
      <c r="OOL557" s="501"/>
      <c r="OOM557" s="501"/>
      <c r="OON557" s="501"/>
      <c r="OOO557" s="501"/>
      <c r="OOP557" s="501"/>
      <c r="OOQ557" s="501"/>
      <c r="OOR557" s="501"/>
      <c r="OOS557" s="501"/>
      <c r="OOT557" s="501"/>
      <c r="OOU557" s="501"/>
      <c r="OOV557" s="501"/>
      <c r="OOW557" s="501"/>
      <c r="OOX557" s="501"/>
      <c r="OOY557" s="501"/>
      <c r="OOZ557" s="501"/>
      <c r="OPA557" s="501"/>
      <c r="OPB557" s="501"/>
      <c r="OPC557" s="501"/>
      <c r="OPD557" s="501"/>
      <c r="OPE557" s="501"/>
      <c r="OPF557" s="501"/>
      <c r="OPG557" s="501"/>
      <c r="OPH557" s="501"/>
      <c r="OPI557" s="501"/>
      <c r="OPJ557" s="501"/>
      <c r="OPK557" s="501"/>
      <c r="OPL557" s="501"/>
      <c r="OPM557" s="501"/>
      <c r="OPN557" s="501"/>
      <c r="OPO557" s="501"/>
      <c r="OPP557" s="501"/>
      <c r="OPQ557" s="501"/>
      <c r="OPR557" s="501"/>
      <c r="OPS557" s="501"/>
      <c r="OPT557" s="501"/>
      <c r="OPU557" s="501"/>
      <c r="OPV557" s="501"/>
      <c r="OPW557" s="501"/>
      <c r="OPX557" s="501"/>
      <c r="OPY557" s="501"/>
      <c r="OPZ557" s="501"/>
      <c r="OQA557" s="501"/>
      <c r="OQB557" s="501"/>
      <c r="OQC557" s="501"/>
      <c r="OQD557" s="501"/>
      <c r="OQE557" s="501"/>
      <c r="OQF557" s="501"/>
      <c r="OQG557" s="501"/>
      <c r="OQH557" s="501"/>
      <c r="OQI557" s="501"/>
      <c r="OQJ557" s="501"/>
      <c r="OQK557" s="501"/>
      <c r="OQL557" s="501"/>
      <c r="OQM557" s="501"/>
      <c r="OQN557" s="501"/>
      <c r="OQO557" s="501"/>
      <c r="OQP557" s="501"/>
      <c r="OQQ557" s="501"/>
      <c r="OQR557" s="501"/>
      <c r="OQS557" s="501"/>
      <c r="OQT557" s="501"/>
      <c r="OQU557" s="501"/>
      <c r="OQV557" s="501"/>
      <c r="OQW557" s="501"/>
      <c r="OQX557" s="501"/>
      <c r="OQY557" s="501"/>
      <c r="OQZ557" s="501"/>
      <c r="ORA557" s="501"/>
      <c r="ORB557" s="501"/>
      <c r="ORC557" s="501"/>
      <c r="ORD557" s="501"/>
      <c r="ORE557" s="501"/>
      <c r="ORF557" s="501"/>
      <c r="ORG557" s="501"/>
      <c r="ORH557" s="501"/>
      <c r="ORI557" s="501"/>
      <c r="ORJ557" s="501"/>
      <c r="ORK557" s="501"/>
      <c r="ORL557" s="501"/>
      <c r="ORM557" s="501"/>
      <c r="ORN557" s="501"/>
      <c r="ORO557" s="501"/>
      <c r="ORP557" s="501"/>
      <c r="ORQ557" s="501"/>
      <c r="ORR557" s="501"/>
      <c r="ORS557" s="501"/>
      <c r="ORT557" s="501"/>
      <c r="ORU557" s="501"/>
      <c r="ORV557" s="501"/>
      <c r="ORW557" s="501"/>
      <c r="ORX557" s="501"/>
      <c r="ORY557" s="501"/>
      <c r="ORZ557" s="501"/>
      <c r="OSA557" s="501"/>
      <c r="OSB557" s="501"/>
      <c r="OSC557" s="501"/>
      <c r="OSD557" s="501"/>
      <c r="OSE557" s="501"/>
      <c r="OSF557" s="501"/>
      <c r="OSG557" s="501"/>
      <c r="OSH557" s="501"/>
      <c r="OSI557" s="501"/>
      <c r="OSJ557" s="501"/>
      <c r="OSK557" s="501"/>
      <c r="OSL557" s="501"/>
      <c r="OSM557" s="501"/>
      <c r="OSN557" s="501"/>
      <c r="OSO557" s="501"/>
      <c r="OSP557" s="501"/>
      <c r="OSQ557" s="501"/>
      <c r="OSR557" s="501"/>
      <c r="OSS557" s="501"/>
      <c r="OST557" s="501"/>
      <c r="OSU557" s="501"/>
      <c r="OSV557" s="501"/>
      <c r="OSW557" s="501"/>
      <c r="OSX557" s="501"/>
      <c r="OSY557" s="501"/>
      <c r="OSZ557" s="501"/>
      <c r="OTA557" s="501"/>
      <c r="OTB557" s="501"/>
      <c r="OTC557" s="501"/>
      <c r="OTD557" s="501"/>
      <c r="OTE557" s="501"/>
      <c r="OTF557" s="501"/>
      <c r="OTG557" s="501"/>
      <c r="OTH557" s="501"/>
      <c r="OTI557" s="501"/>
      <c r="OTJ557" s="501"/>
      <c r="OTK557" s="501"/>
      <c r="OTL557" s="501"/>
      <c r="OTM557" s="501"/>
      <c r="OTN557" s="501"/>
      <c r="OTO557" s="501"/>
      <c r="OTP557" s="501"/>
      <c r="OTQ557" s="501"/>
      <c r="OTR557" s="501"/>
      <c r="OTS557" s="501"/>
      <c r="OTT557" s="501"/>
      <c r="OTU557" s="501"/>
      <c r="OTV557" s="501"/>
      <c r="OTW557" s="501"/>
      <c r="OTX557" s="501"/>
      <c r="OTY557" s="501"/>
      <c r="OTZ557" s="501"/>
      <c r="OUA557" s="501"/>
      <c r="OUB557" s="501"/>
      <c r="OUC557" s="501"/>
      <c r="OUD557" s="501"/>
      <c r="OUE557" s="501"/>
      <c r="OUF557" s="501"/>
      <c r="OUG557" s="501"/>
      <c r="OUH557" s="501"/>
      <c r="OUI557" s="501"/>
      <c r="OUJ557" s="501"/>
      <c r="OUK557" s="501"/>
      <c r="OUL557" s="501"/>
      <c r="OUM557" s="501"/>
      <c r="OUN557" s="501"/>
      <c r="OUO557" s="501"/>
      <c r="OUP557" s="501"/>
      <c r="OUQ557" s="501"/>
      <c r="OUR557" s="501"/>
      <c r="OUS557" s="501"/>
      <c r="OUT557" s="501"/>
      <c r="OUU557" s="501"/>
      <c r="OUV557" s="501"/>
      <c r="OUW557" s="501"/>
      <c r="OUX557" s="501"/>
      <c r="OUY557" s="501"/>
      <c r="OUZ557" s="501"/>
      <c r="OVA557" s="501"/>
      <c r="OVB557" s="501"/>
      <c r="OVC557" s="501"/>
      <c r="OVD557" s="501"/>
      <c r="OVE557" s="501"/>
      <c r="OVF557" s="501"/>
      <c r="OVG557" s="501"/>
      <c r="OVH557" s="501"/>
      <c r="OVI557" s="501"/>
      <c r="OVJ557" s="501"/>
      <c r="OVK557" s="501"/>
      <c r="OVL557" s="501"/>
      <c r="OVM557" s="501"/>
      <c r="OVN557" s="501"/>
      <c r="OVO557" s="501"/>
      <c r="OVP557" s="501"/>
      <c r="OVQ557" s="501"/>
      <c r="OVR557" s="501"/>
      <c r="OVS557" s="501"/>
      <c r="OVT557" s="501"/>
      <c r="OVU557" s="501"/>
      <c r="OVV557" s="501"/>
      <c r="OVW557" s="501"/>
      <c r="OVX557" s="501"/>
      <c r="OVY557" s="501"/>
      <c r="OVZ557" s="501"/>
      <c r="OWA557" s="501"/>
      <c r="OWB557" s="501"/>
      <c r="OWC557" s="501"/>
      <c r="OWD557" s="501"/>
      <c r="OWE557" s="501"/>
      <c r="OWF557" s="501"/>
      <c r="OWG557" s="501"/>
      <c r="OWH557" s="501"/>
      <c r="OWI557" s="501"/>
      <c r="OWJ557" s="501"/>
      <c r="OWK557" s="501"/>
      <c r="OWL557" s="501"/>
      <c r="OWM557" s="501"/>
      <c r="OWN557" s="501"/>
      <c r="OWO557" s="501"/>
      <c r="OWP557" s="501"/>
      <c r="OWQ557" s="501"/>
      <c r="OWR557" s="501"/>
      <c r="OWS557" s="501"/>
      <c r="OWT557" s="501"/>
      <c r="OWU557" s="501"/>
      <c r="OWV557" s="501"/>
      <c r="OWW557" s="501"/>
      <c r="OWX557" s="501"/>
      <c r="OWY557" s="501"/>
      <c r="OWZ557" s="501"/>
      <c r="OXA557" s="501"/>
      <c r="OXB557" s="501"/>
      <c r="OXC557" s="501"/>
      <c r="OXD557" s="501"/>
      <c r="OXE557" s="501"/>
      <c r="OXF557" s="501"/>
      <c r="OXG557" s="501"/>
      <c r="OXH557" s="501"/>
      <c r="OXI557" s="501"/>
      <c r="OXJ557" s="501"/>
      <c r="OXK557" s="501"/>
      <c r="OXL557" s="501"/>
      <c r="OXM557" s="501"/>
      <c r="OXN557" s="501"/>
      <c r="OXO557" s="501"/>
      <c r="OXP557" s="501"/>
      <c r="OXQ557" s="501"/>
      <c r="OXR557" s="501"/>
      <c r="OXS557" s="501"/>
      <c r="OXT557" s="501"/>
      <c r="OXU557" s="501"/>
      <c r="OXV557" s="501"/>
      <c r="OXW557" s="501"/>
      <c r="OXX557" s="501"/>
      <c r="OXY557" s="501"/>
      <c r="OXZ557" s="501"/>
      <c r="OYA557" s="501"/>
      <c r="OYB557" s="501"/>
      <c r="OYC557" s="501"/>
      <c r="OYD557" s="501"/>
      <c r="OYE557" s="501"/>
      <c r="OYF557" s="501"/>
      <c r="OYG557" s="501"/>
      <c r="OYH557" s="501"/>
      <c r="OYI557" s="501"/>
      <c r="OYJ557" s="501"/>
      <c r="OYK557" s="501"/>
      <c r="OYL557" s="501"/>
      <c r="OYM557" s="501"/>
      <c r="OYN557" s="501"/>
      <c r="OYO557" s="501"/>
      <c r="OYP557" s="501"/>
      <c r="OYQ557" s="501"/>
      <c r="OYR557" s="501"/>
      <c r="OYS557" s="501"/>
      <c r="OYT557" s="501"/>
      <c r="OYU557" s="501"/>
      <c r="OYV557" s="501"/>
      <c r="OYW557" s="501"/>
      <c r="OYX557" s="501"/>
      <c r="OYY557" s="501"/>
      <c r="OYZ557" s="501"/>
      <c r="OZA557" s="501"/>
      <c r="OZB557" s="501"/>
      <c r="OZC557" s="501"/>
      <c r="OZD557" s="501"/>
      <c r="OZE557" s="501"/>
      <c r="OZF557" s="501"/>
      <c r="OZG557" s="501"/>
      <c r="OZH557" s="501"/>
      <c r="OZI557" s="501"/>
      <c r="OZJ557" s="501"/>
      <c r="OZK557" s="501"/>
      <c r="OZL557" s="501"/>
      <c r="OZM557" s="501"/>
      <c r="OZN557" s="501"/>
      <c r="OZO557" s="501"/>
      <c r="OZP557" s="501"/>
      <c r="OZQ557" s="501"/>
      <c r="OZR557" s="501"/>
      <c r="OZS557" s="501"/>
      <c r="OZT557" s="501"/>
      <c r="OZU557" s="501"/>
      <c r="OZV557" s="501"/>
      <c r="OZW557" s="501"/>
      <c r="OZX557" s="501"/>
      <c r="OZY557" s="501"/>
      <c r="OZZ557" s="501"/>
      <c r="PAA557" s="501"/>
      <c r="PAB557" s="501"/>
      <c r="PAC557" s="501"/>
      <c r="PAD557" s="501"/>
      <c r="PAE557" s="501"/>
      <c r="PAF557" s="501"/>
      <c r="PAG557" s="501"/>
      <c r="PAH557" s="501"/>
      <c r="PAI557" s="501"/>
      <c r="PAJ557" s="501"/>
      <c r="PAK557" s="501"/>
      <c r="PAL557" s="501"/>
      <c r="PAM557" s="501"/>
      <c r="PAN557" s="501"/>
      <c r="PAO557" s="501"/>
      <c r="PAP557" s="501"/>
      <c r="PAQ557" s="501"/>
      <c r="PAR557" s="501"/>
      <c r="PAS557" s="501"/>
      <c r="PAT557" s="501"/>
      <c r="PAU557" s="501"/>
      <c r="PAV557" s="501"/>
      <c r="PAW557" s="501"/>
      <c r="PAX557" s="501"/>
      <c r="PAY557" s="501"/>
      <c r="PAZ557" s="501"/>
      <c r="PBA557" s="501"/>
      <c r="PBB557" s="501"/>
      <c r="PBC557" s="501"/>
      <c r="PBD557" s="501"/>
      <c r="PBE557" s="501"/>
      <c r="PBF557" s="501"/>
      <c r="PBG557" s="501"/>
      <c r="PBH557" s="501"/>
      <c r="PBI557" s="501"/>
      <c r="PBJ557" s="501"/>
      <c r="PBK557" s="501"/>
      <c r="PBL557" s="501"/>
      <c r="PBM557" s="501"/>
      <c r="PBN557" s="501"/>
      <c r="PBO557" s="501"/>
      <c r="PBP557" s="501"/>
      <c r="PBQ557" s="501"/>
      <c r="PBR557" s="501"/>
      <c r="PBS557" s="501"/>
      <c r="PBT557" s="501"/>
      <c r="PBU557" s="501"/>
      <c r="PBV557" s="501"/>
      <c r="PBW557" s="501"/>
      <c r="PBX557" s="501"/>
      <c r="PBY557" s="501"/>
      <c r="PBZ557" s="501"/>
      <c r="PCA557" s="501"/>
      <c r="PCB557" s="501"/>
      <c r="PCC557" s="501"/>
      <c r="PCD557" s="501"/>
      <c r="PCE557" s="501"/>
      <c r="PCF557" s="501"/>
      <c r="PCG557" s="501"/>
      <c r="PCH557" s="501"/>
      <c r="PCI557" s="501"/>
      <c r="PCJ557" s="501"/>
      <c r="PCK557" s="501"/>
      <c r="PCL557" s="501"/>
      <c r="PCM557" s="501"/>
      <c r="PCN557" s="501"/>
      <c r="PCO557" s="501"/>
      <c r="PCP557" s="501"/>
      <c r="PCQ557" s="501"/>
      <c r="PCR557" s="501"/>
      <c r="PCS557" s="501"/>
      <c r="PCT557" s="501"/>
      <c r="PCU557" s="501"/>
      <c r="PCV557" s="501"/>
      <c r="PCW557" s="501"/>
      <c r="PCX557" s="501"/>
      <c r="PCY557" s="501"/>
      <c r="PCZ557" s="501"/>
      <c r="PDA557" s="501"/>
      <c r="PDB557" s="501"/>
      <c r="PDC557" s="501"/>
      <c r="PDD557" s="501"/>
      <c r="PDE557" s="501"/>
      <c r="PDF557" s="501"/>
      <c r="PDG557" s="501"/>
      <c r="PDH557" s="501"/>
      <c r="PDI557" s="501"/>
      <c r="PDJ557" s="501"/>
      <c r="PDK557" s="501"/>
      <c r="PDL557" s="501"/>
      <c r="PDM557" s="501"/>
      <c r="PDN557" s="501"/>
      <c r="PDO557" s="501"/>
      <c r="PDP557" s="501"/>
      <c r="PDQ557" s="501"/>
      <c r="PDR557" s="501"/>
      <c r="PDS557" s="501"/>
      <c r="PDT557" s="501"/>
      <c r="PDU557" s="501"/>
      <c r="PDV557" s="501"/>
      <c r="PDW557" s="501"/>
      <c r="PDX557" s="501"/>
      <c r="PDY557" s="501"/>
      <c r="PDZ557" s="501"/>
      <c r="PEA557" s="501"/>
      <c r="PEB557" s="501"/>
      <c r="PEC557" s="501"/>
      <c r="PED557" s="501"/>
      <c r="PEE557" s="501"/>
      <c r="PEF557" s="501"/>
      <c r="PEG557" s="501"/>
      <c r="PEH557" s="501"/>
      <c r="PEI557" s="501"/>
      <c r="PEJ557" s="501"/>
      <c r="PEK557" s="501"/>
      <c r="PEL557" s="501"/>
      <c r="PEM557" s="501"/>
      <c r="PEN557" s="501"/>
      <c r="PEO557" s="501"/>
      <c r="PEP557" s="501"/>
      <c r="PEQ557" s="501"/>
      <c r="PER557" s="501"/>
      <c r="PES557" s="501"/>
      <c r="PET557" s="501"/>
      <c r="PEU557" s="501"/>
      <c r="PEV557" s="501"/>
      <c r="PEW557" s="501"/>
      <c r="PEX557" s="501"/>
      <c r="PEY557" s="501"/>
      <c r="PEZ557" s="501"/>
      <c r="PFA557" s="501"/>
      <c r="PFB557" s="501"/>
      <c r="PFC557" s="501"/>
      <c r="PFD557" s="501"/>
      <c r="PFE557" s="501"/>
      <c r="PFF557" s="501"/>
      <c r="PFG557" s="501"/>
      <c r="PFH557" s="501"/>
      <c r="PFI557" s="501"/>
      <c r="PFJ557" s="501"/>
      <c r="PFK557" s="501"/>
      <c r="PFL557" s="501"/>
      <c r="PFM557" s="501"/>
      <c r="PFN557" s="501"/>
      <c r="PFO557" s="501"/>
      <c r="PFP557" s="501"/>
      <c r="PFQ557" s="501"/>
      <c r="PFR557" s="501"/>
      <c r="PFS557" s="501"/>
      <c r="PFT557" s="501"/>
      <c r="PFU557" s="501"/>
      <c r="PFV557" s="501"/>
      <c r="PFW557" s="501"/>
      <c r="PFX557" s="501"/>
      <c r="PFY557" s="501"/>
      <c r="PFZ557" s="501"/>
      <c r="PGA557" s="501"/>
      <c r="PGB557" s="501"/>
      <c r="PGC557" s="501"/>
      <c r="PGD557" s="501"/>
      <c r="PGE557" s="501"/>
      <c r="PGF557" s="501"/>
      <c r="PGG557" s="501"/>
      <c r="PGH557" s="501"/>
      <c r="PGI557" s="501"/>
      <c r="PGJ557" s="501"/>
      <c r="PGK557" s="501"/>
      <c r="PGL557" s="501"/>
      <c r="PGM557" s="501"/>
      <c r="PGN557" s="501"/>
      <c r="PGO557" s="501"/>
      <c r="PGP557" s="501"/>
      <c r="PGQ557" s="501"/>
      <c r="PGR557" s="501"/>
      <c r="PGS557" s="501"/>
      <c r="PGT557" s="501"/>
      <c r="PGU557" s="501"/>
      <c r="PGV557" s="501"/>
      <c r="PGW557" s="501"/>
      <c r="PGX557" s="501"/>
      <c r="PGY557" s="501"/>
      <c r="PGZ557" s="501"/>
      <c r="PHA557" s="501"/>
      <c r="PHB557" s="501"/>
      <c r="PHC557" s="501"/>
      <c r="PHD557" s="501"/>
      <c r="PHE557" s="501"/>
      <c r="PHF557" s="501"/>
      <c r="PHG557" s="501"/>
      <c r="PHH557" s="501"/>
      <c r="PHI557" s="501"/>
      <c r="PHJ557" s="501"/>
      <c r="PHK557" s="501"/>
      <c r="PHL557" s="501"/>
      <c r="PHM557" s="501"/>
      <c r="PHN557" s="501"/>
      <c r="PHO557" s="501"/>
      <c r="PHP557" s="501"/>
      <c r="PHQ557" s="501"/>
      <c r="PHR557" s="501"/>
      <c r="PHS557" s="501"/>
      <c r="PHT557" s="501"/>
      <c r="PHU557" s="501"/>
      <c r="PHV557" s="501"/>
      <c r="PHW557" s="501"/>
      <c r="PHX557" s="501"/>
      <c r="PHY557" s="501"/>
      <c r="PHZ557" s="501"/>
      <c r="PIA557" s="501"/>
      <c r="PIB557" s="501"/>
      <c r="PIC557" s="501"/>
      <c r="PID557" s="501"/>
      <c r="PIE557" s="501"/>
      <c r="PIF557" s="501"/>
      <c r="PIG557" s="501"/>
      <c r="PIH557" s="501"/>
      <c r="PII557" s="501"/>
      <c r="PIJ557" s="501"/>
      <c r="PIK557" s="501"/>
      <c r="PIL557" s="501"/>
      <c r="PIM557" s="501"/>
      <c r="PIN557" s="501"/>
      <c r="PIO557" s="501"/>
      <c r="PIP557" s="501"/>
      <c r="PIQ557" s="501"/>
      <c r="PIR557" s="501"/>
      <c r="PIS557" s="501"/>
      <c r="PIT557" s="501"/>
      <c r="PIU557" s="501"/>
      <c r="PIV557" s="501"/>
      <c r="PIW557" s="501"/>
      <c r="PIX557" s="501"/>
      <c r="PIY557" s="501"/>
      <c r="PIZ557" s="501"/>
      <c r="PJA557" s="501"/>
      <c r="PJB557" s="501"/>
      <c r="PJC557" s="501"/>
      <c r="PJD557" s="501"/>
      <c r="PJE557" s="501"/>
      <c r="PJF557" s="501"/>
      <c r="PJG557" s="501"/>
      <c r="PJH557" s="501"/>
      <c r="PJI557" s="501"/>
      <c r="PJJ557" s="501"/>
      <c r="PJK557" s="501"/>
      <c r="PJL557" s="501"/>
      <c r="PJM557" s="501"/>
      <c r="PJN557" s="501"/>
      <c r="PJO557" s="501"/>
      <c r="PJP557" s="501"/>
      <c r="PJQ557" s="501"/>
      <c r="PJR557" s="501"/>
      <c r="PJS557" s="501"/>
      <c r="PJT557" s="501"/>
      <c r="PJU557" s="501"/>
      <c r="PJV557" s="501"/>
      <c r="PJW557" s="501"/>
      <c r="PJX557" s="501"/>
      <c r="PJY557" s="501"/>
      <c r="PJZ557" s="501"/>
      <c r="PKA557" s="501"/>
      <c r="PKB557" s="501"/>
      <c r="PKC557" s="501"/>
      <c r="PKD557" s="501"/>
      <c r="PKE557" s="501"/>
      <c r="PKF557" s="501"/>
      <c r="PKG557" s="501"/>
      <c r="PKH557" s="501"/>
      <c r="PKI557" s="501"/>
      <c r="PKJ557" s="501"/>
      <c r="PKK557" s="501"/>
      <c r="PKL557" s="501"/>
      <c r="PKM557" s="501"/>
      <c r="PKN557" s="501"/>
      <c r="PKO557" s="501"/>
      <c r="PKP557" s="501"/>
      <c r="PKQ557" s="501"/>
      <c r="PKR557" s="501"/>
      <c r="PKS557" s="501"/>
      <c r="PKT557" s="501"/>
      <c r="PKU557" s="501"/>
      <c r="PKV557" s="501"/>
      <c r="PKW557" s="501"/>
      <c r="PKX557" s="501"/>
      <c r="PKY557" s="501"/>
      <c r="PKZ557" s="501"/>
      <c r="PLA557" s="501"/>
      <c r="PLB557" s="501"/>
      <c r="PLC557" s="501"/>
      <c r="PLD557" s="501"/>
      <c r="PLE557" s="501"/>
      <c r="PLF557" s="501"/>
      <c r="PLG557" s="501"/>
      <c r="PLH557" s="501"/>
      <c r="PLI557" s="501"/>
      <c r="PLJ557" s="501"/>
      <c r="PLK557" s="501"/>
      <c r="PLL557" s="501"/>
      <c r="PLM557" s="501"/>
      <c r="PLN557" s="501"/>
      <c r="PLO557" s="501"/>
      <c r="PLP557" s="501"/>
      <c r="PLQ557" s="501"/>
      <c r="PLR557" s="501"/>
      <c r="PLS557" s="501"/>
      <c r="PLT557" s="501"/>
      <c r="PLU557" s="501"/>
      <c r="PLV557" s="501"/>
      <c r="PLW557" s="501"/>
      <c r="PLX557" s="501"/>
      <c r="PLY557" s="501"/>
      <c r="PLZ557" s="501"/>
      <c r="PMA557" s="501"/>
      <c r="PMB557" s="501"/>
      <c r="PMC557" s="501"/>
      <c r="PMD557" s="501"/>
      <c r="PME557" s="501"/>
      <c r="PMF557" s="501"/>
      <c r="PMG557" s="501"/>
      <c r="PMH557" s="501"/>
      <c r="PMI557" s="501"/>
      <c r="PMJ557" s="501"/>
      <c r="PMK557" s="501"/>
      <c r="PML557" s="501"/>
      <c r="PMM557" s="501"/>
      <c r="PMN557" s="501"/>
      <c r="PMO557" s="501"/>
      <c r="PMP557" s="501"/>
      <c r="PMQ557" s="501"/>
      <c r="PMR557" s="501"/>
      <c r="PMS557" s="501"/>
      <c r="PMT557" s="501"/>
      <c r="PMU557" s="501"/>
      <c r="PMV557" s="501"/>
      <c r="PMW557" s="501"/>
      <c r="PMX557" s="501"/>
      <c r="PMY557" s="501"/>
      <c r="PMZ557" s="501"/>
      <c r="PNA557" s="501"/>
      <c r="PNB557" s="501"/>
      <c r="PNC557" s="501"/>
      <c r="PND557" s="501"/>
      <c r="PNE557" s="501"/>
      <c r="PNF557" s="501"/>
      <c r="PNG557" s="501"/>
      <c r="PNH557" s="501"/>
      <c r="PNI557" s="501"/>
      <c r="PNJ557" s="501"/>
      <c r="PNK557" s="501"/>
      <c r="PNL557" s="501"/>
      <c r="PNM557" s="501"/>
      <c r="PNN557" s="501"/>
      <c r="PNO557" s="501"/>
      <c r="PNP557" s="501"/>
      <c r="PNQ557" s="501"/>
      <c r="PNR557" s="501"/>
      <c r="PNS557" s="501"/>
      <c r="PNT557" s="501"/>
      <c r="PNU557" s="501"/>
      <c r="PNV557" s="501"/>
      <c r="PNW557" s="501"/>
      <c r="PNX557" s="501"/>
      <c r="PNY557" s="501"/>
      <c r="PNZ557" s="501"/>
      <c r="POA557" s="501"/>
      <c r="POB557" s="501"/>
      <c r="POC557" s="501"/>
      <c r="POD557" s="501"/>
      <c r="POE557" s="501"/>
      <c r="POF557" s="501"/>
      <c r="POG557" s="501"/>
      <c r="POH557" s="501"/>
      <c r="POI557" s="501"/>
      <c r="POJ557" s="501"/>
      <c r="POK557" s="501"/>
      <c r="POL557" s="501"/>
      <c r="POM557" s="501"/>
      <c r="PON557" s="501"/>
      <c r="POO557" s="501"/>
      <c r="POP557" s="501"/>
      <c r="POQ557" s="501"/>
      <c r="POR557" s="501"/>
      <c r="POS557" s="501"/>
      <c r="POT557" s="501"/>
      <c r="POU557" s="501"/>
      <c r="POV557" s="501"/>
      <c r="POW557" s="501"/>
      <c r="POX557" s="501"/>
      <c r="POY557" s="501"/>
      <c r="POZ557" s="501"/>
      <c r="PPA557" s="501"/>
      <c r="PPB557" s="501"/>
      <c r="PPC557" s="501"/>
      <c r="PPD557" s="501"/>
      <c r="PPE557" s="501"/>
      <c r="PPF557" s="501"/>
      <c r="PPG557" s="501"/>
      <c r="PPH557" s="501"/>
      <c r="PPI557" s="501"/>
      <c r="PPJ557" s="501"/>
      <c r="PPK557" s="501"/>
      <c r="PPL557" s="501"/>
      <c r="PPM557" s="501"/>
      <c r="PPN557" s="501"/>
      <c r="PPO557" s="501"/>
      <c r="PPP557" s="501"/>
      <c r="PPQ557" s="501"/>
      <c r="PPR557" s="501"/>
      <c r="PPS557" s="501"/>
      <c r="PPT557" s="501"/>
      <c r="PPU557" s="501"/>
      <c r="PPV557" s="501"/>
      <c r="PPW557" s="501"/>
      <c r="PPX557" s="501"/>
      <c r="PPY557" s="501"/>
      <c r="PPZ557" s="501"/>
      <c r="PQA557" s="501"/>
      <c r="PQB557" s="501"/>
      <c r="PQC557" s="501"/>
      <c r="PQD557" s="501"/>
      <c r="PQE557" s="501"/>
      <c r="PQF557" s="501"/>
      <c r="PQG557" s="501"/>
      <c r="PQH557" s="501"/>
      <c r="PQI557" s="501"/>
      <c r="PQJ557" s="501"/>
      <c r="PQK557" s="501"/>
      <c r="PQL557" s="501"/>
      <c r="PQM557" s="501"/>
      <c r="PQN557" s="501"/>
      <c r="PQO557" s="501"/>
      <c r="PQP557" s="501"/>
      <c r="PQQ557" s="501"/>
      <c r="PQR557" s="501"/>
      <c r="PQS557" s="501"/>
      <c r="PQT557" s="501"/>
      <c r="PQU557" s="501"/>
      <c r="PQV557" s="501"/>
      <c r="PQW557" s="501"/>
      <c r="PQX557" s="501"/>
      <c r="PQY557" s="501"/>
      <c r="PQZ557" s="501"/>
      <c r="PRA557" s="501"/>
      <c r="PRB557" s="501"/>
      <c r="PRC557" s="501"/>
      <c r="PRD557" s="501"/>
      <c r="PRE557" s="501"/>
      <c r="PRF557" s="501"/>
      <c r="PRG557" s="501"/>
      <c r="PRH557" s="501"/>
      <c r="PRI557" s="501"/>
      <c r="PRJ557" s="501"/>
      <c r="PRK557" s="501"/>
      <c r="PRL557" s="501"/>
      <c r="PRM557" s="501"/>
      <c r="PRN557" s="501"/>
      <c r="PRO557" s="501"/>
      <c r="PRP557" s="501"/>
      <c r="PRQ557" s="501"/>
      <c r="PRR557" s="501"/>
      <c r="PRS557" s="501"/>
      <c r="PRT557" s="501"/>
      <c r="PRU557" s="501"/>
      <c r="PRV557" s="501"/>
      <c r="PRW557" s="501"/>
      <c r="PRX557" s="501"/>
      <c r="PRY557" s="501"/>
      <c r="PRZ557" s="501"/>
      <c r="PSA557" s="501"/>
      <c r="PSB557" s="501"/>
      <c r="PSC557" s="501"/>
      <c r="PSD557" s="501"/>
      <c r="PSE557" s="501"/>
      <c r="PSF557" s="501"/>
      <c r="PSG557" s="501"/>
      <c r="PSH557" s="501"/>
      <c r="PSI557" s="501"/>
      <c r="PSJ557" s="501"/>
      <c r="PSK557" s="501"/>
      <c r="PSL557" s="501"/>
      <c r="PSM557" s="501"/>
      <c r="PSN557" s="501"/>
      <c r="PSO557" s="501"/>
      <c r="PSP557" s="501"/>
      <c r="PSQ557" s="501"/>
      <c r="PSR557" s="501"/>
      <c r="PSS557" s="501"/>
      <c r="PST557" s="501"/>
      <c r="PSU557" s="501"/>
      <c r="PSV557" s="501"/>
      <c r="PSW557" s="501"/>
      <c r="PSX557" s="501"/>
      <c r="PSY557" s="501"/>
      <c r="PSZ557" s="501"/>
      <c r="PTA557" s="501"/>
      <c r="PTB557" s="501"/>
      <c r="PTC557" s="501"/>
      <c r="PTD557" s="501"/>
      <c r="PTE557" s="501"/>
      <c r="PTF557" s="501"/>
      <c r="PTG557" s="501"/>
      <c r="PTH557" s="501"/>
      <c r="PTI557" s="501"/>
      <c r="PTJ557" s="501"/>
      <c r="PTK557" s="501"/>
      <c r="PTL557" s="501"/>
      <c r="PTM557" s="501"/>
      <c r="PTN557" s="501"/>
      <c r="PTO557" s="501"/>
      <c r="PTP557" s="501"/>
      <c r="PTQ557" s="501"/>
      <c r="PTR557" s="501"/>
      <c r="PTS557" s="501"/>
      <c r="PTT557" s="501"/>
      <c r="PTU557" s="501"/>
      <c r="PTV557" s="501"/>
      <c r="PTW557" s="501"/>
      <c r="PTX557" s="501"/>
      <c r="PTY557" s="501"/>
      <c r="PTZ557" s="501"/>
      <c r="PUA557" s="501"/>
      <c r="PUB557" s="501"/>
      <c r="PUC557" s="501"/>
      <c r="PUD557" s="501"/>
      <c r="PUE557" s="501"/>
      <c r="PUF557" s="501"/>
      <c r="PUG557" s="501"/>
      <c r="PUH557" s="501"/>
      <c r="PUI557" s="501"/>
      <c r="PUJ557" s="501"/>
      <c r="PUK557" s="501"/>
      <c r="PUL557" s="501"/>
      <c r="PUM557" s="501"/>
      <c r="PUN557" s="501"/>
      <c r="PUO557" s="501"/>
      <c r="PUP557" s="501"/>
      <c r="PUQ557" s="501"/>
      <c r="PUR557" s="501"/>
      <c r="PUS557" s="501"/>
      <c r="PUT557" s="501"/>
      <c r="PUU557" s="501"/>
      <c r="PUV557" s="501"/>
      <c r="PUW557" s="501"/>
      <c r="PUX557" s="501"/>
      <c r="PUY557" s="501"/>
      <c r="PUZ557" s="501"/>
      <c r="PVA557" s="501"/>
      <c r="PVB557" s="501"/>
      <c r="PVC557" s="501"/>
      <c r="PVD557" s="501"/>
      <c r="PVE557" s="501"/>
      <c r="PVF557" s="501"/>
      <c r="PVG557" s="501"/>
      <c r="PVH557" s="501"/>
      <c r="PVI557" s="501"/>
      <c r="PVJ557" s="501"/>
      <c r="PVK557" s="501"/>
      <c r="PVL557" s="501"/>
      <c r="PVM557" s="501"/>
      <c r="PVN557" s="501"/>
      <c r="PVO557" s="501"/>
      <c r="PVP557" s="501"/>
      <c r="PVQ557" s="501"/>
      <c r="PVR557" s="501"/>
      <c r="PVS557" s="501"/>
      <c r="PVT557" s="501"/>
      <c r="PVU557" s="501"/>
      <c r="PVV557" s="501"/>
      <c r="PVW557" s="501"/>
      <c r="PVX557" s="501"/>
      <c r="PVY557" s="501"/>
      <c r="PVZ557" s="501"/>
      <c r="PWA557" s="501"/>
      <c r="PWB557" s="501"/>
      <c r="PWC557" s="501"/>
      <c r="PWD557" s="501"/>
      <c r="PWE557" s="501"/>
      <c r="PWF557" s="501"/>
      <c r="PWG557" s="501"/>
      <c r="PWH557" s="501"/>
      <c r="PWI557" s="501"/>
      <c r="PWJ557" s="501"/>
      <c r="PWK557" s="501"/>
      <c r="PWL557" s="501"/>
      <c r="PWM557" s="501"/>
      <c r="PWN557" s="501"/>
      <c r="PWO557" s="501"/>
      <c r="PWP557" s="501"/>
      <c r="PWQ557" s="501"/>
      <c r="PWR557" s="501"/>
      <c r="PWS557" s="501"/>
      <c r="PWT557" s="501"/>
      <c r="PWU557" s="501"/>
      <c r="PWV557" s="501"/>
      <c r="PWW557" s="501"/>
      <c r="PWX557" s="501"/>
      <c r="PWY557" s="501"/>
      <c r="PWZ557" s="501"/>
      <c r="PXA557" s="501"/>
      <c r="PXB557" s="501"/>
      <c r="PXC557" s="501"/>
      <c r="PXD557" s="501"/>
      <c r="PXE557" s="501"/>
      <c r="PXF557" s="501"/>
      <c r="PXG557" s="501"/>
      <c r="PXH557" s="501"/>
      <c r="PXI557" s="501"/>
      <c r="PXJ557" s="501"/>
      <c r="PXK557" s="501"/>
      <c r="PXL557" s="501"/>
      <c r="PXM557" s="501"/>
      <c r="PXN557" s="501"/>
      <c r="PXO557" s="501"/>
      <c r="PXP557" s="501"/>
      <c r="PXQ557" s="501"/>
      <c r="PXR557" s="501"/>
      <c r="PXS557" s="501"/>
      <c r="PXT557" s="501"/>
      <c r="PXU557" s="501"/>
      <c r="PXV557" s="501"/>
      <c r="PXW557" s="501"/>
      <c r="PXX557" s="501"/>
      <c r="PXY557" s="501"/>
      <c r="PXZ557" s="501"/>
      <c r="PYA557" s="501"/>
      <c r="PYB557" s="501"/>
      <c r="PYC557" s="501"/>
      <c r="PYD557" s="501"/>
      <c r="PYE557" s="501"/>
      <c r="PYF557" s="501"/>
      <c r="PYG557" s="501"/>
      <c r="PYH557" s="501"/>
      <c r="PYI557" s="501"/>
      <c r="PYJ557" s="501"/>
      <c r="PYK557" s="501"/>
      <c r="PYL557" s="501"/>
      <c r="PYM557" s="501"/>
      <c r="PYN557" s="501"/>
      <c r="PYO557" s="501"/>
      <c r="PYP557" s="501"/>
      <c r="PYQ557" s="501"/>
      <c r="PYR557" s="501"/>
      <c r="PYS557" s="501"/>
      <c r="PYT557" s="501"/>
      <c r="PYU557" s="501"/>
      <c r="PYV557" s="501"/>
      <c r="PYW557" s="501"/>
      <c r="PYX557" s="501"/>
      <c r="PYY557" s="501"/>
      <c r="PYZ557" s="501"/>
      <c r="PZA557" s="501"/>
      <c r="PZB557" s="501"/>
      <c r="PZC557" s="501"/>
      <c r="PZD557" s="501"/>
      <c r="PZE557" s="501"/>
      <c r="PZF557" s="501"/>
      <c r="PZG557" s="501"/>
      <c r="PZH557" s="501"/>
      <c r="PZI557" s="501"/>
      <c r="PZJ557" s="501"/>
      <c r="PZK557" s="501"/>
      <c r="PZL557" s="501"/>
      <c r="PZM557" s="501"/>
      <c r="PZN557" s="501"/>
      <c r="PZO557" s="501"/>
      <c r="PZP557" s="501"/>
      <c r="PZQ557" s="501"/>
      <c r="PZR557" s="501"/>
      <c r="PZS557" s="501"/>
      <c r="PZT557" s="501"/>
      <c r="PZU557" s="501"/>
      <c r="PZV557" s="501"/>
      <c r="PZW557" s="501"/>
      <c r="PZX557" s="501"/>
      <c r="PZY557" s="501"/>
      <c r="PZZ557" s="501"/>
      <c r="QAA557" s="501"/>
      <c r="QAB557" s="501"/>
      <c r="QAC557" s="501"/>
      <c r="QAD557" s="501"/>
      <c r="QAE557" s="501"/>
      <c r="QAF557" s="501"/>
      <c r="QAG557" s="501"/>
      <c r="QAH557" s="501"/>
      <c r="QAI557" s="501"/>
      <c r="QAJ557" s="501"/>
      <c r="QAK557" s="501"/>
      <c r="QAL557" s="501"/>
      <c r="QAM557" s="501"/>
      <c r="QAN557" s="501"/>
      <c r="QAO557" s="501"/>
      <c r="QAP557" s="501"/>
      <c r="QAQ557" s="501"/>
      <c r="QAR557" s="501"/>
      <c r="QAS557" s="501"/>
      <c r="QAT557" s="501"/>
      <c r="QAU557" s="501"/>
      <c r="QAV557" s="501"/>
      <c r="QAW557" s="501"/>
      <c r="QAX557" s="501"/>
      <c r="QAY557" s="501"/>
      <c r="QAZ557" s="501"/>
      <c r="QBA557" s="501"/>
      <c r="QBB557" s="501"/>
      <c r="QBC557" s="501"/>
      <c r="QBD557" s="501"/>
      <c r="QBE557" s="501"/>
      <c r="QBF557" s="501"/>
      <c r="QBG557" s="501"/>
      <c r="QBH557" s="501"/>
      <c r="QBI557" s="501"/>
      <c r="QBJ557" s="501"/>
      <c r="QBK557" s="501"/>
      <c r="QBL557" s="501"/>
      <c r="QBM557" s="501"/>
      <c r="QBN557" s="501"/>
      <c r="QBO557" s="501"/>
      <c r="QBP557" s="501"/>
      <c r="QBQ557" s="501"/>
      <c r="QBR557" s="501"/>
      <c r="QBS557" s="501"/>
      <c r="QBT557" s="501"/>
      <c r="QBU557" s="501"/>
      <c r="QBV557" s="501"/>
      <c r="QBW557" s="501"/>
      <c r="QBX557" s="501"/>
      <c r="QBY557" s="501"/>
      <c r="QBZ557" s="501"/>
      <c r="QCA557" s="501"/>
      <c r="QCB557" s="501"/>
      <c r="QCC557" s="501"/>
      <c r="QCD557" s="501"/>
      <c r="QCE557" s="501"/>
      <c r="QCF557" s="501"/>
      <c r="QCG557" s="501"/>
      <c r="QCH557" s="501"/>
      <c r="QCI557" s="501"/>
      <c r="QCJ557" s="501"/>
      <c r="QCK557" s="501"/>
      <c r="QCL557" s="501"/>
      <c r="QCM557" s="501"/>
      <c r="QCN557" s="501"/>
      <c r="QCO557" s="501"/>
      <c r="QCP557" s="501"/>
      <c r="QCQ557" s="501"/>
      <c r="QCR557" s="501"/>
      <c r="QCS557" s="501"/>
      <c r="QCT557" s="501"/>
      <c r="QCU557" s="501"/>
      <c r="QCV557" s="501"/>
      <c r="QCW557" s="501"/>
      <c r="QCX557" s="501"/>
      <c r="QCY557" s="501"/>
      <c r="QCZ557" s="501"/>
      <c r="QDA557" s="501"/>
      <c r="QDB557" s="501"/>
      <c r="QDC557" s="501"/>
      <c r="QDD557" s="501"/>
      <c r="QDE557" s="501"/>
      <c r="QDF557" s="501"/>
      <c r="QDG557" s="501"/>
      <c r="QDH557" s="501"/>
      <c r="QDI557" s="501"/>
      <c r="QDJ557" s="501"/>
      <c r="QDK557" s="501"/>
      <c r="QDL557" s="501"/>
      <c r="QDM557" s="501"/>
      <c r="QDN557" s="501"/>
      <c r="QDO557" s="501"/>
      <c r="QDP557" s="501"/>
      <c r="QDQ557" s="501"/>
      <c r="QDR557" s="501"/>
      <c r="QDS557" s="501"/>
      <c r="QDT557" s="501"/>
      <c r="QDU557" s="501"/>
      <c r="QDV557" s="501"/>
      <c r="QDW557" s="501"/>
      <c r="QDX557" s="501"/>
      <c r="QDY557" s="501"/>
      <c r="QDZ557" s="501"/>
      <c r="QEA557" s="501"/>
      <c r="QEB557" s="501"/>
      <c r="QEC557" s="501"/>
      <c r="QED557" s="501"/>
      <c r="QEE557" s="501"/>
      <c r="QEF557" s="501"/>
      <c r="QEG557" s="501"/>
      <c r="QEH557" s="501"/>
      <c r="QEI557" s="501"/>
      <c r="QEJ557" s="501"/>
      <c r="QEK557" s="501"/>
      <c r="QEL557" s="501"/>
      <c r="QEM557" s="501"/>
      <c r="QEN557" s="501"/>
      <c r="QEO557" s="501"/>
      <c r="QEP557" s="501"/>
      <c r="QEQ557" s="501"/>
      <c r="QER557" s="501"/>
      <c r="QES557" s="501"/>
      <c r="QET557" s="501"/>
      <c r="QEU557" s="501"/>
      <c r="QEV557" s="501"/>
      <c r="QEW557" s="501"/>
      <c r="QEX557" s="501"/>
      <c r="QEY557" s="501"/>
      <c r="QEZ557" s="501"/>
      <c r="QFA557" s="501"/>
      <c r="QFB557" s="501"/>
      <c r="QFC557" s="501"/>
      <c r="QFD557" s="501"/>
      <c r="QFE557" s="501"/>
      <c r="QFF557" s="501"/>
      <c r="QFG557" s="501"/>
      <c r="QFH557" s="501"/>
      <c r="QFI557" s="501"/>
      <c r="QFJ557" s="501"/>
      <c r="QFK557" s="501"/>
      <c r="QFL557" s="501"/>
      <c r="QFM557" s="501"/>
      <c r="QFN557" s="501"/>
      <c r="QFO557" s="501"/>
      <c r="QFP557" s="501"/>
      <c r="QFQ557" s="501"/>
      <c r="QFR557" s="501"/>
      <c r="QFS557" s="501"/>
      <c r="QFT557" s="501"/>
      <c r="QFU557" s="501"/>
      <c r="QFV557" s="501"/>
      <c r="QFW557" s="501"/>
      <c r="QFX557" s="501"/>
      <c r="QFY557" s="501"/>
      <c r="QFZ557" s="501"/>
      <c r="QGA557" s="501"/>
      <c r="QGB557" s="501"/>
      <c r="QGC557" s="501"/>
      <c r="QGD557" s="501"/>
      <c r="QGE557" s="501"/>
      <c r="QGF557" s="501"/>
      <c r="QGG557" s="501"/>
      <c r="QGH557" s="501"/>
      <c r="QGI557" s="501"/>
      <c r="QGJ557" s="501"/>
      <c r="QGK557" s="501"/>
      <c r="QGL557" s="501"/>
      <c r="QGM557" s="501"/>
      <c r="QGN557" s="501"/>
      <c r="QGO557" s="501"/>
      <c r="QGP557" s="501"/>
      <c r="QGQ557" s="501"/>
      <c r="QGR557" s="501"/>
      <c r="QGS557" s="501"/>
      <c r="QGT557" s="501"/>
      <c r="QGU557" s="501"/>
      <c r="QGV557" s="501"/>
      <c r="QGW557" s="501"/>
      <c r="QGX557" s="501"/>
      <c r="QGY557" s="501"/>
      <c r="QGZ557" s="501"/>
      <c r="QHA557" s="501"/>
      <c r="QHB557" s="501"/>
      <c r="QHC557" s="501"/>
      <c r="QHD557" s="501"/>
      <c r="QHE557" s="501"/>
      <c r="QHF557" s="501"/>
      <c r="QHG557" s="501"/>
      <c r="QHH557" s="501"/>
      <c r="QHI557" s="501"/>
      <c r="QHJ557" s="501"/>
      <c r="QHK557" s="501"/>
      <c r="QHL557" s="501"/>
      <c r="QHM557" s="501"/>
      <c r="QHN557" s="501"/>
      <c r="QHO557" s="501"/>
      <c r="QHP557" s="501"/>
      <c r="QHQ557" s="501"/>
      <c r="QHR557" s="501"/>
      <c r="QHS557" s="501"/>
      <c r="QHT557" s="501"/>
      <c r="QHU557" s="501"/>
      <c r="QHV557" s="501"/>
      <c r="QHW557" s="501"/>
      <c r="QHX557" s="501"/>
      <c r="QHY557" s="501"/>
      <c r="QHZ557" s="501"/>
      <c r="QIA557" s="501"/>
      <c r="QIB557" s="501"/>
      <c r="QIC557" s="501"/>
      <c r="QID557" s="501"/>
      <c r="QIE557" s="501"/>
      <c r="QIF557" s="501"/>
      <c r="QIG557" s="501"/>
      <c r="QIH557" s="501"/>
      <c r="QII557" s="501"/>
      <c r="QIJ557" s="501"/>
      <c r="QIK557" s="501"/>
      <c r="QIL557" s="501"/>
      <c r="QIM557" s="501"/>
      <c r="QIN557" s="501"/>
      <c r="QIO557" s="501"/>
      <c r="QIP557" s="501"/>
      <c r="QIQ557" s="501"/>
      <c r="QIR557" s="501"/>
      <c r="QIS557" s="501"/>
      <c r="QIT557" s="501"/>
      <c r="QIU557" s="501"/>
      <c r="QIV557" s="501"/>
      <c r="QIW557" s="501"/>
      <c r="QIX557" s="501"/>
      <c r="QIY557" s="501"/>
      <c r="QIZ557" s="501"/>
      <c r="QJA557" s="501"/>
      <c r="QJB557" s="501"/>
      <c r="QJC557" s="501"/>
      <c r="QJD557" s="501"/>
      <c r="QJE557" s="501"/>
      <c r="QJF557" s="501"/>
      <c r="QJG557" s="501"/>
      <c r="QJH557" s="501"/>
      <c r="QJI557" s="501"/>
      <c r="QJJ557" s="501"/>
      <c r="QJK557" s="501"/>
      <c r="QJL557" s="501"/>
      <c r="QJM557" s="501"/>
      <c r="QJN557" s="501"/>
      <c r="QJO557" s="501"/>
      <c r="QJP557" s="501"/>
      <c r="QJQ557" s="501"/>
      <c r="QJR557" s="501"/>
      <c r="QJS557" s="501"/>
      <c r="QJT557" s="501"/>
      <c r="QJU557" s="501"/>
      <c r="QJV557" s="501"/>
      <c r="QJW557" s="501"/>
      <c r="QJX557" s="501"/>
      <c r="QJY557" s="501"/>
      <c r="QJZ557" s="501"/>
      <c r="QKA557" s="501"/>
      <c r="QKB557" s="501"/>
      <c r="QKC557" s="501"/>
      <c r="QKD557" s="501"/>
      <c r="QKE557" s="501"/>
      <c r="QKF557" s="501"/>
      <c r="QKG557" s="501"/>
      <c r="QKH557" s="501"/>
      <c r="QKI557" s="501"/>
      <c r="QKJ557" s="501"/>
      <c r="QKK557" s="501"/>
      <c r="QKL557" s="501"/>
      <c r="QKM557" s="501"/>
      <c r="QKN557" s="501"/>
      <c r="QKO557" s="501"/>
      <c r="QKP557" s="501"/>
      <c r="QKQ557" s="501"/>
      <c r="QKR557" s="501"/>
      <c r="QKS557" s="501"/>
      <c r="QKT557" s="501"/>
      <c r="QKU557" s="501"/>
      <c r="QKV557" s="501"/>
      <c r="QKW557" s="501"/>
      <c r="QKX557" s="501"/>
      <c r="QKY557" s="501"/>
      <c r="QKZ557" s="501"/>
      <c r="QLA557" s="501"/>
      <c r="QLB557" s="501"/>
      <c r="QLC557" s="501"/>
      <c r="QLD557" s="501"/>
      <c r="QLE557" s="501"/>
      <c r="QLF557" s="501"/>
      <c r="QLG557" s="501"/>
      <c r="QLH557" s="501"/>
      <c r="QLI557" s="501"/>
      <c r="QLJ557" s="501"/>
      <c r="QLK557" s="501"/>
      <c r="QLL557" s="501"/>
      <c r="QLM557" s="501"/>
      <c r="QLN557" s="501"/>
      <c r="QLO557" s="501"/>
      <c r="QLP557" s="501"/>
      <c r="QLQ557" s="501"/>
      <c r="QLR557" s="501"/>
      <c r="QLS557" s="501"/>
      <c r="QLT557" s="501"/>
      <c r="QLU557" s="501"/>
      <c r="QLV557" s="501"/>
      <c r="QLW557" s="501"/>
      <c r="QLX557" s="501"/>
      <c r="QLY557" s="501"/>
      <c r="QLZ557" s="501"/>
      <c r="QMA557" s="501"/>
      <c r="QMB557" s="501"/>
      <c r="QMC557" s="501"/>
      <c r="QMD557" s="501"/>
      <c r="QME557" s="501"/>
      <c r="QMF557" s="501"/>
      <c r="QMG557" s="501"/>
      <c r="QMH557" s="501"/>
      <c r="QMI557" s="501"/>
      <c r="QMJ557" s="501"/>
      <c r="QMK557" s="501"/>
      <c r="QML557" s="501"/>
      <c r="QMM557" s="501"/>
      <c r="QMN557" s="501"/>
      <c r="QMO557" s="501"/>
      <c r="QMP557" s="501"/>
      <c r="QMQ557" s="501"/>
      <c r="QMR557" s="501"/>
      <c r="QMS557" s="501"/>
      <c r="QMT557" s="501"/>
      <c r="QMU557" s="501"/>
      <c r="QMV557" s="501"/>
      <c r="QMW557" s="501"/>
      <c r="QMX557" s="501"/>
      <c r="QMY557" s="501"/>
      <c r="QMZ557" s="501"/>
      <c r="QNA557" s="501"/>
      <c r="QNB557" s="501"/>
      <c r="QNC557" s="501"/>
      <c r="QND557" s="501"/>
      <c r="QNE557" s="501"/>
      <c r="QNF557" s="501"/>
      <c r="QNG557" s="501"/>
      <c r="QNH557" s="501"/>
      <c r="QNI557" s="501"/>
      <c r="QNJ557" s="501"/>
      <c r="QNK557" s="501"/>
      <c r="QNL557" s="501"/>
      <c r="QNM557" s="501"/>
      <c r="QNN557" s="501"/>
      <c r="QNO557" s="501"/>
      <c r="QNP557" s="501"/>
      <c r="QNQ557" s="501"/>
      <c r="QNR557" s="501"/>
      <c r="QNS557" s="501"/>
      <c r="QNT557" s="501"/>
      <c r="QNU557" s="501"/>
      <c r="QNV557" s="501"/>
      <c r="QNW557" s="501"/>
      <c r="QNX557" s="501"/>
      <c r="QNY557" s="501"/>
      <c r="QNZ557" s="501"/>
      <c r="QOA557" s="501"/>
      <c r="QOB557" s="501"/>
      <c r="QOC557" s="501"/>
      <c r="QOD557" s="501"/>
      <c r="QOE557" s="501"/>
      <c r="QOF557" s="501"/>
      <c r="QOG557" s="501"/>
      <c r="QOH557" s="501"/>
      <c r="QOI557" s="501"/>
      <c r="QOJ557" s="501"/>
      <c r="QOK557" s="501"/>
      <c r="QOL557" s="501"/>
      <c r="QOM557" s="501"/>
      <c r="QON557" s="501"/>
      <c r="QOO557" s="501"/>
      <c r="QOP557" s="501"/>
      <c r="QOQ557" s="501"/>
      <c r="QOR557" s="501"/>
      <c r="QOS557" s="501"/>
      <c r="QOT557" s="501"/>
      <c r="QOU557" s="501"/>
      <c r="QOV557" s="501"/>
      <c r="QOW557" s="501"/>
      <c r="QOX557" s="501"/>
      <c r="QOY557" s="501"/>
      <c r="QOZ557" s="501"/>
      <c r="QPA557" s="501"/>
      <c r="QPB557" s="501"/>
      <c r="QPC557" s="501"/>
      <c r="QPD557" s="501"/>
      <c r="QPE557" s="501"/>
      <c r="QPF557" s="501"/>
      <c r="QPG557" s="501"/>
      <c r="QPH557" s="501"/>
      <c r="QPI557" s="501"/>
      <c r="QPJ557" s="501"/>
      <c r="QPK557" s="501"/>
      <c r="QPL557" s="501"/>
      <c r="QPM557" s="501"/>
      <c r="QPN557" s="501"/>
      <c r="QPO557" s="501"/>
      <c r="QPP557" s="501"/>
      <c r="QPQ557" s="501"/>
      <c r="QPR557" s="501"/>
      <c r="QPS557" s="501"/>
      <c r="QPT557" s="501"/>
      <c r="QPU557" s="501"/>
      <c r="QPV557" s="501"/>
      <c r="QPW557" s="501"/>
      <c r="QPX557" s="501"/>
      <c r="QPY557" s="501"/>
      <c r="QPZ557" s="501"/>
      <c r="QQA557" s="501"/>
      <c r="QQB557" s="501"/>
      <c r="QQC557" s="501"/>
      <c r="QQD557" s="501"/>
      <c r="QQE557" s="501"/>
      <c r="QQF557" s="501"/>
      <c r="QQG557" s="501"/>
      <c r="QQH557" s="501"/>
      <c r="QQI557" s="501"/>
      <c r="QQJ557" s="501"/>
      <c r="QQK557" s="501"/>
      <c r="QQL557" s="501"/>
      <c r="QQM557" s="501"/>
      <c r="QQN557" s="501"/>
      <c r="QQO557" s="501"/>
      <c r="QQP557" s="501"/>
      <c r="QQQ557" s="501"/>
      <c r="QQR557" s="501"/>
      <c r="QQS557" s="501"/>
      <c r="QQT557" s="501"/>
      <c r="QQU557" s="501"/>
      <c r="QQV557" s="501"/>
      <c r="QQW557" s="501"/>
      <c r="QQX557" s="501"/>
      <c r="QQY557" s="501"/>
      <c r="QQZ557" s="501"/>
      <c r="QRA557" s="501"/>
      <c r="QRB557" s="501"/>
      <c r="QRC557" s="501"/>
      <c r="QRD557" s="501"/>
      <c r="QRE557" s="501"/>
      <c r="QRF557" s="501"/>
      <c r="QRG557" s="501"/>
      <c r="QRH557" s="501"/>
      <c r="QRI557" s="501"/>
      <c r="QRJ557" s="501"/>
      <c r="QRK557" s="501"/>
      <c r="QRL557" s="501"/>
      <c r="QRM557" s="501"/>
      <c r="QRN557" s="501"/>
      <c r="QRO557" s="501"/>
      <c r="QRP557" s="501"/>
      <c r="QRQ557" s="501"/>
      <c r="QRR557" s="501"/>
      <c r="QRS557" s="501"/>
      <c r="QRT557" s="501"/>
      <c r="QRU557" s="501"/>
      <c r="QRV557" s="501"/>
      <c r="QRW557" s="501"/>
      <c r="QRX557" s="501"/>
      <c r="QRY557" s="501"/>
      <c r="QRZ557" s="501"/>
      <c r="QSA557" s="501"/>
      <c r="QSB557" s="501"/>
      <c r="QSC557" s="501"/>
      <c r="QSD557" s="501"/>
      <c r="QSE557" s="501"/>
      <c r="QSF557" s="501"/>
      <c r="QSG557" s="501"/>
      <c r="QSH557" s="501"/>
      <c r="QSI557" s="501"/>
      <c r="QSJ557" s="501"/>
      <c r="QSK557" s="501"/>
      <c r="QSL557" s="501"/>
      <c r="QSM557" s="501"/>
      <c r="QSN557" s="501"/>
      <c r="QSO557" s="501"/>
      <c r="QSP557" s="501"/>
      <c r="QSQ557" s="501"/>
      <c r="QSR557" s="501"/>
      <c r="QSS557" s="501"/>
      <c r="QST557" s="501"/>
      <c r="QSU557" s="501"/>
      <c r="QSV557" s="501"/>
      <c r="QSW557" s="501"/>
      <c r="QSX557" s="501"/>
      <c r="QSY557" s="501"/>
      <c r="QSZ557" s="501"/>
      <c r="QTA557" s="501"/>
      <c r="QTB557" s="501"/>
      <c r="QTC557" s="501"/>
      <c r="QTD557" s="501"/>
      <c r="QTE557" s="501"/>
      <c r="QTF557" s="501"/>
      <c r="QTG557" s="501"/>
      <c r="QTH557" s="501"/>
      <c r="QTI557" s="501"/>
      <c r="QTJ557" s="501"/>
      <c r="QTK557" s="501"/>
      <c r="QTL557" s="501"/>
      <c r="QTM557" s="501"/>
      <c r="QTN557" s="501"/>
      <c r="QTO557" s="501"/>
      <c r="QTP557" s="501"/>
      <c r="QTQ557" s="501"/>
      <c r="QTR557" s="501"/>
      <c r="QTS557" s="501"/>
      <c r="QTT557" s="501"/>
      <c r="QTU557" s="501"/>
      <c r="QTV557" s="501"/>
      <c r="QTW557" s="501"/>
      <c r="QTX557" s="501"/>
      <c r="QTY557" s="501"/>
      <c r="QTZ557" s="501"/>
      <c r="QUA557" s="501"/>
      <c r="QUB557" s="501"/>
      <c r="QUC557" s="501"/>
      <c r="QUD557" s="501"/>
      <c r="QUE557" s="501"/>
      <c r="QUF557" s="501"/>
      <c r="QUG557" s="501"/>
      <c r="QUH557" s="501"/>
      <c r="QUI557" s="501"/>
      <c r="QUJ557" s="501"/>
      <c r="QUK557" s="501"/>
      <c r="QUL557" s="501"/>
      <c r="QUM557" s="501"/>
      <c r="QUN557" s="501"/>
      <c r="QUO557" s="501"/>
      <c r="QUP557" s="501"/>
      <c r="QUQ557" s="501"/>
      <c r="QUR557" s="501"/>
      <c r="QUS557" s="501"/>
      <c r="QUT557" s="501"/>
      <c r="QUU557" s="501"/>
      <c r="QUV557" s="501"/>
      <c r="QUW557" s="501"/>
      <c r="QUX557" s="501"/>
      <c r="QUY557" s="501"/>
      <c r="QUZ557" s="501"/>
      <c r="QVA557" s="501"/>
      <c r="QVB557" s="501"/>
      <c r="QVC557" s="501"/>
      <c r="QVD557" s="501"/>
      <c r="QVE557" s="501"/>
      <c r="QVF557" s="501"/>
      <c r="QVG557" s="501"/>
      <c r="QVH557" s="501"/>
      <c r="QVI557" s="501"/>
      <c r="QVJ557" s="501"/>
      <c r="QVK557" s="501"/>
      <c r="QVL557" s="501"/>
      <c r="QVM557" s="501"/>
      <c r="QVN557" s="501"/>
      <c r="QVO557" s="501"/>
      <c r="QVP557" s="501"/>
      <c r="QVQ557" s="501"/>
      <c r="QVR557" s="501"/>
      <c r="QVS557" s="501"/>
      <c r="QVT557" s="501"/>
      <c r="QVU557" s="501"/>
      <c r="QVV557" s="501"/>
      <c r="QVW557" s="501"/>
      <c r="QVX557" s="501"/>
      <c r="QVY557" s="501"/>
      <c r="QVZ557" s="501"/>
      <c r="QWA557" s="501"/>
      <c r="QWB557" s="501"/>
      <c r="QWC557" s="501"/>
      <c r="QWD557" s="501"/>
      <c r="QWE557" s="501"/>
      <c r="QWF557" s="501"/>
      <c r="QWG557" s="501"/>
      <c r="QWH557" s="501"/>
      <c r="QWI557" s="501"/>
      <c r="QWJ557" s="501"/>
      <c r="QWK557" s="501"/>
      <c r="QWL557" s="501"/>
      <c r="QWM557" s="501"/>
      <c r="QWN557" s="501"/>
      <c r="QWO557" s="501"/>
      <c r="QWP557" s="501"/>
      <c r="QWQ557" s="501"/>
      <c r="QWR557" s="501"/>
      <c r="QWS557" s="501"/>
      <c r="QWT557" s="501"/>
      <c r="QWU557" s="501"/>
      <c r="QWV557" s="501"/>
      <c r="QWW557" s="501"/>
      <c r="QWX557" s="501"/>
      <c r="QWY557" s="501"/>
      <c r="QWZ557" s="501"/>
      <c r="QXA557" s="501"/>
      <c r="QXB557" s="501"/>
      <c r="QXC557" s="501"/>
      <c r="QXD557" s="501"/>
      <c r="QXE557" s="501"/>
      <c r="QXF557" s="501"/>
      <c r="QXG557" s="501"/>
      <c r="QXH557" s="501"/>
      <c r="QXI557" s="501"/>
      <c r="QXJ557" s="501"/>
      <c r="QXK557" s="501"/>
      <c r="QXL557" s="501"/>
      <c r="QXM557" s="501"/>
      <c r="QXN557" s="501"/>
      <c r="QXO557" s="501"/>
      <c r="QXP557" s="501"/>
      <c r="QXQ557" s="501"/>
      <c r="QXR557" s="501"/>
      <c r="QXS557" s="501"/>
      <c r="QXT557" s="501"/>
      <c r="QXU557" s="501"/>
      <c r="QXV557" s="501"/>
      <c r="QXW557" s="501"/>
      <c r="QXX557" s="501"/>
      <c r="QXY557" s="501"/>
      <c r="QXZ557" s="501"/>
      <c r="QYA557" s="501"/>
      <c r="QYB557" s="501"/>
      <c r="QYC557" s="501"/>
      <c r="QYD557" s="501"/>
      <c r="QYE557" s="501"/>
      <c r="QYF557" s="501"/>
      <c r="QYG557" s="501"/>
      <c r="QYH557" s="501"/>
      <c r="QYI557" s="501"/>
      <c r="QYJ557" s="501"/>
      <c r="QYK557" s="501"/>
      <c r="QYL557" s="501"/>
      <c r="QYM557" s="501"/>
      <c r="QYN557" s="501"/>
      <c r="QYO557" s="501"/>
      <c r="QYP557" s="501"/>
      <c r="QYQ557" s="501"/>
      <c r="QYR557" s="501"/>
      <c r="QYS557" s="501"/>
      <c r="QYT557" s="501"/>
      <c r="QYU557" s="501"/>
      <c r="QYV557" s="501"/>
      <c r="QYW557" s="501"/>
      <c r="QYX557" s="501"/>
      <c r="QYY557" s="501"/>
      <c r="QYZ557" s="501"/>
      <c r="QZA557" s="501"/>
      <c r="QZB557" s="501"/>
      <c r="QZC557" s="501"/>
      <c r="QZD557" s="501"/>
      <c r="QZE557" s="501"/>
      <c r="QZF557" s="501"/>
      <c r="QZG557" s="501"/>
      <c r="QZH557" s="501"/>
      <c r="QZI557" s="501"/>
      <c r="QZJ557" s="501"/>
      <c r="QZK557" s="501"/>
      <c r="QZL557" s="501"/>
      <c r="QZM557" s="501"/>
      <c r="QZN557" s="501"/>
      <c r="QZO557" s="501"/>
      <c r="QZP557" s="501"/>
      <c r="QZQ557" s="501"/>
      <c r="QZR557" s="501"/>
      <c r="QZS557" s="501"/>
      <c r="QZT557" s="501"/>
      <c r="QZU557" s="501"/>
      <c r="QZV557" s="501"/>
      <c r="QZW557" s="501"/>
      <c r="QZX557" s="501"/>
      <c r="QZY557" s="501"/>
      <c r="QZZ557" s="501"/>
      <c r="RAA557" s="501"/>
      <c r="RAB557" s="501"/>
      <c r="RAC557" s="501"/>
      <c r="RAD557" s="501"/>
      <c r="RAE557" s="501"/>
      <c r="RAF557" s="501"/>
      <c r="RAG557" s="501"/>
      <c r="RAH557" s="501"/>
      <c r="RAI557" s="501"/>
      <c r="RAJ557" s="501"/>
      <c r="RAK557" s="501"/>
      <c r="RAL557" s="501"/>
      <c r="RAM557" s="501"/>
      <c r="RAN557" s="501"/>
      <c r="RAO557" s="501"/>
      <c r="RAP557" s="501"/>
      <c r="RAQ557" s="501"/>
      <c r="RAR557" s="501"/>
      <c r="RAS557" s="501"/>
      <c r="RAT557" s="501"/>
      <c r="RAU557" s="501"/>
      <c r="RAV557" s="501"/>
      <c r="RAW557" s="501"/>
      <c r="RAX557" s="501"/>
      <c r="RAY557" s="501"/>
      <c r="RAZ557" s="501"/>
      <c r="RBA557" s="501"/>
      <c r="RBB557" s="501"/>
      <c r="RBC557" s="501"/>
      <c r="RBD557" s="501"/>
      <c r="RBE557" s="501"/>
      <c r="RBF557" s="501"/>
      <c r="RBG557" s="501"/>
      <c r="RBH557" s="501"/>
      <c r="RBI557" s="501"/>
      <c r="RBJ557" s="501"/>
      <c r="RBK557" s="501"/>
      <c r="RBL557" s="501"/>
      <c r="RBM557" s="501"/>
      <c r="RBN557" s="501"/>
      <c r="RBO557" s="501"/>
      <c r="RBP557" s="501"/>
      <c r="RBQ557" s="501"/>
      <c r="RBR557" s="501"/>
      <c r="RBS557" s="501"/>
      <c r="RBT557" s="501"/>
      <c r="RBU557" s="501"/>
      <c r="RBV557" s="501"/>
      <c r="RBW557" s="501"/>
      <c r="RBX557" s="501"/>
      <c r="RBY557" s="501"/>
      <c r="RBZ557" s="501"/>
      <c r="RCA557" s="501"/>
      <c r="RCB557" s="501"/>
      <c r="RCC557" s="501"/>
      <c r="RCD557" s="501"/>
      <c r="RCE557" s="501"/>
      <c r="RCF557" s="501"/>
      <c r="RCG557" s="501"/>
      <c r="RCH557" s="501"/>
      <c r="RCI557" s="501"/>
      <c r="RCJ557" s="501"/>
      <c r="RCK557" s="501"/>
      <c r="RCL557" s="501"/>
      <c r="RCM557" s="501"/>
      <c r="RCN557" s="501"/>
      <c r="RCO557" s="501"/>
      <c r="RCP557" s="501"/>
      <c r="RCQ557" s="501"/>
      <c r="RCR557" s="501"/>
      <c r="RCS557" s="501"/>
      <c r="RCT557" s="501"/>
      <c r="RCU557" s="501"/>
      <c r="RCV557" s="501"/>
      <c r="RCW557" s="501"/>
      <c r="RCX557" s="501"/>
      <c r="RCY557" s="501"/>
      <c r="RCZ557" s="501"/>
      <c r="RDA557" s="501"/>
      <c r="RDB557" s="501"/>
      <c r="RDC557" s="501"/>
      <c r="RDD557" s="501"/>
      <c r="RDE557" s="501"/>
      <c r="RDF557" s="501"/>
      <c r="RDG557" s="501"/>
      <c r="RDH557" s="501"/>
      <c r="RDI557" s="501"/>
      <c r="RDJ557" s="501"/>
      <c r="RDK557" s="501"/>
      <c r="RDL557" s="501"/>
      <c r="RDM557" s="501"/>
      <c r="RDN557" s="501"/>
      <c r="RDO557" s="501"/>
      <c r="RDP557" s="501"/>
      <c r="RDQ557" s="501"/>
      <c r="RDR557" s="501"/>
      <c r="RDS557" s="501"/>
      <c r="RDT557" s="501"/>
      <c r="RDU557" s="501"/>
      <c r="RDV557" s="501"/>
      <c r="RDW557" s="501"/>
      <c r="RDX557" s="501"/>
      <c r="RDY557" s="501"/>
      <c r="RDZ557" s="501"/>
      <c r="REA557" s="501"/>
      <c r="REB557" s="501"/>
      <c r="REC557" s="501"/>
      <c r="RED557" s="501"/>
      <c r="REE557" s="501"/>
      <c r="REF557" s="501"/>
      <c r="REG557" s="501"/>
      <c r="REH557" s="501"/>
      <c r="REI557" s="501"/>
      <c r="REJ557" s="501"/>
      <c r="REK557" s="501"/>
      <c r="REL557" s="501"/>
      <c r="REM557" s="501"/>
      <c r="REN557" s="501"/>
      <c r="REO557" s="501"/>
      <c r="REP557" s="501"/>
      <c r="REQ557" s="501"/>
      <c r="RER557" s="501"/>
      <c r="RES557" s="501"/>
      <c r="RET557" s="501"/>
      <c r="REU557" s="501"/>
      <c r="REV557" s="501"/>
      <c r="REW557" s="501"/>
      <c r="REX557" s="501"/>
      <c r="REY557" s="501"/>
      <c r="REZ557" s="501"/>
      <c r="RFA557" s="501"/>
      <c r="RFB557" s="501"/>
      <c r="RFC557" s="501"/>
      <c r="RFD557" s="501"/>
      <c r="RFE557" s="501"/>
      <c r="RFF557" s="501"/>
      <c r="RFG557" s="501"/>
      <c r="RFH557" s="501"/>
      <c r="RFI557" s="501"/>
      <c r="RFJ557" s="501"/>
      <c r="RFK557" s="501"/>
      <c r="RFL557" s="501"/>
      <c r="RFM557" s="501"/>
      <c r="RFN557" s="501"/>
      <c r="RFO557" s="501"/>
      <c r="RFP557" s="501"/>
      <c r="RFQ557" s="501"/>
      <c r="RFR557" s="501"/>
      <c r="RFS557" s="501"/>
      <c r="RFT557" s="501"/>
      <c r="RFU557" s="501"/>
      <c r="RFV557" s="501"/>
      <c r="RFW557" s="501"/>
      <c r="RFX557" s="501"/>
      <c r="RFY557" s="501"/>
      <c r="RFZ557" s="501"/>
      <c r="RGA557" s="501"/>
      <c r="RGB557" s="501"/>
      <c r="RGC557" s="501"/>
      <c r="RGD557" s="501"/>
      <c r="RGE557" s="501"/>
      <c r="RGF557" s="501"/>
      <c r="RGG557" s="501"/>
      <c r="RGH557" s="501"/>
      <c r="RGI557" s="501"/>
      <c r="RGJ557" s="501"/>
      <c r="RGK557" s="501"/>
      <c r="RGL557" s="501"/>
      <c r="RGM557" s="501"/>
      <c r="RGN557" s="501"/>
      <c r="RGO557" s="501"/>
      <c r="RGP557" s="501"/>
      <c r="RGQ557" s="501"/>
      <c r="RGR557" s="501"/>
      <c r="RGS557" s="501"/>
      <c r="RGT557" s="501"/>
      <c r="RGU557" s="501"/>
      <c r="RGV557" s="501"/>
      <c r="RGW557" s="501"/>
      <c r="RGX557" s="501"/>
      <c r="RGY557" s="501"/>
      <c r="RGZ557" s="501"/>
      <c r="RHA557" s="501"/>
      <c r="RHB557" s="501"/>
      <c r="RHC557" s="501"/>
      <c r="RHD557" s="501"/>
      <c r="RHE557" s="501"/>
      <c r="RHF557" s="501"/>
      <c r="RHG557" s="501"/>
      <c r="RHH557" s="501"/>
      <c r="RHI557" s="501"/>
      <c r="RHJ557" s="501"/>
      <c r="RHK557" s="501"/>
      <c r="RHL557" s="501"/>
      <c r="RHM557" s="501"/>
      <c r="RHN557" s="501"/>
      <c r="RHO557" s="501"/>
      <c r="RHP557" s="501"/>
      <c r="RHQ557" s="501"/>
      <c r="RHR557" s="501"/>
      <c r="RHS557" s="501"/>
      <c r="RHT557" s="501"/>
      <c r="RHU557" s="501"/>
      <c r="RHV557" s="501"/>
      <c r="RHW557" s="501"/>
      <c r="RHX557" s="501"/>
      <c r="RHY557" s="501"/>
      <c r="RHZ557" s="501"/>
      <c r="RIA557" s="501"/>
      <c r="RIB557" s="501"/>
      <c r="RIC557" s="501"/>
      <c r="RID557" s="501"/>
      <c r="RIE557" s="501"/>
      <c r="RIF557" s="501"/>
      <c r="RIG557" s="501"/>
      <c r="RIH557" s="501"/>
      <c r="RII557" s="501"/>
      <c r="RIJ557" s="501"/>
      <c r="RIK557" s="501"/>
      <c r="RIL557" s="501"/>
      <c r="RIM557" s="501"/>
      <c r="RIN557" s="501"/>
      <c r="RIO557" s="501"/>
      <c r="RIP557" s="501"/>
      <c r="RIQ557" s="501"/>
      <c r="RIR557" s="501"/>
      <c r="RIS557" s="501"/>
      <c r="RIT557" s="501"/>
      <c r="RIU557" s="501"/>
      <c r="RIV557" s="501"/>
      <c r="RIW557" s="501"/>
      <c r="RIX557" s="501"/>
      <c r="RIY557" s="501"/>
      <c r="RIZ557" s="501"/>
      <c r="RJA557" s="501"/>
      <c r="RJB557" s="501"/>
      <c r="RJC557" s="501"/>
      <c r="RJD557" s="501"/>
      <c r="RJE557" s="501"/>
      <c r="RJF557" s="501"/>
      <c r="RJG557" s="501"/>
      <c r="RJH557" s="501"/>
      <c r="RJI557" s="501"/>
      <c r="RJJ557" s="501"/>
      <c r="RJK557" s="501"/>
      <c r="RJL557" s="501"/>
      <c r="RJM557" s="501"/>
      <c r="RJN557" s="501"/>
      <c r="RJO557" s="501"/>
      <c r="RJP557" s="501"/>
      <c r="RJQ557" s="501"/>
      <c r="RJR557" s="501"/>
      <c r="RJS557" s="501"/>
      <c r="RJT557" s="501"/>
      <c r="RJU557" s="501"/>
      <c r="RJV557" s="501"/>
      <c r="RJW557" s="501"/>
      <c r="RJX557" s="501"/>
      <c r="RJY557" s="501"/>
      <c r="RJZ557" s="501"/>
      <c r="RKA557" s="501"/>
      <c r="RKB557" s="501"/>
      <c r="RKC557" s="501"/>
      <c r="RKD557" s="501"/>
      <c r="RKE557" s="501"/>
      <c r="RKF557" s="501"/>
      <c r="RKG557" s="501"/>
      <c r="RKH557" s="501"/>
      <c r="RKI557" s="501"/>
      <c r="RKJ557" s="501"/>
      <c r="RKK557" s="501"/>
      <c r="RKL557" s="501"/>
      <c r="RKM557" s="501"/>
      <c r="RKN557" s="501"/>
      <c r="RKO557" s="501"/>
      <c r="RKP557" s="501"/>
      <c r="RKQ557" s="501"/>
      <c r="RKR557" s="501"/>
      <c r="RKS557" s="501"/>
      <c r="RKT557" s="501"/>
      <c r="RKU557" s="501"/>
      <c r="RKV557" s="501"/>
      <c r="RKW557" s="501"/>
      <c r="RKX557" s="501"/>
      <c r="RKY557" s="501"/>
      <c r="RKZ557" s="501"/>
      <c r="RLA557" s="501"/>
      <c r="RLB557" s="501"/>
      <c r="RLC557" s="501"/>
      <c r="RLD557" s="501"/>
      <c r="RLE557" s="501"/>
      <c r="RLF557" s="501"/>
      <c r="RLG557" s="501"/>
      <c r="RLH557" s="501"/>
      <c r="RLI557" s="501"/>
      <c r="RLJ557" s="501"/>
      <c r="RLK557" s="501"/>
      <c r="RLL557" s="501"/>
      <c r="RLM557" s="501"/>
      <c r="RLN557" s="501"/>
      <c r="RLO557" s="501"/>
      <c r="RLP557" s="501"/>
      <c r="RLQ557" s="501"/>
      <c r="RLR557" s="501"/>
      <c r="RLS557" s="501"/>
      <c r="RLT557" s="501"/>
      <c r="RLU557" s="501"/>
      <c r="RLV557" s="501"/>
      <c r="RLW557" s="501"/>
      <c r="RLX557" s="501"/>
      <c r="RLY557" s="501"/>
      <c r="RLZ557" s="501"/>
      <c r="RMA557" s="501"/>
      <c r="RMB557" s="501"/>
      <c r="RMC557" s="501"/>
      <c r="RMD557" s="501"/>
      <c r="RME557" s="501"/>
      <c r="RMF557" s="501"/>
      <c r="RMG557" s="501"/>
      <c r="RMH557" s="501"/>
      <c r="RMI557" s="501"/>
      <c r="RMJ557" s="501"/>
      <c r="RMK557" s="501"/>
      <c r="RML557" s="501"/>
      <c r="RMM557" s="501"/>
      <c r="RMN557" s="501"/>
      <c r="RMO557" s="501"/>
      <c r="RMP557" s="501"/>
      <c r="RMQ557" s="501"/>
      <c r="RMR557" s="501"/>
      <c r="RMS557" s="501"/>
      <c r="RMT557" s="501"/>
      <c r="RMU557" s="501"/>
      <c r="RMV557" s="501"/>
      <c r="RMW557" s="501"/>
      <c r="RMX557" s="501"/>
      <c r="RMY557" s="501"/>
      <c r="RMZ557" s="501"/>
      <c r="RNA557" s="501"/>
      <c r="RNB557" s="501"/>
      <c r="RNC557" s="501"/>
      <c r="RND557" s="501"/>
      <c r="RNE557" s="501"/>
      <c r="RNF557" s="501"/>
      <c r="RNG557" s="501"/>
      <c r="RNH557" s="501"/>
      <c r="RNI557" s="501"/>
      <c r="RNJ557" s="501"/>
      <c r="RNK557" s="501"/>
      <c r="RNL557" s="501"/>
      <c r="RNM557" s="501"/>
      <c r="RNN557" s="501"/>
      <c r="RNO557" s="501"/>
      <c r="RNP557" s="501"/>
      <c r="RNQ557" s="501"/>
      <c r="RNR557" s="501"/>
      <c r="RNS557" s="501"/>
      <c r="RNT557" s="501"/>
      <c r="RNU557" s="501"/>
      <c r="RNV557" s="501"/>
      <c r="RNW557" s="501"/>
      <c r="RNX557" s="501"/>
      <c r="RNY557" s="501"/>
      <c r="RNZ557" s="501"/>
      <c r="ROA557" s="501"/>
      <c r="ROB557" s="501"/>
      <c r="ROC557" s="501"/>
      <c r="ROD557" s="501"/>
      <c r="ROE557" s="501"/>
      <c r="ROF557" s="501"/>
      <c r="ROG557" s="501"/>
      <c r="ROH557" s="501"/>
      <c r="ROI557" s="501"/>
      <c r="ROJ557" s="501"/>
      <c r="ROK557" s="501"/>
      <c r="ROL557" s="501"/>
      <c r="ROM557" s="501"/>
      <c r="RON557" s="501"/>
      <c r="ROO557" s="501"/>
      <c r="ROP557" s="501"/>
      <c r="ROQ557" s="501"/>
      <c r="ROR557" s="501"/>
      <c r="ROS557" s="501"/>
      <c r="ROT557" s="501"/>
      <c r="ROU557" s="501"/>
      <c r="ROV557" s="501"/>
      <c r="ROW557" s="501"/>
      <c r="ROX557" s="501"/>
      <c r="ROY557" s="501"/>
      <c r="ROZ557" s="501"/>
      <c r="RPA557" s="501"/>
      <c r="RPB557" s="501"/>
      <c r="RPC557" s="501"/>
      <c r="RPD557" s="501"/>
      <c r="RPE557" s="501"/>
      <c r="RPF557" s="501"/>
      <c r="RPG557" s="501"/>
      <c r="RPH557" s="501"/>
      <c r="RPI557" s="501"/>
      <c r="RPJ557" s="501"/>
      <c r="RPK557" s="501"/>
      <c r="RPL557" s="501"/>
      <c r="RPM557" s="501"/>
      <c r="RPN557" s="501"/>
      <c r="RPO557" s="501"/>
      <c r="RPP557" s="501"/>
      <c r="RPQ557" s="501"/>
      <c r="RPR557" s="501"/>
      <c r="RPS557" s="501"/>
      <c r="RPT557" s="501"/>
      <c r="RPU557" s="501"/>
      <c r="RPV557" s="501"/>
      <c r="RPW557" s="501"/>
      <c r="RPX557" s="501"/>
      <c r="RPY557" s="501"/>
      <c r="RPZ557" s="501"/>
      <c r="RQA557" s="501"/>
      <c r="RQB557" s="501"/>
      <c r="RQC557" s="501"/>
      <c r="RQD557" s="501"/>
      <c r="RQE557" s="501"/>
      <c r="RQF557" s="501"/>
      <c r="RQG557" s="501"/>
      <c r="RQH557" s="501"/>
      <c r="RQI557" s="501"/>
      <c r="RQJ557" s="501"/>
      <c r="RQK557" s="501"/>
      <c r="RQL557" s="501"/>
      <c r="RQM557" s="501"/>
      <c r="RQN557" s="501"/>
      <c r="RQO557" s="501"/>
      <c r="RQP557" s="501"/>
      <c r="RQQ557" s="501"/>
      <c r="RQR557" s="501"/>
      <c r="RQS557" s="501"/>
      <c r="RQT557" s="501"/>
      <c r="RQU557" s="501"/>
      <c r="RQV557" s="501"/>
      <c r="RQW557" s="501"/>
      <c r="RQX557" s="501"/>
      <c r="RQY557" s="501"/>
      <c r="RQZ557" s="501"/>
      <c r="RRA557" s="501"/>
      <c r="RRB557" s="501"/>
      <c r="RRC557" s="501"/>
      <c r="RRD557" s="501"/>
      <c r="RRE557" s="501"/>
      <c r="RRF557" s="501"/>
      <c r="RRG557" s="501"/>
      <c r="RRH557" s="501"/>
      <c r="RRI557" s="501"/>
      <c r="RRJ557" s="501"/>
      <c r="RRK557" s="501"/>
      <c r="RRL557" s="501"/>
      <c r="RRM557" s="501"/>
      <c r="RRN557" s="501"/>
      <c r="RRO557" s="501"/>
      <c r="RRP557" s="501"/>
      <c r="RRQ557" s="501"/>
      <c r="RRR557" s="501"/>
      <c r="RRS557" s="501"/>
      <c r="RRT557" s="501"/>
      <c r="RRU557" s="501"/>
      <c r="RRV557" s="501"/>
      <c r="RRW557" s="501"/>
      <c r="RRX557" s="501"/>
      <c r="RRY557" s="501"/>
      <c r="RRZ557" s="501"/>
      <c r="RSA557" s="501"/>
      <c r="RSB557" s="501"/>
      <c r="RSC557" s="501"/>
      <c r="RSD557" s="501"/>
      <c r="RSE557" s="501"/>
      <c r="RSF557" s="501"/>
      <c r="RSG557" s="501"/>
      <c r="RSH557" s="501"/>
      <c r="RSI557" s="501"/>
      <c r="RSJ557" s="501"/>
      <c r="RSK557" s="501"/>
      <c r="RSL557" s="501"/>
      <c r="RSM557" s="501"/>
      <c r="RSN557" s="501"/>
      <c r="RSO557" s="501"/>
      <c r="RSP557" s="501"/>
      <c r="RSQ557" s="501"/>
      <c r="RSR557" s="501"/>
      <c r="RSS557" s="501"/>
      <c r="RST557" s="501"/>
      <c r="RSU557" s="501"/>
      <c r="RSV557" s="501"/>
      <c r="RSW557" s="501"/>
      <c r="RSX557" s="501"/>
      <c r="RSY557" s="501"/>
      <c r="RSZ557" s="501"/>
      <c r="RTA557" s="501"/>
      <c r="RTB557" s="501"/>
      <c r="RTC557" s="501"/>
      <c r="RTD557" s="501"/>
      <c r="RTE557" s="501"/>
      <c r="RTF557" s="501"/>
      <c r="RTG557" s="501"/>
      <c r="RTH557" s="501"/>
      <c r="RTI557" s="501"/>
      <c r="RTJ557" s="501"/>
      <c r="RTK557" s="501"/>
      <c r="RTL557" s="501"/>
      <c r="RTM557" s="501"/>
      <c r="RTN557" s="501"/>
      <c r="RTO557" s="501"/>
      <c r="RTP557" s="501"/>
      <c r="RTQ557" s="501"/>
      <c r="RTR557" s="501"/>
      <c r="RTS557" s="501"/>
      <c r="RTT557" s="501"/>
      <c r="RTU557" s="501"/>
      <c r="RTV557" s="501"/>
      <c r="RTW557" s="501"/>
      <c r="RTX557" s="501"/>
      <c r="RTY557" s="501"/>
      <c r="RTZ557" s="501"/>
      <c r="RUA557" s="501"/>
      <c r="RUB557" s="501"/>
      <c r="RUC557" s="501"/>
      <c r="RUD557" s="501"/>
      <c r="RUE557" s="501"/>
      <c r="RUF557" s="501"/>
      <c r="RUG557" s="501"/>
      <c r="RUH557" s="501"/>
      <c r="RUI557" s="501"/>
      <c r="RUJ557" s="501"/>
      <c r="RUK557" s="501"/>
      <c r="RUL557" s="501"/>
      <c r="RUM557" s="501"/>
      <c r="RUN557" s="501"/>
      <c r="RUO557" s="501"/>
      <c r="RUP557" s="501"/>
      <c r="RUQ557" s="501"/>
      <c r="RUR557" s="501"/>
      <c r="RUS557" s="501"/>
      <c r="RUT557" s="501"/>
      <c r="RUU557" s="501"/>
      <c r="RUV557" s="501"/>
      <c r="RUW557" s="501"/>
      <c r="RUX557" s="501"/>
      <c r="RUY557" s="501"/>
      <c r="RUZ557" s="501"/>
      <c r="RVA557" s="501"/>
      <c r="RVB557" s="501"/>
      <c r="RVC557" s="501"/>
      <c r="RVD557" s="501"/>
      <c r="RVE557" s="501"/>
      <c r="RVF557" s="501"/>
      <c r="RVG557" s="501"/>
      <c r="RVH557" s="501"/>
      <c r="RVI557" s="501"/>
      <c r="RVJ557" s="501"/>
      <c r="RVK557" s="501"/>
      <c r="RVL557" s="501"/>
      <c r="RVM557" s="501"/>
      <c r="RVN557" s="501"/>
      <c r="RVO557" s="501"/>
      <c r="RVP557" s="501"/>
      <c r="RVQ557" s="501"/>
      <c r="RVR557" s="501"/>
      <c r="RVS557" s="501"/>
      <c r="RVT557" s="501"/>
      <c r="RVU557" s="501"/>
      <c r="RVV557" s="501"/>
      <c r="RVW557" s="501"/>
      <c r="RVX557" s="501"/>
      <c r="RVY557" s="501"/>
      <c r="RVZ557" s="501"/>
      <c r="RWA557" s="501"/>
      <c r="RWB557" s="501"/>
      <c r="RWC557" s="501"/>
      <c r="RWD557" s="501"/>
      <c r="RWE557" s="501"/>
      <c r="RWF557" s="501"/>
      <c r="RWG557" s="501"/>
      <c r="RWH557" s="501"/>
      <c r="RWI557" s="501"/>
      <c r="RWJ557" s="501"/>
      <c r="RWK557" s="501"/>
      <c r="RWL557" s="501"/>
      <c r="RWM557" s="501"/>
      <c r="RWN557" s="501"/>
      <c r="RWO557" s="501"/>
      <c r="RWP557" s="501"/>
      <c r="RWQ557" s="501"/>
      <c r="RWR557" s="501"/>
      <c r="RWS557" s="501"/>
      <c r="RWT557" s="501"/>
      <c r="RWU557" s="501"/>
      <c r="RWV557" s="501"/>
      <c r="RWW557" s="501"/>
      <c r="RWX557" s="501"/>
      <c r="RWY557" s="501"/>
      <c r="RWZ557" s="501"/>
      <c r="RXA557" s="501"/>
      <c r="RXB557" s="501"/>
      <c r="RXC557" s="501"/>
      <c r="RXD557" s="501"/>
      <c r="RXE557" s="501"/>
      <c r="RXF557" s="501"/>
      <c r="RXG557" s="501"/>
      <c r="RXH557" s="501"/>
      <c r="RXI557" s="501"/>
      <c r="RXJ557" s="501"/>
      <c r="RXK557" s="501"/>
      <c r="RXL557" s="501"/>
      <c r="RXM557" s="501"/>
      <c r="RXN557" s="501"/>
      <c r="RXO557" s="501"/>
      <c r="RXP557" s="501"/>
      <c r="RXQ557" s="501"/>
      <c r="RXR557" s="501"/>
      <c r="RXS557" s="501"/>
      <c r="RXT557" s="501"/>
      <c r="RXU557" s="501"/>
      <c r="RXV557" s="501"/>
      <c r="RXW557" s="501"/>
      <c r="RXX557" s="501"/>
      <c r="RXY557" s="501"/>
      <c r="RXZ557" s="501"/>
      <c r="RYA557" s="501"/>
      <c r="RYB557" s="501"/>
      <c r="RYC557" s="501"/>
      <c r="RYD557" s="501"/>
      <c r="RYE557" s="501"/>
      <c r="RYF557" s="501"/>
      <c r="RYG557" s="501"/>
      <c r="RYH557" s="501"/>
      <c r="RYI557" s="501"/>
      <c r="RYJ557" s="501"/>
      <c r="RYK557" s="501"/>
      <c r="RYL557" s="501"/>
      <c r="RYM557" s="501"/>
      <c r="RYN557" s="501"/>
      <c r="RYO557" s="501"/>
      <c r="RYP557" s="501"/>
      <c r="RYQ557" s="501"/>
      <c r="RYR557" s="501"/>
      <c r="RYS557" s="501"/>
      <c r="RYT557" s="501"/>
      <c r="RYU557" s="501"/>
      <c r="RYV557" s="501"/>
      <c r="RYW557" s="501"/>
      <c r="RYX557" s="501"/>
      <c r="RYY557" s="501"/>
      <c r="RYZ557" s="501"/>
      <c r="RZA557" s="501"/>
      <c r="RZB557" s="501"/>
      <c r="RZC557" s="501"/>
      <c r="RZD557" s="501"/>
      <c r="RZE557" s="501"/>
      <c r="RZF557" s="501"/>
      <c r="RZG557" s="501"/>
      <c r="RZH557" s="501"/>
      <c r="RZI557" s="501"/>
      <c r="RZJ557" s="501"/>
      <c r="RZK557" s="501"/>
      <c r="RZL557" s="501"/>
      <c r="RZM557" s="501"/>
      <c r="RZN557" s="501"/>
      <c r="RZO557" s="501"/>
      <c r="RZP557" s="501"/>
      <c r="RZQ557" s="501"/>
      <c r="RZR557" s="501"/>
      <c r="RZS557" s="501"/>
      <c r="RZT557" s="501"/>
      <c r="RZU557" s="501"/>
      <c r="RZV557" s="501"/>
      <c r="RZW557" s="501"/>
      <c r="RZX557" s="501"/>
      <c r="RZY557" s="501"/>
      <c r="RZZ557" s="501"/>
      <c r="SAA557" s="501"/>
      <c r="SAB557" s="501"/>
      <c r="SAC557" s="501"/>
      <c r="SAD557" s="501"/>
      <c r="SAE557" s="501"/>
      <c r="SAF557" s="501"/>
      <c r="SAG557" s="501"/>
      <c r="SAH557" s="501"/>
      <c r="SAI557" s="501"/>
      <c r="SAJ557" s="501"/>
      <c r="SAK557" s="501"/>
      <c r="SAL557" s="501"/>
      <c r="SAM557" s="501"/>
      <c r="SAN557" s="501"/>
      <c r="SAO557" s="501"/>
      <c r="SAP557" s="501"/>
      <c r="SAQ557" s="501"/>
      <c r="SAR557" s="501"/>
      <c r="SAS557" s="501"/>
      <c r="SAT557" s="501"/>
      <c r="SAU557" s="501"/>
      <c r="SAV557" s="501"/>
      <c r="SAW557" s="501"/>
      <c r="SAX557" s="501"/>
      <c r="SAY557" s="501"/>
      <c r="SAZ557" s="501"/>
      <c r="SBA557" s="501"/>
      <c r="SBB557" s="501"/>
      <c r="SBC557" s="501"/>
      <c r="SBD557" s="501"/>
      <c r="SBE557" s="501"/>
      <c r="SBF557" s="501"/>
      <c r="SBG557" s="501"/>
      <c r="SBH557" s="501"/>
      <c r="SBI557" s="501"/>
      <c r="SBJ557" s="501"/>
      <c r="SBK557" s="501"/>
      <c r="SBL557" s="501"/>
      <c r="SBM557" s="501"/>
      <c r="SBN557" s="501"/>
      <c r="SBO557" s="501"/>
      <c r="SBP557" s="501"/>
      <c r="SBQ557" s="501"/>
      <c r="SBR557" s="501"/>
      <c r="SBS557" s="501"/>
      <c r="SBT557" s="501"/>
      <c r="SBU557" s="501"/>
      <c r="SBV557" s="501"/>
      <c r="SBW557" s="501"/>
      <c r="SBX557" s="501"/>
      <c r="SBY557" s="501"/>
      <c r="SBZ557" s="501"/>
      <c r="SCA557" s="501"/>
      <c r="SCB557" s="501"/>
      <c r="SCC557" s="501"/>
      <c r="SCD557" s="501"/>
      <c r="SCE557" s="501"/>
      <c r="SCF557" s="501"/>
      <c r="SCG557" s="501"/>
      <c r="SCH557" s="501"/>
      <c r="SCI557" s="501"/>
      <c r="SCJ557" s="501"/>
      <c r="SCK557" s="501"/>
      <c r="SCL557" s="501"/>
      <c r="SCM557" s="501"/>
      <c r="SCN557" s="501"/>
      <c r="SCO557" s="501"/>
      <c r="SCP557" s="501"/>
      <c r="SCQ557" s="501"/>
      <c r="SCR557" s="501"/>
      <c r="SCS557" s="501"/>
      <c r="SCT557" s="501"/>
      <c r="SCU557" s="501"/>
      <c r="SCV557" s="501"/>
      <c r="SCW557" s="501"/>
      <c r="SCX557" s="501"/>
      <c r="SCY557" s="501"/>
      <c r="SCZ557" s="501"/>
      <c r="SDA557" s="501"/>
      <c r="SDB557" s="501"/>
      <c r="SDC557" s="501"/>
      <c r="SDD557" s="501"/>
      <c r="SDE557" s="501"/>
      <c r="SDF557" s="501"/>
      <c r="SDG557" s="501"/>
      <c r="SDH557" s="501"/>
      <c r="SDI557" s="501"/>
      <c r="SDJ557" s="501"/>
      <c r="SDK557" s="501"/>
      <c r="SDL557" s="501"/>
      <c r="SDM557" s="501"/>
      <c r="SDN557" s="501"/>
      <c r="SDO557" s="501"/>
      <c r="SDP557" s="501"/>
      <c r="SDQ557" s="501"/>
      <c r="SDR557" s="501"/>
      <c r="SDS557" s="501"/>
      <c r="SDT557" s="501"/>
      <c r="SDU557" s="501"/>
      <c r="SDV557" s="501"/>
      <c r="SDW557" s="501"/>
      <c r="SDX557" s="501"/>
      <c r="SDY557" s="501"/>
      <c r="SDZ557" s="501"/>
      <c r="SEA557" s="501"/>
      <c r="SEB557" s="501"/>
      <c r="SEC557" s="501"/>
      <c r="SED557" s="501"/>
      <c r="SEE557" s="501"/>
      <c r="SEF557" s="501"/>
      <c r="SEG557" s="501"/>
      <c r="SEH557" s="501"/>
      <c r="SEI557" s="501"/>
      <c r="SEJ557" s="501"/>
      <c r="SEK557" s="501"/>
      <c r="SEL557" s="501"/>
      <c r="SEM557" s="501"/>
      <c r="SEN557" s="501"/>
      <c r="SEO557" s="501"/>
      <c r="SEP557" s="501"/>
      <c r="SEQ557" s="501"/>
      <c r="SER557" s="501"/>
      <c r="SES557" s="501"/>
      <c r="SET557" s="501"/>
      <c r="SEU557" s="501"/>
      <c r="SEV557" s="501"/>
      <c r="SEW557" s="501"/>
      <c r="SEX557" s="501"/>
      <c r="SEY557" s="501"/>
      <c r="SEZ557" s="501"/>
      <c r="SFA557" s="501"/>
      <c r="SFB557" s="501"/>
      <c r="SFC557" s="501"/>
      <c r="SFD557" s="501"/>
      <c r="SFE557" s="501"/>
      <c r="SFF557" s="501"/>
      <c r="SFG557" s="501"/>
      <c r="SFH557" s="501"/>
      <c r="SFI557" s="501"/>
      <c r="SFJ557" s="501"/>
      <c r="SFK557" s="501"/>
      <c r="SFL557" s="501"/>
      <c r="SFM557" s="501"/>
      <c r="SFN557" s="501"/>
      <c r="SFO557" s="501"/>
      <c r="SFP557" s="501"/>
      <c r="SFQ557" s="501"/>
      <c r="SFR557" s="501"/>
      <c r="SFS557" s="501"/>
      <c r="SFT557" s="501"/>
      <c r="SFU557" s="501"/>
      <c r="SFV557" s="501"/>
      <c r="SFW557" s="501"/>
      <c r="SFX557" s="501"/>
      <c r="SFY557" s="501"/>
      <c r="SFZ557" s="501"/>
      <c r="SGA557" s="501"/>
      <c r="SGB557" s="501"/>
      <c r="SGC557" s="501"/>
      <c r="SGD557" s="501"/>
      <c r="SGE557" s="501"/>
      <c r="SGF557" s="501"/>
      <c r="SGG557" s="501"/>
      <c r="SGH557" s="501"/>
      <c r="SGI557" s="501"/>
      <c r="SGJ557" s="501"/>
      <c r="SGK557" s="501"/>
      <c r="SGL557" s="501"/>
      <c r="SGM557" s="501"/>
      <c r="SGN557" s="501"/>
      <c r="SGO557" s="501"/>
      <c r="SGP557" s="501"/>
      <c r="SGQ557" s="501"/>
      <c r="SGR557" s="501"/>
      <c r="SGS557" s="501"/>
      <c r="SGT557" s="501"/>
      <c r="SGU557" s="501"/>
      <c r="SGV557" s="501"/>
      <c r="SGW557" s="501"/>
      <c r="SGX557" s="501"/>
      <c r="SGY557" s="501"/>
      <c r="SGZ557" s="501"/>
      <c r="SHA557" s="501"/>
      <c r="SHB557" s="501"/>
      <c r="SHC557" s="501"/>
      <c r="SHD557" s="501"/>
      <c r="SHE557" s="501"/>
      <c r="SHF557" s="501"/>
      <c r="SHG557" s="501"/>
      <c r="SHH557" s="501"/>
      <c r="SHI557" s="501"/>
      <c r="SHJ557" s="501"/>
      <c r="SHK557" s="501"/>
      <c r="SHL557" s="501"/>
      <c r="SHM557" s="501"/>
      <c r="SHN557" s="501"/>
      <c r="SHO557" s="501"/>
      <c r="SHP557" s="501"/>
      <c r="SHQ557" s="501"/>
      <c r="SHR557" s="501"/>
      <c r="SHS557" s="501"/>
      <c r="SHT557" s="501"/>
      <c r="SHU557" s="501"/>
      <c r="SHV557" s="501"/>
      <c r="SHW557" s="501"/>
      <c r="SHX557" s="501"/>
      <c r="SHY557" s="501"/>
      <c r="SHZ557" s="501"/>
      <c r="SIA557" s="501"/>
      <c r="SIB557" s="501"/>
      <c r="SIC557" s="501"/>
      <c r="SID557" s="501"/>
      <c r="SIE557" s="501"/>
      <c r="SIF557" s="501"/>
      <c r="SIG557" s="501"/>
      <c r="SIH557" s="501"/>
      <c r="SII557" s="501"/>
      <c r="SIJ557" s="501"/>
      <c r="SIK557" s="501"/>
      <c r="SIL557" s="501"/>
      <c r="SIM557" s="501"/>
      <c r="SIN557" s="501"/>
      <c r="SIO557" s="501"/>
      <c r="SIP557" s="501"/>
      <c r="SIQ557" s="501"/>
      <c r="SIR557" s="501"/>
      <c r="SIS557" s="501"/>
      <c r="SIT557" s="501"/>
      <c r="SIU557" s="501"/>
      <c r="SIV557" s="501"/>
      <c r="SIW557" s="501"/>
      <c r="SIX557" s="501"/>
      <c r="SIY557" s="501"/>
      <c r="SIZ557" s="501"/>
      <c r="SJA557" s="501"/>
      <c r="SJB557" s="501"/>
      <c r="SJC557" s="501"/>
      <c r="SJD557" s="501"/>
      <c r="SJE557" s="501"/>
      <c r="SJF557" s="501"/>
      <c r="SJG557" s="501"/>
      <c r="SJH557" s="501"/>
      <c r="SJI557" s="501"/>
      <c r="SJJ557" s="501"/>
      <c r="SJK557" s="501"/>
      <c r="SJL557" s="501"/>
      <c r="SJM557" s="501"/>
      <c r="SJN557" s="501"/>
      <c r="SJO557" s="501"/>
      <c r="SJP557" s="501"/>
      <c r="SJQ557" s="501"/>
      <c r="SJR557" s="501"/>
      <c r="SJS557" s="501"/>
      <c r="SJT557" s="501"/>
      <c r="SJU557" s="501"/>
      <c r="SJV557" s="501"/>
      <c r="SJW557" s="501"/>
      <c r="SJX557" s="501"/>
      <c r="SJY557" s="501"/>
      <c r="SJZ557" s="501"/>
      <c r="SKA557" s="501"/>
      <c r="SKB557" s="501"/>
      <c r="SKC557" s="501"/>
      <c r="SKD557" s="501"/>
      <c r="SKE557" s="501"/>
      <c r="SKF557" s="501"/>
      <c r="SKG557" s="501"/>
      <c r="SKH557" s="501"/>
      <c r="SKI557" s="501"/>
      <c r="SKJ557" s="501"/>
      <c r="SKK557" s="501"/>
      <c r="SKL557" s="501"/>
      <c r="SKM557" s="501"/>
      <c r="SKN557" s="501"/>
      <c r="SKO557" s="501"/>
      <c r="SKP557" s="501"/>
      <c r="SKQ557" s="501"/>
      <c r="SKR557" s="501"/>
      <c r="SKS557" s="501"/>
      <c r="SKT557" s="501"/>
      <c r="SKU557" s="501"/>
      <c r="SKV557" s="501"/>
      <c r="SKW557" s="501"/>
      <c r="SKX557" s="501"/>
      <c r="SKY557" s="501"/>
      <c r="SKZ557" s="501"/>
      <c r="SLA557" s="501"/>
      <c r="SLB557" s="501"/>
      <c r="SLC557" s="501"/>
      <c r="SLD557" s="501"/>
      <c r="SLE557" s="501"/>
      <c r="SLF557" s="501"/>
      <c r="SLG557" s="501"/>
      <c r="SLH557" s="501"/>
      <c r="SLI557" s="501"/>
      <c r="SLJ557" s="501"/>
      <c r="SLK557" s="501"/>
      <c r="SLL557" s="501"/>
      <c r="SLM557" s="501"/>
      <c r="SLN557" s="501"/>
      <c r="SLO557" s="501"/>
      <c r="SLP557" s="501"/>
      <c r="SLQ557" s="501"/>
      <c r="SLR557" s="501"/>
      <c r="SLS557" s="501"/>
      <c r="SLT557" s="501"/>
      <c r="SLU557" s="501"/>
      <c r="SLV557" s="501"/>
      <c r="SLW557" s="501"/>
      <c r="SLX557" s="501"/>
      <c r="SLY557" s="501"/>
      <c r="SLZ557" s="501"/>
      <c r="SMA557" s="501"/>
      <c r="SMB557" s="501"/>
      <c r="SMC557" s="501"/>
      <c r="SMD557" s="501"/>
      <c r="SME557" s="501"/>
      <c r="SMF557" s="501"/>
      <c r="SMG557" s="501"/>
      <c r="SMH557" s="501"/>
      <c r="SMI557" s="501"/>
      <c r="SMJ557" s="501"/>
      <c r="SMK557" s="501"/>
      <c r="SML557" s="501"/>
      <c r="SMM557" s="501"/>
      <c r="SMN557" s="501"/>
      <c r="SMO557" s="501"/>
      <c r="SMP557" s="501"/>
      <c r="SMQ557" s="501"/>
      <c r="SMR557" s="501"/>
      <c r="SMS557" s="501"/>
      <c r="SMT557" s="501"/>
      <c r="SMU557" s="501"/>
      <c r="SMV557" s="501"/>
      <c r="SMW557" s="501"/>
      <c r="SMX557" s="501"/>
      <c r="SMY557" s="501"/>
      <c r="SMZ557" s="501"/>
      <c r="SNA557" s="501"/>
      <c r="SNB557" s="501"/>
      <c r="SNC557" s="501"/>
      <c r="SND557" s="501"/>
      <c r="SNE557" s="501"/>
      <c r="SNF557" s="501"/>
      <c r="SNG557" s="501"/>
      <c r="SNH557" s="501"/>
      <c r="SNI557" s="501"/>
      <c r="SNJ557" s="501"/>
      <c r="SNK557" s="501"/>
      <c r="SNL557" s="501"/>
      <c r="SNM557" s="501"/>
      <c r="SNN557" s="501"/>
      <c r="SNO557" s="501"/>
      <c r="SNP557" s="501"/>
      <c r="SNQ557" s="501"/>
      <c r="SNR557" s="501"/>
      <c r="SNS557" s="501"/>
      <c r="SNT557" s="501"/>
      <c r="SNU557" s="501"/>
      <c r="SNV557" s="501"/>
      <c r="SNW557" s="501"/>
      <c r="SNX557" s="501"/>
      <c r="SNY557" s="501"/>
      <c r="SNZ557" s="501"/>
      <c r="SOA557" s="501"/>
      <c r="SOB557" s="501"/>
      <c r="SOC557" s="501"/>
      <c r="SOD557" s="501"/>
      <c r="SOE557" s="501"/>
      <c r="SOF557" s="501"/>
      <c r="SOG557" s="501"/>
      <c r="SOH557" s="501"/>
      <c r="SOI557" s="501"/>
      <c r="SOJ557" s="501"/>
      <c r="SOK557" s="501"/>
      <c r="SOL557" s="501"/>
      <c r="SOM557" s="501"/>
      <c r="SON557" s="501"/>
      <c r="SOO557" s="501"/>
      <c r="SOP557" s="501"/>
      <c r="SOQ557" s="501"/>
      <c r="SOR557" s="501"/>
      <c r="SOS557" s="501"/>
      <c r="SOT557" s="501"/>
      <c r="SOU557" s="501"/>
      <c r="SOV557" s="501"/>
      <c r="SOW557" s="501"/>
      <c r="SOX557" s="501"/>
      <c r="SOY557" s="501"/>
      <c r="SOZ557" s="501"/>
      <c r="SPA557" s="501"/>
      <c r="SPB557" s="501"/>
      <c r="SPC557" s="501"/>
      <c r="SPD557" s="501"/>
      <c r="SPE557" s="501"/>
      <c r="SPF557" s="501"/>
      <c r="SPG557" s="501"/>
      <c r="SPH557" s="501"/>
      <c r="SPI557" s="501"/>
      <c r="SPJ557" s="501"/>
      <c r="SPK557" s="501"/>
      <c r="SPL557" s="501"/>
      <c r="SPM557" s="501"/>
      <c r="SPN557" s="501"/>
      <c r="SPO557" s="501"/>
      <c r="SPP557" s="501"/>
      <c r="SPQ557" s="501"/>
      <c r="SPR557" s="501"/>
      <c r="SPS557" s="501"/>
      <c r="SPT557" s="501"/>
      <c r="SPU557" s="501"/>
      <c r="SPV557" s="501"/>
      <c r="SPW557" s="501"/>
      <c r="SPX557" s="501"/>
      <c r="SPY557" s="501"/>
      <c r="SPZ557" s="501"/>
      <c r="SQA557" s="501"/>
      <c r="SQB557" s="501"/>
      <c r="SQC557" s="501"/>
      <c r="SQD557" s="501"/>
      <c r="SQE557" s="501"/>
      <c r="SQF557" s="501"/>
      <c r="SQG557" s="501"/>
      <c r="SQH557" s="501"/>
      <c r="SQI557" s="501"/>
      <c r="SQJ557" s="501"/>
      <c r="SQK557" s="501"/>
      <c r="SQL557" s="501"/>
      <c r="SQM557" s="501"/>
      <c r="SQN557" s="501"/>
      <c r="SQO557" s="501"/>
      <c r="SQP557" s="501"/>
      <c r="SQQ557" s="501"/>
      <c r="SQR557" s="501"/>
      <c r="SQS557" s="501"/>
      <c r="SQT557" s="501"/>
      <c r="SQU557" s="501"/>
      <c r="SQV557" s="501"/>
      <c r="SQW557" s="501"/>
      <c r="SQX557" s="501"/>
      <c r="SQY557" s="501"/>
      <c r="SQZ557" s="501"/>
      <c r="SRA557" s="501"/>
      <c r="SRB557" s="501"/>
      <c r="SRC557" s="501"/>
      <c r="SRD557" s="501"/>
      <c r="SRE557" s="501"/>
      <c r="SRF557" s="501"/>
      <c r="SRG557" s="501"/>
      <c r="SRH557" s="501"/>
      <c r="SRI557" s="501"/>
      <c r="SRJ557" s="501"/>
      <c r="SRK557" s="501"/>
      <c r="SRL557" s="501"/>
      <c r="SRM557" s="501"/>
      <c r="SRN557" s="501"/>
      <c r="SRO557" s="501"/>
      <c r="SRP557" s="501"/>
      <c r="SRQ557" s="501"/>
      <c r="SRR557" s="501"/>
      <c r="SRS557" s="501"/>
      <c r="SRT557" s="501"/>
      <c r="SRU557" s="501"/>
      <c r="SRV557" s="501"/>
      <c r="SRW557" s="501"/>
      <c r="SRX557" s="501"/>
      <c r="SRY557" s="501"/>
      <c r="SRZ557" s="501"/>
      <c r="SSA557" s="501"/>
      <c r="SSB557" s="501"/>
      <c r="SSC557" s="501"/>
      <c r="SSD557" s="501"/>
      <c r="SSE557" s="501"/>
      <c r="SSF557" s="501"/>
      <c r="SSG557" s="501"/>
      <c r="SSH557" s="501"/>
      <c r="SSI557" s="501"/>
      <c r="SSJ557" s="501"/>
      <c r="SSK557" s="501"/>
      <c r="SSL557" s="501"/>
      <c r="SSM557" s="501"/>
      <c r="SSN557" s="501"/>
      <c r="SSO557" s="501"/>
      <c r="SSP557" s="501"/>
      <c r="SSQ557" s="501"/>
      <c r="SSR557" s="501"/>
      <c r="SSS557" s="501"/>
      <c r="SST557" s="501"/>
      <c r="SSU557" s="501"/>
      <c r="SSV557" s="501"/>
      <c r="SSW557" s="501"/>
      <c r="SSX557" s="501"/>
      <c r="SSY557" s="501"/>
      <c r="SSZ557" s="501"/>
      <c r="STA557" s="501"/>
      <c r="STB557" s="501"/>
      <c r="STC557" s="501"/>
      <c r="STD557" s="501"/>
      <c r="STE557" s="501"/>
      <c r="STF557" s="501"/>
      <c r="STG557" s="501"/>
      <c r="STH557" s="501"/>
      <c r="STI557" s="501"/>
      <c r="STJ557" s="501"/>
      <c r="STK557" s="501"/>
      <c r="STL557" s="501"/>
      <c r="STM557" s="501"/>
      <c r="STN557" s="501"/>
      <c r="STO557" s="501"/>
      <c r="STP557" s="501"/>
      <c r="STQ557" s="501"/>
      <c r="STR557" s="501"/>
      <c r="STS557" s="501"/>
      <c r="STT557" s="501"/>
      <c r="STU557" s="501"/>
      <c r="STV557" s="501"/>
      <c r="STW557" s="501"/>
      <c r="STX557" s="501"/>
      <c r="STY557" s="501"/>
      <c r="STZ557" s="501"/>
      <c r="SUA557" s="501"/>
      <c r="SUB557" s="501"/>
      <c r="SUC557" s="501"/>
      <c r="SUD557" s="501"/>
      <c r="SUE557" s="501"/>
      <c r="SUF557" s="501"/>
      <c r="SUG557" s="501"/>
      <c r="SUH557" s="501"/>
      <c r="SUI557" s="501"/>
      <c r="SUJ557" s="501"/>
      <c r="SUK557" s="501"/>
      <c r="SUL557" s="501"/>
      <c r="SUM557" s="501"/>
      <c r="SUN557" s="501"/>
      <c r="SUO557" s="501"/>
      <c r="SUP557" s="501"/>
      <c r="SUQ557" s="501"/>
      <c r="SUR557" s="501"/>
      <c r="SUS557" s="501"/>
      <c r="SUT557" s="501"/>
      <c r="SUU557" s="501"/>
      <c r="SUV557" s="501"/>
      <c r="SUW557" s="501"/>
      <c r="SUX557" s="501"/>
      <c r="SUY557" s="501"/>
      <c r="SUZ557" s="501"/>
      <c r="SVA557" s="501"/>
      <c r="SVB557" s="501"/>
      <c r="SVC557" s="501"/>
      <c r="SVD557" s="501"/>
      <c r="SVE557" s="501"/>
      <c r="SVF557" s="501"/>
      <c r="SVG557" s="501"/>
      <c r="SVH557" s="501"/>
      <c r="SVI557" s="501"/>
      <c r="SVJ557" s="501"/>
      <c r="SVK557" s="501"/>
      <c r="SVL557" s="501"/>
      <c r="SVM557" s="501"/>
      <c r="SVN557" s="501"/>
      <c r="SVO557" s="501"/>
      <c r="SVP557" s="501"/>
      <c r="SVQ557" s="501"/>
      <c r="SVR557" s="501"/>
      <c r="SVS557" s="501"/>
      <c r="SVT557" s="501"/>
      <c r="SVU557" s="501"/>
      <c r="SVV557" s="501"/>
      <c r="SVW557" s="501"/>
      <c r="SVX557" s="501"/>
      <c r="SVY557" s="501"/>
      <c r="SVZ557" s="501"/>
      <c r="SWA557" s="501"/>
      <c r="SWB557" s="501"/>
      <c r="SWC557" s="501"/>
      <c r="SWD557" s="501"/>
      <c r="SWE557" s="501"/>
      <c r="SWF557" s="501"/>
      <c r="SWG557" s="501"/>
      <c r="SWH557" s="501"/>
      <c r="SWI557" s="501"/>
      <c r="SWJ557" s="501"/>
      <c r="SWK557" s="501"/>
      <c r="SWL557" s="501"/>
      <c r="SWM557" s="501"/>
      <c r="SWN557" s="501"/>
      <c r="SWO557" s="501"/>
      <c r="SWP557" s="501"/>
      <c r="SWQ557" s="501"/>
      <c r="SWR557" s="501"/>
      <c r="SWS557" s="501"/>
      <c r="SWT557" s="501"/>
      <c r="SWU557" s="501"/>
      <c r="SWV557" s="501"/>
      <c r="SWW557" s="501"/>
      <c r="SWX557" s="501"/>
      <c r="SWY557" s="501"/>
      <c r="SWZ557" s="501"/>
      <c r="SXA557" s="501"/>
      <c r="SXB557" s="501"/>
      <c r="SXC557" s="501"/>
      <c r="SXD557" s="501"/>
      <c r="SXE557" s="501"/>
      <c r="SXF557" s="501"/>
      <c r="SXG557" s="501"/>
      <c r="SXH557" s="501"/>
      <c r="SXI557" s="501"/>
      <c r="SXJ557" s="501"/>
      <c r="SXK557" s="501"/>
      <c r="SXL557" s="501"/>
      <c r="SXM557" s="501"/>
      <c r="SXN557" s="501"/>
      <c r="SXO557" s="501"/>
      <c r="SXP557" s="501"/>
      <c r="SXQ557" s="501"/>
      <c r="SXR557" s="501"/>
      <c r="SXS557" s="501"/>
      <c r="SXT557" s="501"/>
      <c r="SXU557" s="501"/>
      <c r="SXV557" s="501"/>
      <c r="SXW557" s="501"/>
      <c r="SXX557" s="501"/>
      <c r="SXY557" s="501"/>
      <c r="SXZ557" s="501"/>
      <c r="SYA557" s="501"/>
      <c r="SYB557" s="501"/>
      <c r="SYC557" s="501"/>
      <c r="SYD557" s="501"/>
      <c r="SYE557" s="501"/>
      <c r="SYF557" s="501"/>
      <c r="SYG557" s="501"/>
      <c r="SYH557" s="501"/>
      <c r="SYI557" s="501"/>
      <c r="SYJ557" s="501"/>
      <c r="SYK557" s="501"/>
      <c r="SYL557" s="501"/>
      <c r="SYM557" s="501"/>
      <c r="SYN557" s="501"/>
      <c r="SYO557" s="501"/>
      <c r="SYP557" s="501"/>
      <c r="SYQ557" s="501"/>
      <c r="SYR557" s="501"/>
      <c r="SYS557" s="501"/>
      <c r="SYT557" s="501"/>
      <c r="SYU557" s="501"/>
      <c r="SYV557" s="501"/>
      <c r="SYW557" s="501"/>
      <c r="SYX557" s="501"/>
      <c r="SYY557" s="501"/>
      <c r="SYZ557" s="501"/>
      <c r="SZA557" s="501"/>
      <c r="SZB557" s="501"/>
      <c r="SZC557" s="501"/>
      <c r="SZD557" s="501"/>
      <c r="SZE557" s="501"/>
      <c r="SZF557" s="501"/>
      <c r="SZG557" s="501"/>
      <c r="SZH557" s="501"/>
      <c r="SZI557" s="501"/>
      <c r="SZJ557" s="501"/>
      <c r="SZK557" s="501"/>
      <c r="SZL557" s="501"/>
      <c r="SZM557" s="501"/>
      <c r="SZN557" s="501"/>
      <c r="SZO557" s="501"/>
      <c r="SZP557" s="501"/>
      <c r="SZQ557" s="501"/>
      <c r="SZR557" s="501"/>
      <c r="SZS557" s="501"/>
      <c r="SZT557" s="501"/>
      <c r="SZU557" s="501"/>
      <c r="SZV557" s="501"/>
      <c r="SZW557" s="501"/>
      <c r="SZX557" s="501"/>
      <c r="SZY557" s="501"/>
      <c r="SZZ557" s="501"/>
      <c r="TAA557" s="501"/>
      <c r="TAB557" s="501"/>
      <c r="TAC557" s="501"/>
      <c r="TAD557" s="501"/>
      <c r="TAE557" s="501"/>
      <c r="TAF557" s="501"/>
      <c r="TAG557" s="501"/>
      <c r="TAH557" s="501"/>
      <c r="TAI557" s="501"/>
      <c r="TAJ557" s="501"/>
      <c r="TAK557" s="501"/>
      <c r="TAL557" s="501"/>
      <c r="TAM557" s="501"/>
      <c r="TAN557" s="501"/>
      <c r="TAO557" s="501"/>
      <c r="TAP557" s="501"/>
      <c r="TAQ557" s="501"/>
      <c r="TAR557" s="501"/>
      <c r="TAS557" s="501"/>
      <c r="TAT557" s="501"/>
      <c r="TAU557" s="501"/>
      <c r="TAV557" s="501"/>
      <c r="TAW557" s="501"/>
      <c r="TAX557" s="501"/>
      <c r="TAY557" s="501"/>
      <c r="TAZ557" s="501"/>
      <c r="TBA557" s="501"/>
      <c r="TBB557" s="501"/>
      <c r="TBC557" s="501"/>
      <c r="TBD557" s="501"/>
      <c r="TBE557" s="501"/>
      <c r="TBF557" s="501"/>
      <c r="TBG557" s="501"/>
      <c r="TBH557" s="501"/>
      <c r="TBI557" s="501"/>
      <c r="TBJ557" s="501"/>
      <c r="TBK557" s="501"/>
      <c r="TBL557" s="501"/>
      <c r="TBM557" s="501"/>
      <c r="TBN557" s="501"/>
      <c r="TBO557" s="501"/>
      <c r="TBP557" s="501"/>
      <c r="TBQ557" s="501"/>
      <c r="TBR557" s="501"/>
      <c r="TBS557" s="501"/>
      <c r="TBT557" s="501"/>
      <c r="TBU557" s="501"/>
      <c r="TBV557" s="501"/>
      <c r="TBW557" s="501"/>
      <c r="TBX557" s="501"/>
      <c r="TBY557" s="501"/>
      <c r="TBZ557" s="501"/>
      <c r="TCA557" s="501"/>
      <c r="TCB557" s="501"/>
      <c r="TCC557" s="501"/>
      <c r="TCD557" s="501"/>
      <c r="TCE557" s="501"/>
      <c r="TCF557" s="501"/>
      <c r="TCG557" s="501"/>
      <c r="TCH557" s="501"/>
      <c r="TCI557" s="501"/>
      <c r="TCJ557" s="501"/>
      <c r="TCK557" s="501"/>
      <c r="TCL557" s="501"/>
      <c r="TCM557" s="501"/>
      <c r="TCN557" s="501"/>
      <c r="TCO557" s="501"/>
      <c r="TCP557" s="501"/>
      <c r="TCQ557" s="501"/>
      <c r="TCR557" s="501"/>
      <c r="TCS557" s="501"/>
      <c r="TCT557" s="501"/>
      <c r="TCU557" s="501"/>
      <c r="TCV557" s="501"/>
      <c r="TCW557" s="501"/>
      <c r="TCX557" s="501"/>
      <c r="TCY557" s="501"/>
      <c r="TCZ557" s="501"/>
      <c r="TDA557" s="501"/>
      <c r="TDB557" s="501"/>
      <c r="TDC557" s="501"/>
      <c r="TDD557" s="501"/>
      <c r="TDE557" s="501"/>
      <c r="TDF557" s="501"/>
      <c r="TDG557" s="501"/>
      <c r="TDH557" s="501"/>
      <c r="TDI557" s="501"/>
      <c r="TDJ557" s="501"/>
      <c r="TDK557" s="501"/>
      <c r="TDL557" s="501"/>
      <c r="TDM557" s="501"/>
      <c r="TDN557" s="501"/>
      <c r="TDO557" s="501"/>
      <c r="TDP557" s="501"/>
      <c r="TDQ557" s="501"/>
      <c r="TDR557" s="501"/>
      <c r="TDS557" s="501"/>
      <c r="TDT557" s="501"/>
      <c r="TDU557" s="501"/>
      <c r="TDV557" s="501"/>
      <c r="TDW557" s="501"/>
      <c r="TDX557" s="501"/>
      <c r="TDY557" s="501"/>
      <c r="TDZ557" s="501"/>
      <c r="TEA557" s="501"/>
      <c r="TEB557" s="501"/>
      <c r="TEC557" s="501"/>
      <c r="TED557" s="501"/>
      <c r="TEE557" s="501"/>
      <c r="TEF557" s="501"/>
      <c r="TEG557" s="501"/>
      <c r="TEH557" s="501"/>
      <c r="TEI557" s="501"/>
      <c r="TEJ557" s="501"/>
      <c r="TEK557" s="501"/>
      <c r="TEL557" s="501"/>
      <c r="TEM557" s="501"/>
      <c r="TEN557" s="501"/>
      <c r="TEO557" s="501"/>
      <c r="TEP557" s="501"/>
      <c r="TEQ557" s="501"/>
      <c r="TER557" s="501"/>
      <c r="TES557" s="501"/>
      <c r="TET557" s="501"/>
      <c r="TEU557" s="501"/>
      <c r="TEV557" s="501"/>
      <c r="TEW557" s="501"/>
      <c r="TEX557" s="501"/>
      <c r="TEY557" s="501"/>
      <c r="TEZ557" s="501"/>
      <c r="TFA557" s="501"/>
      <c r="TFB557" s="501"/>
      <c r="TFC557" s="501"/>
      <c r="TFD557" s="501"/>
      <c r="TFE557" s="501"/>
      <c r="TFF557" s="501"/>
      <c r="TFG557" s="501"/>
      <c r="TFH557" s="501"/>
      <c r="TFI557" s="501"/>
      <c r="TFJ557" s="501"/>
      <c r="TFK557" s="501"/>
      <c r="TFL557" s="501"/>
      <c r="TFM557" s="501"/>
      <c r="TFN557" s="501"/>
      <c r="TFO557" s="501"/>
      <c r="TFP557" s="501"/>
      <c r="TFQ557" s="501"/>
      <c r="TFR557" s="501"/>
      <c r="TFS557" s="501"/>
      <c r="TFT557" s="501"/>
      <c r="TFU557" s="501"/>
      <c r="TFV557" s="501"/>
      <c r="TFW557" s="501"/>
      <c r="TFX557" s="501"/>
      <c r="TFY557" s="501"/>
      <c r="TFZ557" s="501"/>
      <c r="TGA557" s="501"/>
      <c r="TGB557" s="501"/>
      <c r="TGC557" s="501"/>
      <c r="TGD557" s="501"/>
      <c r="TGE557" s="501"/>
      <c r="TGF557" s="501"/>
      <c r="TGG557" s="501"/>
      <c r="TGH557" s="501"/>
      <c r="TGI557" s="501"/>
      <c r="TGJ557" s="501"/>
      <c r="TGK557" s="501"/>
      <c r="TGL557" s="501"/>
      <c r="TGM557" s="501"/>
      <c r="TGN557" s="501"/>
      <c r="TGO557" s="501"/>
      <c r="TGP557" s="501"/>
      <c r="TGQ557" s="501"/>
      <c r="TGR557" s="501"/>
      <c r="TGS557" s="501"/>
      <c r="TGT557" s="501"/>
      <c r="TGU557" s="501"/>
      <c r="TGV557" s="501"/>
      <c r="TGW557" s="501"/>
      <c r="TGX557" s="501"/>
      <c r="TGY557" s="501"/>
      <c r="TGZ557" s="501"/>
      <c r="THA557" s="501"/>
      <c r="THB557" s="501"/>
      <c r="THC557" s="501"/>
      <c r="THD557" s="501"/>
      <c r="THE557" s="501"/>
      <c r="THF557" s="501"/>
      <c r="THG557" s="501"/>
      <c r="THH557" s="501"/>
      <c r="THI557" s="501"/>
      <c r="THJ557" s="501"/>
      <c r="THK557" s="501"/>
      <c r="THL557" s="501"/>
      <c r="THM557" s="501"/>
      <c r="THN557" s="501"/>
      <c r="THO557" s="501"/>
      <c r="THP557" s="501"/>
      <c r="THQ557" s="501"/>
      <c r="THR557" s="501"/>
      <c r="THS557" s="501"/>
      <c r="THT557" s="501"/>
      <c r="THU557" s="501"/>
      <c r="THV557" s="501"/>
      <c r="THW557" s="501"/>
      <c r="THX557" s="501"/>
      <c r="THY557" s="501"/>
      <c r="THZ557" s="501"/>
      <c r="TIA557" s="501"/>
      <c r="TIB557" s="501"/>
      <c r="TIC557" s="501"/>
      <c r="TID557" s="501"/>
      <c r="TIE557" s="501"/>
      <c r="TIF557" s="501"/>
      <c r="TIG557" s="501"/>
      <c r="TIH557" s="501"/>
      <c r="TII557" s="501"/>
      <c r="TIJ557" s="501"/>
      <c r="TIK557" s="501"/>
      <c r="TIL557" s="501"/>
      <c r="TIM557" s="501"/>
      <c r="TIN557" s="501"/>
      <c r="TIO557" s="501"/>
      <c r="TIP557" s="501"/>
      <c r="TIQ557" s="501"/>
      <c r="TIR557" s="501"/>
      <c r="TIS557" s="501"/>
      <c r="TIT557" s="501"/>
      <c r="TIU557" s="501"/>
      <c r="TIV557" s="501"/>
      <c r="TIW557" s="501"/>
      <c r="TIX557" s="501"/>
      <c r="TIY557" s="501"/>
      <c r="TIZ557" s="501"/>
      <c r="TJA557" s="501"/>
      <c r="TJB557" s="501"/>
      <c r="TJC557" s="501"/>
      <c r="TJD557" s="501"/>
      <c r="TJE557" s="501"/>
      <c r="TJF557" s="501"/>
      <c r="TJG557" s="501"/>
      <c r="TJH557" s="501"/>
      <c r="TJI557" s="501"/>
      <c r="TJJ557" s="501"/>
      <c r="TJK557" s="501"/>
      <c r="TJL557" s="501"/>
      <c r="TJM557" s="501"/>
      <c r="TJN557" s="501"/>
      <c r="TJO557" s="501"/>
      <c r="TJP557" s="501"/>
      <c r="TJQ557" s="501"/>
      <c r="TJR557" s="501"/>
      <c r="TJS557" s="501"/>
      <c r="TJT557" s="501"/>
      <c r="TJU557" s="501"/>
      <c r="TJV557" s="501"/>
      <c r="TJW557" s="501"/>
      <c r="TJX557" s="501"/>
      <c r="TJY557" s="501"/>
      <c r="TJZ557" s="501"/>
      <c r="TKA557" s="501"/>
      <c r="TKB557" s="501"/>
      <c r="TKC557" s="501"/>
      <c r="TKD557" s="501"/>
      <c r="TKE557" s="501"/>
      <c r="TKF557" s="501"/>
      <c r="TKG557" s="501"/>
      <c r="TKH557" s="501"/>
      <c r="TKI557" s="501"/>
      <c r="TKJ557" s="501"/>
      <c r="TKK557" s="501"/>
      <c r="TKL557" s="501"/>
      <c r="TKM557" s="501"/>
      <c r="TKN557" s="501"/>
      <c r="TKO557" s="501"/>
      <c r="TKP557" s="501"/>
      <c r="TKQ557" s="501"/>
      <c r="TKR557" s="501"/>
      <c r="TKS557" s="501"/>
      <c r="TKT557" s="501"/>
      <c r="TKU557" s="501"/>
      <c r="TKV557" s="501"/>
      <c r="TKW557" s="501"/>
      <c r="TKX557" s="501"/>
      <c r="TKY557" s="501"/>
      <c r="TKZ557" s="501"/>
      <c r="TLA557" s="501"/>
      <c r="TLB557" s="501"/>
      <c r="TLC557" s="501"/>
      <c r="TLD557" s="501"/>
      <c r="TLE557" s="501"/>
      <c r="TLF557" s="501"/>
      <c r="TLG557" s="501"/>
      <c r="TLH557" s="501"/>
      <c r="TLI557" s="501"/>
      <c r="TLJ557" s="501"/>
      <c r="TLK557" s="501"/>
      <c r="TLL557" s="501"/>
      <c r="TLM557" s="501"/>
      <c r="TLN557" s="501"/>
      <c r="TLO557" s="501"/>
      <c r="TLP557" s="501"/>
      <c r="TLQ557" s="501"/>
      <c r="TLR557" s="501"/>
      <c r="TLS557" s="501"/>
      <c r="TLT557" s="501"/>
      <c r="TLU557" s="501"/>
      <c r="TLV557" s="501"/>
      <c r="TLW557" s="501"/>
      <c r="TLX557" s="501"/>
      <c r="TLY557" s="501"/>
      <c r="TLZ557" s="501"/>
      <c r="TMA557" s="501"/>
      <c r="TMB557" s="501"/>
      <c r="TMC557" s="501"/>
      <c r="TMD557" s="501"/>
      <c r="TME557" s="501"/>
      <c r="TMF557" s="501"/>
      <c r="TMG557" s="501"/>
      <c r="TMH557" s="501"/>
      <c r="TMI557" s="501"/>
      <c r="TMJ557" s="501"/>
      <c r="TMK557" s="501"/>
      <c r="TML557" s="501"/>
      <c r="TMM557" s="501"/>
      <c r="TMN557" s="501"/>
      <c r="TMO557" s="501"/>
      <c r="TMP557" s="501"/>
      <c r="TMQ557" s="501"/>
      <c r="TMR557" s="501"/>
      <c r="TMS557" s="501"/>
      <c r="TMT557" s="501"/>
      <c r="TMU557" s="501"/>
      <c r="TMV557" s="501"/>
      <c r="TMW557" s="501"/>
      <c r="TMX557" s="501"/>
      <c r="TMY557" s="501"/>
      <c r="TMZ557" s="501"/>
      <c r="TNA557" s="501"/>
      <c r="TNB557" s="501"/>
      <c r="TNC557" s="501"/>
      <c r="TND557" s="501"/>
      <c r="TNE557" s="501"/>
      <c r="TNF557" s="501"/>
      <c r="TNG557" s="501"/>
      <c r="TNH557" s="501"/>
      <c r="TNI557" s="501"/>
      <c r="TNJ557" s="501"/>
      <c r="TNK557" s="501"/>
      <c r="TNL557" s="501"/>
      <c r="TNM557" s="501"/>
      <c r="TNN557" s="501"/>
      <c r="TNO557" s="501"/>
      <c r="TNP557" s="501"/>
      <c r="TNQ557" s="501"/>
      <c r="TNR557" s="501"/>
      <c r="TNS557" s="501"/>
      <c r="TNT557" s="501"/>
      <c r="TNU557" s="501"/>
      <c r="TNV557" s="501"/>
      <c r="TNW557" s="501"/>
      <c r="TNX557" s="501"/>
      <c r="TNY557" s="501"/>
      <c r="TNZ557" s="501"/>
      <c r="TOA557" s="501"/>
      <c r="TOB557" s="501"/>
      <c r="TOC557" s="501"/>
      <c r="TOD557" s="501"/>
      <c r="TOE557" s="501"/>
      <c r="TOF557" s="501"/>
      <c r="TOG557" s="501"/>
      <c r="TOH557" s="501"/>
      <c r="TOI557" s="501"/>
      <c r="TOJ557" s="501"/>
      <c r="TOK557" s="501"/>
      <c r="TOL557" s="501"/>
      <c r="TOM557" s="501"/>
      <c r="TON557" s="501"/>
      <c r="TOO557" s="501"/>
      <c r="TOP557" s="501"/>
      <c r="TOQ557" s="501"/>
      <c r="TOR557" s="501"/>
      <c r="TOS557" s="501"/>
      <c r="TOT557" s="501"/>
      <c r="TOU557" s="501"/>
      <c r="TOV557" s="501"/>
      <c r="TOW557" s="501"/>
      <c r="TOX557" s="501"/>
      <c r="TOY557" s="501"/>
      <c r="TOZ557" s="501"/>
      <c r="TPA557" s="501"/>
      <c r="TPB557" s="501"/>
      <c r="TPC557" s="501"/>
      <c r="TPD557" s="501"/>
      <c r="TPE557" s="501"/>
      <c r="TPF557" s="501"/>
      <c r="TPG557" s="501"/>
      <c r="TPH557" s="501"/>
      <c r="TPI557" s="501"/>
      <c r="TPJ557" s="501"/>
      <c r="TPK557" s="501"/>
      <c r="TPL557" s="501"/>
      <c r="TPM557" s="501"/>
      <c r="TPN557" s="501"/>
      <c r="TPO557" s="501"/>
      <c r="TPP557" s="501"/>
      <c r="TPQ557" s="501"/>
      <c r="TPR557" s="501"/>
      <c r="TPS557" s="501"/>
      <c r="TPT557" s="501"/>
      <c r="TPU557" s="501"/>
      <c r="TPV557" s="501"/>
      <c r="TPW557" s="501"/>
      <c r="TPX557" s="501"/>
      <c r="TPY557" s="501"/>
      <c r="TPZ557" s="501"/>
      <c r="TQA557" s="501"/>
      <c r="TQB557" s="501"/>
      <c r="TQC557" s="501"/>
      <c r="TQD557" s="501"/>
      <c r="TQE557" s="501"/>
      <c r="TQF557" s="501"/>
      <c r="TQG557" s="501"/>
      <c r="TQH557" s="501"/>
      <c r="TQI557" s="501"/>
      <c r="TQJ557" s="501"/>
      <c r="TQK557" s="501"/>
      <c r="TQL557" s="501"/>
      <c r="TQM557" s="501"/>
      <c r="TQN557" s="501"/>
      <c r="TQO557" s="501"/>
      <c r="TQP557" s="501"/>
      <c r="TQQ557" s="501"/>
      <c r="TQR557" s="501"/>
      <c r="TQS557" s="501"/>
      <c r="TQT557" s="501"/>
      <c r="TQU557" s="501"/>
      <c r="TQV557" s="501"/>
      <c r="TQW557" s="501"/>
      <c r="TQX557" s="501"/>
      <c r="TQY557" s="501"/>
      <c r="TQZ557" s="501"/>
      <c r="TRA557" s="501"/>
      <c r="TRB557" s="501"/>
      <c r="TRC557" s="501"/>
      <c r="TRD557" s="501"/>
      <c r="TRE557" s="501"/>
      <c r="TRF557" s="501"/>
      <c r="TRG557" s="501"/>
      <c r="TRH557" s="501"/>
      <c r="TRI557" s="501"/>
      <c r="TRJ557" s="501"/>
      <c r="TRK557" s="501"/>
      <c r="TRL557" s="501"/>
      <c r="TRM557" s="501"/>
      <c r="TRN557" s="501"/>
      <c r="TRO557" s="501"/>
      <c r="TRP557" s="501"/>
      <c r="TRQ557" s="501"/>
      <c r="TRR557" s="501"/>
      <c r="TRS557" s="501"/>
      <c r="TRT557" s="501"/>
      <c r="TRU557" s="501"/>
      <c r="TRV557" s="501"/>
      <c r="TRW557" s="501"/>
      <c r="TRX557" s="501"/>
      <c r="TRY557" s="501"/>
      <c r="TRZ557" s="501"/>
      <c r="TSA557" s="501"/>
      <c r="TSB557" s="501"/>
      <c r="TSC557" s="501"/>
      <c r="TSD557" s="501"/>
      <c r="TSE557" s="501"/>
      <c r="TSF557" s="501"/>
      <c r="TSG557" s="501"/>
      <c r="TSH557" s="501"/>
      <c r="TSI557" s="501"/>
      <c r="TSJ557" s="501"/>
      <c r="TSK557" s="501"/>
      <c r="TSL557" s="501"/>
      <c r="TSM557" s="501"/>
      <c r="TSN557" s="501"/>
      <c r="TSO557" s="501"/>
      <c r="TSP557" s="501"/>
      <c r="TSQ557" s="501"/>
      <c r="TSR557" s="501"/>
      <c r="TSS557" s="501"/>
      <c r="TST557" s="501"/>
      <c r="TSU557" s="501"/>
      <c r="TSV557" s="501"/>
      <c r="TSW557" s="501"/>
      <c r="TSX557" s="501"/>
      <c r="TSY557" s="501"/>
      <c r="TSZ557" s="501"/>
      <c r="TTA557" s="501"/>
      <c r="TTB557" s="501"/>
      <c r="TTC557" s="501"/>
      <c r="TTD557" s="501"/>
      <c r="TTE557" s="501"/>
      <c r="TTF557" s="501"/>
      <c r="TTG557" s="501"/>
      <c r="TTH557" s="501"/>
      <c r="TTI557" s="501"/>
      <c r="TTJ557" s="501"/>
      <c r="TTK557" s="501"/>
      <c r="TTL557" s="501"/>
      <c r="TTM557" s="501"/>
      <c r="TTN557" s="501"/>
      <c r="TTO557" s="501"/>
      <c r="TTP557" s="501"/>
      <c r="TTQ557" s="501"/>
      <c r="TTR557" s="501"/>
      <c r="TTS557" s="501"/>
      <c r="TTT557" s="501"/>
      <c r="TTU557" s="501"/>
      <c r="TTV557" s="501"/>
      <c r="TTW557" s="501"/>
      <c r="TTX557" s="501"/>
      <c r="TTY557" s="501"/>
      <c r="TTZ557" s="501"/>
      <c r="TUA557" s="501"/>
      <c r="TUB557" s="501"/>
      <c r="TUC557" s="501"/>
      <c r="TUD557" s="501"/>
      <c r="TUE557" s="501"/>
      <c r="TUF557" s="501"/>
      <c r="TUG557" s="501"/>
      <c r="TUH557" s="501"/>
      <c r="TUI557" s="501"/>
      <c r="TUJ557" s="501"/>
      <c r="TUK557" s="501"/>
      <c r="TUL557" s="501"/>
      <c r="TUM557" s="501"/>
      <c r="TUN557" s="501"/>
      <c r="TUO557" s="501"/>
      <c r="TUP557" s="501"/>
      <c r="TUQ557" s="501"/>
      <c r="TUR557" s="501"/>
      <c r="TUS557" s="501"/>
      <c r="TUT557" s="501"/>
      <c r="TUU557" s="501"/>
      <c r="TUV557" s="501"/>
      <c r="TUW557" s="501"/>
      <c r="TUX557" s="501"/>
      <c r="TUY557" s="501"/>
      <c r="TUZ557" s="501"/>
      <c r="TVA557" s="501"/>
      <c r="TVB557" s="501"/>
      <c r="TVC557" s="501"/>
      <c r="TVD557" s="501"/>
      <c r="TVE557" s="501"/>
      <c r="TVF557" s="501"/>
      <c r="TVG557" s="501"/>
      <c r="TVH557" s="501"/>
      <c r="TVI557" s="501"/>
      <c r="TVJ557" s="501"/>
      <c r="TVK557" s="501"/>
      <c r="TVL557" s="501"/>
      <c r="TVM557" s="501"/>
      <c r="TVN557" s="501"/>
      <c r="TVO557" s="501"/>
      <c r="TVP557" s="501"/>
      <c r="TVQ557" s="501"/>
      <c r="TVR557" s="501"/>
      <c r="TVS557" s="501"/>
      <c r="TVT557" s="501"/>
      <c r="TVU557" s="501"/>
      <c r="TVV557" s="501"/>
      <c r="TVW557" s="501"/>
      <c r="TVX557" s="501"/>
      <c r="TVY557" s="501"/>
      <c r="TVZ557" s="501"/>
      <c r="TWA557" s="501"/>
      <c r="TWB557" s="501"/>
      <c r="TWC557" s="501"/>
      <c r="TWD557" s="501"/>
      <c r="TWE557" s="501"/>
      <c r="TWF557" s="501"/>
      <c r="TWG557" s="501"/>
      <c r="TWH557" s="501"/>
      <c r="TWI557" s="501"/>
      <c r="TWJ557" s="501"/>
      <c r="TWK557" s="501"/>
      <c r="TWL557" s="501"/>
      <c r="TWM557" s="501"/>
      <c r="TWN557" s="501"/>
      <c r="TWO557" s="501"/>
      <c r="TWP557" s="501"/>
      <c r="TWQ557" s="501"/>
      <c r="TWR557" s="501"/>
      <c r="TWS557" s="501"/>
      <c r="TWT557" s="501"/>
      <c r="TWU557" s="501"/>
      <c r="TWV557" s="501"/>
      <c r="TWW557" s="501"/>
      <c r="TWX557" s="501"/>
      <c r="TWY557" s="501"/>
      <c r="TWZ557" s="501"/>
      <c r="TXA557" s="501"/>
      <c r="TXB557" s="501"/>
      <c r="TXC557" s="501"/>
      <c r="TXD557" s="501"/>
      <c r="TXE557" s="501"/>
      <c r="TXF557" s="501"/>
      <c r="TXG557" s="501"/>
      <c r="TXH557" s="501"/>
      <c r="TXI557" s="501"/>
      <c r="TXJ557" s="501"/>
      <c r="TXK557" s="501"/>
      <c r="TXL557" s="501"/>
      <c r="TXM557" s="501"/>
      <c r="TXN557" s="501"/>
      <c r="TXO557" s="501"/>
      <c r="TXP557" s="501"/>
      <c r="TXQ557" s="501"/>
      <c r="TXR557" s="501"/>
      <c r="TXS557" s="501"/>
      <c r="TXT557" s="501"/>
      <c r="TXU557" s="501"/>
      <c r="TXV557" s="501"/>
      <c r="TXW557" s="501"/>
      <c r="TXX557" s="501"/>
      <c r="TXY557" s="501"/>
      <c r="TXZ557" s="501"/>
      <c r="TYA557" s="501"/>
      <c r="TYB557" s="501"/>
      <c r="TYC557" s="501"/>
      <c r="TYD557" s="501"/>
      <c r="TYE557" s="501"/>
      <c r="TYF557" s="501"/>
      <c r="TYG557" s="501"/>
      <c r="TYH557" s="501"/>
      <c r="TYI557" s="501"/>
      <c r="TYJ557" s="501"/>
      <c r="TYK557" s="501"/>
      <c r="TYL557" s="501"/>
      <c r="TYM557" s="501"/>
      <c r="TYN557" s="501"/>
      <c r="TYO557" s="501"/>
      <c r="TYP557" s="501"/>
      <c r="TYQ557" s="501"/>
      <c r="TYR557" s="501"/>
      <c r="TYS557" s="501"/>
      <c r="TYT557" s="501"/>
      <c r="TYU557" s="501"/>
      <c r="TYV557" s="501"/>
      <c r="TYW557" s="501"/>
      <c r="TYX557" s="501"/>
      <c r="TYY557" s="501"/>
      <c r="TYZ557" s="501"/>
      <c r="TZA557" s="501"/>
      <c r="TZB557" s="501"/>
      <c r="TZC557" s="501"/>
      <c r="TZD557" s="501"/>
      <c r="TZE557" s="501"/>
      <c r="TZF557" s="501"/>
      <c r="TZG557" s="501"/>
      <c r="TZH557" s="501"/>
      <c r="TZI557" s="501"/>
      <c r="TZJ557" s="501"/>
      <c r="TZK557" s="501"/>
      <c r="TZL557" s="501"/>
      <c r="TZM557" s="501"/>
      <c r="TZN557" s="501"/>
      <c r="TZO557" s="501"/>
      <c r="TZP557" s="501"/>
      <c r="TZQ557" s="501"/>
      <c r="TZR557" s="501"/>
      <c r="TZS557" s="501"/>
      <c r="TZT557" s="501"/>
      <c r="TZU557" s="501"/>
      <c r="TZV557" s="501"/>
      <c r="TZW557" s="501"/>
      <c r="TZX557" s="501"/>
      <c r="TZY557" s="501"/>
      <c r="TZZ557" s="501"/>
      <c r="UAA557" s="501"/>
      <c r="UAB557" s="501"/>
      <c r="UAC557" s="501"/>
      <c r="UAD557" s="501"/>
      <c r="UAE557" s="501"/>
      <c r="UAF557" s="501"/>
      <c r="UAG557" s="501"/>
      <c r="UAH557" s="501"/>
      <c r="UAI557" s="501"/>
      <c r="UAJ557" s="501"/>
      <c r="UAK557" s="501"/>
      <c r="UAL557" s="501"/>
      <c r="UAM557" s="501"/>
      <c r="UAN557" s="501"/>
      <c r="UAO557" s="501"/>
      <c r="UAP557" s="501"/>
      <c r="UAQ557" s="501"/>
      <c r="UAR557" s="501"/>
      <c r="UAS557" s="501"/>
      <c r="UAT557" s="501"/>
      <c r="UAU557" s="501"/>
      <c r="UAV557" s="501"/>
      <c r="UAW557" s="501"/>
      <c r="UAX557" s="501"/>
      <c r="UAY557" s="501"/>
      <c r="UAZ557" s="501"/>
      <c r="UBA557" s="501"/>
      <c r="UBB557" s="501"/>
      <c r="UBC557" s="501"/>
      <c r="UBD557" s="501"/>
      <c r="UBE557" s="501"/>
      <c r="UBF557" s="501"/>
      <c r="UBG557" s="501"/>
      <c r="UBH557" s="501"/>
      <c r="UBI557" s="501"/>
      <c r="UBJ557" s="501"/>
      <c r="UBK557" s="501"/>
      <c r="UBL557" s="501"/>
      <c r="UBM557" s="501"/>
      <c r="UBN557" s="501"/>
      <c r="UBO557" s="501"/>
      <c r="UBP557" s="501"/>
      <c r="UBQ557" s="501"/>
      <c r="UBR557" s="501"/>
      <c r="UBS557" s="501"/>
      <c r="UBT557" s="501"/>
      <c r="UBU557" s="501"/>
      <c r="UBV557" s="501"/>
      <c r="UBW557" s="501"/>
      <c r="UBX557" s="501"/>
      <c r="UBY557" s="501"/>
      <c r="UBZ557" s="501"/>
      <c r="UCA557" s="501"/>
      <c r="UCB557" s="501"/>
      <c r="UCC557" s="501"/>
      <c r="UCD557" s="501"/>
      <c r="UCE557" s="501"/>
      <c r="UCF557" s="501"/>
      <c r="UCG557" s="501"/>
      <c r="UCH557" s="501"/>
      <c r="UCI557" s="501"/>
      <c r="UCJ557" s="501"/>
      <c r="UCK557" s="501"/>
      <c r="UCL557" s="501"/>
      <c r="UCM557" s="501"/>
      <c r="UCN557" s="501"/>
      <c r="UCO557" s="501"/>
      <c r="UCP557" s="501"/>
      <c r="UCQ557" s="501"/>
      <c r="UCR557" s="501"/>
      <c r="UCS557" s="501"/>
      <c r="UCT557" s="501"/>
      <c r="UCU557" s="501"/>
      <c r="UCV557" s="501"/>
      <c r="UCW557" s="501"/>
      <c r="UCX557" s="501"/>
      <c r="UCY557" s="501"/>
      <c r="UCZ557" s="501"/>
      <c r="UDA557" s="501"/>
      <c r="UDB557" s="501"/>
      <c r="UDC557" s="501"/>
      <c r="UDD557" s="501"/>
      <c r="UDE557" s="501"/>
      <c r="UDF557" s="501"/>
      <c r="UDG557" s="501"/>
      <c r="UDH557" s="501"/>
      <c r="UDI557" s="501"/>
      <c r="UDJ557" s="501"/>
      <c r="UDK557" s="501"/>
      <c r="UDL557" s="501"/>
      <c r="UDM557" s="501"/>
      <c r="UDN557" s="501"/>
      <c r="UDO557" s="501"/>
      <c r="UDP557" s="501"/>
      <c r="UDQ557" s="501"/>
      <c r="UDR557" s="501"/>
      <c r="UDS557" s="501"/>
      <c r="UDT557" s="501"/>
      <c r="UDU557" s="501"/>
      <c r="UDV557" s="501"/>
      <c r="UDW557" s="501"/>
      <c r="UDX557" s="501"/>
      <c r="UDY557" s="501"/>
      <c r="UDZ557" s="501"/>
      <c r="UEA557" s="501"/>
      <c r="UEB557" s="501"/>
      <c r="UEC557" s="501"/>
      <c r="UED557" s="501"/>
      <c r="UEE557" s="501"/>
      <c r="UEF557" s="501"/>
      <c r="UEG557" s="501"/>
      <c r="UEH557" s="501"/>
      <c r="UEI557" s="501"/>
      <c r="UEJ557" s="501"/>
      <c r="UEK557" s="501"/>
      <c r="UEL557" s="501"/>
      <c r="UEM557" s="501"/>
      <c r="UEN557" s="501"/>
      <c r="UEO557" s="501"/>
      <c r="UEP557" s="501"/>
      <c r="UEQ557" s="501"/>
      <c r="UER557" s="501"/>
      <c r="UES557" s="501"/>
      <c r="UET557" s="501"/>
      <c r="UEU557" s="501"/>
      <c r="UEV557" s="501"/>
      <c r="UEW557" s="501"/>
      <c r="UEX557" s="501"/>
      <c r="UEY557" s="501"/>
      <c r="UEZ557" s="501"/>
      <c r="UFA557" s="501"/>
      <c r="UFB557" s="501"/>
      <c r="UFC557" s="501"/>
      <c r="UFD557" s="501"/>
      <c r="UFE557" s="501"/>
      <c r="UFF557" s="501"/>
      <c r="UFG557" s="501"/>
      <c r="UFH557" s="501"/>
      <c r="UFI557" s="501"/>
      <c r="UFJ557" s="501"/>
      <c r="UFK557" s="501"/>
      <c r="UFL557" s="501"/>
      <c r="UFM557" s="501"/>
      <c r="UFN557" s="501"/>
      <c r="UFO557" s="501"/>
      <c r="UFP557" s="501"/>
      <c r="UFQ557" s="501"/>
      <c r="UFR557" s="501"/>
      <c r="UFS557" s="501"/>
      <c r="UFT557" s="501"/>
      <c r="UFU557" s="501"/>
      <c r="UFV557" s="501"/>
      <c r="UFW557" s="501"/>
      <c r="UFX557" s="501"/>
      <c r="UFY557" s="501"/>
      <c r="UFZ557" s="501"/>
      <c r="UGA557" s="501"/>
      <c r="UGB557" s="501"/>
      <c r="UGC557" s="501"/>
      <c r="UGD557" s="501"/>
      <c r="UGE557" s="501"/>
      <c r="UGF557" s="501"/>
      <c r="UGG557" s="501"/>
      <c r="UGH557" s="501"/>
      <c r="UGI557" s="501"/>
      <c r="UGJ557" s="501"/>
      <c r="UGK557" s="501"/>
      <c r="UGL557" s="501"/>
      <c r="UGM557" s="501"/>
      <c r="UGN557" s="501"/>
      <c r="UGO557" s="501"/>
      <c r="UGP557" s="501"/>
      <c r="UGQ557" s="501"/>
      <c r="UGR557" s="501"/>
      <c r="UGS557" s="501"/>
      <c r="UGT557" s="501"/>
      <c r="UGU557" s="501"/>
      <c r="UGV557" s="501"/>
      <c r="UGW557" s="501"/>
      <c r="UGX557" s="501"/>
      <c r="UGY557" s="501"/>
      <c r="UGZ557" s="501"/>
      <c r="UHA557" s="501"/>
      <c r="UHB557" s="501"/>
      <c r="UHC557" s="501"/>
      <c r="UHD557" s="501"/>
      <c r="UHE557" s="501"/>
      <c r="UHF557" s="501"/>
      <c r="UHG557" s="501"/>
      <c r="UHH557" s="501"/>
      <c r="UHI557" s="501"/>
      <c r="UHJ557" s="501"/>
      <c r="UHK557" s="501"/>
      <c r="UHL557" s="501"/>
      <c r="UHM557" s="501"/>
      <c r="UHN557" s="501"/>
      <c r="UHO557" s="501"/>
      <c r="UHP557" s="501"/>
      <c r="UHQ557" s="501"/>
      <c r="UHR557" s="501"/>
      <c r="UHS557" s="501"/>
      <c r="UHT557" s="501"/>
      <c r="UHU557" s="501"/>
      <c r="UHV557" s="501"/>
      <c r="UHW557" s="501"/>
      <c r="UHX557" s="501"/>
      <c r="UHY557" s="501"/>
      <c r="UHZ557" s="501"/>
      <c r="UIA557" s="501"/>
      <c r="UIB557" s="501"/>
      <c r="UIC557" s="501"/>
      <c r="UID557" s="501"/>
      <c r="UIE557" s="501"/>
      <c r="UIF557" s="501"/>
      <c r="UIG557" s="501"/>
      <c r="UIH557" s="501"/>
      <c r="UII557" s="501"/>
      <c r="UIJ557" s="501"/>
      <c r="UIK557" s="501"/>
      <c r="UIL557" s="501"/>
      <c r="UIM557" s="501"/>
      <c r="UIN557" s="501"/>
      <c r="UIO557" s="501"/>
      <c r="UIP557" s="501"/>
      <c r="UIQ557" s="501"/>
      <c r="UIR557" s="501"/>
      <c r="UIS557" s="501"/>
      <c r="UIT557" s="501"/>
      <c r="UIU557" s="501"/>
      <c r="UIV557" s="501"/>
      <c r="UIW557" s="501"/>
      <c r="UIX557" s="501"/>
      <c r="UIY557" s="501"/>
      <c r="UIZ557" s="501"/>
      <c r="UJA557" s="501"/>
      <c r="UJB557" s="501"/>
      <c r="UJC557" s="501"/>
      <c r="UJD557" s="501"/>
      <c r="UJE557" s="501"/>
      <c r="UJF557" s="501"/>
      <c r="UJG557" s="501"/>
      <c r="UJH557" s="501"/>
      <c r="UJI557" s="501"/>
      <c r="UJJ557" s="501"/>
      <c r="UJK557" s="501"/>
      <c r="UJL557" s="501"/>
      <c r="UJM557" s="501"/>
      <c r="UJN557" s="501"/>
      <c r="UJO557" s="501"/>
      <c r="UJP557" s="501"/>
      <c r="UJQ557" s="501"/>
      <c r="UJR557" s="501"/>
      <c r="UJS557" s="501"/>
      <c r="UJT557" s="501"/>
      <c r="UJU557" s="501"/>
      <c r="UJV557" s="501"/>
      <c r="UJW557" s="501"/>
      <c r="UJX557" s="501"/>
      <c r="UJY557" s="501"/>
      <c r="UJZ557" s="501"/>
      <c r="UKA557" s="501"/>
      <c r="UKB557" s="501"/>
      <c r="UKC557" s="501"/>
      <c r="UKD557" s="501"/>
      <c r="UKE557" s="501"/>
      <c r="UKF557" s="501"/>
      <c r="UKG557" s="501"/>
      <c r="UKH557" s="501"/>
      <c r="UKI557" s="501"/>
      <c r="UKJ557" s="501"/>
      <c r="UKK557" s="501"/>
      <c r="UKL557" s="501"/>
      <c r="UKM557" s="501"/>
      <c r="UKN557" s="501"/>
      <c r="UKO557" s="501"/>
      <c r="UKP557" s="501"/>
      <c r="UKQ557" s="501"/>
      <c r="UKR557" s="501"/>
      <c r="UKS557" s="501"/>
      <c r="UKT557" s="501"/>
      <c r="UKU557" s="501"/>
      <c r="UKV557" s="501"/>
      <c r="UKW557" s="501"/>
      <c r="UKX557" s="501"/>
      <c r="UKY557" s="501"/>
      <c r="UKZ557" s="501"/>
      <c r="ULA557" s="501"/>
      <c r="ULB557" s="501"/>
      <c r="ULC557" s="501"/>
      <c r="ULD557" s="501"/>
      <c r="ULE557" s="501"/>
      <c r="ULF557" s="501"/>
      <c r="ULG557" s="501"/>
      <c r="ULH557" s="501"/>
      <c r="ULI557" s="501"/>
      <c r="ULJ557" s="501"/>
      <c r="ULK557" s="501"/>
      <c r="ULL557" s="501"/>
      <c r="ULM557" s="501"/>
      <c r="ULN557" s="501"/>
      <c r="ULO557" s="501"/>
      <c r="ULP557" s="501"/>
      <c r="ULQ557" s="501"/>
      <c r="ULR557" s="501"/>
      <c r="ULS557" s="501"/>
      <c r="ULT557" s="501"/>
      <c r="ULU557" s="501"/>
      <c r="ULV557" s="501"/>
      <c r="ULW557" s="501"/>
      <c r="ULX557" s="501"/>
      <c r="ULY557" s="501"/>
      <c r="ULZ557" s="501"/>
      <c r="UMA557" s="501"/>
      <c r="UMB557" s="501"/>
      <c r="UMC557" s="501"/>
      <c r="UMD557" s="501"/>
      <c r="UME557" s="501"/>
      <c r="UMF557" s="501"/>
      <c r="UMG557" s="501"/>
      <c r="UMH557" s="501"/>
      <c r="UMI557" s="501"/>
      <c r="UMJ557" s="501"/>
      <c r="UMK557" s="501"/>
      <c r="UML557" s="501"/>
      <c r="UMM557" s="501"/>
      <c r="UMN557" s="501"/>
      <c r="UMO557" s="501"/>
      <c r="UMP557" s="501"/>
      <c r="UMQ557" s="501"/>
      <c r="UMR557" s="501"/>
      <c r="UMS557" s="501"/>
      <c r="UMT557" s="501"/>
      <c r="UMU557" s="501"/>
      <c r="UMV557" s="501"/>
      <c r="UMW557" s="501"/>
      <c r="UMX557" s="501"/>
      <c r="UMY557" s="501"/>
      <c r="UMZ557" s="501"/>
      <c r="UNA557" s="501"/>
      <c r="UNB557" s="501"/>
      <c r="UNC557" s="501"/>
      <c r="UND557" s="501"/>
      <c r="UNE557" s="501"/>
      <c r="UNF557" s="501"/>
      <c r="UNG557" s="501"/>
      <c r="UNH557" s="501"/>
      <c r="UNI557" s="501"/>
      <c r="UNJ557" s="501"/>
      <c r="UNK557" s="501"/>
      <c r="UNL557" s="501"/>
      <c r="UNM557" s="501"/>
      <c r="UNN557" s="501"/>
      <c r="UNO557" s="501"/>
      <c r="UNP557" s="501"/>
      <c r="UNQ557" s="501"/>
      <c r="UNR557" s="501"/>
      <c r="UNS557" s="501"/>
      <c r="UNT557" s="501"/>
      <c r="UNU557" s="501"/>
      <c r="UNV557" s="501"/>
      <c r="UNW557" s="501"/>
      <c r="UNX557" s="501"/>
      <c r="UNY557" s="501"/>
      <c r="UNZ557" s="501"/>
      <c r="UOA557" s="501"/>
      <c r="UOB557" s="501"/>
      <c r="UOC557" s="501"/>
      <c r="UOD557" s="501"/>
      <c r="UOE557" s="501"/>
      <c r="UOF557" s="501"/>
      <c r="UOG557" s="501"/>
      <c r="UOH557" s="501"/>
      <c r="UOI557" s="501"/>
      <c r="UOJ557" s="501"/>
      <c r="UOK557" s="501"/>
      <c r="UOL557" s="501"/>
      <c r="UOM557" s="501"/>
      <c r="UON557" s="501"/>
      <c r="UOO557" s="501"/>
      <c r="UOP557" s="501"/>
      <c r="UOQ557" s="501"/>
      <c r="UOR557" s="501"/>
      <c r="UOS557" s="501"/>
      <c r="UOT557" s="501"/>
      <c r="UOU557" s="501"/>
      <c r="UOV557" s="501"/>
      <c r="UOW557" s="501"/>
      <c r="UOX557" s="501"/>
      <c r="UOY557" s="501"/>
      <c r="UOZ557" s="501"/>
      <c r="UPA557" s="501"/>
      <c r="UPB557" s="501"/>
      <c r="UPC557" s="501"/>
      <c r="UPD557" s="501"/>
      <c r="UPE557" s="501"/>
      <c r="UPF557" s="501"/>
      <c r="UPG557" s="501"/>
      <c r="UPH557" s="501"/>
      <c r="UPI557" s="501"/>
      <c r="UPJ557" s="501"/>
      <c r="UPK557" s="501"/>
      <c r="UPL557" s="501"/>
      <c r="UPM557" s="501"/>
      <c r="UPN557" s="501"/>
      <c r="UPO557" s="501"/>
      <c r="UPP557" s="501"/>
      <c r="UPQ557" s="501"/>
      <c r="UPR557" s="501"/>
      <c r="UPS557" s="501"/>
      <c r="UPT557" s="501"/>
      <c r="UPU557" s="501"/>
      <c r="UPV557" s="501"/>
      <c r="UPW557" s="501"/>
      <c r="UPX557" s="501"/>
      <c r="UPY557" s="501"/>
      <c r="UPZ557" s="501"/>
      <c r="UQA557" s="501"/>
      <c r="UQB557" s="501"/>
      <c r="UQC557" s="501"/>
      <c r="UQD557" s="501"/>
      <c r="UQE557" s="501"/>
      <c r="UQF557" s="501"/>
      <c r="UQG557" s="501"/>
      <c r="UQH557" s="501"/>
      <c r="UQI557" s="501"/>
      <c r="UQJ557" s="501"/>
      <c r="UQK557" s="501"/>
      <c r="UQL557" s="501"/>
      <c r="UQM557" s="501"/>
      <c r="UQN557" s="501"/>
      <c r="UQO557" s="501"/>
      <c r="UQP557" s="501"/>
      <c r="UQQ557" s="501"/>
      <c r="UQR557" s="501"/>
      <c r="UQS557" s="501"/>
      <c r="UQT557" s="501"/>
      <c r="UQU557" s="501"/>
      <c r="UQV557" s="501"/>
      <c r="UQW557" s="501"/>
      <c r="UQX557" s="501"/>
      <c r="UQY557" s="501"/>
      <c r="UQZ557" s="501"/>
      <c r="URA557" s="501"/>
      <c r="URB557" s="501"/>
      <c r="URC557" s="501"/>
      <c r="URD557" s="501"/>
      <c r="URE557" s="501"/>
      <c r="URF557" s="501"/>
      <c r="URG557" s="501"/>
      <c r="URH557" s="501"/>
      <c r="URI557" s="501"/>
      <c r="URJ557" s="501"/>
      <c r="URK557" s="501"/>
      <c r="URL557" s="501"/>
      <c r="URM557" s="501"/>
      <c r="URN557" s="501"/>
      <c r="URO557" s="501"/>
      <c r="URP557" s="501"/>
      <c r="URQ557" s="501"/>
      <c r="URR557" s="501"/>
      <c r="URS557" s="501"/>
      <c r="URT557" s="501"/>
      <c r="URU557" s="501"/>
      <c r="URV557" s="501"/>
      <c r="URW557" s="501"/>
      <c r="URX557" s="501"/>
      <c r="URY557" s="501"/>
      <c r="URZ557" s="501"/>
      <c r="USA557" s="501"/>
      <c r="USB557" s="501"/>
      <c r="USC557" s="501"/>
      <c r="USD557" s="501"/>
      <c r="USE557" s="501"/>
      <c r="USF557" s="501"/>
      <c r="USG557" s="501"/>
      <c r="USH557" s="501"/>
      <c r="USI557" s="501"/>
      <c r="USJ557" s="501"/>
      <c r="USK557" s="501"/>
      <c r="USL557" s="501"/>
      <c r="USM557" s="501"/>
      <c r="USN557" s="501"/>
      <c r="USO557" s="501"/>
      <c r="USP557" s="501"/>
      <c r="USQ557" s="501"/>
      <c r="USR557" s="501"/>
      <c r="USS557" s="501"/>
      <c r="UST557" s="501"/>
      <c r="USU557" s="501"/>
      <c r="USV557" s="501"/>
      <c r="USW557" s="501"/>
      <c r="USX557" s="501"/>
      <c r="USY557" s="501"/>
      <c r="USZ557" s="501"/>
      <c r="UTA557" s="501"/>
      <c r="UTB557" s="501"/>
      <c r="UTC557" s="501"/>
      <c r="UTD557" s="501"/>
      <c r="UTE557" s="501"/>
      <c r="UTF557" s="501"/>
      <c r="UTG557" s="501"/>
      <c r="UTH557" s="501"/>
      <c r="UTI557" s="501"/>
      <c r="UTJ557" s="501"/>
      <c r="UTK557" s="501"/>
      <c r="UTL557" s="501"/>
      <c r="UTM557" s="501"/>
      <c r="UTN557" s="501"/>
      <c r="UTO557" s="501"/>
      <c r="UTP557" s="501"/>
      <c r="UTQ557" s="501"/>
      <c r="UTR557" s="501"/>
      <c r="UTS557" s="501"/>
      <c r="UTT557" s="501"/>
      <c r="UTU557" s="501"/>
      <c r="UTV557" s="501"/>
      <c r="UTW557" s="501"/>
      <c r="UTX557" s="501"/>
      <c r="UTY557" s="501"/>
      <c r="UTZ557" s="501"/>
      <c r="UUA557" s="501"/>
      <c r="UUB557" s="501"/>
      <c r="UUC557" s="501"/>
      <c r="UUD557" s="501"/>
      <c r="UUE557" s="501"/>
      <c r="UUF557" s="501"/>
      <c r="UUG557" s="501"/>
      <c r="UUH557" s="501"/>
      <c r="UUI557" s="501"/>
      <c r="UUJ557" s="501"/>
      <c r="UUK557" s="501"/>
      <c r="UUL557" s="501"/>
      <c r="UUM557" s="501"/>
      <c r="UUN557" s="501"/>
      <c r="UUO557" s="501"/>
      <c r="UUP557" s="501"/>
      <c r="UUQ557" s="501"/>
      <c r="UUR557" s="501"/>
      <c r="UUS557" s="501"/>
      <c r="UUT557" s="501"/>
      <c r="UUU557" s="501"/>
      <c r="UUV557" s="501"/>
      <c r="UUW557" s="501"/>
      <c r="UUX557" s="501"/>
      <c r="UUY557" s="501"/>
      <c r="UUZ557" s="501"/>
      <c r="UVA557" s="501"/>
      <c r="UVB557" s="501"/>
      <c r="UVC557" s="501"/>
      <c r="UVD557" s="501"/>
      <c r="UVE557" s="501"/>
      <c r="UVF557" s="501"/>
      <c r="UVG557" s="501"/>
      <c r="UVH557" s="501"/>
      <c r="UVI557" s="501"/>
      <c r="UVJ557" s="501"/>
      <c r="UVK557" s="501"/>
      <c r="UVL557" s="501"/>
      <c r="UVM557" s="501"/>
      <c r="UVN557" s="501"/>
      <c r="UVO557" s="501"/>
      <c r="UVP557" s="501"/>
      <c r="UVQ557" s="501"/>
      <c r="UVR557" s="501"/>
      <c r="UVS557" s="501"/>
      <c r="UVT557" s="501"/>
      <c r="UVU557" s="501"/>
      <c r="UVV557" s="501"/>
      <c r="UVW557" s="501"/>
      <c r="UVX557" s="501"/>
      <c r="UVY557" s="501"/>
      <c r="UVZ557" s="501"/>
      <c r="UWA557" s="501"/>
      <c r="UWB557" s="501"/>
      <c r="UWC557" s="501"/>
      <c r="UWD557" s="501"/>
      <c r="UWE557" s="501"/>
      <c r="UWF557" s="501"/>
      <c r="UWG557" s="501"/>
      <c r="UWH557" s="501"/>
      <c r="UWI557" s="501"/>
      <c r="UWJ557" s="501"/>
      <c r="UWK557" s="501"/>
      <c r="UWL557" s="501"/>
      <c r="UWM557" s="501"/>
      <c r="UWN557" s="501"/>
      <c r="UWO557" s="501"/>
      <c r="UWP557" s="501"/>
      <c r="UWQ557" s="501"/>
      <c r="UWR557" s="501"/>
      <c r="UWS557" s="501"/>
      <c r="UWT557" s="501"/>
      <c r="UWU557" s="501"/>
      <c r="UWV557" s="501"/>
      <c r="UWW557" s="501"/>
      <c r="UWX557" s="501"/>
      <c r="UWY557" s="501"/>
      <c r="UWZ557" s="501"/>
      <c r="UXA557" s="501"/>
      <c r="UXB557" s="501"/>
      <c r="UXC557" s="501"/>
      <c r="UXD557" s="501"/>
      <c r="UXE557" s="501"/>
      <c r="UXF557" s="501"/>
      <c r="UXG557" s="501"/>
      <c r="UXH557" s="501"/>
      <c r="UXI557" s="501"/>
      <c r="UXJ557" s="501"/>
      <c r="UXK557" s="501"/>
      <c r="UXL557" s="501"/>
      <c r="UXM557" s="501"/>
      <c r="UXN557" s="501"/>
      <c r="UXO557" s="501"/>
      <c r="UXP557" s="501"/>
      <c r="UXQ557" s="501"/>
      <c r="UXR557" s="501"/>
      <c r="UXS557" s="501"/>
      <c r="UXT557" s="501"/>
      <c r="UXU557" s="501"/>
      <c r="UXV557" s="501"/>
      <c r="UXW557" s="501"/>
      <c r="UXX557" s="501"/>
      <c r="UXY557" s="501"/>
      <c r="UXZ557" s="501"/>
      <c r="UYA557" s="501"/>
      <c r="UYB557" s="501"/>
      <c r="UYC557" s="501"/>
      <c r="UYD557" s="501"/>
      <c r="UYE557" s="501"/>
      <c r="UYF557" s="501"/>
      <c r="UYG557" s="501"/>
      <c r="UYH557" s="501"/>
      <c r="UYI557" s="501"/>
      <c r="UYJ557" s="501"/>
      <c r="UYK557" s="501"/>
      <c r="UYL557" s="501"/>
      <c r="UYM557" s="501"/>
      <c r="UYN557" s="501"/>
      <c r="UYO557" s="501"/>
      <c r="UYP557" s="501"/>
      <c r="UYQ557" s="501"/>
      <c r="UYR557" s="501"/>
      <c r="UYS557" s="501"/>
      <c r="UYT557" s="501"/>
      <c r="UYU557" s="501"/>
      <c r="UYV557" s="501"/>
      <c r="UYW557" s="501"/>
      <c r="UYX557" s="501"/>
      <c r="UYY557" s="501"/>
      <c r="UYZ557" s="501"/>
      <c r="UZA557" s="501"/>
      <c r="UZB557" s="501"/>
      <c r="UZC557" s="501"/>
      <c r="UZD557" s="501"/>
      <c r="UZE557" s="501"/>
      <c r="UZF557" s="501"/>
      <c r="UZG557" s="501"/>
      <c r="UZH557" s="501"/>
      <c r="UZI557" s="501"/>
      <c r="UZJ557" s="501"/>
      <c r="UZK557" s="501"/>
      <c r="UZL557" s="501"/>
      <c r="UZM557" s="501"/>
      <c r="UZN557" s="501"/>
      <c r="UZO557" s="501"/>
      <c r="UZP557" s="501"/>
      <c r="UZQ557" s="501"/>
      <c r="UZR557" s="501"/>
      <c r="UZS557" s="501"/>
      <c r="UZT557" s="501"/>
      <c r="UZU557" s="501"/>
      <c r="UZV557" s="501"/>
      <c r="UZW557" s="501"/>
      <c r="UZX557" s="501"/>
      <c r="UZY557" s="501"/>
      <c r="UZZ557" s="501"/>
      <c r="VAA557" s="501"/>
      <c r="VAB557" s="501"/>
      <c r="VAC557" s="501"/>
      <c r="VAD557" s="501"/>
      <c r="VAE557" s="501"/>
      <c r="VAF557" s="501"/>
      <c r="VAG557" s="501"/>
      <c r="VAH557" s="501"/>
      <c r="VAI557" s="501"/>
      <c r="VAJ557" s="501"/>
      <c r="VAK557" s="501"/>
      <c r="VAL557" s="501"/>
      <c r="VAM557" s="501"/>
      <c r="VAN557" s="501"/>
      <c r="VAO557" s="501"/>
      <c r="VAP557" s="501"/>
      <c r="VAQ557" s="501"/>
      <c r="VAR557" s="501"/>
      <c r="VAS557" s="501"/>
      <c r="VAT557" s="501"/>
      <c r="VAU557" s="501"/>
      <c r="VAV557" s="501"/>
      <c r="VAW557" s="501"/>
      <c r="VAX557" s="501"/>
      <c r="VAY557" s="501"/>
      <c r="VAZ557" s="501"/>
      <c r="VBA557" s="501"/>
      <c r="VBB557" s="501"/>
      <c r="VBC557" s="501"/>
      <c r="VBD557" s="501"/>
      <c r="VBE557" s="501"/>
      <c r="VBF557" s="501"/>
      <c r="VBG557" s="501"/>
      <c r="VBH557" s="501"/>
      <c r="VBI557" s="501"/>
      <c r="VBJ557" s="501"/>
      <c r="VBK557" s="501"/>
      <c r="VBL557" s="501"/>
      <c r="VBM557" s="501"/>
      <c r="VBN557" s="501"/>
      <c r="VBO557" s="501"/>
      <c r="VBP557" s="501"/>
      <c r="VBQ557" s="501"/>
      <c r="VBR557" s="501"/>
      <c r="VBS557" s="501"/>
      <c r="VBT557" s="501"/>
      <c r="VBU557" s="501"/>
      <c r="VBV557" s="501"/>
      <c r="VBW557" s="501"/>
      <c r="VBX557" s="501"/>
      <c r="VBY557" s="501"/>
      <c r="VBZ557" s="501"/>
      <c r="VCA557" s="501"/>
      <c r="VCB557" s="501"/>
      <c r="VCC557" s="501"/>
      <c r="VCD557" s="501"/>
      <c r="VCE557" s="501"/>
      <c r="VCF557" s="501"/>
      <c r="VCG557" s="501"/>
      <c r="VCH557" s="501"/>
      <c r="VCI557" s="501"/>
      <c r="VCJ557" s="501"/>
      <c r="VCK557" s="501"/>
      <c r="VCL557" s="501"/>
      <c r="VCM557" s="501"/>
      <c r="VCN557" s="501"/>
      <c r="VCO557" s="501"/>
      <c r="VCP557" s="501"/>
      <c r="VCQ557" s="501"/>
      <c r="VCR557" s="501"/>
      <c r="VCS557" s="501"/>
      <c r="VCT557" s="501"/>
      <c r="VCU557" s="501"/>
      <c r="VCV557" s="501"/>
      <c r="VCW557" s="501"/>
      <c r="VCX557" s="501"/>
      <c r="VCY557" s="501"/>
      <c r="VCZ557" s="501"/>
      <c r="VDA557" s="501"/>
      <c r="VDB557" s="501"/>
      <c r="VDC557" s="501"/>
      <c r="VDD557" s="501"/>
      <c r="VDE557" s="501"/>
      <c r="VDF557" s="501"/>
      <c r="VDG557" s="501"/>
      <c r="VDH557" s="501"/>
      <c r="VDI557" s="501"/>
      <c r="VDJ557" s="501"/>
      <c r="VDK557" s="501"/>
      <c r="VDL557" s="501"/>
      <c r="VDM557" s="501"/>
      <c r="VDN557" s="501"/>
      <c r="VDO557" s="501"/>
      <c r="VDP557" s="501"/>
      <c r="VDQ557" s="501"/>
      <c r="VDR557" s="501"/>
      <c r="VDS557" s="501"/>
      <c r="VDT557" s="501"/>
      <c r="VDU557" s="501"/>
      <c r="VDV557" s="501"/>
      <c r="VDW557" s="501"/>
      <c r="VDX557" s="501"/>
      <c r="VDY557" s="501"/>
      <c r="VDZ557" s="501"/>
      <c r="VEA557" s="501"/>
      <c r="VEB557" s="501"/>
      <c r="VEC557" s="501"/>
      <c r="VED557" s="501"/>
      <c r="VEE557" s="501"/>
      <c r="VEF557" s="501"/>
      <c r="VEG557" s="501"/>
      <c r="VEH557" s="501"/>
      <c r="VEI557" s="501"/>
      <c r="VEJ557" s="501"/>
      <c r="VEK557" s="501"/>
      <c r="VEL557" s="501"/>
      <c r="VEM557" s="501"/>
      <c r="VEN557" s="501"/>
      <c r="VEO557" s="501"/>
      <c r="VEP557" s="501"/>
      <c r="VEQ557" s="501"/>
      <c r="VER557" s="501"/>
      <c r="VES557" s="501"/>
      <c r="VET557" s="501"/>
      <c r="VEU557" s="501"/>
      <c r="VEV557" s="501"/>
      <c r="VEW557" s="501"/>
      <c r="VEX557" s="501"/>
      <c r="VEY557" s="501"/>
      <c r="VEZ557" s="501"/>
      <c r="VFA557" s="501"/>
      <c r="VFB557" s="501"/>
      <c r="VFC557" s="501"/>
      <c r="VFD557" s="501"/>
      <c r="VFE557" s="501"/>
      <c r="VFF557" s="501"/>
      <c r="VFG557" s="501"/>
      <c r="VFH557" s="501"/>
      <c r="VFI557" s="501"/>
      <c r="VFJ557" s="501"/>
      <c r="VFK557" s="501"/>
      <c r="VFL557" s="501"/>
      <c r="VFM557" s="501"/>
      <c r="VFN557" s="501"/>
      <c r="VFO557" s="501"/>
      <c r="VFP557" s="501"/>
      <c r="VFQ557" s="501"/>
      <c r="VFR557" s="501"/>
      <c r="VFS557" s="501"/>
      <c r="VFT557" s="501"/>
      <c r="VFU557" s="501"/>
      <c r="VFV557" s="501"/>
      <c r="VFW557" s="501"/>
      <c r="VFX557" s="501"/>
      <c r="VFY557" s="501"/>
      <c r="VFZ557" s="501"/>
      <c r="VGA557" s="501"/>
      <c r="VGB557" s="501"/>
      <c r="VGC557" s="501"/>
      <c r="VGD557" s="501"/>
      <c r="VGE557" s="501"/>
      <c r="VGF557" s="501"/>
      <c r="VGG557" s="501"/>
      <c r="VGH557" s="501"/>
      <c r="VGI557" s="501"/>
      <c r="VGJ557" s="501"/>
      <c r="VGK557" s="501"/>
      <c r="VGL557" s="501"/>
      <c r="VGM557" s="501"/>
      <c r="VGN557" s="501"/>
      <c r="VGO557" s="501"/>
      <c r="VGP557" s="501"/>
      <c r="VGQ557" s="501"/>
      <c r="VGR557" s="501"/>
      <c r="VGS557" s="501"/>
      <c r="VGT557" s="501"/>
      <c r="VGU557" s="501"/>
      <c r="VGV557" s="501"/>
      <c r="VGW557" s="501"/>
      <c r="VGX557" s="501"/>
      <c r="VGY557" s="501"/>
      <c r="VGZ557" s="501"/>
      <c r="VHA557" s="501"/>
      <c r="VHB557" s="501"/>
      <c r="VHC557" s="501"/>
      <c r="VHD557" s="501"/>
      <c r="VHE557" s="501"/>
      <c r="VHF557" s="501"/>
      <c r="VHG557" s="501"/>
      <c r="VHH557" s="501"/>
      <c r="VHI557" s="501"/>
      <c r="VHJ557" s="501"/>
      <c r="VHK557" s="501"/>
      <c r="VHL557" s="501"/>
      <c r="VHM557" s="501"/>
      <c r="VHN557" s="501"/>
      <c r="VHO557" s="501"/>
      <c r="VHP557" s="501"/>
      <c r="VHQ557" s="501"/>
      <c r="VHR557" s="501"/>
      <c r="VHS557" s="501"/>
      <c r="VHT557" s="501"/>
      <c r="VHU557" s="501"/>
      <c r="VHV557" s="501"/>
      <c r="VHW557" s="501"/>
      <c r="VHX557" s="501"/>
      <c r="VHY557" s="501"/>
      <c r="VHZ557" s="501"/>
      <c r="VIA557" s="501"/>
      <c r="VIB557" s="501"/>
      <c r="VIC557" s="501"/>
      <c r="VID557" s="501"/>
      <c r="VIE557" s="501"/>
      <c r="VIF557" s="501"/>
      <c r="VIG557" s="501"/>
      <c r="VIH557" s="501"/>
      <c r="VII557" s="501"/>
      <c r="VIJ557" s="501"/>
      <c r="VIK557" s="501"/>
      <c r="VIL557" s="501"/>
      <c r="VIM557" s="501"/>
      <c r="VIN557" s="501"/>
      <c r="VIO557" s="501"/>
      <c r="VIP557" s="501"/>
      <c r="VIQ557" s="501"/>
      <c r="VIR557" s="501"/>
      <c r="VIS557" s="501"/>
      <c r="VIT557" s="501"/>
      <c r="VIU557" s="501"/>
      <c r="VIV557" s="501"/>
      <c r="VIW557" s="501"/>
      <c r="VIX557" s="501"/>
      <c r="VIY557" s="501"/>
      <c r="VIZ557" s="501"/>
      <c r="VJA557" s="501"/>
      <c r="VJB557" s="501"/>
      <c r="VJC557" s="501"/>
      <c r="VJD557" s="501"/>
      <c r="VJE557" s="501"/>
      <c r="VJF557" s="501"/>
      <c r="VJG557" s="501"/>
      <c r="VJH557" s="501"/>
      <c r="VJI557" s="501"/>
      <c r="VJJ557" s="501"/>
      <c r="VJK557" s="501"/>
      <c r="VJL557" s="501"/>
      <c r="VJM557" s="501"/>
      <c r="VJN557" s="501"/>
      <c r="VJO557" s="501"/>
      <c r="VJP557" s="501"/>
      <c r="VJQ557" s="501"/>
      <c r="VJR557" s="501"/>
      <c r="VJS557" s="501"/>
      <c r="VJT557" s="501"/>
      <c r="VJU557" s="501"/>
      <c r="VJV557" s="501"/>
      <c r="VJW557" s="501"/>
      <c r="VJX557" s="501"/>
      <c r="VJY557" s="501"/>
      <c r="VJZ557" s="501"/>
      <c r="VKA557" s="501"/>
      <c r="VKB557" s="501"/>
      <c r="VKC557" s="501"/>
      <c r="VKD557" s="501"/>
      <c r="VKE557" s="501"/>
      <c r="VKF557" s="501"/>
      <c r="VKG557" s="501"/>
      <c r="VKH557" s="501"/>
      <c r="VKI557" s="501"/>
      <c r="VKJ557" s="501"/>
      <c r="VKK557" s="501"/>
      <c r="VKL557" s="501"/>
      <c r="VKM557" s="501"/>
      <c r="VKN557" s="501"/>
      <c r="VKO557" s="501"/>
      <c r="VKP557" s="501"/>
      <c r="VKQ557" s="501"/>
      <c r="VKR557" s="501"/>
      <c r="VKS557" s="501"/>
      <c r="VKT557" s="501"/>
      <c r="VKU557" s="501"/>
      <c r="VKV557" s="501"/>
      <c r="VKW557" s="501"/>
      <c r="VKX557" s="501"/>
      <c r="VKY557" s="501"/>
      <c r="VKZ557" s="501"/>
      <c r="VLA557" s="501"/>
      <c r="VLB557" s="501"/>
      <c r="VLC557" s="501"/>
      <c r="VLD557" s="501"/>
      <c r="VLE557" s="501"/>
      <c r="VLF557" s="501"/>
      <c r="VLG557" s="501"/>
      <c r="VLH557" s="501"/>
      <c r="VLI557" s="501"/>
      <c r="VLJ557" s="501"/>
      <c r="VLK557" s="501"/>
      <c r="VLL557" s="501"/>
      <c r="VLM557" s="501"/>
      <c r="VLN557" s="501"/>
      <c r="VLO557" s="501"/>
      <c r="VLP557" s="501"/>
      <c r="VLQ557" s="501"/>
      <c r="VLR557" s="501"/>
      <c r="VLS557" s="501"/>
      <c r="VLT557" s="501"/>
      <c r="VLU557" s="501"/>
      <c r="VLV557" s="501"/>
      <c r="VLW557" s="501"/>
      <c r="VLX557" s="501"/>
      <c r="VLY557" s="501"/>
      <c r="VLZ557" s="501"/>
      <c r="VMA557" s="501"/>
      <c r="VMB557" s="501"/>
      <c r="VMC557" s="501"/>
      <c r="VMD557" s="501"/>
      <c r="VME557" s="501"/>
      <c r="VMF557" s="501"/>
      <c r="VMG557" s="501"/>
      <c r="VMH557" s="501"/>
      <c r="VMI557" s="501"/>
      <c r="VMJ557" s="501"/>
      <c r="VMK557" s="501"/>
      <c r="VML557" s="501"/>
      <c r="VMM557" s="501"/>
      <c r="VMN557" s="501"/>
      <c r="VMO557" s="501"/>
      <c r="VMP557" s="501"/>
      <c r="VMQ557" s="501"/>
      <c r="VMR557" s="501"/>
      <c r="VMS557" s="501"/>
      <c r="VMT557" s="501"/>
      <c r="VMU557" s="501"/>
      <c r="VMV557" s="501"/>
      <c r="VMW557" s="501"/>
      <c r="VMX557" s="501"/>
      <c r="VMY557" s="501"/>
      <c r="VMZ557" s="501"/>
      <c r="VNA557" s="501"/>
      <c r="VNB557" s="501"/>
      <c r="VNC557" s="501"/>
      <c r="VND557" s="501"/>
      <c r="VNE557" s="501"/>
      <c r="VNF557" s="501"/>
      <c r="VNG557" s="501"/>
      <c r="VNH557" s="501"/>
      <c r="VNI557" s="501"/>
      <c r="VNJ557" s="501"/>
      <c r="VNK557" s="501"/>
      <c r="VNL557" s="501"/>
      <c r="VNM557" s="501"/>
      <c r="VNN557" s="501"/>
      <c r="VNO557" s="501"/>
      <c r="VNP557" s="501"/>
      <c r="VNQ557" s="501"/>
      <c r="VNR557" s="501"/>
      <c r="VNS557" s="501"/>
      <c r="VNT557" s="501"/>
      <c r="VNU557" s="501"/>
      <c r="VNV557" s="501"/>
      <c r="VNW557" s="501"/>
      <c r="VNX557" s="501"/>
      <c r="VNY557" s="501"/>
      <c r="VNZ557" s="501"/>
      <c r="VOA557" s="501"/>
      <c r="VOB557" s="501"/>
      <c r="VOC557" s="501"/>
      <c r="VOD557" s="501"/>
      <c r="VOE557" s="501"/>
      <c r="VOF557" s="501"/>
      <c r="VOG557" s="501"/>
      <c r="VOH557" s="501"/>
      <c r="VOI557" s="501"/>
      <c r="VOJ557" s="501"/>
      <c r="VOK557" s="501"/>
      <c r="VOL557" s="501"/>
      <c r="VOM557" s="501"/>
      <c r="VON557" s="501"/>
      <c r="VOO557" s="501"/>
      <c r="VOP557" s="501"/>
      <c r="VOQ557" s="501"/>
      <c r="VOR557" s="501"/>
      <c r="VOS557" s="501"/>
      <c r="VOT557" s="501"/>
      <c r="VOU557" s="501"/>
      <c r="VOV557" s="501"/>
      <c r="VOW557" s="501"/>
      <c r="VOX557" s="501"/>
      <c r="VOY557" s="501"/>
      <c r="VOZ557" s="501"/>
      <c r="VPA557" s="501"/>
      <c r="VPB557" s="501"/>
      <c r="VPC557" s="501"/>
      <c r="VPD557" s="501"/>
      <c r="VPE557" s="501"/>
      <c r="VPF557" s="501"/>
      <c r="VPG557" s="501"/>
      <c r="VPH557" s="501"/>
      <c r="VPI557" s="501"/>
      <c r="VPJ557" s="501"/>
      <c r="VPK557" s="501"/>
      <c r="VPL557" s="501"/>
      <c r="VPM557" s="501"/>
      <c r="VPN557" s="501"/>
      <c r="VPO557" s="501"/>
      <c r="VPP557" s="501"/>
      <c r="VPQ557" s="501"/>
      <c r="VPR557" s="501"/>
      <c r="VPS557" s="501"/>
      <c r="VPT557" s="501"/>
      <c r="VPU557" s="501"/>
      <c r="VPV557" s="501"/>
      <c r="VPW557" s="501"/>
      <c r="VPX557" s="501"/>
      <c r="VPY557" s="501"/>
      <c r="VPZ557" s="501"/>
      <c r="VQA557" s="501"/>
      <c r="VQB557" s="501"/>
      <c r="VQC557" s="501"/>
      <c r="VQD557" s="501"/>
      <c r="VQE557" s="501"/>
      <c r="VQF557" s="501"/>
      <c r="VQG557" s="501"/>
      <c r="VQH557" s="501"/>
      <c r="VQI557" s="501"/>
      <c r="VQJ557" s="501"/>
      <c r="VQK557" s="501"/>
      <c r="VQL557" s="501"/>
      <c r="VQM557" s="501"/>
      <c r="VQN557" s="501"/>
      <c r="VQO557" s="501"/>
      <c r="VQP557" s="501"/>
      <c r="VQQ557" s="501"/>
      <c r="VQR557" s="501"/>
      <c r="VQS557" s="501"/>
      <c r="VQT557" s="501"/>
      <c r="VQU557" s="501"/>
      <c r="VQV557" s="501"/>
      <c r="VQW557" s="501"/>
      <c r="VQX557" s="501"/>
      <c r="VQY557" s="501"/>
      <c r="VQZ557" s="501"/>
      <c r="VRA557" s="501"/>
      <c r="VRB557" s="501"/>
      <c r="VRC557" s="501"/>
      <c r="VRD557" s="501"/>
      <c r="VRE557" s="501"/>
      <c r="VRF557" s="501"/>
      <c r="VRG557" s="501"/>
      <c r="VRH557" s="501"/>
      <c r="VRI557" s="501"/>
      <c r="VRJ557" s="501"/>
      <c r="VRK557" s="501"/>
      <c r="VRL557" s="501"/>
      <c r="VRM557" s="501"/>
      <c r="VRN557" s="501"/>
      <c r="VRO557" s="501"/>
      <c r="VRP557" s="501"/>
      <c r="VRQ557" s="501"/>
      <c r="VRR557" s="501"/>
      <c r="VRS557" s="501"/>
      <c r="VRT557" s="501"/>
      <c r="VRU557" s="501"/>
      <c r="VRV557" s="501"/>
      <c r="VRW557" s="501"/>
      <c r="VRX557" s="501"/>
      <c r="VRY557" s="501"/>
      <c r="VRZ557" s="501"/>
      <c r="VSA557" s="501"/>
      <c r="VSB557" s="501"/>
      <c r="VSC557" s="501"/>
      <c r="VSD557" s="501"/>
      <c r="VSE557" s="501"/>
      <c r="VSF557" s="501"/>
      <c r="VSG557" s="501"/>
      <c r="VSH557" s="501"/>
      <c r="VSI557" s="501"/>
      <c r="VSJ557" s="501"/>
      <c r="VSK557" s="501"/>
      <c r="VSL557" s="501"/>
      <c r="VSM557" s="501"/>
      <c r="VSN557" s="501"/>
      <c r="VSO557" s="501"/>
      <c r="VSP557" s="501"/>
      <c r="VSQ557" s="501"/>
      <c r="VSR557" s="501"/>
      <c r="VSS557" s="501"/>
      <c r="VST557" s="501"/>
      <c r="VSU557" s="501"/>
      <c r="VSV557" s="501"/>
      <c r="VSW557" s="501"/>
      <c r="VSX557" s="501"/>
      <c r="VSY557" s="501"/>
      <c r="VSZ557" s="501"/>
      <c r="VTA557" s="501"/>
      <c r="VTB557" s="501"/>
      <c r="VTC557" s="501"/>
      <c r="VTD557" s="501"/>
      <c r="VTE557" s="501"/>
      <c r="VTF557" s="501"/>
      <c r="VTG557" s="501"/>
      <c r="VTH557" s="501"/>
      <c r="VTI557" s="501"/>
      <c r="VTJ557" s="501"/>
      <c r="VTK557" s="501"/>
      <c r="VTL557" s="501"/>
      <c r="VTM557" s="501"/>
      <c r="VTN557" s="501"/>
      <c r="VTO557" s="501"/>
      <c r="VTP557" s="501"/>
      <c r="VTQ557" s="501"/>
      <c r="VTR557" s="501"/>
      <c r="VTS557" s="501"/>
      <c r="VTT557" s="501"/>
      <c r="VTU557" s="501"/>
      <c r="VTV557" s="501"/>
      <c r="VTW557" s="501"/>
      <c r="VTX557" s="501"/>
      <c r="VTY557" s="501"/>
      <c r="VTZ557" s="501"/>
      <c r="VUA557" s="501"/>
      <c r="VUB557" s="501"/>
      <c r="VUC557" s="501"/>
      <c r="VUD557" s="501"/>
      <c r="VUE557" s="501"/>
      <c r="VUF557" s="501"/>
      <c r="VUG557" s="501"/>
      <c r="VUH557" s="501"/>
      <c r="VUI557" s="501"/>
      <c r="VUJ557" s="501"/>
      <c r="VUK557" s="501"/>
      <c r="VUL557" s="501"/>
      <c r="VUM557" s="501"/>
      <c r="VUN557" s="501"/>
      <c r="VUO557" s="501"/>
      <c r="VUP557" s="501"/>
      <c r="VUQ557" s="501"/>
      <c r="VUR557" s="501"/>
      <c r="VUS557" s="501"/>
      <c r="VUT557" s="501"/>
      <c r="VUU557" s="501"/>
      <c r="VUV557" s="501"/>
      <c r="VUW557" s="501"/>
      <c r="VUX557" s="501"/>
      <c r="VUY557" s="501"/>
      <c r="VUZ557" s="501"/>
      <c r="VVA557" s="501"/>
      <c r="VVB557" s="501"/>
      <c r="VVC557" s="501"/>
      <c r="VVD557" s="501"/>
      <c r="VVE557" s="501"/>
      <c r="VVF557" s="501"/>
      <c r="VVG557" s="501"/>
      <c r="VVH557" s="501"/>
      <c r="VVI557" s="501"/>
      <c r="VVJ557" s="501"/>
      <c r="VVK557" s="501"/>
      <c r="VVL557" s="501"/>
      <c r="VVM557" s="501"/>
      <c r="VVN557" s="501"/>
      <c r="VVO557" s="501"/>
      <c r="VVP557" s="501"/>
      <c r="VVQ557" s="501"/>
      <c r="VVR557" s="501"/>
      <c r="VVS557" s="501"/>
      <c r="VVT557" s="501"/>
      <c r="VVU557" s="501"/>
      <c r="VVV557" s="501"/>
      <c r="VVW557" s="501"/>
      <c r="VVX557" s="501"/>
      <c r="VVY557" s="501"/>
      <c r="VVZ557" s="501"/>
      <c r="VWA557" s="501"/>
      <c r="VWB557" s="501"/>
      <c r="VWC557" s="501"/>
      <c r="VWD557" s="501"/>
      <c r="VWE557" s="501"/>
      <c r="VWF557" s="501"/>
      <c r="VWG557" s="501"/>
      <c r="VWH557" s="501"/>
      <c r="VWI557" s="501"/>
      <c r="VWJ557" s="501"/>
      <c r="VWK557" s="501"/>
      <c r="VWL557" s="501"/>
      <c r="VWM557" s="501"/>
      <c r="VWN557" s="501"/>
      <c r="VWO557" s="501"/>
      <c r="VWP557" s="501"/>
      <c r="VWQ557" s="501"/>
      <c r="VWR557" s="501"/>
      <c r="VWS557" s="501"/>
      <c r="VWT557" s="501"/>
      <c r="VWU557" s="501"/>
      <c r="VWV557" s="501"/>
      <c r="VWW557" s="501"/>
      <c r="VWX557" s="501"/>
      <c r="VWY557" s="501"/>
      <c r="VWZ557" s="501"/>
      <c r="VXA557" s="501"/>
      <c r="VXB557" s="501"/>
      <c r="VXC557" s="501"/>
      <c r="VXD557" s="501"/>
      <c r="VXE557" s="501"/>
      <c r="VXF557" s="501"/>
      <c r="VXG557" s="501"/>
      <c r="VXH557" s="501"/>
      <c r="VXI557" s="501"/>
      <c r="VXJ557" s="501"/>
      <c r="VXK557" s="501"/>
      <c r="VXL557" s="501"/>
      <c r="VXM557" s="501"/>
      <c r="VXN557" s="501"/>
      <c r="VXO557" s="501"/>
      <c r="VXP557" s="501"/>
      <c r="VXQ557" s="501"/>
      <c r="VXR557" s="501"/>
      <c r="VXS557" s="501"/>
      <c r="VXT557" s="501"/>
      <c r="VXU557" s="501"/>
      <c r="VXV557" s="501"/>
      <c r="VXW557" s="501"/>
      <c r="VXX557" s="501"/>
      <c r="VXY557" s="501"/>
      <c r="VXZ557" s="501"/>
      <c r="VYA557" s="501"/>
      <c r="VYB557" s="501"/>
      <c r="VYC557" s="501"/>
      <c r="VYD557" s="501"/>
      <c r="VYE557" s="501"/>
      <c r="VYF557" s="501"/>
      <c r="VYG557" s="501"/>
      <c r="VYH557" s="501"/>
      <c r="VYI557" s="501"/>
      <c r="VYJ557" s="501"/>
      <c r="VYK557" s="501"/>
      <c r="VYL557" s="501"/>
      <c r="VYM557" s="501"/>
      <c r="VYN557" s="501"/>
      <c r="VYO557" s="501"/>
      <c r="VYP557" s="501"/>
      <c r="VYQ557" s="501"/>
      <c r="VYR557" s="501"/>
      <c r="VYS557" s="501"/>
      <c r="VYT557" s="501"/>
      <c r="VYU557" s="501"/>
      <c r="VYV557" s="501"/>
      <c r="VYW557" s="501"/>
      <c r="VYX557" s="501"/>
      <c r="VYY557" s="501"/>
      <c r="VYZ557" s="501"/>
      <c r="VZA557" s="501"/>
      <c r="VZB557" s="501"/>
      <c r="VZC557" s="501"/>
      <c r="VZD557" s="501"/>
      <c r="VZE557" s="501"/>
      <c r="VZF557" s="501"/>
      <c r="VZG557" s="501"/>
      <c r="VZH557" s="501"/>
      <c r="VZI557" s="501"/>
      <c r="VZJ557" s="501"/>
      <c r="VZK557" s="501"/>
      <c r="VZL557" s="501"/>
      <c r="VZM557" s="501"/>
      <c r="VZN557" s="501"/>
      <c r="VZO557" s="501"/>
      <c r="VZP557" s="501"/>
      <c r="VZQ557" s="501"/>
      <c r="VZR557" s="501"/>
      <c r="VZS557" s="501"/>
      <c r="VZT557" s="501"/>
      <c r="VZU557" s="501"/>
      <c r="VZV557" s="501"/>
      <c r="VZW557" s="501"/>
      <c r="VZX557" s="501"/>
      <c r="VZY557" s="501"/>
      <c r="VZZ557" s="501"/>
      <c r="WAA557" s="501"/>
      <c r="WAB557" s="501"/>
      <c r="WAC557" s="501"/>
      <c r="WAD557" s="501"/>
      <c r="WAE557" s="501"/>
      <c r="WAF557" s="501"/>
      <c r="WAG557" s="501"/>
      <c r="WAH557" s="501"/>
      <c r="WAI557" s="501"/>
      <c r="WAJ557" s="501"/>
      <c r="WAK557" s="501"/>
      <c r="WAL557" s="501"/>
      <c r="WAM557" s="501"/>
      <c r="WAN557" s="501"/>
      <c r="WAO557" s="501"/>
      <c r="WAP557" s="501"/>
      <c r="WAQ557" s="501"/>
      <c r="WAR557" s="501"/>
      <c r="WAS557" s="501"/>
      <c r="WAT557" s="501"/>
      <c r="WAU557" s="501"/>
      <c r="WAV557" s="501"/>
      <c r="WAW557" s="501"/>
      <c r="WAX557" s="501"/>
      <c r="WAY557" s="501"/>
      <c r="WAZ557" s="501"/>
      <c r="WBA557" s="501"/>
      <c r="WBB557" s="501"/>
      <c r="WBC557" s="501"/>
      <c r="WBD557" s="501"/>
      <c r="WBE557" s="501"/>
      <c r="WBF557" s="501"/>
      <c r="WBG557" s="501"/>
      <c r="WBH557" s="501"/>
      <c r="WBI557" s="501"/>
      <c r="WBJ557" s="501"/>
      <c r="WBK557" s="501"/>
      <c r="WBL557" s="501"/>
      <c r="WBM557" s="501"/>
      <c r="WBN557" s="501"/>
      <c r="WBO557" s="501"/>
      <c r="WBP557" s="501"/>
      <c r="WBQ557" s="501"/>
      <c r="WBR557" s="501"/>
      <c r="WBS557" s="501"/>
      <c r="WBT557" s="501"/>
      <c r="WBU557" s="501"/>
      <c r="WBV557" s="501"/>
      <c r="WBW557" s="501"/>
      <c r="WBX557" s="501"/>
      <c r="WBY557" s="501"/>
      <c r="WBZ557" s="501"/>
      <c r="WCA557" s="501"/>
      <c r="WCB557" s="501"/>
      <c r="WCC557" s="501"/>
      <c r="WCD557" s="501"/>
      <c r="WCE557" s="501"/>
      <c r="WCF557" s="501"/>
      <c r="WCG557" s="501"/>
      <c r="WCH557" s="501"/>
      <c r="WCI557" s="501"/>
      <c r="WCJ557" s="501"/>
      <c r="WCK557" s="501"/>
      <c r="WCL557" s="501"/>
      <c r="WCM557" s="501"/>
      <c r="WCN557" s="501"/>
      <c r="WCO557" s="501"/>
      <c r="WCP557" s="501"/>
      <c r="WCQ557" s="501"/>
      <c r="WCR557" s="501"/>
      <c r="WCS557" s="501"/>
      <c r="WCT557" s="501"/>
      <c r="WCU557" s="501"/>
      <c r="WCV557" s="501"/>
      <c r="WCW557" s="501"/>
      <c r="WCX557" s="501"/>
      <c r="WCY557" s="501"/>
      <c r="WCZ557" s="501"/>
      <c r="WDA557" s="501"/>
      <c r="WDB557" s="501"/>
      <c r="WDC557" s="501"/>
      <c r="WDD557" s="501"/>
      <c r="WDE557" s="501"/>
      <c r="WDF557" s="501"/>
      <c r="WDG557" s="501"/>
      <c r="WDH557" s="501"/>
      <c r="WDI557" s="501"/>
      <c r="WDJ557" s="501"/>
      <c r="WDK557" s="501"/>
      <c r="WDL557" s="501"/>
      <c r="WDM557" s="501"/>
      <c r="WDN557" s="501"/>
      <c r="WDO557" s="501"/>
      <c r="WDP557" s="501"/>
      <c r="WDQ557" s="501"/>
      <c r="WDR557" s="501"/>
      <c r="WDS557" s="501"/>
      <c r="WDT557" s="501"/>
      <c r="WDU557" s="501"/>
      <c r="WDV557" s="501"/>
      <c r="WDW557" s="501"/>
      <c r="WDX557" s="501"/>
      <c r="WDY557" s="501"/>
      <c r="WDZ557" s="501"/>
      <c r="WEA557" s="501"/>
      <c r="WEB557" s="501"/>
      <c r="WEC557" s="501"/>
      <c r="WED557" s="501"/>
      <c r="WEE557" s="501"/>
      <c r="WEF557" s="501"/>
      <c r="WEG557" s="501"/>
      <c r="WEH557" s="501"/>
      <c r="WEI557" s="501"/>
      <c r="WEJ557" s="501"/>
      <c r="WEK557" s="501"/>
      <c r="WEL557" s="501"/>
      <c r="WEM557" s="501"/>
      <c r="WEN557" s="501"/>
      <c r="WEO557" s="501"/>
      <c r="WEP557" s="501"/>
      <c r="WEQ557" s="501"/>
      <c r="WER557" s="501"/>
      <c r="WES557" s="501"/>
      <c r="WET557" s="501"/>
      <c r="WEU557" s="501"/>
      <c r="WEV557" s="501"/>
      <c r="WEW557" s="501"/>
      <c r="WEX557" s="501"/>
      <c r="WEY557" s="501"/>
      <c r="WEZ557" s="501"/>
      <c r="WFA557" s="501"/>
      <c r="WFB557" s="501"/>
      <c r="WFC557" s="501"/>
      <c r="WFD557" s="501"/>
      <c r="WFE557" s="501"/>
      <c r="WFF557" s="501"/>
      <c r="WFG557" s="501"/>
      <c r="WFH557" s="501"/>
      <c r="WFI557" s="501"/>
      <c r="WFJ557" s="501"/>
      <c r="WFK557" s="501"/>
      <c r="WFL557" s="501"/>
      <c r="WFM557" s="501"/>
      <c r="WFN557" s="501"/>
      <c r="WFO557" s="501"/>
      <c r="WFP557" s="501"/>
      <c r="WFQ557" s="501"/>
      <c r="WFR557" s="501"/>
      <c r="WFS557" s="501"/>
      <c r="WFT557" s="501"/>
      <c r="WFU557" s="501"/>
      <c r="WFV557" s="501"/>
      <c r="WFW557" s="501"/>
      <c r="WFX557" s="501"/>
      <c r="WFY557" s="501"/>
      <c r="WFZ557" s="501"/>
      <c r="WGA557" s="501"/>
      <c r="WGB557" s="501"/>
      <c r="WGC557" s="501"/>
      <c r="WGD557" s="501"/>
      <c r="WGE557" s="501"/>
      <c r="WGF557" s="501"/>
      <c r="WGG557" s="501"/>
      <c r="WGH557" s="501"/>
      <c r="WGI557" s="501"/>
      <c r="WGJ557" s="501"/>
      <c r="WGK557" s="501"/>
      <c r="WGL557" s="501"/>
      <c r="WGM557" s="501"/>
      <c r="WGN557" s="501"/>
      <c r="WGO557" s="501"/>
      <c r="WGP557" s="501"/>
      <c r="WGQ557" s="501"/>
      <c r="WGR557" s="501"/>
      <c r="WGS557" s="501"/>
      <c r="WGT557" s="501"/>
      <c r="WGU557" s="501"/>
      <c r="WGV557" s="501"/>
      <c r="WGW557" s="501"/>
      <c r="WGX557" s="501"/>
      <c r="WGY557" s="501"/>
      <c r="WGZ557" s="501"/>
      <c r="WHA557" s="501"/>
      <c r="WHB557" s="501"/>
      <c r="WHC557" s="501"/>
      <c r="WHD557" s="501"/>
      <c r="WHE557" s="501"/>
      <c r="WHF557" s="501"/>
      <c r="WHG557" s="501"/>
      <c r="WHH557" s="501"/>
      <c r="WHI557" s="501"/>
      <c r="WHJ557" s="501"/>
      <c r="WHK557" s="501"/>
      <c r="WHL557" s="501"/>
      <c r="WHM557" s="501"/>
      <c r="WHN557" s="501"/>
      <c r="WHO557" s="501"/>
      <c r="WHP557" s="501"/>
      <c r="WHQ557" s="501"/>
      <c r="WHR557" s="501"/>
      <c r="WHS557" s="501"/>
      <c r="WHT557" s="501"/>
      <c r="WHU557" s="501"/>
      <c r="WHV557" s="501"/>
      <c r="WHW557" s="501"/>
      <c r="WHX557" s="501"/>
      <c r="WHY557" s="501"/>
      <c r="WHZ557" s="501"/>
      <c r="WIA557" s="501"/>
      <c r="WIB557" s="501"/>
      <c r="WIC557" s="501"/>
      <c r="WID557" s="501"/>
      <c r="WIE557" s="501"/>
      <c r="WIF557" s="501"/>
      <c r="WIG557" s="501"/>
      <c r="WIH557" s="501"/>
      <c r="WII557" s="501"/>
      <c r="WIJ557" s="501"/>
      <c r="WIK557" s="501"/>
      <c r="WIL557" s="501"/>
      <c r="WIM557" s="501"/>
      <c r="WIN557" s="501"/>
      <c r="WIO557" s="501"/>
      <c r="WIP557" s="501"/>
      <c r="WIQ557" s="501"/>
      <c r="WIR557" s="501"/>
      <c r="WIS557" s="501"/>
      <c r="WIT557" s="501"/>
      <c r="WIU557" s="501"/>
      <c r="WIV557" s="501"/>
      <c r="WIW557" s="501"/>
      <c r="WIX557" s="501"/>
      <c r="WIY557" s="501"/>
      <c r="WIZ557" s="501"/>
      <c r="WJA557" s="501"/>
      <c r="WJB557" s="501"/>
      <c r="WJC557" s="501"/>
      <c r="WJD557" s="501"/>
      <c r="WJE557" s="501"/>
      <c r="WJF557" s="501"/>
      <c r="WJG557" s="501"/>
      <c r="WJH557" s="501"/>
      <c r="WJI557" s="501"/>
      <c r="WJJ557" s="501"/>
      <c r="WJK557" s="501"/>
      <c r="WJL557" s="501"/>
      <c r="WJM557" s="501"/>
      <c r="WJN557" s="501"/>
      <c r="WJO557" s="501"/>
      <c r="WJP557" s="501"/>
      <c r="WJQ557" s="501"/>
      <c r="WJR557" s="501"/>
      <c r="WJS557" s="501"/>
      <c r="WJT557" s="501"/>
      <c r="WJU557" s="501"/>
      <c r="WJV557" s="501"/>
      <c r="WJW557" s="501"/>
      <c r="WJX557" s="501"/>
      <c r="WJY557" s="501"/>
      <c r="WJZ557" s="501"/>
      <c r="WKA557" s="501"/>
      <c r="WKB557" s="501"/>
      <c r="WKC557" s="501"/>
      <c r="WKD557" s="501"/>
      <c r="WKE557" s="501"/>
      <c r="WKF557" s="501"/>
      <c r="WKG557" s="501"/>
      <c r="WKH557" s="501"/>
      <c r="WKI557" s="501"/>
      <c r="WKJ557" s="501"/>
      <c r="WKK557" s="501"/>
      <c r="WKL557" s="501"/>
      <c r="WKM557" s="501"/>
      <c r="WKN557" s="501"/>
      <c r="WKO557" s="501"/>
      <c r="WKP557" s="501"/>
      <c r="WKQ557" s="501"/>
      <c r="WKR557" s="501"/>
      <c r="WKS557" s="501"/>
      <c r="WKT557" s="501"/>
      <c r="WKU557" s="501"/>
      <c r="WKV557" s="501"/>
      <c r="WKW557" s="501"/>
      <c r="WKX557" s="501"/>
      <c r="WKY557" s="501"/>
      <c r="WKZ557" s="501"/>
      <c r="WLA557" s="501"/>
      <c r="WLB557" s="501"/>
      <c r="WLC557" s="501"/>
      <c r="WLD557" s="501"/>
      <c r="WLE557" s="501"/>
      <c r="WLF557" s="501"/>
      <c r="WLG557" s="501"/>
      <c r="WLH557" s="501"/>
      <c r="WLI557" s="501"/>
      <c r="WLJ557" s="501"/>
      <c r="WLK557" s="501"/>
      <c r="WLL557" s="501"/>
      <c r="WLM557" s="501"/>
      <c r="WLN557" s="501"/>
      <c r="WLO557" s="501"/>
      <c r="WLP557" s="501"/>
      <c r="WLQ557" s="501"/>
      <c r="WLR557" s="501"/>
      <c r="WLS557" s="501"/>
      <c r="WLT557" s="501"/>
      <c r="WLU557" s="501"/>
      <c r="WLV557" s="501"/>
      <c r="WLW557" s="501"/>
      <c r="WLX557" s="501"/>
      <c r="WLY557" s="501"/>
      <c r="WLZ557" s="501"/>
      <c r="WMA557" s="501"/>
      <c r="WMB557" s="501"/>
      <c r="WMC557" s="501"/>
      <c r="WMD557" s="501"/>
      <c r="WME557" s="501"/>
      <c r="WMF557" s="501"/>
      <c r="WMG557" s="501"/>
      <c r="WMH557" s="501"/>
      <c r="WMI557" s="501"/>
      <c r="WMJ557" s="501"/>
      <c r="WMK557" s="501"/>
      <c r="WML557" s="501"/>
      <c r="WMM557" s="501"/>
      <c r="WMN557" s="501"/>
      <c r="WMO557" s="501"/>
      <c r="WMP557" s="501"/>
      <c r="WMQ557" s="501"/>
      <c r="WMR557" s="501"/>
      <c r="WMS557" s="501"/>
      <c r="WMT557" s="501"/>
      <c r="WMU557" s="501"/>
      <c r="WMV557" s="501"/>
      <c r="WMW557" s="501"/>
      <c r="WMX557" s="501"/>
      <c r="WMY557" s="501"/>
      <c r="WMZ557" s="501"/>
      <c r="WNA557" s="501"/>
      <c r="WNB557" s="501"/>
      <c r="WNC557" s="501"/>
      <c r="WND557" s="501"/>
      <c r="WNE557" s="501"/>
      <c r="WNF557" s="501"/>
      <c r="WNG557" s="501"/>
      <c r="WNH557" s="501"/>
      <c r="WNI557" s="501"/>
      <c r="WNJ557" s="501"/>
      <c r="WNK557" s="501"/>
      <c r="WNL557" s="501"/>
      <c r="WNM557" s="501"/>
      <c r="WNN557" s="501"/>
      <c r="WNO557" s="501"/>
      <c r="WNP557" s="501"/>
      <c r="WNQ557" s="501"/>
      <c r="WNR557" s="501"/>
      <c r="WNS557" s="501"/>
      <c r="WNT557" s="501"/>
      <c r="WNU557" s="501"/>
      <c r="WNV557" s="501"/>
      <c r="WNW557" s="501"/>
      <c r="WNX557" s="501"/>
      <c r="WNY557" s="501"/>
      <c r="WNZ557" s="501"/>
      <c r="WOA557" s="501"/>
      <c r="WOB557" s="501"/>
      <c r="WOC557" s="501"/>
      <c r="WOD557" s="501"/>
      <c r="WOE557" s="501"/>
      <c r="WOF557" s="501"/>
      <c r="WOG557" s="501"/>
      <c r="WOH557" s="501"/>
      <c r="WOI557" s="501"/>
      <c r="WOJ557" s="501"/>
      <c r="WOK557" s="501"/>
      <c r="WOL557" s="501"/>
      <c r="WOM557" s="501"/>
      <c r="WON557" s="501"/>
      <c r="WOO557" s="501"/>
      <c r="WOP557" s="501"/>
      <c r="WOQ557" s="501"/>
      <c r="WOR557" s="501"/>
      <c r="WOS557" s="501"/>
      <c r="WOT557" s="501"/>
      <c r="WOU557" s="501"/>
      <c r="WOV557" s="501"/>
      <c r="WOW557" s="501"/>
      <c r="WOX557" s="501"/>
      <c r="WOY557" s="501"/>
      <c r="WOZ557" s="501"/>
      <c r="WPA557" s="501"/>
      <c r="WPB557" s="501"/>
      <c r="WPC557" s="501"/>
      <c r="WPD557" s="501"/>
      <c r="WPE557" s="501"/>
      <c r="WPF557" s="501"/>
      <c r="WPG557" s="501"/>
      <c r="WPH557" s="501"/>
      <c r="WPI557" s="501"/>
      <c r="WPJ557" s="501"/>
      <c r="WPK557" s="501"/>
      <c r="WPL557" s="501"/>
      <c r="WPM557" s="501"/>
      <c r="WPN557" s="501"/>
      <c r="WPO557" s="501"/>
      <c r="WPP557" s="501"/>
      <c r="WPQ557" s="501"/>
      <c r="WPR557" s="501"/>
      <c r="WPS557" s="501"/>
      <c r="WPT557" s="501"/>
      <c r="WPU557" s="501"/>
      <c r="WPV557" s="501"/>
      <c r="WPW557" s="501"/>
      <c r="WPX557" s="501"/>
      <c r="WPY557" s="501"/>
      <c r="WPZ557" s="501"/>
      <c r="WQA557" s="501"/>
      <c r="WQB557" s="501"/>
      <c r="WQC557" s="501"/>
      <c r="WQD557" s="501"/>
      <c r="WQE557" s="501"/>
      <c r="WQF557" s="501"/>
      <c r="WQG557" s="501"/>
      <c r="WQH557" s="501"/>
      <c r="WQI557" s="501"/>
      <c r="WQJ557" s="501"/>
      <c r="WQK557" s="501"/>
      <c r="WQL557" s="501"/>
      <c r="WQM557" s="501"/>
      <c r="WQN557" s="501"/>
      <c r="WQO557" s="501"/>
      <c r="WQP557" s="501"/>
      <c r="WQQ557" s="501"/>
      <c r="WQR557" s="501"/>
      <c r="WQS557" s="501"/>
      <c r="WQT557" s="501"/>
      <c r="WQU557" s="501"/>
      <c r="WQV557" s="501"/>
      <c r="WQW557" s="501"/>
      <c r="WQX557" s="501"/>
      <c r="WQY557" s="501"/>
      <c r="WQZ557" s="501"/>
      <c r="WRA557" s="501"/>
      <c r="WRB557" s="501"/>
      <c r="WRC557" s="501"/>
      <c r="WRD557" s="501"/>
      <c r="WRE557" s="501"/>
      <c r="WRF557" s="501"/>
      <c r="WRG557" s="501"/>
      <c r="WRH557" s="501"/>
      <c r="WRI557" s="501"/>
      <c r="WRJ557" s="501"/>
      <c r="WRK557" s="501"/>
      <c r="WRL557" s="501"/>
      <c r="WRM557" s="501"/>
      <c r="WRN557" s="501"/>
      <c r="WRO557" s="501"/>
      <c r="WRP557" s="501"/>
      <c r="WRQ557" s="501"/>
      <c r="WRR557" s="501"/>
      <c r="WRS557" s="501"/>
      <c r="WRT557" s="501"/>
      <c r="WRU557" s="501"/>
      <c r="WRV557" s="501"/>
      <c r="WRW557" s="501"/>
      <c r="WRX557" s="501"/>
      <c r="WRY557" s="501"/>
      <c r="WRZ557" s="501"/>
      <c r="WSA557" s="501"/>
      <c r="WSB557" s="501"/>
      <c r="WSC557" s="501"/>
      <c r="WSD557" s="501"/>
      <c r="WSE557" s="501"/>
      <c r="WSF557" s="501"/>
      <c r="WSG557" s="501"/>
      <c r="WSH557" s="501"/>
      <c r="WSI557" s="501"/>
      <c r="WSJ557" s="501"/>
      <c r="WSK557" s="501"/>
      <c r="WSL557" s="501"/>
      <c r="WSM557" s="501"/>
      <c r="WSN557" s="501"/>
      <c r="WSO557" s="501"/>
      <c r="WSP557" s="501"/>
      <c r="WSQ557" s="501"/>
      <c r="WSR557" s="501"/>
      <c r="WSS557" s="501"/>
      <c r="WST557" s="501"/>
      <c r="WSU557" s="501"/>
      <c r="WSV557" s="501"/>
      <c r="WSW557" s="501"/>
      <c r="WSX557" s="501"/>
      <c r="WSY557" s="501"/>
      <c r="WSZ557" s="501"/>
      <c r="WTA557" s="501"/>
      <c r="WTB557" s="501"/>
      <c r="WTC557" s="501"/>
      <c r="WTD557" s="501"/>
      <c r="WTE557" s="501"/>
      <c r="WTF557" s="501"/>
      <c r="WTG557" s="501"/>
      <c r="WTH557" s="501"/>
      <c r="WTI557" s="501"/>
      <c r="WTJ557" s="501"/>
      <c r="WTK557" s="501"/>
      <c r="WTL557" s="501"/>
      <c r="WTM557" s="501"/>
      <c r="WTN557" s="501"/>
      <c r="WTO557" s="501"/>
      <c r="WTP557" s="501"/>
      <c r="WTQ557" s="501"/>
      <c r="WTR557" s="501"/>
      <c r="WTS557" s="501"/>
      <c r="WTT557" s="501"/>
      <c r="WTU557" s="501"/>
      <c r="WTV557" s="501"/>
      <c r="WTW557" s="501"/>
      <c r="WTX557" s="501"/>
      <c r="WTY557" s="501"/>
      <c r="WTZ557" s="501"/>
      <c r="WUA557" s="501"/>
      <c r="WUB557" s="501"/>
      <c r="WUC557" s="501"/>
      <c r="WUD557" s="501"/>
      <c r="WUE557" s="501"/>
      <c r="WUF557" s="501"/>
      <c r="WUG557" s="501"/>
      <c r="WUH557" s="501"/>
      <c r="WUI557" s="501"/>
      <c r="WUJ557" s="501"/>
      <c r="WUK557" s="501"/>
      <c r="WUL557" s="501"/>
      <c r="WUM557" s="501"/>
      <c r="WUN557" s="501"/>
      <c r="WUO557" s="501"/>
      <c r="WUP557" s="501"/>
      <c r="WUQ557" s="501"/>
      <c r="WUR557" s="501"/>
      <c r="WUS557" s="501"/>
      <c r="WUT557" s="501"/>
      <c r="WUU557" s="501"/>
      <c r="WUV557" s="501"/>
      <c r="WUW557" s="501"/>
      <c r="WUX557" s="501"/>
      <c r="WUY557" s="501"/>
      <c r="WUZ557" s="501"/>
      <c r="WVA557" s="501"/>
      <c r="WVB557" s="501"/>
      <c r="WVC557" s="501"/>
      <c r="WVD557" s="501"/>
      <c r="WVE557" s="501"/>
      <c r="WVF557" s="501"/>
      <c r="WVG557" s="501"/>
      <c r="WVH557" s="501"/>
      <c r="WVI557" s="501"/>
      <c r="WVJ557" s="501"/>
      <c r="WVK557" s="501"/>
      <c r="WVL557" s="501"/>
      <c r="WVM557" s="501"/>
      <c r="WVN557" s="501"/>
      <c r="WVO557" s="501"/>
      <c r="WVP557" s="501"/>
      <c r="WVQ557" s="501"/>
      <c r="WVR557" s="501"/>
      <c r="WVS557" s="501"/>
      <c r="WVT557" s="501"/>
      <c r="WVU557" s="501"/>
      <c r="WVV557" s="501"/>
      <c r="WVW557" s="501"/>
      <c r="WVX557" s="501"/>
      <c r="WVY557" s="501"/>
      <c r="WVZ557" s="501"/>
      <c r="WWA557" s="501"/>
      <c r="WWB557" s="501"/>
      <c r="WWC557" s="501"/>
      <c r="WWD557" s="501"/>
      <c r="WWE557" s="501"/>
      <c r="WWF557" s="501"/>
      <c r="WWG557" s="501"/>
      <c r="WWH557" s="501"/>
      <c r="WWI557" s="501"/>
      <c r="WWJ557" s="501"/>
      <c r="WWK557" s="501"/>
      <c r="WWL557" s="501"/>
      <c r="WWM557" s="501"/>
      <c r="WWN557" s="501"/>
      <c r="WWO557" s="501"/>
      <c r="WWP557" s="501"/>
      <c r="WWQ557" s="501"/>
      <c r="WWR557" s="501"/>
      <c r="WWS557" s="501"/>
      <c r="WWT557" s="501"/>
      <c r="WWU557" s="501"/>
      <c r="WWV557" s="501"/>
      <c r="WWW557" s="501"/>
      <c r="WWX557" s="501"/>
      <c r="WWY557" s="501"/>
      <c r="WWZ557" s="501"/>
      <c r="WXA557" s="501"/>
      <c r="WXB557" s="501"/>
      <c r="WXC557" s="501"/>
      <c r="WXD557" s="501"/>
      <c r="WXE557" s="501"/>
      <c r="WXF557" s="501"/>
      <c r="WXG557" s="501"/>
      <c r="WXH557" s="501"/>
      <c r="WXI557" s="501"/>
      <c r="WXJ557" s="501"/>
      <c r="WXK557" s="501"/>
      <c r="WXL557" s="501"/>
      <c r="WXM557" s="501"/>
      <c r="WXN557" s="501"/>
      <c r="WXO557" s="501"/>
      <c r="WXP557" s="501"/>
      <c r="WXQ557" s="501"/>
      <c r="WXR557" s="501"/>
      <c r="WXS557" s="501"/>
      <c r="WXT557" s="501"/>
      <c r="WXU557" s="501"/>
      <c r="WXV557" s="501"/>
      <c r="WXW557" s="501"/>
      <c r="WXX557" s="501"/>
      <c r="WXY557" s="501"/>
      <c r="WXZ557" s="501"/>
      <c r="WYA557" s="501"/>
      <c r="WYB557" s="501"/>
      <c r="WYC557" s="501"/>
      <c r="WYD557" s="501"/>
      <c r="WYE557" s="501"/>
      <c r="WYF557" s="501"/>
      <c r="WYG557" s="501"/>
      <c r="WYH557" s="501"/>
      <c r="WYI557" s="501"/>
      <c r="WYJ557" s="501"/>
      <c r="WYK557" s="501"/>
      <c r="WYL557" s="501"/>
      <c r="WYM557" s="501"/>
      <c r="WYN557" s="501"/>
      <c r="WYO557" s="501"/>
      <c r="WYP557" s="501"/>
      <c r="WYQ557" s="501"/>
      <c r="WYR557" s="501"/>
      <c r="WYS557" s="501"/>
      <c r="WYT557" s="501"/>
      <c r="WYU557" s="501"/>
      <c r="WYV557" s="501"/>
      <c r="WYW557" s="501"/>
      <c r="WYX557" s="501"/>
      <c r="WYY557" s="501"/>
      <c r="WYZ557" s="501"/>
      <c r="WZA557" s="501"/>
      <c r="WZB557" s="501"/>
      <c r="WZC557" s="501"/>
      <c r="WZD557" s="501"/>
      <c r="WZE557" s="501"/>
      <c r="WZF557" s="501"/>
      <c r="WZG557" s="501"/>
      <c r="WZH557" s="501"/>
      <c r="WZI557" s="501"/>
      <c r="WZJ557" s="501"/>
      <c r="WZK557" s="501"/>
      <c r="WZL557" s="501"/>
      <c r="WZM557" s="501"/>
      <c r="WZN557" s="501"/>
      <c r="WZO557" s="501"/>
      <c r="WZP557" s="501"/>
      <c r="WZQ557" s="501"/>
      <c r="WZR557" s="501"/>
      <c r="WZS557" s="501"/>
      <c r="WZT557" s="501"/>
      <c r="WZU557" s="501"/>
      <c r="WZV557" s="501"/>
      <c r="WZW557" s="501"/>
      <c r="WZX557" s="501"/>
      <c r="WZY557" s="501"/>
      <c r="WZZ557" s="501"/>
      <c r="XAA557" s="501"/>
      <c r="XAB557" s="501"/>
      <c r="XAC557" s="501"/>
      <c r="XAD557" s="501"/>
      <c r="XAE557" s="501"/>
      <c r="XAF557" s="501"/>
      <c r="XAG557" s="501"/>
      <c r="XAH557" s="501"/>
      <c r="XAI557" s="501"/>
      <c r="XAJ557" s="501"/>
      <c r="XAK557" s="501"/>
      <c r="XAL557" s="501"/>
      <c r="XAM557" s="501"/>
      <c r="XAN557" s="501"/>
      <c r="XAO557" s="501"/>
      <c r="XAP557" s="501"/>
      <c r="XAQ557" s="501"/>
      <c r="XAR557" s="501"/>
      <c r="XAS557" s="501"/>
      <c r="XAT557" s="501"/>
      <c r="XAU557" s="501"/>
      <c r="XAV557" s="501"/>
      <c r="XAW557" s="501"/>
      <c r="XAX557" s="501"/>
      <c r="XAY557" s="501"/>
      <c r="XAZ557" s="501"/>
      <c r="XBA557" s="501"/>
      <c r="XBB557" s="501"/>
      <c r="XBC557" s="501"/>
      <c r="XBD557" s="501"/>
      <c r="XBE557" s="501"/>
      <c r="XBF557" s="501"/>
      <c r="XBG557" s="501"/>
      <c r="XBH557" s="501"/>
      <c r="XBI557" s="501"/>
      <c r="XBJ557" s="501"/>
      <c r="XBK557" s="501"/>
      <c r="XBL557" s="501"/>
      <c r="XBM557" s="501"/>
      <c r="XBN557" s="501"/>
      <c r="XBO557" s="501"/>
      <c r="XBP557" s="501"/>
      <c r="XBQ557" s="501"/>
      <c r="XBR557" s="501"/>
      <c r="XBS557" s="501"/>
      <c r="XBT557" s="501"/>
      <c r="XBU557" s="501"/>
      <c r="XBV557" s="501"/>
      <c r="XBW557" s="501"/>
      <c r="XBX557" s="501"/>
      <c r="XBY557" s="501"/>
      <c r="XBZ557" s="501"/>
      <c r="XCA557" s="501"/>
      <c r="XCB557" s="501"/>
      <c r="XCC557" s="501"/>
      <c r="XCD557" s="501"/>
      <c r="XCE557" s="501"/>
    </row>
    <row r="558" spans="1:16307" s="26" customFormat="1" x14ac:dyDescent="0.2"/>
    <row r="559" spans="1:16307" s="26" customFormat="1" x14ac:dyDescent="0.2">
      <c r="A559" s="2256" t="s">
        <v>904</v>
      </c>
      <c r="B559" s="2257"/>
      <c r="C559" s="2257"/>
      <c r="D559" s="2257"/>
      <c r="E559" s="2257"/>
      <c r="F559" s="2257"/>
      <c r="G559" s="2257"/>
      <c r="H559" s="2257"/>
      <c r="I559" s="2257"/>
      <c r="J559" s="2257"/>
      <c r="K559" s="2257"/>
      <c r="L559" s="2257"/>
      <c r="M559" s="2257"/>
      <c r="N559" s="2257"/>
      <c r="O559" s="2257"/>
      <c r="P559" s="2257"/>
      <c r="Q559" s="2257"/>
      <c r="R559" s="2257"/>
      <c r="S559" s="2257"/>
      <c r="T559" s="2257"/>
      <c r="U559" s="2257"/>
      <c r="V559" s="2257"/>
      <c r="W559" s="2257"/>
      <c r="X559" s="2257"/>
      <c r="Y559" s="2257"/>
      <c r="Z559" s="2257"/>
      <c r="AA559" s="2257"/>
      <c r="AB559" s="2257"/>
      <c r="AC559" s="2257"/>
      <c r="AD559" s="2257"/>
      <c r="AE559" s="2257"/>
      <c r="AF559" s="2257"/>
      <c r="AG559" s="2257"/>
      <c r="AH559" s="2257"/>
      <c r="AI559" s="2257"/>
      <c r="AJ559" s="2257"/>
      <c r="AK559" s="2257"/>
      <c r="AL559" s="2257"/>
      <c r="AM559" s="2257"/>
      <c r="AN559" s="2257"/>
      <c r="AO559" s="2257"/>
      <c r="AP559" s="2257"/>
      <c r="AQ559" s="2257"/>
      <c r="AR559" s="2257"/>
      <c r="AS559" s="2257"/>
      <c r="AT559" s="2257"/>
      <c r="AU559" s="2257"/>
      <c r="AV559" s="2257"/>
      <c r="AW559" s="2257"/>
      <c r="AX559" s="2257"/>
      <c r="AY559" s="2258"/>
    </row>
    <row r="560" spans="1:16307" s="26" customFormat="1" x14ac:dyDescent="0.2">
      <c r="A560" s="824" t="s">
        <v>654</v>
      </c>
      <c r="B560" s="825" t="s">
        <v>655</v>
      </c>
      <c r="C560" s="826">
        <v>40360</v>
      </c>
      <c r="D560" s="826">
        <v>40391</v>
      </c>
      <c r="E560" s="826">
        <v>40422</v>
      </c>
      <c r="F560" s="826">
        <v>40452</v>
      </c>
      <c r="G560" s="826">
        <v>40483</v>
      </c>
      <c r="H560" s="826">
        <v>40513</v>
      </c>
      <c r="I560" s="826">
        <v>40544</v>
      </c>
      <c r="J560" s="826">
        <v>40575</v>
      </c>
      <c r="K560" s="826">
        <v>40603</v>
      </c>
      <c r="L560" s="826">
        <v>40634</v>
      </c>
      <c r="M560" s="826">
        <v>40664</v>
      </c>
      <c r="N560" s="826">
        <v>40695</v>
      </c>
      <c r="O560" s="826">
        <v>40725</v>
      </c>
      <c r="P560" s="826">
        <v>40756</v>
      </c>
      <c r="Q560" s="826">
        <v>40787</v>
      </c>
      <c r="R560" s="826">
        <v>40817</v>
      </c>
      <c r="S560" s="826">
        <v>40848</v>
      </c>
      <c r="T560" s="826">
        <v>40878</v>
      </c>
      <c r="U560" s="826">
        <v>40909</v>
      </c>
      <c r="V560" s="826">
        <v>40940</v>
      </c>
      <c r="W560" s="826">
        <v>40969</v>
      </c>
      <c r="X560" s="826">
        <v>41000</v>
      </c>
      <c r="Y560" s="826">
        <v>41030</v>
      </c>
      <c r="Z560" s="826">
        <v>41061</v>
      </c>
      <c r="AA560" s="826">
        <v>41091</v>
      </c>
      <c r="AB560" s="826">
        <v>41122</v>
      </c>
      <c r="AC560" s="826">
        <v>41153</v>
      </c>
      <c r="AD560" s="826">
        <v>41183</v>
      </c>
      <c r="AE560" s="826">
        <v>41214</v>
      </c>
      <c r="AF560" s="826">
        <v>41244</v>
      </c>
      <c r="AG560" s="826">
        <v>41275</v>
      </c>
      <c r="AH560" s="826">
        <v>41306</v>
      </c>
      <c r="AI560" s="826">
        <v>41334</v>
      </c>
      <c r="AJ560" s="826">
        <v>41365</v>
      </c>
      <c r="AK560" s="826">
        <v>41395</v>
      </c>
      <c r="AL560" s="826">
        <v>41426</v>
      </c>
      <c r="AM560" s="826">
        <v>41456</v>
      </c>
      <c r="AN560" s="826">
        <v>41487</v>
      </c>
      <c r="AO560" s="826">
        <v>41518</v>
      </c>
      <c r="AP560" s="826">
        <v>41548</v>
      </c>
      <c r="AQ560" s="826">
        <v>41579</v>
      </c>
      <c r="AR560" s="826">
        <v>41609</v>
      </c>
      <c r="AS560" s="826">
        <v>41640</v>
      </c>
      <c r="AT560" s="826">
        <v>41671</v>
      </c>
      <c r="AU560" s="826">
        <v>41699</v>
      </c>
      <c r="AV560" s="826">
        <v>41730</v>
      </c>
      <c r="AW560" s="826">
        <v>41760</v>
      </c>
      <c r="AX560" s="826">
        <v>41791</v>
      </c>
      <c r="AY560" s="826">
        <v>41821</v>
      </c>
    </row>
    <row r="561" spans="1:16307" s="500" customFormat="1" x14ac:dyDescent="0.2">
      <c r="A561" s="827" t="s">
        <v>889</v>
      </c>
      <c r="B561" s="828" t="s">
        <v>905</v>
      </c>
      <c r="C561" s="829">
        <v>227000</v>
      </c>
      <c r="D561" s="829">
        <v>183000</v>
      </c>
      <c r="E561" s="829">
        <v>225000</v>
      </c>
      <c r="F561" s="829">
        <v>344000</v>
      </c>
      <c r="G561" s="829">
        <v>215000</v>
      </c>
      <c r="H561" s="829">
        <v>164000</v>
      </c>
      <c r="I561" s="829">
        <v>101000</v>
      </c>
      <c r="J561" s="829">
        <v>391000</v>
      </c>
      <c r="K561" s="829">
        <v>303000</v>
      </c>
      <c r="L561" s="829">
        <v>172000</v>
      </c>
      <c r="M561" s="829">
        <v>150000</v>
      </c>
      <c r="N561" s="829">
        <v>200400</v>
      </c>
      <c r="O561" s="829">
        <v>209000</v>
      </c>
      <c r="P561" s="829">
        <v>258000</v>
      </c>
      <c r="Q561" s="829">
        <v>385000</v>
      </c>
      <c r="R561" s="829">
        <v>387000</v>
      </c>
      <c r="S561" s="829">
        <v>287000</v>
      </c>
      <c r="T561" s="829">
        <v>151000</v>
      </c>
      <c r="U561" s="829">
        <v>196000</v>
      </c>
      <c r="V561" s="829">
        <v>287000</v>
      </c>
      <c r="W561" s="829">
        <v>294000</v>
      </c>
      <c r="X561" s="829">
        <v>310000</v>
      </c>
      <c r="Y561" s="829">
        <v>145000</v>
      </c>
      <c r="Z561" s="829">
        <v>210000</v>
      </c>
      <c r="AA561" s="829">
        <v>278000</v>
      </c>
      <c r="AB561" s="829">
        <v>501000</v>
      </c>
      <c r="AC561" s="829">
        <v>459000</v>
      </c>
      <c r="AD561" s="829">
        <v>439000</v>
      </c>
      <c r="AE561" s="829">
        <v>368000</v>
      </c>
      <c r="AF561" s="829">
        <v>227000</v>
      </c>
      <c r="AG561" s="829">
        <v>500000</v>
      </c>
      <c r="AH561" s="829">
        <v>275000</v>
      </c>
      <c r="AI561" s="829">
        <v>181000</v>
      </c>
      <c r="AJ561" s="829">
        <v>279000</v>
      </c>
      <c r="AK561" s="829">
        <v>200000</v>
      </c>
      <c r="AL561" s="829">
        <v>219000</v>
      </c>
      <c r="AM561" s="829">
        <v>244000</v>
      </c>
      <c r="AN561" s="829">
        <v>333000</v>
      </c>
      <c r="AO561" s="829">
        <v>427000</v>
      </c>
      <c r="AP561" s="829">
        <v>475900</v>
      </c>
      <c r="AQ561" s="829">
        <v>456359</v>
      </c>
      <c r="AR561" s="829">
        <v>390001</v>
      </c>
      <c r="AS561" s="829">
        <v>507000</v>
      </c>
      <c r="AT561" s="829">
        <v>540918</v>
      </c>
      <c r="AU561" s="829">
        <v>183918</v>
      </c>
      <c r="AV561" s="829">
        <v>228589</v>
      </c>
      <c r="AW561" s="829">
        <v>211785</v>
      </c>
      <c r="AX561" s="829">
        <v>332555.45900000003</v>
      </c>
      <c r="AY561" s="829">
        <v>156555</v>
      </c>
    </row>
    <row r="562" spans="1:16307" s="500" customFormat="1" ht="12.75" customHeight="1" x14ac:dyDescent="0.2">
      <c r="A562" s="830">
        <v>315</v>
      </c>
      <c r="B562" s="831" t="s">
        <v>906</v>
      </c>
      <c r="C562" s="832">
        <v>20000</v>
      </c>
      <c r="D562" s="832">
        <v>83000</v>
      </c>
      <c r="E562" s="832">
        <v>139000</v>
      </c>
      <c r="F562" s="832">
        <v>174000</v>
      </c>
      <c r="G562" s="832">
        <v>119000</v>
      </c>
      <c r="H562" s="832">
        <v>108000</v>
      </c>
      <c r="I562" s="832">
        <v>53000</v>
      </c>
      <c r="J562" s="832">
        <v>231000</v>
      </c>
      <c r="K562" s="832">
        <v>190000</v>
      </c>
      <c r="L562" s="832">
        <v>54000</v>
      </c>
      <c r="M562" s="832">
        <v>27000</v>
      </c>
      <c r="N562" s="832">
        <v>6000</v>
      </c>
      <c r="O562" s="832">
        <v>12000</v>
      </c>
      <c r="P562" s="832">
        <v>81000</v>
      </c>
      <c r="Q562" s="832">
        <v>174000</v>
      </c>
      <c r="R562" s="832">
        <v>147000</v>
      </c>
      <c r="S562" s="832">
        <v>146000</v>
      </c>
      <c r="T562" s="832">
        <v>93000</v>
      </c>
      <c r="U562" s="832">
        <v>112000</v>
      </c>
      <c r="V562" s="832">
        <v>196000</v>
      </c>
      <c r="W562" s="832">
        <v>164000</v>
      </c>
      <c r="X562" s="832">
        <v>158000</v>
      </c>
      <c r="Y562" s="832">
        <v>65000</v>
      </c>
      <c r="Z562" s="832">
        <v>18000</v>
      </c>
      <c r="AA562" s="832">
        <v>27000</v>
      </c>
      <c r="AB562" s="832">
        <v>114000</v>
      </c>
      <c r="AC562" s="832">
        <v>166000</v>
      </c>
      <c r="AD562" s="832">
        <v>176000</v>
      </c>
      <c r="AE562" s="832">
        <v>172000</v>
      </c>
      <c r="AF562" s="832">
        <v>77000</v>
      </c>
      <c r="AG562" s="832">
        <v>129000</v>
      </c>
      <c r="AH562" s="832">
        <v>170000</v>
      </c>
      <c r="AI562" s="832">
        <v>133000</v>
      </c>
      <c r="AJ562" s="832">
        <v>167000</v>
      </c>
      <c r="AK562" s="832">
        <v>113000</v>
      </c>
      <c r="AL562" s="832">
        <v>86000</v>
      </c>
      <c r="AM562" s="832">
        <v>150000</v>
      </c>
      <c r="AN562" s="832">
        <v>128000</v>
      </c>
      <c r="AO562" s="832">
        <v>190000</v>
      </c>
      <c r="AP562" s="832">
        <v>224300</v>
      </c>
      <c r="AQ562" s="832">
        <v>173473</v>
      </c>
      <c r="AR562" s="832">
        <v>80000</v>
      </c>
      <c r="AS562" s="832">
        <v>185000</v>
      </c>
      <c r="AT562" s="832">
        <v>190346</v>
      </c>
      <c r="AU562" s="832">
        <v>140346</v>
      </c>
      <c r="AV562" s="832">
        <v>186283</v>
      </c>
      <c r="AW562" s="832">
        <v>77895</v>
      </c>
      <c r="AX562" s="832">
        <v>33085.172999999995</v>
      </c>
      <c r="AY562" s="832">
        <v>78085</v>
      </c>
    </row>
    <row r="563" spans="1:16307" s="500" customFormat="1" ht="12.75" customHeight="1" x14ac:dyDescent="0.2">
      <c r="A563" s="830" t="s">
        <v>892</v>
      </c>
      <c r="B563" s="831" t="s">
        <v>907</v>
      </c>
      <c r="C563" s="832">
        <v>0</v>
      </c>
      <c r="D563" s="832">
        <v>0</v>
      </c>
      <c r="E563" s="832">
        <v>0</v>
      </c>
      <c r="F563" s="832">
        <v>0</v>
      </c>
      <c r="G563" s="832">
        <v>0</v>
      </c>
      <c r="H563" s="832">
        <v>0</v>
      </c>
      <c r="I563" s="832">
        <v>0</v>
      </c>
      <c r="J563" s="832">
        <v>0</v>
      </c>
      <c r="K563" s="832">
        <v>0</v>
      </c>
      <c r="L563" s="832">
        <v>0</v>
      </c>
      <c r="M563" s="832">
        <v>0</v>
      </c>
      <c r="N563" s="832">
        <v>0</v>
      </c>
      <c r="O563" s="832">
        <v>0</v>
      </c>
      <c r="P563" s="832">
        <v>0</v>
      </c>
      <c r="Q563" s="832">
        <v>0</v>
      </c>
      <c r="R563" s="832">
        <v>0</v>
      </c>
      <c r="S563" s="832">
        <v>0</v>
      </c>
      <c r="T563" s="832">
        <v>0</v>
      </c>
      <c r="U563" s="832">
        <v>0</v>
      </c>
      <c r="V563" s="832">
        <v>0</v>
      </c>
      <c r="W563" s="832">
        <v>0</v>
      </c>
      <c r="X563" s="832">
        <v>0</v>
      </c>
      <c r="Y563" s="832">
        <v>0</v>
      </c>
      <c r="Z563" s="832">
        <v>5992</v>
      </c>
      <c r="AA563" s="832">
        <v>32528</v>
      </c>
      <c r="AB563" s="832">
        <v>100152</v>
      </c>
      <c r="AC563" s="832">
        <v>205440</v>
      </c>
      <c r="AD563" s="832">
        <v>208008</v>
      </c>
      <c r="AE563" s="832">
        <v>197736</v>
      </c>
      <c r="AF563" s="832">
        <v>89880</v>
      </c>
      <c r="AG563" s="832">
        <v>160072</v>
      </c>
      <c r="AH563" s="832">
        <v>212288</v>
      </c>
      <c r="AI563" s="832">
        <v>172056</v>
      </c>
      <c r="AJ563" s="832">
        <v>219136</v>
      </c>
      <c r="AK563" s="832">
        <v>77896</v>
      </c>
      <c r="AL563" s="832">
        <v>11128</v>
      </c>
      <c r="AM563" s="832">
        <v>11128</v>
      </c>
      <c r="AN563" s="832">
        <v>139528</v>
      </c>
      <c r="AO563" s="832">
        <v>218280</v>
      </c>
      <c r="AP563" s="832">
        <v>274768</v>
      </c>
      <c r="AQ563" s="832">
        <v>222064</v>
      </c>
      <c r="AR563" s="832">
        <v>95872</v>
      </c>
      <c r="AS563" s="832">
        <v>182328</v>
      </c>
      <c r="AT563" s="832">
        <v>224152</v>
      </c>
      <c r="AU563" s="832">
        <v>172792</v>
      </c>
      <c r="AV563" s="832">
        <v>245264</v>
      </c>
      <c r="AW563" s="832">
        <v>117648</v>
      </c>
      <c r="AX563" s="832">
        <v>78184.368000000002</v>
      </c>
      <c r="AY563" s="832">
        <v>95304</v>
      </c>
    </row>
    <row r="564" spans="1:16307" s="501" customFormat="1" x14ac:dyDescent="0.2">
      <c r="A564" s="833" t="s">
        <v>889</v>
      </c>
      <c r="B564" s="834" t="s">
        <v>908</v>
      </c>
      <c r="C564" s="835">
        <v>2093.02</v>
      </c>
      <c r="D564" s="835">
        <v>1370.77</v>
      </c>
      <c r="E564" s="835">
        <v>1567.19</v>
      </c>
      <c r="F564" s="835">
        <v>2355.1999999999998</v>
      </c>
      <c r="G564" s="835">
        <v>1751.58</v>
      </c>
      <c r="H564" s="835">
        <v>1112.4000000000001</v>
      </c>
      <c r="I564" s="835">
        <v>702.31999999999994</v>
      </c>
      <c r="J564" s="835">
        <v>2027.6100000000001</v>
      </c>
      <c r="K564" s="835">
        <v>1806.48</v>
      </c>
      <c r="L564" s="835">
        <v>1939.76</v>
      </c>
      <c r="M564" s="835">
        <v>1447.9500000000003</v>
      </c>
      <c r="N564" s="835">
        <v>1348.3600000000001</v>
      </c>
      <c r="O564" s="835">
        <v>1842.05</v>
      </c>
      <c r="P564" s="835">
        <v>1678.25</v>
      </c>
      <c r="Q564" s="835">
        <v>2296</v>
      </c>
      <c r="R564" s="835">
        <v>3225.7000000000003</v>
      </c>
      <c r="S564" s="835">
        <v>3158.8</v>
      </c>
      <c r="T564" s="835">
        <v>2030.4</v>
      </c>
      <c r="U564" s="835">
        <v>1351.5</v>
      </c>
      <c r="V564" s="835">
        <v>1658.65</v>
      </c>
      <c r="W564" s="835">
        <v>2290.3000000000002</v>
      </c>
      <c r="X564" s="835">
        <v>3059.25</v>
      </c>
      <c r="Y564" s="835">
        <v>2194.5</v>
      </c>
      <c r="Z564" s="835">
        <v>2112</v>
      </c>
      <c r="AA564" s="835">
        <v>1325.3</v>
      </c>
      <c r="AB564" s="835">
        <v>2441.1</v>
      </c>
      <c r="AC564" s="835">
        <v>4465.2</v>
      </c>
      <c r="AD564" s="835">
        <v>3722.6</v>
      </c>
      <c r="AE564" s="835">
        <v>3126.7</v>
      </c>
      <c r="AF564" s="835">
        <v>2551.6999999999998</v>
      </c>
      <c r="AG564" s="835">
        <v>2913.5</v>
      </c>
      <c r="AH564" s="835">
        <v>2847</v>
      </c>
      <c r="AI564" s="835">
        <v>2453.6999999999998</v>
      </c>
      <c r="AJ564" s="835">
        <v>2472.6</v>
      </c>
      <c r="AK564" s="835">
        <v>3117.5</v>
      </c>
      <c r="AL564" s="835">
        <v>2551.5</v>
      </c>
      <c r="AM564" s="835">
        <v>3401.1000000000004</v>
      </c>
      <c r="AN564" s="835">
        <v>3105.9</v>
      </c>
      <c r="AO564" s="835">
        <v>3993.7</v>
      </c>
      <c r="AP564" s="835">
        <v>4651.87</v>
      </c>
      <c r="AQ564" s="835">
        <v>5036.2026999999998</v>
      </c>
      <c r="AR564" s="835">
        <v>5584.5</v>
      </c>
      <c r="AS564" s="835">
        <v>5330.1</v>
      </c>
      <c r="AT564" s="835">
        <v>6721.4669999999996</v>
      </c>
      <c r="AU564" s="835">
        <v>3878.9670000000001</v>
      </c>
      <c r="AV564" s="835">
        <v>2495.0340000000001</v>
      </c>
      <c r="AW564" s="835">
        <v>2707.6379999999999</v>
      </c>
      <c r="AX564" s="835">
        <v>4023.6185000000005</v>
      </c>
      <c r="AY564" s="835">
        <v>2575.6530000000002</v>
      </c>
      <c r="AZ564" s="500"/>
      <c r="BA564" s="500"/>
      <c r="BB564" s="500"/>
      <c r="BC564" s="500"/>
      <c r="BD564" s="500"/>
      <c r="BE564" s="500"/>
      <c r="BF564" s="500"/>
      <c r="BG564" s="500"/>
      <c r="BH564" s="500"/>
      <c r="BI564" s="500"/>
      <c r="BJ564" s="500"/>
      <c r="BK564" s="500"/>
      <c r="BL564" s="500"/>
      <c r="BM564" s="500"/>
      <c r="BN564" s="500"/>
      <c r="BO564" s="500"/>
      <c r="BP564" s="500"/>
      <c r="BQ564" s="500"/>
      <c r="BR564" s="500"/>
      <c r="BS564" s="500"/>
      <c r="BT564" s="500"/>
      <c r="BU564" s="500"/>
      <c r="BV564" s="500"/>
      <c r="BW564" s="500"/>
      <c r="BX564" s="500"/>
      <c r="BY564" s="500"/>
      <c r="BZ564" s="500"/>
      <c r="CA564" s="500"/>
      <c r="CB564" s="500"/>
      <c r="CC564" s="500"/>
      <c r="CD564" s="500"/>
      <c r="CE564" s="500"/>
      <c r="CF564" s="500"/>
      <c r="CG564" s="500"/>
      <c r="CH564" s="500"/>
      <c r="CI564" s="500"/>
      <c r="CJ564" s="500"/>
      <c r="CK564" s="500"/>
      <c r="CL564" s="500"/>
      <c r="CM564" s="500"/>
      <c r="CN564" s="500"/>
      <c r="CO564" s="500"/>
      <c r="CP564" s="500"/>
      <c r="CQ564" s="500"/>
      <c r="CR564" s="500"/>
      <c r="CS564" s="500"/>
      <c r="CT564" s="500"/>
      <c r="CU564" s="500"/>
      <c r="CV564" s="500"/>
      <c r="CW564" s="500"/>
      <c r="CX564" s="500"/>
      <c r="CY564" s="500"/>
      <c r="CZ564" s="500"/>
      <c r="DA564" s="500"/>
      <c r="DB564" s="500"/>
      <c r="DC564" s="500"/>
      <c r="DD564" s="500"/>
      <c r="DE564" s="500"/>
      <c r="DF564" s="500"/>
      <c r="DG564" s="500"/>
      <c r="DH564" s="500"/>
      <c r="DI564" s="500"/>
      <c r="DJ564" s="500"/>
      <c r="DK564" s="500"/>
      <c r="DL564" s="500"/>
      <c r="DM564" s="500"/>
      <c r="DN564" s="500"/>
      <c r="DO564" s="500"/>
      <c r="DP564" s="500"/>
      <c r="DQ564" s="500"/>
      <c r="DR564" s="500"/>
      <c r="DS564" s="500"/>
      <c r="DT564" s="500"/>
      <c r="DU564" s="500"/>
      <c r="DV564" s="500"/>
      <c r="DW564" s="500"/>
      <c r="DX564" s="500"/>
      <c r="DY564" s="500"/>
      <c r="DZ564" s="500"/>
      <c r="EA564" s="500"/>
      <c r="EB564" s="500"/>
      <c r="EC564" s="500"/>
      <c r="ED564" s="500"/>
      <c r="EE564" s="500"/>
      <c r="EF564" s="500"/>
      <c r="EG564" s="500"/>
      <c r="EH564" s="500"/>
      <c r="EI564" s="500"/>
      <c r="EJ564" s="500"/>
      <c r="EK564" s="500"/>
      <c r="EL564" s="500"/>
      <c r="EM564" s="500"/>
      <c r="EN564" s="500"/>
      <c r="EO564" s="500"/>
      <c r="EP564" s="500"/>
      <c r="EQ564" s="500"/>
      <c r="ER564" s="500"/>
      <c r="ES564" s="500"/>
      <c r="ET564" s="500"/>
      <c r="EU564" s="500"/>
      <c r="EV564" s="500"/>
      <c r="EW564" s="500"/>
      <c r="EX564" s="500"/>
      <c r="EY564" s="500"/>
      <c r="EZ564" s="500"/>
      <c r="FA564" s="500"/>
      <c r="FB564" s="500"/>
      <c r="FC564" s="500"/>
      <c r="FD564" s="500"/>
      <c r="FE564" s="500"/>
      <c r="FF564" s="500"/>
      <c r="FG564" s="500"/>
      <c r="FH564" s="500"/>
      <c r="FI564" s="500"/>
      <c r="FJ564" s="500"/>
      <c r="FK564" s="500"/>
      <c r="FL564" s="500"/>
      <c r="FM564" s="500"/>
      <c r="FN564" s="500"/>
      <c r="FO564" s="500"/>
      <c r="FP564" s="500"/>
      <c r="FQ564" s="500"/>
      <c r="FR564" s="500"/>
      <c r="FS564" s="500"/>
      <c r="FT564" s="500"/>
      <c r="FU564" s="500"/>
      <c r="FV564" s="500"/>
      <c r="FW564" s="500"/>
      <c r="FX564" s="500"/>
      <c r="FY564" s="500"/>
      <c r="FZ564" s="500"/>
      <c r="GA564" s="500"/>
      <c r="GB564" s="500"/>
      <c r="GC564" s="500"/>
      <c r="GD564" s="500"/>
      <c r="GE564" s="500"/>
      <c r="GF564" s="500"/>
      <c r="GG564" s="500"/>
      <c r="GH564" s="500"/>
      <c r="GI564" s="500"/>
      <c r="GJ564" s="500"/>
      <c r="GK564" s="500"/>
      <c r="GL564" s="500"/>
      <c r="GM564" s="500"/>
      <c r="GN564" s="500"/>
      <c r="GO564" s="500"/>
      <c r="GP564" s="500"/>
      <c r="GQ564" s="500"/>
      <c r="GR564" s="500"/>
      <c r="GS564" s="500"/>
      <c r="GT564" s="500"/>
      <c r="GU564" s="500"/>
      <c r="GV564" s="500"/>
      <c r="GW564" s="500"/>
      <c r="GX564" s="500"/>
      <c r="GY564" s="500"/>
      <c r="GZ564" s="500"/>
      <c r="HA564" s="500"/>
      <c r="HB564" s="500"/>
      <c r="HC564" s="500"/>
      <c r="HD564" s="500"/>
      <c r="HE564" s="500"/>
      <c r="HF564" s="500"/>
      <c r="HG564" s="500"/>
      <c r="HH564" s="500"/>
      <c r="HI564" s="500"/>
      <c r="HJ564" s="500"/>
      <c r="HK564" s="500"/>
      <c r="HL564" s="500"/>
      <c r="HM564" s="500"/>
      <c r="HN564" s="500"/>
      <c r="HO564" s="500"/>
      <c r="HP564" s="500"/>
      <c r="HQ564" s="500"/>
      <c r="HR564" s="500"/>
      <c r="HS564" s="500"/>
      <c r="HT564" s="500"/>
      <c r="HU564" s="500"/>
      <c r="HV564" s="500"/>
      <c r="HW564" s="500"/>
      <c r="HX564" s="500"/>
      <c r="HY564" s="500"/>
      <c r="HZ564" s="500"/>
      <c r="IA564" s="500"/>
      <c r="IB564" s="500"/>
      <c r="IC564" s="500"/>
      <c r="ID564" s="500"/>
      <c r="IE564" s="500"/>
      <c r="IF564" s="500"/>
      <c r="IG564" s="500"/>
      <c r="IH564" s="500"/>
      <c r="II564" s="500"/>
      <c r="IJ564" s="500"/>
      <c r="IK564" s="500"/>
      <c r="IL564" s="500"/>
      <c r="IM564" s="500"/>
      <c r="IN564" s="500"/>
      <c r="IO564" s="500"/>
      <c r="IP564" s="500"/>
      <c r="IQ564" s="500"/>
      <c r="IR564" s="500"/>
      <c r="IS564" s="500"/>
      <c r="IT564" s="500"/>
      <c r="IU564" s="500"/>
      <c r="IV564" s="500"/>
      <c r="IW564" s="500"/>
      <c r="IX564" s="500"/>
      <c r="IY564" s="500"/>
      <c r="IZ564" s="500"/>
      <c r="JA564" s="500"/>
      <c r="JB564" s="500"/>
      <c r="JC564" s="500"/>
      <c r="JD564" s="500"/>
      <c r="JE564" s="500"/>
      <c r="JF564" s="500"/>
      <c r="JG564" s="500"/>
      <c r="JH564" s="500"/>
      <c r="JI564" s="500"/>
      <c r="JJ564" s="500"/>
      <c r="JK564" s="500"/>
      <c r="JL564" s="500"/>
      <c r="JM564" s="500"/>
      <c r="JN564" s="500"/>
      <c r="JO564" s="500"/>
      <c r="JP564" s="500"/>
      <c r="JQ564" s="500"/>
      <c r="JR564" s="500"/>
      <c r="JS564" s="500"/>
      <c r="JT564" s="500"/>
      <c r="JU564" s="500"/>
      <c r="JV564" s="500"/>
      <c r="JW564" s="500"/>
      <c r="JX564" s="500"/>
      <c r="JY564" s="500"/>
      <c r="JZ564" s="500"/>
      <c r="KA564" s="500"/>
      <c r="KB564" s="500"/>
      <c r="KC564" s="500"/>
      <c r="KD564" s="500"/>
      <c r="KE564" s="500"/>
      <c r="KF564" s="500"/>
      <c r="KG564" s="500"/>
      <c r="KH564" s="500"/>
      <c r="KI564" s="500"/>
      <c r="KJ564" s="500"/>
      <c r="KK564" s="500"/>
      <c r="KL564" s="500"/>
      <c r="KM564" s="500"/>
      <c r="KN564" s="500"/>
      <c r="KO564" s="500"/>
      <c r="KP564" s="500"/>
      <c r="KQ564" s="500"/>
      <c r="KR564" s="500"/>
      <c r="KS564" s="500"/>
      <c r="KT564" s="500"/>
      <c r="KU564" s="500"/>
      <c r="KV564" s="500"/>
      <c r="KW564" s="500"/>
      <c r="KX564" s="500"/>
      <c r="KY564" s="500"/>
      <c r="KZ564" s="500"/>
      <c r="LA564" s="500"/>
      <c r="LB564" s="500"/>
      <c r="LC564" s="500"/>
      <c r="LD564" s="500"/>
      <c r="LE564" s="500"/>
      <c r="LF564" s="500"/>
      <c r="LG564" s="500"/>
      <c r="LH564" s="500"/>
      <c r="LI564" s="500"/>
      <c r="LJ564" s="500"/>
      <c r="LK564" s="500"/>
      <c r="LL564" s="500"/>
      <c r="LM564" s="500"/>
      <c r="LN564" s="500"/>
      <c r="LO564" s="500"/>
      <c r="LP564" s="500"/>
      <c r="LQ564" s="500"/>
      <c r="LR564" s="500"/>
      <c r="LS564" s="500"/>
      <c r="LT564" s="500"/>
      <c r="LU564" s="500"/>
      <c r="LV564" s="500"/>
      <c r="LW564" s="500"/>
      <c r="LX564" s="500"/>
      <c r="LY564" s="500"/>
      <c r="LZ564" s="500"/>
      <c r="MA564" s="500"/>
      <c r="MB564" s="500"/>
      <c r="MC564" s="500"/>
      <c r="MD564" s="500"/>
      <c r="ME564" s="500"/>
      <c r="MF564" s="500"/>
      <c r="MG564" s="500"/>
      <c r="MH564" s="500"/>
      <c r="MI564" s="500"/>
      <c r="MJ564" s="500"/>
      <c r="MK564" s="500"/>
      <c r="ML564" s="500"/>
      <c r="MM564" s="500"/>
      <c r="MN564" s="500"/>
      <c r="MO564" s="500"/>
      <c r="MP564" s="500"/>
      <c r="MQ564" s="500"/>
      <c r="MR564" s="500"/>
      <c r="MS564" s="500"/>
      <c r="MT564" s="500"/>
      <c r="MU564" s="500"/>
      <c r="MV564" s="500"/>
      <c r="MW564" s="500"/>
      <c r="MX564" s="500"/>
      <c r="MY564" s="500"/>
      <c r="MZ564" s="500"/>
      <c r="NA564" s="500"/>
      <c r="NB564" s="500"/>
      <c r="NC564" s="500"/>
      <c r="ND564" s="500"/>
      <c r="NE564" s="500"/>
      <c r="NF564" s="500"/>
      <c r="NG564" s="500"/>
      <c r="NH564" s="500"/>
      <c r="NI564" s="500"/>
      <c r="NJ564" s="500"/>
      <c r="NK564" s="500"/>
      <c r="NL564" s="500"/>
      <c r="NM564" s="500"/>
      <c r="NN564" s="500"/>
      <c r="NO564" s="500"/>
      <c r="NP564" s="500"/>
      <c r="NQ564" s="500"/>
      <c r="NR564" s="500"/>
      <c r="NS564" s="500"/>
      <c r="NT564" s="500"/>
      <c r="NU564" s="500"/>
      <c r="NV564" s="500"/>
      <c r="NW564" s="500"/>
      <c r="NX564" s="500"/>
      <c r="NY564" s="500"/>
      <c r="NZ564" s="500"/>
      <c r="OA564" s="500"/>
      <c r="OB564" s="500"/>
      <c r="OC564" s="500"/>
      <c r="OD564" s="500"/>
      <c r="OE564" s="500"/>
      <c r="OF564" s="500"/>
      <c r="OG564" s="500"/>
      <c r="OH564" s="500"/>
      <c r="OI564" s="500"/>
      <c r="OJ564" s="500"/>
      <c r="OK564" s="500"/>
      <c r="OL564" s="500"/>
      <c r="OM564" s="500"/>
      <c r="ON564" s="500"/>
      <c r="OO564" s="500"/>
      <c r="OP564" s="500"/>
      <c r="OQ564" s="500"/>
      <c r="OR564" s="500"/>
      <c r="OS564" s="500"/>
      <c r="OT564" s="500"/>
      <c r="OU564" s="500"/>
      <c r="OV564" s="500"/>
      <c r="OW564" s="500"/>
      <c r="OX564" s="500"/>
      <c r="OY564" s="500"/>
      <c r="OZ564" s="500"/>
      <c r="PA564" s="500"/>
      <c r="PB564" s="500"/>
      <c r="PC564" s="500"/>
      <c r="PD564" s="500"/>
      <c r="PE564" s="500"/>
      <c r="PF564" s="500"/>
      <c r="PG564" s="500"/>
      <c r="PH564" s="500"/>
      <c r="PI564" s="500"/>
      <c r="PJ564" s="500"/>
      <c r="PK564" s="500"/>
      <c r="PL564" s="500"/>
      <c r="PM564" s="500"/>
      <c r="PN564" s="500"/>
      <c r="PO564" s="500"/>
      <c r="PP564" s="500"/>
      <c r="PQ564" s="500"/>
      <c r="PR564" s="500"/>
      <c r="PS564" s="500"/>
      <c r="PT564" s="500"/>
      <c r="PU564" s="500"/>
      <c r="PV564" s="500"/>
      <c r="PW564" s="500"/>
      <c r="PX564" s="500"/>
      <c r="PY564" s="500"/>
      <c r="PZ564" s="500"/>
      <c r="QA564" s="500"/>
      <c r="QB564" s="500"/>
      <c r="QC564" s="500"/>
      <c r="QD564" s="500"/>
      <c r="QE564" s="500"/>
      <c r="QF564" s="500"/>
      <c r="QG564" s="500"/>
      <c r="QH564" s="500"/>
      <c r="QI564" s="500"/>
      <c r="QJ564" s="500"/>
      <c r="QK564" s="500"/>
      <c r="QL564" s="500"/>
      <c r="QM564" s="500"/>
      <c r="QN564" s="500"/>
      <c r="QO564" s="500"/>
      <c r="QP564" s="500"/>
      <c r="QQ564" s="500"/>
      <c r="QR564" s="500"/>
      <c r="QS564" s="500"/>
      <c r="QT564" s="500"/>
      <c r="QU564" s="500"/>
      <c r="QV564" s="500"/>
      <c r="QW564" s="500"/>
      <c r="QX564" s="500"/>
      <c r="QY564" s="500"/>
      <c r="QZ564" s="500"/>
      <c r="RA564" s="500"/>
      <c r="RB564" s="500"/>
      <c r="RC564" s="500"/>
      <c r="RD564" s="500"/>
      <c r="RE564" s="500"/>
      <c r="RF564" s="500"/>
      <c r="RG564" s="500"/>
      <c r="RH564" s="500"/>
      <c r="RI564" s="500"/>
      <c r="RJ564" s="500"/>
      <c r="RK564" s="500"/>
      <c r="RL564" s="500"/>
      <c r="RM564" s="500"/>
      <c r="RN564" s="500"/>
      <c r="RO564" s="500"/>
      <c r="RP564" s="500"/>
      <c r="RQ564" s="500"/>
      <c r="RR564" s="500"/>
      <c r="RS564" s="500"/>
      <c r="RT564" s="500"/>
      <c r="RU564" s="500"/>
      <c r="RV564" s="500"/>
      <c r="RW564" s="500"/>
      <c r="RX564" s="500"/>
      <c r="RY564" s="500"/>
      <c r="RZ564" s="500"/>
      <c r="SA564" s="500"/>
      <c r="SB564" s="500"/>
      <c r="SC564" s="500"/>
      <c r="SD564" s="500"/>
      <c r="SE564" s="500"/>
      <c r="SF564" s="500"/>
      <c r="SG564" s="500"/>
      <c r="SH564" s="500"/>
      <c r="SI564" s="500"/>
      <c r="SJ564" s="500"/>
      <c r="SK564" s="500"/>
      <c r="SL564" s="500"/>
      <c r="SM564" s="500"/>
      <c r="SN564" s="500"/>
      <c r="SO564" s="500"/>
      <c r="SP564" s="500"/>
      <c r="SQ564" s="500"/>
      <c r="SR564" s="500"/>
      <c r="SS564" s="500"/>
      <c r="ST564" s="500"/>
      <c r="SU564" s="500"/>
      <c r="SV564" s="500"/>
      <c r="SW564" s="500"/>
      <c r="SX564" s="500"/>
      <c r="SY564" s="500"/>
      <c r="SZ564" s="500"/>
      <c r="TA564" s="500"/>
      <c r="TB564" s="500"/>
      <c r="TC564" s="500"/>
      <c r="TD564" s="500"/>
      <c r="TE564" s="500"/>
      <c r="TF564" s="500"/>
      <c r="TG564" s="500"/>
      <c r="TH564" s="500"/>
      <c r="TI564" s="500"/>
      <c r="TJ564" s="500"/>
      <c r="TK564" s="500"/>
      <c r="TL564" s="500"/>
      <c r="TM564" s="500"/>
      <c r="TN564" s="500"/>
      <c r="TO564" s="500"/>
      <c r="TP564" s="500"/>
      <c r="TQ564" s="500"/>
      <c r="TR564" s="500"/>
      <c r="TS564" s="500"/>
      <c r="TT564" s="500"/>
      <c r="TU564" s="500"/>
      <c r="TV564" s="500"/>
      <c r="TW564" s="500"/>
      <c r="TX564" s="500"/>
      <c r="TY564" s="500"/>
      <c r="TZ564" s="500"/>
      <c r="UA564" s="500"/>
      <c r="UB564" s="500"/>
      <c r="UC564" s="500"/>
      <c r="UD564" s="500"/>
      <c r="UE564" s="500"/>
      <c r="UF564" s="500"/>
      <c r="UG564" s="500"/>
      <c r="UH564" s="500"/>
      <c r="UI564" s="500"/>
      <c r="UJ564" s="500"/>
      <c r="UK564" s="500"/>
      <c r="UL564" s="500"/>
      <c r="UM564" s="500"/>
      <c r="UN564" s="500"/>
      <c r="UO564" s="500"/>
      <c r="UP564" s="500"/>
      <c r="UQ564" s="500"/>
      <c r="UR564" s="500"/>
      <c r="US564" s="500"/>
      <c r="UT564" s="500"/>
      <c r="UU564" s="500"/>
      <c r="UV564" s="500"/>
      <c r="UW564" s="500"/>
      <c r="UX564" s="500"/>
      <c r="UY564" s="500"/>
      <c r="UZ564" s="500"/>
      <c r="VA564" s="500"/>
      <c r="VB564" s="500"/>
      <c r="VC564" s="500"/>
      <c r="VD564" s="500"/>
      <c r="VE564" s="500"/>
      <c r="VF564" s="500"/>
      <c r="VG564" s="500"/>
      <c r="VH564" s="500"/>
      <c r="VI564" s="500"/>
      <c r="VJ564" s="500"/>
      <c r="VK564" s="500"/>
      <c r="VL564" s="500"/>
      <c r="VM564" s="500"/>
      <c r="VN564" s="500"/>
      <c r="VO564" s="500"/>
      <c r="VP564" s="500"/>
      <c r="VQ564" s="500"/>
      <c r="VR564" s="500"/>
      <c r="VS564" s="500"/>
      <c r="VT564" s="500"/>
      <c r="VU564" s="500"/>
      <c r="VV564" s="500"/>
      <c r="VW564" s="500"/>
      <c r="VX564" s="500"/>
      <c r="VY564" s="500"/>
      <c r="VZ564" s="500"/>
      <c r="WA564" s="500"/>
      <c r="WB564" s="500"/>
      <c r="WC564" s="500"/>
      <c r="WD564" s="500"/>
      <c r="WE564" s="500"/>
      <c r="WF564" s="500"/>
      <c r="WG564" s="500"/>
      <c r="WH564" s="500"/>
      <c r="WI564" s="500"/>
      <c r="WJ564" s="500"/>
      <c r="WK564" s="500"/>
      <c r="WL564" s="500"/>
      <c r="WM564" s="500"/>
      <c r="WN564" s="500"/>
      <c r="WO564" s="500"/>
      <c r="WP564" s="500"/>
      <c r="WQ564" s="500"/>
      <c r="WR564" s="500"/>
      <c r="WS564" s="500"/>
      <c r="WT564" s="500"/>
      <c r="WU564" s="500"/>
      <c r="WV564" s="500"/>
      <c r="WW564" s="500"/>
      <c r="WX564" s="500"/>
      <c r="WY564" s="500"/>
      <c r="WZ564" s="500"/>
      <c r="XA564" s="500"/>
      <c r="XB564" s="500"/>
      <c r="XC564" s="500"/>
      <c r="XD564" s="500"/>
      <c r="XE564" s="500"/>
      <c r="XF564" s="500"/>
      <c r="XG564" s="500"/>
      <c r="XH564" s="500"/>
      <c r="XI564" s="500"/>
      <c r="XJ564" s="500"/>
      <c r="XK564" s="500"/>
      <c r="XL564" s="500"/>
      <c r="XM564" s="500"/>
      <c r="XN564" s="500"/>
      <c r="XO564" s="500"/>
      <c r="XP564" s="500"/>
      <c r="XQ564" s="500"/>
      <c r="XR564" s="500"/>
      <c r="XS564" s="500"/>
      <c r="XT564" s="500"/>
      <c r="XU564" s="500"/>
      <c r="XV564" s="500"/>
      <c r="XW564" s="500"/>
      <c r="XX564" s="500"/>
      <c r="XY564" s="500"/>
      <c r="XZ564" s="500"/>
      <c r="YA564" s="500"/>
      <c r="YB564" s="500"/>
      <c r="YC564" s="500"/>
      <c r="YD564" s="500"/>
      <c r="YE564" s="500"/>
      <c r="YF564" s="500"/>
      <c r="YG564" s="500"/>
      <c r="YH564" s="500"/>
      <c r="YI564" s="500"/>
      <c r="YJ564" s="500"/>
      <c r="YK564" s="500"/>
      <c r="YL564" s="500"/>
      <c r="YM564" s="500"/>
      <c r="YN564" s="500"/>
      <c r="YO564" s="500"/>
      <c r="YP564" s="500"/>
      <c r="YQ564" s="500"/>
      <c r="YR564" s="500"/>
      <c r="YS564" s="500"/>
      <c r="YT564" s="500"/>
      <c r="YU564" s="500"/>
      <c r="YV564" s="500"/>
      <c r="YW564" s="500"/>
      <c r="YX564" s="500"/>
      <c r="YY564" s="500"/>
      <c r="YZ564" s="500"/>
      <c r="ZA564" s="500"/>
      <c r="ZB564" s="500"/>
      <c r="ZC564" s="500"/>
      <c r="ZD564" s="500"/>
      <c r="ZE564" s="500"/>
      <c r="ZF564" s="500"/>
      <c r="ZG564" s="500"/>
      <c r="ZH564" s="500"/>
      <c r="ZI564" s="500"/>
      <c r="ZJ564" s="500"/>
      <c r="ZK564" s="500"/>
      <c r="ZL564" s="500"/>
      <c r="ZM564" s="500"/>
      <c r="ZN564" s="500"/>
      <c r="ZO564" s="500"/>
      <c r="ZP564" s="500"/>
      <c r="ZQ564" s="500"/>
      <c r="ZR564" s="500"/>
      <c r="ZS564" s="500"/>
      <c r="ZT564" s="500"/>
      <c r="ZU564" s="500"/>
      <c r="ZV564" s="500"/>
      <c r="ZW564" s="500"/>
      <c r="ZX564" s="500"/>
      <c r="ZY564" s="500"/>
      <c r="ZZ564" s="500"/>
      <c r="AAA564" s="500"/>
      <c r="AAB564" s="500"/>
      <c r="AAC564" s="500"/>
      <c r="AAD564" s="500"/>
      <c r="AAE564" s="500"/>
      <c r="AAF564" s="500"/>
      <c r="AAG564" s="500"/>
      <c r="AAH564" s="500"/>
      <c r="AAI564" s="500"/>
      <c r="AAJ564" s="500"/>
      <c r="AAK564" s="500"/>
      <c r="AAL564" s="500"/>
      <c r="AAM564" s="500"/>
      <c r="AAN564" s="500"/>
      <c r="AAO564" s="500"/>
      <c r="AAP564" s="500"/>
      <c r="AAQ564" s="500"/>
      <c r="AAR564" s="500"/>
      <c r="AAS564" s="500"/>
      <c r="AAT564" s="500"/>
      <c r="AAU564" s="500"/>
      <c r="AAV564" s="500"/>
      <c r="AAW564" s="500"/>
      <c r="AAX564" s="500"/>
      <c r="AAY564" s="500"/>
      <c r="AAZ564" s="500"/>
      <c r="ABA564" s="500"/>
      <c r="ABB564" s="500"/>
      <c r="ABC564" s="500"/>
      <c r="ABD564" s="500"/>
      <c r="ABE564" s="500"/>
      <c r="ABF564" s="500"/>
      <c r="ABG564" s="500"/>
      <c r="ABH564" s="500"/>
      <c r="ABI564" s="500"/>
      <c r="ABJ564" s="500"/>
      <c r="ABK564" s="500"/>
      <c r="ABL564" s="500"/>
      <c r="ABM564" s="500"/>
      <c r="ABN564" s="500"/>
      <c r="ABO564" s="500"/>
      <c r="ABP564" s="500"/>
      <c r="ABQ564" s="500"/>
      <c r="ABR564" s="500"/>
      <c r="ABS564" s="500"/>
      <c r="ABT564" s="500"/>
      <c r="ABU564" s="500"/>
      <c r="ABV564" s="500"/>
      <c r="ABW564" s="500"/>
      <c r="ABX564" s="500"/>
      <c r="ABY564" s="500"/>
      <c r="ABZ564" s="500"/>
      <c r="ACA564" s="500"/>
      <c r="ACB564" s="500"/>
      <c r="ACC564" s="500"/>
      <c r="ACD564" s="500"/>
      <c r="ACE564" s="500"/>
      <c r="ACF564" s="500"/>
      <c r="ACG564" s="500"/>
      <c r="ACH564" s="500"/>
      <c r="ACI564" s="500"/>
      <c r="ACJ564" s="500"/>
      <c r="ACK564" s="500"/>
      <c r="ACL564" s="500"/>
      <c r="ACM564" s="500"/>
      <c r="ACN564" s="500"/>
      <c r="ACO564" s="500"/>
      <c r="ACP564" s="500"/>
      <c r="ACQ564" s="500"/>
      <c r="ACR564" s="500"/>
      <c r="ACS564" s="500"/>
      <c r="ACT564" s="500"/>
      <c r="ACU564" s="500"/>
      <c r="ACV564" s="500"/>
      <c r="ACW564" s="500"/>
      <c r="ACX564" s="500"/>
      <c r="ACY564" s="500"/>
      <c r="ACZ564" s="500"/>
      <c r="ADA564" s="500"/>
      <c r="ADB564" s="500"/>
      <c r="ADC564" s="500"/>
      <c r="ADD564" s="500"/>
      <c r="ADE564" s="500"/>
      <c r="ADF564" s="500"/>
      <c r="ADG564" s="500"/>
      <c r="ADH564" s="500"/>
      <c r="ADI564" s="500"/>
      <c r="ADJ564" s="500"/>
      <c r="ADK564" s="500"/>
      <c r="ADL564" s="500"/>
      <c r="ADM564" s="500"/>
      <c r="ADN564" s="500"/>
      <c r="ADO564" s="500"/>
      <c r="ADP564" s="500"/>
      <c r="ADQ564" s="500"/>
      <c r="ADR564" s="500"/>
      <c r="ADS564" s="500"/>
      <c r="ADT564" s="500"/>
      <c r="ADU564" s="500"/>
      <c r="ADV564" s="500"/>
      <c r="ADW564" s="500"/>
      <c r="ADX564" s="500"/>
      <c r="ADY564" s="500"/>
      <c r="ADZ564" s="500"/>
      <c r="AEA564" s="500"/>
      <c r="AEB564" s="500"/>
      <c r="AEC564" s="500"/>
      <c r="AED564" s="500"/>
      <c r="AEE564" s="500"/>
      <c r="AEF564" s="500"/>
      <c r="AEG564" s="500"/>
      <c r="AEH564" s="500"/>
      <c r="AEI564" s="500"/>
      <c r="AEJ564" s="500"/>
      <c r="AEK564" s="500"/>
      <c r="AEL564" s="500"/>
      <c r="AEM564" s="500"/>
      <c r="AEN564" s="500"/>
      <c r="AEO564" s="500"/>
      <c r="AEP564" s="500"/>
      <c r="AEQ564" s="500"/>
      <c r="AER564" s="500"/>
      <c r="AES564" s="500"/>
      <c r="AET564" s="500"/>
      <c r="AEU564" s="500"/>
      <c r="AEV564" s="500"/>
      <c r="AEW564" s="500"/>
      <c r="AEX564" s="500"/>
      <c r="AEY564" s="500"/>
      <c r="AEZ564" s="500"/>
      <c r="AFA564" s="500"/>
      <c r="AFB564" s="500"/>
      <c r="AFC564" s="500"/>
      <c r="AFD564" s="500"/>
      <c r="AFE564" s="500"/>
      <c r="AFF564" s="500"/>
      <c r="AFG564" s="500"/>
      <c r="AFH564" s="500"/>
      <c r="AFI564" s="500"/>
      <c r="AFJ564" s="500"/>
      <c r="AFK564" s="500"/>
      <c r="AFL564" s="500"/>
      <c r="AFM564" s="500"/>
      <c r="AFN564" s="500"/>
      <c r="AFO564" s="500"/>
      <c r="AFP564" s="500"/>
      <c r="AFQ564" s="500"/>
      <c r="AFR564" s="500"/>
      <c r="AFS564" s="500"/>
      <c r="AFT564" s="500"/>
      <c r="AFU564" s="500"/>
      <c r="AFV564" s="500"/>
      <c r="AFW564" s="500"/>
      <c r="AFX564" s="500"/>
      <c r="AFY564" s="500"/>
      <c r="AFZ564" s="500"/>
      <c r="AGA564" s="500"/>
      <c r="AGB564" s="500"/>
      <c r="AGC564" s="500"/>
      <c r="AGD564" s="500"/>
      <c r="AGE564" s="500"/>
      <c r="AGF564" s="500"/>
      <c r="AGG564" s="500"/>
      <c r="AGH564" s="500"/>
      <c r="AGI564" s="500"/>
      <c r="AGJ564" s="500"/>
      <c r="AGK564" s="500"/>
      <c r="AGL564" s="500"/>
      <c r="AGM564" s="500"/>
      <c r="AGN564" s="500"/>
      <c r="AGO564" s="500"/>
      <c r="AGP564" s="500"/>
      <c r="AGQ564" s="500"/>
      <c r="AGR564" s="500"/>
      <c r="AGS564" s="500"/>
      <c r="AGT564" s="500"/>
      <c r="AGU564" s="500"/>
      <c r="AGV564" s="500"/>
      <c r="AGW564" s="500"/>
      <c r="AGX564" s="500"/>
      <c r="AGY564" s="500"/>
      <c r="AGZ564" s="500"/>
      <c r="AHA564" s="500"/>
      <c r="AHB564" s="500"/>
      <c r="AHC564" s="500"/>
      <c r="AHD564" s="500"/>
      <c r="AHE564" s="500"/>
      <c r="AHF564" s="500"/>
      <c r="AHG564" s="500"/>
      <c r="AHH564" s="500"/>
      <c r="AHI564" s="500"/>
      <c r="AHJ564" s="500"/>
      <c r="AHK564" s="500"/>
      <c r="AHL564" s="500"/>
      <c r="AHM564" s="500"/>
      <c r="AHN564" s="500"/>
      <c r="AHO564" s="500"/>
      <c r="AHP564" s="500"/>
      <c r="AHQ564" s="500"/>
      <c r="AHR564" s="500"/>
      <c r="AHS564" s="500"/>
      <c r="AHT564" s="500"/>
      <c r="AHU564" s="500"/>
      <c r="AHV564" s="500"/>
      <c r="AHW564" s="500"/>
      <c r="AHX564" s="500"/>
      <c r="AHY564" s="500"/>
      <c r="AHZ564" s="500"/>
      <c r="AIA564" s="500"/>
      <c r="AIB564" s="500"/>
      <c r="AIC564" s="500"/>
      <c r="AID564" s="500"/>
      <c r="AIE564" s="500"/>
      <c r="AIF564" s="500"/>
      <c r="AIG564" s="500"/>
      <c r="AIH564" s="500"/>
      <c r="AII564" s="500"/>
      <c r="AIJ564" s="500"/>
      <c r="AIK564" s="500"/>
      <c r="AIL564" s="500"/>
      <c r="AIM564" s="500"/>
      <c r="AIN564" s="500"/>
      <c r="AIO564" s="500"/>
      <c r="AIP564" s="500"/>
      <c r="AIQ564" s="500"/>
      <c r="AIR564" s="500"/>
      <c r="AIS564" s="500"/>
      <c r="AIT564" s="500"/>
      <c r="AIU564" s="500"/>
      <c r="AIV564" s="500"/>
      <c r="AIW564" s="500"/>
      <c r="AIX564" s="500"/>
      <c r="AIY564" s="500"/>
      <c r="AIZ564" s="500"/>
      <c r="AJA564" s="500"/>
      <c r="AJB564" s="500"/>
      <c r="AJC564" s="500"/>
      <c r="AJD564" s="500"/>
      <c r="AJE564" s="500"/>
      <c r="AJF564" s="500"/>
      <c r="AJG564" s="500"/>
      <c r="AJH564" s="500"/>
      <c r="AJI564" s="500"/>
      <c r="AJJ564" s="500"/>
      <c r="AJK564" s="500"/>
      <c r="AJL564" s="500"/>
      <c r="AJM564" s="500"/>
      <c r="AJN564" s="500"/>
      <c r="AJO564" s="500"/>
      <c r="AJP564" s="500"/>
      <c r="AJQ564" s="500"/>
      <c r="AJR564" s="500"/>
      <c r="AJS564" s="500"/>
      <c r="AJT564" s="500"/>
      <c r="AJU564" s="500"/>
      <c r="AJV564" s="500"/>
      <c r="AJW564" s="500"/>
      <c r="AJX564" s="500"/>
      <c r="AJY564" s="500"/>
      <c r="AJZ564" s="500"/>
      <c r="AKA564" s="500"/>
      <c r="AKB564" s="500"/>
      <c r="AKC564" s="500"/>
      <c r="AKD564" s="500"/>
      <c r="AKE564" s="500"/>
      <c r="AKF564" s="500"/>
      <c r="AKG564" s="500"/>
      <c r="AKH564" s="500"/>
      <c r="AKI564" s="500"/>
      <c r="AKJ564" s="500"/>
      <c r="AKK564" s="500"/>
      <c r="AKL564" s="500"/>
      <c r="AKM564" s="500"/>
      <c r="AKN564" s="500"/>
      <c r="AKO564" s="500"/>
      <c r="AKP564" s="500"/>
      <c r="AKQ564" s="500"/>
      <c r="AKR564" s="500"/>
      <c r="AKS564" s="500"/>
      <c r="AKT564" s="500"/>
      <c r="AKU564" s="500"/>
      <c r="AKV564" s="500"/>
      <c r="AKW564" s="500"/>
      <c r="AKX564" s="500"/>
      <c r="AKY564" s="500"/>
      <c r="AKZ564" s="500"/>
      <c r="ALA564" s="500"/>
      <c r="ALB564" s="500"/>
      <c r="ALC564" s="500"/>
      <c r="ALD564" s="500"/>
      <c r="ALE564" s="500"/>
      <c r="ALF564" s="500"/>
      <c r="ALG564" s="500"/>
      <c r="ALH564" s="500"/>
      <c r="ALI564" s="500"/>
      <c r="ALJ564" s="500"/>
      <c r="ALK564" s="500"/>
      <c r="ALL564" s="500"/>
      <c r="ALM564" s="500"/>
      <c r="ALN564" s="500"/>
      <c r="ALO564" s="500"/>
      <c r="ALP564" s="500"/>
      <c r="ALQ564" s="500"/>
      <c r="ALR564" s="500"/>
      <c r="ALS564" s="500"/>
      <c r="ALT564" s="500"/>
      <c r="ALU564" s="500"/>
      <c r="ALV564" s="500"/>
      <c r="ALW564" s="500"/>
      <c r="ALX564" s="500"/>
      <c r="ALY564" s="500"/>
      <c r="ALZ564" s="500"/>
      <c r="AMA564" s="500"/>
      <c r="AMB564" s="500"/>
      <c r="AMC564" s="500"/>
      <c r="AMD564" s="500"/>
      <c r="AME564" s="500"/>
      <c r="AMF564" s="500"/>
      <c r="AMG564" s="500"/>
      <c r="AMH564" s="500"/>
      <c r="AMI564" s="500"/>
      <c r="AMJ564" s="500"/>
      <c r="AMK564" s="500"/>
      <c r="AML564" s="500"/>
      <c r="AMM564" s="500"/>
      <c r="AMN564" s="500"/>
      <c r="AMO564" s="500"/>
      <c r="AMP564" s="500"/>
      <c r="AMQ564" s="500"/>
      <c r="AMR564" s="500"/>
      <c r="AMS564" s="500"/>
      <c r="AMT564" s="500"/>
      <c r="AMU564" s="500"/>
      <c r="AMV564" s="500"/>
      <c r="AMW564" s="500"/>
      <c r="AMX564" s="500"/>
      <c r="AMY564" s="500"/>
      <c r="AMZ564" s="500"/>
      <c r="ANA564" s="500"/>
      <c r="ANB564" s="500"/>
      <c r="ANC564" s="500"/>
      <c r="AND564" s="500"/>
      <c r="ANE564" s="500"/>
      <c r="ANF564" s="500"/>
      <c r="ANG564" s="500"/>
      <c r="ANH564" s="500"/>
      <c r="ANI564" s="500"/>
      <c r="ANJ564" s="500"/>
      <c r="ANK564" s="500"/>
      <c r="ANL564" s="500"/>
      <c r="ANM564" s="500"/>
      <c r="ANN564" s="500"/>
      <c r="ANO564" s="500"/>
      <c r="ANP564" s="500"/>
      <c r="ANQ564" s="500"/>
      <c r="ANR564" s="500"/>
      <c r="ANS564" s="500"/>
      <c r="ANT564" s="500"/>
      <c r="ANU564" s="500"/>
      <c r="ANV564" s="500"/>
      <c r="ANW564" s="500"/>
      <c r="ANX564" s="500"/>
      <c r="ANY564" s="500"/>
      <c r="ANZ564" s="500"/>
      <c r="AOA564" s="500"/>
      <c r="AOB564" s="500"/>
      <c r="AOC564" s="500"/>
      <c r="AOD564" s="500"/>
      <c r="AOE564" s="500"/>
      <c r="AOF564" s="500"/>
      <c r="AOG564" s="500"/>
      <c r="AOH564" s="500"/>
      <c r="AOI564" s="500"/>
      <c r="AOJ564" s="500"/>
      <c r="AOK564" s="500"/>
      <c r="AOL564" s="500"/>
      <c r="AOM564" s="500"/>
      <c r="AON564" s="500"/>
      <c r="AOO564" s="500"/>
      <c r="AOP564" s="500"/>
      <c r="AOQ564" s="500"/>
      <c r="AOR564" s="500"/>
      <c r="AOS564" s="500"/>
      <c r="AOT564" s="500"/>
      <c r="AOU564" s="500"/>
      <c r="AOV564" s="500"/>
      <c r="AOW564" s="500"/>
      <c r="AOX564" s="500"/>
      <c r="AOY564" s="500"/>
      <c r="AOZ564" s="500"/>
      <c r="APA564" s="500"/>
      <c r="APB564" s="500"/>
      <c r="APC564" s="500"/>
      <c r="APD564" s="500"/>
      <c r="APE564" s="500"/>
      <c r="APF564" s="500"/>
      <c r="APG564" s="500"/>
      <c r="APH564" s="500"/>
      <c r="API564" s="500"/>
      <c r="APJ564" s="500"/>
      <c r="APK564" s="500"/>
      <c r="APL564" s="500"/>
      <c r="APM564" s="500"/>
      <c r="APN564" s="500"/>
      <c r="APO564" s="500"/>
      <c r="APP564" s="500"/>
      <c r="APQ564" s="500"/>
      <c r="APR564" s="500"/>
      <c r="APS564" s="500"/>
      <c r="APT564" s="500"/>
      <c r="APU564" s="500"/>
      <c r="APV564" s="500"/>
      <c r="APW564" s="500"/>
      <c r="APX564" s="500"/>
      <c r="APY564" s="500"/>
      <c r="APZ564" s="500"/>
      <c r="AQA564" s="500"/>
      <c r="AQB564" s="500"/>
      <c r="AQC564" s="500"/>
      <c r="AQD564" s="500"/>
      <c r="AQE564" s="500"/>
      <c r="AQF564" s="500"/>
      <c r="AQG564" s="500"/>
      <c r="AQH564" s="500"/>
      <c r="AQI564" s="500"/>
      <c r="AQJ564" s="500"/>
      <c r="AQK564" s="500"/>
      <c r="AQL564" s="500"/>
      <c r="AQM564" s="500"/>
      <c r="AQN564" s="500"/>
      <c r="AQO564" s="500"/>
      <c r="AQP564" s="500"/>
      <c r="AQQ564" s="500"/>
      <c r="AQR564" s="500"/>
      <c r="AQS564" s="500"/>
      <c r="AQT564" s="500"/>
      <c r="AQU564" s="500"/>
      <c r="AQV564" s="500"/>
      <c r="AQW564" s="500"/>
      <c r="AQX564" s="500"/>
      <c r="AQY564" s="500"/>
      <c r="AQZ564" s="500"/>
      <c r="ARA564" s="500"/>
      <c r="ARB564" s="500"/>
      <c r="ARC564" s="500"/>
      <c r="ARD564" s="500"/>
      <c r="ARE564" s="500"/>
      <c r="ARF564" s="500"/>
      <c r="ARG564" s="500"/>
      <c r="ARH564" s="500"/>
      <c r="ARI564" s="500"/>
      <c r="ARJ564" s="500"/>
      <c r="ARK564" s="500"/>
      <c r="ARL564" s="500"/>
      <c r="ARM564" s="500"/>
      <c r="ARN564" s="500"/>
      <c r="ARO564" s="500"/>
      <c r="ARP564" s="500"/>
      <c r="ARQ564" s="500"/>
      <c r="ARR564" s="500"/>
      <c r="ARS564" s="500"/>
      <c r="ART564" s="500"/>
      <c r="ARU564" s="500"/>
      <c r="ARV564" s="500"/>
      <c r="ARW564" s="500"/>
      <c r="ARX564" s="500"/>
      <c r="ARY564" s="500"/>
      <c r="ARZ564" s="500"/>
      <c r="ASA564" s="500"/>
      <c r="ASB564" s="500"/>
      <c r="ASC564" s="500"/>
      <c r="ASD564" s="500"/>
      <c r="ASE564" s="500"/>
      <c r="ASF564" s="500"/>
      <c r="ASG564" s="500"/>
      <c r="ASH564" s="500"/>
      <c r="ASI564" s="500"/>
      <c r="ASJ564" s="500"/>
      <c r="ASK564" s="500"/>
      <c r="ASL564" s="500"/>
      <c r="ASM564" s="500"/>
      <c r="ASN564" s="500"/>
      <c r="ASO564" s="500"/>
      <c r="ASP564" s="500"/>
      <c r="ASQ564" s="500"/>
      <c r="ASR564" s="500"/>
      <c r="ASS564" s="500"/>
      <c r="AST564" s="500"/>
      <c r="ASU564" s="500"/>
      <c r="ASV564" s="500"/>
      <c r="ASW564" s="500"/>
      <c r="ASX564" s="500"/>
      <c r="ASY564" s="500"/>
      <c r="ASZ564" s="500"/>
      <c r="ATA564" s="500"/>
      <c r="ATB564" s="500"/>
      <c r="ATC564" s="500"/>
      <c r="ATD564" s="500"/>
      <c r="ATE564" s="500"/>
      <c r="ATF564" s="500"/>
      <c r="ATG564" s="500"/>
      <c r="ATH564" s="500"/>
      <c r="ATI564" s="500"/>
      <c r="ATJ564" s="500"/>
      <c r="ATK564" s="500"/>
      <c r="ATL564" s="500"/>
      <c r="ATM564" s="500"/>
      <c r="ATN564" s="500"/>
      <c r="ATO564" s="500"/>
      <c r="ATP564" s="500"/>
      <c r="ATQ564" s="500"/>
      <c r="ATR564" s="500"/>
      <c r="ATS564" s="500"/>
      <c r="ATT564" s="500"/>
      <c r="ATU564" s="500"/>
      <c r="ATV564" s="500"/>
      <c r="ATW564" s="500"/>
      <c r="ATX564" s="500"/>
      <c r="ATY564" s="500"/>
      <c r="ATZ564" s="500"/>
      <c r="AUA564" s="500"/>
      <c r="AUB564" s="500"/>
      <c r="AUC564" s="500"/>
      <c r="AUD564" s="500"/>
      <c r="AUE564" s="500"/>
      <c r="AUF564" s="500"/>
      <c r="AUG564" s="500"/>
      <c r="AUH564" s="500"/>
      <c r="AUI564" s="500"/>
      <c r="AUJ564" s="500"/>
      <c r="AUK564" s="500"/>
      <c r="AUL564" s="500"/>
      <c r="AUM564" s="500"/>
      <c r="AUN564" s="500"/>
      <c r="AUO564" s="500"/>
      <c r="AUP564" s="500"/>
      <c r="AUQ564" s="500"/>
      <c r="AUR564" s="500"/>
      <c r="AUS564" s="500"/>
      <c r="AUT564" s="500"/>
      <c r="AUU564" s="500"/>
      <c r="AUV564" s="500"/>
      <c r="AUW564" s="500"/>
      <c r="AUX564" s="500"/>
      <c r="AUY564" s="500"/>
      <c r="AUZ564" s="500"/>
      <c r="AVA564" s="500"/>
      <c r="AVB564" s="500"/>
      <c r="AVC564" s="500"/>
      <c r="AVD564" s="500"/>
      <c r="AVE564" s="500"/>
      <c r="AVF564" s="500"/>
      <c r="AVG564" s="500"/>
      <c r="AVH564" s="500"/>
      <c r="AVI564" s="500"/>
      <c r="AVJ564" s="500"/>
      <c r="AVK564" s="500"/>
      <c r="AVL564" s="500"/>
      <c r="AVM564" s="500"/>
      <c r="AVN564" s="500"/>
      <c r="AVO564" s="500"/>
      <c r="AVP564" s="500"/>
      <c r="AVQ564" s="500"/>
      <c r="AVR564" s="500"/>
      <c r="AVS564" s="500"/>
      <c r="AVT564" s="500"/>
      <c r="AVU564" s="500"/>
      <c r="AVV564" s="500"/>
      <c r="AVW564" s="500"/>
      <c r="AVX564" s="500"/>
      <c r="AVY564" s="500"/>
      <c r="AVZ564" s="500"/>
      <c r="AWA564" s="500"/>
      <c r="AWB564" s="500"/>
      <c r="AWC564" s="500"/>
      <c r="AWD564" s="500"/>
      <c r="AWE564" s="500"/>
      <c r="AWF564" s="500"/>
      <c r="AWG564" s="500"/>
      <c r="AWH564" s="500"/>
      <c r="AWI564" s="500"/>
      <c r="AWJ564" s="500"/>
      <c r="AWK564" s="500"/>
      <c r="AWL564" s="500"/>
      <c r="AWM564" s="500"/>
      <c r="AWN564" s="500"/>
      <c r="AWO564" s="500"/>
      <c r="AWP564" s="500"/>
      <c r="AWQ564" s="500"/>
      <c r="AWR564" s="500"/>
      <c r="AWS564" s="500"/>
      <c r="AWT564" s="500"/>
      <c r="AWU564" s="500"/>
      <c r="AWV564" s="500"/>
      <c r="AWW564" s="500"/>
      <c r="AWX564" s="500"/>
      <c r="AWY564" s="500"/>
      <c r="AWZ564" s="500"/>
      <c r="AXA564" s="500"/>
      <c r="AXB564" s="500"/>
      <c r="AXC564" s="500"/>
      <c r="AXD564" s="500"/>
      <c r="AXE564" s="500"/>
      <c r="AXF564" s="500"/>
      <c r="AXG564" s="500"/>
      <c r="AXH564" s="500"/>
      <c r="AXI564" s="500"/>
      <c r="AXJ564" s="500"/>
      <c r="AXK564" s="500"/>
      <c r="AXL564" s="500"/>
      <c r="AXM564" s="500"/>
      <c r="AXN564" s="500"/>
      <c r="AXO564" s="500"/>
      <c r="AXP564" s="500"/>
      <c r="AXQ564" s="500"/>
      <c r="AXR564" s="500"/>
      <c r="AXS564" s="500"/>
      <c r="AXT564" s="500"/>
      <c r="AXU564" s="500"/>
      <c r="AXV564" s="500"/>
      <c r="AXW564" s="500"/>
      <c r="AXX564" s="500"/>
      <c r="AXY564" s="500"/>
      <c r="AXZ564" s="500"/>
      <c r="AYA564" s="500"/>
      <c r="AYB564" s="500"/>
      <c r="AYC564" s="500"/>
      <c r="AYD564" s="500"/>
      <c r="AYE564" s="500"/>
      <c r="AYF564" s="500"/>
      <c r="AYG564" s="500"/>
      <c r="AYH564" s="500"/>
      <c r="AYI564" s="500"/>
      <c r="AYJ564" s="500"/>
      <c r="AYK564" s="500"/>
      <c r="AYL564" s="500"/>
      <c r="AYM564" s="500"/>
      <c r="AYN564" s="500"/>
      <c r="AYO564" s="500"/>
      <c r="AYP564" s="500"/>
      <c r="AYQ564" s="500"/>
      <c r="AYR564" s="500"/>
      <c r="AYS564" s="500"/>
      <c r="AYT564" s="500"/>
      <c r="AYU564" s="500"/>
      <c r="AYV564" s="500"/>
      <c r="AYW564" s="500"/>
      <c r="AYX564" s="500"/>
      <c r="AYY564" s="500"/>
      <c r="AYZ564" s="500"/>
      <c r="AZA564" s="500"/>
      <c r="AZB564" s="500"/>
      <c r="AZC564" s="500"/>
      <c r="AZD564" s="500"/>
      <c r="AZE564" s="500"/>
      <c r="AZF564" s="500"/>
      <c r="AZG564" s="500"/>
      <c r="AZH564" s="500"/>
      <c r="AZI564" s="500"/>
      <c r="AZJ564" s="500"/>
      <c r="AZK564" s="500"/>
      <c r="AZL564" s="500"/>
      <c r="AZM564" s="500"/>
      <c r="AZN564" s="500"/>
      <c r="AZO564" s="500"/>
      <c r="AZP564" s="500"/>
      <c r="AZQ564" s="500"/>
      <c r="AZR564" s="500"/>
      <c r="AZS564" s="500"/>
      <c r="AZT564" s="500"/>
      <c r="AZU564" s="500"/>
      <c r="AZV564" s="500"/>
      <c r="AZW564" s="500"/>
      <c r="AZX564" s="500"/>
      <c r="AZY564" s="500"/>
      <c r="AZZ564" s="500"/>
      <c r="BAA564" s="500"/>
      <c r="BAB564" s="500"/>
      <c r="BAC564" s="500"/>
      <c r="BAD564" s="500"/>
      <c r="BAE564" s="500"/>
      <c r="BAF564" s="500"/>
      <c r="BAG564" s="500"/>
      <c r="BAH564" s="500"/>
      <c r="BAI564" s="500"/>
      <c r="BAJ564" s="500"/>
      <c r="BAK564" s="500"/>
      <c r="BAL564" s="500"/>
      <c r="BAM564" s="500"/>
      <c r="BAN564" s="500"/>
      <c r="BAO564" s="500"/>
      <c r="BAP564" s="500"/>
      <c r="BAQ564" s="500"/>
      <c r="BAR564" s="500"/>
      <c r="BAS564" s="500"/>
      <c r="BAT564" s="500"/>
      <c r="BAU564" s="500"/>
      <c r="BAV564" s="500"/>
      <c r="BAW564" s="500"/>
      <c r="BAX564" s="500"/>
      <c r="BAY564" s="500"/>
      <c r="BAZ564" s="500"/>
      <c r="BBA564" s="500"/>
      <c r="BBB564" s="500"/>
      <c r="BBC564" s="500"/>
      <c r="BBD564" s="500"/>
      <c r="BBE564" s="500"/>
      <c r="BBF564" s="500"/>
      <c r="BBG564" s="500"/>
      <c r="BBH564" s="500"/>
      <c r="BBI564" s="500"/>
      <c r="BBJ564" s="500"/>
      <c r="BBK564" s="500"/>
      <c r="BBL564" s="500"/>
      <c r="BBM564" s="500"/>
      <c r="BBN564" s="500"/>
      <c r="BBO564" s="500"/>
      <c r="BBP564" s="500"/>
      <c r="BBQ564" s="500"/>
      <c r="BBR564" s="500"/>
      <c r="BBS564" s="500"/>
      <c r="BBT564" s="500"/>
      <c r="BBU564" s="500"/>
      <c r="BBV564" s="500"/>
      <c r="BBW564" s="500"/>
      <c r="BBX564" s="500"/>
      <c r="BBY564" s="500"/>
      <c r="BBZ564" s="500"/>
      <c r="BCA564" s="500"/>
      <c r="BCB564" s="500"/>
      <c r="BCC564" s="500"/>
      <c r="BCD564" s="500"/>
      <c r="BCE564" s="500"/>
      <c r="BCF564" s="500"/>
      <c r="BCG564" s="500"/>
      <c r="BCH564" s="500"/>
      <c r="BCI564" s="500"/>
      <c r="BCJ564" s="500"/>
      <c r="BCK564" s="500"/>
      <c r="BCL564" s="500"/>
      <c r="BCM564" s="500"/>
      <c r="BCN564" s="500"/>
      <c r="BCO564" s="500"/>
      <c r="BCP564" s="500"/>
      <c r="BCQ564" s="500"/>
      <c r="BCR564" s="500"/>
      <c r="BCS564" s="500"/>
      <c r="BCT564" s="500"/>
      <c r="BCU564" s="500"/>
      <c r="BCV564" s="500"/>
      <c r="BCW564" s="500"/>
      <c r="BCX564" s="500"/>
      <c r="BCY564" s="500"/>
      <c r="BCZ564" s="500"/>
      <c r="BDA564" s="500"/>
      <c r="BDB564" s="500"/>
      <c r="BDC564" s="500"/>
      <c r="BDD564" s="500"/>
      <c r="BDE564" s="500"/>
      <c r="BDF564" s="500"/>
      <c r="BDG564" s="500"/>
      <c r="BDH564" s="500"/>
      <c r="BDI564" s="500"/>
      <c r="BDJ564" s="500"/>
      <c r="BDK564" s="500"/>
      <c r="BDL564" s="500"/>
      <c r="BDM564" s="500"/>
      <c r="BDN564" s="500"/>
      <c r="BDO564" s="500"/>
      <c r="BDP564" s="500"/>
      <c r="BDQ564" s="500"/>
      <c r="BDR564" s="500"/>
      <c r="BDS564" s="500"/>
      <c r="BDT564" s="500"/>
      <c r="BDU564" s="500"/>
      <c r="BDV564" s="500"/>
      <c r="BDW564" s="500"/>
      <c r="BDX564" s="500"/>
      <c r="BDY564" s="500"/>
      <c r="BDZ564" s="500"/>
      <c r="BEA564" s="500"/>
      <c r="BEB564" s="500"/>
      <c r="BEC564" s="500"/>
      <c r="BED564" s="500"/>
      <c r="BEE564" s="500"/>
      <c r="BEF564" s="500"/>
      <c r="BEG564" s="500"/>
      <c r="BEH564" s="500"/>
      <c r="BEI564" s="500"/>
      <c r="BEJ564" s="500"/>
      <c r="BEK564" s="500"/>
      <c r="BEL564" s="500"/>
      <c r="BEM564" s="500"/>
      <c r="BEN564" s="500"/>
      <c r="BEO564" s="500"/>
      <c r="BEP564" s="500"/>
      <c r="BEQ564" s="500"/>
      <c r="BER564" s="500"/>
      <c r="BES564" s="500"/>
      <c r="BET564" s="500"/>
      <c r="BEU564" s="500"/>
      <c r="BEV564" s="500"/>
      <c r="BEW564" s="500"/>
      <c r="BEX564" s="500"/>
      <c r="BEY564" s="500"/>
      <c r="BEZ564" s="500"/>
      <c r="BFA564" s="500"/>
      <c r="BFB564" s="500"/>
      <c r="BFC564" s="500"/>
      <c r="BFD564" s="500"/>
      <c r="BFE564" s="500"/>
      <c r="BFF564" s="500"/>
      <c r="BFG564" s="500"/>
      <c r="BFH564" s="500"/>
      <c r="BFI564" s="500"/>
      <c r="BFJ564" s="500"/>
      <c r="BFK564" s="500"/>
      <c r="BFL564" s="500"/>
      <c r="BFM564" s="500"/>
      <c r="BFN564" s="500"/>
      <c r="BFO564" s="500"/>
      <c r="BFP564" s="500"/>
      <c r="BFQ564" s="500"/>
      <c r="BFR564" s="500"/>
      <c r="BFS564" s="500"/>
      <c r="BFT564" s="500"/>
      <c r="BFU564" s="500"/>
      <c r="BFV564" s="500"/>
      <c r="BFW564" s="500"/>
      <c r="BFX564" s="500"/>
      <c r="BFY564" s="500"/>
      <c r="BFZ564" s="500"/>
      <c r="BGA564" s="500"/>
      <c r="BGB564" s="500"/>
      <c r="BGC564" s="500"/>
      <c r="BGD564" s="500"/>
      <c r="BGE564" s="500"/>
      <c r="BGF564" s="500"/>
      <c r="BGG564" s="500"/>
      <c r="BGH564" s="500"/>
      <c r="BGI564" s="500"/>
      <c r="BGJ564" s="500"/>
      <c r="BGK564" s="500"/>
      <c r="BGL564" s="500"/>
      <c r="BGM564" s="500"/>
      <c r="BGN564" s="500"/>
      <c r="BGO564" s="500"/>
      <c r="BGP564" s="500"/>
      <c r="BGQ564" s="500"/>
      <c r="BGR564" s="500"/>
      <c r="BGS564" s="500"/>
      <c r="BGT564" s="500"/>
      <c r="BGU564" s="500"/>
      <c r="BGV564" s="500"/>
      <c r="BGW564" s="500"/>
      <c r="BGX564" s="500"/>
      <c r="BGY564" s="500"/>
      <c r="BGZ564" s="500"/>
      <c r="BHA564" s="500"/>
      <c r="BHB564" s="500"/>
      <c r="BHC564" s="500"/>
      <c r="BHD564" s="500"/>
      <c r="BHE564" s="500"/>
      <c r="BHF564" s="500"/>
      <c r="BHG564" s="500"/>
      <c r="BHH564" s="500"/>
      <c r="BHI564" s="500"/>
      <c r="BHJ564" s="500"/>
      <c r="BHK564" s="500"/>
      <c r="BHL564" s="500"/>
      <c r="BHM564" s="500"/>
      <c r="BHN564" s="500"/>
      <c r="BHO564" s="500"/>
      <c r="BHP564" s="500"/>
      <c r="BHQ564" s="500"/>
      <c r="BHR564" s="500"/>
      <c r="BHS564" s="500"/>
      <c r="BHT564" s="500"/>
      <c r="BHU564" s="500"/>
      <c r="BHV564" s="500"/>
      <c r="BHW564" s="500"/>
      <c r="BHX564" s="500"/>
      <c r="BHY564" s="500"/>
      <c r="BHZ564" s="500"/>
      <c r="BIA564" s="500"/>
      <c r="BIB564" s="500"/>
      <c r="BIC564" s="500"/>
      <c r="BID564" s="500"/>
      <c r="BIE564" s="500"/>
      <c r="BIF564" s="500"/>
      <c r="BIG564" s="500"/>
      <c r="BIH564" s="500"/>
      <c r="BII564" s="500"/>
      <c r="BIJ564" s="500"/>
      <c r="BIK564" s="500"/>
      <c r="BIL564" s="500"/>
      <c r="BIM564" s="500"/>
      <c r="BIN564" s="500"/>
      <c r="BIO564" s="500"/>
      <c r="BIP564" s="500"/>
      <c r="BIQ564" s="500"/>
      <c r="BIR564" s="500"/>
      <c r="BIS564" s="500"/>
      <c r="BIT564" s="500"/>
      <c r="BIU564" s="500"/>
      <c r="BIV564" s="500"/>
      <c r="BIW564" s="500"/>
      <c r="BIX564" s="500"/>
      <c r="BIY564" s="500"/>
      <c r="BIZ564" s="500"/>
      <c r="BJA564" s="500"/>
      <c r="BJB564" s="500"/>
      <c r="BJC564" s="500"/>
      <c r="BJD564" s="500"/>
      <c r="BJE564" s="500"/>
      <c r="BJF564" s="500"/>
      <c r="BJG564" s="500"/>
      <c r="BJH564" s="500"/>
      <c r="BJI564" s="500"/>
      <c r="BJJ564" s="500"/>
      <c r="BJK564" s="500"/>
      <c r="BJL564" s="500"/>
      <c r="BJM564" s="500"/>
      <c r="BJN564" s="500"/>
      <c r="BJO564" s="500"/>
      <c r="BJP564" s="500"/>
      <c r="BJQ564" s="500"/>
      <c r="BJR564" s="500"/>
      <c r="BJS564" s="500"/>
      <c r="BJT564" s="500"/>
      <c r="BJU564" s="500"/>
      <c r="BJV564" s="500"/>
      <c r="BJW564" s="500"/>
      <c r="BJX564" s="500"/>
      <c r="BJY564" s="500"/>
      <c r="BJZ564" s="500"/>
      <c r="BKA564" s="500"/>
      <c r="BKB564" s="500"/>
      <c r="BKC564" s="500"/>
      <c r="BKD564" s="500"/>
      <c r="BKE564" s="500"/>
      <c r="BKF564" s="500"/>
      <c r="BKG564" s="500"/>
      <c r="BKH564" s="500"/>
      <c r="BKI564" s="500"/>
      <c r="BKJ564" s="500"/>
      <c r="BKK564" s="500"/>
      <c r="BKL564" s="500"/>
      <c r="BKM564" s="500"/>
      <c r="BKN564" s="500"/>
      <c r="BKO564" s="500"/>
      <c r="BKP564" s="500"/>
      <c r="BKQ564" s="500"/>
      <c r="BKR564" s="500"/>
      <c r="BKS564" s="500"/>
      <c r="BKT564" s="500"/>
      <c r="BKU564" s="500"/>
      <c r="BKV564" s="500"/>
      <c r="BKW564" s="500"/>
      <c r="BKX564" s="500"/>
      <c r="BKY564" s="500"/>
      <c r="BKZ564" s="500"/>
      <c r="BLA564" s="500"/>
      <c r="BLB564" s="500"/>
      <c r="BLC564" s="500"/>
      <c r="BLD564" s="500"/>
      <c r="BLE564" s="500"/>
      <c r="BLF564" s="500"/>
      <c r="BLG564" s="500"/>
      <c r="BLH564" s="500"/>
      <c r="BLI564" s="500"/>
      <c r="BLJ564" s="500"/>
      <c r="BLK564" s="500"/>
      <c r="BLL564" s="500"/>
      <c r="BLM564" s="500"/>
      <c r="BLN564" s="500"/>
      <c r="BLO564" s="500"/>
      <c r="BLP564" s="500"/>
      <c r="BLQ564" s="500"/>
      <c r="BLR564" s="500"/>
      <c r="BLS564" s="500"/>
      <c r="BLT564" s="500"/>
      <c r="BLU564" s="500"/>
      <c r="BLV564" s="500"/>
      <c r="BLW564" s="500"/>
      <c r="BLX564" s="500"/>
      <c r="BLY564" s="500"/>
      <c r="BLZ564" s="500"/>
      <c r="BMA564" s="500"/>
      <c r="BMB564" s="500"/>
      <c r="BMC564" s="500"/>
      <c r="BMD564" s="500"/>
      <c r="BME564" s="500"/>
      <c r="BMF564" s="500"/>
      <c r="BMG564" s="500"/>
      <c r="BMH564" s="500"/>
      <c r="BMI564" s="500"/>
      <c r="BMJ564" s="500"/>
      <c r="BMK564" s="500"/>
      <c r="BML564" s="500"/>
      <c r="BMM564" s="500"/>
      <c r="BMN564" s="500"/>
      <c r="BMO564" s="500"/>
      <c r="BMP564" s="500"/>
      <c r="BMQ564" s="500"/>
      <c r="BMR564" s="500"/>
      <c r="BMS564" s="500"/>
      <c r="BMT564" s="500"/>
      <c r="BMU564" s="500"/>
      <c r="BMV564" s="500"/>
      <c r="BMW564" s="500"/>
      <c r="BMX564" s="500"/>
      <c r="BMY564" s="500"/>
      <c r="BMZ564" s="500"/>
      <c r="BNA564" s="500"/>
      <c r="BNB564" s="500"/>
      <c r="BNC564" s="500"/>
      <c r="BND564" s="500"/>
      <c r="BNE564" s="500"/>
      <c r="BNF564" s="500"/>
      <c r="BNG564" s="500"/>
      <c r="BNH564" s="500"/>
      <c r="BNI564" s="500"/>
      <c r="BNJ564" s="500"/>
      <c r="BNK564" s="500"/>
      <c r="BNL564" s="500"/>
      <c r="BNM564" s="500"/>
      <c r="BNN564" s="500"/>
      <c r="BNO564" s="500"/>
      <c r="BNP564" s="500"/>
      <c r="BNQ564" s="500"/>
      <c r="BNR564" s="500"/>
      <c r="BNS564" s="500"/>
      <c r="BNT564" s="500"/>
      <c r="BNU564" s="500"/>
      <c r="BNV564" s="500"/>
      <c r="BNW564" s="500"/>
      <c r="BNX564" s="500"/>
      <c r="BNY564" s="500"/>
      <c r="BNZ564" s="500"/>
      <c r="BOA564" s="500"/>
      <c r="BOB564" s="500"/>
      <c r="BOC564" s="500"/>
      <c r="BOD564" s="500"/>
      <c r="BOE564" s="500"/>
      <c r="BOF564" s="500"/>
      <c r="BOG564" s="500"/>
      <c r="BOH564" s="500"/>
      <c r="BOI564" s="500"/>
      <c r="BOJ564" s="500"/>
      <c r="BOK564" s="500"/>
      <c r="BOL564" s="500"/>
      <c r="BOM564" s="500"/>
      <c r="BON564" s="500"/>
      <c r="BOO564" s="500"/>
      <c r="BOP564" s="500"/>
      <c r="BOQ564" s="500"/>
      <c r="BOR564" s="500"/>
      <c r="BOS564" s="500"/>
      <c r="BOT564" s="500"/>
      <c r="BOU564" s="500"/>
      <c r="BOV564" s="500"/>
      <c r="BOW564" s="500"/>
      <c r="BOX564" s="500"/>
      <c r="BOY564" s="500"/>
      <c r="BOZ564" s="500"/>
      <c r="BPA564" s="500"/>
      <c r="BPB564" s="500"/>
      <c r="BPC564" s="500"/>
      <c r="BPD564" s="500"/>
      <c r="BPE564" s="500"/>
      <c r="BPF564" s="500"/>
      <c r="BPG564" s="500"/>
      <c r="BPH564" s="500"/>
      <c r="BPI564" s="500"/>
      <c r="BPJ564" s="500"/>
      <c r="BPK564" s="500"/>
      <c r="BPL564" s="500"/>
      <c r="BPM564" s="500"/>
      <c r="BPN564" s="500"/>
      <c r="BPO564" s="500"/>
      <c r="BPP564" s="500"/>
      <c r="BPQ564" s="500"/>
      <c r="BPR564" s="500"/>
      <c r="BPS564" s="500"/>
      <c r="BPT564" s="500"/>
      <c r="BPU564" s="500"/>
      <c r="BPV564" s="500"/>
      <c r="BPW564" s="500"/>
      <c r="BPX564" s="500"/>
      <c r="BPY564" s="500"/>
      <c r="BPZ564" s="500"/>
      <c r="BQA564" s="500"/>
      <c r="BQB564" s="500"/>
      <c r="BQC564" s="500"/>
      <c r="BQD564" s="500"/>
      <c r="BQE564" s="500"/>
      <c r="BQF564" s="500"/>
      <c r="BQG564" s="500"/>
      <c r="BQH564" s="500"/>
      <c r="BQI564" s="500"/>
      <c r="BQJ564" s="500"/>
      <c r="BQK564" s="500"/>
      <c r="BQL564" s="500"/>
      <c r="BQM564" s="500"/>
      <c r="BQN564" s="500"/>
      <c r="BQO564" s="500"/>
      <c r="BQP564" s="500"/>
      <c r="BQQ564" s="500"/>
      <c r="BQR564" s="500"/>
      <c r="BQS564" s="500"/>
      <c r="BQT564" s="500"/>
      <c r="BQU564" s="500"/>
      <c r="BQV564" s="500"/>
      <c r="BQW564" s="500"/>
      <c r="BQX564" s="500"/>
      <c r="BQY564" s="500"/>
      <c r="BQZ564" s="500"/>
      <c r="BRA564" s="500"/>
      <c r="BRB564" s="500"/>
      <c r="BRC564" s="500"/>
      <c r="BRD564" s="500"/>
      <c r="BRE564" s="500"/>
      <c r="BRF564" s="500"/>
      <c r="BRG564" s="500"/>
      <c r="BRH564" s="500"/>
      <c r="BRI564" s="500"/>
      <c r="BRJ564" s="500"/>
      <c r="BRK564" s="500"/>
      <c r="BRL564" s="500"/>
      <c r="BRM564" s="500"/>
      <c r="BRN564" s="500"/>
      <c r="BRO564" s="500"/>
      <c r="BRP564" s="500"/>
      <c r="BRQ564" s="500"/>
      <c r="BRR564" s="500"/>
      <c r="BRS564" s="500"/>
      <c r="BRT564" s="500"/>
      <c r="BRU564" s="500"/>
      <c r="BRV564" s="500"/>
      <c r="BRW564" s="500"/>
      <c r="BRX564" s="500"/>
      <c r="BRY564" s="500"/>
      <c r="BRZ564" s="500"/>
      <c r="BSA564" s="500"/>
      <c r="BSB564" s="500"/>
      <c r="BSC564" s="500"/>
      <c r="BSD564" s="500"/>
      <c r="BSE564" s="500"/>
      <c r="BSF564" s="500"/>
      <c r="BSG564" s="500"/>
      <c r="BSH564" s="500"/>
      <c r="BSI564" s="500"/>
      <c r="BSJ564" s="500"/>
      <c r="BSK564" s="500"/>
      <c r="BSL564" s="500"/>
      <c r="BSM564" s="500"/>
      <c r="BSN564" s="500"/>
      <c r="BSO564" s="500"/>
      <c r="BSP564" s="500"/>
      <c r="BSQ564" s="500"/>
      <c r="BSR564" s="500"/>
      <c r="BSS564" s="500"/>
      <c r="BST564" s="500"/>
      <c r="BSU564" s="500"/>
      <c r="BSV564" s="500"/>
      <c r="BSW564" s="500"/>
      <c r="BSX564" s="500"/>
      <c r="BSY564" s="500"/>
      <c r="BSZ564" s="500"/>
      <c r="BTA564" s="500"/>
      <c r="BTB564" s="500"/>
      <c r="BTC564" s="500"/>
      <c r="BTD564" s="500"/>
      <c r="BTE564" s="500"/>
      <c r="BTF564" s="500"/>
      <c r="BTG564" s="500"/>
      <c r="BTH564" s="500"/>
      <c r="BTI564" s="500"/>
      <c r="BTJ564" s="500"/>
      <c r="BTK564" s="500"/>
      <c r="BTL564" s="500"/>
      <c r="BTM564" s="500"/>
      <c r="BTN564" s="500"/>
      <c r="BTO564" s="500"/>
      <c r="BTP564" s="500"/>
      <c r="BTQ564" s="500"/>
      <c r="BTR564" s="500"/>
      <c r="BTS564" s="500"/>
      <c r="BTT564" s="500"/>
      <c r="BTU564" s="500"/>
      <c r="BTV564" s="500"/>
      <c r="BTW564" s="500"/>
      <c r="BTX564" s="500"/>
      <c r="BTY564" s="500"/>
      <c r="BTZ564" s="500"/>
      <c r="BUA564" s="500"/>
      <c r="BUB564" s="500"/>
      <c r="BUC564" s="500"/>
      <c r="BUD564" s="500"/>
      <c r="BUE564" s="500"/>
      <c r="BUF564" s="500"/>
      <c r="BUG564" s="500"/>
      <c r="BUH564" s="500"/>
      <c r="BUI564" s="500"/>
      <c r="BUJ564" s="500"/>
      <c r="BUK564" s="500"/>
      <c r="BUL564" s="500"/>
      <c r="BUM564" s="500"/>
      <c r="BUN564" s="500"/>
      <c r="BUO564" s="500"/>
      <c r="BUP564" s="500"/>
      <c r="BUQ564" s="500"/>
      <c r="BUR564" s="500"/>
      <c r="BUS564" s="500"/>
      <c r="BUT564" s="500"/>
      <c r="BUU564" s="500"/>
      <c r="BUV564" s="500"/>
      <c r="BUW564" s="500"/>
      <c r="BUX564" s="500"/>
      <c r="BUY564" s="500"/>
      <c r="BUZ564" s="500"/>
      <c r="BVA564" s="500"/>
      <c r="BVB564" s="500"/>
      <c r="BVC564" s="500"/>
      <c r="BVD564" s="500"/>
      <c r="BVE564" s="500"/>
      <c r="BVF564" s="500"/>
      <c r="BVG564" s="500"/>
      <c r="BVH564" s="500"/>
      <c r="BVI564" s="500"/>
      <c r="BVJ564" s="500"/>
      <c r="BVK564" s="500"/>
      <c r="BVL564" s="500"/>
      <c r="BVM564" s="500"/>
      <c r="BVN564" s="500"/>
      <c r="BVO564" s="500"/>
      <c r="BVP564" s="500"/>
      <c r="BVQ564" s="500"/>
      <c r="BVR564" s="500"/>
      <c r="BVS564" s="500"/>
      <c r="BVT564" s="500"/>
      <c r="BVU564" s="500"/>
      <c r="BVV564" s="500"/>
      <c r="BVW564" s="500"/>
      <c r="BVX564" s="500"/>
      <c r="BVY564" s="500"/>
      <c r="BVZ564" s="500"/>
      <c r="BWA564" s="500"/>
      <c r="BWB564" s="500"/>
      <c r="BWC564" s="500"/>
      <c r="BWD564" s="500"/>
      <c r="BWE564" s="500"/>
      <c r="BWF564" s="500"/>
      <c r="BWG564" s="500"/>
      <c r="BWH564" s="500"/>
      <c r="BWI564" s="500"/>
      <c r="BWJ564" s="500"/>
      <c r="BWK564" s="500"/>
      <c r="BWL564" s="500"/>
      <c r="BWM564" s="500"/>
      <c r="BWN564" s="500"/>
      <c r="BWO564" s="500"/>
      <c r="BWP564" s="500"/>
      <c r="BWQ564" s="500"/>
      <c r="BWR564" s="500"/>
      <c r="BWS564" s="500"/>
      <c r="BWT564" s="500"/>
      <c r="BWU564" s="500"/>
      <c r="BWV564" s="500"/>
      <c r="BWW564" s="500"/>
      <c r="BWX564" s="500"/>
      <c r="BWY564" s="500"/>
      <c r="BWZ564" s="500"/>
      <c r="BXA564" s="500"/>
      <c r="BXB564" s="500"/>
      <c r="BXC564" s="500"/>
      <c r="BXD564" s="500"/>
      <c r="BXE564" s="500"/>
      <c r="BXF564" s="500"/>
      <c r="BXG564" s="500"/>
      <c r="BXH564" s="500"/>
      <c r="BXI564" s="500"/>
      <c r="BXJ564" s="500"/>
      <c r="BXK564" s="500"/>
      <c r="BXL564" s="500"/>
      <c r="BXM564" s="500"/>
      <c r="BXN564" s="500"/>
      <c r="BXO564" s="500"/>
      <c r="BXP564" s="500"/>
      <c r="BXQ564" s="500"/>
      <c r="BXR564" s="500"/>
      <c r="BXS564" s="500"/>
      <c r="BXT564" s="500"/>
      <c r="BXU564" s="500"/>
      <c r="BXV564" s="500"/>
      <c r="BXW564" s="500"/>
      <c r="BXX564" s="500"/>
      <c r="BXY564" s="500"/>
      <c r="BXZ564" s="500"/>
      <c r="BYA564" s="500"/>
      <c r="BYB564" s="500"/>
      <c r="BYC564" s="500"/>
      <c r="BYD564" s="500"/>
      <c r="BYE564" s="500"/>
      <c r="BYF564" s="500"/>
      <c r="BYG564" s="500"/>
      <c r="BYH564" s="500"/>
      <c r="BYI564" s="500"/>
      <c r="BYJ564" s="500"/>
      <c r="BYK564" s="500"/>
      <c r="BYL564" s="500"/>
      <c r="BYM564" s="500"/>
      <c r="BYN564" s="500"/>
      <c r="BYO564" s="500"/>
      <c r="BYP564" s="500"/>
      <c r="BYQ564" s="500"/>
      <c r="BYR564" s="500"/>
      <c r="BYS564" s="500"/>
      <c r="BYT564" s="500"/>
      <c r="BYU564" s="500"/>
      <c r="BYV564" s="500"/>
      <c r="BYW564" s="500"/>
      <c r="BYX564" s="500"/>
      <c r="BYY564" s="500"/>
      <c r="BYZ564" s="500"/>
      <c r="BZA564" s="500"/>
      <c r="BZB564" s="500"/>
      <c r="BZC564" s="500"/>
      <c r="BZD564" s="500"/>
      <c r="BZE564" s="500"/>
      <c r="BZF564" s="500"/>
      <c r="BZG564" s="500"/>
      <c r="BZH564" s="500"/>
      <c r="BZI564" s="500"/>
      <c r="BZJ564" s="500"/>
      <c r="BZK564" s="500"/>
      <c r="BZL564" s="500"/>
      <c r="BZM564" s="500"/>
      <c r="BZN564" s="500"/>
      <c r="BZO564" s="500"/>
      <c r="BZP564" s="500"/>
      <c r="BZQ564" s="500"/>
      <c r="BZR564" s="500"/>
      <c r="BZS564" s="500"/>
      <c r="BZT564" s="500"/>
      <c r="BZU564" s="500"/>
      <c r="BZV564" s="500"/>
      <c r="BZW564" s="500"/>
      <c r="BZX564" s="500"/>
      <c r="BZY564" s="500"/>
      <c r="BZZ564" s="500"/>
      <c r="CAA564" s="500"/>
      <c r="CAB564" s="500"/>
      <c r="CAC564" s="500"/>
      <c r="CAD564" s="500"/>
      <c r="CAE564" s="500"/>
      <c r="CAF564" s="500"/>
      <c r="CAG564" s="500"/>
      <c r="CAH564" s="500"/>
      <c r="CAI564" s="500"/>
      <c r="CAJ564" s="500"/>
      <c r="CAK564" s="500"/>
      <c r="CAL564" s="500"/>
      <c r="CAM564" s="500"/>
      <c r="CAN564" s="500"/>
      <c r="CAO564" s="500"/>
      <c r="CAP564" s="500"/>
      <c r="CAQ564" s="500"/>
      <c r="CAR564" s="500"/>
      <c r="CAS564" s="500"/>
      <c r="CAT564" s="500"/>
      <c r="CAU564" s="500"/>
      <c r="CAV564" s="500"/>
      <c r="CAW564" s="500"/>
      <c r="CAX564" s="500"/>
      <c r="CAY564" s="500"/>
      <c r="CAZ564" s="500"/>
      <c r="CBA564" s="500"/>
      <c r="CBB564" s="500"/>
      <c r="CBC564" s="500"/>
      <c r="CBD564" s="500"/>
      <c r="CBE564" s="500"/>
      <c r="CBF564" s="500"/>
      <c r="CBG564" s="500"/>
      <c r="CBH564" s="500"/>
      <c r="CBI564" s="500"/>
      <c r="CBJ564" s="500"/>
      <c r="CBK564" s="500"/>
      <c r="CBL564" s="500"/>
      <c r="CBM564" s="500"/>
      <c r="CBN564" s="500"/>
      <c r="CBO564" s="500"/>
      <c r="CBP564" s="500"/>
      <c r="CBQ564" s="500"/>
      <c r="CBR564" s="500"/>
      <c r="CBS564" s="500"/>
      <c r="CBT564" s="500"/>
      <c r="CBU564" s="500"/>
      <c r="CBV564" s="500"/>
      <c r="CBW564" s="500"/>
      <c r="CBX564" s="500"/>
      <c r="CBY564" s="500"/>
      <c r="CBZ564" s="500"/>
      <c r="CCA564" s="500"/>
      <c r="CCB564" s="500"/>
      <c r="CCC564" s="500"/>
      <c r="CCD564" s="500"/>
      <c r="CCE564" s="500"/>
      <c r="CCF564" s="500"/>
      <c r="CCG564" s="500"/>
      <c r="CCH564" s="500"/>
      <c r="CCI564" s="500"/>
      <c r="CCJ564" s="500"/>
      <c r="CCK564" s="500"/>
      <c r="CCL564" s="500"/>
      <c r="CCM564" s="500"/>
      <c r="CCN564" s="500"/>
      <c r="CCO564" s="500"/>
      <c r="CCP564" s="500"/>
      <c r="CCQ564" s="500"/>
      <c r="CCR564" s="500"/>
      <c r="CCS564" s="500"/>
      <c r="CCT564" s="500"/>
      <c r="CCU564" s="500"/>
      <c r="CCV564" s="500"/>
      <c r="CCW564" s="500"/>
      <c r="CCX564" s="500"/>
      <c r="CCY564" s="500"/>
      <c r="CCZ564" s="500"/>
      <c r="CDA564" s="500"/>
      <c r="CDB564" s="500"/>
      <c r="CDC564" s="500"/>
      <c r="CDD564" s="500"/>
      <c r="CDE564" s="500"/>
      <c r="CDF564" s="500"/>
      <c r="CDG564" s="500"/>
      <c r="CDH564" s="500"/>
      <c r="CDI564" s="500"/>
      <c r="CDJ564" s="500"/>
      <c r="CDK564" s="500"/>
      <c r="CDL564" s="500"/>
      <c r="CDM564" s="500"/>
      <c r="CDN564" s="500"/>
      <c r="CDO564" s="500"/>
      <c r="CDP564" s="500"/>
      <c r="CDQ564" s="500"/>
      <c r="CDR564" s="500"/>
      <c r="CDS564" s="500"/>
      <c r="CDT564" s="500"/>
      <c r="CDU564" s="500"/>
      <c r="CDV564" s="500"/>
      <c r="CDW564" s="500"/>
      <c r="CDX564" s="500"/>
      <c r="CDY564" s="500"/>
      <c r="CDZ564" s="500"/>
      <c r="CEA564" s="500"/>
      <c r="CEB564" s="500"/>
      <c r="CEC564" s="500"/>
      <c r="CED564" s="500"/>
      <c r="CEE564" s="500"/>
      <c r="CEF564" s="500"/>
      <c r="CEG564" s="500"/>
      <c r="CEH564" s="500"/>
      <c r="CEI564" s="500"/>
      <c r="CEJ564" s="500"/>
      <c r="CEK564" s="500"/>
      <c r="CEL564" s="500"/>
      <c r="CEM564" s="500"/>
      <c r="CEN564" s="500"/>
      <c r="CEO564" s="500"/>
      <c r="CEP564" s="500"/>
      <c r="CEQ564" s="500"/>
      <c r="CER564" s="500"/>
      <c r="CES564" s="500"/>
      <c r="CET564" s="500"/>
      <c r="CEU564" s="500"/>
      <c r="CEV564" s="500"/>
      <c r="CEW564" s="500"/>
      <c r="CEX564" s="500"/>
      <c r="CEY564" s="500"/>
      <c r="CEZ564" s="500"/>
      <c r="CFA564" s="500"/>
      <c r="CFB564" s="500"/>
      <c r="CFC564" s="500"/>
      <c r="CFD564" s="500"/>
      <c r="CFE564" s="500"/>
      <c r="CFF564" s="500"/>
      <c r="CFG564" s="500"/>
      <c r="CFH564" s="500"/>
      <c r="CFI564" s="500"/>
      <c r="CFJ564" s="500"/>
      <c r="CFK564" s="500"/>
      <c r="CFL564" s="500"/>
      <c r="CFM564" s="500"/>
      <c r="CFN564" s="500"/>
      <c r="CFO564" s="500"/>
      <c r="CFP564" s="500"/>
      <c r="CFQ564" s="500"/>
      <c r="CFR564" s="500"/>
      <c r="CFS564" s="500"/>
      <c r="CFT564" s="500"/>
      <c r="CFU564" s="500"/>
      <c r="CFV564" s="500"/>
      <c r="CFW564" s="500"/>
      <c r="CFX564" s="500"/>
      <c r="CFY564" s="500"/>
      <c r="CFZ564" s="500"/>
      <c r="CGA564" s="500"/>
      <c r="CGB564" s="500"/>
      <c r="CGC564" s="500"/>
      <c r="CGD564" s="500"/>
      <c r="CGE564" s="500"/>
      <c r="CGF564" s="500"/>
      <c r="CGG564" s="500"/>
      <c r="CGH564" s="500"/>
      <c r="CGI564" s="500"/>
      <c r="CGJ564" s="500"/>
      <c r="CGK564" s="500"/>
      <c r="CGL564" s="500"/>
      <c r="CGM564" s="500"/>
      <c r="CGN564" s="500"/>
      <c r="CGO564" s="500"/>
      <c r="CGP564" s="500"/>
      <c r="CGQ564" s="500"/>
      <c r="CGR564" s="500"/>
      <c r="CGS564" s="500"/>
      <c r="CGT564" s="500"/>
      <c r="CGU564" s="500"/>
      <c r="CGV564" s="500"/>
      <c r="CGW564" s="500"/>
      <c r="CGX564" s="500"/>
      <c r="CGY564" s="500"/>
      <c r="CGZ564" s="500"/>
      <c r="CHA564" s="500"/>
      <c r="CHB564" s="500"/>
      <c r="CHC564" s="500"/>
      <c r="CHD564" s="500"/>
      <c r="CHE564" s="500"/>
      <c r="CHF564" s="500"/>
      <c r="CHG564" s="500"/>
      <c r="CHH564" s="500"/>
      <c r="CHI564" s="500"/>
      <c r="CHJ564" s="500"/>
      <c r="CHK564" s="500"/>
      <c r="CHL564" s="500"/>
      <c r="CHM564" s="500"/>
      <c r="CHN564" s="500"/>
      <c r="CHO564" s="500"/>
      <c r="CHP564" s="500"/>
      <c r="CHQ564" s="500"/>
      <c r="CHR564" s="500"/>
      <c r="CHS564" s="500"/>
      <c r="CHT564" s="500"/>
      <c r="CHU564" s="500"/>
      <c r="CHV564" s="500"/>
      <c r="CHW564" s="500"/>
      <c r="CHX564" s="500"/>
      <c r="CHY564" s="500"/>
      <c r="CHZ564" s="500"/>
      <c r="CIA564" s="500"/>
      <c r="CIB564" s="500"/>
      <c r="CIC564" s="500"/>
      <c r="CID564" s="500"/>
      <c r="CIE564" s="500"/>
      <c r="CIF564" s="500"/>
      <c r="CIG564" s="500"/>
      <c r="CIH564" s="500"/>
      <c r="CII564" s="500"/>
      <c r="CIJ564" s="500"/>
      <c r="CIK564" s="500"/>
      <c r="CIL564" s="500"/>
      <c r="CIM564" s="500"/>
      <c r="CIN564" s="500"/>
      <c r="CIO564" s="500"/>
      <c r="CIP564" s="500"/>
      <c r="CIQ564" s="500"/>
      <c r="CIR564" s="500"/>
      <c r="CIS564" s="500"/>
      <c r="CIT564" s="500"/>
      <c r="CIU564" s="500"/>
      <c r="CIV564" s="500"/>
      <c r="CIW564" s="500"/>
      <c r="CIX564" s="500"/>
      <c r="CIY564" s="500"/>
      <c r="CIZ564" s="500"/>
      <c r="CJA564" s="500"/>
      <c r="CJB564" s="500"/>
      <c r="CJC564" s="500"/>
      <c r="CJD564" s="500"/>
      <c r="CJE564" s="500"/>
      <c r="CJF564" s="500"/>
      <c r="CJG564" s="500"/>
      <c r="CJH564" s="500"/>
      <c r="CJI564" s="500"/>
      <c r="CJJ564" s="500"/>
      <c r="CJK564" s="500"/>
      <c r="CJL564" s="500"/>
      <c r="CJM564" s="500"/>
      <c r="CJN564" s="500"/>
      <c r="CJO564" s="500"/>
      <c r="CJP564" s="500"/>
      <c r="CJQ564" s="500"/>
      <c r="CJR564" s="500"/>
      <c r="CJS564" s="500"/>
      <c r="CJT564" s="500"/>
      <c r="CJU564" s="500"/>
      <c r="CJV564" s="500"/>
      <c r="CJW564" s="500"/>
      <c r="CJX564" s="500"/>
      <c r="CJY564" s="500"/>
      <c r="CJZ564" s="500"/>
      <c r="CKA564" s="500"/>
      <c r="CKB564" s="500"/>
      <c r="CKC564" s="500"/>
      <c r="CKD564" s="500"/>
      <c r="CKE564" s="500"/>
      <c r="CKF564" s="500"/>
      <c r="CKG564" s="500"/>
      <c r="CKH564" s="500"/>
      <c r="CKI564" s="500"/>
      <c r="CKJ564" s="500"/>
      <c r="CKK564" s="500"/>
      <c r="CKL564" s="500"/>
      <c r="CKM564" s="500"/>
      <c r="CKN564" s="500"/>
      <c r="CKO564" s="500"/>
      <c r="CKP564" s="500"/>
      <c r="CKQ564" s="500"/>
      <c r="CKR564" s="500"/>
      <c r="CKS564" s="500"/>
      <c r="CKT564" s="500"/>
      <c r="CKU564" s="500"/>
      <c r="CKV564" s="500"/>
      <c r="CKW564" s="500"/>
      <c r="CKX564" s="500"/>
      <c r="CKY564" s="500"/>
      <c r="CKZ564" s="500"/>
      <c r="CLA564" s="500"/>
      <c r="CLB564" s="500"/>
      <c r="CLC564" s="500"/>
      <c r="CLD564" s="500"/>
      <c r="CLE564" s="500"/>
      <c r="CLF564" s="500"/>
      <c r="CLG564" s="500"/>
      <c r="CLH564" s="500"/>
      <c r="CLI564" s="500"/>
      <c r="CLJ564" s="500"/>
      <c r="CLK564" s="500"/>
      <c r="CLL564" s="500"/>
      <c r="CLM564" s="500"/>
      <c r="CLN564" s="500"/>
      <c r="CLO564" s="500"/>
      <c r="CLP564" s="500"/>
      <c r="CLQ564" s="500"/>
      <c r="CLR564" s="500"/>
      <c r="CLS564" s="500"/>
      <c r="CLT564" s="500"/>
      <c r="CLU564" s="500"/>
      <c r="CLV564" s="500"/>
      <c r="CLW564" s="500"/>
      <c r="CLX564" s="500"/>
      <c r="CLY564" s="500"/>
      <c r="CLZ564" s="500"/>
      <c r="CMA564" s="500"/>
      <c r="CMB564" s="500"/>
      <c r="CMC564" s="500"/>
      <c r="CMD564" s="500"/>
      <c r="CME564" s="500"/>
      <c r="CMF564" s="500"/>
      <c r="CMG564" s="500"/>
      <c r="CMH564" s="500"/>
      <c r="CMI564" s="500"/>
      <c r="CMJ564" s="500"/>
      <c r="CMK564" s="500"/>
      <c r="CML564" s="500"/>
      <c r="CMM564" s="500"/>
      <c r="CMN564" s="500"/>
      <c r="CMO564" s="500"/>
      <c r="CMP564" s="500"/>
      <c r="CMQ564" s="500"/>
      <c r="CMR564" s="500"/>
      <c r="CMS564" s="500"/>
      <c r="CMT564" s="500"/>
      <c r="CMU564" s="500"/>
      <c r="CMV564" s="500"/>
      <c r="CMW564" s="500"/>
      <c r="CMX564" s="500"/>
      <c r="CMY564" s="500"/>
      <c r="CMZ564" s="500"/>
      <c r="CNA564" s="500"/>
      <c r="CNB564" s="500"/>
      <c r="CNC564" s="500"/>
      <c r="CND564" s="500"/>
      <c r="CNE564" s="500"/>
      <c r="CNF564" s="500"/>
      <c r="CNG564" s="500"/>
      <c r="CNH564" s="500"/>
      <c r="CNI564" s="500"/>
      <c r="CNJ564" s="500"/>
      <c r="CNK564" s="500"/>
      <c r="CNL564" s="500"/>
      <c r="CNM564" s="500"/>
      <c r="CNN564" s="500"/>
      <c r="CNO564" s="500"/>
      <c r="CNP564" s="500"/>
      <c r="CNQ564" s="500"/>
      <c r="CNR564" s="500"/>
      <c r="CNS564" s="500"/>
      <c r="CNT564" s="500"/>
      <c r="CNU564" s="500"/>
      <c r="CNV564" s="500"/>
      <c r="CNW564" s="500"/>
      <c r="CNX564" s="500"/>
      <c r="CNY564" s="500"/>
      <c r="CNZ564" s="500"/>
      <c r="COA564" s="500"/>
      <c r="COB564" s="500"/>
      <c r="COC564" s="500"/>
      <c r="COD564" s="500"/>
      <c r="COE564" s="500"/>
      <c r="COF564" s="500"/>
      <c r="COG564" s="500"/>
      <c r="COH564" s="500"/>
      <c r="COI564" s="500"/>
      <c r="COJ564" s="500"/>
      <c r="COK564" s="500"/>
      <c r="COL564" s="500"/>
      <c r="COM564" s="500"/>
      <c r="CON564" s="500"/>
      <c r="COO564" s="500"/>
      <c r="COP564" s="500"/>
      <c r="COQ564" s="500"/>
      <c r="COR564" s="500"/>
      <c r="COS564" s="500"/>
      <c r="COT564" s="500"/>
      <c r="COU564" s="500"/>
      <c r="COV564" s="500"/>
      <c r="COW564" s="500"/>
      <c r="COX564" s="500"/>
      <c r="COY564" s="500"/>
      <c r="COZ564" s="500"/>
      <c r="CPA564" s="500"/>
      <c r="CPB564" s="500"/>
      <c r="CPC564" s="500"/>
      <c r="CPD564" s="500"/>
      <c r="CPE564" s="500"/>
      <c r="CPF564" s="500"/>
      <c r="CPG564" s="500"/>
      <c r="CPH564" s="500"/>
      <c r="CPI564" s="500"/>
      <c r="CPJ564" s="500"/>
      <c r="CPK564" s="500"/>
      <c r="CPL564" s="500"/>
      <c r="CPM564" s="500"/>
      <c r="CPN564" s="500"/>
      <c r="CPO564" s="500"/>
      <c r="CPP564" s="500"/>
      <c r="CPQ564" s="500"/>
      <c r="CPR564" s="500"/>
      <c r="CPS564" s="500"/>
      <c r="CPT564" s="500"/>
      <c r="CPU564" s="500"/>
      <c r="CPV564" s="500"/>
      <c r="CPW564" s="500"/>
      <c r="CPX564" s="500"/>
      <c r="CPY564" s="500"/>
      <c r="CPZ564" s="500"/>
      <c r="CQA564" s="500"/>
      <c r="CQB564" s="500"/>
      <c r="CQC564" s="500"/>
      <c r="CQD564" s="500"/>
      <c r="CQE564" s="500"/>
      <c r="CQF564" s="500"/>
      <c r="CQG564" s="500"/>
      <c r="CQH564" s="500"/>
      <c r="CQI564" s="500"/>
      <c r="CQJ564" s="500"/>
      <c r="CQK564" s="500"/>
      <c r="CQL564" s="500"/>
      <c r="CQM564" s="500"/>
      <c r="CQN564" s="500"/>
      <c r="CQO564" s="500"/>
      <c r="CQP564" s="500"/>
      <c r="CQQ564" s="500"/>
      <c r="CQR564" s="500"/>
      <c r="CQS564" s="500"/>
      <c r="CQT564" s="500"/>
      <c r="CQU564" s="500"/>
      <c r="CQV564" s="500"/>
      <c r="CQW564" s="500"/>
      <c r="CQX564" s="500"/>
      <c r="CQY564" s="500"/>
      <c r="CQZ564" s="500"/>
      <c r="CRA564" s="500"/>
      <c r="CRB564" s="500"/>
      <c r="CRC564" s="500"/>
      <c r="CRD564" s="500"/>
      <c r="CRE564" s="500"/>
      <c r="CRF564" s="500"/>
      <c r="CRG564" s="500"/>
      <c r="CRH564" s="500"/>
      <c r="CRI564" s="500"/>
      <c r="CRJ564" s="500"/>
      <c r="CRK564" s="500"/>
      <c r="CRL564" s="500"/>
      <c r="CRM564" s="500"/>
      <c r="CRN564" s="500"/>
      <c r="CRO564" s="500"/>
      <c r="CRP564" s="500"/>
      <c r="CRQ564" s="500"/>
      <c r="CRR564" s="500"/>
      <c r="CRS564" s="500"/>
      <c r="CRT564" s="500"/>
      <c r="CRU564" s="500"/>
      <c r="CRV564" s="500"/>
      <c r="CRW564" s="500"/>
      <c r="CRX564" s="500"/>
      <c r="CRY564" s="500"/>
      <c r="CRZ564" s="500"/>
      <c r="CSA564" s="500"/>
      <c r="CSB564" s="500"/>
      <c r="CSC564" s="500"/>
      <c r="CSD564" s="500"/>
      <c r="CSE564" s="500"/>
      <c r="CSF564" s="500"/>
      <c r="CSG564" s="500"/>
      <c r="CSH564" s="500"/>
      <c r="CSI564" s="500"/>
      <c r="CSJ564" s="500"/>
      <c r="CSK564" s="500"/>
      <c r="CSL564" s="500"/>
      <c r="CSM564" s="500"/>
      <c r="CSN564" s="500"/>
      <c r="CSO564" s="500"/>
      <c r="CSP564" s="500"/>
      <c r="CSQ564" s="500"/>
      <c r="CSR564" s="500"/>
      <c r="CSS564" s="500"/>
      <c r="CST564" s="500"/>
      <c r="CSU564" s="500"/>
      <c r="CSV564" s="500"/>
      <c r="CSW564" s="500"/>
      <c r="CSX564" s="500"/>
      <c r="CSY564" s="500"/>
      <c r="CSZ564" s="500"/>
      <c r="CTA564" s="500"/>
      <c r="CTB564" s="500"/>
      <c r="CTC564" s="500"/>
      <c r="CTD564" s="500"/>
      <c r="CTE564" s="500"/>
      <c r="CTF564" s="500"/>
      <c r="CTG564" s="500"/>
      <c r="CTH564" s="500"/>
      <c r="CTI564" s="500"/>
      <c r="CTJ564" s="500"/>
      <c r="CTK564" s="500"/>
      <c r="CTL564" s="500"/>
      <c r="CTM564" s="500"/>
      <c r="CTN564" s="500"/>
      <c r="CTO564" s="500"/>
      <c r="CTP564" s="500"/>
      <c r="CTQ564" s="500"/>
      <c r="CTR564" s="500"/>
      <c r="CTS564" s="500"/>
      <c r="CTT564" s="500"/>
      <c r="CTU564" s="500"/>
      <c r="CTV564" s="500"/>
      <c r="CTW564" s="500"/>
      <c r="CTX564" s="500"/>
      <c r="CTY564" s="500"/>
      <c r="CTZ564" s="500"/>
      <c r="CUA564" s="500"/>
      <c r="CUB564" s="500"/>
      <c r="CUC564" s="500"/>
      <c r="CUD564" s="500"/>
      <c r="CUE564" s="500"/>
      <c r="CUF564" s="500"/>
      <c r="CUG564" s="500"/>
      <c r="CUH564" s="500"/>
      <c r="CUI564" s="500"/>
      <c r="CUJ564" s="500"/>
      <c r="CUK564" s="500"/>
      <c r="CUL564" s="500"/>
      <c r="CUM564" s="500"/>
      <c r="CUN564" s="500"/>
      <c r="CUO564" s="500"/>
      <c r="CUP564" s="500"/>
      <c r="CUQ564" s="500"/>
      <c r="CUR564" s="500"/>
      <c r="CUS564" s="500"/>
      <c r="CUT564" s="500"/>
      <c r="CUU564" s="500"/>
      <c r="CUV564" s="500"/>
      <c r="CUW564" s="500"/>
      <c r="CUX564" s="500"/>
      <c r="CUY564" s="500"/>
      <c r="CUZ564" s="500"/>
      <c r="CVA564" s="500"/>
      <c r="CVB564" s="500"/>
      <c r="CVC564" s="500"/>
      <c r="CVD564" s="500"/>
      <c r="CVE564" s="500"/>
      <c r="CVF564" s="500"/>
      <c r="CVG564" s="500"/>
      <c r="CVH564" s="500"/>
      <c r="CVI564" s="500"/>
      <c r="CVJ564" s="500"/>
      <c r="CVK564" s="500"/>
      <c r="CVL564" s="500"/>
      <c r="CVM564" s="500"/>
      <c r="CVN564" s="500"/>
      <c r="CVO564" s="500"/>
      <c r="CVP564" s="500"/>
      <c r="CVQ564" s="500"/>
      <c r="CVR564" s="500"/>
      <c r="CVS564" s="500"/>
      <c r="CVT564" s="500"/>
      <c r="CVU564" s="500"/>
      <c r="CVV564" s="500"/>
      <c r="CVW564" s="500"/>
      <c r="CVX564" s="500"/>
      <c r="CVY564" s="500"/>
      <c r="CVZ564" s="500"/>
      <c r="CWA564" s="500"/>
      <c r="CWB564" s="500"/>
      <c r="CWC564" s="500"/>
      <c r="CWD564" s="500"/>
      <c r="CWE564" s="500"/>
      <c r="CWF564" s="500"/>
      <c r="CWG564" s="500"/>
      <c r="CWH564" s="500"/>
      <c r="CWI564" s="500"/>
      <c r="CWJ564" s="500"/>
      <c r="CWK564" s="500"/>
      <c r="CWL564" s="500"/>
      <c r="CWM564" s="500"/>
      <c r="CWN564" s="500"/>
      <c r="CWO564" s="500"/>
      <c r="CWP564" s="500"/>
      <c r="CWQ564" s="500"/>
      <c r="CWR564" s="500"/>
      <c r="CWS564" s="500"/>
      <c r="CWT564" s="500"/>
      <c r="CWU564" s="500"/>
      <c r="CWV564" s="500"/>
      <c r="CWW564" s="500"/>
      <c r="CWX564" s="500"/>
      <c r="CWY564" s="500"/>
      <c r="CWZ564" s="500"/>
      <c r="CXA564" s="500"/>
      <c r="CXB564" s="500"/>
      <c r="CXC564" s="500"/>
      <c r="CXD564" s="500"/>
      <c r="CXE564" s="500"/>
      <c r="CXF564" s="500"/>
      <c r="CXG564" s="500"/>
      <c r="CXH564" s="500"/>
      <c r="CXI564" s="500"/>
      <c r="CXJ564" s="500"/>
      <c r="CXK564" s="500"/>
      <c r="CXL564" s="500"/>
      <c r="CXM564" s="500"/>
      <c r="CXN564" s="500"/>
      <c r="CXO564" s="500"/>
      <c r="CXP564" s="500"/>
      <c r="CXQ564" s="500"/>
      <c r="CXR564" s="500"/>
      <c r="CXS564" s="500"/>
      <c r="CXT564" s="500"/>
      <c r="CXU564" s="500"/>
      <c r="CXV564" s="500"/>
      <c r="CXW564" s="500"/>
      <c r="CXX564" s="500"/>
      <c r="CXY564" s="500"/>
      <c r="CXZ564" s="500"/>
      <c r="CYA564" s="500"/>
      <c r="CYB564" s="500"/>
      <c r="CYC564" s="500"/>
      <c r="CYD564" s="500"/>
      <c r="CYE564" s="500"/>
      <c r="CYF564" s="500"/>
      <c r="CYG564" s="500"/>
      <c r="CYH564" s="500"/>
      <c r="CYI564" s="500"/>
      <c r="CYJ564" s="500"/>
      <c r="CYK564" s="500"/>
      <c r="CYL564" s="500"/>
      <c r="CYM564" s="500"/>
      <c r="CYN564" s="500"/>
      <c r="CYO564" s="500"/>
      <c r="CYP564" s="500"/>
      <c r="CYQ564" s="500"/>
      <c r="CYR564" s="500"/>
      <c r="CYS564" s="500"/>
      <c r="CYT564" s="500"/>
      <c r="CYU564" s="500"/>
      <c r="CYV564" s="500"/>
      <c r="CYW564" s="500"/>
      <c r="CYX564" s="500"/>
      <c r="CYY564" s="500"/>
      <c r="CYZ564" s="500"/>
      <c r="CZA564" s="500"/>
      <c r="CZB564" s="500"/>
      <c r="CZC564" s="500"/>
      <c r="CZD564" s="500"/>
      <c r="CZE564" s="500"/>
      <c r="CZF564" s="500"/>
      <c r="CZG564" s="500"/>
      <c r="CZH564" s="500"/>
      <c r="CZI564" s="500"/>
      <c r="CZJ564" s="500"/>
      <c r="CZK564" s="500"/>
      <c r="CZL564" s="500"/>
      <c r="CZM564" s="500"/>
      <c r="CZN564" s="500"/>
      <c r="CZO564" s="500"/>
      <c r="CZP564" s="500"/>
      <c r="CZQ564" s="500"/>
      <c r="CZR564" s="500"/>
      <c r="CZS564" s="500"/>
      <c r="CZT564" s="500"/>
      <c r="CZU564" s="500"/>
      <c r="CZV564" s="500"/>
      <c r="CZW564" s="500"/>
      <c r="CZX564" s="500"/>
      <c r="CZY564" s="500"/>
      <c r="CZZ564" s="500"/>
      <c r="DAA564" s="500"/>
      <c r="DAB564" s="500"/>
      <c r="DAC564" s="500"/>
      <c r="DAD564" s="500"/>
      <c r="DAE564" s="500"/>
      <c r="DAF564" s="500"/>
      <c r="DAG564" s="500"/>
      <c r="DAH564" s="500"/>
      <c r="DAI564" s="500"/>
      <c r="DAJ564" s="500"/>
      <c r="DAK564" s="500"/>
      <c r="DAL564" s="500"/>
      <c r="DAM564" s="500"/>
      <c r="DAN564" s="500"/>
      <c r="DAO564" s="500"/>
      <c r="DAP564" s="500"/>
      <c r="DAQ564" s="500"/>
      <c r="DAR564" s="500"/>
      <c r="DAS564" s="500"/>
      <c r="DAT564" s="500"/>
      <c r="DAU564" s="500"/>
      <c r="DAV564" s="500"/>
      <c r="DAW564" s="500"/>
      <c r="DAX564" s="500"/>
      <c r="DAY564" s="500"/>
      <c r="DAZ564" s="500"/>
      <c r="DBA564" s="500"/>
      <c r="DBB564" s="500"/>
      <c r="DBC564" s="500"/>
      <c r="DBD564" s="500"/>
      <c r="DBE564" s="500"/>
      <c r="DBF564" s="500"/>
      <c r="DBG564" s="500"/>
      <c r="DBH564" s="500"/>
      <c r="DBI564" s="500"/>
      <c r="DBJ564" s="500"/>
      <c r="DBK564" s="500"/>
      <c r="DBL564" s="500"/>
      <c r="DBM564" s="500"/>
      <c r="DBN564" s="500"/>
      <c r="DBO564" s="500"/>
      <c r="DBP564" s="500"/>
      <c r="DBQ564" s="500"/>
      <c r="DBR564" s="500"/>
      <c r="DBS564" s="500"/>
      <c r="DBT564" s="500"/>
      <c r="DBU564" s="500"/>
      <c r="DBV564" s="500"/>
      <c r="DBW564" s="500"/>
      <c r="DBX564" s="500"/>
      <c r="DBY564" s="500"/>
      <c r="DBZ564" s="500"/>
      <c r="DCA564" s="500"/>
      <c r="DCB564" s="500"/>
      <c r="DCC564" s="500"/>
      <c r="DCD564" s="500"/>
      <c r="DCE564" s="500"/>
      <c r="DCF564" s="500"/>
      <c r="DCG564" s="500"/>
      <c r="DCH564" s="500"/>
      <c r="DCI564" s="500"/>
      <c r="DCJ564" s="500"/>
      <c r="DCK564" s="500"/>
      <c r="DCL564" s="500"/>
      <c r="DCM564" s="500"/>
      <c r="DCN564" s="500"/>
      <c r="DCO564" s="500"/>
      <c r="DCP564" s="500"/>
      <c r="DCQ564" s="500"/>
      <c r="DCR564" s="500"/>
      <c r="DCS564" s="500"/>
      <c r="DCT564" s="500"/>
      <c r="DCU564" s="500"/>
      <c r="DCV564" s="500"/>
      <c r="DCW564" s="500"/>
      <c r="DCX564" s="500"/>
      <c r="DCY564" s="500"/>
      <c r="DCZ564" s="500"/>
      <c r="DDA564" s="500"/>
      <c r="DDB564" s="500"/>
      <c r="DDC564" s="500"/>
      <c r="DDD564" s="500"/>
      <c r="DDE564" s="500"/>
      <c r="DDF564" s="500"/>
      <c r="DDG564" s="500"/>
      <c r="DDH564" s="500"/>
      <c r="DDI564" s="500"/>
      <c r="DDJ564" s="500"/>
      <c r="DDK564" s="500"/>
      <c r="DDL564" s="500"/>
      <c r="DDM564" s="500"/>
      <c r="DDN564" s="500"/>
      <c r="DDO564" s="500"/>
      <c r="DDP564" s="500"/>
      <c r="DDQ564" s="500"/>
      <c r="DDR564" s="500"/>
      <c r="DDS564" s="500"/>
      <c r="DDT564" s="500"/>
      <c r="DDU564" s="500"/>
      <c r="DDV564" s="500"/>
      <c r="DDW564" s="500"/>
      <c r="DDX564" s="500"/>
      <c r="DDY564" s="500"/>
      <c r="DDZ564" s="500"/>
      <c r="DEA564" s="500"/>
      <c r="DEB564" s="500"/>
      <c r="DEC564" s="500"/>
      <c r="DED564" s="500"/>
      <c r="DEE564" s="500"/>
      <c r="DEF564" s="500"/>
      <c r="DEG564" s="500"/>
      <c r="DEH564" s="500"/>
      <c r="DEI564" s="500"/>
      <c r="DEJ564" s="500"/>
      <c r="DEK564" s="500"/>
      <c r="DEL564" s="500"/>
      <c r="DEM564" s="500"/>
      <c r="DEN564" s="500"/>
      <c r="DEO564" s="500"/>
      <c r="DEP564" s="500"/>
      <c r="DEQ564" s="500"/>
      <c r="DER564" s="500"/>
      <c r="DES564" s="500"/>
      <c r="DET564" s="500"/>
      <c r="DEU564" s="500"/>
      <c r="DEV564" s="500"/>
      <c r="DEW564" s="500"/>
      <c r="DEX564" s="500"/>
      <c r="DEY564" s="500"/>
      <c r="DEZ564" s="500"/>
      <c r="DFA564" s="500"/>
      <c r="DFB564" s="500"/>
      <c r="DFC564" s="500"/>
      <c r="DFD564" s="500"/>
      <c r="DFE564" s="500"/>
      <c r="DFF564" s="500"/>
      <c r="DFG564" s="500"/>
      <c r="DFH564" s="500"/>
      <c r="DFI564" s="500"/>
      <c r="DFJ564" s="500"/>
      <c r="DFK564" s="500"/>
      <c r="DFL564" s="500"/>
      <c r="DFM564" s="500"/>
      <c r="DFN564" s="500"/>
      <c r="DFO564" s="500"/>
      <c r="DFP564" s="500"/>
      <c r="DFQ564" s="500"/>
      <c r="DFR564" s="500"/>
      <c r="DFS564" s="500"/>
      <c r="DFT564" s="500"/>
      <c r="DFU564" s="500"/>
      <c r="DFV564" s="500"/>
      <c r="DFW564" s="500"/>
      <c r="DFX564" s="500"/>
      <c r="DFY564" s="500"/>
      <c r="DFZ564" s="500"/>
      <c r="DGA564" s="500"/>
      <c r="DGB564" s="500"/>
      <c r="DGC564" s="500"/>
      <c r="DGD564" s="500"/>
      <c r="DGE564" s="500"/>
      <c r="DGF564" s="500"/>
      <c r="DGG564" s="500"/>
      <c r="DGH564" s="500"/>
      <c r="DGI564" s="500"/>
      <c r="DGJ564" s="500"/>
      <c r="DGK564" s="500"/>
      <c r="DGL564" s="500"/>
      <c r="DGM564" s="500"/>
      <c r="DGN564" s="500"/>
      <c r="DGO564" s="500"/>
      <c r="DGP564" s="500"/>
      <c r="DGQ564" s="500"/>
      <c r="DGR564" s="500"/>
      <c r="DGS564" s="500"/>
      <c r="DGT564" s="500"/>
      <c r="DGU564" s="500"/>
      <c r="DGV564" s="500"/>
      <c r="DGW564" s="500"/>
      <c r="DGX564" s="500"/>
      <c r="DGY564" s="500"/>
      <c r="DGZ564" s="500"/>
      <c r="DHA564" s="500"/>
      <c r="DHB564" s="500"/>
      <c r="DHC564" s="500"/>
      <c r="DHD564" s="500"/>
      <c r="DHE564" s="500"/>
      <c r="DHF564" s="500"/>
      <c r="DHG564" s="500"/>
      <c r="DHH564" s="500"/>
      <c r="DHI564" s="500"/>
      <c r="DHJ564" s="500"/>
      <c r="DHK564" s="500"/>
      <c r="DHL564" s="500"/>
      <c r="DHM564" s="500"/>
      <c r="DHN564" s="500"/>
      <c r="DHO564" s="500"/>
      <c r="DHP564" s="500"/>
      <c r="DHQ564" s="500"/>
      <c r="DHR564" s="500"/>
      <c r="DHS564" s="500"/>
      <c r="DHT564" s="500"/>
      <c r="DHU564" s="500"/>
      <c r="DHV564" s="500"/>
      <c r="DHW564" s="500"/>
      <c r="DHX564" s="500"/>
      <c r="DHY564" s="500"/>
      <c r="DHZ564" s="500"/>
      <c r="DIA564" s="500"/>
      <c r="DIB564" s="500"/>
      <c r="DIC564" s="500"/>
      <c r="DID564" s="500"/>
      <c r="DIE564" s="500"/>
      <c r="DIF564" s="500"/>
      <c r="DIG564" s="500"/>
      <c r="DIH564" s="500"/>
      <c r="DII564" s="500"/>
      <c r="DIJ564" s="500"/>
      <c r="DIK564" s="500"/>
      <c r="DIL564" s="500"/>
      <c r="DIM564" s="500"/>
      <c r="DIN564" s="500"/>
      <c r="DIO564" s="500"/>
      <c r="DIP564" s="500"/>
      <c r="DIQ564" s="500"/>
      <c r="DIR564" s="500"/>
      <c r="DIS564" s="500"/>
      <c r="DIT564" s="500"/>
      <c r="DIU564" s="500"/>
      <c r="DIV564" s="500"/>
      <c r="DIW564" s="500"/>
      <c r="DIX564" s="500"/>
      <c r="DIY564" s="500"/>
      <c r="DIZ564" s="500"/>
      <c r="DJA564" s="500"/>
      <c r="DJB564" s="500"/>
      <c r="DJC564" s="500"/>
      <c r="DJD564" s="500"/>
      <c r="DJE564" s="500"/>
      <c r="DJF564" s="500"/>
      <c r="DJG564" s="500"/>
      <c r="DJH564" s="500"/>
      <c r="DJI564" s="500"/>
      <c r="DJJ564" s="500"/>
      <c r="DJK564" s="500"/>
      <c r="DJL564" s="500"/>
      <c r="DJM564" s="500"/>
      <c r="DJN564" s="500"/>
      <c r="DJO564" s="500"/>
      <c r="DJP564" s="500"/>
      <c r="DJQ564" s="500"/>
      <c r="DJR564" s="500"/>
      <c r="DJS564" s="500"/>
      <c r="DJT564" s="500"/>
      <c r="DJU564" s="500"/>
      <c r="DJV564" s="500"/>
      <c r="DJW564" s="500"/>
      <c r="DJX564" s="500"/>
      <c r="DJY564" s="500"/>
      <c r="DJZ564" s="500"/>
      <c r="DKA564" s="500"/>
      <c r="DKB564" s="500"/>
      <c r="DKC564" s="500"/>
      <c r="DKD564" s="500"/>
      <c r="DKE564" s="500"/>
      <c r="DKF564" s="500"/>
      <c r="DKG564" s="500"/>
      <c r="DKH564" s="500"/>
      <c r="DKI564" s="500"/>
      <c r="DKJ564" s="500"/>
      <c r="DKK564" s="500"/>
      <c r="DKL564" s="500"/>
      <c r="DKM564" s="500"/>
      <c r="DKN564" s="500"/>
      <c r="DKO564" s="500"/>
      <c r="DKP564" s="500"/>
      <c r="DKQ564" s="500"/>
      <c r="DKR564" s="500"/>
      <c r="DKS564" s="500"/>
      <c r="DKT564" s="500"/>
      <c r="DKU564" s="500"/>
      <c r="DKV564" s="500"/>
      <c r="DKW564" s="500"/>
      <c r="DKX564" s="500"/>
      <c r="DKY564" s="500"/>
      <c r="DKZ564" s="500"/>
      <c r="DLA564" s="500"/>
      <c r="DLB564" s="500"/>
      <c r="DLC564" s="500"/>
      <c r="DLD564" s="500"/>
      <c r="DLE564" s="500"/>
      <c r="DLF564" s="500"/>
      <c r="DLG564" s="500"/>
      <c r="DLH564" s="500"/>
      <c r="DLI564" s="500"/>
      <c r="DLJ564" s="500"/>
      <c r="DLK564" s="500"/>
      <c r="DLL564" s="500"/>
      <c r="DLM564" s="500"/>
      <c r="DLN564" s="500"/>
      <c r="DLO564" s="500"/>
      <c r="DLP564" s="500"/>
      <c r="DLQ564" s="500"/>
      <c r="DLR564" s="500"/>
      <c r="DLS564" s="500"/>
      <c r="DLT564" s="500"/>
      <c r="DLU564" s="500"/>
      <c r="DLV564" s="500"/>
      <c r="DLW564" s="500"/>
      <c r="DLX564" s="500"/>
      <c r="DLY564" s="500"/>
      <c r="DLZ564" s="500"/>
      <c r="DMA564" s="500"/>
      <c r="DMB564" s="500"/>
      <c r="DMC564" s="500"/>
      <c r="DMD564" s="500"/>
      <c r="DME564" s="500"/>
      <c r="DMF564" s="500"/>
      <c r="DMG564" s="500"/>
      <c r="DMH564" s="500"/>
      <c r="DMI564" s="500"/>
      <c r="DMJ564" s="500"/>
      <c r="DMK564" s="500"/>
      <c r="DML564" s="500"/>
      <c r="DMM564" s="500"/>
      <c r="DMN564" s="500"/>
      <c r="DMO564" s="500"/>
      <c r="DMP564" s="500"/>
      <c r="DMQ564" s="500"/>
      <c r="DMR564" s="500"/>
      <c r="DMS564" s="500"/>
      <c r="DMT564" s="500"/>
      <c r="DMU564" s="500"/>
      <c r="DMV564" s="500"/>
      <c r="DMW564" s="500"/>
      <c r="DMX564" s="500"/>
      <c r="DMY564" s="500"/>
      <c r="DMZ564" s="500"/>
      <c r="DNA564" s="500"/>
      <c r="DNB564" s="500"/>
      <c r="DNC564" s="500"/>
      <c r="DND564" s="500"/>
      <c r="DNE564" s="500"/>
      <c r="DNF564" s="500"/>
      <c r="DNG564" s="500"/>
      <c r="DNH564" s="500"/>
      <c r="DNI564" s="500"/>
      <c r="DNJ564" s="500"/>
      <c r="DNK564" s="500"/>
      <c r="DNL564" s="500"/>
      <c r="DNM564" s="500"/>
      <c r="DNN564" s="500"/>
      <c r="DNO564" s="500"/>
      <c r="DNP564" s="500"/>
      <c r="DNQ564" s="500"/>
      <c r="DNR564" s="500"/>
      <c r="DNS564" s="500"/>
      <c r="DNT564" s="500"/>
      <c r="DNU564" s="500"/>
      <c r="DNV564" s="500"/>
      <c r="DNW564" s="500"/>
      <c r="DNX564" s="500"/>
      <c r="DNY564" s="500"/>
      <c r="DNZ564" s="500"/>
      <c r="DOA564" s="500"/>
      <c r="DOB564" s="500"/>
      <c r="DOC564" s="500"/>
      <c r="DOD564" s="500"/>
      <c r="DOE564" s="500"/>
      <c r="DOF564" s="500"/>
      <c r="DOG564" s="500"/>
      <c r="DOH564" s="500"/>
      <c r="DOI564" s="500"/>
      <c r="DOJ564" s="500"/>
      <c r="DOK564" s="500"/>
      <c r="DOL564" s="500"/>
      <c r="DOM564" s="500"/>
      <c r="DON564" s="500"/>
      <c r="DOO564" s="500"/>
      <c r="DOP564" s="500"/>
      <c r="DOQ564" s="500"/>
      <c r="DOR564" s="500"/>
      <c r="DOS564" s="500"/>
      <c r="DOT564" s="500"/>
      <c r="DOU564" s="500"/>
      <c r="DOV564" s="500"/>
      <c r="DOW564" s="500"/>
      <c r="DOX564" s="500"/>
      <c r="DOY564" s="500"/>
      <c r="DOZ564" s="500"/>
      <c r="DPA564" s="500"/>
      <c r="DPB564" s="500"/>
      <c r="DPC564" s="500"/>
      <c r="DPD564" s="500"/>
      <c r="DPE564" s="500"/>
      <c r="DPF564" s="500"/>
      <c r="DPG564" s="500"/>
      <c r="DPH564" s="500"/>
      <c r="DPI564" s="500"/>
      <c r="DPJ564" s="500"/>
      <c r="DPK564" s="500"/>
      <c r="DPL564" s="500"/>
      <c r="DPM564" s="500"/>
      <c r="DPN564" s="500"/>
      <c r="DPO564" s="500"/>
      <c r="DPP564" s="500"/>
      <c r="DPQ564" s="500"/>
      <c r="DPR564" s="500"/>
      <c r="DPS564" s="500"/>
      <c r="DPT564" s="500"/>
      <c r="DPU564" s="500"/>
      <c r="DPV564" s="500"/>
      <c r="DPW564" s="500"/>
      <c r="DPX564" s="500"/>
      <c r="DPY564" s="500"/>
      <c r="DPZ564" s="500"/>
      <c r="DQA564" s="500"/>
      <c r="DQB564" s="500"/>
      <c r="DQC564" s="500"/>
      <c r="DQD564" s="500"/>
      <c r="DQE564" s="500"/>
      <c r="DQF564" s="500"/>
      <c r="DQG564" s="500"/>
      <c r="DQH564" s="500"/>
      <c r="DQI564" s="500"/>
      <c r="DQJ564" s="500"/>
      <c r="DQK564" s="500"/>
      <c r="DQL564" s="500"/>
      <c r="DQM564" s="500"/>
      <c r="DQN564" s="500"/>
      <c r="DQO564" s="500"/>
      <c r="DQP564" s="500"/>
      <c r="DQQ564" s="500"/>
      <c r="DQR564" s="500"/>
      <c r="DQS564" s="500"/>
      <c r="DQT564" s="500"/>
      <c r="DQU564" s="500"/>
      <c r="DQV564" s="500"/>
      <c r="DQW564" s="500"/>
      <c r="DQX564" s="500"/>
      <c r="DQY564" s="500"/>
      <c r="DQZ564" s="500"/>
      <c r="DRA564" s="500"/>
      <c r="DRB564" s="500"/>
      <c r="DRC564" s="500"/>
      <c r="DRD564" s="500"/>
      <c r="DRE564" s="500"/>
      <c r="DRF564" s="500"/>
      <c r="DRG564" s="500"/>
      <c r="DRH564" s="500"/>
      <c r="DRI564" s="500"/>
      <c r="DRJ564" s="500"/>
      <c r="DRK564" s="500"/>
      <c r="DRL564" s="500"/>
      <c r="DRM564" s="500"/>
      <c r="DRN564" s="500"/>
      <c r="DRO564" s="500"/>
      <c r="DRP564" s="500"/>
      <c r="DRQ564" s="500"/>
      <c r="DRR564" s="500"/>
      <c r="DRS564" s="500"/>
      <c r="DRT564" s="500"/>
      <c r="DRU564" s="500"/>
      <c r="DRV564" s="500"/>
      <c r="DRW564" s="500"/>
      <c r="DRX564" s="500"/>
      <c r="DRY564" s="500"/>
      <c r="DRZ564" s="500"/>
      <c r="DSA564" s="500"/>
      <c r="DSB564" s="500"/>
      <c r="DSC564" s="500"/>
      <c r="DSD564" s="500"/>
      <c r="DSE564" s="500"/>
      <c r="DSF564" s="500"/>
      <c r="DSG564" s="500"/>
      <c r="DSH564" s="500"/>
      <c r="DSI564" s="500"/>
      <c r="DSJ564" s="500"/>
      <c r="DSK564" s="500"/>
      <c r="DSL564" s="500"/>
      <c r="DSM564" s="500"/>
      <c r="DSN564" s="500"/>
      <c r="DSO564" s="500"/>
      <c r="DSP564" s="500"/>
      <c r="DSQ564" s="500"/>
      <c r="DSR564" s="500"/>
      <c r="DSS564" s="500"/>
      <c r="DST564" s="500"/>
      <c r="DSU564" s="500"/>
      <c r="DSV564" s="500"/>
      <c r="DSW564" s="500"/>
      <c r="DSX564" s="500"/>
      <c r="DSY564" s="500"/>
      <c r="DSZ564" s="500"/>
      <c r="DTA564" s="500"/>
      <c r="DTB564" s="500"/>
      <c r="DTC564" s="500"/>
      <c r="DTD564" s="500"/>
      <c r="DTE564" s="500"/>
      <c r="DTF564" s="500"/>
      <c r="DTG564" s="500"/>
      <c r="DTH564" s="500"/>
      <c r="DTI564" s="500"/>
      <c r="DTJ564" s="500"/>
      <c r="DTK564" s="500"/>
      <c r="DTL564" s="500"/>
      <c r="DTM564" s="500"/>
      <c r="DTN564" s="500"/>
      <c r="DTO564" s="500"/>
      <c r="DTP564" s="500"/>
      <c r="DTQ564" s="500"/>
      <c r="DTR564" s="500"/>
      <c r="DTS564" s="500"/>
      <c r="DTT564" s="500"/>
      <c r="DTU564" s="500"/>
      <c r="DTV564" s="500"/>
      <c r="DTW564" s="500"/>
      <c r="DTX564" s="500"/>
      <c r="DTY564" s="500"/>
      <c r="DTZ564" s="500"/>
      <c r="DUA564" s="500"/>
      <c r="DUB564" s="500"/>
      <c r="DUC564" s="500"/>
      <c r="DUD564" s="500"/>
      <c r="DUE564" s="500"/>
      <c r="DUF564" s="500"/>
      <c r="DUG564" s="500"/>
      <c r="DUH564" s="500"/>
      <c r="DUI564" s="500"/>
      <c r="DUJ564" s="500"/>
      <c r="DUK564" s="500"/>
      <c r="DUL564" s="500"/>
      <c r="DUM564" s="500"/>
      <c r="DUN564" s="500"/>
      <c r="DUO564" s="500"/>
      <c r="DUP564" s="500"/>
      <c r="DUQ564" s="500"/>
      <c r="DUR564" s="500"/>
      <c r="DUS564" s="500"/>
      <c r="DUT564" s="500"/>
      <c r="DUU564" s="500"/>
      <c r="DUV564" s="500"/>
      <c r="DUW564" s="500"/>
      <c r="DUX564" s="500"/>
      <c r="DUY564" s="500"/>
      <c r="DUZ564" s="500"/>
      <c r="DVA564" s="500"/>
      <c r="DVB564" s="500"/>
      <c r="DVC564" s="500"/>
      <c r="DVD564" s="500"/>
      <c r="DVE564" s="500"/>
      <c r="DVF564" s="500"/>
      <c r="DVG564" s="500"/>
      <c r="DVH564" s="500"/>
      <c r="DVI564" s="500"/>
      <c r="DVJ564" s="500"/>
      <c r="DVK564" s="500"/>
      <c r="DVL564" s="500"/>
      <c r="DVM564" s="500"/>
      <c r="DVN564" s="500"/>
      <c r="DVO564" s="500"/>
      <c r="DVP564" s="500"/>
      <c r="DVQ564" s="500"/>
      <c r="DVR564" s="500"/>
      <c r="DVS564" s="500"/>
      <c r="DVT564" s="500"/>
      <c r="DVU564" s="500"/>
      <c r="DVV564" s="500"/>
      <c r="DVW564" s="500"/>
      <c r="DVX564" s="500"/>
      <c r="DVY564" s="500"/>
      <c r="DVZ564" s="500"/>
      <c r="DWA564" s="500"/>
      <c r="DWB564" s="500"/>
      <c r="DWC564" s="500"/>
      <c r="DWD564" s="500"/>
      <c r="DWE564" s="500"/>
      <c r="DWF564" s="500"/>
      <c r="DWG564" s="500"/>
      <c r="DWH564" s="500"/>
      <c r="DWI564" s="500"/>
      <c r="DWJ564" s="500"/>
      <c r="DWK564" s="500"/>
      <c r="DWL564" s="500"/>
      <c r="DWM564" s="500"/>
      <c r="DWN564" s="500"/>
      <c r="DWO564" s="500"/>
      <c r="DWP564" s="500"/>
      <c r="DWQ564" s="500"/>
      <c r="DWR564" s="500"/>
      <c r="DWS564" s="500"/>
      <c r="DWT564" s="500"/>
      <c r="DWU564" s="500"/>
      <c r="DWV564" s="500"/>
      <c r="DWW564" s="500"/>
      <c r="DWX564" s="500"/>
      <c r="DWY564" s="500"/>
      <c r="DWZ564" s="500"/>
      <c r="DXA564" s="500"/>
      <c r="DXB564" s="500"/>
      <c r="DXC564" s="500"/>
      <c r="DXD564" s="500"/>
      <c r="DXE564" s="500"/>
      <c r="DXF564" s="500"/>
      <c r="DXG564" s="500"/>
      <c r="DXH564" s="500"/>
      <c r="DXI564" s="500"/>
      <c r="DXJ564" s="500"/>
      <c r="DXK564" s="500"/>
      <c r="DXL564" s="500"/>
      <c r="DXM564" s="500"/>
      <c r="DXN564" s="500"/>
      <c r="DXO564" s="500"/>
      <c r="DXP564" s="500"/>
      <c r="DXQ564" s="500"/>
      <c r="DXR564" s="500"/>
      <c r="DXS564" s="500"/>
      <c r="DXT564" s="500"/>
      <c r="DXU564" s="500"/>
      <c r="DXV564" s="500"/>
      <c r="DXW564" s="500"/>
      <c r="DXX564" s="500"/>
      <c r="DXY564" s="500"/>
      <c r="DXZ564" s="500"/>
      <c r="DYA564" s="500"/>
      <c r="DYB564" s="500"/>
      <c r="DYC564" s="500"/>
      <c r="DYD564" s="500"/>
      <c r="DYE564" s="500"/>
      <c r="DYF564" s="500"/>
      <c r="DYG564" s="500"/>
      <c r="DYH564" s="500"/>
      <c r="DYI564" s="500"/>
      <c r="DYJ564" s="500"/>
      <c r="DYK564" s="500"/>
      <c r="DYL564" s="500"/>
      <c r="DYM564" s="500"/>
      <c r="DYN564" s="500"/>
      <c r="DYO564" s="500"/>
      <c r="DYP564" s="500"/>
      <c r="DYQ564" s="500"/>
      <c r="DYR564" s="500"/>
      <c r="DYS564" s="500"/>
      <c r="DYT564" s="500"/>
      <c r="DYU564" s="500"/>
      <c r="DYV564" s="500"/>
      <c r="DYW564" s="500"/>
      <c r="DYX564" s="500"/>
      <c r="DYY564" s="500"/>
      <c r="DYZ564" s="500"/>
      <c r="DZA564" s="500"/>
      <c r="DZB564" s="500"/>
      <c r="DZC564" s="500"/>
      <c r="DZD564" s="500"/>
      <c r="DZE564" s="500"/>
      <c r="DZF564" s="500"/>
      <c r="DZG564" s="500"/>
      <c r="DZH564" s="500"/>
      <c r="DZI564" s="500"/>
      <c r="DZJ564" s="500"/>
      <c r="DZK564" s="500"/>
      <c r="DZL564" s="500"/>
      <c r="DZM564" s="500"/>
      <c r="DZN564" s="500"/>
      <c r="DZO564" s="500"/>
      <c r="DZP564" s="500"/>
      <c r="DZQ564" s="500"/>
      <c r="DZR564" s="500"/>
      <c r="DZS564" s="500"/>
      <c r="DZT564" s="500"/>
      <c r="DZU564" s="500"/>
      <c r="DZV564" s="500"/>
      <c r="DZW564" s="500"/>
      <c r="DZX564" s="500"/>
      <c r="DZY564" s="500"/>
      <c r="DZZ564" s="500"/>
      <c r="EAA564" s="500"/>
      <c r="EAB564" s="500"/>
      <c r="EAC564" s="500"/>
      <c r="EAD564" s="500"/>
      <c r="EAE564" s="500"/>
      <c r="EAF564" s="500"/>
      <c r="EAG564" s="500"/>
      <c r="EAH564" s="500"/>
      <c r="EAI564" s="500"/>
      <c r="EAJ564" s="500"/>
      <c r="EAK564" s="500"/>
      <c r="EAL564" s="500"/>
      <c r="EAM564" s="500"/>
      <c r="EAN564" s="500"/>
      <c r="EAO564" s="500"/>
      <c r="EAP564" s="500"/>
      <c r="EAQ564" s="500"/>
      <c r="EAR564" s="500"/>
      <c r="EAS564" s="500"/>
      <c r="EAT564" s="500"/>
      <c r="EAU564" s="500"/>
      <c r="EAV564" s="500"/>
      <c r="EAW564" s="500"/>
      <c r="EAX564" s="500"/>
      <c r="EAY564" s="500"/>
      <c r="EAZ564" s="500"/>
      <c r="EBA564" s="500"/>
      <c r="EBB564" s="500"/>
      <c r="EBC564" s="500"/>
      <c r="EBD564" s="500"/>
      <c r="EBE564" s="500"/>
      <c r="EBF564" s="500"/>
      <c r="EBG564" s="500"/>
      <c r="EBH564" s="500"/>
      <c r="EBI564" s="500"/>
      <c r="EBJ564" s="500"/>
      <c r="EBK564" s="500"/>
      <c r="EBL564" s="500"/>
      <c r="EBM564" s="500"/>
      <c r="EBN564" s="500"/>
      <c r="EBO564" s="500"/>
      <c r="EBP564" s="500"/>
      <c r="EBQ564" s="500"/>
      <c r="EBR564" s="500"/>
      <c r="EBS564" s="500"/>
      <c r="EBT564" s="500"/>
      <c r="EBU564" s="500"/>
      <c r="EBV564" s="500"/>
      <c r="EBW564" s="500"/>
      <c r="EBX564" s="500"/>
      <c r="EBY564" s="500"/>
      <c r="EBZ564" s="500"/>
      <c r="ECA564" s="500"/>
      <c r="ECB564" s="500"/>
      <c r="ECC564" s="500"/>
      <c r="ECD564" s="500"/>
      <c r="ECE564" s="500"/>
      <c r="ECF564" s="500"/>
      <c r="ECG564" s="500"/>
      <c r="ECH564" s="500"/>
      <c r="ECI564" s="500"/>
      <c r="ECJ564" s="500"/>
      <c r="ECK564" s="500"/>
      <c r="ECL564" s="500"/>
      <c r="ECM564" s="500"/>
      <c r="ECN564" s="500"/>
      <c r="ECO564" s="500"/>
      <c r="ECP564" s="500"/>
      <c r="ECQ564" s="500"/>
      <c r="ECR564" s="500"/>
      <c r="ECS564" s="500"/>
      <c r="ECT564" s="500"/>
      <c r="ECU564" s="500"/>
      <c r="ECV564" s="500"/>
      <c r="ECW564" s="500"/>
      <c r="ECX564" s="500"/>
      <c r="ECY564" s="500"/>
      <c r="ECZ564" s="500"/>
      <c r="EDA564" s="500"/>
      <c r="EDB564" s="500"/>
      <c r="EDC564" s="500"/>
      <c r="EDD564" s="500"/>
      <c r="EDE564" s="500"/>
      <c r="EDF564" s="500"/>
      <c r="EDG564" s="500"/>
      <c r="EDH564" s="500"/>
      <c r="EDI564" s="500"/>
      <c r="EDJ564" s="500"/>
      <c r="EDK564" s="500"/>
      <c r="EDL564" s="500"/>
      <c r="EDM564" s="500"/>
      <c r="EDN564" s="500"/>
      <c r="EDO564" s="500"/>
      <c r="EDP564" s="500"/>
      <c r="EDQ564" s="500"/>
      <c r="EDR564" s="500"/>
      <c r="EDS564" s="500"/>
      <c r="EDT564" s="500"/>
      <c r="EDU564" s="500"/>
      <c r="EDV564" s="500"/>
      <c r="EDW564" s="500"/>
      <c r="EDX564" s="500"/>
      <c r="EDY564" s="500"/>
      <c r="EDZ564" s="500"/>
      <c r="EEA564" s="500"/>
      <c r="EEB564" s="500"/>
      <c r="EEC564" s="500"/>
      <c r="EED564" s="500"/>
      <c r="EEE564" s="500"/>
      <c r="EEF564" s="500"/>
      <c r="EEG564" s="500"/>
      <c r="EEH564" s="500"/>
      <c r="EEI564" s="500"/>
      <c r="EEJ564" s="500"/>
      <c r="EEK564" s="500"/>
      <c r="EEL564" s="500"/>
      <c r="EEM564" s="500"/>
      <c r="EEN564" s="500"/>
      <c r="EEO564" s="500"/>
      <c r="EEP564" s="500"/>
      <c r="EEQ564" s="500"/>
      <c r="EER564" s="500"/>
      <c r="EES564" s="500"/>
      <c r="EET564" s="500"/>
      <c r="EEU564" s="500"/>
      <c r="EEV564" s="500"/>
      <c r="EEW564" s="500"/>
      <c r="EEX564" s="500"/>
      <c r="EEY564" s="500"/>
      <c r="EEZ564" s="500"/>
      <c r="EFA564" s="500"/>
      <c r="EFB564" s="500"/>
      <c r="EFC564" s="500"/>
      <c r="EFD564" s="500"/>
      <c r="EFE564" s="500"/>
      <c r="EFF564" s="500"/>
      <c r="EFG564" s="500"/>
      <c r="EFH564" s="500"/>
      <c r="EFI564" s="500"/>
      <c r="EFJ564" s="500"/>
      <c r="EFK564" s="500"/>
      <c r="EFL564" s="500"/>
      <c r="EFM564" s="500"/>
      <c r="EFN564" s="500"/>
      <c r="EFO564" s="500"/>
      <c r="EFP564" s="500"/>
      <c r="EFQ564" s="500"/>
      <c r="EFR564" s="500"/>
      <c r="EFS564" s="500"/>
      <c r="EFT564" s="500"/>
      <c r="EFU564" s="500"/>
      <c r="EFV564" s="500"/>
      <c r="EFW564" s="500"/>
      <c r="EFX564" s="500"/>
      <c r="EFY564" s="500"/>
      <c r="EFZ564" s="500"/>
      <c r="EGA564" s="500"/>
      <c r="EGB564" s="500"/>
      <c r="EGC564" s="500"/>
      <c r="EGD564" s="500"/>
      <c r="EGE564" s="500"/>
      <c r="EGF564" s="500"/>
      <c r="EGG564" s="500"/>
      <c r="EGH564" s="500"/>
      <c r="EGI564" s="500"/>
      <c r="EGJ564" s="500"/>
      <c r="EGK564" s="500"/>
      <c r="EGL564" s="500"/>
      <c r="EGM564" s="500"/>
      <c r="EGN564" s="500"/>
      <c r="EGO564" s="500"/>
      <c r="EGP564" s="500"/>
      <c r="EGQ564" s="500"/>
      <c r="EGR564" s="500"/>
      <c r="EGS564" s="500"/>
      <c r="EGT564" s="500"/>
      <c r="EGU564" s="500"/>
      <c r="EGV564" s="500"/>
      <c r="EGW564" s="500"/>
      <c r="EGX564" s="500"/>
      <c r="EGY564" s="500"/>
      <c r="EGZ564" s="500"/>
      <c r="EHA564" s="500"/>
      <c r="EHB564" s="500"/>
      <c r="EHC564" s="500"/>
      <c r="EHD564" s="500"/>
      <c r="EHE564" s="500"/>
      <c r="EHF564" s="500"/>
      <c r="EHG564" s="500"/>
      <c r="EHH564" s="500"/>
      <c r="EHI564" s="500"/>
      <c r="EHJ564" s="500"/>
      <c r="EHK564" s="500"/>
      <c r="EHL564" s="500"/>
      <c r="EHM564" s="500"/>
      <c r="EHN564" s="500"/>
      <c r="EHO564" s="500"/>
      <c r="EHP564" s="500"/>
      <c r="EHQ564" s="500"/>
      <c r="EHR564" s="500"/>
      <c r="EHS564" s="500"/>
      <c r="EHT564" s="500"/>
      <c r="EHU564" s="500"/>
      <c r="EHV564" s="500"/>
      <c r="EHW564" s="500"/>
      <c r="EHX564" s="500"/>
      <c r="EHY564" s="500"/>
      <c r="EHZ564" s="500"/>
      <c r="EIA564" s="500"/>
      <c r="EIB564" s="500"/>
      <c r="EIC564" s="500"/>
      <c r="EID564" s="500"/>
      <c r="EIE564" s="500"/>
      <c r="EIF564" s="500"/>
      <c r="EIG564" s="500"/>
      <c r="EIH564" s="500"/>
      <c r="EII564" s="500"/>
      <c r="EIJ564" s="500"/>
      <c r="EIK564" s="500"/>
      <c r="EIL564" s="500"/>
      <c r="EIM564" s="500"/>
      <c r="EIN564" s="500"/>
      <c r="EIO564" s="500"/>
      <c r="EIP564" s="500"/>
      <c r="EIQ564" s="500"/>
      <c r="EIR564" s="500"/>
      <c r="EIS564" s="500"/>
      <c r="EIT564" s="500"/>
      <c r="EIU564" s="500"/>
      <c r="EIV564" s="500"/>
      <c r="EIW564" s="500"/>
      <c r="EIX564" s="500"/>
      <c r="EIY564" s="500"/>
      <c r="EIZ564" s="500"/>
      <c r="EJA564" s="500"/>
      <c r="EJB564" s="500"/>
      <c r="EJC564" s="500"/>
      <c r="EJD564" s="500"/>
      <c r="EJE564" s="500"/>
      <c r="EJF564" s="500"/>
      <c r="EJG564" s="500"/>
      <c r="EJH564" s="500"/>
      <c r="EJI564" s="500"/>
      <c r="EJJ564" s="500"/>
      <c r="EJK564" s="500"/>
      <c r="EJL564" s="500"/>
      <c r="EJM564" s="500"/>
      <c r="EJN564" s="500"/>
      <c r="EJO564" s="500"/>
      <c r="EJP564" s="500"/>
      <c r="EJQ564" s="500"/>
      <c r="EJR564" s="500"/>
      <c r="EJS564" s="500"/>
      <c r="EJT564" s="500"/>
      <c r="EJU564" s="500"/>
      <c r="EJV564" s="500"/>
      <c r="EJW564" s="500"/>
      <c r="EJX564" s="500"/>
      <c r="EJY564" s="500"/>
      <c r="EJZ564" s="500"/>
      <c r="EKA564" s="500"/>
      <c r="EKB564" s="500"/>
      <c r="EKC564" s="500"/>
      <c r="EKD564" s="500"/>
      <c r="EKE564" s="500"/>
      <c r="EKF564" s="500"/>
      <c r="EKG564" s="500"/>
      <c r="EKH564" s="500"/>
      <c r="EKI564" s="500"/>
      <c r="EKJ564" s="500"/>
      <c r="EKK564" s="500"/>
      <c r="EKL564" s="500"/>
      <c r="EKM564" s="500"/>
      <c r="EKN564" s="500"/>
      <c r="EKO564" s="500"/>
      <c r="EKP564" s="500"/>
      <c r="EKQ564" s="500"/>
      <c r="EKR564" s="500"/>
      <c r="EKS564" s="500"/>
      <c r="EKT564" s="500"/>
      <c r="EKU564" s="500"/>
      <c r="EKV564" s="500"/>
      <c r="EKW564" s="500"/>
      <c r="EKX564" s="500"/>
      <c r="EKY564" s="500"/>
      <c r="EKZ564" s="500"/>
      <c r="ELA564" s="500"/>
      <c r="ELB564" s="500"/>
      <c r="ELC564" s="500"/>
      <c r="ELD564" s="500"/>
      <c r="ELE564" s="500"/>
      <c r="ELF564" s="500"/>
      <c r="ELG564" s="500"/>
      <c r="ELH564" s="500"/>
      <c r="ELI564" s="500"/>
      <c r="ELJ564" s="500"/>
      <c r="ELK564" s="500"/>
      <c r="ELL564" s="500"/>
      <c r="ELM564" s="500"/>
      <c r="ELN564" s="500"/>
      <c r="ELO564" s="500"/>
      <c r="ELP564" s="500"/>
      <c r="ELQ564" s="500"/>
      <c r="ELR564" s="500"/>
      <c r="ELS564" s="500"/>
      <c r="ELT564" s="500"/>
      <c r="ELU564" s="500"/>
      <c r="ELV564" s="500"/>
      <c r="ELW564" s="500"/>
      <c r="ELX564" s="500"/>
      <c r="ELY564" s="500"/>
      <c r="ELZ564" s="500"/>
      <c r="EMA564" s="500"/>
      <c r="EMB564" s="500"/>
      <c r="EMC564" s="500"/>
      <c r="EMD564" s="500"/>
      <c r="EME564" s="500"/>
      <c r="EMF564" s="500"/>
      <c r="EMG564" s="500"/>
      <c r="EMH564" s="500"/>
      <c r="EMI564" s="500"/>
      <c r="EMJ564" s="500"/>
      <c r="EMK564" s="500"/>
      <c r="EML564" s="500"/>
      <c r="EMM564" s="500"/>
      <c r="EMN564" s="500"/>
      <c r="EMO564" s="500"/>
      <c r="EMP564" s="500"/>
      <c r="EMQ564" s="500"/>
      <c r="EMR564" s="500"/>
      <c r="EMS564" s="500"/>
      <c r="EMT564" s="500"/>
      <c r="EMU564" s="500"/>
      <c r="EMV564" s="500"/>
      <c r="EMW564" s="500"/>
      <c r="EMX564" s="500"/>
      <c r="EMY564" s="500"/>
      <c r="EMZ564" s="500"/>
      <c r="ENA564" s="500"/>
      <c r="ENB564" s="500"/>
      <c r="ENC564" s="500"/>
      <c r="END564" s="500"/>
      <c r="ENE564" s="500"/>
      <c r="ENF564" s="500"/>
      <c r="ENG564" s="500"/>
      <c r="ENH564" s="500"/>
      <c r="ENI564" s="500"/>
      <c r="ENJ564" s="500"/>
      <c r="ENK564" s="500"/>
      <c r="ENL564" s="500"/>
      <c r="ENM564" s="500"/>
      <c r="ENN564" s="500"/>
      <c r="ENO564" s="500"/>
      <c r="ENP564" s="500"/>
      <c r="ENQ564" s="500"/>
      <c r="ENR564" s="500"/>
      <c r="ENS564" s="500"/>
      <c r="ENT564" s="500"/>
      <c r="ENU564" s="500"/>
      <c r="ENV564" s="500"/>
      <c r="ENW564" s="500"/>
      <c r="ENX564" s="500"/>
      <c r="ENY564" s="500"/>
      <c r="ENZ564" s="500"/>
      <c r="EOA564" s="500"/>
      <c r="EOB564" s="500"/>
      <c r="EOC564" s="500"/>
      <c r="EOD564" s="500"/>
      <c r="EOE564" s="500"/>
      <c r="EOF564" s="500"/>
      <c r="EOG564" s="500"/>
      <c r="EOH564" s="500"/>
      <c r="EOI564" s="500"/>
      <c r="EOJ564" s="500"/>
      <c r="EOK564" s="500"/>
      <c r="EOL564" s="500"/>
      <c r="EOM564" s="500"/>
      <c r="EON564" s="500"/>
      <c r="EOO564" s="500"/>
      <c r="EOP564" s="500"/>
      <c r="EOQ564" s="500"/>
      <c r="EOR564" s="500"/>
      <c r="EOS564" s="500"/>
      <c r="EOT564" s="500"/>
      <c r="EOU564" s="500"/>
      <c r="EOV564" s="500"/>
      <c r="EOW564" s="500"/>
      <c r="EOX564" s="500"/>
      <c r="EOY564" s="500"/>
      <c r="EOZ564" s="500"/>
      <c r="EPA564" s="500"/>
      <c r="EPB564" s="500"/>
      <c r="EPC564" s="500"/>
      <c r="EPD564" s="500"/>
      <c r="EPE564" s="500"/>
      <c r="EPF564" s="500"/>
      <c r="EPG564" s="500"/>
      <c r="EPH564" s="500"/>
      <c r="EPI564" s="500"/>
      <c r="EPJ564" s="500"/>
      <c r="EPK564" s="500"/>
      <c r="EPL564" s="500"/>
      <c r="EPM564" s="500"/>
      <c r="EPN564" s="500"/>
      <c r="EPO564" s="500"/>
      <c r="EPP564" s="500"/>
      <c r="EPQ564" s="500"/>
      <c r="EPR564" s="500"/>
      <c r="EPS564" s="500"/>
      <c r="EPT564" s="500"/>
      <c r="EPU564" s="500"/>
      <c r="EPV564" s="500"/>
      <c r="EPW564" s="500"/>
      <c r="EPX564" s="500"/>
      <c r="EPY564" s="500"/>
      <c r="EPZ564" s="500"/>
      <c r="EQA564" s="500"/>
      <c r="EQB564" s="500"/>
      <c r="EQC564" s="500"/>
      <c r="EQD564" s="500"/>
      <c r="EQE564" s="500"/>
      <c r="EQF564" s="500"/>
      <c r="EQG564" s="500"/>
      <c r="EQH564" s="500"/>
      <c r="EQI564" s="500"/>
      <c r="EQJ564" s="500"/>
      <c r="EQK564" s="500"/>
      <c r="EQL564" s="500"/>
      <c r="EQM564" s="500"/>
      <c r="EQN564" s="500"/>
      <c r="EQO564" s="500"/>
      <c r="EQP564" s="500"/>
      <c r="EQQ564" s="500"/>
      <c r="EQR564" s="500"/>
      <c r="EQS564" s="500"/>
      <c r="EQT564" s="500"/>
      <c r="EQU564" s="500"/>
      <c r="EQV564" s="500"/>
      <c r="EQW564" s="500"/>
      <c r="EQX564" s="500"/>
      <c r="EQY564" s="500"/>
      <c r="EQZ564" s="500"/>
      <c r="ERA564" s="500"/>
      <c r="ERB564" s="500"/>
      <c r="ERC564" s="500"/>
      <c r="ERD564" s="500"/>
      <c r="ERE564" s="500"/>
      <c r="ERF564" s="500"/>
      <c r="ERG564" s="500"/>
      <c r="ERH564" s="500"/>
      <c r="ERI564" s="500"/>
      <c r="ERJ564" s="500"/>
      <c r="ERK564" s="500"/>
      <c r="ERL564" s="500"/>
      <c r="ERM564" s="500"/>
      <c r="ERN564" s="500"/>
      <c r="ERO564" s="500"/>
      <c r="ERP564" s="500"/>
      <c r="ERQ564" s="500"/>
      <c r="ERR564" s="500"/>
      <c r="ERS564" s="500"/>
      <c r="ERT564" s="500"/>
      <c r="ERU564" s="500"/>
      <c r="ERV564" s="500"/>
      <c r="ERW564" s="500"/>
      <c r="ERX564" s="500"/>
      <c r="ERY564" s="500"/>
      <c r="ERZ564" s="500"/>
      <c r="ESA564" s="500"/>
      <c r="ESB564" s="500"/>
      <c r="ESC564" s="500"/>
      <c r="ESD564" s="500"/>
      <c r="ESE564" s="500"/>
      <c r="ESF564" s="500"/>
      <c r="ESG564" s="500"/>
      <c r="ESH564" s="500"/>
      <c r="ESI564" s="500"/>
      <c r="ESJ564" s="500"/>
      <c r="ESK564" s="500"/>
      <c r="ESL564" s="500"/>
      <c r="ESM564" s="500"/>
      <c r="ESN564" s="500"/>
      <c r="ESO564" s="500"/>
      <c r="ESP564" s="500"/>
      <c r="ESQ564" s="500"/>
      <c r="ESR564" s="500"/>
      <c r="ESS564" s="500"/>
      <c r="EST564" s="500"/>
      <c r="ESU564" s="500"/>
      <c r="ESV564" s="500"/>
      <c r="ESW564" s="500"/>
      <c r="ESX564" s="500"/>
      <c r="ESY564" s="500"/>
      <c r="ESZ564" s="500"/>
      <c r="ETA564" s="500"/>
      <c r="ETB564" s="500"/>
      <c r="ETC564" s="500"/>
      <c r="ETD564" s="500"/>
      <c r="ETE564" s="500"/>
      <c r="ETF564" s="500"/>
      <c r="ETG564" s="500"/>
      <c r="ETH564" s="500"/>
      <c r="ETI564" s="500"/>
      <c r="ETJ564" s="500"/>
      <c r="ETK564" s="500"/>
      <c r="ETL564" s="500"/>
      <c r="ETM564" s="500"/>
      <c r="ETN564" s="500"/>
      <c r="ETO564" s="500"/>
      <c r="ETP564" s="500"/>
      <c r="ETQ564" s="500"/>
      <c r="ETR564" s="500"/>
      <c r="ETS564" s="500"/>
      <c r="ETT564" s="500"/>
      <c r="ETU564" s="500"/>
      <c r="ETV564" s="500"/>
      <c r="ETW564" s="500"/>
      <c r="ETX564" s="500"/>
      <c r="ETY564" s="500"/>
      <c r="ETZ564" s="500"/>
      <c r="EUA564" s="500"/>
      <c r="EUB564" s="500"/>
      <c r="EUC564" s="500"/>
      <c r="EUD564" s="500"/>
      <c r="EUE564" s="500"/>
      <c r="EUF564" s="500"/>
      <c r="EUG564" s="500"/>
      <c r="EUH564" s="500"/>
      <c r="EUI564" s="500"/>
      <c r="EUJ564" s="500"/>
      <c r="EUK564" s="500"/>
      <c r="EUL564" s="500"/>
      <c r="EUM564" s="500"/>
      <c r="EUN564" s="500"/>
      <c r="EUO564" s="500"/>
      <c r="EUP564" s="500"/>
      <c r="EUQ564" s="500"/>
      <c r="EUR564" s="500"/>
      <c r="EUS564" s="500"/>
      <c r="EUT564" s="500"/>
      <c r="EUU564" s="500"/>
      <c r="EUV564" s="500"/>
      <c r="EUW564" s="500"/>
      <c r="EUX564" s="500"/>
      <c r="EUY564" s="500"/>
      <c r="EUZ564" s="500"/>
      <c r="EVA564" s="500"/>
      <c r="EVB564" s="500"/>
      <c r="EVC564" s="500"/>
      <c r="EVD564" s="500"/>
      <c r="EVE564" s="500"/>
      <c r="EVF564" s="500"/>
      <c r="EVG564" s="500"/>
      <c r="EVH564" s="500"/>
      <c r="EVI564" s="500"/>
      <c r="EVJ564" s="500"/>
      <c r="EVK564" s="500"/>
      <c r="EVL564" s="500"/>
      <c r="EVM564" s="500"/>
      <c r="EVN564" s="500"/>
      <c r="EVO564" s="500"/>
      <c r="EVP564" s="500"/>
      <c r="EVQ564" s="500"/>
      <c r="EVR564" s="500"/>
      <c r="EVS564" s="500"/>
      <c r="EVT564" s="500"/>
      <c r="EVU564" s="500"/>
      <c r="EVV564" s="500"/>
      <c r="EVW564" s="500"/>
      <c r="EVX564" s="500"/>
      <c r="EVY564" s="500"/>
      <c r="EVZ564" s="500"/>
      <c r="EWA564" s="500"/>
      <c r="EWB564" s="500"/>
      <c r="EWC564" s="500"/>
      <c r="EWD564" s="500"/>
      <c r="EWE564" s="500"/>
      <c r="EWF564" s="500"/>
      <c r="EWG564" s="500"/>
      <c r="EWH564" s="500"/>
      <c r="EWI564" s="500"/>
      <c r="EWJ564" s="500"/>
      <c r="EWK564" s="500"/>
      <c r="EWL564" s="500"/>
      <c r="EWM564" s="500"/>
      <c r="EWN564" s="500"/>
      <c r="EWO564" s="500"/>
      <c r="EWP564" s="500"/>
      <c r="EWQ564" s="500"/>
      <c r="EWR564" s="500"/>
      <c r="EWS564" s="500"/>
      <c r="EWT564" s="500"/>
      <c r="EWU564" s="500"/>
      <c r="EWV564" s="500"/>
      <c r="EWW564" s="500"/>
      <c r="EWX564" s="500"/>
      <c r="EWY564" s="500"/>
      <c r="EWZ564" s="500"/>
      <c r="EXA564" s="500"/>
      <c r="EXB564" s="500"/>
      <c r="EXC564" s="500"/>
      <c r="EXD564" s="500"/>
      <c r="EXE564" s="500"/>
      <c r="EXF564" s="500"/>
      <c r="EXG564" s="500"/>
      <c r="EXH564" s="500"/>
      <c r="EXI564" s="500"/>
      <c r="EXJ564" s="500"/>
      <c r="EXK564" s="500"/>
      <c r="EXL564" s="500"/>
      <c r="EXM564" s="500"/>
      <c r="EXN564" s="500"/>
      <c r="EXO564" s="500"/>
      <c r="EXP564" s="500"/>
      <c r="EXQ564" s="500"/>
      <c r="EXR564" s="500"/>
      <c r="EXS564" s="500"/>
      <c r="EXT564" s="500"/>
      <c r="EXU564" s="500"/>
      <c r="EXV564" s="500"/>
      <c r="EXW564" s="500"/>
      <c r="EXX564" s="500"/>
      <c r="EXY564" s="500"/>
      <c r="EXZ564" s="500"/>
      <c r="EYA564" s="500"/>
      <c r="EYB564" s="500"/>
      <c r="EYC564" s="500"/>
      <c r="EYD564" s="500"/>
      <c r="EYE564" s="500"/>
      <c r="EYF564" s="500"/>
      <c r="EYG564" s="500"/>
      <c r="EYH564" s="500"/>
      <c r="EYI564" s="500"/>
      <c r="EYJ564" s="500"/>
      <c r="EYK564" s="500"/>
      <c r="EYL564" s="500"/>
      <c r="EYM564" s="500"/>
      <c r="EYN564" s="500"/>
      <c r="EYO564" s="500"/>
      <c r="EYP564" s="500"/>
      <c r="EYQ564" s="500"/>
      <c r="EYR564" s="500"/>
      <c r="EYS564" s="500"/>
      <c r="EYT564" s="500"/>
      <c r="EYU564" s="500"/>
      <c r="EYV564" s="500"/>
      <c r="EYW564" s="500"/>
      <c r="EYX564" s="500"/>
      <c r="EYY564" s="500"/>
      <c r="EYZ564" s="500"/>
      <c r="EZA564" s="500"/>
      <c r="EZB564" s="500"/>
      <c r="EZC564" s="500"/>
      <c r="EZD564" s="500"/>
      <c r="EZE564" s="500"/>
      <c r="EZF564" s="500"/>
      <c r="EZG564" s="500"/>
      <c r="EZH564" s="500"/>
      <c r="EZI564" s="500"/>
      <c r="EZJ564" s="500"/>
      <c r="EZK564" s="500"/>
      <c r="EZL564" s="500"/>
      <c r="EZM564" s="500"/>
      <c r="EZN564" s="500"/>
      <c r="EZO564" s="500"/>
      <c r="EZP564" s="500"/>
      <c r="EZQ564" s="500"/>
      <c r="EZR564" s="500"/>
      <c r="EZS564" s="500"/>
      <c r="EZT564" s="500"/>
      <c r="EZU564" s="500"/>
      <c r="EZV564" s="500"/>
      <c r="EZW564" s="500"/>
      <c r="EZX564" s="500"/>
      <c r="EZY564" s="500"/>
      <c r="EZZ564" s="500"/>
      <c r="FAA564" s="500"/>
      <c r="FAB564" s="500"/>
      <c r="FAC564" s="500"/>
      <c r="FAD564" s="500"/>
      <c r="FAE564" s="500"/>
      <c r="FAF564" s="500"/>
      <c r="FAG564" s="500"/>
      <c r="FAH564" s="500"/>
      <c r="FAI564" s="500"/>
      <c r="FAJ564" s="500"/>
      <c r="FAK564" s="500"/>
      <c r="FAL564" s="500"/>
      <c r="FAM564" s="500"/>
      <c r="FAN564" s="500"/>
      <c r="FAO564" s="500"/>
      <c r="FAP564" s="500"/>
      <c r="FAQ564" s="500"/>
      <c r="FAR564" s="500"/>
      <c r="FAS564" s="500"/>
      <c r="FAT564" s="500"/>
      <c r="FAU564" s="500"/>
      <c r="FAV564" s="500"/>
      <c r="FAW564" s="500"/>
      <c r="FAX564" s="500"/>
      <c r="FAY564" s="500"/>
      <c r="FAZ564" s="500"/>
      <c r="FBA564" s="500"/>
      <c r="FBB564" s="500"/>
      <c r="FBC564" s="500"/>
      <c r="FBD564" s="500"/>
      <c r="FBE564" s="500"/>
      <c r="FBF564" s="500"/>
      <c r="FBG564" s="500"/>
      <c r="FBH564" s="500"/>
      <c r="FBI564" s="500"/>
      <c r="FBJ564" s="500"/>
      <c r="FBK564" s="500"/>
      <c r="FBL564" s="500"/>
      <c r="FBM564" s="500"/>
      <c r="FBN564" s="500"/>
      <c r="FBO564" s="500"/>
      <c r="FBP564" s="500"/>
      <c r="FBQ564" s="500"/>
      <c r="FBR564" s="500"/>
      <c r="FBS564" s="500"/>
      <c r="FBT564" s="500"/>
      <c r="FBU564" s="500"/>
      <c r="FBV564" s="500"/>
      <c r="FBW564" s="500"/>
      <c r="FBX564" s="500"/>
      <c r="FBY564" s="500"/>
      <c r="FBZ564" s="500"/>
      <c r="FCA564" s="500"/>
      <c r="FCB564" s="500"/>
      <c r="FCC564" s="500"/>
      <c r="FCD564" s="500"/>
      <c r="FCE564" s="500"/>
      <c r="FCF564" s="500"/>
      <c r="FCG564" s="500"/>
      <c r="FCH564" s="500"/>
      <c r="FCI564" s="500"/>
      <c r="FCJ564" s="500"/>
      <c r="FCK564" s="500"/>
      <c r="FCL564" s="500"/>
      <c r="FCM564" s="500"/>
      <c r="FCN564" s="500"/>
      <c r="FCO564" s="500"/>
      <c r="FCP564" s="500"/>
      <c r="FCQ564" s="500"/>
      <c r="FCR564" s="500"/>
      <c r="FCS564" s="500"/>
      <c r="FCT564" s="500"/>
      <c r="FCU564" s="500"/>
      <c r="FCV564" s="500"/>
      <c r="FCW564" s="500"/>
      <c r="FCX564" s="500"/>
      <c r="FCY564" s="500"/>
      <c r="FCZ564" s="500"/>
      <c r="FDA564" s="500"/>
      <c r="FDB564" s="500"/>
      <c r="FDC564" s="500"/>
      <c r="FDD564" s="500"/>
      <c r="FDE564" s="500"/>
      <c r="FDF564" s="500"/>
      <c r="FDG564" s="500"/>
      <c r="FDH564" s="500"/>
      <c r="FDI564" s="500"/>
      <c r="FDJ564" s="500"/>
      <c r="FDK564" s="500"/>
      <c r="FDL564" s="500"/>
      <c r="FDM564" s="500"/>
      <c r="FDN564" s="500"/>
      <c r="FDO564" s="500"/>
      <c r="FDP564" s="500"/>
      <c r="FDQ564" s="500"/>
      <c r="FDR564" s="500"/>
      <c r="FDS564" s="500"/>
      <c r="FDT564" s="500"/>
      <c r="FDU564" s="500"/>
      <c r="FDV564" s="500"/>
      <c r="FDW564" s="500"/>
      <c r="FDX564" s="500"/>
      <c r="FDY564" s="500"/>
      <c r="FDZ564" s="500"/>
      <c r="FEA564" s="500"/>
      <c r="FEB564" s="500"/>
      <c r="FEC564" s="500"/>
      <c r="FED564" s="500"/>
      <c r="FEE564" s="500"/>
      <c r="FEF564" s="500"/>
      <c r="FEG564" s="500"/>
      <c r="FEH564" s="500"/>
      <c r="FEI564" s="500"/>
      <c r="FEJ564" s="500"/>
      <c r="FEK564" s="500"/>
      <c r="FEL564" s="500"/>
      <c r="FEM564" s="500"/>
      <c r="FEN564" s="500"/>
      <c r="FEO564" s="500"/>
      <c r="FEP564" s="500"/>
      <c r="FEQ564" s="500"/>
      <c r="FER564" s="500"/>
      <c r="FES564" s="500"/>
      <c r="FET564" s="500"/>
      <c r="FEU564" s="500"/>
      <c r="FEV564" s="500"/>
      <c r="FEW564" s="500"/>
      <c r="FEX564" s="500"/>
      <c r="FEY564" s="500"/>
      <c r="FEZ564" s="500"/>
      <c r="FFA564" s="500"/>
      <c r="FFB564" s="500"/>
      <c r="FFC564" s="500"/>
      <c r="FFD564" s="500"/>
      <c r="FFE564" s="500"/>
      <c r="FFF564" s="500"/>
      <c r="FFG564" s="500"/>
      <c r="FFH564" s="500"/>
      <c r="FFI564" s="500"/>
      <c r="FFJ564" s="500"/>
      <c r="FFK564" s="500"/>
      <c r="FFL564" s="500"/>
      <c r="FFM564" s="500"/>
      <c r="FFN564" s="500"/>
      <c r="FFO564" s="500"/>
      <c r="FFP564" s="500"/>
      <c r="FFQ564" s="500"/>
      <c r="FFR564" s="500"/>
      <c r="FFS564" s="500"/>
      <c r="FFT564" s="500"/>
      <c r="FFU564" s="500"/>
      <c r="FFV564" s="500"/>
      <c r="FFW564" s="500"/>
      <c r="FFX564" s="500"/>
      <c r="FFY564" s="500"/>
      <c r="FFZ564" s="500"/>
      <c r="FGA564" s="500"/>
      <c r="FGB564" s="500"/>
      <c r="FGC564" s="500"/>
      <c r="FGD564" s="500"/>
      <c r="FGE564" s="500"/>
      <c r="FGF564" s="500"/>
      <c r="FGG564" s="500"/>
      <c r="FGH564" s="500"/>
      <c r="FGI564" s="500"/>
      <c r="FGJ564" s="500"/>
      <c r="FGK564" s="500"/>
      <c r="FGL564" s="500"/>
      <c r="FGM564" s="500"/>
      <c r="FGN564" s="500"/>
      <c r="FGO564" s="500"/>
      <c r="FGP564" s="500"/>
      <c r="FGQ564" s="500"/>
      <c r="FGR564" s="500"/>
      <c r="FGS564" s="500"/>
      <c r="FGT564" s="500"/>
      <c r="FGU564" s="500"/>
      <c r="FGV564" s="500"/>
      <c r="FGW564" s="500"/>
      <c r="FGX564" s="500"/>
      <c r="FGY564" s="500"/>
      <c r="FGZ564" s="500"/>
      <c r="FHA564" s="500"/>
      <c r="FHB564" s="500"/>
      <c r="FHC564" s="500"/>
      <c r="FHD564" s="500"/>
      <c r="FHE564" s="500"/>
      <c r="FHF564" s="500"/>
      <c r="FHG564" s="500"/>
      <c r="FHH564" s="500"/>
      <c r="FHI564" s="500"/>
      <c r="FHJ564" s="500"/>
      <c r="FHK564" s="500"/>
      <c r="FHL564" s="500"/>
      <c r="FHM564" s="500"/>
      <c r="FHN564" s="500"/>
      <c r="FHO564" s="500"/>
      <c r="FHP564" s="500"/>
      <c r="FHQ564" s="500"/>
      <c r="FHR564" s="500"/>
      <c r="FHS564" s="500"/>
      <c r="FHT564" s="500"/>
      <c r="FHU564" s="500"/>
      <c r="FHV564" s="500"/>
      <c r="FHW564" s="500"/>
      <c r="FHX564" s="500"/>
      <c r="FHY564" s="500"/>
      <c r="FHZ564" s="500"/>
      <c r="FIA564" s="500"/>
      <c r="FIB564" s="500"/>
      <c r="FIC564" s="500"/>
      <c r="FID564" s="500"/>
      <c r="FIE564" s="500"/>
      <c r="FIF564" s="500"/>
      <c r="FIG564" s="500"/>
      <c r="FIH564" s="500"/>
      <c r="FII564" s="500"/>
      <c r="FIJ564" s="500"/>
      <c r="FIK564" s="500"/>
      <c r="FIL564" s="500"/>
      <c r="FIM564" s="500"/>
      <c r="FIN564" s="500"/>
      <c r="FIO564" s="500"/>
      <c r="FIP564" s="500"/>
      <c r="FIQ564" s="500"/>
      <c r="FIR564" s="500"/>
      <c r="FIS564" s="500"/>
      <c r="FIT564" s="500"/>
      <c r="FIU564" s="500"/>
      <c r="FIV564" s="500"/>
      <c r="FIW564" s="500"/>
      <c r="FIX564" s="500"/>
      <c r="FIY564" s="500"/>
      <c r="FIZ564" s="500"/>
      <c r="FJA564" s="500"/>
      <c r="FJB564" s="500"/>
      <c r="FJC564" s="500"/>
      <c r="FJD564" s="500"/>
      <c r="FJE564" s="500"/>
      <c r="FJF564" s="500"/>
      <c r="FJG564" s="500"/>
      <c r="FJH564" s="500"/>
      <c r="FJI564" s="500"/>
      <c r="FJJ564" s="500"/>
      <c r="FJK564" s="500"/>
      <c r="FJL564" s="500"/>
      <c r="FJM564" s="500"/>
      <c r="FJN564" s="500"/>
      <c r="FJO564" s="500"/>
      <c r="FJP564" s="500"/>
      <c r="FJQ564" s="500"/>
      <c r="FJR564" s="500"/>
      <c r="FJS564" s="500"/>
      <c r="FJT564" s="500"/>
      <c r="FJU564" s="500"/>
      <c r="FJV564" s="500"/>
      <c r="FJW564" s="500"/>
      <c r="FJX564" s="500"/>
      <c r="FJY564" s="500"/>
      <c r="FJZ564" s="500"/>
      <c r="FKA564" s="500"/>
      <c r="FKB564" s="500"/>
      <c r="FKC564" s="500"/>
      <c r="FKD564" s="500"/>
      <c r="FKE564" s="500"/>
      <c r="FKF564" s="500"/>
      <c r="FKG564" s="500"/>
      <c r="FKH564" s="500"/>
      <c r="FKI564" s="500"/>
      <c r="FKJ564" s="500"/>
      <c r="FKK564" s="500"/>
      <c r="FKL564" s="500"/>
      <c r="FKM564" s="500"/>
      <c r="FKN564" s="500"/>
      <c r="FKO564" s="500"/>
      <c r="FKP564" s="500"/>
      <c r="FKQ564" s="500"/>
      <c r="FKR564" s="500"/>
      <c r="FKS564" s="500"/>
      <c r="FKT564" s="500"/>
      <c r="FKU564" s="500"/>
      <c r="FKV564" s="500"/>
      <c r="FKW564" s="500"/>
      <c r="FKX564" s="500"/>
      <c r="FKY564" s="500"/>
      <c r="FKZ564" s="500"/>
      <c r="FLA564" s="500"/>
      <c r="FLB564" s="500"/>
      <c r="FLC564" s="500"/>
      <c r="FLD564" s="500"/>
      <c r="FLE564" s="500"/>
      <c r="FLF564" s="500"/>
      <c r="FLG564" s="500"/>
      <c r="FLH564" s="500"/>
      <c r="FLI564" s="500"/>
      <c r="FLJ564" s="500"/>
      <c r="FLK564" s="500"/>
      <c r="FLL564" s="500"/>
      <c r="FLM564" s="500"/>
      <c r="FLN564" s="500"/>
      <c r="FLO564" s="500"/>
      <c r="FLP564" s="500"/>
      <c r="FLQ564" s="500"/>
      <c r="FLR564" s="500"/>
      <c r="FLS564" s="500"/>
      <c r="FLT564" s="500"/>
      <c r="FLU564" s="500"/>
      <c r="FLV564" s="500"/>
      <c r="FLW564" s="500"/>
      <c r="FLX564" s="500"/>
      <c r="FLY564" s="500"/>
      <c r="FLZ564" s="500"/>
      <c r="FMA564" s="500"/>
      <c r="FMB564" s="500"/>
      <c r="FMC564" s="500"/>
      <c r="FMD564" s="500"/>
      <c r="FME564" s="500"/>
      <c r="FMF564" s="500"/>
      <c r="FMG564" s="500"/>
      <c r="FMH564" s="500"/>
      <c r="FMI564" s="500"/>
      <c r="FMJ564" s="500"/>
      <c r="FMK564" s="500"/>
      <c r="FML564" s="500"/>
      <c r="FMM564" s="500"/>
      <c r="FMN564" s="500"/>
      <c r="FMO564" s="500"/>
      <c r="FMP564" s="500"/>
      <c r="FMQ564" s="500"/>
      <c r="FMR564" s="500"/>
      <c r="FMS564" s="500"/>
      <c r="FMT564" s="500"/>
      <c r="FMU564" s="500"/>
      <c r="FMV564" s="500"/>
      <c r="FMW564" s="500"/>
      <c r="FMX564" s="500"/>
      <c r="FMY564" s="500"/>
      <c r="FMZ564" s="500"/>
      <c r="FNA564" s="500"/>
      <c r="FNB564" s="500"/>
      <c r="FNC564" s="500"/>
      <c r="FND564" s="500"/>
      <c r="FNE564" s="500"/>
      <c r="FNF564" s="500"/>
      <c r="FNG564" s="500"/>
      <c r="FNH564" s="500"/>
      <c r="FNI564" s="500"/>
      <c r="FNJ564" s="500"/>
      <c r="FNK564" s="500"/>
      <c r="FNL564" s="500"/>
      <c r="FNM564" s="500"/>
      <c r="FNN564" s="500"/>
      <c r="FNO564" s="500"/>
      <c r="FNP564" s="500"/>
      <c r="FNQ564" s="500"/>
      <c r="FNR564" s="500"/>
      <c r="FNS564" s="500"/>
      <c r="FNT564" s="500"/>
      <c r="FNU564" s="500"/>
      <c r="FNV564" s="500"/>
      <c r="FNW564" s="500"/>
      <c r="FNX564" s="500"/>
      <c r="FNY564" s="500"/>
      <c r="FNZ564" s="500"/>
      <c r="FOA564" s="500"/>
      <c r="FOB564" s="500"/>
      <c r="FOC564" s="500"/>
      <c r="FOD564" s="500"/>
      <c r="FOE564" s="500"/>
      <c r="FOF564" s="500"/>
      <c r="FOG564" s="500"/>
      <c r="FOH564" s="500"/>
      <c r="FOI564" s="500"/>
      <c r="FOJ564" s="500"/>
      <c r="FOK564" s="500"/>
      <c r="FOL564" s="500"/>
      <c r="FOM564" s="500"/>
      <c r="FON564" s="500"/>
      <c r="FOO564" s="500"/>
      <c r="FOP564" s="500"/>
      <c r="FOQ564" s="500"/>
      <c r="FOR564" s="500"/>
      <c r="FOS564" s="500"/>
      <c r="FOT564" s="500"/>
      <c r="FOU564" s="500"/>
      <c r="FOV564" s="500"/>
      <c r="FOW564" s="500"/>
      <c r="FOX564" s="500"/>
      <c r="FOY564" s="500"/>
      <c r="FOZ564" s="500"/>
      <c r="FPA564" s="500"/>
      <c r="FPB564" s="500"/>
      <c r="FPC564" s="500"/>
      <c r="FPD564" s="500"/>
      <c r="FPE564" s="500"/>
      <c r="FPF564" s="500"/>
      <c r="FPG564" s="500"/>
      <c r="FPH564" s="500"/>
      <c r="FPI564" s="500"/>
      <c r="FPJ564" s="500"/>
      <c r="FPK564" s="500"/>
      <c r="FPL564" s="500"/>
      <c r="FPM564" s="500"/>
      <c r="FPN564" s="500"/>
      <c r="FPO564" s="500"/>
      <c r="FPP564" s="500"/>
      <c r="FPQ564" s="500"/>
      <c r="FPR564" s="500"/>
      <c r="FPS564" s="500"/>
      <c r="FPT564" s="500"/>
      <c r="FPU564" s="500"/>
      <c r="FPV564" s="500"/>
      <c r="FPW564" s="500"/>
      <c r="FPX564" s="500"/>
      <c r="FPY564" s="500"/>
      <c r="FPZ564" s="500"/>
      <c r="FQA564" s="500"/>
      <c r="FQB564" s="500"/>
      <c r="FQC564" s="500"/>
      <c r="FQD564" s="500"/>
      <c r="FQE564" s="500"/>
      <c r="FQF564" s="500"/>
      <c r="FQG564" s="500"/>
      <c r="FQH564" s="500"/>
      <c r="FQI564" s="500"/>
      <c r="FQJ564" s="500"/>
      <c r="FQK564" s="500"/>
      <c r="FQL564" s="500"/>
      <c r="FQM564" s="500"/>
      <c r="FQN564" s="500"/>
      <c r="FQO564" s="500"/>
      <c r="FQP564" s="500"/>
      <c r="FQQ564" s="500"/>
      <c r="FQR564" s="500"/>
      <c r="FQS564" s="500"/>
      <c r="FQT564" s="500"/>
      <c r="FQU564" s="500"/>
      <c r="FQV564" s="500"/>
      <c r="FQW564" s="500"/>
      <c r="FQX564" s="500"/>
      <c r="FQY564" s="500"/>
      <c r="FQZ564" s="500"/>
      <c r="FRA564" s="500"/>
      <c r="FRB564" s="500"/>
      <c r="FRC564" s="500"/>
      <c r="FRD564" s="500"/>
      <c r="FRE564" s="500"/>
      <c r="FRF564" s="500"/>
      <c r="FRG564" s="500"/>
      <c r="FRH564" s="500"/>
      <c r="FRI564" s="500"/>
      <c r="FRJ564" s="500"/>
      <c r="FRK564" s="500"/>
      <c r="FRL564" s="500"/>
      <c r="FRM564" s="500"/>
      <c r="FRN564" s="500"/>
      <c r="FRO564" s="500"/>
      <c r="FRP564" s="500"/>
      <c r="FRQ564" s="500"/>
      <c r="FRR564" s="500"/>
      <c r="FRS564" s="500"/>
      <c r="FRT564" s="500"/>
      <c r="FRU564" s="500"/>
      <c r="FRV564" s="500"/>
      <c r="FRW564" s="500"/>
      <c r="FRX564" s="500"/>
      <c r="FRY564" s="500"/>
      <c r="FRZ564" s="500"/>
      <c r="FSA564" s="500"/>
      <c r="FSB564" s="500"/>
      <c r="FSC564" s="500"/>
      <c r="FSD564" s="500"/>
      <c r="FSE564" s="500"/>
      <c r="FSF564" s="500"/>
      <c r="FSG564" s="500"/>
      <c r="FSH564" s="500"/>
      <c r="FSI564" s="500"/>
      <c r="FSJ564" s="500"/>
      <c r="FSK564" s="500"/>
      <c r="FSL564" s="500"/>
      <c r="FSM564" s="500"/>
      <c r="FSN564" s="500"/>
      <c r="FSO564" s="500"/>
      <c r="FSP564" s="500"/>
      <c r="FSQ564" s="500"/>
      <c r="FSR564" s="500"/>
      <c r="FSS564" s="500"/>
      <c r="FST564" s="500"/>
      <c r="FSU564" s="500"/>
      <c r="FSV564" s="500"/>
      <c r="FSW564" s="500"/>
      <c r="FSX564" s="500"/>
      <c r="FSY564" s="500"/>
      <c r="FSZ564" s="500"/>
      <c r="FTA564" s="500"/>
      <c r="FTB564" s="500"/>
      <c r="FTC564" s="500"/>
      <c r="FTD564" s="500"/>
      <c r="FTE564" s="500"/>
      <c r="FTF564" s="500"/>
      <c r="FTG564" s="500"/>
      <c r="FTH564" s="500"/>
      <c r="FTI564" s="500"/>
      <c r="FTJ564" s="500"/>
      <c r="FTK564" s="500"/>
      <c r="FTL564" s="500"/>
      <c r="FTM564" s="500"/>
      <c r="FTN564" s="500"/>
      <c r="FTO564" s="500"/>
      <c r="FTP564" s="500"/>
      <c r="FTQ564" s="500"/>
      <c r="FTR564" s="500"/>
      <c r="FTS564" s="500"/>
      <c r="FTT564" s="500"/>
      <c r="FTU564" s="500"/>
      <c r="FTV564" s="500"/>
      <c r="FTW564" s="500"/>
      <c r="FTX564" s="500"/>
      <c r="FTY564" s="500"/>
      <c r="FTZ564" s="500"/>
      <c r="FUA564" s="500"/>
      <c r="FUB564" s="500"/>
      <c r="FUC564" s="500"/>
      <c r="FUD564" s="500"/>
      <c r="FUE564" s="500"/>
      <c r="FUF564" s="500"/>
      <c r="FUG564" s="500"/>
      <c r="FUH564" s="500"/>
      <c r="FUI564" s="500"/>
      <c r="FUJ564" s="500"/>
      <c r="FUK564" s="500"/>
      <c r="FUL564" s="500"/>
      <c r="FUM564" s="500"/>
      <c r="FUN564" s="500"/>
      <c r="FUO564" s="500"/>
      <c r="FUP564" s="500"/>
      <c r="FUQ564" s="500"/>
      <c r="FUR564" s="500"/>
      <c r="FUS564" s="500"/>
      <c r="FUT564" s="500"/>
      <c r="FUU564" s="500"/>
      <c r="FUV564" s="500"/>
      <c r="FUW564" s="500"/>
      <c r="FUX564" s="500"/>
      <c r="FUY564" s="500"/>
      <c r="FUZ564" s="500"/>
      <c r="FVA564" s="500"/>
      <c r="FVB564" s="500"/>
      <c r="FVC564" s="500"/>
      <c r="FVD564" s="500"/>
      <c r="FVE564" s="500"/>
      <c r="FVF564" s="500"/>
      <c r="FVG564" s="500"/>
      <c r="FVH564" s="500"/>
      <c r="FVI564" s="500"/>
      <c r="FVJ564" s="500"/>
      <c r="FVK564" s="500"/>
      <c r="FVL564" s="500"/>
      <c r="FVM564" s="500"/>
      <c r="FVN564" s="500"/>
      <c r="FVO564" s="500"/>
      <c r="FVP564" s="500"/>
      <c r="FVQ564" s="500"/>
      <c r="FVR564" s="500"/>
      <c r="FVS564" s="500"/>
      <c r="FVT564" s="500"/>
      <c r="FVU564" s="500"/>
      <c r="FVV564" s="500"/>
      <c r="FVW564" s="500"/>
      <c r="FVX564" s="500"/>
      <c r="FVY564" s="500"/>
      <c r="FVZ564" s="500"/>
      <c r="FWA564" s="500"/>
      <c r="FWB564" s="500"/>
      <c r="FWC564" s="500"/>
      <c r="FWD564" s="500"/>
      <c r="FWE564" s="500"/>
      <c r="FWF564" s="500"/>
      <c r="FWG564" s="500"/>
      <c r="FWH564" s="500"/>
      <c r="FWI564" s="500"/>
      <c r="FWJ564" s="500"/>
      <c r="FWK564" s="500"/>
      <c r="FWL564" s="500"/>
      <c r="FWM564" s="500"/>
      <c r="FWN564" s="500"/>
      <c r="FWO564" s="500"/>
      <c r="FWP564" s="500"/>
      <c r="FWQ564" s="500"/>
      <c r="FWR564" s="500"/>
      <c r="FWS564" s="500"/>
      <c r="FWT564" s="500"/>
      <c r="FWU564" s="500"/>
      <c r="FWV564" s="500"/>
      <c r="FWW564" s="500"/>
      <c r="FWX564" s="500"/>
      <c r="FWY564" s="500"/>
      <c r="FWZ564" s="500"/>
      <c r="FXA564" s="500"/>
      <c r="FXB564" s="500"/>
      <c r="FXC564" s="500"/>
      <c r="FXD564" s="500"/>
      <c r="FXE564" s="500"/>
      <c r="FXF564" s="500"/>
      <c r="FXG564" s="500"/>
      <c r="FXH564" s="500"/>
      <c r="FXI564" s="500"/>
      <c r="FXJ564" s="500"/>
      <c r="FXK564" s="500"/>
      <c r="FXL564" s="500"/>
      <c r="FXM564" s="500"/>
      <c r="FXN564" s="500"/>
      <c r="FXO564" s="500"/>
      <c r="FXP564" s="500"/>
      <c r="FXQ564" s="500"/>
      <c r="FXR564" s="500"/>
      <c r="FXS564" s="500"/>
      <c r="FXT564" s="500"/>
      <c r="FXU564" s="500"/>
      <c r="FXV564" s="500"/>
      <c r="FXW564" s="500"/>
      <c r="FXX564" s="500"/>
      <c r="FXY564" s="500"/>
      <c r="FXZ564" s="500"/>
      <c r="FYA564" s="500"/>
      <c r="FYB564" s="500"/>
      <c r="FYC564" s="500"/>
      <c r="FYD564" s="500"/>
      <c r="FYE564" s="500"/>
      <c r="FYF564" s="500"/>
      <c r="FYG564" s="500"/>
      <c r="FYH564" s="500"/>
      <c r="FYI564" s="500"/>
      <c r="FYJ564" s="500"/>
      <c r="FYK564" s="500"/>
      <c r="FYL564" s="500"/>
      <c r="FYM564" s="500"/>
      <c r="FYN564" s="500"/>
      <c r="FYO564" s="500"/>
      <c r="FYP564" s="500"/>
      <c r="FYQ564" s="500"/>
      <c r="FYR564" s="500"/>
      <c r="FYS564" s="500"/>
      <c r="FYT564" s="500"/>
      <c r="FYU564" s="500"/>
      <c r="FYV564" s="500"/>
      <c r="FYW564" s="500"/>
      <c r="FYX564" s="500"/>
      <c r="FYY564" s="500"/>
      <c r="FYZ564" s="500"/>
      <c r="FZA564" s="500"/>
      <c r="FZB564" s="500"/>
      <c r="FZC564" s="500"/>
      <c r="FZD564" s="500"/>
      <c r="FZE564" s="500"/>
      <c r="FZF564" s="500"/>
      <c r="FZG564" s="500"/>
      <c r="FZH564" s="500"/>
      <c r="FZI564" s="500"/>
      <c r="FZJ564" s="500"/>
      <c r="FZK564" s="500"/>
      <c r="FZL564" s="500"/>
      <c r="FZM564" s="500"/>
      <c r="FZN564" s="500"/>
      <c r="FZO564" s="500"/>
      <c r="FZP564" s="500"/>
      <c r="FZQ564" s="500"/>
      <c r="FZR564" s="500"/>
      <c r="FZS564" s="500"/>
      <c r="FZT564" s="500"/>
      <c r="FZU564" s="500"/>
      <c r="FZV564" s="500"/>
      <c r="FZW564" s="500"/>
      <c r="FZX564" s="500"/>
      <c r="FZY564" s="500"/>
      <c r="FZZ564" s="500"/>
      <c r="GAA564" s="500"/>
      <c r="GAB564" s="500"/>
      <c r="GAC564" s="500"/>
      <c r="GAD564" s="500"/>
      <c r="GAE564" s="500"/>
      <c r="GAF564" s="500"/>
      <c r="GAG564" s="500"/>
      <c r="GAH564" s="500"/>
      <c r="GAI564" s="500"/>
      <c r="GAJ564" s="500"/>
      <c r="GAK564" s="500"/>
      <c r="GAL564" s="500"/>
      <c r="GAM564" s="500"/>
      <c r="GAN564" s="500"/>
      <c r="GAO564" s="500"/>
      <c r="GAP564" s="500"/>
      <c r="GAQ564" s="500"/>
      <c r="GAR564" s="500"/>
      <c r="GAS564" s="500"/>
      <c r="GAT564" s="500"/>
      <c r="GAU564" s="500"/>
      <c r="GAV564" s="500"/>
      <c r="GAW564" s="500"/>
      <c r="GAX564" s="500"/>
      <c r="GAY564" s="500"/>
      <c r="GAZ564" s="500"/>
      <c r="GBA564" s="500"/>
      <c r="GBB564" s="500"/>
      <c r="GBC564" s="500"/>
      <c r="GBD564" s="500"/>
      <c r="GBE564" s="500"/>
      <c r="GBF564" s="500"/>
      <c r="GBG564" s="500"/>
      <c r="GBH564" s="500"/>
      <c r="GBI564" s="500"/>
      <c r="GBJ564" s="500"/>
      <c r="GBK564" s="500"/>
      <c r="GBL564" s="500"/>
      <c r="GBM564" s="500"/>
      <c r="GBN564" s="500"/>
      <c r="GBO564" s="500"/>
      <c r="GBP564" s="500"/>
      <c r="GBQ564" s="500"/>
      <c r="GBR564" s="500"/>
      <c r="GBS564" s="500"/>
      <c r="GBT564" s="500"/>
      <c r="GBU564" s="500"/>
      <c r="GBV564" s="500"/>
      <c r="GBW564" s="500"/>
      <c r="GBX564" s="500"/>
      <c r="GBY564" s="500"/>
      <c r="GBZ564" s="500"/>
      <c r="GCA564" s="500"/>
      <c r="GCB564" s="500"/>
      <c r="GCC564" s="500"/>
      <c r="GCD564" s="500"/>
      <c r="GCE564" s="500"/>
      <c r="GCF564" s="500"/>
      <c r="GCG564" s="500"/>
      <c r="GCH564" s="500"/>
      <c r="GCI564" s="500"/>
      <c r="GCJ564" s="500"/>
      <c r="GCK564" s="500"/>
      <c r="GCL564" s="500"/>
      <c r="GCM564" s="500"/>
      <c r="GCN564" s="500"/>
      <c r="GCO564" s="500"/>
      <c r="GCP564" s="500"/>
      <c r="GCQ564" s="500"/>
      <c r="GCR564" s="500"/>
      <c r="GCS564" s="500"/>
      <c r="GCT564" s="500"/>
      <c r="GCU564" s="500"/>
      <c r="GCV564" s="500"/>
      <c r="GCW564" s="500"/>
      <c r="GCX564" s="500"/>
      <c r="GCY564" s="500"/>
      <c r="GCZ564" s="500"/>
      <c r="GDA564" s="500"/>
      <c r="GDB564" s="500"/>
      <c r="GDC564" s="500"/>
      <c r="GDD564" s="500"/>
      <c r="GDE564" s="500"/>
      <c r="GDF564" s="500"/>
      <c r="GDG564" s="500"/>
      <c r="GDH564" s="500"/>
      <c r="GDI564" s="500"/>
      <c r="GDJ564" s="500"/>
      <c r="GDK564" s="500"/>
      <c r="GDL564" s="500"/>
      <c r="GDM564" s="500"/>
      <c r="GDN564" s="500"/>
      <c r="GDO564" s="500"/>
      <c r="GDP564" s="500"/>
      <c r="GDQ564" s="500"/>
      <c r="GDR564" s="500"/>
      <c r="GDS564" s="500"/>
      <c r="GDT564" s="500"/>
      <c r="GDU564" s="500"/>
      <c r="GDV564" s="500"/>
      <c r="GDW564" s="500"/>
      <c r="GDX564" s="500"/>
      <c r="GDY564" s="500"/>
      <c r="GDZ564" s="500"/>
      <c r="GEA564" s="500"/>
      <c r="GEB564" s="500"/>
      <c r="GEC564" s="500"/>
      <c r="GED564" s="500"/>
      <c r="GEE564" s="500"/>
      <c r="GEF564" s="500"/>
      <c r="GEG564" s="500"/>
      <c r="GEH564" s="500"/>
      <c r="GEI564" s="500"/>
      <c r="GEJ564" s="500"/>
      <c r="GEK564" s="500"/>
      <c r="GEL564" s="500"/>
      <c r="GEM564" s="500"/>
      <c r="GEN564" s="500"/>
      <c r="GEO564" s="500"/>
      <c r="GEP564" s="500"/>
      <c r="GEQ564" s="500"/>
      <c r="GER564" s="500"/>
      <c r="GES564" s="500"/>
      <c r="GET564" s="500"/>
      <c r="GEU564" s="500"/>
      <c r="GEV564" s="500"/>
      <c r="GEW564" s="500"/>
      <c r="GEX564" s="500"/>
      <c r="GEY564" s="500"/>
      <c r="GEZ564" s="500"/>
      <c r="GFA564" s="500"/>
      <c r="GFB564" s="500"/>
      <c r="GFC564" s="500"/>
      <c r="GFD564" s="500"/>
      <c r="GFE564" s="500"/>
      <c r="GFF564" s="500"/>
      <c r="GFG564" s="500"/>
      <c r="GFH564" s="500"/>
      <c r="GFI564" s="500"/>
      <c r="GFJ564" s="500"/>
      <c r="GFK564" s="500"/>
      <c r="GFL564" s="500"/>
      <c r="GFM564" s="500"/>
      <c r="GFN564" s="500"/>
      <c r="GFO564" s="500"/>
      <c r="GFP564" s="500"/>
      <c r="GFQ564" s="500"/>
      <c r="GFR564" s="500"/>
      <c r="GFS564" s="500"/>
      <c r="GFT564" s="500"/>
      <c r="GFU564" s="500"/>
      <c r="GFV564" s="500"/>
      <c r="GFW564" s="500"/>
      <c r="GFX564" s="500"/>
      <c r="GFY564" s="500"/>
      <c r="GFZ564" s="500"/>
      <c r="GGA564" s="500"/>
      <c r="GGB564" s="500"/>
      <c r="GGC564" s="500"/>
      <c r="GGD564" s="500"/>
      <c r="GGE564" s="500"/>
      <c r="GGF564" s="500"/>
      <c r="GGG564" s="500"/>
      <c r="GGH564" s="500"/>
      <c r="GGI564" s="500"/>
      <c r="GGJ564" s="500"/>
      <c r="GGK564" s="500"/>
      <c r="GGL564" s="500"/>
      <c r="GGM564" s="500"/>
      <c r="GGN564" s="500"/>
      <c r="GGO564" s="500"/>
      <c r="GGP564" s="500"/>
      <c r="GGQ564" s="500"/>
      <c r="GGR564" s="500"/>
      <c r="GGS564" s="500"/>
      <c r="GGT564" s="500"/>
      <c r="GGU564" s="500"/>
      <c r="GGV564" s="500"/>
      <c r="GGW564" s="500"/>
      <c r="GGX564" s="500"/>
      <c r="GGY564" s="500"/>
      <c r="GGZ564" s="500"/>
      <c r="GHA564" s="500"/>
      <c r="GHB564" s="500"/>
      <c r="GHC564" s="500"/>
      <c r="GHD564" s="500"/>
      <c r="GHE564" s="500"/>
      <c r="GHF564" s="500"/>
      <c r="GHG564" s="500"/>
      <c r="GHH564" s="500"/>
      <c r="GHI564" s="500"/>
      <c r="GHJ564" s="500"/>
      <c r="GHK564" s="500"/>
      <c r="GHL564" s="500"/>
      <c r="GHM564" s="500"/>
      <c r="GHN564" s="500"/>
      <c r="GHO564" s="500"/>
      <c r="GHP564" s="500"/>
      <c r="GHQ564" s="500"/>
      <c r="GHR564" s="500"/>
      <c r="GHS564" s="500"/>
      <c r="GHT564" s="500"/>
      <c r="GHU564" s="500"/>
      <c r="GHV564" s="500"/>
      <c r="GHW564" s="500"/>
      <c r="GHX564" s="500"/>
      <c r="GHY564" s="500"/>
      <c r="GHZ564" s="500"/>
      <c r="GIA564" s="500"/>
      <c r="GIB564" s="500"/>
      <c r="GIC564" s="500"/>
      <c r="GID564" s="500"/>
      <c r="GIE564" s="500"/>
      <c r="GIF564" s="500"/>
      <c r="GIG564" s="500"/>
      <c r="GIH564" s="500"/>
      <c r="GII564" s="500"/>
      <c r="GIJ564" s="500"/>
      <c r="GIK564" s="500"/>
      <c r="GIL564" s="500"/>
      <c r="GIM564" s="500"/>
      <c r="GIN564" s="500"/>
      <c r="GIO564" s="500"/>
      <c r="GIP564" s="500"/>
      <c r="GIQ564" s="500"/>
      <c r="GIR564" s="500"/>
      <c r="GIS564" s="500"/>
      <c r="GIT564" s="500"/>
      <c r="GIU564" s="500"/>
      <c r="GIV564" s="500"/>
      <c r="GIW564" s="500"/>
      <c r="GIX564" s="500"/>
      <c r="GIY564" s="500"/>
      <c r="GIZ564" s="500"/>
      <c r="GJA564" s="500"/>
      <c r="GJB564" s="500"/>
      <c r="GJC564" s="500"/>
      <c r="GJD564" s="500"/>
      <c r="GJE564" s="500"/>
      <c r="GJF564" s="500"/>
      <c r="GJG564" s="500"/>
      <c r="GJH564" s="500"/>
      <c r="GJI564" s="500"/>
      <c r="GJJ564" s="500"/>
      <c r="GJK564" s="500"/>
      <c r="GJL564" s="500"/>
      <c r="GJM564" s="500"/>
      <c r="GJN564" s="500"/>
      <c r="GJO564" s="500"/>
      <c r="GJP564" s="500"/>
      <c r="GJQ564" s="500"/>
      <c r="GJR564" s="500"/>
      <c r="GJS564" s="500"/>
      <c r="GJT564" s="500"/>
      <c r="GJU564" s="500"/>
      <c r="GJV564" s="500"/>
      <c r="GJW564" s="500"/>
      <c r="GJX564" s="500"/>
      <c r="GJY564" s="500"/>
      <c r="GJZ564" s="500"/>
      <c r="GKA564" s="500"/>
      <c r="GKB564" s="500"/>
      <c r="GKC564" s="500"/>
      <c r="GKD564" s="500"/>
      <c r="GKE564" s="500"/>
      <c r="GKF564" s="500"/>
      <c r="GKG564" s="500"/>
      <c r="GKH564" s="500"/>
      <c r="GKI564" s="500"/>
      <c r="GKJ564" s="500"/>
      <c r="GKK564" s="500"/>
      <c r="GKL564" s="500"/>
      <c r="GKM564" s="500"/>
      <c r="GKN564" s="500"/>
      <c r="GKO564" s="500"/>
      <c r="GKP564" s="500"/>
      <c r="GKQ564" s="500"/>
      <c r="GKR564" s="500"/>
      <c r="GKS564" s="500"/>
      <c r="GKT564" s="500"/>
      <c r="GKU564" s="500"/>
      <c r="GKV564" s="500"/>
      <c r="GKW564" s="500"/>
      <c r="GKX564" s="500"/>
      <c r="GKY564" s="500"/>
      <c r="GKZ564" s="500"/>
      <c r="GLA564" s="500"/>
      <c r="GLB564" s="500"/>
      <c r="GLC564" s="500"/>
      <c r="GLD564" s="500"/>
      <c r="GLE564" s="500"/>
      <c r="GLF564" s="500"/>
      <c r="GLG564" s="500"/>
      <c r="GLH564" s="500"/>
      <c r="GLI564" s="500"/>
      <c r="GLJ564" s="500"/>
      <c r="GLK564" s="500"/>
      <c r="GLL564" s="500"/>
      <c r="GLM564" s="500"/>
      <c r="GLN564" s="500"/>
      <c r="GLO564" s="500"/>
      <c r="GLP564" s="500"/>
      <c r="GLQ564" s="500"/>
      <c r="GLR564" s="500"/>
      <c r="GLS564" s="500"/>
      <c r="GLT564" s="500"/>
      <c r="GLU564" s="500"/>
      <c r="GLV564" s="500"/>
      <c r="GLW564" s="500"/>
      <c r="GLX564" s="500"/>
      <c r="GLY564" s="500"/>
      <c r="GLZ564" s="500"/>
      <c r="GMA564" s="500"/>
      <c r="GMB564" s="500"/>
      <c r="GMC564" s="500"/>
      <c r="GMD564" s="500"/>
      <c r="GME564" s="500"/>
      <c r="GMF564" s="500"/>
      <c r="GMG564" s="500"/>
      <c r="GMH564" s="500"/>
      <c r="GMI564" s="500"/>
      <c r="GMJ564" s="500"/>
      <c r="GMK564" s="500"/>
      <c r="GML564" s="500"/>
      <c r="GMM564" s="500"/>
      <c r="GMN564" s="500"/>
      <c r="GMO564" s="500"/>
      <c r="GMP564" s="500"/>
      <c r="GMQ564" s="500"/>
      <c r="GMR564" s="500"/>
      <c r="GMS564" s="500"/>
      <c r="GMT564" s="500"/>
      <c r="GMU564" s="500"/>
      <c r="GMV564" s="500"/>
      <c r="GMW564" s="500"/>
      <c r="GMX564" s="500"/>
      <c r="GMY564" s="500"/>
      <c r="GMZ564" s="500"/>
      <c r="GNA564" s="500"/>
      <c r="GNB564" s="500"/>
      <c r="GNC564" s="500"/>
      <c r="GND564" s="500"/>
      <c r="GNE564" s="500"/>
      <c r="GNF564" s="500"/>
      <c r="GNG564" s="500"/>
      <c r="GNH564" s="500"/>
      <c r="GNI564" s="500"/>
      <c r="GNJ564" s="500"/>
      <c r="GNK564" s="500"/>
      <c r="GNL564" s="500"/>
      <c r="GNM564" s="500"/>
      <c r="GNN564" s="500"/>
      <c r="GNO564" s="500"/>
      <c r="GNP564" s="500"/>
      <c r="GNQ564" s="500"/>
      <c r="GNR564" s="500"/>
      <c r="GNS564" s="500"/>
      <c r="GNT564" s="500"/>
      <c r="GNU564" s="500"/>
      <c r="GNV564" s="500"/>
      <c r="GNW564" s="500"/>
      <c r="GNX564" s="500"/>
      <c r="GNY564" s="500"/>
      <c r="GNZ564" s="500"/>
      <c r="GOA564" s="500"/>
      <c r="GOB564" s="500"/>
      <c r="GOC564" s="500"/>
      <c r="GOD564" s="500"/>
      <c r="GOE564" s="500"/>
      <c r="GOF564" s="500"/>
      <c r="GOG564" s="500"/>
      <c r="GOH564" s="500"/>
      <c r="GOI564" s="500"/>
      <c r="GOJ564" s="500"/>
      <c r="GOK564" s="500"/>
      <c r="GOL564" s="500"/>
      <c r="GOM564" s="500"/>
      <c r="GON564" s="500"/>
      <c r="GOO564" s="500"/>
      <c r="GOP564" s="500"/>
      <c r="GOQ564" s="500"/>
      <c r="GOR564" s="500"/>
      <c r="GOS564" s="500"/>
      <c r="GOT564" s="500"/>
      <c r="GOU564" s="500"/>
      <c r="GOV564" s="500"/>
      <c r="GOW564" s="500"/>
      <c r="GOX564" s="500"/>
      <c r="GOY564" s="500"/>
      <c r="GOZ564" s="500"/>
      <c r="GPA564" s="500"/>
      <c r="GPB564" s="500"/>
      <c r="GPC564" s="500"/>
      <c r="GPD564" s="500"/>
      <c r="GPE564" s="500"/>
      <c r="GPF564" s="500"/>
      <c r="GPG564" s="500"/>
      <c r="GPH564" s="500"/>
      <c r="GPI564" s="500"/>
      <c r="GPJ564" s="500"/>
      <c r="GPK564" s="500"/>
      <c r="GPL564" s="500"/>
      <c r="GPM564" s="500"/>
      <c r="GPN564" s="500"/>
      <c r="GPO564" s="500"/>
      <c r="GPP564" s="500"/>
      <c r="GPQ564" s="500"/>
      <c r="GPR564" s="500"/>
      <c r="GPS564" s="500"/>
      <c r="GPT564" s="500"/>
      <c r="GPU564" s="500"/>
      <c r="GPV564" s="500"/>
      <c r="GPW564" s="500"/>
      <c r="GPX564" s="500"/>
      <c r="GPY564" s="500"/>
      <c r="GPZ564" s="500"/>
      <c r="GQA564" s="500"/>
      <c r="GQB564" s="500"/>
      <c r="GQC564" s="500"/>
      <c r="GQD564" s="500"/>
      <c r="GQE564" s="500"/>
      <c r="GQF564" s="500"/>
      <c r="GQG564" s="500"/>
      <c r="GQH564" s="500"/>
      <c r="GQI564" s="500"/>
      <c r="GQJ564" s="500"/>
      <c r="GQK564" s="500"/>
      <c r="GQL564" s="500"/>
      <c r="GQM564" s="500"/>
      <c r="GQN564" s="500"/>
      <c r="GQO564" s="500"/>
      <c r="GQP564" s="500"/>
      <c r="GQQ564" s="500"/>
      <c r="GQR564" s="500"/>
      <c r="GQS564" s="500"/>
      <c r="GQT564" s="500"/>
      <c r="GQU564" s="500"/>
      <c r="GQV564" s="500"/>
      <c r="GQW564" s="500"/>
      <c r="GQX564" s="500"/>
      <c r="GQY564" s="500"/>
      <c r="GQZ564" s="500"/>
      <c r="GRA564" s="500"/>
      <c r="GRB564" s="500"/>
      <c r="GRC564" s="500"/>
      <c r="GRD564" s="500"/>
      <c r="GRE564" s="500"/>
      <c r="GRF564" s="500"/>
      <c r="GRG564" s="500"/>
      <c r="GRH564" s="500"/>
      <c r="GRI564" s="500"/>
      <c r="GRJ564" s="500"/>
      <c r="GRK564" s="500"/>
      <c r="GRL564" s="500"/>
      <c r="GRM564" s="500"/>
      <c r="GRN564" s="500"/>
      <c r="GRO564" s="500"/>
      <c r="GRP564" s="500"/>
      <c r="GRQ564" s="500"/>
      <c r="GRR564" s="500"/>
      <c r="GRS564" s="500"/>
      <c r="GRT564" s="500"/>
      <c r="GRU564" s="500"/>
      <c r="GRV564" s="500"/>
      <c r="GRW564" s="500"/>
      <c r="GRX564" s="500"/>
      <c r="GRY564" s="500"/>
      <c r="GRZ564" s="500"/>
      <c r="GSA564" s="500"/>
      <c r="GSB564" s="500"/>
      <c r="GSC564" s="500"/>
      <c r="GSD564" s="500"/>
      <c r="GSE564" s="500"/>
      <c r="GSF564" s="500"/>
      <c r="GSG564" s="500"/>
      <c r="GSH564" s="500"/>
      <c r="GSI564" s="500"/>
      <c r="GSJ564" s="500"/>
      <c r="GSK564" s="500"/>
      <c r="GSL564" s="500"/>
      <c r="GSM564" s="500"/>
      <c r="GSN564" s="500"/>
      <c r="GSO564" s="500"/>
      <c r="GSP564" s="500"/>
      <c r="GSQ564" s="500"/>
      <c r="GSR564" s="500"/>
      <c r="GSS564" s="500"/>
      <c r="GST564" s="500"/>
      <c r="GSU564" s="500"/>
      <c r="GSV564" s="500"/>
      <c r="GSW564" s="500"/>
      <c r="GSX564" s="500"/>
      <c r="GSY564" s="500"/>
      <c r="GSZ564" s="500"/>
      <c r="GTA564" s="500"/>
      <c r="GTB564" s="500"/>
      <c r="GTC564" s="500"/>
      <c r="GTD564" s="500"/>
      <c r="GTE564" s="500"/>
      <c r="GTF564" s="500"/>
      <c r="GTG564" s="500"/>
      <c r="GTH564" s="500"/>
      <c r="GTI564" s="500"/>
      <c r="GTJ564" s="500"/>
      <c r="GTK564" s="500"/>
      <c r="GTL564" s="500"/>
      <c r="GTM564" s="500"/>
      <c r="GTN564" s="500"/>
      <c r="GTO564" s="500"/>
      <c r="GTP564" s="500"/>
      <c r="GTQ564" s="500"/>
      <c r="GTR564" s="500"/>
      <c r="GTS564" s="500"/>
      <c r="GTT564" s="500"/>
      <c r="GTU564" s="500"/>
      <c r="GTV564" s="500"/>
      <c r="GTW564" s="500"/>
      <c r="GTX564" s="500"/>
      <c r="GTY564" s="500"/>
      <c r="GTZ564" s="500"/>
      <c r="GUA564" s="500"/>
      <c r="GUB564" s="500"/>
      <c r="GUC564" s="500"/>
      <c r="GUD564" s="500"/>
      <c r="GUE564" s="500"/>
      <c r="GUF564" s="500"/>
      <c r="GUG564" s="500"/>
      <c r="GUH564" s="500"/>
      <c r="GUI564" s="500"/>
      <c r="GUJ564" s="500"/>
      <c r="GUK564" s="500"/>
      <c r="GUL564" s="500"/>
      <c r="GUM564" s="500"/>
      <c r="GUN564" s="500"/>
      <c r="GUO564" s="500"/>
      <c r="GUP564" s="500"/>
      <c r="GUQ564" s="500"/>
      <c r="GUR564" s="500"/>
      <c r="GUS564" s="500"/>
      <c r="GUT564" s="500"/>
      <c r="GUU564" s="500"/>
      <c r="GUV564" s="500"/>
      <c r="GUW564" s="500"/>
      <c r="GUX564" s="500"/>
      <c r="GUY564" s="500"/>
      <c r="GUZ564" s="500"/>
      <c r="GVA564" s="500"/>
      <c r="GVB564" s="500"/>
      <c r="GVC564" s="500"/>
      <c r="GVD564" s="500"/>
      <c r="GVE564" s="500"/>
      <c r="GVF564" s="500"/>
      <c r="GVG564" s="500"/>
      <c r="GVH564" s="500"/>
      <c r="GVI564" s="500"/>
      <c r="GVJ564" s="500"/>
      <c r="GVK564" s="500"/>
      <c r="GVL564" s="500"/>
      <c r="GVM564" s="500"/>
      <c r="GVN564" s="500"/>
      <c r="GVO564" s="500"/>
      <c r="GVP564" s="500"/>
      <c r="GVQ564" s="500"/>
      <c r="GVR564" s="500"/>
      <c r="GVS564" s="500"/>
      <c r="GVT564" s="500"/>
      <c r="GVU564" s="500"/>
      <c r="GVV564" s="500"/>
      <c r="GVW564" s="500"/>
      <c r="GVX564" s="500"/>
      <c r="GVY564" s="500"/>
      <c r="GVZ564" s="500"/>
      <c r="GWA564" s="500"/>
      <c r="GWB564" s="500"/>
      <c r="GWC564" s="500"/>
      <c r="GWD564" s="500"/>
      <c r="GWE564" s="500"/>
      <c r="GWF564" s="500"/>
      <c r="GWG564" s="500"/>
      <c r="GWH564" s="500"/>
      <c r="GWI564" s="500"/>
      <c r="GWJ564" s="500"/>
      <c r="GWK564" s="500"/>
      <c r="GWL564" s="500"/>
      <c r="GWM564" s="500"/>
      <c r="GWN564" s="500"/>
      <c r="GWO564" s="500"/>
      <c r="GWP564" s="500"/>
      <c r="GWQ564" s="500"/>
      <c r="GWR564" s="500"/>
      <c r="GWS564" s="500"/>
      <c r="GWT564" s="500"/>
      <c r="GWU564" s="500"/>
      <c r="GWV564" s="500"/>
      <c r="GWW564" s="500"/>
      <c r="GWX564" s="500"/>
      <c r="GWY564" s="500"/>
      <c r="GWZ564" s="500"/>
      <c r="GXA564" s="500"/>
      <c r="GXB564" s="500"/>
      <c r="GXC564" s="500"/>
      <c r="GXD564" s="500"/>
      <c r="GXE564" s="500"/>
      <c r="GXF564" s="500"/>
      <c r="GXG564" s="500"/>
      <c r="GXH564" s="500"/>
      <c r="GXI564" s="500"/>
      <c r="GXJ564" s="500"/>
      <c r="GXK564" s="500"/>
      <c r="GXL564" s="500"/>
      <c r="GXM564" s="500"/>
      <c r="GXN564" s="500"/>
      <c r="GXO564" s="500"/>
      <c r="GXP564" s="500"/>
      <c r="GXQ564" s="500"/>
      <c r="GXR564" s="500"/>
      <c r="GXS564" s="500"/>
      <c r="GXT564" s="500"/>
      <c r="GXU564" s="500"/>
      <c r="GXV564" s="500"/>
      <c r="GXW564" s="500"/>
      <c r="GXX564" s="500"/>
      <c r="GXY564" s="500"/>
      <c r="GXZ564" s="500"/>
      <c r="GYA564" s="500"/>
      <c r="GYB564" s="500"/>
      <c r="GYC564" s="500"/>
      <c r="GYD564" s="500"/>
      <c r="GYE564" s="500"/>
      <c r="GYF564" s="500"/>
      <c r="GYG564" s="500"/>
      <c r="GYH564" s="500"/>
      <c r="GYI564" s="500"/>
      <c r="GYJ564" s="500"/>
      <c r="GYK564" s="500"/>
      <c r="GYL564" s="500"/>
      <c r="GYM564" s="500"/>
      <c r="GYN564" s="500"/>
      <c r="GYO564" s="500"/>
      <c r="GYP564" s="500"/>
      <c r="GYQ564" s="500"/>
      <c r="GYR564" s="500"/>
      <c r="GYS564" s="500"/>
      <c r="GYT564" s="500"/>
      <c r="GYU564" s="500"/>
      <c r="GYV564" s="500"/>
      <c r="GYW564" s="500"/>
      <c r="GYX564" s="500"/>
      <c r="GYY564" s="500"/>
      <c r="GYZ564" s="500"/>
      <c r="GZA564" s="500"/>
      <c r="GZB564" s="500"/>
      <c r="GZC564" s="500"/>
      <c r="GZD564" s="500"/>
      <c r="GZE564" s="500"/>
      <c r="GZF564" s="500"/>
      <c r="GZG564" s="500"/>
      <c r="GZH564" s="500"/>
      <c r="GZI564" s="500"/>
      <c r="GZJ564" s="500"/>
      <c r="GZK564" s="500"/>
      <c r="GZL564" s="500"/>
      <c r="GZM564" s="500"/>
      <c r="GZN564" s="500"/>
      <c r="GZO564" s="500"/>
      <c r="GZP564" s="500"/>
      <c r="GZQ564" s="500"/>
      <c r="GZR564" s="500"/>
      <c r="GZS564" s="500"/>
      <c r="GZT564" s="500"/>
      <c r="GZU564" s="500"/>
      <c r="GZV564" s="500"/>
      <c r="GZW564" s="500"/>
      <c r="GZX564" s="500"/>
      <c r="GZY564" s="500"/>
      <c r="GZZ564" s="500"/>
      <c r="HAA564" s="500"/>
      <c r="HAB564" s="500"/>
      <c r="HAC564" s="500"/>
      <c r="HAD564" s="500"/>
      <c r="HAE564" s="500"/>
      <c r="HAF564" s="500"/>
      <c r="HAG564" s="500"/>
      <c r="HAH564" s="500"/>
      <c r="HAI564" s="500"/>
      <c r="HAJ564" s="500"/>
      <c r="HAK564" s="500"/>
      <c r="HAL564" s="500"/>
      <c r="HAM564" s="500"/>
      <c r="HAN564" s="500"/>
      <c r="HAO564" s="500"/>
      <c r="HAP564" s="500"/>
      <c r="HAQ564" s="500"/>
      <c r="HAR564" s="500"/>
      <c r="HAS564" s="500"/>
      <c r="HAT564" s="500"/>
      <c r="HAU564" s="500"/>
      <c r="HAV564" s="500"/>
      <c r="HAW564" s="500"/>
      <c r="HAX564" s="500"/>
      <c r="HAY564" s="500"/>
      <c r="HAZ564" s="500"/>
      <c r="HBA564" s="500"/>
      <c r="HBB564" s="500"/>
      <c r="HBC564" s="500"/>
      <c r="HBD564" s="500"/>
      <c r="HBE564" s="500"/>
      <c r="HBF564" s="500"/>
      <c r="HBG564" s="500"/>
      <c r="HBH564" s="500"/>
      <c r="HBI564" s="500"/>
      <c r="HBJ564" s="500"/>
      <c r="HBK564" s="500"/>
      <c r="HBL564" s="500"/>
      <c r="HBM564" s="500"/>
      <c r="HBN564" s="500"/>
      <c r="HBO564" s="500"/>
      <c r="HBP564" s="500"/>
      <c r="HBQ564" s="500"/>
      <c r="HBR564" s="500"/>
      <c r="HBS564" s="500"/>
      <c r="HBT564" s="500"/>
      <c r="HBU564" s="500"/>
      <c r="HBV564" s="500"/>
      <c r="HBW564" s="500"/>
      <c r="HBX564" s="500"/>
      <c r="HBY564" s="500"/>
      <c r="HBZ564" s="500"/>
      <c r="HCA564" s="500"/>
      <c r="HCB564" s="500"/>
      <c r="HCC564" s="500"/>
      <c r="HCD564" s="500"/>
      <c r="HCE564" s="500"/>
      <c r="HCF564" s="500"/>
      <c r="HCG564" s="500"/>
      <c r="HCH564" s="500"/>
      <c r="HCI564" s="500"/>
      <c r="HCJ564" s="500"/>
      <c r="HCK564" s="500"/>
      <c r="HCL564" s="500"/>
      <c r="HCM564" s="500"/>
      <c r="HCN564" s="500"/>
      <c r="HCO564" s="500"/>
      <c r="HCP564" s="500"/>
      <c r="HCQ564" s="500"/>
      <c r="HCR564" s="500"/>
      <c r="HCS564" s="500"/>
      <c r="HCT564" s="500"/>
      <c r="HCU564" s="500"/>
      <c r="HCV564" s="500"/>
      <c r="HCW564" s="500"/>
      <c r="HCX564" s="500"/>
      <c r="HCY564" s="500"/>
      <c r="HCZ564" s="500"/>
      <c r="HDA564" s="500"/>
      <c r="HDB564" s="500"/>
      <c r="HDC564" s="500"/>
      <c r="HDD564" s="500"/>
      <c r="HDE564" s="500"/>
      <c r="HDF564" s="500"/>
      <c r="HDG564" s="500"/>
      <c r="HDH564" s="500"/>
      <c r="HDI564" s="500"/>
      <c r="HDJ564" s="500"/>
      <c r="HDK564" s="500"/>
      <c r="HDL564" s="500"/>
      <c r="HDM564" s="500"/>
      <c r="HDN564" s="500"/>
      <c r="HDO564" s="500"/>
      <c r="HDP564" s="500"/>
      <c r="HDQ564" s="500"/>
      <c r="HDR564" s="500"/>
      <c r="HDS564" s="500"/>
      <c r="HDT564" s="500"/>
      <c r="HDU564" s="500"/>
      <c r="HDV564" s="500"/>
      <c r="HDW564" s="500"/>
      <c r="HDX564" s="500"/>
      <c r="HDY564" s="500"/>
      <c r="HDZ564" s="500"/>
      <c r="HEA564" s="500"/>
      <c r="HEB564" s="500"/>
      <c r="HEC564" s="500"/>
      <c r="HED564" s="500"/>
      <c r="HEE564" s="500"/>
      <c r="HEF564" s="500"/>
      <c r="HEG564" s="500"/>
      <c r="HEH564" s="500"/>
      <c r="HEI564" s="500"/>
      <c r="HEJ564" s="500"/>
      <c r="HEK564" s="500"/>
      <c r="HEL564" s="500"/>
      <c r="HEM564" s="500"/>
      <c r="HEN564" s="500"/>
      <c r="HEO564" s="500"/>
      <c r="HEP564" s="500"/>
      <c r="HEQ564" s="500"/>
      <c r="HER564" s="500"/>
      <c r="HES564" s="500"/>
      <c r="HET564" s="500"/>
      <c r="HEU564" s="500"/>
      <c r="HEV564" s="500"/>
      <c r="HEW564" s="500"/>
      <c r="HEX564" s="500"/>
      <c r="HEY564" s="500"/>
      <c r="HEZ564" s="500"/>
      <c r="HFA564" s="500"/>
      <c r="HFB564" s="500"/>
      <c r="HFC564" s="500"/>
      <c r="HFD564" s="500"/>
      <c r="HFE564" s="500"/>
      <c r="HFF564" s="500"/>
      <c r="HFG564" s="500"/>
      <c r="HFH564" s="500"/>
      <c r="HFI564" s="500"/>
      <c r="HFJ564" s="500"/>
      <c r="HFK564" s="500"/>
      <c r="HFL564" s="500"/>
      <c r="HFM564" s="500"/>
      <c r="HFN564" s="500"/>
      <c r="HFO564" s="500"/>
      <c r="HFP564" s="500"/>
      <c r="HFQ564" s="500"/>
      <c r="HFR564" s="500"/>
      <c r="HFS564" s="500"/>
      <c r="HFT564" s="500"/>
      <c r="HFU564" s="500"/>
      <c r="HFV564" s="500"/>
      <c r="HFW564" s="500"/>
      <c r="HFX564" s="500"/>
      <c r="HFY564" s="500"/>
      <c r="HFZ564" s="500"/>
      <c r="HGA564" s="500"/>
      <c r="HGB564" s="500"/>
      <c r="HGC564" s="500"/>
      <c r="HGD564" s="500"/>
      <c r="HGE564" s="500"/>
      <c r="HGF564" s="500"/>
      <c r="HGG564" s="500"/>
      <c r="HGH564" s="500"/>
      <c r="HGI564" s="500"/>
      <c r="HGJ564" s="500"/>
      <c r="HGK564" s="500"/>
      <c r="HGL564" s="500"/>
      <c r="HGM564" s="500"/>
      <c r="HGN564" s="500"/>
      <c r="HGO564" s="500"/>
      <c r="HGP564" s="500"/>
      <c r="HGQ564" s="500"/>
      <c r="HGR564" s="500"/>
      <c r="HGS564" s="500"/>
      <c r="HGT564" s="500"/>
      <c r="HGU564" s="500"/>
      <c r="HGV564" s="500"/>
      <c r="HGW564" s="500"/>
      <c r="HGX564" s="500"/>
      <c r="HGY564" s="500"/>
      <c r="HGZ564" s="500"/>
      <c r="HHA564" s="500"/>
      <c r="HHB564" s="500"/>
      <c r="HHC564" s="500"/>
      <c r="HHD564" s="500"/>
      <c r="HHE564" s="500"/>
      <c r="HHF564" s="500"/>
      <c r="HHG564" s="500"/>
      <c r="HHH564" s="500"/>
      <c r="HHI564" s="500"/>
      <c r="HHJ564" s="500"/>
      <c r="HHK564" s="500"/>
      <c r="HHL564" s="500"/>
      <c r="HHM564" s="500"/>
      <c r="HHN564" s="500"/>
      <c r="HHO564" s="500"/>
      <c r="HHP564" s="500"/>
      <c r="HHQ564" s="500"/>
      <c r="HHR564" s="500"/>
      <c r="HHS564" s="500"/>
      <c r="HHT564" s="500"/>
      <c r="HHU564" s="500"/>
      <c r="HHV564" s="500"/>
      <c r="HHW564" s="500"/>
      <c r="HHX564" s="500"/>
      <c r="HHY564" s="500"/>
      <c r="HHZ564" s="500"/>
      <c r="HIA564" s="500"/>
      <c r="HIB564" s="500"/>
      <c r="HIC564" s="500"/>
      <c r="HID564" s="500"/>
      <c r="HIE564" s="500"/>
      <c r="HIF564" s="500"/>
      <c r="HIG564" s="500"/>
      <c r="HIH564" s="500"/>
      <c r="HII564" s="500"/>
      <c r="HIJ564" s="500"/>
      <c r="HIK564" s="500"/>
      <c r="HIL564" s="500"/>
      <c r="HIM564" s="500"/>
      <c r="HIN564" s="500"/>
      <c r="HIO564" s="500"/>
      <c r="HIP564" s="500"/>
      <c r="HIQ564" s="500"/>
      <c r="HIR564" s="500"/>
      <c r="HIS564" s="500"/>
      <c r="HIT564" s="500"/>
      <c r="HIU564" s="500"/>
      <c r="HIV564" s="500"/>
      <c r="HIW564" s="500"/>
      <c r="HIX564" s="500"/>
      <c r="HIY564" s="500"/>
      <c r="HIZ564" s="500"/>
      <c r="HJA564" s="500"/>
      <c r="HJB564" s="500"/>
      <c r="HJC564" s="500"/>
      <c r="HJD564" s="500"/>
      <c r="HJE564" s="500"/>
      <c r="HJF564" s="500"/>
      <c r="HJG564" s="500"/>
      <c r="HJH564" s="500"/>
      <c r="HJI564" s="500"/>
      <c r="HJJ564" s="500"/>
      <c r="HJK564" s="500"/>
      <c r="HJL564" s="500"/>
      <c r="HJM564" s="500"/>
      <c r="HJN564" s="500"/>
      <c r="HJO564" s="500"/>
      <c r="HJP564" s="500"/>
      <c r="HJQ564" s="500"/>
      <c r="HJR564" s="500"/>
      <c r="HJS564" s="500"/>
      <c r="HJT564" s="500"/>
      <c r="HJU564" s="500"/>
      <c r="HJV564" s="500"/>
      <c r="HJW564" s="500"/>
      <c r="HJX564" s="500"/>
      <c r="HJY564" s="500"/>
      <c r="HJZ564" s="500"/>
      <c r="HKA564" s="500"/>
      <c r="HKB564" s="500"/>
      <c r="HKC564" s="500"/>
      <c r="HKD564" s="500"/>
      <c r="HKE564" s="500"/>
      <c r="HKF564" s="500"/>
      <c r="HKG564" s="500"/>
      <c r="HKH564" s="500"/>
      <c r="HKI564" s="500"/>
      <c r="HKJ564" s="500"/>
      <c r="HKK564" s="500"/>
      <c r="HKL564" s="500"/>
      <c r="HKM564" s="500"/>
      <c r="HKN564" s="500"/>
      <c r="HKO564" s="500"/>
      <c r="HKP564" s="500"/>
      <c r="HKQ564" s="500"/>
      <c r="HKR564" s="500"/>
      <c r="HKS564" s="500"/>
      <c r="HKT564" s="500"/>
      <c r="HKU564" s="500"/>
      <c r="HKV564" s="500"/>
      <c r="HKW564" s="500"/>
      <c r="HKX564" s="500"/>
      <c r="HKY564" s="500"/>
      <c r="HKZ564" s="500"/>
      <c r="HLA564" s="500"/>
      <c r="HLB564" s="500"/>
      <c r="HLC564" s="500"/>
      <c r="HLD564" s="500"/>
      <c r="HLE564" s="500"/>
      <c r="HLF564" s="500"/>
      <c r="HLG564" s="500"/>
      <c r="HLH564" s="500"/>
      <c r="HLI564" s="500"/>
      <c r="HLJ564" s="500"/>
      <c r="HLK564" s="500"/>
      <c r="HLL564" s="500"/>
      <c r="HLM564" s="500"/>
      <c r="HLN564" s="500"/>
      <c r="HLO564" s="500"/>
      <c r="HLP564" s="500"/>
      <c r="HLQ564" s="500"/>
      <c r="HLR564" s="500"/>
      <c r="HLS564" s="500"/>
      <c r="HLT564" s="500"/>
      <c r="HLU564" s="500"/>
      <c r="HLV564" s="500"/>
      <c r="HLW564" s="500"/>
      <c r="HLX564" s="500"/>
      <c r="HLY564" s="500"/>
      <c r="HLZ564" s="500"/>
      <c r="HMA564" s="500"/>
      <c r="HMB564" s="500"/>
      <c r="HMC564" s="500"/>
      <c r="HMD564" s="500"/>
      <c r="HME564" s="500"/>
      <c r="HMF564" s="500"/>
      <c r="HMG564" s="500"/>
      <c r="HMH564" s="500"/>
      <c r="HMI564" s="500"/>
      <c r="HMJ564" s="500"/>
      <c r="HMK564" s="500"/>
      <c r="HML564" s="500"/>
      <c r="HMM564" s="500"/>
      <c r="HMN564" s="500"/>
      <c r="HMO564" s="500"/>
      <c r="HMP564" s="500"/>
      <c r="HMQ564" s="500"/>
      <c r="HMR564" s="500"/>
      <c r="HMS564" s="500"/>
      <c r="HMT564" s="500"/>
      <c r="HMU564" s="500"/>
      <c r="HMV564" s="500"/>
      <c r="HMW564" s="500"/>
      <c r="HMX564" s="500"/>
      <c r="HMY564" s="500"/>
      <c r="HMZ564" s="500"/>
      <c r="HNA564" s="500"/>
      <c r="HNB564" s="500"/>
      <c r="HNC564" s="500"/>
      <c r="HND564" s="500"/>
      <c r="HNE564" s="500"/>
      <c r="HNF564" s="500"/>
      <c r="HNG564" s="500"/>
      <c r="HNH564" s="500"/>
      <c r="HNI564" s="500"/>
      <c r="HNJ564" s="500"/>
      <c r="HNK564" s="500"/>
      <c r="HNL564" s="500"/>
      <c r="HNM564" s="500"/>
      <c r="HNN564" s="500"/>
      <c r="HNO564" s="500"/>
      <c r="HNP564" s="500"/>
      <c r="HNQ564" s="500"/>
      <c r="HNR564" s="500"/>
      <c r="HNS564" s="500"/>
      <c r="HNT564" s="500"/>
      <c r="HNU564" s="500"/>
      <c r="HNV564" s="500"/>
      <c r="HNW564" s="500"/>
      <c r="HNX564" s="500"/>
      <c r="HNY564" s="500"/>
      <c r="HNZ564" s="500"/>
      <c r="HOA564" s="500"/>
      <c r="HOB564" s="500"/>
      <c r="HOC564" s="500"/>
      <c r="HOD564" s="500"/>
      <c r="HOE564" s="500"/>
      <c r="HOF564" s="500"/>
      <c r="HOG564" s="500"/>
      <c r="HOH564" s="500"/>
      <c r="HOI564" s="500"/>
      <c r="HOJ564" s="500"/>
      <c r="HOK564" s="500"/>
      <c r="HOL564" s="500"/>
      <c r="HOM564" s="500"/>
      <c r="HON564" s="500"/>
      <c r="HOO564" s="500"/>
      <c r="HOP564" s="500"/>
      <c r="HOQ564" s="500"/>
      <c r="HOR564" s="500"/>
      <c r="HOS564" s="500"/>
      <c r="HOT564" s="500"/>
      <c r="HOU564" s="500"/>
      <c r="HOV564" s="500"/>
      <c r="HOW564" s="500"/>
      <c r="HOX564" s="500"/>
      <c r="HOY564" s="500"/>
      <c r="HOZ564" s="500"/>
      <c r="HPA564" s="500"/>
      <c r="HPB564" s="500"/>
      <c r="HPC564" s="500"/>
      <c r="HPD564" s="500"/>
      <c r="HPE564" s="500"/>
      <c r="HPF564" s="500"/>
      <c r="HPG564" s="500"/>
      <c r="HPH564" s="500"/>
      <c r="HPI564" s="500"/>
      <c r="HPJ564" s="500"/>
      <c r="HPK564" s="500"/>
      <c r="HPL564" s="500"/>
      <c r="HPM564" s="500"/>
      <c r="HPN564" s="500"/>
      <c r="HPO564" s="500"/>
      <c r="HPP564" s="500"/>
      <c r="HPQ564" s="500"/>
      <c r="HPR564" s="500"/>
      <c r="HPS564" s="500"/>
      <c r="HPT564" s="500"/>
      <c r="HPU564" s="500"/>
      <c r="HPV564" s="500"/>
      <c r="HPW564" s="500"/>
      <c r="HPX564" s="500"/>
      <c r="HPY564" s="500"/>
      <c r="HPZ564" s="500"/>
      <c r="HQA564" s="500"/>
      <c r="HQB564" s="500"/>
      <c r="HQC564" s="500"/>
      <c r="HQD564" s="500"/>
      <c r="HQE564" s="500"/>
      <c r="HQF564" s="500"/>
      <c r="HQG564" s="500"/>
      <c r="HQH564" s="500"/>
      <c r="HQI564" s="500"/>
      <c r="HQJ564" s="500"/>
      <c r="HQK564" s="500"/>
      <c r="HQL564" s="500"/>
      <c r="HQM564" s="500"/>
      <c r="HQN564" s="500"/>
      <c r="HQO564" s="500"/>
      <c r="HQP564" s="500"/>
      <c r="HQQ564" s="500"/>
      <c r="HQR564" s="500"/>
      <c r="HQS564" s="500"/>
      <c r="HQT564" s="500"/>
      <c r="HQU564" s="500"/>
      <c r="HQV564" s="500"/>
      <c r="HQW564" s="500"/>
      <c r="HQX564" s="500"/>
      <c r="HQY564" s="500"/>
      <c r="HQZ564" s="500"/>
      <c r="HRA564" s="500"/>
      <c r="HRB564" s="500"/>
      <c r="HRC564" s="500"/>
      <c r="HRD564" s="500"/>
      <c r="HRE564" s="500"/>
      <c r="HRF564" s="500"/>
      <c r="HRG564" s="500"/>
      <c r="HRH564" s="500"/>
      <c r="HRI564" s="500"/>
      <c r="HRJ564" s="500"/>
      <c r="HRK564" s="500"/>
      <c r="HRL564" s="500"/>
      <c r="HRM564" s="500"/>
      <c r="HRN564" s="500"/>
      <c r="HRO564" s="500"/>
      <c r="HRP564" s="500"/>
      <c r="HRQ564" s="500"/>
      <c r="HRR564" s="500"/>
      <c r="HRS564" s="500"/>
      <c r="HRT564" s="500"/>
      <c r="HRU564" s="500"/>
      <c r="HRV564" s="500"/>
      <c r="HRW564" s="500"/>
      <c r="HRX564" s="500"/>
      <c r="HRY564" s="500"/>
      <c r="HRZ564" s="500"/>
      <c r="HSA564" s="500"/>
      <c r="HSB564" s="500"/>
      <c r="HSC564" s="500"/>
      <c r="HSD564" s="500"/>
      <c r="HSE564" s="500"/>
      <c r="HSF564" s="500"/>
      <c r="HSG564" s="500"/>
      <c r="HSH564" s="500"/>
      <c r="HSI564" s="500"/>
      <c r="HSJ564" s="500"/>
      <c r="HSK564" s="500"/>
      <c r="HSL564" s="500"/>
      <c r="HSM564" s="500"/>
      <c r="HSN564" s="500"/>
      <c r="HSO564" s="500"/>
      <c r="HSP564" s="500"/>
      <c r="HSQ564" s="500"/>
      <c r="HSR564" s="500"/>
      <c r="HSS564" s="500"/>
      <c r="HST564" s="500"/>
      <c r="HSU564" s="500"/>
      <c r="HSV564" s="500"/>
      <c r="HSW564" s="500"/>
      <c r="HSX564" s="500"/>
      <c r="HSY564" s="500"/>
      <c r="HSZ564" s="500"/>
      <c r="HTA564" s="500"/>
      <c r="HTB564" s="500"/>
      <c r="HTC564" s="500"/>
      <c r="HTD564" s="500"/>
      <c r="HTE564" s="500"/>
      <c r="HTF564" s="500"/>
      <c r="HTG564" s="500"/>
      <c r="HTH564" s="500"/>
      <c r="HTI564" s="500"/>
      <c r="HTJ564" s="500"/>
      <c r="HTK564" s="500"/>
      <c r="HTL564" s="500"/>
      <c r="HTM564" s="500"/>
      <c r="HTN564" s="500"/>
      <c r="HTO564" s="500"/>
      <c r="HTP564" s="500"/>
      <c r="HTQ564" s="500"/>
      <c r="HTR564" s="500"/>
      <c r="HTS564" s="500"/>
      <c r="HTT564" s="500"/>
      <c r="HTU564" s="500"/>
      <c r="HTV564" s="500"/>
      <c r="HTW564" s="500"/>
      <c r="HTX564" s="500"/>
      <c r="HTY564" s="500"/>
      <c r="HTZ564" s="500"/>
      <c r="HUA564" s="500"/>
      <c r="HUB564" s="500"/>
      <c r="HUC564" s="500"/>
      <c r="HUD564" s="500"/>
      <c r="HUE564" s="500"/>
      <c r="HUF564" s="500"/>
      <c r="HUG564" s="500"/>
      <c r="HUH564" s="500"/>
      <c r="HUI564" s="500"/>
      <c r="HUJ564" s="500"/>
      <c r="HUK564" s="500"/>
      <c r="HUL564" s="500"/>
      <c r="HUM564" s="500"/>
      <c r="HUN564" s="500"/>
      <c r="HUO564" s="500"/>
      <c r="HUP564" s="500"/>
      <c r="HUQ564" s="500"/>
      <c r="HUR564" s="500"/>
      <c r="HUS564" s="500"/>
      <c r="HUT564" s="500"/>
      <c r="HUU564" s="500"/>
      <c r="HUV564" s="500"/>
      <c r="HUW564" s="500"/>
      <c r="HUX564" s="500"/>
      <c r="HUY564" s="500"/>
      <c r="HUZ564" s="500"/>
      <c r="HVA564" s="500"/>
      <c r="HVB564" s="500"/>
      <c r="HVC564" s="500"/>
      <c r="HVD564" s="500"/>
      <c r="HVE564" s="500"/>
      <c r="HVF564" s="500"/>
      <c r="HVG564" s="500"/>
      <c r="HVH564" s="500"/>
      <c r="HVI564" s="500"/>
      <c r="HVJ564" s="500"/>
      <c r="HVK564" s="500"/>
      <c r="HVL564" s="500"/>
      <c r="HVM564" s="500"/>
      <c r="HVN564" s="500"/>
      <c r="HVO564" s="500"/>
      <c r="HVP564" s="500"/>
      <c r="HVQ564" s="500"/>
      <c r="HVR564" s="500"/>
      <c r="HVS564" s="500"/>
      <c r="HVT564" s="500"/>
      <c r="HVU564" s="500"/>
      <c r="HVV564" s="500"/>
      <c r="HVW564" s="500"/>
      <c r="HVX564" s="500"/>
      <c r="HVY564" s="500"/>
      <c r="HVZ564" s="500"/>
      <c r="HWA564" s="500"/>
      <c r="HWB564" s="500"/>
      <c r="HWC564" s="500"/>
      <c r="HWD564" s="500"/>
      <c r="HWE564" s="500"/>
      <c r="HWF564" s="500"/>
      <c r="HWG564" s="500"/>
      <c r="HWH564" s="500"/>
      <c r="HWI564" s="500"/>
      <c r="HWJ564" s="500"/>
      <c r="HWK564" s="500"/>
      <c r="HWL564" s="500"/>
      <c r="HWM564" s="500"/>
      <c r="HWN564" s="500"/>
      <c r="HWO564" s="500"/>
      <c r="HWP564" s="500"/>
      <c r="HWQ564" s="500"/>
      <c r="HWR564" s="500"/>
      <c r="HWS564" s="500"/>
      <c r="HWT564" s="500"/>
      <c r="HWU564" s="500"/>
      <c r="HWV564" s="500"/>
      <c r="HWW564" s="500"/>
      <c r="HWX564" s="500"/>
      <c r="HWY564" s="500"/>
      <c r="HWZ564" s="500"/>
      <c r="HXA564" s="500"/>
      <c r="HXB564" s="500"/>
      <c r="HXC564" s="500"/>
      <c r="HXD564" s="500"/>
      <c r="HXE564" s="500"/>
      <c r="HXF564" s="500"/>
      <c r="HXG564" s="500"/>
      <c r="HXH564" s="500"/>
      <c r="HXI564" s="500"/>
      <c r="HXJ564" s="500"/>
      <c r="HXK564" s="500"/>
      <c r="HXL564" s="500"/>
      <c r="HXM564" s="500"/>
      <c r="HXN564" s="500"/>
      <c r="HXO564" s="500"/>
      <c r="HXP564" s="500"/>
      <c r="HXQ564" s="500"/>
      <c r="HXR564" s="500"/>
      <c r="HXS564" s="500"/>
      <c r="HXT564" s="500"/>
      <c r="HXU564" s="500"/>
      <c r="HXV564" s="500"/>
      <c r="HXW564" s="500"/>
      <c r="HXX564" s="500"/>
      <c r="HXY564" s="500"/>
      <c r="HXZ564" s="500"/>
      <c r="HYA564" s="500"/>
      <c r="HYB564" s="500"/>
      <c r="HYC564" s="500"/>
      <c r="HYD564" s="500"/>
      <c r="HYE564" s="500"/>
      <c r="HYF564" s="500"/>
      <c r="HYG564" s="500"/>
      <c r="HYH564" s="500"/>
      <c r="HYI564" s="500"/>
      <c r="HYJ564" s="500"/>
      <c r="HYK564" s="500"/>
      <c r="HYL564" s="500"/>
      <c r="HYM564" s="500"/>
      <c r="HYN564" s="500"/>
      <c r="HYO564" s="500"/>
      <c r="HYP564" s="500"/>
      <c r="HYQ564" s="500"/>
      <c r="HYR564" s="500"/>
      <c r="HYS564" s="500"/>
      <c r="HYT564" s="500"/>
      <c r="HYU564" s="500"/>
      <c r="HYV564" s="500"/>
      <c r="HYW564" s="500"/>
      <c r="HYX564" s="500"/>
      <c r="HYY564" s="500"/>
      <c r="HYZ564" s="500"/>
      <c r="HZA564" s="500"/>
      <c r="HZB564" s="500"/>
      <c r="HZC564" s="500"/>
      <c r="HZD564" s="500"/>
      <c r="HZE564" s="500"/>
      <c r="HZF564" s="500"/>
      <c r="HZG564" s="500"/>
      <c r="HZH564" s="500"/>
      <c r="HZI564" s="500"/>
      <c r="HZJ564" s="500"/>
      <c r="HZK564" s="500"/>
      <c r="HZL564" s="500"/>
      <c r="HZM564" s="500"/>
      <c r="HZN564" s="500"/>
      <c r="HZO564" s="500"/>
      <c r="HZP564" s="500"/>
      <c r="HZQ564" s="500"/>
      <c r="HZR564" s="500"/>
      <c r="HZS564" s="500"/>
      <c r="HZT564" s="500"/>
      <c r="HZU564" s="500"/>
      <c r="HZV564" s="500"/>
      <c r="HZW564" s="500"/>
      <c r="HZX564" s="500"/>
      <c r="HZY564" s="500"/>
      <c r="HZZ564" s="500"/>
      <c r="IAA564" s="500"/>
      <c r="IAB564" s="500"/>
      <c r="IAC564" s="500"/>
      <c r="IAD564" s="500"/>
      <c r="IAE564" s="500"/>
      <c r="IAF564" s="500"/>
      <c r="IAG564" s="500"/>
      <c r="IAH564" s="500"/>
      <c r="IAI564" s="500"/>
      <c r="IAJ564" s="500"/>
      <c r="IAK564" s="500"/>
      <c r="IAL564" s="500"/>
      <c r="IAM564" s="500"/>
      <c r="IAN564" s="500"/>
      <c r="IAO564" s="500"/>
      <c r="IAP564" s="500"/>
      <c r="IAQ564" s="500"/>
      <c r="IAR564" s="500"/>
      <c r="IAS564" s="500"/>
      <c r="IAT564" s="500"/>
      <c r="IAU564" s="500"/>
      <c r="IAV564" s="500"/>
      <c r="IAW564" s="500"/>
      <c r="IAX564" s="500"/>
      <c r="IAY564" s="500"/>
      <c r="IAZ564" s="500"/>
      <c r="IBA564" s="500"/>
      <c r="IBB564" s="500"/>
      <c r="IBC564" s="500"/>
      <c r="IBD564" s="500"/>
      <c r="IBE564" s="500"/>
      <c r="IBF564" s="500"/>
      <c r="IBG564" s="500"/>
      <c r="IBH564" s="500"/>
      <c r="IBI564" s="500"/>
      <c r="IBJ564" s="500"/>
      <c r="IBK564" s="500"/>
      <c r="IBL564" s="500"/>
      <c r="IBM564" s="500"/>
      <c r="IBN564" s="500"/>
      <c r="IBO564" s="500"/>
      <c r="IBP564" s="500"/>
      <c r="IBQ564" s="500"/>
      <c r="IBR564" s="500"/>
      <c r="IBS564" s="500"/>
      <c r="IBT564" s="500"/>
      <c r="IBU564" s="500"/>
      <c r="IBV564" s="500"/>
      <c r="IBW564" s="500"/>
      <c r="IBX564" s="500"/>
      <c r="IBY564" s="500"/>
      <c r="IBZ564" s="500"/>
      <c r="ICA564" s="500"/>
      <c r="ICB564" s="500"/>
      <c r="ICC564" s="500"/>
      <c r="ICD564" s="500"/>
      <c r="ICE564" s="500"/>
      <c r="ICF564" s="500"/>
      <c r="ICG564" s="500"/>
      <c r="ICH564" s="500"/>
      <c r="ICI564" s="500"/>
      <c r="ICJ564" s="500"/>
      <c r="ICK564" s="500"/>
      <c r="ICL564" s="500"/>
      <c r="ICM564" s="500"/>
      <c r="ICN564" s="500"/>
      <c r="ICO564" s="500"/>
      <c r="ICP564" s="500"/>
      <c r="ICQ564" s="500"/>
      <c r="ICR564" s="500"/>
      <c r="ICS564" s="500"/>
      <c r="ICT564" s="500"/>
      <c r="ICU564" s="500"/>
      <c r="ICV564" s="500"/>
      <c r="ICW564" s="500"/>
      <c r="ICX564" s="500"/>
      <c r="ICY564" s="500"/>
      <c r="ICZ564" s="500"/>
      <c r="IDA564" s="500"/>
      <c r="IDB564" s="500"/>
      <c r="IDC564" s="500"/>
      <c r="IDD564" s="500"/>
      <c r="IDE564" s="500"/>
      <c r="IDF564" s="500"/>
      <c r="IDG564" s="500"/>
      <c r="IDH564" s="500"/>
      <c r="IDI564" s="500"/>
      <c r="IDJ564" s="500"/>
      <c r="IDK564" s="500"/>
      <c r="IDL564" s="500"/>
      <c r="IDM564" s="500"/>
      <c r="IDN564" s="500"/>
      <c r="IDO564" s="500"/>
      <c r="IDP564" s="500"/>
      <c r="IDQ564" s="500"/>
      <c r="IDR564" s="500"/>
      <c r="IDS564" s="500"/>
      <c r="IDT564" s="500"/>
      <c r="IDU564" s="500"/>
      <c r="IDV564" s="500"/>
      <c r="IDW564" s="500"/>
      <c r="IDX564" s="500"/>
      <c r="IDY564" s="500"/>
      <c r="IDZ564" s="500"/>
      <c r="IEA564" s="500"/>
      <c r="IEB564" s="500"/>
      <c r="IEC564" s="500"/>
      <c r="IED564" s="500"/>
      <c r="IEE564" s="500"/>
      <c r="IEF564" s="500"/>
      <c r="IEG564" s="500"/>
      <c r="IEH564" s="500"/>
      <c r="IEI564" s="500"/>
      <c r="IEJ564" s="500"/>
      <c r="IEK564" s="500"/>
      <c r="IEL564" s="500"/>
      <c r="IEM564" s="500"/>
      <c r="IEN564" s="500"/>
      <c r="IEO564" s="500"/>
      <c r="IEP564" s="500"/>
      <c r="IEQ564" s="500"/>
      <c r="IER564" s="500"/>
      <c r="IES564" s="500"/>
      <c r="IET564" s="500"/>
      <c r="IEU564" s="500"/>
      <c r="IEV564" s="500"/>
      <c r="IEW564" s="500"/>
      <c r="IEX564" s="500"/>
      <c r="IEY564" s="500"/>
      <c r="IEZ564" s="500"/>
      <c r="IFA564" s="500"/>
      <c r="IFB564" s="500"/>
      <c r="IFC564" s="500"/>
      <c r="IFD564" s="500"/>
      <c r="IFE564" s="500"/>
      <c r="IFF564" s="500"/>
      <c r="IFG564" s="500"/>
      <c r="IFH564" s="500"/>
      <c r="IFI564" s="500"/>
      <c r="IFJ564" s="500"/>
      <c r="IFK564" s="500"/>
      <c r="IFL564" s="500"/>
      <c r="IFM564" s="500"/>
      <c r="IFN564" s="500"/>
      <c r="IFO564" s="500"/>
      <c r="IFP564" s="500"/>
      <c r="IFQ564" s="500"/>
      <c r="IFR564" s="500"/>
      <c r="IFS564" s="500"/>
      <c r="IFT564" s="500"/>
      <c r="IFU564" s="500"/>
      <c r="IFV564" s="500"/>
      <c r="IFW564" s="500"/>
      <c r="IFX564" s="500"/>
      <c r="IFY564" s="500"/>
      <c r="IFZ564" s="500"/>
      <c r="IGA564" s="500"/>
      <c r="IGB564" s="500"/>
      <c r="IGC564" s="500"/>
      <c r="IGD564" s="500"/>
      <c r="IGE564" s="500"/>
      <c r="IGF564" s="500"/>
      <c r="IGG564" s="500"/>
      <c r="IGH564" s="500"/>
      <c r="IGI564" s="500"/>
      <c r="IGJ564" s="500"/>
      <c r="IGK564" s="500"/>
      <c r="IGL564" s="500"/>
      <c r="IGM564" s="500"/>
      <c r="IGN564" s="500"/>
      <c r="IGO564" s="500"/>
      <c r="IGP564" s="500"/>
      <c r="IGQ564" s="500"/>
      <c r="IGR564" s="500"/>
      <c r="IGS564" s="500"/>
      <c r="IGT564" s="500"/>
      <c r="IGU564" s="500"/>
      <c r="IGV564" s="500"/>
      <c r="IGW564" s="500"/>
      <c r="IGX564" s="500"/>
      <c r="IGY564" s="500"/>
      <c r="IGZ564" s="500"/>
      <c r="IHA564" s="500"/>
      <c r="IHB564" s="500"/>
      <c r="IHC564" s="500"/>
      <c r="IHD564" s="500"/>
      <c r="IHE564" s="500"/>
      <c r="IHF564" s="500"/>
      <c r="IHG564" s="500"/>
      <c r="IHH564" s="500"/>
      <c r="IHI564" s="500"/>
      <c r="IHJ564" s="500"/>
      <c r="IHK564" s="500"/>
      <c r="IHL564" s="500"/>
      <c r="IHM564" s="500"/>
      <c r="IHN564" s="500"/>
      <c r="IHO564" s="500"/>
      <c r="IHP564" s="500"/>
      <c r="IHQ564" s="500"/>
      <c r="IHR564" s="500"/>
      <c r="IHS564" s="500"/>
      <c r="IHT564" s="500"/>
      <c r="IHU564" s="500"/>
      <c r="IHV564" s="500"/>
      <c r="IHW564" s="500"/>
      <c r="IHX564" s="500"/>
      <c r="IHY564" s="500"/>
      <c r="IHZ564" s="500"/>
      <c r="IIA564" s="500"/>
      <c r="IIB564" s="500"/>
      <c r="IIC564" s="500"/>
      <c r="IID564" s="500"/>
      <c r="IIE564" s="500"/>
      <c r="IIF564" s="500"/>
      <c r="IIG564" s="500"/>
      <c r="IIH564" s="500"/>
      <c r="III564" s="500"/>
      <c r="IIJ564" s="500"/>
      <c r="IIK564" s="500"/>
      <c r="IIL564" s="500"/>
      <c r="IIM564" s="500"/>
      <c r="IIN564" s="500"/>
      <c r="IIO564" s="500"/>
      <c r="IIP564" s="500"/>
      <c r="IIQ564" s="500"/>
      <c r="IIR564" s="500"/>
      <c r="IIS564" s="500"/>
      <c r="IIT564" s="500"/>
      <c r="IIU564" s="500"/>
      <c r="IIV564" s="500"/>
      <c r="IIW564" s="500"/>
      <c r="IIX564" s="500"/>
      <c r="IIY564" s="500"/>
      <c r="IIZ564" s="500"/>
      <c r="IJA564" s="500"/>
      <c r="IJB564" s="500"/>
      <c r="IJC564" s="500"/>
      <c r="IJD564" s="500"/>
      <c r="IJE564" s="500"/>
      <c r="IJF564" s="500"/>
      <c r="IJG564" s="500"/>
      <c r="IJH564" s="500"/>
      <c r="IJI564" s="500"/>
      <c r="IJJ564" s="500"/>
      <c r="IJK564" s="500"/>
      <c r="IJL564" s="500"/>
      <c r="IJM564" s="500"/>
      <c r="IJN564" s="500"/>
      <c r="IJO564" s="500"/>
      <c r="IJP564" s="500"/>
      <c r="IJQ564" s="500"/>
      <c r="IJR564" s="500"/>
      <c r="IJS564" s="500"/>
      <c r="IJT564" s="500"/>
      <c r="IJU564" s="500"/>
      <c r="IJV564" s="500"/>
      <c r="IJW564" s="500"/>
      <c r="IJX564" s="500"/>
      <c r="IJY564" s="500"/>
      <c r="IJZ564" s="500"/>
      <c r="IKA564" s="500"/>
      <c r="IKB564" s="500"/>
      <c r="IKC564" s="500"/>
      <c r="IKD564" s="500"/>
      <c r="IKE564" s="500"/>
      <c r="IKF564" s="500"/>
      <c r="IKG564" s="500"/>
      <c r="IKH564" s="500"/>
      <c r="IKI564" s="500"/>
      <c r="IKJ564" s="500"/>
      <c r="IKK564" s="500"/>
      <c r="IKL564" s="500"/>
      <c r="IKM564" s="500"/>
      <c r="IKN564" s="500"/>
      <c r="IKO564" s="500"/>
      <c r="IKP564" s="500"/>
      <c r="IKQ564" s="500"/>
      <c r="IKR564" s="500"/>
      <c r="IKS564" s="500"/>
      <c r="IKT564" s="500"/>
      <c r="IKU564" s="500"/>
      <c r="IKV564" s="500"/>
      <c r="IKW564" s="500"/>
      <c r="IKX564" s="500"/>
      <c r="IKY564" s="500"/>
      <c r="IKZ564" s="500"/>
      <c r="ILA564" s="500"/>
      <c r="ILB564" s="500"/>
      <c r="ILC564" s="500"/>
      <c r="ILD564" s="500"/>
      <c r="ILE564" s="500"/>
      <c r="ILF564" s="500"/>
      <c r="ILG564" s="500"/>
      <c r="ILH564" s="500"/>
      <c r="ILI564" s="500"/>
      <c r="ILJ564" s="500"/>
      <c r="ILK564" s="500"/>
      <c r="ILL564" s="500"/>
      <c r="ILM564" s="500"/>
      <c r="ILN564" s="500"/>
      <c r="ILO564" s="500"/>
      <c r="ILP564" s="500"/>
      <c r="ILQ564" s="500"/>
      <c r="ILR564" s="500"/>
      <c r="ILS564" s="500"/>
      <c r="ILT564" s="500"/>
      <c r="ILU564" s="500"/>
      <c r="ILV564" s="500"/>
      <c r="ILW564" s="500"/>
      <c r="ILX564" s="500"/>
      <c r="ILY564" s="500"/>
      <c r="ILZ564" s="500"/>
      <c r="IMA564" s="500"/>
      <c r="IMB564" s="500"/>
      <c r="IMC564" s="500"/>
      <c r="IMD564" s="500"/>
      <c r="IME564" s="500"/>
      <c r="IMF564" s="500"/>
      <c r="IMG564" s="500"/>
      <c r="IMH564" s="500"/>
      <c r="IMI564" s="500"/>
      <c r="IMJ564" s="500"/>
      <c r="IMK564" s="500"/>
      <c r="IML564" s="500"/>
      <c r="IMM564" s="500"/>
      <c r="IMN564" s="500"/>
      <c r="IMO564" s="500"/>
      <c r="IMP564" s="500"/>
      <c r="IMQ564" s="500"/>
      <c r="IMR564" s="500"/>
      <c r="IMS564" s="500"/>
      <c r="IMT564" s="500"/>
      <c r="IMU564" s="500"/>
      <c r="IMV564" s="500"/>
      <c r="IMW564" s="500"/>
      <c r="IMX564" s="500"/>
      <c r="IMY564" s="500"/>
      <c r="IMZ564" s="500"/>
      <c r="INA564" s="500"/>
      <c r="INB564" s="500"/>
      <c r="INC564" s="500"/>
      <c r="IND564" s="500"/>
      <c r="INE564" s="500"/>
      <c r="INF564" s="500"/>
      <c r="ING564" s="500"/>
      <c r="INH564" s="500"/>
      <c r="INI564" s="500"/>
      <c r="INJ564" s="500"/>
      <c r="INK564" s="500"/>
      <c r="INL564" s="500"/>
      <c r="INM564" s="500"/>
      <c r="INN564" s="500"/>
      <c r="INO564" s="500"/>
      <c r="INP564" s="500"/>
      <c r="INQ564" s="500"/>
      <c r="INR564" s="500"/>
      <c r="INS564" s="500"/>
      <c r="INT564" s="500"/>
      <c r="INU564" s="500"/>
      <c r="INV564" s="500"/>
      <c r="INW564" s="500"/>
      <c r="INX564" s="500"/>
      <c r="INY564" s="500"/>
      <c r="INZ564" s="500"/>
      <c r="IOA564" s="500"/>
      <c r="IOB564" s="500"/>
      <c r="IOC564" s="500"/>
      <c r="IOD564" s="500"/>
      <c r="IOE564" s="500"/>
      <c r="IOF564" s="500"/>
      <c r="IOG564" s="500"/>
      <c r="IOH564" s="500"/>
      <c r="IOI564" s="500"/>
      <c r="IOJ564" s="500"/>
      <c r="IOK564" s="500"/>
      <c r="IOL564" s="500"/>
      <c r="IOM564" s="500"/>
      <c r="ION564" s="500"/>
      <c r="IOO564" s="500"/>
      <c r="IOP564" s="500"/>
      <c r="IOQ564" s="500"/>
      <c r="IOR564" s="500"/>
      <c r="IOS564" s="500"/>
      <c r="IOT564" s="500"/>
      <c r="IOU564" s="500"/>
      <c r="IOV564" s="500"/>
      <c r="IOW564" s="500"/>
      <c r="IOX564" s="500"/>
      <c r="IOY564" s="500"/>
      <c r="IOZ564" s="500"/>
      <c r="IPA564" s="500"/>
      <c r="IPB564" s="500"/>
      <c r="IPC564" s="500"/>
      <c r="IPD564" s="500"/>
      <c r="IPE564" s="500"/>
      <c r="IPF564" s="500"/>
      <c r="IPG564" s="500"/>
      <c r="IPH564" s="500"/>
      <c r="IPI564" s="500"/>
      <c r="IPJ564" s="500"/>
      <c r="IPK564" s="500"/>
      <c r="IPL564" s="500"/>
      <c r="IPM564" s="500"/>
      <c r="IPN564" s="500"/>
      <c r="IPO564" s="500"/>
      <c r="IPP564" s="500"/>
      <c r="IPQ564" s="500"/>
      <c r="IPR564" s="500"/>
      <c r="IPS564" s="500"/>
      <c r="IPT564" s="500"/>
      <c r="IPU564" s="500"/>
      <c r="IPV564" s="500"/>
      <c r="IPW564" s="500"/>
      <c r="IPX564" s="500"/>
      <c r="IPY564" s="500"/>
      <c r="IPZ564" s="500"/>
      <c r="IQA564" s="500"/>
      <c r="IQB564" s="500"/>
      <c r="IQC564" s="500"/>
      <c r="IQD564" s="500"/>
      <c r="IQE564" s="500"/>
      <c r="IQF564" s="500"/>
      <c r="IQG564" s="500"/>
      <c r="IQH564" s="500"/>
      <c r="IQI564" s="500"/>
      <c r="IQJ564" s="500"/>
      <c r="IQK564" s="500"/>
      <c r="IQL564" s="500"/>
      <c r="IQM564" s="500"/>
      <c r="IQN564" s="500"/>
      <c r="IQO564" s="500"/>
      <c r="IQP564" s="500"/>
      <c r="IQQ564" s="500"/>
      <c r="IQR564" s="500"/>
      <c r="IQS564" s="500"/>
      <c r="IQT564" s="500"/>
      <c r="IQU564" s="500"/>
      <c r="IQV564" s="500"/>
      <c r="IQW564" s="500"/>
      <c r="IQX564" s="500"/>
      <c r="IQY564" s="500"/>
      <c r="IQZ564" s="500"/>
      <c r="IRA564" s="500"/>
      <c r="IRB564" s="500"/>
      <c r="IRC564" s="500"/>
      <c r="IRD564" s="500"/>
      <c r="IRE564" s="500"/>
      <c r="IRF564" s="500"/>
      <c r="IRG564" s="500"/>
      <c r="IRH564" s="500"/>
      <c r="IRI564" s="500"/>
      <c r="IRJ564" s="500"/>
      <c r="IRK564" s="500"/>
      <c r="IRL564" s="500"/>
      <c r="IRM564" s="500"/>
      <c r="IRN564" s="500"/>
      <c r="IRO564" s="500"/>
      <c r="IRP564" s="500"/>
      <c r="IRQ564" s="500"/>
      <c r="IRR564" s="500"/>
      <c r="IRS564" s="500"/>
      <c r="IRT564" s="500"/>
      <c r="IRU564" s="500"/>
      <c r="IRV564" s="500"/>
      <c r="IRW564" s="500"/>
      <c r="IRX564" s="500"/>
      <c r="IRY564" s="500"/>
      <c r="IRZ564" s="500"/>
      <c r="ISA564" s="500"/>
      <c r="ISB564" s="500"/>
      <c r="ISC564" s="500"/>
      <c r="ISD564" s="500"/>
      <c r="ISE564" s="500"/>
      <c r="ISF564" s="500"/>
      <c r="ISG564" s="500"/>
      <c r="ISH564" s="500"/>
      <c r="ISI564" s="500"/>
      <c r="ISJ564" s="500"/>
      <c r="ISK564" s="500"/>
      <c r="ISL564" s="500"/>
      <c r="ISM564" s="500"/>
      <c r="ISN564" s="500"/>
      <c r="ISO564" s="500"/>
      <c r="ISP564" s="500"/>
      <c r="ISQ564" s="500"/>
      <c r="ISR564" s="500"/>
      <c r="ISS564" s="500"/>
      <c r="IST564" s="500"/>
      <c r="ISU564" s="500"/>
      <c r="ISV564" s="500"/>
      <c r="ISW564" s="500"/>
      <c r="ISX564" s="500"/>
      <c r="ISY564" s="500"/>
      <c r="ISZ564" s="500"/>
      <c r="ITA564" s="500"/>
      <c r="ITB564" s="500"/>
      <c r="ITC564" s="500"/>
      <c r="ITD564" s="500"/>
      <c r="ITE564" s="500"/>
      <c r="ITF564" s="500"/>
      <c r="ITG564" s="500"/>
      <c r="ITH564" s="500"/>
      <c r="ITI564" s="500"/>
      <c r="ITJ564" s="500"/>
      <c r="ITK564" s="500"/>
      <c r="ITL564" s="500"/>
      <c r="ITM564" s="500"/>
      <c r="ITN564" s="500"/>
      <c r="ITO564" s="500"/>
      <c r="ITP564" s="500"/>
      <c r="ITQ564" s="500"/>
      <c r="ITR564" s="500"/>
      <c r="ITS564" s="500"/>
      <c r="ITT564" s="500"/>
      <c r="ITU564" s="500"/>
      <c r="ITV564" s="500"/>
      <c r="ITW564" s="500"/>
      <c r="ITX564" s="500"/>
      <c r="ITY564" s="500"/>
      <c r="ITZ564" s="500"/>
      <c r="IUA564" s="500"/>
      <c r="IUB564" s="500"/>
      <c r="IUC564" s="500"/>
      <c r="IUD564" s="500"/>
      <c r="IUE564" s="500"/>
      <c r="IUF564" s="500"/>
      <c r="IUG564" s="500"/>
      <c r="IUH564" s="500"/>
      <c r="IUI564" s="500"/>
      <c r="IUJ564" s="500"/>
      <c r="IUK564" s="500"/>
      <c r="IUL564" s="500"/>
      <c r="IUM564" s="500"/>
      <c r="IUN564" s="500"/>
      <c r="IUO564" s="500"/>
      <c r="IUP564" s="500"/>
      <c r="IUQ564" s="500"/>
      <c r="IUR564" s="500"/>
      <c r="IUS564" s="500"/>
      <c r="IUT564" s="500"/>
      <c r="IUU564" s="500"/>
      <c r="IUV564" s="500"/>
      <c r="IUW564" s="500"/>
      <c r="IUX564" s="500"/>
      <c r="IUY564" s="500"/>
      <c r="IUZ564" s="500"/>
      <c r="IVA564" s="500"/>
      <c r="IVB564" s="500"/>
      <c r="IVC564" s="500"/>
      <c r="IVD564" s="500"/>
      <c r="IVE564" s="500"/>
      <c r="IVF564" s="500"/>
      <c r="IVG564" s="500"/>
      <c r="IVH564" s="500"/>
      <c r="IVI564" s="500"/>
      <c r="IVJ564" s="500"/>
      <c r="IVK564" s="500"/>
      <c r="IVL564" s="500"/>
      <c r="IVM564" s="500"/>
      <c r="IVN564" s="500"/>
      <c r="IVO564" s="500"/>
      <c r="IVP564" s="500"/>
      <c r="IVQ564" s="500"/>
      <c r="IVR564" s="500"/>
      <c r="IVS564" s="500"/>
      <c r="IVT564" s="500"/>
      <c r="IVU564" s="500"/>
      <c r="IVV564" s="500"/>
      <c r="IVW564" s="500"/>
      <c r="IVX564" s="500"/>
      <c r="IVY564" s="500"/>
      <c r="IVZ564" s="500"/>
      <c r="IWA564" s="500"/>
      <c r="IWB564" s="500"/>
      <c r="IWC564" s="500"/>
      <c r="IWD564" s="500"/>
      <c r="IWE564" s="500"/>
      <c r="IWF564" s="500"/>
      <c r="IWG564" s="500"/>
      <c r="IWH564" s="500"/>
      <c r="IWI564" s="500"/>
      <c r="IWJ564" s="500"/>
      <c r="IWK564" s="500"/>
      <c r="IWL564" s="500"/>
      <c r="IWM564" s="500"/>
      <c r="IWN564" s="500"/>
      <c r="IWO564" s="500"/>
      <c r="IWP564" s="500"/>
      <c r="IWQ564" s="500"/>
      <c r="IWR564" s="500"/>
      <c r="IWS564" s="500"/>
      <c r="IWT564" s="500"/>
      <c r="IWU564" s="500"/>
      <c r="IWV564" s="500"/>
      <c r="IWW564" s="500"/>
      <c r="IWX564" s="500"/>
      <c r="IWY564" s="500"/>
      <c r="IWZ564" s="500"/>
      <c r="IXA564" s="500"/>
      <c r="IXB564" s="500"/>
      <c r="IXC564" s="500"/>
      <c r="IXD564" s="500"/>
      <c r="IXE564" s="500"/>
      <c r="IXF564" s="500"/>
      <c r="IXG564" s="500"/>
      <c r="IXH564" s="500"/>
      <c r="IXI564" s="500"/>
      <c r="IXJ564" s="500"/>
      <c r="IXK564" s="500"/>
      <c r="IXL564" s="500"/>
      <c r="IXM564" s="500"/>
      <c r="IXN564" s="500"/>
      <c r="IXO564" s="500"/>
      <c r="IXP564" s="500"/>
      <c r="IXQ564" s="500"/>
      <c r="IXR564" s="500"/>
      <c r="IXS564" s="500"/>
      <c r="IXT564" s="500"/>
      <c r="IXU564" s="500"/>
      <c r="IXV564" s="500"/>
      <c r="IXW564" s="500"/>
      <c r="IXX564" s="500"/>
      <c r="IXY564" s="500"/>
      <c r="IXZ564" s="500"/>
      <c r="IYA564" s="500"/>
      <c r="IYB564" s="500"/>
      <c r="IYC564" s="500"/>
      <c r="IYD564" s="500"/>
      <c r="IYE564" s="500"/>
      <c r="IYF564" s="500"/>
      <c r="IYG564" s="500"/>
      <c r="IYH564" s="500"/>
      <c r="IYI564" s="500"/>
      <c r="IYJ564" s="500"/>
      <c r="IYK564" s="500"/>
      <c r="IYL564" s="500"/>
      <c r="IYM564" s="500"/>
      <c r="IYN564" s="500"/>
      <c r="IYO564" s="500"/>
      <c r="IYP564" s="500"/>
      <c r="IYQ564" s="500"/>
      <c r="IYR564" s="500"/>
      <c r="IYS564" s="500"/>
      <c r="IYT564" s="500"/>
      <c r="IYU564" s="500"/>
      <c r="IYV564" s="500"/>
      <c r="IYW564" s="500"/>
      <c r="IYX564" s="500"/>
      <c r="IYY564" s="500"/>
      <c r="IYZ564" s="500"/>
      <c r="IZA564" s="500"/>
      <c r="IZB564" s="500"/>
      <c r="IZC564" s="500"/>
      <c r="IZD564" s="500"/>
      <c r="IZE564" s="500"/>
      <c r="IZF564" s="500"/>
      <c r="IZG564" s="500"/>
      <c r="IZH564" s="500"/>
      <c r="IZI564" s="500"/>
      <c r="IZJ564" s="500"/>
      <c r="IZK564" s="500"/>
      <c r="IZL564" s="500"/>
      <c r="IZM564" s="500"/>
      <c r="IZN564" s="500"/>
      <c r="IZO564" s="500"/>
      <c r="IZP564" s="500"/>
      <c r="IZQ564" s="500"/>
      <c r="IZR564" s="500"/>
      <c r="IZS564" s="500"/>
      <c r="IZT564" s="500"/>
      <c r="IZU564" s="500"/>
      <c r="IZV564" s="500"/>
      <c r="IZW564" s="500"/>
      <c r="IZX564" s="500"/>
      <c r="IZY564" s="500"/>
      <c r="IZZ564" s="500"/>
      <c r="JAA564" s="500"/>
      <c r="JAB564" s="500"/>
      <c r="JAC564" s="500"/>
      <c r="JAD564" s="500"/>
      <c r="JAE564" s="500"/>
      <c r="JAF564" s="500"/>
      <c r="JAG564" s="500"/>
      <c r="JAH564" s="500"/>
      <c r="JAI564" s="500"/>
      <c r="JAJ564" s="500"/>
      <c r="JAK564" s="500"/>
      <c r="JAL564" s="500"/>
      <c r="JAM564" s="500"/>
      <c r="JAN564" s="500"/>
      <c r="JAO564" s="500"/>
      <c r="JAP564" s="500"/>
      <c r="JAQ564" s="500"/>
      <c r="JAR564" s="500"/>
      <c r="JAS564" s="500"/>
      <c r="JAT564" s="500"/>
      <c r="JAU564" s="500"/>
      <c r="JAV564" s="500"/>
      <c r="JAW564" s="500"/>
      <c r="JAX564" s="500"/>
      <c r="JAY564" s="500"/>
      <c r="JAZ564" s="500"/>
      <c r="JBA564" s="500"/>
      <c r="JBB564" s="500"/>
      <c r="JBC564" s="500"/>
      <c r="JBD564" s="500"/>
      <c r="JBE564" s="500"/>
      <c r="JBF564" s="500"/>
      <c r="JBG564" s="500"/>
      <c r="JBH564" s="500"/>
      <c r="JBI564" s="500"/>
      <c r="JBJ564" s="500"/>
      <c r="JBK564" s="500"/>
      <c r="JBL564" s="500"/>
      <c r="JBM564" s="500"/>
      <c r="JBN564" s="500"/>
      <c r="JBO564" s="500"/>
      <c r="JBP564" s="500"/>
      <c r="JBQ564" s="500"/>
      <c r="JBR564" s="500"/>
      <c r="JBS564" s="500"/>
      <c r="JBT564" s="500"/>
      <c r="JBU564" s="500"/>
      <c r="JBV564" s="500"/>
      <c r="JBW564" s="500"/>
      <c r="JBX564" s="500"/>
      <c r="JBY564" s="500"/>
      <c r="JBZ564" s="500"/>
      <c r="JCA564" s="500"/>
      <c r="JCB564" s="500"/>
      <c r="JCC564" s="500"/>
      <c r="JCD564" s="500"/>
      <c r="JCE564" s="500"/>
      <c r="JCF564" s="500"/>
      <c r="JCG564" s="500"/>
      <c r="JCH564" s="500"/>
      <c r="JCI564" s="500"/>
      <c r="JCJ564" s="500"/>
      <c r="JCK564" s="500"/>
      <c r="JCL564" s="500"/>
      <c r="JCM564" s="500"/>
      <c r="JCN564" s="500"/>
      <c r="JCO564" s="500"/>
      <c r="JCP564" s="500"/>
      <c r="JCQ564" s="500"/>
      <c r="JCR564" s="500"/>
      <c r="JCS564" s="500"/>
      <c r="JCT564" s="500"/>
      <c r="JCU564" s="500"/>
      <c r="JCV564" s="500"/>
      <c r="JCW564" s="500"/>
      <c r="JCX564" s="500"/>
      <c r="JCY564" s="500"/>
      <c r="JCZ564" s="500"/>
      <c r="JDA564" s="500"/>
      <c r="JDB564" s="500"/>
      <c r="JDC564" s="500"/>
      <c r="JDD564" s="500"/>
      <c r="JDE564" s="500"/>
      <c r="JDF564" s="500"/>
      <c r="JDG564" s="500"/>
      <c r="JDH564" s="500"/>
      <c r="JDI564" s="500"/>
      <c r="JDJ564" s="500"/>
      <c r="JDK564" s="500"/>
      <c r="JDL564" s="500"/>
      <c r="JDM564" s="500"/>
      <c r="JDN564" s="500"/>
      <c r="JDO564" s="500"/>
      <c r="JDP564" s="500"/>
      <c r="JDQ564" s="500"/>
      <c r="JDR564" s="500"/>
      <c r="JDS564" s="500"/>
      <c r="JDT564" s="500"/>
      <c r="JDU564" s="500"/>
      <c r="JDV564" s="500"/>
      <c r="JDW564" s="500"/>
      <c r="JDX564" s="500"/>
      <c r="JDY564" s="500"/>
      <c r="JDZ564" s="500"/>
      <c r="JEA564" s="500"/>
      <c r="JEB564" s="500"/>
      <c r="JEC564" s="500"/>
      <c r="JED564" s="500"/>
      <c r="JEE564" s="500"/>
      <c r="JEF564" s="500"/>
      <c r="JEG564" s="500"/>
      <c r="JEH564" s="500"/>
      <c r="JEI564" s="500"/>
      <c r="JEJ564" s="500"/>
      <c r="JEK564" s="500"/>
      <c r="JEL564" s="500"/>
      <c r="JEM564" s="500"/>
      <c r="JEN564" s="500"/>
      <c r="JEO564" s="500"/>
      <c r="JEP564" s="500"/>
      <c r="JEQ564" s="500"/>
      <c r="JER564" s="500"/>
      <c r="JES564" s="500"/>
      <c r="JET564" s="500"/>
      <c r="JEU564" s="500"/>
      <c r="JEV564" s="500"/>
      <c r="JEW564" s="500"/>
      <c r="JEX564" s="500"/>
      <c r="JEY564" s="500"/>
      <c r="JEZ564" s="500"/>
      <c r="JFA564" s="500"/>
      <c r="JFB564" s="500"/>
      <c r="JFC564" s="500"/>
      <c r="JFD564" s="500"/>
      <c r="JFE564" s="500"/>
      <c r="JFF564" s="500"/>
      <c r="JFG564" s="500"/>
      <c r="JFH564" s="500"/>
      <c r="JFI564" s="500"/>
      <c r="JFJ564" s="500"/>
      <c r="JFK564" s="500"/>
      <c r="JFL564" s="500"/>
      <c r="JFM564" s="500"/>
      <c r="JFN564" s="500"/>
      <c r="JFO564" s="500"/>
      <c r="JFP564" s="500"/>
      <c r="JFQ564" s="500"/>
      <c r="JFR564" s="500"/>
      <c r="JFS564" s="500"/>
      <c r="JFT564" s="500"/>
      <c r="JFU564" s="500"/>
      <c r="JFV564" s="500"/>
      <c r="JFW564" s="500"/>
      <c r="JFX564" s="500"/>
      <c r="JFY564" s="500"/>
      <c r="JFZ564" s="500"/>
      <c r="JGA564" s="500"/>
      <c r="JGB564" s="500"/>
      <c r="JGC564" s="500"/>
      <c r="JGD564" s="500"/>
      <c r="JGE564" s="500"/>
      <c r="JGF564" s="500"/>
      <c r="JGG564" s="500"/>
      <c r="JGH564" s="500"/>
      <c r="JGI564" s="500"/>
      <c r="JGJ564" s="500"/>
      <c r="JGK564" s="500"/>
      <c r="JGL564" s="500"/>
      <c r="JGM564" s="500"/>
      <c r="JGN564" s="500"/>
      <c r="JGO564" s="500"/>
      <c r="JGP564" s="500"/>
      <c r="JGQ564" s="500"/>
      <c r="JGR564" s="500"/>
      <c r="JGS564" s="500"/>
      <c r="JGT564" s="500"/>
      <c r="JGU564" s="500"/>
      <c r="JGV564" s="500"/>
      <c r="JGW564" s="500"/>
      <c r="JGX564" s="500"/>
      <c r="JGY564" s="500"/>
      <c r="JGZ564" s="500"/>
      <c r="JHA564" s="500"/>
      <c r="JHB564" s="500"/>
      <c r="JHC564" s="500"/>
      <c r="JHD564" s="500"/>
      <c r="JHE564" s="500"/>
      <c r="JHF564" s="500"/>
      <c r="JHG564" s="500"/>
      <c r="JHH564" s="500"/>
      <c r="JHI564" s="500"/>
      <c r="JHJ564" s="500"/>
      <c r="JHK564" s="500"/>
      <c r="JHL564" s="500"/>
      <c r="JHM564" s="500"/>
      <c r="JHN564" s="500"/>
      <c r="JHO564" s="500"/>
      <c r="JHP564" s="500"/>
      <c r="JHQ564" s="500"/>
      <c r="JHR564" s="500"/>
      <c r="JHS564" s="500"/>
      <c r="JHT564" s="500"/>
      <c r="JHU564" s="500"/>
      <c r="JHV564" s="500"/>
      <c r="JHW564" s="500"/>
      <c r="JHX564" s="500"/>
      <c r="JHY564" s="500"/>
      <c r="JHZ564" s="500"/>
      <c r="JIA564" s="500"/>
      <c r="JIB564" s="500"/>
      <c r="JIC564" s="500"/>
      <c r="JID564" s="500"/>
      <c r="JIE564" s="500"/>
      <c r="JIF564" s="500"/>
      <c r="JIG564" s="500"/>
      <c r="JIH564" s="500"/>
      <c r="JII564" s="500"/>
      <c r="JIJ564" s="500"/>
      <c r="JIK564" s="500"/>
      <c r="JIL564" s="500"/>
      <c r="JIM564" s="500"/>
      <c r="JIN564" s="500"/>
      <c r="JIO564" s="500"/>
      <c r="JIP564" s="500"/>
      <c r="JIQ564" s="500"/>
      <c r="JIR564" s="500"/>
      <c r="JIS564" s="500"/>
      <c r="JIT564" s="500"/>
      <c r="JIU564" s="500"/>
      <c r="JIV564" s="500"/>
      <c r="JIW564" s="500"/>
      <c r="JIX564" s="500"/>
      <c r="JIY564" s="500"/>
      <c r="JIZ564" s="500"/>
      <c r="JJA564" s="500"/>
      <c r="JJB564" s="500"/>
      <c r="JJC564" s="500"/>
      <c r="JJD564" s="500"/>
      <c r="JJE564" s="500"/>
      <c r="JJF564" s="500"/>
      <c r="JJG564" s="500"/>
      <c r="JJH564" s="500"/>
      <c r="JJI564" s="500"/>
      <c r="JJJ564" s="500"/>
      <c r="JJK564" s="500"/>
      <c r="JJL564" s="500"/>
      <c r="JJM564" s="500"/>
      <c r="JJN564" s="500"/>
      <c r="JJO564" s="500"/>
      <c r="JJP564" s="500"/>
      <c r="JJQ564" s="500"/>
      <c r="JJR564" s="500"/>
      <c r="JJS564" s="500"/>
      <c r="JJT564" s="500"/>
      <c r="JJU564" s="500"/>
      <c r="JJV564" s="500"/>
      <c r="JJW564" s="500"/>
      <c r="JJX564" s="500"/>
      <c r="JJY564" s="500"/>
      <c r="JJZ564" s="500"/>
      <c r="JKA564" s="500"/>
      <c r="JKB564" s="500"/>
      <c r="JKC564" s="500"/>
      <c r="JKD564" s="500"/>
      <c r="JKE564" s="500"/>
      <c r="JKF564" s="500"/>
      <c r="JKG564" s="500"/>
      <c r="JKH564" s="500"/>
      <c r="JKI564" s="500"/>
      <c r="JKJ564" s="500"/>
      <c r="JKK564" s="500"/>
      <c r="JKL564" s="500"/>
      <c r="JKM564" s="500"/>
      <c r="JKN564" s="500"/>
      <c r="JKO564" s="500"/>
      <c r="JKP564" s="500"/>
      <c r="JKQ564" s="500"/>
      <c r="JKR564" s="500"/>
      <c r="JKS564" s="500"/>
      <c r="JKT564" s="500"/>
      <c r="JKU564" s="500"/>
      <c r="JKV564" s="500"/>
      <c r="JKW564" s="500"/>
      <c r="JKX564" s="500"/>
      <c r="JKY564" s="500"/>
      <c r="JKZ564" s="500"/>
      <c r="JLA564" s="500"/>
      <c r="JLB564" s="500"/>
      <c r="JLC564" s="500"/>
      <c r="JLD564" s="500"/>
      <c r="JLE564" s="500"/>
      <c r="JLF564" s="500"/>
      <c r="JLG564" s="500"/>
      <c r="JLH564" s="500"/>
      <c r="JLI564" s="500"/>
      <c r="JLJ564" s="500"/>
      <c r="JLK564" s="500"/>
      <c r="JLL564" s="500"/>
      <c r="JLM564" s="500"/>
      <c r="JLN564" s="500"/>
      <c r="JLO564" s="500"/>
      <c r="JLP564" s="500"/>
      <c r="JLQ564" s="500"/>
      <c r="JLR564" s="500"/>
      <c r="JLS564" s="500"/>
      <c r="JLT564" s="500"/>
      <c r="JLU564" s="500"/>
      <c r="JLV564" s="500"/>
      <c r="JLW564" s="500"/>
      <c r="JLX564" s="500"/>
      <c r="JLY564" s="500"/>
      <c r="JLZ564" s="500"/>
      <c r="JMA564" s="500"/>
      <c r="JMB564" s="500"/>
      <c r="JMC564" s="500"/>
      <c r="JMD564" s="500"/>
      <c r="JME564" s="500"/>
      <c r="JMF564" s="500"/>
      <c r="JMG564" s="500"/>
      <c r="JMH564" s="500"/>
      <c r="JMI564" s="500"/>
      <c r="JMJ564" s="500"/>
      <c r="JMK564" s="500"/>
      <c r="JML564" s="500"/>
      <c r="JMM564" s="500"/>
      <c r="JMN564" s="500"/>
      <c r="JMO564" s="500"/>
      <c r="JMP564" s="500"/>
      <c r="JMQ564" s="500"/>
      <c r="JMR564" s="500"/>
      <c r="JMS564" s="500"/>
      <c r="JMT564" s="500"/>
      <c r="JMU564" s="500"/>
      <c r="JMV564" s="500"/>
      <c r="JMW564" s="500"/>
      <c r="JMX564" s="500"/>
      <c r="JMY564" s="500"/>
      <c r="JMZ564" s="500"/>
      <c r="JNA564" s="500"/>
      <c r="JNB564" s="500"/>
      <c r="JNC564" s="500"/>
      <c r="JND564" s="500"/>
      <c r="JNE564" s="500"/>
      <c r="JNF564" s="500"/>
      <c r="JNG564" s="500"/>
      <c r="JNH564" s="500"/>
      <c r="JNI564" s="500"/>
      <c r="JNJ564" s="500"/>
      <c r="JNK564" s="500"/>
      <c r="JNL564" s="500"/>
      <c r="JNM564" s="500"/>
      <c r="JNN564" s="500"/>
      <c r="JNO564" s="500"/>
      <c r="JNP564" s="500"/>
      <c r="JNQ564" s="500"/>
      <c r="JNR564" s="500"/>
      <c r="JNS564" s="500"/>
      <c r="JNT564" s="500"/>
      <c r="JNU564" s="500"/>
      <c r="JNV564" s="500"/>
      <c r="JNW564" s="500"/>
      <c r="JNX564" s="500"/>
      <c r="JNY564" s="500"/>
      <c r="JNZ564" s="500"/>
      <c r="JOA564" s="500"/>
      <c r="JOB564" s="500"/>
      <c r="JOC564" s="500"/>
      <c r="JOD564" s="500"/>
      <c r="JOE564" s="500"/>
      <c r="JOF564" s="500"/>
      <c r="JOG564" s="500"/>
      <c r="JOH564" s="500"/>
      <c r="JOI564" s="500"/>
      <c r="JOJ564" s="500"/>
      <c r="JOK564" s="500"/>
      <c r="JOL564" s="500"/>
      <c r="JOM564" s="500"/>
      <c r="JON564" s="500"/>
      <c r="JOO564" s="500"/>
      <c r="JOP564" s="500"/>
      <c r="JOQ564" s="500"/>
      <c r="JOR564" s="500"/>
      <c r="JOS564" s="500"/>
      <c r="JOT564" s="500"/>
      <c r="JOU564" s="500"/>
      <c r="JOV564" s="500"/>
      <c r="JOW564" s="500"/>
      <c r="JOX564" s="500"/>
      <c r="JOY564" s="500"/>
      <c r="JOZ564" s="500"/>
      <c r="JPA564" s="500"/>
      <c r="JPB564" s="500"/>
      <c r="JPC564" s="500"/>
      <c r="JPD564" s="500"/>
      <c r="JPE564" s="500"/>
      <c r="JPF564" s="500"/>
      <c r="JPG564" s="500"/>
      <c r="JPH564" s="500"/>
      <c r="JPI564" s="500"/>
      <c r="JPJ564" s="500"/>
      <c r="JPK564" s="500"/>
      <c r="JPL564" s="500"/>
      <c r="JPM564" s="500"/>
      <c r="JPN564" s="500"/>
      <c r="JPO564" s="500"/>
      <c r="JPP564" s="500"/>
      <c r="JPQ564" s="500"/>
      <c r="JPR564" s="500"/>
      <c r="JPS564" s="500"/>
      <c r="JPT564" s="500"/>
      <c r="JPU564" s="500"/>
      <c r="JPV564" s="500"/>
      <c r="JPW564" s="500"/>
      <c r="JPX564" s="500"/>
      <c r="JPY564" s="500"/>
      <c r="JPZ564" s="500"/>
      <c r="JQA564" s="500"/>
      <c r="JQB564" s="500"/>
      <c r="JQC564" s="500"/>
      <c r="JQD564" s="500"/>
      <c r="JQE564" s="500"/>
      <c r="JQF564" s="500"/>
      <c r="JQG564" s="500"/>
      <c r="JQH564" s="500"/>
      <c r="JQI564" s="500"/>
      <c r="JQJ564" s="500"/>
      <c r="JQK564" s="500"/>
      <c r="JQL564" s="500"/>
      <c r="JQM564" s="500"/>
      <c r="JQN564" s="500"/>
      <c r="JQO564" s="500"/>
      <c r="JQP564" s="500"/>
      <c r="JQQ564" s="500"/>
      <c r="JQR564" s="500"/>
      <c r="JQS564" s="500"/>
      <c r="JQT564" s="500"/>
      <c r="JQU564" s="500"/>
      <c r="JQV564" s="500"/>
      <c r="JQW564" s="500"/>
      <c r="JQX564" s="500"/>
      <c r="JQY564" s="500"/>
      <c r="JQZ564" s="500"/>
      <c r="JRA564" s="500"/>
      <c r="JRB564" s="500"/>
      <c r="JRC564" s="500"/>
      <c r="JRD564" s="500"/>
      <c r="JRE564" s="500"/>
      <c r="JRF564" s="500"/>
      <c r="JRG564" s="500"/>
      <c r="JRH564" s="500"/>
      <c r="JRI564" s="500"/>
      <c r="JRJ564" s="500"/>
      <c r="JRK564" s="500"/>
      <c r="JRL564" s="500"/>
      <c r="JRM564" s="500"/>
      <c r="JRN564" s="500"/>
      <c r="JRO564" s="500"/>
      <c r="JRP564" s="500"/>
      <c r="JRQ564" s="500"/>
      <c r="JRR564" s="500"/>
      <c r="JRS564" s="500"/>
      <c r="JRT564" s="500"/>
      <c r="JRU564" s="500"/>
      <c r="JRV564" s="500"/>
      <c r="JRW564" s="500"/>
      <c r="JRX564" s="500"/>
      <c r="JRY564" s="500"/>
      <c r="JRZ564" s="500"/>
      <c r="JSA564" s="500"/>
      <c r="JSB564" s="500"/>
      <c r="JSC564" s="500"/>
      <c r="JSD564" s="500"/>
      <c r="JSE564" s="500"/>
      <c r="JSF564" s="500"/>
      <c r="JSG564" s="500"/>
      <c r="JSH564" s="500"/>
      <c r="JSI564" s="500"/>
      <c r="JSJ564" s="500"/>
      <c r="JSK564" s="500"/>
      <c r="JSL564" s="500"/>
      <c r="JSM564" s="500"/>
      <c r="JSN564" s="500"/>
      <c r="JSO564" s="500"/>
      <c r="JSP564" s="500"/>
      <c r="JSQ564" s="500"/>
      <c r="JSR564" s="500"/>
      <c r="JSS564" s="500"/>
      <c r="JST564" s="500"/>
      <c r="JSU564" s="500"/>
      <c r="JSV564" s="500"/>
      <c r="JSW564" s="500"/>
      <c r="JSX564" s="500"/>
      <c r="JSY564" s="500"/>
      <c r="JSZ564" s="500"/>
      <c r="JTA564" s="500"/>
      <c r="JTB564" s="500"/>
      <c r="JTC564" s="500"/>
      <c r="JTD564" s="500"/>
      <c r="JTE564" s="500"/>
      <c r="JTF564" s="500"/>
      <c r="JTG564" s="500"/>
      <c r="JTH564" s="500"/>
      <c r="JTI564" s="500"/>
      <c r="JTJ564" s="500"/>
      <c r="JTK564" s="500"/>
      <c r="JTL564" s="500"/>
      <c r="JTM564" s="500"/>
      <c r="JTN564" s="500"/>
      <c r="JTO564" s="500"/>
      <c r="JTP564" s="500"/>
      <c r="JTQ564" s="500"/>
      <c r="JTR564" s="500"/>
      <c r="JTS564" s="500"/>
      <c r="JTT564" s="500"/>
      <c r="JTU564" s="500"/>
      <c r="JTV564" s="500"/>
      <c r="JTW564" s="500"/>
      <c r="JTX564" s="500"/>
      <c r="JTY564" s="500"/>
      <c r="JTZ564" s="500"/>
      <c r="JUA564" s="500"/>
      <c r="JUB564" s="500"/>
      <c r="JUC564" s="500"/>
      <c r="JUD564" s="500"/>
      <c r="JUE564" s="500"/>
      <c r="JUF564" s="500"/>
      <c r="JUG564" s="500"/>
      <c r="JUH564" s="500"/>
      <c r="JUI564" s="500"/>
      <c r="JUJ564" s="500"/>
      <c r="JUK564" s="500"/>
      <c r="JUL564" s="500"/>
      <c r="JUM564" s="500"/>
      <c r="JUN564" s="500"/>
      <c r="JUO564" s="500"/>
      <c r="JUP564" s="500"/>
      <c r="JUQ564" s="500"/>
      <c r="JUR564" s="500"/>
      <c r="JUS564" s="500"/>
      <c r="JUT564" s="500"/>
      <c r="JUU564" s="500"/>
      <c r="JUV564" s="500"/>
      <c r="JUW564" s="500"/>
      <c r="JUX564" s="500"/>
      <c r="JUY564" s="500"/>
      <c r="JUZ564" s="500"/>
      <c r="JVA564" s="500"/>
      <c r="JVB564" s="500"/>
      <c r="JVC564" s="500"/>
      <c r="JVD564" s="500"/>
      <c r="JVE564" s="500"/>
      <c r="JVF564" s="500"/>
      <c r="JVG564" s="500"/>
      <c r="JVH564" s="500"/>
      <c r="JVI564" s="500"/>
      <c r="JVJ564" s="500"/>
      <c r="JVK564" s="500"/>
      <c r="JVL564" s="500"/>
      <c r="JVM564" s="500"/>
      <c r="JVN564" s="500"/>
      <c r="JVO564" s="500"/>
      <c r="JVP564" s="500"/>
      <c r="JVQ564" s="500"/>
      <c r="JVR564" s="500"/>
      <c r="JVS564" s="500"/>
      <c r="JVT564" s="500"/>
      <c r="JVU564" s="500"/>
      <c r="JVV564" s="500"/>
      <c r="JVW564" s="500"/>
      <c r="JVX564" s="500"/>
      <c r="JVY564" s="500"/>
      <c r="JVZ564" s="500"/>
      <c r="JWA564" s="500"/>
      <c r="JWB564" s="500"/>
      <c r="JWC564" s="500"/>
      <c r="JWD564" s="500"/>
      <c r="JWE564" s="500"/>
      <c r="JWF564" s="500"/>
      <c r="JWG564" s="500"/>
      <c r="JWH564" s="500"/>
      <c r="JWI564" s="500"/>
      <c r="JWJ564" s="500"/>
      <c r="JWK564" s="500"/>
      <c r="JWL564" s="500"/>
      <c r="JWM564" s="500"/>
      <c r="JWN564" s="500"/>
      <c r="JWO564" s="500"/>
      <c r="JWP564" s="500"/>
      <c r="JWQ564" s="500"/>
      <c r="JWR564" s="500"/>
      <c r="JWS564" s="500"/>
      <c r="JWT564" s="500"/>
      <c r="JWU564" s="500"/>
      <c r="JWV564" s="500"/>
      <c r="JWW564" s="500"/>
      <c r="JWX564" s="500"/>
      <c r="JWY564" s="500"/>
      <c r="JWZ564" s="500"/>
      <c r="JXA564" s="500"/>
      <c r="JXB564" s="500"/>
      <c r="JXC564" s="500"/>
      <c r="JXD564" s="500"/>
      <c r="JXE564" s="500"/>
      <c r="JXF564" s="500"/>
      <c r="JXG564" s="500"/>
      <c r="JXH564" s="500"/>
      <c r="JXI564" s="500"/>
      <c r="JXJ564" s="500"/>
      <c r="JXK564" s="500"/>
      <c r="JXL564" s="500"/>
      <c r="JXM564" s="500"/>
      <c r="JXN564" s="500"/>
      <c r="JXO564" s="500"/>
      <c r="JXP564" s="500"/>
      <c r="JXQ564" s="500"/>
      <c r="JXR564" s="500"/>
      <c r="JXS564" s="500"/>
      <c r="JXT564" s="500"/>
      <c r="JXU564" s="500"/>
      <c r="JXV564" s="500"/>
      <c r="JXW564" s="500"/>
      <c r="JXX564" s="500"/>
      <c r="JXY564" s="500"/>
      <c r="JXZ564" s="500"/>
      <c r="JYA564" s="500"/>
      <c r="JYB564" s="500"/>
      <c r="JYC564" s="500"/>
      <c r="JYD564" s="500"/>
      <c r="JYE564" s="500"/>
      <c r="JYF564" s="500"/>
      <c r="JYG564" s="500"/>
      <c r="JYH564" s="500"/>
      <c r="JYI564" s="500"/>
      <c r="JYJ564" s="500"/>
      <c r="JYK564" s="500"/>
      <c r="JYL564" s="500"/>
      <c r="JYM564" s="500"/>
      <c r="JYN564" s="500"/>
      <c r="JYO564" s="500"/>
      <c r="JYP564" s="500"/>
      <c r="JYQ564" s="500"/>
      <c r="JYR564" s="500"/>
      <c r="JYS564" s="500"/>
      <c r="JYT564" s="500"/>
      <c r="JYU564" s="500"/>
      <c r="JYV564" s="500"/>
      <c r="JYW564" s="500"/>
      <c r="JYX564" s="500"/>
      <c r="JYY564" s="500"/>
      <c r="JYZ564" s="500"/>
      <c r="JZA564" s="500"/>
      <c r="JZB564" s="500"/>
      <c r="JZC564" s="500"/>
      <c r="JZD564" s="500"/>
      <c r="JZE564" s="500"/>
      <c r="JZF564" s="500"/>
      <c r="JZG564" s="500"/>
      <c r="JZH564" s="500"/>
      <c r="JZI564" s="500"/>
      <c r="JZJ564" s="500"/>
      <c r="JZK564" s="500"/>
      <c r="JZL564" s="500"/>
      <c r="JZM564" s="500"/>
      <c r="JZN564" s="500"/>
      <c r="JZO564" s="500"/>
      <c r="JZP564" s="500"/>
      <c r="JZQ564" s="500"/>
      <c r="JZR564" s="500"/>
      <c r="JZS564" s="500"/>
      <c r="JZT564" s="500"/>
      <c r="JZU564" s="500"/>
      <c r="JZV564" s="500"/>
      <c r="JZW564" s="500"/>
      <c r="JZX564" s="500"/>
      <c r="JZY564" s="500"/>
      <c r="JZZ564" s="500"/>
      <c r="KAA564" s="500"/>
      <c r="KAB564" s="500"/>
      <c r="KAC564" s="500"/>
      <c r="KAD564" s="500"/>
      <c r="KAE564" s="500"/>
      <c r="KAF564" s="500"/>
      <c r="KAG564" s="500"/>
      <c r="KAH564" s="500"/>
      <c r="KAI564" s="500"/>
      <c r="KAJ564" s="500"/>
      <c r="KAK564" s="500"/>
      <c r="KAL564" s="500"/>
      <c r="KAM564" s="500"/>
      <c r="KAN564" s="500"/>
      <c r="KAO564" s="500"/>
      <c r="KAP564" s="500"/>
      <c r="KAQ564" s="500"/>
      <c r="KAR564" s="500"/>
      <c r="KAS564" s="500"/>
      <c r="KAT564" s="500"/>
      <c r="KAU564" s="500"/>
      <c r="KAV564" s="500"/>
      <c r="KAW564" s="500"/>
      <c r="KAX564" s="500"/>
      <c r="KAY564" s="500"/>
      <c r="KAZ564" s="500"/>
      <c r="KBA564" s="500"/>
      <c r="KBB564" s="500"/>
      <c r="KBC564" s="500"/>
      <c r="KBD564" s="500"/>
      <c r="KBE564" s="500"/>
      <c r="KBF564" s="500"/>
      <c r="KBG564" s="500"/>
      <c r="KBH564" s="500"/>
      <c r="KBI564" s="500"/>
      <c r="KBJ564" s="500"/>
      <c r="KBK564" s="500"/>
      <c r="KBL564" s="500"/>
      <c r="KBM564" s="500"/>
      <c r="KBN564" s="500"/>
      <c r="KBO564" s="500"/>
      <c r="KBP564" s="500"/>
      <c r="KBQ564" s="500"/>
      <c r="KBR564" s="500"/>
      <c r="KBS564" s="500"/>
      <c r="KBT564" s="500"/>
      <c r="KBU564" s="500"/>
      <c r="KBV564" s="500"/>
      <c r="KBW564" s="500"/>
      <c r="KBX564" s="500"/>
      <c r="KBY564" s="500"/>
      <c r="KBZ564" s="500"/>
      <c r="KCA564" s="500"/>
      <c r="KCB564" s="500"/>
      <c r="KCC564" s="500"/>
      <c r="KCD564" s="500"/>
      <c r="KCE564" s="500"/>
      <c r="KCF564" s="500"/>
      <c r="KCG564" s="500"/>
      <c r="KCH564" s="500"/>
      <c r="KCI564" s="500"/>
      <c r="KCJ564" s="500"/>
      <c r="KCK564" s="500"/>
      <c r="KCL564" s="500"/>
      <c r="KCM564" s="500"/>
      <c r="KCN564" s="500"/>
      <c r="KCO564" s="500"/>
      <c r="KCP564" s="500"/>
      <c r="KCQ564" s="500"/>
      <c r="KCR564" s="500"/>
      <c r="KCS564" s="500"/>
      <c r="KCT564" s="500"/>
      <c r="KCU564" s="500"/>
      <c r="KCV564" s="500"/>
      <c r="KCW564" s="500"/>
      <c r="KCX564" s="500"/>
      <c r="KCY564" s="500"/>
      <c r="KCZ564" s="500"/>
      <c r="KDA564" s="500"/>
      <c r="KDB564" s="500"/>
      <c r="KDC564" s="500"/>
      <c r="KDD564" s="500"/>
      <c r="KDE564" s="500"/>
      <c r="KDF564" s="500"/>
      <c r="KDG564" s="500"/>
      <c r="KDH564" s="500"/>
      <c r="KDI564" s="500"/>
      <c r="KDJ564" s="500"/>
      <c r="KDK564" s="500"/>
      <c r="KDL564" s="500"/>
      <c r="KDM564" s="500"/>
      <c r="KDN564" s="500"/>
      <c r="KDO564" s="500"/>
      <c r="KDP564" s="500"/>
      <c r="KDQ564" s="500"/>
      <c r="KDR564" s="500"/>
      <c r="KDS564" s="500"/>
      <c r="KDT564" s="500"/>
      <c r="KDU564" s="500"/>
      <c r="KDV564" s="500"/>
      <c r="KDW564" s="500"/>
      <c r="KDX564" s="500"/>
      <c r="KDY564" s="500"/>
      <c r="KDZ564" s="500"/>
      <c r="KEA564" s="500"/>
      <c r="KEB564" s="500"/>
      <c r="KEC564" s="500"/>
      <c r="KED564" s="500"/>
      <c r="KEE564" s="500"/>
      <c r="KEF564" s="500"/>
      <c r="KEG564" s="500"/>
      <c r="KEH564" s="500"/>
      <c r="KEI564" s="500"/>
      <c r="KEJ564" s="500"/>
      <c r="KEK564" s="500"/>
      <c r="KEL564" s="500"/>
      <c r="KEM564" s="500"/>
      <c r="KEN564" s="500"/>
      <c r="KEO564" s="500"/>
      <c r="KEP564" s="500"/>
      <c r="KEQ564" s="500"/>
      <c r="KER564" s="500"/>
      <c r="KES564" s="500"/>
      <c r="KET564" s="500"/>
      <c r="KEU564" s="500"/>
      <c r="KEV564" s="500"/>
      <c r="KEW564" s="500"/>
      <c r="KEX564" s="500"/>
      <c r="KEY564" s="500"/>
      <c r="KEZ564" s="500"/>
      <c r="KFA564" s="500"/>
      <c r="KFB564" s="500"/>
      <c r="KFC564" s="500"/>
      <c r="KFD564" s="500"/>
      <c r="KFE564" s="500"/>
      <c r="KFF564" s="500"/>
      <c r="KFG564" s="500"/>
      <c r="KFH564" s="500"/>
      <c r="KFI564" s="500"/>
      <c r="KFJ564" s="500"/>
      <c r="KFK564" s="500"/>
      <c r="KFL564" s="500"/>
      <c r="KFM564" s="500"/>
      <c r="KFN564" s="500"/>
      <c r="KFO564" s="500"/>
      <c r="KFP564" s="500"/>
      <c r="KFQ564" s="500"/>
      <c r="KFR564" s="500"/>
      <c r="KFS564" s="500"/>
      <c r="KFT564" s="500"/>
      <c r="KFU564" s="500"/>
      <c r="KFV564" s="500"/>
      <c r="KFW564" s="500"/>
      <c r="KFX564" s="500"/>
      <c r="KFY564" s="500"/>
      <c r="KFZ564" s="500"/>
      <c r="KGA564" s="500"/>
      <c r="KGB564" s="500"/>
      <c r="KGC564" s="500"/>
      <c r="KGD564" s="500"/>
      <c r="KGE564" s="500"/>
      <c r="KGF564" s="500"/>
      <c r="KGG564" s="500"/>
      <c r="KGH564" s="500"/>
      <c r="KGI564" s="500"/>
      <c r="KGJ564" s="500"/>
      <c r="KGK564" s="500"/>
      <c r="KGL564" s="500"/>
      <c r="KGM564" s="500"/>
      <c r="KGN564" s="500"/>
      <c r="KGO564" s="500"/>
      <c r="KGP564" s="500"/>
      <c r="KGQ564" s="500"/>
      <c r="KGR564" s="500"/>
      <c r="KGS564" s="500"/>
      <c r="KGT564" s="500"/>
      <c r="KGU564" s="500"/>
      <c r="KGV564" s="500"/>
      <c r="KGW564" s="500"/>
      <c r="KGX564" s="500"/>
      <c r="KGY564" s="500"/>
      <c r="KGZ564" s="500"/>
      <c r="KHA564" s="500"/>
      <c r="KHB564" s="500"/>
      <c r="KHC564" s="500"/>
      <c r="KHD564" s="500"/>
      <c r="KHE564" s="500"/>
      <c r="KHF564" s="500"/>
      <c r="KHG564" s="500"/>
      <c r="KHH564" s="500"/>
      <c r="KHI564" s="500"/>
      <c r="KHJ564" s="500"/>
      <c r="KHK564" s="500"/>
      <c r="KHL564" s="500"/>
      <c r="KHM564" s="500"/>
      <c r="KHN564" s="500"/>
      <c r="KHO564" s="500"/>
      <c r="KHP564" s="500"/>
      <c r="KHQ564" s="500"/>
      <c r="KHR564" s="500"/>
      <c r="KHS564" s="500"/>
      <c r="KHT564" s="500"/>
      <c r="KHU564" s="500"/>
      <c r="KHV564" s="500"/>
      <c r="KHW564" s="500"/>
      <c r="KHX564" s="500"/>
      <c r="KHY564" s="500"/>
      <c r="KHZ564" s="500"/>
      <c r="KIA564" s="500"/>
      <c r="KIB564" s="500"/>
      <c r="KIC564" s="500"/>
      <c r="KID564" s="500"/>
      <c r="KIE564" s="500"/>
      <c r="KIF564" s="500"/>
      <c r="KIG564" s="500"/>
      <c r="KIH564" s="500"/>
      <c r="KII564" s="500"/>
      <c r="KIJ564" s="500"/>
      <c r="KIK564" s="500"/>
      <c r="KIL564" s="500"/>
      <c r="KIM564" s="500"/>
      <c r="KIN564" s="500"/>
      <c r="KIO564" s="500"/>
      <c r="KIP564" s="500"/>
      <c r="KIQ564" s="500"/>
      <c r="KIR564" s="500"/>
      <c r="KIS564" s="500"/>
      <c r="KIT564" s="500"/>
      <c r="KIU564" s="500"/>
      <c r="KIV564" s="500"/>
      <c r="KIW564" s="500"/>
      <c r="KIX564" s="500"/>
      <c r="KIY564" s="500"/>
      <c r="KIZ564" s="500"/>
      <c r="KJA564" s="500"/>
      <c r="KJB564" s="500"/>
      <c r="KJC564" s="500"/>
      <c r="KJD564" s="500"/>
      <c r="KJE564" s="500"/>
      <c r="KJF564" s="500"/>
      <c r="KJG564" s="500"/>
      <c r="KJH564" s="500"/>
      <c r="KJI564" s="500"/>
      <c r="KJJ564" s="500"/>
      <c r="KJK564" s="500"/>
      <c r="KJL564" s="500"/>
      <c r="KJM564" s="500"/>
      <c r="KJN564" s="500"/>
      <c r="KJO564" s="500"/>
      <c r="KJP564" s="500"/>
      <c r="KJQ564" s="500"/>
      <c r="KJR564" s="500"/>
      <c r="KJS564" s="500"/>
      <c r="KJT564" s="500"/>
      <c r="KJU564" s="500"/>
      <c r="KJV564" s="500"/>
      <c r="KJW564" s="500"/>
      <c r="KJX564" s="500"/>
      <c r="KJY564" s="500"/>
      <c r="KJZ564" s="500"/>
      <c r="KKA564" s="500"/>
      <c r="KKB564" s="500"/>
      <c r="KKC564" s="500"/>
      <c r="KKD564" s="500"/>
      <c r="KKE564" s="500"/>
      <c r="KKF564" s="500"/>
      <c r="KKG564" s="500"/>
      <c r="KKH564" s="500"/>
      <c r="KKI564" s="500"/>
      <c r="KKJ564" s="500"/>
      <c r="KKK564" s="500"/>
      <c r="KKL564" s="500"/>
      <c r="KKM564" s="500"/>
      <c r="KKN564" s="500"/>
      <c r="KKO564" s="500"/>
      <c r="KKP564" s="500"/>
      <c r="KKQ564" s="500"/>
      <c r="KKR564" s="500"/>
      <c r="KKS564" s="500"/>
      <c r="KKT564" s="500"/>
      <c r="KKU564" s="500"/>
      <c r="KKV564" s="500"/>
      <c r="KKW564" s="500"/>
      <c r="KKX564" s="500"/>
      <c r="KKY564" s="500"/>
      <c r="KKZ564" s="500"/>
      <c r="KLA564" s="500"/>
      <c r="KLB564" s="500"/>
      <c r="KLC564" s="500"/>
      <c r="KLD564" s="500"/>
      <c r="KLE564" s="500"/>
      <c r="KLF564" s="500"/>
      <c r="KLG564" s="500"/>
      <c r="KLH564" s="500"/>
      <c r="KLI564" s="500"/>
      <c r="KLJ564" s="500"/>
      <c r="KLK564" s="500"/>
      <c r="KLL564" s="500"/>
      <c r="KLM564" s="500"/>
      <c r="KLN564" s="500"/>
      <c r="KLO564" s="500"/>
      <c r="KLP564" s="500"/>
      <c r="KLQ564" s="500"/>
      <c r="KLR564" s="500"/>
      <c r="KLS564" s="500"/>
      <c r="KLT564" s="500"/>
      <c r="KLU564" s="500"/>
      <c r="KLV564" s="500"/>
      <c r="KLW564" s="500"/>
      <c r="KLX564" s="500"/>
      <c r="KLY564" s="500"/>
      <c r="KLZ564" s="500"/>
      <c r="KMA564" s="500"/>
      <c r="KMB564" s="500"/>
      <c r="KMC564" s="500"/>
      <c r="KMD564" s="500"/>
      <c r="KME564" s="500"/>
      <c r="KMF564" s="500"/>
      <c r="KMG564" s="500"/>
      <c r="KMH564" s="500"/>
      <c r="KMI564" s="500"/>
      <c r="KMJ564" s="500"/>
      <c r="KMK564" s="500"/>
      <c r="KML564" s="500"/>
      <c r="KMM564" s="500"/>
      <c r="KMN564" s="500"/>
      <c r="KMO564" s="500"/>
      <c r="KMP564" s="500"/>
      <c r="KMQ564" s="500"/>
      <c r="KMR564" s="500"/>
      <c r="KMS564" s="500"/>
      <c r="KMT564" s="500"/>
      <c r="KMU564" s="500"/>
      <c r="KMV564" s="500"/>
      <c r="KMW564" s="500"/>
      <c r="KMX564" s="500"/>
      <c r="KMY564" s="500"/>
      <c r="KMZ564" s="500"/>
      <c r="KNA564" s="500"/>
      <c r="KNB564" s="500"/>
      <c r="KNC564" s="500"/>
      <c r="KND564" s="500"/>
      <c r="KNE564" s="500"/>
      <c r="KNF564" s="500"/>
      <c r="KNG564" s="500"/>
      <c r="KNH564" s="500"/>
      <c r="KNI564" s="500"/>
      <c r="KNJ564" s="500"/>
      <c r="KNK564" s="500"/>
      <c r="KNL564" s="500"/>
      <c r="KNM564" s="500"/>
      <c r="KNN564" s="500"/>
      <c r="KNO564" s="500"/>
      <c r="KNP564" s="500"/>
      <c r="KNQ564" s="500"/>
      <c r="KNR564" s="500"/>
      <c r="KNS564" s="500"/>
      <c r="KNT564" s="500"/>
      <c r="KNU564" s="500"/>
      <c r="KNV564" s="500"/>
      <c r="KNW564" s="500"/>
      <c r="KNX564" s="500"/>
      <c r="KNY564" s="500"/>
      <c r="KNZ564" s="500"/>
      <c r="KOA564" s="500"/>
      <c r="KOB564" s="500"/>
      <c r="KOC564" s="500"/>
      <c r="KOD564" s="500"/>
      <c r="KOE564" s="500"/>
      <c r="KOF564" s="500"/>
      <c r="KOG564" s="500"/>
      <c r="KOH564" s="500"/>
      <c r="KOI564" s="500"/>
      <c r="KOJ564" s="500"/>
      <c r="KOK564" s="500"/>
      <c r="KOL564" s="500"/>
      <c r="KOM564" s="500"/>
      <c r="KON564" s="500"/>
      <c r="KOO564" s="500"/>
      <c r="KOP564" s="500"/>
      <c r="KOQ564" s="500"/>
      <c r="KOR564" s="500"/>
      <c r="KOS564" s="500"/>
      <c r="KOT564" s="500"/>
      <c r="KOU564" s="500"/>
      <c r="KOV564" s="500"/>
      <c r="KOW564" s="500"/>
      <c r="KOX564" s="500"/>
      <c r="KOY564" s="500"/>
      <c r="KOZ564" s="500"/>
      <c r="KPA564" s="500"/>
      <c r="KPB564" s="500"/>
      <c r="KPC564" s="500"/>
      <c r="KPD564" s="500"/>
      <c r="KPE564" s="500"/>
      <c r="KPF564" s="500"/>
      <c r="KPG564" s="500"/>
      <c r="KPH564" s="500"/>
      <c r="KPI564" s="500"/>
      <c r="KPJ564" s="500"/>
      <c r="KPK564" s="500"/>
      <c r="KPL564" s="500"/>
      <c r="KPM564" s="500"/>
      <c r="KPN564" s="500"/>
      <c r="KPO564" s="500"/>
      <c r="KPP564" s="500"/>
      <c r="KPQ564" s="500"/>
      <c r="KPR564" s="500"/>
      <c r="KPS564" s="500"/>
      <c r="KPT564" s="500"/>
      <c r="KPU564" s="500"/>
      <c r="KPV564" s="500"/>
      <c r="KPW564" s="500"/>
      <c r="KPX564" s="500"/>
      <c r="KPY564" s="500"/>
      <c r="KPZ564" s="500"/>
      <c r="KQA564" s="500"/>
      <c r="KQB564" s="500"/>
      <c r="KQC564" s="500"/>
      <c r="KQD564" s="500"/>
      <c r="KQE564" s="500"/>
      <c r="KQF564" s="500"/>
      <c r="KQG564" s="500"/>
      <c r="KQH564" s="500"/>
      <c r="KQI564" s="500"/>
      <c r="KQJ564" s="500"/>
      <c r="KQK564" s="500"/>
      <c r="KQL564" s="500"/>
      <c r="KQM564" s="500"/>
      <c r="KQN564" s="500"/>
      <c r="KQO564" s="500"/>
      <c r="KQP564" s="500"/>
      <c r="KQQ564" s="500"/>
      <c r="KQR564" s="500"/>
      <c r="KQS564" s="500"/>
      <c r="KQT564" s="500"/>
      <c r="KQU564" s="500"/>
      <c r="KQV564" s="500"/>
      <c r="KQW564" s="500"/>
      <c r="KQX564" s="500"/>
      <c r="KQY564" s="500"/>
      <c r="KQZ564" s="500"/>
      <c r="KRA564" s="500"/>
      <c r="KRB564" s="500"/>
      <c r="KRC564" s="500"/>
      <c r="KRD564" s="500"/>
      <c r="KRE564" s="500"/>
      <c r="KRF564" s="500"/>
      <c r="KRG564" s="500"/>
      <c r="KRH564" s="500"/>
      <c r="KRI564" s="500"/>
      <c r="KRJ564" s="500"/>
      <c r="KRK564" s="500"/>
      <c r="KRL564" s="500"/>
      <c r="KRM564" s="500"/>
      <c r="KRN564" s="500"/>
      <c r="KRO564" s="500"/>
      <c r="KRP564" s="500"/>
      <c r="KRQ564" s="500"/>
      <c r="KRR564" s="500"/>
      <c r="KRS564" s="500"/>
      <c r="KRT564" s="500"/>
      <c r="KRU564" s="500"/>
      <c r="KRV564" s="500"/>
      <c r="KRW564" s="500"/>
      <c r="KRX564" s="500"/>
      <c r="KRY564" s="500"/>
      <c r="KRZ564" s="500"/>
      <c r="KSA564" s="500"/>
      <c r="KSB564" s="500"/>
      <c r="KSC564" s="500"/>
      <c r="KSD564" s="500"/>
      <c r="KSE564" s="500"/>
      <c r="KSF564" s="500"/>
      <c r="KSG564" s="500"/>
      <c r="KSH564" s="500"/>
      <c r="KSI564" s="500"/>
      <c r="KSJ564" s="500"/>
      <c r="KSK564" s="500"/>
      <c r="KSL564" s="500"/>
      <c r="KSM564" s="500"/>
      <c r="KSN564" s="500"/>
      <c r="KSO564" s="500"/>
      <c r="KSP564" s="500"/>
      <c r="KSQ564" s="500"/>
      <c r="KSR564" s="500"/>
      <c r="KSS564" s="500"/>
      <c r="KST564" s="500"/>
      <c r="KSU564" s="500"/>
      <c r="KSV564" s="500"/>
      <c r="KSW564" s="500"/>
      <c r="KSX564" s="500"/>
      <c r="KSY564" s="500"/>
      <c r="KSZ564" s="500"/>
      <c r="KTA564" s="500"/>
      <c r="KTB564" s="500"/>
      <c r="KTC564" s="500"/>
      <c r="KTD564" s="500"/>
      <c r="KTE564" s="500"/>
      <c r="KTF564" s="500"/>
      <c r="KTG564" s="500"/>
      <c r="KTH564" s="500"/>
      <c r="KTI564" s="500"/>
      <c r="KTJ564" s="500"/>
      <c r="KTK564" s="500"/>
      <c r="KTL564" s="500"/>
      <c r="KTM564" s="500"/>
      <c r="KTN564" s="500"/>
      <c r="KTO564" s="500"/>
      <c r="KTP564" s="500"/>
      <c r="KTQ564" s="500"/>
      <c r="KTR564" s="500"/>
      <c r="KTS564" s="500"/>
      <c r="KTT564" s="500"/>
      <c r="KTU564" s="500"/>
      <c r="KTV564" s="500"/>
      <c r="KTW564" s="500"/>
      <c r="KTX564" s="500"/>
      <c r="KTY564" s="500"/>
      <c r="KTZ564" s="500"/>
      <c r="KUA564" s="500"/>
      <c r="KUB564" s="500"/>
      <c r="KUC564" s="500"/>
      <c r="KUD564" s="500"/>
      <c r="KUE564" s="500"/>
      <c r="KUF564" s="500"/>
      <c r="KUG564" s="500"/>
      <c r="KUH564" s="500"/>
      <c r="KUI564" s="500"/>
      <c r="KUJ564" s="500"/>
      <c r="KUK564" s="500"/>
      <c r="KUL564" s="500"/>
      <c r="KUM564" s="500"/>
      <c r="KUN564" s="500"/>
      <c r="KUO564" s="500"/>
      <c r="KUP564" s="500"/>
      <c r="KUQ564" s="500"/>
      <c r="KUR564" s="500"/>
      <c r="KUS564" s="500"/>
      <c r="KUT564" s="500"/>
      <c r="KUU564" s="500"/>
      <c r="KUV564" s="500"/>
      <c r="KUW564" s="500"/>
      <c r="KUX564" s="500"/>
      <c r="KUY564" s="500"/>
      <c r="KUZ564" s="500"/>
      <c r="KVA564" s="500"/>
      <c r="KVB564" s="500"/>
      <c r="KVC564" s="500"/>
      <c r="KVD564" s="500"/>
      <c r="KVE564" s="500"/>
      <c r="KVF564" s="500"/>
      <c r="KVG564" s="500"/>
      <c r="KVH564" s="500"/>
      <c r="KVI564" s="500"/>
      <c r="KVJ564" s="500"/>
      <c r="KVK564" s="500"/>
      <c r="KVL564" s="500"/>
      <c r="KVM564" s="500"/>
      <c r="KVN564" s="500"/>
      <c r="KVO564" s="500"/>
      <c r="KVP564" s="500"/>
      <c r="KVQ564" s="500"/>
      <c r="KVR564" s="500"/>
      <c r="KVS564" s="500"/>
      <c r="KVT564" s="500"/>
      <c r="KVU564" s="500"/>
      <c r="KVV564" s="500"/>
      <c r="KVW564" s="500"/>
      <c r="KVX564" s="500"/>
      <c r="KVY564" s="500"/>
      <c r="KVZ564" s="500"/>
      <c r="KWA564" s="500"/>
      <c r="KWB564" s="500"/>
      <c r="KWC564" s="500"/>
      <c r="KWD564" s="500"/>
      <c r="KWE564" s="500"/>
      <c r="KWF564" s="500"/>
      <c r="KWG564" s="500"/>
      <c r="KWH564" s="500"/>
      <c r="KWI564" s="500"/>
      <c r="KWJ564" s="500"/>
      <c r="KWK564" s="500"/>
      <c r="KWL564" s="500"/>
      <c r="KWM564" s="500"/>
      <c r="KWN564" s="500"/>
      <c r="KWO564" s="500"/>
      <c r="KWP564" s="500"/>
      <c r="KWQ564" s="500"/>
      <c r="KWR564" s="500"/>
      <c r="KWS564" s="500"/>
      <c r="KWT564" s="500"/>
      <c r="KWU564" s="500"/>
      <c r="KWV564" s="500"/>
      <c r="KWW564" s="500"/>
      <c r="KWX564" s="500"/>
      <c r="KWY564" s="500"/>
      <c r="KWZ564" s="500"/>
      <c r="KXA564" s="500"/>
      <c r="KXB564" s="500"/>
      <c r="KXC564" s="500"/>
      <c r="KXD564" s="500"/>
      <c r="KXE564" s="500"/>
      <c r="KXF564" s="500"/>
      <c r="KXG564" s="500"/>
      <c r="KXH564" s="500"/>
      <c r="KXI564" s="500"/>
      <c r="KXJ564" s="500"/>
      <c r="KXK564" s="500"/>
      <c r="KXL564" s="500"/>
      <c r="KXM564" s="500"/>
      <c r="KXN564" s="500"/>
      <c r="KXO564" s="500"/>
      <c r="KXP564" s="500"/>
      <c r="KXQ564" s="500"/>
      <c r="KXR564" s="500"/>
      <c r="KXS564" s="500"/>
      <c r="KXT564" s="500"/>
      <c r="KXU564" s="500"/>
      <c r="KXV564" s="500"/>
      <c r="KXW564" s="500"/>
      <c r="KXX564" s="500"/>
      <c r="KXY564" s="500"/>
      <c r="KXZ564" s="500"/>
      <c r="KYA564" s="500"/>
      <c r="KYB564" s="500"/>
      <c r="KYC564" s="500"/>
      <c r="KYD564" s="500"/>
      <c r="KYE564" s="500"/>
      <c r="KYF564" s="500"/>
      <c r="KYG564" s="500"/>
      <c r="KYH564" s="500"/>
      <c r="KYI564" s="500"/>
      <c r="KYJ564" s="500"/>
      <c r="KYK564" s="500"/>
      <c r="KYL564" s="500"/>
      <c r="KYM564" s="500"/>
      <c r="KYN564" s="500"/>
      <c r="KYO564" s="500"/>
      <c r="KYP564" s="500"/>
      <c r="KYQ564" s="500"/>
      <c r="KYR564" s="500"/>
      <c r="KYS564" s="500"/>
      <c r="KYT564" s="500"/>
      <c r="KYU564" s="500"/>
      <c r="KYV564" s="500"/>
      <c r="KYW564" s="500"/>
      <c r="KYX564" s="500"/>
      <c r="KYY564" s="500"/>
      <c r="KYZ564" s="500"/>
      <c r="KZA564" s="500"/>
      <c r="KZB564" s="500"/>
      <c r="KZC564" s="500"/>
      <c r="KZD564" s="500"/>
      <c r="KZE564" s="500"/>
      <c r="KZF564" s="500"/>
      <c r="KZG564" s="500"/>
      <c r="KZH564" s="500"/>
      <c r="KZI564" s="500"/>
      <c r="KZJ564" s="500"/>
      <c r="KZK564" s="500"/>
      <c r="KZL564" s="500"/>
      <c r="KZM564" s="500"/>
      <c r="KZN564" s="500"/>
      <c r="KZO564" s="500"/>
      <c r="KZP564" s="500"/>
      <c r="KZQ564" s="500"/>
      <c r="KZR564" s="500"/>
      <c r="KZS564" s="500"/>
      <c r="KZT564" s="500"/>
      <c r="KZU564" s="500"/>
      <c r="KZV564" s="500"/>
      <c r="KZW564" s="500"/>
      <c r="KZX564" s="500"/>
      <c r="KZY564" s="500"/>
      <c r="KZZ564" s="500"/>
      <c r="LAA564" s="500"/>
      <c r="LAB564" s="500"/>
      <c r="LAC564" s="500"/>
      <c r="LAD564" s="500"/>
      <c r="LAE564" s="500"/>
      <c r="LAF564" s="500"/>
      <c r="LAG564" s="500"/>
      <c r="LAH564" s="500"/>
      <c r="LAI564" s="500"/>
      <c r="LAJ564" s="500"/>
      <c r="LAK564" s="500"/>
      <c r="LAL564" s="500"/>
      <c r="LAM564" s="500"/>
      <c r="LAN564" s="500"/>
      <c r="LAO564" s="500"/>
      <c r="LAP564" s="500"/>
      <c r="LAQ564" s="500"/>
      <c r="LAR564" s="500"/>
      <c r="LAS564" s="500"/>
      <c r="LAT564" s="500"/>
      <c r="LAU564" s="500"/>
      <c r="LAV564" s="500"/>
      <c r="LAW564" s="500"/>
      <c r="LAX564" s="500"/>
      <c r="LAY564" s="500"/>
      <c r="LAZ564" s="500"/>
      <c r="LBA564" s="500"/>
      <c r="LBB564" s="500"/>
      <c r="LBC564" s="500"/>
      <c r="LBD564" s="500"/>
      <c r="LBE564" s="500"/>
      <c r="LBF564" s="500"/>
      <c r="LBG564" s="500"/>
      <c r="LBH564" s="500"/>
      <c r="LBI564" s="500"/>
      <c r="LBJ564" s="500"/>
      <c r="LBK564" s="500"/>
      <c r="LBL564" s="500"/>
      <c r="LBM564" s="500"/>
      <c r="LBN564" s="500"/>
      <c r="LBO564" s="500"/>
      <c r="LBP564" s="500"/>
      <c r="LBQ564" s="500"/>
      <c r="LBR564" s="500"/>
      <c r="LBS564" s="500"/>
      <c r="LBT564" s="500"/>
      <c r="LBU564" s="500"/>
      <c r="LBV564" s="500"/>
      <c r="LBW564" s="500"/>
      <c r="LBX564" s="500"/>
      <c r="LBY564" s="500"/>
      <c r="LBZ564" s="500"/>
      <c r="LCA564" s="500"/>
      <c r="LCB564" s="500"/>
      <c r="LCC564" s="500"/>
      <c r="LCD564" s="500"/>
      <c r="LCE564" s="500"/>
      <c r="LCF564" s="500"/>
      <c r="LCG564" s="500"/>
      <c r="LCH564" s="500"/>
      <c r="LCI564" s="500"/>
      <c r="LCJ564" s="500"/>
      <c r="LCK564" s="500"/>
      <c r="LCL564" s="500"/>
      <c r="LCM564" s="500"/>
      <c r="LCN564" s="500"/>
      <c r="LCO564" s="500"/>
      <c r="LCP564" s="500"/>
      <c r="LCQ564" s="500"/>
      <c r="LCR564" s="500"/>
      <c r="LCS564" s="500"/>
      <c r="LCT564" s="500"/>
      <c r="LCU564" s="500"/>
      <c r="LCV564" s="500"/>
      <c r="LCW564" s="500"/>
      <c r="LCX564" s="500"/>
      <c r="LCY564" s="500"/>
      <c r="LCZ564" s="500"/>
      <c r="LDA564" s="500"/>
      <c r="LDB564" s="500"/>
      <c r="LDC564" s="500"/>
      <c r="LDD564" s="500"/>
      <c r="LDE564" s="500"/>
      <c r="LDF564" s="500"/>
      <c r="LDG564" s="500"/>
      <c r="LDH564" s="500"/>
      <c r="LDI564" s="500"/>
      <c r="LDJ564" s="500"/>
      <c r="LDK564" s="500"/>
      <c r="LDL564" s="500"/>
      <c r="LDM564" s="500"/>
      <c r="LDN564" s="500"/>
      <c r="LDO564" s="500"/>
      <c r="LDP564" s="500"/>
      <c r="LDQ564" s="500"/>
      <c r="LDR564" s="500"/>
      <c r="LDS564" s="500"/>
      <c r="LDT564" s="500"/>
      <c r="LDU564" s="500"/>
      <c r="LDV564" s="500"/>
      <c r="LDW564" s="500"/>
      <c r="LDX564" s="500"/>
      <c r="LDY564" s="500"/>
      <c r="LDZ564" s="500"/>
      <c r="LEA564" s="500"/>
      <c r="LEB564" s="500"/>
      <c r="LEC564" s="500"/>
      <c r="LED564" s="500"/>
      <c r="LEE564" s="500"/>
      <c r="LEF564" s="500"/>
      <c r="LEG564" s="500"/>
      <c r="LEH564" s="500"/>
      <c r="LEI564" s="500"/>
      <c r="LEJ564" s="500"/>
      <c r="LEK564" s="500"/>
      <c r="LEL564" s="500"/>
      <c r="LEM564" s="500"/>
      <c r="LEN564" s="500"/>
      <c r="LEO564" s="500"/>
      <c r="LEP564" s="500"/>
      <c r="LEQ564" s="500"/>
      <c r="LER564" s="500"/>
      <c r="LES564" s="500"/>
      <c r="LET564" s="500"/>
      <c r="LEU564" s="500"/>
      <c r="LEV564" s="500"/>
      <c r="LEW564" s="500"/>
      <c r="LEX564" s="500"/>
      <c r="LEY564" s="500"/>
      <c r="LEZ564" s="500"/>
      <c r="LFA564" s="500"/>
      <c r="LFB564" s="500"/>
      <c r="LFC564" s="500"/>
      <c r="LFD564" s="500"/>
      <c r="LFE564" s="500"/>
      <c r="LFF564" s="500"/>
      <c r="LFG564" s="500"/>
      <c r="LFH564" s="500"/>
      <c r="LFI564" s="500"/>
      <c r="LFJ564" s="500"/>
      <c r="LFK564" s="500"/>
      <c r="LFL564" s="500"/>
      <c r="LFM564" s="500"/>
      <c r="LFN564" s="500"/>
      <c r="LFO564" s="500"/>
      <c r="LFP564" s="500"/>
      <c r="LFQ564" s="500"/>
      <c r="LFR564" s="500"/>
      <c r="LFS564" s="500"/>
      <c r="LFT564" s="500"/>
      <c r="LFU564" s="500"/>
      <c r="LFV564" s="500"/>
      <c r="LFW564" s="500"/>
      <c r="LFX564" s="500"/>
      <c r="LFY564" s="500"/>
      <c r="LFZ564" s="500"/>
      <c r="LGA564" s="500"/>
      <c r="LGB564" s="500"/>
      <c r="LGC564" s="500"/>
      <c r="LGD564" s="500"/>
      <c r="LGE564" s="500"/>
      <c r="LGF564" s="500"/>
      <c r="LGG564" s="500"/>
      <c r="LGH564" s="500"/>
      <c r="LGI564" s="500"/>
      <c r="LGJ564" s="500"/>
      <c r="LGK564" s="500"/>
      <c r="LGL564" s="500"/>
      <c r="LGM564" s="500"/>
      <c r="LGN564" s="500"/>
      <c r="LGO564" s="500"/>
      <c r="LGP564" s="500"/>
      <c r="LGQ564" s="500"/>
      <c r="LGR564" s="500"/>
      <c r="LGS564" s="500"/>
      <c r="LGT564" s="500"/>
      <c r="LGU564" s="500"/>
      <c r="LGV564" s="500"/>
      <c r="LGW564" s="500"/>
      <c r="LGX564" s="500"/>
      <c r="LGY564" s="500"/>
      <c r="LGZ564" s="500"/>
      <c r="LHA564" s="500"/>
      <c r="LHB564" s="500"/>
      <c r="LHC564" s="500"/>
      <c r="LHD564" s="500"/>
      <c r="LHE564" s="500"/>
      <c r="LHF564" s="500"/>
      <c r="LHG564" s="500"/>
      <c r="LHH564" s="500"/>
      <c r="LHI564" s="500"/>
      <c r="LHJ564" s="500"/>
      <c r="LHK564" s="500"/>
      <c r="LHL564" s="500"/>
      <c r="LHM564" s="500"/>
      <c r="LHN564" s="500"/>
      <c r="LHO564" s="500"/>
      <c r="LHP564" s="500"/>
      <c r="LHQ564" s="500"/>
      <c r="LHR564" s="500"/>
      <c r="LHS564" s="500"/>
      <c r="LHT564" s="500"/>
      <c r="LHU564" s="500"/>
      <c r="LHV564" s="500"/>
      <c r="LHW564" s="500"/>
      <c r="LHX564" s="500"/>
      <c r="LHY564" s="500"/>
      <c r="LHZ564" s="500"/>
      <c r="LIA564" s="500"/>
      <c r="LIB564" s="500"/>
      <c r="LIC564" s="500"/>
      <c r="LID564" s="500"/>
      <c r="LIE564" s="500"/>
      <c r="LIF564" s="500"/>
      <c r="LIG564" s="500"/>
      <c r="LIH564" s="500"/>
      <c r="LII564" s="500"/>
      <c r="LIJ564" s="500"/>
      <c r="LIK564" s="500"/>
      <c r="LIL564" s="500"/>
      <c r="LIM564" s="500"/>
      <c r="LIN564" s="500"/>
      <c r="LIO564" s="500"/>
      <c r="LIP564" s="500"/>
      <c r="LIQ564" s="500"/>
      <c r="LIR564" s="500"/>
      <c r="LIS564" s="500"/>
      <c r="LIT564" s="500"/>
      <c r="LIU564" s="500"/>
      <c r="LIV564" s="500"/>
      <c r="LIW564" s="500"/>
      <c r="LIX564" s="500"/>
      <c r="LIY564" s="500"/>
      <c r="LIZ564" s="500"/>
      <c r="LJA564" s="500"/>
      <c r="LJB564" s="500"/>
      <c r="LJC564" s="500"/>
      <c r="LJD564" s="500"/>
      <c r="LJE564" s="500"/>
      <c r="LJF564" s="500"/>
      <c r="LJG564" s="500"/>
      <c r="LJH564" s="500"/>
      <c r="LJI564" s="500"/>
      <c r="LJJ564" s="500"/>
      <c r="LJK564" s="500"/>
      <c r="LJL564" s="500"/>
      <c r="LJM564" s="500"/>
      <c r="LJN564" s="500"/>
      <c r="LJO564" s="500"/>
      <c r="LJP564" s="500"/>
      <c r="LJQ564" s="500"/>
      <c r="LJR564" s="500"/>
      <c r="LJS564" s="500"/>
      <c r="LJT564" s="500"/>
      <c r="LJU564" s="500"/>
      <c r="LJV564" s="500"/>
      <c r="LJW564" s="500"/>
      <c r="LJX564" s="500"/>
      <c r="LJY564" s="500"/>
      <c r="LJZ564" s="500"/>
      <c r="LKA564" s="500"/>
      <c r="LKB564" s="500"/>
      <c r="LKC564" s="500"/>
      <c r="LKD564" s="500"/>
      <c r="LKE564" s="500"/>
      <c r="LKF564" s="500"/>
      <c r="LKG564" s="500"/>
      <c r="LKH564" s="500"/>
      <c r="LKI564" s="500"/>
      <c r="LKJ564" s="500"/>
      <c r="LKK564" s="500"/>
      <c r="LKL564" s="500"/>
      <c r="LKM564" s="500"/>
      <c r="LKN564" s="500"/>
      <c r="LKO564" s="500"/>
      <c r="LKP564" s="500"/>
      <c r="LKQ564" s="500"/>
      <c r="LKR564" s="500"/>
      <c r="LKS564" s="500"/>
      <c r="LKT564" s="500"/>
      <c r="LKU564" s="500"/>
      <c r="LKV564" s="500"/>
      <c r="LKW564" s="500"/>
      <c r="LKX564" s="500"/>
      <c r="LKY564" s="500"/>
      <c r="LKZ564" s="500"/>
      <c r="LLA564" s="500"/>
      <c r="LLB564" s="500"/>
      <c r="LLC564" s="500"/>
      <c r="LLD564" s="500"/>
      <c r="LLE564" s="500"/>
      <c r="LLF564" s="500"/>
      <c r="LLG564" s="500"/>
      <c r="LLH564" s="500"/>
      <c r="LLI564" s="500"/>
      <c r="LLJ564" s="500"/>
      <c r="LLK564" s="500"/>
      <c r="LLL564" s="500"/>
      <c r="LLM564" s="500"/>
      <c r="LLN564" s="500"/>
      <c r="LLO564" s="500"/>
      <c r="LLP564" s="500"/>
      <c r="LLQ564" s="500"/>
      <c r="LLR564" s="500"/>
      <c r="LLS564" s="500"/>
      <c r="LLT564" s="500"/>
      <c r="LLU564" s="500"/>
      <c r="LLV564" s="500"/>
      <c r="LLW564" s="500"/>
      <c r="LLX564" s="500"/>
      <c r="LLY564" s="500"/>
      <c r="LLZ564" s="500"/>
      <c r="LMA564" s="500"/>
      <c r="LMB564" s="500"/>
      <c r="LMC564" s="500"/>
      <c r="LMD564" s="500"/>
      <c r="LME564" s="500"/>
      <c r="LMF564" s="500"/>
      <c r="LMG564" s="500"/>
      <c r="LMH564" s="500"/>
      <c r="LMI564" s="500"/>
      <c r="LMJ564" s="500"/>
      <c r="LMK564" s="500"/>
      <c r="LML564" s="500"/>
      <c r="LMM564" s="500"/>
      <c r="LMN564" s="500"/>
      <c r="LMO564" s="500"/>
      <c r="LMP564" s="500"/>
      <c r="LMQ564" s="500"/>
      <c r="LMR564" s="500"/>
      <c r="LMS564" s="500"/>
      <c r="LMT564" s="500"/>
      <c r="LMU564" s="500"/>
      <c r="LMV564" s="500"/>
      <c r="LMW564" s="500"/>
      <c r="LMX564" s="500"/>
      <c r="LMY564" s="500"/>
      <c r="LMZ564" s="500"/>
      <c r="LNA564" s="500"/>
      <c r="LNB564" s="500"/>
      <c r="LNC564" s="500"/>
      <c r="LND564" s="500"/>
      <c r="LNE564" s="500"/>
      <c r="LNF564" s="500"/>
      <c r="LNG564" s="500"/>
      <c r="LNH564" s="500"/>
      <c r="LNI564" s="500"/>
      <c r="LNJ564" s="500"/>
      <c r="LNK564" s="500"/>
      <c r="LNL564" s="500"/>
      <c r="LNM564" s="500"/>
      <c r="LNN564" s="500"/>
      <c r="LNO564" s="500"/>
      <c r="LNP564" s="500"/>
      <c r="LNQ564" s="500"/>
      <c r="LNR564" s="500"/>
      <c r="LNS564" s="500"/>
      <c r="LNT564" s="500"/>
      <c r="LNU564" s="500"/>
      <c r="LNV564" s="500"/>
      <c r="LNW564" s="500"/>
      <c r="LNX564" s="500"/>
      <c r="LNY564" s="500"/>
      <c r="LNZ564" s="500"/>
      <c r="LOA564" s="500"/>
      <c r="LOB564" s="500"/>
      <c r="LOC564" s="500"/>
      <c r="LOD564" s="500"/>
      <c r="LOE564" s="500"/>
      <c r="LOF564" s="500"/>
      <c r="LOG564" s="500"/>
      <c r="LOH564" s="500"/>
      <c r="LOI564" s="500"/>
      <c r="LOJ564" s="500"/>
      <c r="LOK564" s="500"/>
      <c r="LOL564" s="500"/>
      <c r="LOM564" s="500"/>
      <c r="LON564" s="500"/>
      <c r="LOO564" s="500"/>
      <c r="LOP564" s="500"/>
      <c r="LOQ564" s="500"/>
      <c r="LOR564" s="500"/>
      <c r="LOS564" s="500"/>
      <c r="LOT564" s="500"/>
      <c r="LOU564" s="500"/>
      <c r="LOV564" s="500"/>
      <c r="LOW564" s="500"/>
      <c r="LOX564" s="500"/>
      <c r="LOY564" s="500"/>
      <c r="LOZ564" s="500"/>
      <c r="LPA564" s="500"/>
      <c r="LPB564" s="500"/>
      <c r="LPC564" s="500"/>
      <c r="LPD564" s="500"/>
      <c r="LPE564" s="500"/>
      <c r="LPF564" s="500"/>
      <c r="LPG564" s="500"/>
      <c r="LPH564" s="500"/>
      <c r="LPI564" s="500"/>
      <c r="LPJ564" s="500"/>
      <c r="LPK564" s="500"/>
      <c r="LPL564" s="500"/>
      <c r="LPM564" s="500"/>
      <c r="LPN564" s="500"/>
      <c r="LPO564" s="500"/>
      <c r="LPP564" s="500"/>
      <c r="LPQ564" s="500"/>
      <c r="LPR564" s="500"/>
      <c r="LPS564" s="500"/>
      <c r="LPT564" s="500"/>
      <c r="LPU564" s="500"/>
      <c r="LPV564" s="500"/>
      <c r="LPW564" s="500"/>
      <c r="LPX564" s="500"/>
      <c r="LPY564" s="500"/>
      <c r="LPZ564" s="500"/>
      <c r="LQA564" s="500"/>
      <c r="LQB564" s="500"/>
      <c r="LQC564" s="500"/>
      <c r="LQD564" s="500"/>
      <c r="LQE564" s="500"/>
      <c r="LQF564" s="500"/>
      <c r="LQG564" s="500"/>
      <c r="LQH564" s="500"/>
      <c r="LQI564" s="500"/>
      <c r="LQJ564" s="500"/>
      <c r="LQK564" s="500"/>
      <c r="LQL564" s="500"/>
      <c r="LQM564" s="500"/>
      <c r="LQN564" s="500"/>
      <c r="LQO564" s="500"/>
      <c r="LQP564" s="500"/>
      <c r="LQQ564" s="500"/>
      <c r="LQR564" s="500"/>
      <c r="LQS564" s="500"/>
      <c r="LQT564" s="500"/>
      <c r="LQU564" s="500"/>
      <c r="LQV564" s="500"/>
      <c r="LQW564" s="500"/>
      <c r="LQX564" s="500"/>
      <c r="LQY564" s="500"/>
      <c r="LQZ564" s="500"/>
      <c r="LRA564" s="500"/>
      <c r="LRB564" s="500"/>
      <c r="LRC564" s="500"/>
      <c r="LRD564" s="500"/>
      <c r="LRE564" s="500"/>
      <c r="LRF564" s="500"/>
      <c r="LRG564" s="500"/>
      <c r="LRH564" s="500"/>
      <c r="LRI564" s="500"/>
      <c r="LRJ564" s="500"/>
      <c r="LRK564" s="500"/>
      <c r="LRL564" s="500"/>
      <c r="LRM564" s="500"/>
      <c r="LRN564" s="500"/>
      <c r="LRO564" s="500"/>
      <c r="LRP564" s="500"/>
      <c r="LRQ564" s="500"/>
      <c r="LRR564" s="500"/>
      <c r="LRS564" s="500"/>
      <c r="LRT564" s="500"/>
      <c r="LRU564" s="500"/>
      <c r="LRV564" s="500"/>
      <c r="LRW564" s="500"/>
      <c r="LRX564" s="500"/>
      <c r="LRY564" s="500"/>
      <c r="LRZ564" s="500"/>
      <c r="LSA564" s="500"/>
      <c r="LSB564" s="500"/>
      <c r="LSC564" s="500"/>
      <c r="LSD564" s="500"/>
      <c r="LSE564" s="500"/>
      <c r="LSF564" s="500"/>
      <c r="LSG564" s="500"/>
      <c r="LSH564" s="500"/>
      <c r="LSI564" s="500"/>
      <c r="LSJ564" s="500"/>
      <c r="LSK564" s="500"/>
      <c r="LSL564" s="500"/>
      <c r="LSM564" s="500"/>
      <c r="LSN564" s="500"/>
      <c r="LSO564" s="500"/>
      <c r="LSP564" s="500"/>
      <c r="LSQ564" s="500"/>
      <c r="LSR564" s="500"/>
      <c r="LSS564" s="500"/>
      <c r="LST564" s="500"/>
      <c r="LSU564" s="500"/>
      <c r="LSV564" s="500"/>
      <c r="LSW564" s="500"/>
      <c r="LSX564" s="500"/>
      <c r="LSY564" s="500"/>
      <c r="LSZ564" s="500"/>
      <c r="LTA564" s="500"/>
      <c r="LTB564" s="500"/>
      <c r="LTC564" s="500"/>
      <c r="LTD564" s="500"/>
      <c r="LTE564" s="500"/>
      <c r="LTF564" s="500"/>
      <c r="LTG564" s="500"/>
      <c r="LTH564" s="500"/>
      <c r="LTI564" s="500"/>
      <c r="LTJ564" s="500"/>
      <c r="LTK564" s="500"/>
      <c r="LTL564" s="500"/>
      <c r="LTM564" s="500"/>
      <c r="LTN564" s="500"/>
      <c r="LTO564" s="500"/>
      <c r="LTP564" s="500"/>
      <c r="LTQ564" s="500"/>
      <c r="LTR564" s="500"/>
      <c r="LTS564" s="500"/>
      <c r="LTT564" s="500"/>
      <c r="LTU564" s="500"/>
      <c r="LTV564" s="500"/>
      <c r="LTW564" s="500"/>
      <c r="LTX564" s="500"/>
      <c r="LTY564" s="500"/>
      <c r="LTZ564" s="500"/>
      <c r="LUA564" s="500"/>
      <c r="LUB564" s="500"/>
      <c r="LUC564" s="500"/>
      <c r="LUD564" s="500"/>
      <c r="LUE564" s="500"/>
      <c r="LUF564" s="500"/>
      <c r="LUG564" s="500"/>
      <c r="LUH564" s="500"/>
      <c r="LUI564" s="500"/>
      <c r="LUJ564" s="500"/>
      <c r="LUK564" s="500"/>
      <c r="LUL564" s="500"/>
      <c r="LUM564" s="500"/>
      <c r="LUN564" s="500"/>
      <c r="LUO564" s="500"/>
      <c r="LUP564" s="500"/>
      <c r="LUQ564" s="500"/>
      <c r="LUR564" s="500"/>
      <c r="LUS564" s="500"/>
      <c r="LUT564" s="500"/>
      <c r="LUU564" s="500"/>
      <c r="LUV564" s="500"/>
      <c r="LUW564" s="500"/>
      <c r="LUX564" s="500"/>
      <c r="LUY564" s="500"/>
      <c r="LUZ564" s="500"/>
      <c r="LVA564" s="500"/>
      <c r="LVB564" s="500"/>
      <c r="LVC564" s="500"/>
      <c r="LVD564" s="500"/>
      <c r="LVE564" s="500"/>
      <c r="LVF564" s="500"/>
      <c r="LVG564" s="500"/>
      <c r="LVH564" s="500"/>
      <c r="LVI564" s="500"/>
      <c r="LVJ564" s="500"/>
      <c r="LVK564" s="500"/>
      <c r="LVL564" s="500"/>
      <c r="LVM564" s="500"/>
      <c r="LVN564" s="500"/>
      <c r="LVO564" s="500"/>
      <c r="LVP564" s="500"/>
      <c r="LVQ564" s="500"/>
      <c r="LVR564" s="500"/>
      <c r="LVS564" s="500"/>
      <c r="LVT564" s="500"/>
      <c r="LVU564" s="500"/>
      <c r="LVV564" s="500"/>
      <c r="LVW564" s="500"/>
      <c r="LVX564" s="500"/>
      <c r="LVY564" s="500"/>
      <c r="LVZ564" s="500"/>
      <c r="LWA564" s="500"/>
      <c r="LWB564" s="500"/>
      <c r="LWC564" s="500"/>
      <c r="LWD564" s="500"/>
      <c r="LWE564" s="500"/>
      <c r="LWF564" s="500"/>
      <c r="LWG564" s="500"/>
      <c r="LWH564" s="500"/>
      <c r="LWI564" s="500"/>
      <c r="LWJ564" s="500"/>
      <c r="LWK564" s="500"/>
      <c r="LWL564" s="500"/>
      <c r="LWM564" s="500"/>
      <c r="LWN564" s="500"/>
      <c r="LWO564" s="500"/>
      <c r="LWP564" s="500"/>
      <c r="LWQ564" s="500"/>
      <c r="LWR564" s="500"/>
      <c r="LWS564" s="500"/>
      <c r="LWT564" s="500"/>
      <c r="LWU564" s="500"/>
      <c r="LWV564" s="500"/>
      <c r="LWW564" s="500"/>
      <c r="LWX564" s="500"/>
      <c r="LWY564" s="500"/>
      <c r="LWZ564" s="500"/>
      <c r="LXA564" s="500"/>
      <c r="LXB564" s="500"/>
      <c r="LXC564" s="500"/>
      <c r="LXD564" s="500"/>
      <c r="LXE564" s="500"/>
      <c r="LXF564" s="500"/>
      <c r="LXG564" s="500"/>
      <c r="LXH564" s="500"/>
      <c r="LXI564" s="500"/>
      <c r="LXJ564" s="500"/>
      <c r="LXK564" s="500"/>
      <c r="LXL564" s="500"/>
      <c r="LXM564" s="500"/>
      <c r="LXN564" s="500"/>
      <c r="LXO564" s="500"/>
      <c r="LXP564" s="500"/>
      <c r="LXQ564" s="500"/>
      <c r="LXR564" s="500"/>
      <c r="LXS564" s="500"/>
      <c r="LXT564" s="500"/>
      <c r="LXU564" s="500"/>
      <c r="LXV564" s="500"/>
      <c r="LXW564" s="500"/>
      <c r="LXX564" s="500"/>
      <c r="LXY564" s="500"/>
      <c r="LXZ564" s="500"/>
      <c r="LYA564" s="500"/>
      <c r="LYB564" s="500"/>
      <c r="LYC564" s="500"/>
      <c r="LYD564" s="500"/>
      <c r="LYE564" s="500"/>
      <c r="LYF564" s="500"/>
      <c r="LYG564" s="500"/>
      <c r="LYH564" s="500"/>
      <c r="LYI564" s="500"/>
      <c r="LYJ564" s="500"/>
      <c r="LYK564" s="500"/>
      <c r="LYL564" s="500"/>
      <c r="LYM564" s="500"/>
      <c r="LYN564" s="500"/>
      <c r="LYO564" s="500"/>
      <c r="LYP564" s="500"/>
      <c r="LYQ564" s="500"/>
      <c r="LYR564" s="500"/>
      <c r="LYS564" s="500"/>
      <c r="LYT564" s="500"/>
      <c r="LYU564" s="500"/>
      <c r="LYV564" s="500"/>
      <c r="LYW564" s="500"/>
      <c r="LYX564" s="500"/>
      <c r="LYY564" s="500"/>
      <c r="LYZ564" s="500"/>
      <c r="LZA564" s="500"/>
      <c r="LZB564" s="500"/>
      <c r="LZC564" s="500"/>
      <c r="LZD564" s="500"/>
      <c r="LZE564" s="500"/>
      <c r="LZF564" s="500"/>
      <c r="LZG564" s="500"/>
      <c r="LZH564" s="500"/>
      <c r="LZI564" s="500"/>
      <c r="LZJ564" s="500"/>
      <c r="LZK564" s="500"/>
      <c r="LZL564" s="500"/>
      <c r="LZM564" s="500"/>
      <c r="LZN564" s="500"/>
      <c r="LZO564" s="500"/>
      <c r="LZP564" s="500"/>
      <c r="LZQ564" s="500"/>
      <c r="LZR564" s="500"/>
      <c r="LZS564" s="500"/>
      <c r="LZT564" s="500"/>
      <c r="LZU564" s="500"/>
      <c r="LZV564" s="500"/>
      <c r="LZW564" s="500"/>
      <c r="LZX564" s="500"/>
      <c r="LZY564" s="500"/>
      <c r="LZZ564" s="500"/>
      <c r="MAA564" s="500"/>
      <c r="MAB564" s="500"/>
      <c r="MAC564" s="500"/>
      <c r="MAD564" s="500"/>
      <c r="MAE564" s="500"/>
      <c r="MAF564" s="500"/>
      <c r="MAG564" s="500"/>
      <c r="MAH564" s="500"/>
      <c r="MAI564" s="500"/>
      <c r="MAJ564" s="500"/>
      <c r="MAK564" s="500"/>
      <c r="MAL564" s="500"/>
      <c r="MAM564" s="500"/>
      <c r="MAN564" s="500"/>
      <c r="MAO564" s="500"/>
      <c r="MAP564" s="500"/>
      <c r="MAQ564" s="500"/>
      <c r="MAR564" s="500"/>
      <c r="MAS564" s="500"/>
      <c r="MAT564" s="500"/>
      <c r="MAU564" s="500"/>
      <c r="MAV564" s="500"/>
      <c r="MAW564" s="500"/>
      <c r="MAX564" s="500"/>
      <c r="MAY564" s="500"/>
      <c r="MAZ564" s="500"/>
      <c r="MBA564" s="500"/>
      <c r="MBB564" s="500"/>
      <c r="MBC564" s="500"/>
      <c r="MBD564" s="500"/>
      <c r="MBE564" s="500"/>
      <c r="MBF564" s="500"/>
      <c r="MBG564" s="500"/>
      <c r="MBH564" s="500"/>
      <c r="MBI564" s="500"/>
      <c r="MBJ564" s="500"/>
      <c r="MBK564" s="500"/>
      <c r="MBL564" s="500"/>
      <c r="MBM564" s="500"/>
      <c r="MBN564" s="500"/>
      <c r="MBO564" s="500"/>
      <c r="MBP564" s="500"/>
      <c r="MBQ564" s="500"/>
      <c r="MBR564" s="500"/>
      <c r="MBS564" s="500"/>
      <c r="MBT564" s="500"/>
      <c r="MBU564" s="500"/>
      <c r="MBV564" s="500"/>
      <c r="MBW564" s="500"/>
      <c r="MBX564" s="500"/>
      <c r="MBY564" s="500"/>
      <c r="MBZ564" s="500"/>
      <c r="MCA564" s="500"/>
      <c r="MCB564" s="500"/>
      <c r="MCC564" s="500"/>
      <c r="MCD564" s="500"/>
      <c r="MCE564" s="500"/>
      <c r="MCF564" s="500"/>
      <c r="MCG564" s="500"/>
      <c r="MCH564" s="500"/>
      <c r="MCI564" s="500"/>
      <c r="MCJ564" s="500"/>
      <c r="MCK564" s="500"/>
      <c r="MCL564" s="500"/>
      <c r="MCM564" s="500"/>
      <c r="MCN564" s="500"/>
      <c r="MCO564" s="500"/>
      <c r="MCP564" s="500"/>
      <c r="MCQ564" s="500"/>
      <c r="MCR564" s="500"/>
      <c r="MCS564" s="500"/>
      <c r="MCT564" s="500"/>
      <c r="MCU564" s="500"/>
      <c r="MCV564" s="500"/>
      <c r="MCW564" s="500"/>
      <c r="MCX564" s="500"/>
      <c r="MCY564" s="500"/>
      <c r="MCZ564" s="500"/>
      <c r="MDA564" s="500"/>
      <c r="MDB564" s="500"/>
      <c r="MDC564" s="500"/>
      <c r="MDD564" s="500"/>
      <c r="MDE564" s="500"/>
      <c r="MDF564" s="500"/>
      <c r="MDG564" s="500"/>
      <c r="MDH564" s="500"/>
      <c r="MDI564" s="500"/>
      <c r="MDJ564" s="500"/>
      <c r="MDK564" s="500"/>
      <c r="MDL564" s="500"/>
      <c r="MDM564" s="500"/>
      <c r="MDN564" s="500"/>
      <c r="MDO564" s="500"/>
      <c r="MDP564" s="500"/>
      <c r="MDQ564" s="500"/>
      <c r="MDR564" s="500"/>
      <c r="MDS564" s="500"/>
      <c r="MDT564" s="500"/>
      <c r="MDU564" s="500"/>
      <c r="MDV564" s="500"/>
      <c r="MDW564" s="500"/>
      <c r="MDX564" s="500"/>
      <c r="MDY564" s="500"/>
      <c r="MDZ564" s="500"/>
      <c r="MEA564" s="500"/>
      <c r="MEB564" s="500"/>
      <c r="MEC564" s="500"/>
      <c r="MED564" s="500"/>
      <c r="MEE564" s="500"/>
      <c r="MEF564" s="500"/>
      <c r="MEG564" s="500"/>
      <c r="MEH564" s="500"/>
      <c r="MEI564" s="500"/>
      <c r="MEJ564" s="500"/>
      <c r="MEK564" s="500"/>
      <c r="MEL564" s="500"/>
      <c r="MEM564" s="500"/>
      <c r="MEN564" s="500"/>
      <c r="MEO564" s="500"/>
      <c r="MEP564" s="500"/>
      <c r="MEQ564" s="500"/>
      <c r="MER564" s="500"/>
      <c r="MES564" s="500"/>
      <c r="MET564" s="500"/>
      <c r="MEU564" s="500"/>
      <c r="MEV564" s="500"/>
      <c r="MEW564" s="500"/>
      <c r="MEX564" s="500"/>
      <c r="MEY564" s="500"/>
      <c r="MEZ564" s="500"/>
      <c r="MFA564" s="500"/>
      <c r="MFB564" s="500"/>
      <c r="MFC564" s="500"/>
      <c r="MFD564" s="500"/>
      <c r="MFE564" s="500"/>
      <c r="MFF564" s="500"/>
      <c r="MFG564" s="500"/>
      <c r="MFH564" s="500"/>
      <c r="MFI564" s="500"/>
      <c r="MFJ564" s="500"/>
      <c r="MFK564" s="500"/>
      <c r="MFL564" s="500"/>
      <c r="MFM564" s="500"/>
      <c r="MFN564" s="500"/>
      <c r="MFO564" s="500"/>
      <c r="MFP564" s="500"/>
      <c r="MFQ564" s="500"/>
      <c r="MFR564" s="500"/>
      <c r="MFS564" s="500"/>
      <c r="MFT564" s="500"/>
      <c r="MFU564" s="500"/>
      <c r="MFV564" s="500"/>
      <c r="MFW564" s="500"/>
      <c r="MFX564" s="500"/>
      <c r="MFY564" s="500"/>
      <c r="MFZ564" s="500"/>
      <c r="MGA564" s="500"/>
      <c r="MGB564" s="500"/>
      <c r="MGC564" s="500"/>
      <c r="MGD564" s="500"/>
      <c r="MGE564" s="500"/>
      <c r="MGF564" s="500"/>
      <c r="MGG564" s="500"/>
      <c r="MGH564" s="500"/>
      <c r="MGI564" s="500"/>
      <c r="MGJ564" s="500"/>
      <c r="MGK564" s="500"/>
      <c r="MGL564" s="500"/>
      <c r="MGM564" s="500"/>
      <c r="MGN564" s="500"/>
      <c r="MGO564" s="500"/>
      <c r="MGP564" s="500"/>
      <c r="MGQ564" s="500"/>
      <c r="MGR564" s="500"/>
      <c r="MGS564" s="500"/>
      <c r="MGT564" s="500"/>
      <c r="MGU564" s="500"/>
      <c r="MGV564" s="500"/>
      <c r="MGW564" s="500"/>
      <c r="MGX564" s="500"/>
      <c r="MGY564" s="500"/>
      <c r="MGZ564" s="500"/>
      <c r="MHA564" s="500"/>
      <c r="MHB564" s="500"/>
      <c r="MHC564" s="500"/>
      <c r="MHD564" s="500"/>
      <c r="MHE564" s="500"/>
      <c r="MHF564" s="500"/>
      <c r="MHG564" s="500"/>
      <c r="MHH564" s="500"/>
      <c r="MHI564" s="500"/>
      <c r="MHJ564" s="500"/>
      <c r="MHK564" s="500"/>
      <c r="MHL564" s="500"/>
      <c r="MHM564" s="500"/>
      <c r="MHN564" s="500"/>
      <c r="MHO564" s="500"/>
      <c r="MHP564" s="500"/>
      <c r="MHQ564" s="500"/>
      <c r="MHR564" s="500"/>
      <c r="MHS564" s="500"/>
      <c r="MHT564" s="500"/>
      <c r="MHU564" s="500"/>
      <c r="MHV564" s="500"/>
      <c r="MHW564" s="500"/>
      <c r="MHX564" s="500"/>
      <c r="MHY564" s="500"/>
      <c r="MHZ564" s="500"/>
      <c r="MIA564" s="500"/>
      <c r="MIB564" s="500"/>
      <c r="MIC564" s="500"/>
      <c r="MID564" s="500"/>
      <c r="MIE564" s="500"/>
      <c r="MIF564" s="500"/>
      <c r="MIG564" s="500"/>
      <c r="MIH564" s="500"/>
      <c r="MII564" s="500"/>
      <c r="MIJ564" s="500"/>
      <c r="MIK564" s="500"/>
      <c r="MIL564" s="500"/>
      <c r="MIM564" s="500"/>
      <c r="MIN564" s="500"/>
      <c r="MIO564" s="500"/>
      <c r="MIP564" s="500"/>
      <c r="MIQ564" s="500"/>
      <c r="MIR564" s="500"/>
      <c r="MIS564" s="500"/>
      <c r="MIT564" s="500"/>
      <c r="MIU564" s="500"/>
      <c r="MIV564" s="500"/>
      <c r="MIW564" s="500"/>
      <c r="MIX564" s="500"/>
      <c r="MIY564" s="500"/>
      <c r="MIZ564" s="500"/>
      <c r="MJA564" s="500"/>
      <c r="MJB564" s="500"/>
      <c r="MJC564" s="500"/>
      <c r="MJD564" s="500"/>
      <c r="MJE564" s="500"/>
      <c r="MJF564" s="500"/>
      <c r="MJG564" s="500"/>
      <c r="MJH564" s="500"/>
      <c r="MJI564" s="500"/>
      <c r="MJJ564" s="500"/>
      <c r="MJK564" s="500"/>
      <c r="MJL564" s="500"/>
      <c r="MJM564" s="500"/>
      <c r="MJN564" s="500"/>
      <c r="MJO564" s="500"/>
      <c r="MJP564" s="500"/>
      <c r="MJQ564" s="500"/>
      <c r="MJR564" s="500"/>
      <c r="MJS564" s="500"/>
      <c r="MJT564" s="500"/>
      <c r="MJU564" s="500"/>
      <c r="MJV564" s="500"/>
      <c r="MJW564" s="500"/>
      <c r="MJX564" s="500"/>
      <c r="MJY564" s="500"/>
      <c r="MJZ564" s="500"/>
      <c r="MKA564" s="500"/>
      <c r="MKB564" s="500"/>
      <c r="MKC564" s="500"/>
      <c r="MKD564" s="500"/>
      <c r="MKE564" s="500"/>
      <c r="MKF564" s="500"/>
      <c r="MKG564" s="500"/>
      <c r="MKH564" s="500"/>
      <c r="MKI564" s="500"/>
      <c r="MKJ564" s="500"/>
      <c r="MKK564" s="500"/>
      <c r="MKL564" s="500"/>
      <c r="MKM564" s="500"/>
      <c r="MKN564" s="500"/>
      <c r="MKO564" s="500"/>
      <c r="MKP564" s="500"/>
      <c r="MKQ564" s="500"/>
      <c r="MKR564" s="500"/>
      <c r="MKS564" s="500"/>
      <c r="MKT564" s="500"/>
      <c r="MKU564" s="500"/>
      <c r="MKV564" s="500"/>
      <c r="MKW564" s="500"/>
      <c r="MKX564" s="500"/>
      <c r="MKY564" s="500"/>
      <c r="MKZ564" s="500"/>
      <c r="MLA564" s="500"/>
      <c r="MLB564" s="500"/>
      <c r="MLC564" s="500"/>
      <c r="MLD564" s="500"/>
      <c r="MLE564" s="500"/>
      <c r="MLF564" s="500"/>
      <c r="MLG564" s="500"/>
      <c r="MLH564" s="500"/>
      <c r="MLI564" s="500"/>
      <c r="MLJ564" s="500"/>
      <c r="MLK564" s="500"/>
      <c r="MLL564" s="500"/>
      <c r="MLM564" s="500"/>
      <c r="MLN564" s="500"/>
      <c r="MLO564" s="500"/>
      <c r="MLP564" s="500"/>
      <c r="MLQ564" s="500"/>
      <c r="MLR564" s="500"/>
      <c r="MLS564" s="500"/>
      <c r="MLT564" s="500"/>
      <c r="MLU564" s="500"/>
      <c r="MLV564" s="500"/>
      <c r="MLW564" s="500"/>
      <c r="MLX564" s="500"/>
      <c r="MLY564" s="500"/>
      <c r="MLZ564" s="500"/>
      <c r="MMA564" s="500"/>
      <c r="MMB564" s="500"/>
      <c r="MMC564" s="500"/>
      <c r="MMD564" s="500"/>
      <c r="MME564" s="500"/>
      <c r="MMF564" s="500"/>
      <c r="MMG564" s="500"/>
      <c r="MMH564" s="500"/>
      <c r="MMI564" s="500"/>
      <c r="MMJ564" s="500"/>
      <c r="MMK564" s="500"/>
      <c r="MML564" s="500"/>
      <c r="MMM564" s="500"/>
      <c r="MMN564" s="500"/>
      <c r="MMO564" s="500"/>
      <c r="MMP564" s="500"/>
      <c r="MMQ564" s="500"/>
      <c r="MMR564" s="500"/>
      <c r="MMS564" s="500"/>
      <c r="MMT564" s="500"/>
      <c r="MMU564" s="500"/>
      <c r="MMV564" s="500"/>
      <c r="MMW564" s="500"/>
      <c r="MMX564" s="500"/>
      <c r="MMY564" s="500"/>
      <c r="MMZ564" s="500"/>
      <c r="MNA564" s="500"/>
      <c r="MNB564" s="500"/>
      <c r="MNC564" s="500"/>
      <c r="MND564" s="500"/>
      <c r="MNE564" s="500"/>
      <c r="MNF564" s="500"/>
      <c r="MNG564" s="500"/>
      <c r="MNH564" s="500"/>
      <c r="MNI564" s="500"/>
      <c r="MNJ564" s="500"/>
      <c r="MNK564" s="500"/>
      <c r="MNL564" s="500"/>
      <c r="MNM564" s="500"/>
      <c r="MNN564" s="500"/>
      <c r="MNO564" s="500"/>
      <c r="MNP564" s="500"/>
      <c r="MNQ564" s="500"/>
      <c r="MNR564" s="500"/>
      <c r="MNS564" s="500"/>
      <c r="MNT564" s="500"/>
      <c r="MNU564" s="500"/>
      <c r="MNV564" s="500"/>
      <c r="MNW564" s="500"/>
      <c r="MNX564" s="500"/>
      <c r="MNY564" s="500"/>
      <c r="MNZ564" s="500"/>
      <c r="MOA564" s="500"/>
      <c r="MOB564" s="500"/>
      <c r="MOC564" s="500"/>
      <c r="MOD564" s="500"/>
      <c r="MOE564" s="500"/>
      <c r="MOF564" s="500"/>
      <c r="MOG564" s="500"/>
      <c r="MOH564" s="500"/>
      <c r="MOI564" s="500"/>
      <c r="MOJ564" s="500"/>
      <c r="MOK564" s="500"/>
      <c r="MOL564" s="500"/>
      <c r="MOM564" s="500"/>
      <c r="MON564" s="500"/>
      <c r="MOO564" s="500"/>
      <c r="MOP564" s="500"/>
      <c r="MOQ564" s="500"/>
      <c r="MOR564" s="500"/>
      <c r="MOS564" s="500"/>
      <c r="MOT564" s="500"/>
      <c r="MOU564" s="500"/>
      <c r="MOV564" s="500"/>
      <c r="MOW564" s="500"/>
      <c r="MOX564" s="500"/>
      <c r="MOY564" s="500"/>
      <c r="MOZ564" s="500"/>
      <c r="MPA564" s="500"/>
      <c r="MPB564" s="500"/>
      <c r="MPC564" s="500"/>
      <c r="MPD564" s="500"/>
      <c r="MPE564" s="500"/>
      <c r="MPF564" s="500"/>
      <c r="MPG564" s="500"/>
      <c r="MPH564" s="500"/>
      <c r="MPI564" s="500"/>
      <c r="MPJ564" s="500"/>
      <c r="MPK564" s="500"/>
      <c r="MPL564" s="500"/>
      <c r="MPM564" s="500"/>
      <c r="MPN564" s="500"/>
      <c r="MPO564" s="500"/>
      <c r="MPP564" s="500"/>
      <c r="MPQ564" s="500"/>
      <c r="MPR564" s="500"/>
      <c r="MPS564" s="500"/>
      <c r="MPT564" s="500"/>
      <c r="MPU564" s="500"/>
      <c r="MPV564" s="500"/>
      <c r="MPW564" s="500"/>
      <c r="MPX564" s="500"/>
      <c r="MPY564" s="500"/>
      <c r="MPZ564" s="500"/>
      <c r="MQA564" s="500"/>
      <c r="MQB564" s="500"/>
      <c r="MQC564" s="500"/>
      <c r="MQD564" s="500"/>
      <c r="MQE564" s="500"/>
      <c r="MQF564" s="500"/>
      <c r="MQG564" s="500"/>
      <c r="MQH564" s="500"/>
      <c r="MQI564" s="500"/>
      <c r="MQJ564" s="500"/>
      <c r="MQK564" s="500"/>
      <c r="MQL564" s="500"/>
      <c r="MQM564" s="500"/>
      <c r="MQN564" s="500"/>
      <c r="MQO564" s="500"/>
      <c r="MQP564" s="500"/>
      <c r="MQQ564" s="500"/>
      <c r="MQR564" s="500"/>
      <c r="MQS564" s="500"/>
      <c r="MQT564" s="500"/>
      <c r="MQU564" s="500"/>
      <c r="MQV564" s="500"/>
      <c r="MQW564" s="500"/>
      <c r="MQX564" s="500"/>
      <c r="MQY564" s="500"/>
      <c r="MQZ564" s="500"/>
      <c r="MRA564" s="500"/>
      <c r="MRB564" s="500"/>
      <c r="MRC564" s="500"/>
      <c r="MRD564" s="500"/>
      <c r="MRE564" s="500"/>
      <c r="MRF564" s="500"/>
      <c r="MRG564" s="500"/>
      <c r="MRH564" s="500"/>
      <c r="MRI564" s="500"/>
      <c r="MRJ564" s="500"/>
      <c r="MRK564" s="500"/>
      <c r="MRL564" s="500"/>
      <c r="MRM564" s="500"/>
      <c r="MRN564" s="500"/>
      <c r="MRO564" s="500"/>
      <c r="MRP564" s="500"/>
      <c r="MRQ564" s="500"/>
      <c r="MRR564" s="500"/>
      <c r="MRS564" s="500"/>
      <c r="MRT564" s="500"/>
      <c r="MRU564" s="500"/>
      <c r="MRV564" s="500"/>
      <c r="MRW564" s="500"/>
      <c r="MRX564" s="500"/>
      <c r="MRY564" s="500"/>
      <c r="MRZ564" s="500"/>
      <c r="MSA564" s="500"/>
      <c r="MSB564" s="500"/>
      <c r="MSC564" s="500"/>
      <c r="MSD564" s="500"/>
      <c r="MSE564" s="500"/>
      <c r="MSF564" s="500"/>
      <c r="MSG564" s="500"/>
      <c r="MSH564" s="500"/>
      <c r="MSI564" s="500"/>
      <c r="MSJ564" s="500"/>
      <c r="MSK564" s="500"/>
      <c r="MSL564" s="500"/>
      <c r="MSM564" s="500"/>
      <c r="MSN564" s="500"/>
      <c r="MSO564" s="500"/>
      <c r="MSP564" s="500"/>
      <c r="MSQ564" s="500"/>
      <c r="MSR564" s="500"/>
      <c r="MSS564" s="500"/>
      <c r="MST564" s="500"/>
      <c r="MSU564" s="500"/>
      <c r="MSV564" s="500"/>
      <c r="MSW564" s="500"/>
      <c r="MSX564" s="500"/>
      <c r="MSY564" s="500"/>
      <c r="MSZ564" s="500"/>
      <c r="MTA564" s="500"/>
      <c r="MTB564" s="500"/>
      <c r="MTC564" s="500"/>
      <c r="MTD564" s="500"/>
      <c r="MTE564" s="500"/>
      <c r="MTF564" s="500"/>
      <c r="MTG564" s="500"/>
      <c r="MTH564" s="500"/>
      <c r="MTI564" s="500"/>
      <c r="MTJ564" s="500"/>
      <c r="MTK564" s="500"/>
      <c r="MTL564" s="500"/>
      <c r="MTM564" s="500"/>
      <c r="MTN564" s="500"/>
      <c r="MTO564" s="500"/>
      <c r="MTP564" s="500"/>
      <c r="MTQ564" s="500"/>
      <c r="MTR564" s="500"/>
      <c r="MTS564" s="500"/>
      <c r="MTT564" s="500"/>
      <c r="MTU564" s="500"/>
      <c r="MTV564" s="500"/>
      <c r="MTW564" s="500"/>
      <c r="MTX564" s="500"/>
      <c r="MTY564" s="500"/>
      <c r="MTZ564" s="500"/>
      <c r="MUA564" s="500"/>
      <c r="MUB564" s="500"/>
      <c r="MUC564" s="500"/>
      <c r="MUD564" s="500"/>
      <c r="MUE564" s="500"/>
      <c r="MUF564" s="500"/>
      <c r="MUG564" s="500"/>
      <c r="MUH564" s="500"/>
      <c r="MUI564" s="500"/>
      <c r="MUJ564" s="500"/>
      <c r="MUK564" s="500"/>
      <c r="MUL564" s="500"/>
      <c r="MUM564" s="500"/>
      <c r="MUN564" s="500"/>
      <c r="MUO564" s="500"/>
      <c r="MUP564" s="500"/>
      <c r="MUQ564" s="500"/>
      <c r="MUR564" s="500"/>
      <c r="MUS564" s="500"/>
      <c r="MUT564" s="500"/>
      <c r="MUU564" s="500"/>
      <c r="MUV564" s="500"/>
      <c r="MUW564" s="500"/>
      <c r="MUX564" s="500"/>
      <c r="MUY564" s="500"/>
      <c r="MUZ564" s="500"/>
      <c r="MVA564" s="500"/>
      <c r="MVB564" s="500"/>
      <c r="MVC564" s="500"/>
      <c r="MVD564" s="500"/>
      <c r="MVE564" s="500"/>
      <c r="MVF564" s="500"/>
      <c r="MVG564" s="500"/>
      <c r="MVH564" s="500"/>
      <c r="MVI564" s="500"/>
      <c r="MVJ564" s="500"/>
      <c r="MVK564" s="500"/>
      <c r="MVL564" s="500"/>
      <c r="MVM564" s="500"/>
      <c r="MVN564" s="500"/>
      <c r="MVO564" s="500"/>
      <c r="MVP564" s="500"/>
      <c r="MVQ564" s="500"/>
      <c r="MVR564" s="500"/>
      <c r="MVS564" s="500"/>
      <c r="MVT564" s="500"/>
      <c r="MVU564" s="500"/>
      <c r="MVV564" s="500"/>
      <c r="MVW564" s="500"/>
      <c r="MVX564" s="500"/>
      <c r="MVY564" s="500"/>
      <c r="MVZ564" s="500"/>
      <c r="MWA564" s="500"/>
      <c r="MWB564" s="500"/>
      <c r="MWC564" s="500"/>
      <c r="MWD564" s="500"/>
      <c r="MWE564" s="500"/>
      <c r="MWF564" s="500"/>
      <c r="MWG564" s="500"/>
      <c r="MWH564" s="500"/>
      <c r="MWI564" s="500"/>
      <c r="MWJ564" s="500"/>
      <c r="MWK564" s="500"/>
      <c r="MWL564" s="500"/>
      <c r="MWM564" s="500"/>
      <c r="MWN564" s="500"/>
      <c r="MWO564" s="500"/>
      <c r="MWP564" s="500"/>
      <c r="MWQ564" s="500"/>
      <c r="MWR564" s="500"/>
      <c r="MWS564" s="500"/>
      <c r="MWT564" s="500"/>
      <c r="MWU564" s="500"/>
      <c r="MWV564" s="500"/>
      <c r="MWW564" s="500"/>
      <c r="MWX564" s="500"/>
      <c r="MWY564" s="500"/>
      <c r="MWZ564" s="500"/>
      <c r="MXA564" s="500"/>
      <c r="MXB564" s="500"/>
      <c r="MXC564" s="500"/>
      <c r="MXD564" s="500"/>
      <c r="MXE564" s="500"/>
      <c r="MXF564" s="500"/>
      <c r="MXG564" s="500"/>
      <c r="MXH564" s="500"/>
      <c r="MXI564" s="500"/>
      <c r="MXJ564" s="500"/>
      <c r="MXK564" s="500"/>
      <c r="MXL564" s="500"/>
      <c r="MXM564" s="500"/>
      <c r="MXN564" s="500"/>
      <c r="MXO564" s="500"/>
      <c r="MXP564" s="500"/>
      <c r="MXQ564" s="500"/>
      <c r="MXR564" s="500"/>
      <c r="MXS564" s="500"/>
      <c r="MXT564" s="500"/>
      <c r="MXU564" s="500"/>
      <c r="MXV564" s="500"/>
      <c r="MXW564" s="500"/>
      <c r="MXX564" s="500"/>
      <c r="MXY564" s="500"/>
      <c r="MXZ564" s="500"/>
      <c r="MYA564" s="500"/>
      <c r="MYB564" s="500"/>
      <c r="MYC564" s="500"/>
      <c r="MYD564" s="500"/>
      <c r="MYE564" s="500"/>
      <c r="MYF564" s="500"/>
      <c r="MYG564" s="500"/>
      <c r="MYH564" s="500"/>
      <c r="MYI564" s="500"/>
      <c r="MYJ564" s="500"/>
      <c r="MYK564" s="500"/>
      <c r="MYL564" s="500"/>
      <c r="MYM564" s="500"/>
      <c r="MYN564" s="500"/>
      <c r="MYO564" s="500"/>
      <c r="MYP564" s="500"/>
      <c r="MYQ564" s="500"/>
      <c r="MYR564" s="500"/>
      <c r="MYS564" s="500"/>
      <c r="MYT564" s="500"/>
      <c r="MYU564" s="500"/>
      <c r="MYV564" s="500"/>
      <c r="MYW564" s="500"/>
      <c r="MYX564" s="500"/>
      <c r="MYY564" s="500"/>
      <c r="MYZ564" s="500"/>
      <c r="MZA564" s="500"/>
      <c r="MZB564" s="500"/>
      <c r="MZC564" s="500"/>
      <c r="MZD564" s="500"/>
      <c r="MZE564" s="500"/>
      <c r="MZF564" s="500"/>
      <c r="MZG564" s="500"/>
      <c r="MZH564" s="500"/>
      <c r="MZI564" s="500"/>
      <c r="MZJ564" s="500"/>
      <c r="MZK564" s="500"/>
      <c r="MZL564" s="500"/>
      <c r="MZM564" s="500"/>
      <c r="MZN564" s="500"/>
      <c r="MZO564" s="500"/>
      <c r="MZP564" s="500"/>
      <c r="MZQ564" s="500"/>
      <c r="MZR564" s="500"/>
      <c r="MZS564" s="500"/>
      <c r="MZT564" s="500"/>
      <c r="MZU564" s="500"/>
      <c r="MZV564" s="500"/>
      <c r="MZW564" s="500"/>
      <c r="MZX564" s="500"/>
      <c r="MZY564" s="500"/>
      <c r="MZZ564" s="500"/>
      <c r="NAA564" s="500"/>
      <c r="NAB564" s="500"/>
      <c r="NAC564" s="500"/>
      <c r="NAD564" s="500"/>
      <c r="NAE564" s="500"/>
      <c r="NAF564" s="500"/>
      <c r="NAG564" s="500"/>
      <c r="NAH564" s="500"/>
      <c r="NAI564" s="500"/>
      <c r="NAJ564" s="500"/>
      <c r="NAK564" s="500"/>
      <c r="NAL564" s="500"/>
      <c r="NAM564" s="500"/>
      <c r="NAN564" s="500"/>
      <c r="NAO564" s="500"/>
      <c r="NAP564" s="500"/>
      <c r="NAQ564" s="500"/>
      <c r="NAR564" s="500"/>
      <c r="NAS564" s="500"/>
      <c r="NAT564" s="500"/>
      <c r="NAU564" s="500"/>
      <c r="NAV564" s="500"/>
      <c r="NAW564" s="500"/>
      <c r="NAX564" s="500"/>
      <c r="NAY564" s="500"/>
      <c r="NAZ564" s="500"/>
      <c r="NBA564" s="500"/>
      <c r="NBB564" s="500"/>
      <c r="NBC564" s="500"/>
      <c r="NBD564" s="500"/>
      <c r="NBE564" s="500"/>
      <c r="NBF564" s="500"/>
      <c r="NBG564" s="500"/>
      <c r="NBH564" s="500"/>
      <c r="NBI564" s="500"/>
      <c r="NBJ564" s="500"/>
      <c r="NBK564" s="500"/>
      <c r="NBL564" s="500"/>
      <c r="NBM564" s="500"/>
      <c r="NBN564" s="500"/>
      <c r="NBO564" s="500"/>
      <c r="NBP564" s="500"/>
      <c r="NBQ564" s="500"/>
      <c r="NBR564" s="500"/>
      <c r="NBS564" s="500"/>
      <c r="NBT564" s="500"/>
      <c r="NBU564" s="500"/>
      <c r="NBV564" s="500"/>
      <c r="NBW564" s="500"/>
      <c r="NBX564" s="500"/>
      <c r="NBY564" s="500"/>
      <c r="NBZ564" s="500"/>
      <c r="NCA564" s="500"/>
      <c r="NCB564" s="500"/>
      <c r="NCC564" s="500"/>
      <c r="NCD564" s="500"/>
      <c r="NCE564" s="500"/>
      <c r="NCF564" s="500"/>
      <c r="NCG564" s="500"/>
      <c r="NCH564" s="500"/>
      <c r="NCI564" s="500"/>
      <c r="NCJ564" s="500"/>
      <c r="NCK564" s="500"/>
      <c r="NCL564" s="500"/>
      <c r="NCM564" s="500"/>
      <c r="NCN564" s="500"/>
      <c r="NCO564" s="500"/>
      <c r="NCP564" s="500"/>
      <c r="NCQ564" s="500"/>
      <c r="NCR564" s="500"/>
      <c r="NCS564" s="500"/>
      <c r="NCT564" s="500"/>
      <c r="NCU564" s="500"/>
      <c r="NCV564" s="500"/>
      <c r="NCW564" s="500"/>
      <c r="NCX564" s="500"/>
      <c r="NCY564" s="500"/>
      <c r="NCZ564" s="500"/>
      <c r="NDA564" s="500"/>
      <c r="NDB564" s="500"/>
      <c r="NDC564" s="500"/>
      <c r="NDD564" s="500"/>
      <c r="NDE564" s="500"/>
      <c r="NDF564" s="500"/>
      <c r="NDG564" s="500"/>
      <c r="NDH564" s="500"/>
      <c r="NDI564" s="500"/>
      <c r="NDJ564" s="500"/>
      <c r="NDK564" s="500"/>
      <c r="NDL564" s="500"/>
      <c r="NDM564" s="500"/>
      <c r="NDN564" s="500"/>
      <c r="NDO564" s="500"/>
      <c r="NDP564" s="500"/>
      <c r="NDQ564" s="500"/>
      <c r="NDR564" s="500"/>
      <c r="NDS564" s="500"/>
      <c r="NDT564" s="500"/>
      <c r="NDU564" s="500"/>
      <c r="NDV564" s="500"/>
      <c r="NDW564" s="500"/>
      <c r="NDX564" s="500"/>
      <c r="NDY564" s="500"/>
      <c r="NDZ564" s="500"/>
      <c r="NEA564" s="500"/>
      <c r="NEB564" s="500"/>
      <c r="NEC564" s="500"/>
      <c r="NED564" s="500"/>
      <c r="NEE564" s="500"/>
      <c r="NEF564" s="500"/>
      <c r="NEG564" s="500"/>
      <c r="NEH564" s="500"/>
      <c r="NEI564" s="500"/>
      <c r="NEJ564" s="500"/>
      <c r="NEK564" s="500"/>
      <c r="NEL564" s="500"/>
      <c r="NEM564" s="500"/>
      <c r="NEN564" s="500"/>
      <c r="NEO564" s="500"/>
      <c r="NEP564" s="500"/>
      <c r="NEQ564" s="500"/>
      <c r="NER564" s="500"/>
      <c r="NES564" s="500"/>
      <c r="NET564" s="500"/>
      <c r="NEU564" s="500"/>
      <c r="NEV564" s="500"/>
      <c r="NEW564" s="500"/>
      <c r="NEX564" s="500"/>
      <c r="NEY564" s="500"/>
      <c r="NEZ564" s="500"/>
      <c r="NFA564" s="500"/>
      <c r="NFB564" s="500"/>
      <c r="NFC564" s="500"/>
      <c r="NFD564" s="500"/>
      <c r="NFE564" s="500"/>
      <c r="NFF564" s="500"/>
      <c r="NFG564" s="500"/>
      <c r="NFH564" s="500"/>
      <c r="NFI564" s="500"/>
      <c r="NFJ564" s="500"/>
      <c r="NFK564" s="500"/>
      <c r="NFL564" s="500"/>
      <c r="NFM564" s="500"/>
      <c r="NFN564" s="500"/>
      <c r="NFO564" s="500"/>
      <c r="NFP564" s="500"/>
      <c r="NFQ564" s="500"/>
      <c r="NFR564" s="500"/>
      <c r="NFS564" s="500"/>
      <c r="NFT564" s="500"/>
      <c r="NFU564" s="500"/>
      <c r="NFV564" s="500"/>
      <c r="NFW564" s="500"/>
      <c r="NFX564" s="500"/>
      <c r="NFY564" s="500"/>
      <c r="NFZ564" s="500"/>
      <c r="NGA564" s="500"/>
      <c r="NGB564" s="500"/>
      <c r="NGC564" s="500"/>
      <c r="NGD564" s="500"/>
      <c r="NGE564" s="500"/>
      <c r="NGF564" s="500"/>
      <c r="NGG564" s="500"/>
      <c r="NGH564" s="500"/>
      <c r="NGI564" s="500"/>
      <c r="NGJ564" s="500"/>
      <c r="NGK564" s="500"/>
      <c r="NGL564" s="500"/>
      <c r="NGM564" s="500"/>
      <c r="NGN564" s="500"/>
      <c r="NGO564" s="500"/>
      <c r="NGP564" s="500"/>
      <c r="NGQ564" s="500"/>
      <c r="NGR564" s="500"/>
      <c r="NGS564" s="500"/>
      <c r="NGT564" s="500"/>
      <c r="NGU564" s="500"/>
      <c r="NGV564" s="500"/>
      <c r="NGW564" s="500"/>
      <c r="NGX564" s="500"/>
      <c r="NGY564" s="500"/>
      <c r="NGZ564" s="500"/>
      <c r="NHA564" s="500"/>
      <c r="NHB564" s="500"/>
      <c r="NHC564" s="500"/>
      <c r="NHD564" s="500"/>
      <c r="NHE564" s="500"/>
      <c r="NHF564" s="500"/>
      <c r="NHG564" s="500"/>
      <c r="NHH564" s="500"/>
      <c r="NHI564" s="500"/>
      <c r="NHJ564" s="500"/>
      <c r="NHK564" s="500"/>
      <c r="NHL564" s="500"/>
      <c r="NHM564" s="500"/>
      <c r="NHN564" s="500"/>
      <c r="NHO564" s="500"/>
      <c r="NHP564" s="500"/>
      <c r="NHQ564" s="500"/>
      <c r="NHR564" s="500"/>
      <c r="NHS564" s="500"/>
      <c r="NHT564" s="500"/>
      <c r="NHU564" s="500"/>
      <c r="NHV564" s="500"/>
      <c r="NHW564" s="500"/>
      <c r="NHX564" s="500"/>
      <c r="NHY564" s="500"/>
      <c r="NHZ564" s="500"/>
      <c r="NIA564" s="500"/>
      <c r="NIB564" s="500"/>
      <c r="NIC564" s="500"/>
      <c r="NID564" s="500"/>
      <c r="NIE564" s="500"/>
      <c r="NIF564" s="500"/>
      <c r="NIG564" s="500"/>
      <c r="NIH564" s="500"/>
      <c r="NII564" s="500"/>
      <c r="NIJ564" s="500"/>
      <c r="NIK564" s="500"/>
      <c r="NIL564" s="500"/>
      <c r="NIM564" s="500"/>
      <c r="NIN564" s="500"/>
      <c r="NIO564" s="500"/>
      <c r="NIP564" s="500"/>
      <c r="NIQ564" s="500"/>
      <c r="NIR564" s="500"/>
      <c r="NIS564" s="500"/>
      <c r="NIT564" s="500"/>
      <c r="NIU564" s="500"/>
      <c r="NIV564" s="500"/>
      <c r="NIW564" s="500"/>
      <c r="NIX564" s="500"/>
      <c r="NIY564" s="500"/>
      <c r="NIZ564" s="500"/>
      <c r="NJA564" s="500"/>
      <c r="NJB564" s="500"/>
      <c r="NJC564" s="500"/>
      <c r="NJD564" s="500"/>
      <c r="NJE564" s="500"/>
      <c r="NJF564" s="500"/>
      <c r="NJG564" s="500"/>
      <c r="NJH564" s="500"/>
      <c r="NJI564" s="500"/>
      <c r="NJJ564" s="500"/>
      <c r="NJK564" s="500"/>
      <c r="NJL564" s="500"/>
      <c r="NJM564" s="500"/>
      <c r="NJN564" s="500"/>
      <c r="NJO564" s="500"/>
      <c r="NJP564" s="500"/>
      <c r="NJQ564" s="500"/>
      <c r="NJR564" s="500"/>
      <c r="NJS564" s="500"/>
      <c r="NJT564" s="500"/>
      <c r="NJU564" s="500"/>
      <c r="NJV564" s="500"/>
      <c r="NJW564" s="500"/>
      <c r="NJX564" s="500"/>
      <c r="NJY564" s="500"/>
      <c r="NJZ564" s="500"/>
      <c r="NKA564" s="500"/>
      <c r="NKB564" s="500"/>
      <c r="NKC564" s="500"/>
      <c r="NKD564" s="500"/>
      <c r="NKE564" s="500"/>
      <c r="NKF564" s="500"/>
      <c r="NKG564" s="500"/>
      <c r="NKH564" s="500"/>
      <c r="NKI564" s="500"/>
      <c r="NKJ564" s="500"/>
      <c r="NKK564" s="500"/>
      <c r="NKL564" s="500"/>
      <c r="NKM564" s="500"/>
      <c r="NKN564" s="500"/>
      <c r="NKO564" s="500"/>
      <c r="NKP564" s="500"/>
      <c r="NKQ564" s="500"/>
      <c r="NKR564" s="500"/>
      <c r="NKS564" s="500"/>
      <c r="NKT564" s="500"/>
      <c r="NKU564" s="500"/>
      <c r="NKV564" s="500"/>
      <c r="NKW564" s="500"/>
      <c r="NKX564" s="500"/>
      <c r="NKY564" s="500"/>
      <c r="NKZ564" s="500"/>
      <c r="NLA564" s="500"/>
      <c r="NLB564" s="500"/>
      <c r="NLC564" s="500"/>
      <c r="NLD564" s="500"/>
      <c r="NLE564" s="500"/>
      <c r="NLF564" s="500"/>
      <c r="NLG564" s="500"/>
      <c r="NLH564" s="500"/>
      <c r="NLI564" s="500"/>
      <c r="NLJ564" s="500"/>
      <c r="NLK564" s="500"/>
      <c r="NLL564" s="500"/>
      <c r="NLM564" s="500"/>
      <c r="NLN564" s="500"/>
      <c r="NLO564" s="500"/>
      <c r="NLP564" s="500"/>
      <c r="NLQ564" s="500"/>
      <c r="NLR564" s="500"/>
      <c r="NLS564" s="500"/>
      <c r="NLT564" s="500"/>
      <c r="NLU564" s="500"/>
      <c r="NLV564" s="500"/>
      <c r="NLW564" s="500"/>
      <c r="NLX564" s="500"/>
      <c r="NLY564" s="500"/>
      <c r="NLZ564" s="500"/>
      <c r="NMA564" s="500"/>
      <c r="NMB564" s="500"/>
      <c r="NMC564" s="500"/>
      <c r="NMD564" s="500"/>
      <c r="NME564" s="500"/>
      <c r="NMF564" s="500"/>
      <c r="NMG564" s="500"/>
      <c r="NMH564" s="500"/>
      <c r="NMI564" s="500"/>
      <c r="NMJ564" s="500"/>
      <c r="NMK564" s="500"/>
      <c r="NML564" s="500"/>
      <c r="NMM564" s="500"/>
      <c r="NMN564" s="500"/>
      <c r="NMO564" s="500"/>
      <c r="NMP564" s="500"/>
      <c r="NMQ564" s="500"/>
      <c r="NMR564" s="500"/>
      <c r="NMS564" s="500"/>
      <c r="NMT564" s="500"/>
      <c r="NMU564" s="500"/>
      <c r="NMV564" s="500"/>
      <c r="NMW564" s="500"/>
      <c r="NMX564" s="500"/>
      <c r="NMY564" s="500"/>
      <c r="NMZ564" s="500"/>
      <c r="NNA564" s="500"/>
      <c r="NNB564" s="500"/>
      <c r="NNC564" s="500"/>
      <c r="NND564" s="500"/>
      <c r="NNE564" s="500"/>
      <c r="NNF564" s="500"/>
      <c r="NNG564" s="500"/>
      <c r="NNH564" s="500"/>
      <c r="NNI564" s="500"/>
      <c r="NNJ564" s="500"/>
      <c r="NNK564" s="500"/>
      <c r="NNL564" s="500"/>
      <c r="NNM564" s="500"/>
      <c r="NNN564" s="500"/>
      <c r="NNO564" s="500"/>
      <c r="NNP564" s="500"/>
      <c r="NNQ564" s="500"/>
      <c r="NNR564" s="500"/>
      <c r="NNS564" s="500"/>
      <c r="NNT564" s="500"/>
      <c r="NNU564" s="500"/>
      <c r="NNV564" s="500"/>
      <c r="NNW564" s="500"/>
      <c r="NNX564" s="500"/>
      <c r="NNY564" s="500"/>
      <c r="NNZ564" s="500"/>
      <c r="NOA564" s="500"/>
      <c r="NOB564" s="500"/>
      <c r="NOC564" s="500"/>
      <c r="NOD564" s="500"/>
      <c r="NOE564" s="500"/>
      <c r="NOF564" s="500"/>
      <c r="NOG564" s="500"/>
      <c r="NOH564" s="500"/>
      <c r="NOI564" s="500"/>
      <c r="NOJ564" s="500"/>
      <c r="NOK564" s="500"/>
      <c r="NOL564" s="500"/>
      <c r="NOM564" s="500"/>
      <c r="NON564" s="500"/>
      <c r="NOO564" s="500"/>
      <c r="NOP564" s="500"/>
      <c r="NOQ564" s="500"/>
      <c r="NOR564" s="500"/>
      <c r="NOS564" s="500"/>
      <c r="NOT564" s="500"/>
      <c r="NOU564" s="500"/>
      <c r="NOV564" s="500"/>
      <c r="NOW564" s="500"/>
      <c r="NOX564" s="500"/>
      <c r="NOY564" s="500"/>
      <c r="NOZ564" s="500"/>
      <c r="NPA564" s="500"/>
      <c r="NPB564" s="500"/>
      <c r="NPC564" s="500"/>
      <c r="NPD564" s="500"/>
      <c r="NPE564" s="500"/>
      <c r="NPF564" s="500"/>
      <c r="NPG564" s="500"/>
      <c r="NPH564" s="500"/>
      <c r="NPI564" s="500"/>
      <c r="NPJ564" s="500"/>
      <c r="NPK564" s="500"/>
      <c r="NPL564" s="500"/>
      <c r="NPM564" s="500"/>
      <c r="NPN564" s="500"/>
      <c r="NPO564" s="500"/>
      <c r="NPP564" s="500"/>
      <c r="NPQ564" s="500"/>
      <c r="NPR564" s="500"/>
      <c r="NPS564" s="500"/>
      <c r="NPT564" s="500"/>
      <c r="NPU564" s="500"/>
      <c r="NPV564" s="500"/>
      <c r="NPW564" s="500"/>
      <c r="NPX564" s="500"/>
      <c r="NPY564" s="500"/>
      <c r="NPZ564" s="500"/>
      <c r="NQA564" s="500"/>
      <c r="NQB564" s="500"/>
      <c r="NQC564" s="500"/>
      <c r="NQD564" s="500"/>
      <c r="NQE564" s="500"/>
      <c r="NQF564" s="500"/>
      <c r="NQG564" s="500"/>
      <c r="NQH564" s="500"/>
      <c r="NQI564" s="500"/>
      <c r="NQJ564" s="500"/>
      <c r="NQK564" s="500"/>
      <c r="NQL564" s="500"/>
      <c r="NQM564" s="500"/>
      <c r="NQN564" s="500"/>
      <c r="NQO564" s="500"/>
      <c r="NQP564" s="500"/>
      <c r="NQQ564" s="500"/>
      <c r="NQR564" s="500"/>
      <c r="NQS564" s="500"/>
      <c r="NQT564" s="500"/>
      <c r="NQU564" s="500"/>
      <c r="NQV564" s="500"/>
      <c r="NQW564" s="500"/>
      <c r="NQX564" s="500"/>
      <c r="NQY564" s="500"/>
      <c r="NQZ564" s="500"/>
      <c r="NRA564" s="500"/>
      <c r="NRB564" s="500"/>
      <c r="NRC564" s="500"/>
      <c r="NRD564" s="500"/>
      <c r="NRE564" s="500"/>
      <c r="NRF564" s="500"/>
      <c r="NRG564" s="500"/>
      <c r="NRH564" s="500"/>
      <c r="NRI564" s="500"/>
      <c r="NRJ564" s="500"/>
      <c r="NRK564" s="500"/>
      <c r="NRL564" s="500"/>
      <c r="NRM564" s="500"/>
      <c r="NRN564" s="500"/>
      <c r="NRO564" s="500"/>
      <c r="NRP564" s="500"/>
      <c r="NRQ564" s="500"/>
      <c r="NRR564" s="500"/>
      <c r="NRS564" s="500"/>
      <c r="NRT564" s="500"/>
      <c r="NRU564" s="500"/>
      <c r="NRV564" s="500"/>
      <c r="NRW564" s="500"/>
      <c r="NRX564" s="500"/>
      <c r="NRY564" s="500"/>
      <c r="NRZ564" s="500"/>
      <c r="NSA564" s="500"/>
      <c r="NSB564" s="500"/>
      <c r="NSC564" s="500"/>
      <c r="NSD564" s="500"/>
      <c r="NSE564" s="500"/>
      <c r="NSF564" s="500"/>
      <c r="NSG564" s="500"/>
      <c r="NSH564" s="500"/>
      <c r="NSI564" s="500"/>
      <c r="NSJ564" s="500"/>
      <c r="NSK564" s="500"/>
      <c r="NSL564" s="500"/>
      <c r="NSM564" s="500"/>
      <c r="NSN564" s="500"/>
      <c r="NSO564" s="500"/>
      <c r="NSP564" s="500"/>
      <c r="NSQ564" s="500"/>
      <c r="NSR564" s="500"/>
      <c r="NSS564" s="500"/>
      <c r="NST564" s="500"/>
      <c r="NSU564" s="500"/>
      <c r="NSV564" s="500"/>
      <c r="NSW564" s="500"/>
      <c r="NSX564" s="500"/>
      <c r="NSY564" s="500"/>
      <c r="NSZ564" s="500"/>
      <c r="NTA564" s="500"/>
      <c r="NTB564" s="500"/>
      <c r="NTC564" s="500"/>
      <c r="NTD564" s="500"/>
      <c r="NTE564" s="500"/>
      <c r="NTF564" s="500"/>
      <c r="NTG564" s="500"/>
      <c r="NTH564" s="500"/>
      <c r="NTI564" s="500"/>
      <c r="NTJ564" s="500"/>
      <c r="NTK564" s="500"/>
      <c r="NTL564" s="500"/>
      <c r="NTM564" s="500"/>
      <c r="NTN564" s="500"/>
      <c r="NTO564" s="500"/>
      <c r="NTP564" s="500"/>
      <c r="NTQ564" s="500"/>
      <c r="NTR564" s="500"/>
      <c r="NTS564" s="500"/>
      <c r="NTT564" s="500"/>
      <c r="NTU564" s="500"/>
      <c r="NTV564" s="500"/>
      <c r="NTW564" s="500"/>
      <c r="NTX564" s="500"/>
      <c r="NTY564" s="500"/>
      <c r="NTZ564" s="500"/>
      <c r="NUA564" s="500"/>
      <c r="NUB564" s="500"/>
      <c r="NUC564" s="500"/>
      <c r="NUD564" s="500"/>
      <c r="NUE564" s="500"/>
      <c r="NUF564" s="500"/>
      <c r="NUG564" s="500"/>
      <c r="NUH564" s="500"/>
      <c r="NUI564" s="500"/>
      <c r="NUJ564" s="500"/>
      <c r="NUK564" s="500"/>
      <c r="NUL564" s="500"/>
      <c r="NUM564" s="500"/>
      <c r="NUN564" s="500"/>
      <c r="NUO564" s="500"/>
      <c r="NUP564" s="500"/>
      <c r="NUQ564" s="500"/>
      <c r="NUR564" s="500"/>
      <c r="NUS564" s="500"/>
      <c r="NUT564" s="500"/>
      <c r="NUU564" s="500"/>
      <c r="NUV564" s="500"/>
      <c r="NUW564" s="500"/>
      <c r="NUX564" s="500"/>
      <c r="NUY564" s="500"/>
      <c r="NUZ564" s="500"/>
      <c r="NVA564" s="500"/>
      <c r="NVB564" s="500"/>
      <c r="NVC564" s="500"/>
      <c r="NVD564" s="500"/>
      <c r="NVE564" s="500"/>
      <c r="NVF564" s="500"/>
      <c r="NVG564" s="500"/>
      <c r="NVH564" s="500"/>
      <c r="NVI564" s="500"/>
      <c r="NVJ564" s="500"/>
      <c r="NVK564" s="500"/>
      <c r="NVL564" s="500"/>
      <c r="NVM564" s="500"/>
      <c r="NVN564" s="500"/>
      <c r="NVO564" s="500"/>
      <c r="NVP564" s="500"/>
      <c r="NVQ564" s="500"/>
      <c r="NVR564" s="500"/>
      <c r="NVS564" s="500"/>
      <c r="NVT564" s="500"/>
      <c r="NVU564" s="500"/>
      <c r="NVV564" s="500"/>
      <c r="NVW564" s="500"/>
      <c r="NVX564" s="500"/>
      <c r="NVY564" s="500"/>
      <c r="NVZ564" s="500"/>
      <c r="NWA564" s="500"/>
      <c r="NWB564" s="500"/>
      <c r="NWC564" s="500"/>
      <c r="NWD564" s="500"/>
      <c r="NWE564" s="500"/>
      <c r="NWF564" s="500"/>
      <c r="NWG564" s="500"/>
      <c r="NWH564" s="500"/>
      <c r="NWI564" s="500"/>
      <c r="NWJ564" s="500"/>
      <c r="NWK564" s="500"/>
      <c r="NWL564" s="500"/>
      <c r="NWM564" s="500"/>
      <c r="NWN564" s="500"/>
      <c r="NWO564" s="500"/>
      <c r="NWP564" s="500"/>
      <c r="NWQ564" s="500"/>
      <c r="NWR564" s="500"/>
      <c r="NWS564" s="500"/>
      <c r="NWT564" s="500"/>
      <c r="NWU564" s="500"/>
      <c r="NWV564" s="500"/>
      <c r="NWW564" s="500"/>
      <c r="NWX564" s="500"/>
      <c r="NWY564" s="500"/>
      <c r="NWZ564" s="500"/>
      <c r="NXA564" s="500"/>
      <c r="NXB564" s="500"/>
      <c r="NXC564" s="500"/>
      <c r="NXD564" s="500"/>
      <c r="NXE564" s="500"/>
      <c r="NXF564" s="500"/>
      <c r="NXG564" s="500"/>
      <c r="NXH564" s="500"/>
      <c r="NXI564" s="500"/>
      <c r="NXJ564" s="500"/>
      <c r="NXK564" s="500"/>
      <c r="NXL564" s="500"/>
      <c r="NXM564" s="500"/>
      <c r="NXN564" s="500"/>
      <c r="NXO564" s="500"/>
      <c r="NXP564" s="500"/>
      <c r="NXQ564" s="500"/>
      <c r="NXR564" s="500"/>
      <c r="NXS564" s="500"/>
      <c r="NXT564" s="500"/>
      <c r="NXU564" s="500"/>
      <c r="NXV564" s="500"/>
      <c r="NXW564" s="500"/>
      <c r="NXX564" s="500"/>
      <c r="NXY564" s="500"/>
      <c r="NXZ564" s="500"/>
      <c r="NYA564" s="500"/>
      <c r="NYB564" s="500"/>
      <c r="NYC564" s="500"/>
      <c r="NYD564" s="500"/>
      <c r="NYE564" s="500"/>
      <c r="NYF564" s="500"/>
      <c r="NYG564" s="500"/>
      <c r="NYH564" s="500"/>
      <c r="NYI564" s="500"/>
      <c r="NYJ564" s="500"/>
      <c r="NYK564" s="500"/>
      <c r="NYL564" s="500"/>
      <c r="NYM564" s="500"/>
      <c r="NYN564" s="500"/>
      <c r="NYO564" s="500"/>
      <c r="NYP564" s="500"/>
      <c r="NYQ564" s="500"/>
      <c r="NYR564" s="500"/>
      <c r="NYS564" s="500"/>
      <c r="NYT564" s="500"/>
      <c r="NYU564" s="500"/>
      <c r="NYV564" s="500"/>
      <c r="NYW564" s="500"/>
      <c r="NYX564" s="500"/>
      <c r="NYY564" s="500"/>
      <c r="NYZ564" s="500"/>
      <c r="NZA564" s="500"/>
      <c r="NZB564" s="500"/>
      <c r="NZC564" s="500"/>
      <c r="NZD564" s="500"/>
      <c r="NZE564" s="500"/>
      <c r="NZF564" s="500"/>
      <c r="NZG564" s="500"/>
      <c r="NZH564" s="500"/>
      <c r="NZI564" s="500"/>
      <c r="NZJ564" s="500"/>
      <c r="NZK564" s="500"/>
      <c r="NZL564" s="500"/>
      <c r="NZM564" s="500"/>
      <c r="NZN564" s="500"/>
      <c r="NZO564" s="500"/>
      <c r="NZP564" s="500"/>
      <c r="NZQ564" s="500"/>
      <c r="NZR564" s="500"/>
      <c r="NZS564" s="500"/>
      <c r="NZT564" s="500"/>
      <c r="NZU564" s="500"/>
      <c r="NZV564" s="500"/>
      <c r="NZW564" s="500"/>
      <c r="NZX564" s="500"/>
      <c r="NZY564" s="500"/>
      <c r="NZZ564" s="500"/>
      <c r="OAA564" s="500"/>
      <c r="OAB564" s="500"/>
      <c r="OAC564" s="500"/>
      <c r="OAD564" s="500"/>
      <c r="OAE564" s="500"/>
      <c r="OAF564" s="500"/>
      <c r="OAG564" s="500"/>
      <c r="OAH564" s="500"/>
      <c r="OAI564" s="500"/>
      <c r="OAJ564" s="500"/>
      <c r="OAK564" s="500"/>
      <c r="OAL564" s="500"/>
      <c r="OAM564" s="500"/>
      <c r="OAN564" s="500"/>
      <c r="OAO564" s="500"/>
      <c r="OAP564" s="500"/>
      <c r="OAQ564" s="500"/>
      <c r="OAR564" s="500"/>
      <c r="OAS564" s="500"/>
      <c r="OAT564" s="500"/>
      <c r="OAU564" s="500"/>
      <c r="OAV564" s="500"/>
      <c r="OAW564" s="500"/>
      <c r="OAX564" s="500"/>
      <c r="OAY564" s="500"/>
      <c r="OAZ564" s="500"/>
      <c r="OBA564" s="500"/>
      <c r="OBB564" s="500"/>
      <c r="OBC564" s="500"/>
      <c r="OBD564" s="500"/>
      <c r="OBE564" s="500"/>
      <c r="OBF564" s="500"/>
      <c r="OBG564" s="500"/>
      <c r="OBH564" s="500"/>
      <c r="OBI564" s="500"/>
      <c r="OBJ564" s="500"/>
      <c r="OBK564" s="500"/>
      <c r="OBL564" s="500"/>
      <c r="OBM564" s="500"/>
      <c r="OBN564" s="500"/>
      <c r="OBO564" s="500"/>
      <c r="OBP564" s="500"/>
      <c r="OBQ564" s="500"/>
      <c r="OBR564" s="500"/>
      <c r="OBS564" s="500"/>
      <c r="OBT564" s="500"/>
      <c r="OBU564" s="500"/>
      <c r="OBV564" s="500"/>
      <c r="OBW564" s="500"/>
      <c r="OBX564" s="500"/>
      <c r="OBY564" s="500"/>
      <c r="OBZ564" s="500"/>
      <c r="OCA564" s="500"/>
      <c r="OCB564" s="500"/>
      <c r="OCC564" s="500"/>
      <c r="OCD564" s="500"/>
      <c r="OCE564" s="500"/>
      <c r="OCF564" s="500"/>
      <c r="OCG564" s="500"/>
      <c r="OCH564" s="500"/>
      <c r="OCI564" s="500"/>
      <c r="OCJ564" s="500"/>
      <c r="OCK564" s="500"/>
      <c r="OCL564" s="500"/>
      <c r="OCM564" s="500"/>
      <c r="OCN564" s="500"/>
      <c r="OCO564" s="500"/>
      <c r="OCP564" s="500"/>
      <c r="OCQ564" s="500"/>
      <c r="OCR564" s="500"/>
      <c r="OCS564" s="500"/>
      <c r="OCT564" s="500"/>
      <c r="OCU564" s="500"/>
      <c r="OCV564" s="500"/>
      <c r="OCW564" s="500"/>
      <c r="OCX564" s="500"/>
      <c r="OCY564" s="500"/>
      <c r="OCZ564" s="500"/>
      <c r="ODA564" s="500"/>
      <c r="ODB564" s="500"/>
      <c r="ODC564" s="500"/>
      <c r="ODD564" s="500"/>
      <c r="ODE564" s="500"/>
      <c r="ODF564" s="500"/>
      <c r="ODG564" s="500"/>
      <c r="ODH564" s="500"/>
      <c r="ODI564" s="500"/>
      <c r="ODJ564" s="500"/>
      <c r="ODK564" s="500"/>
      <c r="ODL564" s="500"/>
      <c r="ODM564" s="500"/>
      <c r="ODN564" s="500"/>
      <c r="ODO564" s="500"/>
      <c r="ODP564" s="500"/>
      <c r="ODQ564" s="500"/>
      <c r="ODR564" s="500"/>
      <c r="ODS564" s="500"/>
      <c r="ODT564" s="500"/>
      <c r="ODU564" s="500"/>
      <c r="ODV564" s="500"/>
      <c r="ODW564" s="500"/>
      <c r="ODX564" s="500"/>
      <c r="ODY564" s="500"/>
      <c r="ODZ564" s="500"/>
      <c r="OEA564" s="500"/>
      <c r="OEB564" s="500"/>
      <c r="OEC564" s="500"/>
      <c r="OED564" s="500"/>
      <c r="OEE564" s="500"/>
      <c r="OEF564" s="500"/>
      <c r="OEG564" s="500"/>
      <c r="OEH564" s="500"/>
      <c r="OEI564" s="500"/>
      <c r="OEJ564" s="500"/>
      <c r="OEK564" s="500"/>
      <c r="OEL564" s="500"/>
      <c r="OEM564" s="500"/>
      <c r="OEN564" s="500"/>
      <c r="OEO564" s="500"/>
      <c r="OEP564" s="500"/>
      <c r="OEQ564" s="500"/>
      <c r="OER564" s="500"/>
      <c r="OES564" s="500"/>
      <c r="OET564" s="500"/>
      <c r="OEU564" s="500"/>
      <c r="OEV564" s="500"/>
      <c r="OEW564" s="500"/>
      <c r="OEX564" s="500"/>
      <c r="OEY564" s="500"/>
      <c r="OEZ564" s="500"/>
      <c r="OFA564" s="500"/>
      <c r="OFB564" s="500"/>
      <c r="OFC564" s="500"/>
      <c r="OFD564" s="500"/>
      <c r="OFE564" s="500"/>
      <c r="OFF564" s="500"/>
      <c r="OFG564" s="500"/>
      <c r="OFH564" s="500"/>
      <c r="OFI564" s="500"/>
      <c r="OFJ564" s="500"/>
      <c r="OFK564" s="500"/>
      <c r="OFL564" s="500"/>
      <c r="OFM564" s="500"/>
      <c r="OFN564" s="500"/>
      <c r="OFO564" s="500"/>
      <c r="OFP564" s="500"/>
      <c r="OFQ564" s="500"/>
      <c r="OFR564" s="500"/>
      <c r="OFS564" s="500"/>
      <c r="OFT564" s="500"/>
      <c r="OFU564" s="500"/>
      <c r="OFV564" s="500"/>
      <c r="OFW564" s="500"/>
      <c r="OFX564" s="500"/>
      <c r="OFY564" s="500"/>
      <c r="OFZ564" s="500"/>
      <c r="OGA564" s="500"/>
      <c r="OGB564" s="500"/>
      <c r="OGC564" s="500"/>
      <c r="OGD564" s="500"/>
      <c r="OGE564" s="500"/>
      <c r="OGF564" s="500"/>
      <c r="OGG564" s="500"/>
      <c r="OGH564" s="500"/>
      <c r="OGI564" s="500"/>
      <c r="OGJ564" s="500"/>
      <c r="OGK564" s="500"/>
      <c r="OGL564" s="500"/>
      <c r="OGM564" s="500"/>
      <c r="OGN564" s="500"/>
      <c r="OGO564" s="500"/>
      <c r="OGP564" s="500"/>
      <c r="OGQ564" s="500"/>
      <c r="OGR564" s="500"/>
      <c r="OGS564" s="500"/>
      <c r="OGT564" s="500"/>
      <c r="OGU564" s="500"/>
      <c r="OGV564" s="500"/>
      <c r="OGW564" s="500"/>
      <c r="OGX564" s="500"/>
      <c r="OGY564" s="500"/>
      <c r="OGZ564" s="500"/>
      <c r="OHA564" s="500"/>
      <c r="OHB564" s="500"/>
      <c r="OHC564" s="500"/>
      <c r="OHD564" s="500"/>
      <c r="OHE564" s="500"/>
      <c r="OHF564" s="500"/>
      <c r="OHG564" s="500"/>
      <c r="OHH564" s="500"/>
      <c r="OHI564" s="500"/>
      <c r="OHJ564" s="500"/>
      <c r="OHK564" s="500"/>
      <c r="OHL564" s="500"/>
      <c r="OHM564" s="500"/>
      <c r="OHN564" s="500"/>
      <c r="OHO564" s="500"/>
      <c r="OHP564" s="500"/>
      <c r="OHQ564" s="500"/>
      <c r="OHR564" s="500"/>
      <c r="OHS564" s="500"/>
      <c r="OHT564" s="500"/>
      <c r="OHU564" s="500"/>
      <c r="OHV564" s="500"/>
      <c r="OHW564" s="500"/>
      <c r="OHX564" s="500"/>
      <c r="OHY564" s="500"/>
      <c r="OHZ564" s="500"/>
      <c r="OIA564" s="500"/>
      <c r="OIB564" s="500"/>
      <c r="OIC564" s="500"/>
      <c r="OID564" s="500"/>
      <c r="OIE564" s="500"/>
      <c r="OIF564" s="500"/>
      <c r="OIG564" s="500"/>
      <c r="OIH564" s="500"/>
      <c r="OII564" s="500"/>
      <c r="OIJ564" s="500"/>
      <c r="OIK564" s="500"/>
      <c r="OIL564" s="500"/>
      <c r="OIM564" s="500"/>
      <c r="OIN564" s="500"/>
      <c r="OIO564" s="500"/>
      <c r="OIP564" s="500"/>
      <c r="OIQ564" s="500"/>
      <c r="OIR564" s="500"/>
      <c r="OIS564" s="500"/>
      <c r="OIT564" s="500"/>
      <c r="OIU564" s="500"/>
      <c r="OIV564" s="500"/>
      <c r="OIW564" s="500"/>
      <c r="OIX564" s="500"/>
      <c r="OIY564" s="500"/>
      <c r="OIZ564" s="500"/>
      <c r="OJA564" s="500"/>
      <c r="OJB564" s="500"/>
      <c r="OJC564" s="500"/>
      <c r="OJD564" s="500"/>
      <c r="OJE564" s="500"/>
      <c r="OJF564" s="500"/>
      <c r="OJG564" s="500"/>
      <c r="OJH564" s="500"/>
      <c r="OJI564" s="500"/>
      <c r="OJJ564" s="500"/>
      <c r="OJK564" s="500"/>
      <c r="OJL564" s="500"/>
      <c r="OJM564" s="500"/>
      <c r="OJN564" s="500"/>
      <c r="OJO564" s="500"/>
      <c r="OJP564" s="500"/>
      <c r="OJQ564" s="500"/>
      <c r="OJR564" s="500"/>
      <c r="OJS564" s="500"/>
      <c r="OJT564" s="500"/>
      <c r="OJU564" s="500"/>
      <c r="OJV564" s="500"/>
      <c r="OJW564" s="500"/>
      <c r="OJX564" s="500"/>
      <c r="OJY564" s="500"/>
      <c r="OJZ564" s="500"/>
      <c r="OKA564" s="500"/>
      <c r="OKB564" s="500"/>
      <c r="OKC564" s="500"/>
      <c r="OKD564" s="500"/>
      <c r="OKE564" s="500"/>
      <c r="OKF564" s="500"/>
      <c r="OKG564" s="500"/>
      <c r="OKH564" s="500"/>
      <c r="OKI564" s="500"/>
      <c r="OKJ564" s="500"/>
      <c r="OKK564" s="500"/>
      <c r="OKL564" s="500"/>
      <c r="OKM564" s="500"/>
      <c r="OKN564" s="500"/>
      <c r="OKO564" s="500"/>
      <c r="OKP564" s="500"/>
      <c r="OKQ564" s="500"/>
      <c r="OKR564" s="500"/>
      <c r="OKS564" s="500"/>
      <c r="OKT564" s="500"/>
      <c r="OKU564" s="500"/>
      <c r="OKV564" s="500"/>
      <c r="OKW564" s="500"/>
      <c r="OKX564" s="500"/>
      <c r="OKY564" s="500"/>
      <c r="OKZ564" s="500"/>
      <c r="OLA564" s="500"/>
      <c r="OLB564" s="500"/>
      <c r="OLC564" s="500"/>
      <c r="OLD564" s="500"/>
      <c r="OLE564" s="500"/>
      <c r="OLF564" s="500"/>
      <c r="OLG564" s="500"/>
      <c r="OLH564" s="500"/>
      <c r="OLI564" s="500"/>
      <c r="OLJ564" s="500"/>
      <c r="OLK564" s="500"/>
      <c r="OLL564" s="500"/>
      <c r="OLM564" s="500"/>
      <c r="OLN564" s="500"/>
      <c r="OLO564" s="500"/>
      <c r="OLP564" s="500"/>
      <c r="OLQ564" s="500"/>
      <c r="OLR564" s="500"/>
      <c r="OLS564" s="500"/>
      <c r="OLT564" s="500"/>
      <c r="OLU564" s="500"/>
      <c r="OLV564" s="500"/>
      <c r="OLW564" s="500"/>
      <c r="OLX564" s="500"/>
      <c r="OLY564" s="500"/>
      <c r="OLZ564" s="500"/>
      <c r="OMA564" s="500"/>
      <c r="OMB564" s="500"/>
      <c r="OMC564" s="500"/>
      <c r="OMD564" s="500"/>
      <c r="OME564" s="500"/>
      <c r="OMF564" s="500"/>
      <c r="OMG564" s="500"/>
      <c r="OMH564" s="500"/>
      <c r="OMI564" s="500"/>
      <c r="OMJ564" s="500"/>
      <c r="OMK564" s="500"/>
      <c r="OML564" s="500"/>
      <c r="OMM564" s="500"/>
      <c r="OMN564" s="500"/>
      <c r="OMO564" s="500"/>
      <c r="OMP564" s="500"/>
      <c r="OMQ564" s="500"/>
      <c r="OMR564" s="500"/>
      <c r="OMS564" s="500"/>
      <c r="OMT564" s="500"/>
      <c r="OMU564" s="500"/>
      <c r="OMV564" s="500"/>
      <c r="OMW564" s="500"/>
      <c r="OMX564" s="500"/>
      <c r="OMY564" s="500"/>
      <c r="OMZ564" s="500"/>
      <c r="ONA564" s="500"/>
      <c r="ONB564" s="500"/>
      <c r="ONC564" s="500"/>
      <c r="OND564" s="500"/>
      <c r="ONE564" s="500"/>
      <c r="ONF564" s="500"/>
      <c r="ONG564" s="500"/>
      <c r="ONH564" s="500"/>
      <c r="ONI564" s="500"/>
      <c r="ONJ564" s="500"/>
      <c r="ONK564" s="500"/>
      <c r="ONL564" s="500"/>
      <c r="ONM564" s="500"/>
      <c r="ONN564" s="500"/>
      <c r="ONO564" s="500"/>
      <c r="ONP564" s="500"/>
      <c r="ONQ564" s="500"/>
      <c r="ONR564" s="500"/>
      <c r="ONS564" s="500"/>
      <c r="ONT564" s="500"/>
      <c r="ONU564" s="500"/>
      <c r="ONV564" s="500"/>
      <c r="ONW564" s="500"/>
      <c r="ONX564" s="500"/>
      <c r="ONY564" s="500"/>
      <c r="ONZ564" s="500"/>
      <c r="OOA564" s="500"/>
      <c r="OOB564" s="500"/>
      <c r="OOC564" s="500"/>
      <c r="OOD564" s="500"/>
      <c r="OOE564" s="500"/>
      <c r="OOF564" s="500"/>
      <c r="OOG564" s="500"/>
      <c r="OOH564" s="500"/>
      <c r="OOI564" s="500"/>
      <c r="OOJ564" s="500"/>
      <c r="OOK564" s="500"/>
      <c r="OOL564" s="500"/>
      <c r="OOM564" s="500"/>
      <c r="OON564" s="500"/>
      <c r="OOO564" s="500"/>
      <c r="OOP564" s="500"/>
      <c r="OOQ564" s="500"/>
      <c r="OOR564" s="500"/>
      <c r="OOS564" s="500"/>
      <c r="OOT564" s="500"/>
      <c r="OOU564" s="500"/>
      <c r="OOV564" s="500"/>
      <c r="OOW564" s="500"/>
      <c r="OOX564" s="500"/>
      <c r="OOY564" s="500"/>
      <c r="OOZ564" s="500"/>
      <c r="OPA564" s="500"/>
      <c r="OPB564" s="500"/>
      <c r="OPC564" s="500"/>
      <c r="OPD564" s="500"/>
      <c r="OPE564" s="500"/>
      <c r="OPF564" s="500"/>
      <c r="OPG564" s="500"/>
      <c r="OPH564" s="500"/>
      <c r="OPI564" s="500"/>
      <c r="OPJ564" s="500"/>
      <c r="OPK564" s="500"/>
      <c r="OPL564" s="500"/>
      <c r="OPM564" s="500"/>
      <c r="OPN564" s="500"/>
      <c r="OPO564" s="500"/>
      <c r="OPP564" s="500"/>
      <c r="OPQ564" s="500"/>
      <c r="OPR564" s="500"/>
      <c r="OPS564" s="500"/>
      <c r="OPT564" s="500"/>
      <c r="OPU564" s="500"/>
      <c r="OPV564" s="500"/>
      <c r="OPW564" s="500"/>
      <c r="OPX564" s="500"/>
      <c r="OPY564" s="500"/>
      <c r="OPZ564" s="500"/>
      <c r="OQA564" s="500"/>
      <c r="OQB564" s="500"/>
      <c r="OQC564" s="500"/>
      <c r="OQD564" s="500"/>
      <c r="OQE564" s="500"/>
      <c r="OQF564" s="500"/>
      <c r="OQG564" s="500"/>
      <c r="OQH564" s="500"/>
      <c r="OQI564" s="500"/>
      <c r="OQJ564" s="500"/>
      <c r="OQK564" s="500"/>
      <c r="OQL564" s="500"/>
      <c r="OQM564" s="500"/>
      <c r="OQN564" s="500"/>
      <c r="OQO564" s="500"/>
      <c r="OQP564" s="500"/>
      <c r="OQQ564" s="500"/>
      <c r="OQR564" s="500"/>
      <c r="OQS564" s="500"/>
      <c r="OQT564" s="500"/>
      <c r="OQU564" s="500"/>
      <c r="OQV564" s="500"/>
      <c r="OQW564" s="500"/>
      <c r="OQX564" s="500"/>
      <c r="OQY564" s="500"/>
      <c r="OQZ564" s="500"/>
      <c r="ORA564" s="500"/>
      <c r="ORB564" s="500"/>
      <c r="ORC564" s="500"/>
      <c r="ORD564" s="500"/>
      <c r="ORE564" s="500"/>
      <c r="ORF564" s="500"/>
      <c r="ORG564" s="500"/>
      <c r="ORH564" s="500"/>
      <c r="ORI564" s="500"/>
      <c r="ORJ564" s="500"/>
      <c r="ORK564" s="500"/>
      <c r="ORL564" s="500"/>
      <c r="ORM564" s="500"/>
      <c r="ORN564" s="500"/>
      <c r="ORO564" s="500"/>
      <c r="ORP564" s="500"/>
      <c r="ORQ564" s="500"/>
      <c r="ORR564" s="500"/>
      <c r="ORS564" s="500"/>
      <c r="ORT564" s="500"/>
      <c r="ORU564" s="500"/>
      <c r="ORV564" s="500"/>
      <c r="ORW564" s="500"/>
      <c r="ORX564" s="500"/>
      <c r="ORY564" s="500"/>
      <c r="ORZ564" s="500"/>
      <c r="OSA564" s="500"/>
      <c r="OSB564" s="500"/>
      <c r="OSC564" s="500"/>
      <c r="OSD564" s="500"/>
      <c r="OSE564" s="500"/>
      <c r="OSF564" s="500"/>
      <c r="OSG564" s="500"/>
      <c r="OSH564" s="500"/>
      <c r="OSI564" s="500"/>
      <c r="OSJ564" s="500"/>
      <c r="OSK564" s="500"/>
      <c r="OSL564" s="500"/>
      <c r="OSM564" s="500"/>
      <c r="OSN564" s="500"/>
      <c r="OSO564" s="500"/>
      <c r="OSP564" s="500"/>
      <c r="OSQ564" s="500"/>
      <c r="OSR564" s="500"/>
      <c r="OSS564" s="500"/>
      <c r="OST564" s="500"/>
      <c r="OSU564" s="500"/>
      <c r="OSV564" s="500"/>
      <c r="OSW564" s="500"/>
      <c r="OSX564" s="500"/>
      <c r="OSY564" s="500"/>
      <c r="OSZ564" s="500"/>
      <c r="OTA564" s="500"/>
      <c r="OTB564" s="500"/>
      <c r="OTC564" s="500"/>
      <c r="OTD564" s="500"/>
      <c r="OTE564" s="500"/>
      <c r="OTF564" s="500"/>
      <c r="OTG564" s="500"/>
      <c r="OTH564" s="500"/>
      <c r="OTI564" s="500"/>
      <c r="OTJ564" s="500"/>
      <c r="OTK564" s="500"/>
      <c r="OTL564" s="500"/>
      <c r="OTM564" s="500"/>
      <c r="OTN564" s="500"/>
      <c r="OTO564" s="500"/>
      <c r="OTP564" s="500"/>
      <c r="OTQ564" s="500"/>
      <c r="OTR564" s="500"/>
      <c r="OTS564" s="500"/>
      <c r="OTT564" s="500"/>
      <c r="OTU564" s="500"/>
      <c r="OTV564" s="500"/>
      <c r="OTW564" s="500"/>
      <c r="OTX564" s="500"/>
      <c r="OTY564" s="500"/>
      <c r="OTZ564" s="500"/>
      <c r="OUA564" s="500"/>
      <c r="OUB564" s="500"/>
      <c r="OUC564" s="500"/>
      <c r="OUD564" s="500"/>
      <c r="OUE564" s="500"/>
      <c r="OUF564" s="500"/>
      <c r="OUG564" s="500"/>
      <c r="OUH564" s="500"/>
      <c r="OUI564" s="500"/>
      <c r="OUJ564" s="500"/>
      <c r="OUK564" s="500"/>
      <c r="OUL564" s="500"/>
      <c r="OUM564" s="500"/>
      <c r="OUN564" s="500"/>
      <c r="OUO564" s="500"/>
      <c r="OUP564" s="500"/>
      <c r="OUQ564" s="500"/>
      <c r="OUR564" s="500"/>
      <c r="OUS564" s="500"/>
      <c r="OUT564" s="500"/>
      <c r="OUU564" s="500"/>
      <c r="OUV564" s="500"/>
      <c r="OUW564" s="500"/>
      <c r="OUX564" s="500"/>
      <c r="OUY564" s="500"/>
      <c r="OUZ564" s="500"/>
      <c r="OVA564" s="500"/>
      <c r="OVB564" s="500"/>
      <c r="OVC564" s="500"/>
      <c r="OVD564" s="500"/>
      <c r="OVE564" s="500"/>
      <c r="OVF564" s="500"/>
      <c r="OVG564" s="500"/>
      <c r="OVH564" s="500"/>
      <c r="OVI564" s="500"/>
      <c r="OVJ564" s="500"/>
      <c r="OVK564" s="500"/>
      <c r="OVL564" s="500"/>
      <c r="OVM564" s="500"/>
      <c r="OVN564" s="500"/>
      <c r="OVO564" s="500"/>
      <c r="OVP564" s="500"/>
      <c r="OVQ564" s="500"/>
      <c r="OVR564" s="500"/>
      <c r="OVS564" s="500"/>
      <c r="OVT564" s="500"/>
      <c r="OVU564" s="500"/>
      <c r="OVV564" s="500"/>
      <c r="OVW564" s="500"/>
      <c r="OVX564" s="500"/>
      <c r="OVY564" s="500"/>
      <c r="OVZ564" s="500"/>
      <c r="OWA564" s="500"/>
      <c r="OWB564" s="500"/>
      <c r="OWC564" s="500"/>
      <c r="OWD564" s="500"/>
      <c r="OWE564" s="500"/>
      <c r="OWF564" s="500"/>
      <c r="OWG564" s="500"/>
      <c r="OWH564" s="500"/>
      <c r="OWI564" s="500"/>
      <c r="OWJ564" s="500"/>
      <c r="OWK564" s="500"/>
      <c r="OWL564" s="500"/>
      <c r="OWM564" s="500"/>
      <c r="OWN564" s="500"/>
      <c r="OWO564" s="500"/>
      <c r="OWP564" s="500"/>
      <c r="OWQ564" s="500"/>
      <c r="OWR564" s="500"/>
      <c r="OWS564" s="500"/>
      <c r="OWT564" s="500"/>
      <c r="OWU564" s="500"/>
      <c r="OWV564" s="500"/>
      <c r="OWW564" s="500"/>
      <c r="OWX564" s="500"/>
      <c r="OWY564" s="500"/>
      <c r="OWZ564" s="500"/>
      <c r="OXA564" s="500"/>
      <c r="OXB564" s="500"/>
      <c r="OXC564" s="500"/>
      <c r="OXD564" s="500"/>
      <c r="OXE564" s="500"/>
      <c r="OXF564" s="500"/>
      <c r="OXG564" s="500"/>
      <c r="OXH564" s="500"/>
      <c r="OXI564" s="500"/>
      <c r="OXJ564" s="500"/>
      <c r="OXK564" s="500"/>
      <c r="OXL564" s="500"/>
      <c r="OXM564" s="500"/>
      <c r="OXN564" s="500"/>
      <c r="OXO564" s="500"/>
      <c r="OXP564" s="500"/>
      <c r="OXQ564" s="500"/>
      <c r="OXR564" s="500"/>
      <c r="OXS564" s="500"/>
      <c r="OXT564" s="500"/>
      <c r="OXU564" s="500"/>
      <c r="OXV564" s="500"/>
      <c r="OXW564" s="500"/>
      <c r="OXX564" s="500"/>
      <c r="OXY564" s="500"/>
      <c r="OXZ564" s="500"/>
      <c r="OYA564" s="500"/>
      <c r="OYB564" s="500"/>
      <c r="OYC564" s="500"/>
      <c r="OYD564" s="500"/>
      <c r="OYE564" s="500"/>
      <c r="OYF564" s="500"/>
      <c r="OYG564" s="500"/>
      <c r="OYH564" s="500"/>
      <c r="OYI564" s="500"/>
      <c r="OYJ564" s="500"/>
      <c r="OYK564" s="500"/>
      <c r="OYL564" s="500"/>
      <c r="OYM564" s="500"/>
      <c r="OYN564" s="500"/>
      <c r="OYO564" s="500"/>
      <c r="OYP564" s="500"/>
      <c r="OYQ564" s="500"/>
      <c r="OYR564" s="500"/>
      <c r="OYS564" s="500"/>
      <c r="OYT564" s="500"/>
      <c r="OYU564" s="500"/>
      <c r="OYV564" s="500"/>
      <c r="OYW564" s="500"/>
      <c r="OYX564" s="500"/>
      <c r="OYY564" s="500"/>
      <c r="OYZ564" s="500"/>
      <c r="OZA564" s="500"/>
      <c r="OZB564" s="500"/>
      <c r="OZC564" s="500"/>
      <c r="OZD564" s="500"/>
      <c r="OZE564" s="500"/>
      <c r="OZF564" s="500"/>
      <c r="OZG564" s="500"/>
      <c r="OZH564" s="500"/>
      <c r="OZI564" s="500"/>
      <c r="OZJ564" s="500"/>
      <c r="OZK564" s="500"/>
      <c r="OZL564" s="500"/>
      <c r="OZM564" s="500"/>
      <c r="OZN564" s="500"/>
      <c r="OZO564" s="500"/>
      <c r="OZP564" s="500"/>
      <c r="OZQ564" s="500"/>
      <c r="OZR564" s="500"/>
      <c r="OZS564" s="500"/>
      <c r="OZT564" s="500"/>
      <c r="OZU564" s="500"/>
      <c r="OZV564" s="500"/>
      <c r="OZW564" s="500"/>
      <c r="OZX564" s="500"/>
      <c r="OZY564" s="500"/>
      <c r="OZZ564" s="500"/>
      <c r="PAA564" s="500"/>
      <c r="PAB564" s="500"/>
      <c r="PAC564" s="500"/>
      <c r="PAD564" s="500"/>
      <c r="PAE564" s="500"/>
      <c r="PAF564" s="500"/>
      <c r="PAG564" s="500"/>
      <c r="PAH564" s="500"/>
      <c r="PAI564" s="500"/>
      <c r="PAJ564" s="500"/>
      <c r="PAK564" s="500"/>
      <c r="PAL564" s="500"/>
      <c r="PAM564" s="500"/>
      <c r="PAN564" s="500"/>
      <c r="PAO564" s="500"/>
      <c r="PAP564" s="500"/>
      <c r="PAQ564" s="500"/>
      <c r="PAR564" s="500"/>
      <c r="PAS564" s="500"/>
      <c r="PAT564" s="500"/>
      <c r="PAU564" s="500"/>
      <c r="PAV564" s="500"/>
      <c r="PAW564" s="500"/>
      <c r="PAX564" s="500"/>
      <c r="PAY564" s="500"/>
      <c r="PAZ564" s="500"/>
      <c r="PBA564" s="500"/>
      <c r="PBB564" s="500"/>
      <c r="PBC564" s="500"/>
      <c r="PBD564" s="500"/>
      <c r="PBE564" s="500"/>
      <c r="PBF564" s="500"/>
      <c r="PBG564" s="500"/>
      <c r="PBH564" s="500"/>
      <c r="PBI564" s="500"/>
      <c r="PBJ564" s="500"/>
      <c r="PBK564" s="500"/>
      <c r="PBL564" s="500"/>
      <c r="PBM564" s="500"/>
      <c r="PBN564" s="500"/>
      <c r="PBO564" s="500"/>
      <c r="PBP564" s="500"/>
      <c r="PBQ564" s="500"/>
      <c r="PBR564" s="500"/>
      <c r="PBS564" s="500"/>
      <c r="PBT564" s="500"/>
      <c r="PBU564" s="500"/>
      <c r="PBV564" s="500"/>
      <c r="PBW564" s="500"/>
      <c r="PBX564" s="500"/>
      <c r="PBY564" s="500"/>
      <c r="PBZ564" s="500"/>
      <c r="PCA564" s="500"/>
      <c r="PCB564" s="500"/>
      <c r="PCC564" s="500"/>
      <c r="PCD564" s="500"/>
      <c r="PCE564" s="500"/>
      <c r="PCF564" s="500"/>
      <c r="PCG564" s="500"/>
      <c r="PCH564" s="500"/>
      <c r="PCI564" s="500"/>
      <c r="PCJ564" s="500"/>
      <c r="PCK564" s="500"/>
      <c r="PCL564" s="500"/>
      <c r="PCM564" s="500"/>
      <c r="PCN564" s="500"/>
      <c r="PCO564" s="500"/>
      <c r="PCP564" s="500"/>
      <c r="PCQ564" s="500"/>
      <c r="PCR564" s="500"/>
      <c r="PCS564" s="500"/>
      <c r="PCT564" s="500"/>
      <c r="PCU564" s="500"/>
      <c r="PCV564" s="500"/>
      <c r="PCW564" s="500"/>
      <c r="PCX564" s="500"/>
      <c r="PCY564" s="500"/>
      <c r="PCZ564" s="500"/>
      <c r="PDA564" s="500"/>
      <c r="PDB564" s="500"/>
      <c r="PDC564" s="500"/>
      <c r="PDD564" s="500"/>
      <c r="PDE564" s="500"/>
      <c r="PDF564" s="500"/>
      <c r="PDG564" s="500"/>
      <c r="PDH564" s="500"/>
      <c r="PDI564" s="500"/>
      <c r="PDJ564" s="500"/>
      <c r="PDK564" s="500"/>
      <c r="PDL564" s="500"/>
      <c r="PDM564" s="500"/>
      <c r="PDN564" s="500"/>
      <c r="PDO564" s="500"/>
      <c r="PDP564" s="500"/>
      <c r="PDQ564" s="500"/>
      <c r="PDR564" s="500"/>
      <c r="PDS564" s="500"/>
      <c r="PDT564" s="500"/>
      <c r="PDU564" s="500"/>
      <c r="PDV564" s="500"/>
      <c r="PDW564" s="500"/>
      <c r="PDX564" s="500"/>
      <c r="PDY564" s="500"/>
      <c r="PDZ564" s="500"/>
      <c r="PEA564" s="500"/>
      <c r="PEB564" s="500"/>
      <c r="PEC564" s="500"/>
      <c r="PED564" s="500"/>
      <c r="PEE564" s="500"/>
      <c r="PEF564" s="500"/>
      <c r="PEG564" s="500"/>
      <c r="PEH564" s="500"/>
      <c r="PEI564" s="500"/>
      <c r="PEJ564" s="500"/>
      <c r="PEK564" s="500"/>
      <c r="PEL564" s="500"/>
      <c r="PEM564" s="500"/>
      <c r="PEN564" s="500"/>
      <c r="PEO564" s="500"/>
      <c r="PEP564" s="500"/>
      <c r="PEQ564" s="500"/>
      <c r="PER564" s="500"/>
      <c r="PES564" s="500"/>
      <c r="PET564" s="500"/>
      <c r="PEU564" s="500"/>
      <c r="PEV564" s="500"/>
      <c r="PEW564" s="500"/>
      <c r="PEX564" s="500"/>
      <c r="PEY564" s="500"/>
      <c r="PEZ564" s="500"/>
      <c r="PFA564" s="500"/>
      <c r="PFB564" s="500"/>
      <c r="PFC564" s="500"/>
      <c r="PFD564" s="500"/>
      <c r="PFE564" s="500"/>
      <c r="PFF564" s="500"/>
      <c r="PFG564" s="500"/>
      <c r="PFH564" s="500"/>
      <c r="PFI564" s="500"/>
      <c r="PFJ564" s="500"/>
      <c r="PFK564" s="500"/>
      <c r="PFL564" s="500"/>
      <c r="PFM564" s="500"/>
      <c r="PFN564" s="500"/>
      <c r="PFO564" s="500"/>
      <c r="PFP564" s="500"/>
      <c r="PFQ564" s="500"/>
      <c r="PFR564" s="500"/>
      <c r="PFS564" s="500"/>
      <c r="PFT564" s="500"/>
      <c r="PFU564" s="500"/>
      <c r="PFV564" s="500"/>
      <c r="PFW564" s="500"/>
      <c r="PFX564" s="500"/>
      <c r="PFY564" s="500"/>
      <c r="PFZ564" s="500"/>
      <c r="PGA564" s="500"/>
      <c r="PGB564" s="500"/>
      <c r="PGC564" s="500"/>
      <c r="PGD564" s="500"/>
      <c r="PGE564" s="500"/>
      <c r="PGF564" s="500"/>
      <c r="PGG564" s="500"/>
      <c r="PGH564" s="500"/>
      <c r="PGI564" s="500"/>
      <c r="PGJ564" s="500"/>
      <c r="PGK564" s="500"/>
      <c r="PGL564" s="500"/>
      <c r="PGM564" s="500"/>
      <c r="PGN564" s="500"/>
      <c r="PGO564" s="500"/>
      <c r="PGP564" s="500"/>
      <c r="PGQ564" s="500"/>
      <c r="PGR564" s="500"/>
      <c r="PGS564" s="500"/>
      <c r="PGT564" s="500"/>
      <c r="PGU564" s="500"/>
      <c r="PGV564" s="500"/>
      <c r="PGW564" s="500"/>
      <c r="PGX564" s="500"/>
      <c r="PGY564" s="500"/>
      <c r="PGZ564" s="500"/>
      <c r="PHA564" s="500"/>
      <c r="PHB564" s="500"/>
      <c r="PHC564" s="500"/>
      <c r="PHD564" s="500"/>
      <c r="PHE564" s="500"/>
      <c r="PHF564" s="500"/>
      <c r="PHG564" s="500"/>
      <c r="PHH564" s="500"/>
      <c r="PHI564" s="500"/>
      <c r="PHJ564" s="500"/>
      <c r="PHK564" s="500"/>
      <c r="PHL564" s="500"/>
      <c r="PHM564" s="500"/>
      <c r="PHN564" s="500"/>
      <c r="PHO564" s="500"/>
      <c r="PHP564" s="500"/>
      <c r="PHQ564" s="500"/>
      <c r="PHR564" s="500"/>
      <c r="PHS564" s="500"/>
      <c r="PHT564" s="500"/>
      <c r="PHU564" s="500"/>
      <c r="PHV564" s="500"/>
      <c r="PHW564" s="500"/>
      <c r="PHX564" s="500"/>
      <c r="PHY564" s="500"/>
      <c r="PHZ564" s="500"/>
      <c r="PIA564" s="500"/>
      <c r="PIB564" s="500"/>
      <c r="PIC564" s="500"/>
      <c r="PID564" s="500"/>
      <c r="PIE564" s="500"/>
      <c r="PIF564" s="500"/>
      <c r="PIG564" s="500"/>
      <c r="PIH564" s="500"/>
      <c r="PII564" s="500"/>
      <c r="PIJ564" s="500"/>
      <c r="PIK564" s="500"/>
      <c r="PIL564" s="500"/>
      <c r="PIM564" s="500"/>
      <c r="PIN564" s="500"/>
      <c r="PIO564" s="500"/>
      <c r="PIP564" s="500"/>
      <c r="PIQ564" s="500"/>
      <c r="PIR564" s="500"/>
      <c r="PIS564" s="500"/>
      <c r="PIT564" s="500"/>
      <c r="PIU564" s="500"/>
      <c r="PIV564" s="500"/>
      <c r="PIW564" s="500"/>
      <c r="PIX564" s="500"/>
      <c r="PIY564" s="500"/>
      <c r="PIZ564" s="500"/>
      <c r="PJA564" s="500"/>
      <c r="PJB564" s="500"/>
      <c r="PJC564" s="500"/>
      <c r="PJD564" s="500"/>
      <c r="PJE564" s="500"/>
      <c r="PJF564" s="500"/>
      <c r="PJG564" s="500"/>
      <c r="PJH564" s="500"/>
      <c r="PJI564" s="500"/>
      <c r="PJJ564" s="500"/>
      <c r="PJK564" s="500"/>
      <c r="PJL564" s="500"/>
      <c r="PJM564" s="500"/>
      <c r="PJN564" s="500"/>
      <c r="PJO564" s="500"/>
      <c r="PJP564" s="500"/>
      <c r="PJQ564" s="500"/>
      <c r="PJR564" s="500"/>
      <c r="PJS564" s="500"/>
      <c r="PJT564" s="500"/>
      <c r="PJU564" s="500"/>
      <c r="PJV564" s="500"/>
      <c r="PJW564" s="500"/>
      <c r="PJX564" s="500"/>
      <c r="PJY564" s="500"/>
      <c r="PJZ564" s="500"/>
      <c r="PKA564" s="500"/>
      <c r="PKB564" s="500"/>
      <c r="PKC564" s="500"/>
      <c r="PKD564" s="500"/>
      <c r="PKE564" s="500"/>
      <c r="PKF564" s="500"/>
      <c r="PKG564" s="500"/>
      <c r="PKH564" s="500"/>
      <c r="PKI564" s="500"/>
      <c r="PKJ564" s="500"/>
      <c r="PKK564" s="500"/>
      <c r="PKL564" s="500"/>
      <c r="PKM564" s="500"/>
      <c r="PKN564" s="500"/>
      <c r="PKO564" s="500"/>
      <c r="PKP564" s="500"/>
      <c r="PKQ564" s="500"/>
      <c r="PKR564" s="500"/>
      <c r="PKS564" s="500"/>
      <c r="PKT564" s="500"/>
      <c r="PKU564" s="500"/>
      <c r="PKV564" s="500"/>
      <c r="PKW564" s="500"/>
      <c r="PKX564" s="500"/>
      <c r="PKY564" s="500"/>
      <c r="PKZ564" s="500"/>
      <c r="PLA564" s="500"/>
      <c r="PLB564" s="500"/>
      <c r="PLC564" s="500"/>
      <c r="PLD564" s="500"/>
      <c r="PLE564" s="500"/>
      <c r="PLF564" s="500"/>
      <c r="PLG564" s="500"/>
      <c r="PLH564" s="500"/>
      <c r="PLI564" s="500"/>
      <c r="PLJ564" s="500"/>
      <c r="PLK564" s="500"/>
      <c r="PLL564" s="500"/>
      <c r="PLM564" s="500"/>
      <c r="PLN564" s="500"/>
      <c r="PLO564" s="500"/>
      <c r="PLP564" s="500"/>
      <c r="PLQ564" s="500"/>
      <c r="PLR564" s="500"/>
      <c r="PLS564" s="500"/>
      <c r="PLT564" s="500"/>
      <c r="PLU564" s="500"/>
      <c r="PLV564" s="500"/>
      <c r="PLW564" s="500"/>
      <c r="PLX564" s="500"/>
      <c r="PLY564" s="500"/>
      <c r="PLZ564" s="500"/>
      <c r="PMA564" s="500"/>
      <c r="PMB564" s="500"/>
      <c r="PMC564" s="500"/>
      <c r="PMD564" s="500"/>
      <c r="PME564" s="500"/>
      <c r="PMF564" s="500"/>
      <c r="PMG564" s="500"/>
      <c r="PMH564" s="500"/>
      <c r="PMI564" s="500"/>
      <c r="PMJ564" s="500"/>
      <c r="PMK564" s="500"/>
      <c r="PML564" s="500"/>
      <c r="PMM564" s="500"/>
      <c r="PMN564" s="500"/>
      <c r="PMO564" s="500"/>
      <c r="PMP564" s="500"/>
      <c r="PMQ564" s="500"/>
      <c r="PMR564" s="500"/>
      <c r="PMS564" s="500"/>
      <c r="PMT564" s="500"/>
      <c r="PMU564" s="500"/>
      <c r="PMV564" s="500"/>
      <c r="PMW564" s="500"/>
      <c r="PMX564" s="500"/>
      <c r="PMY564" s="500"/>
      <c r="PMZ564" s="500"/>
      <c r="PNA564" s="500"/>
      <c r="PNB564" s="500"/>
      <c r="PNC564" s="500"/>
      <c r="PND564" s="500"/>
      <c r="PNE564" s="500"/>
      <c r="PNF564" s="500"/>
      <c r="PNG564" s="500"/>
      <c r="PNH564" s="500"/>
      <c r="PNI564" s="500"/>
      <c r="PNJ564" s="500"/>
      <c r="PNK564" s="500"/>
      <c r="PNL564" s="500"/>
      <c r="PNM564" s="500"/>
      <c r="PNN564" s="500"/>
      <c r="PNO564" s="500"/>
      <c r="PNP564" s="500"/>
      <c r="PNQ564" s="500"/>
      <c r="PNR564" s="500"/>
      <c r="PNS564" s="500"/>
      <c r="PNT564" s="500"/>
      <c r="PNU564" s="500"/>
      <c r="PNV564" s="500"/>
      <c r="PNW564" s="500"/>
      <c r="PNX564" s="500"/>
      <c r="PNY564" s="500"/>
      <c r="PNZ564" s="500"/>
      <c r="POA564" s="500"/>
      <c r="POB564" s="500"/>
      <c r="POC564" s="500"/>
      <c r="POD564" s="500"/>
      <c r="POE564" s="500"/>
      <c r="POF564" s="500"/>
      <c r="POG564" s="500"/>
      <c r="POH564" s="500"/>
      <c r="POI564" s="500"/>
      <c r="POJ564" s="500"/>
      <c r="POK564" s="500"/>
      <c r="POL564" s="500"/>
      <c r="POM564" s="500"/>
      <c r="PON564" s="500"/>
      <c r="POO564" s="500"/>
      <c r="POP564" s="500"/>
      <c r="POQ564" s="500"/>
      <c r="POR564" s="500"/>
      <c r="POS564" s="500"/>
      <c r="POT564" s="500"/>
      <c r="POU564" s="500"/>
      <c r="POV564" s="500"/>
      <c r="POW564" s="500"/>
      <c r="POX564" s="500"/>
      <c r="POY564" s="500"/>
      <c r="POZ564" s="500"/>
      <c r="PPA564" s="500"/>
      <c r="PPB564" s="500"/>
      <c r="PPC564" s="500"/>
      <c r="PPD564" s="500"/>
      <c r="PPE564" s="500"/>
      <c r="PPF564" s="500"/>
      <c r="PPG564" s="500"/>
      <c r="PPH564" s="500"/>
      <c r="PPI564" s="500"/>
      <c r="PPJ564" s="500"/>
      <c r="PPK564" s="500"/>
      <c r="PPL564" s="500"/>
      <c r="PPM564" s="500"/>
      <c r="PPN564" s="500"/>
      <c r="PPO564" s="500"/>
      <c r="PPP564" s="500"/>
      <c r="PPQ564" s="500"/>
      <c r="PPR564" s="500"/>
      <c r="PPS564" s="500"/>
      <c r="PPT564" s="500"/>
      <c r="PPU564" s="500"/>
      <c r="PPV564" s="500"/>
      <c r="PPW564" s="500"/>
      <c r="PPX564" s="500"/>
      <c r="PPY564" s="500"/>
      <c r="PPZ564" s="500"/>
      <c r="PQA564" s="500"/>
      <c r="PQB564" s="500"/>
      <c r="PQC564" s="500"/>
      <c r="PQD564" s="500"/>
      <c r="PQE564" s="500"/>
      <c r="PQF564" s="500"/>
      <c r="PQG564" s="500"/>
      <c r="PQH564" s="500"/>
      <c r="PQI564" s="500"/>
      <c r="PQJ564" s="500"/>
      <c r="PQK564" s="500"/>
      <c r="PQL564" s="500"/>
      <c r="PQM564" s="500"/>
      <c r="PQN564" s="500"/>
      <c r="PQO564" s="500"/>
      <c r="PQP564" s="500"/>
      <c r="PQQ564" s="500"/>
      <c r="PQR564" s="500"/>
      <c r="PQS564" s="500"/>
      <c r="PQT564" s="500"/>
      <c r="PQU564" s="500"/>
      <c r="PQV564" s="500"/>
      <c r="PQW564" s="500"/>
      <c r="PQX564" s="500"/>
      <c r="PQY564" s="500"/>
      <c r="PQZ564" s="500"/>
      <c r="PRA564" s="500"/>
      <c r="PRB564" s="500"/>
      <c r="PRC564" s="500"/>
      <c r="PRD564" s="500"/>
      <c r="PRE564" s="500"/>
      <c r="PRF564" s="500"/>
      <c r="PRG564" s="500"/>
      <c r="PRH564" s="500"/>
      <c r="PRI564" s="500"/>
      <c r="PRJ564" s="500"/>
      <c r="PRK564" s="500"/>
      <c r="PRL564" s="500"/>
      <c r="PRM564" s="500"/>
      <c r="PRN564" s="500"/>
      <c r="PRO564" s="500"/>
      <c r="PRP564" s="500"/>
      <c r="PRQ564" s="500"/>
      <c r="PRR564" s="500"/>
      <c r="PRS564" s="500"/>
      <c r="PRT564" s="500"/>
      <c r="PRU564" s="500"/>
      <c r="PRV564" s="500"/>
      <c r="PRW564" s="500"/>
      <c r="PRX564" s="500"/>
      <c r="PRY564" s="500"/>
      <c r="PRZ564" s="500"/>
      <c r="PSA564" s="500"/>
      <c r="PSB564" s="500"/>
      <c r="PSC564" s="500"/>
      <c r="PSD564" s="500"/>
      <c r="PSE564" s="500"/>
      <c r="PSF564" s="500"/>
      <c r="PSG564" s="500"/>
      <c r="PSH564" s="500"/>
      <c r="PSI564" s="500"/>
      <c r="PSJ564" s="500"/>
      <c r="PSK564" s="500"/>
      <c r="PSL564" s="500"/>
      <c r="PSM564" s="500"/>
      <c r="PSN564" s="500"/>
      <c r="PSO564" s="500"/>
      <c r="PSP564" s="500"/>
      <c r="PSQ564" s="500"/>
      <c r="PSR564" s="500"/>
      <c r="PSS564" s="500"/>
      <c r="PST564" s="500"/>
      <c r="PSU564" s="500"/>
      <c r="PSV564" s="500"/>
      <c r="PSW564" s="500"/>
      <c r="PSX564" s="500"/>
      <c r="PSY564" s="500"/>
      <c r="PSZ564" s="500"/>
      <c r="PTA564" s="500"/>
      <c r="PTB564" s="500"/>
      <c r="PTC564" s="500"/>
      <c r="PTD564" s="500"/>
      <c r="PTE564" s="500"/>
      <c r="PTF564" s="500"/>
      <c r="PTG564" s="500"/>
      <c r="PTH564" s="500"/>
      <c r="PTI564" s="500"/>
      <c r="PTJ564" s="500"/>
      <c r="PTK564" s="500"/>
      <c r="PTL564" s="500"/>
      <c r="PTM564" s="500"/>
      <c r="PTN564" s="500"/>
      <c r="PTO564" s="500"/>
      <c r="PTP564" s="500"/>
      <c r="PTQ564" s="500"/>
      <c r="PTR564" s="500"/>
      <c r="PTS564" s="500"/>
      <c r="PTT564" s="500"/>
      <c r="PTU564" s="500"/>
      <c r="PTV564" s="500"/>
      <c r="PTW564" s="500"/>
      <c r="PTX564" s="500"/>
      <c r="PTY564" s="500"/>
      <c r="PTZ564" s="500"/>
      <c r="PUA564" s="500"/>
      <c r="PUB564" s="500"/>
      <c r="PUC564" s="500"/>
      <c r="PUD564" s="500"/>
      <c r="PUE564" s="500"/>
      <c r="PUF564" s="500"/>
      <c r="PUG564" s="500"/>
      <c r="PUH564" s="500"/>
      <c r="PUI564" s="500"/>
      <c r="PUJ564" s="500"/>
      <c r="PUK564" s="500"/>
      <c r="PUL564" s="500"/>
      <c r="PUM564" s="500"/>
      <c r="PUN564" s="500"/>
      <c r="PUO564" s="500"/>
      <c r="PUP564" s="500"/>
      <c r="PUQ564" s="500"/>
      <c r="PUR564" s="500"/>
      <c r="PUS564" s="500"/>
      <c r="PUT564" s="500"/>
      <c r="PUU564" s="500"/>
      <c r="PUV564" s="500"/>
      <c r="PUW564" s="500"/>
      <c r="PUX564" s="500"/>
      <c r="PUY564" s="500"/>
      <c r="PUZ564" s="500"/>
      <c r="PVA564" s="500"/>
      <c r="PVB564" s="500"/>
      <c r="PVC564" s="500"/>
      <c r="PVD564" s="500"/>
      <c r="PVE564" s="500"/>
      <c r="PVF564" s="500"/>
      <c r="PVG564" s="500"/>
      <c r="PVH564" s="500"/>
      <c r="PVI564" s="500"/>
      <c r="PVJ564" s="500"/>
      <c r="PVK564" s="500"/>
      <c r="PVL564" s="500"/>
      <c r="PVM564" s="500"/>
      <c r="PVN564" s="500"/>
      <c r="PVO564" s="500"/>
      <c r="PVP564" s="500"/>
      <c r="PVQ564" s="500"/>
      <c r="PVR564" s="500"/>
      <c r="PVS564" s="500"/>
      <c r="PVT564" s="500"/>
      <c r="PVU564" s="500"/>
      <c r="PVV564" s="500"/>
      <c r="PVW564" s="500"/>
      <c r="PVX564" s="500"/>
      <c r="PVY564" s="500"/>
      <c r="PVZ564" s="500"/>
      <c r="PWA564" s="500"/>
      <c r="PWB564" s="500"/>
      <c r="PWC564" s="500"/>
      <c r="PWD564" s="500"/>
      <c r="PWE564" s="500"/>
      <c r="PWF564" s="500"/>
      <c r="PWG564" s="500"/>
      <c r="PWH564" s="500"/>
      <c r="PWI564" s="500"/>
      <c r="PWJ564" s="500"/>
      <c r="PWK564" s="500"/>
      <c r="PWL564" s="500"/>
      <c r="PWM564" s="500"/>
      <c r="PWN564" s="500"/>
      <c r="PWO564" s="500"/>
      <c r="PWP564" s="500"/>
      <c r="PWQ564" s="500"/>
      <c r="PWR564" s="500"/>
      <c r="PWS564" s="500"/>
      <c r="PWT564" s="500"/>
      <c r="PWU564" s="500"/>
      <c r="PWV564" s="500"/>
      <c r="PWW564" s="500"/>
      <c r="PWX564" s="500"/>
      <c r="PWY564" s="500"/>
      <c r="PWZ564" s="500"/>
      <c r="PXA564" s="500"/>
      <c r="PXB564" s="500"/>
      <c r="PXC564" s="500"/>
      <c r="PXD564" s="500"/>
      <c r="PXE564" s="500"/>
      <c r="PXF564" s="500"/>
      <c r="PXG564" s="500"/>
      <c r="PXH564" s="500"/>
      <c r="PXI564" s="500"/>
      <c r="PXJ564" s="500"/>
      <c r="PXK564" s="500"/>
      <c r="PXL564" s="500"/>
      <c r="PXM564" s="500"/>
      <c r="PXN564" s="500"/>
      <c r="PXO564" s="500"/>
      <c r="PXP564" s="500"/>
      <c r="PXQ564" s="500"/>
      <c r="PXR564" s="500"/>
      <c r="PXS564" s="500"/>
      <c r="PXT564" s="500"/>
      <c r="PXU564" s="500"/>
      <c r="PXV564" s="500"/>
      <c r="PXW564" s="500"/>
      <c r="PXX564" s="500"/>
      <c r="PXY564" s="500"/>
      <c r="PXZ564" s="500"/>
      <c r="PYA564" s="500"/>
      <c r="PYB564" s="500"/>
      <c r="PYC564" s="500"/>
      <c r="PYD564" s="500"/>
      <c r="PYE564" s="500"/>
      <c r="PYF564" s="500"/>
      <c r="PYG564" s="500"/>
      <c r="PYH564" s="500"/>
      <c r="PYI564" s="500"/>
      <c r="PYJ564" s="500"/>
      <c r="PYK564" s="500"/>
      <c r="PYL564" s="500"/>
      <c r="PYM564" s="500"/>
      <c r="PYN564" s="500"/>
      <c r="PYO564" s="500"/>
      <c r="PYP564" s="500"/>
      <c r="PYQ564" s="500"/>
      <c r="PYR564" s="500"/>
      <c r="PYS564" s="500"/>
      <c r="PYT564" s="500"/>
      <c r="PYU564" s="500"/>
      <c r="PYV564" s="500"/>
      <c r="PYW564" s="500"/>
      <c r="PYX564" s="500"/>
      <c r="PYY564" s="500"/>
      <c r="PYZ564" s="500"/>
      <c r="PZA564" s="500"/>
      <c r="PZB564" s="500"/>
      <c r="PZC564" s="500"/>
      <c r="PZD564" s="500"/>
      <c r="PZE564" s="500"/>
      <c r="PZF564" s="500"/>
      <c r="PZG564" s="500"/>
      <c r="PZH564" s="500"/>
      <c r="PZI564" s="500"/>
      <c r="PZJ564" s="500"/>
      <c r="PZK564" s="500"/>
      <c r="PZL564" s="500"/>
      <c r="PZM564" s="500"/>
      <c r="PZN564" s="500"/>
      <c r="PZO564" s="500"/>
      <c r="PZP564" s="500"/>
      <c r="PZQ564" s="500"/>
      <c r="PZR564" s="500"/>
      <c r="PZS564" s="500"/>
      <c r="PZT564" s="500"/>
      <c r="PZU564" s="500"/>
      <c r="PZV564" s="500"/>
      <c r="PZW564" s="500"/>
      <c r="PZX564" s="500"/>
      <c r="PZY564" s="500"/>
      <c r="PZZ564" s="500"/>
      <c r="QAA564" s="500"/>
      <c r="QAB564" s="500"/>
      <c r="QAC564" s="500"/>
      <c r="QAD564" s="500"/>
      <c r="QAE564" s="500"/>
      <c r="QAF564" s="500"/>
      <c r="QAG564" s="500"/>
      <c r="QAH564" s="500"/>
      <c r="QAI564" s="500"/>
      <c r="QAJ564" s="500"/>
      <c r="QAK564" s="500"/>
      <c r="QAL564" s="500"/>
      <c r="QAM564" s="500"/>
      <c r="QAN564" s="500"/>
      <c r="QAO564" s="500"/>
      <c r="QAP564" s="500"/>
      <c r="QAQ564" s="500"/>
      <c r="QAR564" s="500"/>
      <c r="QAS564" s="500"/>
      <c r="QAT564" s="500"/>
      <c r="QAU564" s="500"/>
      <c r="QAV564" s="500"/>
      <c r="QAW564" s="500"/>
      <c r="QAX564" s="500"/>
      <c r="QAY564" s="500"/>
      <c r="QAZ564" s="500"/>
      <c r="QBA564" s="500"/>
      <c r="QBB564" s="500"/>
      <c r="QBC564" s="500"/>
      <c r="QBD564" s="500"/>
      <c r="QBE564" s="500"/>
      <c r="QBF564" s="500"/>
      <c r="QBG564" s="500"/>
      <c r="QBH564" s="500"/>
      <c r="QBI564" s="500"/>
      <c r="QBJ564" s="500"/>
      <c r="QBK564" s="500"/>
      <c r="QBL564" s="500"/>
      <c r="QBM564" s="500"/>
      <c r="QBN564" s="500"/>
      <c r="QBO564" s="500"/>
      <c r="QBP564" s="500"/>
      <c r="QBQ564" s="500"/>
      <c r="QBR564" s="500"/>
      <c r="QBS564" s="500"/>
      <c r="QBT564" s="500"/>
      <c r="QBU564" s="500"/>
      <c r="QBV564" s="500"/>
      <c r="QBW564" s="500"/>
      <c r="QBX564" s="500"/>
      <c r="QBY564" s="500"/>
      <c r="QBZ564" s="500"/>
      <c r="QCA564" s="500"/>
      <c r="QCB564" s="500"/>
      <c r="QCC564" s="500"/>
      <c r="QCD564" s="500"/>
      <c r="QCE564" s="500"/>
      <c r="QCF564" s="500"/>
      <c r="QCG564" s="500"/>
      <c r="QCH564" s="500"/>
      <c r="QCI564" s="500"/>
      <c r="QCJ564" s="500"/>
      <c r="QCK564" s="500"/>
      <c r="QCL564" s="500"/>
      <c r="QCM564" s="500"/>
      <c r="QCN564" s="500"/>
      <c r="QCO564" s="500"/>
      <c r="QCP564" s="500"/>
      <c r="QCQ564" s="500"/>
      <c r="QCR564" s="500"/>
      <c r="QCS564" s="500"/>
      <c r="QCT564" s="500"/>
      <c r="QCU564" s="500"/>
      <c r="QCV564" s="500"/>
      <c r="QCW564" s="500"/>
      <c r="QCX564" s="500"/>
      <c r="QCY564" s="500"/>
      <c r="QCZ564" s="500"/>
      <c r="QDA564" s="500"/>
      <c r="QDB564" s="500"/>
      <c r="QDC564" s="500"/>
      <c r="QDD564" s="500"/>
      <c r="QDE564" s="500"/>
      <c r="QDF564" s="500"/>
      <c r="QDG564" s="500"/>
      <c r="QDH564" s="500"/>
      <c r="QDI564" s="500"/>
      <c r="QDJ564" s="500"/>
      <c r="QDK564" s="500"/>
      <c r="QDL564" s="500"/>
      <c r="QDM564" s="500"/>
      <c r="QDN564" s="500"/>
      <c r="QDO564" s="500"/>
      <c r="QDP564" s="500"/>
      <c r="QDQ564" s="500"/>
      <c r="QDR564" s="500"/>
      <c r="QDS564" s="500"/>
      <c r="QDT564" s="500"/>
      <c r="QDU564" s="500"/>
      <c r="QDV564" s="500"/>
      <c r="QDW564" s="500"/>
      <c r="QDX564" s="500"/>
      <c r="QDY564" s="500"/>
      <c r="QDZ564" s="500"/>
      <c r="QEA564" s="500"/>
      <c r="QEB564" s="500"/>
      <c r="QEC564" s="500"/>
      <c r="QED564" s="500"/>
      <c r="QEE564" s="500"/>
      <c r="QEF564" s="500"/>
      <c r="QEG564" s="500"/>
      <c r="QEH564" s="500"/>
      <c r="QEI564" s="500"/>
      <c r="QEJ564" s="500"/>
      <c r="QEK564" s="500"/>
      <c r="QEL564" s="500"/>
      <c r="QEM564" s="500"/>
      <c r="QEN564" s="500"/>
      <c r="QEO564" s="500"/>
      <c r="QEP564" s="500"/>
      <c r="QEQ564" s="500"/>
      <c r="QER564" s="500"/>
      <c r="QES564" s="500"/>
      <c r="QET564" s="500"/>
      <c r="QEU564" s="500"/>
      <c r="QEV564" s="500"/>
      <c r="QEW564" s="500"/>
      <c r="QEX564" s="500"/>
      <c r="QEY564" s="500"/>
      <c r="QEZ564" s="500"/>
      <c r="QFA564" s="500"/>
      <c r="QFB564" s="500"/>
      <c r="QFC564" s="500"/>
      <c r="QFD564" s="500"/>
      <c r="QFE564" s="500"/>
      <c r="QFF564" s="500"/>
      <c r="QFG564" s="500"/>
      <c r="QFH564" s="500"/>
      <c r="QFI564" s="500"/>
      <c r="QFJ564" s="500"/>
      <c r="QFK564" s="500"/>
      <c r="QFL564" s="500"/>
      <c r="QFM564" s="500"/>
      <c r="QFN564" s="500"/>
      <c r="QFO564" s="500"/>
      <c r="QFP564" s="500"/>
      <c r="QFQ564" s="500"/>
      <c r="QFR564" s="500"/>
      <c r="QFS564" s="500"/>
      <c r="QFT564" s="500"/>
      <c r="QFU564" s="500"/>
      <c r="QFV564" s="500"/>
      <c r="QFW564" s="500"/>
      <c r="QFX564" s="500"/>
      <c r="QFY564" s="500"/>
      <c r="QFZ564" s="500"/>
      <c r="QGA564" s="500"/>
      <c r="QGB564" s="500"/>
      <c r="QGC564" s="500"/>
      <c r="QGD564" s="500"/>
      <c r="QGE564" s="500"/>
      <c r="QGF564" s="500"/>
      <c r="QGG564" s="500"/>
      <c r="QGH564" s="500"/>
      <c r="QGI564" s="500"/>
      <c r="QGJ564" s="500"/>
      <c r="QGK564" s="500"/>
      <c r="QGL564" s="500"/>
      <c r="QGM564" s="500"/>
      <c r="QGN564" s="500"/>
      <c r="QGO564" s="500"/>
      <c r="QGP564" s="500"/>
      <c r="QGQ564" s="500"/>
      <c r="QGR564" s="500"/>
      <c r="QGS564" s="500"/>
      <c r="QGT564" s="500"/>
      <c r="QGU564" s="500"/>
      <c r="QGV564" s="500"/>
      <c r="QGW564" s="500"/>
      <c r="QGX564" s="500"/>
      <c r="QGY564" s="500"/>
      <c r="QGZ564" s="500"/>
      <c r="QHA564" s="500"/>
      <c r="QHB564" s="500"/>
      <c r="QHC564" s="500"/>
      <c r="QHD564" s="500"/>
      <c r="QHE564" s="500"/>
      <c r="QHF564" s="500"/>
      <c r="QHG564" s="500"/>
      <c r="QHH564" s="500"/>
      <c r="QHI564" s="500"/>
      <c r="QHJ564" s="500"/>
      <c r="QHK564" s="500"/>
      <c r="QHL564" s="500"/>
      <c r="QHM564" s="500"/>
      <c r="QHN564" s="500"/>
      <c r="QHO564" s="500"/>
      <c r="QHP564" s="500"/>
      <c r="QHQ564" s="500"/>
      <c r="QHR564" s="500"/>
      <c r="QHS564" s="500"/>
      <c r="QHT564" s="500"/>
      <c r="QHU564" s="500"/>
      <c r="QHV564" s="500"/>
      <c r="QHW564" s="500"/>
      <c r="QHX564" s="500"/>
      <c r="QHY564" s="500"/>
      <c r="QHZ564" s="500"/>
      <c r="QIA564" s="500"/>
      <c r="QIB564" s="500"/>
      <c r="QIC564" s="500"/>
      <c r="QID564" s="500"/>
      <c r="QIE564" s="500"/>
      <c r="QIF564" s="500"/>
      <c r="QIG564" s="500"/>
      <c r="QIH564" s="500"/>
      <c r="QII564" s="500"/>
      <c r="QIJ564" s="500"/>
      <c r="QIK564" s="500"/>
      <c r="QIL564" s="500"/>
      <c r="QIM564" s="500"/>
      <c r="QIN564" s="500"/>
      <c r="QIO564" s="500"/>
      <c r="QIP564" s="500"/>
      <c r="QIQ564" s="500"/>
      <c r="QIR564" s="500"/>
      <c r="QIS564" s="500"/>
      <c r="QIT564" s="500"/>
      <c r="QIU564" s="500"/>
      <c r="QIV564" s="500"/>
      <c r="QIW564" s="500"/>
      <c r="QIX564" s="500"/>
      <c r="QIY564" s="500"/>
      <c r="QIZ564" s="500"/>
      <c r="QJA564" s="500"/>
      <c r="QJB564" s="500"/>
      <c r="QJC564" s="500"/>
      <c r="QJD564" s="500"/>
      <c r="QJE564" s="500"/>
      <c r="QJF564" s="500"/>
      <c r="QJG564" s="500"/>
      <c r="QJH564" s="500"/>
      <c r="QJI564" s="500"/>
      <c r="QJJ564" s="500"/>
      <c r="QJK564" s="500"/>
      <c r="QJL564" s="500"/>
      <c r="QJM564" s="500"/>
      <c r="QJN564" s="500"/>
      <c r="QJO564" s="500"/>
      <c r="QJP564" s="500"/>
      <c r="QJQ564" s="500"/>
      <c r="QJR564" s="500"/>
      <c r="QJS564" s="500"/>
      <c r="QJT564" s="500"/>
      <c r="QJU564" s="500"/>
      <c r="QJV564" s="500"/>
      <c r="QJW564" s="500"/>
      <c r="QJX564" s="500"/>
      <c r="QJY564" s="500"/>
      <c r="QJZ564" s="500"/>
      <c r="QKA564" s="500"/>
      <c r="QKB564" s="500"/>
      <c r="QKC564" s="500"/>
      <c r="QKD564" s="500"/>
      <c r="QKE564" s="500"/>
      <c r="QKF564" s="500"/>
      <c r="QKG564" s="500"/>
      <c r="QKH564" s="500"/>
      <c r="QKI564" s="500"/>
      <c r="QKJ564" s="500"/>
      <c r="QKK564" s="500"/>
      <c r="QKL564" s="500"/>
      <c r="QKM564" s="500"/>
      <c r="QKN564" s="500"/>
      <c r="QKO564" s="500"/>
      <c r="QKP564" s="500"/>
      <c r="QKQ564" s="500"/>
      <c r="QKR564" s="500"/>
      <c r="QKS564" s="500"/>
      <c r="QKT564" s="500"/>
      <c r="QKU564" s="500"/>
      <c r="QKV564" s="500"/>
      <c r="QKW564" s="500"/>
      <c r="QKX564" s="500"/>
      <c r="QKY564" s="500"/>
      <c r="QKZ564" s="500"/>
      <c r="QLA564" s="500"/>
      <c r="QLB564" s="500"/>
      <c r="QLC564" s="500"/>
      <c r="QLD564" s="500"/>
      <c r="QLE564" s="500"/>
      <c r="QLF564" s="500"/>
      <c r="QLG564" s="500"/>
      <c r="QLH564" s="500"/>
      <c r="QLI564" s="500"/>
      <c r="QLJ564" s="500"/>
      <c r="QLK564" s="500"/>
      <c r="QLL564" s="500"/>
      <c r="QLM564" s="500"/>
      <c r="QLN564" s="500"/>
      <c r="QLO564" s="500"/>
      <c r="QLP564" s="500"/>
      <c r="QLQ564" s="500"/>
      <c r="QLR564" s="500"/>
      <c r="QLS564" s="500"/>
      <c r="QLT564" s="500"/>
      <c r="QLU564" s="500"/>
      <c r="QLV564" s="500"/>
      <c r="QLW564" s="500"/>
      <c r="QLX564" s="500"/>
      <c r="QLY564" s="500"/>
      <c r="QLZ564" s="500"/>
      <c r="QMA564" s="500"/>
      <c r="QMB564" s="500"/>
      <c r="QMC564" s="500"/>
      <c r="QMD564" s="500"/>
      <c r="QME564" s="500"/>
      <c r="QMF564" s="500"/>
      <c r="QMG564" s="500"/>
      <c r="QMH564" s="500"/>
      <c r="QMI564" s="500"/>
      <c r="QMJ564" s="500"/>
      <c r="QMK564" s="500"/>
      <c r="QML564" s="500"/>
      <c r="QMM564" s="500"/>
      <c r="QMN564" s="500"/>
      <c r="QMO564" s="500"/>
      <c r="QMP564" s="500"/>
      <c r="QMQ564" s="500"/>
      <c r="QMR564" s="500"/>
      <c r="QMS564" s="500"/>
      <c r="QMT564" s="500"/>
      <c r="QMU564" s="500"/>
      <c r="QMV564" s="500"/>
      <c r="QMW564" s="500"/>
      <c r="QMX564" s="500"/>
      <c r="QMY564" s="500"/>
      <c r="QMZ564" s="500"/>
      <c r="QNA564" s="500"/>
      <c r="QNB564" s="500"/>
      <c r="QNC564" s="500"/>
      <c r="QND564" s="500"/>
      <c r="QNE564" s="500"/>
      <c r="QNF564" s="500"/>
      <c r="QNG564" s="500"/>
      <c r="QNH564" s="500"/>
      <c r="QNI564" s="500"/>
      <c r="QNJ564" s="500"/>
      <c r="QNK564" s="500"/>
      <c r="QNL564" s="500"/>
      <c r="QNM564" s="500"/>
      <c r="QNN564" s="500"/>
      <c r="QNO564" s="500"/>
      <c r="QNP564" s="500"/>
      <c r="QNQ564" s="500"/>
      <c r="QNR564" s="500"/>
      <c r="QNS564" s="500"/>
      <c r="QNT564" s="500"/>
      <c r="QNU564" s="500"/>
      <c r="QNV564" s="500"/>
      <c r="QNW564" s="500"/>
      <c r="QNX564" s="500"/>
      <c r="QNY564" s="500"/>
      <c r="QNZ564" s="500"/>
      <c r="QOA564" s="500"/>
      <c r="QOB564" s="500"/>
      <c r="QOC564" s="500"/>
      <c r="QOD564" s="500"/>
      <c r="QOE564" s="500"/>
      <c r="QOF564" s="500"/>
      <c r="QOG564" s="500"/>
      <c r="QOH564" s="500"/>
      <c r="QOI564" s="500"/>
      <c r="QOJ564" s="500"/>
      <c r="QOK564" s="500"/>
      <c r="QOL564" s="500"/>
      <c r="QOM564" s="500"/>
      <c r="QON564" s="500"/>
      <c r="QOO564" s="500"/>
      <c r="QOP564" s="500"/>
      <c r="QOQ564" s="500"/>
      <c r="QOR564" s="500"/>
      <c r="QOS564" s="500"/>
      <c r="QOT564" s="500"/>
      <c r="QOU564" s="500"/>
      <c r="QOV564" s="500"/>
      <c r="QOW564" s="500"/>
      <c r="QOX564" s="500"/>
      <c r="QOY564" s="500"/>
      <c r="QOZ564" s="500"/>
      <c r="QPA564" s="500"/>
      <c r="QPB564" s="500"/>
      <c r="QPC564" s="500"/>
      <c r="QPD564" s="500"/>
      <c r="QPE564" s="500"/>
      <c r="QPF564" s="500"/>
      <c r="QPG564" s="500"/>
      <c r="QPH564" s="500"/>
      <c r="QPI564" s="500"/>
      <c r="QPJ564" s="500"/>
      <c r="QPK564" s="500"/>
      <c r="QPL564" s="500"/>
      <c r="QPM564" s="500"/>
      <c r="QPN564" s="500"/>
      <c r="QPO564" s="500"/>
      <c r="QPP564" s="500"/>
      <c r="QPQ564" s="500"/>
      <c r="QPR564" s="500"/>
      <c r="QPS564" s="500"/>
      <c r="QPT564" s="500"/>
      <c r="QPU564" s="500"/>
      <c r="QPV564" s="500"/>
      <c r="QPW564" s="500"/>
      <c r="QPX564" s="500"/>
      <c r="QPY564" s="500"/>
      <c r="QPZ564" s="500"/>
      <c r="QQA564" s="500"/>
      <c r="QQB564" s="500"/>
      <c r="QQC564" s="500"/>
      <c r="QQD564" s="500"/>
      <c r="QQE564" s="500"/>
      <c r="QQF564" s="500"/>
      <c r="QQG564" s="500"/>
      <c r="QQH564" s="500"/>
      <c r="QQI564" s="500"/>
      <c r="QQJ564" s="500"/>
      <c r="QQK564" s="500"/>
      <c r="QQL564" s="500"/>
      <c r="QQM564" s="500"/>
      <c r="QQN564" s="500"/>
      <c r="QQO564" s="500"/>
      <c r="QQP564" s="500"/>
      <c r="QQQ564" s="500"/>
      <c r="QQR564" s="500"/>
      <c r="QQS564" s="500"/>
      <c r="QQT564" s="500"/>
      <c r="QQU564" s="500"/>
      <c r="QQV564" s="500"/>
      <c r="QQW564" s="500"/>
      <c r="QQX564" s="500"/>
      <c r="QQY564" s="500"/>
      <c r="QQZ564" s="500"/>
      <c r="QRA564" s="500"/>
      <c r="QRB564" s="500"/>
      <c r="QRC564" s="500"/>
      <c r="QRD564" s="500"/>
      <c r="QRE564" s="500"/>
      <c r="QRF564" s="500"/>
      <c r="QRG564" s="500"/>
      <c r="QRH564" s="500"/>
      <c r="QRI564" s="500"/>
      <c r="QRJ564" s="500"/>
      <c r="QRK564" s="500"/>
      <c r="QRL564" s="500"/>
      <c r="QRM564" s="500"/>
      <c r="QRN564" s="500"/>
      <c r="QRO564" s="500"/>
      <c r="QRP564" s="500"/>
      <c r="QRQ564" s="500"/>
      <c r="QRR564" s="500"/>
      <c r="QRS564" s="500"/>
      <c r="QRT564" s="500"/>
      <c r="QRU564" s="500"/>
      <c r="QRV564" s="500"/>
      <c r="QRW564" s="500"/>
      <c r="QRX564" s="500"/>
      <c r="QRY564" s="500"/>
      <c r="QRZ564" s="500"/>
      <c r="QSA564" s="500"/>
      <c r="QSB564" s="500"/>
      <c r="QSC564" s="500"/>
      <c r="QSD564" s="500"/>
      <c r="QSE564" s="500"/>
      <c r="QSF564" s="500"/>
      <c r="QSG564" s="500"/>
      <c r="QSH564" s="500"/>
      <c r="QSI564" s="500"/>
      <c r="QSJ564" s="500"/>
      <c r="QSK564" s="500"/>
      <c r="QSL564" s="500"/>
      <c r="QSM564" s="500"/>
      <c r="QSN564" s="500"/>
      <c r="QSO564" s="500"/>
      <c r="QSP564" s="500"/>
      <c r="QSQ564" s="500"/>
      <c r="QSR564" s="500"/>
      <c r="QSS564" s="500"/>
      <c r="QST564" s="500"/>
      <c r="QSU564" s="500"/>
      <c r="QSV564" s="500"/>
      <c r="QSW564" s="500"/>
      <c r="QSX564" s="500"/>
      <c r="QSY564" s="500"/>
      <c r="QSZ564" s="500"/>
      <c r="QTA564" s="500"/>
      <c r="QTB564" s="500"/>
      <c r="QTC564" s="500"/>
      <c r="QTD564" s="500"/>
      <c r="QTE564" s="500"/>
      <c r="QTF564" s="500"/>
      <c r="QTG564" s="500"/>
      <c r="QTH564" s="500"/>
      <c r="QTI564" s="500"/>
      <c r="QTJ564" s="500"/>
      <c r="QTK564" s="500"/>
      <c r="QTL564" s="500"/>
      <c r="QTM564" s="500"/>
      <c r="QTN564" s="500"/>
      <c r="QTO564" s="500"/>
      <c r="QTP564" s="500"/>
      <c r="QTQ564" s="500"/>
      <c r="QTR564" s="500"/>
      <c r="QTS564" s="500"/>
      <c r="QTT564" s="500"/>
      <c r="QTU564" s="500"/>
      <c r="QTV564" s="500"/>
      <c r="QTW564" s="500"/>
      <c r="QTX564" s="500"/>
      <c r="QTY564" s="500"/>
      <c r="QTZ564" s="500"/>
      <c r="QUA564" s="500"/>
      <c r="QUB564" s="500"/>
      <c r="QUC564" s="500"/>
      <c r="QUD564" s="500"/>
      <c r="QUE564" s="500"/>
      <c r="QUF564" s="500"/>
      <c r="QUG564" s="500"/>
      <c r="QUH564" s="500"/>
      <c r="QUI564" s="500"/>
      <c r="QUJ564" s="500"/>
      <c r="QUK564" s="500"/>
      <c r="QUL564" s="500"/>
      <c r="QUM564" s="500"/>
      <c r="QUN564" s="500"/>
      <c r="QUO564" s="500"/>
      <c r="QUP564" s="500"/>
      <c r="QUQ564" s="500"/>
      <c r="QUR564" s="500"/>
      <c r="QUS564" s="500"/>
      <c r="QUT564" s="500"/>
      <c r="QUU564" s="500"/>
      <c r="QUV564" s="500"/>
      <c r="QUW564" s="500"/>
      <c r="QUX564" s="500"/>
      <c r="QUY564" s="500"/>
      <c r="QUZ564" s="500"/>
      <c r="QVA564" s="500"/>
      <c r="QVB564" s="500"/>
      <c r="QVC564" s="500"/>
      <c r="QVD564" s="500"/>
      <c r="QVE564" s="500"/>
      <c r="QVF564" s="500"/>
      <c r="QVG564" s="500"/>
      <c r="QVH564" s="500"/>
      <c r="QVI564" s="500"/>
      <c r="QVJ564" s="500"/>
      <c r="QVK564" s="500"/>
      <c r="QVL564" s="500"/>
      <c r="QVM564" s="500"/>
      <c r="QVN564" s="500"/>
      <c r="QVO564" s="500"/>
      <c r="QVP564" s="500"/>
      <c r="QVQ564" s="500"/>
      <c r="QVR564" s="500"/>
      <c r="QVS564" s="500"/>
      <c r="QVT564" s="500"/>
      <c r="QVU564" s="500"/>
      <c r="QVV564" s="500"/>
      <c r="QVW564" s="500"/>
      <c r="QVX564" s="500"/>
      <c r="QVY564" s="500"/>
      <c r="QVZ564" s="500"/>
      <c r="QWA564" s="500"/>
      <c r="QWB564" s="500"/>
      <c r="QWC564" s="500"/>
      <c r="QWD564" s="500"/>
      <c r="QWE564" s="500"/>
      <c r="QWF564" s="500"/>
      <c r="QWG564" s="500"/>
      <c r="QWH564" s="500"/>
      <c r="QWI564" s="500"/>
      <c r="QWJ564" s="500"/>
      <c r="QWK564" s="500"/>
      <c r="QWL564" s="500"/>
      <c r="QWM564" s="500"/>
      <c r="QWN564" s="500"/>
      <c r="QWO564" s="500"/>
      <c r="QWP564" s="500"/>
      <c r="QWQ564" s="500"/>
      <c r="QWR564" s="500"/>
      <c r="QWS564" s="500"/>
      <c r="QWT564" s="500"/>
      <c r="QWU564" s="500"/>
      <c r="QWV564" s="500"/>
      <c r="QWW564" s="500"/>
      <c r="QWX564" s="500"/>
      <c r="QWY564" s="500"/>
      <c r="QWZ564" s="500"/>
      <c r="QXA564" s="500"/>
      <c r="QXB564" s="500"/>
      <c r="QXC564" s="500"/>
      <c r="QXD564" s="500"/>
      <c r="QXE564" s="500"/>
      <c r="QXF564" s="500"/>
      <c r="QXG564" s="500"/>
      <c r="QXH564" s="500"/>
      <c r="QXI564" s="500"/>
      <c r="QXJ564" s="500"/>
      <c r="QXK564" s="500"/>
      <c r="QXL564" s="500"/>
      <c r="QXM564" s="500"/>
      <c r="QXN564" s="500"/>
      <c r="QXO564" s="500"/>
      <c r="QXP564" s="500"/>
      <c r="QXQ564" s="500"/>
      <c r="QXR564" s="500"/>
      <c r="QXS564" s="500"/>
      <c r="QXT564" s="500"/>
      <c r="QXU564" s="500"/>
      <c r="QXV564" s="500"/>
      <c r="QXW564" s="500"/>
      <c r="QXX564" s="500"/>
      <c r="QXY564" s="500"/>
      <c r="QXZ564" s="500"/>
      <c r="QYA564" s="500"/>
      <c r="QYB564" s="500"/>
      <c r="QYC564" s="500"/>
      <c r="QYD564" s="500"/>
      <c r="QYE564" s="500"/>
      <c r="QYF564" s="500"/>
      <c r="QYG564" s="500"/>
      <c r="QYH564" s="500"/>
      <c r="QYI564" s="500"/>
      <c r="QYJ564" s="500"/>
      <c r="QYK564" s="500"/>
      <c r="QYL564" s="500"/>
      <c r="QYM564" s="500"/>
      <c r="QYN564" s="500"/>
      <c r="QYO564" s="500"/>
      <c r="QYP564" s="500"/>
      <c r="QYQ564" s="500"/>
      <c r="QYR564" s="500"/>
      <c r="QYS564" s="500"/>
      <c r="QYT564" s="500"/>
      <c r="QYU564" s="500"/>
      <c r="QYV564" s="500"/>
      <c r="QYW564" s="500"/>
      <c r="QYX564" s="500"/>
      <c r="QYY564" s="500"/>
      <c r="QYZ564" s="500"/>
      <c r="QZA564" s="500"/>
      <c r="QZB564" s="500"/>
      <c r="QZC564" s="500"/>
      <c r="QZD564" s="500"/>
      <c r="QZE564" s="500"/>
      <c r="QZF564" s="500"/>
      <c r="QZG564" s="500"/>
      <c r="QZH564" s="500"/>
      <c r="QZI564" s="500"/>
      <c r="QZJ564" s="500"/>
      <c r="QZK564" s="500"/>
      <c r="QZL564" s="500"/>
      <c r="QZM564" s="500"/>
      <c r="QZN564" s="500"/>
      <c r="QZO564" s="500"/>
      <c r="QZP564" s="500"/>
      <c r="QZQ564" s="500"/>
      <c r="QZR564" s="500"/>
      <c r="QZS564" s="500"/>
      <c r="QZT564" s="500"/>
      <c r="QZU564" s="500"/>
      <c r="QZV564" s="500"/>
      <c r="QZW564" s="500"/>
      <c r="QZX564" s="500"/>
      <c r="QZY564" s="500"/>
      <c r="QZZ564" s="500"/>
      <c r="RAA564" s="500"/>
      <c r="RAB564" s="500"/>
      <c r="RAC564" s="500"/>
      <c r="RAD564" s="500"/>
      <c r="RAE564" s="500"/>
      <c r="RAF564" s="500"/>
      <c r="RAG564" s="500"/>
      <c r="RAH564" s="500"/>
      <c r="RAI564" s="500"/>
      <c r="RAJ564" s="500"/>
      <c r="RAK564" s="500"/>
      <c r="RAL564" s="500"/>
      <c r="RAM564" s="500"/>
      <c r="RAN564" s="500"/>
      <c r="RAO564" s="500"/>
      <c r="RAP564" s="500"/>
      <c r="RAQ564" s="500"/>
      <c r="RAR564" s="500"/>
      <c r="RAS564" s="500"/>
      <c r="RAT564" s="500"/>
      <c r="RAU564" s="500"/>
      <c r="RAV564" s="500"/>
      <c r="RAW564" s="500"/>
      <c r="RAX564" s="500"/>
      <c r="RAY564" s="500"/>
      <c r="RAZ564" s="500"/>
      <c r="RBA564" s="500"/>
      <c r="RBB564" s="500"/>
      <c r="RBC564" s="500"/>
      <c r="RBD564" s="500"/>
      <c r="RBE564" s="500"/>
      <c r="RBF564" s="500"/>
      <c r="RBG564" s="500"/>
      <c r="RBH564" s="500"/>
      <c r="RBI564" s="500"/>
      <c r="RBJ564" s="500"/>
      <c r="RBK564" s="500"/>
      <c r="RBL564" s="500"/>
      <c r="RBM564" s="500"/>
      <c r="RBN564" s="500"/>
      <c r="RBO564" s="500"/>
      <c r="RBP564" s="500"/>
      <c r="RBQ564" s="500"/>
      <c r="RBR564" s="500"/>
      <c r="RBS564" s="500"/>
      <c r="RBT564" s="500"/>
      <c r="RBU564" s="500"/>
      <c r="RBV564" s="500"/>
      <c r="RBW564" s="500"/>
      <c r="RBX564" s="500"/>
      <c r="RBY564" s="500"/>
      <c r="RBZ564" s="500"/>
      <c r="RCA564" s="500"/>
      <c r="RCB564" s="500"/>
      <c r="RCC564" s="500"/>
      <c r="RCD564" s="500"/>
      <c r="RCE564" s="500"/>
      <c r="RCF564" s="500"/>
      <c r="RCG564" s="500"/>
      <c r="RCH564" s="500"/>
      <c r="RCI564" s="500"/>
      <c r="RCJ564" s="500"/>
      <c r="RCK564" s="500"/>
      <c r="RCL564" s="500"/>
      <c r="RCM564" s="500"/>
      <c r="RCN564" s="500"/>
      <c r="RCO564" s="500"/>
      <c r="RCP564" s="500"/>
      <c r="RCQ564" s="500"/>
      <c r="RCR564" s="500"/>
      <c r="RCS564" s="500"/>
      <c r="RCT564" s="500"/>
      <c r="RCU564" s="500"/>
      <c r="RCV564" s="500"/>
      <c r="RCW564" s="500"/>
      <c r="RCX564" s="500"/>
      <c r="RCY564" s="500"/>
      <c r="RCZ564" s="500"/>
      <c r="RDA564" s="500"/>
      <c r="RDB564" s="500"/>
      <c r="RDC564" s="500"/>
      <c r="RDD564" s="500"/>
      <c r="RDE564" s="500"/>
      <c r="RDF564" s="500"/>
      <c r="RDG564" s="500"/>
      <c r="RDH564" s="500"/>
      <c r="RDI564" s="500"/>
      <c r="RDJ564" s="500"/>
      <c r="RDK564" s="500"/>
      <c r="RDL564" s="500"/>
      <c r="RDM564" s="500"/>
      <c r="RDN564" s="500"/>
      <c r="RDO564" s="500"/>
      <c r="RDP564" s="500"/>
      <c r="RDQ564" s="500"/>
      <c r="RDR564" s="500"/>
      <c r="RDS564" s="500"/>
      <c r="RDT564" s="500"/>
      <c r="RDU564" s="500"/>
      <c r="RDV564" s="500"/>
      <c r="RDW564" s="500"/>
      <c r="RDX564" s="500"/>
      <c r="RDY564" s="500"/>
      <c r="RDZ564" s="500"/>
      <c r="REA564" s="500"/>
      <c r="REB564" s="500"/>
      <c r="REC564" s="500"/>
      <c r="RED564" s="500"/>
      <c r="REE564" s="500"/>
      <c r="REF564" s="500"/>
      <c r="REG564" s="500"/>
      <c r="REH564" s="500"/>
      <c r="REI564" s="500"/>
      <c r="REJ564" s="500"/>
      <c r="REK564" s="500"/>
      <c r="REL564" s="500"/>
      <c r="REM564" s="500"/>
      <c r="REN564" s="500"/>
      <c r="REO564" s="500"/>
      <c r="REP564" s="500"/>
      <c r="REQ564" s="500"/>
      <c r="RER564" s="500"/>
      <c r="RES564" s="500"/>
      <c r="RET564" s="500"/>
      <c r="REU564" s="500"/>
      <c r="REV564" s="500"/>
      <c r="REW564" s="500"/>
      <c r="REX564" s="500"/>
      <c r="REY564" s="500"/>
      <c r="REZ564" s="500"/>
      <c r="RFA564" s="500"/>
      <c r="RFB564" s="500"/>
      <c r="RFC564" s="500"/>
      <c r="RFD564" s="500"/>
      <c r="RFE564" s="500"/>
      <c r="RFF564" s="500"/>
      <c r="RFG564" s="500"/>
      <c r="RFH564" s="500"/>
      <c r="RFI564" s="500"/>
      <c r="RFJ564" s="500"/>
      <c r="RFK564" s="500"/>
      <c r="RFL564" s="500"/>
      <c r="RFM564" s="500"/>
      <c r="RFN564" s="500"/>
      <c r="RFO564" s="500"/>
      <c r="RFP564" s="500"/>
      <c r="RFQ564" s="500"/>
      <c r="RFR564" s="500"/>
      <c r="RFS564" s="500"/>
      <c r="RFT564" s="500"/>
      <c r="RFU564" s="500"/>
      <c r="RFV564" s="500"/>
      <c r="RFW564" s="500"/>
      <c r="RFX564" s="500"/>
      <c r="RFY564" s="500"/>
      <c r="RFZ564" s="500"/>
      <c r="RGA564" s="500"/>
      <c r="RGB564" s="500"/>
      <c r="RGC564" s="500"/>
      <c r="RGD564" s="500"/>
      <c r="RGE564" s="500"/>
      <c r="RGF564" s="500"/>
      <c r="RGG564" s="500"/>
      <c r="RGH564" s="500"/>
      <c r="RGI564" s="500"/>
      <c r="RGJ564" s="500"/>
      <c r="RGK564" s="500"/>
      <c r="RGL564" s="500"/>
      <c r="RGM564" s="500"/>
      <c r="RGN564" s="500"/>
      <c r="RGO564" s="500"/>
      <c r="RGP564" s="500"/>
      <c r="RGQ564" s="500"/>
      <c r="RGR564" s="500"/>
      <c r="RGS564" s="500"/>
      <c r="RGT564" s="500"/>
      <c r="RGU564" s="500"/>
      <c r="RGV564" s="500"/>
      <c r="RGW564" s="500"/>
      <c r="RGX564" s="500"/>
      <c r="RGY564" s="500"/>
      <c r="RGZ564" s="500"/>
      <c r="RHA564" s="500"/>
      <c r="RHB564" s="500"/>
      <c r="RHC564" s="500"/>
      <c r="RHD564" s="500"/>
      <c r="RHE564" s="500"/>
      <c r="RHF564" s="500"/>
      <c r="RHG564" s="500"/>
      <c r="RHH564" s="500"/>
      <c r="RHI564" s="500"/>
      <c r="RHJ564" s="500"/>
      <c r="RHK564" s="500"/>
      <c r="RHL564" s="500"/>
      <c r="RHM564" s="500"/>
      <c r="RHN564" s="500"/>
      <c r="RHO564" s="500"/>
      <c r="RHP564" s="500"/>
      <c r="RHQ564" s="500"/>
      <c r="RHR564" s="500"/>
      <c r="RHS564" s="500"/>
      <c r="RHT564" s="500"/>
      <c r="RHU564" s="500"/>
      <c r="RHV564" s="500"/>
      <c r="RHW564" s="500"/>
      <c r="RHX564" s="500"/>
      <c r="RHY564" s="500"/>
      <c r="RHZ564" s="500"/>
      <c r="RIA564" s="500"/>
      <c r="RIB564" s="500"/>
      <c r="RIC564" s="500"/>
      <c r="RID564" s="500"/>
      <c r="RIE564" s="500"/>
      <c r="RIF564" s="500"/>
      <c r="RIG564" s="500"/>
      <c r="RIH564" s="500"/>
      <c r="RII564" s="500"/>
      <c r="RIJ564" s="500"/>
      <c r="RIK564" s="500"/>
      <c r="RIL564" s="500"/>
      <c r="RIM564" s="500"/>
      <c r="RIN564" s="500"/>
      <c r="RIO564" s="500"/>
      <c r="RIP564" s="500"/>
      <c r="RIQ564" s="500"/>
      <c r="RIR564" s="500"/>
      <c r="RIS564" s="500"/>
      <c r="RIT564" s="500"/>
      <c r="RIU564" s="500"/>
      <c r="RIV564" s="500"/>
      <c r="RIW564" s="500"/>
      <c r="RIX564" s="500"/>
      <c r="RIY564" s="500"/>
      <c r="RIZ564" s="500"/>
      <c r="RJA564" s="500"/>
      <c r="RJB564" s="500"/>
      <c r="RJC564" s="500"/>
      <c r="RJD564" s="500"/>
      <c r="RJE564" s="500"/>
      <c r="RJF564" s="500"/>
      <c r="RJG564" s="500"/>
      <c r="RJH564" s="500"/>
      <c r="RJI564" s="500"/>
      <c r="RJJ564" s="500"/>
      <c r="RJK564" s="500"/>
      <c r="RJL564" s="500"/>
      <c r="RJM564" s="500"/>
      <c r="RJN564" s="500"/>
      <c r="RJO564" s="500"/>
      <c r="RJP564" s="500"/>
      <c r="RJQ564" s="500"/>
      <c r="RJR564" s="500"/>
      <c r="RJS564" s="500"/>
      <c r="RJT564" s="500"/>
      <c r="RJU564" s="500"/>
      <c r="RJV564" s="500"/>
      <c r="RJW564" s="500"/>
      <c r="RJX564" s="500"/>
      <c r="RJY564" s="500"/>
      <c r="RJZ564" s="500"/>
      <c r="RKA564" s="500"/>
      <c r="RKB564" s="500"/>
      <c r="RKC564" s="500"/>
      <c r="RKD564" s="500"/>
      <c r="RKE564" s="500"/>
      <c r="RKF564" s="500"/>
      <c r="RKG564" s="500"/>
      <c r="RKH564" s="500"/>
      <c r="RKI564" s="500"/>
      <c r="RKJ564" s="500"/>
      <c r="RKK564" s="500"/>
      <c r="RKL564" s="500"/>
      <c r="RKM564" s="500"/>
      <c r="RKN564" s="500"/>
      <c r="RKO564" s="500"/>
      <c r="RKP564" s="500"/>
      <c r="RKQ564" s="500"/>
      <c r="RKR564" s="500"/>
      <c r="RKS564" s="500"/>
      <c r="RKT564" s="500"/>
      <c r="RKU564" s="500"/>
      <c r="RKV564" s="500"/>
      <c r="RKW564" s="500"/>
      <c r="RKX564" s="500"/>
      <c r="RKY564" s="500"/>
      <c r="RKZ564" s="500"/>
      <c r="RLA564" s="500"/>
      <c r="RLB564" s="500"/>
      <c r="RLC564" s="500"/>
      <c r="RLD564" s="500"/>
      <c r="RLE564" s="500"/>
      <c r="RLF564" s="500"/>
      <c r="RLG564" s="500"/>
      <c r="RLH564" s="500"/>
      <c r="RLI564" s="500"/>
      <c r="RLJ564" s="500"/>
      <c r="RLK564" s="500"/>
      <c r="RLL564" s="500"/>
      <c r="RLM564" s="500"/>
      <c r="RLN564" s="500"/>
      <c r="RLO564" s="500"/>
      <c r="RLP564" s="500"/>
      <c r="RLQ564" s="500"/>
      <c r="RLR564" s="500"/>
      <c r="RLS564" s="500"/>
      <c r="RLT564" s="500"/>
      <c r="RLU564" s="500"/>
      <c r="RLV564" s="500"/>
      <c r="RLW564" s="500"/>
      <c r="RLX564" s="500"/>
      <c r="RLY564" s="500"/>
      <c r="RLZ564" s="500"/>
      <c r="RMA564" s="500"/>
      <c r="RMB564" s="500"/>
      <c r="RMC564" s="500"/>
      <c r="RMD564" s="500"/>
      <c r="RME564" s="500"/>
      <c r="RMF564" s="500"/>
      <c r="RMG564" s="500"/>
      <c r="RMH564" s="500"/>
      <c r="RMI564" s="500"/>
      <c r="RMJ564" s="500"/>
      <c r="RMK564" s="500"/>
      <c r="RML564" s="500"/>
      <c r="RMM564" s="500"/>
      <c r="RMN564" s="500"/>
      <c r="RMO564" s="500"/>
      <c r="RMP564" s="500"/>
      <c r="RMQ564" s="500"/>
      <c r="RMR564" s="500"/>
      <c r="RMS564" s="500"/>
      <c r="RMT564" s="500"/>
      <c r="RMU564" s="500"/>
      <c r="RMV564" s="500"/>
      <c r="RMW564" s="500"/>
      <c r="RMX564" s="500"/>
      <c r="RMY564" s="500"/>
      <c r="RMZ564" s="500"/>
      <c r="RNA564" s="500"/>
      <c r="RNB564" s="500"/>
      <c r="RNC564" s="500"/>
      <c r="RND564" s="500"/>
      <c r="RNE564" s="500"/>
      <c r="RNF564" s="500"/>
      <c r="RNG564" s="500"/>
      <c r="RNH564" s="500"/>
      <c r="RNI564" s="500"/>
      <c r="RNJ564" s="500"/>
      <c r="RNK564" s="500"/>
      <c r="RNL564" s="500"/>
      <c r="RNM564" s="500"/>
      <c r="RNN564" s="500"/>
      <c r="RNO564" s="500"/>
      <c r="RNP564" s="500"/>
      <c r="RNQ564" s="500"/>
      <c r="RNR564" s="500"/>
      <c r="RNS564" s="500"/>
      <c r="RNT564" s="500"/>
      <c r="RNU564" s="500"/>
      <c r="RNV564" s="500"/>
      <c r="RNW564" s="500"/>
      <c r="RNX564" s="500"/>
      <c r="RNY564" s="500"/>
      <c r="RNZ564" s="500"/>
      <c r="ROA564" s="500"/>
      <c r="ROB564" s="500"/>
      <c r="ROC564" s="500"/>
      <c r="ROD564" s="500"/>
      <c r="ROE564" s="500"/>
      <c r="ROF564" s="500"/>
      <c r="ROG564" s="500"/>
      <c r="ROH564" s="500"/>
      <c r="ROI564" s="500"/>
      <c r="ROJ564" s="500"/>
      <c r="ROK564" s="500"/>
      <c r="ROL564" s="500"/>
      <c r="ROM564" s="500"/>
      <c r="RON564" s="500"/>
      <c r="ROO564" s="500"/>
      <c r="ROP564" s="500"/>
      <c r="ROQ564" s="500"/>
      <c r="ROR564" s="500"/>
      <c r="ROS564" s="500"/>
      <c r="ROT564" s="500"/>
      <c r="ROU564" s="500"/>
      <c r="ROV564" s="500"/>
      <c r="ROW564" s="500"/>
      <c r="ROX564" s="500"/>
      <c r="ROY564" s="500"/>
      <c r="ROZ564" s="500"/>
      <c r="RPA564" s="500"/>
      <c r="RPB564" s="500"/>
      <c r="RPC564" s="500"/>
      <c r="RPD564" s="500"/>
      <c r="RPE564" s="500"/>
      <c r="RPF564" s="500"/>
      <c r="RPG564" s="500"/>
      <c r="RPH564" s="500"/>
      <c r="RPI564" s="500"/>
      <c r="RPJ564" s="500"/>
      <c r="RPK564" s="500"/>
      <c r="RPL564" s="500"/>
      <c r="RPM564" s="500"/>
      <c r="RPN564" s="500"/>
      <c r="RPO564" s="500"/>
      <c r="RPP564" s="500"/>
      <c r="RPQ564" s="500"/>
      <c r="RPR564" s="500"/>
      <c r="RPS564" s="500"/>
      <c r="RPT564" s="500"/>
      <c r="RPU564" s="500"/>
      <c r="RPV564" s="500"/>
      <c r="RPW564" s="500"/>
      <c r="RPX564" s="500"/>
      <c r="RPY564" s="500"/>
      <c r="RPZ564" s="500"/>
      <c r="RQA564" s="500"/>
      <c r="RQB564" s="500"/>
      <c r="RQC564" s="500"/>
      <c r="RQD564" s="500"/>
      <c r="RQE564" s="500"/>
      <c r="RQF564" s="500"/>
      <c r="RQG564" s="500"/>
      <c r="RQH564" s="500"/>
      <c r="RQI564" s="500"/>
      <c r="RQJ564" s="500"/>
      <c r="RQK564" s="500"/>
      <c r="RQL564" s="500"/>
      <c r="RQM564" s="500"/>
      <c r="RQN564" s="500"/>
      <c r="RQO564" s="500"/>
      <c r="RQP564" s="500"/>
      <c r="RQQ564" s="500"/>
      <c r="RQR564" s="500"/>
      <c r="RQS564" s="500"/>
      <c r="RQT564" s="500"/>
      <c r="RQU564" s="500"/>
      <c r="RQV564" s="500"/>
      <c r="RQW564" s="500"/>
      <c r="RQX564" s="500"/>
      <c r="RQY564" s="500"/>
      <c r="RQZ564" s="500"/>
      <c r="RRA564" s="500"/>
      <c r="RRB564" s="500"/>
      <c r="RRC564" s="500"/>
      <c r="RRD564" s="500"/>
      <c r="RRE564" s="500"/>
      <c r="RRF564" s="500"/>
      <c r="RRG564" s="500"/>
      <c r="RRH564" s="500"/>
      <c r="RRI564" s="500"/>
      <c r="RRJ564" s="500"/>
      <c r="RRK564" s="500"/>
      <c r="RRL564" s="500"/>
      <c r="RRM564" s="500"/>
      <c r="RRN564" s="500"/>
      <c r="RRO564" s="500"/>
      <c r="RRP564" s="500"/>
      <c r="RRQ564" s="500"/>
      <c r="RRR564" s="500"/>
      <c r="RRS564" s="500"/>
      <c r="RRT564" s="500"/>
      <c r="RRU564" s="500"/>
      <c r="RRV564" s="500"/>
      <c r="RRW564" s="500"/>
      <c r="RRX564" s="500"/>
      <c r="RRY564" s="500"/>
      <c r="RRZ564" s="500"/>
      <c r="RSA564" s="500"/>
      <c r="RSB564" s="500"/>
      <c r="RSC564" s="500"/>
      <c r="RSD564" s="500"/>
      <c r="RSE564" s="500"/>
      <c r="RSF564" s="500"/>
      <c r="RSG564" s="500"/>
      <c r="RSH564" s="500"/>
      <c r="RSI564" s="500"/>
      <c r="RSJ564" s="500"/>
      <c r="RSK564" s="500"/>
      <c r="RSL564" s="500"/>
      <c r="RSM564" s="500"/>
      <c r="RSN564" s="500"/>
      <c r="RSO564" s="500"/>
      <c r="RSP564" s="500"/>
      <c r="RSQ564" s="500"/>
      <c r="RSR564" s="500"/>
      <c r="RSS564" s="500"/>
      <c r="RST564" s="500"/>
      <c r="RSU564" s="500"/>
      <c r="RSV564" s="500"/>
      <c r="RSW564" s="500"/>
      <c r="RSX564" s="500"/>
      <c r="RSY564" s="500"/>
      <c r="RSZ564" s="500"/>
      <c r="RTA564" s="500"/>
      <c r="RTB564" s="500"/>
      <c r="RTC564" s="500"/>
      <c r="RTD564" s="500"/>
      <c r="RTE564" s="500"/>
      <c r="RTF564" s="500"/>
      <c r="RTG564" s="500"/>
      <c r="RTH564" s="500"/>
      <c r="RTI564" s="500"/>
      <c r="RTJ564" s="500"/>
      <c r="RTK564" s="500"/>
      <c r="RTL564" s="500"/>
      <c r="RTM564" s="500"/>
      <c r="RTN564" s="500"/>
      <c r="RTO564" s="500"/>
      <c r="RTP564" s="500"/>
      <c r="RTQ564" s="500"/>
      <c r="RTR564" s="500"/>
      <c r="RTS564" s="500"/>
      <c r="RTT564" s="500"/>
      <c r="RTU564" s="500"/>
      <c r="RTV564" s="500"/>
      <c r="RTW564" s="500"/>
      <c r="RTX564" s="500"/>
      <c r="RTY564" s="500"/>
      <c r="RTZ564" s="500"/>
      <c r="RUA564" s="500"/>
      <c r="RUB564" s="500"/>
      <c r="RUC564" s="500"/>
      <c r="RUD564" s="500"/>
      <c r="RUE564" s="500"/>
      <c r="RUF564" s="500"/>
      <c r="RUG564" s="500"/>
      <c r="RUH564" s="500"/>
      <c r="RUI564" s="500"/>
      <c r="RUJ564" s="500"/>
      <c r="RUK564" s="500"/>
      <c r="RUL564" s="500"/>
      <c r="RUM564" s="500"/>
      <c r="RUN564" s="500"/>
      <c r="RUO564" s="500"/>
      <c r="RUP564" s="500"/>
      <c r="RUQ564" s="500"/>
      <c r="RUR564" s="500"/>
      <c r="RUS564" s="500"/>
      <c r="RUT564" s="500"/>
      <c r="RUU564" s="500"/>
      <c r="RUV564" s="500"/>
      <c r="RUW564" s="500"/>
      <c r="RUX564" s="500"/>
      <c r="RUY564" s="500"/>
      <c r="RUZ564" s="500"/>
      <c r="RVA564" s="500"/>
      <c r="RVB564" s="500"/>
      <c r="RVC564" s="500"/>
      <c r="RVD564" s="500"/>
      <c r="RVE564" s="500"/>
      <c r="RVF564" s="500"/>
      <c r="RVG564" s="500"/>
      <c r="RVH564" s="500"/>
      <c r="RVI564" s="500"/>
      <c r="RVJ564" s="500"/>
      <c r="RVK564" s="500"/>
      <c r="RVL564" s="500"/>
      <c r="RVM564" s="500"/>
      <c r="RVN564" s="500"/>
      <c r="RVO564" s="500"/>
      <c r="RVP564" s="500"/>
      <c r="RVQ564" s="500"/>
      <c r="RVR564" s="500"/>
      <c r="RVS564" s="500"/>
      <c r="RVT564" s="500"/>
      <c r="RVU564" s="500"/>
      <c r="RVV564" s="500"/>
      <c r="RVW564" s="500"/>
      <c r="RVX564" s="500"/>
      <c r="RVY564" s="500"/>
      <c r="RVZ564" s="500"/>
      <c r="RWA564" s="500"/>
      <c r="RWB564" s="500"/>
      <c r="RWC564" s="500"/>
      <c r="RWD564" s="500"/>
      <c r="RWE564" s="500"/>
      <c r="RWF564" s="500"/>
      <c r="RWG564" s="500"/>
      <c r="RWH564" s="500"/>
      <c r="RWI564" s="500"/>
      <c r="RWJ564" s="500"/>
      <c r="RWK564" s="500"/>
      <c r="RWL564" s="500"/>
      <c r="RWM564" s="500"/>
      <c r="RWN564" s="500"/>
      <c r="RWO564" s="500"/>
      <c r="RWP564" s="500"/>
      <c r="RWQ564" s="500"/>
      <c r="RWR564" s="500"/>
      <c r="RWS564" s="500"/>
      <c r="RWT564" s="500"/>
      <c r="RWU564" s="500"/>
      <c r="RWV564" s="500"/>
      <c r="RWW564" s="500"/>
      <c r="RWX564" s="500"/>
      <c r="RWY564" s="500"/>
      <c r="RWZ564" s="500"/>
      <c r="RXA564" s="500"/>
      <c r="RXB564" s="500"/>
      <c r="RXC564" s="500"/>
      <c r="RXD564" s="500"/>
      <c r="RXE564" s="500"/>
      <c r="RXF564" s="500"/>
      <c r="RXG564" s="500"/>
      <c r="RXH564" s="500"/>
      <c r="RXI564" s="500"/>
      <c r="RXJ564" s="500"/>
      <c r="RXK564" s="500"/>
      <c r="RXL564" s="500"/>
      <c r="RXM564" s="500"/>
      <c r="RXN564" s="500"/>
      <c r="RXO564" s="500"/>
      <c r="RXP564" s="500"/>
      <c r="RXQ564" s="500"/>
      <c r="RXR564" s="500"/>
      <c r="RXS564" s="500"/>
      <c r="RXT564" s="500"/>
      <c r="RXU564" s="500"/>
      <c r="RXV564" s="500"/>
      <c r="RXW564" s="500"/>
      <c r="RXX564" s="500"/>
      <c r="RXY564" s="500"/>
      <c r="RXZ564" s="500"/>
      <c r="RYA564" s="500"/>
      <c r="RYB564" s="500"/>
      <c r="RYC564" s="500"/>
      <c r="RYD564" s="500"/>
      <c r="RYE564" s="500"/>
      <c r="RYF564" s="500"/>
      <c r="RYG564" s="500"/>
      <c r="RYH564" s="500"/>
      <c r="RYI564" s="500"/>
      <c r="RYJ564" s="500"/>
      <c r="RYK564" s="500"/>
      <c r="RYL564" s="500"/>
      <c r="RYM564" s="500"/>
      <c r="RYN564" s="500"/>
      <c r="RYO564" s="500"/>
      <c r="RYP564" s="500"/>
      <c r="RYQ564" s="500"/>
      <c r="RYR564" s="500"/>
      <c r="RYS564" s="500"/>
      <c r="RYT564" s="500"/>
      <c r="RYU564" s="500"/>
      <c r="RYV564" s="500"/>
      <c r="RYW564" s="500"/>
      <c r="RYX564" s="500"/>
      <c r="RYY564" s="500"/>
      <c r="RYZ564" s="500"/>
      <c r="RZA564" s="500"/>
      <c r="RZB564" s="500"/>
      <c r="RZC564" s="500"/>
      <c r="RZD564" s="500"/>
      <c r="RZE564" s="500"/>
      <c r="RZF564" s="500"/>
      <c r="RZG564" s="500"/>
      <c r="RZH564" s="500"/>
      <c r="RZI564" s="500"/>
      <c r="RZJ564" s="500"/>
      <c r="RZK564" s="500"/>
      <c r="RZL564" s="500"/>
      <c r="RZM564" s="500"/>
      <c r="RZN564" s="500"/>
      <c r="RZO564" s="500"/>
      <c r="RZP564" s="500"/>
      <c r="RZQ564" s="500"/>
      <c r="RZR564" s="500"/>
      <c r="RZS564" s="500"/>
      <c r="RZT564" s="500"/>
      <c r="RZU564" s="500"/>
      <c r="RZV564" s="500"/>
      <c r="RZW564" s="500"/>
      <c r="RZX564" s="500"/>
      <c r="RZY564" s="500"/>
      <c r="RZZ564" s="500"/>
      <c r="SAA564" s="500"/>
      <c r="SAB564" s="500"/>
      <c r="SAC564" s="500"/>
      <c r="SAD564" s="500"/>
      <c r="SAE564" s="500"/>
      <c r="SAF564" s="500"/>
      <c r="SAG564" s="500"/>
      <c r="SAH564" s="500"/>
      <c r="SAI564" s="500"/>
      <c r="SAJ564" s="500"/>
      <c r="SAK564" s="500"/>
      <c r="SAL564" s="500"/>
      <c r="SAM564" s="500"/>
      <c r="SAN564" s="500"/>
      <c r="SAO564" s="500"/>
      <c r="SAP564" s="500"/>
      <c r="SAQ564" s="500"/>
      <c r="SAR564" s="500"/>
      <c r="SAS564" s="500"/>
      <c r="SAT564" s="500"/>
      <c r="SAU564" s="500"/>
      <c r="SAV564" s="500"/>
      <c r="SAW564" s="500"/>
      <c r="SAX564" s="500"/>
      <c r="SAY564" s="500"/>
      <c r="SAZ564" s="500"/>
      <c r="SBA564" s="500"/>
      <c r="SBB564" s="500"/>
      <c r="SBC564" s="500"/>
      <c r="SBD564" s="500"/>
      <c r="SBE564" s="500"/>
      <c r="SBF564" s="500"/>
      <c r="SBG564" s="500"/>
      <c r="SBH564" s="500"/>
      <c r="SBI564" s="500"/>
      <c r="SBJ564" s="500"/>
      <c r="SBK564" s="500"/>
      <c r="SBL564" s="500"/>
      <c r="SBM564" s="500"/>
      <c r="SBN564" s="500"/>
      <c r="SBO564" s="500"/>
      <c r="SBP564" s="500"/>
      <c r="SBQ564" s="500"/>
      <c r="SBR564" s="500"/>
      <c r="SBS564" s="500"/>
      <c r="SBT564" s="500"/>
      <c r="SBU564" s="500"/>
      <c r="SBV564" s="500"/>
      <c r="SBW564" s="500"/>
      <c r="SBX564" s="500"/>
      <c r="SBY564" s="500"/>
      <c r="SBZ564" s="500"/>
      <c r="SCA564" s="500"/>
      <c r="SCB564" s="500"/>
      <c r="SCC564" s="500"/>
      <c r="SCD564" s="500"/>
      <c r="SCE564" s="500"/>
      <c r="SCF564" s="500"/>
      <c r="SCG564" s="500"/>
      <c r="SCH564" s="500"/>
      <c r="SCI564" s="500"/>
      <c r="SCJ564" s="500"/>
      <c r="SCK564" s="500"/>
      <c r="SCL564" s="500"/>
      <c r="SCM564" s="500"/>
      <c r="SCN564" s="500"/>
      <c r="SCO564" s="500"/>
      <c r="SCP564" s="500"/>
      <c r="SCQ564" s="500"/>
      <c r="SCR564" s="500"/>
      <c r="SCS564" s="500"/>
      <c r="SCT564" s="500"/>
      <c r="SCU564" s="500"/>
      <c r="SCV564" s="500"/>
      <c r="SCW564" s="500"/>
      <c r="SCX564" s="500"/>
      <c r="SCY564" s="500"/>
      <c r="SCZ564" s="500"/>
      <c r="SDA564" s="500"/>
      <c r="SDB564" s="500"/>
      <c r="SDC564" s="500"/>
      <c r="SDD564" s="500"/>
      <c r="SDE564" s="500"/>
      <c r="SDF564" s="500"/>
      <c r="SDG564" s="500"/>
      <c r="SDH564" s="500"/>
      <c r="SDI564" s="500"/>
      <c r="SDJ564" s="500"/>
      <c r="SDK564" s="500"/>
      <c r="SDL564" s="500"/>
      <c r="SDM564" s="500"/>
      <c r="SDN564" s="500"/>
      <c r="SDO564" s="500"/>
      <c r="SDP564" s="500"/>
      <c r="SDQ564" s="500"/>
      <c r="SDR564" s="500"/>
      <c r="SDS564" s="500"/>
      <c r="SDT564" s="500"/>
      <c r="SDU564" s="500"/>
      <c r="SDV564" s="500"/>
      <c r="SDW564" s="500"/>
      <c r="SDX564" s="500"/>
      <c r="SDY564" s="500"/>
      <c r="SDZ564" s="500"/>
      <c r="SEA564" s="500"/>
      <c r="SEB564" s="500"/>
      <c r="SEC564" s="500"/>
      <c r="SED564" s="500"/>
      <c r="SEE564" s="500"/>
      <c r="SEF564" s="500"/>
      <c r="SEG564" s="500"/>
      <c r="SEH564" s="500"/>
      <c r="SEI564" s="500"/>
      <c r="SEJ564" s="500"/>
      <c r="SEK564" s="500"/>
      <c r="SEL564" s="500"/>
      <c r="SEM564" s="500"/>
      <c r="SEN564" s="500"/>
      <c r="SEO564" s="500"/>
      <c r="SEP564" s="500"/>
      <c r="SEQ564" s="500"/>
      <c r="SER564" s="500"/>
      <c r="SES564" s="500"/>
      <c r="SET564" s="500"/>
      <c r="SEU564" s="500"/>
      <c r="SEV564" s="500"/>
      <c r="SEW564" s="500"/>
      <c r="SEX564" s="500"/>
      <c r="SEY564" s="500"/>
      <c r="SEZ564" s="500"/>
      <c r="SFA564" s="500"/>
      <c r="SFB564" s="500"/>
      <c r="SFC564" s="500"/>
      <c r="SFD564" s="500"/>
      <c r="SFE564" s="500"/>
      <c r="SFF564" s="500"/>
      <c r="SFG564" s="500"/>
      <c r="SFH564" s="500"/>
      <c r="SFI564" s="500"/>
      <c r="SFJ564" s="500"/>
      <c r="SFK564" s="500"/>
      <c r="SFL564" s="500"/>
      <c r="SFM564" s="500"/>
      <c r="SFN564" s="500"/>
      <c r="SFO564" s="500"/>
      <c r="SFP564" s="500"/>
      <c r="SFQ564" s="500"/>
      <c r="SFR564" s="500"/>
      <c r="SFS564" s="500"/>
      <c r="SFT564" s="500"/>
      <c r="SFU564" s="500"/>
      <c r="SFV564" s="500"/>
      <c r="SFW564" s="500"/>
      <c r="SFX564" s="500"/>
      <c r="SFY564" s="500"/>
      <c r="SFZ564" s="500"/>
      <c r="SGA564" s="500"/>
      <c r="SGB564" s="500"/>
      <c r="SGC564" s="500"/>
      <c r="SGD564" s="500"/>
      <c r="SGE564" s="500"/>
      <c r="SGF564" s="500"/>
      <c r="SGG564" s="500"/>
      <c r="SGH564" s="500"/>
      <c r="SGI564" s="500"/>
      <c r="SGJ564" s="500"/>
      <c r="SGK564" s="500"/>
      <c r="SGL564" s="500"/>
      <c r="SGM564" s="500"/>
      <c r="SGN564" s="500"/>
      <c r="SGO564" s="500"/>
      <c r="SGP564" s="500"/>
      <c r="SGQ564" s="500"/>
      <c r="SGR564" s="500"/>
      <c r="SGS564" s="500"/>
      <c r="SGT564" s="500"/>
      <c r="SGU564" s="500"/>
      <c r="SGV564" s="500"/>
      <c r="SGW564" s="500"/>
      <c r="SGX564" s="500"/>
      <c r="SGY564" s="500"/>
      <c r="SGZ564" s="500"/>
      <c r="SHA564" s="500"/>
      <c r="SHB564" s="500"/>
      <c r="SHC564" s="500"/>
      <c r="SHD564" s="500"/>
      <c r="SHE564" s="500"/>
      <c r="SHF564" s="500"/>
      <c r="SHG564" s="500"/>
      <c r="SHH564" s="500"/>
      <c r="SHI564" s="500"/>
      <c r="SHJ564" s="500"/>
      <c r="SHK564" s="500"/>
      <c r="SHL564" s="500"/>
      <c r="SHM564" s="500"/>
      <c r="SHN564" s="500"/>
      <c r="SHO564" s="500"/>
      <c r="SHP564" s="500"/>
      <c r="SHQ564" s="500"/>
      <c r="SHR564" s="500"/>
      <c r="SHS564" s="500"/>
      <c r="SHT564" s="500"/>
      <c r="SHU564" s="500"/>
      <c r="SHV564" s="500"/>
      <c r="SHW564" s="500"/>
      <c r="SHX564" s="500"/>
      <c r="SHY564" s="500"/>
      <c r="SHZ564" s="500"/>
      <c r="SIA564" s="500"/>
      <c r="SIB564" s="500"/>
      <c r="SIC564" s="500"/>
      <c r="SID564" s="500"/>
      <c r="SIE564" s="500"/>
      <c r="SIF564" s="500"/>
      <c r="SIG564" s="500"/>
      <c r="SIH564" s="500"/>
      <c r="SII564" s="500"/>
      <c r="SIJ564" s="500"/>
      <c r="SIK564" s="500"/>
      <c r="SIL564" s="500"/>
      <c r="SIM564" s="500"/>
      <c r="SIN564" s="500"/>
      <c r="SIO564" s="500"/>
      <c r="SIP564" s="500"/>
      <c r="SIQ564" s="500"/>
      <c r="SIR564" s="500"/>
      <c r="SIS564" s="500"/>
      <c r="SIT564" s="500"/>
      <c r="SIU564" s="500"/>
      <c r="SIV564" s="500"/>
      <c r="SIW564" s="500"/>
      <c r="SIX564" s="500"/>
      <c r="SIY564" s="500"/>
      <c r="SIZ564" s="500"/>
      <c r="SJA564" s="500"/>
      <c r="SJB564" s="500"/>
      <c r="SJC564" s="500"/>
      <c r="SJD564" s="500"/>
      <c r="SJE564" s="500"/>
      <c r="SJF564" s="500"/>
      <c r="SJG564" s="500"/>
      <c r="SJH564" s="500"/>
      <c r="SJI564" s="500"/>
      <c r="SJJ564" s="500"/>
      <c r="SJK564" s="500"/>
      <c r="SJL564" s="500"/>
      <c r="SJM564" s="500"/>
      <c r="SJN564" s="500"/>
      <c r="SJO564" s="500"/>
      <c r="SJP564" s="500"/>
      <c r="SJQ564" s="500"/>
      <c r="SJR564" s="500"/>
      <c r="SJS564" s="500"/>
      <c r="SJT564" s="500"/>
      <c r="SJU564" s="500"/>
      <c r="SJV564" s="500"/>
      <c r="SJW564" s="500"/>
      <c r="SJX564" s="500"/>
      <c r="SJY564" s="500"/>
      <c r="SJZ564" s="500"/>
      <c r="SKA564" s="500"/>
      <c r="SKB564" s="500"/>
      <c r="SKC564" s="500"/>
      <c r="SKD564" s="500"/>
      <c r="SKE564" s="500"/>
      <c r="SKF564" s="500"/>
      <c r="SKG564" s="500"/>
      <c r="SKH564" s="500"/>
      <c r="SKI564" s="500"/>
      <c r="SKJ564" s="500"/>
      <c r="SKK564" s="500"/>
      <c r="SKL564" s="500"/>
      <c r="SKM564" s="500"/>
      <c r="SKN564" s="500"/>
      <c r="SKO564" s="500"/>
      <c r="SKP564" s="500"/>
      <c r="SKQ564" s="500"/>
      <c r="SKR564" s="500"/>
      <c r="SKS564" s="500"/>
      <c r="SKT564" s="500"/>
      <c r="SKU564" s="500"/>
      <c r="SKV564" s="500"/>
      <c r="SKW564" s="500"/>
      <c r="SKX564" s="500"/>
      <c r="SKY564" s="500"/>
      <c r="SKZ564" s="500"/>
      <c r="SLA564" s="500"/>
      <c r="SLB564" s="500"/>
      <c r="SLC564" s="500"/>
      <c r="SLD564" s="500"/>
      <c r="SLE564" s="500"/>
      <c r="SLF564" s="500"/>
      <c r="SLG564" s="500"/>
      <c r="SLH564" s="500"/>
      <c r="SLI564" s="500"/>
      <c r="SLJ564" s="500"/>
      <c r="SLK564" s="500"/>
      <c r="SLL564" s="500"/>
      <c r="SLM564" s="500"/>
      <c r="SLN564" s="500"/>
      <c r="SLO564" s="500"/>
      <c r="SLP564" s="500"/>
      <c r="SLQ564" s="500"/>
      <c r="SLR564" s="500"/>
      <c r="SLS564" s="500"/>
      <c r="SLT564" s="500"/>
      <c r="SLU564" s="500"/>
      <c r="SLV564" s="500"/>
      <c r="SLW564" s="500"/>
      <c r="SLX564" s="500"/>
      <c r="SLY564" s="500"/>
      <c r="SLZ564" s="500"/>
      <c r="SMA564" s="500"/>
      <c r="SMB564" s="500"/>
      <c r="SMC564" s="500"/>
      <c r="SMD564" s="500"/>
      <c r="SME564" s="500"/>
      <c r="SMF564" s="500"/>
      <c r="SMG564" s="500"/>
      <c r="SMH564" s="500"/>
      <c r="SMI564" s="500"/>
      <c r="SMJ564" s="500"/>
      <c r="SMK564" s="500"/>
      <c r="SML564" s="500"/>
      <c r="SMM564" s="500"/>
      <c r="SMN564" s="500"/>
      <c r="SMO564" s="500"/>
      <c r="SMP564" s="500"/>
      <c r="SMQ564" s="500"/>
      <c r="SMR564" s="500"/>
      <c r="SMS564" s="500"/>
      <c r="SMT564" s="500"/>
      <c r="SMU564" s="500"/>
      <c r="SMV564" s="500"/>
      <c r="SMW564" s="500"/>
      <c r="SMX564" s="500"/>
      <c r="SMY564" s="500"/>
      <c r="SMZ564" s="500"/>
      <c r="SNA564" s="500"/>
      <c r="SNB564" s="500"/>
      <c r="SNC564" s="500"/>
      <c r="SND564" s="500"/>
      <c r="SNE564" s="500"/>
      <c r="SNF564" s="500"/>
      <c r="SNG564" s="500"/>
      <c r="SNH564" s="500"/>
      <c r="SNI564" s="500"/>
      <c r="SNJ564" s="500"/>
      <c r="SNK564" s="500"/>
      <c r="SNL564" s="500"/>
      <c r="SNM564" s="500"/>
      <c r="SNN564" s="500"/>
      <c r="SNO564" s="500"/>
      <c r="SNP564" s="500"/>
      <c r="SNQ564" s="500"/>
      <c r="SNR564" s="500"/>
      <c r="SNS564" s="500"/>
      <c r="SNT564" s="500"/>
      <c r="SNU564" s="500"/>
      <c r="SNV564" s="500"/>
      <c r="SNW564" s="500"/>
      <c r="SNX564" s="500"/>
      <c r="SNY564" s="500"/>
      <c r="SNZ564" s="500"/>
      <c r="SOA564" s="500"/>
      <c r="SOB564" s="500"/>
      <c r="SOC564" s="500"/>
      <c r="SOD564" s="500"/>
      <c r="SOE564" s="500"/>
      <c r="SOF564" s="500"/>
      <c r="SOG564" s="500"/>
      <c r="SOH564" s="500"/>
      <c r="SOI564" s="500"/>
      <c r="SOJ564" s="500"/>
      <c r="SOK564" s="500"/>
      <c r="SOL564" s="500"/>
      <c r="SOM564" s="500"/>
      <c r="SON564" s="500"/>
      <c r="SOO564" s="500"/>
      <c r="SOP564" s="500"/>
      <c r="SOQ564" s="500"/>
      <c r="SOR564" s="500"/>
      <c r="SOS564" s="500"/>
      <c r="SOT564" s="500"/>
      <c r="SOU564" s="500"/>
      <c r="SOV564" s="500"/>
      <c r="SOW564" s="500"/>
      <c r="SOX564" s="500"/>
      <c r="SOY564" s="500"/>
      <c r="SOZ564" s="500"/>
      <c r="SPA564" s="500"/>
      <c r="SPB564" s="500"/>
      <c r="SPC564" s="500"/>
      <c r="SPD564" s="500"/>
      <c r="SPE564" s="500"/>
      <c r="SPF564" s="500"/>
      <c r="SPG564" s="500"/>
      <c r="SPH564" s="500"/>
      <c r="SPI564" s="500"/>
      <c r="SPJ564" s="500"/>
      <c r="SPK564" s="500"/>
      <c r="SPL564" s="500"/>
      <c r="SPM564" s="500"/>
      <c r="SPN564" s="500"/>
      <c r="SPO564" s="500"/>
      <c r="SPP564" s="500"/>
      <c r="SPQ564" s="500"/>
      <c r="SPR564" s="500"/>
      <c r="SPS564" s="500"/>
      <c r="SPT564" s="500"/>
      <c r="SPU564" s="500"/>
      <c r="SPV564" s="500"/>
      <c r="SPW564" s="500"/>
      <c r="SPX564" s="500"/>
      <c r="SPY564" s="500"/>
      <c r="SPZ564" s="500"/>
      <c r="SQA564" s="500"/>
      <c r="SQB564" s="500"/>
      <c r="SQC564" s="500"/>
      <c r="SQD564" s="500"/>
      <c r="SQE564" s="500"/>
      <c r="SQF564" s="500"/>
      <c r="SQG564" s="500"/>
      <c r="SQH564" s="500"/>
      <c r="SQI564" s="500"/>
      <c r="SQJ564" s="500"/>
      <c r="SQK564" s="500"/>
      <c r="SQL564" s="500"/>
      <c r="SQM564" s="500"/>
      <c r="SQN564" s="500"/>
      <c r="SQO564" s="500"/>
      <c r="SQP564" s="500"/>
      <c r="SQQ564" s="500"/>
      <c r="SQR564" s="500"/>
      <c r="SQS564" s="500"/>
      <c r="SQT564" s="500"/>
      <c r="SQU564" s="500"/>
      <c r="SQV564" s="500"/>
      <c r="SQW564" s="500"/>
      <c r="SQX564" s="500"/>
      <c r="SQY564" s="500"/>
      <c r="SQZ564" s="500"/>
      <c r="SRA564" s="500"/>
      <c r="SRB564" s="500"/>
      <c r="SRC564" s="500"/>
      <c r="SRD564" s="500"/>
      <c r="SRE564" s="500"/>
      <c r="SRF564" s="500"/>
      <c r="SRG564" s="500"/>
      <c r="SRH564" s="500"/>
      <c r="SRI564" s="500"/>
      <c r="SRJ564" s="500"/>
      <c r="SRK564" s="500"/>
      <c r="SRL564" s="500"/>
      <c r="SRM564" s="500"/>
      <c r="SRN564" s="500"/>
      <c r="SRO564" s="500"/>
      <c r="SRP564" s="500"/>
      <c r="SRQ564" s="500"/>
      <c r="SRR564" s="500"/>
      <c r="SRS564" s="500"/>
      <c r="SRT564" s="500"/>
      <c r="SRU564" s="500"/>
      <c r="SRV564" s="500"/>
      <c r="SRW564" s="500"/>
      <c r="SRX564" s="500"/>
      <c r="SRY564" s="500"/>
      <c r="SRZ564" s="500"/>
      <c r="SSA564" s="500"/>
      <c r="SSB564" s="500"/>
      <c r="SSC564" s="500"/>
      <c r="SSD564" s="500"/>
      <c r="SSE564" s="500"/>
      <c r="SSF564" s="500"/>
      <c r="SSG564" s="500"/>
      <c r="SSH564" s="500"/>
      <c r="SSI564" s="500"/>
      <c r="SSJ564" s="500"/>
      <c r="SSK564" s="500"/>
      <c r="SSL564" s="500"/>
      <c r="SSM564" s="500"/>
      <c r="SSN564" s="500"/>
      <c r="SSO564" s="500"/>
      <c r="SSP564" s="500"/>
      <c r="SSQ564" s="500"/>
      <c r="SSR564" s="500"/>
      <c r="SSS564" s="500"/>
      <c r="SST564" s="500"/>
      <c r="SSU564" s="500"/>
      <c r="SSV564" s="500"/>
      <c r="SSW564" s="500"/>
      <c r="SSX564" s="500"/>
      <c r="SSY564" s="500"/>
      <c r="SSZ564" s="500"/>
      <c r="STA564" s="500"/>
      <c r="STB564" s="500"/>
      <c r="STC564" s="500"/>
      <c r="STD564" s="500"/>
      <c r="STE564" s="500"/>
      <c r="STF564" s="500"/>
      <c r="STG564" s="500"/>
      <c r="STH564" s="500"/>
      <c r="STI564" s="500"/>
      <c r="STJ564" s="500"/>
      <c r="STK564" s="500"/>
      <c r="STL564" s="500"/>
      <c r="STM564" s="500"/>
      <c r="STN564" s="500"/>
      <c r="STO564" s="500"/>
      <c r="STP564" s="500"/>
      <c r="STQ564" s="500"/>
      <c r="STR564" s="500"/>
      <c r="STS564" s="500"/>
      <c r="STT564" s="500"/>
      <c r="STU564" s="500"/>
      <c r="STV564" s="500"/>
      <c r="STW564" s="500"/>
      <c r="STX564" s="500"/>
      <c r="STY564" s="500"/>
      <c r="STZ564" s="500"/>
      <c r="SUA564" s="500"/>
      <c r="SUB564" s="500"/>
      <c r="SUC564" s="500"/>
      <c r="SUD564" s="500"/>
      <c r="SUE564" s="500"/>
      <c r="SUF564" s="500"/>
      <c r="SUG564" s="500"/>
      <c r="SUH564" s="500"/>
      <c r="SUI564" s="500"/>
      <c r="SUJ564" s="500"/>
      <c r="SUK564" s="500"/>
      <c r="SUL564" s="500"/>
      <c r="SUM564" s="500"/>
      <c r="SUN564" s="500"/>
      <c r="SUO564" s="500"/>
      <c r="SUP564" s="500"/>
      <c r="SUQ564" s="500"/>
      <c r="SUR564" s="500"/>
      <c r="SUS564" s="500"/>
      <c r="SUT564" s="500"/>
      <c r="SUU564" s="500"/>
      <c r="SUV564" s="500"/>
      <c r="SUW564" s="500"/>
      <c r="SUX564" s="500"/>
      <c r="SUY564" s="500"/>
      <c r="SUZ564" s="500"/>
      <c r="SVA564" s="500"/>
      <c r="SVB564" s="500"/>
      <c r="SVC564" s="500"/>
      <c r="SVD564" s="500"/>
      <c r="SVE564" s="500"/>
      <c r="SVF564" s="500"/>
      <c r="SVG564" s="500"/>
      <c r="SVH564" s="500"/>
      <c r="SVI564" s="500"/>
      <c r="SVJ564" s="500"/>
      <c r="SVK564" s="500"/>
      <c r="SVL564" s="500"/>
      <c r="SVM564" s="500"/>
      <c r="SVN564" s="500"/>
      <c r="SVO564" s="500"/>
      <c r="SVP564" s="500"/>
      <c r="SVQ564" s="500"/>
      <c r="SVR564" s="500"/>
      <c r="SVS564" s="500"/>
      <c r="SVT564" s="500"/>
      <c r="SVU564" s="500"/>
      <c r="SVV564" s="500"/>
      <c r="SVW564" s="500"/>
      <c r="SVX564" s="500"/>
      <c r="SVY564" s="500"/>
      <c r="SVZ564" s="500"/>
      <c r="SWA564" s="500"/>
      <c r="SWB564" s="500"/>
      <c r="SWC564" s="500"/>
      <c r="SWD564" s="500"/>
      <c r="SWE564" s="500"/>
      <c r="SWF564" s="500"/>
      <c r="SWG564" s="500"/>
      <c r="SWH564" s="500"/>
      <c r="SWI564" s="500"/>
      <c r="SWJ564" s="500"/>
      <c r="SWK564" s="500"/>
      <c r="SWL564" s="500"/>
      <c r="SWM564" s="500"/>
      <c r="SWN564" s="500"/>
      <c r="SWO564" s="500"/>
      <c r="SWP564" s="500"/>
      <c r="SWQ564" s="500"/>
      <c r="SWR564" s="500"/>
      <c r="SWS564" s="500"/>
      <c r="SWT564" s="500"/>
      <c r="SWU564" s="500"/>
      <c r="SWV564" s="500"/>
      <c r="SWW564" s="500"/>
      <c r="SWX564" s="500"/>
      <c r="SWY564" s="500"/>
      <c r="SWZ564" s="500"/>
      <c r="SXA564" s="500"/>
      <c r="SXB564" s="500"/>
      <c r="SXC564" s="500"/>
      <c r="SXD564" s="500"/>
      <c r="SXE564" s="500"/>
      <c r="SXF564" s="500"/>
      <c r="SXG564" s="500"/>
      <c r="SXH564" s="500"/>
      <c r="SXI564" s="500"/>
      <c r="SXJ564" s="500"/>
      <c r="SXK564" s="500"/>
      <c r="SXL564" s="500"/>
      <c r="SXM564" s="500"/>
      <c r="SXN564" s="500"/>
      <c r="SXO564" s="500"/>
      <c r="SXP564" s="500"/>
      <c r="SXQ564" s="500"/>
      <c r="SXR564" s="500"/>
      <c r="SXS564" s="500"/>
      <c r="SXT564" s="500"/>
      <c r="SXU564" s="500"/>
      <c r="SXV564" s="500"/>
      <c r="SXW564" s="500"/>
      <c r="SXX564" s="500"/>
      <c r="SXY564" s="500"/>
      <c r="SXZ564" s="500"/>
      <c r="SYA564" s="500"/>
      <c r="SYB564" s="500"/>
      <c r="SYC564" s="500"/>
      <c r="SYD564" s="500"/>
      <c r="SYE564" s="500"/>
      <c r="SYF564" s="500"/>
      <c r="SYG564" s="500"/>
      <c r="SYH564" s="500"/>
      <c r="SYI564" s="500"/>
      <c r="SYJ564" s="500"/>
      <c r="SYK564" s="500"/>
      <c r="SYL564" s="500"/>
      <c r="SYM564" s="500"/>
      <c r="SYN564" s="500"/>
      <c r="SYO564" s="500"/>
      <c r="SYP564" s="500"/>
      <c r="SYQ564" s="500"/>
      <c r="SYR564" s="500"/>
      <c r="SYS564" s="500"/>
      <c r="SYT564" s="500"/>
      <c r="SYU564" s="500"/>
      <c r="SYV564" s="500"/>
      <c r="SYW564" s="500"/>
      <c r="SYX564" s="500"/>
      <c r="SYY564" s="500"/>
      <c r="SYZ564" s="500"/>
      <c r="SZA564" s="500"/>
      <c r="SZB564" s="500"/>
      <c r="SZC564" s="500"/>
      <c r="SZD564" s="500"/>
      <c r="SZE564" s="500"/>
      <c r="SZF564" s="500"/>
      <c r="SZG564" s="500"/>
      <c r="SZH564" s="500"/>
      <c r="SZI564" s="500"/>
      <c r="SZJ564" s="500"/>
      <c r="SZK564" s="500"/>
      <c r="SZL564" s="500"/>
      <c r="SZM564" s="500"/>
      <c r="SZN564" s="500"/>
      <c r="SZO564" s="500"/>
      <c r="SZP564" s="500"/>
      <c r="SZQ564" s="500"/>
      <c r="SZR564" s="500"/>
      <c r="SZS564" s="500"/>
      <c r="SZT564" s="500"/>
      <c r="SZU564" s="500"/>
      <c r="SZV564" s="500"/>
      <c r="SZW564" s="500"/>
      <c r="SZX564" s="500"/>
      <c r="SZY564" s="500"/>
      <c r="SZZ564" s="500"/>
      <c r="TAA564" s="500"/>
      <c r="TAB564" s="500"/>
      <c r="TAC564" s="500"/>
      <c r="TAD564" s="500"/>
      <c r="TAE564" s="500"/>
      <c r="TAF564" s="500"/>
      <c r="TAG564" s="500"/>
      <c r="TAH564" s="500"/>
      <c r="TAI564" s="500"/>
      <c r="TAJ564" s="500"/>
      <c r="TAK564" s="500"/>
      <c r="TAL564" s="500"/>
      <c r="TAM564" s="500"/>
      <c r="TAN564" s="500"/>
      <c r="TAO564" s="500"/>
      <c r="TAP564" s="500"/>
      <c r="TAQ564" s="500"/>
      <c r="TAR564" s="500"/>
      <c r="TAS564" s="500"/>
      <c r="TAT564" s="500"/>
      <c r="TAU564" s="500"/>
      <c r="TAV564" s="500"/>
      <c r="TAW564" s="500"/>
      <c r="TAX564" s="500"/>
      <c r="TAY564" s="500"/>
      <c r="TAZ564" s="500"/>
      <c r="TBA564" s="500"/>
      <c r="TBB564" s="500"/>
      <c r="TBC564" s="500"/>
      <c r="TBD564" s="500"/>
      <c r="TBE564" s="500"/>
      <c r="TBF564" s="500"/>
      <c r="TBG564" s="500"/>
      <c r="TBH564" s="500"/>
      <c r="TBI564" s="500"/>
      <c r="TBJ564" s="500"/>
      <c r="TBK564" s="500"/>
      <c r="TBL564" s="500"/>
      <c r="TBM564" s="500"/>
      <c r="TBN564" s="500"/>
      <c r="TBO564" s="500"/>
      <c r="TBP564" s="500"/>
      <c r="TBQ564" s="500"/>
      <c r="TBR564" s="500"/>
      <c r="TBS564" s="500"/>
      <c r="TBT564" s="500"/>
      <c r="TBU564" s="500"/>
      <c r="TBV564" s="500"/>
      <c r="TBW564" s="500"/>
      <c r="TBX564" s="500"/>
      <c r="TBY564" s="500"/>
      <c r="TBZ564" s="500"/>
      <c r="TCA564" s="500"/>
      <c r="TCB564" s="500"/>
      <c r="TCC564" s="500"/>
      <c r="TCD564" s="500"/>
      <c r="TCE564" s="500"/>
      <c r="TCF564" s="500"/>
      <c r="TCG564" s="500"/>
      <c r="TCH564" s="500"/>
      <c r="TCI564" s="500"/>
      <c r="TCJ564" s="500"/>
      <c r="TCK564" s="500"/>
      <c r="TCL564" s="500"/>
      <c r="TCM564" s="500"/>
      <c r="TCN564" s="500"/>
      <c r="TCO564" s="500"/>
      <c r="TCP564" s="500"/>
      <c r="TCQ564" s="500"/>
      <c r="TCR564" s="500"/>
      <c r="TCS564" s="500"/>
      <c r="TCT564" s="500"/>
      <c r="TCU564" s="500"/>
      <c r="TCV564" s="500"/>
      <c r="TCW564" s="500"/>
      <c r="TCX564" s="500"/>
      <c r="TCY564" s="500"/>
      <c r="TCZ564" s="500"/>
      <c r="TDA564" s="500"/>
      <c r="TDB564" s="500"/>
      <c r="TDC564" s="500"/>
      <c r="TDD564" s="500"/>
      <c r="TDE564" s="500"/>
      <c r="TDF564" s="500"/>
      <c r="TDG564" s="500"/>
      <c r="TDH564" s="500"/>
      <c r="TDI564" s="500"/>
      <c r="TDJ564" s="500"/>
      <c r="TDK564" s="500"/>
      <c r="TDL564" s="500"/>
      <c r="TDM564" s="500"/>
      <c r="TDN564" s="500"/>
      <c r="TDO564" s="500"/>
      <c r="TDP564" s="500"/>
      <c r="TDQ564" s="500"/>
      <c r="TDR564" s="500"/>
      <c r="TDS564" s="500"/>
      <c r="TDT564" s="500"/>
      <c r="TDU564" s="500"/>
      <c r="TDV564" s="500"/>
      <c r="TDW564" s="500"/>
      <c r="TDX564" s="500"/>
      <c r="TDY564" s="500"/>
      <c r="TDZ564" s="500"/>
      <c r="TEA564" s="500"/>
      <c r="TEB564" s="500"/>
      <c r="TEC564" s="500"/>
      <c r="TED564" s="500"/>
      <c r="TEE564" s="500"/>
      <c r="TEF564" s="500"/>
      <c r="TEG564" s="500"/>
      <c r="TEH564" s="500"/>
      <c r="TEI564" s="500"/>
      <c r="TEJ564" s="500"/>
      <c r="TEK564" s="500"/>
      <c r="TEL564" s="500"/>
      <c r="TEM564" s="500"/>
      <c r="TEN564" s="500"/>
      <c r="TEO564" s="500"/>
      <c r="TEP564" s="500"/>
      <c r="TEQ564" s="500"/>
      <c r="TER564" s="500"/>
      <c r="TES564" s="500"/>
      <c r="TET564" s="500"/>
      <c r="TEU564" s="500"/>
      <c r="TEV564" s="500"/>
      <c r="TEW564" s="500"/>
      <c r="TEX564" s="500"/>
      <c r="TEY564" s="500"/>
      <c r="TEZ564" s="500"/>
      <c r="TFA564" s="500"/>
      <c r="TFB564" s="500"/>
      <c r="TFC564" s="500"/>
      <c r="TFD564" s="500"/>
      <c r="TFE564" s="500"/>
      <c r="TFF564" s="500"/>
      <c r="TFG564" s="500"/>
      <c r="TFH564" s="500"/>
      <c r="TFI564" s="500"/>
      <c r="TFJ564" s="500"/>
      <c r="TFK564" s="500"/>
      <c r="TFL564" s="500"/>
      <c r="TFM564" s="500"/>
      <c r="TFN564" s="500"/>
      <c r="TFO564" s="500"/>
      <c r="TFP564" s="500"/>
      <c r="TFQ564" s="500"/>
      <c r="TFR564" s="500"/>
      <c r="TFS564" s="500"/>
      <c r="TFT564" s="500"/>
      <c r="TFU564" s="500"/>
      <c r="TFV564" s="500"/>
      <c r="TFW564" s="500"/>
      <c r="TFX564" s="500"/>
      <c r="TFY564" s="500"/>
      <c r="TFZ564" s="500"/>
      <c r="TGA564" s="500"/>
      <c r="TGB564" s="500"/>
      <c r="TGC564" s="500"/>
      <c r="TGD564" s="500"/>
      <c r="TGE564" s="500"/>
      <c r="TGF564" s="500"/>
      <c r="TGG564" s="500"/>
      <c r="TGH564" s="500"/>
      <c r="TGI564" s="500"/>
      <c r="TGJ564" s="500"/>
      <c r="TGK564" s="500"/>
      <c r="TGL564" s="500"/>
      <c r="TGM564" s="500"/>
      <c r="TGN564" s="500"/>
      <c r="TGO564" s="500"/>
      <c r="TGP564" s="500"/>
      <c r="TGQ564" s="500"/>
      <c r="TGR564" s="500"/>
      <c r="TGS564" s="500"/>
      <c r="TGT564" s="500"/>
      <c r="TGU564" s="500"/>
      <c r="TGV564" s="500"/>
      <c r="TGW564" s="500"/>
      <c r="TGX564" s="500"/>
      <c r="TGY564" s="500"/>
      <c r="TGZ564" s="500"/>
      <c r="THA564" s="500"/>
      <c r="THB564" s="500"/>
      <c r="THC564" s="500"/>
      <c r="THD564" s="500"/>
      <c r="THE564" s="500"/>
      <c r="THF564" s="500"/>
      <c r="THG564" s="500"/>
      <c r="THH564" s="500"/>
      <c r="THI564" s="500"/>
      <c r="THJ564" s="500"/>
      <c r="THK564" s="500"/>
      <c r="THL564" s="500"/>
      <c r="THM564" s="500"/>
      <c r="THN564" s="500"/>
      <c r="THO564" s="500"/>
      <c r="THP564" s="500"/>
      <c r="THQ564" s="500"/>
      <c r="THR564" s="500"/>
      <c r="THS564" s="500"/>
      <c r="THT564" s="500"/>
      <c r="THU564" s="500"/>
      <c r="THV564" s="500"/>
      <c r="THW564" s="500"/>
      <c r="THX564" s="500"/>
      <c r="THY564" s="500"/>
      <c r="THZ564" s="500"/>
      <c r="TIA564" s="500"/>
      <c r="TIB564" s="500"/>
      <c r="TIC564" s="500"/>
      <c r="TID564" s="500"/>
      <c r="TIE564" s="500"/>
      <c r="TIF564" s="500"/>
      <c r="TIG564" s="500"/>
      <c r="TIH564" s="500"/>
      <c r="TII564" s="500"/>
      <c r="TIJ564" s="500"/>
      <c r="TIK564" s="500"/>
      <c r="TIL564" s="500"/>
      <c r="TIM564" s="500"/>
      <c r="TIN564" s="500"/>
      <c r="TIO564" s="500"/>
      <c r="TIP564" s="500"/>
      <c r="TIQ564" s="500"/>
      <c r="TIR564" s="500"/>
      <c r="TIS564" s="500"/>
      <c r="TIT564" s="500"/>
      <c r="TIU564" s="500"/>
      <c r="TIV564" s="500"/>
      <c r="TIW564" s="500"/>
      <c r="TIX564" s="500"/>
      <c r="TIY564" s="500"/>
      <c r="TIZ564" s="500"/>
      <c r="TJA564" s="500"/>
      <c r="TJB564" s="500"/>
      <c r="TJC564" s="500"/>
      <c r="TJD564" s="500"/>
      <c r="TJE564" s="500"/>
      <c r="TJF564" s="500"/>
      <c r="TJG564" s="500"/>
      <c r="TJH564" s="500"/>
      <c r="TJI564" s="500"/>
      <c r="TJJ564" s="500"/>
      <c r="TJK564" s="500"/>
      <c r="TJL564" s="500"/>
      <c r="TJM564" s="500"/>
      <c r="TJN564" s="500"/>
      <c r="TJO564" s="500"/>
      <c r="TJP564" s="500"/>
      <c r="TJQ564" s="500"/>
      <c r="TJR564" s="500"/>
      <c r="TJS564" s="500"/>
      <c r="TJT564" s="500"/>
      <c r="TJU564" s="500"/>
      <c r="TJV564" s="500"/>
      <c r="TJW564" s="500"/>
      <c r="TJX564" s="500"/>
      <c r="TJY564" s="500"/>
      <c r="TJZ564" s="500"/>
      <c r="TKA564" s="500"/>
      <c r="TKB564" s="500"/>
      <c r="TKC564" s="500"/>
      <c r="TKD564" s="500"/>
      <c r="TKE564" s="500"/>
      <c r="TKF564" s="500"/>
      <c r="TKG564" s="500"/>
      <c r="TKH564" s="500"/>
      <c r="TKI564" s="500"/>
      <c r="TKJ564" s="500"/>
      <c r="TKK564" s="500"/>
      <c r="TKL564" s="500"/>
      <c r="TKM564" s="500"/>
      <c r="TKN564" s="500"/>
      <c r="TKO564" s="500"/>
      <c r="TKP564" s="500"/>
      <c r="TKQ564" s="500"/>
      <c r="TKR564" s="500"/>
      <c r="TKS564" s="500"/>
      <c r="TKT564" s="500"/>
      <c r="TKU564" s="500"/>
      <c r="TKV564" s="500"/>
      <c r="TKW564" s="500"/>
      <c r="TKX564" s="500"/>
      <c r="TKY564" s="500"/>
      <c r="TKZ564" s="500"/>
      <c r="TLA564" s="500"/>
      <c r="TLB564" s="500"/>
      <c r="TLC564" s="500"/>
      <c r="TLD564" s="500"/>
      <c r="TLE564" s="500"/>
      <c r="TLF564" s="500"/>
      <c r="TLG564" s="500"/>
      <c r="TLH564" s="500"/>
      <c r="TLI564" s="500"/>
      <c r="TLJ564" s="500"/>
      <c r="TLK564" s="500"/>
      <c r="TLL564" s="500"/>
      <c r="TLM564" s="500"/>
      <c r="TLN564" s="500"/>
      <c r="TLO564" s="500"/>
      <c r="TLP564" s="500"/>
      <c r="TLQ564" s="500"/>
      <c r="TLR564" s="500"/>
      <c r="TLS564" s="500"/>
      <c r="TLT564" s="500"/>
      <c r="TLU564" s="500"/>
      <c r="TLV564" s="500"/>
      <c r="TLW564" s="500"/>
      <c r="TLX564" s="500"/>
      <c r="TLY564" s="500"/>
      <c r="TLZ564" s="500"/>
      <c r="TMA564" s="500"/>
      <c r="TMB564" s="500"/>
      <c r="TMC564" s="500"/>
      <c r="TMD564" s="500"/>
      <c r="TME564" s="500"/>
      <c r="TMF564" s="500"/>
      <c r="TMG564" s="500"/>
      <c r="TMH564" s="500"/>
      <c r="TMI564" s="500"/>
      <c r="TMJ564" s="500"/>
      <c r="TMK564" s="500"/>
      <c r="TML564" s="500"/>
      <c r="TMM564" s="500"/>
      <c r="TMN564" s="500"/>
      <c r="TMO564" s="500"/>
      <c r="TMP564" s="500"/>
      <c r="TMQ564" s="500"/>
      <c r="TMR564" s="500"/>
      <c r="TMS564" s="500"/>
      <c r="TMT564" s="500"/>
      <c r="TMU564" s="500"/>
      <c r="TMV564" s="500"/>
      <c r="TMW564" s="500"/>
      <c r="TMX564" s="500"/>
      <c r="TMY564" s="500"/>
      <c r="TMZ564" s="500"/>
      <c r="TNA564" s="500"/>
      <c r="TNB564" s="500"/>
      <c r="TNC564" s="500"/>
      <c r="TND564" s="500"/>
      <c r="TNE564" s="500"/>
      <c r="TNF564" s="500"/>
      <c r="TNG564" s="500"/>
      <c r="TNH564" s="500"/>
      <c r="TNI564" s="500"/>
      <c r="TNJ564" s="500"/>
      <c r="TNK564" s="500"/>
      <c r="TNL564" s="500"/>
      <c r="TNM564" s="500"/>
      <c r="TNN564" s="500"/>
      <c r="TNO564" s="500"/>
      <c r="TNP564" s="500"/>
      <c r="TNQ564" s="500"/>
      <c r="TNR564" s="500"/>
      <c r="TNS564" s="500"/>
      <c r="TNT564" s="500"/>
      <c r="TNU564" s="500"/>
      <c r="TNV564" s="500"/>
      <c r="TNW564" s="500"/>
      <c r="TNX564" s="500"/>
      <c r="TNY564" s="500"/>
      <c r="TNZ564" s="500"/>
      <c r="TOA564" s="500"/>
      <c r="TOB564" s="500"/>
      <c r="TOC564" s="500"/>
      <c r="TOD564" s="500"/>
      <c r="TOE564" s="500"/>
      <c r="TOF564" s="500"/>
      <c r="TOG564" s="500"/>
      <c r="TOH564" s="500"/>
      <c r="TOI564" s="500"/>
      <c r="TOJ564" s="500"/>
      <c r="TOK564" s="500"/>
      <c r="TOL564" s="500"/>
      <c r="TOM564" s="500"/>
      <c r="TON564" s="500"/>
      <c r="TOO564" s="500"/>
      <c r="TOP564" s="500"/>
      <c r="TOQ564" s="500"/>
      <c r="TOR564" s="500"/>
      <c r="TOS564" s="500"/>
      <c r="TOT564" s="500"/>
      <c r="TOU564" s="500"/>
      <c r="TOV564" s="500"/>
      <c r="TOW564" s="500"/>
      <c r="TOX564" s="500"/>
      <c r="TOY564" s="500"/>
      <c r="TOZ564" s="500"/>
      <c r="TPA564" s="500"/>
      <c r="TPB564" s="500"/>
      <c r="TPC564" s="500"/>
      <c r="TPD564" s="500"/>
      <c r="TPE564" s="500"/>
      <c r="TPF564" s="500"/>
      <c r="TPG564" s="500"/>
      <c r="TPH564" s="500"/>
      <c r="TPI564" s="500"/>
      <c r="TPJ564" s="500"/>
      <c r="TPK564" s="500"/>
      <c r="TPL564" s="500"/>
      <c r="TPM564" s="500"/>
      <c r="TPN564" s="500"/>
      <c r="TPO564" s="500"/>
      <c r="TPP564" s="500"/>
      <c r="TPQ564" s="500"/>
      <c r="TPR564" s="500"/>
      <c r="TPS564" s="500"/>
      <c r="TPT564" s="500"/>
      <c r="TPU564" s="500"/>
      <c r="TPV564" s="500"/>
      <c r="TPW564" s="500"/>
      <c r="TPX564" s="500"/>
      <c r="TPY564" s="500"/>
      <c r="TPZ564" s="500"/>
      <c r="TQA564" s="500"/>
      <c r="TQB564" s="500"/>
      <c r="TQC564" s="500"/>
      <c r="TQD564" s="500"/>
      <c r="TQE564" s="500"/>
      <c r="TQF564" s="500"/>
      <c r="TQG564" s="500"/>
      <c r="TQH564" s="500"/>
      <c r="TQI564" s="500"/>
      <c r="TQJ564" s="500"/>
      <c r="TQK564" s="500"/>
      <c r="TQL564" s="500"/>
      <c r="TQM564" s="500"/>
      <c r="TQN564" s="500"/>
      <c r="TQO564" s="500"/>
      <c r="TQP564" s="500"/>
      <c r="TQQ564" s="500"/>
      <c r="TQR564" s="500"/>
      <c r="TQS564" s="500"/>
      <c r="TQT564" s="500"/>
      <c r="TQU564" s="500"/>
      <c r="TQV564" s="500"/>
      <c r="TQW564" s="500"/>
      <c r="TQX564" s="500"/>
      <c r="TQY564" s="500"/>
      <c r="TQZ564" s="500"/>
      <c r="TRA564" s="500"/>
      <c r="TRB564" s="500"/>
      <c r="TRC564" s="500"/>
      <c r="TRD564" s="500"/>
      <c r="TRE564" s="500"/>
      <c r="TRF564" s="500"/>
      <c r="TRG564" s="500"/>
      <c r="TRH564" s="500"/>
      <c r="TRI564" s="500"/>
      <c r="TRJ564" s="500"/>
      <c r="TRK564" s="500"/>
      <c r="TRL564" s="500"/>
      <c r="TRM564" s="500"/>
      <c r="TRN564" s="500"/>
      <c r="TRO564" s="500"/>
      <c r="TRP564" s="500"/>
      <c r="TRQ564" s="500"/>
      <c r="TRR564" s="500"/>
      <c r="TRS564" s="500"/>
      <c r="TRT564" s="500"/>
      <c r="TRU564" s="500"/>
      <c r="TRV564" s="500"/>
      <c r="TRW564" s="500"/>
      <c r="TRX564" s="500"/>
      <c r="TRY564" s="500"/>
      <c r="TRZ564" s="500"/>
      <c r="TSA564" s="500"/>
      <c r="TSB564" s="500"/>
      <c r="TSC564" s="500"/>
      <c r="TSD564" s="500"/>
      <c r="TSE564" s="500"/>
      <c r="TSF564" s="500"/>
      <c r="TSG564" s="500"/>
      <c r="TSH564" s="500"/>
      <c r="TSI564" s="500"/>
      <c r="TSJ564" s="500"/>
      <c r="TSK564" s="500"/>
      <c r="TSL564" s="500"/>
      <c r="TSM564" s="500"/>
      <c r="TSN564" s="500"/>
      <c r="TSO564" s="500"/>
      <c r="TSP564" s="500"/>
      <c r="TSQ564" s="500"/>
      <c r="TSR564" s="500"/>
      <c r="TSS564" s="500"/>
      <c r="TST564" s="500"/>
      <c r="TSU564" s="500"/>
      <c r="TSV564" s="500"/>
      <c r="TSW564" s="500"/>
      <c r="TSX564" s="500"/>
      <c r="TSY564" s="500"/>
      <c r="TSZ564" s="500"/>
      <c r="TTA564" s="500"/>
      <c r="TTB564" s="500"/>
      <c r="TTC564" s="500"/>
      <c r="TTD564" s="500"/>
      <c r="TTE564" s="500"/>
      <c r="TTF564" s="500"/>
      <c r="TTG564" s="500"/>
      <c r="TTH564" s="500"/>
      <c r="TTI564" s="500"/>
      <c r="TTJ564" s="500"/>
      <c r="TTK564" s="500"/>
      <c r="TTL564" s="500"/>
      <c r="TTM564" s="500"/>
      <c r="TTN564" s="500"/>
      <c r="TTO564" s="500"/>
      <c r="TTP564" s="500"/>
      <c r="TTQ564" s="500"/>
      <c r="TTR564" s="500"/>
      <c r="TTS564" s="500"/>
      <c r="TTT564" s="500"/>
      <c r="TTU564" s="500"/>
      <c r="TTV564" s="500"/>
      <c r="TTW564" s="500"/>
      <c r="TTX564" s="500"/>
      <c r="TTY564" s="500"/>
      <c r="TTZ564" s="500"/>
      <c r="TUA564" s="500"/>
      <c r="TUB564" s="500"/>
      <c r="TUC564" s="500"/>
      <c r="TUD564" s="500"/>
      <c r="TUE564" s="500"/>
      <c r="TUF564" s="500"/>
      <c r="TUG564" s="500"/>
      <c r="TUH564" s="500"/>
      <c r="TUI564" s="500"/>
      <c r="TUJ564" s="500"/>
      <c r="TUK564" s="500"/>
      <c r="TUL564" s="500"/>
      <c r="TUM564" s="500"/>
      <c r="TUN564" s="500"/>
      <c r="TUO564" s="500"/>
      <c r="TUP564" s="500"/>
      <c r="TUQ564" s="500"/>
      <c r="TUR564" s="500"/>
      <c r="TUS564" s="500"/>
      <c r="TUT564" s="500"/>
      <c r="TUU564" s="500"/>
      <c r="TUV564" s="500"/>
      <c r="TUW564" s="500"/>
      <c r="TUX564" s="500"/>
      <c r="TUY564" s="500"/>
      <c r="TUZ564" s="500"/>
      <c r="TVA564" s="500"/>
      <c r="TVB564" s="500"/>
      <c r="TVC564" s="500"/>
      <c r="TVD564" s="500"/>
      <c r="TVE564" s="500"/>
      <c r="TVF564" s="500"/>
      <c r="TVG564" s="500"/>
      <c r="TVH564" s="500"/>
      <c r="TVI564" s="500"/>
      <c r="TVJ564" s="500"/>
      <c r="TVK564" s="500"/>
      <c r="TVL564" s="500"/>
      <c r="TVM564" s="500"/>
      <c r="TVN564" s="500"/>
      <c r="TVO564" s="500"/>
      <c r="TVP564" s="500"/>
      <c r="TVQ564" s="500"/>
      <c r="TVR564" s="500"/>
      <c r="TVS564" s="500"/>
      <c r="TVT564" s="500"/>
      <c r="TVU564" s="500"/>
      <c r="TVV564" s="500"/>
      <c r="TVW564" s="500"/>
      <c r="TVX564" s="500"/>
      <c r="TVY564" s="500"/>
      <c r="TVZ564" s="500"/>
      <c r="TWA564" s="500"/>
      <c r="TWB564" s="500"/>
      <c r="TWC564" s="500"/>
      <c r="TWD564" s="500"/>
      <c r="TWE564" s="500"/>
      <c r="TWF564" s="500"/>
      <c r="TWG564" s="500"/>
      <c r="TWH564" s="500"/>
      <c r="TWI564" s="500"/>
      <c r="TWJ564" s="500"/>
      <c r="TWK564" s="500"/>
      <c r="TWL564" s="500"/>
      <c r="TWM564" s="500"/>
      <c r="TWN564" s="500"/>
      <c r="TWO564" s="500"/>
      <c r="TWP564" s="500"/>
      <c r="TWQ564" s="500"/>
      <c r="TWR564" s="500"/>
      <c r="TWS564" s="500"/>
      <c r="TWT564" s="500"/>
      <c r="TWU564" s="500"/>
      <c r="TWV564" s="500"/>
      <c r="TWW564" s="500"/>
      <c r="TWX564" s="500"/>
      <c r="TWY564" s="500"/>
      <c r="TWZ564" s="500"/>
      <c r="TXA564" s="500"/>
      <c r="TXB564" s="500"/>
      <c r="TXC564" s="500"/>
      <c r="TXD564" s="500"/>
      <c r="TXE564" s="500"/>
      <c r="TXF564" s="500"/>
      <c r="TXG564" s="500"/>
      <c r="TXH564" s="500"/>
      <c r="TXI564" s="500"/>
      <c r="TXJ564" s="500"/>
      <c r="TXK564" s="500"/>
      <c r="TXL564" s="500"/>
      <c r="TXM564" s="500"/>
      <c r="TXN564" s="500"/>
      <c r="TXO564" s="500"/>
      <c r="TXP564" s="500"/>
      <c r="TXQ564" s="500"/>
      <c r="TXR564" s="500"/>
      <c r="TXS564" s="500"/>
      <c r="TXT564" s="500"/>
      <c r="TXU564" s="500"/>
      <c r="TXV564" s="500"/>
      <c r="TXW564" s="500"/>
      <c r="TXX564" s="500"/>
      <c r="TXY564" s="500"/>
      <c r="TXZ564" s="500"/>
      <c r="TYA564" s="500"/>
      <c r="TYB564" s="500"/>
      <c r="TYC564" s="500"/>
      <c r="TYD564" s="500"/>
      <c r="TYE564" s="500"/>
      <c r="TYF564" s="500"/>
      <c r="TYG564" s="500"/>
      <c r="TYH564" s="500"/>
      <c r="TYI564" s="500"/>
      <c r="TYJ564" s="500"/>
      <c r="TYK564" s="500"/>
      <c r="TYL564" s="500"/>
      <c r="TYM564" s="500"/>
      <c r="TYN564" s="500"/>
      <c r="TYO564" s="500"/>
      <c r="TYP564" s="500"/>
      <c r="TYQ564" s="500"/>
      <c r="TYR564" s="500"/>
      <c r="TYS564" s="500"/>
      <c r="TYT564" s="500"/>
      <c r="TYU564" s="500"/>
      <c r="TYV564" s="500"/>
      <c r="TYW564" s="500"/>
      <c r="TYX564" s="500"/>
      <c r="TYY564" s="500"/>
      <c r="TYZ564" s="500"/>
      <c r="TZA564" s="500"/>
      <c r="TZB564" s="500"/>
      <c r="TZC564" s="500"/>
      <c r="TZD564" s="500"/>
      <c r="TZE564" s="500"/>
      <c r="TZF564" s="500"/>
      <c r="TZG564" s="500"/>
      <c r="TZH564" s="500"/>
      <c r="TZI564" s="500"/>
      <c r="TZJ564" s="500"/>
      <c r="TZK564" s="500"/>
      <c r="TZL564" s="500"/>
      <c r="TZM564" s="500"/>
      <c r="TZN564" s="500"/>
      <c r="TZO564" s="500"/>
      <c r="TZP564" s="500"/>
      <c r="TZQ564" s="500"/>
      <c r="TZR564" s="500"/>
      <c r="TZS564" s="500"/>
      <c r="TZT564" s="500"/>
      <c r="TZU564" s="500"/>
      <c r="TZV564" s="500"/>
      <c r="TZW564" s="500"/>
      <c r="TZX564" s="500"/>
      <c r="TZY564" s="500"/>
      <c r="TZZ564" s="500"/>
      <c r="UAA564" s="500"/>
      <c r="UAB564" s="500"/>
      <c r="UAC564" s="500"/>
      <c r="UAD564" s="500"/>
      <c r="UAE564" s="500"/>
      <c r="UAF564" s="500"/>
      <c r="UAG564" s="500"/>
      <c r="UAH564" s="500"/>
      <c r="UAI564" s="500"/>
      <c r="UAJ564" s="500"/>
      <c r="UAK564" s="500"/>
      <c r="UAL564" s="500"/>
      <c r="UAM564" s="500"/>
      <c r="UAN564" s="500"/>
      <c r="UAO564" s="500"/>
      <c r="UAP564" s="500"/>
      <c r="UAQ564" s="500"/>
      <c r="UAR564" s="500"/>
      <c r="UAS564" s="500"/>
      <c r="UAT564" s="500"/>
      <c r="UAU564" s="500"/>
      <c r="UAV564" s="500"/>
      <c r="UAW564" s="500"/>
      <c r="UAX564" s="500"/>
      <c r="UAY564" s="500"/>
      <c r="UAZ564" s="500"/>
      <c r="UBA564" s="500"/>
      <c r="UBB564" s="500"/>
      <c r="UBC564" s="500"/>
      <c r="UBD564" s="500"/>
      <c r="UBE564" s="500"/>
      <c r="UBF564" s="500"/>
      <c r="UBG564" s="500"/>
      <c r="UBH564" s="500"/>
      <c r="UBI564" s="500"/>
      <c r="UBJ564" s="500"/>
      <c r="UBK564" s="500"/>
      <c r="UBL564" s="500"/>
      <c r="UBM564" s="500"/>
      <c r="UBN564" s="500"/>
      <c r="UBO564" s="500"/>
      <c r="UBP564" s="500"/>
      <c r="UBQ564" s="500"/>
      <c r="UBR564" s="500"/>
      <c r="UBS564" s="500"/>
      <c r="UBT564" s="500"/>
      <c r="UBU564" s="500"/>
      <c r="UBV564" s="500"/>
      <c r="UBW564" s="500"/>
      <c r="UBX564" s="500"/>
      <c r="UBY564" s="500"/>
      <c r="UBZ564" s="500"/>
      <c r="UCA564" s="500"/>
      <c r="UCB564" s="500"/>
      <c r="UCC564" s="500"/>
      <c r="UCD564" s="500"/>
      <c r="UCE564" s="500"/>
      <c r="UCF564" s="500"/>
      <c r="UCG564" s="500"/>
      <c r="UCH564" s="500"/>
      <c r="UCI564" s="500"/>
      <c r="UCJ564" s="500"/>
      <c r="UCK564" s="500"/>
      <c r="UCL564" s="500"/>
      <c r="UCM564" s="500"/>
      <c r="UCN564" s="500"/>
      <c r="UCO564" s="500"/>
      <c r="UCP564" s="500"/>
      <c r="UCQ564" s="500"/>
      <c r="UCR564" s="500"/>
      <c r="UCS564" s="500"/>
      <c r="UCT564" s="500"/>
      <c r="UCU564" s="500"/>
      <c r="UCV564" s="500"/>
      <c r="UCW564" s="500"/>
      <c r="UCX564" s="500"/>
      <c r="UCY564" s="500"/>
      <c r="UCZ564" s="500"/>
      <c r="UDA564" s="500"/>
      <c r="UDB564" s="500"/>
      <c r="UDC564" s="500"/>
      <c r="UDD564" s="500"/>
      <c r="UDE564" s="500"/>
      <c r="UDF564" s="500"/>
      <c r="UDG564" s="500"/>
      <c r="UDH564" s="500"/>
      <c r="UDI564" s="500"/>
      <c r="UDJ564" s="500"/>
      <c r="UDK564" s="500"/>
      <c r="UDL564" s="500"/>
      <c r="UDM564" s="500"/>
      <c r="UDN564" s="500"/>
      <c r="UDO564" s="500"/>
      <c r="UDP564" s="500"/>
      <c r="UDQ564" s="500"/>
      <c r="UDR564" s="500"/>
      <c r="UDS564" s="500"/>
      <c r="UDT564" s="500"/>
      <c r="UDU564" s="500"/>
      <c r="UDV564" s="500"/>
      <c r="UDW564" s="500"/>
      <c r="UDX564" s="500"/>
      <c r="UDY564" s="500"/>
      <c r="UDZ564" s="500"/>
      <c r="UEA564" s="500"/>
      <c r="UEB564" s="500"/>
      <c r="UEC564" s="500"/>
      <c r="UED564" s="500"/>
      <c r="UEE564" s="500"/>
      <c r="UEF564" s="500"/>
      <c r="UEG564" s="500"/>
      <c r="UEH564" s="500"/>
      <c r="UEI564" s="500"/>
      <c r="UEJ564" s="500"/>
      <c r="UEK564" s="500"/>
      <c r="UEL564" s="500"/>
      <c r="UEM564" s="500"/>
      <c r="UEN564" s="500"/>
      <c r="UEO564" s="500"/>
      <c r="UEP564" s="500"/>
      <c r="UEQ564" s="500"/>
      <c r="UER564" s="500"/>
      <c r="UES564" s="500"/>
      <c r="UET564" s="500"/>
      <c r="UEU564" s="500"/>
      <c r="UEV564" s="500"/>
      <c r="UEW564" s="500"/>
      <c r="UEX564" s="500"/>
      <c r="UEY564" s="500"/>
      <c r="UEZ564" s="500"/>
      <c r="UFA564" s="500"/>
      <c r="UFB564" s="500"/>
      <c r="UFC564" s="500"/>
      <c r="UFD564" s="500"/>
      <c r="UFE564" s="500"/>
      <c r="UFF564" s="500"/>
      <c r="UFG564" s="500"/>
      <c r="UFH564" s="500"/>
      <c r="UFI564" s="500"/>
      <c r="UFJ564" s="500"/>
      <c r="UFK564" s="500"/>
      <c r="UFL564" s="500"/>
      <c r="UFM564" s="500"/>
      <c r="UFN564" s="500"/>
      <c r="UFO564" s="500"/>
      <c r="UFP564" s="500"/>
      <c r="UFQ564" s="500"/>
      <c r="UFR564" s="500"/>
      <c r="UFS564" s="500"/>
      <c r="UFT564" s="500"/>
      <c r="UFU564" s="500"/>
      <c r="UFV564" s="500"/>
      <c r="UFW564" s="500"/>
      <c r="UFX564" s="500"/>
      <c r="UFY564" s="500"/>
      <c r="UFZ564" s="500"/>
      <c r="UGA564" s="500"/>
      <c r="UGB564" s="500"/>
      <c r="UGC564" s="500"/>
      <c r="UGD564" s="500"/>
      <c r="UGE564" s="500"/>
      <c r="UGF564" s="500"/>
      <c r="UGG564" s="500"/>
      <c r="UGH564" s="500"/>
      <c r="UGI564" s="500"/>
      <c r="UGJ564" s="500"/>
      <c r="UGK564" s="500"/>
      <c r="UGL564" s="500"/>
      <c r="UGM564" s="500"/>
      <c r="UGN564" s="500"/>
      <c r="UGO564" s="500"/>
      <c r="UGP564" s="500"/>
      <c r="UGQ564" s="500"/>
      <c r="UGR564" s="500"/>
      <c r="UGS564" s="500"/>
      <c r="UGT564" s="500"/>
      <c r="UGU564" s="500"/>
      <c r="UGV564" s="500"/>
      <c r="UGW564" s="500"/>
      <c r="UGX564" s="500"/>
      <c r="UGY564" s="500"/>
      <c r="UGZ564" s="500"/>
      <c r="UHA564" s="500"/>
      <c r="UHB564" s="500"/>
      <c r="UHC564" s="500"/>
      <c r="UHD564" s="500"/>
      <c r="UHE564" s="500"/>
      <c r="UHF564" s="500"/>
      <c r="UHG564" s="500"/>
      <c r="UHH564" s="500"/>
      <c r="UHI564" s="500"/>
      <c r="UHJ564" s="500"/>
      <c r="UHK564" s="500"/>
      <c r="UHL564" s="500"/>
      <c r="UHM564" s="500"/>
      <c r="UHN564" s="500"/>
      <c r="UHO564" s="500"/>
      <c r="UHP564" s="500"/>
      <c r="UHQ564" s="500"/>
      <c r="UHR564" s="500"/>
      <c r="UHS564" s="500"/>
      <c r="UHT564" s="500"/>
      <c r="UHU564" s="500"/>
      <c r="UHV564" s="500"/>
      <c r="UHW564" s="500"/>
      <c r="UHX564" s="500"/>
      <c r="UHY564" s="500"/>
      <c r="UHZ564" s="500"/>
      <c r="UIA564" s="500"/>
      <c r="UIB564" s="500"/>
      <c r="UIC564" s="500"/>
      <c r="UID564" s="500"/>
      <c r="UIE564" s="500"/>
      <c r="UIF564" s="500"/>
      <c r="UIG564" s="500"/>
      <c r="UIH564" s="500"/>
      <c r="UII564" s="500"/>
      <c r="UIJ564" s="500"/>
      <c r="UIK564" s="500"/>
      <c r="UIL564" s="500"/>
      <c r="UIM564" s="500"/>
      <c r="UIN564" s="500"/>
      <c r="UIO564" s="500"/>
      <c r="UIP564" s="500"/>
      <c r="UIQ564" s="500"/>
      <c r="UIR564" s="500"/>
      <c r="UIS564" s="500"/>
      <c r="UIT564" s="500"/>
      <c r="UIU564" s="500"/>
      <c r="UIV564" s="500"/>
      <c r="UIW564" s="500"/>
      <c r="UIX564" s="500"/>
      <c r="UIY564" s="500"/>
      <c r="UIZ564" s="500"/>
      <c r="UJA564" s="500"/>
      <c r="UJB564" s="500"/>
      <c r="UJC564" s="500"/>
      <c r="UJD564" s="500"/>
      <c r="UJE564" s="500"/>
      <c r="UJF564" s="500"/>
      <c r="UJG564" s="500"/>
      <c r="UJH564" s="500"/>
      <c r="UJI564" s="500"/>
      <c r="UJJ564" s="500"/>
      <c r="UJK564" s="500"/>
      <c r="UJL564" s="500"/>
      <c r="UJM564" s="500"/>
      <c r="UJN564" s="500"/>
      <c r="UJO564" s="500"/>
      <c r="UJP564" s="500"/>
      <c r="UJQ564" s="500"/>
      <c r="UJR564" s="500"/>
      <c r="UJS564" s="500"/>
      <c r="UJT564" s="500"/>
      <c r="UJU564" s="500"/>
      <c r="UJV564" s="500"/>
      <c r="UJW564" s="500"/>
      <c r="UJX564" s="500"/>
      <c r="UJY564" s="500"/>
      <c r="UJZ564" s="500"/>
      <c r="UKA564" s="500"/>
      <c r="UKB564" s="500"/>
      <c r="UKC564" s="500"/>
      <c r="UKD564" s="500"/>
      <c r="UKE564" s="500"/>
      <c r="UKF564" s="500"/>
      <c r="UKG564" s="500"/>
      <c r="UKH564" s="500"/>
      <c r="UKI564" s="500"/>
      <c r="UKJ564" s="500"/>
      <c r="UKK564" s="500"/>
      <c r="UKL564" s="500"/>
      <c r="UKM564" s="500"/>
      <c r="UKN564" s="500"/>
      <c r="UKO564" s="500"/>
      <c r="UKP564" s="500"/>
      <c r="UKQ564" s="500"/>
      <c r="UKR564" s="500"/>
      <c r="UKS564" s="500"/>
      <c r="UKT564" s="500"/>
      <c r="UKU564" s="500"/>
      <c r="UKV564" s="500"/>
      <c r="UKW564" s="500"/>
      <c r="UKX564" s="500"/>
      <c r="UKY564" s="500"/>
      <c r="UKZ564" s="500"/>
      <c r="ULA564" s="500"/>
      <c r="ULB564" s="500"/>
      <c r="ULC564" s="500"/>
      <c r="ULD564" s="500"/>
      <c r="ULE564" s="500"/>
      <c r="ULF564" s="500"/>
      <c r="ULG564" s="500"/>
      <c r="ULH564" s="500"/>
      <c r="ULI564" s="500"/>
      <c r="ULJ564" s="500"/>
      <c r="ULK564" s="500"/>
      <c r="ULL564" s="500"/>
      <c r="ULM564" s="500"/>
      <c r="ULN564" s="500"/>
      <c r="ULO564" s="500"/>
      <c r="ULP564" s="500"/>
      <c r="ULQ564" s="500"/>
      <c r="ULR564" s="500"/>
      <c r="ULS564" s="500"/>
      <c r="ULT564" s="500"/>
      <c r="ULU564" s="500"/>
      <c r="ULV564" s="500"/>
      <c r="ULW564" s="500"/>
      <c r="ULX564" s="500"/>
      <c r="ULY564" s="500"/>
      <c r="ULZ564" s="500"/>
      <c r="UMA564" s="500"/>
      <c r="UMB564" s="500"/>
      <c r="UMC564" s="500"/>
      <c r="UMD564" s="500"/>
      <c r="UME564" s="500"/>
      <c r="UMF564" s="500"/>
      <c r="UMG564" s="500"/>
      <c r="UMH564" s="500"/>
      <c r="UMI564" s="500"/>
      <c r="UMJ564" s="500"/>
      <c r="UMK564" s="500"/>
      <c r="UML564" s="500"/>
      <c r="UMM564" s="500"/>
      <c r="UMN564" s="500"/>
      <c r="UMO564" s="500"/>
      <c r="UMP564" s="500"/>
      <c r="UMQ564" s="500"/>
      <c r="UMR564" s="500"/>
      <c r="UMS564" s="500"/>
      <c r="UMT564" s="500"/>
      <c r="UMU564" s="500"/>
      <c r="UMV564" s="500"/>
      <c r="UMW564" s="500"/>
      <c r="UMX564" s="500"/>
      <c r="UMY564" s="500"/>
      <c r="UMZ564" s="500"/>
      <c r="UNA564" s="500"/>
      <c r="UNB564" s="500"/>
      <c r="UNC564" s="500"/>
      <c r="UND564" s="500"/>
      <c r="UNE564" s="500"/>
      <c r="UNF564" s="500"/>
      <c r="UNG564" s="500"/>
      <c r="UNH564" s="500"/>
      <c r="UNI564" s="500"/>
      <c r="UNJ564" s="500"/>
      <c r="UNK564" s="500"/>
      <c r="UNL564" s="500"/>
      <c r="UNM564" s="500"/>
      <c r="UNN564" s="500"/>
      <c r="UNO564" s="500"/>
      <c r="UNP564" s="500"/>
      <c r="UNQ564" s="500"/>
      <c r="UNR564" s="500"/>
      <c r="UNS564" s="500"/>
      <c r="UNT564" s="500"/>
      <c r="UNU564" s="500"/>
      <c r="UNV564" s="500"/>
      <c r="UNW564" s="500"/>
      <c r="UNX564" s="500"/>
      <c r="UNY564" s="500"/>
      <c r="UNZ564" s="500"/>
      <c r="UOA564" s="500"/>
      <c r="UOB564" s="500"/>
      <c r="UOC564" s="500"/>
      <c r="UOD564" s="500"/>
      <c r="UOE564" s="500"/>
      <c r="UOF564" s="500"/>
      <c r="UOG564" s="500"/>
      <c r="UOH564" s="500"/>
      <c r="UOI564" s="500"/>
      <c r="UOJ564" s="500"/>
      <c r="UOK564" s="500"/>
      <c r="UOL564" s="500"/>
      <c r="UOM564" s="500"/>
      <c r="UON564" s="500"/>
      <c r="UOO564" s="500"/>
      <c r="UOP564" s="500"/>
      <c r="UOQ564" s="500"/>
      <c r="UOR564" s="500"/>
      <c r="UOS564" s="500"/>
      <c r="UOT564" s="500"/>
      <c r="UOU564" s="500"/>
      <c r="UOV564" s="500"/>
      <c r="UOW564" s="500"/>
      <c r="UOX564" s="500"/>
      <c r="UOY564" s="500"/>
      <c r="UOZ564" s="500"/>
      <c r="UPA564" s="500"/>
      <c r="UPB564" s="500"/>
      <c r="UPC564" s="500"/>
      <c r="UPD564" s="500"/>
      <c r="UPE564" s="500"/>
      <c r="UPF564" s="500"/>
      <c r="UPG564" s="500"/>
      <c r="UPH564" s="500"/>
      <c r="UPI564" s="500"/>
      <c r="UPJ564" s="500"/>
      <c r="UPK564" s="500"/>
      <c r="UPL564" s="500"/>
      <c r="UPM564" s="500"/>
      <c r="UPN564" s="500"/>
      <c r="UPO564" s="500"/>
      <c r="UPP564" s="500"/>
      <c r="UPQ564" s="500"/>
      <c r="UPR564" s="500"/>
      <c r="UPS564" s="500"/>
      <c r="UPT564" s="500"/>
      <c r="UPU564" s="500"/>
      <c r="UPV564" s="500"/>
      <c r="UPW564" s="500"/>
      <c r="UPX564" s="500"/>
      <c r="UPY564" s="500"/>
      <c r="UPZ564" s="500"/>
      <c r="UQA564" s="500"/>
      <c r="UQB564" s="500"/>
      <c r="UQC564" s="500"/>
      <c r="UQD564" s="500"/>
      <c r="UQE564" s="500"/>
      <c r="UQF564" s="500"/>
      <c r="UQG564" s="500"/>
      <c r="UQH564" s="500"/>
      <c r="UQI564" s="500"/>
      <c r="UQJ564" s="500"/>
      <c r="UQK564" s="500"/>
      <c r="UQL564" s="500"/>
      <c r="UQM564" s="500"/>
      <c r="UQN564" s="500"/>
      <c r="UQO564" s="500"/>
      <c r="UQP564" s="500"/>
      <c r="UQQ564" s="500"/>
      <c r="UQR564" s="500"/>
      <c r="UQS564" s="500"/>
      <c r="UQT564" s="500"/>
      <c r="UQU564" s="500"/>
      <c r="UQV564" s="500"/>
      <c r="UQW564" s="500"/>
      <c r="UQX564" s="500"/>
      <c r="UQY564" s="500"/>
      <c r="UQZ564" s="500"/>
      <c r="URA564" s="500"/>
      <c r="URB564" s="500"/>
      <c r="URC564" s="500"/>
      <c r="URD564" s="500"/>
      <c r="URE564" s="500"/>
      <c r="URF564" s="500"/>
      <c r="URG564" s="500"/>
      <c r="URH564" s="500"/>
      <c r="URI564" s="500"/>
      <c r="URJ564" s="500"/>
      <c r="URK564" s="500"/>
      <c r="URL564" s="500"/>
      <c r="URM564" s="500"/>
      <c r="URN564" s="500"/>
      <c r="URO564" s="500"/>
      <c r="URP564" s="500"/>
      <c r="URQ564" s="500"/>
      <c r="URR564" s="500"/>
      <c r="URS564" s="500"/>
      <c r="URT564" s="500"/>
      <c r="URU564" s="500"/>
      <c r="URV564" s="500"/>
      <c r="URW564" s="500"/>
      <c r="URX564" s="500"/>
      <c r="URY564" s="500"/>
      <c r="URZ564" s="500"/>
      <c r="USA564" s="500"/>
      <c r="USB564" s="500"/>
      <c r="USC564" s="500"/>
      <c r="USD564" s="500"/>
      <c r="USE564" s="500"/>
      <c r="USF564" s="500"/>
      <c r="USG564" s="500"/>
      <c r="USH564" s="500"/>
      <c r="USI564" s="500"/>
      <c r="USJ564" s="500"/>
      <c r="USK564" s="500"/>
      <c r="USL564" s="500"/>
      <c r="USM564" s="500"/>
      <c r="USN564" s="500"/>
      <c r="USO564" s="500"/>
      <c r="USP564" s="500"/>
      <c r="USQ564" s="500"/>
      <c r="USR564" s="500"/>
      <c r="USS564" s="500"/>
      <c r="UST564" s="500"/>
      <c r="USU564" s="500"/>
      <c r="USV564" s="500"/>
      <c r="USW564" s="500"/>
      <c r="USX564" s="500"/>
      <c r="USY564" s="500"/>
      <c r="USZ564" s="500"/>
      <c r="UTA564" s="500"/>
      <c r="UTB564" s="500"/>
      <c r="UTC564" s="500"/>
      <c r="UTD564" s="500"/>
      <c r="UTE564" s="500"/>
      <c r="UTF564" s="500"/>
      <c r="UTG564" s="500"/>
      <c r="UTH564" s="500"/>
      <c r="UTI564" s="500"/>
      <c r="UTJ564" s="500"/>
      <c r="UTK564" s="500"/>
      <c r="UTL564" s="500"/>
      <c r="UTM564" s="500"/>
      <c r="UTN564" s="500"/>
      <c r="UTO564" s="500"/>
      <c r="UTP564" s="500"/>
      <c r="UTQ564" s="500"/>
      <c r="UTR564" s="500"/>
      <c r="UTS564" s="500"/>
      <c r="UTT564" s="500"/>
      <c r="UTU564" s="500"/>
      <c r="UTV564" s="500"/>
      <c r="UTW564" s="500"/>
      <c r="UTX564" s="500"/>
      <c r="UTY564" s="500"/>
      <c r="UTZ564" s="500"/>
      <c r="UUA564" s="500"/>
      <c r="UUB564" s="500"/>
      <c r="UUC564" s="500"/>
      <c r="UUD564" s="500"/>
      <c r="UUE564" s="500"/>
      <c r="UUF564" s="500"/>
      <c r="UUG564" s="500"/>
      <c r="UUH564" s="500"/>
      <c r="UUI564" s="500"/>
      <c r="UUJ564" s="500"/>
      <c r="UUK564" s="500"/>
      <c r="UUL564" s="500"/>
      <c r="UUM564" s="500"/>
      <c r="UUN564" s="500"/>
      <c r="UUO564" s="500"/>
      <c r="UUP564" s="500"/>
      <c r="UUQ564" s="500"/>
      <c r="UUR564" s="500"/>
      <c r="UUS564" s="500"/>
      <c r="UUT564" s="500"/>
      <c r="UUU564" s="500"/>
      <c r="UUV564" s="500"/>
      <c r="UUW564" s="500"/>
      <c r="UUX564" s="500"/>
      <c r="UUY564" s="500"/>
      <c r="UUZ564" s="500"/>
      <c r="UVA564" s="500"/>
      <c r="UVB564" s="500"/>
      <c r="UVC564" s="500"/>
      <c r="UVD564" s="500"/>
      <c r="UVE564" s="500"/>
      <c r="UVF564" s="500"/>
      <c r="UVG564" s="500"/>
      <c r="UVH564" s="500"/>
      <c r="UVI564" s="500"/>
      <c r="UVJ564" s="500"/>
      <c r="UVK564" s="500"/>
      <c r="UVL564" s="500"/>
      <c r="UVM564" s="500"/>
      <c r="UVN564" s="500"/>
      <c r="UVO564" s="500"/>
      <c r="UVP564" s="500"/>
      <c r="UVQ564" s="500"/>
      <c r="UVR564" s="500"/>
      <c r="UVS564" s="500"/>
      <c r="UVT564" s="500"/>
      <c r="UVU564" s="500"/>
      <c r="UVV564" s="500"/>
      <c r="UVW564" s="500"/>
      <c r="UVX564" s="500"/>
      <c r="UVY564" s="500"/>
      <c r="UVZ564" s="500"/>
      <c r="UWA564" s="500"/>
      <c r="UWB564" s="500"/>
      <c r="UWC564" s="500"/>
      <c r="UWD564" s="500"/>
      <c r="UWE564" s="500"/>
      <c r="UWF564" s="500"/>
      <c r="UWG564" s="500"/>
      <c r="UWH564" s="500"/>
      <c r="UWI564" s="500"/>
      <c r="UWJ564" s="500"/>
      <c r="UWK564" s="500"/>
      <c r="UWL564" s="500"/>
      <c r="UWM564" s="500"/>
      <c r="UWN564" s="500"/>
      <c r="UWO564" s="500"/>
      <c r="UWP564" s="500"/>
      <c r="UWQ564" s="500"/>
      <c r="UWR564" s="500"/>
      <c r="UWS564" s="500"/>
      <c r="UWT564" s="500"/>
      <c r="UWU564" s="500"/>
      <c r="UWV564" s="500"/>
      <c r="UWW564" s="500"/>
      <c r="UWX564" s="500"/>
      <c r="UWY564" s="500"/>
      <c r="UWZ564" s="500"/>
      <c r="UXA564" s="500"/>
      <c r="UXB564" s="500"/>
      <c r="UXC564" s="500"/>
      <c r="UXD564" s="500"/>
      <c r="UXE564" s="500"/>
      <c r="UXF564" s="500"/>
      <c r="UXG564" s="500"/>
      <c r="UXH564" s="500"/>
      <c r="UXI564" s="500"/>
      <c r="UXJ564" s="500"/>
      <c r="UXK564" s="500"/>
      <c r="UXL564" s="500"/>
      <c r="UXM564" s="500"/>
      <c r="UXN564" s="500"/>
      <c r="UXO564" s="500"/>
      <c r="UXP564" s="500"/>
      <c r="UXQ564" s="500"/>
      <c r="UXR564" s="500"/>
      <c r="UXS564" s="500"/>
      <c r="UXT564" s="500"/>
      <c r="UXU564" s="500"/>
      <c r="UXV564" s="500"/>
      <c r="UXW564" s="500"/>
      <c r="UXX564" s="500"/>
      <c r="UXY564" s="500"/>
      <c r="UXZ564" s="500"/>
      <c r="UYA564" s="500"/>
      <c r="UYB564" s="500"/>
      <c r="UYC564" s="500"/>
      <c r="UYD564" s="500"/>
      <c r="UYE564" s="500"/>
      <c r="UYF564" s="500"/>
      <c r="UYG564" s="500"/>
      <c r="UYH564" s="500"/>
      <c r="UYI564" s="500"/>
      <c r="UYJ564" s="500"/>
      <c r="UYK564" s="500"/>
      <c r="UYL564" s="500"/>
      <c r="UYM564" s="500"/>
      <c r="UYN564" s="500"/>
      <c r="UYO564" s="500"/>
      <c r="UYP564" s="500"/>
      <c r="UYQ564" s="500"/>
      <c r="UYR564" s="500"/>
      <c r="UYS564" s="500"/>
      <c r="UYT564" s="500"/>
      <c r="UYU564" s="500"/>
      <c r="UYV564" s="500"/>
      <c r="UYW564" s="500"/>
      <c r="UYX564" s="500"/>
      <c r="UYY564" s="500"/>
      <c r="UYZ564" s="500"/>
      <c r="UZA564" s="500"/>
      <c r="UZB564" s="500"/>
      <c r="UZC564" s="500"/>
      <c r="UZD564" s="500"/>
      <c r="UZE564" s="500"/>
      <c r="UZF564" s="500"/>
      <c r="UZG564" s="500"/>
      <c r="UZH564" s="500"/>
      <c r="UZI564" s="500"/>
      <c r="UZJ564" s="500"/>
      <c r="UZK564" s="500"/>
      <c r="UZL564" s="500"/>
      <c r="UZM564" s="500"/>
      <c r="UZN564" s="500"/>
      <c r="UZO564" s="500"/>
      <c r="UZP564" s="500"/>
      <c r="UZQ564" s="500"/>
      <c r="UZR564" s="500"/>
      <c r="UZS564" s="500"/>
      <c r="UZT564" s="500"/>
      <c r="UZU564" s="500"/>
      <c r="UZV564" s="500"/>
      <c r="UZW564" s="500"/>
      <c r="UZX564" s="500"/>
      <c r="UZY564" s="500"/>
      <c r="UZZ564" s="500"/>
      <c r="VAA564" s="500"/>
      <c r="VAB564" s="500"/>
      <c r="VAC564" s="500"/>
      <c r="VAD564" s="500"/>
      <c r="VAE564" s="500"/>
      <c r="VAF564" s="500"/>
      <c r="VAG564" s="500"/>
      <c r="VAH564" s="500"/>
      <c r="VAI564" s="500"/>
      <c r="VAJ564" s="500"/>
      <c r="VAK564" s="500"/>
      <c r="VAL564" s="500"/>
      <c r="VAM564" s="500"/>
      <c r="VAN564" s="500"/>
      <c r="VAO564" s="500"/>
      <c r="VAP564" s="500"/>
      <c r="VAQ564" s="500"/>
      <c r="VAR564" s="500"/>
      <c r="VAS564" s="500"/>
      <c r="VAT564" s="500"/>
      <c r="VAU564" s="500"/>
      <c r="VAV564" s="500"/>
      <c r="VAW564" s="500"/>
      <c r="VAX564" s="500"/>
      <c r="VAY564" s="500"/>
      <c r="VAZ564" s="500"/>
      <c r="VBA564" s="500"/>
      <c r="VBB564" s="500"/>
      <c r="VBC564" s="500"/>
      <c r="VBD564" s="500"/>
      <c r="VBE564" s="500"/>
      <c r="VBF564" s="500"/>
      <c r="VBG564" s="500"/>
      <c r="VBH564" s="500"/>
      <c r="VBI564" s="500"/>
      <c r="VBJ564" s="500"/>
      <c r="VBK564" s="500"/>
      <c r="VBL564" s="500"/>
      <c r="VBM564" s="500"/>
      <c r="VBN564" s="500"/>
      <c r="VBO564" s="500"/>
      <c r="VBP564" s="500"/>
      <c r="VBQ564" s="500"/>
      <c r="VBR564" s="500"/>
      <c r="VBS564" s="500"/>
      <c r="VBT564" s="500"/>
      <c r="VBU564" s="500"/>
      <c r="VBV564" s="500"/>
      <c r="VBW564" s="500"/>
      <c r="VBX564" s="500"/>
      <c r="VBY564" s="500"/>
      <c r="VBZ564" s="500"/>
      <c r="VCA564" s="500"/>
      <c r="VCB564" s="500"/>
      <c r="VCC564" s="500"/>
      <c r="VCD564" s="500"/>
      <c r="VCE564" s="500"/>
      <c r="VCF564" s="500"/>
      <c r="VCG564" s="500"/>
      <c r="VCH564" s="500"/>
      <c r="VCI564" s="500"/>
      <c r="VCJ564" s="500"/>
      <c r="VCK564" s="500"/>
      <c r="VCL564" s="500"/>
      <c r="VCM564" s="500"/>
      <c r="VCN564" s="500"/>
      <c r="VCO564" s="500"/>
      <c r="VCP564" s="500"/>
      <c r="VCQ564" s="500"/>
      <c r="VCR564" s="500"/>
      <c r="VCS564" s="500"/>
      <c r="VCT564" s="500"/>
      <c r="VCU564" s="500"/>
      <c r="VCV564" s="500"/>
      <c r="VCW564" s="500"/>
      <c r="VCX564" s="500"/>
      <c r="VCY564" s="500"/>
      <c r="VCZ564" s="500"/>
      <c r="VDA564" s="500"/>
      <c r="VDB564" s="500"/>
      <c r="VDC564" s="500"/>
      <c r="VDD564" s="500"/>
      <c r="VDE564" s="500"/>
      <c r="VDF564" s="500"/>
      <c r="VDG564" s="500"/>
      <c r="VDH564" s="500"/>
      <c r="VDI564" s="500"/>
      <c r="VDJ564" s="500"/>
      <c r="VDK564" s="500"/>
      <c r="VDL564" s="500"/>
      <c r="VDM564" s="500"/>
      <c r="VDN564" s="500"/>
      <c r="VDO564" s="500"/>
      <c r="VDP564" s="500"/>
      <c r="VDQ564" s="500"/>
      <c r="VDR564" s="500"/>
      <c r="VDS564" s="500"/>
      <c r="VDT564" s="500"/>
      <c r="VDU564" s="500"/>
      <c r="VDV564" s="500"/>
      <c r="VDW564" s="500"/>
      <c r="VDX564" s="500"/>
      <c r="VDY564" s="500"/>
      <c r="VDZ564" s="500"/>
      <c r="VEA564" s="500"/>
      <c r="VEB564" s="500"/>
      <c r="VEC564" s="500"/>
      <c r="VED564" s="500"/>
      <c r="VEE564" s="500"/>
      <c r="VEF564" s="500"/>
      <c r="VEG564" s="500"/>
      <c r="VEH564" s="500"/>
      <c r="VEI564" s="500"/>
      <c r="VEJ564" s="500"/>
      <c r="VEK564" s="500"/>
      <c r="VEL564" s="500"/>
      <c r="VEM564" s="500"/>
      <c r="VEN564" s="500"/>
      <c r="VEO564" s="500"/>
      <c r="VEP564" s="500"/>
      <c r="VEQ564" s="500"/>
      <c r="VER564" s="500"/>
      <c r="VES564" s="500"/>
      <c r="VET564" s="500"/>
      <c r="VEU564" s="500"/>
      <c r="VEV564" s="500"/>
      <c r="VEW564" s="500"/>
      <c r="VEX564" s="500"/>
      <c r="VEY564" s="500"/>
      <c r="VEZ564" s="500"/>
      <c r="VFA564" s="500"/>
      <c r="VFB564" s="500"/>
      <c r="VFC564" s="500"/>
      <c r="VFD564" s="500"/>
      <c r="VFE564" s="500"/>
      <c r="VFF564" s="500"/>
      <c r="VFG564" s="500"/>
      <c r="VFH564" s="500"/>
      <c r="VFI564" s="500"/>
      <c r="VFJ564" s="500"/>
      <c r="VFK564" s="500"/>
      <c r="VFL564" s="500"/>
      <c r="VFM564" s="500"/>
      <c r="VFN564" s="500"/>
      <c r="VFO564" s="500"/>
      <c r="VFP564" s="500"/>
      <c r="VFQ564" s="500"/>
      <c r="VFR564" s="500"/>
      <c r="VFS564" s="500"/>
      <c r="VFT564" s="500"/>
      <c r="VFU564" s="500"/>
      <c r="VFV564" s="500"/>
      <c r="VFW564" s="500"/>
      <c r="VFX564" s="500"/>
      <c r="VFY564" s="500"/>
      <c r="VFZ564" s="500"/>
      <c r="VGA564" s="500"/>
      <c r="VGB564" s="500"/>
      <c r="VGC564" s="500"/>
      <c r="VGD564" s="500"/>
      <c r="VGE564" s="500"/>
      <c r="VGF564" s="500"/>
      <c r="VGG564" s="500"/>
      <c r="VGH564" s="500"/>
      <c r="VGI564" s="500"/>
      <c r="VGJ564" s="500"/>
      <c r="VGK564" s="500"/>
      <c r="VGL564" s="500"/>
      <c r="VGM564" s="500"/>
      <c r="VGN564" s="500"/>
      <c r="VGO564" s="500"/>
      <c r="VGP564" s="500"/>
      <c r="VGQ564" s="500"/>
      <c r="VGR564" s="500"/>
      <c r="VGS564" s="500"/>
      <c r="VGT564" s="500"/>
      <c r="VGU564" s="500"/>
      <c r="VGV564" s="500"/>
      <c r="VGW564" s="500"/>
      <c r="VGX564" s="500"/>
      <c r="VGY564" s="500"/>
      <c r="VGZ564" s="500"/>
      <c r="VHA564" s="500"/>
      <c r="VHB564" s="500"/>
      <c r="VHC564" s="500"/>
      <c r="VHD564" s="500"/>
      <c r="VHE564" s="500"/>
      <c r="VHF564" s="500"/>
      <c r="VHG564" s="500"/>
      <c r="VHH564" s="500"/>
      <c r="VHI564" s="500"/>
      <c r="VHJ564" s="500"/>
      <c r="VHK564" s="500"/>
      <c r="VHL564" s="500"/>
      <c r="VHM564" s="500"/>
      <c r="VHN564" s="500"/>
      <c r="VHO564" s="500"/>
      <c r="VHP564" s="500"/>
      <c r="VHQ564" s="500"/>
      <c r="VHR564" s="500"/>
      <c r="VHS564" s="500"/>
      <c r="VHT564" s="500"/>
      <c r="VHU564" s="500"/>
      <c r="VHV564" s="500"/>
      <c r="VHW564" s="500"/>
      <c r="VHX564" s="500"/>
      <c r="VHY564" s="500"/>
      <c r="VHZ564" s="500"/>
      <c r="VIA564" s="500"/>
      <c r="VIB564" s="500"/>
      <c r="VIC564" s="500"/>
      <c r="VID564" s="500"/>
      <c r="VIE564" s="500"/>
      <c r="VIF564" s="500"/>
      <c r="VIG564" s="500"/>
      <c r="VIH564" s="500"/>
      <c r="VII564" s="500"/>
      <c r="VIJ564" s="500"/>
      <c r="VIK564" s="500"/>
      <c r="VIL564" s="500"/>
      <c r="VIM564" s="500"/>
      <c r="VIN564" s="500"/>
      <c r="VIO564" s="500"/>
      <c r="VIP564" s="500"/>
      <c r="VIQ564" s="500"/>
      <c r="VIR564" s="500"/>
      <c r="VIS564" s="500"/>
      <c r="VIT564" s="500"/>
      <c r="VIU564" s="500"/>
      <c r="VIV564" s="500"/>
      <c r="VIW564" s="500"/>
      <c r="VIX564" s="500"/>
      <c r="VIY564" s="500"/>
      <c r="VIZ564" s="500"/>
      <c r="VJA564" s="500"/>
      <c r="VJB564" s="500"/>
      <c r="VJC564" s="500"/>
      <c r="VJD564" s="500"/>
      <c r="VJE564" s="500"/>
      <c r="VJF564" s="500"/>
      <c r="VJG564" s="500"/>
      <c r="VJH564" s="500"/>
      <c r="VJI564" s="500"/>
      <c r="VJJ564" s="500"/>
      <c r="VJK564" s="500"/>
      <c r="VJL564" s="500"/>
      <c r="VJM564" s="500"/>
      <c r="VJN564" s="500"/>
      <c r="VJO564" s="500"/>
      <c r="VJP564" s="500"/>
      <c r="VJQ564" s="500"/>
      <c r="VJR564" s="500"/>
      <c r="VJS564" s="500"/>
      <c r="VJT564" s="500"/>
      <c r="VJU564" s="500"/>
      <c r="VJV564" s="500"/>
      <c r="VJW564" s="500"/>
      <c r="VJX564" s="500"/>
      <c r="VJY564" s="500"/>
      <c r="VJZ564" s="500"/>
      <c r="VKA564" s="500"/>
      <c r="VKB564" s="500"/>
      <c r="VKC564" s="500"/>
      <c r="VKD564" s="500"/>
      <c r="VKE564" s="500"/>
      <c r="VKF564" s="500"/>
      <c r="VKG564" s="500"/>
      <c r="VKH564" s="500"/>
      <c r="VKI564" s="500"/>
      <c r="VKJ564" s="500"/>
      <c r="VKK564" s="500"/>
      <c r="VKL564" s="500"/>
      <c r="VKM564" s="500"/>
      <c r="VKN564" s="500"/>
      <c r="VKO564" s="500"/>
      <c r="VKP564" s="500"/>
      <c r="VKQ564" s="500"/>
      <c r="VKR564" s="500"/>
      <c r="VKS564" s="500"/>
      <c r="VKT564" s="500"/>
      <c r="VKU564" s="500"/>
      <c r="VKV564" s="500"/>
      <c r="VKW564" s="500"/>
      <c r="VKX564" s="500"/>
      <c r="VKY564" s="500"/>
      <c r="VKZ564" s="500"/>
      <c r="VLA564" s="500"/>
      <c r="VLB564" s="500"/>
      <c r="VLC564" s="500"/>
      <c r="VLD564" s="500"/>
      <c r="VLE564" s="500"/>
      <c r="VLF564" s="500"/>
      <c r="VLG564" s="500"/>
      <c r="VLH564" s="500"/>
      <c r="VLI564" s="500"/>
      <c r="VLJ564" s="500"/>
      <c r="VLK564" s="500"/>
      <c r="VLL564" s="500"/>
      <c r="VLM564" s="500"/>
      <c r="VLN564" s="500"/>
      <c r="VLO564" s="500"/>
      <c r="VLP564" s="500"/>
      <c r="VLQ564" s="500"/>
      <c r="VLR564" s="500"/>
      <c r="VLS564" s="500"/>
      <c r="VLT564" s="500"/>
      <c r="VLU564" s="500"/>
      <c r="VLV564" s="500"/>
      <c r="VLW564" s="500"/>
      <c r="VLX564" s="500"/>
      <c r="VLY564" s="500"/>
      <c r="VLZ564" s="500"/>
      <c r="VMA564" s="500"/>
      <c r="VMB564" s="500"/>
      <c r="VMC564" s="500"/>
      <c r="VMD564" s="500"/>
      <c r="VME564" s="500"/>
      <c r="VMF564" s="500"/>
      <c r="VMG564" s="500"/>
      <c r="VMH564" s="500"/>
      <c r="VMI564" s="500"/>
      <c r="VMJ564" s="500"/>
      <c r="VMK564" s="500"/>
      <c r="VML564" s="500"/>
      <c r="VMM564" s="500"/>
      <c r="VMN564" s="500"/>
      <c r="VMO564" s="500"/>
      <c r="VMP564" s="500"/>
      <c r="VMQ564" s="500"/>
      <c r="VMR564" s="500"/>
      <c r="VMS564" s="500"/>
      <c r="VMT564" s="500"/>
      <c r="VMU564" s="500"/>
      <c r="VMV564" s="500"/>
      <c r="VMW564" s="500"/>
      <c r="VMX564" s="500"/>
      <c r="VMY564" s="500"/>
      <c r="VMZ564" s="500"/>
      <c r="VNA564" s="500"/>
      <c r="VNB564" s="500"/>
      <c r="VNC564" s="500"/>
      <c r="VND564" s="500"/>
      <c r="VNE564" s="500"/>
      <c r="VNF564" s="500"/>
      <c r="VNG564" s="500"/>
      <c r="VNH564" s="500"/>
      <c r="VNI564" s="500"/>
      <c r="VNJ564" s="500"/>
      <c r="VNK564" s="500"/>
      <c r="VNL564" s="500"/>
      <c r="VNM564" s="500"/>
      <c r="VNN564" s="500"/>
      <c r="VNO564" s="500"/>
      <c r="VNP564" s="500"/>
      <c r="VNQ564" s="500"/>
      <c r="VNR564" s="500"/>
      <c r="VNS564" s="500"/>
      <c r="VNT564" s="500"/>
      <c r="VNU564" s="500"/>
      <c r="VNV564" s="500"/>
      <c r="VNW564" s="500"/>
      <c r="VNX564" s="500"/>
      <c r="VNY564" s="500"/>
      <c r="VNZ564" s="500"/>
      <c r="VOA564" s="500"/>
      <c r="VOB564" s="500"/>
      <c r="VOC564" s="500"/>
      <c r="VOD564" s="500"/>
      <c r="VOE564" s="500"/>
      <c r="VOF564" s="500"/>
      <c r="VOG564" s="500"/>
      <c r="VOH564" s="500"/>
      <c r="VOI564" s="500"/>
      <c r="VOJ564" s="500"/>
      <c r="VOK564" s="500"/>
      <c r="VOL564" s="500"/>
      <c r="VOM564" s="500"/>
      <c r="VON564" s="500"/>
      <c r="VOO564" s="500"/>
      <c r="VOP564" s="500"/>
      <c r="VOQ564" s="500"/>
      <c r="VOR564" s="500"/>
      <c r="VOS564" s="500"/>
      <c r="VOT564" s="500"/>
      <c r="VOU564" s="500"/>
      <c r="VOV564" s="500"/>
      <c r="VOW564" s="500"/>
      <c r="VOX564" s="500"/>
      <c r="VOY564" s="500"/>
      <c r="VOZ564" s="500"/>
      <c r="VPA564" s="500"/>
      <c r="VPB564" s="500"/>
      <c r="VPC564" s="500"/>
      <c r="VPD564" s="500"/>
      <c r="VPE564" s="500"/>
      <c r="VPF564" s="500"/>
      <c r="VPG564" s="500"/>
      <c r="VPH564" s="500"/>
      <c r="VPI564" s="500"/>
      <c r="VPJ564" s="500"/>
      <c r="VPK564" s="500"/>
      <c r="VPL564" s="500"/>
      <c r="VPM564" s="500"/>
      <c r="VPN564" s="500"/>
      <c r="VPO564" s="500"/>
      <c r="VPP564" s="500"/>
      <c r="VPQ564" s="500"/>
      <c r="VPR564" s="500"/>
      <c r="VPS564" s="500"/>
      <c r="VPT564" s="500"/>
      <c r="VPU564" s="500"/>
      <c r="VPV564" s="500"/>
      <c r="VPW564" s="500"/>
      <c r="VPX564" s="500"/>
      <c r="VPY564" s="500"/>
      <c r="VPZ564" s="500"/>
      <c r="VQA564" s="500"/>
      <c r="VQB564" s="500"/>
      <c r="VQC564" s="500"/>
      <c r="VQD564" s="500"/>
      <c r="VQE564" s="500"/>
      <c r="VQF564" s="500"/>
      <c r="VQG564" s="500"/>
      <c r="VQH564" s="500"/>
      <c r="VQI564" s="500"/>
      <c r="VQJ564" s="500"/>
      <c r="VQK564" s="500"/>
      <c r="VQL564" s="500"/>
      <c r="VQM564" s="500"/>
      <c r="VQN564" s="500"/>
      <c r="VQO564" s="500"/>
      <c r="VQP564" s="500"/>
      <c r="VQQ564" s="500"/>
      <c r="VQR564" s="500"/>
      <c r="VQS564" s="500"/>
      <c r="VQT564" s="500"/>
      <c r="VQU564" s="500"/>
      <c r="VQV564" s="500"/>
      <c r="VQW564" s="500"/>
      <c r="VQX564" s="500"/>
      <c r="VQY564" s="500"/>
      <c r="VQZ564" s="500"/>
      <c r="VRA564" s="500"/>
      <c r="VRB564" s="500"/>
      <c r="VRC564" s="500"/>
      <c r="VRD564" s="500"/>
      <c r="VRE564" s="500"/>
      <c r="VRF564" s="500"/>
      <c r="VRG564" s="500"/>
      <c r="VRH564" s="500"/>
      <c r="VRI564" s="500"/>
      <c r="VRJ564" s="500"/>
      <c r="VRK564" s="500"/>
      <c r="VRL564" s="500"/>
      <c r="VRM564" s="500"/>
      <c r="VRN564" s="500"/>
      <c r="VRO564" s="500"/>
      <c r="VRP564" s="500"/>
      <c r="VRQ564" s="500"/>
      <c r="VRR564" s="500"/>
      <c r="VRS564" s="500"/>
      <c r="VRT564" s="500"/>
      <c r="VRU564" s="500"/>
      <c r="VRV564" s="500"/>
      <c r="VRW564" s="500"/>
      <c r="VRX564" s="500"/>
      <c r="VRY564" s="500"/>
      <c r="VRZ564" s="500"/>
      <c r="VSA564" s="500"/>
      <c r="VSB564" s="500"/>
      <c r="VSC564" s="500"/>
      <c r="VSD564" s="500"/>
      <c r="VSE564" s="500"/>
      <c r="VSF564" s="500"/>
      <c r="VSG564" s="500"/>
      <c r="VSH564" s="500"/>
      <c r="VSI564" s="500"/>
      <c r="VSJ564" s="500"/>
      <c r="VSK564" s="500"/>
      <c r="VSL564" s="500"/>
      <c r="VSM564" s="500"/>
      <c r="VSN564" s="500"/>
      <c r="VSO564" s="500"/>
      <c r="VSP564" s="500"/>
      <c r="VSQ564" s="500"/>
      <c r="VSR564" s="500"/>
      <c r="VSS564" s="500"/>
      <c r="VST564" s="500"/>
      <c r="VSU564" s="500"/>
      <c r="VSV564" s="500"/>
      <c r="VSW564" s="500"/>
      <c r="VSX564" s="500"/>
      <c r="VSY564" s="500"/>
      <c r="VSZ564" s="500"/>
      <c r="VTA564" s="500"/>
      <c r="VTB564" s="500"/>
      <c r="VTC564" s="500"/>
      <c r="VTD564" s="500"/>
      <c r="VTE564" s="500"/>
      <c r="VTF564" s="500"/>
      <c r="VTG564" s="500"/>
      <c r="VTH564" s="500"/>
      <c r="VTI564" s="500"/>
      <c r="VTJ564" s="500"/>
      <c r="VTK564" s="500"/>
      <c r="VTL564" s="500"/>
      <c r="VTM564" s="500"/>
      <c r="VTN564" s="500"/>
      <c r="VTO564" s="500"/>
      <c r="VTP564" s="500"/>
      <c r="VTQ564" s="500"/>
      <c r="VTR564" s="500"/>
      <c r="VTS564" s="500"/>
      <c r="VTT564" s="500"/>
      <c r="VTU564" s="500"/>
      <c r="VTV564" s="500"/>
      <c r="VTW564" s="500"/>
      <c r="VTX564" s="500"/>
      <c r="VTY564" s="500"/>
      <c r="VTZ564" s="500"/>
      <c r="VUA564" s="500"/>
      <c r="VUB564" s="500"/>
      <c r="VUC564" s="500"/>
      <c r="VUD564" s="500"/>
      <c r="VUE564" s="500"/>
      <c r="VUF564" s="500"/>
      <c r="VUG564" s="500"/>
      <c r="VUH564" s="500"/>
      <c r="VUI564" s="500"/>
      <c r="VUJ564" s="500"/>
      <c r="VUK564" s="500"/>
      <c r="VUL564" s="500"/>
      <c r="VUM564" s="500"/>
      <c r="VUN564" s="500"/>
      <c r="VUO564" s="500"/>
      <c r="VUP564" s="500"/>
      <c r="VUQ564" s="500"/>
      <c r="VUR564" s="500"/>
      <c r="VUS564" s="500"/>
      <c r="VUT564" s="500"/>
      <c r="VUU564" s="500"/>
      <c r="VUV564" s="500"/>
      <c r="VUW564" s="500"/>
      <c r="VUX564" s="500"/>
      <c r="VUY564" s="500"/>
      <c r="VUZ564" s="500"/>
      <c r="VVA564" s="500"/>
      <c r="VVB564" s="500"/>
      <c r="VVC564" s="500"/>
      <c r="VVD564" s="500"/>
      <c r="VVE564" s="500"/>
      <c r="VVF564" s="500"/>
      <c r="VVG564" s="500"/>
      <c r="VVH564" s="500"/>
      <c r="VVI564" s="500"/>
      <c r="VVJ564" s="500"/>
      <c r="VVK564" s="500"/>
      <c r="VVL564" s="500"/>
      <c r="VVM564" s="500"/>
      <c r="VVN564" s="500"/>
      <c r="VVO564" s="500"/>
      <c r="VVP564" s="500"/>
      <c r="VVQ564" s="500"/>
      <c r="VVR564" s="500"/>
      <c r="VVS564" s="500"/>
      <c r="VVT564" s="500"/>
      <c r="VVU564" s="500"/>
      <c r="VVV564" s="500"/>
      <c r="VVW564" s="500"/>
      <c r="VVX564" s="500"/>
      <c r="VVY564" s="500"/>
      <c r="VVZ564" s="500"/>
      <c r="VWA564" s="500"/>
      <c r="VWB564" s="500"/>
      <c r="VWC564" s="500"/>
      <c r="VWD564" s="500"/>
      <c r="VWE564" s="500"/>
      <c r="VWF564" s="500"/>
      <c r="VWG564" s="500"/>
      <c r="VWH564" s="500"/>
      <c r="VWI564" s="500"/>
      <c r="VWJ564" s="500"/>
      <c r="VWK564" s="500"/>
      <c r="VWL564" s="500"/>
      <c r="VWM564" s="500"/>
      <c r="VWN564" s="500"/>
      <c r="VWO564" s="500"/>
      <c r="VWP564" s="500"/>
      <c r="VWQ564" s="500"/>
      <c r="VWR564" s="500"/>
      <c r="VWS564" s="500"/>
      <c r="VWT564" s="500"/>
      <c r="VWU564" s="500"/>
      <c r="VWV564" s="500"/>
      <c r="VWW564" s="500"/>
      <c r="VWX564" s="500"/>
      <c r="VWY564" s="500"/>
      <c r="VWZ564" s="500"/>
      <c r="VXA564" s="500"/>
      <c r="VXB564" s="500"/>
      <c r="VXC564" s="500"/>
      <c r="VXD564" s="500"/>
      <c r="VXE564" s="500"/>
      <c r="VXF564" s="500"/>
      <c r="VXG564" s="500"/>
      <c r="VXH564" s="500"/>
      <c r="VXI564" s="500"/>
      <c r="VXJ564" s="500"/>
      <c r="VXK564" s="500"/>
      <c r="VXL564" s="500"/>
      <c r="VXM564" s="500"/>
      <c r="VXN564" s="500"/>
      <c r="VXO564" s="500"/>
      <c r="VXP564" s="500"/>
      <c r="VXQ564" s="500"/>
      <c r="VXR564" s="500"/>
      <c r="VXS564" s="500"/>
      <c r="VXT564" s="500"/>
      <c r="VXU564" s="500"/>
      <c r="VXV564" s="500"/>
      <c r="VXW564" s="500"/>
      <c r="VXX564" s="500"/>
      <c r="VXY564" s="500"/>
      <c r="VXZ564" s="500"/>
      <c r="VYA564" s="500"/>
      <c r="VYB564" s="500"/>
      <c r="VYC564" s="500"/>
      <c r="VYD564" s="500"/>
      <c r="VYE564" s="500"/>
      <c r="VYF564" s="500"/>
      <c r="VYG564" s="500"/>
      <c r="VYH564" s="500"/>
      <c r="VYI564" s="500"/>
      <c r="VYJ564" s="500"/>
      <c r="VYK564" s="500"/>
      <c r="VYL564" s="500"/>
      <c r="VYM564" s="500"/>
      <c r="VYN564" s="500"/>
      <c r="VYO564" s="500"/>
      <c r="VYP564" s="500"/>
      <c r="VYQ564" s="500"/>
      <c r="VYR564" s="500"/>
      <c r="VYS564" s="500"/>
      <c r="VYT564" s="500"/>
      <c r="VYU564" s="500"/>
      <c r="VYV564" s="500"/>
      <c r="VYW564" s="500"/>
      <c r="VYX564" s="500"/>
      <c r="VYY564" s="500"/>
      <c r="VYZ564" s="500"/>
      <c r="VZA564" s="500"/>
      <c r="VZB564" s="500"/>
      <c r="VZC564" s="500"/>
      <c r="VZD564" s="500"/>
      <c r="VZE564" s="500"/>
      <c r="VZF564" s="500"/>
      <c r="VZG564" s="500"/>
      <c r="VZH564" s="500"/>
      <c r="VZI564" s="500"/>
      <c r="VZJ564" s="500"/>
      <c r="VZK564" s="500"/>
      <c r="VZL564" s="500"/>
      <c r="VZM564" s="500"/>
      <c r="VZN564" s="500"/>
      <c r="VZO564" s="500"/>
      <c r="VZP564" s="500"/>
      <c r="VZQ564" s="500"/>
      <c r="VZR564" s="500"/>
      <c r="VZS564" s="500"/>
      <c r="VZT564" s="500"/>
      <c r="VZU564" s="500"/>
      <c r="VZV564" s="500"/>
      <c r="VZW564" s="500"/>
      <c r="VZX564" s="500"/>
      <c r="VZY564" s="500"/>
      <c r="VZZ564" s="500"/>
      <c r="WAA564" s="500"/>
      <c r="WAB564" s="500"/>
      <c r="WAC564" s="500"/>
      <c r="WAD564" s="500"/>
      <c r="WAE564" s="500"/>
      <c r="WAF564" s="500"/>
      <c r="WAG564" s="500"/>
      <c r="WAH564" s="500"/>
      <c r="WAI564" s="500"/>
      <c r="WAJ564" s="500"/>
      <c r="WAK564" s="500"/>
      <c r="WAL564" s="500"/>
      <c r="WAM564" s="500"/>
      <c r="WAN564" s="500"/>
      <c r="WAO564" s="500"/>
      <c r="WAP564" s="500"/>
      <c r="WAQ564" s="500"/>
      <c r="WAR564" s="500"/>
      <c r="WAS564" s="500"/>
      <c r="WAT564" s="500"/>
      <c r="WAU564" s="500"/>
      <c r="WAV564" s="500"/>
      <c r="WAW564" s="500"/>
      <c r="WAX564" s="500"/>
      <c r="WAY564" s="500"/>
      <c r="WAZ564" s="500"/>
      <c r="WBA564" s="500"/>
      <c r="WBB564" s="500"/>
      <c r="WBC564" s="500"/>
      <c r="WBD564" s="500"/>
      <c r="WBE564" s="500"/>
      <c r="WBF564" s="500"/>
      <c r="WBG564" s="500"/>
      <c r="WBH564" s="500"/>
      <c r="WBI564" s="500"/>
      <c r="WBJ564" s="500"/>
      <c r="WBK564" s="500"/>
      <c r="WBL564" s="500"/>
      <c r="WBM564" s="500"/>
      <c r="WBN564" s="500"/>
      <c r="WBO564" s="500"/>
      <c r="WBP564" s="500"/>
      <c r="WBQ564" s="500"/>
      <c r="WBR564" s="500"/>
      <c r="WBS564" s="500"/>
      <c r="WBT564" s="500"/>
      <c r="WBU564" s="500"/>
      <c r="WBV564" s="500"/>
      <c r="WBW564" s="500"/>
      <c r="WBX564" s="500"/>
      <c r="WBY564" s="500"/>
      <c r="WBZ564" s="500"/>
      <c r="WCA564" s="500"/>
      <c r="WCB564" s="500"/>
      <c r="WCC564" s="500"/>
      <c r="WCD564" s="500"/>
      <c r="WCE564" s="500"/>
      <c r="WCF564" s="500"/>
      <c r="WCG564" s="500"/>
      <c r="WCH564" s="500"/>
      <c r="WCI564" s="500"/>
      <c r="WCJ564" s="500"/>
      <c r="WCK564" s="500"/>
      <c r="WCL564" s="500"/>
      <c r="WCM564" s="500"/>
      <c r="WCN564" s="500"/>
      <c r="WCO564" s="500"/>
      <c r="WCP564" s="500"/>
      <c r="WCQ564" s="500"/>
      <c r="WCR564" s="500"/>
      <c r="WCS564" s="500"/>
      <c r="WCT564" s="500"/>
      <c r="WCU564" s="500"/>
      <c r="WCV564" s="500"/>
      <c r="WCW564" s="500"/>
      <c r="WCX564" s="500"/>
      <c r="WCY564" s="500"/>
      <c r="WCZ564" s="500"/>
      <c r="WDA564" s="500"/>
      <c r="WDB564" s="500"/>
      <c r="WDC564" s="500"/>
      <c r="WDD564" s="500"/>
      <c r="WDE564" s="500"/>
      <c r="WDF564" s="500"/>
      <c r="WDG564" s="500"/>
      <c r="WDH564" s="500"/>
      <c r="WDI564" s="500"/>
      <c r="WDJ564" s="500"/>
      <c r="WDK564" s="500"/>
      <c r="WDL564" s="500"/>
      <c r="WDM564" s="500"/>
      <c r="WDN564" s="500"/>
      <c r="WDO564" s="500"/>
      <c r="WDP564" s="500"/>
      <c r="WDQ564" s="500"/>
      <c r="WDR564" s="500"/>
      <c r="WDS564" s="500"/>
      <c r="WDT564" s="500"/>
      <c r="WDU564" s="500"/>
      <c r="WDV564" s="500"/>
      <c r="WDW564" s="500"/>
      <c r="WDX564" s="500"/>
      <c r="WDY564" s="500"/>
      <c r="WDZ564" s="500"/>
      <c r="WEA564" s="500"/>
      <c r="WEB564" s="500"/>
      <c r="WEC564" s="500"/>
      <c r="WED564" s="500"/>
      <c r="WEE564" s="500"/>
      <c r="WEF564" s="500"/>
      <c r="WEG564" s="500"/>
      <c r="WEH564" s="500"/>
      <c r="WEI564" s="500"/>
      <c r="WEJ564" s="500"/>
      <c r="WEK564" s="500"/>
      <c r="WEL564" s="500"/>
      <c r="WEM564" s="500"/>
      <c r="WEN564" s="500"/>
      <c r="WEO564" s="500"/>
      <c r="WEP564" s="500"/>
      <c r="WEQ564" s="500"/>
      <c r="WER564" s="500"/>
      <c r="WES564" s="500"/>
      <c r="WET564" s="500"/>
      <c r="WEU564" s="500"/>
      <c r="WEV564" s="500"/>
      <c r="WEW564" s="500"/>
      <c r="WEX564" s="500"/>
      <c r="WEY564" s="500"/>
      <c r="WEZ564" s="500"/>
      <c r="WFA564" s="500"/>
      <c r="WFB564" s="500"/>
      <c r="WFC564" s="500"/>
      <c r="WFD564" s="500"/>
      <c r="WFE564" s="500"/>
      <c r="WFF564" s="500"/>
      <c r="WFG564" s="500"/>
      <c r="WFH564" s="500"/>
      <c r="WFI564" s="500"/>
      <c r="WFJ564" s="500"/>
      <c r="WFK564" s="500"/>
      <c r="WFL564" s="500"/>
      <c r="WFM564" s="500"/>
      <c r="WFN564" s="500"/>
      <c r="WFO564" s="500"/>
      <c r="WFP564" s="500"/>
      <c r="WFQ564" s="500"/>
      <c r="WFR564" s="500"/>
      <c r="WFS564" s="500"/>
      <c r="WFT564" s="500"/>
      <c r="WFU564" s="500"/>
      <c r="WFV564" s="500"/>
      <c r="WFW564" s="500"/>
      <c r="WFX564" s="500"/>
      <c r="WFY564" s="500"/>
      <c r="WFZ564" s="500"/>
      <c r="WGA564" s="500"/>
      <c r="WGB564" s="500"/>
      <c r="WGC564" s="500"/>
      <c r="WGD564" s="500"/>
      <c r="WGE564" s="500"/>
      <c r="WGF564" s="500"/>
      <c r="WGG564" s="500"/>
      <c r="WGH564" s="500"/>
      <c r="WGI564" s="500"/>
      <c r="WGJ564" s="500"/>
      <c r="WGK564" s="500"/>
      <c r="WGL564" s="500"/>
      <c r="WGM564" s="500"/>
      <c r="WGN564" s="500"/>
      <c r="WGO564" s="500"/>
      <c r="WGP564" s="500"/>
      <c r="WGQ564" s="500"/>
      <c r="WGR564" s="500"/>
      <c r="WGS564" s="500"/>
      <c r="WGT564" s="500"/>
      <c r="WGU564" s="500"/>
      <c r="WGV564" s="500"/>
      <c r="WGW564" s="500"/>
      <c r="WGX564" s="500"/>
      <c r="WGY564" s="500"/>
      <c r="WGZ564" s="500"/>
      <c r="WHA564" s="500"/>
      <c r="WHB564" s="500"/>
      <c r="WHC564" s="500"/>
      <c r="WHD564" s="500"/>
      <c r="WHE564" s="500"/>
      <c r="WHF564" s="500"/>
      <c r="WHG564" s="500"/>
      <c r="WHH564" s="500"/>
      <c r="WHI564" s="500"/>
      <c r="WHJ564" s="500"/>
      <c r="WHK564" s="500"/>
      <c r="WHL564" s="500"/>
      <c r="WHM564" s="500"/>
      <c r="WHN564" s="500"/>
      <c r="WHO564" s="500"/>
      <c r="WHP564" s="500"/>
      <c r="WHQ564" s="500"/>
      <c r="WHR564" s="500"/>
      <c r="WHS564" s="500"/>
      <c r="WHT564" s="500"/>
      <c r="WHU564" s="500"/>
      <c r="WHV564" s="500"/>
      <c r="WHW564" s="500"/>
      <c r="WHX564" s="500"/>
      <c r="WHY564" s="500"/>
      <c r="WHZ564" s="500"/>
      <c r="WIA564" s="500"/>
      <c r="WIB564" s="500"/>
      <c r="WIC564" s="500"/>
      <c r="WID564" s="500"/>
      <c r="WIE564" s="500"/>
      <c r="WIF564" s="500"/>
      <c r="WIG564" s="500"/>
      <c r="WIH564" s="500"/>
      <c r="WII564" s="500"/>
      <c r="WIJ564" s="500"/>
      <c r="WIK564" s="500"/>
      <c r="WIL564" s="500"/>
      <c r="WIM564" s="500"/>
      <c r="WIN564" s="500"/>
      <c r="WIO564" s="500"/>
      <c r="WIP564" s="500"/>
      <c r="WIQ564" s="500"/>
      <c r="WIR564" s="500"/>
      <c r="WIS564" s="500"/>
      <c r="WIT564" s="500"/>
      <c r="WIU564" s="500"/>
      <c r="WIV564" s="500"/>
      <c r="WIW564" s="500"/>
      <c r="WIX564" s="500"/>
      <c r="WIY564" s="500"/>
      <c r="WIZ564" s="500"/>
      <c r="WJA564" s="500"/>
      <c r="WJB564" s="500"/>
      <c r="WJC564" s="500"/>
      <c r="WJD564" s="500"/>
      <c r="WJE564" s="500"/>
      <c r="WJF564" s="500"/>
      <c r="WJG564" s="500"/>
      <c r="WJH564" s="500"/>
      <c r="WJI564" s="500"/>
      <c r="WJJ564" s="500"/>
      <c r="WJK564" s="500"/>
      <c r="WJL564" s="500"/>
      <c r="WJM564" s="500"/>
      <c r="WJN564" s="500"/>
      <c r="WJO564" s="500"/>
      <c r="WJP564" s="500"/>
      <c r="WJQ564" s="500"/>
      <c r="WJR564" s="500"/>
      <c r="WJS564" s="500"/>
      <c r="WJT564" s="500"/>
      <c r="WJU564" s="500"/>
      <c r="WJV564" s="500"/>
      <c r="WJW564" s="500"/>
      <c r="WJX564" s="500"/>
      <c r="WJY564" s="500"/>
      <c r="WJZ564" s="500"/>
      <c r="WKA564" s="500"/>
      <c r="WKB564" s="500"/>
      <c r="WKC564" s="500"/>
      <c r="WKD564" s="500"/>
      <c r="WKE564" s="500"/>
      <c r="WKF564" s="500"/>
      <c r="WKG564" s="500"/>
      <c r="WKH564" s="500"/>
      <c r="WKI564" s="500"/>
      <c r="WKJ564" s="500"/>
      <c r="WKK564" s="500"/>
      <c r="WKL564" s="500"/>
      <c r="WKM564" s="500"/>
      <c r="WKN564" s="500"/>
      <c r="WKO564" s="500"/>
      <c r="WKP564" s="500"/>
      <c r="WKQ564" s="500"/>
      <c r="WKR564" s="500"/>
      <c r="WKS564" s="500"/>
      <c r="WKT564" s="500"/>
      <c r="WKU564" s="500"/>
      <c r="WKV564" s="500"/>
      <c r="WKW564" s="500"/>
      <c r="WKX564" s="500"/>
      <c r="WKY564" s="500"/>
      <c r="WKZ564" s="500"/>
      <c r="WLA564" s="500"/>
      <c r="WLB564" s="500"/>
      <c r="WLC564" s="500"/>
      <c r="WLD564" s="500"/>
      <c r="WLE564" s="500"/>
      <c r="WLF564" s="500"/>
      <c r="WLG564" s="500"/>
      <c r="WLH564" s="500"/>
      <c r="WLI564" s="500"/>
      <c r="WLJ564" s="500"/>
      <c r="WLK564" s="500"/>
      <c r="WLL564" s="500"/>
      <c r="WLM564" s="500"/>
      <c r="WLN564" s="500"/>
      <c r="WLO564" s="500"/>
      <c r="WLP564" s="500"/>
      <c r="WLQ564" s="500"/>
      <c r="WLR564" s="500"/>
      <c r="WLS564" s="500"/>
      <c r="WLT564" s="500"/>
      <c r="WLU564" s="500"/>
      <c r="WLV564" s="500"/>
      <c r="WLW564" s="500"/>
      <c r="WLX564" s="500"/>
      <c r="WLY564" s="500"/>
      <c r="WLZ564" s="500"/>
      <c r="WMA564" s="500"/>
      <c r="WMB564" s="500"/>
      <c r="WMC564" s="500"/>
      <c r="WMD564" s="500"/>
      <c r="WME564" s="500"/>
      <c r="WMF564" s="500"/>
      <c r="WMG564" s="500"/>
      <c r="WMH564" s="500"/>
      <c r="WMI564" s="500"/>
      <c r="WMJ564" s="500"/>
      <c r="WMK564" s="500"/>
      <c r="WML564" s="500"/>
      <c r="WMM564" s="500"/>
      <c r="WMN564" s="500"/>
      <c r="WMO564" s="500"/>
      <c r="WMP564" s="500"/>
      <c r="WMQ564" s="500"/>
      <c r="WMR564" s="500"/>
      <c r="WMS564" s="500"/>
      <c r="WMT564" s="500"/>
      <c r="WMU564" s="500"/>
      <c r="WMV564" s="500"/>
      <c r="WMW564" s="500"/>
      <c r="WMX564" s="500"/>
      <c r="WMY564" s="500"/>
      <c r="WMZ564" s="500"/>
      <c r="WNA564" s="500"/>
      <c r="WNB564" s="500"/>
      <c r="WNC564" s="500"/>
      <c r="WND564" s="500"/>
      <c r="WNE564" s="500"/>
      <c r="WNF564" s="500"/>
      <c r="WNG564" s="500"/>
      <c r="WNH564" s="500"/>
      <c r="WNI564" s="500"/>
      <c r="WNJ564" s="500"/>
      <c r="WNK564" s="500"/>
      <c r="WNL564" s="500"/>
      <c r="WNM564" s="500"/>
      <c r="WNN564" s="500"/>
      <c r="WNO564" s="500"/>
      <c r="WNP564" s="500"/>
      <c r="WNQ564" s="500"/>
      <c r="WNR564" s="500"/>
      <c r="WNS564" s="500"/>
      <c r="WNT564" s="500"/>
      <c r="WNU564" s="500"/>
      <c r="WNV564" s="500"/>
      <c r="WNW564" s="500"/>
      <c r="WNX564" s="500"/>
      <c r="WNY564" s="500"/>
      <c r="WNZ564" s="500"/>
      <c r="WOA564" s="500"/>
      <c r="WOB564" s="500"/>
      <c r="WOC564" s="500"/>
      <c r="WOD564" s="500"/>
      <c r="WOE564" s="500"/>
      <c r="WOF564" s="500"/>
      <c r="WOG564" s="500"/>
      <c r="WOH564" s="500"/>
      <c r="WOI564" s="500"/>
      <c r="WOJ564" s="500"/>
      <c r="WOK564" s="500"/>
      <c r="WOL564" s="500"/>
      <c r="WOM564" s="500"/>
      <c r="WON564" s="500"/>
      <c r="WOO564" s="500"/>
      <c r="WOP564" s="500"/>
      <c r="WOQ564" s="500"/>
      <c r="WOR564" s="500"/>
      <c r="WOS564" s="500"/>
      <c r="WOT564" s="500"/>
      <c r="WOU564" s="500"/>
      <c r="WOV564" s="500"/>
      <c r="WOW564" s="500"/>
      <c r="WOX564" s="500"/>
      <c r="WOY564" s="500"/>
      <c r="WOZ564" s="500"/>
      <c r="WPA564" s="500"/>
      <c r="WPB564" s="500"/>
      <c r="WPC564" s="500"/>
      <c r="WPD564" s="500"/>
      <c r="WPE564" s="500"/>
      <c r="WPF564" s="500"/>
      <c r="WPG564" s="500"/>
      <c r="WPH564" s="500"/>
      <c r="WPI564" s="500"/>
      <c r="WPJ564" s="500"/>
      <c r="WPK564" s="500"/>
      <c r="WPL564" s="500"/>
      <c r="WPM564" s="500"/>
      <c r="WPN564" s="500"/>
      <c r="WPO564" s="500"/>
      <c r="WPP564" s="500"/>
      <c r="WPQ564" s="500"/>
      <c r="WPR564" s="500"/>
      <c r="WPS564" s="500"/>
      <c r="WPT564" s="500"/>
      <c r="WPU564" s="500"/>
      <c r="WPV564" s="500"/>
      <c r="WPW564" s="500"/>
      <c r="WPX564" s="500"/>
      <c r="WPY564" s="500"/>
      <c r="WPZ564" s="500"/>
      <c r="WQA564" s="500"/>
      <c r="WQB564" s="500"/>
      <c r="WQC564" s="500"/>
      <c r="WQD564" s="500"/>
      <c r="WQE564" s="500"/>
      <c r="WQF564" s="500"/>
      <c r="WQG564" s="500"/>
      <c r="WQH564" s="500"/>
      <c r="WQI564" s="500"/>
      <c r="WQJ564" s="500"/>
      <c r="WQK564" s="500"/>
      <c r="WQL564" s="500"/>
      <c r="WQM564" s="500"/>
      <c r="WQN564" s="500"/>
      <c r="WQO564" s="500"/>
      <c r="WQP564" s="500"/>
      <c r="WQQ564" s="500"/>
      <c r="WQR564" s="500"/>
      <c r="WQS564" s="500"/>
      <c r="WQT564" s="500"/>
      <c r="WQU564" s="500"/>
      <c r="WQV564" s="500"/>
      <c r="WQW564" s="500"/>
      <c r="WQX564" s="500"/>
      <c r="WQY564" s="500"/>
      <c r="WQZ564" s="500"/>
      <c r="WRA564" s="500"/>
      <c r="WRB564" s="500"/>
      <c r="WRC564" s="500"/>
      <c r="WRD564" s="500"/>
      <c r="WRE564" s="500"/>
      <c r="WRF564" s="500"/>
      <c r="WRG564" s="500"/>
      <c r="WRH564" s="500"/>
      <c r="WRI564" s="500"/>
      <c r="WRJ564" s="500"/>
      <c r="WRK564" s="500"/>
      <c r="WRL564" s="500"/>
      <c r="WRM564" s="500"/>
      <c r="WRN564" s="500"/>
      <c r="WRO564" s="500"/>
      <c r="WRP564" s="500"/>
      <c r="WRQ564" s="500"/>
      <c r="WRR564" s="500"/>
      <c r="WRS564" s="500"/>
      <c r="WRT564" s="500"/>
      <c r="WRU564" s="500"/>
      <c r="WRV564" s="500"/>
      <c r="WRW564" s="500"/>
      <c r="WRX564" s="500"/>
      <c r="WRY564" s="500"/>
      <c r="WRZ564" s="500"/>
      <c r="WSA564" s="500"/>
      <c r="WSB564" s="500"/>
      <c r="WSC564" s="500"/>
      <c r="WSD564" s="500"/>
      <c r="WSE564" s="500"/>
      <c r="WSF564" s="500"/>
      <c r="WSG564" s="500"/>
      <c r="WSH564" s="500"/>
      <c r="WSI564" s="500"/>
      <c r="WSJ564" s="500"/>
      <c r="WSK564" s="500"/>
      <c r="WSL564" s="500"/>
      <c r="WSM564" s="500"/>
      <c r="WSN564" s="500"/>
      <c r="WSO564" s="500"/>
      <c r="WSP564" s="500"/>
      <c r="WSQ564" s="500"/>
      <c r="WSR564" s="500"/>
      <c r="WSS564" s="500"/>
      <c r="WST564" s="500"/>
      <c r="WSU564" s="500"/>
      <c r="WSV564" s="500"/>
      <c r="WSW564" s="500"/>
      <c r="WSX564" s="500"/>
      <c r="WSY564" s="500"/>
      <c r="WSZ564" s="500"/>
      <c r="WTA564" s="500"/>
      <c r="WTB564" s="500"/>
      <c r="WTC564" s="500"/>
      <c r="WTD564" s="500"/>
      <c r="WTE564" s="500"/>
      <c r="WTF564" s="500"/>
      <c r="WTG564" s="500"/>
      <c r="WTH564" s="500"/>
      <c r="WTI564" s="500"/>
      <c r="WTJ564" s="500"/>
      <c r="WTK564" s="500"/>
      <c r="WTL564" s="500"/>
      <c r="WTM564" s="500"/>
      <c r="WTN564" s="500"/>
      <c r="WTO564" s="500"/>
      <c r="WTP564" s="500"/>
      <c r="WTQ564" s="500"/>
      <c r="WTR564" s="500"/>
      <c r="WTS564" s="500"/>
      <c r="WTT564" s="500"/>
      <c r="WTU564" s="500"/>
      <c r="WTV564" s="500"/>
      <c r="WTW564" s="500"/>
      <c r="WTX564" s="500"/>
      <c r="WTY564" s="500"/>
      <c r="WTZ564" s="500"/>
      <c r="WUA564" s="500"/>
      <c r="WUB564" s="500"/>
      <c r="WUC564" s="500"/>
      <c r="WUD564" s="500"/>
      <c r="WUE564" s="500"/>
      <c r="WUF564" s="500"/>
      <c r="WUG564" s="500"/>
      <c r="WUH564" s="500"/>
      <c r="WUI564" s="500"/>
      <c r="WUJ564" s="500"/>
      <c r="WUK564" s="500"/>
      <c r="WUL564" s="500"/>
      <c r="WUM564" s="500"/>
      <c r="WUN564" s="500"/>
      <c r="WUO564" s="500"/>
      <c r="WUP564" s="500"/>
      <c r="WUQ564" s="500"/>
      <c r="WUR564" s="500"/>
      <c r="WUS564" s="500"/>
      <c r="WUT564" s="500"/>
      <c r="WUU564" s="500"/>
      <c r="WUV564" s="500"/>
      <c r="WUW564" s="500"/>
      <c r="WUX564" s="500"/>
      <c r="WUY564" s="500"/>
      <c r="WUZ564" s="500"/>
      <c r="WVA564" s="500"/>
      <c r="WVB564" s="500"/>
      <c r="WVC564" s="500"/>
      <c r="WVD564" s="500"/>
      <c r="WVE564" s="500"/>
      <c r="WVF564" s="500"/>
      <c r="WVG564" s="500"/>
      <c r="WVH564" s="500"/>
      <c r="WVI564" s="500"/>
      <c r="WVJ564" s="500"/>
      <c r="WVK564" s="500"/>
      <c r="WVL564" s="500"/>
      <c r="WVM564" s="500"/>
      <c r="WVN564" s="500"/>
      <c r="WVO564" s="500"/>
      <c r="WVP564" s="500"/>
      <c r="WVQ564" s="500"/>
      <c r="WVR564" s="500"/>
      <c r="WVS564" s="500"/>
      <c r="WVT564" s="500"/>
      <c r="WVU564" s="500"/>
      <c r="WVV564" s="500"/>
      <c r="WVW564" s="500"/>
      <c r="WVX564" s="500"/>
      <c r="WVY564" s="500"/>
      <c r="WVZ564" s="500"/>
      <c r="WWA564" s="500"/>
      <c r="WWB564" s="500"/>
      <c r="WWC564" s="500"/>
      <c r="WWD564" s="500"/>
      <c r="WWE564" s="500"/>
      <c r="WWF564" s="500"/>
      <c r="WWG564" s="500"/>
      <c r="WWH564" s="500"/>
      <c r="WWI564" s="500"/>
      <c r="WWJ564" s="500"/>
      <c r="WWK564" s="500"/>
      <c r="WWL564" s="500"/>
      <c r="WWM564" s="500"/>
      <c r="WWN564" s="500"/>
      <c r="WWO564" s="500"/>
      <c r="WWP564" s="500"/>
      <c r="WWQ564" s="500"/>
      <c r="WWR564" s="500"/>
      <c r="WWS564" s="500"/>
      <c r="WWT564" s="500"/>
      <c r="WWU564" s="500"/>
      <c r="WWV564" s="500"/>
      <c r="WWW564" s="500"/>
      <c r="WWX564" s="500"/>
      <c r="WWY564" s="500"/>
      <c r="WWZ564" s="500"/>
      <c r="WXA564" s="500"/>
      <c r="WXB564" s="500"/>
      <c r="WXC564" s="500"/>
      <c r="WXD564" s="500"/>
      <c r="WXE564" s="500"/>
      <c r="WXF564" s="500"/>
      <c r="WXG564" s="500"/>
      <c r="WXH564" s="500"/>
      <c r="WXI564" s="500"/>
      <c r="WXJ564" s="500"/>
      <c r="WXK564" s="500"/>
      <c r="WXL564" s="500"/>
      <c r="WXM564" s="500"/>
      <c r="WXN564" s="500"/>
      <c r="WXO564" s="500"/>
      <c r="WXP564" s="500"/>
      <c r="WXQ564" s="500"/>
      <c r="WXR564" s="500"/>
      <c r="WXS564" s="500"/>
      <c r="WXT564" s="500"/>
      <c r="WXU564" s="500"/>
      <c r="WXV564" s="500"/>
      <c r="WXW564" s="500"/>
      <c r="WXX564" s="500"/>
      <c r="WXY564" s="500"/>
      <c r="WXZ564" s="500"/>
      <c r="WYA564" s="500"/>
      <c r="WYB564" s="500"/>
      <c r="WYC564" s="500"/>
      <c r="WYD564" s="500"/>
      <c r="WYE564" s="500"/>
      <c r="WYF564" s="500"/>
      <c r="WYG564" s="500"/>
      <c r="WYH564" s="500"/>
      <c r="WYI564" s="500"/>
      <c r="WYJ564" s="500"/>
      <c r="WYK564" s="500"/>
      <c r="WYL564" s="500"/>
      <c r="WYM564" s="500"/>
      <c r="WYN564" s="500"/>
      <c r="WYO564" s="500"/>
      <c r="WYP564" s="500"/>
      <c r="WYQ564" s="500"/>
      <c r="WYR564" s="500"/>
      <c r="WYS564" s="500"/>
      <c r="WYT564" s="500"/>
      <c r="WYU564" s="500"/>
      <c r="WYV564" s="500"/>
      <c r="WYW564" s="500"/>
      <c r="WYX564" s="500"/>
      <c r="WYY564" s="500"/>
      <c r="WYZ564" s="500"/>
      <c r="WZA564" s="500"/>
      <c r="WZB564" s="500"/>
      <c r="WZC564" s="500"/>
      <c r="WZD564" s="500"/>
      <c r="WZE564" s="500"/>
      <c r="WZF564" s="500"/>
      <c r="WZG564" s="500"/>
      <c r="WZH564" s="500"/>
      <c r="WZI564" s="500"/>
      <c r="WZJ564" s="500"/>
      <c r="WZK564" s="500"/>
      <c r="WZL564" s="500"/>
      <c r="WZM564" s="500"/>
      <c r="WZN564" s="500"/>
      <c r="WZO564" s="500"/>
      <c r="WZP564" s="500"/>
      <c r="WZQ564" s="500"/>
      <c r="WZR564" s="500"/>
      <c r="WZS564" s="500"/>
      <c r="WZT564" s="500"/>
      <c r="WZU564" s="500"/>
      <c r="WZV564" s="500"/>
      <c r="WZW564" s="500"/>
      <c r="WZX564" s="500"/>
      <c r="WZY564" s="500"/>
      <c r="WZZ564" s="500"/>
      <c r="XAA564" s="500"/>
      <c r="XAB564" s="500"/>
      <c r="XAC564" s="500"/>
      <c r="XAD564" s="500"/>
      <c r="XAE564" s="500"/>
      <c r="XAF564" s="500"/>
      <c r="XAG564" s="500"/>
      <c r="XAH564" s="500"/>
      <c r="XAI564" s="500"/>
      <c r="XAJ564" s="500"/>
      <c r="XAK564" s="500"/>
      <c r="XAL564" s="500"/>
      <c r="XAM564" s="500"/>
      <c r="XAN564" s="500"/>
      <c r="XAO564" s="500"/>
      <c r="XAP564" s="500"/>
      <c r="XAQ564" s="500"/>
      <c r="XAR564" s="500"/>
      <c r="XAS564" s="500"/>
      <c r="XAT564" s="500"/>
      <c r="XAU564" s="500"/>
      <c r="XAV564" s="500"/>
      <c r="XAW564" s="500"/>
      <c r="XAX564" s="500"/>
      <c r="XAY564" s="500"/>
      <c r="XAZ564" s="500"/>
      <c r="XBA564" s="500"/>
      <c r="XBB564" s="500"/>
      <c r="XBC564" s="500"/>
      <c r="XBD564" s="500"/>
      <c r="XBE564" s="500"/>
      <c r="XBF564" s="500"/>
      <c r="XBG564" s="500"/>
      <c r="XBH564" s="500"/>
      <c r="XBI564" s="500"/>
      <c r="XBJ564" s="500"/>
      <c r="XBK564" s="500"/>
      <c r="XBL564" s="500"/>
      <c r="XBM564" s="500"/>
      <c r="XBN564" s="500"/>
      <c r="XBO564" s="500"/>
      <c r="XBP564" s="500"/>
      <c r="XBQ564" s="500"/>
      <c r="XBR564" s="500"/>
      <c r="XBS564" s="500"/>
      <c r="XBT564" s="500"/>
      <c r="XBU564" s="500"/>
      <c r="XBV564" s="500"/>
      <c r="XBW564" s="500"/>
      <c r="XBX564" s="500"/>
      <c r="XBY564" s="500"/>
      <c r="XBZ564" s="500"/>
      <c r="XCA564" s="500"/>
      <c r="XCB564" s="500"/>
      <c r="XCC564" s="500"/>
      <c r="XCD564" s="500"/>
      <c r="XCE564" s="500"/>
    </row>
    <row r="565" spans="1:16307" s="500" customFormat="1" x14ac:dyDescent="0.2">
      <c r="A565" s="833">
        <v>315</v>
      </c>
      <c r="B565" s="834" t="s">
        <v>909</v>
      </c>
      <c r="C565" s="835">
        <v>91.64</v>
      </c>
      <c r="D565" s="835">
        <v>273.77</v>
      </c>
      <c r="E565" s="835">
        <v>1081.3800000000001</v>
      </c>
      <c r="F565" s="835">
        <v>1295.1600000000001</v>
      </c>
      <c r="G565" s="835">
        <v>1062.99</v>
      </c>
      <c r="H565" s="835">
        <v>859.46</v>
      </c>
      <c r="I565" s="835">
        <v>529.02</v>
      </c>
      <c r="J565" s="835">
        <v>1387.37</v>
      </c>
      <c r="K565" s="835">
        <v>1148.25</v>
      </c>
      <c r="L565" s="835">
        <v>1097.17</v>
      </c>
      <c r="M565" s="835">
        <v>662.24</v>
      </c>
      <c r="N565" s="835">
        <v>199.4</v>
      </c>
      <c r="O565" s="835">
        <v>114.9</v>
      </c>
      <c r="P565" s="835">
        <v>301.5</v>
      </c>
      <c r="Q565" s="835">
        <v>861.15</v>
      </c>
      <c r="R565" s="835">
        <v>1559.7</v>
      </c>
      <c r="S565" s="835">
        <v>1444.65</v>
      </c>
      <c r="T565" s="835">
        <v>1232.2</v>
      </c>
      <c r="U565" s="835">
        <v>1012.75</v>
      </c>
      <c r="V565" s="835">
        <v>1203.2</v>
      </c>
      <c r="W565" s="835">
        <v>1681.8</v>
      </c>
      <c r="X565" s="835">
        <v>1794.6</v>
      </c>
      <c r="Y565" s="835">
        <v>1224.5</v>
      </c>
      <c r="Z565" s="835">
        <v>535.15</v>
      </c>
      <c r="AA565" s="835">
        <v>221.45</v>
      </c>
      <c r="AB565" s="835">
        <v>602.15</v>
      </c>
      <c r="AC565" s="835">
        <v>1095.55</v>
      </c>
      <c r="AD565" s="835">
        <v>1536.15</v>
      </c>
      <c r="AE565" s="835">
        <v>1584.55</v>
      </c>
      <c r="AF565" s="835">
        <v>1415.95</v>
      </c>
      <c r="AG565" s="835">
        <v>969.05</v>
      </c>
      <c r="AH565" s="835">
        <v>1568.75</v>
      </c>
      <c r="AI565" s="835">
        <v>1608.35</v>
      </c>
      <c r="AJ565" s="835">
        <v>1646.05</v>
      </c>
      <c r="AK565" s="835">
        <v>1822.75</v>
      </c>
      <c r="AL565" s="835">
        <v>1223.75</v>
      </c>
      <c r="AM565" s="835">
        <v>1805.75</v>
      </c>
      <c r="AN565" s="835">
        <v>1544.15</v>
      </c>
      <c r="AO565" s="835">
        <v>1671.75</v>
      </c>
      <c r="AP565" s="835">
        <v>2134.2399999999998</v>
      </c>
      <c r="AQ565" s="835">
        <v>2191.1569</v>
      </c>
      <c r="AR565" s="835">
        <v>1597.75</v>
      </c>
      <c r="AS565" s="835">
        <v>1582.75</v>
      </c>
      <c r="AT565" s="835">
        <v>2376.9989999999998</v>
      </c>
      <c r="AU565" s="835">
        <v>2081.9989999999998</v>
      </c>
      <c r="AV565" s="835">
        <v>1987.4480000000001</v>
      </c>
      <c r="AW565" s="835">
        <v>1603.4360000000001</v>
      </c>
      <c r="AX565" s="835">
        <v>599.41949999999997</v>
      </c>
      <c r="AY565" s="835">
        <v>440.44100000000003</v>
      </c>
    </row>
    <row r="566" spans="1:16307" s="500" customFormat="1" x14ac:dyDescent="0.2">
      <c r="A566" s="833" t="s">
        <v>892</v>
      </c>
      <c r="B566" s="834" t="s">
        <v>910</v>
      </c>
      <c r="C566" s="835">
        <v>0</v>
      </c>
      <c r="D566" s="835">
        <v>0</v>
      </c>
      <c r="E566" s="835">
        <v>0</v>
      </c>
      <c r="F566" s="835">
        <v>0</v>
      </c>
      <c r="G566" s="835">
        <v>0</v>
      </c>
      <c r="H566" s="835">
        <v>0</v>
      </c>
      <c r="I566" s="835">
        <v>0</v>
      </c>
      <c r="J566" s="835">
        <v>0</v>
      </c>
      <c r="K566" s="835">
        <v>0</v>
      </c>
      <c r="L566" s="835">
        <v>0</v>
      </c>
      <c r="M566" s="835">
        <v>0</v>
      </c>
      <c r="N566" s="835">
        <v>0</v>
      </c>
      <c r="O566" s="835">
        <v>0</v>
      </c>
      <c r="P566" s="835">
        <v>0</v>
      </c>
      <c r="Q566" s="835">
        <v>0</v>
      </c>
      <c r="R566" s="835">
        <v>0</v>
      </c>
      <c r="S566" s="835">
        <v>0</v>
      </c>
      <c r="T566" s="835">
        <v>0</v>
      </c>
      <c r="U566" s="835">
        <v>0</v>
      </c>
      <c r="V566" s="835">
        <v>0</v>
      </c>
      <c r="W566" s="835">
        <v>0</v>
      </c>
      <c r="X566" s="835">
        <v>0</v>
      </c>
      <c r="Y566" s="835">
        <v>0</v>
      </c>
      <c r="Z566" s="835">
        <v>43.74</v>
      </c>
      <c r="AA566" s="835">
        <v>100.84</v>
      </c>
      <c r="AB566" s="835">
        <v>2320.58</v>
      </c>
      <c r="AC566" s="835">
        <v>6556.74</v>
      </c>
      <c r="AD566" s="835">
        <v>603.22</v>
      </c>
      <c r="AE566" s="835">
        <v>573.42999999999995</v>
      </c>
      <c r="AF566" s="835">
        <v>413.45</v>
      </c>
      <c r="AG566" s="835">
        <v>592.27</v>
      </c>
      <c r="AH566" s="835">
        <v>955.3</v>
      </c>
      <c r="AI566" s="835">
        <v>722.64</v>
      </c>
      <c r="AJ566" s="835">
        <v>1604.6999999999998</v>
      </c>
      <c r="AK566" s="835">
        <v>1894.11</v>
      </c>
      <c r="AL566" s="835">
        <v>568.16999999999996</v>
      </c>
      <c r="AM566" s="835">
        <v>194.27</v>
      </c>
      <c r="AN566" s="835">
        <v>770.52</v>
      </c>
      <c r="AO566" s="835">
        <v>1875.2800000000002</v>
      </c>
      <c r="AP566" s="835">
        <v>2525.21</v>
      </c>
      <c r="AQ566" s="835">
        <v>2638.7703999999999</v>
      </c>
      <c r="AR566" s="835">
        <v>1900.79</v>
      </c>
      <c r="AS566" s="835">
        <v>1666.76</v>
      </c>
      <c r="AT566" s="835">
        <v>2584.9740000000002</v>
      </c>
      <c r="AU566" s="835">
        <v>2497.6640000000002</v>
      </c>
      <c r="AV566" s="835">
        <v>2537.9479999999999</v>
      </c>
      <c r="AW566" s="835">
        <v>2148.846</v>
      </c>
      <c r="AX566" s="835">
        <v>1009.8219999999999</v>
      </c>
      <c r="AY566" s="835">
        <v>633.346</v>
      </c>
      <c r="AZ566" s="501"/>
      <c r="BA566" s="501"/>
      <c r="BB566" s="501"/>
      <c r="BC566" s="501"/>
      <c r="BD566" s="501"/>
      <c r="BE566" s="501"/>
      <c r="BF566" s="501"/>
      <c r="BG566" s="501"/>
      <c r="BH566" s="501"/>
      <c r="BI566" s="501"/>
      <c r="BJ566" s="501"/>
      <c r="BK566" s="501"/>
      <c r="BL566" s="501"/>
      <c r="BM566" s="501"/>
      <c r="BN566" s="501"/>
      <c r="BO566" s="501"/>
      <c r="BP566" s="501"/>
      <c r="BQ566" s="501"/>
      <c r="BR566" s="501"/>
      <c r="BS566" s="501"/>
      <c r="BT566" s="501"/>
      <c r="BU566" s="501"/>
      <c r="BV566" s="501"/>
      <c r="BW566" s="501"/>
      <c r="BX566" s="501"/>
      <c r="BY566" s="501"/>
      <c r="BZ566" s="501"/>
      <c r="CA566" s="501"/>
      <c r="CB566" s="501"/>
      <c r="CC566" s="501"/>
      <c r="CD566" s="501"/>
      <c r="CE566" s="501"/>
      <c r="CF566" s="501"/>
      <c r="CG566" s="501"/>
      <c r="CH566" s="501"/>
      <c r="CI566" s="501"/>
      <c r="CJ566" s="501"/>
      <c r="CK566" s="501"/>
      <c r="CL566" s="501"/>
      <c r="CM566" s="501"/>
      <c r="CN566" s="501"/>
      <c r="CO566" s="501"/>
      <c r="CP566" s="501"/>
      <c r="CQ566" s="501"/>
      <c r="CR566" s="501"/>
      <c r="CS566" s="501"/>
      <c r="CT566" s="501"/>
      <c r="CU566" s="501"/>
      <c r="CV566" s="501"/>
      <c r="CW566" s="501"/>
      <c r="CX566" s="501"/>
      <c r="CY566" s="501"/>
      <c r="CZ566" s="501"/>
      <c r="DA566" s="501"/>
      <c r="DB566" s="501"/>
      <c r="DC566" s="501"/>
      <c r="DD566" s="501"/>
      <c r="DE566" s="501"/>
      <c r="DF566" s="501"/>
      <c r="DG566" s="501"/>
      <c r="DH566" s="501"/>
      <c r="DI566" s="501"/>
      <c r="DJ566" s="501"/>
      <c r="DK566" s="501"/>
      <c r="DL566" s="501"/>
      <c r="DM566" s="501"/>
      <c r="DN566" s="501"/>
      <c r="DO566" s="501"/>
      <c r="DP566" s="501"/>
      <c r="DQ566" s="501"/>
      <c r="DR566" s="501"/>
      <c r="DS566" s="501"/>
      <c r="DT566" s="501"/>
      <c r="DU566" s="501"/>
      <c r="DV566" s="501"/>
      <c r="DW566" s="501"/>
      <c r="DX566" s="501"/>
      <c r="DY566" s="501"/>
      <c r="DZ566" s="501"/>
      <c r="EA566" s="501"/>
      <c r="EB566" s="501"/>
      <c r="EC566" s="501"/>
      <c r="ED566" s="501"/>
      <c r="EE566" s="501"/>
      <c r="EF566" s="501"/>
      <c r="EG566" s="501"/>
      <c r="EH566" s="501"/>
      <c r="EI566" s="501"/>
      <c r="EJ566" s="501"/>
      <c r="EK566" s="501"/>
      <c r="EL566" s="501"/>
      <c r="EM566" s="501"/>
      <c r="EN566" s="501"/>
      <c r="EO566" s="501"/>
      <c r="EP566" s="501"/>
      <c r="EQ566" s="501"/>
      <c r="ER566" s="501"/>
      <c r="ES566" s="501"/>
      <c r="ET566" s="501"/>
      <c r="EU566" s="501"/>
      <c r="EV566" s="501"/>
      <c r="EW566" s="501"/>
      <c r="EX566" s="501"/>
      <c r="EY566" s="501"/>
      <c r="EZ566" s="501"/>
      <c r="FA566" s="501"/>
      <c r="FB566" s="501"/>
      <c r="FC566" s="501"/>
      <c r="FD566" s="501"/>
      <c r="FE566" s="501"/>
      <c r="FF566" s="501"/>
      <c r="FG566" s="501"/>
      <c r="FH566" s="501"/>
      <c r="FI566" s="501"/>
      <c r="FJ566" s="501"/>
      <c r="FK566" s="501"/>
      <c r="FL566" s="501"/>
      <c r="FM566" s="501"/>
      <c r="FN566" s="501"/>
      <c r="FO566" s="501"/>
      <c r="FP566" s="501"/>
      <c r="FQ566" s="501"/>
      <c r="FR566" s="501"/>
      <c r="FS566" s="501"/>
      <c r="FT566" s="501"/>
      <c r="FU566" s="501"/>
      <c r="FV566" s="501"/>
      <c r="FW566" s="501"/>
      <c r="FX566" s="501"/>
      <c r="FY566" s="501"/>
      <c r="FZ566" s="501"/>
      <c r="GA566" s="501"/>
      <c r="GB566" s="501"/>
      <c r="GC566" s="501"/>
      <c r="GD566" s="501"/>
      <c r="GE566" s="501"/>
      <c r="GF566" s="501"/>
      <c r="GG566" s="501"/>
      <c r="GH566" s="501"/>
      <c r="GI566" s="501"/>
      <c r="GJ566" s="501"/>
      <c r="GK566" s="501"/>
      <c r="GL566" s="501"/>
      <c r="GM566" s="501"/>
      <c r="GN566" s="501"/>
      <c r="GO566" s="501"/>
      <c r="GP566" s="501"/>
      <c r="GQ566" s="501"/>
      <c r="GR566" s="501"/>
      <c r="GS566" s="501"/>
      <c r="GT566" s="501"/>
      <c r="GU566" s="501"/>
      <c r="GV566" s="501"/>
      <c r="GW566" s="501"/>
      <c r="GX566" s="501"/>
      <c r="GY566" s="501"/>
      <c r="GZ566" s="501"/>
      <c r="HA566" s="501"/>
      <c r="HB566" s="501"/>
      <c r="HC566" s="501"/>
      <c r="HD566" s="501"/>
      <c r="HE566" s="501"/>
      <c r="HF566" s="501"/>
      <c r="HG566" s="501"/>
      <c r="HH566" s="501"/>
      <c r="HI566" s="501"/>
      <c r="HJ566" s="501"/>
      <c r="HK566" s="501"/>
      <c r="HL566" s="501"/>
      <c r="HM566" s="501"/>
      <c r="HN566" s="501"/>
      <c r="HO566" s="501"/>
      <c r="HP566" s="501"/>
      <c r="HQ566" s="501"/>
      <c r="HR566" s="501"/>
      <c r="HS566" s="501"/>
      <c r="HT566" s="501"/>
      <c r="HU566" s="501"/>
      <c r="HV566" s="501"/>
      <c r="HW566" s="501"/>
      <c r="HX566" s="501"/>
      <c r="HY566" s="501"/>
      <c r="HZ566" s="501"/>
      <c r="IA566" s="501"/>
      <c r="IB566" s="501"/>
      <c r="IC566" s="501"/>
      <c r="ID566" s="501"/>
      <c r="IE566" s="501"/>
      <c r="IF566" s="501"/>
      <c r="IG566" s="501"/>
      <c r="IH566" s="501"/>
      <c r="II566" s="501"/>
      <c r="IJ566" s="501"/>
      <c r="IK566" s="501"/>
      <c r="IL566" s="501"/>
      <c r="IM566" s="501"/>
      <c r="IN566" s="501"/>
      <c r="IO566" s="501"/>
      <c r="IP566" s="501"/>
      <c r="IQ566" s="501"/>
      <c r="IR566" s="501"/>
      <c r="IS566" s="501"/>
      <c r="IT566" s="501"/>
      <c r="IU566" s="501"/>
      <c r="IV566" s="501"/>
      <c r="IW566" s="501"/>
      <c r="IX566" s="501"/>
      <c r="IY566" s="501"/>
      <c r="IZ566" s="501"/>
      <c r="JA566" s="501"/>
      <c r="JB566" s="501"/>
      <c r="JC566" s="501"/>
      <c r="JD566" s="501"/>
      <c r="JE566" s="501"/>
      <c r="JF566" s="501"/>
      <c r="JG566" s="501"/>
      <c r="JH566" s="501"/>
      <c r="JI566" s="501"/>
      <c r="JJ566" s="501"/>
      <c r="JK566" s="501"/>
      <c r="JL566" s="501"/>
      <c r="JM566" s="501"/>
      <c r="JN566" s="501"/>
      <c r="JO566" s="501"/>
      <c r="JP566" s="501"/>
      <c r="JQ566" s="501"/>
      <c r="JR566" s="501"/>
      <c r="JS566" s="501"/>
      <c r="JT566" s="501"/>
      <c r="JU566" s="501"/>
      <c r="JV566" s="501"/>
      <c r="JW566" s="501"/>
      <c r="JX566" s="501"/>
      <c r="JY566" s="501"/>
      <c r="JZ566" s="501"/>
      <c r="KA566" s="501"/>
      <c r="KB566" s="501"/>
      <c r="KC566" s="501"/>
      <c r="KD566" s="501"/>
      <c r="KE566" s="501"/>
      <c r="KF566" s="501"/>
      <c r="KG566" s="501"/>
      <c r="KH566" s="501"/>
      <c r="KI566" s="501"/>
      <c r="KJ566" s="501"/>
      <c r="KK566" s="501"/>
      <c r="KL566" s="501"/>
      <c r="KM566" s="501"/>
      <c r="KN566" s="501"/>
      <c r="KO566" s="501"/>
      <c r="KP566" s="501"/>
      <c r="KQ566" s="501"/>
      <c r="KR566" s="501"/>
      <c r="KS566" s="501"/>
      <c r="KT566" s="501"/>
      <c r="KU566" s="501"/>
      <c r="KV566" s="501"/>
      <c r="KW566" s="501"/>
      <c r="KX566" s="501"/>
      <c r="KY566" s="501"/>
      <c r="KZ566" s="501"/>
      <c r="LA566" s="501"/>
      <c r="LB566" s="501"/>
      <c r="LC566" s="501"/>
      <c r="LD566" s="501"/>
      <c r="LE566" s="501"/>
      <c r="LF566" s="501"/>
      <c r="LG566" s="501"/>
      <c r="LH566" s="501"/>
      <c r="LI566" s="501"/>
      <c r="LJ566" s="501"/>
      <c r="LK566" s="501"/>
      <c r="LL566" s="501"/>
      <c r="LM566" s="501"/>
      <c r="LN566" s="501"/>
      <c r="LO566" s="501"/>
      <c r="LP566" s="501"/>
      <c r="LQ566" s="501"/>
      <c r="LR566" s="501"/>
      <c r="LS566" s="501"/>
      <c r="LT566" s="501"/>
      <c r="LU566" s="501"/>
      <c r="LV566" s="501"/>
      <c r="LW566" s="501"/>
      <c r="LX566" s="501"/>
      <c r="LY566" s="501"/>
      <c r="LZ566" s="501"/>
      <c r="MA566" s="501"/>
      <c r="MB566" s="501"/>
      <c r="MC566" s="501"/>
      <c r="MD566" s="501"/>
      <c r="ME566" s="501"/>
      <c r="MF566" s="501"/>
      <c r="MG566" s="501"/>
      <c r="MH566" s="501"/>
      <c r="MI566" s="501"/>
      <c r="MJ566" s="501"/>
      <c r="MK566" s="501"/>
      <c r="ML566" s="501"/>
      <c r="MM566" s="501"/>
      <c r="MN566" s="501"/>
      <c r="MO566" s="501"/>
      <c r="MP566" s="501"/>
      <c r="MQ566" s="501"/>
      <c r="MR566" s="501"/>
      <c r="MS566" s="501"/>
      <c r="MT566" s="501"/>
      <c r="MU566" s="501"/>
      <c r="MV566" s="501"/>
      <c r="MW566" s="501"/>
      <c r="MX566" s="501"/>
      <c r="MY566" s="501"/>
      <c r="MZ566" s="501"/>
      <c r="NA566" s="501"/>
      <c r="NB566" s="501"/>
      <c r="NC566" s="501"/>
      <c r="ND566" s="501"/>
      <c r="NE566" s="501"/>
      <c r="NF566" s="501"/>
      <c r="NG566" s="501"/>
      <c r="NH566" s="501"/>
      <c r="NI566" s="501"/>
      <c r="NJ566" s="501"/>
      <c r="NK566" s="501"/>
      <c r="NL566" s="501"/>
      <c r="NM566" s="501"/>
      <c r="NN566" s="501"/>
      <c r="NO566" s="501"/>
      <c r="NP566" s="501"/>
      <c r="NQ566" s="501"/>
      <c r="NR566" s="501"/>
      <c r="NS566" s="501"/>
      <c r="NT566" s="501"/>
      <c r="NU566" s="501"/>
      <c r="NV566" s="501"/>
      <c r="NW566" s="501"/>
      <c r="NX566" s="501"/>
      <c r="NY566" s="501"/>
      <c r="NZ566" s="501"/>
      <c r="OA566" s="501"/>
      <c r="OB566" s="501"/>
      <c r="OC566" s="501"/>
      <c r="OD566" s="501"/>
      <c r="OE566" s="501"/>
      <c r="OF566" s="501"/>
      <c r="OG566" s="501"/>
      <c r="OH566" s="501"/>
      <c r="OI566" s="501"/>
      <c r="OJ566" s="501"/>
      <c r="OK566" s="501"/>
      <c r="OL566" s="501"/>
      <c r="OM566" s="501"/>
      <c r="ON566" s="501"/>
      <c r="OO566" s="501"/>
      <c r="OP566" s="501"/>
      <c r="OQ566" s="501"/>
      <c r="OR566" s="501"/>
      <c r="OS566" s="501"/>
      <c r="OT566" s="501"/>
      <c r="OU566" s="501"/>
      <c r="OV566" s="501"/>
      <c r="OW566" s="501"/>
      <c r="OX566" s="501"/>
      <c r="OY566" s="501"/>
      <c r="OZ566" s="501"/>
      <c r="PA566" s="501"/>
      <c r="PB566" s="501"/>
      <c r="PC566" s="501"/>
      <c r="PD566" s="501"/>
      <c r="PE566" s="501"/>
      <c r="PF566" s="501"/>
      <c r="PG566" s="501"/>
      <c r="PH566" s="501"/>
      <c r="PI566" s="501"/>
      <c r="PJ566" s="501"/>
      <c r="PK566" s="501"/>
      <c r="PL566" s="501"/>
      <c r="PM566" s="501"/>
      <c r="PN566" s="501"/>
      <c r="PO566" s="501"/>
      <c r="PP566" s="501"/>
      <c r="PQ566" s="501"/>
      <c r="PR566" s="501"/>
      <c r="PS566" s="501"/>
      <c r="PT566" s="501"/>
      <c r="PU566" s="501"/>
      <c r="PV566" s="501"/>
      <c r="PW566" s="501"/>
      <c r="PX566" s="501"/>
      <c r="PY566" s="501"/>
      <c r="PZ566" s="501"/>
      <c r="QA566" s="501"/>
      <c r="QB566" s="501"/>
      <c r="QC566" s="501"/>
      <c r="QD566" s="501"/>
      <c r="QE566" s="501"/>
      <c r="QF566" s="501"/>
      <c r="QG566" s="501"/>
      <c r="QH566" s="501"/>
      <c r="QI566" s="501"/>
      <c r="QJ566" s="501"/>
      <c r="QK566" s="501"/>
      <c r="QL566" s="501"/>
      <c r="QM566" s="501"/>
      <c r="QN566" s="501"/>
      <c r="QO566" s="501"/>
      <c r="QP566" s="501"/>
      <c r="QQ566" s="501"/>
      <c r="QR566" s="501"/>
      <c r="QS566" s="501"/>
      <c r="QT566" s="501"/>
      <c r="QU566" s="501"/>
      <c r="QV566" s="501"/>
      <c r="QW566" s="501"/>
      <c r="QX566" s="501"/>
      <c r="QY566" s="501"/>
      <c r="QZ566" s="501"/>
      <c r="RA566" s="501"/>
      <c r="RB566" s="501"/>
      <c r="RC566" s="501"/>
      <c r="RD566" s="501"/>
      <c r="RE566" s="501"/>
      <c r="RF566" s="501"/>
      <c r="RG566" s="501"/>
      <c r="RH566" s="501"/>
      <c r="RI566" s="501"/>
      <c r="RJ566" s="501"/>
      <c r="RK566" s="501"/>
      <c r="RL566" s="501"/>
      <c r="RM566" s="501"/>
      <c r="RN566" s="501"/>
      <c r="RO566" s="501"/>
      <c r="RP566" s="501"/>
      <c r="RQ566" s="501"/>
      <c r="RR566" s="501"/>
      <c r="RS566" s="501"/>
      <c r="RT566" s="501"/>
      <c r="RU566" s="501"/>
      <c r="RV566" s="501"/>
      <c r="RW566" s="501"/>
      <c r="RX566" s="501"/>
      <c r="RY566" s="501"/>
      <c r="RZ566" s="501"/>
      <c r="SA566" s="501"/>
      <c r="SB566" s="501"/>
      <c r="SC566" s="501"/>
      <c r="SD566" s="501"/>
      <c r="SE566" s="501"/>
      <c r="SF566" s="501"/>
      <c r="SG566" s="501"/>
      <c r="SH566" s="501"/>
      <c r="SI566" s="501"/>
      <c r="SJ566" s="501"/>
      <c r="SK566" s="501"/>
      <c r="SL566" s="501"/>
      <c r="SM566" s="501"/>
      <c r="SN566" s="501"/>
      <c r="SO566" s="501"/>
      <c r="SP566" s="501"/>
      <c r="SQ566" s="501"/>
      <c r="SR566" s="501"/>
      <c r="SS566" s="501"/>
      <c r="ST566" s="501"/>
      <c r="SU566" s="501"/>
      <c r="SV566" s="501"/>
      <c r="SW566" s="501"/>
      <c r="SX566" s="501"/>
      <c r="SY566" s="501"/>
      <c r="SZ566" s="501"/>
      <c r="TA566" s="501"/>
      <c r="TB566" s="501"/>
      <c r="TC566" s="501"/>
      <c r="TD566" s="501"/>
      <c r="TE566" s="501"/>
      <c r="TF566" s="501"/>
      <c r="TG566" s="501"/>
      <c r="TH566" s="501"/>
      <c r="TI566" s="501"/>
      <c r="TJ566" s="501"/>
      <c r="TK566" s="501"/>
      <c r="TL566" s="501"/>
      <c r="TM566" s="501"/>
      <c r="TN566" s="501"/>
      <c r="TO566" s="501"/>
      <c r="TP566" s="501"/>
      <c r="TQ566" s="501"/>
      <c r="TR566" s="501"/>
      <c r="TS566" s="501"/>
      <c r="TT566" s="501"/>
      <c r="TU566" s="501"/>
      <c r="TV566" s="501"/>
      <c r="TW566" s="501"/>
      <c r="TX566" s="501"/>
      <c r="TY566" s="501"/>
      <c r="TZ566" s="501"/>
      <c r="UA566" s="501"/>
      <c r="UB566" s="501"/>
      <c r="UC566" s="501"/>
      <c r="UD566" s="501"/>
      <c r="UE566" s="501"/>
      <c r="UF566" s="501"/>
      <c r="UG566" s="501"/>
      <c r="UH566" s="501"/>
      <c r="UI566" s="501"/>
      <c r="UJ566" s="501"/>
      <c r="UK566" s="501"/>
      <c r="UL566" s="501"/>
      <c r="UM566" s="501"/>
      <c r="UN566" s="501"/>
      <c r="UO566" s="501"/>
      <c r="UP566" s="501"/>
      <c r="UQ566" s="501"/>
      <c r="UR566" s="501"/>
      <c r="US566" s="501"/>
      <c r="UT566" s="501"/>
      <c r="UU566" s="501"/>
      <c r="UV566" s="501"/>
      <c r="UW566" s="501"/>
      <c r="UX566" s="501"/>
      <c r="UY566" s="501"/>
      <c r="UZ566" s="501"/>
      <c r="VA566" s="501"/>
      <c r="VB566" s="501"/>
      <c r="VC566" s="501"/>
      <c r="VD566" s="501"/>
      <c r="VE566" s="501"/>
      <c r="VF566" s="501"/>
      <c r="VG566" s="501"/>
      <c r="VH566" s="501"/>
      <c r="VI566" s="501"/>
      <c r="VJ566" s="501"/>
      <c r="VK566" s="501"/>
      <c r="VL566" s="501"/>
      <c r="VM566" s="501"/>
      <c r="VN566" s="501"/>
      <c r="VO566" s="501"/>
      <c r="VP566" s="501"/>
      <c r="VQ566" s="501"/>
      <c r="VR566" s="501"/>
      <c r="VS566" s="501"/>
      <c r="VT566" s="501"/>
      <c r="VU566" s="501"/>
      <c r="VV566" s="501"/>
      <c r="VW566" s="501"/>
      <c r="VX566" s="501"/>
      <c r="VY566" s="501"/>
      <c r="VZ566" s="501"/>
      <c r="WA566" s="501"/>
      <c r="WB566" s="501"/>
      <c r="WC566" s="501"/>
      <c r="WD566" s="501"/>
      <c r="WE566" s="501"/>
      <c r="WF566" s="501"/>
      <c r="WG566" s="501"/>
      <c r="WH566" s="501"/>
      <c r="WI566" s="501"/>
      <c r="WJ566" s="501"/>
      <c r="WK566" s="501"/>
      <c r="WL566" s="501"/>
      <c r="WM566" s="501"/>
      <c r="WN566" s="501"/>
      <c r="WO566" s="501"/>
      <c r="WP566" s="501"/>
      <c r="WQ566" s="501"/>
      <c r="WR566" s="501"/>
      <c r="WS566" s="501"/>
      <c r="WT566" s="501"/>
      <c r="WU566" s="501"/>
      <c r="WV566" s="501"/>
      <c r="WW566" s="501"/>
      <c r="WX566" s="501"/>
      <c r="WY566" s="501"/>
      <c r="WZ566" s="501"/>
      <c r="XA566" s="501"/>
      <c r="XB566" s="501"/>
      <c r="XC566" s="501"/>
      <c r="XD566" s="501"/>
      <c r="XE566" s="501"/>
      <c r="XF566" s="501"/>
      <c r="XG566" s="501"/>
      <c r="XH566" s="501"/>
      <c r="XI566" s="501"/>
      <c r="XJ566" s="501"/>
      <c r="XK566" s="501"/>
      <c r="XL566" s="501"/>
      <c r="XM566" s="501"/>
      <c r="XN566" s="501"/>
      <c r="XO566" s="501"/>
      <c r="XP566" s="501"/>
      <c r="XQ566" s="501"/>
      <c r="XR566" s="501"/>
      <c r="XS566" s="501"/>
      <c r="XT566" s="501"/>
      <c r="XU566" s="501"/>
      <c r="XV566" s="501"/>
      <c r="XW566" s="501"/>
      <c r="XX566" s="501"/>
      <c r="XY566" s="501"/>
      <c r="XZ566" s="501"/>
      <c r="YA566" s="501"/>
      <c r="YB566" s="501"/>
      <c r="YC566" s="501"/>
      <c r="YD566" s="501"/>
      <c r="YE566" s="501"/>
      <c r="YF566" s="501"/>
      <c r="YG566" s="501"/>
      <c r="YH566" s="501"/>
      <c r="YI566" s="501"/>
      <c r="YJ566" s="501"/>
      <c r="YK566" s="501"/>
      <c r="YL566" s="501"/>
      <c r="YM566" s="501"/>
      <c r="YN566" s="501"/>
      <c r="YO566" s="501"/>
      <c r="YP566" s="501"/>
      <c r="YQ566" s="501"/>
      <c r="YR566" s="501"/>
      <c r="YS566" s="501"/>
      <c r="YT566" s="501"/>
      <c r="YU566" s="501"/>
      <c r="YV566" s="501"/>
      <c r="YW566" s="501"/>
      <c r="YX566" s="501"/>
      <c r="YY566" s="501"/>
      <c r="YZ566" s="501"/>
      <c r="ZA566" s="501"/>
      <c r="ZB566" s="501"/>
      <c r="ZC566" s="501"/>
      <c r="ZD566" s="501"/>
      <c r="ZE566" s="501"/>
      <c r="ZF566" s="501"/>
      <c r="ZG566" s="501"/>
      <c r="ZH566" s="501"/>
      <c r="ZI566" s="501"/>
      <c r="ZJ566" s="501"/>
      <c r="ZK566" s="501"/>
      <c r="ZL566" s="501"/>
      <c r="ZM566" s="501"/>
      <c r="ZN566" s="501"/>
      <c r="ZO566" s="501"/>
      <c r="ZP566" s="501"/>
      <c r="ZQ566" s="501"/>
      <c r="ZR566" s="501"/>
      <c r="ZS566" s="501"/>
      <c r="ZT566" s="501"/>
      <c r="ZU566" s="501"/>
      <c r="ZV566" s="501"/>
      <c r="ZW566" s="501"/>
      <c r="ZX566" s="501"/>
      <c r="ZY566" s="501"/>
      <c r="ZZ566" s="501"/>
      <c r="AAA566" s="501"/>
      <c r="AAB566" s="501"/>
      <c r="AAC566" s="501"/>
      <c r="AAD566" s="501"/>
      <c r="AAE566" s="501"/>
      <c r="AAF566" s="501"/>
      <c r="AAG566" s="501"/>
      <c r="AAH566" s="501"/>
      <c r="AAI566" s="501"/>
      <c r="AAJ566" s="501"/>
      <c r="AAK566" s="501"/>
      <c r="AAL566" s="501"/>
      <c r="AAM566" s="501"/>
      <c r="AAN566" s="501"/>
      <c r="AAO566" s="501"/>
      <c r="AAP566" s="501"/>
      <c r="AAQ566" s="501"/>
      <c r="AAR566" s="501"/>
      <c r="AAS566" s="501"/>
      <c r="AAT566" s="501"/>
      <c r="AAU566" s="501"/>
      <c r="AAV566" s="501"/>
      <c r="AAW566" s="501"/>
      <c r="AAX566" s="501"/>
      <c r="AAY566" s="501"/>
      <c r="AAZ566" s="501"/>
      <c r="ABA566" s="501"/>
      <c r="ABB566" s="501"/>
      <c r="ABC566" s="501"/>
      <c r="ABD566" s="501"/>
      <c r="ABE566" s="501"/>
      <c r="ABF566" s="501"/>
      <c r="ABG566" s="501"/>
      <c r="ABH566" s="501"/>
      <c r="ABI566" s="501"/>
      <c r="ABJ566" s="501"/>
      <c r="ABK566" s="501"/>
      <c r="ABL566" s="501"/>
      <c r="ABM566" s="501"/>
      <c r="ABN566" s="501"/>
      <c r="ABO566" s="501"/>
      <c r="ABP566" s="501"/>
      <c r="ABQ566" s="501"/>
      <c r="ABR566" s="501"/>
      <c r="ABS566" s="501"/>
      <c r="ABT566" s="501"/>
      <c r="ABU566" s="501"/>
      <c r="ABV566" s="501"/>
      <c r="ABW566" s="501"/>
      <c r="ABX566" s="501"/>
      <c r="ABY566" s="501"/>
      <c r="ABZ566" s="501"/>
      <c r="ACA566" s="501"/>
      <c r="ACB566" s="501"/>
      <c r="ACC566" s="501"/>
      <c r="ACD566" s="501"/>
      <c r="ACE566" s="501"/>
      <c r="ACF566" s="501"/>
      <c r="ACG566" s="501"/>
      <c r="ACH566" s="501"/>
      <c r="ACI566" s="501"/>
      <c r="ACJ566" s="501"/>
      <c r="ACK566" s="501"/>
      <c r="ACL566" s="501"/>
      <c r="ACM566" s="501"/>
      <c r="ACN566" s="501"/>
      <c r="ACO566" s="501"/>
      <c r="ACP566" s="501"/>
      <c r="ACQ566" s="501"/>
      <c r="ACR566" s="501"/>
      <c r="ACS566" s="501"/>
      <c r="ACT566" s="501"/>
      <c r="ACU566" s="501"/>
      <c r="ACV566" s="501"/>
      <c r="ACW566" s="501"/>
      <c r="ACX566" s="501"/>
      <c r="ACY566" s="501"/>
      <c r="ACZ566" s="501"/>
      <c r="ADA566" s="501"/>
      <c r="ADB566" s="501"/>
      <c r="ADC566" s="501"/>
      <c r="ADD566" s="501"/>
      <c r="ADE566" s="501"/>
      <c r="ADF566" s="501"/>
      <c r="ADG566" s="501"/>
      <c r="ADH566" s="501"/>
      <c r="ADI566" s="501"/>
      <c r="ADJ566" s="501"/>
      <c r="ADK566" s="501"/>
      <c r="ADL566" s="501"/>
      <c r="ADM566" s="501"/>
      <c r="ADN566" s="501"/>
      <c r="ADO566" s="501"/>
      <c r="ADP566" s="501"/>
      <c r="ADQ566" s="501"/>
      <c r="ADR566" s="501"/>
      <c r="ADS566" s="501"/>
      <c r="ADT566" s="501"/>
      <c r="ADU566" s="501"/>
      <c r="ADV566" s="501"/>
      <c r="ADW566" s="501"/>
      <c r="ADX566" s="501"/>
      <c r="ADY566" s="501"/>
      <c r="ADZ566" s="501"/>
      <c r="AEA566" s="501"/>
      <c r="AEB566" s="501"/>
      <c r="AEC566" s="501"/>
      <c r="AED566" s="501"/>
      <c r="AEE566" s="501"/>
      <c r="AEF566" s="501"/>
      <c r="AEG566" s="501"/>
      <c r="AEH566" s="501"/>
      <c r="AEI566" s="501"/>
      <c r="AEJ566" s="501"/>
      <c r="AEK566" s="501"/>
      <c r="AEL566" s="501"/>
      <c r="AEM566" s="501"/>
      <c r="AEN566" s="501"/>
      <c r="AEO566" s="501"/>
      <c r="AEP566" s="501"/>
      <c r="AEQ566" s="501"/>
      <c r="AER566" s="501"/>
      <c r="AES566" s="501"/>
      <c r="AET566" s="501"/>
      <c r="AEU566" s="501"/>
      <c r="AEV566" s="501"/>
      <c r="AEW566" s="501"/>
      <c r="AEX566" s="501"/>
      <c r="AEY566" s="501"/>
      <c r="AEZ566" s="501"/>
      <c r="AFA566" s="501"/>
      <c r="AFB566" s="501"/>
      <c r="AFC566" s="501"/>
      <c r="AFD566" s="501"/>
      <c r="AFE566" s="501"/>
      <c r="AFF566" s="501"/>
      <c r="AFG566" s="501"/>
      <c r="AFH566" s="501"/>
      <c r="AFI566" s="501"/>
      <c r="AFJ566" s="501"/>
      <c r="AFK566" s="501"/>
      <c r="AFL566" s="501"/>
      <c r="AFM566" s="501"/>
      <c r="AFN566" s="501"/>
      <c r="AFO566" s="501"/>
      <c r="AFP566" s="501"/>
      <c r="AFQ566" s="501"/>
      <c r="AFR566" s="501"/>
      <c r="AFS566" s="501"/>
      <c r="AFT566" s="501"/>
      <c r="AFU566" s="501"/>
      <c r="AFV566" s="501"/>
      <c r="AFW566" s="501"/>
      <c r="AFX566" s="501"/>
      <c r="AFY566" s="501"/>
      <c r="AFZ566" s="501"/>
      <c r="AGA566" s="501"/>
      <c r="AGB566" s="501"/>
      <c r="AGC566" s="501"/>
      <c r="AGD566" s="501"/>
      <c r="AGE566" s="501"/>
      <c r="AGF566" s="501"/>
      <c r="AGG566" s="501"/>
      <c r="AGH566" s="501"/>
      <c r="AGI566" s="501"/>
      <c r="AGJ566" s="501"/>
      <c r="AGK566" s="501"/>
      <c r="AGL566" s="501"/>
      <c r="AGM566" s="501"/>
      <c r="AGN566" s="501"/>
      <c r="AGO566" s="501"/>
      <c r="AGP566" s="501"/>
      <c r="AGQ566" s="501"/>
      <c r="AGR566" s="501"/>
      <c r="AGS566" s="501"/>
      <c r="AGT566" s="501"/>
      <c r="AGU566" s="501"/>
      <c r="AGV566" s="501"/>
      <c r="AGW566" s="501"/>
      <c r="AGX566" s="501"/>
      <c r="AGY566" s="501"/>
      <c r="AGZ566" s="501"/>
      <c r="AHA566" s="501"/>
      <c r="AHB566" s="501"/>
      <c r="AHC566" s="501"/>
      <c r="AHD566" s="501"/>
      <c r="AHE566" s="501"/>
      <c r="AHF566" s="501"/>
      <c r="AHG566" s="501"/>
      <c r="AHH566" s="501"/>
      <c r="AHI566" s="501"/>
      <c r="AHJ566" s="501"/>
      <c r="AHK566" s="501"/>
      <c r="AHL566" s="501"/>
      <c r="AHM566" s="501"/>
      <c r="AHN566" s="501"/>
      <c r="AHO566" s="501"/>
      <c r="AHP566" s="501"/>
      <c r="AHQ566" s="501"/>
      <c r="AHR566" s="501"/>
      <c r="AHS566" s="501"/>
      <c r="AHT566" s="501"/>
      <c r="AHU566" s="501"/>
      <c r="AHV566" s="501"/>
      <c r="AHW566" s="501"/>
      <c r="AHX566" s="501"/>
      <c r="AHY566" s="501"/>
      <c r="AHZ566" s="501"/>
      <c r="AIA566" s="501"/>
      <c r="AIB566" s="501"/>
      <c r="AIC566" s="501"/>
      <c r="AID566" s="501"/>
      <c r="AIE566" s="501"/>
      <c r="AIF566" s="501"/>
      <c r="AIG566" s="501"/>
      <c r="AIH566" s="501"/>
      <c r="AII566" s="501"/>
      <c r="AIJ566" s="501"/>
      <c r="AIK566" s="501"/>
      <c r="AIL566" s="501"/>
      <c r="AIM566" s="501"/>
      <c r="AIN566" s="501"/>
      <c r="AIO566" s="501"/>
      <c r="AIP566" s="501"/>
      <c r="AIQ566" s="501"/>
      <c r="AIR566" s="501"/>
      <c r="AIS566" s="501"/>
      <c r="AIT566" s="501"/>
      <c r="AIU566" s="501"/>
      <c r="AIV566" s="501"/>
      <c r="AIW566" s="501"/>
      <c r="AIX566" s="501"/>
      <c r="AIY566" s="501"/>
      <c r="AIZ566" s="501"/>
      <c r="AJA566" s="501"/>
      <c r="AJB566" s="501"/>
      <c r="AJC566" s="501"/>
      <c r="AJD566" s="501"/>
      <c r="AJE566" s="501"/>
      <c r="AJF566" s="501"/>
      <c r="AJG566" s="501"/>
      <c r="AJH566" s="501"/>
      <c r="AJI566" s="501"/>
      <c r="AJJ566" s="501"/>
      <c r="AJK566" s="501"/>
      <c r="AJL566" s="501"/>
      <c r="AJM566" s="501"/>
      <c r="AJN566" s="501"/>
      <c r="AJO566" s="501"/>
      <c r="AJP566" s="501"/>
      <c r="AJQ566" s="501"/>
      <c r="AJR566" s="501"/>
      <c r="AJS566" s="501"/>
      <c r="AJT566" s="501"/>
      <c r="AJU566" s="501"/>
      <c r="AJV566" s="501"/>
      <c r="AJW566" s="501"/>
      <c r="AJX566" s="501"/>
      <c r="AJY566" s="501"/>
      <c r="AJZ566" s="501"/>
      <c r="AKA566" s="501"/>
      <c r="AKB566" s="501"/>
      <c r="AKC566" s="501"/>
      <c r="AKD566" s="501"/>
      <c r="AKE566" s="501"/>
      <c r="AKF566" s="501"/>
      <c r="AKG566" s="501"/>
      <c r="AKH566" s="501"/>
      <c r="AKI566" s="501"/>
      <c r="AKJ566" s="501"/>
      <c r="AKK566" s="501"/>
      <c r="AKL566" s="501"/>
      <c r="AKM566" s="501"/>
      <c r="AKN566" s="501"/>
      <c r="AKO566" s="501"/>
      <c r="AKP566" s="501"/>
      <c r="AKQ566" s="501"/>
      <c r="AKR566" s="501"/>
      <c r="AKS566" s="501"/>
      <c r="AKT566" s="501"/>
      <c r="AKU566" s="501"/>
      <c r="AKV566" s="501"/>
      <c r="AKW566" s="501"/>
      <c r="AKX566" s="501"/>
      <c r="AKY566" s="501"/>
      <c r="AKZ566" s="501"/>
      <c r="ALA566" s="501"/>
      <c r="ALB566" s="501"/>
      <c r="ALC566" s="501"/>
      <c r="ALD566" s="501"/>
      <c r="ALE566" s="501"/>
      <c r="ALF566" s="501"/>
      <c r="ALG566" s="501"/>
      <c r="ALH566" s="501"/>
      <c r="ALI566" s="501"/>
      <c r="ALJ566" s="501"/>
      <c r="ALK566" s="501"/>
      <c r="ALL566" s="501"/>
      <c r="ALM566" s="501"/>
      <c r="ALN566" s="501"/>
      <c r="ALO566" s="501"/>
      <c r="ALP566" s="501"/>
      <c r="ALQ566" s="501"/>
      <c r="ALR566" s="501"/>
      <c r="ALS566" s="501"/>
      <c r="ALT566" s="501"/>
      <c r="ALU566" s="501"/>
      <c r="ALV566" s="501"/>
      <c r="ALW566" s="501"/>
      <c r="ALX566" s="501"/>
      <c r="ALY566" s="501"/>
      <c r="ALZ566" s="501"/>
      <c r="AMA566" s="501"/>
      <c r="AMB566" s="501"/>
      <c r="AMC566" s="501"/>
      <c r="AMD566" s="501"/>
      <c r="AME566" s="501"/>
      <c r="AMF566" s="501"/>
      <c r="AMG566" s="501"/>
      <c r="AMH566" s="501"/>
      <c r="AMI566" s="501"/>
      <c r="AMJ566" s="501"/>
      <c r="AMK566" s="501"/>
      <c r="AML566" s="501"/>
      <c r="AMM566" s="501"/>
      <c r="AMN566" s="501"/>
      <c r="AMO566" s="501"/>
      <c r="AMP566" s="501"/>
      <c r="AMQ566" s="501"/>
      <c r="AMR566" s="501"/>
      <c r="AMS566" s="501"/>
      <c r="AMT566" s="501"/>
      <c r="AMU566" s="501"/>
      <c r="AMV566" s="501"/>
      <c r="AMW566" s="501"/>
      <c r="AMX566" s="501"/>
      <c r="AMY566" s="501"/>
      <c r="AMZ566" s="501"/>
      <c r="ANA566" s="501"/>
      <c r="ANB566" s="501"/>
      <c r="ANC566" s="501"/>
      <c r="AND566" s="501"/>
      <c r="ANE566" s="501"/>
      <c r="ANF566" s="501"/>
      <c r="ANG566" s="501"/>
      <c r="ANH566" s="501"/>
      <c r="ANI566" s="501"/>
      <c r="ANJ566" s="501"/>
      <c r="ANK566" s="501"/>
      <c r="ANL566" s="501"/>
      <c r="ANM566" s="501"/>
      <c r="ANN566" s="501"/>
      <c r="ANO566" s="501"/>
      <c r="ANP566" s="501"/>
      <c r="ANQ566" s="501"/>
      <c r="ANR566" s="501"/>
      <c r="ANS566" s="501"/>
      <c r="ANT566" s="501"/>
      <c r="ANU566" s="501"/>
      <c r="ANV566" s="501"/>
      <c r="ANW566" s="501"/>
      <c r="ANX566" s="501"/>
      <c r="ANY566" s="501"/>
      <c r="ANZ566" s="501"/>
      <c r="AOA566" s="501"/>
      <c r="AOB566" s="501"/>
      <c r="AOC566" s="501"/>
      <c r="AOD566" s="501"/>
      <c r="AOE566" s="501"/>
      <c r="AOF566" s="501"/>
      <c r="AOG566" s="501"/>
      <c r="AOH566" s="501"/>
      <c r="AOI566" s="501"/>
      <c r="AOJ566" s="501"/>
      <c r="AOK566" s="501"/>
      <c r="AOL566" s="501"/>
      <c r="AOM566" s="501"/>
      <c r="AON566" s="501"/>
      <c r="AOO566" s="501"/>
      <c r="AOP566" s="501"/>
      <c r="AOQ566" s="501"/>
      <c r="AOR566" s="501"/>
      <c r="AOS566" s="501"/>
      <c r="AOT566" s="501"/>
      <c r="AOU566" s="501"/>
      <c r="AOV566" s="501"/>
      <c r="AOW566" s="501"/>
      <c r="AOX566" s="501"/>
      <c r="AOY566" s="501"/>
      <c r="AOZ566" s="501"/>
      <c r="APA566" s="501"/>
      <c r="APB566" s="501"/>
      <c r="APC566" s="501"/>
      <c r="APD566" s="501"/>
      <c r="APE566" s="501"/>
      <c r="APF566" s="501"/>
      <c r="APG566" s="501"/>
      <c r="APH566" s="501"/>
      <c r="API566" s="501"/>
      <c r="APJ566" s="501"/>
      <c r="APK566" s="501"/>
      <c r="APL566" s="501"/>
      <c r="APM566" s="501"/>
      <c r="APN566" s="501"/>
      <c r="APO566" s="501"/>
      <c r="APP566" s="501"/>
      <c r="APQ566" s="501"/>
      <c r="APR566" s="501"/>
      <c r="APS566" s="501"/>
      <c r="APT566" s="501"/>
      <c r="APU566" s="501"/>
      <c r="APV566" s="501"/>
      <c r="APW566" s="501"/>
      <c r="APX566" s="501"/>
      <c r="APY566" s="501"/>
      <c r="APZ566" s="501"/>
      <c r="AQA566" s="501"/>
      <c r="AQB566" s="501"/>
      <c r="AQC566" s="501"/>
      <c r="AQD566" s="501"/>
      <c r="AQE566" s="501"/>
      <c r="AQF566" s="501"/>
      <c r="AQG566" s="501"/>
      <c r="AQH566" s="501"/>
      <c r="AQI566" s="501"/>
      <c r="AQJ566" s="501"/>
      <c r="AQK566" s="501"/>
      <c r="AQL566" s="501"/>
      <c r="AQM566" s="501"/>
      <c r="AQN566" s="501"/>
      <c r="AQO566" s="501"/>
      <c r="AQP566" s="501"/>
      <c r="AQQ566" s="501"/>
      <c r="AQR566" s="501"/>
      <c r="AQS566" s="501"/>
      <c r="AQT566" s="501"/>
      <c r="AQU566" s="501"/>
      <c r="AQV566" s="501"/>
      <c r="AQW566" s="501"/>
      <c r="AQX566" s="501"/>
      <c r="AQY566" s="501"/>
      <c r="AQZ566" s="501"/>
      <c r="ARA566" s="501"/>
      <c r="ARB566" s="501"/>
      <c r="ARC566" s="501"/>
      <c r="ARD566" s="501"/>
      <c r="ARE566" s="501"/>
      <c r="ARF566" s="501"/>
      <c r="ARG566" s="501"/>
      <c r="ARH566" s="501"/>
      <c r="ARI566" s="501"/>
      <c r="ARJ566" s="501"/>
      <c r="ARK566" s="501"/>
      <c r="ARL566" s="501"/>
      <c r="ARM566" s="501"/>
      <c r="ARN566" s="501"/>
      <c r="ARO566" s="501"/>
      <c r="ARP566" s="501"/>
      <c r="ARQ566" s="501"/>
      <c r="ARR566" s="501"/>
      <c r="ARS566" s="501"/>
      <c r="ART566" s="501"/>
      <c r="ARU566" s="501"/>
      <c r="ARV566" s="501"/>
      <c r="ARW566" s="501"/>
      <c r="ARX566" s="501"/>
      <c r="ARY566" s="501"/>
      <c r="ARZ566" s="501"/>
      <c r="ASA566" s="501"/>
      <c r="ASB566" s="501"/>
      <c r="ASC566" s="501"/>
      <c r="ASD566" s="501"/>
      <c r="ASE566" s="501"/>
      <c r="ASF566" s="501"/>
      <c r="ASG566" s="501"/>
      <c r="ASH566" s="501"/>
      <c r="ASI566" s="501"/>
      <c r="ASJ566" s="501"/>
      <c r="ASK566" s="501"/>
      <c r="ASL566" s="501"/>
      <c r="ASM566" s="501"/>
      <c r="ASN566" s="501"/>
      <c r="ASO566" s="501"/>
      <c r="ASP566" s="501"/>
      <c r="ASQ566" s="501"/>
      <c r="ASR566" s="501"/>
      <c r="ASS566" s="501"/>
      <c r="AST566" s="501"/>
      <c r="ASU566" s="501"/>
      <c r="ASV566" s="501"/>
      <c r="ASW566" s="501"/>
      <c r="ASX566" s="501"/>
      <c r="ASY566" s="501"/>
      <c r="ASZ566" s="501"/>
      <c r="ATA566" s="501"/>
      <c r="ATB566" s="501"/>
      <c r="ATC566" s="501"/>
      <c r="ATD566" s="501"/>
      <c r="ATE566" s="501"/>
      <c r="ATF566" s="501"/>
      <c r="ATG566" s="501"/>
      <c r="ATH566" s="501"/>
      <c r="ATI566" s="501"/>
      <c r="ATJ566" s="501"/>
      <c r="ATK566" s="501"/>
      <c r="ATL566" s="501"/>
      <c r="ATM566" s="501"/>
      <c r="ATN566" s="501"/>
      <c r="ATO566" s="501"/>
      <c r="ATP566" s="501"/>
      <c r="ATQ566" s="501"/>
      <c r="ATR566" s="501"/>
      <c r="ATS566" s="501"/>
      <c r="ATT566" s="501"/>
      <c r="ATU566" s="501"/>
      <c r="ATV566" s="501"/>
      <c r="ATW566" s="501"/>
      <c r="ATX566" s="501"/>
      <c r="ATY566" s="501"/>
      <c r="ATZ566" s="501"/>
      <c r="AUA566" s="501"/>
      <c r="AUB566" s="501"/>
      <c r="AUC566" s="501"/>
      <c r="AUD566" s="501"/>
      <c r="AUE566" s="501"/>
      <c r="AUF566" s="501"/>
      <c r="AUG566" s="501"/>
      <c r="AUH566" s="501"/>
      <c r="AUI566" s="501"/>
      <c r="AUJ566" s="501"/>
      <c r="AUK566" s="501"/>
      <c r="AUL566" s="501"/>
      <c r="AUM566" s="501"/>
      <c r="AUN566" s="501"/>
      <c r="AUO566" s="501"/>
      <c r="AUP566" s="501"/>
      <c r="AUQ566" s="501"/>
      <c r="AUR566" s="501"/>
      <c r="AUS566" s="501"/>
      <c r="AUT566" s="501"/>
      <c r="AUU566" s="501"/>
      <c r="AUV566" s="501"/>
      <c r="AUW566" s="501"/>
      <c r="AUX566" s="501"/>
      <c r="AUY566" s="501"/>
      <c r="AUZ566" s="501"/>
      <c r="AVA566" s="501"/>
      <c r="AVB566" s="501"/>
      <c r="AVC566" s="501"/>
      <c r="AVD566" s="501"/>
      <c r="AVE566" s="501"/>
      <c r="AVF566" s="501"/>
      <c r="AVG566" s="501"/>
      <c r="AVH566" s="501"/>
      <c r="AVI566" s="501"/>
      <c r="AVJ566" s="501"/>
      <c r="AVK566" s="501"/>
      <c r="AVL566" s="501"/>
      <c r="AVM566" s="501"/>
      <c r="AVN566" s="501"/>
      <c r="AVO566" s="501"/>
      <c r="AVP566" s="501"/>
      <c r="AVQ566" s="501"/>
      <c r="AVR566" s="501"/>
      <c r="AVS566" s="501"/>
      <c r="AVT566" s="501"/>
      <c r="AVU566" s="501"/>
      <c r="AVV566" s="501"/>
      <c r="AVW566" s="501"/>
      <c r="AVX566" s="501"/>
      <c r="AVY566" s="501"/>
      <c r="AVZ566" s="501"/>
      <c r="AWA566" s="501"/>
      <c r="AWB566" s="501"/>
      <c r="AWC566" s="501"/>
      <c r="AWD566" s="501"/>
      <c r="AWE566" s="501"/>
      <c r="AWF566" s="501"/>
      <c r="AWG566" s="501"/>
      <c r="AWH566" s="501"/>
      <c r="AWI566" s="501"/>
      <c r="AWJ566" s="501"/>
      <c r="AWK566" s="501"/>
      <c r="AWL566" s="501"/>
      <c r="AWM566" s="501"/>
      <c r="AWN566" s="501"/>
      <c r="AWO566" s="501"/>
      <c r="AWP566" s="501"/>
      <c r="AWQ566" s="501"/>
      <c r="AWR566" s="501"/>
      <c r="AWS566" s="501"/>
      <c r="AWT566" s="501"/>
      <c r="AWU566" s="501"/>
      <c r="AWV566" s="501"/>
      <c r="AWW566" s="501"/>
      <c r="AWX566" s="501"/>
      <c r="AWY566" s="501"/>
      <c r="AWZ566" s="501"/>
      <c r="AXA566" s="501"/>
      <c r="AXB566" s="501"/>
      <c r="AXC566" s="501"/>
      <c r="AXD566" s="501"/>
      <c r="AXE566" s="501"/>
      <c r="AXF566" s="501"/>
      <c r="AXG566" s="501"/>
      <c r="AXH566" s="501"/>
      <c r="AXI566" s="501"/>
      <c r="AXJ566" s="501"/>
      <c r="AXK566" s="501"/>
      <c r="AXL566" s="501"/>
      <c r="AXM566" s="501"/>
      <c r="AXN566" s="501"/>
      <c r="AXO566" s="501"/>
      <c r="AXP566" s="501"/>
      <c r="AXQ566" s="501"/>
      <c r="AXR566" s="501"/>
      <c r="AXS566" s="501"/>
      <c r="AXT566" s="501"/>
      <c r="AXU566" s="501"/>
      <c r="AXV566" s="501"/>
      <c r="AXW566" s="501"/>
      <c r="AXX566" s="501"/>
      <c r="AXY566" s="501"/>
      <c r="AXZ566" s="501"/>
      <c r="AYA566" s="501"/>
      <c r="AYB566" s="501"/>
      <c r="AYC566" s="501"/>
      <c r="AYD566" s="501"/>
      <c r="AYE566" s="501"/>
      <c r="AYF566" s="501"/>
      <c r="AYG566" s="501"/>
      <c r="AYH566" s="501"/>
      <c r="AYI566" s="501"/>
      <c r="AYJ566" s="501"/>
      <c r="AYK566" s="501"/>
      <c r="AYL566" s="501"/>
      <c r="AYM566" s="501"/>
      <c r="AYN566" s="501"/>
      <c r="AYO566" s="501"/>
      <c r="AYP566" s="501"/>
      <c r="AYQ566" s="501"/>
      <c r="AYR566" s="501"/>
      <c r="AYS566" s="501"/>
      <c r="AYT566" s="501"/>
      <c r="AYU566" s="501"/>
      <c r="AYV566" s="501"/>
      <c r="AYW566" s="501"/>
      <c r="AYX566" s="501"/>
      <c r="AYY566" s="501"/>
      <c r="AYZ566" s="501"/>
      <c r="AZA566" s="501"/>
      <c r="AZB566" s="501"/>
      <c r="AZC566" s="501"/>
      <c r="AZD566" s="501"/>
      <c r="AZE566" s="501"/>
      <c r="AZF566" s="501"/>
      <c r="AZG566" s="501"/>
      <c r="AZH566" s="501"/>
      <c r="AZI566" s="501"/>
      <c r="AZJ566" s="501"/>
      <c r="AZK566" s="501"/>
      <c r="AZL566" s="501"/>
      <c r="AZM566" s="501"/>
      <c r="AZN566" s="501"/>
      <c r="AZO566" s="501"/>
      <c r="AZP566" s="501"/>
      <c r="AZQ566" s="501"/>
      <c r="AZR566" s="501"/>
      <c r="AZS566" s="501"/>
      <c r="AZT566" s="501"/>
      <c r="AZU566" s="501"/>
      <c r="AZV566" s="501"/>
      <c r="AZW566" s="501"/>
      <c r="AZX566" s="501"/>
      <c r="AZY566" s="501"/>
      <c r="AZZ566" s="501"/>
      <c r="BAA566" s="501"/>
      <c r="BAB566" s="501"/>
      <c r="BAC566" s="501"/>
      <c r="BAD566" s="501"/>
      <c r="BAE566" s="501"/>
      <c r="BAF566" s="501"/>
      <c r="BAG566" s="501"/>
      <c r="BAH566" s="501"/>
      <c r="BAI566" s="501"/>
      <c r="BAJ566" s="501"/>
      <c r="BAK566" s="501"/>
      <c r="BAL566" s="501"/>
      <c r="BAM566" s="501"/>
      <c r="BAN566" s="501"/>
      <c r="BAO566" s="501"/>
      <c r="BAP566" s="501"/>
      <c r="BAQ566" s="501"/>
      <c r="BAR566" s="501"/>
      <c r="BAS566" s="501"/>
      <c r="BAT566" s="501"/>
      <c r="BAU566" s="501"/>
      <c r="BAV566" s="501"/>
      <c r="BAW566" s="501"/>
      <c r="BAX566" s="501"/>
      <c r="BAY566" s="501"/>
      <c r="BAZ566" s="501"/>
      <c r="BBA566" s="501"/>
      <c r="BBB566" s="501"/>
      <c r="BBC566" s="501"/>
      <c r="BBD566" s="501"/>
      <c r="BBE566" s="501"/>
      <c r="BBF566" s="501"/>
      <c r="BBG566" s="501"/>
      <c r="BBH566" s="501"/>
      <c r="BBI566" s="501"/>
      <c r="BBJ566" s="501"/>
      <c r="BBK566" s="501"/>
      <c r="BBL566" s="501"/>
      <c r="BBM566" s="501"/>
      <c r="BBN566" s="501"/>
      <c r="BBO566" s="501"/>
      <c r="BBP566" s="501"/>
      <c r="BBQ566" s="501"/>
      <c r="BBR566" s="501"/>
      <c r="BBS566" s="501"/>
      <c r="BBT566" s="501"/>
      <c r="BBU566" s="501"/>
      <c r="BBV566" s="501"/>
      <c r="BBW566" s="501"/>
      <c r="BBX566" s="501"/>
      <c r="BBY566" s="501"/>
      <c r="BBZ566" s="501"/>
      <c r="BCA566" s="501"/>
      <c r="BCB566" s="501"/>
      <c r="BCC566" s="501"/>
      <c r="BCD566" s="501"/>
      <c r="BCE566" s="501"/>
      <c r="BCF566" s="501"/>
      <c r="BCG566" s="501"/>
      <c r="BCH566" s="501"/>
      <c r="BCI566" s="501"/>
      <c r="BCJ566" s="501"/>
      <c r="BCK566" s="501"/>
      <c r="BCL566" s="501"/>
      <c r="BCM566" s="501"/>
      <c r="BCN566" s="501"/>
      <c r="BCO566" s="501"/>
      <c r="BCP566" s="501"/>
      <c r="BCQ566" s="501"/>
      <c r="BCR566" s="501"/>
      <c r="BCS566" s="501"/>
      <c r="BCT566" s="501"/>
      <c r="BCU566" s="501"/>
      <c r="BCV566" s="501"/>
      <c r="BCW566" s="501"/>
      <c r="BCX566" s="501"/>
      <c r="BCY566" s="501"/>
      <c r="BCZ566" s="501"/>
      <c r="BDA566" s="501"/>
      <c r="BDB566" s="501"/>
      <c r="BDC566" s="501"/>
      <c r="BDD566" s="501"/>
      <c r="BDE566" s="501"/>
      <c r="BDF566" s="501"/>
      <c r="BDG566" s="501"/>
      <c r="BDH566" s="501"/>
      <c r="BDI566" s="501"/>
      <c r="BDJ566" s="501"/>
      <c r="BDK566" s="501"/>
      <c r="BDL566" s="501"/>
      <c r="BDM566" s="501"/>
      <c r="BDN566" s="501"/>
      <c r="BDO566" s="501"/>
      <c r="BDP566" s="501"/>
      <c r="BDQ566" s="501"/>
      <c r="BDR566" s="501"/>
      <c r="BDS566" s="501"/>
      <c r="BDT566" s="501"/>
      <c r="BDU566" s="501"/>
      <c r="BDV566" s="501"/>
      <c r="BDW566" s="501"/>
      <c r="BDX566" s="501"/>
      <c r="BDY566" s="501"/>
      <c r="BDZ566" s="501"/>
      <c r="BEA566" s="501"/>
      <c r="BEB566" s="501"/>
      <c r="BEC566" s="501"/>
      <c r="BED566" s="501"/>
      <c r="BEE566" s="501"/>
      <c r="BEF566" s="501"/>
      <c r="BEG566" s="501"/>
      <c r="BEH566" s="501"/>
      <c r="BEI566" s="501"/>
      <c r="BEJ566" s="501"/>
      <c r="BEK566" s="501"/>
      <c r="BEL566" s="501"/>
      <c r="BEM566" s="501"/>
      <c r="BEN566" s="501"/>
      <c r="BEO566" s="501"/>
      <c r="BEP566" s="501"/>
      <c r="BEQ566" s="501"/>
      <c r="BER566" s="501"/>
      <c r="BES566" s="501"/>
      <c r="BET566" s="501"/>
      <c r="BEU566" s="501"/>
      <c r="BEV566" s="501"/>
      <c r="BEW566" s="501"/>
      <c r="BEX566" s="501"/>
      <c r="BEY566" s="501"/>
      <c r="BEZ566" s="501"/>
      <c r="BFA566" s="501"/>
      <c r="BFB566" s="501"/>
      <c r="BFC566" s="501"/>
      <c r="BFD566" s="501"/>
      <c r="BFE566" s="501"/>
      <c r="BFF566" s="501"/>
      <c r="BFG566" s="501"/>
      <c r="BFH566" s="501"/>
      <c r="BFI566" s="501"/>
      <c r="BFJ566" s="501"/>
      <c r="BFK566" s="501"/>
      <c r="BFL566" s="501"/>
      <c r="BFM566" s="501"/>
      <c r="BFN566" s="501"/>
      <c r="BFO566" s="501"/>
      <c r="BFP566" s="501"/>
      <c r="BFQ566" s="501"/>
      <c r="BFR566" s="501"/>
      <c r="BFS566" s="501"/>
      <c r="BFT566" s="501"/>
      <c r="BFU566" s="501"/>
      <c r="BFV566" s="501"/>
      <c r="BFW566" s="501"/>
      <c r="BFX566" s="501"/>
      <c r="BFY566" s="501"/>
      <c r="BFZ566" s="501"/>
      <c r="BGA566" s="501"/>
      <c r="BGB566" s="501"/>
      <c r="BGC566" s="501"/>
      <c r="BGD566" s="501"/>
      <c r="BGE566" s="501"/>
      <c r="BGF566" s="501"/>
      <c r="BGG566" s="501"/>
      <c r="BGH566" s="501"/>
      <c r="BGI566" s="501"/>
      <c r="BGJ566" s="501"/>
      <c r="BGK566" s="501"/>
      <c r="BGL566" s="501"/>
      <c r="BGM566" s="501"/>
      <c r="BGN566" s="501"/>
      <c r="BGO566" s="501"/>
      <c r="BGP566" s="501"/>
      <c r="BGQ566" s="501"/>
      <c r="BGR566" s="501"/>
      <c r="BGS566" s="501"/>
      <c r="BGT566" s="501"/>
      <c r="BGU566" s="501"/>
      <c r="BGV566" s="501"/>
      <c r="BGW566" s="501"/>
      <c r="BGX566" s="501"/>
      <c r="BGY566" s="501"/>
      <c r="BGZ566" s="501"/>
      <c r="BHA566" s="501"/>
      <c r="BHB566" s="501"/>
      <c r="BHC566" s="501"/>
      <c r="BHD566" s="501"/>
      <c r="BHE566" s="501"/>
      <c r="BHF566" s="501"/>
      <c r="BHG566" s="501"/>
      <c r="BHH566" s="501"/>
      <c r="BHI566" s="501"/>
      <c r="BHJ566" s="501"/>
      <c r="BHK566" s="501"/>
      <c r="BHL566" s="501"/>
      <c r="BHM566" s="501"/>
      <c r="BHN566" s="501"/>
      <c r="BHO566" s="501"/>
      <c r="BHP566" s="501"/>
      <c r="BHQ566" s="501"/>
      <c r="BHR566" s="501"/>
      <c r="BHS566" s="501"/>
      <c r="BHT566" s="501"/>
      <c r="BHU566" s="501"/>
      <c r="BHV566" s="501"/>
      <c r="BHW566" s="501"/>
      <c r="BHX566" s="501"/>
      <c r="BHY566" s="501"/>
      <c r="BHZ566" s="501"/>
      <c r="BIA566" s="501"/>
      <c r="BIB566" s="501"/>
      <c r="BIC566" s="501"/>
      <c r="BID566" s="501"/>
      <c r="BIE566" s="501"/>
      <c r="BIF566" s="501"/>
      <c r="BIG566" s="501"/>
      <c r="BIH566" s="501"/>
      <c r="BII566" s="501"/>
      <c r="BIJ566" s="501"/>
      <c r="BIK566" s="501"/>
      <c r="BIL566" s="501"/>
      <c r="BIM566" s="501"/>
      <c r="BIN566" s="501"/>
      <c r="BIO566" s="501"/>
      <c r="BIP566" s="501"/>
      <c r="BIQ566" s="501"/>
      <c r="BIR566" s="501"/>
      <c r="BIS566" s="501"/>
      <c r="BIT566" s="501"/>
      <c r="BIU566" s="501"/>
      <c r="BIV566" s="501"/>
      <c r="BIW566" s="501"/>
      <c r="BIX566" s="501"/>
      <c r="BIY566" s="501"/>
      <c r="BIZ566" s="501"/>
      <c r="BJA566" s="501"/>
      <c r="BJB566" s="501"/>
      <c r="BJC566" s="501"/>
      <c r="BJD566" s="501"/>
      <c r="BJE566" s="501"/>
      <c r="BJF566" s="501"/>
      <c r="BJG566" s="501"/>
      <c r="BJH566" s="501"/>
      <c r="BJI566" s="501"/>
      <c r="BJJ566" s="501"/>
      <c r="BJK566" s="501"/>
      <c r="BJL566" s="501"/>
      <c r="BJM566" s="501"/>
      <c r="BJN566" s="501"/>
      <c r="BJO566" s="501"/>
      <c r="BJP566" s="501"/>
      <c r="BJQ566" s="501"/>
      <c r="BJR566" s="501"/>
      <c r="BJS566" s="501"/>
      <c r="BJT566" s="501"/>
      <c r="BJU566" s="501"/>
      <c r="BJV566" s="501"/>
      <c r="BJW566" s="501"/>
      <c r="BJX566" s="501"/>
      <c r="BJY566" s="501"/>
      <c r="BJZ566" s="501"/>
      <c r="BKA566" s="501"/>
      <c r="BKB566" s="501"/>
      <c r="BKC566" s="501"/>
      <c r="BKD566" s="501"/>
      <c r="BKE566" s="501"/>
      <c r="BKF566" s="501"/>
      <c r="BKG566" s="501"/>
      <c r="BKH566" s="501"/>
      <c r="BKI566" s="501"/>
      <c r="BKJ566" s="501"/>
      <c r="BKK566" s="501"/>
      <c r="BKL566" s="501"/>
      <c r="BKM566" s="501"/>
      <c r="BKN566" s="501"/>
      <c r="BKO566" s="501"/>
      <c r="BKP566" s="501"/>
      <c r="BKQ566" s="501"/>
      <c r="BKR566" s="501"/>
      <c r="BKS566" s="501"/>
      <c r="BKT566" s="501"/>
      <c r="BKU566" s="501"/>
      <c r="BKV566" s="501"/>
      <c r="BKW566" s="501"/>
      <c r="BKX566" s="501"/>
      <c r="BKY566" s="501"/>
      <c r="BKZ566" s="501"/>
      <c r="BLA566" s="501"/>
      <c r="BLB566" s="501"/>
      <c r="BLC566" s="501"/>
      <c r="BLD566" s="501"/>
      <c r="BLE566" s="501"/>
      <c r="BLF566" s="501"/>
      <c r="BLG566" s="501"/>
      <c r="BLH566" s="501"/>
      <c r="BLI566" s="501"/>
      <c r="BLJ566" s="501"/>
      <c r="BLK566" s="501"/>
      <c r="BLL566" s="501"/>
      <c r="BLM566" s="501"/>
      <c r="BLN566" s="501"/>
      <c r="BLO566" s="501"/>
      <c r="BLP566" s="501"/>
      <c r="BLQ566" s="501"/>
      <c r="BLR566" s="501"/>
      <c r="BLS566" s="501"/>
      <c r="BLT566" s="501"/>
      <c r="BLU566" s="501"/>
      <c r="BLV566" s="501"/>
      <c r="BLW566" s="501"/>
      <c r="BLX566" s="501"/>
      <c r="BLY566" s="501"/>
      <c r="BLZ566" s="501"/>
      <c r="BMA566" s="501"/>
      <c r="BMB566" s="501"/>
      <c r="BMC566" s="501"/>
      <c r="BMD566" s="501"/>
      <c r="BME566" s="501"/>
      <c r="BMF566" s="501"/>
      <c r="BMG566" s="501"/>
      <c r="BMH566" s="501"/>
      <c r="BMI566" s="501"/>
      <c r="BMJ566" s="501"/>
      <c r="BMK566" s="501"/>
      <c r="BML566" s="501"/>
      <c r="BMM566" s="501"/>
      <c r="BMN566" s="501"/>
      <c r="BMO566" s="501"/>
      <c r="BMP566" s="501"/>
      <c r="BMQ566" s="501"/>
      <c r="BMR566" s="501"/>
      <c r="BMS566" s="501"/>
      <c r="BMT566" s="501"/>
      <c r="BMU566" s="501"/>
      <c r="BMV566" s="501"/>
      <c r="BMW566" s="501"/>
      <c r="BMX566" s="501"/>
      <c r="BMY566" s="501"/>
      <c r="BMZ566" s="501"/>
      <c r="BNA566" s="501"/>
      <c r="BNB566" s="501"/>
      <c r="BNC566" s="501"/>
      <c r="BND566" s="501"/>
      <c r="BNE566" s="501"/>
      <c r="BNF566" s="501"/>
      <c r="BNG566" s="501"/>
      <c r="BNH566" s="501"/>
      <c r="BNI566" s="501"/>
      <c r="BNJ566" s="501"/>
      <c r="BNK566" s="501"/>
      <c r="BNL566" s="501"/>
      <c r="BNM566" s="501"/>
      <c r="BNN566" s="501"/>
      <c r="BNO566" s="501"/>
      <c r="BNP566" s="501"/>
      <c r="BNQ566" s="501"/>
      <c r="BNR566" s="501"/>
      <c r="BNS566" s="501"/>
      <c r="BNT566" s="501"/>
      <c r="BNU566" s="501"/>
      <c r="BNV566" s="501"/>
      <c r="BNW566" s="501"/>
      <c r="BNX566" s="501"/>
      <c r="BNY566" s="501"/>
      <c r="BNZ566" s="501"/>
      <c r="BOA566" s="501"/>
      <c r="BOB566" s="501"/>
      <c r="BOC566" s="501"/>
      <c r="BOD566" s="501"/>
      <c r="BOE566" s="501"/>
      <c r="BOF566" s="501"/>
      <c r="BOG566" s="501"/>
      <c r="BOH566" s="501"/>
      <c r="BOI566" s="501"/>
      <c r="BOJ566" s="501"/>
      <c r="BOK566" s="501"/>
      <c r="BOL566" s="501"/>
      <c r="BOM566" s="501"/>
      <c r="BON566" s="501"/>
      <c r="BOO566" s="501"/>
      <c r="BOP566" s="501"/>
      <c r="BOQ566" s="501"/>
      <c r="BOR566" s="501"/>
      <c r="BOS566" s="501"/>
      <c r="BOT566" s="501"/>
      <c r="BOU566" s="501"/>
      <c r="BOV566" s="501"/>
      <c r="BOW566" s="501"/>
      <c r="BOX566" s="501"/>
      <c r="BOY566" s="501"/>
      <c r="BOZ566" s="501"/>
      <c r="BPA566" s="501"/>
      <c r="BPB566" s="501"/>
      <c r="BPC566" s="501"/>
      <c r="BPD566" s="501"/>
      <c r="BPE566" s="501"/>
      <c r="BPF566" s="501"/>
      <c r="BPG566" s="501"/>
      <c r="BPH566" s="501"/>
      <c r="BPI566" s="501"/>
      <c r="BPJ566" s="501"/>
      <c r="BPK566" s="501"/>
      <c r="BPL566" s="501"/>
      <c r="BPM566" s="501"/>
      <c r="BPN566" s="501"/>
      <c r="BPO566" s="501"/>
      <c r="BPP566" s="501"/>
      <c r="BPQ566" s="501"/>
      <c r="BPR566" s="501"/>
      <c r="BPS566" s="501"/>
      <c r="BPT566" s="501"/>
      <c r="BPU566" s="501"/>
      <c r="BPV566" s="501"/>
      <c r="BPW566" s="501"/>
      <c r="BPX566" s="501"/>
      <c r="BPY566" s="501"/>
      <c r="BPZ566" s="501"/>
      <c r="BQA566" s="501"/>
      <c r="BQB566" s="501"/>
      <c r="BQC566" s="501"/>
      <c r="BQD566" s="501"/>
      <c r="BQE566" s="501"/>
      <c r="BQF566" s="501"/>
      <c r="BQG566" s="501"/>
      <c r="BQH566" s="501"/>
      <c r="BQI566" s="501"/>
      <c r="BQJ566" s="501"/>
      <c r="BQK566" s="501"/>
      <c r="BQL566" s="501"/>
      <c r="BQM566" s="501"/>
      <c r="BQN566" s="501"/>
      <c r="BQO566" s="501"/>
      <c r="BQP566" s="501"/>
      <c r="BQQ566" s="501"/>
      <c r="BQR566" s="501"/>
      <c r="BQS566" s="501"/>
      <c r="BQT566" s="501"/>
      <c r="BQU566" s="501"/>
      <c r="BQV566" s="501"/>
      <c r="BQW566" s="501"/>
      <c r="BQX566" s="501"/>
      <c r="BQY566" s="501"/>
      <c r="BQZ566" s="501"/>
      <c r="BRA566" s="501"/>
      <c r="BRB566" s="501"/>
      <c r="BRC566" s="501"/>
      <c r="BRD566" s="501"/>
      <c r="BRE566" s="501"/>
      <c r="BRF566" s="501"/>
      <c r="BRG566" s="501"/>
      <c r="BRH566" s="501"/>
      <c r="BRI566" s="501"/>
      <c r="BRJ566" s="501"/>
      <c r="BRK566" s="501"/>
      <c r="BRL566" s="501"/>
      <c r="BRM566" s="501"/>
      <c r="BRN566" s="501"/>
      <c r="BRO566" s="501"/>
      <c r="BRP566" s="501"/>
      <c r="BRQ566" s="501"/>
      <c r="BRR566" s="501"/>
      <c r="BRS566" s="501"/>
      <c r="BRT566" s="501"/>
      <c r="BRU566" s="501"/>
      <c r="BRV566" s="501"/>
      <c r="BRW566" s="501"/>
      <c r="BRX566" s="501"/>
      <c r="BRY566" s="501"/>
      <c r="BRZ566" s="501"/>
      <c r="BSA566" s="501"/>
      <c r="BSB566" s="501"/>
      <c r="BSC566" s="501"/>
      <c r="BSD566" s="501"/>
      <c r="BSE566" s="501"/>
      <c r="BSF566" s="501"/>
      <c r="BSG566" s="501"/>
      <c r="BSH566" s="501"/>
      <c r="BSI566" s="501"/>
      <c r="BSJ566" s="501"/>
      <c r="BSK566" s="501"/>
      <c r="BSL566" s="501"/>
      <c r="BSM566" s="501"/>
      <c r="BSN566" s="501"/>
      <c r="BSO566" s="501"/>
      <c r="BSP566" s="501"/>
      <c r="BSQ566" s="501"/>
      <c r="BSR566" s="501"/>
      <c r="BSS566" s="501"/>
      <c r="BST566" s="501"/>
      <c r="BSU566" s="501"/>
      <c r="BSV566" s="501"/>
      <c r="BSW566" s="501"/>
      <c r="BSX566" s="501"/>
      <c r="BSY566" s="501"/>
      <c r="BSZ566" s="501"/>
      <c r="BTA566" s="501"/>
      <c r="BTB566" s="501"/>
      <c r="BTC566" s="501"/>
      <c r="BTD566" s="501"/>
      <c r="BTE566" s="501"/>
      <c r="BTF566" s="501"/>
      <c r="BTG566" s="501"/>
      <c r="BTH566" s="501"/>
      <c r="BTI566" s="501"/>
      <c r="BTJ566" s="501"/>
      <c r="BTK566" s="501"/>
      <c r="BTL566" s="501"/>
      <c r="BTM566" s="501"/>
      <c r="BTN566" s="501"/>
      <c r="BTO566" s="501"/>
      <c r="BTP566" s="501"/>
      <c r="BTQ566" s="501"/>
      <c r="BTR566" s="501"/>
      <c r="BTS566" s="501"/>
      <c r="BTT566" s="501"/>
      <c r="BTU566" s="501"/>
      <c r="BTV566" s="501"/>
      <c r="BTW566" s="501"/>
      <c r="BTX566" s="501"/>
      <c r="BTY566" s="501"/>
      <c r="BTZ566" s="501"/>
      <c r="BUA566" s="501"/>
      <c r="BUB566" s="501"/>
      <c r="BUC566" s="501"/>
      <c r="BUD566" s="501"/>
      <c r="BUE566" s="501"/>
      <c r="BUF566" s="501"/>
      <c r="BUG566" s="501"/>
      <c r="BUH566" s="501"/>
      <c r="BUI566" s="501"/>
      <c r="BUJ566" s="501"/>
      <c r="BUK566" s="501"/>
      <c r="BUL566" s="501"/>
      <c r="BUM566" s="501"/>
      <c r="BUN566" s="501"/>
      <c r="BUO566" s="501"/>
      <c r="BUP566" s="501"/>
      <c r="BUQ566" s="501"/>
      <c r="BUR566" s="501"/>
      <c r="BUS566" s="501"/>
      <c r="BUT566" s="501"/>
      <c r="BUU566" s="501"/>
      <c r="BUV566" s="501"/>
      <c r="BUW566" s="501"/>
      <c r="BUX566" s="501"/>
      <c r="BUY566" s="501"/>
      <c r="BUZ566" s="501"/>
      <c r="BVA566" s="501"/>
      <c r="BVB566" s="501"/>
      <c r="BVC566" s="501"/>
      <c r="BVD566" s="501"/>
      <c r="BVE566" s="501"/>
      <c r="BVF566" s="501"/>
      <c r="BVG566" s="501"/>
      <c r="BVH566" s="501"/>
      <c r="BVI566" s="501"/>
      <c r="BVJ566" s="501"/>
      <c r="BVK566" s="501"/>
      <c r="BVL566" s="501"/>
      <c r="BVM566" s="501"/>
      <c r="BVN566" s="501"/>
      <c r="BVO566" s="501"/>
      <c r="BVP566" s="501"/>
      <c r="BVQ566" s="501"/>
      <c r="BVR566" s="501"/>
      <c r="BVS566" s="501"/>
      <c r="BVT566" s="501"/>
      <c r="BVU566" s="501"/>
      <c r="BVV566" s="501"/>
      <c r="BVW566" s="501"/>
      <c r="BVX566" s="501"/>
      <c r="BVY566" s="501"/>
      <c r="BVZ566" s="501"/>
      <c r="BWA566" s="501"/>
      <c r="BWB566" s="501"/>
      <c r="BWC566" s="501"/>
      <c r="BWD566" s="501"/>
      <c r="BWE566" s="501"/>
      <c r="BWF566" s="501"/>
      <c r="BWG566" s="501"/>
      <c r="BWH566" s="501"/>
      <c r="BWI566" s="501"/>
      <c r="BWJ566" s="501"/>
      <c r="BWK566" s="501"/>
      <c r="BWL566" s="501"/>
      <c r="BWM566" s="501"/>
      <c r="BWN566" s="501"/>
      <c r="BWO566" s="501"/>
      <c r="BWP566" s="501"/>
      <c r="BWQ566" s="501"/>
      <c r="BWR566" s="501"/>
      <c r="BWS566" s="501"/>
      <c r="BWT566" s="501"/>
      <c r="BWU566" s="501"/>
      <c r="BWV566" s="501"/>
      <c r="BWW566" s="501"/>
      <c r="BWX566" s="501"/>
      <c r="BWY566" s="501"/>
      <c r="BWZ566" s="501"/>
      <c r="BXA566" s="501"/>
      <c r="BXB566" s="501"/>
      <c r="BXC566" s="501"/>
      <c r="BXD566" s="501"/>
      <c r="BXE566" s="501"/>
      <c r="BXF566" s="501"/>
      <c r="BXG566" s="501"/>
      <c r="BXH566" s="501"/>
      <c r="BXI566" s="501"/>
      <c r="BXJ566" s="501"/>
      <c r="BXK566" s="501"/>
      <c r="BXL566" s="501"/>
      <c r="BXM566" s="501"/>
      <c r="BXN566" s="501"/>
      <c r="BXO566" s="501"/>
      <c r="BXP566" s="501"/>
      <c r="BXQ566" s="501"/>
      <c r="BXR566" s="501"/>
      <c r="BXS566" s="501"/>
      <c r="BXT566" s="501"/>
      <c r="BXU566" s="501"/>
      <c r="BXV566" s="501"/>
      <c r="BXW566" s="501"/>
      <c r="BXX566" s="501"/>
      <c r="BXY566" s="501"/>
      <c r="BXZ566" s="501"/>
      <c r="BYA566" s="501"/>
      <c r="BYB566" s="501"/>
      <c r="BYC566" s="501"/>
      <c r="BYD566" s="501"/>
      <c r="BYE566" s="501"/>
      <c r="BYF566" s="501"/>
      <c r="BYG566" s="501"/>
      <c r="BYH566" s="501"/>
      <c r="BYI566" s="501"/>
      <c r="BYJ566" s="501"/>
      <c r="BYK566" s="501"/>
      <c r="BYL566" s="501"/>
      <c r="BYM566" s="501"/>
      <c r="BYN566" s="501"/>
      <c r="BYO566" s="501"/>
      <c r="BYP566" s="501"/>
      <c r="BYQ566" s="501"/>
      <c r="BYR566" s="501"/>
      <c r="BYS566" s="501"/>
      <c r="BYT566" s="501"/>
      <c r="BYU566" s="501"/>
      <c r="BYV566" s="501"/>
      <c r="BYW566" s="501"/>
      <c r="BYX566" s="501"/>
      <c r="BYY566" s="501"/>
      <c r="BYZ566" s="501"/>
      <c r="BZA566" s="501"/>
      <c r="BZB566" s="501"/>
      <c r="BZC566" s="501"/>
      <c r="BZD566" s="501"/>
      <c r="BZE566" s="501"/>
      <c r="BZF566" s="501"/>
      <c r="BZG566" s="501"/>
      <c r="BZH566" s="501"/>
      <c r="BZI566" s="501"/>
      <c r="BZJ566" s="501"/>
      <c r="BZK566" s="501"/>
      <c r="BZL566" s="501"/>
      <c r="BZM566" s="501"/>
      <c r="BZN566" s="501"/>
      <c r="BZO566" s="501"/>
      <c r="BZP566" s="501"/>
      <c r="BZQ566" s="501"/>
      <c r="BZR566" s="501"/>
      <c r="BZS566" s="501"/>
      <c r="BZT566" s="501"/>
      <c r="BZU566" s="501"/>
      <c r="BZV566" s="501"/>
      <c r="BZW566" s="501"/>
      <c r="BZX566" s="501"/>
      <c r="BZY566" s="501"/>
      <c r="BZZ566" s="501"/>
      <c r="CAA566" s="501"/>
      <c r="CAB566" s="501"/>
      <c r="CAC566" s="501"/>
      <c r="CAD566" s="501"/>
      <c r="CAE566" s="501"/>
      <c r="CAF566" s="501"/>
      <c r="CAG566" s="501"/>
      <c r="CAH566" s="501"/>
      <c r="CAI566" s="501"/>
      <c r="CAJ566" s="501"/>
      <c r="CAK566" s="501"/>
      <c r="CAL566" s="501"/>
      <c r="CAM566" s="501"/>
      <c r="CAN566" s="501"/>
      <c r="CAO566" s="501"/>
      <c r="CAP566" s="501"/>
      <c r="CAQ566" s="501"/>
      <c r="CAR566" s="501"/>
      <c r="CAS566" s="501"/>
      <c r="CAT566" s="501"/>
      <c r="CAU566" s="501"/>
      <c r="CAV566" s="501"/>
      <c r="CAW566" s="501"/>
      <c r="CAX566" s="501"/>
      <c r="CAY566" s="501"/>
      <c r="CAZ566" s="501"/>
      <c r="CBA566" s="501"/>
      <c r="CBB566" s="501"/>
      <c r="CBC566" s="501"/>
      <c r="CBD566" s="501"/>
      <c r="CBE566" s="501"/>
      <c r="CBF566" s="501"/>
      <c r="CBG566" s="501"/>
      <c r="CBH566" s="501"/>
      <c r="CBI566" s="501"/>
      <c r="CBJ566" s="501"/>
      <c r="CBK566" s="501"/>
      <c r="CBL566" s="501"/>
      <c r="CBM566" s="501"/>
      <c r="CBN566" s="501"/>
      <c r="CBO566" s="501"/>
      <c r="CBP566" s="501"/>
      <c r="CBQ566" s="501"/>
      <c r="CBR566" s="501"/>
      <c r="CBS566" s="501"/>
      <c r="CBT566" s="501"/>
      <c r="CBU566" s="501"/>
      <c r="CBV566" s="501"/>
      <c r="CBW566" s="501"/>
      <c r="CBX566" s="501"/>
      <c r="CBY566" s="501"/>
      <c r="CBZ566" s="501"/>
      <c r="CCA566" s="501"/>
      <c r="CCB566" s="501"/>
      <c r="CCC566" s="501"/>
      <c r="CCD566" s="501"/>
      <c r="CCE566" s="501"/>
      <c r="CCF566" s="501"/>
      <c r="CCG566" s="501"/>
      <c r="CCH566" s="501"/>
      <c r="CCI566" s="501"/>
      <c r="CCJ566" s="501"/>
      <c r="CCK566" s="501"/>
      <c r="CCL566" s="501"/>
      <c r="CCM566" s="501"/>
      <c r="CCN566" s="501"/>
      <c r="CCO566" s="501"/>
      <c r="CCP566" s="501"/>
      <c r="CCQ566" s="501"/>
      <c r="CCR566" s="501"/>
      <c r="CCS566" s="501"/>
      <c r="CCT566" s="501"/>
      <c r="CCU566" s="501"/>
      <c r="CCV566" s="501"/>
      <c r="CCW566" s="501"/>
      <c r="CCX566" s="501"/>
      <c r="CCY566" s="501"/>
      <c r="CCZ566" s="501"/>
      <c r="CDA566" s="501"/>
      <c r="CDB566" s="501"/>
      <c r="CDC566" s="501"/>
      <c r="CDD566" s="501"/>
      <c r="CDE566" s="501"/>
      <c r="CDF566" s="501"/>
      <c r="CDG566" s="501"/>
      <c r="CDH566" s="501"/>
      <c r="CDI566" s="501"/>
      <c r="CDJ566" s="501"/>
      <c r="CDK566" s="501"/>
      <c r="CDL566" s="501"/>
      <c r="CDM566" s="501"/>
      <c r="CDN566" s="501"/>
      <c r="CDO566" s="501"/>
      <c r="CDP566" s="501"/>
      <c r="CDQ566" s="501"/>
      <c r="CDR566" s="501"/>
      <c r="CDS566" s="501"/>
      <c r="CDT566" s="501"/>
      <c r="CDU566" s="501"/>
      <c r="CDV566" s="501"/>
      <c r="CDW566" s="501"/>
      <c r="CDX566" s="501"/>
      <c r="CDY566" s="501"/>
      <c r="CDZ566" s="501"/>
      <c r="CEA566" s="501"/>
      <c r="CEB566" s="501"/>
      <c r="CEC566" s="501"/>
      <c r="CED566" s="501"/>
      <c r="CEE566" s="501"/>
      <c r="CEF566" s="501"/>
      <c r="CEG566" s="501"/>
      <c r="CEH566" s="501"/>
      <c r="CEI566" s="501"/>
      <c r="CEJ566" s="501"/>
      <c r="CEK566" s="501"/>
      <c r="CEL566" s="501"/>
      <c r="CEM566" s="501"/>
      <c r="CEN566" s="501"/>
      <c r="CEO566" s="501"/>
      <c r="CEP566" s="501"/>
      <c r="CEQ566" s="501"/>
      <c r="CER566" s="501"/>
      <c r="CES566" s="501"/>
      <c r="CET566" s="501"/>
      <c r="CEU566" s="501"/>
      <c r="CEV566" s="501"/>
      <c r="CEW566" s="501"/>
      <c r="CEX566" s="501"/>
      <c r="CEY566" s="501"/>
      <c r="CEZ566" s="501"/>
      <c r="CFA566" s="501"/>
      <c r="CFB566" s="501"/>
      <c r="CFC566" s="501"/>
      <c r="CFD566" s="501"/>
      <c r="CFE566" s="501"/>
      <c r="CFF566" s="501"/>
      <c r="CFG566" s="501"/>
      <c r="CFH566" s="501"/>
      <c r="CFI566" s="501"/>
      <c r="CFJ566" s="501"/>
      <c r="CFK566" s="501"/>
      <c r="CFL566" s="501"/>
      <c r="CFM566" s="501"/>
      <c r="CFN566" s="501"/>
      <c r="CFO566" s="501"/>
      <c r="CFP566" s="501"/>
      <c r="CFQ566" s="501"/>
      <c r="CFR566" s="501"/>
      <c r="CFS566" s="501"/>
      <c r="CFT566" s="501"/>
      <c r="CFU566" s="501"/>
      <c r="CFV566" s="501"/>
      <c r="CFW566" s="501"/>
      <c r="CFX566" s="501"/>
      <c r="CFY566" s="501"/>
      <c r="CFZ566" s="501"/>
      <c r="CGA566" s="501"/>
      <c r="CGB566" s="501"/>
      <c r="CGC566" s="501"/>
      <c r="CGD566" s="501"/>
      <c r="CGE566" s="501"/>
      <c r="CGF566" s="501"/>
      <c r="CGG566" s="501"/>
      <c r="CGH566" s="501"/>
      <c r="CGI566" s="501"/>
      <c r="CGJ566" s="501"/>
      <c r="CGK566" s="501"/>
      <c r="CGL566" s="501"/>
      <c r="CGM566" s="501"/>
      <c r="CGN566" s="501"/>
      <c r="CGO566" s="501"/>
      <c r="CGP566" s="501"/>
      <c r="CGQ566" s="501"/>
      <c r="CGR566" s="501"/>
      <c r="CGS566" s="501"/>
      <c r="CGT566" s="501"/>
      <c r="CGU566" s="501"/>
      <c r="CGV566" s="501"/>
      <c r="CGW566" s="501"/>
      <c r="CGX566" s="501"/>
      <c r="CGY566" s="501"/>
      <c r="CGZ566" s="501"/>
      <c r="CHA566" s="501"/>
      <c r="CHB566" s="501"/>
      <c r="CHC566" s="501"/>
      <c r="CHD566" s="501"/>
      <c r="CHE566" s="501"/>
      <c r="CHF566" s="501"/>
      <c r="CHG566" s="501"/>
      <c r="CHH566" s="501"/>
      <c r="CHI566" s="501"/>
      <c r="CHJ566" s="501"/>
      <c r="CHK566" s="501"/>
      <c r="CHL566" s="501"/>
      <c r="CHM566" s="501"/>
      <c r="CHN566" s="501"/>
      <c r="CHO566" s="501"/>
      <c r="CHP566" s="501"/>
      <c r="CHQ566" s="501"/>
      <c r="CHR566" s="501"/>
      <c r="CHS566" s="501"/>
      <c r="CHT566" s="501"/>
      <c r="CHU566" s="501"/>
      <c r="CHV566" s="501"/>
      <c r="CHW566" s="501"/>
      <c r="CHX566" s="501"/>
      <c r="CHY566" s="501"/>
      <c r="CHZ566" s="501"/>
      <c r="CIA566" s="501"/>
      <c r="CIB566" s="501"/>
      <c r="CIC566" s="501"/>
      <c r="CID566" s="501"/>
      <c r="CIE566" s="501"/>
      <c r="CIF566" s="501"/>
      <c r="CIG566" s="501"/>
      <c r="CIH566" s="501"/>
      <c r="CII566" s="501"/>
      <c r="CIJ566" s="501"/>
      <c r="CIK566" s="501"/>
      <c r="CIL566" s="501"/>
      <c r="CIM566" s="501"/>
      <c r="CIN566" s="501"/>
      <c r="CIO566" s="501"/>
      <c r="CIP566" s="501"/>
      <c r="CIQ566" s="501"/>
      <c r="CIR566" s="501"/>
      <c r="CIS566" s="501"/>
      <c r="CIT566" s="501"/>
      <c r="CIU566" s="501"/>
      <c r="CIV566" s="501"/>
      <c r="CIW566" s="501"/>
      <c r="CIX566" s="501"/>
      <c r="CIY566" s="501"/>
      <c r="CIZ566" s="501"/>
      <c r="CJA566" s="501"/>
      <c r="CJB566" s="501"/>
      <c r="CJC566" s="501"/>
      <c r="CJD566" s="501"/>
      <c r="CJE566" s="501"/>
      <c r="CJF566" s="501"/>
      <c r="CJG566" s="501"/>
      <c r="CJH566" s="501"/>
      <c r="CJI566" s="501"/>
      <c r="CJJ566" s="501"/>
      <c r="CJK566" s="501"/>
      <c r="CJL566" s="501"/>
      <c r="CJM566" s="501"/>
      <c r="CJN566" s="501"/>
      <c r="CJO566" s="501"/>
      <c r="CJP566" s="501"/>
      <c r="CJQ566" s="501"/>
      <c r="CJR566" s="501"/>
      <c r="CJS566" s="501"/>
      <c r="CJT566" s="501"/>
      <c r="CJU566" s="501"/>
      <c r="CJV566" s="501"/>
      <c r="CJW566" s="501"/>
      <c r="CJX566" s="501"/>
      <c r="CJY566" s="501"/>
      <c r="CJZ566" s="501"/>
      <c r="CKA566" s="501"/>
      <c r="CKB566" s="501"/>
      <c r="CKC566" s="501"/>
      <c r="CKD566" s="501"/>
      <c r="CKE566" s="501"/>
      <c r="CKF566" s="501"/>
      <c r="CKG566" s="501"/>
      <c r="CKH566" s="501"/>
      <c r="CKI566" s="501"/>
      <c r="CKJ566" s="501"/>
      <c r="CKK566" s="501"/>
      <c r="CKL566" s="501"/>
      <c r="CKM566" s="501"/>
      <c r="CKN566" s="501"/>
      <c r="CKO566" s="501"/>
      <c r="CKP566" s="501"/>
      <c r="CKQ566" s="501"/>
      <c r="CKR566" s="501"/>
      <c r="CKS566" s="501"/>
      <c r="CKT566" s="501"/>
      <c r="CKU566" s="501"/>
      <c r="CKV566" s="501"/>
      <c r="CKW566" s="501"/>
      <c r="CKX566" s="501"/>
      <c r="CKY566" s="501"/>
      <c r="CKZ566" s="501"/>
      <c r="CLA566" s="501"/>
      <c r="CLB566" s="501"/>
      <c r="CLC566" s="501"/>
      <c r="CLD566" s="501"/>
      <c r="CLE566" s="501"/>
      <c r="CLF566" s="501"/>
      <c r="CLG566" s="501"/>
      <c r="CLH566" s="501"/>
      <c r="CLI566" s="501"/>
      <c r="CLJ566" s="501"/>
      <c r="CLK566" s="501"/>
      <c r="CLL566" s="501"/>
      <c r="CLM566" s="501"/>
      <c r="CLN566" s="501"/>
      <c r="CLO566" s="501"/>
      <c r="CLP566" s="501"/>
      <c r="CLQ566" s="501"/>
      <c r="CLR566" s="501"/>
      <c r="CLS566" s="501"/>
      <c r="CLT566" s="501"/>
      <c r="CLU566" s="501"/>
      <c r="CLV566" s="501"/>
      <c r="CLW566" s="501"/>
      <c r="CLX566" s="501"/>
      <c r="CLY566" s="501"/>
      <c r="CLZ566" s="501"/>
      <c r="CMA566" s="501"/>
      <c r="CMB566" s="501"/>
      <c r="CMC566" s="501"/>
      <c r="CMD566" s="501"/>
      <c r="CME566" s="501"/>
      <c r="CMF566" s="501"/>
      <c r="CMG566" s="501"/>
      <c r="CMH566" s="501"/>
      <c r="CMI566" s="501"/>
      <c r="CMJ566" s="501"/>
      <c r="CMK566" s="501"/>
      <c r="CML566" s="501"/>
      <c r="CMM566" s="501"/>
      <c r="CMN566" s="501"/>
      <c r="CMO566" s="501"/>
      <c r="CMP566" s="501"/>
      <c r="CMQ566" s="501"/>
      <c r="CMR566" s="501"/>
      <c r="CMS566" s="501"/>
      <c r="CMT566" s="501"/>
      <c r="CMU566" s="501"/>
      <c r="CMV566" s="501"/>
      <c r="CMW566" s="501"/>
      <c r="CMX566" s="501"/>
      <c r="CMY566" s="501"/>
      <c r="CMZ566" s="501"/>
      <c r="CNA566" s="501"/>
      <c r="CNB566" s="501"/>
      <c r="CNC566" s="501"/>
      <c r="CND566" s="501"/>
      <c r="CNE566" s="501"/>
      <c r="CNF566" s="501"/>
      <c r="CNG566" s="501"/>
      <c r="CNH566" s="501"/>
      <c r="CNI566" s="501"/>
      <c r="CNJ566" s="501"/>
      <c r="CNK566" s="501"/>
      <c r="CNL566" s="501"/>
      <c r="CNM566" s="501"/>
      <c r="CNN566" s="501"/>
      <c r="CNO566" s="501"/>
      <c r="CNP566" s="501"/>
      <c r="CNQ566" s="501"/>
      <c r="CNR566" s="501"/>
      <c r="CNS566" s="501"/>
      <c r="CNT566" s="501"/>
      <c r="CNU566" s="501"/>
      <c r="CNV566" s="501"/>
      <c r="CNW566" s="501"/>
      <c r="CNX566" s="501"/>
      <c r="CNY566" s="501"/>
      <c r="CNZ566" s="501"/>
      <c r="COA566" s="501"/>
      <c r="COB566" s="501"/>
      <c r="COC566" s="501"/>
      <c r="COD566" s="501"/>
      <c r="COE566" s="501"/>
      <c r="COF566" s="501"/>
      <c r="COG566" s="501"/>
      <c r="COH566" s="501"/>
      <c r="COI566" s="501"/>
      <c r="COJ566" s="501"/>
      <c r="COK566" s="501"/>
      <c r="COL566" s="501"/>
      <c r="COM566" s="501"/>
      <c r="CON566" s="501"/>
      <c r="COO566" s="501"/>
      <c r="COP566" s="501"/>
      <c r="COQ566" s="501"/>
      <c r="COR566" s="501"/>
      <c r="COS566" s="501"/>
      <c r="COT566" s="501"/>
      <c r="COU566" s="501"/>
      <c r="COV566" s="501"/>
      <c r="COW566" s="501"/>
      <c r="COX566" s="501"/>
      <c r="COY566" s="501"/>
      <c r="COZ566" s="501"/>
      <c r="CPA566" s="501"/>
      <c r="CPB566" s="501"/>
      <c r="CPC566" s="501"/>
      <c r="CPD566" s="501"/>
      <c r="CPE566" s="501"/>
      <c r="CPF566" s="501"/>
      <c r="CPG566" s="501"/>
      <c r="CPH566" s="501"/>
      <c r="CPI566" s="501"/>
      <c r="CPJ566" s="501"/>
      <c r="CPK566" s="501"/>
      <c r="CPL566" s="501"/>
      <c r="CPM566" s="501"/>
      <c r="CPN566" s="501"/>
      <c r="CPO566" s="501"/>
      <c r="CPP566" s="501"/>
      <c r="CPQ566" s="501"/>
      <c r="CPR566" s="501"/>
      <c r="CPS566" s="501"/>
      <c r="CPT566" s="501"/>
      <c r="CPU566" s="501"/>
      <c r="CPV566" s="501"/>
      <c r="CPW566" s="501"/>
      <c r="CPX566" s="501"/>
      <c r="CPY566" s="501"/>
      <c r="CPZ566" s="501"/>
      <c r="CQA566" s="501"/>
      <c r="CQB566" s="501"/>
      <c r="CQC566" s="501"/>
      <c r="CQD566" s="501"/>
      <c r="CQE566" s="501"/>
      <c r="CQF566" s="501"/>
      <c r="CQG566" s="501"/>
      <c r="CQH566" s="501"/>
      <c r="CQI566" s="501"/>
      <c r="CQJ566" s="501"/>
      <c r="CQK566" s="501"/>
      <c r="CQL566" s="501"/>
      <c r="CQM566" s="501"/>
      <c r="CQN566" s="501"/>
      <c r="CQO566" s="501"/>
      <c r="CQP566" s="501"/>
      <c r="CQQ566" s="501"/>
      <c r="CQR566" s="501"/>
      <c r="CQS566" s="501"/>
      <c r="CQT566" s="501"/>
      <c r="CQU566" s="501"/>
      <c r="CQV566" s="501"/>
      <c r="CQW566" s="501"/>
      <c r="CQX566" s="501"/>
      <c r="CQY566" s="501"/>
      <c r="CQZ566" s="501"/>
      <c r="CRA566" s="501"/>
      <c r="CRB566" s="501"/>
      <c r="CRC566" s="501"/>
      <c r="CRD566" s="501"/>
      <c r="CRE566" s="501"/>
      <c r="CRF566" s="501"/>
      <c r="CRG566" s="501"/>
      <c r="CRH566" s="501"/>
      <c r="CRI566" s="501"/>
      <c r="CRJ566" s="501"/>
      <c r="CRK566" s="501"/>
      <c r="CRL566" s="501"/>
      <c r="CRM566" s="501"/>
      <c r="CRN566" s="501"/>
      <c r="CRO566" s="501"/>
      <c r="CRP566" s="501"/>
      <c r="CRQ566" s="501"/>
      <c r="CRR566" s="501"/>
      <c r="CRS566" s="501"/>
      <c r="CRT566" s="501"/>
      <c r="CRU566" s="501"/>
      <c r="CRV566" s="501"/>
      <c r="CRW566" s="501"/>
      <c r="CRX566" s="501"/>
      <c r="CRY566" s="501"/>
      <c r="CRZ566" s="501"/>
      <c r="CSA566" s="501"/>
      <c r="CSB566" s="501"/>
      <c r="CSC566" s="501"/>
      <c r="CSD566" s="501"/>
      <c r="CSE566" s="501"/>
      <c r="CSF566" s="501"/>
      <c r="CSG566" s="501"/>
      <c r="CSH566" s="501"/>
      <c r="CSI566" s="501"/>
      <c r="CSJ566" s="501"/>
      <c r="CSK566" s="501"/>
      <c r="CSL566" s="501"/>
      <c r="CSM566" s="501"/>
      <c r="CSN566" s="501"/>
      <c r="CSO566" s="501"/>
      <c r="CSP566" s="501"/>
      <c r="CSQ566" s="501"/>
      <c r="CSR566" s="501"/>
      <c r="CSS566" s="501"/>
      <c r="CST566" s="501"/>
      <c r="CSU566" s="501"/>
      <c r="CSV566" s="501"/>
      <c r="CSW566" s="501"/>
      <c r="CSX566" s="501"/>
      <c r="CSY566" s="501"/>
      <c r="CSZ566" s="501"/>
      <c r="CTA566" s="501"/>
      <c r="CTB566" s="501"/>
      <c r="CTC566" s="501"/>
      <c r="CTD566" s="501"/>
      <c r="CTE566" s="501"/>
      <c r="CTF566" s="501"/>
      <c r="CTG566" s="501"/>
      <c r="CTH566" s="501"/>
      <c r="CTI566" s="501"/>
      <c r="CTJ566" s="501"/>
      <c r="CTK566" s="501"/>
      <c r="CTL566" s="501"/>
      <c r="CTM566" s="501"/>
      <c r="CTN566" s="501"/>
      <c r="CTO566" s="501"/>
      <c r="CTP566" s="501"/>
      <c r="CTQ566" s="501"/>
      <c r="CTR566" s="501"/>
      <c r="CTS566" s="501"/>
      <c r="CTT566" s="501"/>
      <c r="CTU566" s="501"/>
      <c r="CTV566" s="501"/>
      <c r="CTW566" s="501"/>
      <c r="CTX566" s="501"/>
      <c r="CTY566" s="501"/>
      <c r="CTZ566" s="501"/>
      <c r="CUA566" s="501"/>
      <c r="CUB566" s="501"/>
      <c r="CUC566" s="501"/>
      <c r="CUD566" s="501"/>
      <c r="CUE566" s="501"/>
      <c r="CUF566" s="501"/>
      <c r="CUG566" s="501"/>
      <c r="CUH566" s="501"/>
      <c r="CUI566" s="501"/>
      <c r="CUJ566" s="501"/>
      <c r="CUK566" s="501"/>
      <c r="CUL566" s="501"/>
      <c r="CUM566" s="501"/>
      <c r="CUN566" s="501"/>
      <c r="CUO566" s="501"/>
      <c r="CUP566" s="501"/>
      <c r="CUQ566" s="501"/>
      <c r="CUR566" s="501"/>
      <c r="CUS566" s="501"/>
      <c r="CUT566" s="501"/>
      <c r="CUU566" s="501"/>
      <c r="CUV566" s="501"/>
      <c r="CUW566" s="501"/>
      <c r="CUX566" s="501"/>
      <c r="CUY566" s="501"/>
      <c r="CUZ566" s="501"/>
      <c r="CVA566" s="501"/>
      <c r="CVB566" s="501"/>
      <c r="CVC566" s="501"/>
      <c r="CVD566" s="501"/>
      <c r="CVE566" s="501"/>
      <c r="CVF566" s="501"/>
      <c r="CVG566" s="501"/>
      <c r="CVH566" s="501"/>
      <c r="CVI566" s="501"/>
      <c r="CVJ566" s="501"/>
      <c r="CVK566" s="501"/>
      <c r="CVL566" s="501"/>
      <c r="CVM566" s="501"/>
      <c r="CVN566" s="501"/>
      <c r="CVO566" s="501"/>
      <c r="CVP566" s="501"/>
      <c r="CVQ566" s="501"/>
      <c r="CVR566" s="501"/>
      <c r="CVS566" s="501"/>
      <c r="CVT566" s="501"/>
      <c r="CVU566" s="501"/>
      <c r="CVV566" s="501"/>
      <c r="CVW566" s="501"/>
      <c r="CVX566" s="501"/>
      <c r="CVY566" s="501"/>
      <c r="CVZ566" s="501"/>
      <c r="CWA566" s="501"/>
      <c r="CWB566" s="501"/>
      <c r="CWC566" s="501"/>
      <c r="CWD566" s="501"/>
      <c r="CWE566" s="501"/>
      <c r="CWF566" s="501"/>
      <c r="CWG566" s="501"/>
      <c r="CWH566" s="501"/>
      <c r="CWI566" s="501"/>
      <c r="CWJ566" s="501"/>
      <c r="CWK566" s="501"/>
      <c r="CWL566" s="501"/>
      <c r="CWM566" s="501"/>
      <c r="CWN566" s="501"/>
      <c r="CWO566" s="501"/>
      <c r="CWP566" s="501"/>
      <c r="CWQ566" s="501"/>
      <c r="CWR566" s="501"/>
      <c r="CWS566" s="501"/>
      <c r="CWT566" s="501"/>
      <c r="CWU566" s="501"/>
      <c r="CWV566" s="501"/>
      <c r="CWW566" s="501"/>
      <c r="CWX566" s="501"/>
      <c r="CWY566" s="501"/>
      <c r="CWZ566" s="501"/>
      <c r="CXA566" s="501"/>
      <c r="CXB566" s="501"/>
      <c r="CXC566" s="501"/>
      <c r="CXD566" s="501"/>
      <c r="CXE566" s="501"/>
      <c r="CXF566" s="501"/>
      <c r="CXG566" s="501"/>
      <c r="CXH566" s="501"/>
      <c r="CXI566" s="501"/>
      <c r="CXJ566" s="501"/>
      <c r="CXK566" s="501"/>
      <c r="CXL566" s="501"/>
      <c r="CXM566" s="501"/>
      <c r="CXN566" s="501"/>
      <c r="CXO566" s="501"/>
      <c r="CXP566" s="501"/>
      <c r="CXQ566" s="501"/>
      <c r="CXR566" s="501"/>
      <c r="CXS566" s="501"/>
      <c r="CXT566" s="501"/>
      <c r="CXU566" s="501"/>
      <c r="CXV566" s="501"/>
      <c r="CXW566" s="501"/>
      <c r="CXX566" s="501"/>
      <c r="CXY566" s="501"/>
      <c r="CXZ566" s="501"/>
      <c r="CYA566" s="501"/>
      <c r="CYB566" s="501"/>
      <c r="CYC566" s="501"/>
      <c r="CYD566" s="501"/>
      <c r="CYE566" s="501"/>
      <c r="CYF566" s="501"/>
      <c r="CYG566" s="501"/>
      <c r="CYH566" s="501"/>
      <c r="CYI566" s="501"/>
      <c r="CYJ566" s="501"/>
      <c r="CYK566" s="501"/>
      <c r="CYL566" s="501"/>
      <c r="CYM566" s="501"/>
      <c r="CYN566" s="501"/>
      <c r="CYO566" s="501"/>
      <c r="CYP566" s="501"/>
      <c r="CYQ566" s="501"/>
      <c r="CYR566" s="501"/>
      <c r="CYS566" s="501"/>
      <c r="CYT566" s="501"/>
      <c r="CYU566" s="501"/>
      <c r="CYV566" s="501"/>
      <c r="CYW566" s="501"/>
      <c r="CYX566" s="501"/>
      <c r="CYY566" s="501"/>
      <c r="CYZ566" s="501"/>
      <c r="CZA566" s="501"/>
      <c r="CZB566" s="501"/>
      <c r="CZC566" s="501"/>
      <c r="CZD566" s="501"/>
      <c r="CZE566" s="501"/>
      <c r="CZF566" s="501"/>
      <c r="CZG566" s="501"/>
      <c r="CZH566" s="501"/>
      <c r="CZI566" s="501"/>
      <c r="CZJ566" s="501"/>
      <c r="CZK566" s="501"/>
      <c r="CZL566" s="501"/>
      <c r="CZM566" s="501"/>
      <c r="CZN566" s="501"/>
      <c r="CZO566" s="501"/>
      <c r="CZP566" s="501"/>
      <c r="CZQ566" s="501"/>
      <c r="CZR566" s="501"/>
      <c r="CZS566" s="501"/>
      <c r="CZT566" s="501"/>
      <c r="CZU566" s="501"/>
      <c r="CZV566" s="501"/>
      <c r="CZW566" s="501"/>
      <c r="CZX566" s="501"/>
      <c r="CZY566" s="501"/>
      <c r="CZZ566" s="501"/>
      <c r="DAA566" s="501"/>
      <c r="DAB566" s="501"/>
      <c r="DAC566" s="501"/>
      <c r="DAD566" s="501"/>
      <c r="DAE566" s="501"/>
      <c r="DAF566" s="501"/>
      <c r="DAG566" s="501"/>
      <c r="DAH566" s="501"/>
      <c r="DAI566" s="501"/>
      <c r="DAJ566" s="501"/>
      <c r="DAK566" s="501"/>
      <c r="DAL566" s="501"/>
      <c r="DAM566" s="501"/>
      <c r="DAN566" s="501"/>
      <c r="DAO566" s="501"/>
      <c r="DAP566" s="501"/>
      <c r="DAQ566" s="501"/>
      <c r="DAR566" s="501"/>
      <c r="DAS566" s="501"/>
      <c r="DAT566" s="501"/>
      <c r="DAU566" s="501"/>
      <c r="DAV566" s="501"/>
      <c r="DAW566" s="501"/>
      <c r="DAX566" s="501"/>
      <c r="DAY566" s="501"/>
      <c r="DAZ566" s="501"/>
      <c r="DBA566" s="501"/>
      <c r="DBB566" s="501"/>
      <c r="DBC566" s="501"/>
      <c r="DBD566" s="501"/>
      <c r="DBE566" s="501"/>
      <c r="DBF566" s="501"/>
      <c r="DBG566" s="501"/>
      <c r="DBH566" s="501"/>
      <c r="DBI566" s="501"/>
      <c r="DBJ566" s="501"/>
      <c r="DBK566" s="501"/>
      <c r="DBL566" s="501"/>
      <c r="DBM566" s="501"/>
      <c r="DBN566" s="501"/>
      <c r="DBO566" s="501"/>
      <c r="DBP566" s="501"/>
      <c r="DBQ566" s="501"/>
      <c r="DBR566" s="501"/>
      <c r="DBS566" s="501"/>
      <c r="DBT566" s="501"/>
      <c r="DBU566" s="501"/>
      <c r="DBV566" s="501"/>
      <c r="DBW566" s="501"/>
      <c r="DBX566" s="501"/>
      <c r="DBY566" s="501"/>
      <c r="DBZ566" s="501"/>
      <c r="DCA566" s="501"/>
      <c r="DCB566" s="501"/>
      <c r="DCC566" s="501"/>
      <c r="DCD566" s="501"/>
      <c r="DCE566" s="501"/>
      <c r="DCF566" s="501"/>
      <c r="DCG566" s="501"/>
      <c r="DCH566" s="501"/>
      <c r="DCI566" s="501"/>
      <c r="DCJ566" s="501"/>
      <c r="DCK566" s="501"/>
      <c r="DCL566" s="501"/>
      <c r="DCM566" s="501"/>
      <c r="DCN566" s="501"/>
      <c r="DCO566" s="501"/>
      <c r="DCP566" s="501"/>
      <c r="DCQ566" s="501"/>
      <c r="DCR566" s="501"/>
      <c r="DCS566" s="501"/>
      <c r="DCT566" s="501"/>
      <c r="DCU566" s="501"/>
      <c r="DCV566" s="501"/>
      <c r="DCW566" s="501"/>
      <c r="DCX566" s="501"/>
      <c r="DCY566" s="501"/>
      <c r="DCZ566" s="501"/>
      <c r="DDA566" s="501"/>
      <c r="DDB566" s="501"/>
      <c r="DDC566" s="501"/>
      <c r="DDD566" s="501"/>
      <c r="DDE566" s="501"/>
      <c r="DDF566" s="501"/>
      <c r="DDG566" s="501"/>
      <c r="DDH566" s="501"/>
      <c r="DDI566" s="501"/>
      <c r="DDJ566" s="501"/>
      <c r="DDK566" s="501"/>
      <c r="DDL566" s="501"/>
      <c r="DDM566" s="501"/>
      <c r="DDN566" s="501"/>
      <c r="DDO566" s="501"/>
      <c r="DDP566" s="501"/>
      <c r="DDQ566" s="501"/>
      <c r="DDR566" s="501"/>
      <c r="DDS566" s="501"/>
      <c r="DDT566" s="501"/>
      <c r="DDU566" s="501"/>
      <c r="DDV566" s="501"/>
      <c r="DDW566" s="501"/>
      <c r="DDX566" s="501"/>
      <c r="DDY566" s="501"/>
      <c r="DDZ566" s="501"/>
      <c r="DEA566" s="501"/>
      <c r="DEB566" s="501"/>
      <c r="DEC566" s="501"/>
      <c r="DED566" s="501"/>
      <c r="DEE566" s="501"/>
      <c r="DEF566" s="501"/>
      <c r="DEG566" s="501"/>
      <c r="DEH566" s="501"/>
      <c r="DEI566" s="501"/>
      <c r="DEJ566" s="501"/>
      <c r="DEK566" s="501"/>
      <c r="DEL566" s="501"/>
      <c r="DEM566" s="501"/>
      <c r="DEN566" s="501"/>
      <c r="DEO566" s="501"/>
      <c r="DEP566" s="501"/>
      <c r="DEQ566" s="501"/>
      <c r="DER566" s="501"/>
      <c r="DES566" s="501"/>
      <c r="DET566" s="501"/>
      <c r="DEU566" s="501"/>
      <c r="DEV566" s="501"/>
      <c r="DEW566" s="501"/>
      <c r="DEX566" s="501"/>
      <c r="DEY566" s="501"/>
      <c r="DEZ566" s="501"/>
      <c r="DFA566" s="501"/>
      <c r="DFB566" s="501"/>
      <c r="DFC566" s="501"/>
      <c r="DFD566" s="501"/>
      <c r="DFE566" s="501"/>
      <c r="DFF566" s="501"/>
      <c r="DFG566" s="501"/>
      <c r="DFH566" s="501"/>
      <c r="DFI566" s="501"/>
      <c r="DFJ566" s="501"/>
      <c r="DFK566" s="501"/>
      <c r="DFL566" s="501"/>
      <c r="DFM566" s="501"/>
      <c r="DFN566" s="501"/>
      <c r="DFO566" s="501"/>
      <c r="DFP566" s="501"/>
      <c r="DFQ566" s="501"/>
      <c r="DFR566" s="501"/>
      <c r="DFS566" s="501"/>
      <c r="DFT566" s="501"/>
      <c r="DFU566" s="501"/>
      <c r="DFV566" s="501"/>
      <c r="DFW566" s="501"/>
      <c r="DFX566" s="501"/>
      <c r="DFY566" s="501"/>
      <c r="DFZ566" s="501"/>
      <c r="DGA566" s="501"/>
      <c r="DGB566" s="501"/>
      <c r="DGC566" s="501"/>
      <c r="DGD566" s="501"/>
      <c r="DGE566" s="501"/>
      <c r="DGF566" s="501"/>
      <c r="DGG566" s="501"/>
      <c r="DGH566" s="501"/>
      <c r="DGI566" s="501"/>
      <c r="DGJ566" s="501"/>
      <c r="DGK566" s="501"/>
      <c r="DGL566" s="501"/>
      <c r="DGM566" s="501"/>
      <c r="DGN566" s="501"/>
      <c r="DGO566" s="501"/>
      <c r="DGP566" s="501"/>
      <c r="DGQ566" s="501"/>
      <c r="DGR566" s="501"/>
      <c r="DGS566" s="501"/>
      <c r="DGT566" s="501"/>
      <c r="DGU566" s="501"/>
      <c r="DGV566" s="501"/>
      <c r="DGW566" s="501"/>
      <c r="DGX566" s="501"/>
      <c r="DGY566" s="501"/>
      <c r="DGZ566" s="501"/>
      <c r="DHA566" s="501"/>
      <c r="DHB566" s="501"/>
      <c r="DHC566" s="501"/>
      <c r="DHD566" s="501"/>
      <c r="DHE566" s="501"/>
      <c r="DHF566" s="501"/>
      <c r="DHG566" s="501"/>
      <c r="DHH566" s="501"/>
      <c r="DHI566" s="501"/>
      <c r="DHJ566" s="501"/>
      <c r="DHK566" s="501"/>
      <c r="DHL566" s="501"/>
      <c r="DHM566" s="501"/>
      <c r="DHN566" s="501"/>
      <c r="DHO566" s="501"/>
      <c r="DHP566" s="501"/>
      <c r="DHQ566" s="501"/>
      <c r="DHR566" s="501"/>
      <c r="DHS566" s="501"/>
      <c r="DHT566" s="501"/>
      <c r="DHU566" s="501"/>
      <c r="DHV566" s="501"/>
      <c r="DHW566" s="501"/>
      <c r="DHX566" s="501"/>
      <c r="DHY566" s="501"/>
      <c r="DHZ566" s="501"/>
      <c r="DIA566" s="501"/>
      <c r="DIB566" s="501"/>
      <c r="DIC566" s="501"/>
      <c r="DID566" s="501"/>
      <c r="DIE566" s="501"/>
      <c r="DIF566" s="501"/>
      <c r="DIG566" s="501"/>
      <c r="DIH566" s="501"/>
      <c r="DII566" s="501"/>
      <c r="DIJ566" s="501"/>
      <c r="DIK566" s="501"/>
      <c r="DIL566" s="501"/>
      <c r="DIM566" s="501"/>
      <c r="DIN566" s="501"/>
      <c r="DIO566" s="501"/>
      <c r="DIP566" s="501"/>
      <c r="DIQ566" s="501"/>
      <c r="DIR566" s="501"/>
      <c r="DIS566" s="501"/>
      <c r="DIT566" s="501"/>
      <c r="DIU566" s="501"/>
      <c r="DIV566" s="501"/>
      <c r="DIW566" s="501"/>
      <c r="DIX566" s="501"/>
      <c r="DIY566" s="501"/>
      <c r="DIZ566" s="501"/>
      <c r="DJA566" s="501"/>
      <c r="DJB566" s="501"/>
      <c r="DJC566" s="501"/>
      <c r="DJD566" s="501"/>
      <c r="DJE566" s="501"/>
      <c r="DJF566" s="501"/>
      <c r="DJG566" s="501"/>
      <c r="DJH566" s="501"/>
      <c r="DJI566" s="501"/>
      <c r="DJJ566" s="501"/>
      <c r="DJK566" s="501"/>
      <c r="DJL566" s="501"/>
      <c r="DJM566" s="501"/>
      <c r="DJN566" s="501"/>
      <c r="DJO566" s="501"/>
      <c r="DJP566" s="501"/>
      <c r="DJQ566" s="501"/>
      <c r="DJR566" s="501"/>
      <c r="DJS566" s="501"/>
      <c r="DJT566" s="501"/>
      <c r="DJU566" s="501"/>
      <c r="DJV566" s="501"/>
      <c r="DJW566" s="501"/>
      <c r="DJX566" s="501"/>
      <c r="DJY566" s="501"/>
      <c r="DJZ566" s="501"/>
      <c r="DKA566" s="501"/>
      <c r="DKB566" s="501"/>
      <c r="DKC566" s="501"/>
      <c r="DKD566" s="501"/>
      <c r="DKE566" s="501"/>
      <c r="DKF566" s="501"/>
      <c r="DKG566" s="501"/>
      <c r="DKH566" s="501"/>
      <c r="DKI566" s="501"/>
      <c r="DKJ566" s="501"/>
      <c r="DKK566" s="501"/>
      <c r="DKL566" s="501"/>
      <c r="DKM566" s="501"/>
      <c r="DKN566" s="501"/>
      <c r="DKO566" s="501"/>
      <c r="DKP566" s="501"/>
      <c r="DKQ566" s="501"/>
      <c r="DKR566" s="501"/>
      <c r="DKS566" s="501"/>
      <c r="DKT566" s="501"/>
      <c r="DKU566" s="501"/>
      <c r="DKV566" s="501"/>
      <c r="DKW566" s="501"/>
      <c r="DKX566" s="501"/>
      <c r="DKY566" s="501"/>
      <c r="DKZ566" s="501"/>
      <c r="DLA566" s="501"/>
      <c r="DLB566" s="501"/>
      <c r="DLC566" s="501"/>
      <c r="DLD566" s="501"/>
      <c r="DLE566" s="501"/>
      <c r="DLF566" s="501"/>
      <c r="DLG566" s="501"/>
      <c r="DLH566" s="501"/>
      <c r="DLI566" s="501"/>
      <c r="DLJ566" s="501"/>
      <c r="DLK566" s="501"/>
      <c r="DLL566" s="501"/>
      <c r="DLM566" s="501"/>
      <c r="DLN566" s="501"/>
      <c r="DLO566" s="501"/>
      <c r="DLP566" s="501"/>
      <c r="DLQ566" s="501"/>
      <c r="DLR566" s="501"/>
      <c r="DLS566" s="501"/>
      <c r="DLT566" s="501"/>
      <c r="DLU566" s="501"/>
      <c r="DLV566" s="501"/>
      <c r="DLW566" s="501"/>
      <c r="DLX566" s="501"/>
      <c r="DLY566" s="501"/>
      <c r="DLZ566" s="501"/>
      <c r="DMA566" s="501"/>
      <c r="DMB566" s="501"/>
      <c r="DMC566" s="501"/>
      <c r="DMD566" s="501"/>
      <c r="DME566" s="501"/>
      <c r="DMF566" s="501"/>
      <c r="DMG566" s="501"/>
      <c r="DMH566" s="501"/>
      <c r="DMI566" s="501"/>
      <c r="DMJ566" s="501"/>
      <c r="DMK566" s="501"/>
      <c r="DML566" s="501"/>
      <c r="DMM566" s="501"/>
      <c r="DMN566" s="501"/>
      <c r="DMO566" s="501"/>
      <c r="DMP566" s="501"/>
      <c r="DMQ566" s="501"/>
      <c r="DMR566" s="501"/>
      <c r="DMS566" s="501"/>
      <c r="DMT566" s="501"/>
      <c r="DMU566" s="501"/>
      <c r="DMV566" s="501"/>
      <c r="DMW566" s="501"/>
      <c r="DMX566" s="501"/>
      <c r="DMY566" s="501"/>
      <c r="DMZ566" s="501"/>
      <c r="DNA566" s="501"/>
      <c r="DNB566" s="501"/>
      <c r="DNC566" s="501"/>
      <c r="DND566" s="501"/>
      <c r="DNE566" s="501"/>
      <c r="DNF566" s="501"/>
      <c r="DNG566" s="501"/>
      <c r="DNH566" s="501"/>
      <c r="DNI566" s="501"/>
      <c r="DNJ566" s="501"/>
      <c r="DNK566" s="501"/>
      <c r="DNL566" s="501"/>
      <c r="DNM566" s="501"/>
      <c r="DNN566" s="501"/>
      <c r="DNO566" s="501"/>
      <c r="DNP566" s="501"/>
      <c r="DNQ566" s="501"/>
      <c r="DNR566" s="501"/>
      <c r="DNS566" s="501"/>
      <c r="DNT566" s="501"/>
      <c r="DNU566" s="501"/>
      <c r="DNV566" s="501"/>
      <c r="DNW566" s="501"/>
      <c r="DNX566" s="501"/>
      <c r="DNY566" s="501"/>
      <c r="DNZ566" s="501"/>
      <c r="DOA566" s="501"/>
      <c r="DOB566" s="501"/>
      <c r="DOC566" s="501"/>
      <c r="DOD566" s="501"/>
      <c r="DOE566" s="501"/>
      <c r="DOF566" s="501"/>
      <c r="DOG566" s="501"/>
      <c r="DOH566" s="501"/>
      <c r="DOI566" s="501"/>
      <c r="DOJ566" s="501"/>
      <c r="DOK566" s="501"/>
      <c r="DOL566" s="501"/>
      <c r="DOM566" s="501"/>
      <c r="DON566" s="501"/>
      <c r="DOO566" s="501"/>
      <c r="DOP566" s="501"/>
      <c r="DOQ566" s="501"/>
      <c r="DOR566" s="501"/>
      <c r="DOS566" s="501"/>
      <c r="DOT566" s="501"/>
      <c r="DOU566" s="501"/>
      <c r="DOV566" s="501"/>
      <c r="DOW566" s="501"/>
      <c r="DOX566" s="501"/>
      <c r="DOY566" s="501"/>
      <c r="DOZ566" s="501"/>
      <c r="DPA566" s="501"/>
      <c r="DPB566" s="501"/>
      <c r="DPC566" s="501"/>
      <c r="DPD566" s="501"/>
      <c r="DPE566" s="501"/>
      <c r="DPF566" s="501"/>
      <c r="DPG566" s="501"/>
      <c r="DPH566" s="501"/>
      <c r="DPI566" s="501"/>
      <c r="DPJ566" s="501"/>
      <c r="DPK566" s="501"/>
      <c r="DPL566" s="501"/>
      <c r="DPM566" s="501"/>
      <c r="DPN566" s="501"/>
      <c r="DPO566" s="501"/>
      <c r="DPP566" s="501"/>
      <c r="DPQ566" s="501"/>
      <c r="DPR566" s="501"/>
      <c r="DPS566" s="501"/>
      <c r="DPT566" s="501"/>
      <c r="DPU566" s="501"/>
      <c r="DPV566" s="501"/>
      <c r="DPW566" s="501"/>
      <c r="DPX566" s="501"/>
      <c r="DPY566" s="501"/>
      <c r="DPZ566" s="501"/>
      <c r="DQA566" s="501"/>
      <c r="DQB566" s="501"/>
      <c r="DQC566" s="501"/>
      <c r="DQD566" s="501"/>
      <c r="DQE566" s="501"/>
      <c r="DQF566" s="501"/>
      <c r="DQG566" s="501"/>
      <c r="DQH566" s="501"/>
      <c r="DQI566" s="501"/>
      <c r="DQJ566" s="501"/>
      <c r="DQK566" s="501"/>
      <c r="DQL566" s="501"/>
      <c r="DQM566" s="501"/>
      <c r="DQN566" s="501"/>
      <c r="DQO566" s="501"/>
      <c r="DQP566" s="501"/>
      <c r="DQQ566" s="501"/>
      <c r="DQR566" s="501"/>
      <c r="DQS566" s="501"/>
      <c r="DQT566" s="501"/>
      <c r="DQU566" s="501"/>
      <c r="DQV566" s="501"/>
      <c r="DQW566" s="501"/>
      <c r="DQX566" s="501"/>
      <c r="DQY566" s="501"/>
      <c r="DQZ566" s="501"/>
      <c r="DRA566" s="501"/>
      <c r="DRB566" s="501"/>
      <c r="DRC566" s="501"/>
      <c r="DRD566" s="501"/>
      <c r="DRE566" s="501"/>
      <c r="DRF566" s="501"/>
      <c r="DRG566" s="501"/>
      <c r="DRH566" s="501"/>
      <c r="DRI566" s="501"/>
      <c r="DRJ566" s="501"/>
      <c r="DRK566" s="501"/>
      <c r="DRL566" s="501"/>
      <c r="DRM566" s="501"/>
      <c r="DRN566" s="501"/>
      <c r="DRO566" s="501"/>
      <c r="DRP566" s="501"/>
      <c r="DRQ566" s="501"/>
      <c r="DRR566" s="501"/>
      <c r="DRS566" s="501"/>
      <c r="DRT566" s="501"/>
      <c r="DRU566" s="501"/>
      <c r="DRV566" s="501"/>
      <c r="DRW566" s="501"/>
      <c r="DRX566" s="501"/>
      <c r="DRY566" s="501"/>
      <c r="DRZ566" s="501"/>
      <c r="DSA566" s="501"/>
      <c r="DSB566" s="501"/>
      <c r="DSC566" s="501"/>
      <c r="DSD566" s="501"/>
      <c r="DSE566" s="501"/>
      <c r="DSF566" s="501"/>
      <c r="DSG566" s="501"/>
      <c r="DSH566" s="501"/>
      <c r="DSI566" s="501"/>
      <c r="DSJ566" s="501"/>
      <c r="DSK566" s="501"/>
      <c r="DSL566" s="501"/>
      <c r="DSM566" s="501"/>
      <c r="DSN566" s="501"/>
      <c r="DSO566" s="501"/>
      <c r="DSP566" s="501"/>
      <c r="DSQ566" s="501"/>
      <c r="DSR566" s="501"/>
      <c r="DSS566" s="501"/>
      <c r="DST566" s="501"/>
      <c r="DSU566" s="501"/>
      <c r="DSV566" s="501"/>
      <c r="DSW566" s="501"/>
      <c r="DSX566" s="501"/>
      <c r="DSY566" s="501"/>
      <c r="DSZ566" s="501"/>
      <c r="DTA566" s="501"/>
      <c r="DTB566" s="501"/>
      <c r="DTC566" s="501"/>
      <c r="DTD566" s="501"/>
      <c r="DTE566" s="501"/>
      <c r="DTF566" s="501"/>
      <c r="DTG566" s="501"/>
      <c r="DTH566" s="501"/>
      <c r="DTI566" s="501"/>
      <c r="DTJ566" s="501"/>
      <c r="DTK566" s="501"/>
      <c r="DTL566" s="501"/>
      <c r="DTM566" s="501"/>
      <c r="DTN566" s="501"/>
      <c r="DTO566" s="501"/>
      <c r="DTP566" s="501"/>
      <c r="DTQ566" s="501"/>
      <c r="DTR566" s="501"/>
      <c r="DTS566" s="501"/>
      <c r="DTT566" s="501"/>
      <c r="DTU566" s="501"/>
      <c r="DTV566" s="501"/>
      <c r="DTW566" s="501"/>
      <c r="DTX566" s="501"/>
      <c r="DTY566" s="501"/>
      <c r="DTZ566" s="501"/>
      <c r="DUA566" s="501"/>
      <c r="DUB566" s="501"/>
      <c r="DUC566" s="501"/>
      <c r="DUD566" s="501"/>
      <c r="DUE566" s="501"/>
      <c r="DUF566" s="501"/>
      <c r="DUG566" s="501"/>
      <c r="DUH566" s="501"/>
      <c r="DUI566" s="501"/>
      <c r="DUJ566" s="501"/>
      <c r="DUK566" s="501"/>
      <c r="DUL566" s="501"/>
      <c r="DUM566" s="501"/>
      <c r="DUN566" s="501"/>
      <c r="DUO566" s="501"/>
      <c r="DUP566" s="501"/>
      <c r="DUQ566" s="501"/>
      <c r="DUR566" s="501"/>
      <c r="DUS566" s="501"/>
      <c r="DUT566" s="501"/>
      <c r="DUU566" s="501"/>
      <c r="DUV566" s="501"/>
      <c r="DUW566" s="501"/>
      <c r="DUX566" s="501"/>
      <c r="DUY566" s="501"/>
      <c r="DUZ566" s="501"/>
      <c r="DVA566" s="501"/>
      <c r="DVB566" s="501"/>
      <c r="DVC566" s="501"/>
      <c r="DVD566" s="501"/>
      <c r="DVE566" s="501"/>
      <c r="DVF566" s="501"/>
      <c r="DVG566" s="501"/>
      <c r="DVH566" s="501"/>
      <c r="DVI566" s="501"/>
      <c r="DVJ566" s="501"/>
      <c r="DVK566" s="501"/>
      <c r="DVL566" s="501"/>
      <c r="DVM566" s="501"/>
      <c r="DVN566" s="501"/>
      <c r="DVO566" s="501"/>
      <c r="DVP566" s="501"/>
      <c r="DVQ566" s="501"/>
      <c r="DVR566" s="501"/>
      <c r="DVS566" s="501"/>
      <c r="DVT566" s="501"/>
      <c r="DVU566" s="501"/>
      <c r="DVV566" s="501"/>
      <c r="DVW566" s="501"/>
      <c r="DVX566" s="501"/>
      <c r="DVY566" s="501"/>
      <c r="DVZ566" s="501"/>
      <c r="DWA566" s="501"/>
      <c r="DWB566" s="501"/>
      <c r="DWC566" s="501"/>
      <c r="DWD566" s="501"/>
      <c r="DWE566" s="501"/>
      <c r="DWF566" s="501"/>
      <c r="DWG566" s="501"/>
      <c r="DWH566" s="501"/>
      <c r="DWI566" s="501"/>
      <c r="DWJ566" s="501"/>
      <c r="DWK566" s="501"/>
      <c r="DWL566" s="501"/>
      <c r="DWM566" s="501"/>
      <c r="DWN566" s="501"/>
      <c r="DWO566" s="501"/>
      <c r="DWP566" s="501"/>
      <c r="DWQ566" s="501"/>
      <c r="DWR566" s="501"/>
      <c r="DWS566" s="501"/>
      <c r="DWT566" s="501"/>
      <c r="DWU566" s="501"/>
      <c r="DWV566" s="501"/>
      <c r="DWW566" s="501"/>
      <c r="DWX566" s="501"/>
      <c r="DWY566" s="501"/>
      <c r="DWZ566" s="501"/>
      <c r="DXA566" s="501"/>
      <c r="DXB566" s="501"/>
      <c r="DXC566" s="501"/>
      <c r="DXD566" s="501"/>
      <c r="DXE566" s="501"/>
      <c r="DXF566" s="501"/>
      <c r="DXG566" s="501"/>
      <c r="DXH566" s="501"/>
      <c r="DXI566" s="501"/>
      <c r="DXJ566" s="501"/>
      <c r="DXK566" s="501"/>
      <c r="DXL566" s="501"/>
      <c r="DXM566" s="501"/>
      <c r="DXN566" s="501"/>
      <c r="DXO566" s="501"/>
      <c r="DXP566" s="501"/>
      <c r="DXQ566" s="501"/>
      <c r="DXR566" s="501"/>
      <c r="DXS566" s="501"/>
      <c r="DXT566" s="501"/>
      <c r="DXU566" s="501"/>
      <c r="DXV566" s="501"/>
      <c r="DXW566" s="501"/>
      <c r="DXX566" s="501"/>
      <c r="DXY566" s="501"/>
      <c r="DXZ566" s="501"/>
      <c r="DYA566" s="501"/>
      <c r="DYB566" s="501"/>
      <c r="DYC566" s="501"/>
      <c r="DYD566" s="501"/>
      <c r="DYE566" s="501"/>
      <c r="DYF566" s="501"/>
      <c r="DYG566" s="501"/>
      <c r="DYH566" s="501"/>
      <c r="DYI566" s="501"/>
      <c r="DYJ566" s="501"/>
      <c r="DYK566" s="501"/>
      <c r="DYL566" s="501"/>
      <c r="DYM566" s="501"/>
      <c r="DYN566" s="501"/>
      <c r="DYO566" s="501"/>
      <c r="DYP566" s="501"/>
      <c r="DYQ566" s="501"/>
      <c r="DYR566" s="501"/>
      <c r="DYS566" s="501"/>
      <c r="DYT566" s="501"/>
      <c r="DYU566" s="501"/>
      <c r="DYV566" s="501"/>
      <c r="DYW566" s="501"/>
      <c r="DYX566" s="501"/>
      <c r="DYY566" s="501"/>
      <c r="DYZ566" s="501"/>
      <c r="DZA566" s="501"/>
      <c r="DZB566" s="501"/>
      <c r="DZC566" s="501"/>
      <c r="DZD566" s="501"/>
      <c r="DZE566" s="501"/>
      <c r="DZF566" s="501"/>
      <c r="DZG566" s="501"/>
      <c r="DZH566" s="501"/>
      <c r="DZI566" s="501"/>
      <c r="DZJ566" s="501"/>
      <c r="DZK566" s="501"/>
      <c r="DZL566" s="501"/>
      <c r="DZM566" s="501"/>
      <c r="DZN566" s="501"/>
      <c r="DZO566" s="501"/>
      <c r="DZP566" s="501"/>
      <c r="DZQ566" s="501"/>
      <c r="DZR566" s="501"/>
      <c r="DZS566" s="501"/>
      <c r="DZT566" s="501"/>
      <c r="DZU566" s="501"/>
      <c r="DZV566" s="501"/>
      <c r="DZW566" s="501"/>
      <c r="DZX566" s="501"/>
      <c r="DZY566" s="501"/>
      <c r="DZZ566" s="501"/>
      <c r="EAA566" s="501"/>
      <c r="EAB566" s="501"/>
      <c r="EAC566" s="501"/>
      <c r="EAD566" s="501"/>
      <c r="EAE566" s="501"/>
      <c r="EAF566" s="501"/>
      <c r="EAG566" s="501"/>
      <c r="EAH566" s="501"/>
      <c r="EAI566" s="501"/>
      <c r="EAJ566" s="501"/>
      <c r="EAK566" s="501"/>
      <c r="EAL566" s="501"/>
      <c r="EAM566" s="501"/>
      <c r="EAN566" s="501"/>
      <c r="EAO566" s="501"/>
      <c r="EAP566" s="501"/>
      <c r="EAQ566" s="501"/>
      <c r="EAR566" s="501"/>
      <c r="EAS566" s="501"/>
      <c r="EAT566" s="501"/>
      <c r="EAU566" s="501"/>
      <c r="EAV566" s="501"/>
      <c r="EAW566" s="501"/>
      <c r="EAX566" s="501"/>
      <c r="EAY566" s="501"/>
      <c r="EAZ566" s="501"/>
      <c r="EBA566" s="501"/>
      <c r="EBB566" s="501"/>
      <c r="EBC566" s="501"/>
      <c r="EBD566" s="501"/>
      <c r="EBE566" s="501"/>
      <c r="EBF566" s="501"/>
      <c r="EBG566" s="501"/>
      <c r="EBH566" s="501"/>
      <c r="EBI566" s="501"/>
      <c r="EBJ566" s="501"/>
      <c r="EBK566" s="501"/>
      <c r="EBL566" s="501"/>
      <c r="EBM566" s="501"/>
      <c r="EBN566" s="501"/>
      <c r="EBO566" s="501"/>
      <c r="EBP566" s="501"/>
      <c r="EBQ566" s="501"/>
      <c r="EBR566" s="501"/>
      <c r="EBS566" s="501"/>
      <c r="EBT566" s="501"/>
      <c r="EBU566" s="501"/>
      <c r="EBV566" s="501"/>
      <c r="EBW566" s="501"/>
      <c r="EBX566" s="501"/>
      <c r="EBY566" s="501"/>
      <c r="EBZ566" s="501"/>
      <c r="ECA566" s="501"/>
      <c r="ECB566" s="501"/>
      <c r="ECC566" s="501"/>
      <c r="ECD566" s="501"/>
      <c r="ECE566" s="501"/>
      <c r="ECF566" s="501"/>
      <c r="ECG566" s="501"/>
      <c r="ECH566" s="501"/>
      <c r="ECI566" s="501"/>
      <c r="ECJ566" s="501"/>
      <c r="ECK566" s="501"/>
      <c r="ECL566" s="501"/>
      <c r="ECM566" s="501"/>
      <c r="ECN566" s="501"/>
      <c r="ECO566" s="501"/>
      <c r="ECP566" s="501"/>
      <c r="ECQ566" s="501"/>
      <c r="ECR566" s="501"/>
      <c r="ECS566" s="501"/>
      <c r="ECT566" s="501"/>
      <c r="ECU566" s="501"/>
      <c r="ECV566" s="501"/>
      <c r="ECW566" s="501"/>
      <c r="ECX566" s="501"/>
      <c r="ECY566" s="501"/>
      <c r="ECZ566" s="501"/>
      <c r="EDA566" s="501"/>
      <c r="EDB566" s="501"/>
      <c r="EDC566" s="501"/>
      <c r="EDD566" s="501"/>
      <c r="EDE566" s="501"/>
      <c r="EDF566" s="501"/>
      <c r="EDG566" s="501"/>
      <c r="EDH566" s="501"/>
      <c r="EDI566" s="501"/>
      <c r="EDJ566" s="501"/>
      <c r="EDK566" s="501"/>
      <c r="EDL566" s="501"/>
      <c r="EDM566" s="501"/>
      <c r="EDN566" s="501"/>
      <c r="EDO566" s="501"/>
      <c r="EDP566" s="501"/>
      <c r="EDQ566" s="501"/>
      <c r="EDR566" s="501"/>
      <c r="EDS566" s="501"/>
      <c r="EDT566" s="501"/>
      <c r="EDU566" s="501"/>
      <c r="EDV566" s="501"/>
      <c r="EDW566" s="501"/>
      <c r="EDX566" s="501"/>
      <c r="EDY566" s="501"/>
      <c r="EDZ566" s="501"/>
      <c r="EEA566" s="501"/>
      <c r="EEB566" s="501"/>
      <c r="EEC566" s="501"/>
      <c r="EED566" s="501"/>
      <c r="EEE566" s="501"/>
      <c r="EEF566" s="501"/>
      <c r="EEG566" s="501"/>
      <c r="EEH566" s="501"/>
      <c r="EEI566" s="501"/>
      <c r="EEJ566" s="501"/>
      <c r="EEK566" s="501"/>
      <c r="EEL566" s="501"/>
      <c r="EEM566" s="501"/>
      <c r="EEN566" s="501"/>
      <c r="EEO566" s="501"/>
      <c r="EEP566" s="501"/>
      <c r="EEQ566" s="501"/>
      <c r="EER566" s="501"/>
      <c r="EES566" s="501"/>
      <c r="EET566" s="501"/>
      <c r="EEU566" s="501"/>
      <c r="EEV566" s="501"/>
      <c r="EEW566" s="501"/>
      <c r="EEX566" s="501"/>
      <c r="EEY566" s="501"/>
      <c r="EEZ566" s="501"/>
      <c r="EFA566" s="501"/>
      <c r="EFB566" s="501"/>
      <c r="EFC566" s="501"/>
      <c r="EFD566" s="501"/>
      <c r="EFE566" s="501"/>
      <c r="EFF566" s="501"/>
      <c r="EFG566" s="501"/>
      <c r="EFH566" s="501"/>
      <c r="EFI566" s="501"/>
      <c r="EFJ566" s="501"/>
      <c r="EFK566" s="501"/>
      <c r="EFL566" s="501"/>
      <c r="EFM566" s="501"/>
      <c r="EFN566" s="501"/>
      <c r="EFO566" s="501"/>
      <c r="EFP566" s="501"/>
      <c r="EFQ566" s="501"/>
      <c r="EFR566" s="501"/>
      <c r="EFS566" s="501"/>
      <c r="EFT566" s="501"/>
      <c r="EFU566" s="501"/>
      <c r="EFV566" s="501"/>
      <c r="EFW566" s="501"/>
      <c r="EFX566" s="501"/>
      <c r="EFY566" s="501"/>
      <c r="EFZ566" s="501"/>
      <c r="EGA566" s="501"/>
      <c r="EGB566" s="501"/>
      <c r="EGC566" s="501"/>
      <c r="EGD566" s="501"/>
      <c r="EGE566" s="501"/>
      <c r="EGF566" s="501"/>
      <c r="EGG566" s="501"/>
      <c r="EGH566" s="501"/>
      <c r="EGI566" s="501"/>
      <c r="EGJ566" s="501"/>
      <c r="EGK566" s="501"/>
      <c r="EGL566" s="501"/>
      <c r="EGM566" s="501"/>
      <c r="EGN566" s="501"/>
      <c r="EGO566" s="501"/>
      <c r="EGP566" s="501"/>
      <c r="EGQ566" s="501"/>
      <c r="EGR566" s="501"/>
      <c r="EGS566" s="501"/>
      <c r="EGT566" s="501"/>
      <c r="EGU566" s="501"/>
      <c r="EGV566" s="501"/>
      <c r="EGW566" s="501"/>
      <c r="EGX566" s="501"/>
      <c r="EGY566" s="501"/>
      <c r="EGZ566" s="501"/>
      <c r="EHA566" s="501"/>
      <c r="EHB566" s="501"/>
      <c r="EHC566" s="501"/>
      <c r="EHD566" s="501"/>
      <c r="EHE566" s="501"/>
      <c r="EHF566" s="501"/>
      <c r="EHG566" s="501"/>
      <c r="EHH566" s="501"/>
      <c r="EHI566" s="501"/>
      <c r="EHJ566" s="501"/>
      <c r="EHK566" s="501"/>
      <c r="EHL566" s="501"/>
      <c r="EHM566" s="501"/>
      <c r="EHN566" s="501"/>
      <c r="EHO566" s="501"/>
      <c r="EHP566" s="501"/>
      <c r="EHQ566" s="501"/>
      <c r="EHR566" s="501"/>
      <c r="EHS566" s="501"/>
      <c r="EHT566" s="501"/>
      <c r="EHU566" s="501"/>
      <c r="EHV566" s="501"/>
      <c r="EHW566" s="501"/>
      <c r="EHX566" s="501"/>
      <c r="EHY566" s="501"/>
      <c r="EHZ566" s="501"/>
      <c r="EIA566" s="501"/>
      <c r="EIB566" s="501"/>
      <c r="EIC566" s="501"/>
      <c r="EID566" s="501"/>
      <c r="EIE566" s="501"/>
      <c r="EIF566" s="501"/>
      <c r="EIG566" s="501"/>
      <c r="EIH566" s="501"/>
      <c r="EII566" s="501"/>
      <c r="EIJ566" s="501"/>
      <c r="EIK566" s="501"/>
      <c r="EIL566" s="501"/>
      <c r="EIM566" s="501"/>
      <c r="EIN566" s="501"/>
      <c r="EIO566" s="501"/>
      <c r="EIP566" s="501"/>
      <c r="EIQ566" s="501"/>
      <c r="EIR566" s="501"/>
      <c r="EIS566" s="501"/>
      <c r="EIT566" s="501"/>
      <c r="EIU566" s="501"/>
      <c r="EIV566" s="501"/>
      <c r="EIW566" s="501"/>
      <c r="EIX566" s="501"/>
      <c r="EIY566" s="501"/>
      <c r="EIZ566" s="501"/>
      <c r="EJA566" s="501"/>
      <c r="EJB566" s="501"/>
      <c r="EJC566" s="501"/>
      <c r="EJD566" s="501"/>
      <c r="EJE566" s="501"/>
      <c r="EJF566" s="501"/>
      <c r="EJG566" s="501"/>
      <c r="EJH566" s="501"/>
      <c r="EJI566" s="501"/>
      <c r="EJJ566" s="501"/>
      <c r="EJK566" s="501"/>
      <c r="EJL566" s="501"/>
      <c r="EJM566" s="501"/>
      <c r="EJN566" s="501"/>
      <c r="EJO566" s="501"/>
      <c r="EJP566" s="501"/>
      <c r="EJQ566" s="501"/>
      <c r="EJR566" s="501"/>
      <c r="EJS566" s="501"/>
      <c r="EJT566" s="501"/>
      <c r="EJU566" s="501"/>
      <c r="EJV566" s="501"/>
      <c r="EJW566" s="501"/>
      <c r="EJX566" s="501"/>
      <c r="EJY566" s="501"/>
      <c r="EJZ566" s="501"/>
      <c r="EKA566" s="501"/>
      <c r="EKB566" s="501"/>
      <c r="EKC566" s="501"/>
      <c r="EKD566" s="501"/>
      <c r="EKE566" s="501"/>
      <c r="EKF566" s="501"/>
      <c r="EKG566" s="501"/>
      <c r="EKH566" s="501"/>
      <c r="EKI566" s="501"/>
      <c r="EKJ566" s="501"/>
      <c r="EKK566" s="501"/>
      <c r="EKL566" s="501"/>
      <c r="EKM566" s="501"/>
      <c r="EKN566" s="501"/>
      <c r="EKO566" s="501"/>
      <c r="EKP566" s="501"/>
      <c r="EKQ566" s="501"/>
      <c r="EKR566" s="501"/>
      <c r="EKS566" s="501"/>
      <c r="EKT566" s="501"/>
      <c r="EKU566" s="501"/>
      <c r="EKV566" s="501"/>
      <c r="EKW566" s="501"/>
      <c r="EKX566" s="501"/>
      <c r="EKY566" s="501"/>
      <c r="EKZ566" s="501"/>
      <c r="ELA566" s="501"/>
      <c r="ELB566" s="501"/>
      <c r="ELC566" s="501"/>
      <c r="ELD566" s="501"/>
      <c r="ELE566" s="501"/>
      <c r="ELF566" s="501"/>
      <c r="ELG566" s="501"/>
      <c r="ELH566" s="501"/>
      <c r="ELI566" s="501"/>
      <c r="ELJ566" s="501"/>
      <c r="ELK566" s="501"/>
      <c r="ELL566" s="501"/>
      <c r="ELM566" s="501"/>
      <c r="ELN566" s="501"/>
      <c r="ELO566" s="501"/>
      <c r="ELP566" s="501"/>
      <c r="ELQ566" s="501"/>
      <c r="ELR566" s="501"/>
      <c r="ELS566" s="501"/>
      <c r="ELT566" s="501"/>
      <c r="ELU566" s="501"/>
      <c r="ELV566" s="501"/>
      <c r="ELW566" s="501"/>
      <c r="ELX566" s="501"/>
      <c r="ELY566" s="501"/>
      <c r="ELZ566" s="501"/>
      <c r="EMA566" s="501"/>
      <c r="EMB566" s="501"/>
      <c r="EMC566" s="501"/>
      <c r="EMD566" s="501"/>
      <c r="EME566" s="501"/>
      <c r="EMF566" s="501"/>
      <c r="EMG566" s="501"/>
      <c r="EMH566" s="501"/>
      <c r="EMI566" s="501"/>
      <c r="EMJ566" s="501"/>
      <c r="EMK566" s="501"/>
      <c r="EML566" s="501"/>
      <c r="EMM566" s="501"/>
      <c r="EMN566" s="501"/>
      <c r="EMO566" s="501"/>
      <c r="EMP566" s="501"/>
      <c r="EMQ566" s="501"/>
      <c r="EMR566" s="501"/>
      <c r="EMS566" s="501"/>
      <c r="EMT566" s="501"/>
      <c r="EMU566" s="501"/>
      <c r="EMV566" s="501"/>
      <c r="EMW566" s="501"/>
      <c r="EMX566" s="501"/>
      <c r="EMY566" s="501"/>
      <c r="EMZ566" s="501"/>
      <c r="ENA566" s="501"/>
      <c r="ENB566" s="501"/>
      <c r="ENC566" s="501"/>
      <c r="END566" s="501"/>
      <c r="ENE566" s="501"/>
      <c r="ENF566" s="501"/>
      <c r="ENG566" s="501"/>
      <c r="ENH566" s="501"/>
      <c r="ENI566" s="501"/>
      <c r="ENJ566" s="501"/>
      <c r="ENK566" s="501"/>
      <c r="ENL566" s="501"/>
      <c r="ENM566" s="501"/>
      <c r="ENN566" s="501"/>
      <c r="ENO566" s="501"/>
      <c r="ENP566" s="501"/>
      <c r="ENQ566" s="501"/>
      <c r="ENR566" s="501"/>
      <c r="ENS566" s="501"/>
      <c r="ENT566" s="501"/>
      <c r="ENU566" s="501"/>
      <c r="ENV566" s="501"/>
      <c r="ENW566" s="501"/>
      <c r="ENX566" s="501"/>
      <c r="ENY566" s="501"/>
      <c r="ENZ566" s="501"/>
      <c r="EOA566" s="501"/>
      <c r="EOB566" s="501"/>
      <c r="EOC566" s="501"/>
      <c r="EOD566" s="501"/>
      <c r="EOE566" s="501"/>
      <c r="EOF566" s="501"/>
      <c r="EOG566" s="501"/>
      <c r="EOH566" s="501"/>
      <c r="EOI566" s="501"/>
      <c r="EOJ566" s="501"/>
      <c r="EOK566" s="501"/>
      <c r="EOL566" s="501"/>
      <c r="EOM566" s="501"/>
      <c r="EON566" s="501"/>
      <c r="EOO566" s="501"/>
      <c r="EOP566" s="501"/>
      <c r="EOQ566" s="501"/>
      <c r="EOR566" s="501"/>
      <c r="EOS566" s="501"/>
      <c r="EOT566" s="501"/>
      <c r="EOU566" s="501"/>
      <c r="EOV566" s="501"/>
      <c r="EOW566" s="501"/>
      <c r="EOX566" s="501"/>
      <c r="EOY566" s="501"/>
      <c r="EOZ566" s="501"/>
      <c r="EPA566" s="501"/>
      <c r="EPB566" s="501"/>
      <c r="EPC566" s="501"/>
      <c r="EPD566" s="501"/>
      <c r="EPE566" s="501"/>
      <c r="EPF566" s="501"/>
      <c r="EPG566" s="501"/>
      <c r="EPH566" s="501"/>
      <c r="EPI566" s="501"/>
      <c r="EPJ566" s="501"/>
      <c r="EPK566" s="501"/>
      <c r="EPL566" s="501"/>
      <c r="EPM566" s="501"/>
      <c r="EPN566" s="501"/>
      <c r="EPO566" s="501"/>
      <c r="EPP566" s="501"/>
      <c r="EPQ566" s="501"/>
      <c r="EPR566" s="501"/>
      <c r="EPS566" s="501"/>
      <c r="EPT566" s="501"/>
      <c r="EPU566" s="501"/>
      <c r="EPV566" s="501"/>
      <c r="EPW566" s="501"/>
      <c r="EPX566" s="501"/>
      <c r="EPY566" s="501"/>
      <c r="EPZ566" s="501"/>
      <c r="EQA566" s="501"/>
      <c r="EQB566" s="501"/>
      <c r="EQC566" s="501"/>
      <c r="EQD566" s="501"/>
      <c r="EQE566" s="501"/>
      <c r="EQF566" s="501"/>
      <c r="EQG566" s="501"/>
      <c r="EQH566" s="501"/>
      <c r="EQI566" s="501"/>
      <c r="EQJ566" s="501"/>
      <c r="EQK566" s="501"/>
      <c r="EQL566" s="501"/>
      <c r="EQM566" s="501"/>
      <c r="EQN566" s="501"/>
      <c r="EQO566" s="501"/>
      <c r="EQP566" s="501"/>
      <c r="EQQ566" s="501"/>
      <c r="EQR566" s="501"/>
      <c r="EQS566" s="501"/>
      <c r="EQT566" s="501"/>
      <c r="EQU566" s="501"/>
      <c r="EQV566" s="501"/>
      <c r="EQW566" s="501"/>
      <c r="EQX566" s="501"/>
      <c r="EQY566" s="501"/>
      <c r="EQZ566" s="501"/>
      <c r="ERA566" s="501"/>
      <c r="ERB566" s="501"/>
      <c r="ERC566" s="501"/>
      <c r="ERD566" s="501"/>
      <c r="ERE566" s="501"/>
      <c r="ERF566" s="501"/>
      <c r="ERG566" s="501"/>
      <c r="ERH566" s="501"/>
      <c r="ERI566" s="501"/>
      <c r="ERJ566" s="501"/>
      <c r="ERK566" s="501"/>
      <c r="ERL566" s="501"/>
      <c r="ERM566" s="501"/>
      <c r="ERN566" s="501"/>
      <c r="ERO566" s="501"/>
      <c r="ERP566" s="501"/>
      <c r="ERQ566" s="501"/>
      <c r="ERR566" s="501"/>
      <c r="ERS566" s="501"/>
      <c r="ERT566" s="501"/>
      <c r="ERU566" s="501"/>
      <c r="ERV566" s="501"/>
      <c r="ERW566" s="501"/>
      <c r="ERX566" s="501"/>
      <c r="ERY566" s="501"/>
      <c r="ERZ566" s="501"/>
      <c r="ESA566" s="501"/>
      <c r="ESB566" s="501"/>
      <c r="ESC566" s="501"/>
      <c r="ESD566" s="501"/>
      <c r="ESE566" s="501"/>
      <c r="ESF566" s="501"/>
      <c r="ESG566" s="501"/>
      <c r="ESH566" s="501"/>
      <c r="ESI566" s="501"/>
      <c r="ESJ566" s="501"/>
      <c r="ESK566" s="501"/>
      <c r="ESL566" s="501"/>
      <c r="ESM566" s="501"/>
      <c r="ESN566" s="501"/>
      <c r="ESO566" s="501"/>
      <c r="ESP566" s="501"/>
      <c r="ESQ566" s="501"/>
      <c r="ESR566" s="501"/>
      <c r="ESS566" s="501"/>
      <c r="EST566" s="501"/>
      <c r="ESU566" s="501"/>
      <c r="ESV566" s="501"/>
      <c r="ESW566" s="501"/>
      <c r="ESX566" s="501"/>
      <c r="ESY566" s="501"/>
      <c r="ESZ566" s="501"/>
      <c r="ETA566" s="501"/>
      <c r="ETB566" s="501"/>
      <c r="ETC566" s="501"/>
      <c r="ETD566" s="501"/>
      <c r="ETE566" s="501"/>
      <c r="ETF566" s="501"/>
      <c r="ETG566" s="501"/>
      <c r="ETH566" s="501"/>
      <c r="ETI566" s="501"/>
      <c r="ETJ566" s="501"/>
      <c r="ETK566" s="501"/>
      <c r="ETL566" s="501"/>
      <c r="ETM566" s="501"/>
      <c r="ETN566" s="501"/>
      <c r="ETO566" s="501"/>
      <c r="ETP566" s="501"/>
      <c r="ETQ566" s="501"/>
      <c r="ETR566" s="501"/>
      <c r="ETS566" s="501"/>
      <c r="ETT566" s="501"/>
      <c r="ETU566" s="501"/>
      <c r="ETV566" s="501"/>
      <c r="ETW566" s="501"/>
      <c r="ETX566" s="501"/>
      <c r="ETY566" s="501"/>
      <c r="ETZ566" s="501"/>
      <c r="EUA566" s="501"/>
      <c r="EUB566" s="501"/>
      <c r="EUC566" s="501"/>
      <c r="EUD566" s="501"/>
      <c r="EUE566" s="501"/>
      <c r="EUF566" s="501"/>
      <c r="EUG566" s="501"/>
      <c r="EUH566" s="501"/>
      <c r="EUI566" s="501"/>
      <c r="EUJ566" s="501"/>
      <c r="EUK566" s="501"/>
      <c r="EUL566" s="501"/>
      <c r="EUM566" s="501"/>
      <c r="EUN566" s="501"/>
      <c r="EUO566" s="501"/>
      <c r="EUP566" s="501"/>
      <c r="EUQ566" s="501"/>
      <c r="EUR566" s="501"/>
      <c r="EUS566" s="501"/>
      <c r="EUT566" s="501"/>
      <c r="EUU566" s="501"/>
      <c r="EUV566" s="501"/>
      <c r="EUW566" s="501"/>
      <c r="EUX566" s="501"/>
      <c r="EUY566" s="501"/>
      <c r="EUZ566" s="501"/>
      <c r="EVA566" s="501"/>
      <c r="EVB566" s="501"/>
      <c r="EVC566" s="501"/>
      <c r="EVD566" s="501"/>
      <c r="EVE566" s="501"/>
      <c r="EVF566" s="501"/>
      <c r="EVG566" s="501"/>
      <c r="EVH566" s="501"/>
      <c r="EVI566" s="501"/>
      <c r="EVJ566" s="501"/>
      <c r="EVK566" s="501"/>
      <c r="EVL566" s="501"/>
      <c r="EVM566" s="501"/>
      <c r="EVN566" s="501"/>
      <c r="EVO566" s="501"/>
      <c r="EVP566" s="501"/>
      <c r="EVQ566" s="501"/>
      <c r="EVR566" s="501"/>
      <c r="EVS566" s="501"/>
      <c r="EVT566" s="501"/>
      <c r="EVU566" s="501"/>
      <c r="EVV566" s="501"/>
      <c r="EVW566" s="501"/>
      <c r="EVX566" s="501"/>
      <c r="EVY566" s="501"/>
      <c r="EVZ566" s="501"/>
      <c r="EWA566" s="501"/>
      <c r="EWB566" s="501"/>
      <c r="EWC566" s="501"/>
      <c r="EWD566" s="501"/>
      <c r="EWE566" s="501"/>
      <c r="EWF566" s="501"/>
      <c r="EWG566" s="501"/>
      <c r="EWH566" s="501"/>
      <c r="EWI566" s="501"/>
      <c r="EWJ566" s="501"/>
      <c r="EWK566" s="501"/>
      <c r="EWL566" s="501"/>
      <c r="EWM566" s="501"/>
      <c r="EWN566" s="501"/>
      <c r="EWO566" s="501"/>
      <c r="EWP566" s="501"/>
      <c r="EWQ566" s="501"/>
      <c r="EWR566" s="501"/>
      <c r="EWS566" s="501"/>
      <c r="EWT566" s="501"/>
      <c r="EWU566" s="501"/>
      <c r="EWV566" s="501"/>
      <c r="EWW566" s="501"/>
      <c r="EWX566" s="501"/>
      <c r="EWY566" s="501"/>
      <c r="EWZ566" s="501"/>
      <c r="EXA566" s="501"/>
      <c r="EXB566" s="501"/>
      <c r="EXC566" s="501"/>
      <c r="EXD566" s="501"/>
      <c r="EXE566" s="501"/>
      <c r="EXF566" s="501"/>
      <c r="EXG566" s="501"/>
      <c r="EXH566" s="501"/>
      <c r="EXI566" s="501"/>
      <c r="EXJ566" s="501"/>
      <c r="EXK566" s="501"/>
      <c r="EXL566" s="501"/>
      <c r="EXM566" s="501"/>
      <c r="EXN566" s="501"/>
      <c r="EXO566" s="501"/>
      <c r="EXP566" s="501"/>
      <c r="EXQ566" s="501"/>
      <c r="EXR566" s="501"/>
      <c r="EXS566" s="501"/>
      <c r="EXT566" s="501"/>
      <c r="EXU566" s="501"/>
      <c r="EXV566" s="501"/>
      <c r="EXW566" s="501"/>
      <c r="EXX566" s="501"/>
      <c r="EXY566" s="501"/>
      <c r="EXZ566" s="501"/>
      <c r="EYA566" s="501"/>
      <c r="EYB566" s="501"/>
      <c r="EYC566" s="501"/>
      <c r="EYD566" s="501"/>
      <c r="EYE566" s="501"/>
      <c r="EYF566" s="501"/>
      <c r="EYG566" s="501"/>
      <c r="EYH566" s="501"/>
      <c r="EYI566" s="501"/>
      <c r="EYJ566" s="501"/>
      <c r="EYK566" s="501"/>
      <c r="EYL566" s="501"/>
      <c r="EYM566" s="501"/>
      <c r="EYN566" s="501"/>
      <c r="EYO566" s="501"/>
      <c r="EYP566" s="501"/>
      <c r="EYQ566" s="501"/>
      <c r="EYR566" s="501"/>
      <c r="EYS566" s="501"/>
      <c r="EYT566" s="501"/>
      <c r="EYU566" s="501"/>
      <c r="EYV566" s="501"/>
      <c r="EYW566" s="501"/>
      <c r="EYX566" s="501"/>
      <c r="EYY566" s="501"/>
      <c r="EYZ566" s="501"/>
      <c r="EZA566" s="501"/>
      <c r="EZB566" s="501"/>
      <c r="EZC566" s="501"/>
      <c r="EZD566" s="501"/>
      <c r="EZE566" s="501"/>
      <c r="EZF566" s="501"/>
      <c r="EZG566" s="501"/>
      <c r="EZH566" s="501"/>
      <c r="EZI566" s="501"/>
      <c r="EZJ566" s="501"/>
      <c r="EZK566" s="501"/>
      <c r="EZL566" s="501"/>
      <c r="EZM566" s="501"/>
      <c r="EZN566" s="501"/>
      <c r="EZO566" s="501"/>
      <c r="EZP566" s="501"/>
      <c r="EZQ566" s="501"/>
      <c r="EZR566" s="501"/>
      <c r="EZS566" s="501"/>
      <c r="EZT566" s="501"/>
      <c r="EZU566" s="501"/>
      <c r="EZV566" s="501"/>
      <c r="EZW566" s="501"/>
      <c r="EZX566" s="501"/>
      <c r="EZY566" s="501"/>
      <c r="EZZ566" s="501"/>
      <c r="FAA566" s="501"/>
      <c r="FAB566" s="501"/>
      <c r="FAC566" s="501"/>
      <c r="FAD566" s="501"/>
      <c r="FAE566" s="501"/>
      <c r="FAF566" s="501"/>
      <c r="FAG566" s="501"/>
      <c r="FAH566" s="501"/>
      <c r="FAI566" s="501"/>
      <c r="FAJ566" s="501"/>
      <c r="FAK566" s="501"/>
      <c r="FAL566" s="501"/>
      <c r="FAM566" s="501"/>
      <c r="FAN566" s="501"/>
      <c r="FAO566" s="501"/>
      <c r="FAP566" s="501"/>
      <c r="FAQ566" s="501"/>
      <c r="FAR566" s="501"/>
      <c r="FAS566" s="501"/>
      <c r="FAT566" s="501"/>
      <c r="FAU566" s="501"/>
      <c r="FAV566" s="501"/>
      <c r="FAW566" s="501"/>
      <c r="FAX566" s="501"/>
      <c r="FAY566" s="501"/>
      <c r="FAZ566" s="501"/>
      <c r="FBA566" s="501"/>
      <c r="FBB566" s="501"/>
      <c r="FBC566" s="501"/>
      <c r="FBD566" s="501"/>
      <c r="FBE566" s="501"/>
      <c r="FBF566" s="501"/>
      <c r="FBG566" s="501"/>
      <c r="FBH566" s="501"/>
      <c r="FBI566" s="501"/>
      <c r="FBJ566" s="501"/>
      <c r="FBK566" s="501"/>
      <c r="FBL566" s="501"/>
      <c r="FBM566" s="501"/>
      <c r="FBN566" s="501"/>
      <c r="FBO566" s="501"/>
      <c r="FBP566" s="501"/>
      <c r="FBQ566" s="501"/>
      <c r="FBR566" s="501"/>
      <c r="FBS566" s="501"/>
      <c r="FBT566" s="501"/>
      <c r="FBU566" s="501"/>
      <c r="FBV566" s="501"/>
      <c r="FBW566" s="501"/>
      <c r="FBX566" s="501"/>
      <c r="FBY566" s="501"/>
      <c r="FBZ566" s="501"/>
      <c r="FCA566" s="501"/>
      <c r="FCB566" s="501"/>
      <c r="FCC566" s="501"/>
      <c r="FCD566" s="501"/>
      <c r="FCE566" s="501"/>
      <c r="FCF566" s="501"/>
      <c r="FCG566" s="501"/>
      <c r="FCH566" s="501"/>
      <c r="FCI566" s="501"/>
      <c r="FCJ566" s="501"/>
      <c r="FCK566" s="501"/>
      <c r="FCL566" s="501"/>
      <c r="FCM566" s="501"/>
      <c r="FCN566" s="501"/>
      <c r="FCO566" s="501"/>
      <c r="FCP566" s="501"/>
      <c r="FCQ566" s="501"/>
      <c r="FCR566" s="501"/>
      <c r="FCS566" s="501"/>
      <c r="FCT566" s="501"/>
      <c r="FCU566" s="501"/>
      <c r="FCV566" s="501"/>
      <c r="FCW566" s="501"/>
      <c r="FCX566" s="501"/>
      <c r="FCY566" s="501"/>
      <c r="FCZ566" s="501"/>
      <c r="FDA566" s="501"/>
      <c r="FDB566" s="501"/>
      <c r="FDC566" s="501"/>
      <c r="FDD566" s="501"/>
      <c r="FDE566" s="501"/>
      <c r="FDF566" s="501"/>
      <c r="FDG566" s="501"/>
      <c r="FDH566" s="501"/>
      <c r="FDI566" s="501"/>
      <c r="FDJ566" s="501"/>
      <c r="FDK566" s="501"/>
      <c r="FDL566" s="501"/>
      <c r="FDM566" s="501"/>
      <c r="FDN566" s="501"/>
      <c r="FDO566" s="501"/>
      <c r="FDP566" s="501"/>
      <c r="FDQ566" s="501"/>
      <c r="FDR566" s="501"/>
      <c r="FDS566" s="501"/>
      <c r="FDT566" s="501"/>
      <c r="FDU566" s="501"/>
      <c r="FDV566" s="501"/>
      <c r="FDW566" s="501"/>
      <c r="FDX566" s="501"/>
      <c r="FDY566" s="501"/>
      <c r="FDZ566" s="501"/>
      <c r="FEA566" s="501"/>
      <c r="FEB566" s="501"/>
      <c r="FEC566" s="501"/>
      <c r="FED566" s="501"/>
      <c r="FEE566" s="501"/>
      <c r="FEF566" s="501"/>
      <c r="FEG566" s="501"/>
      <c r="FEH566" s="501"/>
      <c r="FEI566" s="501"/>
      <c r="FEJ566" s="501"/>
      <c r="FEK566" s="501"/>
      <c r="FEL566" s="501"/>
      <c r="FEM566" s="501"/>
      <c r="FEN566" s="501"/>
      <c r="FEO566" s="501"/>
      <c r="FEP566" s="501"/>
      <c r="FEQ566" s="501"/>
      <c r="FER566" s="501"/>
      <c r="FES566" s="501"/>
      <c r="FET566" s="501"/>
      <c r="FEU566" s="501"/>
      <c r="FEV566" s="501"/>
      <c r="FEW566" s="501"/>
      <c r="FEX566" s="501"/>
      <c r="FEY566" s="501"/>
      <c r="FEZ566" s="501"/>
      <c r="FFA566" s="501"/>
      <c r="FFB566" s="501"/>
      <c r="FFC566" s="501"/>
      <c r="FFD566" s="501"/>
      <c r="FFE566" s="501"/>
      <c r="FFF566" s="501"/>
      <c r="FFG566" s="501"/>
      <c r="FFH566" s="501"/>
      <c r="FFI566" s="501"/>
      <c r="FFJ566" s="501"/>
      <c r="FFK566" s="501"/>
      <c r="FFL566" s="501"/>
      <c r="FFM566" s="501"/>
      <c r="FFN566" s="501"/>
      <c r="FFO566" s="501"/>
      <c r="FFP566" s="501"/>
      <c r="FFQ566" s="501"/>
      <c r="FFR566" s="501"/>
      <c r="FFS566" s="501"/>
      <c r="FFT566" s="501"/>
      <c r="FFU566" s="501"/>
      <c r="FFV566" s="501"/>
      <c r="FFW566" s="501"/>
      <c r="FFX566" s="501"/>
      <c r="FFY566" s="501"/>
      <c r="FFZ566" s="501"/>
      <c r="FGA566" s="501"/>
      <c r="FGB566" s="501"/>
      <c r="FGC566" s="501"/>
      <c r="FGD566" s="501"/>
      <c r="FGE566" s="501"/>
      <c r="FGF566" s="501"/>
      <c r="FGG566" s="501"/>
      <c r="FGH566" s="501"/>
      <c r="FGI566" s="501"/>
      <c r="FGJ566" s="501"/>
      <c r="FGK566" s="501"/>
      <c r="FGL566" s="501"/>
      <c r="FGM566" s="501"/>
      <c r="FGN566" s="501"/>
      <c r="FGO566" s="501"/>
      <c r="FGP566" s="501"/>
      <c r="FGQ566" s="501"/>
      <c r="FGR566" s="501"/>
      <c r="FGS566" s="501"/>
      <c r="FGT566" s="501"/>
      <c r="FGU566" s="501"/>
      <c r="FGV566" s="501"/>
      <c r="FGW566" s="501"/>
      <c r="FGX566" s="501"/>
      <c r="FGY566" s="501"/>
      <c r="FGZ566" s="501"/>
      <c r="FHA566" s="501"/>
      <c r="FHB566" s="501"/>
      <c r="FHC566" s="501"/>
      <c r="FHD566" s="501"/>
      <c r="FHE566" s="501"/>
      <c r="FHF566" s="501"/>
      <c r="FHG566" s="501"/>
      <c r="FHH566" s="501"/>
      <c r="FHI566" s="501"/>
      <c r="FHJ566" s="501"/>
      <c r="FHK566" s="501"/>
      <c r="FHL566" s="501"/>
      <c r="FHM566" s="501"/>
      <c r="FHN566" s="501"/>
      <c r="FHO566" s="501"/>
      <c r="FHP566" s="501"/>
      <c r="FHQ566" s="501"/>
      <c r="FHR566" s="501"/>
      <c r="FHS566" s="501"/>
      <c r="FHT566" s="501"/>
      <c r="FHU566" s="501"/>
      <c r="FHV566" s="501"/>
      <c r="FHW566" s="501"/>
      <c r="FHX566" s="501"/>
      <c r="FHY566" s="501"/>
      <c r="FHZ566" s="501"/>
      <c r="FIA566" s="501"/>
      <c r="FIB566" s="501"/>
      <c r="FIC566" s="501"/>
      <c r="FID566" s="501"/>
      <c r="FIE566" s="501"/>
      <c r="FIF566" s="501"/>
      <c r="FIG566" s="501"/>
      <c r="FIH566" s="501"/>
      <c r="FII566" s="501"/>
      <c r="FIJ566" s="501"/>
      <c r="FIK566" s="501"/>
      <c r="FIL566" s="501"/>
      <c r="FIM566" s="501"/>
      <c r="FIN566" s="501"/>
      <c r="FIO566" s="501"/>
      <c r="FIP566" s="501"/>
      <c r="FIQ566" s="501"/>
      <c r="FIR566" s="501"/>
      <c r="FIS566" s="501"/>
      <c r="FIT566" s="501"/>
      <c r="FIU566" s="501"/>
      <c r="FIV566" s="501"/>
      <c r="FIW566" s="501"/>
      <c r="FIX566" s="501"/>
      <c r="FIY566" s="501"/>
      <c r="FIZ566" s="501"/>
      <c r="FJA566" s="501"/>
      <c r="FJB566" s="501"/>
      <c r="FJC566" s="501"/>
      <c r="FJD566" s="501"/>
      <c r="FJE566" s="501"/>
      <c r="FJF566" s="501"/>
      <c r="FJG566" s="501"/>
      <c r="FJH566" s="501"/>
      <c r="FJI566" s="501"/>
      <c r="FJJ566" s="501"/>
      <c r="FJK566" s="501"/>
      <c r="FJL566" s="501"/>
      <c r="FJM566" s="501"/>
      <c r="FJN566" s="501"/>
      <c r="FJO566" s="501"/>
      <c r="FJP566" s="501"/>
      <c r="FJQ566" s="501"/>
      <c r="FJR566" s="501"/>
      <c r="FJS566" s="501"/>
      <c r="FJT566" s="501"/>
      <c r="FJU566" s="501"/>
      <c r="FJV566" s="501"/>
      <c r="FJW566" s="501"/>
      <c r="FJX566" s="501"/>
      <c r="FJY566" s="501"/>
      <c r="FJZ566" s="501"/>
      <c r="FKA566" s="501"/>
      <c r="FKB566" s="501"/>
      <c r="FKC566" s="501"/>
      <c r="FKD566" s="501"/>
      <c r="FKE566" s="501"/>
      <c r="FKF566" s="501"/>
      <c r="FKG566" s="501"/>
      <c r="FKH566" s="501"/>
      <c r="FKI566" s="501"/>
      <c r="FKJ566" s="501"/>
      <c r="FKK566" s="501"/>
      <c r="FKL566" s="501"/>
      <c r="FKM566" s="501"/>
      <c r="FKN566" s="501"/>
      <c r="FKO566" s="501"/>
      <c r="FKP566" s="501"/>
      <c r="FKQ566" s="501"/>
      <c r="FKR566" s="501"/>
      <c r="FKS566" s="501"/>
      <c r="FKT566" s="501"/>
      <c r="FKU566" s="501"/>
      <c r="FKV566" s="501"/>
      <c r="FKW566" s="501"/>
      <c r="FKX566" s="501"/>
      <c r="FKY566" s="501"/>
      <c r="FKZ566" s="501"/>
      <c r="FLA566" s="501"/>
      <c r="FLB566" s="501"/>
      <c r="FLC566" s="501"/>
      <c r="FLD566" s="501"/>
      <c r="FLE566" s="501"/>
      <c r="FLF566" s="501"/>
      <c r="FLG566" s="501"/>
      <c r="FLH566" s="501"/>
      <c r="FLI566" s="501"/>
      <c r="FLJ566" s="501"/>
      <c r="FLK566" s="501"/>
      <c r="FLL566" s="501"/>
      <c r="FLM566" s="501"/>
      <c r="FLN566" s="501"/>
      <c r="FLO566" s="501"/>
      <c r="FLP566" s="501"/>
      <c r="FLQ566" s="501"/>
      <c r="FLR566" s="501"/>
      <c r="FLS566" s="501"/>
      <c r="FLT566" s="501"/>
      <c r="FLU566" s="501"/>
      <c r="FLV566" s="501"/>
      <c r="FLW566" s="501"/>
      <c r="FLX566" s="501"/>
      <c r="FLY566" s="501"/>
      <c r="FLZ566" s="501"/>
      <c r="FMA566" s="501"/>
      <c r="FMB566" s="501"/>
      <c r="FMC566" s="501"/>
      <c r="FMD566" s="501"/>
      <c r="FME566" s="501"/>
      <c r="FMF566" s="501"/>
      <c r="FMG566" s="501"/>
      <c r="FMH566" s="501"/>
      <c r="FMI566" s="501"/>
      <c r="FMJ566" s="501"/>
      <c r="FMK566" s="501"/>
      <c r="FML566" s="501"/>
      <c r="FMM566" s="501"/>
      <c r="FMN566" s="501"/>
      <c r="FMO566" s="501"/>
      <c r="FMP566" s="501"/>
      <c r="FMQ566" s="501"/>
      <c r="FMR566" s="501"/>
      <c r="FMS566" s="501"/>
      <c r="FMT566" s="501"/>
      <c r="FMU566" s="501"/>
      <c r="FMV566" s="501"/>
      <c r="FMW566" s="501"/>
      <c r="FMX566" s="501"/>
      <c r="FMY566" s="501"/>
      <c r="FMZ566" s="501"/>
      <c r="FNA566" s="501"/>
      <c r="FNB566" s="501"/>
      <c r="FNC566" s="501"/>
      <c r="FND566" s="501"/>
      <c r="FNE566" s="501"/>
      <c r="FNF566" s="501"/>
      <c r="FNG566" s="501"/>
      <c r="FNH566" s="501"/>
      <c r="FNI566" s="501"/>
      <c r="FNJ566" s="501"/>
      <c r="FNK566" s="501"/>
      <c r="FNL566" s="501"/>
      <c r="FNM566" s="501"/>
      <c r="FNN566" s="501"/>
      <c r="FNO566" s="501"/>
      <c r="FNP566" s="501"/>
      <c r="FNQ566" s="501"/>
      <c r="FNR566" s="501"/>
      <c r="FNS566" s="501"/>
      <c r="FNT566" s="501"/>
      <c r="FNU566" s="501"/>
      <c r="FNV566" s="501"/>
      <c r="FNW566" s="501"/>
      <c r="FNX566" s="501"/>
      <c r="FNY566" s="501"/>
      <c r="FNZ566" s="501"/>
      <c r="FOA566" s="501"/>
      <c r="FOB566" s="501"/>
      <c r="FOC566" s="501"/>
      <c r="FOD566" s="501"/>
      <c r="FOE566" s="501"/>
      <c r="FOF566" s="501"/>
      <c r="FOG566" s="501"/>
      <c r="FOH566" s="501"/>
      <c r="FOI566" s="501"/>
      <c r="FOJ566" s="501"/>
      <c r="FOK566" s="501"/>
      <c r="FOL566" s="501"/>
      <c r="FOM566" s="501"/>
      <c r="FON566" s="501"/>
      <c r="FOO566" s="501"/>
      <c r="FOP566" s="501"/>
      <c r="FOQ566" s="501"/>
      <c r="FOR566" s="501"/>
      <c r="FOS566" s="501"/>
      <c r="FOT566" s="501"/>
      <c r="FOU566" s="501"/>
      <c r="FOV566" s="501"/>
      <c r="FOW566" s="501"/>
      <c r="FOX566" s="501"/>
      <c r="FOY566" s="501"/>
      <c r="FOZ566" s="501"/>
      <c r="FPA566" s="501"/>
      <c r="FPB566" s="501"/>
      <c r="FPC566" s="501"/>
      <c r="FPD566" s="501"/>
      <c r="FPE566" s="501"/>
      <c r="FPF566" s="501"/>
      <c r="FPG566" s="501"/>
      <c r="FPH566" s="501"/>
      <c r="FPI566" s="501"/>
      <c r="FPJ566" s="501"/>
      <c r="FPK566" s="501"/>
      <c r="FPL566" s="501"/>
      <c r="FPM566" s="501"/>
      <c r="FPN566" s="501"/>
      <c r="FPO566" s="501"/>
      <c r="FPP566" s="501"/>
      <c r="FPQ566" s="501"/>
      <c r="FPR566" s="501"/>
      <c r="FPS566" s="501"/>
      <c r="FPT566" s="501"/>
      <c r="FPU566" s="501"/>
      <c r="FPV566" s="501"/>
      <c r="FPW566" s="501"/>
      <c r="FPX566" s="501"/>
      <c r="FPY566" s="501"/>
      <c r="FPZ566" s="501"/>
      <c r="FQA566" s="501"/>
      <c r="FQB566" s="501"/>
      <c r="FQC566" s="501"/>
      <c r="FQD566" s="501"/>
      <c r="FQE566" s="501"/>
      <c r="FQF566" s="501"/>
      <c r="FQG566" s="501"/>
      <c r="FQH566" s="501"/>
      <c r="FQI566" s="501"/>
      <c r="FQJ566" s="501"/>
      <c r="FQK566" s="501"/>
      <c r="FQL566" s="501"/>
      <c r="FQM566" s="501"/>
      <c r="FQN566" s="501"/>
      <c r="FQO566" s="501"/>
      <c r="FQP566" s="501"/>
      <c r="FQQ566" s="501"/>
      <c r="FQR566" s="501"/>
      <c r="FQS566" s="501"/>
      <c r="FQT566" s="501"/>
      <c r="FQU566" s="501"/>
      <c r="FQV566" s="501"/>
      <c r="FQW566" s="501"/>
      <c r="FQX566" s="501"/>
      <c r="FQY566" s="501"/>
      <c r="FQZ566" s="501"/>
      <c r="FRA566" s="501"/>
      <c r="FRB566" s="501"/>
      <c r="FRC566" s="501"/>
      <c r="FRD566" s="501"/>
      <c r="FRE566" s="501"/>
      <c r="FRF566" s="501"/>
      <c r="FRG566" s="501"/>
      <c r="FRH566" s="501"/>
      <c r="FRI566" s="501"/>
      <c r="FRJ566" s="501"/>
      <c r="FRK566" s="501"/>
      <c r="FRL566" s="501"/>
      <c r="FRM566" s="501"/>
      <c r="FRN566" s="501"/>
      <c r="FRO566" s="501"/>
      <c r="FRP566" s="501"/>
      <c r="FRQ566" s="501"/>
      <c r="FRR566" s="501"/>
      <c r="FRS566" s="501"/>
      <c r="FRT566" s="501"/>
      <c r="FRU566" s="501"/>
      <c r="FRV566" s="501"/>
      <c r="FRW566" s="501"/>
      <c r="FRX566" s="501"/>
      <c r="FRY566" s="501"/>
      <c r="FRZ566" s="501"/>
      <c r="FSA566" s="501"/>
      <c r="FSB566" s="501"/>
      <c r="FSC566" s="501"/>
      <c r="FSD566" s="501"/>
      <c r="FSE566" s="501"/>
      <c r="FSF566" s="501"/>
      <c r="FSG566" s="501"/>
      <c r="FSH566" s="501"/>
      <c r="FSI566" s="501"/>
      <c r="FSJ566" s="501"/>
      <c r="FSK566" s="501"/>
      <c r="FSL566" s="501"/>
      <c r="FSM566" s="501"/>
      <c r="FSN566" s="501"/>
      <c r="FSO566" s="501"/>
      <c r="FSP566" s="501"/>
      <c r="FSQ566" s="501"/>
      <c r="FSR566" s="501"/>
      <c r="FSS566" s="501"/>
      <c r="FST566" s="501"/>
      <c r="FSU566" s="501"/>
      <c r="FSV566" s="501"/>
      <c r="FSW566" s="501"/>
      <c r="FSX566" s="501"/>
      <c r="FSY566" s="501"/>
      <c r="FSZ566" s="501"/>
      <c r="FTA566" s="501"/>
      <c r="FTB566" s="501"/>
      <c r="FTC566" s="501"/>
      <c r="FTD566" s="501"/>
      <c r="FTE566" s="501"/>
      <c r="FTF566" s="501"/>
      <c r="FTG566" s="501"/>
      <c r="FTH566" s="501"/>
      <c r="FTI566" s="501"/>
      <c r="FTJ566" s="501"/>
      <c r="FTK566" s="501"/>
      <c r="FTL566" s="501"/>
      <c r="FTM566" s="501"/>
      <c r="FTN566" s="501"/>
      <c r="FTO566" s="501"/>
      <c r="FTP566" s="501"/>
      <c r="FTQ566" s="501"/>
      <c r="FTR566" s="501"/>
      <c r="FTS566" s="501"/>
      <c r="FTT566" s="501"/>
      <c r="FTU566" s="501"/>
      <c r="FTV566" s="501"/>
      <c r="FTW566" s="501"/>
      <c r="FTX566" s="501"/>
      <c r="FTY566" s="501"/>
      <c r="FTZ566" s="501"/>
      <c r="FUA566" s="501"/>
      <c r="FUB566" s="501"/>
      <c r="FUC566" s="501"/>
      <c r="FUD566" s="501"/>
      <c r="FUE566" s="501"/>
      <c r="FUF566" s="501"/>
      <c r="FUG566" s="501"/>
      <c r="FUH566" s="501"/>
      <c r="FUI566" s="501"/>
      <c r="FUJ566" s="501"/>
      <c r="FUK566" s="501"/>
      <c r="FUL566" s="501"/>
      <c r="FUM566" s="501"/>
      <c r="FUN566" s="501"/>
      <c r="FUO566" s="501"/>
      <c r="FUP566" s="501"/>
      <c r="FUQ566" s="501"/>
      <c r="FUR566" s="501"/>
      <c r="FUS566" s="501"/>
      <c r="FUT566" s="501"/>
      <c r="FUU566" s="501"/>
      <c r="FUV566" s="501"/>
      <c r="FUW566" s="501"/>
      <c r="FUX566" s="501"/>
      <c r="FUY566" s="501"/>
      <c r="FUZ566" s="501"/>
      <c r="FVA566" s="501"/>
      <c r="FVB566" s="501"/>
      <c r="FVC566" s="501"/>
      <c r="FVD566" s="501"/>
      <c r="FVE566" s="501"/>
      <c r="FVF566" s="501"/>
      <c r="FVG566" s="501"/>
      <c r="FVH566" s="501"/>
      <c r="FVI566" s="501"/>
      <c r="FVJ566" s="501"/>
      <c r="FVK566" s="501"/>
      <c r="FVL566" s="501"/>
      <c r="FVM566" s="501"/>
      <c r="FVN566" s="501"/>
      <c r="FVO566" s="501"/>
      <c r="FVP566" s="501"/>
      <c r="FVQ566" s="501"/>
      <c r="FVR566" s="501"/>
      <c r="FVS566" s="501"/>
      <c r="FVT566" s="501"/>
      <c r="FVU566" s="501"/>
      <c r="FVV566" s="501"/>
      <c r="FVW566" s="501"/>
      <c r="FVX566" s="501"/>
      <c r="FVY566" s="501"/>
      <c r="FVZ566" s="501"/>
      <c r="FWA566" s="501"/>
      <c r="FWB566" s="501"/>
      <c r="FWC566" s="501"/>
      <c r="FWD566" s="501"/>
      <c r="FWE566" s="501"/>
      <c r="FWF566" s="501"/>
      <c r="FWG566" s="501"/>
      <c r="FWH566" s="501"/>
      <c r="FWI566" s="501"/>
      <c r="FWJ566" s="501"/>
      <c r="FWK566" s="501"/>
      <c r="FWL566" s="501"/>
      <c r="FWM566" s="501"/>
      <c r="FWN566" s="501"/>
      <c r="FWO566" s="501"/>
      <c r="FWP566" s="501"/>
      <c r="FWQ566" s="501"/>
      <c r="FWR566" s="501"/>
      <c r="FWS566" s="501"/>
      <c r="FWT566" s="501"/>
      <c r="FWU566" s="501"/>
      <c r="FWV566" s="501"/>
      <c r="FWW566" s="501"/>
      <c r="FWX566" s="501"/>
      <c r="FWY566" s="501"/>
      <c r="FWZ566" s="501"/>
      <c r="FXA566" s="501"/>
      <c r="FXB566" s="501"/>
      <c r="FXC566" s="501"/>
      <c r="FXD566" s="501"/>
      <c r="FXE566" s="501"/>
      <c r="FXF566" s="501"/>
      <c r="FXG566" s="501"/>
      <c r="FXH566" s="501"/>
      <c r="FXI566" s="501"/>
      <c r="FXJ566" s="501"/>
      <c r="FXK566" s="501"/>
      <c r="FXL566" s="501"/>
      <c r="FXM566" s="501"/>
      <c r="FXN566" s="501"/>
      <c r="FXO566" s="501"/>
      <c r="FXP566" s="501"/>
      <c r="FXQ566" s="501"/>
      <c r="FXR566" s="501"/>
      <c r="FXS566" s="501"/>
      <c r="FXT566" s="501"/>
      <c r="FXU566" s="501"/>
      <c r="FXV566" s="501"/>
      <c r="FXW566" s="501"/>
      <c r="FXX566" s="501"/>
      <c r="FXY566" s="501"/>
      <c r="FXZ566" s="501"/>
      <c r="FYA566" s="501"/>
      <c r="FYB566" s="501"/>
      <c r="FYC566" s="501"/>
      <c r="FYD566" s="501"/>
      <c r="FYE566" s="501"/>
      <c r="FYF566" s="501"/>
      <c r="FYG566" s="501"/>
      <c r="FYH566" s="501"/>
      <c r="FYI566" s="501"/>
      <c r="FYJ566" s="501"/>
      <c r="FYK566" s="501"/>
      <c r="FYL566" s="501"/>
      <c r="FYM566" s="501"/>
      <c r="FYN566" s="501"/>
      <c r="FYO566" s="501"/>
      <c r="FYP566" s="501"/>
      <c r="FYQ566" s="501"/>
      <c r="FYR566" s="501"/>
      <c r="FYS566" s="501"/>
      <c r="FYT566" s="501"/>
      <c r="FYU566" s="501"/>
      <c r="FYV566" s="501"/>
      <c r="FYW566" s="501"/>
      <c r="FYX566" s="501"/>
      <c r="FYY566" s="501"/>
      <c r="FYZ566" s="501"/>
      <c r="FZA566" s="501"/>
      <c r="FZB566" s="501"/>
      <c r="FZC566" s="501"/>
      <c r="FZD566" s="501"/>
      <c r="FZE566" s="501"/>
      <c r="FZF566" s="501"/>
      <c r="FZG566" s="501"/>
      <c r="FZH566" s="501"/>
      <c r="FZI566" s="501"/>
      <c r="FZJ566" s="501"/>
      <c r="FZK566" s="501"/>
      <c r="FZL566" s="501"/>
      <c r="FZM566" s="501"/>
      <c r="FZN566" s="501"/>
      <c r="FZO566" s="501"/>
      <c r="FZP566" s="501"/>
      <c r="FZQ566" s="501"/>
      <c r="FZR566" s="501"/>
      <c r="FZS566" s="501"/>
      <c r="FZT566" s="501"/>
      <c r="FZU566" s="501"/>
      <c r="FZV566" s="501"/>
      <c r="FZW566" s="501"/>
      <c r="FZX566" s="501"/>
      <c r="FZY566" s="501"/>
      <c r="FZZ566" s="501"/>
      <c r="GAA566" s="501"/>
      <c r="GAB566" s="501"/>
      <c r="GAC566" s="501"/>
      <c r="GAD566" s="501"/>
      <c r="GAE566" s="501"/>
      <c r="GAF566" s="501"/>
      <c r="GAG566" s="501"/>
      <c r="GAH566" s="501"/>
      <c r="GAI566" s="501"/>
      <c r="GAJ566" s="501"/>
      <c r="GAK566" s="501"/>
      <c r="GAL566" s="501"/>
      <c r="GAM566" s="501"/>
      <c r="GAN566" s="501"/>
      <c r="GAO566" s="501"/>
      <c r="GAP566" s="501"/>
      <c r="GAQ566" s="501"/>
      <c r="GAR566" s="501"/>
      <c r="GAS566" s="501"/>
      <c r="GAT566" s="501"/>
      <c r="GAU566" s="501"/>
      <c r="GAV566" s="501"/>
      <c r="GAW566" s="501"/>
      <c r="GAX566" s="501"/>
      <c r="GAY566" s="501"/>
      <c r="GAZ566" s="501"/>
      <c r="GBA566" s="501"/>
      <c r="GBB566" s="501"/>
      <c r="GBC566" s="501"/>
      <c r="GBD566" s="501"/>
      <c r="GBE566" s="501"/>
      <c r="GBF566" s="501"/>
      <c r="GBG566" s="501"/>
      <c r="GBH566" s="501"/>
      <c r="GBI566" s="501"/>
      <c r="GBJ566" s="501"/>
      <c r="GBK566" s="501"/>
      <c r="GBL566" s="501"/>
      <c r="GBM566" s="501"/>
      <c r="GBN566" s="501"/>
      <c r="GBO566" s="501"/>
      <c r="GBP566" s="501"/>
      <c r="GBQ566" s="501"/>
      <c r="GBR566" s="501"/>
      <c r="GBS566" s="501"/>
      <c r="GBT566" s="501"/>
      <c r="GBU566" s="501"/>
      <c r="GBV566" s="501"/>
      <c r="GBW566" s="501"/>
      <c r="GBX566" s="501"/>
      <c r="GBY566" s="501"/>
      <c r="GBZ566" s="501"/>
      <c r="GCA566" s="501"/>
      <c r="GCB566" s="501"/>
      <c r="GCC566" s="501"/>
      <c r="GCD566" s="501"/>
      <c r="GCE566" s="501"/>
      <c r="GCF566" s="501"/>
      <c r="GCG566" s="501"/>
      <c r="GCH566" s="501"/>
      <c r="GCI566" s="501"/>
      <c r="GCJ566" s="501"/>
      <c r="GCK566" s="501"/>
      <c r="GCL566" s="501"/>
      <c r="GCM566" s="501"/>
      <c r="GCN566" s="501"/>
      <c r="GCO566" s="501"/>
      <c r="GCP566" s="501"/>
      <c r="GCQ566" s="501"/>
      <c r="GCR566" s="501"/>
      <c r="GCS566" s="501"/>
      <c r="GCT566" s="501"/>
      <c r="GCU566" s="501"/>
      <c r="GCV566" s="501"/>
      <c r="GCW566" s="501"/>
      <c r="GCX566" s="501"/>
      <c r="GCY566" s="501"/>
      <c r="GCZ566" s="501"/>
      <c r="GDA566" s="501"/>
      <c r="GDB566" s="501"/>
      <c r="GDC566" s="501"/>
      <c r="GDD566" s="501"/>
      <c r="GDE566" s="501"/>
      <c r="GDF566" s="501"/>
      <c r="GDG566" s="501"/>
      <c r="GDH566" s="501"/>
      <c r="GDI566" s="501"/>
      <c r="GDJ566" s="501"/>
      <c r="GDK566" s="501"/>
      <c r="GDL566" s="501"/>
      <c r="GDM566" s="501"/>
      <c r="GDN566" s="501"/>
      <c r="GDO566" s="501"/>
      <c r="GDP566" s="501"/>
      <c r="GDQ566" s="501"/>
      <c r="GDR566" s="501"/>
      <c r="GDS566" s="501"/>
      <c r="GDT566" s="501"/>
      <c r="GDU566" s="501"/>
      <c r="GDV566" s="501"/>
      <c r="GDW566" s="501"/>
      <c r="GDX566" s="501"/>
      <c r="GDY566" s="501"/>
      <c r="GDZ566" s="501"/>
      <c r="GEA566" s="501"/>
      <c r="GEB566" s="501"/>
      <c r="GEC566" s="501"/>
      <c r="GED566" s="501"/>
      <c r="GEE566" s="501"/>
      <c r="GEF566" s="501"/>
      <c r="GEG566" s="501"/>
      <c r="GEH566" s="501"/>
      <c r="GEI566" s="501"/>
      <c r="GEJ566" s="501"/>
      <c r="GEK566" s="501"/>
      <c r="GEL566" s="501"/>
      <c r="GEM566" s="501"/>
      <c r="GEN566" s="501"/>
      <c r="GEO566" s="501"/>
      <c r="GEP566" s="501"/>
      <c r="GEQ566" s="501"/>
      <c r="GER566" s="501"/>
      <c r="GES566" s="501"/>
      <c r="GET566" s="501"/>
      <c r="GEU566" s="501"/>
      <c r="GEV566" s="501"/>
      <c r="GEW566" s="501"/>
      <c r="GEX566" s="501"/>
      <c r="GEY566" s="501"/>
      <c r="GEZ566" s="501"/>
      <c r="GFA566" s="501"/>
      <c r="GFB566" s="501"/>
      <c r="GFC566" s="501"/>
      <c r="GFD566" s="501"/>
      <c r="GFE566" s="501"/>
      <c r="GFF566" s="501"/>
      <c r="GFG566" s="501"/>
      <c r="GFH566" s="501"/>
      <c r="GFI566" s="501"/>
      <c r="GFJ566" s="501"/>
      <c r="GFK566" s="501"/>
      <c r="GFL566" s="501"/>
      <c r="GFM566" s="501"/>
      <c r="GFN566" s="501"/>
      <c r="GFO566" s="501"/>
      <c r="GFP566" s="501"/>
      <c r="GFQ566" s="501"/>
      <c r="GFR566" s="501"/>
      <c r="GFS566" s="501"/>
      <c r="GFT566" s="501"/>
      <c r="GFU566" s="501"/>
      <c r="GFV566" s="501"/>
      <c r="GFW566" s="501"/>
      <c r="GFX566" s="501"/>
      <c r="GFY566" s="501"/>
      <c r="GFZ566" s="501"/>
      <c r="GGA566" s="501"/>
      <c r="GGB566" s="501"/>
      <c r="GGC566" s="501"/>
      <c r="GGD566" s="501"/>
      <c r="GGE566" s="501"/>
      <c r="GGF566" s="501"/>
      <c r="GGG566" s="501"/>
      <c r="GGH566" s="501"/>
      <c r="GGI566" s="501"/>
      <c r="GGJ566" s="501"/>
      <c r="GGK566" s="501"/>
      <c r="GGL566" s="501"/>
      <c r="GGM566" s="501"/>
      <c r="GGN566" s="501"/>
      <c r="GGO566" s="501"/>
      <c r="GGP566" s="501"/>
      <c r="GGQ566" s="501"/>
      <c r="GGR566" s="501"/>
      <c r="GGS566" s="501"/>
      <c r="GGT566" s="501"/>
      <c r="GGU566" s="501"/>
      <c r="GGV566" s="501"/>
      <c r="GGW566" s="501"/>
      <c r="GGX566" s="501"/>
      <c r="GGY566" s="501"/>
      <c r="GGZ566" s="501"/>
      <c r="GHA566" s="501"/>
      <c r="GHB566" s="501"/>
      <c r="GHC566" s="501"/>
      <c r="GHD566" s="501"/>
      <c r="GHE566" s="501"/>
      <c r="GHF566" s="501"/>
      <c r="GHG566" s="501"/>
      <c r="GHH566" s="501"/>
      <c r="GHI566" s="501"/>
      <c r="GHJ566" s="501"/>
      <c r="GHK566" s="501"/>
      <c r="GHL566" s="501"/>
      <c r="GHM566" s="501"/>
      <c r="GHN566" s="501"/>
      <c r="GHO566" s="501"/>
      <c r="GHP566" s="501"/>
      <c r="GHQ566" s="501"/>
      <c r="GHR566" s="501"/>
      <c r="GHS566" s="501"/>
      <c r="GHT566" s="501"/>
      <c r="GHU566" s="501"/>
      <c r="GHV566" s="501"/>
      <c r="GHW566" s="501"/>
      <c r="GHX566" s="501"/>
      <c r="GHY566" s="501"/>
      <c r="GHZ566" s="501"/>
      <c r="GIA566" s="501"/>
      <c r="GIB566" s="501"/>
      <c r="GIC566" s="501"/>
      <c r="GID566" s="501"/>
      <c r="GIE566" s="501"/>
      <c r="GIF566" s="501"/>
      <c r="GIG566" s="501"/>
      <c r="GIH566" s="501"/>
      <c r="GII566" s="501"/>
      <c r="GIJ566" s="501"/>
      <c r="GIK566" s="501"/>
      <c r="GIL566" s="501"/>
      <c r="GIM566" s="501"/>
      <c r="GIN566" s="501"/>
      <c r="GIO566" s="501"/>
      <c r="GIP566" s="501"/>
      <c r="GIQ566" s="501"/>
      <c r="GIR566" s="501"/>
      <c r="GIS566" s="501"/>
      <c r="GIT566" s="501"/>
      <c r="GIU566" s="501"/>
      <c r="GIV566" s="501"/>
      <c r="GIW566" s="501"/>
      <c r="GIX566" s="501"/>
      <c r="GIY566" s="501"/>
      <c r="GIZ566" s="501"/>
      <c r="GJA566" s="501"/>
      <c r="GJB566" s="501"/>
      <c r="GJC566" s="501"/>
      <c r="GJD566" s="501"/>
      <c r="GJE566" s="501"/>
      <c r="GJF566" s="501"/>
      <c r="GJG566" s="501"/>
      <c r="GJH566" s="501"/>
      <c r="GJI566" s="501"/>
      <c r="GJJ566" s="501"/>
      <c r="GJK566" s="501"/>
      <c r="GJL566" s="501"/>
      <c r="GJM566" s="501"/>
      <c r="GJN566" s="501"/>
      <c r="GJO566" s="501"/>
      <c r="GJP566" s="501"/>
      <c r="GJQ566" s="501"/>
      <c r="GJR566" s="501"/>
      <c r="GJS566" s="501"/>
      <c r="GJT566" s="501"/>
      <c r="GJU566" s="501"/>
      <c r="GJV566" s="501"/>
      <c r="GJW566" s="501"/>
      <c r="GJX566" s="501"/>
      <c r="GJY566" s="501"/>
      <c r="GJZ566" s="501"/>
      <c r="GKA566" s="501"/>
      <c r="GKB566" s="501"/>
      <c r="GKC566" s="501"/>
      <c r="GKD566" s="501"/>
      <c r="GKE566" s="501"/>
      <c r="GKF566" s="501"/>
      <c r="GKG566" s="501"/>
      <c r="GKH566" s="501"/>
      <c r="GKI566" s="501"/>
      <c r="GKJ566" s="501"/>
      <c r="GKK566" s="501"/>
      <c r="GKL566" s="501"/>
      <c r="GKM566" s="501"/>
      <c r="GKN566" s="501"/>
      <c r="GKO566" s="501"/>
      <c r="GKP566" s="501"/>
      <c r="GKQ566" s="501"/>
      <c r="GKR566" s="501"/>
      <c r="GKS566" s="501"/>
      <c r="GKT566" s="501"/>
      <c r="GKU566" s="501"/>
      <c r="GKV566" s="501"/>
      <c r="GKW566" s="501"/>
      <c r="GKX566" s="501"/>
      <c r="GKY566" s="501"/>
      <c r="GKZ566" s="501"/>
      <c r="GLA566" s="501"/>
      <c r="GLB566" s="501"/>
      <c r="GLC566" s="501"/>
      <c r="GLD566" s="501"/>
      <c r="GLE566" s="501"/>
      <c r="GLF566" s="501"/>
      <c r="GLG566" s="501"/>
      <c r="GLH566" s="501"/>
      <c r="GLI566" s="501"/>
      <c r="GLJ566" s="501"/>
      <c r="GLK566" s="501"/>
      <c r="GLL566" s="501"/>
      <c r="GLM566" s="501"/>
      <c r="GLN566" s="501"/>
      <c r="GLO566" s="501"/>
      <c r="GLP566" s="501"/>
      <c r="GLQ566" s="501"/>
      <c r="GLR566" s="501"/>
      <c r="GLS566" s="501"/>
      <c r="GLT566" s="501"/>
      <c r="GLU566" s="501"/>
      <c r="GLV566" s="501"/>
      <c r="GLW566" s="501"/>
      <c r="GLX566" s="501"/>
      <c r="GLY566" s="501"/>
      <c r="GLZ566" s="501"/>
      <c r="GMA566" s="501"/>
      <c r="GMB566" s="501"/>
      <c r="GMC566" s="501"/>
      <c r="GMD566" s="501"/>
      <c r="GME566" s="501"/>
      <c r="GMF566" s="501"/>
      <c r="GMG566" s="501"/>
      <c r="GMH566" s="501"/>
      <c r="GMI566" s="501"/>
      <c r="GMJ566" s="501"/>
      <c r="GMK566" s="501"/>
      <c r="GML566" s="501"/>
      <c r="GMM566" s="501"/>
      <c r="GMN566" s="501"/>
      <c r="GMO566" s="501"/>
      <c r="GMP566" s="501"/>
      <c r="GMQ566" s="501"/>
      <c r="GMR566" s="501"/>
      <c r="GMS566" s="501"/>
      <c r="GMT566" s="501"/>
      <c r="GMU566" s="501"/>
      <c r="GMV566" s="501"/>
      <c r="GMW566" s="501"/>
      <c r="GMX566" s="501"/>
      <c r="GMY566" s="501"/>
      <c r="GMZ566" s="501"/>
      <c r="GNA566" s="501"/>
      <c r="GNB566" s="501"/>
      <c r="GNC566" s="501"/>
      <c r="GND566" s="501"/>
      <c r="GNE566" s="501"/>
      <c r="GNF566" s="501"/>
      <c r="GNG566" s="501"/>
      <c r="GNH566" s="501"/>
      <c r="GNI566" s="501"/>
      <c r="GNJ566" s="501"/>
      <c r="GNK566" s="501"/>
      <c r="GNL566" s="501"/>
      <c r="GNM566" s="501"/>
      <c r="GNN566" s="501"/>
      <c r="GNO566" s="501"/>
      <c r="GNP566" s="501"/>
      <c r="GNQ566" s="501"/>
      <c r="GNR566" s="501"/>
      <c r="GNS566" s="501"/>
      <c r="GNT566" s="501"/>
      <c r="GNU566" s="501"/>
      <c r="GNV566" s="501"/>
      <c r="GNW566" s="501"/>
      <c r="GNX566" s="501"/>
      <c r="GNY566" s="501"/>
      <c r="GNZ566" s="501"/>
      <c r="GOA566" s="501"/>
      <c r="GOB566" s="501"/>
      <c r="GOC566" s="501"/>
      <c r="GOD566" s="501"/>
      <c r="GOE566" s="501"/>
      <c r="GOF566" s="501"/>
      <c r="GOG566" s="501"/>
      <c r="GOH566" s="501"/>
      <c r="GOI566" s="501"/>
      <c r="GOJ566" s="501"/>
      <c r="GOK566" s="501"/>
      <c r="GOL566" s="501"/>
      <c r="GOM566" s="501"/>
      <c r="GON566" s="501"/>
      <c r="GOO566" s="501"/>
      <c r="GOP566" s="501"/>
      <c r="GOQ566" s="501"/>
      <c r="GOR566" s="501"/>
      <c r="GOS566" s="501"/>
      <c r="GOT566" s="501"/>
      <c r="GOU566" s="501"/>
      <c r="GOV566" s="501"/>
      <c r="GOW566" s="501"/>
      <c r="GOX566" s="501"/>
      <c r="GOY566" s="501"/>
      <c r="GOZ566" s="501"/>
      <c r="GPA566" s="501"/>
      <c r="GPB566" s="501"/>
      <c r="GPC566" s="501"/>
      <c r="GPD566" s="501"/>
      <c r="GPE566" s="501"/>
      <c r="GPF566" s="501"/>
      <c r="GPG566" s="501"/>
      <c r="GPH566" s="501"/>
      <c r="GPI566" s="501"/>
      <c r="GPJ566" s="501"/>
      <c r="GPK566" s="501"/>
      <c r="GPL566" s="501"/>
      <c r="GPM566" s="501"/>
      <c r="GPN566" s="501"/>
      <c r="GPO566" s="501"/>
      <c r="GPP566" s="501"/>
      <c r="GPQ566" s="501"/>
      <c r="GPR566" s="501"/>
      <c r="GPS566" s="501"/>
      <c r="GPT566" s="501"/>
      <c r="GPU566" s="501"/>
      <c r="GPV566" s="501"/>
      <c r="GPW566" s="501"/>
      <c r="GPX566" s="501"/>
      <c r="GPY566" s="501"/>
      <c r="GPZ566" s="501"/>
      <c r="GQA566" s="501"/>
      <c r="GQB566" s="501"/>
      <c r="GQC566" s="501"/>
      <c r="GQD566" s="501"/>
      <c r="GQE566" s="501"/>
      <c r="GQF566" s="501"/>
      <c r="GQG566" s="501"/>
      <c r="GQH566" s="501"/>
      <c r="GQI566" s="501"/>
      <c r="GQJ566" s="501"/>
      <c r="GQK566" s="501"/>
      <c r="GQL566" s="501"/>
      <c r="GQM566" s="501"/>
      <c r="GQN566" s="501"/>
      <c r="GQO566" s="501"/>
      <c r="GQP566" s="501"/>
      <c r="GQQ566" s="501"/>
      <c r="GQR566" s="501"/>
      <c r="GQS566" s="501"/>
      <c r="GQT566" s="501"/>
      <c r="GQU566" s="501"/>
      <c r="GQV566" s="501"/>
      <c r="GQW566" s="501"/>
      <c r="GQX566" s="501"/>
      <c r="GQY566" s="501"/>
      <c r="GQZ566" s="501"/>
      <c r="GRA566" s="501"/>
      <c r="GRB566" s="501"/>
      <c r="GRC566" s="501"/>
      <c r="GRD566" s="501"/>
      <c r="GRE566" s="501"/>
      <c r="GRF566" s="501"/>
      <c r="GRG566" s="501"/>
      <c r="GRH566" s="501"/>
      <c r="GRI566" s="501"/>
      <c r="GRJ566" s="501"/>
      <c r="GRK566" s="501"/>
      <c r="GRL566" s="501"/>
      <c r="GRM566" s="501"/>
      <c r="GRN566" s="501"/>
      <c r="GRO566" s="501"/>
      <c r="GRP566" s="501"/>
      <c r="GRQ566" s="501"/>
      <c r="GRR566" s="501"/>
      <c r="GRS566" s="501"/>
      <c r="GRT566" s="501"/>
      <c r="GRU566" s="501"/>
      <c r="GRV566" s="501"/>
      <c r="GRW566" s="501"/>
      <c r="GRX566" s="501"/>
      <c r="GRY566" s="501"/>
      <c r="GRZ566" s="501"/>
      <c r="GSA566" s="501"/>
      <c r="GSB566" s="501"/>
      <c r="GSC566" s="501"/>
      <c r="GSD566" s="501"/>
      <c r="GSE566" s="501"/>
      <c r="GSF566" s="501"/>
      <c r="GSG566" s="501"/>
      <c r="GSH566" s="501"/>
      <c r="GSI566" s="501"/>
      <c r="GSJ566" s="501"/>
      <c r="GSK566" s="501"/>
      <c r="GSL566" s="501"/>
      <c r="GSM566" s="501"/>
      <c r="GSN566" s="501"/>
      <c r="GSO566" s="501"/>
      <c r="GSP566" s="501"/>
      <c r="GSQ566" s="501"/>
      <c r="GSR566" s="501"/>
      <c r="GSS566" s="501"/>
      <c r="GST566" s="501"/>
      <c r="GSU566" s="501"/>
      <c r="GSV566" s="501"/>
      <c r="GSW566" s="501"/>
      <c r="GSX566" s="501"/>
      <c r="GSY566" s="501"/>
      <c r="GSZ566" s="501"/>
      <c r="GTA566" s="501"/>
      <c r="GTB566" s="501"/>
      <c r="GTC566" s="501"/>
      <c r="GTD566" s="501"/>
      <c r="GTE566" s="501"/>
      <c r="GTF566" s="501"/>
      <c r="GTG566" s="501"/>
      <c r="GTH566" s="501"/>
      <c r="GTI566" s="501"/>
      <c r="GTJ566" s="501"/>
      <c r="GTK566" s="501"/>
      <c r="GTL566" s="501"/>
      <c r="GTM566" s="501"/>
      <c r="GTN566" s="501"/>
      <c r="GTO566" s="501"/>
      <c r="GTP566" s="501"/>
      <c r="GTQ566" s="501"/>
      <c r="GTR566" s="501"/>
      <c r="GTS566" s="501"/>
      <c r="GTT566" s="501"/>
      <c r="GTU566" s="501"/>
      <c r="GTV566" s="501"/>
      <c r="GTW566" s="501"/>
      <c r="GTX566" s="501"/>
      <c r="GTY566" s="501"/>
      <c r="GTZ566" s="501"/>
      <c r="GUA566" s="501"/>
      <c r="GUB566" s="501"/>
      <c r="GUC566" s="501"/>
      <c r="GUD566" s="501"/>
      <c r="GUE566" s="501"/>
      <c r="GUF566" s="501"/>
      <c r="GUG566" s="501"/>
      <c r="GUH566" s="501"/>
      <c r="GUI566" s="501"/>
      <c r="GUJ566" s="501"/>
      <c r="GUK566" s="501"/>
      <c r="GUL566" s="501"/>
      <c r="GUM566" s="501"/>
      <c r="GUN566" s="501"/>
      <c r="GUO566" s="501"/>
      <c r="GUP566" s="501"/>
      <c r="GUQ566" s="501"/>
      <c r="GUR566" s="501"/>
      <c r="GUS566" s="501"/>
      <c r="GUT566" s="501"/>
      <c r="GUU566" s="501"/>
      <c r="GUV566" s="501"/>
      <c r="GUW566" s="501"/>
      <c r="GUX566" s="501"/>
      <c r="GUY566" s="501"/>
      <c r="GUZ566" s="501"/>
      <c r="GVA566" s="501"/>
      <c r="GVB566" s="501"/>
      <c r="GVC566" s="501"/>
      <c r="GVD566" s="501"/>
      <c r="GVE566" s="501"/>
      <c r="GVF566" s="501"/>
      <c r="GVG566" s="501"/>
      <c r="GVH566" s="501"/>
      <c r="GVI566" s="501"/>
      <c r="GVJ566" s="501"/>
      <c r="GVK566" s="501"/>
      <c r="GVL566" s="501"/>
      <c r="GVM566" s="501"/>
      <c r="GVN566" s="501"/>
      <c r="GVO566" s="501"/>
      <c r="GVP566" s="501"/>
      <c r="GVQ566" s="501"/>
      <c r="GVR566" s="501"/>
      <c r="GVS566" s="501"/>
      <c r="GVT566" s="501"/>
      <c r="GVU566" s="501"/>
      <c r="GVV566" s="501"/>
      <c r="GVW566" s="501"/>
      <c r="GVX566" s="501"/>
      <c r="GVY566" s="501"/>
      <c r="GVZ566" s="501"/>
      <c r="GWA566" s="501"/>
      <c r="GWB566" s="501"/>
      <c r="GWC566" s="501"/>
      <c r="GWD566" s="501"/>
      <c r="GWE566" s="501"/>
      <c r="GWF566" s="501"/>
      <c r="GWG566" s="501"/>
      <c r="GWH566" s="501"/>
      <c r="GWI566" s="501"/>
      <c r="GWJ566" s="501"/>
      <c r="GWK566" s="501"/>
      <c r="GWL566" s="501"/>
      <c r="GWM566" s="501"/>
      <c r="GWN566" s="501"/>
      <c r="GWO566" s="501"/>
      <c r="GWP566" s="501"/>
      <c r="GWQ566" s="501"/>
      <c r="GWR566" s="501"/>
      <c r="GWS566" s="501"/>
      <c r="GWT566" s="501"/>
      <c r="GWU566" s="501"/>
      <c r="GWV566" s="501"/>
      <c r="GWW566" s="501"/>
      <c r="GWX566" s="501"/>
      <c r="GWY566" s="501"/>
      <c r="GWZ566" s="501"/>
      <c r="GXA566" s="501"/>
      <c r="GXB566" s="501"/>
      <c r="GXC566" s="501"/>
      <c r="GXD566" s="501"/>
      <c r="GXE566" s="501"/>
      <c r="GXF566" s="501"/>
      <c r="GXG566" s="501"/>
      <c r="GXH566" s="501"/>
      <c r="GXI566" s="501"/>
      <c r="GXJ566" s="501"/>
      <c r="GXK566" s="501"/>
      <c r="GXL566" s="501"/>
      <c r="GXM566" s="501"/>
      <c r="GXN566" s="501"/>
      <c r="GXO566" s="501"/>
      <c r="GXP566" s="501"/>
      <c r="GXQ566" s="501"/>
      <c r="GXR566" s="501"/>
      <c r="GXS566" s="501"/>
      <c r="GXT566" s="501"/>
      <c r="GXU566" s="501"/>
      <c r="GXV566" s="501"/>
      <c r="GXW566" s="501"/>
      <c r="GXX566" s="501"/>
      <c r="GXY566" s="501"/>
      <c r="GXZ566" s="501"/>
      <c r="GYA566" s="501"/>
      <c r="GYB566" s="501"/>
      <c r="GYC566" s="501"/>
      <c r="GYD566" s="501"/>
      <c r="GYE566" s="501"/>
      <c r="GYF566" s="501"/>
      <c r="GYG566" s="501"/>
      <c r="GYH566" s="501"/>
      <c r="GYI566" s="501"/>
      <c r="GYJ566" s="501"/>
      <c r="GYK566" s="501"/>
      <c r="GYL566" s="501"/>
      <c r="GYM566" s="501"/>
      <c r="GYN566" s="501"/>
      <c r="GYO566" s="501"/>
      <c r="GYP566" s="501"/>
      <c r="GYQ566" s="501"/>
      <c r="GYR566" s="501"/>
      <c r="GYS566" s="501"/>
      <c r="GYT566" s="501"/>
      <c r="GYU566" s="501"/>
      <c r="GYV566" s="501"/>
      <c r="GYW566" s="501"/>
      <c r="GYX566" s="501"/>
      <c r="GYY566" s="501"/>
      <c r="GYZ566" s="501"/>
      <c r="GZA566" s="501"/>
      <c r="GZB566" s="501"/>
      <c r="GZC566" s="501"/>
      <c r="GZD566" s="501"/>
      <c r="GZE566" s="501"/>
      <c r="GZF566" s="501"/>
      <c r="GZG566" s="501"/>
      <c r="GZH566" s="501"/>
      <c r="GZI566" s="501"/>
      <c r="GZJ566" s="501"/>
      <c r="GZK566" s="501"/>
      <c r="GZL566" s="501"/>
      <c r="GZM566" s="501"/>
      <c r="GZN566" s="501"/>
      <c r="GZO566" s="501"/>
      <c r="GZP566" s="501"/>
      <c r="GZQ566" s="501"/>
      <c r="GZR566" s="501"/>
      <c r="GZS566" s="501"/>
      <c r="GZT566" s="501"/>
      <c r="GZU566" s="501"/>
      <c r="GZV566" s="501"/>
      <c r="GZW566" s="501"/>
      <c r="GZX566" s="501"/>
      <c r="GZY566" s="501"/>
      <c r="GZZ566" s="501"/>
      <c r="HAA566" s="501"/>
      <c r="HAB566" s="501"/>
      <c r="HAC566" s="501"/>
      <c r="HAD566" s="501"/>
      <c r="HAE566" s="501"/>
      <c r="HAF566" s="501"/>
      <c r="HAG566" s="501"/>
      <c r="HAH566" s="501"/>
      <c r="HAI566" s="501"/>
      <c r="HAJ566" s="501"/>
      <c r="HAK566" s="501"/>
      <c r="HAL566" s="501"/>
      <c r="HAM566" s="501"/>
      <c r="HAN566" s="501"/>
      <c r="HAO566" s="501"/>
      <c r="HAP566" s="501"/>
      <c r="HAQ566" s="501"/>
      <c r="HAR566" s="501"/>
      <c r="HAS566" s="501"/>
      <c r="HAT566" s="501"/>
      <c r="HAU566" s="501"/>
      <c r="HAV566" s="501"/>
      <c r="HAW566" s="501"/>
      <c r="HAX566" s="501"/>
      <c r="HAY566" s="501"/>
      <c r="HAZ566" s="501"/>
      <c r="HBA566" s="501"/>
      <c r="HBB566" s="501"/>
      <c r="HBC566" s="501"/>
      <c r="HBD566" s="501"/>
      <c r="HBE566" s="501"/>
      <c r="HBF566" s="501"/>
      <c r="HBG566" s="501"/>
      <c r="HBH566" s="501"/>
      <c r="HBI566" s="501"/>
      <c r="HBJ566" s="501"/>
      <c r="HBK566" s="501"/>
      <c r="HBL566" s="501"/>
      <c r="HBM566" s="501"/>
      <c r="HBN566" s="501"/>
      <c r="HBO566" s="501"/>
      <c r="HBP566" s="501"/>
      <c r="HBQ566" s="501"/>
      <c r="HBR566" s="501"/>
      <c r="HBS566" s="501"/>
      <c r="HBT566" s="501"/>
      <c r="HBU566" s="501"/>
      <c r="HBV566" s="501"/>
      <c r="HBW566" s="501"/>
      <c r="HBX566" s="501"/>
      <c r="HBY566" s="501"/>
      <c r="HBZ566" s="501"/>
      <c r="HCA566" s="501"/>
      <c r="HCB566" s="501"/>
      <c r="HCC566" s="501"/>
      <c r="HCD566" s="501"/>
      <c r="HCE566" s="501"/>
      <c r="HCF566" s="501"/>
      <c r="HCG566" s="501"/>
      <c r="HCH566" s="501"/>
      <c r="HCI566" s="501"/>
      <c r="HCJ566" s="501"/>
      <c r="HCK566" s="501"/>
      <c r="HCL566" s="501"/>
      <c r="HCM566" s="501"/>
      <c r="HCN566" s="501"/>
      <c r="HCO566" s="501"/>
      <c r="HCP566" s="501"/>
      <c r="HCQ566" s="501"/>
      <c r="HCR566" s="501"/>
      <c r="HCS566" s="501"/>
      <c r="HCT566" s="501"/>
      <c r="HCU566" s="501"/>
      <c r="HCV566" s="501"/>
      <c r="HCW566" s="501"/>
      <c r="HCX566" s="501"/>
      <c r="HCY566" s="501"/>
      <c r="HCZ566" s="501"/>
      <c r="HDA566" s="501"/>
      <c r="HDB566" s="501"/>
      <c r="HDC566" s="501"/>
      <c r="HDD566" s="501"/>
      <c r="HDE566" s="501"/>
      <c r="HDF566" s="501"/>
      <c r="HDG566" s="501"/>
      <c r="HDH566" s="501"/>
      <c r="HDI566" s="501"/>
      <c r="HDJ566" s="501"/>
      <c r="HDK566" s="501"/>
      <c r="HDL566" s="501"/>
      <c r="HDM566" s="501"/>
      <c r="HDN566" s="501"/>
      <c r="HDO566" s="501"/>
      <c r="HDP566" s="501"/>
      <c r="HDQ566" s="501"/>
      <c r="HDR566" s="501"/>
      <c r="HDS566" s="501"/>
      <c r="HDT566" s="501"/>
      <c r="HDU566" s="501"/>
      <c r="HDV566" s="501"/>
      <c r="HDW566" s="501"/>
      <c r="HDX566" s="501"/>
      <c r="HDY566" s="501"/>
      <c r="HDZ566" s="501"/>
      <c r="HEA566" s="501"/>
      <c r="HEB566" s="501"/>
      <c r="HEC566" s="501"/>
      <c r="HED566" s="501"/>
      <c r="HEE566" s="501"/>
      <c r="HEF566" s="501"/>
      <c r="HEG566" s="501"/>
      <c r="HEH566" s="501"/>
      <c r="HEI566" s="501"/>
      <c r="HEJ566" s="501"/>
      <c r="HEK566" s="501"/>
      <c r="HEL566" s="501"/>
      <c r="HEM566" s="501"/>
      <c r="HEN566" s="501"/>
      <c r="HEO566" s="501"/>
      <c r="HEP566" s="501"/>
      <c r="HEQ566" s="501"/>
      <c r="HER566" s="501"/>
      <c r="HES566" s="501"/>
      <c r="HET566" s="501"/>
      <c r="HEU566" s="501"/>
      <c r="HEV566" s="501"/>
      <c r="HEW566" s="501"/>
      <c r="HEX566" s="501"/>
      <c r="HEY566" s="501"/>
      <c r="HEZ566" s="501"/>
      <c r="HFA566" s="501"/>
      <c r="HFB566" s="501"/>
      <c r="HFC566" s="501"/>
      <c r="HFD566" s="501"/>
      <c r="HFE566" s="501"/>
      <c r="HFF566" s="501"/>
      <c r="HFG566" s="501"/>
      <c r="HFH566" s="501"/>
      <c r="HFI566" s="501"/>
      <c r="HFJ566" s="501"/>
      <c r="HFK566" s="501"/>
      <c r="HFL566" s="501"/>
      <c r="HFM566" s="501"/>
      <c r="HFN566" s="501"/>
      <c r="HFO566" s="501"/>
      <c r="HFP566" s="501"/>
      <c r="HFQ566" s="501"/>
      <c r="HFR566" s="501"/>
      <c r="HFS566" s="501"/>
      <c r="HFT566" s="501"/>
      <c r="HFU566" s="501"/>
      <c r="HFV566" s="501"/>
      <c r="HFW566" s="501"/>
      <c r="HFX566" s="501"/>
      <c r="HFY566" s="501"/>
      <c r="HFZ566" s="501"/>
      <c r="HGA566" s="501"/>
      <c r="HGB566" s="501"/>
      <c r="HGC566" s="501"/>
      <c r="HGD566" s="501"/>
      <c r="HGE566" s="501"/>
      <c r="HGF566" s="501"/>
      <c r="HGG566" s="501"/>
      <c r="HGH566" s="501"/>
      <c r="HGI566" s="501"/>
      <c r="HGJ566" s="501"/>
      <c r="HGK566" s="501"/>
      <c r="HGL566" s="501"/>
      <c r="HGM566" s="501"/>
      <c r="HGN566" s="501"/>
      <c r="HGO566" s="501"/>
      <c r="HGP566" s="501"/>
      <c r="HGQ566" s="501"/>
      <c r="HGR566" s="501"/>
      <c r="HGS566" s="501"/>
      <c r="HGT566" s="501"/>
      <c r="HGU566" s="501"/>
      <c r="HGV566" s="501"/>
      <c r="HGW566" s="501"/>
      <c r="HGX566" s="501"/>
      <c r="HGY566" s="501"/>
      <c r="HGZ566" s="501"/>
      <c r="HHA566" s="501"/>
      <c r="HHB566" s="501"/>
      <c r="HHC566" s="501"/>
      <c r="HHD566" s="501"/>
      <c r="HHE566" s="501"/>
      <c r="HHF566" s="501"/>
      <c r="HHG566" s="501"/>
      <c r="HHH566" s="501"/>
      <c r="HHI566" s="501"/>
      <c r="HHJ566" s="501"/>
      <c r="HHK566" s="501"/>
      <c r="HHL566" s="501"/>
      <c r="HHM566" s="501"/>
      <c r="HHN566" s="501"/>
      <c r="HHO566" s="501"/>
      <c r="HHP566" s="501"/>
      <c r="HHQ566" s="501"/>
      <c r="HHR566" s="501"/>
      <c r="HHS566" s="501"/>
      <c r="HHT566" s="501"/>
      <c r="HHU566" s="501"/>
      <c r="HHV566" s="501"/>
      <c r="HHW566" s="501"/>
      <c r="HHX566" s="501"/>
      <c r="HHY566" s="501"/>
      <c r="HHZ566" s="501"/>
      <c r="HIA566" s="501"/>
      <c r="HIB566" s="501"/>
      <c r="HIC566" s="501"/>
      <c r="HID566" s="501"/>
      <c r="HIE566" s="501"/>
      <c r="HIF566" s="501"/>
      <c r="HIG566" s="501"/>
      <c r="HIH566" s="501"/>
      <c r="HII566" s="501"/>
      <c r="HIJ566" s="501"/>
      <c r="HIK566" s="501"/>
      <c r="HIL566" s="501"/>
      <c r="HIM566" s="501"/>
      <c r="HIN566" s="501"/>
      <c r="HIO566" s="501"/>
      <c r="HIP566" s="501"/>
      <c r="HIQ566" s="501"/>
      <c r="HIR566" s="501"/>
      <c r="HIS566" s="501"/>
      <c r="HIT566" s="501"/>
      <c r="HIU566" s="501"/>
      <c r="HIV566" s="501"/>
      <c r="HIW566" s="501"/>
      <c r="HIX566" s="501"/>
      <c r="HIY566" s="501"/>
      <c r="HIZ566" s="501"/>
      <c r="HJA566" s="501"/>
      <c r="HJB566" s="501"/>
      <c r="HJC566" s="501"/>
      <c r="HJD566" s="501"/>
      <c r="HJE566" s="501"/>
      <c r="HJF566" s="501"/>
      <c r="HJG566" s="501"/>
      <c r="HJH566" s="501"/>
      <c r="HJI566" s="501"/>
      <c r="HJJ566" s="501"/>
      <c r="HJK566" s="501"/>
      <c r="HJL566" s="501"/>
      <c r="HJM566" s="501"/>
      <c r="HJN566" s="501"/>
      <c r="HJO566" s="501"/>
      <c r="HJP566" s="501"/>
      <c r="HJQ566" s="501"/>
      <c r="HJR566" s="501"/>
      <c r="HJS566" s="501"/>
      <c r="HJT566" s="501"/>
      <c r="HJU566" s="501"/>
      <c r="HJV566" s="501"/>
      <c r="HJW566" s="501"/>
      <c r="HJX566" s="501"/>
      <c r="HJY566" s="501"/>
      <c r="HJZ566" s="501"/>
      <c r="HKA566" s="501"/>
      <c r="HKB566" s="501"/>
      <c r="HKC566" s="501"/>
      <c r="HKD566" s="501"/>
      <c r="HKE566" s="501"/>
      <c r="HKF566" s="501"/>
      <c r="HKG566" s="501"/>
      <c r="HKH566" s="501"/>
      <c r="HKI566" s="501"/>
      <c r="HKJ566" s="501"/>
      <c r="HKK566" s="501"/>
      <c r="HKL566" s="501"/>
      <c r="HKM566" s="501"/>
      <c r="HKN566" s="501"/>
      <c r="HKO566" s="501"/>
      <c r="HKP566" s="501"/>
      <c r="HKQ566" s="501"/>
      <c r="HKR566" s="501"/>
      <c r="HKS566" s="501"/>
      <c r="HKT566" s="501"/>
      <c r="HKU566" s="501"/>
      <c r="HKV566" s="501"/>
      <c r="HKW566" s="501"/>
      <c r="HKX566" s="501"/>
      <c r="HKY566" s="501"/>
      <c r="HKZ566" s="501"/>
      <c r="HLA566" s="501"/>
      <c r="HLB566" s="501"/>
      <c r="HLC566" s="501"/>
      <c r="HLD566" s="501"/>
      <c r="HLE566" s="501"/>
      <c r="HLF566" s="501"/>
      <c r="HLG566" s="501"/>
      <c r="HLH566" s="501"/>
      <c r="HLI566" s="501"/>
      <c r="HLJ566" s="501"/>
      <c r="HLK566" s="501"/>
      <c r="HLL566" s="501"/>
      <c r="HLM566" s="501"/>
      <c r="HLN566" s="501"/>
      <c r="HLO566" s="501"/>
      <c r="HLP566" s="501"/>
      <c r="HLQ566" s="501"/>
      <c r="HLR566" s="501"/>
      <c r="HLS566" s="501"/>
      <c r="HLT566" s="501"/>
      <c r="HLU566" s="501"/>
      <c r="HLV566" s="501"/>
      <c r="HLW566" s="501"/>
      <c r="HLX566" s="501"/>
      <c r="HLY566" s="501"/>
      <c r="HLZ566" s="501"/>
      <c r="HMA566" s="501"/>
      <c r="HMB566" s="501"/>
      <c r="HMC566" s="501"/>
      <c r="HMD566" s="501"/>
      <c r="HME566" s="501"/>
      <c r="HMF566" s="501"/>
      <c r="HMG566" s="501"/>
      <c r="HMH566" s="501"/>
      <c r="HMI566" s="501"/>
      <c r="HMJ566" s="501"/>
      <c r="HMK566" s="501"/>
      <c r="HML566" s="501"/>
      <c r="HMM566" s="501"/>
      <c r="HMN566" s="501"/>
      <c r="HMO566" s="501"/>
      <c r="HMP566" s="501"/>
      <c r="HMQ566" s="501"/>
      <c r="HMR566" s="501"/>
      <c r="HMS566" s="501"/>
      <c r="HMT566" s="501"/>
      <c r="HMU566" s="501"/>
      <c r="HMV566" s="501"/>
      <c r="HMW566" s="501"/>
      <c r="HMX566" s="501"/>
      <c r="HMY566" s="501"/>
      <c r="HMZ566" s="501"/>
      <c r="HNA566" s="501"/>
      <c r="HNB566" s="501"/>
      <c r="HNC566" s="501"/>
      <c r="HND566" s="501"/>
      <c r="HNE566" s="501"/>
      <c r="HNF566" s="501"/>
      <c r="HNG566" s="501"/>
      <c r="HNH566" s="501"/>
      <c r="HNI566" s="501"/>
      <c r="HNJ566" s="501"/>
      <c r="HNK566" s="501"/>
      <c r="HNL566" s="501"/>
      <c r="HNM566" s="501"/>
      <c r="HNN566" s="501"/>
      <c r="HNO566" s="501"/>
      <c r="HNP566" s="501"/>
      <c r="HNQ566" s="501"/>
      <c r="HNR566" s="501"/>
      <c r="HNS566" s="501"/>
      <c r="HNT566" s="501"/>
      <c r="HNU566" s="501"/>
      <c r="HNV566" s="501"/>
      <c r="HNW566" s="501"/>
      <c r="HNX566" s="501"/>
      <c r="HNY566" s="501"/>
      <c r="HNZ566" s="501"/>
      <c r="HOA566" s="501"/>
      <c r="HOB566" s="501"/>
      <c r="HOC566" s="501"/>
      <c r="HOD566" s="501"/>
      <c r="HOE566" s="501"/>
      <c r="HOF566" s="501"/>
      <c r="HOG566" s="501"/>
      <c r="HOH566" s="501"/>
      <c r="HOI566" s="501"/>
      <c r="HOJ566" s="501"/>
      <c r="HOK566" s="501"/>
      <c r="HOL566" s="501"/>
      <c r="HOM566" s="501"/>
      <c r="HON566" s="501"/>
      <c r="HOO566" s="501"/>
      <c r="HOP566" s="501"/>
      <c r="HOQ566" s="501"/>
      <c r="HOR566" s="501"/>
      <c r="HOS566" s="501"/>
      <c r="HOT566" s="501"/>
      <c r="HOU566" s="501"/>
      <c r="HOV566" s="501"/>
      <c r="HOW566" s="501"/>
      <c r="HOX566" s="501"/>
      <c r="HOY566" s="501"/>
      <c r="HOZ566" s="501"/>
      <c r="HPA566" s="501"/>
      <c r="HPB566" s="501"/>
      <c r="HPC566" s="501"/>
      <c r="HPD566" s="501"/>
      <c r="HPE566" s="501"/>
      <c r="HPF566" s="501"/>
      <c r="HPG566" s="501"/>
      <c r="HPH566" s="501"/>
      <c r="HPI566" s="501"/>
      <c r="HPJ566" s="501"/>
      <c r="HPK566" s="501"/>
      <c r="HPL566" s="501"/>
      <c r="HPM566" s="501"/>
      <c r="HPN566" s="501"/>
      <c r="HPO566" s="501"/>
      <c r="HPP566" s="501"/>
      <c r="HPQ566" s="501"/>
      <c r="HPR566" s="501"/>
      <c r="HPS566" s="501"/>
      <c r="HPT566" s="501"/>
      <c r="HPU566" s="501"/>
      <c r="HPV566" s="501"/>
      <c r="HPW566" s="501"/>
      <c r="HPX566" s="501"/>
      <c r="HPY566" s="501"/>
      <c r="HPZ566" s="501"/>
      <c r="HQA566" s="501"/>
      <c r="HQB566" s="501"/>
      <c r="HQC566" s="501"/>
      <c r="HQD566" s="501"/>
      <c r="HQE566" s="501"/>
      <c r="HQF566" s="501"/>
      <c r="HQG566" s="501"/>
      <c r="HQH566" s="501"/>
      <c r="HQI566" s="501"/>
      <c r="HQJ566" s="501"/>
      <c r="HQK566" s="501"/>
      <c r="HQL566" s="501"/>
      <c r="HQM566" s="501"/>
      <c r="HQN566" s="501"/>
      <c r="HQO566" s="501"/>
      <c r="HQP566" s="501"/>
      <c r="HQQ566" s="501"/>
      <c r="HQR566" s="501"/>
      <c r="HQS566" s="501"/>
      <c r="HQT566" s="501"/>
      <c r="HQU566" s="501"/>
      <c r="HQV566" s="501"/>
      <c r="HQW566" s="501"/>
      <c r="HQX566" s="501"/>
      <c r="HQY566" s="501"/>
      <c r="HQZ566" s="501"/>
      <c r="HRA566" s="501"/>
      <c r="HRB566" s="501"/>
      <c r="HRC566" s="501"/>
      <c r="HRD566" s="501"/>
      <c r="HRE566" s="501"/>
      <c r="HRF566" s="501"/>
      <c r="HRG566" s="501"/>
      <c r="HRH566" s="501"/>
      <c r="HRI566" s="501"/>
      <c r="HRJ566" s="501"/>
      <c r="HRK566" s="501"/>
      <c r="HRL566" s="501"/>
      <c r="HRM566" s="501"/>
      <c r="HRN566" s="501"/>
      <c r="HRO566" s="501"/>
      <c r="HRP566" s="501"/>
      <c r="HRQ566" s="501"/>
      <c r="HRR566" s="501"/>
      <c r="HRS566" s="501"/>
      <c r="HRT566" s="501"/>
      <c r="HRU566" s="501"/>
      <c r="HRV566" s="501"/>
      <c r="HRW566" s="501"/>
      <c r="HRX566" s="501"/>
      <c r="HRY566" s="501"/>
      <c r="HRZ566" s="501"/>
      <c r="HSA566" s="501"/>
      <c r="HSB566" s="501"/>
      <c r="HSC566" s="501"/>
      <c r="HSD566" s="501"/>
      <c r="HSE566" s="501"/>
      <c r="HSF566" s="501"/>
      <c r="HSG566" s="501"/>
      <c r="HSH566" s="501"/>
      <c r="HSI566" s="501"/>
      <c r="HSJ566" s="501"/>
      <c r="HSK566" s="501"/>
      <c r="HSL566" s="501"/>
      <c r="HSM566" s="501"/>
      <c r="HSN566" s="501"/>
      <c r="HSO566" s="501"/>
      <c r="HSP566" s="501"/>
      <c r="HSQ566" s="501"/>
      <c r="HSR566" s="501"/>
      <c r="HSS566" s="501"/>
      <c r="HST566" s="501"/>
      <c r="HSU566" s="501"/>
      <c r="HSV566" s="501"/>
      <c r="HSW566" s="501"/>
      <c r="HSX566" s="501"/>
      <c r="HSY566" s="501"/>
      <c r="HSZ566" s="501"/>
      <c r="HTA566" s="501"/>
      <c r="HTB566" s="501"/>
      <c r="HTC566" s="501"/>
      <c r="HTD566" s="501"/>
      <c r="HTE566" s="501"/>
      <c r="HTF566" s="501"/>
      <c r="HTG566" s="501"/>
      <c r="HTH566" s="501"/>
      <c r="HTI566" s="501"/>
      <c r="HTJ566" s="501"/>
      <c r="HTK566" s="501"/>
      <c r="HTL566" s="501"/>
      <c r="HTM566" s="501"/>
      <c r="HTN566" s="501"/>
      <c r="HTO566" s="501"/>
      <c r="HTP566" s="501"/>
      <c r="HTQ566" s="501"/>
      <c r="HTR566" s="501"/>
      <c r="HTS566" s="501"/>
      <c r="HTT566" s="501"/>
      <c r="HTU566" s="501"/>
      <c r="HTV566" s="501"/>
      <c r="HTW566" s="501"/>
      <c r="HTX566" s="501"/>
      <c r="HTY566" s="501"/>
      <c r="HTZ566" s="501"/>
      <c r="HUA566" s="501"/>
      <c r="HUB566" s="501"/>
      <c r="HUC566" s="501"/>
      <c r="HUD566" s="501"/>
      <c r="HUE566" s="501"/>
      <c r="HUF566" s="501"/>
      <c r="HUG566" s="501"/>
      <c r="HUH566" s="501"/>
      <c r="HUI566" s="501"/>
      <c r="HUJ566" s="501"/>
      <c r="HUK566" s="501"/>
      <c r="HUL566" s="501"/>
      <c r="HUM566" s="501"/>
      <c r="HUN566" s="501"/>
      <c r="HUO566" s="501"/>
      <c r="HUP566" s="501"/>
      <c r="HUQ566" s="501"/>
      <c r="HUR566" s="501"/>
      <c r="HUS566" s="501"/>
      <c r="HUT566" s="501"/>
      <c r="HUU566" s="501"/>
      <c r="HUV566" s="501"/>
      <c r="HUW566" s="501"/>
      <c r="HUX566" s="501"/>
      <c r="HUY566" s="501"/>
      <c r="HUZ566" s="501"/>
      <c r="HVA566" s="501"/>
      <c r="HVB566" s="501"/>
      <c r="HVC566" s="501"/>
      <c r="HVD566" s="501"/>
      <c r="HVE566" s="501"/>
      <c r="HVF566" s="501"/>
      <c r="HVG566" s="501"/>
      <c r="HVH566" s="501"/>
      <c r="HVI566" s="501"/>
      <c r="HVJ566" s="501"/>
      <c r="HVK566" s="501"/>
      <c r="HVL566" s="501"/>
      <c r="HVM566" s="501"/>
      <c r="HVN566" s="501"/>
      <c r="HVO566" s="501"/>
      <c r="HVP566" s="501"/>
      <c r="HVQ566" s="501"/>
      <c r="HVR566" s="501"/>
      <c r="HVS566" s="501"/>
      <c r="HVT566" s="501"/>
      <c r="HVU566" s="501"/>
      <c r="HVV566" s="501"/>
      <c r="HVW566" s="501"/>
      <c r="HVX566" s="501"/>
      <c r="HVY566" s="501"/>
      <c r="HVZ566" s="501"/>
      <c r="HWA566" s="501"/>
      <c r="HWB566" s="501"/>
      <c r="HWC566" s="501"/>
      <c r="HWD566" s="501"/>
      <c r="HWE566" s="501"/>
      <c r="HWF566" s="501"/>
      <c r="HWG566" s="501"/>
      <c r="HWH566" s="501"/>
      <c r="HWI566" s="501"/>
      <c r="HWJ566" s="501"/>
      <c r="HWK566" s="501"/>
      <c r="HWL566" s="501"/>
      <c r="HWM566" s="501"/>
      <c r="HWN566" s="501"/>
      <c r="HWO566" s="501"/>
      <c r="HWP566" s="501"/>
      <c r="HWQ566" s="501"/>
      <c r="HWR566" s="501"/>
      <c r="HWS566" s="501"/>
      <c r="HWT566" s="501"/>
      <c r="HWU566" s="501"/>
      <c r="HWV566" s="501"/>
      <c r="HWW566" s="501"/>
      <c r="HWX566" s="501"/>
      <c r="HWY566" s="501"/>
      <c r="HWZ566" s="501"/>
      <c r="HXA566" s="501"/>
      <c r="HXB566" s="501"/>
      <c r="HXC566" s="501"/>
      <c r="HXD566" s="501"/>
      <c r="HXE566" s="501"/>
      <c r="HXF566" s="501"/>
      <c r="HXG566" s="501"/>
      <c r="HXH566" s="501"/>
      <c r="HXI566" s="501"/>
      <c r="HXJ566" s="501"/>
      <c r="HXK566" s="501"/>
      <c r="HXL566" s="501"/>
      <c r="HXM566" s="501"/>
      <c r="HXN566" s="501"/>
      <c r="HXO566" s="501"/>
      <c r="HXP566" s="501"/>
      <c r="HXQ566" s="501"/>
      <c r="HXR566" s="501"/>
      <c r="HXS566" s="501"/>
      <c r="HXT566" s="501"/>
      <c r="HXU566" s="501"/>
      <c r="HXV566" s="501"/>
      <c r="HXW566" s="501"/>
      <c r="HXX566" s="501"/>
      <c r="HXY566" s="501"/>
      <c r="HXZ566" s="501"/>
      <c r="HYA566" s="501"/>
      <c r="HYB566" s="501"/>
      <c r="HYC566" s="501"/>
      <c r="HYD566" s="501"/>
      <c r="HYE566" s="501"/>
      <c r="HYF566" s="501"/>
      <c r="HYG566" s="501"/>
      <c r="HYH566" s="501"/>
      <c r="HYI566" s="501"/>
      <c r="HYJ566" s="501"/>
      <c r="HYK566" s="501"/>
      <c r="HYL566" s="501"/>
      <c r="HYM566" s="501"/>
      <c r="HYN566" s="501"/>
      <c r="HYO566" s="501"/>
      <c r="HYP566" s="501"/>
      <c r="HYQ566" s="501"/>
      <c r="HYR566" s="501"/>
      <c r="HYS566" s="501"/>
      <c r="HYT566" s="501"/>
      <c r="HYU566" s="501"/>
      <c r="HYV566" s="501"/>
      <c r="HYW566" s="501"/>
      <c r="HYX566" s="501"/>
      <c r="HYY566" s="501"/>
      <c r="HYZ566" s="501"/>
      <c r="HZA566" s="501"/>
      <c r="HZB566" s="501"/>
      <c r="HZC566" s="501"/>
      <c r="HZD566" s="501"/>
      <c r="HZE566" s="501"/>
      <c r="HZF566" s="501"/>
      <c r="HZG566" s="501"/>
      <c r="HZH566" s="501"/>
      <c r="HZI566" s="501"/>
      <c r="HZJ566" s="501"/>
      <c r="HZK566" s="501"/>
      <c r="HZL566" s="501"/>
      <c r="HZM566" s="501"/>
      <c r="HZN566" s="501"/>
      <c r="HZO566" s="501"/>
      <c r="HZP566" s="501"/>
      <c r="HZQ566" s="501"/>
      <c r="HZR566" s="501"/>
      <c r="HZS566" s="501"/>
      <c r="HZT566" s="501"/>
      <c r="HZU566" s="501"/>
      <c r="HZV566" s="501"/>
      <c r="HZW566" s="501"/>
      <c r="HZX566" s="501"/>
      <c r="HZY566" s="501"/>
      <c r="HZZ566" s="501"/>
      <c r="IAA566" s="501"/>
      <c r="IAB566" s="501"/>
      <c r="IAC566" s="501"/>
      <c r="IAD566" s="501"/>
      <c r="IAE566" s="501"/>
      <c r="IAF566" s="501"/>
      <c r="IAG566" s="501"/>
      <c r="IAH566" s="501"/>
      <c r="IAI566" s="501"/>
      <c r="IAJ566" s="501"/>
      <c r="IAK566" s="501"/>
      <c r="IAL566" s="501"/>
      <c r="IAM566" s="501"/>
      <c r="IAN566" s="501"/>
      <c r="IAO566" s="501"/>
      <c r="IAP566" s="501"/>
      <c r="IAQ566" s="501"/>
      <c r="IAR566" s="501"/>
      <c r="IAS566" s="501"/>
      <c r="IAT566" s="501"/>
      <c r="IAU566" s="501"/>
      <c r="IAV566" s="501"/>
      <c r="IAW566" s="501"/>
      <c r="IAX566" s="501"/>
      <c r="IAY566" s="501"/>
      <c r="IAZ566" s="501"/>
      <c r="IBA566" s="501"/>
      <c r="IBB566" s="501"/>
      <c r="IBC566" s="501"/>
      <c r="IBD566" s="501"/>
      <c r="IBE566" s="501"/>
      <c r="IBF566" s="501"/>
      <c r="IBG566" s="501"/>
      <c r="IBH566" s="501"/>
      <c r="IBI566" s="501"/>
      <c r="IBJ566" s="501"/>
      <c r="IBK566" s="501"/>
      <c r="IBL566" s="501"/>
      <c r="IBM566" s="501"/>
      <c r="IBN566" s="501"/>
      <c r="IBO566" s="501"/>
      <c r="IBP566" s="501"/>
      <c r="IBQ566" s="501"/>
      <c r="IBR566" s="501"/>
      <c r="IBS566" s="501"/>
      <c r="IBT566" s="501"/>
      <c r="IBU566" s="501"/>
      <c r="IBV566" s="501"/>
      <c r="IBW566" s="501"/>
      <c r="IBX566" s="501"/>
      <c r="IBY566" s="501"/>
      <c r="IBZ566" s="501"/>
      <c r="ICA566" s="501"/>
      <c r="ICB566" s="501"/>
      <c r="ICC566" s="501"/>
      <c r="ICD566" s="501"/>
      <c r="ICE566" s="501"/>
      <c r="ICF566" s="501"/>
      <c r="ICG566" s="501"/>
      <c r="ICH566" s="501"/>
      <c r="ICI566" s="501"/>
      <c r="ICJ566" s="501"/>
      <c r="ICK566" s="501"/>
      <c r="ICL566" s="501"/>
      <c r="ICM566" s="501"/>
      <c r="ICN566" s="501"/>
      <c r="ICO566" s="501"/>
      <c r="ICP566" s="501"/>
      <c r="ICQ566" s="501"/>
      <c r="ICR566" s="501"/>
      <c r="ICS566" s="501"/>
      <c r="ICT566" s="501"/>
      <c r="ICU566" s="501"/>
      <c r="ICV566" s="501"/>
      <c r="ICW566" s="501"/>
      <c r="ICX566" s="501"/>
      <c r="ICY566" s="501"/>
      <c r="ICZ566" s="501"/>
      <c r="IDA566" s="501"/>
      <c r="IDB566" s="501"/>
      <c r="IDC566" s="501"/>
      <c r="IDD566" s="501"/>
      <c r="IDE566" s="501"/>
      <c r="IDF566" s="501"/>
      <c r="IDG566" s="501"/>
      <c r="IDH566" s="501"/>
      <c r="IDI566" s="501"/>
      <c r="IDJ566" s="501"/>
      <c r="IDK566" s="501"/>
      <c r="IDL566" s="501"/>
      <c r="IDM566" s="501"/>
      <c r="IDN566" s="501"/>
      <c r="IDO566" s="501"/>
      <c r="IDP566" s="501"/>
      <c r="IDQ566" s="501"/>
      <c r="IDR566" s="501"/>
      <c r="IDS566" s="501"/>
      <c r="IDT566" s="501"/>
      <c r="IDU566" s="501"/>
      <c r="IDV566" s="501"/>
      <c r="IDW566" s="501"/>
      <c r="IDX566" s="501"/>
      <c r="IDY566" s="501"/>
      <c r="IDZ566" s="501"/>
      <c r="IEA566" s="501"/>
      <c r="IEB566" s="501"/>
      <c r="IEC566" s="501"/>
      <c r="IED566" s="501"/>
      <c r="IEE566" s="501"/>
      <c r="IEF566" s="501"/>
      <c r="IEG566" s="501"/>
      <c r="IEH566" s="501"/>
      <c r="IEI566" s="501"/>
      <c r="IEJ566" s="501"/>
      <c r="IEK566" s="501"/>
      <c r="IEL566" s="501"/>
      <c r="IEM566" s="501"/>
      <c r="IEN566" s="501"/>
      <c r="IEO566" s="501"/>
      <c r="IEP566" s="501"/>
      <c r="IEQ566" s="501"/>
      <c r="IER566" s="501"/>
      <c r="IES566" s="501"/>
      <c r="IET566" s="501"/>
      <c r="IEU566" s="501"/>
      <c r="IEV566" s="501"/>
      <c r="IEW566" s="501"/>
      <c r="IEX566" s="501"/>
      <c r="IEY566" s="501"/>
      <c r="IEZ566" s="501"/>
      <c r="IFA566" s="501"/>
      <c r="IFB566" s="501"/>
      <c r="IFC566" s="501"/>
      <c r="IFD566" s="501"/>
      <c r="IFE566" s="501"/>
      <c r="IFF566" s="501"/>
      <c r="IFG566" s="501"/>
      <c r="IFH566" s="501"/>
      <c r="IFI566" s="501"/>
      <c r="IFJ566" s="501"/>
      <c r="IFK566" s="501"/>
      <c r="IFL566" s="501"/>
      <c r="IFM566" s="501"/>
      <c r="IFN566" s="501"/>
      <c r="IFO566" s="501"/>
      <c r="IFP566" s="501"/>
      <c r="IFQ566" s="501"/>
      <c r="IFR566" s="501"/>
      <c r="IFS566" s="501"/>
      <c r="IFT566" s="501"/>
      <c r="IFU566" s="501"/>
      <c r="IFV566" s="501"/>
      <c r="IFW566" s="501"/>
      <c r="IFX566" s="501"/>
      <c r="IFY566" s="501"/>
      <c r="IFZ566" s="501"/>
      <c r="IGA566" s="501"/>
      <c r="IGB566" s="501"/>
      <c r="IGC566" s="501"/>
      <c r="IGD566" s="501"/>
      <c r="IGE566" s="501"/>
      <c r="IGF566" s="501"/>
      <c r="IGG566" s="501"/>
      <c r="IGH566" s="501"/>
      <c r="IGI566" s="501"/>
      <c r="IGJ566" s="501"/>
      <c r="IGK566" s="501"/>
      <c r="IGL566" s="501"/>
      <c r="IGM566" s="501"/>
      <c r="IGN566" s="501"/>
      <c r="IGO566" s="501"/>
      <c r="IGP566" s="501"/>
      <c r="IGQ566" s="501"/>
      <c r="IGR566" s="501"/>
      <c r="IGS566" s="501"/>
      <c r="IGT566" s="501"/>
      <c r="IGU566" s="501"/>
      <c r="IGV566" s="501"/>
      <c r="IGW566" s="501"/>
      <c r="IGX566" s="501"/>
      <c r="IGY566" s="501"/>
      <c r="IGZ566" s="501"/>
      <c r="IHA566" s="501"/>
      <c r="IHB566" s="501"/>
      <c r="IHC566" s="501"/>
      <c r="IHD566" s="501"/>
      <c r="IHE566" s="501"/>
      <c r="IHF566" s="501"/>
      <c r="IHG566" s="501"/>
      <c r="IHH566" s="501"/>
      <c r="IHI566" s="501"/>
      <c r="IHJ566" s="501"/>
      <c r="IHK566" s="501"/>
      <c r="IHL566" s="501"/>
      <c r="IHM566" s="501"/>
      <c r="IHN566" s="501"/>
      <c r="IHO566" s="501"/>
      <c r="IHP566" s="501"/>
      <c r="IHQ566" s="501"/>
      <c r="IHR566" s="501"/>
      <c r="IHS566" s="501"/>
      <c r="IHT566" s="501"/>
      <c r="IHU566" s="501"/>
      <c r="IHV566" s="501"/>
      <c r="IHW566" s="501"/>
      <c r="IHX566" s="501"/>
      <c r="IHY566" s="501"/>
      <c r="IHZ566" s="501"/>
      <c r="IIA566" s="501"/>
      <c r="IIB566" s="501"/>
      <c r="IIC566" s="501"/>
      <c r="IID566" s="501"/>
      <c r="IIE566" s="501"/>
      <c r="IIF566" s="501"/>
      <c r="IIG566" s="501"/>
      <c r="IIH566" s="501"/>
      <c r="III566" s="501"/>
      <c r="IIJ566" s="501"/>
      <c r="IIK566" s="501"/>
      <c r="IIL566" s="501"/>
      <c r="IIM566" s="501"/>
      <c r="IIN566" s="501"/>
      <c r="IIO566" s="501"/>
      <c r="IIP566" s="501"/>
      <c r="IIQ566" s="501"/>
      <c r="IIR566" s="501"/>
      <c r="IIS566" s="501"/>
      <c r="IIT566" s="501"/>
      <c r="IIU566" s="501"/>
      <c r="IIV566" s="501"/>
      <c r="IIW566" s="501"/>
      <c r="IIX566" s="501"/>
      <c r="IIY566" s="501"/>
      <c r="IIZ566" s="501"/>
      <c r="IJA566" s="501"/>
      <c r="IJB566" s="501"/>
      <c r="IJC566" s="501"/>
      <c r="IJD566" s="501"/>
      <c r="IJE566" s="501"/>
      <c r="IJF566" s="501"/>
      <c r="IJG566" s="501"/>
      <c r="IJH566" s="501"/>
      <c r="IJI566" s="501"/>
      <c r="IJJ566" s="501"/>
      <c r="IJK566" s="501"/>
      <c r="IJL566" s="501"/>
      <c r="IJM566" s="501"/>
      <c r="IJN566" s="501"/>
      <c r="IJO566" s="501"/>
      <c r="IJP566" s="501"/>
      <c r="IJQ566" s="501"/>
      <c r="IJR566" s="501"/>
      <c r="IJS566" s="501"/>
      <c r="IJT566" s="501"/>
      <c r="IJU566" s="501"/>
      <c r="IJV566" s="501"/>
      <c r="IJW566" s="501"/>
      <c r="IJX566" s="501"/>
      <c r="IJY566" s="501"/>
      <c r="IJZ566" s="501"/>
      <c r="IKA566" s="501"/>
      <c r="IKB566" s="501"/>
      <c r="IKC566" s="501"/>
      <c r="IKD566" s="501"/>
      <c r="IKE566" s="501"/>
      <c r="IKF566" s="501"/>
      <c r="IKG566" s="501"/>
      <c r="IKH566" s="501"/>
      <c r="IKI566" s="501"/>
      <c r="IKJ566" s="501"/>
      <c r="IKK566" s="501"/>
      <c r="IKL566" s="501"/>
      <c r="IKM566" s="501"/>
      <c r="IKN566" s="501"/>
      <c r="IKO566" s="501"/>
      <c r="IKP566" s="501"/>
      <c r="IKQ566" s="501"/>
      <c r="IKR566" s="501"/>
      <c r="IKS566" s="501"/>
      <c r="IKT566" s="501"/>
      <c r="IKU566" s="501"/>
      <c r="IKV566" s="501"/>
      <c r="IKW566" s="501"/>
      <c r="IKX566" s="501"/>
      <c r="IKY566" s="501"/>
      <c r="IKZ566" s="501"/>
      <c r="ILA566" s="501"/>
      <c r="ILB566" s="501"/>
      <c r="ILC566" s="501"/>
      <c r="ILD566" s="501"/>
      <c r="ILE566" s="501"/>
      <c r="ILF566" s="501"/>
      <c r="ILG566" s="501"/>
      <c r="ILH566" s="501"/>
      <c r="ILI566" s="501"/>
      <c r="ILJ566" s="501"/>
      <c r="ILK566" s="501"/>
      <c r="ILL566" s="501"/>
      <c r="ILM566" s="501"/>
      <c r="ILN566" s="501"/>
      <c r="ILO566" s="501"/>
      <c r="ILP566" s="501"/>
      <c r="ILQ566" s="501"/>
      <c r="ILR566" s="501"/>
      <c r="ILS566" s="501"/>
      <c r="ILT566" s="501"/>
      <c r="ILU566" s="501"/>
      <c r="ILV566" s="501"/>
      <c r="ILW566" s="501"/>
      <c r="ILX566" s="501"/>
      <c r="ILY566" s="501"/>
      <c r="ILZ566" s="501"/>
      <c r="IMA566" s="501"/>
      <c r="IMB566" s="501"/>
      <c r="IMC566" s="501"/>
      <c r="IMD566" s="501"/>
      <c r="IME566" s="501"/>
      <c r="IMF566" s="501"/>
      <c r="IMG566" s="501"/>
      <c r="IMH566" s="501"/>
      <c r="IMI566" s="501"/>
      <c r="IMJ566" s="501"/>
      <c r="IMK566" s="501"/>
      <c r="IML566" s="501"/>
      <c r="IMM566" s="501"/>
      <c r="IMN566" s="501"/>
      <c r="IMO566" s="501"/>
      <c r="IMP566" s="501"/>
      <c r="IMQ566" s="501"/>
      <c r="IMR566" s="501"/>
      <c r="IMS566" s="501"/>
      <c r="IMT566" s="501"/>
      <c r="IMU566" s="501"/>
      <c r="IMV566" s="501"/>
      <c r="IMW566" s="501"/>
      <c r="IMX566" s="501"/>
      <c r="IMY566" s="501"/>
      <c r="IMZ566" s="501"/>
      <c r="INA566" s="501"/>
      <c r="INB566" s="501"/>
      <c r="INC566" s="501"/>
      <c r="IND566" s="501"/>
      <c r="INE566" s="501"/>
      <c r="INF566" s="501"/>
      <c r="ING566" s="501"/>
      <c r="INH566" s="501"/>
      <c r="INI566" s="501"/>
      <c r="INJ566" s="501"/>
      <c r="INK566" s="501"/>
      <c r="INL566" s="501"/>
      <c r="INM566" s="501"/>
      <c r="INN566" s="501"/>
      <c r="INO566" s="501"/>
      <c r="INP566" s="501"/>
      <c r="INQ566" s="501"/>
      <c r="INR566" s="501"/>
      <c r="INS566" s="501"/>
      <c r="INT566" s="501"/>
      <c r="INU566" s="501"/>
      <c r="INV566" s="501"/>
      <c r="INW566" s="501"/>
      <c r="INX566" s="501"/>
      <c r="INY566" s="501"/>
      <c r="INZ566" s="501"/>
      <c r="IOA566" s="501"/>
      <c r="IOB566" s="501"/>
      <c r="IOC566" s="501"/>
      <c r="IOD566" s="501"/>
      <c r="IOE566" s="501"/>
      <c r="IOF566" s="501"/>
      <c r="IOG566" s="501"/>
      <c r="IOH566" s="501"/>
      <c r="IOI566" s="501"/>
      <c r="IOJ566" s="501"/>
      <c r="IOK566" s="501"/>
      <c r="IOL566" s="501"/>
      <c r="IOM566" s="501"/>
      <c r="ION566" s="501"/>
      <c r="IOO566" s="501"/>
      <c r="IOP566" s="501"/>
      <c r="IOQ566" s="501"/>
      <c r="IOR566" s="501"/>
      <c r="IOS566" s="501"/>
      <c r="IOT566" s="501"/>
      <c r="IOU566" s="501"/>
      <c r="IOV566" s="501"/>
      <c r="IOW566" s="501"/>
      <c r="IOX566" s="501"/>
      <c r="IOY566" s="501"/>
      <c r="IOZ566" s="501"/>
      <c r="IPA566" s="501"/>
      <c r="IPB566" s="501"/>
      <c r="IPC566" s="501"/>
      <c r="IPD566" s="501"/>
      <c r="IPE566" s="501"/>
      <c r="IPF566" s="501"/>
      <c r="IPG566" s="501"/>
      <c r="IPH566" s="501"/>
      <c r="IPI566" s="501"/>
      <c r="IPJ566" s="501"/>
      <c r="IPK566" s="501"/>
      <c r="IPL566" s="501"/>
      <c r="IPM566" s="501"/>
      <c r="IPN566" s="501"/>
      <c r="IPO566" s="501"/>
      <c r="IPP566" s="501"/>
      <c r="IPQ566" s="501"/>
      <c r="IPR566" s="501"/>
      <c r="IPS566" s="501"/>
      <c r="IPT566" s="501"/>
      <c r="IPU566" s="501"/>
      <c r="IPV566" s="501"/>
      <c r="IPW566" s="501"/>
      <c r="IPX566" s="501"/>
      <c r="IPY566" s="501"/>
      <c r="IPZ566" s="501"/>
      <c r="IQA566" s="501"/>
      <c r="IQB566" s="501"/>
      <c r="IQC566" s="501"/>
      <c r="IQD566" s="501"/>
      <c r="IQE566" s="501"/>
      <c r="IQF566" s="501"/>
      <c r="IQG566" s="501"/>
      <c r="IQH566" s="501"/>
      <c r="IQI566" s="501"/>
      <c r="IQJ566" s="501"/>
      <c r="IQK566" s="501"/>
      <c r="IQL566" s="501"/>
      <c r="IQM566" s="501"/>
      <c r="IQN566" s="501"/>
      <c r="IQO566" s="501"/>
      <c r="IQP566" s="501"/>
      <c r="IQQ566" s="501"/>
      <c r="IQR566" s="501"/>
      <c r="IQS566" s="501"/>
      <c r="IQT566" s="501"/>
      <c r="IQU566" s="501"/>
      <c r="IQV566" s="501"/>
      <c r="IQW566" s="501"/>
      <c r="IQX566" s="501"/>
      <c r="IQY566" s="501"/>
      <c r="IQZ566" s="501"/>
      <c r="IRA566" s="501"/>
      <c r="IRB566" s="501"/>
      <c r="IRC566" s="501"/>
      <c r="IRD566" s="501"/>
      <c r="IRE566" s="501"/>
      <c r="IRF566" s="501"/>
      <c r="IRG566" s="501"/>
      <c r="IRH566" s="501"/>
      <c r="IRI566" s="501"/>
      <c r="IRJ566" s="501"/>
      <c r="IRK566" s="501"/>
      <c r="IRL566" s="501"/>
      <c r="IRM566" s="501"/>
      <c r="IRN566" s="501"/>
      <c r="IRO566" s="501"/>
      <c r="IRP566" s="501"/>
      <c r="IRQ566" s="501"/>
      <c r="IRR566" s="501"/>
      <c r="IRS566" s="501"/>
      <c r="IRT566" s="501"/>
      <c r="IRU566" s="501"/>
      <c r="IRV566" s="501"/>
      <c r="IRW566" s="501"/>
      <c r="IRX566" s="501"/>
      <c r="IRY566" s="501"/>
      <c r="IRZ566" s="501"/>
      <c r="ISA566" s="501"/>
      <c r="ISB566" s="501"/>
      <c r="ISC566" s="501"/>
      <c r="ISD566" s="501"/>
      <c r="ISE566" s="501"/>
      <c r="ISF566" s="501"/>
      <c r="ISG566" s="501"/>
      <c r="ISH566" s="501"/>
      <c r="ISI566" s="501"/>
      <c r="ISJ566" s="501"/>
      <c r="ISK566" s="501"/>
      <c r="ISL566" s="501"/>
      <c r="ISM566" s="501"/>
      <c r="ISN566" s="501"/>
      <c r="ISO566" s="501"/>
      <c r="ISP566" s="501"/>
      <c r="ISQ566" s="501"/>
      <c r="ISR566" s="501"/>
      <c r="ISS566" s="501"/>
      <c r="IST566" s="501"/>
      <c r="ISU566" s="501"/>
      <c r="ISV566" s="501"/>
      <c r="ISW566" s="501"/>
      <c r="ISX566" s="501"/>
      <c r="ISY566" s="501"/>
      <c r="ISZ566" s="501"/>
      <c r="ITA566" s="501"/>
      <c r="ITB566" s="501"/>
      <c r="ITC566" s="501"/>
      <c r="ITD566" s="501"/>
      <c r="ITE566" s="501"/>
      <c r="ITF566" s="501"/>
      <c r="ITG566" s="501"/>
      <c r="ITH566" s="501"/>
      <c r="ITI566" s="501"/>
      <c r="ITJ566" s="501"/>
      <c r="ITK566" s="501"/>
      <c r="ITL566" s="501"/>
      <c r="ITM566" s="501"/>
      <c r="ITN566" s="501"/>
      <c r="ITO566" s="501"/>
      <c r="ITP566" s="501"/>
      <c r="ITQ566" s="501"/>
      <c r="ITR566" s="501"/>
      <c r="ITS566" s="501"/>
      <c r="ITT566" s="501"/>
      <c r="ITU566" s="501"/>
      <c r="ITV566" s="501"/>
      <c r="ITW566" s="501"/>
      <c r="ITX566" s="501"/>
      <c r="ITY566" s="501"/>
      <c r="ITZ566" s="501"/>
      <c r="IUA566" s="501"/>
      <c r="IUB566" s="501"/>
      <c r="IUC566" s="501"/>
      <c r="IUD566" s="501"/>
      <c r="IUE566" s="501"/>
      <c r="IUF566" s="501"/>
      <c r="IUG566" s="501"/>
      <c r="IUH566" s="501"/>
      <c r="IUI566" s="501"/>
      <c r="IUJ566" s="501"/>
      <c r="IUK566" s="501"/>
      <c r="IUL566" s="501"/>
      <c r="IUM566" s="501"/>
      <c r="IUN566" s="501"/>
      <c r="IUO566" s="501"/>
      <c r="IUP566" s="501"/>
      <c r="IUQ566" s="501"/>
      <c r="IUR566" s="501"/>
      <c r="IUS566" s="501"/>
      <c r="IUT566" s="501"/>
      <c r="IUU566" s="501"/>
      <c r="IUV566" s="501"/>
      <c r="IUW566" s="501"/>
      <c r="IUX566" s="501"/>
      <c r="IUY566" s="501"/>
      <c r="IUZ566" s="501"/>
      <c r="IVA566" s="501"/>
      <c r="IVB566" s="501"/>
      <c r="IVC566" s="501"/>
      <c r="IVD566" s="501"/>
      <c r="IVE566" s="501"/>
      <c r="IVF566" s="501"/>
      <c r="IVG566" s="501"/>
      <c r="IVH566" s="501"/>
      <c r="IVI566" s="501"/>
      <c r="IVJ566" s="501"/>
      <c r="IVK566" s="501"/>
      <c r="IVL566" s="501"/>
      <c r="IVM566" s="501"/>
      <c r="IVN566" s="501"/>
      <c r="IVO566" s="501"/>
      <c r="IVP566" s="501"/>
      <c r="IVQ566" s="501"/>
      <c r="IVR566" s="501"/>
      <c r="IVS566" s="501"/>
      <c r="IVT566" s="501"/>
      <c r="IVU566" s="501"/>
      <c r="IVV566" s="501"/>
      <c r="IVW566" s="501"/>
      <c r="IVX566" s="501"/>
      <c r="IVY566" s="501"/>
      <c r="IVZ566" s="501"/>
      <c r="IWA566" s="501"/>
      <c r="IWB566" s="501"/>
      <c r="IWC566" s="501"/>
      <c r="IWD566" s="501"/>
      <c r="IWE566" s="501"/>
      <c r="IWF566" s="501"/>
      <c r="IWG566" s="501"/>
      <c r="IWH566" s="501"/>
      <c r="IWI566" s="501"/>
      <c r="IWJ566" s="501"/>
      <c r="IWK566" s="501"/>
      <c r="IWL566" s="501"/>
      <c r="IWM566" s="501"/>
      <c r="IWN566" s="501"/>
      <c r="IWO566" s="501"/>
      <c r="IWP566" s="501"/>
      <c r="IWQ566" s="501"/>
      <c r="IWR566" s="501"/>
      <c r="IWS566" s="501"/>
      <c r="IWT566" s="501"/>
      <c r="IWU566" s="501"/>
      <c r="IWV566" s="501"/>
      <c r="IWW566" s="501"/>
      <c r="IWX566" s="501"/>
      <c r="IWY566" s="501"/>
      <c r="IWZ566" s="501"/>
      <c r="IXA566" s="501"/>
      <c r="IXB566" s="501"/>
      <c r="IXC566" s="501"/>
      <c r="IXD566" s="501"/>
      <c r="IXE566" s="501"/>
      <c r="IXF566" s="501"/>
      <c r="IXG566" s="501"/>
      <c r="IXH566" s="501"/>
      <c r="IXI566" s="501"/>
      <c r="IXJ566" s="501"/>
      <c r="IXK566" s="501"/>
      <c r="IXL566" s="501"/>
      <c r="IXM566" s="501"/>
      <c r="IXN566" s="501"/>
      <c r="IXO566" s="501"/>
      <c r="IXP566" s="501"/>
      <c r="IXQ566" s="501"/>
      <c r="IXR566" s="501"/>
      <c r="IXS566" s="501"/>
      <c r="IXT566" s="501"/>
      <c r="IXU566" s="501"/>
      <c r="IXV566" s="501"/>
      <c r="IXW566" s="501"/>
      <c r="IXX566" s="501"/>
      <c r="IXY566" s="501"/>
      <c r="IXZ566" s="501"/>
      <c r="IYA566" s="501"/>
      <c r="IYB566" s="501"/>
      <c r="IYC566" s="501"/>
      <c r="IYD566" s="501"/>
      <c r="IYE566" s="501"/>
      <c r="IYF566" s="501"/>
      <c r="IYG566" s="501"/>
      <c r="IYH566" s="501"/>
      <c r="IYI566" s="501"/>
      <c r="IYJ566" s="501"/>
      <c r="IYK566" s="501"/>
      <c r="IYL566" s="501"/>
      <c r="IYM566" s="501"/>
      <c r="IYN566" s="501"/>
      <c r="IYO566" s="501"/>
      <c r="IYP566" s="501"/>
      <c r="IYQ566" s="501"/>
      <c r="IYR566" s="501"/>
      <c r="IYS566" s="501"/>
      <c r="IYT566" s="501"/>
      <c r="IYU566" s="501"/>
      <c r="IYV566" s="501"/>
      <c r="IYW566" s="501"/>
      <c r="IYX566" s="501"/>
      <c r="IYY566" s="501"/>
      <c r="IYZ566" s="501"/>
      <c r="IZA566" s="501"/>
      <c r="IZB566" s="501"/>
      <c r="IZC566" s="501"/>
      <c r="IZD566" s="501"/>
      <c r="IZE566" s="501"/>
      <c r="IZF566" s="501"/>
      <c r="IZG566" s="501"/>
      <c r="IZH566" s="501"/>
      <c r="IZI566" s="501"/>
      <c r="IZJ566" s="501"/>
      <c r="IZK566" s="501"/>
      <c r="IZL566" s="501"/>
      <c r="IZM566" s="501"/>
      <c r="IZN566" s="501"/>
      <c r="IZO566" s="501"/>
      <c r="IZP566" s="501"/>
      <c r="IZQ566" s="501"/>
      <c r="IZR566" s="501"/>
      <c r="IZS566" s="501"/>
      <c r="IZT566" s="501"/>
      <c r="IZU566" s="501"/>
      <c r="IZV566" s="501"/>
      <c r="IZW566" s="501"/>
      <c r="IZX566" s="501"/>
      <c r="IZY566" s="501"/>
      <c r="IZZ566" s="501"/>
      <c r="JAA566" s="501"/>
      <c r="JAB566" s="501"/>
      <c r="JAC566" s="501"/>
      <c r="JAD566" s="501"/>
      <c r="JAE566" s="501"/>
      <c r="JAF566" s="501"/>
      <c r="JAG566" s="501"/>
      <c r="JAH566" s="501"/>
      <c r="JAI566" s="501"/>
      <c r="JAJ566" s="501"/>
      <c r="JAK566" s="501"/>
      <c r="JAL566" s="501"/>
      <c r="JAM566" s="501"/>
      <c r="JAN566" s="501"/>
      <c r="JAO566" s="501"/>
      <c r="JAP566" s="501"/>
      <c r="JAQ566" s="501"/>
      <c r="JAR566" s="501"/>
      <c r="JAS566" s="501"/>
      <c r="JAT566" s="501"/>
      <c r="JAU566" s="501"/>
      <c r="JAV566" s="501"/>
      <c r="JAW566" s="501"/>
      <c r="JAX566" s="501"/>
      <c r="JAY566" s="501"/>
      <c r="JAZ566" s="501"/>
      <c r="JBA566" s="501"/>
      <c r="JBB566" s="501"/>
      <c r="JBC566" s="501"/>
      <c r="JBD566" s="501"/>
      <c r="JBE566" s="501"/>
      <c r="JBF566" s="501"/>
      <c r="JBG566" s="501"/>
      <c r="JBH566" s="501"/>
      <c r="JBI566" s="501"/>
      <c r="JBJ566" s="501"/>
      <c r="JBK566" s="501"/>
      <c r="JBL566" s="501"/>
      <c r="JBM566" s="501"/>
      <c r="JBN566" s="501"/>
      <c r="JBO566" s="501"/>
      <c r="JBP566" s="501"/>
      <c r="JBQ566" s="501"/>
      <c r="JBR566" s="501"/>
      <c r="JBS566" s="501"/>
      <c r="JBT566" s="501"/>
      <c r="JBU566" s="501"/>
      <c r="JBV566" s="501"/>
      <c r="JBW566" s="501"/>
      <c r="JBX566" s="501"/>
      <c r="JBY566" s="501"/>
      <c r="JBZ566" s="501"/>
      <c r="JCA566" s="501"/>
      <c r="JCB566" s="501"/>
      <c r="JCC566" s="501"/>
      <c r="JCD566" s="501"/>
      <c r="JCE566" s="501"/>
      <c r="JCF566" s="501"/>
      <c r="JCG566" s="501"/>
      <c r="JCH566" s="501"/>
      <c r="JCI566" s="501"/>
      <c r="JCJ566" s="501"/>
      <c r="JCK566" s="501"/>
      <c r="JCL566" s="501"/>
      <c r="JCM566" s="501"/>
      <c r="JCN566" s="501"/>
      <c r="JCO566" s="501"/>
      <c r="JCP566" s="501"/>
      <c r="JCQ566" s="501"/>
      <c r="JCR566" s="501"/>
      <c r="JCS566" s="501"/>
      <c r="JCT566" s="501"/>
      <c r="JCU566" s="501"/>
      <c r="JCV566" s="501"/>
      <c r="JCW566" s="501"/>
      <c r="JCX566" s="501"/>
      <c r="JCY566" s="501"/>
      <c r="JCZ566" s="501"/>
      <c r="JDA566" s="501"/>
      <c r="JDB566" s="501"/>
      <c r="JDC566" s="501"/>
      <c r="JDD566" s="501"/>
      <c r="JDE566" s="501"/>
      <c r="JDF566" s="501"/>
      <c r="JDG566" s="501"/>
      <c r="JDH566" s="501"/>
      <c r="JDI566" s="501"/>
      <c r="JDJ566" s="501"/>
      <c r="JDK566" s="501"/>
      <c r="JDL566" s="501"/>
      <c r="JDM566" s="501"/>
      <c r="JDN566" s="501"/>
      <c r="JDO566" s="501"/>
      <c r="JDP566" s="501"/>
      <c r="JDQ566" s="501"/>
      <c r="JDR566" s="501"/>
      <c r="JDS566" s="501"/>
      <c r="JDT566" s="501"/>
      <c r="JDU566" s="501"/>
      <c r="JDV566" s="501"/>
      <c r="JDW566" s="501"/>
      <c r="JDX566" s="501"/>
      <c r="JDY566" s="501"/>
      <c r="JDZ566" s="501"/>
      <c r="JEA566" s="501"/>
      <c r="JEB566" s="501"/>
      <c r="JEC566" s="501"/>
      <c r="JED566" s="501"/>
      <c r="JEE566" s="501"/>
      <c r="JEF566" s="501"/>
      <c r="JEG566" s="501"/>
      <c r="JEH566" s="501"/>
      <c r="JEI566" s="501"/>
      <c r="JEJ566" s="501"/>
      <c r="JEK566" s="501"/>
      <c r="JEL566" s="501"/>
      <c r="JEM566" s="501"/>
      <c r="JEN566" s="501"/>
      <c r="JEO566" s="501"/>
      <c r="JEP566" s="501"/>
      <c r="JEQ566" s="501"/>
      <c r="JER566" s="501"/>
      <c r="JES566" s="501"/>
      <c r="JET566" s="501"/>
      <c r="JEU566" s="501"/>
      <c r="JEV566" s="501"/>
      <c r="JEW566" s="501"/>
      <c r="JEX566" s="501"/>
      <c r="JEY566" s="501"/>
      <c r="JEZ566" s="501"/>
      <c r="JFA566" s="501"/>
      <c r="JFB566" s="501"/>
      <c r="JFC566" s="501"/>
      <c r="JFD566" s="501"/>
      <c r="JFE566" s="501"/>
      <c r="JFF566" s="501"/>
      <c r="JFG566" s="501"/>
      <c r="JFH566" s="501"/>
      <c r="JFI566" s="501"/>
      <c r="JFJ566" s="501"/>
      <c r="JFK566" s="501"/>
      <c r="JFL566" s="501"/>
      <c r="JFM566" s="501"/>
      <c r="JFN566" s="501"/>
      <c r="JFO566" s="501"/>
      <c r="JFP566" s="501"/>
      <c r="JFQ566" s="501"/>
      <c r="JFR566" s="501"/>
      <c r="JFS566" s="501"/>
      <c r="JFT566" s="501"/>
      <c r="JFU566" s="501"/>
      <c r="JFV566" s="501"/>
      <c r="JFW566" s="501"/>
      <c r="JFX566" s="501"/>
      <c r="JFY566" s="501"/>
      <c r="JFZ566" s="501"/>
      <c r="JGA566" s="501"/>
      <c r="JGB566" s="501"/>
      <c r="JGC566" s="501"/>
      <c r="JGD566" s="501"/>
      <c r="JGE566" s="501"/>
      <c r="JGF566" s="501"/>
      <c r="JGG566" s="501"/>
      <c r="JGH566" s="501"/>
      <c r="JGI566" s="501"/>
      <c r="JGJ566" s="501"/>
      <c r="JGK566" s="501"/>
      <c r="JGL566" s="501"/>
      <c r="JGM566" s="501"/>
      <c r="JGN566" s="501"/>
      <c r="JGO566" s="501"/>
      <c r="JGP566" s="501"/>
      <c r="JGQ566" s="501"/>
      <c r="JGR566" s="501"/>
      <c r="JGS566" s="501"/>
      <c r="JGT566" s="501"/>
      <c r="JGU566" s="501"/>
      <c r="JGV566" s="501"/>
      <c r="JGW566" s="501"/>
      <c r="JGX566" s="501"/>
      <c r="JGY566" s="501"/>
      <c r="JGZ566" s="501"/>
      <c r="JHA566" s="501"/>
      <c r="JHB566" s="501"/>
      <c r="JHC566" s="501"/>
      <c r="JHD566" s="501"/>
      <c r="JHE566" s="501"/>
      <c r="JHF566" s="501"/>
      <c r="JHG566" s="501"/>
      <c r="JHH566" s="501"/>
      <c r="JHI566" s="501"/>
      <c r="JHJ566" s="501"/>
      <c r="JHK566" s="501"/>
      <c r="JHL566" s="501"/>
      <c r="JHM566" s="501"/>
      <c r="JHN566" s="501"/>
      <c r="JHO566" s="501"/>
      <c r="JHP566" s="501"/>
      <c r="JHQ566" s="501"/>
      <c r="JHR566" s="501"/>
      <c r="JHS566" s="501"/>
      <c r="JHT566" s="501"/>
      <c r="JHU566" s="501"/>
      <c r="JHV566" s="501"/>
      <c r="JHW566" s="501"/>
      <c r="JHX566" s="501"/>
      <c r="JHY566" s="501"/>
      <c r="JHZ566" s="501"/>
      <c r="JIA566" s="501"/>
      <c r="JIB566" s="501"/>
      <c r="JIC566" s="501"/>
      <c r="JID566" s="501"/>
      <c r="JIE566" s="501"/>
      <c r="JIF566" s="501"/>
      <c r="JIG566" s="501"/>
      <c r="JIH566" s="501"/>
      <c r="JII566" s="501"/>
      <c r="JIJ566" s="501"/>
      <c r="JIK566" s="501"/>
      <c r="JIL566" s="501"/>
      <c r="JIM566" s="501"/>
      <c r="JIN566" s="501"/>
      <c r="JIO566" s="501"/>
      <c r="JIP566" s="501"/>
      <c r="JIQ566" s="501"/>
      <c r="JIR566" s="501"/>
      <c r="JIS566" s="501"/>
      <c r="JIT566" s="501"/>
      <c r="JIU566" s="501"/>
      <c r="JIV566" s="501"/>
      <c r="JIW566" s="501"/>
      <c r="JIX566" s="501"/>
      <c r="JIY566" s="501"/>
      <c r="JIZ566" s="501"/>
      <c r="JJA566" s="501"/>
      <c r="JJB566" s="501"/>
      <c r="JJC566" s="501"/>
      <c r="JJD566" s="501"/>
      <c r="JJE566" s="501"/>
      <c r="JJF566" s="501"/>
      <c r="JJG566" s="501"/>
      <c r="JJH566" s="501"/>
      <c r="JJI566" s="501"/>
      <c r="JJJ566" s="501"/>
      <c r="JJK566" s="501"/>
      <c r="JJL566" s="501"/>
      <c r="JJM566" s="501"/>
      <c r="JJN566" s="501"/>
      <c r="JJO566" s="501"/>
      <c r="JJP566" s="501"/>
      <c r="JJQ566" s="501"/>
      <c r="JJR566" s="501"/>
      <c r="JJS566" s="501"/>
      <c r="JJT566" s="501"/>
      <c r="JJU566" s="501"/>
      <c r="JJV566" s="501"/>
      <c r="JJW566" s="501"/>
      <c r="JJX566" s="501"/>
      <c r="JJY566" s="501"/>
      <c r="JJZ566" s="501"/>
      <c r="JKA566" s="501"/>
      <c r="JKB566" s="501"/>
      <c r="JKC566" s="501"/>
      <c r="JKD566" s="501"/>
      <c r="JKE566" s="501"/>
      <c r="JKF566" s="501"/>
      <c r="JKG566" s="501"/>
      <c r="JKH566" s="501"/>
      <c r="JKI566" s="501"/>
      <c r="JKJ566" s="501"/>
      <c r="JKK566" s="501"/>
      <c r="JKL566" s="501"/>
      <c r="JKM566" s="501"/>
      <c r="JKN566" s="501"/>
      <c r="JKO566" s="501"/>
      <c r="JKP566" s="501"/>
      <c r="JKQ566" s="501"/>
      <c r="JKR566" s="501"/>
      <c r="JKS566" s="501"/>
      <c r="JKT566" s="501"/>
      <c r="JKU566" s="501"/>
      <c r="JKV566" s="501"/>
      <c r="JKW566" s="501"/>
      <c r="JKX566" s="501"/>
      <c r="JKY566" s="501"/>
      <c r="JKZ566" s="501"/>
      <c r="JLA566" s="501"/>
      <c r="JLB566" s="501"/>
      <c r="JLC566" s="501"/>
      <c r="JLD566" s="501"/>
      <c r="JLE566" s="501"/>
      <c r="JLF566" s="501"/>
      <c r="JLG566" s="501"/>
      <c r="JLH566" s="501"/>
      <c r="JLI566" s="501"/>
      <c r="JLJ566" s="501"/>
      <c r="JLK566" s="501"/>
      <c r="JLL566" s="501"/>
      <c r="JLM566" s="501"/>
      <c r="JLN566" s="501"/>
      <c r="JLO566" s="501"/>
      <c r="JLP566" s="501"/>
      <c r="JLQ566" s="501"/>
      <c r="JLR566" s="501"/>
      <c r="JLS566" s="501"/>
      <c r="JLT566" s="501"/>
      <c r="JLU566" s="501"/>
      <c r="JLV566" s="501"/>
      <c r="JLW566" s="501"/>
      <c r="JLX566" s="501"/>
      <c r="JLY566" s="501"/>
      <c r="JLZ566" s="501"/>
      <c r="JMA566" s="501"/>
      <c r="JMB566" s="501"/>
      <c r="JMC566" s="501"/>
      <c r="JMD566" s="501"/>
      <c r="JME566" s="501"/>
      <c r="JMF566" s="501"/>
      <c r="JMG566" s="501"/>
      <c r="JMH566" s="501"/>
      <c r="JMI566" s="501"/>
      <c r="JMJ566" s="501"/>
      <c r="JMK566" s="501"/>
      <c r="JML566" s="501"/>
      <c r="JMM566" s="501"/>
      <c r="JMN566" s="501"/>
      <c r="JMO566" s="501"/>
      <c r="JMP566" s="501"/>
      <c r="JMQ566" s="501"/>
      <c r="JMR566" s="501"/>
      <c r="JMS566" s="501"/>
      <c r="JMT566" s="501"/>
      <c r="JMU566" s="501"/>
      <c r="JMV566" s="501"/>
      <c r="JMW566" s="501"/>
      <c r="JMX566" s="501"/>
      <c r="JMY566" s="501"/>
      <c r="JMZ566" s="501"/>
      <c r="JNA566" s="501"/>
      <c r="JNB566" s="501"/>
      <c r="JNC566" s="501"/>
      <c r="JND566" s="501"/>
      <c r="JNE566" s="501"/>
      <c r="JNF566" s="501"/>
      <c r="JNG566" s="501"/>
      <c r="JNH566" s="501"/>
      <c r="JNI566" s="501"/>
      <c r="JNJ566" s="501"/>
      <c r="JNK566" s="501"/>
      <c r="JNL566" s="501"/>
      <c r="JNM566" s="501"/>
      <c r="JNN566" s="501"/>
      <c r="JNO566" s="501"/>
      <c r="JNP566" s="501"/>
      <c r="JNQ566" s="501"/>
      <c r="JNR566" s="501"/>
      <c r="JNS566" s="501"/>
      <c r="JNT566" s="501"/>
      <c r="JNU566" s="501"/>
      <c r="JNV566" s="501"/>
      <c r="JNW566" s="501"/>
      <c r="JNX566" s="501"/>
      <c r="JNY566" s="501"/>
      <c r="JNZ566" s="501"/>
      <c r="JOA566" s="501"/>
      <c r="JOB566" s="501"/>
      <c r="JOC566" s="501"/>
      <c r="JOD566" s="501"/>
      <c r="JOE566" s="501"/>
      <c r="JOF566" s="501"/>
      <c r="JOG566" s="501"/>
      <c r="JOH566" s="501"/>
      <c r="JOI566" s="501"/>
      <c r="JOJ566" s="501"/>
      <c r="JOK566" s="501"/>
      <c r="JOL566" s="501"/>
      <c r="JOM566" s="501"/>
      <c r="JON566" s="501"/>
      <c r="JOO566" s="501"/>
      <c r="JOP566" s="501"/>
      <c r="JOQ566" s="501"/>
      <c r="JOR566" s="501"/>
      <c r="JOS566" s="501"/>
      <c r="JOT566" s="501"/>
      <c r="JOU566" s="501"/>
      <c r="JOV566" s="501"/>
      <c r="JOW566" s="501"/>
      <c r="JOX566" s="501"/>
      <c r="JOY566" s="501"/>
      <c r="JOZ566" s="501"/>
      <c r="JPA566" s="501"/>
      <c r="JPB566" s="501"/>
      <c r="JPC566" s="501"/>
      <c r="JPD566" s="501"/>
      <c r="JPE566" s="501"/>
      <c r="JPF566" s="501"/>
      <c r="JPG566" s="501"/>
      <c r="JPH566" s="501"/>
      <c r="JPI566" s="501"/>
      <c r="JPJ566" s="501"/>
      <c r="JPK566" s="501"/>
      <c r="JPL566" s="501"/>
      <c r="JPM566" s="501"/>
      <c r="JPN566" s="501"/>
      <c r="JPO566" s="501"/>
      <c r="JPP566" s="501"/>
      <c r="JPQ566" s="501"/>
      <c r="JPR566" s="501"/>
      <c r="JPS566" s="501"/>
      <c r="JPT566" s="501"/>
      <c r="JPU566" s="501"/>
      <c r="JPV566" s="501"/>
      <c r="JPW566" s="501"/>
      <c r="JPX566" s="501"/>
      <c r="JPY566" s="501"/>
      <c r="JPZ566" s="501"/>
      <c r="JQA566" s="501"/>
      <c r="JQB566" s="501"/>
      <c r="JQC566" s="501"/>
      <c r="JQD566" s="501"/>
      <c r="JQE566" s="501"/>
      <c r="JQF566" s="501"/>
      <c r="JQG566" s="501"/>
      <c r="JQH566" s="501"/>
      <c r="JQI566" s="501"/>
      <c r="JQJ566" s="501"/>
      <c r="JQK566" s="501"/>
      <c r="JQL566" s="501"/>
      <c r="JQM566" s="501"/>
      <c r="JQN566" s="501"/>
      <c r="JQO566" s="501"/>
      <c r="JQP566" s="501"/>
      <c r="JQQ566" s="501"/>
      <c r="JQR566" s="501"/>
      <c r="JQS566" s="501"/>
      <c r="JQT566" s="501"/>
      <c r="JQU566" s="501"/>
      <c r="JQV566" s="501"/>
      <c r="JQW566" s="501"/>
      <c r="JQX566" s="501"/>
      <c r="JQY566" s="501"/>
      <c r="JQZ566" s="501"/>
      <c r="JRA566" s="501"/>
      <c r="JRB566" s="501"/>
      <c r="JRC566" s="501"/>
      <c r="JRD566" s="501"/>
      <c r="JRE566" s="501"/>
      <c r="JRF566" s="501"/>
      <c r="JRG566" s="501"/>
      <c r="JRH566" s="501"/>
      <c r="JRI566" s="501"/>
      <c r="JRJ566" s="501"/>
      <c r="JRK566" s="501"/>
      <c r="JRL566" s="501"/>
      <c r="JRM566" s="501"/>
      <c r="JRN566" s="501"/>
      <c r="JRO566" s="501"/>
      <c r="JRP566" s="501"/>
      <c r="JRQ566" s="501"/>
      <c r="JRR566" s="501"/>
      <c r="JRS566" s="501"/>
      <c r="JRT566" s="501"/>
      <c r="JRU566" s="501"/>
      <c r="JRV566" s="501"/>
      <c r="JRW566" s="501"/>
      <c r="JRX566" s="501"/>
      <c r="JRY566" s="501"/>
      <c r="JRZ566" s="501"/>
      <c r="JSA566" s="501"/>
      <c r="JSB566" s="501"/>
      <c r="JSC566" s="501"/>
      <c r="JSD566" s="501"/>
      <c r="JSE566" s="501"/>
      <c r="JSF566" s="501"/>
      <c r="JSG566" s="501"/>
      <c r="JSH566" s="501"/>
      <c r="JSI566" s="501"/>
      <c r="JSJ566" s="501"/>
      <c r="JSK566" s="501"/>
      <c r="JSL566" s="501"/>
      <c r="JSM566" s="501"/>
      <c r="JSN566" s="501"/>
      <c r="JSO566" s="501"/>
      <c r="JSP566" s="501"/>
      <c r="JSQ566" s="501"/>
      <c r="JSR566" s="501"/>
      <c r="JSS566" s="501"/>
      <c r="JST566" s="501"/>
      <c r="JSU566" s="501"/>
      <c r="JSV566" s="501"/>
      <c r="JSW566" s="501"/>
      <c r="JSX566" s="501"/>
      <c r="JSY566" s="501"/>
      <c r="JSZ566" s="501"/>
      <c r="JTA566" s="501"/>
      <c r="JTB566" s="501"/>
      <c r="JTC566" s="501"/>
      <c r="JTD566" s="501"/>
      <c r="JTE566" s="501"/>
      <c r="JTF566" s="501"/>
      <c r="JTG566" s="501"/>
      <c r="JTH566" s="501"/>
      <c r="JTI566" s="501"/>
      <c r="JTJ566" s="501"/>
      <c r="JTK566" s="501"/>
      <c r="JTL566" s="501"/>
      <c r="JTM566" s="501"/>
      <c r="JTN566" s="501"/>
      <c r="JTO566" s="501"/>
      <c r="JTP566" s="501"/>
      <c r="JTQ566" s="501"/>
      <c r="JTR566" s="501"/>
      <c r="JTS566" s="501"/>
      <c r="JTT566" s="501"/>
      <c r="JTU566" s="501"/>
      <c r="JTV566" s="501"/>
      <c r="JTW566" s="501"/>
      <c r="JTX566" s="501"/>
      <c r="JTY566" s="501"/>
      <c r="JTZ566" s="501"/>
      <c r="JUA566" s="501"/>
      <c r="JUB566" s="501"/>
      <c r="JUC566" s="501"/>
      <c r="JUD566" s="501"/>
      <c r="JUE566" s="501"/>
      <c r="JUF566" s="501"/>
      <c r="JUG566" s="501"/>
      <c r="JUH566" s="501"/>
      <c r="JUI566" s="501"/>
      <c r="JUJ566" s="501"/>
      <c r="JUK566" s="501"/>
      <c r="JUL566" s="501"/>
      <c r="JUM566" s="501"/>
      <c r="JUN566" s="501"/>
      <c r="JUO566" s="501"/>
      <c r="JUP566" s="501"/>
      <c r="JUQ566" s="501"/>
      <c r="JUR566" s="501"/>
      <c r="JUS566" s="501"/>
      <c r="JUT566" s="501"/>
      <c r="JUU566" s="501"/>
      <c r="JUV566" s="501"/>
      <c r="JUW566" s="501"/>
      <c r="JUX566" s="501"/>
      <c r="JUY566" s="501"/>
      <c r="JUZ566" s="501"/>
      <c r="JVA566" s="501"/>
      <c r="JVB566" s="501"/>
      <c r="JVC566" s="501"/>
      <c r="JVD566" s="501"/>
      <c r="JVE566" s="501"/>
      <c r="JVF566" s="501"/>
      <c r="JVG566" s="501"/>
      <c r="JVH566" s="501"/>
      <c r="JVI566" s="501"/>
      <c r="JVJ566" s="501"/>
      <c r="JVK566" s="501"/>
      <c r="JVL566" s="501"/>
      <c r="JVM566" s="501"/>
      <c r="JVN566" s="501"/>
      <c r="JVO566" s="501"/>
      <c r="JVP566" s="501"/>
      <c r="JVQ566" s="501"/>
      <c r="JVR566" s="501"/>
      <c r="JVS566" s="501"/>
      <c r="JVT566" s="501"/>
      <c r="JVU566" s="501"/>
      <c r="JVV566" s="501"/>
      <c r="JVW566" s="501"/>
      <c r="JVX566" s="501"/>
      <c r="JVY566" s="501"/>
      <c r="JVZ566" s="501"/>
      <c r="JWA566" s="501"/>
      <c r="JWB566" s="501"/>
      <c r="JWC566" s="501"/>
      <c r="JWD566" s="501"/>
      <c r="JWE566" s="501"/>
      <c r="JWF566" s="501"/>
      <c r="JWG566" s="501"/>
      <c r="JWH566" s="501"/>
      <c r="JWI566" s="501"/>
      <c r="JWJ566" s="501"/>
      <c r="JWK566" s="501"/>
      <c r="JWL566" s="501"/>
      <c r="JWM566" s="501"/>
      <c r="JWN566" s="501"/>
      <c r="JWO566" s="501"/>
      <c r="JWP566" s="501"/>
      <c r="JWQ566" s="501"/>
      <c r="JWR566" s="501"/>
      <c r="JWS566" s="501"/>
      <c r="JWT566" s="501"/>
      <c r="JWU566" s="501"/>
      <c r="JWV566" s="501"/>
      <c r="JWW566" s="501"/>
      <c r="JWX566" s="501"/>
      <c r="JWY566" s="501"/>
      <c r="JWZ566" s="501"/>
      <c r="JXA566" s="501"/>
      <c r="JXB566" s="501"/>
      <c r="JXC566" s="501"/>
      <c r="JXD566" s="501"/>
      <c r="JXE566" s="501"/>
      <c r="JXF566" s="501"/>
      <c r="JXG566" s="501"/>
      <c r="JXH566" s="501"/>
      <c r="JXI566" s="501"/>
      <c r="JXJ566" s="501"/>
      <c r="JXK566" s="501"/>
      <c r="JXL566" s="501"/>
      <c r="JXM566" s="501"/>
      <c r="JXN566" s="501"/>
      <c r="JXO566" s="501"/>
      <c r="JXP566" s="501"/>
      <c r="JXQ566" s="501"/>
      <c r="JXR566" s="501"/>
      <c r="JXS566" s="501"/>
      <c r="JXT566" s="501"/>
      <c r="JXU566" s="501"/>
      <c r="JXV566" s="501"/>
      <c r="JXW566" s="501"/>
      <c r="JXX566" s="501"/>
      <c r="JXY566" s="501"/>
      <c r="JXZ566" s="501"/>
      <c r="JYA566" s="501"/>
      <c r="JYB566" s="501"/>
      <c r="JYC566" s="501"/>
      <c r="JYD566" s="501"/>
      <c r="JYE566" s="501"/>
      <c r="JYF566" s="501"/>
      <c r="JYG566" s="501"/>
      <c r="JYH566" s="501"/>
      <c r="JYI566" s="501"/>
      <c r="JYJ566" s="501"/>
      <c r="JYK566" s="501"/>
      <c r="JYL566" s="501"/>
      <c r="JYM566" s="501"/>
      <c r="JYN566" s="501"/>
      <c r="JYO566" s="501"/>
      <c r="JYP566" s="501"/>
      <c r="JYQ566" s="501"/>
      <c r="JYR566" s="501"/>
      <c r="JYS566" s="501"/>
      <c r="JYT566" s="501"/>
      <c r="JYU566" s="501"/>
      <c r="JYV566" s="501"/>
      <c r="JYW566" s="501"/>
      <c r="JYX566" s="501"/>
      <c r="JYY566" s="501"/>
      <c r="JYZ566" s="501"/>
      <c r="JZA566" s="501"/>
      <c r="JZB566" s="501"/>
      <c r="JZC566" s="501"/>
      <c r="JZD566" s="501"/>
      <c r="JZE566" s="501"/>
      <c r="JZF566" s="501"/>
      <c r="JZG566" s="501"/>
      <c r="JZH566" s="501"/>
      <c r="JZI566" s="501"/>
      <c r="JZJ566" s="501"/>
      <c r="JZK566" s="501"/>
      <c r="JZL566" s="501"/>
      <c r="JZM566" s="501"/>
      <c r="JZN566" s="501"/>
      <c r="JZO566" s="501"/>
      <c r="JZP566" s="501"/>
      <c r="JZQ566" s="501"/>
      <c r="JZR566" s="501"/>
      <c r="JZS566" s="501"/>
      <c r="JZT566" s="501"/>
      <c r="JZU566" s="501"/>
      <c r="JZV566" s="501"/>
      <c r="JZW566" s="501"/>
      <c r="JZX566" s="501"/>
      <c r="JZY566" s="501"/>
      <c r="JZZ566" s="501"/>
      <c r="KAA566" s="501"/>
      <c r="KAB566" s="501"/>
      <c r="KAC566" s="501"/>
      <c r="KAD566" s="501"/>
      <c r="KAE566" s="501"/>
      <c r="KAF566" s="501"/>
      <c r="KAG566" s="501"/>
      <c r="KAH566" s="501"/>
      <c r="KAI566" s="501"/>
      <c r="KAJ566" s="501"/>
      <c r="KAK566" s="501"/>
      <c r="KAL566" s="501"/>
      <c r="KAM566" s="501"/>
      <c r="KAN566" s="501"/>
      <c r="KAO566" s="501"/>
      <c r="KAP566" s="501"/>
      <c r="KAQ566" s="501"/>
      <c r="KAR566" s="501"/>
      <c r="KAS566" s="501"/>
      <c r="KAT566" s="501"/>
      <c r="KAU566" s="501"/>
      <c r="KAV566" s="501"/>
      <c r="KAW566" s="501"/>
      <c r="KAX566" s="501"/>
      <c r="KAY566" s="501"/>
      <c r="KAZ566" s="501"/>
      <c r="KBA566" s="501"/>
      <c r="KBB566" s="501"/>
      <c r="KBC566" s="501"/>
      <c r="KBD566" s="501"/>
      <c r="KBE566" s="501"/>
      <c r="KBF566" s="501"/>
      <c r="KBG566" s="501"/>
      <c r="KBH566" s="501"/>
      <c r="KBI566" s="501"/>
      <c r="KBJ566" s="501"/>
      <c r="KBK566" s="501"/>
      <c r="KBL566" s="501"/>
      <c r="KBM566" s="501"/>
      <c r="KBN566" s="501"/>
      <c r="KBO566" s="501"/>
      <c r="KBP566" s="501"/>
      <c r="KBQ566" s="501"/>
      <c r="KBR566" s="501"/>
      <c r="KBS566" s="501"/>
      <c r="KBT566" s="501"/>
      <c r="KBU566" s="501"/>
      <c r="KBV566" s="501"/>
      <c r="KBW566" s="501"/>
      <c r="KBX566" s="501"/>
      <c r="KBY566" s="501"/>
      <c r="KBZ566" s="501"/>
      <c r="KCA566" s="501"/>
      <c r="KCB566" s="501"/>
      <c r="KCC566" s="501"/>
      <c r="KCD566" s="501"/>
      <c r="KCE566" s="501"/>
      <c r="KCF566" s="501"/>
      <c r="KCG566" s="501"/>
      <c r="KCH566" s="501"/>
      <c r="KCI566" s="501"/>
      <c r="KCJ566" s="501"/>
      <c r="KCK566" s="501"/>
      <c r="KCL566" s="501"/>
      <c r="KCM566" s="501"/>
      <c r="KCN566" s="501"/>
      <c r="KCO566" s="501"/>
      <c r="KCP566" s="501"/>
      <c r="KCQ566" s="501"/>
      <c r="KCR566" s="501"/>
      <c r="KCS566" s="501"/>
      <c r="KCT566" s="501"/>
      <c r="KCU566" s="501"/>
      <c r="KCV566" s="501"/>
      <c r="KCW566" s="501"/>
      <c r="KCX566" s="501"/>
      <c r="KCY566" s="501"/>
      <c r="KCZ566" s="501"/>
      <c r="KDA566" s="501"/>
      <c r="KDB566" s="501"/>
      <c r="KDC566" s="501"/>
      <c r="KDD566" s="501"/>
      <c r="KDE566" s="501"/>
      <c r="KDF566" s="501"/>
      <c r="KDG566" s="501"/>
      <c r="KDH566" s="501"/>
      <c r="KDI566" s="501"/>
      <c r="KDJ566" s="501"/>
      <c r="KDK566" s="501"/>
      <c r="KDL566" s="501"/>
      <c r="KDM566" s="501"/>
      <c r="KDN566" s="501"/>
      <c r="KDO566" s="501"/>
      <c r="KDP566" s="501"/>
      <c r="KDQ566" s="501"/>
      <c r="KDR566" s="501"/>
      <c r="KDS566" s="501"/>
      <c r="KDT566" s="501"/>
      <c r="KDU566" s="501"/>
      <c r="KDV566" s="501"/>
      <c r="KDW566" s="501"/>
      <c r="KDX566" s="501"/>
      <c r="KDY566" s="501"/>
      <c r="KDZ566" s="501"/>
      <c r="KEA566" s="501"/>
      <c r="KEB566" s="501"/>
      <c r="KEC566" s="501"/>
      <c r="KED566" s="501"/>
      <c r="KEE566" s="501"/>
      <c r="KEF566" s="501"/>
      <c r="KEG566" s="501"/>
      <c r="KEH566" s="501"/>
      <c r="KEI566" s="501"/>
      <c r="KEJ566" s="501"/>
      <c r="KEK566" s="501"/>
      <c r="KEL566" s="501"/>
      <c r="KEM566" s="501"/>
      <c r="KEN566" s="501"/>
      <c r="KEO566" s="501"/>
      <c r="KEP566" s="501"/>
      <c r="KEQ566" s="501"/>
      <c r="KER566" s="501"/>
      <c r="KES566" s="501"/>
      <c r="KET566" s="501"/>
      <c r="KEU566" s="501"/>
      <c r="KEV566" s="501"/>
      <c r="KEW566" s="501"/>
      <c r="KEX566" s="501"/>
      <c r="KEY566" s="501"/>
      <c r="KEZ566" s="501"/>
      <c r="KFA566" s="501"/>
      <c r="KFB566" s="501"/>
      <c r="KFC566" s="501"/>
      <c r="KFD566" s="501"/>
      <c r="KFE566" s="501"/>
      <c r="KFF566" s="501"/>
      <c r="KFG566" s="501"/>
      <c r="KFH566" s="501"/>
      <c r="KFI566" s="501"/>
      <c r="KFJ566" s="501"/>
      <c r="KFK566" s="501"/>
      <c r="KFL566" s="501"/>
      <c r="KFM566" s="501"/>
      <c r="KFN566" s="501"/>
      <c r="KFO566" s="501"/>
      <c r="KFP566" s="501"/>
      <c r="KFQ566" s="501"/>
      <c r="KFR566" s="501"/>
      <c r="KFS566" s="501"/>
      <c r="KFT566" s="501"/>
      <c r="KFU566" s="501"/>
      <c r="KFV566" s="501"/>
      <c r="KFW566" s="501"/>
      <c r="KFX566" s="501"/>
      <c r="KFY566" s="501"/>
      <c r="KFZ566" s="501"/>
      <c r="KGA566" s="501"/>
      <c r="KGB566" s="501"/>
      <c r="KGC566" s="501"/>
      <c r="KGD566" s="501"/>
      <c r="KGE566" s="501"/>
      <c r="KGF566" s="501"/>
      <c r="KGG566" s="501"/>
      <c r="KGH566" s="501"/>
      <c r="KGI566" s="501"/>
      <c r="KGJ566" s="501"/>
      <c r="KGK566" s="501"/>
      <c r="KGL566" s="501"/>
      <c r="KGM566" s="501"/>
      <c r="KGN566" s="501"/>
      <c r="KGO566" s="501"/>
      <c r="KGP566" s="501"/>
      <c r="KGQ566" s="501"/>
      <c r="KGR566" s="501"/>
      <c r="KGS566" s="501"/>
      <c r="KGT566" s="501"/>
      <c r="KGU566" s="501"/>
      <c r="KGV566" s="501"/>
      <c r="KGW566" s="501"/>
      <c r="KGX566" s="501"/>
      <c r="KGY566" s="501"/>
      <c r="KGZ566" s="501"/>
      <c r="KHA566" s="501"/>
      <c r="KHB566" s="501"/>
      <c r="KHC566" s="501"/>
      <c r="KHD566" s="501"/>
      <c r="KHE566" s="501"/>
      <c r="KHF566" s="501"/>
      <c r="KHG566" s="501"/>
      <c r="KHH566" s="501"/>
      <c r="KHI566" s="501"/>
      <c r="KHJ566" s="501"/>
      <c r="KHK566" s="501"/>
      <c r="KHL566" s="501"/>
      <c r="KHM566" s="501"/>
      <c r="KHN566" s="501"/>
      <c r="KHO566" s="501"/>
      <c r="KHP566" s="501"/>
      <c r="KHQ566" s="501"/>
      <c r="KHR566" s="501"/>
      <c r="KHS566" s="501"/>
      <c r="KHT566" s="501"/>
      <c r="KHU566" s="501"/>
      <c r="KHV566" s="501"/>
      <c r="KHW566" s="501"/>
      <c r="KHX566" s="501"/>
      <c r="KHY566" s="501"/>
      <c r="KHZ566" s="501"/>
      <c r="KIA566" s="501"/>
      <c r="KIB566" s="501"/>
      <c r="KIC566" s="501"/>
      <c r="KID566" s="501"/>
      <c r="KIE566" s="501"/>
      <c r="KIF566" s="501"/>
      <c r="KIG566" s="501"/>
      <c r="KIH566" s="501"/>
      <c r="KII566" s="501"/>
      <c r="KIJ566" s="501"/>
      <c r="KIK566" s="501"/>
      <c r="KIL566" s="501"/>
      <c r="KIM566" s="501"/>
      <c r="KIN566" s="501"/>
      <c r="KIO566" s="501"/>
      <c r="KIP566" s="501"/>
      <c r="KIQ566" s="501"/>
      <c r="KIR566" s="501"/>
      <c r="KIS566" s="501"/>
      <c r="KIT566" s="501"/>
      <c r="KIU566" s="501"/>
      <c r="KIV566" s="501"/>
      <c r="KIW566" s="501"/>
      <c r="KIX566" s="501"/>
      <c r="KIY566" s="501"/>
      <c r="KIZ566" s="501"/>
      <c r="KJA566" s="501"/>
      <c r="KJB566" s="501"/>
      <c r="KJC566" s="501"/>
      <c r="KJD566" s="501"/>
      <c r="KJE566" s="501"/>
      <c r="KJF566" s="501"/>
      <c r="KJG566" s="501"/>
      <c r="KJH566" s="501"/>
      <c r="KJI566" s="501"/>
      <c r="KJJ566" s="501"/>
      <c r="KJK566" s="501"/>
      <c r="KJL566" s="501"/>
      <c r="KJM566" s="501"/>
      <c r="KJN566" s="501"/>
      <c r="KJO566" s="501"/>
      <c r="KJP566" s="501"/>
      <c r="KJQ566" s="501"/>
      <c r="KJR566" s="501"/>
      <c r="KJS566" s="501"/>
      <c r="KJT566" s="501"/>
      <c r="KJU566" s="501"/>
      <c r="KJV566" s="501"/>
      <c r="KJW566" s="501"/>
      <c r="KJX566" s="501"/>
      <c r="KJY566" s="501"/>
      <c r="KJZ566" s="501"/>
      <c r="KKA566" s="501"/>
      <c r="KKB566" s="501"/>
      <c r="KKC566" s="501"/>
      <c r="KKD566" s="501"/>
      <c r="KKE566" s="501"/>
      <c r="KKF566" s="501"/>
      <c r="KKG566" s="501"/>
      <c r="KKH566" s="501"/>
      <c r="KKI566" s="501"/>
      <c r="KKJ566" s="501"/>
      <c r="KKK566" s="501"/>
      <c r="KKL566" s="501"/>
      <c r="KKM566" s="501"/>
      <c r="KKN566" s="501"/>
      <c r="KKO566" s="501"/>
      <c r="KKP566" s="501"/>
      <c r="KKQ566" s="501"/>
      <c r="KKR566" s="501"/>
      <c r="KKS566" s="501"/>
      <c r="KKT566" s="501"/>
      <c r="KKU566" s="501"/>
      <c r="KKV566" s="501"/>
      <c r="KKW566" s="501"/>
      <c r="KKX566" s="501"/>
      <c r="KKY566" s="501"/>
      <c r="KKZ566" s="501"/>
      <c r="KLA566" s="501"/>
      <c r="KLB566" s="501"/>
      <c r="KLC566" s="501"/>
      <c r="KLD566" s="501"/>
      <c r="KLE566" s="501"/>
      <c r="KLF566" s="501"/>
      <c r="KLG566" s="501"/>
      <c r="KLH566" s="501"/>
      <c r="KLI566" s="501"/>
      <c r="KLJ566" s="501"/>
      <c r="KLK566" s="501"/>
      <c r="KLL566" s="501"/>
      <c r="KLM566" s="501"/>
      <c r="KLN566" s="501"/>
      <c r="KLO566" s="501"/>
      <c r="KLP566" s="501"/>
      <c r="KLQ566" s="501"/>
      <c r="KLR566" s="501"/>
      <c r="KLS566" s="501"/>
      <c r="KLT566" s="501"/>
      <c r="KLU566" s="501"/>
      <c r="KLV566" s="501"/>
      <c r="KLW566" s="501"/>
      <c r="KLX566" s="501"/>
      <c r="KLY566" s="501"/>
      <c r="KLZ566" s="501"/>
      <c r="KMA566" s="501"/>
      <c r="KMB566" s="501"/>
      <c r="KMC566" s="501"/>
      <c r="KMD566" s="501"/>
      <c r="KME566" s="501"/>
      <c r="KMF566" s="501"/>
      <c r="KMG566" s="501"/>
      <c r="KMH566" s="501"/>
      <c r="KMI566" s="501"/>
      <c r="KMJ566" s="501"/>
      <c r="KMK566" s="501"/>
      <c r="KML566" s="501"/>
      <c r="KMM566" s="501"/>
      <c r="KMN566" s="501"/>
      <c r="KMO566" s="501"/>
      <c r="KMP566" s="501"/>
      <c r="KMQ566" s="501"/>
      <c r="KMR566" s="501"/>
      <c r="KMS566" s="501"/>
      <c r="KMT566" s="501"/>
      <c r="KMU566" s="501"/>
      <c r="KMV566" s="501"/>
      <c r="KMW566" s="501"/>
      <c r="KMX566" s="501"/>
      <c r="KMY566" s="501"/>
      <c r="KMZ566" s="501"/>
      <c r="KNA566" s="501"/>
      <c r="KNB566" s="501"/>
      <c r="KNC566" s="501"/>
      <c r="KND566" s="501"/>
      <c r="KNE566" s="501"/>
      <c r="KNF566" s="501"/>
      <c r="KNG566" s="501"/>
      <c r="KNH566" s="501"/>
      <c r="KNI566" s="501"/>
      <c r="KNJ566" s="501"/>
      <c r="KNK566" s="501"/>
      <c r="KNL566" s="501"/>
      <c r="KNM566" s="501"/>
      <c r="KNN566" s="501"/>
      <c r="KNO566" s="501"/>
      <c r="KNP566" s="501"/>
      <c r="KNQ566" s="501"/>
      <c r="KNR566" s="501"/>
      <c r="KNS566" s="501"/>
      <c r="KNT566" s="501"/>
      <c r="KNU566" s="501"/>
      <c r="KNV566" s="501"/>
      <c r="KNW566" s="501"/>
      <c r="KNX566" s="501"/>
      <c r="KNY566" s="501"/>
      <c r="KNZ566" s="501"/>
      <c r="KOA566" s="501"/>
      <c r="KOB566" s="501"/>
      <c r="KOC566" s="501"/>
      <c r="KOD566" s="501"/>
      <c r="KOE566" s="501"/>
      <c r="KOF566" s="501"/>
      <c r="KOG566" s="501"/>
      <c r="KOH566" s="501"/>
      <c r="KOI566" s="501"/>
      <c r="KOJ566" s="501"/>
      <c r="KOK566" s="501"/>
      <c r="KOL566" s="501"/>
      <c r="KOM566" s="501"/>
      <c r="KON566" s="501"/>
      <c r="KOO566" s="501"/>
      <c r="KOP566" s="501"/>
      <c r="KOQ566" s="501"/>
      <c r="KOR566" s="501"/>
      <c r="KOS566" s="501"/>
      <c r="KOT566" s="501"/>
      <c r="KOU566" s="501"/>
      <c r="KOV566" s="501"/>
      <c r="KOW566" s="501"/>
      <c r="KOX566" s="501"/>
      <c r="KOY566" s="501"/>
      <c r="KOZ566" s="501"/>
      <c r="KPA566" s="501"/>
      <c r="KPB566" s="501"/>
      <c r="KPC566" s="501"/>
      <c r="KPD566" s="501"/>
      <c r="KPE566" s="501"/>
      <c r="KPF566" s="501"/>
      <c r="KPG566" s="501"/>
      <c r="KPH566" s="501"/>
      <c r="KPI566" s="501"/>
      <c r="KPJ566" s="501"/>
      <c r="KPK566" s="501"/>
      <c r="KPL566" s="501"/>
      <c r="KPM566" s="501"/>
      <c r="KPN566" s="501"/>
      <c r="KPO566" s="501"/>
      <c r="KPP566" s="501"/>
      <c r="KPQ566" s="501"/>
      <c r="KPR566" s="501"/>
      <c r="KPS566" s="501"/>
      <c r="KPT566" s="501"/>
      <c r="KPU566" s="501"/>
      <c r="KPV566" s="501"/>
      <c r="KPW566" s="501"/>
      <c r="KPX566" s="501"/>
      <c r="KPY566" s="501"/>
      <c r="KPZ566" s="501"/>
      <c r="KQA566" s="501"/>
      <c r="KQB566" s="501"/>
      <c r="KQC566" s="501"/>
      <c r="KQD566" s="501"/>
      <c r="KQE566" s="501"/>
      <c r="KQF566" s="501"/>
      <c r="KQG566" s="501"/>
      <c r="KQH566" s="501"/>
      <c r="KQI566" s="501"/>
      <c r="KQJ566" s="501"/>
      <c r="KQK566" s="501"/>
      <c r="KQL566" s="501"/>
      <c r="KQM566" s="501"/>
      <c r="KQN566" s="501"/>
      <c r="KQO566" s="501"/>
      <c r="KQP566" s="501"/>
      <c r="KQQ566" s="501"/>
      <c r="KQR566" s="501"/>
      <c r="KQS566" s="501"/>
      <c r="KQT566" s="501"/>
      <c r="KQU566" s="501"/>
      <c r="KQV566" s="501"/>
      <c r="KQW566" s="501"/>
      <c r="KQX566" s="501"/>
      <c r="KQY566" s="501"/>
      <c r="KQZ566" s="501"/>
      <c r="KRA566" s="501"/>
      <c r="KRB566" s="501"/>
      <c r="KRC566" s="501"/>
      <c r="KRD566" s="501"/>
      <c r="KRE566" s="501"/>
      <c r="KRF566" s="501"/>
      <c r="KRG566" s="501"/>
      <c r="KRH566" s="501"/>
      <c r="KRI566" s="501"/>
      <c r="KRJ566" s="501"/>
      <c r="KRK566" s="501"/>
      <c r="KRL566" s="501"/>
      <c r="KRM566" s="501"/>
      <c r="KRN566" s="501"/>
      <c r="KRO566" s="501"/>
      <c r="KRP566" s="501"/>
      <c r="KRQ566" s="501"/>
      <c r="KRR566" s="501"/>
      <c r="KRS566" s="501"/>
      <c r="KRT566" s="501"/>
      <c r="KRU566" s="501"/>
      <c r="KRV566" s="501"/>
      <c r="KRW566" s="501"/>
      <c r="KRX566" s="501"/>
      <c r="KRY566" s="501"/>
      <c r="KRZ566" s="501"/>
      <c r="KSA566" s="501"/>
      <c r="KSB566" s="501"/>
      <c r="KSC566" s="501"/>
      <c r="KSD566" s="501"/>
      <c r="KSE566" s="501"/>
      <c r="KSF566" s="501"/>
      <c r="KSG566" s="501"/>
      <c r="KSH566" s="501"/>
      <c r="KSI566" s="501"/>
      <c r="KSJ566" s="501"/>
      <c r="KSK566" s="501"/>
      <c r="KSL566" s="501"/>
      <c r="KSM566" s="501"/>
      <c r="KSN566" s="501"/>
      <c r="KSO566" s="501"/>
      <c r="KSP566" s="501"/>
      <c r="KSQ566" s="501"/>
      <c r="KSR566" s="501"/>
      <c r="KSS566" s="501"/>
      <c r="KST566" s="501"/>
      <c r="KSU566" s="501"/>
      <c r="KSV566" s="501"/>
      <c r="KSW566" s="501"/>
      <c r="KSX566" s="501"/>
      <c r="KSY566" s="501"/>
      <c r="KSZ566" s="501"/>
      <c r="KTA566" s="501"/>
      <c r="KTB566" s="501"/>
      <c r="KTC566" s="501"/>
      <c r="KTD566" s="501"/>
      <c r="KTE566" s="501"/>
      <c r="KTF566" s="501"/>
      <c r="KTG566" s="501"/>
      <c r="KTH566" s="501"/>
      <c r="KTI566" s="501"/>
      <c r="KTJ566" s="501"/>
      <c r="KTK566" s="501"/>
      <c r="KTL566" s="501"/>
      <c r="KTM566" s="501"/>
      <c r="KTN566" s="501"/>
      <c r="KTO566" s="501"/>
      <c r="KTP566" s="501"/>
      <c r="KTQ566" s="501"/>
      <c r="KTR566" s="501"/>
      <c r="KTS566" s="501"/>
      <c r="KTT566" s="501"/>
      <c r="KTU566" s="501"/>
      <c r="KTV566" s="501"/>
      <c r="KTW566" s="501"/>
      <c r="KTX566" s="501"/>
      <c r="KTY566" s="501"/>
      <c r="KTZ566" s="501"/>
      <c r="KUA566" s="501"/>
      <c r="KUB566" s="501"/>
      <c r="KUC566" s="501"/>
      <c r="KUD566" s="501"/>
      <c r="KUE566" s="501"/>
      <c r="KUF566" s="501"/>
      <c r="KUG566" s="501"/>
      <c r="KUH566" s="501"/>
      <c r="KUI566" s="501"/>
      <c r="KUJ566" s="501"/>
      <c r="KUK566" s="501"/>
      <c r="KUL566" s="501"/>
      <c r="KUM566" s="501"/>
      <c r="KUN566" s="501"/>
      <c r="KUO566" s="501"/>
      <c r="KUP566" s="501"/>
      <c r="KUQ566" s="501"/>
      <c r="KUR566" s="501"/>
      <c r="KUS566" s="501"/>
      <c r="KUT566" s="501"/>
      <c r="KUU566" s="501"/>
      <c r="KUV566" s="501"/>
      <c r="KUW566" s="501"/>
      <c r="KUX566" s="501"/>
      <c r="KUY566" s="501"/>
      <c r="KUZ566" s="501"/>
      <c r="KVA566" s="501"/>
      <c r="KVB566" s="501"/>
      <c r="KVC566" s="501"/>
      <c r="KVD566" s="501"/>
      <c r="KVE566" s="501"/>
      <c r="KVF566" s="501"/>
      <c r="KVG566" s="501"/>
      <c r="KVH566" s="501"/>
      <c r="KVI566" s="501"/>
      <c r="KVJ566" s="501"/>
      <c r="KVK566" s="501"/>
      <c r="KVL566" s="501"/>
      <c r="KVM566" s="501"/>
      <c r="KVN566" s="501"/>
      <c r="KVO566" s="501"/>
      <c r="KVP566" s="501"/>
      <c r="KVQ566" s="501"/>
      <c r="KVR566" s="501"/>
      <c r="KVS566" s="501"/>
      <c r="KVT566" s="501"/>
      <c r="KVU566" s="501"/>
      <c r="KVV566" s="501"/>
      <c r="KVW566" s="501"/>
      <c r="KVX566" s="501"/>
      <c r="KVY566" s="501"/>
      <c r="KVZ566" s="501"/>
      <c r="KWA566" s="501"/>
      <c r="KWB566" s="501"/>
      <c r="KWC566" s="501"/>
      <c r="KWD566" s="501"/>
      <c r="KWE566" s="501"/>
      <c r="KWF566" s="501"/>
      <c r="KWG566" s="501"/>
      <c r="KWH566" s="501"/>
      <c r="KWI566" s="501"/>
      <c r="KWJ566" s="501"/>
      <c r="KWK566" s="501"/>
      <c r="KWL566" s="501"/>
      <c r="KWM566" s="501"/>
      <c r="KWN566" s="501"/>
      <c r="KWO566" s="501"/>
      <c r="KWP566" s="501"/>
      <c r="KWQ566" s="501"/>
      <c r="KWR566" s="501"/>
      <c r="KWS566" s="501"/>
      <c r="KWT566" s="501"/>
      <c r="KWU566" s="501"/>
      <c r="KWV566" s="501"/>
      <c r="KWW566" s="501"/>
      <c r="KWX566" s="501"/>
      <c r="KWY566" s="501"/>
      <c r="KWZ566" s="501"/>
      <c r="KXA566" s="501"/>
      <c r="KXB566" s="501"/>
      <c r="KXC566" s="501"/>
      <c r="KXD566" s="501"/>
      <c r="KXE566" s="501"/>
      <c r="KXF566" s="501"/>
      <c r="KXG566" s="501"/>
      <c r="KXH566" s="501"/>
      <c r="KXI566" s="501"/>
      <c r="KXJ566" s="501"/>
      <c r="KXK566" s="501"/>
      <c r="KXL566" s="501"/>
      <c r="KXM566" s="501"/>
      <c r="KXN566" s="501"/>
      <c r="KXO566" s="501"/>
      <c r="KXP566" s="501"/>
      <c r="KXQ566" s="501"/>
      <c r="KXR566" s="501"/>
      <c r="KXS566" s="501"/>
      <c r="KXT566" s="501"/>
      <c r="KXU566" s="501"/>
      <c r="KXV566" s="501"/>
      <c r="KXW566" s="501"/>
      <c r="KXX566" s="501"/>
      <c r="KXY566" s="501"/>
      <c r="KXZ566" s="501"/>
      <c r="KYA566" s="501"/>
      <c r="KYB566" s="501"/>
      <c r="KYC566" s="501"/>
      <c r="KYD566" s="501"/>
      <c r="KYE566" s="501"/>
      <c r="KYF566" s="501"/>
      <c r="KYG566" s="501"/>
      <c r="KYH566" s="501"/>
      <c r="KYI566" s="501"/>
      <c r="KYJ566" s="501"/>
      <c r="KYK566" s="501"/>
      <c r="KYL566" s="501"/>
      <c r="KYM566" s="501"/>
      <c r="KYN566" s="501"/>
      <c r="KYO566" s="501"/>
      <c r="KYP566" s="501"/>
      <c r="KYQ566" s="501"/>
      <c r="KYR566" s="501"/>
      <c r="KYS566" s="501"/>
      <c r="KYT566" s="501"/>
      <c r="KYU566" s="501"/>
      <c r="KYV566" s="501"/>
      <c r="KYW566" s="501"/>
      <c r="KYX566" s="501"/>
      <c r="KYY566" s="501"/>
      <c r="KYZ566" s="501"/>
      <c r="KZA566" s="501"/>
      <c r="KZB566" s="501"/>
      <c r="KZC566" s="501"/>
      <c r="KZD566" s="501"/>
      <c r="KZE566" s="501"/>
      <c r="KZF566" s="501"/>
      <c r="KZG566" s="501"/>
      <c r="KZH566" s="501"/>
      <c r="KZI566" s="501"/>
      <c r="KZJ566" s="501"/>
      <c r="KZK566" s="501"/>
      <c r="KZL566" s="501"/>
      <c r="KZM566" s="501"/>
      <c r="KZN566" s="501"/>
      <c r="KZO566" s="501"/>
      <c r="KZP566" s="501"/>
      <c r="KZQ566" s="501"/>
      <c r="KZR566" s="501"/>
      <c r="KZS566" s="501"/>
      <c r="KZT566" s="501"/>
      <c r="KZU566" s="501"/>
      <c r="KZV566" s="501"/>
      <c r="KZW566" s="501"/>
      <c r="KZX566" s="501"/>
      <c r="KZY566" s="501"/>
      <c r="KZZ566" s="501"/>
      <c r="LAA566" s="501"/>
      <c r="LAB566" s="501"/>
      <c r="LAC566" s="501"/>
      <c r="LAD566" s="501"/>
      <c r="LAE566" s="501"/>
      <c r="LAF566" s="501"/>
      <c r="LAG566" s="501"/>
      <c r="LAH566" s="501"/>
      <c r="LAI566" s="501"/>
      <c r="LAJ566" s="501"/>
      <c r="LAK566" s="501"/>
      <c r="LAL566" s="501"/>
      <c r="LAM566" s="501"/>
      <c r="LAN566" s="501"/>
      <c r="LAO566" s="501"/>
      <c r="LAP566" s="501"/>
      <c r="LAQ566" s="501"/>
      <c r="LAR566" s="501"/>
      <c r="LAS566" s="501"/>
      <c r="LAT566" s="501"/>
      <c r="LAU566" s="501"/>
      <c r="LAV566" s="501"/>
      <c r="LAW566" s="501"/>
      <c r="LAX566" s="501"/>
      <c r="LAY566" s="501"/>
      <c r="LAZ566" s="501"/>
      <c r="LBA566" s="501"/>
      <c r="LBB566" s="501"/>
      <c r="LBC566" s="501"/>
      <c r="LBD566" s="501"/>
      <c r="LBE566" s="501"/>
      <c r="LBF566" s="501"/>
      <c r="LBG566" s="501"/>
      <c r="LBH566" s="501"/>
      <c r="LBI566" s="501"/>
      <c r="LBJ566" s="501"/>
      <c r="LBK566" s="501"/>
      <c r="LBL566" s="501"/>
      <c r="LBM566" s="501"/>
      <c r="LBN566" s="501"/>
      <c r="LBO566" s="501"/>
      <c r="LBP566" s="501"/>
      <c r="LBQ566" s="501"/>
      <c r="LBR566" s="501"/>
      <c r="LBS566" s="501"/>
      <c r="LBT566" s="501"/>
      <c r="LBU566" s="501"/>
      <c r="LBV566" s="501"/>
      <c r="LBW566" s="501"/>
      <c r="LBX566" s="501"/>
      <c r="LBY566" s="501"/>
      <c r="LBZ566" s="501"/>
      <c r="LCA566" s="501"/>
      <c r="LCB566" s="501"/>
      <c r="LCC566" s="501"/>
      <c r="LCD566" s="501"/>
      <c r="LCE566" s="501"/>
      <c r="LCF566" s="501"/>
      <c r="LCG566" s="501"/>
      <c r="LCH566" s="501"/>
      <c r="LCI566" s="501"/>
      <c r="LCJ566" s="501"/>
      <c r="LCK566" s="501"/>
      <c r="LCL566" s="501"/>
      <c r="LCM566" s="501"/>
      <c r="LCN566" s="501"/>
      <c r="LCO566" s="501"/>
      <c r="LCP566" s="501"/>
      <c r="LCQ566" s="501"/>
      <c r="LCR566" s="501"/>
      <c r="LCS566" s="501"/>
      <c r="LCT566" s="501"/>
      <c r="LCU566" s="501"/>
      <c r="LCV566" s="501"/>
      <c r="LCW566" s="501"/>
      <c r="LCX566" s="501"/>
      <c r="LCY566" s="501"/>
      <c r="LCZ566" s="501"/>
      <c r="LDA566" s="501"/>
      <c r="LDB566" s="501"/>
      <c r="LDC566" s="501"/>
      <c r="LDD566" s="501"/>
      <c r="LDE566" s="501"/>
      <c r="LDF566" s="501"/>
      <c r="LDG566" s="501"/>
      <c r="LDH566" s="501"/>
      <c r="LDI566" s="501"/>
      <c r="LDJ566" s="501"/>
      <c r="LDK566" s="501"/>
      <c r="LDL566" s="501"/>
      <c r="LDM566" s="501"/>
      <c r="LDN566" s="501"/>
      <c r="LDO566" s="501"/>
      <c r="LDP566" s="501"/>
      <c r="LDQ566" s="501"/>
      <c r="LDR566" s="501"/>
      <c r="LDS566" s="501"/>
      <c r="LDT566" s="501"/>
      <c r="LDU566" s="501"/>
      <c r="LDV566" s="501"/>
      <c r="LDW566" s="501"/>
      <c r="LDX566" s="501"/>
      <c r="LDY566" s="501"/>
      <c r="LDZ566" s="501"/>
      <c r="LEA566" s="501"/>
      <c r="LEB566" s="501"/>
      <c r="LEC566" s="501"/>
      <c r="LED566" s="501"/>
      <c r="LEE566" s="501"/>
      <c r="LEF566" s="501"/>
      <c r="LEG566" s="501"/>
      <c r="LEH566" s="501"/>
      <c r="LEI566" s="501"/>
      <c r="LEJ566" s="501"/>
      <c r="LEK566" s="501"/>
      <c r="LEL566" s="501"/>
      <c r="LEM566" s="501"/>
      <c r="LEN566" s="501"/>
      <c r="LEO566" s="501"/>
      <c r="LEP566" s="501"/>
      <c r="LEQ566" s="501"/>
      <c r="LER566" s="501"/>
      <c r="LES566" s="501"/>
      <c r="LET566" s="501"/>
      <c r="LEU566" s="501"/>
      <c r="LEV566" s="501"/>
      <c r="LEW566" s="501"/>
      <c r="LEX566" s="501"/>
      <c r="LEY566" s="501"/>
      <c r="LEZ566" s="501"/>
      <c r="LFA566" s="501"/>
      <c r="LFB566" s="501"/>
      <c r="LFC566" s="501"/>
      <c r="LFD566" s="501"/>
      <c r="LFE566" s="501"/>
      <c r="LFF566" s="501"/>
      <c r="LFG566" s="501"/>
      <c r="LFH566" s="501"/>
      <c r="LFI566" s="501"/>
      <c r="LFJ566" s="501"/>
      <c r="LFK566" s="501"/>
      <c r="LFL566" s="501"/>
      <c r="LFM566" s="501"/>
      <c r="LFN566" s="501"/>
      <c r="LFO566" s="501"/>
      <c r="LFP566" s="501"/>
      <c r="LFQ566" s="501"/>
      <c r="LFR566" s="501"/>
      <c r="LFS566" s="501"/>
      <c r="LFT566" s="501"/>
      <c r="LFU566" s="501"/>
      <c r="LFV566" s="501"/>
      <c r="LFW566" s="501"/>
      <c r="LFX566" s="501"/>
      <c r="LFY566" s="501"/>
      <c r="LFZ566" s="501"/>
      <c r="LGA566" s="501"/>
      <c r="LGB566" s="501"/>
      <c r="LGC566" s="501"/>
      <c r="LGD566" s="501"/>
      <c r="LGE566" s="501"/>
      <c r="LGF566" s="501"/>
      <c r="LGG566" s="501"/>
      <c r="LGH566" s="501"/>
      <c r="LGI566" s="501"/>
      <c r="LGJ566" s="501"/>
      <c r="LGK566" s="501"/>
      <c r="LGL566" s="501"/>
      <c r="LGM566" s="501"/>
      <c r="LGN566" s="501"/>
      <c r="LGO566" s="501"/>
      <c r="LGP566" s="501"/>
      <c r="LGQ566" s="501"/>
      <c r="LGR566" s="501"/>
      <c r="LGS566" s="501"/>
      <c r="LGT566" s="501"/>
      <c r="LGU566" s="501"/>
      <c r="LGV566" s="501"/>
      <c r="LGW566" s="501"/>
      <c r="LGX566" s="501"/>
      <c r="LGY566" s="501"/>
      <c r="LGZ566" s="501"/>
      <c r="LHA566" s="501"/>
      <c r="LHB566" s="501"/>
      <c r="LHC566" s="501"/>
      <c r="LHD566" s="501"/>
      <c r="LHE566" s="501"/>
      <c r="LHF566" s="501"/>
      <c r="LHG566" s="501"/>
      <c r="LHH566" s="501"/>
      <c r="LHI566" s="501"/>
      <c r="LHJ566" s="501"/>
      <c r="LHK566" s="501"/>
      <c r="LHL566" s="501"/>
      <c r="LHM566" s="501"/>
      <c r="LHN566" s="501"/>
      <c r="LHO566" s="501"/>
      <c r="LHP566" s="501"/>
      <c r="LHQ566" s="501"/>
      <c r="LHR566" s="501"/>
      <c r="LHS566" s="501"/>
      <c r="LHT566" s="501"/>
      <c r="LHU566" s="501"/>
      <c r="LHV566" s="501"/>
      <c r="LHW566" s="501"/>
      <c r="LHX566" s="501"/>
      <c r="LHY566" s="501"/>
      <c r="LHZ566" s="501"/>
      <c r="LIA566" s="501"/>
      <c r="LIB566" s="501"/>
      <c r="LIC566" s="501"/>
      <c r="LID566" s="501"/>
      <c r="LIE566" s="501"/>
      <c r="LIF566" s="501"/>
      <c r="LIG566" s="501"/>
      <c r="LIH566" s="501"/>
      <c r="LII566" s="501"/>
      <c r="LIJ566" s="501"/>
      <c r="LIK566" s="501"/>
      <c r="LIL566" s="501"/>
      <c r="LIM566" s="501"/>
      <c r="LIN566" s="501"/>
      <c r="LIO566" s="501"/>
      <c r="LIP566" s="501"/>
      <c r="LIQ566" s="501"/>
      <c r="LIR566" s="501"/>
      <c r="LIS566" s="501"/>
      <c r="LIT566" s="501"/>
      <c r="LIU566" s="501"/>
      <c r="LIV566" s="501"/>
      <c r="LIW566" s="501"/>
      <c r="LIX566" s="501"/>
      <c r="LIY566" s="501"/>
      <c r="LIZ566" s="501"/>
      <c r="LJA566" s="501"/>
      <c r="LJB566" s="501"/>
      <c r="LJC566" s="501"/>
      <c r="LJD566" s="501"/>
      <c r="LJE566" s="501"/>
      <c r="LJF566" s="501"/>
      <c r="LJG566" s="501"/>
      <c r="LJH566" s="501"/>
      <c r="LJI566" s="501"/>
      <c r="LJJ566" s="501"/>
      <c r="LJK566" s="501"/>
      <c r="LJL566" s="501"/>
      <c r="LJM566" s="501"/>
      <c r="LJN566" s="501"/>
      <c r="LJO566" s="501"/>
      <c r="LJP566" s="501"/>
      <c r="LJQ566" s="501"/>
      <c r="LJR566" s="501"/>
      <c r="LJS566" s="501"/>
      <c r="LJT566" s="501"/>
      <c r="LJU566" s="501"/>
      <c r="LJV566" s="501"/>
      <c r="LJW566" s="501"/>
      <c r="LJX566" s="501"/>
      <c r="LJY566" s="501"/>
      <c r="LJZ566" s="501"/>
      <c r="LKA566" s="501"/>
      <c r="LKB566" s="501"/>
      <c r="LKC566" s="501"/>
      <c r="LKD566" s="501"/>
      <c r="LKE566" s="501"/>
      <c r="LKF566" s="501"/>
      <c r="LKG566" s="501"/>
      <c r="LKH566" s="501"/>
      <c r="LKI566" s="501"/>
      <c r="LKJ566" s="501"/>
      <c r="LKK566" s="501"/>
      <c r="LKL566" s="501"/>
      <c r="LKM566" s="501"/>
      <c r="LKN566" s="501"/>
      <c r="LKO566" s="501"/>
      <c r="LKP566" s="501"/>
      <c r="LKQ566" s="501"/>
      <c r="LKR566" s="501"/>
      <c r="LKS566" s="501"/>
      <c r="LKT566" s="501"/>
      <c r="LKU566" s="501"/>
      <c r="LKV566" s="501"/>
      <c r="LKW566" s="501"/>
      <c r="LKX566" s="501"/>
      <c r="LKY566" s="501"/>
      <c r="LKZ566" s="501"/>
      <c r="LLA566" s="501"/>
      <c r="LLB566" s="501"/>
      <c r="LLC566" s="501"/>
      <c r="LLD566" s="501"/>
      <c r="LLE566" s="501"/>
      <c r="LLF566" s="501"/>
      <c r="LLG566" s="501"/>
      <c r="LLH566" s="501"/>
      <c r="LLI566" s="501"/>
      <c r="LLJ566" s="501"/>
      <c r="LLK566" s="501"/>
      <c r="LLL566" s="501"/>
      <c r="LLM566" s="501"/>
      <c r="LLN566" s="501"/>
      <c r="LLO566" s="501"/>
      <c r="LLP566" s="501"/>
      <c r="LLQ566" s="501"/>
      <c r="LLR566" s="501"/>
      <c r="LLS566" s="501"/>
      <c r="LLT566" s="501"/>
      <c r="LLU566" s="501"/>
      <c r="LLV566" s="501"/>
      <c r="LLW566" s="501"/>
      <c r="LLX566" s="501"/>
      <c r="LLY566" s="501"/>
      <c r="LLZ566" s="501"/>
      <c r="LMA566" s="501"/>
      <c r="LMB566" s="501"/>
      <c r="LMC566" s="501"/>
      <c r="LMD566" s="501"/>
      <c r="LME566" s="501"/>
      <c r="LMF566" s="501"/>
      <c r="LMG566" s="501"/>
      <c r="LMH566" s="501"/>
      <c r="LMI566" s="501"/>
      <c r="LMJ566" s="501"/>
      <c r="LMK566" s="501"/>
      <c r="LML566" s="501"/>
      <c r="LMM566" s="501"/>
      <c r="LMN566" s="501"/>
      <c r="LMO566" s="501"/>
      <c r="LMP566" s="501"/>
      <c r="LMQ566" s="501"/>
      <c r="LMR566" s="501"/>
      <c r="LMS566" s="501"/>
      <c r="LMT566" s="501"/>
      <c r="LMU566" s="501"/>
      <c r="LMV566" s="501"/>
      <c r="LMW566" s="501"/>
      <c r="LMX566" s="501"/>
      <c r="LMY566" s="501"/>
      <c r="LMZ566" s="501"/>
      <c r="LNA566" s="501"/>
      <c r="LNB566" s="501"/>
      <c r="LNC566" s="501"/>
      <c r="LND566" s="501"/>
      <c r="LNE566" s="501"/>
      <c r="LNF566" s="501"/>
      <c r="LNG566" s="501"/>
      <c r="LNH566" s="501"/>
      <c r="LNI566" s="501"/>
      <c r="LNJ566" s="501"/>
      <c r="LNK566" s="501"/>
      <c r="LNL566" s="501"/>
      <c r="LNM566" s="501"/>
      <c r="LNN566" s="501"/>
      <c r="LNO566" s="501"/>
      <c r="LNP566" s="501"/>
      <c r="LNQ566" s="501"/>
      <c r="LNR566" s="501"/>
      <c r="LNS566" s="501"/>
      <c r="LNT566" s="501"/>
      <c r="LNU566" s="501"/>
      <c r="LNV566" s="501"/>
      <c r="LNW566" s="501"/>
      <c r="LNX566" s="501"/>
      <c r="LNY566" s="501"/>
      <c r="LNZ566" s="501"/>
      <c r="LOA566" s="501"/>
      <c r="LOB566" s="501"/>
      <c r="LOC566" s="501"/>
      <c r="LOD566" s="501"/>
      <c r="LOE566" s="501"/>
      <c r="LOF566" s="501"/>
      <c r="LOG566" s="501"/>
      <c r="LOH566" s="501"/>
      <c r="LOI566" s="501"/>
      <c r="LOJ566" s="501"/>
      <c r="LOK566" s="501"/>
      <c r="LOL566" s="501"/>
      <c r="LOM566" s="501"/>
      <c r="LON566" s="501"/>
      <c r="LOO566" s="501"/>
      <c r="LOP566" s="501"/>
      <c r="LOQ566" s="501"/>
      <c r="LOR566" s="501"/>
      <c r="LOS566" s="501"/>
      <c r="LOT566" s="501"/>
      <c r="LOU566" s="501"/>
      <c r="LOV566" s="501"/>
      <c r="LOW566" s="501"/>
      <c r="LOX566" s="501"/>
      <c r="LOY566" s="501"/>
      <c r="LOZ566" s="501"/>
      <c r="LPA566" s="501"/>
      <c r="LPB566" s="501"/>
      <c r="LPC566" s="501"/>
      <c r="LPD566" s="501"/>
      <c r="LPE566" s="501"/>
      <c r="LPF566" s="501"/>
      <c r="LPG566" s="501"/>
      <c r="LPH566" s="501"/>
      <c r="LPI566" s="501"/>
      <c r="LPJ566" s="501"/>
      <c r="LPK566" s="501"/>
      <c r="LPL566" s="501"/>
      <c r="LPM566" s="501"/>
      <c r="LPN566" s="501"/>
      <c r="LPO566" s="501"/>
      <c r="LPP566" s="501"/>
      <c r="LPQ566" s="501"/>
      <c r="LPR566" s="501"/>
      <c r="LPS566" s="501"/>
      <c r="LPT566" s="501"/>
      <c r="LPU566" s="501"/>
      <c r="LPV566" s="501"/>
      <c r="LPW566" s="501"/>
      <c r="LPX566" s="501"/>
      <c r="LPY566" s="501"/>
      <c r="LPZ566" s="501"/>
      <c r="LQA566" s="501"/>
      <c r="LQB566" s="501"/>
      <c r="LQC566" s="501"/>
      <c r="LQD566" s="501"/>
      <c r="LQE566" s="501"/>
      <c r="LQF566" s="501"/>
      <c r="LQG566" s="501"/>
      <c r="LQH566" s="501"/>
      <c r="LQI566" s="501"/>
      <c r="LQJ566" s="501"/>
      <c r="LQK566" s="501"/>
      <c r="LQL566" s="501"/>
      <c r="LQM566" s="501"/>
      <c r="LQN566" s="501"/>
      <c r="LQO566" s="501"/>
      <c r="LQP566" s="501"/>
      <c r="LQQ566" s="501"/>
      <c r="LQR566" s="501"/>
      <c r="LQS566" s="501"/>
      <c r="LQT566" s="501"/>
      <c r="LQU566" s="501"/>
      <c r="LQV566" s="501"/>
      <c r="LQW566" s="501"/>
      <c r="LQX566" s="501"/>
      <c r="LQY566" s="501"/>
      <c r="LQZ566" s="501"/>
      <c r="LRA566" s="501"/>
      <c r="LRB566" s="501"/>
      <c r="LRC566" s="501"/>
      <c r="LRD566" s="501"/>
      <c r="LRE566" s="501"/>
      <c r="LRF566" s="501"/>
      <c r="LRG566" s="501"/>
      <c r="LRH566" s="501"/>
      <c r="LRI566" s="501"/>
      <c r="LRJ566" s="501"/>
      <c r="LRK566" s="501"/>
      <c r="LRL566" s="501"/>
      <c r="LRM566" s="501"/>
      <c r="LRN566" s="501"/>
      <c r="LRO566" s="501"/>
      <c r="LRP566" s="501"/>
      <c r="LRQ566" s="501"/>
      <c r="LRR566" s="501"/>
      <c r="LRS566" s="501"/>
      <c r="LRT566" s="501"/>
      <c r="LRU566" s="501"/>
      <c r="LRV566" s="501"/>
      <c r="LRW566" s="501"/>
      <c r="LRX566" s="501"/>
      <c r="LRY566" s="501"/>
      <c r="LRZ566" s="501"/>
      <c r="LSA566" s="501"/>
      <c r="LSB566" s="501"/>
      <c r="LSC566" s="501"/>
      <c r="LSD566" s="501"/>
      <c r="LSE566" s="501"/>
      <c r="LSF566" s="501"/>
      <c r="LSG566" s="501"/>
      <c r="LSH566" s="501"/>
      <c r="LSI566" s="501"/>
      <c r="LSJ566" s="501"/>
      <c r="LSK566" s="501"/>
      <c r="LSL566" s="501"/>
      <c r="LSM566" s="501"/>
      <c r="LSN566" s="501"/>
      <c r="LSO566" s="501"/>
      <c r="LSP566" s="501"/>
      <c r="LSQ566" s="501"/>
      <c r="LSR566" s="501"/>
      <c r="LSS566" s="501"/>
      <c r="LST566" s="501"/>
      <c r="LSU566" s="501"/>
      <c r="LSV566" s="501"/>
      <c r="LSW566" s="501"/>
      <c r="LSX566" s="501"/>
      <c r="LSY566" s="501"/>
      <c r="LSZ566" s="501"/>
      <c r="LTA566" s="501"/>
      <c r="LTB566" s="501"/>
      <c r="LTC566" s="501"/>
      <c r="LTD566" s="501"/>
      <c r="LTE566" s="501"/>
      <c r="LTF566" s="501"/>
      <c r="LTG566" s="501"/>
      <c r="LTH566" s="501"/>
      <c r="LTI566" s="501"/>
      <c r="LTJ566" s="501"/>
      <c r="LTK566" s="501"/>
      <c r="LTL566" s="501"/>
      <c r="LTM566" s="501"/>
      <c r="LTN566" s="501"/>
      <c r="LTO566" s="501"/>
      <c r="LTP566" s="501"/>
      <c r="LTQ566" s="501"/>
      <c r="LTR566" s="501"/>
      <c r="LTS566" s="501"/>
      <c r="LTT566" s="501"/>
      <c r="LTU566" s="501"/>
      <c r="LTV566" s="501"/>
      <c r="LTW566" s="501"/>
      <c r="LTX566" s="501"/>
      <c r="LTY566" s="501"/>
      <c r="LTZ566" s="501"/>
      <c r="LUA566" s="501"/>
      <c r="LUB566" s="501"/>
      <c r="LUC566" s="501"/>
      <c r="LUD566" s="501"/>
      <c r="LUE566" s="501"/>
      <c r="LUF566" s="501"/>
      <c r="LUG566" s="501"/>
      <c r="LUH566" s="501"/>
      <c r="LUI566" s="501"/>
      <c r="LUJ566" s="501"/>
      <c r="LUK566" s="501"/>
      <c r="LUL566" s="501"/>
      <c r="LUM566" s="501"/>
      <c r="LUN566" s="501"/>
      <c r="LUO566" s="501"/>
      <c r="LUP566" s="501"/>
      <c r="LUQ566" s="501"/>
      <c r="LUR566" s="501"/>
      <c r="LUS566" s="501"/>
      <c r="LUT566" s="501"/>
      <c r="LUU566" s="501"/>
      <c r="LUV566" s="501"/>
      <c r="LUW566" s="501"/>
      <c r="LUX566" s="501"/>
      <c r="LUY566" s="501"/>
      <c r="LUZ566" s="501"/>
      <c r="LVA566" s="501"/>
      <c r="LVB566" s="501"/>
      <c r="LVC566" s="501"/>
      <c r="LVD566" s="501"/>
      <c r="LVE566" s="501"/>
      <c r="LVF566" s="501"/>
      <c r="LVG566" s="501"/>
      <c r="LVH566" s="501"/>
      <c r="LVI566" s="501"/>
      <c r="LVJ566" s="501"/>
      <c r="LVK566" s="501"/>
      <c r="LVL566" s="501"/>
      <c r="LVM566" s="501"/>
      <c r="LVN566" s="501"/>
      <c r="LVO566" s="501"/>
      <c r="LVP566" s="501"/>
      <c r="LVQ566" s="501"/>
      <c r="LVR566" s="501"/>
      <c r="LVS566" s="501"/>
      <c r="LVT566" s="501"/>
      <c r="LVU566" s="501"/>
      <c r="LVV566" s="501"/>
      <c r="LVW566" s="501"/>
      <c r="LVX566" s="501"/>
      <c r="LVY566" s="501"/>
      <c r="LVZ566" s="501"/>
      <c r="LWA566" s="501"/>
      <c r="LWB566" s="501"/>
      <c r="LWC566" s="501"/>
      <c r="LWD566" s="501"/>
      <c r="LWE566" s="501"/>
      <c r="LWF566" s="501"/>
      <c r="LWG566" s="501"/>
      <c r="LWH566" s="501"/>
      <c r="LWI566" s="501"/>
      <c r="LWJ566" s="501"/>
      <c r="LWK566" s="501"/>
      <c r="LWL566" s="501"/>
      <c r="LWM566" s="501"/>
      <c r="LWN566" s="501"/>
      <c r="LWO566" s="501"/>
      <c r="LWP566" s="501"/>
      <c r="LWQ566" s="501"/>
      <c r="LWR566" s="501"/>
      <c r="LWS566" s="501"/>
      <c r="LWT566" s="501"/>
      <c r="LWU566" s="501"/>
      <c r="LWV566" s="501"/>
      <c r="LWW566" s="501"/>
      <c r="LWX566" s="501"/>
      <c r="LWY566" s="501"/>
      <c r="LWZ566" s="501"/>
      <c r="LXA566" s="501"/>
      <c r="LXB566" s="501"/>
      <c r="LXC566" s="501"/>
      <c r="LXD566" s="501"/>
      <c r="LXE566" s="501"/>
      <c r="LXF566" s="501"/>
      <c r="LXG566" s="501"/>
      <c r="LXH566" s="501"/>
      <c r="LXI566" s="501"/>
      <c r="LXJ566" s="501"/>
      <c r="LXK566" s="501"/>
      <c r="LXL566" s="501"/>
      <c r="LXM566" s="501"/>
      <c r="LXN566" s="501"/>
      <c r="LXO566" s="501"/>
      <c r="LXP566" s="501"/>
      <c r="LXQ566" s="501"/>
      <c r="LXR566" s="501"/>
      <c r="LXS566" s="501"/>
      <c r="LXT566" s="501"/>
      <c r="LXU566" s="501"/>
      <c r="LXV566" s="501"/>
      <c r="LXW566" s="501"/>
      <c r="LXX566" s="501"/>
      <c r="LXY566" s="501"/>
      <c r="LXZ566" s="501"/>
      <c r="LYA566" s="501"/>
      <c r="LYB566" s="501"/>
      <c r="LYC566" s="501"/>
      <c r="LYD566" s="501"/>
      <c r="LYE566" s="501"/>
      <c r="LYF566" s="501"/>
      <c r="LYG566" s="501"/>
      <c r="LYH566" s="501"/>
      <c r="LYI566" s="501"/>
      <c r="LYJ566" s="501"/>
      <c r="LYK566" s="501"/>
      <c r="LYL566" s="501"/>
      <c r="LYM566" s="501"/>
      <c r="LYN566" s="501"/>
      <c r="LYO566" s="501"/>
      <c r="LYP566" s="501"/>
      <c r="LYQ566" s="501"/>
      <c r="LYR566" s="501"/>
      <c r="LYS566" s="501"/>
      <c r="LYT566" s="501"/>
      <c r="LYU566" s="501"/>
      <c r="LYV566" s="501"/>
      <c r="LYW566" s="501"/>
      <c r="LYX566" s="501"/>
      <c r="LYY566" s="501"/>
      <c r="LYZ566" s="501"/>
      <c r="LZA566" s="501"/>
      <c r="LZB566" s="501"/>
      <c r="LZC566" s="501"/>
      <c r="LZD566" s="501"/>
      <c r="LZE566" s="501"/>
      <c r="LZF566" s="501"/>
      <c r="LZG566" s="501"/>
      <c r="LZH566" s="501"/>
      <c r="LZI566" s="501"/>
      <c r="LZJ566" s="501"/>
      <c r="LZK566" s="501"/>
      <c r="LZL566" s="501"/>
      <c r="LZM566" s="501"/>
      <c r="LZN566" s="501"/>
      <c r="LZO566" s="501"/>
      <c r="LZP566" s="501"/>
      <c r="LZQ566" s="501"/>
      <c r="LZR566" s="501"/>
      <c r="LZS566" s="501"/>
      <c r="LZT566" s="501"/>
      <c r="LZU566" s="501"/>
      <c r="LZV566" s="501"/>
      <c r="LZW566" s="501"/>
      <c r="LZX566" s="501"/>
      <c r="LZY566" s="501"/>
      <c r="LZZ566" s="501"/>
      <c r="MAA566" s="501"/>
      <c r="MAB566" s="501"/>
      <c r="MAC566" s="501"/>
      <c r="MAD566" s="501"/>
      <c r="MAE566" s="501"/>
      <c r="MAF566" s="501"/>
      <c r="MAG566" s="501"/>
      <c r="MAH566" s="501"/>
      <c r="MAI566" s="501"/>
      <c r="MAJ566" s="501"/>
      <c r="MAK566" s="501"/>
      <c r="MAL566" s="501"/>
      <c r="MAM566" s="501"/>
      <c r="MAN566" s="501"/>
      <c r="MAO566" s="501"/>
      <c r="MAP566" s="501"/>
      <c r="MAQ566" s="501"/>
      <c r="MAR566" s="501"/>
      <c r="MAS566" s="501"/>
      <c r="MAT566" s="501"/>
      <c r="MAU566" s="501"/>
      <c r="MAV566" s="501"/>
      <c r="MAW566" s="501"/>
      <c r="MAX566" s="501"/>
      <c r="MAY566" s="501"/>
      <c r="MAZ566" s="501"/>
      <c r="MBA566" s="501"/>
      <c r="MBB566" s="501"/>
      <c r="MBC566" s="501"/>
      <c r="MBD566" s="501"/>
      <c r="MBE566" s="501"/>
      <c r="MBF566" s="501"/>
      <c r="MBG566" s="501"/>
      <c r="MBH566" s="501"/>
      <c r="MBI566" s="501"/>
      <c r="MBJ566" s="501"/>
      <c r="MBK566" s="501"/>
      <c r="MBL566" s="501"/>
      <c r="MBM566" s="501"/>
      <c r="MBN566" s="501"/>
      <c r="MBO566" s="501"/>
      <c r="MBP566" s="501"/>
      <c r="MBQ566" s="501"/>
      <c r="MBR566" s="501"/>
      <c r="MBS566" s="501"/>
      <c r="MBT566" s="501"/>
      <c r="MBU566" s="501"/>
      <c r="MBV566" s="501"/>
      <c r="MBW566" s="501"/>
      <c r="MBX566" s="501"/>
      <c r="MBY566" s="501"/>
      <c r="MBZ566" s="501"/>
      <c r="MCA566" s="501"/>
      <c r="MCB566" s="501"/>
      <c r="MCC566" s="501"/>
      <c r="MCD566" s="501"/>
      <c r="MCE566" s="501"/>
      <c r="MCF566" s="501"/>
      <c r="MCG566" s="501"/>
      <c r="MCH566" s="501"/>
      <c r="MCI566" s="501"/>
      <c r="MCJ566" s="501"/>
      <c r="MCK566" s="501"/>
      <c r="MCL566" s="501"/>
      <c r="MCM566" s="501"/>
      <c r="MCN566" s="501"/>
      <c r="MCO566" s="501"/>
      <c r="MCP566" s="501"/>
      <c r="MCQ566" s="501"/>
      <c r="MCR566" s="501"/>
      <c r="MCS566" s="501"/>
      <c r="MCT566" s="501"/>
      <c r="MCU566" s="501"/>
      <c r="MCV566" s="501"/>
      <c r="MCW566" s="501"/>
      <c r="MCX566" s="501"/>
      <c r="MCY566" s="501"/>
      <c r="MCZ566" s="501"/>
      <c r="MDA566" s="501"/>
      <c r="MDB566" s="501"/>
      <c r="MDC566" s="501"/>
      <c r="MDD566" s="501"/>
      <c r="MDE566" s="501"/>
      <c r="MDF566" s="501"/>
      <c r="MDG566" s="501"/>
      <c r="MDH566" s="501"/>
      <c r="MDI566" s="501"/>
      <c r="MDJ566" s="501"/>
      <c r="MDK566" s="501"/>
      <c r="MDL566" s="501"/>
      <c r="MDM566" s="501"/>
      <c r="MDN566" s="501"/>
      <c r="MDO566" s="501"/>
      <c r="MDP566" s="501"/>
      <c r="MDQ566" s="501"/>
      <c r="MDR566" s="501"/>
      <c r="MDS566" s="501"/>
      <c r="MDT566" s="501"/>
      <c r="MDU566" s="501"/>
      <c r="MDV566" s="501"/>
      <c r="MDW566" s="501"/>
      <c r="MDX566" s="501"/>
      <c r="MDY566" s="501"/>
      <c r="MDZ566" s="501"/>
      <c r="MEA566" s="501"/>
      <c r="MEB566" s="501"/>
      <c r="MEC566" s="501"/>
      <c r="MED566" s="501"/>
      <c r="MEE566" s="501"/>
      <c r="MEF566" s="501"/>
      <c r="MEG566" s="501"/>
      <c r="MEH566" s="501"/>
      <c r="MEI566" s="501"/>
      <c r="MEJ566" s="501"/>
      <c r="MEK566" s="501"/>
      <c r="MEL566" s="501"/>
      <c r="MEM566" s="501"/>
      <c r="MEN566" s="501"/>
      <c r="MEO566" s="501"/>
      <c r="MEP566" s="501"/>
      <c r="MEQ566" s="501"/>
      <c r="MER566" s="501"/>
      <c r="MES566" s="501"/>
      <c r="MET566" s="501"/>
      <c r="MEU566" s="501"/>
      <c r="MEV566" s="501"/>
      <c r="MEW566" s="501"/>
      <c r="MEX566" s="501"/>
      <c r="MEY566" s="501"/>
      <c r="MEZ566" s="501"/>
      <c r="MFA566" s="501"/>
      <c r="MFB566" s="501"/>
      <c r="MFC566" s="501"/>
      <c r="MFD566" s="501"/>
      <c r="MFE566" s="501"/>
      <c r="MFF566" s="501"/>
      <c r="MFG566" s="501"/>
      <c r="MFH566" s="501"/>
      <c r="MFI566" s="501"/>
      <c r="MFJ566" s="501"/>
      <c r="MFK566" s="501"/>
      <c r="MFL566" s="501"/>
      <c r="MFM566" s="501"/>
      <c r="MFN566" s="501"/>
      <c r="MFO566" s="501"/>
      <c r="MFP566" s="501"/>
      <c r="MFQ566" s="501"/>
      <c r="MFR566" s="501"/>
      <c r="MFS566" s="501"/>
      <c r="MFT566" s="501"/>
      <c r="MFU566" s="501"/>
      <c r="MFV566" s="501"/>
      <c r="MFW566" s="501"/>
      <c r="MFX566" s="501"/>
      <c r="MFY566" s="501"/>
      <c r="MFZ566" s="501"/>
      <c r="MGA566" s="501"/>
      <c r="MGB566" s="501"/>
      <c r="MGC566" s="501"/>
      <c r="MGD566" s="501"/>
      <c r="MGE566" s="501"/>
      <c r="MGF566" s="501"/>
      <c r="MGG566" s="501"/>
      <c r="MGH566" s="501"/>
      <c r="MGI566" s="501"/>
      <c r="MGJ566" s="501"/>
      <c r="MGK566" s="501"/>
      <c r="MGL566" s="501"/>
      <c r="MGM566" s="501"/>
      <c r="MGN566" s="501"/>
      <c r="MGO566" s="501"/>
      <c r="MGP566" s="501"/>
      <c r="MGQ566" s="501"/>
      <c r="MGR566" s="501"/>
      <c r="MGS566" s="501"/>
      <c r="MGT566" s="501"/>
      <c r="MGU566" s="501"/>
      <c r="MGV566" s="501"/>
      <c r="MGW566" s="501"/>
      <c r="MGX566" s="501"/>
      <c r="MGY566" s="501"/>
      <c r="MGZ566" s="501"/>
      <c r="MHA566" s="501"/>
      <c r="MHB566" s="501"/>
      <c r="MHC566" s="501"/>
      <c r="MHD566" s="501"/>
      <c r="MHE566" s="501"/>
      <c r="MHF566" s="501"/>
      <c r="MHG566" s="501"/>
      <c r="MHH566" s="501"/>
      <c r="MHI566" s="501"/>
      <c r="MHJ566" s="501"/>
      <c r="MHK566" s="501"/>
      <c r="MHL566" s="501"/>
      <c r="MHM566" s="501"/>
      <c r="MHN566" s="501"/>
      <c r="MHO566" s="501"/>
      <c r="MHP566" s="501"/>
      <c r="MHQ566" s="501"/>
      <c r="MHR566" s="501"/>
      <c r="MHS566" s="501"/>
      <c r="MHT566" s="501"/>
      <c r="MHU566" s="501"/>
      <c r="MHV566" s="501"/>
      <c r="MHW566" s="501"/>
      <c r="MHX566" s="501"/>
      <c r="MHY566" s="501"/>
      <c r="MHZ566" s="501"/>
      <c r="MIA566" s="501"/>
      <c r="MIB566" s="501"/>
      <c r="MIC566" s="501"/>
      <c r="MID566" s="501"/>
      <c r="MIE566" s="501"/>
      <c r="MIF566" s="501"/>
      <c r="MIG566" s="501"/>
      <c r="MIH566" s="501"/>
      <c r="MII566" s="501"/>
      <c r="MIJ566" s="501"/>
      <c r="MIK566" s="501"/>
      <c r="MIL566" s="501"/>
      <c r="MIM566" s="501"/>
      <c r="MIN566" s="501"/>
      <c r="MIO566" s="501"/>
      <c r="MIP566" s="501"/>
      <c r="MIQ566" s="501"/>
      <c r="MIR566" s="501"/>
      <c r="MIS566" s="501"/>
      <c r="MIT566" s="501"/>
      <c r="MIU566" s="501"/>
      <c r="MIV566" s="501"/>
      <c r="MIW566" s="501"/>
      <c r="MIX566" s="501"/>
      <c r="MIY566" s="501"/>
      <c r="MIZ566" s="501"/>
      <c r="MJA566" s="501"/>
      <c r="MJB566" s="501"/>
      <c r="MJC566" s="501"/>
      <c r="MJD566" s="501"/>
      <c r="MJE566" s="501"/>
      <c r="MJF566" s="501"/>
      <c r="MJG566" s="501"/>
      <c r="MJH566" s="501"/>
      <c r="MJI566" s="501"/>
      <c r="MJJ566" s="501"/>
      <c r="MJK566" s="501"/>
      <c r="MJL566" s="501"/>
      <c r="MJM566" s="501"/>
      <c r="MJN566" s="501"/>
      <c r="MJO566" s="501"/>
      <c r="MJP566" s="501"/>
      <c r="MJQ566" s="501"/>
      <c r="MJR566" s="501"/>
      <c r="MJS566" s="501"/>
      <c r="MJT566" s="501"/>
      <c r="MJU566" s="501"/>
      <c r="MJV566" s="501"/>
      <c r="MJW566" s="501"/>
      <c r="MJX566" s="501"/>
      <c r="MJY566" s="501"/>
      <c r="MJZ566" s="501"/>
      <c r="MKA566" s="501"/>
      <c r="MKB566" s="501"/>
      <c r="MKC566" s="501"/>
      <c r="MKD566" s="501"/>
      <c r="MKE566" s="501"/>
      <c r="MKF566" s="501"/>
      <c r="MKG566" s="501"/>
      <c r="MKH566" s="501"/>
      <c r="MKI566" s="501"/>
      <c r="MKJ566" s="501"/>
      <c r="MKK566" s="501"/>
      <c r="MKL566" s="501"/>
      <c r="MKM566" s="501"/>
      <c r="MKN566" s="501"/>
      <c r="MKO566" s="501"/>
      <c r="MKP566" s="501"/>
      <c r="MKQ566" s="501"/>
      <c r="MKR566" s="501"/>
      <c r="MKS566" s="501"/>
      <c r="MKT566" s="501"/>
      <c r="MKU566" s="501"/>
      <c r="MKV566" s="501"/>
      <c r="MKW566" s="501"/>
      <c r="MKX566" s="501"/>
      <c r="MKY566" s="501"/>
      <c r="MKZ566" s="501"/>
      <c r="MLA566" s="501"/>
      <c r="MLB566" s="501"/>
      <c r="MLC566" s="501"/>
      <c r="MLD566" s="501"/>
      <c r="MLE566" s="501"/>
      <c r="MLF566" s="501"/>
      <c r="MLG566" s="501"/>
      <c r="MLH566" s="501"/>
      <c r="MLI566" s="501"/>
      <c r="MLJ566" s="501"/>
      <c r="MLK566" s="501"/>
      <c r="MLL566" s="501"/>
      <c r="MLM566" s="501"/>
      <c r="MLN566" s="501"/>
      <c r="MLO566" s="501"/>
      <c r="MLP566" s="501"/>
      <c r="MLQ566" s="501"/>
      <c r="MLR566" s="501"/>
      <c r="MLS566" s="501"/>
      <c r="MLT566" s="501"/>
      <c r="MLU566" s="501"/>
      <c r="MLV566" s="501"/>
      <c r="MLW566" s="501"/>
      <c r="MLX566" s="501"/>
      <c r="MLY566" s="501"/>
      <c r="MLZ566" s="501"/>
      <c r="MMA566" s="501"/>
      <c r="MMB566" s="501"/>
      <c r="MMC566" s="501"/>
      <c r="MMD566" s="501"/>
      <c r="MME566" s="501"/>
      <c r="MMF566" s="501"/>
      <c r="MMG566" s="501"/>
      <c r="MMH566" s="501"/>
      <c r="MMI566" s="501"/>
      <c r="MMJ566" s="501"/>
      <c r="MMK566" s="501"/>
      <c r="MML566" s="501"/>
      <c r="MMM566" s="501"/>
      <c r="MMN566" s="501"/>
      <c r="MMO566" s="501"/>
      <c r="MMP566" s="501"/>
      <c r="MMQ566" s="501"/>
      <c r="MMR566" s="501"/>
      <c r="MMS566" s="501"/>
      <c r="MMT566" s="501"/>
      <c r="MMU566" s="501"/>
      <c r="MMV566" s="501"/>
      <c r="MMW566" s="501"/>
      <c r="MMX566" s="501"/>
      <c r="MMY566" s="501"/>
      <c r="MMZ566" s="501"/>
      <c r="MNA566" s="501"/>
      <c r="MNB566" s="501"/>
      <c r="MNC566" s="501"/>
      <c r="MND566" s="501"/>
      <c r="MNE566" s="501"/>
      <c r="MNF566" s="501"/>
      <c r="MNG566" s="501"/>
      <c r="MNH566" s="501"/>
      <c r="MNI566" s="501"/>
      <c r="MNJ566" s="501"/>
      <c r="MNK566" s="501"/>
      <c r="MNL566" s="501"/>
      <c r="MNM566" s="501"/>
      <c r="MNN566" s="501"/>
      <c r="MNO566" s="501"/>
      <c r="MNP566" s="501"/>
      <c r="MNQ566" s="501"/>
      <c r="MNR566" s="501"/>
      <c r="MNS566" s="501"/>
      <c r="MNT566" s="501"/>
      <c r="MNU566" s="501"/>
      <c r="MNV566" s="501"/>
      <c r="MNW566" s="501"/>
      <c r="MNX566" s="501"/>
      <c r="MNY566" s="501"/>
      <c r="MNZ566" s="501"/>
      <c r="MOA566" s="501"/>
      <c r="MOB566" s="501"/>
      <c r="MOC566" s="501"/>
      <c r="MOD566" s="501"/>
      <c r="MOE566" s="501"/>
      <c r="MOF566" s="501"/>
      <c r="MOG566" s="501"/>
      <c r="MOH566" s="501"/>
      <c r="MOI566" s="501"/>
      <c r="MOJ566" s="501"/>
      <c r="MOK566" s="501"/>
      <c r="MOL566" s="501"/>
      <c r="MOM566" s="501"/>
      <c r="MON566" s="501"/>
      <c r="MOO566" s="501"/>
      <c r="MOP566" s="501"/>
      <c r="MOQ566" s="501"/>
      <c r="MOR566" s="501"/>
      <c r="MOS566" s="501"/>
      <c r="MOT566" s="501"/>
      <c r="MOU566" s="501"/>
      <c r="MOV566" s="501"/>
      <c r="MOW566" s="501"/>
      <c r="MOX566" s="501"/>
      <c r="MOY566" s="501"/>
      <c r="MOZ566" s="501"/>
      <c r="MPA566" s="501"/>
      <c r="MPB566" s="501"/>
      <c r="MPC566" s="501"/>
      <c r="MPD566" s="501"/>
      <c r="MPE566" s="501"/>
      <c r="MPF566" s="501"/>
      <c r="MPG566" s="501"/>
      <c r="MPH566" s="501"/>
      <c r="MPI566" s="501"/>
      <c r="MPJ566" s="501"/>
      <c r="MPK566" s="501"/>
      <c r="MPL566" s="501"/>
      <c r="MPM566" s="501"/>
      <c r="MPN566" s="501"/>
      <c r="MPO566" s="501"/>
      <c r="MPP566" s="501"/>
      <c r="MPQ566" s="501"/>
      <c r="MPR566" s="501"/>
      <c r="MPS566" s="501"/>
      <c r="MPT566" s="501"/>
      <c r="MPU566" s="501"/>
      <c r="MPV566" s="501"/>
      <c r="MPW566" s="501"/>
      <c r="MPX566" s="501"/>
      <c r="MPY566" s="501"/>
      <c r="MPZ566" s="501"/>
      <c r="MQA566" s="501"/>
      <c r="MQB566" s="501"/>
      <c r="MQC566" s="501"/>
      <c r="MQD566" s="501"/>
      <c r="MQE566" s="501"/>
      <c r="MQF566" s="501"/>
      <c r="MQG566" s="501"/>
      <c r="MQH566" s="501"/>
      <c r="MQI566" s="501"/>
      <c r="MQJ566" s="501"/>
      <c r="MQK566" s="501"/>
      <c r="MQL566" s="501"/>
      <c r="MQM566" s="501"/>
      <c r="MQN566" s="501"/>
      <c r="MQO566" s="501"/>
      <c r="MQP566" s="501"/>
      <c r="MQQ566" s="501"/>
      <c r="MQR566" s="501"/>
      <c r="MQS566" s="501"/>
      <c r="MQT566" s="501"/>
      <c r="MQU566" s="501"/>
      <c r="MQV566" s="501"/>
      <c r="MQW566" s="501"/>
      <c r="MQX566" s="501"/>
      <c r="MQY566" s="501"/>
      <c r="MQZ566" s="501"/>
      <c r="MRA566" s="501"/>
      <c r="MRB566" s="501"/>
      <c r="MRC566" s="501"/>
      <c r="MRD566" s="501"/>
      <c r="MRE566" s="501"/>
      <c r="MRF566" s="501"/>
      <c r="MRG566" s="501"/>
      <c r="MRH566" s="501"/>
      <c r="MRI566" s="501"/>
      <c r="MRJ566" s="501"/>
      <c r="MRK566" s="501"/>
      <c r="MRL566" s="501"/>
      <c r="MRM566" s="501"/>
      <c r="MRN566" s="501"/>
      <c r="MRO566" s="501"/>
      <c r="MRP566" s="501"/>
      <c r="MRQ566" s="501"/>
      <c r="MRR566" s="501"/>
      <c r="MRS566" s="501"/>
      <c r="MRT566" s="501"/>
      <c r="MRU566" s="501"/>
      <c r="MRV566" s="501"/>
      <c r="MRW566" s="501"/>
      <c r="MRX566" s="501"/>
      <c r="MRY566" s="501"/>
      <c r="MRZ566" s="501"/>
      <c r="MSA566" s="501"/>
      <c r="MSB566" s="501"/>
      <c r="MSC566" s="501"/>
      <c r="MSD566" s="501"/>
      <c r="MSE566" s="501"/>
      <c r="MSF566" s="501"/>
      <c r="MSG566" s="501"/>
      <c r="MSH566" s="501"/>
      <c r="MSI566" s="501"/>
      <c r="MSJ566" s="501"/>
      <c r="MSK566" s="501"/>
      <c r="MSL566" s="501"/>
      <c r="MSM566" s="501"/>
      <c r="MSN566" s="501"/>
      <c r="MSO566" s="501"/>
      <c r="MSP566" s="501"/>
      <c r="MSQ566" s="501"/>
      <c r="MSR566" s="501"/>
      <c r="MSS566" s="501"/>
      <c r="MST566" s="501"/>
      <c r="MSU566" s="501"/>
      <c r="MSV566" s="501"/>
      <c r="MSW566" s="501"/>
      <c r="MSX566" s="501"/>
      <c r="MSY566" s="501"/>
      <c r="MSZ566" s="501"/>
      <c r="MTA566" s="501"/>
      <c r="MTB566" s="501"/>
      <c r="MTC566" s="501"/>
      <c r="MTD566" s="501"/>
      <c r="MTE566" s="501"/>
      <c r="MTF566" s="501"/>
      <c r="MTG566" s="501"/>
      <c r="MTH566" s="501"/>
      <c r="MTI566" s="501"/>
      <c r="MTJ566" s="501"/>
      <c r="MTK566" s="501"/>
      <c r="MTL566" s="501"/>
      <c r="MTM566" s="501"/>
      <c r="MTN566" s="501"/>
      <c r="MTO566" s="501"/>
      <c r="MTP566" s="501"/>
      <c r="MTQ566" s="501"/>
      <c r="MTR566" s="501"/>
      <c r="MTS566" s="501"/>
      <c r="MTT566" s="501"/>
      <c r="MTU566" s="501"/>
      <c r="MTV566" s="501"/>
      <c r="MTW566" s="501"/>
      <c r="MTX566" s="501"/>
      <c r="MTY566" s="501"/>
      <c r="MTZ566" s="501"/>
      <c r="MUA566" s="501"/>
      <c r="MUB566" s="501"/>
      <c r="MUC566" s="501"/>
      <c r="MUD566" s="501"/>
      <c r="MUE566" s="501"/>
      <c r="MUF566" s="501"/>
      <c r="MUG566" s="501"/>
      <c r="MUH566" s="501"/>
      <c r="MUI566" s="501"/>
      <c r="MUJ566" s="501"/>
      <c r="MUK566" s="501"/>
      <c r="MUL566" s="501"/>
      <c r="MUM566" s="501"/>
      <c r="MUN566" s="501"/>
      <c r="MUO566" s="501"/>
      <c r="MUP566" s="501"/>
      <c r="MUQ566" s="501"/>
      <c r="MUR566" s="501"/>
      <c r="MUS566" s="501"/>
      <c r="MUT566" s="501"/>
      <c r="MUU566" s="501"/>
      <c r="MUV566" s="501"/>
      <c r="MUW566" s="501"/>
      <c r="MUX566" s="501"/>
      <c r="MUY566" s="501"/>
      <c r="MUZ566" s="501"/>
      <c r="MVA566" s="501"/>
      <c r="MVB566" s="501"/>
      <c r="MVC566" s="501"/>
      <c r="MVD566" s="501"/>
      <c r="MVE566" s="501"/>
      <c r="MVF566" s="501"/>
      <c r="MVG566" s="501"/>
      <c r="MVH566" s="501"/>
      <c r="MVI566" s="501"/>
      <c r="MVJ566" s="501"/>
      <c r="MVK566" s="501"/>
      <c r="MVL566" s="501"/>
      <c r="MVM566" s="501"/>
      <c r="MVN566" s="501"/>
      <c r="MVO566" s="501"/>
      <c r="MVP566" s="501"/>
      <c r="MVQ566" s="501"/>
      <c r="MVR566" s="501"/>
      <c r="MVS566" s="501"/>
      <c r="MVT566" s="501"/>
      <c r="MVU566" s="501"/>
      <c r="MVV566" s="501"/>
      <c r="MVW566" s="501"/>
      <c r="MVX566" s="501"/>
      <c r="MVY566" s="501"/>
      <c r="MVZ566" s="501"/>
      <c r="MWA566" s="501"/>
      <c r="MWB566" s="501"/>
      <c r="MWC566" s="501"/>
      <c r="MWD566" s="501"/>
      <c r="MWE566" s="501"/>
      <c r="MWF566" s="501"/>
      <c r="MWG566" s="501"/>
      <c r="MWH566" s="501"/>
      <c r="MWI566" s="501"/>
      <c r="MWJ566" s="501"/>
      <c r="MWK566" s="501"/>
      <c r="MWL566" s="501"/>
      <c r="MWM566" s="501"/>
      <c r="MWN566" s="501"/>
      <c r="MWO566" s="501"/>
      <c r="MWP566" s="501"/>
      <c r="MWQ566" s="501"/>
      <c r="MWR566" s="501"/>
      <c r="MWS566" s="501"/>
      <c r="MWT566" s="501"/>
      <c r="MWU566" s="501"/>
      <c r="MWV566" s="501"/>
      <c r="MWW566" s="501"/>
      <c r="MWX566" s="501"/>
      <c r="MWY566" s="501"/>
      <c r="MWZ566" s="501"/>
      <c r="MXA566" s="501"/>
      <c r="MXB566" s="501"/>
      <c r="MXC566" s="501"/>
      <c r="MXD566" s="501"/>
      <c r="MXE566" s="501"/>
      <c r="MXF566" s="501"/>
      <c r="MXG566" s="501"/>
      <c r="MXH566" s="501"/>
      <c r="MXI566" s="501"/>
      <c r="MXJ566" s="501"/>
      <c r="MXK566" s="501"/>
      <c r="MXL566" s="501"/>
      <c r="MXM566" s="501"/>
      <c r="MXN566" s="501"/>
      <c r="MXO566" s="501"/>
      <c r="MXP566" s="501"/>
      <c r="MXQ566" s="501"/>
      <c r="MXR566" s="501"/>
      <c r="MXS566" s="501"/>
      <c r="MXT566" s="501"/>
      <c r="MXU566" s="501"/>
      <c r="MXV566" s="501"/>
      <c r="MXW566" s="501"/>
      <c r="MXX566" s="501"/>
      <c r="MXY566" s="501"/>
      <c r="MXZ566" s="501"/>
      <c r="MYA566" s="501"/>
      <c r="MYB566" s="501"/>
      <c r="MYC566" s="501"/>
      <c r="MYD566" s="501"/>
      <c r="MYE566" s="501"/>
      <c r="MYF566" s="501"/>
      <c r="MYG566" s="501"/>
      <c r="MYH566" s="501"/>
      <c r="MYI566" s="501"/>
      <c r="MYJ566" s="501"/>
      <c r="MYK566" s="501"/>
      <c r="MYL566" s="501"/>
      <c r="MYM566" s="501"/>
      <c r="MYN566" s="501"/>
      <c r="MYO566" s="501"/>
      <c r="MYP566" s="501"/>
      <c r="MYQ566" s="501"/>
      <c r="MYR566" s="501"/>
      <c r="MYS566" s="501"/>
      <c r="MYT566" s="501"/>
      <c r="MYU566" s="501"/>
      <c r="MYV566" s="501"/>
      <c r="MYW566" s="501"/>
      <c r="MYX566" s="501"/>
      <c r="MYY566" s="501"/>
      <c r="MYZ566" s="501"/>
      <c r="MZA566" s="501"/>
      <c r="MZB566" s="501"/>
      <c r="MZC566" s="501"/>
      <c r="MZD566" s="501"/>
      <c r="MZE566" s="501"/>
      <c r="MZF566" s="501"/>
      <c r="MZG566" s="501"/>
      <c r="MZH566" s="501"/>
      <c r="MZI566" s="501"/>
      <c r="MZJ566" s="501"/>
      <c r="MZK566" s="501"/>
      <c r="MZL566" s="501"/>
      <c r="MZM566" s="501"/>
      <c r="MZN566" s="501"/>
      <c r="MZO566" s="501"/>
      <c r="MZP566" s="501"/>
      <c r="MZQ566" s="501"/>
      <c r="MZR566" s="501"/>
      <c r="MZS566" s="501"/>
      <c r="MZT566" s="501"/>
      <c r="MZU566" s="501"/>
      <c r="MZV566" s="501"/>
      <c r="MZW566" s="501"/>
      <c r="MZX566" s="501"/>
      <c r="MZY566" s="501"/>
      <c r="MZZ566" s="501"/>
      <c r="NAA566" s="501"/>
      <c r="NAB566" s="501"/>
      <c r="NAC566" s="501"/>
      <c r="NAD566" s="501"/>
      <c r="NAE566" s="501"/>
      <c r="NAF566" s="501"/>
      <c r="NAG566" s="501"/>
      <c r="NAH566" s="501"/>
      <c r="NAI566" s="501"/>
      <c r="NAJ566" s="501"/>
      <c r="NAK566" s="501"/>
      <c r="NAL566" s="501"/>
      <c r="NAM566" s="501"/>
      <c r="NAN566" s="501"/>
      <c r="NAO566" s="501"/>
      <c r="NAP566" s="501"/>
      <c r="NAQ566" s="501"/>
      <c r="NAR566" s="501"/>
      <c r="NAS566" s="501"/>
      <c r="NAT566" s="501"/>
      <c r="NAU566" s="501"/>
      <c r="NAV566" s="501"/>
      <c r="NAW566" s="501"/>
      <c r="NAX566" s="501"/>
      <c r="NAY566" s="501"/>
      <c r="NAZ566" s="501"/>
      <c r="NBA566" s="501"/>
      <c r="NBB566" s="501"/>
      <c r="NBC566" s="501"/>
      <c r="NBD566" s="501"/>
      <c r="NBE566" s="501"/>
      <c r="NBF566" s="501"/>
      <c r="NBG566" s="501"/>
      <c r="NBH566" s="501"/>
      <c r="NBI566" s="501"/>
      <c r="NBJ566" s="501"/>
      <c r="NBK566" s="501"/>
      <c r="NBL566" s="501"/>
      <c r="NBM566" s="501"/>
      <c r="NBN566" s="501"/>
      <c r="NBO566" s="501"/>
      <c r="NBP566" s="501"/>
      <c r="NBQ566" s="501"/>
      <c r="NBR566" s="501"/>
      <c r="NBS566" s="501"/>
      <c r="NBT566" s="501"/>
      <c r="NBU566" s="501"/>
      <c r="NBV566" s="501"/>
      <c r="NBW566" s="501"/>
      <c r="NBX566" s="501"/>
      <c r="NBY566" s="501"/>
      <c r="NBZ566" s="501"/>
      <c r="NCA566" s="501"/>
      <c r="NCB566" s="501"/>
      <c r="NCC566" s="501"/>
      <c r="NCD566" s="501"/>
      <c r="NCE566" s="501"/>
      <c r="NCF566" s="501"/>
      <c r="NCG566" s="501"/>
      <c r="NCH566" s="501"/>
      <c r="NCI566" s="501"/>
      <c r="NCJ566" s="501"/>
      <c r="NCK566" s="501"/>
      <c r="NCL566" s="501"/>
      <c r="NCM566" s="501"/>
      <c r="NCN566" s="501"/>
      <c r="NCO566" s="501"/>
      <c r="NCP566" s="501"/>
      <c r="NCQ566" s="501"/>
      <c r="NCR566" s="501"/>
      <c r="NCS566" s="501"/>
      <c r="NCT566" s="501"/>
      <c r="NCU566" s="501"/>
      <c r="NCV566" s="501"/>
      <c r="NCW566" s="501"/>
      <c r="NCX566" s="501"/>
      <c r="NCY566" s="501"/>
      <c r="NCZ566" s="501"/>
      <c r="NDA566" s="501"/>
      <c r="NDB566" s="501"/>
      <c r="NDC566" s="501"/>
      <c r="NDD566" s="501"/>
      <c r="NDE566" s="501"/>
      <c r="NDF566" s="501"/>
      <c r="NDG566" s="501"/>
      <c r="NDH566" s="501"/>
      <c r="NDI566" s="501"/>
      <c r="NDJ566" s="501"/>
      <c r="NDK566" s="501"/>
      <c r="NDL566" s="501"/>
      <c r="NDM566" s="501"/>
      <c r="NDN566" s="501"/>
      <c r="NDO566" s="501"/>
      <c r="NDP566" s="501"/>
      <c r="NDQ566" s="501"/>
      <c r="NDR566" s="501"/>
      <c r="NDS566" s="501"/>
      <c r="NDT566" s="501"/>
      <c r="NDU566" s="501"/>
      <c r="NDV566" s="501"/>
      <c r="NDW566" s="501"/>
      <c r="NDX566" s="501"/>
      <c r="NDY566" s="501"/>
      <c r="NDZ566" s="501"/>
      <c r="NEA566" s="501"/>
      <c r="NEB566" s="501"/>
      <c r="NEC566" s="501"/>
      <c r="NED566" s="501"/>
      <c r="NEE566" s="501"/>
      <c r="NEF566" s="501"/>
      <c r="NEG566" s="501"/>
      <c r="NEH566" s="501"/>
      <c r="NEI566" s="501"/>
      <c r="NEJ566" s="501"/>
      <c r="NEK566" s="501"/>
      <c r="NEL566" s="501"/>
      <c r="NEM566" s="501"/>
      <c r="NEN566" s="501"/>
      <c r="NEO566" s="501"/>
      <c r="NEP566" s="501"/>
      <c r="NEQ566" s="501"/>
      <c r="NER566" s="501"/>
      <c r="NES566" s="501"/>
      <c r="NET566" s="501"/>
      <c r="NEU566" s="501"/>
      <c r="NEV566" s="501"/>
      <c r="NEW566" s="501"/>
      <c r="NEX566" s="501"/>
      <c r="NEY566" s="501"/>
      <c r="NEZ566" s="501"/>
      <c r="NFA566" s="501"/>
      <c r="NFB566" s="501"/>
      <c r="NFC566" s="501"/>
      <c r="NFD566" s="501"/>
      <c r="NFE566" s="501"/>
      <c r="NFF566" s="501"/>
      <c r="NFG566" s="501"/>
      <c r="NFH566" s="501"/>
      <c r="NFI566" s="501"/>
      <c r="NFJ566" s="501"/>
      <c r="NFK566" s="501"/>
      <c r="NFL566" s="501"/>
      <c r="NFM566" s="501"/>
      <c r="NFN566" s="501"/>
      <c r="NFO566" s="501"/>
      <c r="NFP566" s="501"/>
      <c r="NFQ566" s="501"/>
      <c r="NFR566" s="501"/>
      <c r="NFS566" s="501"/>
      <c r="NFT566" s="501"/>
      <c r="NFU566" s="501"/>
      <c r="NFV566" s="501"/>
      <c r="NFW566" s="501"/>
      <c r="NFX566" s="501"/>
      <c r="NFY566" s="501"/>
      <c r="NFZ566" s="501"/>
      <c r="NGA566" s="501"/>
      <c r="NGB566" s="501"/>
      <c r="NGC566" s="501"/>
      <c r="NGD566" s="501"/>
      <c r="NGE566" s="501"/>
      <c r="NGF566" s="501"/>
      <c r="NGG566" s="501"/>
      <c r="NGH566" s="501"/>
      <c r="NGI566" s="501"/>
      <c r="NGJ566" s="501"/>
      <c r="NGK566" s="501"/>
      <c r="NGL566" s="501"/>
      <c r="NGM566" s="501"/>
      <c r="NGN566" s="501"/>
      <c r="NGO566" s="501"/>
      <c r="NGP566" s="501"/>
      <c r="NGQ566" s="501"/>
      <c r="NGR566" s="501"/>
      <c r="NGS566" s="501"/>
      <c r="NGT566" s="501"/>
      <c r="NGU566" s="501"/>
      <c r="NGV566" s="501"/>
      <c r="NGW566" s="501"/>
      <c r="NGX566" s="501"/>
      <c r="NGY566" s="501"/>
      <c r="NGZ566" s="501"/>
      <c r="NHA566" s="501"/>
      <c r="NHB566" s="501"/>
      <c r="NHC566" s="501"/>
      <c r="NHD566" s="501"/>
      <c r="NHE566" s="501"/>
      <c r="NHF566" s="501"/>
      <c r="NHG566" s="501"/>
      <c r="NHH566" s="501"/>
      <c r="NHI566" s="501"/>
      <c r="NHJ566" s="501"/>
      <c r="NHK566" s="501"/>
      <c r="NHL566" s="501"/>
      <c r="NHM566" s="501"/>
      <c r="NHN566" s="501"/>
      <c r="NHO566" s="501"/>
      <c r="NHP566" s="501"/>
      <c r="NHQ566" s="501"/>
      <c r="NHR566" s="501"/>
      <c r="NHS566" s="501"/>
      <c r="NHT566" s="501"/>
      <c r="NHU566" s="501"/>
      <c r="NHV566" s="501"/>
      <c r="NHW566" s="501"/>
      <c r="NHX566" s="501"/>
      <c r="NHY566" s="501"/>
      <c r="NHZ566" s="501"/>
      <c r="NIA566" s="501"/>
      <c r="NIB566" s="501"/>
      <c r="NIC566" s="501"/>
      <c r="NID566" s="501"/>
      <c r="NIE566" s="501"/>
      <c r="NIF566" s="501"/>
      <c r="NIG566" s="501"/>
      <c r="NIH566" s="501"/>
      <c r="NII566" s="501"/>
      <c r="NIJ566" s="501"/>
      <c r="NIK566" s="501"/>
      <c r="NIL566" s="501"/>
      <c r="NIM566" s="501"/>
      <c r="NIN566" s="501"/>
      <c r="NIO566" s="501"/>
      <c r="NIP566" s="501"/>
      <c r="NIQ566" s="501"/>
      <c r="NIR566" s="501"/>
      <c r="NIS566" s="501"/>
      <c r="NIT566" s="501"/>
      <c r="NIU566" s="501"/>
      <c r="NIV566" s="501"/>
      <c r="NIW566" s="501"/>
      <c r="NIX566" s="501"/>
      <c r="NIY566" s="501"/>
      <c r="NIZ566" s="501"/>
      <c r="NJA566" s="501"/>
      <c r="NJB566" s="501"/>
      <c r="NJC566" s="501"/>
      <c r="NJD566" s="501"/>
      <c r="NJE566" s="501"/>
      <c r="NJF566" s="501"/>
      <c r="NJG566" s="501"/>
      <c r="NJH566" s="501"/>
      <c r="NJI566" s="501"/>
      <c r="NJJ566" s="501"/>
      <c r="NJK566" s="501"/>
      <c r="NJL566" s="501"/>
      <c r="NJM566" s="501"/>
      <c r="NJN566" s="501"/>
      <c r="NJO566" s="501"/>
      <c r="NJP566" s="501"/>
      <c r="NJQ566" s="501"/>
      <c r="NJR566" s="501"/>
      <c r="NJS566" s="501"/>
      <c r="NJT566" s="501"/>
      <c r="NJU566" s="501"/>
      <c r="NJV566" s="501"/>
      <c r="NJW566" s="501"/>
      <c r="NJX566" s="501"/>
      <c r="NJY566" s="501"/>
      <c r="NJZ566" s="501"/>
      <c r="NKA566" s="501"/>
      <c r="NKB566" s="501"/>
      <c r="NKC566" s="501"/>
      <c r="NKD566" s="501"/>
      <c r="NKE566" s="501"/>
      <c r="NKF566" s="501"/>
      <c r="NKG566" s="501"/>
      <c r="NKH566" s="501"/>
      <c r="NKI566" s="501"/>
      <c r="NKJ566" s="501"/>
      <c r="NKK566" s="501"/>
      <c r="NKL566" s="501"/>
      <c r="NKM566" s="501"/>
      <c r="NKN566" s="501"/>
      <c r="NKO566" s="501"/>
      <c r="NKP566" s="501"/>
      <c r="NKQ566" s="501"/>
      <c r="NKR566" s="501"/>
      <c r="NKS566" s="501"/>
      <c r="NKT566" s="501"/>
      <c r="NKU566" s="501"/>
      <c r="NKV566" s="501"/>
      <c r="NKW566" s="501"/>
      <c r="NKX566" s="501"/>
      <c r="NKY566" s="501"/>
      <c r="NKZ566" s="501"/>
      <c r="NLA566" s="501"/>
      <c r="NLB566" s="501"/>
      <c r="NLC566" s="501"/>
      <c r="NLD566" s="501"/>
      <c r="NLE566" s="501"/>
      <c r="NLF566" s="501"/>
      <c r="NLG566" s="501"/>
      <c r="NLH566" s="501"/>
      <c r="NLI566" s="501"/>
      <c r="NLJ566" s="501"/>
      <c r="NLK566" s="501"/>
      <c r="NLL566" s="501"/>
      <c r="NLM566" s="501"/>
      <c r="NLN566" s="501"/>
      <c r="NLO566" s="501"/>
      <c r="NLP566" s="501"/>
      <c r="NLQ566" s="501"/>
      <c r="NLR566" s="501"/>
      <c r="NLS566" s="501"/>
      <c r="NLT566" s="501"/>
      <c r="NLU566" s="501"/>
      <c r="NLV566" s="501"/>
      <c r="NLW566" s="501"/>
      <c r="NLX566" s="501"/>
      <c r="NLY566" s="501"/>
      <c r="NLZ566" s="501"/>
      <c r="NMA566" s="501"/>
      <c r="NMB566" s="501"/>
      <c r="NMC566" s="501"/>
      <c r="NMD566" s="501"/>
      <c r="NME566" s="501"/>
      <c r="NMF566" s="501"/>
      <c r="NMG566" s="501"/>
      <c r="NMH566" s="501"/>
      <c r="NMI566" s="501"/>
      <c r="NMJ566" s="501"/>
      <c r="NMK566" s="501"/>
      <c r="NML566" s="501"/>
      <c r="NMM566" s="501"/>
      <c r="NMN566" s="501"/>
      <c r="NMO566" s="501"/>
      <c r="NMP566" s="501"/>
      <c r="NMQ566" s="501"/>
      <c r="NMR566" s="501"/>
      <c r="NMS566" s="501"/>
      <c r="NMT566" s="501"/>
      <c r="NMU566" s="501"/>
      <c r="NMV566" s="501"/>
      <c r="NMW566" s="501"/>
      <c r="NMX566" s="501"/>
      <c r="NMY566" s="501"/>
      <c r="NMZ566" s="501"/>
      <c r="NNA566" s="501"/>
      <c r="NNB566" s="501"/>
      <c r="NNC566" s="501"/>
      <c r="NND566" s="501"/>
      <c r="NNE566" s="501"/>
      <c r="NNF566" s="501"/>
      <c r="NNG566" s="501"/>
      <c r="NNH566" s="501"/>
      <c r="NNI566" s="501"/>
      <c r="NNJ566" s="501"/>
      <c r="NNK566" s="501"/>
      <c r="NNL566" s="501"/>
      <c r="NNM566" s="501"/>
      <c r="NNN566" s="501"/>
      <c r="NNO566" s="501"/>
      <c r="NNP566" s="501"/>
      <c r="NNQ566" s="501"/>
      <c r="NNR566" s="501"/>
      <c r="NNS566" s="501"/>
      <c r="NNT566" s="501"/>
      <c r="NNU566" s="501"/>
      <c r="NNV566" s="501"/>
      <c r="NNW566" s="501"/>
      <c r="NNX566" s="501"/>
      <c r="NNY566" s="501"/>
      <c r="NNZ566" s="501"/>
      <c r="NOA566" s="501"/>
      <c r="NOB566" s="501"/>
      <c r="NOC566" s="501"/>
      <c r="NOD566" s="501"/>
      <c r="NOE566" s="501"/>
      <c r="NOF566" s="501"/>
      <c r="NOG566" s="501"/>
      <c r="NOH566" s="501"/>
      <c r="NOI566" s="501"/>
      <c r="NOJ566" s="501"/>
      <c r="NOK566" s="501"/>
      <c r="NOL566" s="501"/>
      <c r="NOM566" s="501"/>
      <c r="NON566" s="501"/>
      <c r="NOO566" s="501"/>
      <c r="NOP566" s="501"/>
      <c r="NOQ566" s="501"/>
      <c r="NOR566" s="501"/>
      <c r="NOS566" s="501"/>
      <c r="NOT566" s="501"/>
      <c r="NOU566" s="501"/>
      <c r="NOV566" s="501"/>
      <c r="NOW566" s="501"/>
      <c r="NOX566" s="501"/>
      <c r="NOY566" s="501"/>
      <c r="NOZ566" s="501"/>
      <c r="NPA566" s="501"/>
      <c r="NPB566" s="501"/>
      <c r="NPC566" s="501"/>
      <c r="NPD566" s="501"/>
      <c r="NPE566" s="501"/>
      <c r="NPF566" s="501"/>
      <c r="NPG566" s="501"/>
      <c r="NPH566" s="501"/>
      <c r="NPI566" s="501"/>
      <c r="NPJ566" s="501"/>
      <c r="NPK566" s="501"/>
      <c r="NPL566" s="501"/>
      <c r="NPM566" s="501"/>
      <c r="NPN566" s="501"/>
      <c r="NPO566" s="501"/>
      <c r="NPP566" s="501"/>
      <c r="NPQ566" s="501"/>
      <c r="NPR566" s="501"/>
      <c r="NPS566" s="501"/>
      <c r="NPT566" s="501"/>
      <c r="NPU566" s="501"/>
      <c r="NPV566" s="501"/>
      <c r="NPW566" s="501"/>
      <c r="NPX566" s="501"/>
      <c r="NPY566" s="501"/>
      <c r="NPZ566" s="501"/>
      <c r="NQA566" s="501"/>
      <c r="NQB566" s="501"/>
      <c r="NQC566" s="501"/>
      <c r="NQD566" s="501"/>
      <c r="NQE566" s="501"/>
      <c r="NQF566" s="501"/>
      <c r="NQG566" s="501"/>
      <c r="NQH566" s="501"/>
      <c r="NQI566" s="501"/>
      <c r="NQJ566" s="501"/>
      <c r="NQK566" s="501"/>
      <c r="NQL566" s="501"/>
      <c r="NQM566" s="501"/>
      <c r="NQN566" s="501"/>
      <c r="NQO566" s="501"/>
      <c r="NQP566" s="501"/>
      <c r="NQQ566" s="501"/>
      <c r="NQR566" s="501"/>
      <c r="NQS566" s="501"/>
      <c r="NQT566" s="501"/>
      <c r="NQU566" s="501"/>
      <c r="NQV566" s="501"/>
      <c r="NQW566" s="501"/>
      <c r="NQX566" s="501"/>
      <c r="NQY566" s="501"/>
      <c r="NQZ566" s="501"/>
      <c r="NRA566" s="501"/>
      <c r="NRB566" s="501"/>
      <c r="NRC566" s="501"/>
      <c r="NRD566" s="501"/>
      <c r="NRE566" s="501"/>
      <c r="NRF566" s="501"/>
      <c r="NRG566" s="501"/>
      <c r="NRH566" s="501"/>
      <c r="NRI566" s="501"/>
      <c r="NRJ566" s="501"/>
      <c r="NRK566" s="501"/>
      <c r="NRL566" s="501"/>
      <c r="NRM566" s="501"/>
      <c r="NRN566" s="501"/>
      <c r="NRO566" s="501"/>
      <c r="NRP566" s="501"/>
      <c r="NRQ566" s="501"/>
      <c r="NRR566" s="501"/>
      <c r="NRS566" s="501"/>
      <c r="NRT566" s="501"/>
      <c r="NRU566" s="501"/>
      <c r="NRV566" s="501"/>
      <c r="NRW566" s="501"/>
      <c r="NRX566" s="501"/>
      <c r="NRY566" s="501"/>
      <c r="NRZ566" s="501"/>
      <c r="NSA566" s="501"/>
      <c r="NSB566" s="501"/>
      <c r="NSC566" s="501"/>
      <c r="NSD566" s="501"/>
      <c r="NSE566" s="501"/>
      <c r="NSF566" s="501"/>
      <c r="NSG566" s="501"/>
      <c r="NSH566" s="501"/>
      <c r="NSI566" s="501"/>
      <c r="NSJ566" s="501"/>
      <c r="NSK566" s="501"/>
      <c r="NSL566" s="501"/>
      <c r="NSM566" s="501"/>
      <c r="NSN566" s="501"/>
      <c r="NSO566" s="501"/>
      <c r="NSP566" s="501"/>
      <c r="NSQ566" s="501"/>
      <c r="NSR566" s="501"/>
      <c r="NSS566" s="501"/>
      <c r="NST566" s="501"/>
      <c r="NSU566" s="501"/>
      <c r="NSV566" s="501"/>
      <c r="NSW566" s="501"/>
      <c r="NSX566" s="501"/>
      <c r="NSY566" s="501"/>
      <c r="NSZ566" s="501"/>
      <c r="NTA566" s="501"/>
      <c r="NTB566" s="501"/>
      <c r="NTC566" s="501"/>
      <c r="NTD566" s="501"/>
      <c r="NTE566" s="501"/>
      <c r="NTF566" s="501"/>
      <c r="NTG566" s="501"/>
      <c r="NTH566" s="501"/>
      <c r="NTI566" s="501"/>
      <c r="NTJ566" s="501"/>
      <c r="NTK566" s="501"/>
      <c r="NTL566" s="501"/>
      <c r="NTM566" s="501"/>
      <c r="NTN566" s="501"/>
      <c r="NTO566" s="501"/>
      <c r="NTP566" s="501"/>
      <c r="NTQ566" s="501"/>
      <c r="NTR566" s="501"/>
      <c r="NTS566" s="501"/>
      <c r="NTT566" s="501"/>
      <c r="NTU566" s="501"/>
      <c r="NTV566" s="501"/>
      <c r="NTW566" s="501"/>
      <c r="NTX566" s="501"/>
      <c r="NTY566" s="501"/>
      <c r="NTZ566" s="501"/>
      <c r="NUA566" s="501"/>
      <c r="NUB566" s="501"/>
      <c r="NUC566" s="501"/>
      <c r="NUD566" s="501"/>
      <c r="NUE566" s="501"/>
      <c r="NUF566" s="501"/>
      <c r="NUG566" s="501"/>
      <c r="NUH566" s="501"/>
      <c r="NUI566" s="501"/>
      <c r="NUJ566" s="501"/>
      <c r="NUK566" s="501"/>
      <c r="NUL566" s="501"/>
      <c r="NUM566" s="501"/>
      <c r="NUN566" s="501"/>
      <c r="NUO566" s="501"/>
      <c r="NUP566" s="501"/>
      <c r="NUQ566" s="501"/>
      <c r="NUR566" s="501"/>
      <c r="NUS566" s="501"/>
      <c r="NUT566" s="501"/>
      <c r="NUU566" s="501"/>
      <c r="NUV566" s="501"/>
      <c r="NUW566" s="501"/>
      <c r="NUX566" s="501"/>
      <c r="NUY566" s="501"/>
      <c r="NUZ566" s="501"/>
      <c r="NVA566" s="501"/>
      <c r="NVB566" s="501"/>
      <c r="NVC566" s="501"/>
      <c r="NVD566" s="501"/>
      <c r="NVE566" s="501"/>
      <c r="NVF566" s="501"/>
      <c r="NVG566" s="501"/>
      <c r="NVH566" s="501"/>
      <c r="NVI566" s="501"/>
      <c r="NVJ566" s="501"/>
      <c r="NVK566" s="501"/>
      <c r="NVL566" s="501"/>
      <c r="NVM566" s="501"/>
      <c r="NVN566" s="501"/>
      <c r="NVO566" s="501"/>
      <c r="NVP566" s="501"/>
      <c r="NVQ566" s="501"/>
      <c r="NVR566" s="501"/>
      <c r="NVS566" s="501"/>
      <c r="NVT566" s="501"/>
      <c r="NVU566" s="501"/>
      <c r="NVV566" s="501"/>
      <c r="NVW566" s="501"/>
      <c r="NVX566" s="501"/>
      <c r="NVY566" s="501"/>
      <c r="NVZ566" s="501"/>
      <c r="NWA566" s="501"/>
      <c r="NWB566" s="501"/>
      <c r="NWC566" s="501"/>
      <c r="NWD566" s="501"/>
      <c r="NWE566" s="501"/>
      <c r="NWF566" s="501"/>
      <c r="NWG566" s="501"/>
      <c r="NWH566" s="501"/>
      <c r="NWI566" s="501"/>
      <c r="NWJ566" s="501"/>
      <c r="NWK566" s="501"/>
      <c r="NWL566" s="501"/>
      <c r="NWM566" s="501"/>
      <c r="NWN566" s="501"/>
      <c r="NWO566" s="501"/>
      <c r="NWP566" s="501"/>
      <c r="NWQ566" s="501"/>
      <c r="NWR566" s="501"/>
      <c r="NWS566" s="501"/>
      <c r="NWT566" s="501"/>
      <c r="NWU566" s="501"/>
      <c r="NWV566" s="501"/>
      <c r="NWW566" s="501"/>
      <c r="NWX566" s="501"/>
      <c r="NWY566" s="501"/>
      <c r="NWZ566" s="501"/>
      <c r="NXA566" s="501"/>
      <c r="NXB566" s="501"/>
      <c r="NXC566" s="501"/>
      <c r="NXD566" s="501"/>
      <c r="NXE566" s="501"/>
      <c r="NXF566" s="501"/>
      <c r="NXG566" s="501"/>
      <c r="NXH566" s="501"/>
      <c r="NXI566" s="501"/>
      <c r="NXJ566" s="501"/>
      <c r="NXK566" s="501"/>
      <c r="NXL566" s="501"/>
      <c r="NXM566" s="501"/>
      <c r="NXN566" s="501"/>
      <c r="NXO566" s="501"/>
      <c r="NXP566" s="501"/>
      <c r="NXQ566" s="501"/>
      <c r="NXR566" s="501"/>
      <c r="NXS566" s="501"/>
      <c r="NXT566" s="501"/>
      <c r="NXU566" s="501"/>
      <c r="NXV566" s="501"/>
      <c r="NXW566" s="501"/>
      <c r="NXX566" s="501"/>
      <c r="NXY566" s="501"/>
      <c r="NXZ566" s="501"/>
      <c r="NYA566" s="501"/>
      <c r="NYB566" s="501"/>
      <c r="NYC566" s="501"/>
      <c r="NYD566" s="501"/>
      <c r="NYE566" s="501"/>
      <c r="NYF566" s="501"/>
      <c r="NYG566" s="501"/>
      <c r="NYH566" s="501"/>
      <c r="NYI566" s="501"/>
      <c r="NYJ566" s="501"/>
      <c r="NYK566" s="501"/>
      <c r="NYL566" s="501"/>
      <c r="NYM566" s="501"/>
      <c r="NYN566" s="501"/>
      <c r="NYO566" s="501"/>
      <c r="NYP566" s="501"/>
      <c r="NYQ566" s="501"/>
      <c r="NYR566" s="501"/>
      <c r="NYS566" s="501"/>
      <c r="NYT566" s="501"/>
      <c r="NYU566" s="501"/>
      <c r="NYV566" s="501"/>
      <c r="NYW566" s="501"/>
      <c r="NYX566" s="501"/>
      <c r="NYY566" s="501"/>
      <c r="NYZ566" s="501"/>
      <c r="NZA566" s="501"/>
      <c r="NZB566" s="501"/>
      <c r="NZC566" s="501"/>
      <c r="NZD566" s="501"/>
      <c r="NZE566" s="501"/>
      <c r="NZF566" s="501"/>
      <c r="NZG566" s="501"/>
      <c r="NZH566" s="501"/>
      <c r="NZI566" s="501"/>
      <c r="NZJ566" s="501"/>
      <c r="NZK566" s="501"/>
      <c r="NZL566" s="501"/>
      <c r="NZM566" s="501"/>
      <c r="NZN566" s="501"/>
      <c r="NZO566" s="501"/>
      <c r="NZP566" s="501"/>
      <c r="NZQ566" s="501"/>
      <c r="NZR566" s="501"/>
      <c r="NZS566" s="501"/>
      <c r="NZT566" s="501"/>
      <c r="NZU566" s="501"/>
      <c r="NZV566" s="501"/>
      <c r="NZW566" s="501"/>
      <c r="NZX566" s="501"/>
      <c r="NZY566" s="501"/>
      <c r="NZZ566" s="501"/>
      <c r="OAA566" s="501"/>
      <c r="OAB566" s="501"/>
      <c r="OAC566" s="501"/>
      <c r="OAD566" s="501"/>
      <c r="OAE566" s="501"/>
      <c r="OAF566" s="501"/>
      <c r="OAG566" s="501"/>
      <c r="OAH566" s="501"/>
      <c r="OAI566" s="501"/>
      <c r="OAJ566" s="501"/>
      <c r="OAK566" s="501"/>
      <c r="OAL566" s="501"/>
      <c r="OAM566" s="501"/>
      <c r="OAN566" s="501"/>
      <c r="OAO566" s="501"/>
      <c r="OAP566" s="501"/>
      <c r="OAQ566" s="501"/>
      <c r="OAR566" s="501"/>
      <c r="OAS566" s="501"/>
      <c r="OAT566" s="501"/>
      <c r="OAU566" s="501"/>
      <c r="OAV566" s="501"/>
      <c r="OAW566" s="501"/>
      <c r="OAX566" s="501"/>
      <c r="OAY566" s="501"/>
      <c r="OAZ566" s="501"/>
      <c r="OBA566" s="501"/>
      <c r="OBB566" s="501"/>
      <c r="OBC566" s="501"/>
      <c r="OBD566" s="501"/>
      <c r="OBE566" s="501"/>
      <c r="OBF566" s="501"/>
      <c r="OBG566" s="501"/>
      <c r="OBH566" s="501"/>
      <c r="OBI566" s="501"/>
      <c r="OBJ566" s="501"/>
      <c r="OBK566" s="501"/>
      <c r="OBL566" s="501"/>
      <c r="OBM566" s="501"/>
      <c r="OBN566" s="501"/>
      <c r="OBO566" s="501"/>
      <c r="OBP566" s="501"/>
      <c r="OBQ566" s="501"/>
      <c r="OBR566" s="501"/>
      <c r="OBS566" s="501"/>
      <c r="OBT566" s="501"/>
      <c r="OBU566" s="501"/>
      <c r="OBV566" s="501"/>
      <c r="OBW566" s="501"/>
      <c r="OBX566" s="501"/>
      <c r="OBY566" s="501"/>
      <c r="OBZ566" s="501"/>
      <c r="OCA566" s="501"/>
      <c r="OCB566" s="501"/>
      <c r="OCC566" s="501"/>
      <c r="OCD566" s="501"/>
      <c r="OCE566" s="501"/>
      <c r="OCF566" s="501"/>
      <c r="OCG566" s="501"/>
      <c r="OCH566" s="501"/>
      <c r="OCI566" s="501"/>
      <c r="OCJ566" s="501"/>
      <c r="OCK566" s="501"/>
      <c r="OCL566" s="501"/>
      <c r="OCM566" s="501"/>
      <c r="OCN566" s="501"/>
      <c r="OCO566" s="501"/>
      <c r="OCP566" s="501"/>
      <c r="OCQ566" s="501"/>
      <c r="OCR566" s="501"/>
      <c r="OCS566" s="501"/>
      <c r="OCT566" s="501"/>
      <c r="OCU566" s="501"/>
      <c r="OCV566" s="501"/>
      <c r="OCW566" s="501"/>
      <c r="OCX566" s="501"/>
      <c r="OCY566" s="501"/>
      <c r="OCZ566" s="501"/>
      <c r="ODA566" s="501"/>
      <c r="ODB566" s="501"/>
      <c r="ODC566" s="501"/>
      <c r="ODD566" s="501"/>
      <c r="ODE566" s="501"/>
      <c r="ODF566" s="501"/>
      <c r="ODG566" s="501"/>
      <c r="ODH566" s="501"/>
      <c r="ODI566" s="501"/>
      <c r="ODJ566" s="501"/>
      <c r="ODK566" s="501"/>
      <c r="ODL566" s="501"/>
      <c r="ODM566" s="501"/>
      <c r="ODN566" s="501"/>
      <c r="ODO566" s="501"/>
      <c r="ODP566" s="501"/>
      <c r="ODQ566" s="501"/>
      <c r="ODR566" s="501"/>
      <c r="ODS566" s="501"/>
      <c r="ODT566" s="501"/>
      <c r="ODU566" s="501"/>
      <c r="ODV566" s="501"/>
      <c r="ODW566" s="501"/>
      <c r="ODX566" s="501"/>
      <c r="ODY566" s="501"/>
      <c r="ODZ566" s="501"/>
      <c r="OEA566" s="501"/>
      <c r="OEB566" s="501"/>
      <c r="OEC566" s="501"/>
      <c r="OED566" s="501"/>
      <c r="OEE566" s="501"/>
      <c r="OEF566" s="501"/>
      <c r="OEG566" s="501"/>
      <c r="OEH566" s="501"/>
      <c r="OEI566" s="501"/>
      <c r="OEJ566" s="501"/>
      <c r="OEK566" s="501"/>
      <c r="OEL566" s="501"/>
      <c r="OEM566" s="501"/>
      <c r="OEN566" s="501"/>
      <c r="OEO566" s="501"/>
      <c r="OEP566" s="501"/>
      <c r="OEQ566" s="501"/>
      <c r="OER566" s="501"/>
      <c r="OES566" s="501"/>
      <c r="OET566" s="501"/>
      <c r="OEU566" s="501"/>
      <c r="OEV566" s="501"/>
      <c r="OEW566" s="501"/>
      <c r="OEX566" s="501"/>
      <c r="OEY566" s="501"/>
      <c r="OEZ566" s="501"/>
      <c r="OFA566" s="501"/>
      <c r="OFB566" s="501"/>
      <c r="OFC566" s="501"/>
      <c r="OFD566" s="501"/>
      <c r="OFE566" s="501"/>
      <c r="OFF566" s="501"/>
      <c r="OFG566" s="501"/>
      <c r="OFH566" s="501"/>
      <c r="OFI566" s="501"/>
      <c r="OFJ566" s="501"/>
      <c r="OFK566" s="501"/>
      <c r="OFL566" s="501"/>
      <c r="OFM566" s="501"/>
      <c r="OFN566" s="501"/>
      <c r="OFO566" s="501"/>
      <c r="OFP566" s="501"/>
      <c r="OFQ566" s="501"/>
      <c r="OFR566" s="501"/>
      <c r="OFS566" s="501"/>
      <c r="OFT566" s="501"/>
      <c r="OFU566" s="501"/>
      <c r="OFV566" s="501"/>
      <c r="OFW566" s="501"/>
      <c r="OFX566" s="501"/>
      <c r="OFY566" s="501"/>
      <c r="OFZ566" s="501"/>
      <c r="OGA566" s="501"/>
      <c r="OGB566" s="501"/>
      <c r="OGC566" s="501"/>
      <c r="OGD566" s="501"/>
      <c r="OGE566" s="501"/>
      <c r="OGF566" s="501"/>
      <c r="OGG566" s="501"/>
      <c r="OGH566" s="501"/>
      <c r="OGI566" s="501"/>
      <c r="OGJ566" s="501"/>
      <c r="OGK566" s="501"/>
      <c r="OGL566" s="501"/>
      <c r="OGM566" s="501"/>
      <c r="OGN566" s="501"/>
      <c r="OGO566" s="501"/>
      <c r="OGP566" s="501"/>
      <c r="OGQ566" s="501"/>
      <c r="OGR566" s="501"/>
      <c r="OGS566" s="501"/>
      <c r="OGT566" s="501"/>
      <c r="OGU566" s="501"/>
      <c r="OGV566" s="501"/>
      <c r="OGW566" s="501"/>
      <c r="OGX566" s="501"/>
      <c r="OGY566" s="501"/>
      <c r="OGZ566" s="501"/>
      <c r="OHA566" s="501"/>
      <c r="OHB566" s="501"/>
      <c r="OHC566" s="501"/>
      <c r="OHD566" s="501"/>
      <c r="OHE566" s="501"/>
      <c r="OHF566" s="501"/>
      <c r="OHG566" s="501"/>
      <c r="OHH566" s="501"/>
      <c r="OHI566" s="501"/>
      <c r="OHJ566" s="501"/>
      <c r="OHK566" s="501"/>
      <c r="OHL566" s="501"/>
      <c r="OHM566" s="501"/>
      <c r="OHN566" s="501"/>
      <c r="OHO566" s="501"/>
      <c r="OHP566" s="501"/>
      <c r="OHQ566" s="501"/>
      <c r="OHR566" s="501"/>
      <c r="OHS566" s="501"/>
      <c r="OHT566" s="501"/>
      <c r="OHU566" s="501"/>
      <c r="OHV566" s="501"/>
      <c r="OHW566" s="501"/>
      <c r="OHX566" s="501"/>
      <c r="OHY566" s="501"/>
      <c r="OHZ566" s="501"/>
      <c r="OIA566" s="501"/>
      <c r="OIB566" s="501"/>
      <c r="OIC566" s="501"/>
      <c r="OID566" s="501"/>
      <c r="OIE566" s="501"/>
      <c r="OIF566" s="501"/>
      <c r="OIG566" s="501"/>
      <c r="OIH566" s="501"/>
      <c r="OII566" s="501"/>
      <c r="OIJ566" s="501"/>
      <c r="OIK566" s="501"/>
      <c r="OIL566" s="501"/>
      <c r="OIM566" s="501"/>
      <c r="OIN566" s="501"/>
      <c r="OIO566" s="501"/>
      <c r="OIP566" s="501"/>
      <c r="OIQ566" s="501"/>
      <c r="OIR566" s="501"/>
      <c r="OIS566" s="501"/>
      <c r="OIT566" s="501"/>
      <c r="OIU566" s="501"/>
      <c r="OIV566" s="501"/>
      <c r="OIW566" s="501"/>
      <c r="OIX566" s="501"/>
      <c r="OIY566" s="501"/>
      <c r="OIZ566" s="501"/>
      <c r="OJA566" s="501"/>
      <c r="OJB566" s="501"/>
      <c r="OJC566" s="501"/>
      <c r="OJD566" s="501"/>
      <c r="OJE566" s="501"/>
      <c r="OJF566" s="501"/>
      <c r="OJG566" s="501"/>
      <c r="OJH566" s="501"/>
      <c r="OJI566" s="501"/>
      <c r="OJJ566" s="501"/>
      <c r="OJK566" s="501"/>
      <c r="OJL566" s="501"/>
      <c r="OJM566" s="501"/>
      <c r="OJN566" s="501"/>
      <c r="OJO566" s="501"/>
      <c r="OJP566" s="501"/>
      <c r="OJQ566" s="501"/>
      <c r="OJR566" s="501"/>
      <c r="OJS566" s="501"/>
      <c r="OJT566" s="501"/>
      <c r="OJU566" s="501"/>
      <c r="OJV566" s="501"/>
      <c r="OJW566" s="501"/>
      <c r="OJX566" s="501"/>
      <c r="OJY566" s="501"/>
      <c r="OJZ566" s="501"/>
      <c r="OKA566" s="501"/>
      <c r="OKB566" s="501"/>
      <c r="OKC566" s="501"/>
      <c r="OKD566" s="501"/>
      <c r="OKE566" s="501"/>
      <c r="OKF566" s="501"/>
      <c r="OKG566" s="501"/>
      <c r="OKH566" s="501"/>
      <c r="OKI566" s="501"/>
      <c r="OKJ566" s="501"/>
      <c r="OKK566" s="501"/>
      <c r="OKL566" s="501"/>
      <c r="OKM566" s="501"/>
      <c r="OKN566" s="501"/>
      <c r="OKO566" s="501"/>
      <c r="OKP566" s="501"/>
      <c r="OKQ566" s="501"/>
      <c r="OKR566" s="501"/>
      <c r="OKS566" s="501"/>
      <c r="OKT566" s="501"/>
      <c r="OKU566" s="501"/>
      <c r="OKV566" s="501"/>
      <c r="OKW566" s="501"/>
      <c r="OKX566" s="501"/>
      <c r="OKY566" s="501"/>
      <c r="OKZ566" s="501"/>
      <c r="OLA566" s="501"/>
      <c r="OLB566" s="501"/>
      <c r="OLC566" s="501"/>
      <c r="OLD566" s="501"/>
      <c r="OLE566" s="501"/>
      <c r="OLF566" s="501"/>
      <c r="OLG566" s="501"/>
      <c r="OLH566" s="501"/>
      <c r="OLI566" s="501"/>
      <c r="OLJ566" s="501"/>
      <c r="OLK566" s="501"/>
      <c r="OLL566" s="501"/>
      <c r="OLM566" s="501"/>
      <c r="OLN566" s="501"/>
      <c r="OLO566" s="501"/>
      <c r="OLP566" s="501"/>
      <c r="OLQ566" s="501"/>
      <c r="OLR566" s="501"/>
      <c r="OLS566" s="501"/>
      <c r="OLT566" s="501"/>
      <c r="OLU566" s="501"/>
      <c r="OLV566" s="501"/>
      <c r="OLW566" s="501"/>
      <c r="OLX566" s="501"/>
      <c r="OLY566" s="501"/>
      <c r="OLZ566" s="501"/>
      <c r="OMA566" s="501"/>
      <c r="OMB566" s="501"/>
      <c r="OMC566" s="501"/>
      <c r="OMD566" s="501"/>
      <c r="OME566" s="501"/>
      <c r="OMF566" s="501"/>
      <c r="OMG566" s="501"/>
      <c r="OMH566" s="501"/>
      <c r="OMI566" s="501"/>
      <c r="OMJ566" s="501"/>
      <c r="OMK566" s="501"/>
      <c r="OML566" s="501"/>
      <c r="OMM566" s="501"/>
      <c r="OMN566" s="501"/>
      <c r="OMO566" s="501"/>
      <c r="OMP566" s="501"/>
      <c r="OMQ566" s="501"/>
      <c r="OMR566" s="501"/>
      <c r="OMS566" s="501"/>
      <c r="OMT566" s="501"/>
      <c r="OMU566" s="501"/>
      <c r="OMV566" s="501"/>
      <c r="OMW566" s="501"/>
      <c r="OMX566" s="501"/>
      <c r="OMY566" s="501"/>
      <c r="OMZ566" s="501"/>
      <c r="ONA566" s="501"/>
      <c r="ONB566" s="501"/>
      <c r="ONC566" s="501"/>
      <c r="OND566" s="501"/>
      <c r="ONE566" s="501"/>
      <c r="ONF566" s="501"/>
      <c r="ONG566" s="501"/>
      <c r="ONH566" s="501"/>
      <c r="ONI566" s="501"/>
      <c r="ONJ566" s="501"/>
      <c r="ONK566" s="501"/>
      <c r="ONL566" s="501"/>
      <c r="ONM566" s="501"/>
      <c r="ONN566" s="501"/>
      <c r="ONO566" s="501"/>
      <c r="ONP566" s="501"/>
      <c r="ONQ566" s="501"/>
      <c r="ONR566" s="501"/>
      <c r="ONS566" s="501"/>
      <c r="ONT566" s="501"/>
      <c r="ONU566" s="501"/>
      <c r="ONV566" s="501"/>
      <c r="ONW566" s="501"/>
      <c r="ONX566" s="501"/>
      <c r="ONY566" s="501"/>
      <c r="ONZ566" s="501"/>
      <c r="OOA566" s="501"/>
      <c r="OOB566" s="501"/>
      <c r="OOC566" s="501"/>
      <c r="OOD566" s="501"/>
      <c r="OOE566" s="501"/>
      <c r="OOF566" s="501"/>
      <c r="OOG566" s="501"/>
      <c r="OOH566" s="501"/>
      <c r="OOI566" s="501"/>
      <c r="OOJ566" s="501"/>
      <c r="OOK566" s="501"/>
      <c r="OOL566" s="501"/>
      <c r="OOM566" s="501"/>
      <c r="OON566" s="501"/>
      <c r="OOO566" s="501"/>
      <c r="OOP566" s="501"/>
      <c r="OOQ566" s="501"/>
      <c r="OOR566" s="501"/>
      <c r="OOS566" s="501"/>
      <c r="OOT566" s="501"/>
      <c r="OOU566" s="501"/>
      <c r="OOV566" s="501"/>
      <c r="OOW566" s="501"/>
      <c r="OOX566" s="501"/>
      <c r="OOY566" s="501"/>
      <c r="OOZ566" s="501"/>
      <c r="OPA566" s="501"/>
      <c r="OPB566" s="501"/>
      <c r="OPC566" s="501"/>
      <c r="OPD566" s="501"/>
      <c r="OPE566" s="501"/>
      <c r="OPF566" s="501"/>
      <c r="OPG566" s="501"/>
      <c r="OPH566" s="501"/>
      <c r="OPI566" s="501"/>
      <c r="OPJ566" s="501"/>
      <c r="OPK566" s="501"/>
      <c r="OPL566" s="501"/>
      <c r="OPM566" s="501"/>
      <c r="OPN566" s="501"/>
      <c r="OPO566" s="501"/>
      <c r="OPP566" s="501"/>
      <c r="OPQ566" s="501"/>
      <c r="OPR566" s="501"/>
      <c r="OPS566" s="501"/>
      <c r="OPT566" s="501"/>
      <c r="OPU566" s="501"/>
      <c r="OPV566" s="501"/>
      <c r="OPW566" s="501"/>
      <c r="OPX566" s="501"/>
      <c r="OPY566" s="501"/>
      <c r="OPZ566" s="501"/>
      <c r="OQA566" s="501"/>
      <c r="OQB566" s="501"/>
      <c r="OQC566" s="501"/>
      <c r="OQD566" s="501"/>
      <c r="OQE566" s="501"/>
      <c r="OQF566" s="501"/>
      <c r="OQG566" s="501"/>
      <c r="OQH566" s="501"/>
      <c r="OQI566" s="501"/>
      <c r="OQJ566" s="501"/>
      <c r="OQK566" s="501"/>
      <c r="OQL566" s="501"/>
      <c r="OQM566" s="501"/>
      <c r="OQN566" s="501"/>
      <c r="OQO566" s="501"/>
      <c r="OQP566" s="501"/>
      <c r="OQQ566" s="501"/>
      <c r="OQR566" s="501"/>
      <c r="OQS566" s="501"/>
      <c r="OQT566" s="501"/>
      <c r="OQU566" s="501"/>
      <c r="OQV566" s="501"/>
      <c r="OQW566" s="501"/>
      <c r="OQX566" s="501"/>
      <c r="OQY566" s="501"/>
      <c r="OQZ566" s="501"/>
      <c r="ORA566" s="501"/>
      <c r="ORB566" s="501"/>
      <c r="ORC566" s="501"/>
      <c r="ORD566" s="501"/>
      <c r="ORE566" s="501"/>
      <c r="ORF566" s="501"/>
      <c r="ORG566" s="501"/>
      <c r="ORH566" s="501"/>
      <c r="ORI566" s="501"/>
      <c r="ORJ566" s="501"/>
      <c r="ORK566" s="501"/>
      <c r="ORL566" s="501"/>
      <c r="ORM566" s="501"/>
      <c r="ORN566" s="501"/>
      <c r="ORO566" s="501"/>
      <c r="ORP566" s="501"/>
      <c r="ORQ566" s="501"/>
      <c r="ORR566" s="501"/>
      <c r="ORS566" s="501"/>
      <c r="ORT566" s="501"/>
      <c r="ORU566" s="501"/>
      <c r="ORV566" s="501"/>
      <c r="ORW566" s="501"/>
      <c r="ORX566" s="501"/>
      <c r="ORY566" s="501"/>
      <c r="ORZ566" s="501"/>
      <c r="OSA566" s="501"/>
      <c r="OSB566" s="501"/>
      <c r="OSC566" s="501"/>
      <c r="OSD566" s="501"/>
      <c r="OSE566" s="501"/>
      <c r="OSF566" s="501"/>
      <c r="OSG566" s="501"/>
      <c r="OSH566" s="501"/>
      <c r="OSI566" s="501"/>
      <c r="OSJ566" s="501"/>
      <c r="OSK566" s="501"/>
      <c r="OSL566" s="501"/>
      <c r="OSM566" s="501"/>
      <c r="OSN566" s="501"/>
      <c r="OSO566" s="501"/>
      <c r="OSP566" s="501"/>
      <c r="OSQ566" s="501"/>
      <c r="OSR566" s="501"/>
      <c r="OSS566" s="501"/>
      <c r="OST566" s="501"/>
      <c r="OSU566" s="501"/>
      <c r="OSV566" s="501"/>
      <c r="OSW566" s="501"/>
      <c r="OSX566" s="501"/>
      <c r="OSY566" s="501"/>
      <c r="OSZ566" s="501"/>
      <c r="OTA566" s="501"/>
      <c r="OTB566" s="501"/>
      <c r="OTC566" s="501"/>
      <c r="OTD566" s="501"/>
      <c r="OTE566" s="501"/>
      <c r="OTF566" s="501"/>
      <c r="OTG566" s="501"/>
      <c r="OTH566" s="501"/>
      <c r="OTI566" s="501"/>
      <c r="OTJ566" s="501"/>
      <c r="OTK566" s="501"/>
      <c r="OTL566" s="501"/>
      <c r="OTM566" s="501"/>
      <c r="OTN566" s="501"/>
      <c r="OTO566" s="501"/>
      <c r="OTP566" s="501"/>
      <c r="OTQ566" s="501"/>
      <c r="OTR566" s="501"/>
      <c r="OTS566" s="501"/>
      <c r="OTT566" s="501"/>
      <c r="OTU566" s="501"/>
      <c r="OTV566" s="501"/>
      <c r="OTW566" s="501"/>
      <c r="OTX566" s="501"/>
      <c r="OTY566" s="501"/>
      <c r="OTZ566" s="501"/>
      <c r="OUA566" s="501"/>
      <c r="OUB566" s="501"/>
      <c r="OUC566" s="501"/>
      <c r="OUD566" s="501"/>
      <c r="OUE566" s="501"/>
      <c r="OUF566" s="501"/>
      <c r="OUG566" s="501"/>
      <c r="OUH566" s="501"/>
      <c r="OUI566" s="501"/>
      <c r="OUJ566" s="501"/>
      <c r="OUK566" s="501"/>
      <c r="OUL566" s="501"/>
      <c r="OUM566" s="501"/>
      <c r="OUN566" s="501"/>
      <c r="OUO566" s="501"/>
      <c r="OUP566" s="501"/>
      <c r="OUQ566" s="501"/>
      <c r="OUR566" s="501"/>
      <c r="OUS566" s="501"/>
      <c r="OUT566" s="501"/>
      <c r="OUU566" s="501"/>
      <c r="OUV566" s="501"/>
      <c r="OUW566" s="501"/>
      <c r="OUX566" s="501"/>
      <c r="OUY566" s="501"/>
      <c r="OUZ566" s="501"/>
      <c r="OVA566" s="501"/>
      <c r="OVB566" s="501"/>
      <c r="OVC566" s="501"/>
      <c r="OVD566" s="501"/>
      <c r="OVE566" s="501"/>
      <c r="OVF566" s="501"/>
      <c r="OVG566" s="501"/>
      <c r="OVH566" s="501"/>
      <c r="OVI566" s="501"/>
      <c r="OVJ566" s="501"/>
      <c r="OVK566" s="501"/>
      <c r="OVL566" s="501"/>
      <c r="OVM566" s="501"/>
      <c r="OVN566" s="501"/>
      <c r="OVO566" s="501"/>
      <c r="OVP566" s="501"/>
      <c r="OVQ566" s="501"/>
      <c r="OVR566" s="501"/>
      <c r="OVS566" s="501"/>
      <c r="OVT566" s="501"/>
      <c r="OVU566" s="501"/>
      <c r="OVV566" s="501"/>
      <c r="OVW566" s="501"/>
      <c r="OVX566" s="501"/>
      <c r="OVY566" s="501"/>
      <c r="OVZ566" s="501"/>
      <c r="OWA566" s="501"/>
      <c r="OWB566" s="501"/>
      <c r="OWC566" s="501"/>
      <c r="OWD566" s="501"/>
      <c r="OWE566" s="501"/>
      <c r="OWF566" s="501"/>
      <c r="OWG566" s="501"/>
      <c r="OWH566" s="501"/>
      <c r="OWI566" s="501"/>
      <c r="OWJ566" s="501"/>
      <c r="OWK566" s="501"/>
      <c r="OWL566" s="501"/>
      <c r="OWM566" s="501"/>
      <c r="OWN566" s="501"/>
      <c r="OWO566" s="501"/>
      <c r="OWP566" s="501"/>
      <c r="OWQ566" s="501"/>
      <c r="OWR566" s="501"/>
      <c r="OWS566" s="501"/>
      <c r="OWT566" s="501"/>
      <c r="OWU566" s="501"/>
      <c r="OWV566" s="501"/>
      <c r="OWW566" s="501"/>
      <c r="OWX566" s="501"/>
      <c r="OWY566" s="501"/>
      <c r="OWZ566" s="501"/>
      <c r="OXA566" s="501"/>
      <c r="OXB566" s="501"/>
      <c r="OXC566" s="501"/>
      <c r="OXD566" s="501"/>
      <c r="OXE566" s="501"/>
      <c r="OXF566" s="501"/>
      <c r="OXG566" s="501"/>
      <c r="OXH566" s="501"/>
      <c r="OXI566" s="501"/>
      <c r="OXJ566" s="501"/>
      <c r="OXK566" s="501"/>
      <c r="OXL566" s="501"/>
      <c r="OXM566" s="501"/>
      <c r="OXN566" s="501"/>
      <c r="OXO566" s="501"/>
      <c r="OXP566" s="501"/>
      <c r="OXQ566" s="501"/>
      <c r="OXR566" s="501"/>
      <c r="OXS566" s="501"/>
      <c r="OXT566" s="501"/>
      <c r="OXU566" s="501"/>
      <c r="OXV566" s="501"/>
      <c r="OXW566" s="501"/>
      <c r="OXX566" s="501"/>
      <c r="OXY566" s="501"/>
      <c r="OXZ566" s="501"/>
      <c r="OYA566" s="501"/>
      <c r="OYB566" s="501"/>
      <c r="OYC566" s="501"/>
      <c r="OYD566" s="501"/>
      <c r="OYE566" s="501"/>
      <c r="OYF566" s="501"/>
      <c r="OYG566" s="501"/>
      <c r="OYH566" s="501"/>
      <c r="OYI566" s="501"/>
      <c r="OYJ566" s="501"/>
      <c r="OYK566" s="501"/>
      <c r="OYL566" s="501"/>
      <c r="OYM566" s="501"/>
      <c r="OYN566" s="501"/>
      <c r="OYO566" s="501"/>
      <c r="OYP566" s="501"/>
      <c r="OYQ566" s="501"/>
      <c r="OYR566" s="501"/>
      <c r="OYS566" s="501"/>
      <c r="OYT566" s="501"/>
      <c r="OYU566" s="501"/>
      <c r="OYV566" s="501"/>
      <c r="OYW566" s="501"/>
      <c r="OYX566" s="501"/>
      <c r="OYY566" s="501"/>
      <c r="OYZ566" s="501"/>
      <c r="OZA566" s="501"/>
      <c r="OZB566" s="501"/>
      <c r="OZC566" s="501"/>
      <c r="OZD566" s="501"/>
      <c r="OZE566" s="501"/>
      <c r="OZF566" s="501"/>
      <c r="OZG566" s="501"/>
      <c r="OZH566" s="501"/>
      <c r="OZI566" s="501"/>
      <c r="OZJ566" s="501"/>
      <c r="OZK566" s="501"/>
      <c r="OZL566" s="501"/>
      <c r="OZM566" s="501"/>
      <c r="OZN566" s="501"/>
      <c r="OZO566" s="501"/>
      <c r="OZP566" s="501"/>
      <c r="OZQ566" s="501"/>
      <c r="OZR566" s="501"/>
      <c r="OZS566" s="501"/>
      <c r="OZT566" s="501"/>
      <c r="OZU566" s="501"/>
      <c r="OZV566" s="501"/>
      <c r="OZW566" s="501"/>
      <c r="OZX566" s="501"/>
      <c r="OZY566" s="501"/>
      <c r="OZZ566" s="501"/>
      <c r="PAA566" s="501"/>
      <c r="PAB566" s="501"/>
      <c r="PAC566" s="501"/>
      <c r="PAD566" s="501"/>
      <c r="PAE566" s="501"/>
      <c r="PAF566" s="501"/>
      <c r="PAG566" s="501"/>
      <c r="PAH566" s="501"/>
      <c r="PAI566" s="501"/>
      <c r="PAJ566" s="501"/>
      <c r="PAK566" s="501"/>
      <c r="PAL566" s="501"/>
      <c r="PAM566" s="501"/>
      <c r="PAN566" s="501"/>
      <c r="PAO566" s="501"/>
      <c r="PAP566" s="501"/>
      <c r="PAQ566" s="501"/>
      <c r="PAR566" s="501"/>
      <c r="PAS566" s="501"/>
      <c r="PAT566" s="501"/>
      <c r="PAU566" s="501"/>
      <c r="PAV566" s="501"/>
      <c r="PAW566" s="501"/>
      <c r="PAX566" s="501"/>
      <c r="PAY566" s="501"/>
      <c r="PAZ566" s="501"/>
      <c r="PBA566" s="501"/>
      <c r="PBB566" s="501"/>
      <c r="PBC566" s="501"/>
      <c r="PBD566" s="501"/>
      <c r="PBE566" s="501"/>
      <c r="PBF566" s="501"/>
      <c r="PBG566" s="501"/>
      <c r="PBH566" s="501"/>
      <c r="PBI566" s="501"/>
      <c r="PBJ566" s="501"/>
      <c r="PBK566" s="501"/>
      <c r="PBL566" s="501"/>
      <c r="PBM566" s="501"/>
      <c r="PBN566" s="501"/>
      <c r="PBO566" s="501"/>
      <c r="PBP566" s="501"/>
      <c r="PBQ566" s="501"/>
      <c r="PBR566" s="501"/>
      <c r="PBS566" s="501"/>
      <c r="PBT566" s="501"/>
      <c r="PBU566" s="501"/>
      <c r="PBV566" s="501"/>
      <c r="PBW566" s="501"/>
      <c r="PBX566" s="501"/>
      <c r="PBY566" s="501"/>
      <c r="PBZ566" s="501"/>
      <c r="PCA566" s="501"/>
      <c r="PCB566" s="501"/>
      <c r="PCC566" s="501"/>
      <c r="PCD566" s="501"/>
      <c r="PCE566" s="501"/>
      <c r="PCF566" s="501"/>
      <c r="PCG566" s="501"/>
      <c r="PCH566" s="501"/>
      <c r="PCI566" s="501"/>
      <c r="PCJ566" s="501"/>
      <c r="PCK566" s="501"/>
      <c r="PCL566" s="501"/>
      <c r="PCM566" s="501"/>
      <c r="PCN566" s="501"/>
      <c r="PCO566" s="501"/>
      <c r="PCP566" s="501"/>
      <c r="PCQ566" s="501"/>
      <c r="PCR566" s="501"/>
      <c r="PCS566" s="501"/>
      <c r="PCT566" s="501"/>
      <c r="PCU566" s="501"/>
      <c r="PCV566" s="501"/>
      <c r="PCW566" s="501"/>
      <c r="PCX566" s="501"/>
      <c r="PCY566" s="501"/>
      <c r="PCZ566" s="501"/>
      <c r="PDA566" s="501"/>
      <c r="PDB566" s="501"/>
      <c r="PDC566" s="501"/>
      <c r="PDD566" s="501"/>
      <c r="PDE566" s="501"/>
      <c r="PDF566" s="501"/>
      <c r="PDG566" s="501"/>
      <c r="PDH566" s="501"/>
      <c r="PDI566" s="501"/>
      <c r="PDJ566" s="501"/>
      <c r="PDK566" s="501"/>
      <c r="PDL566" s="501"/>
      <c r="PDM566" s="501"/>
      <c r="PDN566" s="501"/>
      <c r="PDO566" s="501"/>
      <c r="PDP566" s="501"/>
      <c r="PDQ566" s="501"/>
      <c r="PDR566" s="501"/>
      <c r="PDS566" s="501"/>
      <c r="PDT566" s="501"/>
      <c r="PDU566" s="501"/>
      <c r="PDV566" s="501"/>
      <c r="PDW566" s="501"/>
      <c r="PDX566" s="501"/>
      <c r="PDY566" s="501"/>
      <c r="PDZ566" s="501"/>
      <c r="PEA566" s="501"/>
      <c r="PEB566" s="501"/>
      <c r="PEC566" s="501"/>
      <c r="PED566" s="501"/>
      <c r="PEE566" s="501"/>
      <c r="PEF566" s="501"/>
      <c r="PEG566" s="501"/>
      <c r="PEH566" s="501"/>
      <c r="PEI566" s="501"/>
      <c r="PEJ566" s="501"/>
      <c r="PEK566" s="501"/>
      <c r="PEL566" s="501"/>
      <c r="PEM566" s="501"/>
      <c r="PEN566" s="501"/>
      <c r="PEO566" s="501"/>
      <c r="PEP566" s="501"/>
      <c r="PEQ566" s="501"/>
      <c r="PER566" s="501"/>
      <c r="PES566" s="501"/>
      <c r="PET566" s="501"/>
      <c r="PEU566" s="501"/>
      <c r="PEV566" s="501"/>
      <c r="PEW566" s="501"/>
      <c r="PEX566" s="501"/>
      <c r="PEY566" s="501"/>
      <c r="PEZ566" s="501"/>
      <c r="PFA566" s="501"/>
      <c r="PFB566" s="501"/>
      <c r="PFC566" s="501"/>
      <c r="PFD566" s="501"/>
      <c r="PFE566" s="501"/>
      <c r="PFF566" s="501"/>
      <c r="PFG566" s="501"/>
      <c r="PFH566" s="501"/>
      <c r="PFI566" s="501"/>
      <c r="PFJ566" s="501"/>
      <c r="PFK566" s="501"/>
      <c r="PFL566" s="501"/>
      <c r="PFM566" s="501"/>
      <c r="PFN566" s="501"/>
      <c r="PFO566" s="501"/>
      <c r="PFP566" s="501"/>
      <c r="PFQ566" s="501"/>
      <c r="PFR566" s="501"/>
      <c r="PFS566" s="501"/>
      <c r="PFT566" s="501"/>
      <c r="PFU566" s="501"/>
      <c r="PFV566" s="501"/>
      <c r="PFW566" s="501"/>
      <c r="PFX566" s="501"/>
      <c r="PFY566" s="501"/>
      <c r="PFZ566" s="501"/>
      <c r="PGA566" s="501"/>
      <c r="PGB566" s="501"/>
      <c r="PGC566" s="501"/>
      <c r="PGD566" s="501"/>
      <c r="PGE566" s="501"/>
      <c r="PGF566" s="501"/>
      <c r="PGG566" s="501"/>
      <c r="PGH566" s="501"/>
      <c r="PGI566" s="501"/>
      <c r="PGJ566" s="501"/>
      <c r="PGK566" s="501"/>
      <c r="PGL566" s="501"/>
      <c r="PGM566" s="501"/>
      <c r="PGN566" s="501"/>
      <c r="PGO566" s="501"/>
      <c r="PGP566" s="501"/>
      <c r="PGQ566" s="501"/>
      <c r="PGR566" s="501"/>
      <c r="PGS566" s="501"/>
      <c r="PGT566" s="501"/>
      <c r="PGU566" s="501"/>
      <c r="PGV566" s="501"/>
      <c r="PGW566" s="501"/>
      <c r="PGX566" s="501"/>
      <c r="PGY566" s="501"/>
      <c r="PGZ566" s="501"/>
      <c r="PHA566" s="501"/>
      <c r="PHB566" s="501"/>
      <c r="PHC566" s="501"/>
      <c r="PHD566" s="501"/>
      <c r="PHE566" s="501"/>
      <c r="PHF566" s="501"/>
      <c r="PHG566" s="501"/>
      <c r="PHH566" s="501"/>
      <c r="PHI566" s="501"/>
      <c r="PHJ566" s="501"/>
      <c r="PHK566" s="501"/>
      <c r="PHL566" s="501"/>
      <c r="PHM566" s="501"/>
      <c r="PHN566" s="501"/>
      <c r="PHO566" s="501"/>
      <c r="PHP566" s="501"/>
      <c r="PHQ566" s="501"/>
      <c r="PHR566" s="501"/>
      <c r="PHS566" s="501"/>
      <c r="PHT566" s="501"/>
      <c r="PHU566" s="501"/>
      <c r="PHV566" s="501"/>
      <c r="PHW566" s="501"/>
      <c r="PHX566" s="501"/>
      <c r="PHY566" s="501"/>
      <c r="PHZ566" s="501"/>
      <c r="PIA566" s="501"/>
      <c r="PIB566" s="501"/>
      <c r="PIC566" s="501"/>
      <c r="PID566" s="501"/>
      <c r="PIE566" s="501"/>
      <c r="PIF566" s="501"/>
      <c r="PIG566" s="501"/>
      <c r="PIH566" s="501"/>
      <c r="PII566" s="501"/>
      <c r="PIJ566" s="501"/>
      <c r="PIK566" s="501"/>
      <c r="PIL566" s="501"/>
      <c r="PIM566" s="501"/>
      <c r="PIN566" s="501"/>
      <c r="PIO566" s="501"/>
      <c r="PIP566" s="501"/>
      <c r="PIQ566" s="501"/>
      <c r="PIR566" s="501"/>
      <c r="PIS566" s="501"/>
      <c r="PIT566" s="501"/>
      <c r="PIU566" s="501"/>
      <c r="PIV566" s="501"/>
      <c r="PIW566" s="501"/>
      <c r="PIX566" s="501"/>
      <c r="PIY566" s="501"/>
      <c r="PIZ566" s="501"/>
      <c r="PJA566" s="501"/>
      <c r="PJB566" s="501"/>
      <c r="PJC566" s="501"/>
      <c r="PJD566" s="501"/>
      <c r="PJE566" s="501"/>
      <c r="PJF566" s="501"/>
      <c r="PJG566" s="501"/>
      <c r="PJH566" s="501"/>
      <c r="PJI566" s="501"/>
      <c r="PJJ566" s="501"/>
      <c r="PJK566" s="501"/>
      <c r="PJL566" s="501"/>
      <c r="PJM566" s="501"/>
      <c r="PJN566" s="501"/>
      <c r="PJO566" s="501"/>
      <c r="PJP566" s="501"/>
      <c r="PJQ566" s="501"/>
      <c r="PJR566" s="501"/>
      <c r="PJS566" s="501"/>
      <c r="PJT566" s="501"/>
      <c r="PJU566" s="501"/>
      <c r="PJV566" s="501"/>
      <c r="PJW566" s="501"/>
      <c r="PJX566" s="501"/>
      <c r="PJY566" s="501"/>
      <c r="PJZ566" s="501"/>
      <c r="PKA566" s="501"/>
      <c r="PKB566" s="501"/>
      <c r="PKC566" s="501"/>
      <c r="PKD566" s="501"/>
      <c r="PKE566" s="501"/>
      <c r="PKF566" s="501"/>
      <c r="PKG566" s="501"/>
      <c r="PKH566" s="501"/>
      <c r="PKI566" s="501"/>
      <c r="PKJ566" s="501"/>
      <c r="PKK566" s="501"/>
      <c r="PKL566" s="501"/>
      <c r="PKM566" s="501"/>
      <c r="PKN566" s="501"/>
      <c r="PKO566" s="501"/>
      <c r="PKP566" s="501"/>
      <c r="PKQ566" s="501"/>
      <c r="PKR566" s="501"/>
      <c r="PKS566" s="501"/>
      <c r="PKT566" s="501"/>
      <c r="PKU566" s="501"/>
      <c r="PKV566" s="501"/>
      <c r="PKW566" s="501"/>
      <c r="PKX566" s="501"/>
      <c r="PKY566" s="501"/>
      <c r="PKZ566" s="501"/>
      <c r="PLA566" s="501"/>
      <c r="PLB566" s="501"/>
      <c r="PLC566" s="501"/>
      <c r="PLD566" s="501"/>
      <c r="PLE566" s="501"/>
      <c r="PLF566" s="501"/>
      <c r="PLG566" s="501"/>
      <c r="PLH566" s="501"/>
      <c r="PLI566" s="501"/>
      <c r="PLJ566" s="501"/>
      <c r="PLK566" s="501"/>
      <c r="PLL566" s="501"/>
      <c r="PLM566" s="501"/>
      <c r="PLN566" s="501"/>
      <c r="PLO566" s="501"/>
      <c r="PLP566" s="501"/>
      <c r="PLQ566" s="501"/>
      <c r="PLR566" s="501"/>
      <c r="PLS566" s="501"/>
      <c r="PLT566" s="501"/>
      <c r="PLU566" s="501"/>
      <c r="PLV566" s="501"/>
      <c r="PLW566" s="501"/>
      <c r="PLX566" s="501"/>
      <c r="PLY566" s="501"/>
      <c r="PLZ566" s="501"/>
      <c r="PMA566" s="501"/>
      <c r="PMB566" s="501"/>
      <c r="PMC566" s="501"/>
      <c r="PMD566" s="501"/>
      <c r="PME566" s="501"/>
      <c r="PMF566" s="501"/>
      <c r="PMG566" s="501"/>
      <c r="PMH566" s="501"/>
      <c r="PMI566" s="501"/>
      <c r="PMJ566" s="501"/>
      <c r="PMK566" s="501"/>
      <c r="PML566" s="501"/>
      <c r="PMM566" s="501"/>
      <c r="PMN566" s="501"/>
      <c r="PMO566" s="501"/>
      <c r="PMP566" s="501"/>
      <c r="PMQ566" s="501"/>
      <c r="PMR566" s="501"/>
      <c r="PMS566" s="501"/>
      <c r="PMT566" s="501"/>
      <c r="PMU566" s="501"/>
      <c r="PMV566" s="501"/>
      <c r="PMW566" s="501"/>
      <c r="PMX566" s="501"/>
      <c r="PMY566" s="501"/>
      <c r="PMZ566" s="501"/>
      <c r="PNA566" s="501"/>
      <c r="PNB566" s="501"/>
      <c r="PNC566" s="501"/>
      <c r="PND566" s="501"/>
      <c r="PNE566" s="501"/>
      <c r="PNF566" s="501"/>
      <c r="PNG566" s="501"/>
      <c r="PNH566" s="501"/>
      <c r="PNI566" s="501"/>
      <c r="PNJ566" s="501"/>
      <c r="PNK566" s="501"/>
      <c r="PNL566" s="501"/>
      <c r="PNM566" s="501"/>
      <c r="PNN566" s="501"/>
      <c r="PNO566" s="501"/>
      <c r="PNP566" s="501"/>
      <c r="PNQ566" s="501"/>
      <c r="PNR566" s="501"/>
      <c r="PNS566" s="501"/>
      <c r="PNT566" s="501"/>
      <c r="PNU566" s="501"/>
      <c r="PNV566" s="501"/>
      <c r="PNW566" s="501"/>
      <c r="PNX566" s="501"/>
      <c r="PNY566" s="501"/>
      <c r="PNZ566" s="501"/>
      <c r="POA566" s="501"/>
      <c r="POB566" s="501"/>
      <c r="POC566" s="501"/>
      <c r="POD566" s="501"/>
      <c r="POE566" s="501"/>
      <c r="POF566" s="501"/>
      <c r="POG566" s="501"/>
      <c r="POH566" s="501"/>
      <c r="POI566" s="501"/>
      <c r="POJ566" s="501"/>
      <c r="POK566" s="501"/>
      <c r="POL566" s="501"/>
      <c r="POM566" s="501"/>
      <c r="PON566" s="501"/>
      <c r="POO566" s="501"/>
      <c r="POP566" s="501"/>
      <c r="POQ566" s="501"/>
      <c r="POR566" s="501"/>
      <c r="POS566" s="501"/>
      <c r="POT566" s="501"/>
      <c r="POU566" s="501"/>
      <c r="POV566" s="501"/>
      <c r="POW566" s="501"/>
      <c r="POX566" s="501"/>
      <c r="POY566" s="501"/>
      <c r="POZ566" s="501"/>
      <c r="PPA566" s="501"/>
      <c r="PPB566" s="501"/>
      <c r="PPC566" s="501"/>
      <c r="PPD566" s="501"/>
      <c r="PPE566" s="501"/>
      <c r="PPF566" s="501"/>
      <c r="PPG566" s="501"/>
      <c r="PPH566" s="501"/>
      <c r="PPI566" s="501"/>
      <c r="PPJ566" s="501"/>
      <c r="PPK566" s="501"/>
      <c r="PPL566" s="501"/>
      <c r="PPM566" s="501"/>
      <c r="PPN566" s="501"/>
      <c r="PPO566" s="501"/>
      <c r="PPP566" s="501"/>
      <c r="PPQ566" s="501"/>
      <c r="PPR566" s="501"/>
      <c r="PPS566" s="501"/>
      <c r="PPT566" s="501"/>
      <c r="PPU566" s="501"/>
      <c r="PPV566" s="501"/>
      <c r="PPW566" s="501"/>
      <c r="PPX566" s="501"/>
      <c r="PPY566" s="501"/>
      <c r="PPZ566" s="501"/>
      <c r="PQA566" s="501"/>
      <c r="PQB566" s="501"/>
      <c r="PQC566" s="501"/>
      <c r="PQD566" s="501"/>
      <c r="PQE566" s="501"/>
      <c r="PQF566" s="501"/>
      <c r="PQG566" s="501"/>
      <c r="PQH566" s="501"/>
      <c r="PQI566" s="501"/>
      <c r="PQJ566" s="501"/>
      <c r="PQK566" s="501"/>
      <c r="PQL566" s="501"/>
      <c r="PQM566" s="501"/>
      <c r="PQN566" s="501"/>
      <c r="PQO566" s="501"/>
      <c r="PQP566" s="501"/>
      <c r="PQQ566" s="501"/>
      <c r="PQR566" s="501"/>
      <c r="PQS566" s="501"/>
      <c r="PQT566" s="501"/>
      <c r="PQU566" s="501"/>
      <c r="PQV566" s="501"/>
      <c r="PQW566" s="501"/>
      <c r="PQX566" s="501"/>
      <c r="PQY566" s="501"/>
      <c r="PQZ566" s="501"/>
      <c r="PRA566" s="501"/>
      <c r="PRB566" s="501"/>
      <c r="PRC566" s="501"/>
      <c r="PRD566" s="501"/>
      <c r="PRE566" s="501"/>
      <c r="PRF566" s="501"/>
      <c r="PRG566" s="501"/>
      <c r="PRH566" s="501"/>
      <c r="PRI566" s="501"/>
      <c r="PRJ566" s="501"/>
      <c r="PRK566" s="501"/>
      <c r="PRL566" s="501"/>
      <c r="PRM566" s="501"/>
      <c r="PRN566" s="501"/>
      <c r="PRO566" s="501"/>
      <c r="PRP566" s="501"/>
      <c r="PRQ566" s="501"/>
      <c r="PRR566" s="501"/>
      <c r="PRS566" s="501"/>
      <c r="PRT566" s="501"/>
      <c r="PRU566" s="501"/>
      <c r="PRV566" s="501"/>
      <c r="PRW566" s="501"/>
      <c r="PRX566" s="501"/>
      <c r="PRY566" s="501"/>
      <c r="PRZ566" s="501"/>
      <c r="PSA566" s="501"/>
      <c r="PSB566" s="501"/>
      <c r="PSC566" s="501"/>
      <c r="PSD566" s="501"/>
      <c r="PSE566" s="501"/>
      <c r="PSF566" s="501"/>
      <c r="PSG566" s="501"/>
      <c r="PSH566" s="501"/>
      <c r="PSI566" s="501"/>
      <c r="PSJ566" s="501"/>
      <c r="PSK566" s="501"/>
      <c r="PSL566" s="501"/>
      <c r="PSM566" s="501"/>
      <c r="PSN566" s="501"/>
      <c r="PSO566" s="501"/>
      <c r="PSP566" s="501"/>
      <c r="PSQ566" s="501"/>
      <c r="PSR566" s="501"/>
      <c r="PSS566" s="501"/>
      <c r="PST566" s="501"/>
      <c r="PSU566" s="501"/>
      <c r="PSV566" s="501"/>
      <c r="PSW566" s="501"/>
      <c r="PSX566" s="501"/>
      <c r="PSY566" s="501"/>
      <c r="PSZ566" s="501"/>
      <c r="PTA566" s="501"/>
      <c r="PTB566" s="501"/>
      <c r="PTC566" s="501"/>
      <c r="PTD566" s="501"/>
      <c r="PTE566" s="501"/>
      <c r="PTF566" s="501"/>
      <c r="PTG566" s="501"/>
      <c r="PTH566" s="501"/>
      <c r="PTI566" s="501"/>
      <c r="PTJ566" s="501"/>
      <c r="PTK566" s="501"/>
      <c r="PTL566" s="501"/>
      <c r="PTM566" s="501"/>
      <c r="PTN566" s="501"/>
      <c r="PTO566" s="501"/>
      <c r="PTP566" s="501"/>
      <c r="PTQ566" s="501"/>
      <c r="PTR566" s="501"/>
      <c r="PTS566" s="501"/>
      <c r="PTT566" s="501"/>
      <c r="PTU566" s="501"/>
      <c r="PTV566" s="501"/>
      <c r="PTW566" s="501"/>
      <c r="PTX566" s="501"/>
      <c r="PTY566" s="501"/>
      <c r="PTZ566" s="501"/>
      <c r="PUA566" s="501"/>
      <c r="PUB566" s="501"/>
      <c r="PUC566" s="501"/>
      <c r="PUD566" s="501"/>
      <c r="PUE566" s="501"/>
      <c r="PUF566" s="501"/>
      <c r="PUG566" s="501"/>
      <c r="PUH566" s="501"/>
      <c r="PUI566" s="501"/>
      <c r="PUJ566" s="501"/>
      <c r="PUK566" s="501"/>
      <c r="PUL566" s="501"/>
      <c r="PUM566" s="501"/>
      <c r="PUN566" s="501"/>
      <c r="PUO566" s="501"/>
      <c r="PUP566" s="501"/>
      <c r="PUQ566" s="501"/>
      <c r="PUR566" s="501"/>
      <c r="PUS566" s="501"/>
      <c r="PUT566" s="501"/>
      <c r="PUU566" s="501"/>
      <c r="PUV566" s="501"/>
      <c r="PUW566" s="501"/>
      <c r="PUX566" s="501"/>
      <c r="PUY566" s="501"/>
      <c r="PUZ566" s="501"/>
      <c r="PVA566" s="501"/>
      <c r="PVB566" s="501"/>
      <c r="PVC566" s="501"/>
      <c r="PVD566" s="501"/>
      <c r="PVE566" s="501"/>
      <c r="PVF566" s="501"/>
      <c r="PVG566" s="501"/>
      <c r="PVH566" s="501"/>
      <c r="PVI566" s="501"/>
      <c r="PVJ566" s="501"/>
      <c r="PVK566" s="501"/>
      <c r="PVL566" s="501"/>
      <c r="PVM566" s="501"/>
      <c r="PVN566" s="501"/>
      <c r="PVO566" s="501"/>
      <c r="PVP566" s="501"/>
      <c r="PVQ566" s="501"/>
      <c r="PVR566" s="501"/>
      <c r="PVS566" s="501"/>
      <c r="PVT566" s="501"/>
      <c r="PVU566" s="501"/>
      <c r="PVV566" s="501"/>
      <c r="PVW566" s="501"/>
      <c r="PVX566" s="501"/>
      <c r="PVY566" s="501"/>
      <c r="PVZ566" s="501"/>
      <c r="PWA566" s="501"/>
      <c r="PWB566" s="501"/>
      <c r="PWC566" s="501"/>
      <c r="PWD566" s="501"/>
      <c r="PWE566" s="501"/>
      <c r="PWF566" s="501"/>
      <c r="PWG566" s="501"/>
      <c r="PWH566" s="501"/>
      <c r="PWI566" s="501"/>
      <c r="PWJ566" s="501"/>
      <c r="PWK566" s="501"/>
      <c r="PWL566" s="501"/>
      <c r="PWM566" s="501"/>
      <c r="PWN566" s="501"/>
      <c r="PWO566" s="501"/>
      <c r="PWP566" s="501"/>
      <c r="PWQ566" s="501"/>
      <c r="PWR566" s="501"/>
      <c r="PWS566" s="501"/>
      <c r="PWT566" s="501"/>
      <c r="PWU566" s="501"/>
      <c r="PWV566" s="501"/>
      <c r="PWW566" s="501"/>
      <c r="PWX566" s="501"/>
      <c r="PWY566" s="501"/>
      <c r="PWZ566" s="501"/>
      <c r="PXA566" s="501"/>
      <c r="PXB566" s="501"/>
      <c r="PXC566" s="501"/>
      <c r="PXD566" s="501"/>
      <c r="PXE566" s="501"/>
      <c r="PXF566" s="501"/>
      <c r="PXG566" s="501"/>
      <c r="PXH566" s="501"/>
      <c r="PXI566" s="501"/>
      <c r="PXJ566" s="501"/>
      <c r="PXK566" s="501"/>
      <c r="PXL566" s="501"/>
      <c r="PXM566" s="501"/>
      <c r="PXN566" s="501"/>
      <c r="PXO566" s="501"/>
      <c r="PXP566" s="501"/>
      <c r="PXQ566" s="501"/>
      <c r="PXR566" s="501"/>
      <c r="PXS566" s="501"/>
      <c r="PXT566" s="501"/>
      <c r="PXU566" s="501"/>
      <c r="PXV566" s="501"/>
      <c r="PXW566" s="501"/>
      <c r="PXX566" s="501"/>
      <c r="PXY566" s="501"/>
      <c r="PXZ566" s="501"/>
      <c r="PYA566" s="501"/>
      <c r="PYB566" s="501"/>
      <c r="PYC566" s="501"/>
      <c r="PYD566" s="501"/>
      <c r="PYE566" s="501"/>
      <c r="PYF566" s="501"/>
      <c r="PYG566" s="501"/>
      <c r="PYH566" s="501"/>
      <c r="PYI566" s="501"/>
      <c r="PYJ566" s="501"/>
      <c r="PYK566" s="501"/>
      <c r="PYL566" s="501"/>
      <c r="PYM566" s="501"/>
      <c r="PYN566" s="501"/>
      <c r="PYO566" s="501"/>
      <c r="PYP566" s="501"/>
      <c r="PYQ566" s="501"/>
      <c r="PYR566" s="501"/>
      <c r="PYS566" s="501"/>
      <c r="PYT566" s="501"/>
      <c r="PYU566" s="501"/>
      <c r="PYV566" s="501"/>
      <c r="PYW566" s="501"/>
      <c r="PYX566" s="501"/>
      <c r="PYY566" s="501"/>
      <c r="PYZ566" s="501"/>
      <c r="PZA566" s="501"/>
      <c r="PZB566" s="501"/>
      <c r="PZC566" s="501"/>
      <c r="PZD566" s="501"/>
      <c r="PZE566" s="501"/>
      <c r="PZF566" s="501"/>
      <c r="PZG566" s="501"/>
      <c r="PZH566" s="501"/>
      <c r="PZI566" s="501"/>
      <c r="PZJ566" s="501"/>
      <c r="PZK566" s="501"/>
      <c r="PZL566" s="501"/>
      <c r="PZM566" s="501"/>
      <c r="PZN566" s="501"/>
      <c r="PZO566" s="501"/>
      <c r="PZP566" s="501"/>
      <c r="PZQ566" s="501"/>
      <c r="PZR566" s="501"/>
      <c r="PZS566" s="501"/>
      <c r="PZT566" s="501"/>
      <c r="PZU566" s="501"/>
      <c r="PZV566" s="501"/>
      <c r="PZW566" s="501"/>
      <c r="PZX566" s="501"/>
      <c r="PZY566" s="501"/>
      <c r="PZZ566" s="501"/>
      <c r="QAA566" s="501"/>
      <c r="QAB566" s="501"/>
      <c r="QAC566" s="501"/>
      <c r="QAD566" s="501"/>
      <c r="QAE566" s="501"/>
      <c r="QAF566" s="501"/>
      <c r="QAG566" s="501"/>
      <c r="QAH566" s="501"/>
      <c r="QAI566" s="501"/>
      <c r="QAJ566" s="501"/>
      <c r="QAK566" s="501"/>
      <c r="QAL566" s="501"/>
      <c r="QAM566" s="501"/>
      <c r="QAN566" s="501"/>
      <c r="QAO566" s="501"/>
      <c r="QAP566" s="501"/>
      <c r="QAQ566" s="501"/>
      <c r="QAR566" s="501"/>
      <c r="QAS566" s="501"/>
      <c r="QAT566" s="501"/>
      <c r="QAU566" s="501"/>
      <c r="QAV566" s="501"/>
      <c r="QAW566" s="501"/>
      <c r="QAX566" s="501"/>
      <c r="QAY566" s="501"/>
      <c r="QAZ566" s="501"/>
      <c r="QBA566" s="501"/>
      <c r="QBB566" s="501"/>
      <c r="QBC566" s="501"/>
      <c r="QBD566" s="501"/>
      <c r="QBE566" s="501"/>
      <c r="QBF566" s="501"/>
      <c r="QBG566" s="501"/>
      <c r="QBH566" s="501"/>
      <c r="QBI566" s="501"/>
      <c r="QBJ566" s="501"/>
      <c r="QBK566" s="501"/>
      <c r="QBL566" s="501"/>
      <c r="QBM566" s="501"/>
      <c r="QBN566" s="501"/>
      <c r="QBO566" s="501"/>
      <c r="QBP566" s="501"/>
      <c r="QBQ566" s="501"/>
      <c r="QBR566" s="501"/>
      <c r="QBS566" s="501"/>
      <c r="QBT566" s="501"/>
      <c r="QBU566" s="501"/>
      <c r="QBV566" s="501"/>
      <c r="QBW566" s="501"/>
      <c r="QBX566" s="501"/>
      <c r="QBY566" s="501"/>
      <c r="QBZ566" s="501"/>
      <c r="QCA566" s="501"/>
      <c r="QCB566" s="501"/>
      <c r="QCC566" s="501"/>
      <c r="QCD566" s="501"/>
      <c r="QCE566" s="501"/>
      <c r="QCF566" s="501"/>
      <c r="QCG566" s="501"/>
      <c r="QCH566" s="501"/>
      <c r="QCI566" s="501"/>
      <c r="QCJ566" s="501"/>
      <c r="QCK566" s="501"/>
      <c r="QCL566" s="501"/>
      <c r="QCM566" s="501"/>
      <c r="QCN566" s="501"/>
      <c r="QCO566" s="501"/>
      <c r="QCP566" s="501"/>
      <c r="QCQ566" s="501"/>
      <c r="QCR566" s="501"/>
      <c r="QCS566" s="501"/>
      <c r="QCT566" s="501"/>
      <c r="QCU566" s="501"/>
      <c r="QCV566" s="501"/>
      <c r="QCW566" s="501"/>
      <c r="QCX566" s="501"/>
      <c r="QCY566" s="501"/>
      <c r="QCZ566" s="501"/>
      <c r="QDA566" s="501"/>
      <c r="QDB566" s="501"/>
      <c r="QDC566" s="501"/>
      <c r="QDD566" s="501"/>
      <c r="QDE566" s="501"/>
      <c r="QDF566" s="501"/>
      <c r="QDG566" s="501"/>
      <c r="QDH566" s="501"/>
      <c r="QDI566" s="501"/>
      <c r="QDJ566" s="501"/>
      <c r="QDK566" s="501"/>
      <c r="QDL566" s="501"/>
      <c r="QDM566" s="501"/>
      <c r="QDN566" s="501"/>
      <c r="QDO566" s="501"/>
      <c r="QDP566" s="501"/>
      <c r="QDQ566" s="501"/>
      <c r="QDR566" s="501"/>
      <c r="QDS566" s="501"/>
      <c r="QDT566" s="501"/>
      <c r="QDU566" s="501"/>
      <c r="QDV566" s="501"/>
      <c r="QDW566" s="501"/>
      <c r="QDX566" s="501"/>
      <c r="QDY566" s="501"/>
      <c r="QDZ566" s="501"/>
      <c r="QEA566" s="501"/>
      <c r="QEB566" s="501"/>
      <c r="QEC566" s="501"/>
      <c r="QED566" s="501"/>
      <c r="QEE566" s="501"/>
      <c r="QEF566" s="501"/>
      <c r="QEG566" s="501"/>
      <c r="QEH566" s="501"/>
      <c r="QEI566" s="501"/>
      <c r="QEJ566" s="501"/>
      <c r="QEK566" s="501"/>
      <c r="QEL566" s="501"/>
      <c r="QEM566" s="501"/>
      <c r="QEN566" s="501"/>
      <c r="QEO566" s="501"/>
      <c r="QEP566" s="501"/>
      <c r="QEQ566" s="501"/>
      <c r="QER566" s="501"/>
      <c r="QES566" s="501"/>
      <c r="QET566" s="501"/>
      <c r="QEU566" s="501"/>
      <c r="QEV566" s="501"/>
      <c r="QEW566" s="501"/>
      <c r="QEX566" s="501"/>
      <c r="QEY566" s="501"/>
      <c r="QEZ566" s="501"/>
      <c r="QFA566" s="501"/>
      <c r="QFB566" s="501"/>
      <c r="QFC566" s="501"/>
      <c r="QFD566" s="501"/>
      <c r="QFE566" s="501"/>
      <c r="QFF566" s="501"/>
      <c r="QFG566" s="501"/>
      <c r="QFH566" s="501"/>
      <c r="QFI566" s="501"/>
      <c r="QFJ566" s="501"/>
      <c r="QFK566" s="501"/>
      <c r="QFL566" s="501"/>
      <c r="QFM566" s="501"/>
      <c r="QFN566" s="501"/>
      <c r="QFO566" s="501"/>
      <c r="QFP566" s="501"/>
      <c r="QFQ566" s="501"/>
      <c r="QFR566" s="501"/>
      <c r="QFS566" s="501"/>
      <c r="QFT566" s="501"/>
      <c r="QFU566" s="501"/>
      <c r="QFV566" s="501"/>
      <c r="QFW566" s="501"/>
      <c r="QFX566" s="501"/>
      <c r="QFY566" s="501"/>
      <c r="QFZ566" s="501"/>
      <c r="QGA566" s="501"/>
      <c r="QGB566" s="501"/>
      <c r="QGC566" s="501"/>
      <c r="QGD566" s="501"/>
      <c r="QGE566" s="501"/>
      <c r="QGF566" s="501"/>
      <c r="QGG566" s="501"/>
      <c r="QGH566" s="501"/>
      <c r="QGI566" s="501"/>
      <c r="QGJ566" s="501"/>
      <c r="QGK566" s="501"/>
      <c r="QGL566" s="501"/>
      <c r="QGM566" s="501"/>
      <c r="QGN566" s="501"/>
      <c r="QGO566" s="501"/>
      <c r="QGP566" s="501"/>
      <c r="QGQ566" s="501"/>
      <c r="QGR566" s="501"/>
      <c r="QGS566" s="501"/>
      <c r="QGT566" s="501"/>
      <c r="QGU566" s="501"/>
      <c r="QGV566" s="501"/>
      <c r="QGW566" s="501"/>
      <c r="QGX566" s="501"/>
      <c r="QGY566" s="501"/>
      <c r="QGZ566" s="501"/>
      <c r="QHA566" s="501"/>
      <c r="QHB566" s="501"/>
      <c r="QHC566" s="501"/>
      <c r="QHD566" s="501"/>
      <c r="QHE566" s="501"/>
      <c r="QHF566" s="501"/>
      <c r="QHG566" s="501"/>
      <c r="QHH566" s="501"/>
      <c r="QHI566" s="501"/>
      <c r="QHJ566" s="501"/>
      <c r="QHK566" s="501"/>
      <c r="QHL566" s="501"/>
      <c r="QHM566" s="501"/>
      <c r="QHN566" s="501"/>
      <c r="QHO566" s="501"/>
      <c r="QHP566" s="501"/>
      <c r="QHQ566" s="501"/>
      <c r="QHR566" s="501"/>
      <c r="QHS566" s="501"/>
      <c r="QHT566" s="501"/>
      <c r="QHU566" s="501"/>
      <c r="QHV566" s="501"/>
      <c r="QHW566" s="501"/>
      <c r="QHX566" s="501"/>
      <c r="QHY566" s="501"/>
      <c r="QHZ566" s="501"/>
      <c r="QIA566" s="501"/>
      <c r="QIB566" s="501"/>
      <c r="QIC566" s="501"/>
      <c r="QID566" s="501"/>
      <c r="QIE566" s="501"/>
      <c r="QIF566" s="501"/>
      <c r="QIG566" s="501"/>
      <c r="QIH566" s="501"/>
      <c r="QII566" s="501"/>
      <c r="QIJ566" s="501"/>
      <c r="QIK566" s="501"/>
      <c r="QIL566" s="501"/>
      <c r="QIM566" s="501"/>
      <c r="QIN566" s="501"/>
      <c r="QIO566" s="501"/>
      <c r="QIP566" s="501"/>
      <c r="QIQ566" s="501"/>
      <c r="QIR566" s="501"/>
      <c r="QIS566" s="501"/>
      <c r="QIT566" s="501"/>
      <c r="QIU566" s="501"/>
      <c r="QIV566" s="501"/>
      <c r="QIW566" s="501"/>
      <c r="QIX566" s="501"/>
      <c r="QIY566" s="501"/>
      <c r="QIZ566" s="501"/>
      <c r="QJA566" s="501"/>
      <c r="QJB566" s="501"/>
      <c r="QJC566" s="501"/>
      <c r="QJD566" s="501"/>
      <c r="QJE566" s="501"/>
      <c r="QJF566" s="501"/>
      <c r="QJG566" s="501"/>
      <c r="QJH566" s="501"/>
      <c r="QJI566" s="501"/>
      <c r="QJJ566" s="501"/>
      <c r="QJK566" s="501"/>
      <c r="QJL566" s="501"/>
      <c r="QJM566" s="501"/>
      <c r="QJN566" s="501"/>
      <c r="QJO566" s="501"/>
      <c r="QJP566" s="501"/>
      <c r="QJQ566" s="501"/>
      <c r="QJR566" s="501"/>
      <c r="QJS566" s="501"/>
      <c r="QJT566" s="501"/>
      <c r="QJU566" s="501"/>
      <c r="QJV566" s="501"/>
      <c r="QJW566" s="501"/>
      <c r="QJX566" s="501"/>
      <c r="QJY566" s="501"/>
      <c r="QJZ566" s="501"/>
      <c r="QKA566" s="501"/>
      <c r="QKB566" s="501"/>
      <c r="QKC566" s="501"/>
      <c r="QKD566" s="501"/>
      <c r="QKE566" s="501"/>
      <c r="QKF566" s="501"/>
      <c r="QKG566" s="501"/>
      <c r="QKH566" s="501"/>
      <c r="QKI566" s="501"/>
      <c r="QKJ566" s="501"/>
      <c r="QKK566" s="501"/>
      <c r="QKL566" s="501"/>
      <c r="QKM566" s="501"/>
      <c r="QKN566" s="501"/>
      <c r="QKO566" s="501"/>
      <c r="QKP566" s="501"/>
      <c r="QKQ566" s="501"/>
      <c r="QKR566" s="501"/>
      <c r="QKS566" s="501"/>
      <c r="QKT566" s="501"/>
      <c r="QKU566" s="501"/>
      <c r="QKV566" s="501"/>
      <c r="QKW566" s="501"/>
      <c r="QKX566" s="501"/>
      <c r="QKY566" s="501"/>
      <c r="QKZ566" s="501"/>
      <c r="QLA566" s="501"/>
      <c r="QLB566" s="501"/>
      <c r="QLC566" s="501"/>
      <c r="QLD566" s="501"/>
      <c r="QLE566" s="501"/>
      <c r="QLF566" s="501"/>
      <c r="QLG566" s="501"/>
      <c r="QLH566" s="501"/>
      <c r="QLI566" s="501"/>
      <c r="QLJ566" s="501"/>
      <c r="QLK566" s="501"/>
      <c r="QLL566" s="501"/>
      <c r="QLM566" s="501"/>
      <c r="QLN566" s="501"/>
      <c r="QLO566" s="501"/>
      <c r="QLP566" s="501"/>
      <c r="QLQ566" s="501"/>
      <c r="QLR566" s="501"/>
      <c r="QLS566" s="501"/>
      <c r="QLT566" s="501"/>
      <c r="QLU566" s="501"/>
      <c r="QLV566" s="501"/>
      <c r="QLW566" s="501"/>
      <c r="QLX566" s="501"/>
      <c r="QLY566" s="501"/>
      <c r="QLZ566" s="501"/>
      <c r="QMA566" s="501"/>
      <c r="QMB566" s="501"/>
      <c r="QMC566" s="501"/>
      <c r="QMD566" s="501"/>
      <c r="QME566" s="501"/>
      <c r="QMF566" s="501"/>
      <c r="QMG566" s="501"/>
      <c r="QMH566" s="501"/>
      <c r="QMI566" s="501"/>
      <c r="QMJ566" s="501"/>
      <c r="QMK566" s="501"/>
      <c r="QML566" s="501"/>
      <c r="QMM566" s="501"/>
      <c r="QMN566" s="501"/>
      <c r="QMO566" s="501"/>
      <c r="QMP566" s="501"/>
      <c r="QMQ566" s="501"/>
      <c r="QMR566" s="501"/>
      <c r="QMS566" s="501"/>
      <c r="QMT566" s="501"/>
      <c r="QMU566" s="501"/>
      <c r="QMV566" s="501"/>
      <c r="QMW566" s="501"/>
      <c r="QMX566" s="501"/>
      <c r="QMY566" s="501"/>
      <c r="QMZ566" s="501"/>
      <c r="QNA566" s="501"/>
      <c r="QNB566" s="501"/>
      <c r="QNC566" s="501"/>
      <c r="QND566" s="501"/>
      <c r="QNE566" s="501"/>
      <c r="QNF566" s="501"/>
      <c r="QNG566" s="501"/>
      <c r="QNH566" s="501"/>
      <c r="QNI566" s="501"/>
      <c r="QNJ566" s="501"/>
      <c r="QNK566" s="501"/>
      <c r="QNL566" s="501"/>
      <c r="QNM566" s="501"/>
      <c r="QNN566" s="501"/>
      <c r="QNO566" s="501"/>
      <c r="QNP566" s="501"/>
      <c r="QNQ566" s="501"/>
      <c r="QNR566" s="501"/>
      <c r="QNS566" s="501"/>
      <c r="QNT566" s="501"/>
      <c r="QNU566" s="501"/>
      <c r="QNV566" s="501"/>
      <c r="QNW566" s="501"/>
      <c r="QNX566" s="501"/>
      <c r="QNY566" s="501"/>
      <c r="QNZ566" s="501"/>
      <c r="QOA566" s="501"/>
      <c r="QOB566" s="501"/>
      <c r="QOC566" s="501"/>
      <c r="QOD566" s="501"/>
      <c r="QOE566" s="501"/>
      <c r="QOF566" s="501"/>
      <c r="QOG566" s="501"/>
      <c r="QOH566" s="501"/>
      <c r="QOI566" s="501"/>
      <c r="QOJ566" s="501"/>
      <c r="QOK566" s="501"/>
      <c r="QOL566" s="501"/>
      <c r="QOM566" s="501"/>
      <c r="QON566" s="501"/>
      <c r="QOO566" s="501"/>
      <c r="QOP566" s="501"/>
      <c r="QOQ566" s="501"/>
      <c r="QOR566" s="501"/>
      <c r="QOS566" s="501"/>
      <c r="QOT566" s="501"/>
      <c r="QOU566" s="501"/>
      <c r="QOV566" s="501"/>
      <c r="QOW566" s="501"/>
      <c r="QOX566" s="501"/>
      <c r="QOY566" s="501"/>
      <c r="QOZ566" s="501"/>
      <c r="QPA566" s="501"/>
      <c r="QPB566" s="501"/>
      <c r="QPC566" s="501"/>
      <c r="QPD566" s="501"/>
      <c r="QPE566" s="501"/>
      <c r="QPF566" s="501"/>
      <c r="QPG566" s="501"/>
      <c r="QPH566" s="501"/>
      <c r="QPI566" s="501"/>
      <c r="QPJ566" s="501"/>
      <c r="QPK566" s="501"/>
      <c r="QPL566" s="501"/>
      <c r="QPM566" s="501"/>
      <c r="QPN566" s="501"/>
      <c r="QPO566" s="501"/>
      <c r="QPP566" s="501"/>
      <c r="QPQ566" s="501"/>
      <c r="QPR566" s="501"/>
      <c r="QPS566" s="501"/>
      <c r="QPT566" s="501"/>
      <c r="QPU566" s="501"/>
      <c r="QPV566" s="501"/>
      <c r="QPW566" s="501"/>
      <c r="QPX566" s="501"/>
      <c r="QPY566" s="501"/>
      <c r="QPZ566" s="501"/>
      <c r="QQA566" s="501"/>
      <c r="QQB566" s="501"/>
      <c r="QQC566" s="501"/>
      <c r="QQD566" s="501"/>
      <c r="QQE566" s="501"/>
      <c r="QQF566" s="501"/>
      <c r="QQG566" s="501"/>
      <c r="QQH566" s="501"/>
      <c r="QQI566" s="501"/>
      <c r="QQJ566" s="501"/>
      <c r="QQK566" s="501"/>
      <c r="QQL566" s="501"/>
      <c r="QQM566" s="501"/>
      <c r="QQN566" s="501"/>
      <c r="QQO566" s="501"/>
      <c r="QQP566" s="501"/>
      <c r="QQQ566" s="501"/>
      <c r="QQR566" s="501"/>
      <c r="QQS566" s="501"/>
      <c r="QQT566" s="501"/>
      <c r="QQU566" s="501"/>
      <c r="QQV566" s="501"/>
      <c r="QQW566" s="501"/>
      <c r="QQX566" s="501"/>
      <c r="QQY566" s="501"/>
      <c r="QQZ566" s="501"/>
      <c r="QRA566" s="501"/>
      <c r="QRB566" s="501"/>
      <c r="QRC566" s="501"/>
      <c r="QRD566" s="501"/>
      <c r="QRE566" s="501"/>
      <c r="QRF566" s="501"/>
      <c r="QRG566" s="501"/>
      <c r="QRH566" s="501"/>
      <c r="QRI566" s="501"/>
      <c r="QRJ566" s="501"/>
      <c r="QRK566" s="501"/>
      <c r="QRL566" s="501"/>
      <c r="QRM566" s="501"/>
      <c r="QRN566" s="501"/>
      <c r="QRO566" s="501"/>
      <c r="QRP566" s="501"/>
      <c r="QRQ566" s="501"/>
      <c r="QRR566" s="501"/>
      <c r="QRS566" s="501"/>
      <c r="QRT566" s="501"/>
      <c r="QRU566" s="501"/>
      <c r="QRV566" s="501"/>
      <c r="QRW566" s="501"/>
      <c r="QRX566" s="501"/>
      <c r="QRY566" s="501"/>
      <c r="QRZ566" s="501"/>
      <c r="QSA566" s="501"/>
      <c r="QSB566" s="501"/>
      <c r="QSC566" s="501"/>
      <c r="QSD566" s="501"/>
      <c r="QSE566" s="501"/>
      <c r="QSF566" s="501"/>
      <c r="QSG566" s="501"/>
      <c r="QSH566" s="501"/>
      <c r="QSI566" s="501"/>
      <c r="QSJ566" s="501"/>
      <c r="QSK566" s="501"/>
      <c r="QSL566" s="501"/>
      <c r="QSM566" s="501"/>
      <c r="QSN566" s="501"/>
      <c r="QSO566" s="501"/>
      <c r="QSP566" s="501"/>
      <c r="QSQ566" s="501"/>
      <c r="QSR566" s="501"/>
      <c r="QSS566" s="501"/>
      <c r="QST566" s="501"/>
      <c r="QSU566" s="501"/>
      <c r="QSV566" s="501"/>
      <c r="QSW566" s="501"/>
      <c r="QSX566" s="501"/>
      <c r="QSY566" s="501"/>
      <c r="QSZ566" s="501"/>
      <c r="QTA566" s="501"/>
      <c r="QTB566" s="501"/>
      <c r="QTC566" s="501"/>
      <c r="QTD566" s="501"/>
      <c r="QTE566" s="501"/>
      <c r="QTF566" s="501"/>
      <c r="QTG566" s="501"/>
      <c r="QTH566" s="501"/>
      <c r="QTI566" s="501"/>
      <c r="QTJ566" s="501"/>
      <c r="QTK566" s="501"/>
      <c r="QTL566" s="501"/>
      <c r="QTM566" s="501"/>
      <c r="QTN566" s="501"/>
      <c r="QTO566" s="501"/>
      <c r="QTP566" s="501"/>
      <c r="QTQ566" s="501"/>
      <c r="QTR566" s="501"/>
      <c r="QTS566" s="501"/>
      <c r="QTT566" s="501"/>
      <c r="QTU566" s="501"/>
      <c r="QTV566" s="501"/>
      <c r="QTW566" s="501"/>
      <c r="QTX566" s="501"/>
      <c r="QTY566" s="501"/>
      <c r="QTZ566" s="501"/>
      <c r="QUA566" s="501"/>
      <c r="QUB566" s="501"/>
      <c r="QUC566" s="501"/>
      <c r="QUD566" s="501"/>
      <c r="QUE566" s="501"/>
      <c r="QUF566" s="501"/>
      <c r="QUG566" s="501"/>
      <c r="QUH566" s="501"/>
      <c r="QUI566" s="501"/>
      <c r="QUJ566" s="501"/>
      <c r="QUK566" s="501"/>
      <c r="QUL566" s="501"/>
      <c r="QUM566" s="501"/>
      <c r="QUN566" s="501"/>
      <c r="QUO566" s="501"/>
      <c r="QUP566" s="501"/>
      <c r="QUQ566" s="501"/>
      <c r="QUR566" s="501"/>
      <c r="QUS566" s="501"/>
      <c r="QUT566" s="501"/>
      <c r="QUU566" s="501"/>
      <c r="QUV566" s="501"/>
      <c r="QUW566" s="501"/>
      <c r="QUX566" s="501"/>
      <c r="QUY566" s="501"/>
      <c r="QUZ566" s="501"/>
      <c r="QVA566" s="501"/>
      <c r="QVB566" s="501"/>
      <c r="QVC566" s="501"/>
      <c r="QVD566" s="501"/>
      <c r="QVE566" s="501"/>
      <c r="QVF566" s="501"/>
      <c r="QVG566" s="501"/>
      <c r="QVH566" s="501"/>
      <c r="QVI566" s="501"/>
      <c r="QVJ566" s="501"/>
      <c r="QVK566" s="501"/>
      <c r="QVL566" s="501"/>
      <c r="QVM566" s="501"/>
      <c r="QVN566" s="501"/>
      <c r="QVO566" s="501"/>
      <c r="QVP566" s="501"/>
      <c r="QVQ566" s="501"/>
      <c r="QVR566" s="501"/>
      <c r="QVS566" s="501"/>
      <c r="QVT566" s="501"/>
      <c r="QVU566" s="501"/>
      <c r="QVV566" s="501"/>
      <c r="QVW566" s="501"/>
      <c r="QVX566" s="501"/>
      <c r="QVY566" s="501"/>
      <c r="QVZ566" s="501"/>
      <c r="QWA566" s="501"/>
      <c r="QWB566" s="501"/>
      <c r="QWC566" s="501"/>
      <c r="QWD566" s="501"/>
      <c r="QWE566" s="501"/>
      <c r="QWF566" s="501"/>
      <c r="QWG566" s="501"/>
      <c r="QWH566" s="501"/>
      <c r="QWI566" s="501"/>
      <c r="QWJ566" s="501"/>
      <c r="QWK566" s="501"/>
      <c r="QWL566" s="501"/>
      <c r="QWM566" s="501"/>
      <c r="QWN566" s="501"/>
      <c r="QWO566" s="501"/>
      <c r="QWP566" s="501"/>
      <c r="QWQ566" s="501"/>
      <c r="QWR566" s="501"/>
      <c r="QWS566" s="501"/>
      <c r="QWT566" s="501"/>
      <c r="QWU566" s="501"/>
      <c r="QWV566" s="501"/>
      <c r="QWW566" s="501"/>
      <c r="QWX566" s="501"/>
      <c r="QWY566" s="501"/>
      <c r="QWZ566" s="501"/>
      <c r="QXA566" s="501"/>
      <c r="QXB566" s="501"/>
      <c r="QXC566" s="501"/>
      <c r="QXD566" s="501"/>
      <c r="QXE566" s="501"/>
      <c r="QXF566" s="501"/>
      <c r="QXG566" s="501"/>
      <c r="QXH566" s="501"/>
      <c r="QXI566" s="501"/>
      <c r="QXJ566" s="501"/>
      <c r="QXK566" s="501"/>
      <c r="QXL566" s="501"/>
      <c r="QXM566" s="501"/>
      <c r="QXN566" s="501"/>
      <c r="QXO566" s="501"/>
      <c r="QXP566" s="501"/>
      <c r="QXQ566" s="501"/>
      <c r="QXR566" s="501"/>
      <c r="QXS566" s="501"/>
      <c r="QXT566" s="501"/>
      <c r="QXU566" s="501"/>
      <c r="QXV566" s="501"/>
      <c r="QXW566" s="501"/>
      <c r="QXX566" s="501"/>
      <c r="QXY566" s="501"/>
      <c r="QXZ566" s="501"/>
      <c r="QYA566" s="501"/>
      <c r="QYB566" s="501"/>
      <c r="QYC566" s="501"/>
      <c r="QYD566" s="501"/>
      <c r="QYE566" s="501"/>
      <c r="QYF566" s="501"/>
      <c r="QYG566" s="501"/>
      <c r="QYH566" s="501"/>
      <c r="QYI566" s="501"/>
      <c r="QYJ566" s="501"/>
      <c r="QYK566" s="501"/>
      <c r="QYL566" s="501"/>
      <c r="QYM566" s="501"/>
      <c r="QYN566" s="501"/>
      <c r="QYO566" s="501"/>
      <c r="QYP566" s="501"/>
      <c r="QYQ566" s="501"/>
      <c r="QYR566" s="501"/>
      <c r="QYS566" s="501"/>
      <c r="QYT566" s="501"/>
      <c r="QYU566" s="501"/>
      <c r="QYV566" s="501"/>
      <c r="QYW566" s="501"/>
      <c r="QYX566" s="501"/>
      <c r="QYY566" s="501"/>
      <c r="QYZ566" s="501"/>
      <c r="QZA566" s="501"/>
      <c r="QZB566" s="501"/>
      <c r="QZC566" s="501"/>
      <c r="QZD566" s="501"/>
      <c r="QZE566" s="501"/>
      <c r="QZF566" s="501"/>
      <c r="QZG566" s="501"/>
      <c r="QZH566" s="501"/>
      <c r="QZI566" s="501"/>
      <c r="QZJ566" s="501"/>
      <c r="QZK566" s="501"/>
      <c r="QZL566" s="501"/>
      <c r="QZM566" s="501"/>
      <c r="QZN566" s="501"/>
      <c r="QZO566" s="501"/>
      <c r="QZP566" s="501"/>
      <c r="QZQ566" s="501"/>
      <c r="QZR566" s="501"/>
      <c r="QZS566" s="501"/>
      <c r="QZT566" s="501"/>
      <c r="QZU566" s="501"/>
      <c r="QZV566" s="501"/>
      <c r="QZW566" s="501"/>
      <c r="QZX566" s="501"/>
      <c r="QZY566" s="501"/>
      <c r="QZZ566" s="501"/>
      <c r="RAA566" s="501"/>
      <c r="RAB566" s="501"/>
      <c r="RAC566" s="501"/>
      <c r="RAD566" s="501"/>
      <c r="RAE566" s="501"/>
      <c r="RAF566" s="501"/>
      <c r="RAG566" s="501"/>
      <c r="RAH566" s="501"/>
      <c r="RAI566" s="501"/>
      <c r="RAJ566" s="501"/>
      <c r="RAK566" s="501"/>
      <c r="RAL566" s="501"/>
      <c r="RAM566" s="501"/>
      <c r="RAN566" s="501"/>
      <c r="RAO566" s="501"/>
      <c r="RAP566" s="501"/>
      <c r="RAQ566" s="501"/>
      <c r="RAR566" s="501"/>
      <c r="RAS566" s="501"/>
      <c r="RAT566" s="501"/>
      <c r="RAU566" s="501"/>
      <c r="RAV566" s="501"/>
      <c r="RAW566" s="501"/>
      <c r="RAX566" s="501"/>
      <c r="RAY566" s="501"/>
      <c r="RAZ566" s="501"/>
      <c r="RBA566" s="501"/>
      <c r="RBB566" s="501"/>
      <c r="RBC566" s="501"/>
      <c r="RBD566" s="501"/>
      <c r="RBE566" s="501"/>
      <c r="RBF566" s="501"/>
      <c r="RBG566" s="501"/>
      <c r="RBH566" s="501"/>
      <c r="RBI566" s="501"/>
      <c r="RBJ566" s="501"/>
      <c r="RBK566" s="501"/>
      <c r="RBL566" s="501"/>
      <c r="RBM566" s="501"/>
      <c r="RBN566" s="501"/>
      <c r="RBO566" s="501"/>
      <c r="RBP566" s="501"/>
      <c r="RBQ566" s="501"/>
      <c r="RBR566" s="501"/>
      <c r="RBS566" s="501"/>
      <c r="RBT566" s="501"/>
      <c r="RBU566" s="501"/>
      <c r="RBV566" s="501"/>
      <c r="RBW566" s="501"/>
      <c r="RBX566" s="501"/>
      <c r="RBY566" s="501"/>
      <c r="RBZ566" s="501"/>
      <c r="RCA566" s="501"/>
      <c r="RCB566" s="501"/>
      <c r="RCC566" s="501"/>
      <c r="RCD566" s="501"/>
      <c r="RCE566" s="501"/>
      <c r="RCF566" s="501"/>
      <c r="RCG566" s="501"/>
      <c r="RCH566" s="501"/>
      <c r="RCI566" s="501"/>
      <c r="RCJ566" s="501"/>
      <c r="RCK566" s="501"/>
      <c r="RCL566" s="501"/>
      <c r="RCM566" s="501"/>
      <c r="RCN566" s="501"/>
      <c r="RCO566" s="501"/>
      <c r="RCP566" s="501"/>
      <c r="RCQ566" s="501"/>
      <c r="RCR566" s="501"/>
      <c r="RCS566" s="501"/>
      <c r="RCT566" s="501"/>
      <c r="RCU566" s="501"/>
      <c r="RCV566" s="501"/>
      <c r="RCW566" s="501"/>
      <c r="RCX566" s="501"/>
      <c r="RCY566" s="501"/>
      <c r="RCZ566" s="501"/>
      <c r="RDA566" s="501"/>
      <c r="RDB566" s="501"/>
      <c r="RDC566" s="501"/>
      <c r="RDD566" s="501"/>
      <c r="RDE566" s="501"/>
      <c r="RDF566" s="501"/>
      <c r="RDG566" s="501"/>
      <c r="RDH566" s="501"/>
      <c r="RDI566" s="501"/>
      <c r="RDJ566" s="501"/>
      <c r="RDK566" s="501"/>
      <c r="RDL566" s="501"/>
      <c r="RDM566" s="501"/>
      <c r="RDN566" s="501"/>
      <c r="RDO566" s="501"/>
      <c r="RDP566" s="501"/>
      <c r="RDQ566" s="501"/>
      <c r="RDR566" s="501"/>
      <c r="RDS566" s="501"/>
      <c r="RDT566" s="501"/>
      <c r="RDU566" s="501"/>
      <c r="RDV566" s="501"/>
      <c r="RDW566" s="501"/>
      <c r="RDX566" s="501"/>
      <c r="RDY566" s="501"/>
      <c r="RDZ566" s="501"/>
      <c r="REA566" s="501"/>
      <c r="REB566" s="501"/>
      <c r="REC566" s="501"/>
      <c r="RED566" s="501"/>
      <c r="REE566" s="501"/>
      <c r="REF566" s="501"/>
      <c r="REG566" s="501"/>
      <c r="REH566" s="501"/>
      <c r="REI566" s="501"/>
      <c r="REJ566" s="501"/>
      <c r="REK566" s="501"/>
      <c r="REL566" s="501"/>
      <c r="REM566" s="501"/>
      <c r="REN566" s="501"/>
      <c r="REO566" s="501"/>
      <c r="REP566" s="501"/>
      <c r="REQ566" s="501"/>
      <c r="RER566" s="501"/>
      <c r="RES566" s="501"/>
      <c r="RET566" s="501"/>
      <c r="REU566" s="501"/>
      <c r="REV566" s="501"/>
      <c r="REW566" s="501"/>
      <c r="REX566" s="501"/>
      <c r="REY566" s="501"/>
      <c r="REZ566" s="501"/>
      <c r="RFA566" s="501"/>
      <c r="RFB566" s="501"/>
      <c r="RFC566" s="501"/>
      <c r="RFD566" s="501"/>
      <c r="RFE566" s="501"/>
      <c r="RFF566" s="501"/>
      <c r="RFG566" s="501"/>
      <c r="RFH566" s="501"/>
      <c r="RFI566" s="501"/>
      <c r="RFJ566" s="501"/>
      <c r="RFK566" s="501"/>
      <c r="RFL566" s="501"/>
      <c r="RFM566" s="501"/>
      <c r="RFN566" s="501"/>
      <c r="RFO566" s="501"/>
      <c r="RFP566" s="501"/>
      <c r="RFQ566" s="501"/>
      <c r="RFR566" s="501"/>
      <c r="RFS566" s="501"/>
      <c r="RFT566" s="501"/>
      <c r="RFU566" s="501"/>
      <c r="RFV566" s="501"/>
      <c r="RFW566" s="501"/>
      <c r="RFX566" s="501"/>
      <c r="RFY566" s="501"/>
      <c r="RFZ566" s="501"/>
      <c r="RGA566" s="501"/>
      <c r="RGB566" s="501"/>
      <c r="RGC566" s="501"/>
      <c r="RGD566" s="501"/>
      <c r="RGE566" s="501"/>
      <c r="RGF566" s="501"/>
      <c r="RGG566" s="501"/>
      <c r="RGH566" s="501"/>
      <c r="RGI566" s="501"/>
      <c r="RGJ566" s="501"/>
      <c r="RGK566" s="501"/>
      <c r="RGL566" s="501"/>
      <c r="RGM566" s="501"/>
      <c r="RGN566" s="501"/>
      <c r="RGO566" s="501"/>
      <c r="RGP566" s="501"/>
      <c r="RGQ566" s="501"/>
      <c r="RGR566" s="501"/>
      <c r="RGS566" s="501"/>
      <c r="RGT566" s="501"/>
      <c r="RGU566" s="501"/>
      <c r="RGV566" s="501"/>
      <c r="RGW566" s="501"/>
      <c r="RGX566" s="501"/>
      <c r="RGY566" s="501"/>
      <c r="RGZ566" s="501"/>
      <c r="RHA566" s="501"/>
      <c r="RHB566" s="501"/>
      <c r="RHC566" s="501"/>
      <c r="RHD566" s="501"/>
      <c r="RHE566" s="501"/>
      <c r="RHF566" s="501"/>
      <c r="RHG566" s="501"/>
      <c r="RHH566" s="501"/>
      <c r="RHI566" s="501"/>
      <c r="RHJ566" s="501"/>
      <c r="RHK566" s="501"/>
      <c r="RHL566" s="501"/>
      <c r="RHM566" s="501"/>
      <c r="RHN566" s="501"/>
      <c r="RHO566" s="501"/>
      <c r="RHP566" s="501"/>
      <c r="RHQ566" s="501"/>
      <c r="RHR566" s="501"/>
      <c r="RHS566" s="501"/>
      <c r="RHT566" s="501"/>
      <c r="RHU566" s="501"/>
      <c r="RHV566" s="501"/>
      <c r="RHW566" s="501"/>
      <c r="RHX566" s="501"/>
      <c r="RHY566" s="501"/>
      <c r="RHZ566" s="501"/>
      <c r="RIA566" s="501"/>
      <c r="RIB566" s="501"/>
      <c r="RIC566" s="501"/>
      <c r="RID566" s="501"/>
      <c r="RIE566" s="501"/>
      <c r="RIF566" s="501"/>
      <c r="RIG566" s="501"/>
      <c r="RIH566" s="501"/>
      <c r="RII566" s="501"/>
      <c r="RIJ566" s="501"/>
      <c r="RIK566" s="501"/>
      <c r="RIL566" s="501"/>
      <c r="RIM566" s="501"/>
      <c r="RIN566" s="501"/>
      <c r="RIO566" s="501"/>
      <c r="RIP566" s="501"/>
      <c r="RIQ566" s="501"/>
      <c r="RIR566" s="501"/>
      <c r="RIS566" s="501"/>
      <c r="RIT566" s="501"/>
      <c r="RIU566" s="501"/>
      <c r="RIV566" s="501"/>
      <c r="RIW566" s="501"/>
      <c r="RIX566" s="501"/>
      <c r="RIY566" s="501"/>
      <c r="RIZ566" s="501"/>
      <c r="RJA566" s="501"/>
      <c r="RJB566" s="501"/>
      <c r="RJC566" s="501"/>
      <c r="RJD566" s="501"/>
      <c r="RJE566" s="501"/>
      <c r="RJF566" s="501"/>
      <c r="RJG566" s="501"/>
      <c r="RJH566" s="501"/>
      <c r="RJI566" s="501"/>
      <c r="RJJ566" s="501"/>
      <c r="RJK566" s="501"/>
      <c r="RJL566" s="501"/>
      <c r="RJM566" s="501"/>
      <c r="RJN566" s="501"/>
      <c r="RJO566" s="501"/>
      <c r="RJP566" s="501"/>
      <c r="RJQ566" s="501"/>
      <c r="RJR566" s="501"/>
      <c r="RJS566" s="501"/>
      <c r="RJT566" s="501"/>
      <c r="RJU566" s="501"/>
      <c r="RJV566" s="501"/>
      <c r="RJW566" s="501"/>
      <c r="RJX566" s="501"/>
      <c r="RJY566" s="501"/>
      <c r="RJZ566" s="501"/>
      <c r="RKA566" s="501"/>
      <c r="RKB566" s="501"/>
      <c r="RKC566" s="501"/>
      <c r="RKD566" s="501"/>
      <c r="RKE566" s="501"/>
      <c r="RKF566" s="501"/>
      <c r="RKG566" s="501"/>
      <c r="RKH566" s="501"/>
      <c r="RKI566" s="501"/>
      <c r="RKJ566" s="501"/>
      <c r="RKK566" s="501"/>
      <c r="RKL566" s="501"/>
      <c r="RKM566" s="501"/>
      <c r="RKN566" s="501"/>
      <c r="RKO566" s="501"/>
      <c r="RKP566" s="501"/>
      <c r="RKQ566" s="501"/>
      <c r="RKR566" s="501"/>
      <c r="RKS566" s="501"/>
      <c r="RKT566" s="501"/>
      <c r="RKU566" s="501"/>
      <c r="RKV566" s="501"/>
      <c r="RKW566" s="501"/>
      <c r="RKX566" s="501"/>
      <c r="RKY566" s="501"/>
      <c r="RKZ566" s="501"/>
      <c r="RLA566" s="501"/>
      <c r="RLB566" s="501"/>
      <c r="RLC566" s="501"/>
      <c r="RLD566" s="501"/>
      <c r="RLE566" s="501"/>
      <c r="RLF566" s="501"/>
      <c r="RLG566" s="501"/>
      <c r="RLH566" s="501"/>
      <c r="RLI566" s="501"/>
      <c r="RLJ566" s="501"/>
      <c r="RLK566" s="501"/>
      <c r="RLL566" s="501"/>
      <c r="RLM566" s="501"/>
      <c r="RLN566" s="501"/>
      <c r="RLO566" s="501"/>
      <c r="RLP566" s="501"/>
      <c r="RLQ566" s="501"/>
      <c r="RLR566" s="501"/>
      <c r="RLS566" s="501"/>
      <c r="RLT566" s="501"/>
      <c r="RLU566" s="501"/>
      <c r="RLV566" s="501"/>
      <c r="RLW566" s="501"/>
      <c r="RLX566" s="501"/>
      <c r="RLY566" s="501"/>
      <c r="RLZ566" s="501"/>
      <c r="RMA566" s="501"/>
      <c r="RMB566" s="501"/>
      <c r="RMC566" s="501"/>
      <c r="RMD566" s="501"/>
      <c r="RME566" s="501"/>
      <c r="RMF566" s="501"/>
      <c r="RMG566" s="501"/>
      <c r="RMH566" s="501"/>
      <c r="RMI566" s="501"/>
      <c r="RMJ566" s="501"/>
      <c r="RMK566" s="501"/>
      <c r="RML566" s="501"/>
      <c r="RMM566" s="501"/>
      <c r="RMN566" s="501"/>
      <c r="RMO566" s="501"/>
      <c r="RMP566" s="501"/>
      <c r="RMQ566" s="501"/>
      <c r="RMR566" s="501"/>
      <c r="RMS566" s="501"/>
      <c r="RMT566" s="501"/>
      <c r="RMU566" s="501"/>
      <c r="RMV566" s="501"/>
      <c r="RMW566" s="501"/>
      <c r="RMX566" s="501"/>
      <c r="RMY566" s="501"/>
      <c r="RMZ566" s="501"/>
      <c r="RNA566" s="501"/>
      <c r="RNB566" s="501"/>
      <c r="RNC566" s="501"/>
      <c r="RND566" s="501"/>
      <c r="RNE566" s="501"/>
      <c r="RNF566" s="501"/>
      <c r="RNG566" s="501"/>
      <c r="RNH566" s="501"/>
      <c r="RNI566" s="501"/>
      <c r="RNJ566" s="501"/>
      <c r="RNK566" s="501"/>
      <c r="RNL566" s="501"/>
      <c r="RNM566" s="501"/>
      <c r="RNN566" s="501"/>
      <c r="RNO566" s="501"/>
      <c r="RNP566" s="501"/>
      <c r="RNQ566" s="501"/>
      <c r="RNR566" s="501"/>
      <c r="RNS566" s="501"/>
      <c r="RNT566" s="501"/>
      <c r="RNU566" s="501"/>
      <c r="RNV566" s="501"/>
      <c r="RNW566" s="501"/>
      <c r="RNX566" s="501"/>
      <c r="RNY566" s="501"/>
      <c r="RNZ566" s="501"/>
      <c r="ROA566" s="501"/>
      <c r="ROB566" s="501"/>
      <c r="ROC566" s="501"/>
      <c r="ROD566" s="501"/>
      <c r="ROE566" s="501"/>
      <c r="ROF566" s="501"/>
      <c r="ROG566" s="501"/>
      <c r="ROH566" s="501"/>
      <c r="ROI566" s="501"/>
      <c r="ROJ566" s="501"/>
      <c r="ROK566" s="501"/>
      <c r="ROL566" s="501"/>
      <c r="ROM566" s="501"/>
      <c r="RON566" s="501"/>
      <c r="ROO566" s="501"/>
      <c r="ROP566" s="501"/>
      <c r="ROQ566" s="501"/>
      <c r="ROR566" s="501"/>
      <c r="ROS566" s="501"/>
      <c r="ROT566" s="501"/>
      <c r="ROU566" s="501"/>
      <c r="ROV566" s="501"/>
      <c r="ROW566" s="501"/>
      <c r="ROX566" s="501"/>
      <c r="ROY566" s="501"/>
      <c r="ROZ566" s="501"/>
      <c r="RPA566" s="501"/>
      <c r="RPB566" s="501"/>
      <c r="RPC566" s="501"/>
      <c r="RPD566" s="501"/>
      <c r="RPE566" s="501"/>
      <c r="RPF566" s="501"/>
      <c r="RPG566" s="501"/>
      <c r="RPH566" s="501"/>
      <c r="RPI566" s="501"/>
      <c r="RPJ566" s="501"/>
      <c r="RPK566" s="501"/>
      <c r="RPL566" s="501"/>
      <c r="RPM566" s="501"/>
      <c r="RPN566" s="501"/>
      <c r="RPO566" s="501"/>
      <c r="RPP566" s="501"/>
      <c r="RPQ566" s="501"/>
      <c r="RPR566" s="501"/>
      <c r="RPS566" s="501"/>
      <c r="RPT566" s="501"/>
      <c r="RPU566" s="501"/>
      <c r="RPV566" s="501"/>
      <c r="RPW566" s="501"/>
      <c r="RPX566" s="501"/>
      <c r="RPY566" s="501"/>
      <c r="RPZ566" s="501"/>
      <c r="RQA566" s="501"/>
      <c r="RQB566" s="501"/>
      <c r="RQC566" s="501"/>
      <c r="RQD566" s="501"/>
      <c r="RQE566" s="501"/>
      <c r="RQF566" s="501"/>
      <c r="RQG566" s="501"/>
      <c r="RQH566" s="501"/>
      <c r="RQI566" s="501"/>
      <c r="RQJ566" s="501"/>
      <c r="RQK566" s="501"/>
      <c r="RQL566" s="501"/>
      <c r="RQM566" s="501"/>
      <c r="RQN566" s="501"/>
      <c r="RQO566" s="501"/>
      <c r="RQP566" s="501"/>
      <c r="RQQ566" s="501"/>
      <c r="RQR566" s="501"/>
      <c r="RQS566" s="501"/>
      <c r="RQT566" s="501"/>
      <c r="RQU566" s="501"/>
      <c r="RQV566" s="501"/>
      <c r="RQW566" s="501"/>
      <c r="RQX566" s="501"/>
      <c r="RQY566" s="501"/>
      <c r="RQZ566" s="501"/>
      <c r="RRA566" s="501"/>
      <c r="RRB566" s="501"/>
      <c r="RRC566" s="501"/>
      <c r="RRD566" s="501"/>
      <c r="RRE566" s="501"/>
      <c r="RRF566" s="501"/>
      <c r="RRG566" s="501"/>
      <c r="RRH566" s="501"/>
      <c r="RRI566" s="501"/>
      <c r="RRJ566" s="501"/>
      <c r="RRK566" s="501"/>
      <c r="RRL566" s="501"/>
      <c r="RRM566" s="501"/>
      <c r="RRN566" s="501"/>
      <c r="RRO566" s="501"/>
      <c r="RRP566" s="501"/>
      <c r="RRQ566" s="501"/>
      <c r="RRR566" s="501"/>
      <c r="RRS566" s="501"/>
      <c r="RRT566" s="501"/>
      <c r="RRU566" s="501"/>
      <c r="RRV566" s="501"/>
      <c r="RRW566" s="501"/>
      <c r="RRX566" s="501"/>
      <c r="RRY566" s="501"/>
      <c r="RRZ566" s="501"/>
      <c r="RSA566" s="501"/>
      <c r="RSB566" s="501"/>
      <c r="RSC566" s="501"/>
      <c r="RSD566" s="501"/>
      <c r="RSE566" s="501"/>
      <c r="RSF566" s="501"/>
      <c r="RSG566" s="501"/>
      <c r="RSH566" s="501"/>
      <c r="RSI566" s="501"/>
      <c r="RSJ566" s="501"/>
      <c r="RSK566" s="501"/>
      <c r="RSL566" s="501"/>
      <c r="RSM566" s="501"/>
      <c r="RSN566" s="501"/>
      <c r="RSO566" s="501"/>
      <c r="RSP566" s="501"/>
      <c r="RSQ566" s="501"/>
      <c r="RSR566" s="501"/>
      <c r="RSS566" s="501"/>
      <c r="RST566" s="501"/>
      <c r="RSU566" s="501"/>
      <c r="RSV566" s="501"/>
      <c r="RSW566" s="501"/>
      <c r="RSX566" s="501"/>
      <c r="RSY566" s="501"/>
      <c r="RSZ566" s="501"/>
      <c r="RTA566" s="501"/>
      <c r="RTB566" s="501"/>
      <c r="RTC566" s="501"/>
      <c r="RTD566" s="501"/>
      <c r="RTE566" s="501"/>
      <c r="RTF566" s="501"/>
      <c r="RTG566" s="501"/>
      <c r="RTH566" s="501"/>
      <c r="RTI566" s="501"/>
      <c r="RTJ566" s="501"/>
      <c r="RTK566" s="501"/>
      <c r="RTL566" s="501"/>
      <c r="RTM566" s="501"/>
      <c r="RTN566" s="501"/>
      <c r="RTO566" s="501"/>
      <c r="RTP566" s="501"/>
      <c r="RTQ566" s="501"/>
      <c r="RTR566" s="501"/>
      <c r="RTS566" s="501"/>
      <c r="RTT566" s="501"/>
      <c r="RTU566" s="501"/>
      <c r="RTV566" s="501"/>
      <c r="RTW566" s="501"/>
      <c r="RTX566" s="501"/>
      <c r="RTY566" s="501"/>
      <c r="RTZ566" s="501"/>
      <c r="RUA566" s="501"/>
      <c r="RUB566" s="501"/>
      <c r="RUC566" s="501"/>
      <c r="RUD566" s="501"/>
      <c r="RUE566" s="501"/>
      <c r="RUF566" s="501"/>
      <c r="RUG566" s="501"/>
      <c r="RUH566" s="501"/>
      <c r="RUI566" s="501"/>
      <c r="RUJ566" s="501"/>
      <c r="RUK566" s="501"/>
      <c r="RUL566" s="501"/>
      <c r="RUM566" s="501"/>
      <c r="RUN566" s="501"/>
      <c r="RUO566" s="501"/>
      <c r="RUP566" s="501"/>
      <c r="RUQ566" s="501"/>
      <c r="RUR566" s="501"/>
      <c r="RUS566" s="501"/>
      <c r="RUT566" s="501"/>
      <c r="RUU566" s="501"/>
      <c r="RUV566" s="501"/>
      <c r="RUW566" s="501"/>
      <c r="RUX566" s="501"/>
      <c r="RUY566" s="501"/>
      <c r="RUZ566" s="501"/>
      <c r="RVA566" s="501"/>
      <c r="RVB566" s="501"/>
      <c r="RVC566" s="501"/>
      <c r="RVD566" s="501"/>
      <c r="RVE566" s="501"/>
      <c r="RVF566" s="501"/>
      <c r="RVG566" s="501"/>
      <c r="RVH566" s="501"/>
      <c r="RVI566" s="501"/>
      <c r="RVJ566" s="501"/>
      <c r="RVK566" s="501"/>
      <c r="RVL566" s="501"/>
      <c r="RVM566" s="501"/>
      <c r="RVN566" s="501"/>
      <c r="RVO566" s="501"/>
      <c r="RVP566" s="501"/>
      <c r="RVQ566" s="501"/>
      <c r="RVR566" s="501"/>
      <c r="RVS566" s="501"/>
      <c r="RVT566" s="501"/>
      <c r="RVU566" s="501"/>
      <c r="RVV566" s="501"/>
      <c r="RVW566" s="501"/>
      <c r="RVX566" s="501"/>
      <c r="RVY566" s="501"/>
      <c r="RVZ566" s="501"/>
      <c r="RWA566" s="501"/>
      <c r="RWB566" s="501"/>
      <c r="RWC566" s="501"/>
      <c r="RWD566" s="501"/>
      <c r="RWE566" s="501"/>
      <c r="RWF566" s="501"/>
      <c r="RWG566" s="501"/>
      <c r="RWH566" s="501"/>
      <c r="RWI566" s="501"/>
      <c r="RWJ566" s="501"/>
      <c r="RWK566" s="501"/>
      <c r="RWL566" s="501"/>
      <c r="RWM566" s="501"/>
      <c r="RWN566" s="501"/>
      <c r="RWO566" s="501"/>
      <c r="RWP566" s="501"/>
      <c r="RWQ566" s="501"/>
      <c r="RWR566" s="501"/>
      <c r="RWS566" s="501"/>
      <c r="RWT566" s="501"/>
      <c r="RWU566" s="501"/>
      <c r="RWV566" s="501"/>
      <c r="RWW566" s="501"/>
      <c r="RWX566" s="501"/>
      <c r="RWY566" s="501"/>
      <c r="RWZ566" s="501"/>
      <c r="RXA566" s="501"/>
      <c r="RXB566" s="501"/>
      <c r="RXC566" s="501"/>
      <c r="RXD566" s="501"/>
      <c r="RXE566" s="501"/>
      <c r="RXF566" s="501"/>
      <c r="RXG566" s="501"/>
      <c r="RXH566" s="501"/>
      <c r="RXI566" s="501"/>
      <c r="RXJ566" s="501"/>
      <c r="RXK566" s="501"/>
      <c r="RXL566" s="501"/>
      <c r="RXM566" s="501"/>
      <c r="RXN566" s="501"/>
      <c r="RXO566" s="501"/>
      <c r="RXP566" s="501"/>
      <c r="RXQ566" s="501"/>
      <c r="RXR566" s="501"/>
      <c r="RXS566" s="501"/>
      <c r="RXT566" s="501"/>
      <c r="RXU566" s="501"/>
      <c r="RXV566" s="501"/>
      <c r="RXW566" s="501"/>
      <c r="RXX566" s="501"/>
      <c r="RXY566" s="501"/>
      <c r="RXZ566" s="501"/>
      <c r="RYA566" s="501"/>
      <c r="RYB566" s="501"/>
      <c r="RYC566" s="501"/>
      <c r="RYD566" s="501"/>
      <c r="RYE566" s="501"/>
      <c r="RYF566" s="501"/>
      <c r="RYG566" s="501"/>
      <c r="RYH566" s="501"/>
      <c r="RYI566" s="501"/>
      <c r="RYJ566" s="501"/>
      <c r="RYK566" s="501"/>
      <c r="RYL566" s="501"/>
      <c r="RYM566" s="501"/>
      <c r="RYN566" s="501"/>
      <c r="RYO566" s="501"/>
      <c r="RYP566" s="501"/>
      <c r="RYQ566" s="501"/>
      <c r="RYR566" s="501"/>
      <c r="RYS566" s="501"/>
      <c r="RYT566" s="501"/>
      <c r="RYU566" s="501"/>
      <c r="RYV566" s="501"/>
      <c r="RYW566" s="501"/>
      <c r="RYX566" s="501"/>
      <c r="RYY566" s="501"/>
      <c r="RYZ566" s="501"/>
      <c r="RZA566" s="501"/>
      <c r="RZB566" s="501"/>
      <c r="RZC566" s="501"/>
      <c r="RZD566" s="501"/>
      <c r="RZE566" s="501"/>
      <c r="RZF566" s="501"/>
      <c r="RZG566" s="501"/>
      <c r="RZH566" s="501"/>
      <c r="RZI566" s="501"/>
      <c r="RZJ566" s="501"/>
      <c r="RZK566" s="501"/>
      <c r="RZL566" s="501"/>
      <c r="RZM566" s="501"/>
      <c r="RZN566" s="501"/>
      <c r="RZO566" s="501"/>
      <c r="RZP566" s="501"/>
      <c r="RZQ566" s="501"/>
      <c r="RZR566" s="501"/>
      <c r="RZS566" s="501"/>
      <c r="RZT566" s="501"/>
      <c r="RZU566" s="501"/>
      <c r="RZV566" s="501"/>
      <c r="RZW566" s="501"/>
      <c r="RZX566" s="501"/>
      <c r="RZY566" s="501"/>
      <c r="RZZ566" s="501"/>
      <c r="SAA566" s="501"/>
      <c r="SAB566" s="501"/>
      <c r="SAC566" s="501"/>
      <c r="SAD566" s="501"/>
      <c r="SAE566" s="501"/>
      <c r="SAF566" s="501"/>
      <c r="SAG566" s="501"/>
      <c r="SAH566" s="501"/>
      <c r="SAI566" s="501"/>
      <c r="SAJ566" s="501"/>
      <c r="SAK566" s="501"/>
      <c r="SAL566" s="501"/>
      <c r="SAM566" s="501"/>
      <c r="SAN566" s="501"/>
      <c r="SAO566" s="501"/>
      <c r="SAP566" s="501"/>
      <c r="SAQ566" s="501"/>
      <c r="SAR566" s="501"/>
      <c r="SAS566" s="501"/>
      <c r="SAT566" s="501"/>
      <c r="SAU566" s="501"/>
      <c r="SAV566" s="501"/>
      <c r="SAW566" s="501"/>
      <c r="SAX566" s="501"/>
      <c r="SAY566" s="501"/>
      <c r="SAZ566" s="501"/>
      <c r="SBA566" s="501"/>
      <c r="SBB566" s="501"/>
      <c r="SBC566" s="501"/>
      <c r="SBD566" s="501"/>
      <c r="SBE566" s="501"/>
      <c r="SBF566" s="501"/>
      <c r="SBG566" s="501"/>
      <c r="SBH566" s="501"/>
      <c r="SBI566" s="501"/>
      <c r="SBJ566" s="501"/>
      <c r="SBK566" s="501"/>
      <c r="SBL566" s="501"/>
      <c r="SBM566" s="501"/>
      <c r="SBN566" s="501"/>
      <c r="SBO566" s="501"/>
      <c r="SBP566" s="501"/>
      <c r="SBQ566" s="501"/>
      <c r="SBR566" s="501"/>
      <c r="SBS566" s="501"/>
      <c r="SBT566" s="501"/>
      <c r="SBU566" s="501"/>
      <c r="SBV566" s="501"/>
      <c r="SBW566" s="501"/>
      <c r="SBX566" s="501"/>
      <c r="SBY566" s="501"/>
      <c r="SBZ566" s="501"/>
      <c r="SCA566" s="501"/>
      <c r="SCB566" s="501"/>
      <c r="SCC566" s="501"/>
      <c r="SCD566" s="501"/>
      <c r="SCE566" s="501"/>
      <c r="SCF566" s="501"/>
      <c r="SCG566" s="501"/>
      <c r="SCH566" s="501"/>
      <c r="SCI566" s="501"/>
      <c r="SCJ566" s="501"/>
      <c r="SCK566" s="501"/>
      <c r="SCL566" s="501"/>
      <c r="SCM566" s="501"/>
      <c r="SCN566" s="501"/>
      <c r="SCO566" s="501"/>
      <c r="SCP566" s="501"/>
      <c r="SCQ566" s="501"/>
      <c r="SCR566" s="501"/>
      <c r="SCS566" s="501"/>
      <c r="SCT566" s="501"/>
      <c r="SCU566" s="501"/>
      <c r="SCV566" s="501"/>
      <c r="SCW566" s="501"/>
      <c r="SCX566" s="501"/>
      <c r="SCY566" s="501"/>
      <c r="SCZ566" s="501"/>
      <c r="SDA566" s="501"/>
      <c r="SDB566" s="501"/>
      <c r="SDC566" s="501"/>
      <c r="SDD566" s="501"/>
      <c r="SDE566" s="501"/>
      <c r="SDF566" s="501"/>
      <c r="SDG566" s="501"/>
      <c r="SDH566" s="501"/>
      <c r="SDI566" s="501"/>
      <c r="SDJ566" s="501"/>
      <c r="SDK566" s="501"/>
      <c r="SDL566" s="501"/>
      <c r="SDM566" s="501"/>
      <c r="SDN566" s="501"/>
      <c r="SDO566" s="501"/>
      <c r="SDP566" s="501"/>
      <c r="SDQ566" s="501"/>
      <c r="SDR566" s="501"/>
      <c r="SDS566" s="501"/>
      <c r="SDT566" s="501"/>
      <c r="SDU566" s="501"/>
      <c r="SDV566" s="501"/>
      <c r="SDW566" s="501"/>
      <c r="SDX566" s="501"/>
      <c r="SDY566" s="501"/>
      <c r="SDZ566" s="501"/>
      <c r="SEA566" s="501"/>
      <c r="SEB566" s="501"/>
      <c r="SEC566" s="501"/>
      <c r="SED566" s="501"/>
      <c r="SEE566" s="501"/>
      <c r="SEF566" s="501"/>
      <c r="SEG566" s="501"/>
      <c r="SEH566" s="501"/>
      <c r="SEI566" s="501"/>
      <c r="SEJ566" s="501"/>
      <c r="SEK566" s="501"/>
      <c r="SEL566" s="501"/>
      <c r="SEM566" s="501"/>
      <c r="SEN566" s="501"/>
      <c r="SEO566" s="501"/>
      <c r="SEP566" s="501"/>
      <c r="SEQ566" s="501"/>
      <c r="SER566" s="501"/>
      <c r="SES566" s="501"/>
      <c r="SET566" s="501"/>
      <c r="SEU566" s="501"/>
      <c r="SEV566" s="501"/>
      <c r="SEW566" s="501"/>
      <c r="SEX566" s="501"/>
      <c r="SEY566" s="501"/>
      <c r="SEZ566" s="501"/>
      <c r="SFA566" s="501"/>
      <c r="SFB566" s="501"/>
      <c r="SFC566" s="501"/>
      <c r="SFD566" s="501"/>
      <c r="SFE566" s="501"/>
      <c r="SFF566" s="501"/>
      <c r="SFG566" s="501"/>
      <c r="SFH566" s="501"/>
      <c r="SFI566" s="501"/>
      <c r="SFJ566" s="501"/>
      <c r="SFK566" s="501"/>
      <c r="SFL566" s="501"/>
      <c r="SFM566" s="501"/>
      <c r="SFN566" s="501"/>
      <c r="SFO566" s="501"/>
      <c r="SFP566" s="501"/>
      <c r="SFQ566" s="501"/>
      <c r="SFR566" s="501"/>
      <c r="SFS566" s="501"/>
      <c r="SFT566" s="501"/>
      <c r="SFU566" s="501"/>
      <c r="SFV566" s="501"/>
      <c r="SFW566" s="501"/>
      <c r="SFX566" s="501"/>
      <c r="SFY566" s="501"/>
      <c r="SFZ566" s="501"/>
      <c r="SGA566" s="501"/>
      <c r="SGB566" s="501"/>
      <c r="SGC566" s="501"/>
      <c r="SGD566" s="501"/>
      <c r="SGE566" s="501"/>
      <c r="SGF566" s="501"/>
      <c r="SGG566" s="501"/>
      <c r="SGH566" s="501"/>
      <c r="SGI566" s="501"/>
      <c r="SGJ566" s="501"/>
      <c r="SGK566" s="501"/>
      <c r="SGL566" s="501"/>
      <c r="SGM566" s="501"/>
      <c r="SGN566" s="501"/>
      <c r="SGO566" s="501"/>
      <c r="SGP566" s="501"/>
      <c r="SGQ566" s="501"/>
      <c r="SGR566" s="501"/>
      <c r="SGS566" s="501"/>
      <c r="SGT566" s="501"/>
      <c r="SGU566" s="501"/>
      <c r="SGV566" s="501"/>
      <c r="SGW566" s="501"/>
      <c r="SGX566" s="501"/>
      <c r="SGY566" s="501"/>
      <c r="SGZ566" s="501"/>
      <c r="SHA566" s="501"/>
      <c r="SHB566" s="501"/>
      <c r="SHC566" s="501"/>
      <c r="SHD566" s="501"/>
      <c r="SHE566" s="501"/>
      <c r="SHF566" s="501"/>
      <c r="SHG566" s="501"/>
      <c r="SHH566" s="501"/>
      <c r="SHI566" s="501"/>
      <c r="SHJ566" s="501"/>
      <c r="SHK566" s="501"/>
      <c r="SHL566" s="501"/>
      <c r="SHM566" s="501"/>
      <c r="SHN566" s="501"/>
      <c r="SHO566" s="501"/>
      <c r="SHP566" s="501"/>
      <c r="SHQ566" s="501"/>
      <c r="SHR566" s="501"/>
      <c r="SHS566" s="501"/>
      <c r="SHT566" s="501"/>
      <c r="SHU566" s="501"/>
      <c r="SHV566" s="501"/>
      <c r="SHW566" s="501"/>
      <c r="SHX566" s="501"/>
      <c r="SHY566" s="501"/>
      <c r="SHZ566" s="501"/>
      <c r="SIA566" s="501"/>
      <c r="SIB566" s="501"/>
      <c r="SIC566" s="501"/>
      <c r="SID566" s="501"/>
      <c r="SIE566" s="501"/>
      <c r="SIF566" s="501"/>
      <c r="SIG566" s="501"/>
      <c r="SIH566" s="501"/>
      <c r="SII566" s="501"/>
      <c r="SIJ566" s="501"/>
      <c r="SIK566" s="501"/>
      <c r="SIL566" s="501"/>
      <c r="SIM566" s="501"/>
      <c r="SIN566" s="501"/>
      <c r="SIO566" s="501"/>
      <c r="SIP566" s="501"/>
      <c r="SIQ566" s="501"/>
      <c r="SIR566" s="501"/>
      <c r="SIS566" s="501"/>
      <c r="SIT566" s="501"/>
      <c r="SIU566" s="501"/>
      <c r="SIV566" s="501"/>
      <c r="SIW566" s="501"/>
      <c r="SIX566" s="501"/>
      <c r="SIY566" s="501"/>
      <c r="SIZ566" s="501"/>
      <c r="SJA566" s="501"/>
      <c r="SJB566" s="501"/>
      <c r="SJC566" s="501"/>
      <c r="SJD566" s="501"/>
      <c r="SJE566" s="501"/>
      <c r="SJF566" s="501"/>
      <c r="SJG566" s="501"/>
      <c r="SJH566" s="501"/>
      <c r="SJI566" s="501"/>
      <c r="SJJ566" s="501"/>
      <c r="SJK566" s="501"/>
      <c r="SJL566" s="501"/>
      <c r="SJM566" s="501"/>
      <c r="SJN566" s="501"/>
      <c r="SJO566" s="501"/>
      <c r="SJP566" s="501"/>
      <c r="SJQ566" s="501"/>
      <c r="SJR566" s="501"/>
      <c r="SJS566" s="501"/>
      <c r="SJT566" s="501"/>
      <c r="SJU566" s="501"/>
      <c r="SJV566" s="501"/>
      <c r="SJW566" s="501"/>
      <c r="SJX566" s="501"/>
      <c r="SJY566" s="501"/>
      <c r="SJZ566" s="501"/>
      <c r="SKA566" s="501"/>
      <c r="SKB566" s="501"/>
      <c r="SKC566" s="501"/>
      <c r="SKD566" s="501"/>
      <c r="SKE566" s="501"/>
      <c r="SKF566" s="501"/>
      <c r="SKG566" s="501"/>
      <c r="SKH566" s="501"/>
      <c r="SKI566" s="501"/>
      <c r="SKJ566" s="501"/>
      <c r="SKK566" s="501"/>
      <c r="SKL566" s="501"/>
      <c r="SKM566" s="501"/>
      <c r="SKN566" s="501"/>
      <c r="SKO566" s="501"/>
      <c r="SKP566" s="501"/>
      <c r="SKQ566" s="501"/>
      <c r="SKR566" s="501"/>
      <c r="SKS566" s="501"/>
      <c r="SKT566" s="501"/>
      <c r="SKU566" s="501"/>
      <c r="SKV566" s="501"/>
      <c r="SKW566" s="501"/>
      <c r="SKX566" s="501"/>
      <c r="SKY566" s="501"/>
      <c r="SKZ566" s="501"/>
      <c r="SLA566" s="501"/>
      <c r="SLB566" s="501"/>
      <c r="SLC566" s="501"/>
      <c r="SLD566" s="501"/>
      <c r="SLE566" s="501"/>
      <c r="SLF566" s="501"/>
      <c r="SLG566" s="501"/>
      <c r="SLH566" s="501"/>
      <c r="SLI566" s="501"/>
      <c r="SLJ566" s="501"/>
      <c r="SLK566" s="501"/>
      <c r="SLL566" s="501"/>
      <c r="SLM566" s="501"/>
      <c r="SLN566" s="501"/>
      <c r="SLO566" s="501"/>
      <c r="SLP566" s="501"/>
      <c r="SLQ566" s="501"/>
      <c r="SLR566" s="501"/>
      <c r="SLS566" s="501"/>
      <c r="SLT566" s="501"/>
      <c r="SLU566" s="501"/>
      <c r="SLV566" s="501"/>
      <c r="SLW566" s="501"/>
      <c r="SLX566" s="501"/>
      <c r="SLY566" s="501"/>
      <c r="SLZ566" s="501"/>
      <c r="SMA566" s="501"/>
      <c r="SMB566" s="501"/>
      <c r="SMC566" s="501"/>
      <c r="SMD566" s="501"/>
      <c r="SME566" s="501"/>
      <c r="SMF566" s="501"/>
      <c r="SMG566" s="501"/>
      <c r="SMH566" s="501"/>
      <c r="SMI566" s="501"/>
      <c r="SMJ566" s="501"/>
      <c r="SMK566" s="501"/>
      <c r="SML566" s="501"/>
      <c r="SMM566" s="501"/>
      <c r="SMN566" s="501"/>
      <c r="SMO566" s="501"/>
      <c r="SMP566" s="501"/>
      <c r="SMQ566" s="501"/>
      <c r="SMR566" s="501"/>
      <c r="SMS566" s="501"/>
      <c r="SMT566" s="501"/>
      <c r="SMU566" s="501"/>
      <c r="SMV566" s="501"/>
      <c r="SMW566" s="501"/>
      <c r="SMX566" s="501"/>
      <c r="SMY566" s="501"/>
      <c r="SMZ566" s="501"/>
      <c r="SNA566" s="501"/>
      <c r="SNB566" s="501"/>
      <c r="SNC566" s="501"/>
      <c r="SND566" s="501"/>
      <c r="SNE566" s="501"/>
      <c r="SNF566" s="501"/>
      <c r="SNG566" s="501"/>
      <c r="SNH566" s="501"/>
      <c r="SNI566" s="501"/>
      <c r="SNJ566" s="501"/>
      <c r="SNK566" s="501"/>
      <c r="SNL566" s="501"/>
      <c r="SNM566" s="501"/>
      <c r="SNN566" s="501"/>
      <c r="SNO566" s="501"/>
      <c r="SNP566" s="501"/>
      <c r="SNQ566" s="501"/>
      <c r="SNR566" s="501"/>
      <c r="SNS566" s="501"/>
      <c r="SNT566" s="501"/>
      <c r="SNU566" s="501"/>
      <c r="SNV566" s="501"/>
      <c r="SNW566" s="501"/>
      <c r="SNX566" s="501"/>
      <c r="SNY566" s="501"/>
      <c r="SNZ566" s="501"/>
      <c r="SOA566" s="501"/>
      <c r="SOB566" s="501"/>
      <c r="SOC566" s="501"/>
      <c r="SOD566" s="501"/>
      <c r="SOE566" s="501"/>
      <c r="SOF566" s="501"/>
      <c r="SOG566" s="501"/>
      <c r="SOH566" s="501"/>
      <c r="SOI566" s="501"/>
      <c r="SOJ566" s="501"/>
      <c r="SOK566" s="501"/>
      <c r="SOL566" s="501"/>
      <c r="SOM566" s="501"/>
      <c r="SON566" s="501"/>
      <c r="SOO566" s="501"/>
      <c r="SOP566" s="501"/>
      <c r="SOQ566" s="501"/>
      <c r="SOR566" s="501"/>
      <c r="SOS566" s="501"/>
      <c r="SOT566" s="501"/>
      <c r="SOU566" s="501"/>
      <c r="SOV566" s="501"/>
      <c r="SOW566" s="501"/>
      <c r="SOX566" s="501"/>
      <c r="SOY566" s="501"/>
      <c r="SOZ566" s="501"/>
      <c r="SPA566" s="501"/>
      <c r="SPB566" s="501"/>
      <c r="SPC566" s="501"/>
      <c r="SPD566" s="501"/>
      <c r="SPE566" s="501"/>
      <c r="SPF566" s="501"/>
      <c r="SPG566" s="501"/>
      <c r="SPH566" s="501"/>
      <c r="SPI566" s="501"/>
      <c r="SPJ566" s="501"/>
      <c r="SPK566" s="501"/>
      <c r="SPL566" s="501"/>
      <c r="SPM566" s="501"/>
      <c r="SPN566" s="501"/>
      <c r="SPO566" s="501"/>
      <c r="SPP566" s="501"/>
      <c r="SPQ566" s="501"/>
      <c r="SPR566" s="501"/>
      <c r="SPS566" s="501"/>
      <c r="SPT566" s="501"/>
      <c r="SPU566" s="501"/>
      <c r="SPV566" s="501"/>
      <c r="SPW566" s="501"/>
      <c r="SPX566" s="501"/>
      <c r="SPY566" s="501"/>
      <c r="SPZ566" s="501"/>
      <c r="SQA566" s="501"/>
      <c r="SQB566" s="501"/>
      <c r="SQC566" s="501"/>
      <c r="SQD566" s="501"/>
      <c r="SQE566" s="501"/>
      <c r="SQF566" s="501"/>
      <c r="SQG566" s="501"/>
      <c r="SQH566" s="501"/>
      <c r="SQI566" s="501"/>
      <c r="SQJ566" s="501"/>
      <c r="SQK566" s="501"/>
      <c r="SQL566" s="501"/>
      <c r="SQM566" s="501"/>
      <c r="SQN566" s="501"/>
      <c r="SQO566" s="501"/>
      <c r="SQP566" s="501"/>
      <c r="SQQ566" s="501"/>
      <c r="SQR566" s="501"/>
      <c r="SQS566" s="501"/>
      <c r="SQT566" s="501"/>
      <c r="SQU566" s="501"/>
      <c r="SQV566" s="501"/>
      <c r="SQW566" s="501"/>
      <c r="SQX566" s="501"/>
      <c r="SQY566" s="501"/>
      <c r="SQZ566" s="501"/>
      <c r="SRA566" s="501"/>
      <c r="SRB566" s="501"/>
      <c r="SRC566" s="501"/>
      <c r="SRD566" s="501"/>
      <c r="SRE566" s="501"/>
      <c r="SRF566" s="501"/>
      <c r="SRG566" s="501"/>
      <c r="SRH566" s="501"/>
      <c r="SRI566" s="501"/>
      <c r="SRJ566" s="501"/>
      <c r="SRK566" s="501"/>
      <c r="SRL566" s="501"/>
      <c r="SRM566" s="501"/>
      <c r="SRN566" s="501"/>
      <c r="SRO566" s="501"/>
      <c r="SRP566" s="501"/>
      <c r="SRQ566" s="501"/>
      <c r="SRR566" s="501"/>
      <c r="SRS566" s="501"/>
      <c r="SRT566" s="501"/>
      <c r="SRU566" s="501"/>
      <c r="SRV566" s="501"/>
      <c r="SRW566" s="501"/>
      <c r="SRX566" s="501"/>
      <c r="SRY566" s="501"/>
      <c r="SRZ566" s="501"/>
      <c r="SSA566" s="501"/>
      <c r="SSB566" s="501"/>
      <c r="SSC566" s="501"/>
      <c r="SSD566" s="501"/>
      <c r="SSE566" s="501"/>
      <c r="SSF566" s="501"/>
      <c r="SSG566" s="501"/>
      <c r="SSH566" s="501"/>
      <c r="SSI566" s="501"/>
      <c r="SSJ566" s="501"/>
      <c r="SSK566" s="501"/>
      <c r="SSL566" s="501"/>
      <c r="SSM566" s="501"/>
      <c r="SSN566" s="501"/>
      <c r="SSO566" s="501"/>
      <c r="SSP566" s="501"/>
      <c r="SSQ566" s="501"/>
      <c r="SSR566" s="501"/>
      <c r="SSS566" s="501"/>
      <c r="SST566" s="501"/>
      <c r="SSU566" s="501"/>
      <c r="SSV566" s="501"/>
      <c r="SSW566" s="501"/>
      <c r="SSX566" s="501"/>
      <c r="SSY566" s="501"/>
      <c r="SSZ566" s="501"/>
      <c r="STA566" s="501"/>
      <c r="STB566" s="501"/>
      <c r="STC566" s="501"/>
      <c r="STD566" s="501"/>
      <c r="STE566" s="501"/>
      <c r="STF566" s="501"/>
      <c r="STG566" s="501"/>
      <c r="STH566" s="501"/>
      <c r="STI566" s="501"/>
      <c r="STJ566" s="501"/>
      <c r="STK566" s="501"/>
      <c r="STL566" s="501"/>
      <c r="STM566" s="501"/>
      <c r="STN566" s="501"/>
      <c r="STO566" s="501"/>
      <c r="STP566" s="501"/>
      <c r="STQ566" s="501"/>
      <c r="STR566" s="501"/>
      <c r="STS566" s="501"/>
      <c r="STT566" s="501"/>
      <c r="STU566" s="501"/>
      <c r="STV566" s="501"/>
      <c r="STW566" s="501"/>
      <c r="STX566" s="501"/>
      <c r="STY566" s="501"/>
      <c r="STZ566" s="501"/>
      <c r="SUA566" s="501"/>
      <c r="SUB566" s="501"/>
      <c r="SUC566" s="501"/>
      <c r="SUD566" s="501"/>
      <c r="SUE566" s="501"/>
      <c r="SUF566" s="501"/>
      <c r="SUG566" s="501"/>
      <c r="SUH566" s="501"/>
      <c r="SUI566" s="501"/>
      <c r="SUJ566" s="501"/>
      <c r="SUK566" s="501"/>
      <c r="SUL566" s="501"/>
      <c r="SUM566" s="501"/>
      <c r="SUN566" s="501"/>
      <c r="SUO566" s="501"/>
      <c r="SUP566" s="501"/>
      <c r="SUQ566" s="501"/>
      <c r="SUR566" s="501"/>
      <c r="SUS566" s="501"/>
      <c r="SUT566" s="501"/>
      <c r="SUU566" s="501"/>
      <c r="SUV566" s="501"/>
      <c r="SUW566" s="501"/>
      <c r="SUX566" s="501"/>
      <c r="SUY566" s="501"/>
      <c r="SUZ566" s="501"/>
      <c r="SVA566" s="501"/>
      <c r="SVB566" s="501"/>
      <c r="SVC566" s="501"/>
      <c r="SVD566" s="501"/>
      <c r="SVE566" s="501"/>
      <c r="SVF566" s="501"/>
      <c r="SVG566" s="501"/>
      <c r="SVH566" s="501"/>
      <c r="SVI566" s="501"/>
      <c r="SVJ566" s="501"/>
      <c r="SVK566" s="501"/>
      <c r="SVL566" s="501"/>
      <c r="SVM566" s="501"/>
      <c r="SVN566" s="501"/>
      <c r="SVO566" s="501"/>
      <c r="SVP566" s="501"/>
      <c r="SVQ566" s="501"/>
      <c r="SVR566" s="501"/>
      <c r="SVS566" s="501"/>
      <c r="SVT566" s="501"/>
      <c r="SVU566" s="501"/>
      <c r="SVV566" s="501"/>
      <c r="SVW566" s="501"/>
      <c r="SVX566" s="501"/>
      <c r="SVY566" s="501"/>
      <c r="SVZ566" s="501"/>
      <c r="SWA566" s="501"/>
      <c r="SWB566" s="501"/>
      <c r="SWC566" s="501"/>
      <c r="SWD566" s="501"/>
      <c r="SWE566" s="501"/>
      <c r="SWF566" s="501"/>
      <c r="SWG566" s="501"/>
      <c r="SWH566" s="501"/>
      <c r="SWI566" s="501"/>
      <c r="SWJ566" s="501"/>
      <c r="SWK566" s="501"/>
      <c r="SWL566" s="501"/>
      <c r="SWM566" s="501"/>
      <c r="SWN566" s="501"/>
      <c r="SWO566" s="501"/>
      <c r="SWP566" s="501"/>
      <c r="SWQ566" s="501"/>
      <c r="SWR566" s="501"/>
      <c r="SWS566" s="501"/>
      <c r="SWT566" s="501"/>
      <c r="SWU566" s="501"/>
      <c r="SWV566" s="501"/>
      <c r="SWW566" s="501"/>
      <c r="SWX566" s="501"/>
      <c r="SWY566" s="501"/>
      <c r="SWZ566" s="501"/>
      <c r="SXA566" s="501"/>
      <c r="SXB566" s="501"/>
      <c r="SXC566" s="501"/>
      <c r="SXD566" s="501"/>
      <c r="SXE566" s="501"/>
      <c r="SXF566" s="501"/>
      <c r="SXG566" s="501"/>
      <c r="SXH566" s="501"/>
      <c r="SXI566" s="501"/>
      <c r="SXJ566" s="501"/>
      <c r="SXK566" s="501"/>
      <c r="SXL566" s="501"/>
      <c r="SXM566" s="501"/>
      <c r="SXN566" s="501"/>
      <c r="SXO566" s="501"/>
      <c r="SXP566" s="501"/>
      <c r="SXQ566" s="501"/>
      <c r="SXR566" s="501"/>
      <c r="SXS566" s="501"/>
      <c r="SXT566" s="501"/>
      <c r="SXU566" s="501"/>
      <c r="SXV566" s="501"/>
      <c r="SXW566" s="501"/>
      <c r="SXX566" s="501"/>
      <c r="SXY566" s="501"/>
      <c r="SXZ566" s="501"/>
      <c r="SYA566" s="501"/>
      <c r="SYB566" s="501"/>
      <c r="SYC566" s="501"/>
      <c r="SYD566" s="501"/>
      <c r="SYE566" s="501"/>
      <c r="SYF566" s="501"/>
      <c r="SYG566" s="501"/>
      <c r="SYH566" s="501"/>
      <c r="SYI566" s="501"/>
      <c r="SYJ566" s="501"/>
      <c r="SYK566" s="501"/>
      <c r="SYL566" s="501"/>
      <c r="SYM566" s="501"/>
      <c r="SYN566" s="501"/>
      <c r="SYO566" s="501"/>
      <c r="SYP566" s="501"/>
      <c r="SYQ566" s="501"/>
      <c r="SYR566" s="501"/>
      <c r="SYS566" s="501"/>
      <c r="SYT566" s="501"/>
      <c r="SYU566" s="501"/>
      <c r="SYV566" s="501"/>
      <c r="SYW566" s="501"/>
      <c r="SYX566" s="501"/>
      <c r="SYY566" s="501"/>
      <c r="SYZ566" s="501"/>
      <c r="SZA566" s="501"/>
      <c r="SZB566" s="501"/>
      <c r="SZC566" s="501"/>
      <c r="SZD566" s="501"/>
      <c r="SZE566" s="501"/>
      <c r="SZF566" s="501"/>
      <c r="SZG566" s="501"/>
      <c r="SZH566" s="501"/>
      <c r="SZI566" s="501"/>
      <c r="SZJ566" s="501"/>
      <c r="SZK566" s="501"/>
      <c r="SZL566" s="501"/>
      <c r="SZM566" s="501"/>
      <c r="SZN566" s="501"/>
      <c r="SZO566" s="501"/>
      <c r="SZP566" s="501"/>
      <c r="SZQ566" s="501"/>
      <c r="SZR566" s="501"/>
      <c r="SZS566" s="501"/>
      <c r="SZT566" s="501"/>
      <c r="SZU566" s="501"/>
      <c r="SZV566" s="501"/>
      <c r="SZW566" s="501"/>
      <c r="SZX566" s="501"/>
      <c r="SZY566" s="501"/>
      <c r="SZZ566" s="501"/>
      <c r="TAA566" s="501"/>
      <c r="TAB566" s="501"/>
      <c r="TAC566" s="501"/>
      <c r="TAD566" s="501"/>
      <c r="TAE566" s="501"/>
      <c r="TAF566" s="501"/>
      <c r="TAG566" s="501"/>
      <c r="TAH566" s="501"/>
      <c r="TAI566" s="501"/>
      <c r="TAJ566" s="501"/>
      <c r="TAK566" s="501"/>
      <c r="TAL566" s="501"/>
      <c r="TAM566" s="501"/>
      <c r="TAN566" s="501"/>
      <c r="TAO566" s="501"/>
      <c r="TAP566" s="501"/>
      <c r="TAQ566" s="501"/>
      <c r="TAR566" s="501"/>
      <c r="TAS566" s="501"/>
      <c r="TAT566" s="501"/>
      <c r="TAU566" s="501"/>
      <c r="TAV566" s="501"/>
      <c r="TAW566" s="501"/>
      <c r="TAX566" s="501"/>
      <c r="TAY566" s="501"/>
      <c r="TAZ566" s="501"/>
      <c r="TBA566" s="501"/>
      <c r="TBB566" s="501"/>
      <c r="TBC566" s="501"/>
      <c r="TBD566" s="501"/>
      <c r="TBE566" s="501"/>
      <c r="TBF566" s="501"/>
      <c r="TBG566" s="501"/>
      <c r="TBH566" s="501"/>
      <c r="TBI566" s="501"/>
      <c r="TBJ566" s="501"/>
      <c r="TBK566" s="501"/>
      <c r="TBL566" s="501"/>
      <c r="TBM566" s="501"/>
      <c r="TBN566" s="501"/>
      <c r="TBO566" s="501"/>
      <c r="TBP566" s="501"/>
      <c r="TBQ566" s="501"/>
      <c r="TBR566" s="501"/>
      <c r="TBS566" s="501"/>
      <c r="TBT566" s="501"/>
      <c r="TBU566" s="501"/>
      <c r="TBV566" s="501"/>
      <c r="TBW566" s="501"/>
      <c r="TBX566" s="501"/>
      <c r="TBY566" s="501"/>
      <c r="TBZ566" s="501"/>
      <c r="TCA566" s="501"/>
      <c r="TCB566" s="501"/>
      <c r="TCC566" s="501"/>
      <c r="TCD566" s="501"/>
      <c r="TCE566" s="501"/>
      <c r="TCF566" s="501"/>
      <c r="TCG566" s="501"/>
      <c r="TCH566" s="501"/>
      <c r="TCI566" s="501"/>
      <c r="TCJ566" s="501"/>
      <c r="TCK566" s="501"/>
      <c r="TCL566" s="501"/>
      <c r="TCM566" s="501"/>
      <c r="TCN566" s="501"/>
      <c r="TCO566" s="501"/>
      <c r="TCP566" s="501"/>
      <c r="TCQ566" s="501"/>
      <c r="TCR566" s="501"/>
      <c r="TCS566" s="501"/>
      <c r="TCT566" s="501"/>
      <c r="TCU566" s="501"/>
      <c r="TCV566" s="501"/>
      <c r="TCW566" s="501"/>
      <c r="TCX566" s="501"/>
      <c r="TCY566" s="501"/>
      <c r="TCZ566" s="501"/>
      <c r="TDA566" s="501"/>
      <c r="TDB566" s="501"/>
      <c r="TDC566" s="501"/>
      <c r="TDD566" s="501"/>
      <c r="TDE566" s="501"/>
      <c r="TDF566" s="501"/>
      <c r="TDG566" s="501"/>
      <c r="TDH566" s="501"/>
      <c r="TDI566" s="501"/>
      <c r="TDJ566" s="501"/>
      <c r="TDK566" s="501"/>
      <c r="TDL566" s="501"/>
      <c r="TDM566" s="501"/>
      <c r="TDN566" s="501"/>
      <c r="TDO566" s="501"/>
      <c r="TDP566" s="501"/>
      <c r="TDQ566" s="501"/>
      <c r="TDR566" s="501"/>
      <c r="TDS566" s="501"/>
      <c r="TDT566" s="501"/>
      <c r="TDU566" s="501"/>
      <c r="TDV566" s="501"/>
      <c r="TDW566" s="501"/>
      <c r="TDX566" s="501"/>
      <c r="TDY566" s="501"/>
      <c r="TDZ566" s="501"/>
      <c r="TEA566" s="501"/>
      <c r="TEB566" s="501"/>
      <c r="TEC566" s="501"/>
      <c r="TED566" s="501"/>
      <c r="TEE566" s="501"/>
      <c r="TEF566" s="501"/>
      <c r="TEG566" s="501"/>
      <c r="TEH566" s="501"/>
      <c r="TEI566" s="501"/>
      <c r="TEJ566" s="501"/>
      <c r="TEK566" s="501"/>
      <c r="TEL566" s="501"/>
      <c r="TEM566" s="501"/>
      <c r="TEN566" s="501"/>
      <c r="TEO566" s="501"/>
      <c r="TEP566" s="501"/>
      <c r="TEQ566" s="501"/>
      <c r="TER566" s="501"/>
      <c r="TES566" s="501"/>
      <c r="TET566" s="501"/>
      <c r="TEU566" s="501"/>
      <c r="TEV566" s="501"/>
      <c r="TEW566" s="501"/>
      <c r="TEX566" s="501"/>
      <c r="TEY566" s="501"/>
      <c r="TEZ566" s="501"/>
      <c r="TFA566" s="501"/>
      <c r="TFB566" s="501"/>
      <c r="TFC566" s="501"/>
      <c r="TFD566" s="501"/>
      <c r="TFE566" s="501"/>
      <c r="TFF566" s="501"/>
      <c r="TFG566" s="501"/>
      <c r="TFH566" s="501"/>
      <c r="TFI566" s="501"/>
      <c r="TFJ566" s="501"/>
      <c r="TFK566" s="501"/>
      <c r="TFL566" s="501"/>
      <c r="TFM566" s="501"/>
      <c r="TFN566" s="501"/>
      <c r="TFO566" s="501"/>
      <c r="TFP566" s="501"/>
      <c r="TFQ566" s="501"/>
      <c r="TFR566" s="501"/>
      <c r="TFS566" s="501"/>
      <c r="TFT566" s="501"/>
      <c r="TFU566" s="501"/>
      <c r="TFV566" s="501"/>
      <c r="TFW566" s="501"/>
      <c r="TFX566" s="501"/>
      <c r="TFY566" s="501"/>
      <c r="TFZ566" s="501"/>
      <c r="TGA566" s="501"/>
      <c r="TGB566" s="501"/>
      <c r="TGC566" s="501"/>
      <c r="TGD566" s="501"/>
      <c r="TGE566" s="501"/>
      <c r="TGF566" s="501"/>
      <c r="TGG566" s="501"/>
      <c r="TGH566" s="501"/>
      <c r="TGI566" s="501"/>
      <c r="TGJ566" s="501"/>
      <c r="TGK566" s="501"/>
      <c r="TGL566" s="501"/>
      <c r="TGM566" s="501"/>
      <c r="TGN566" s="501"/>
      <c r="TGO566" s="501"/>
      <c r="TGP566" s="501"/>
      <c r="TGQ566" s="501"/>
      <c r="TGR566" s="501"/>
      <c r="TGS566" s="501"/>
      <c r="TGT566" s="501"/>
      <c r="TGU566" s="501"/>
      <c r="TGV566" s="501"/>
      <c r="TGW566" s="501"/>
      <c r="TGX566" s="501"/>
      <c r="TGY566" s="501"/>
      <c r="TGZ566" s="501"/>
      <c r="THA566" s="501"/>
      <c r="THB566" s="501"/>
      <c r="THC566" s="501"/>
      <c r="THD566" s="501"/>
      <c r="THE566" s="501"/>
      <c r="THF566" s="501"/>
      <c r="THG566" s="501"/>
      <c r="THH566" s="501"/>
      <c r="THI566" s="501"/>
      <c r="THJ566" s="501"/>
      <c r="THK566" s="501"/>
      <c r="THL566" s="501"/>
      <c r="THM566" s="501"/>
      <c r="THN566" s="501"/>
      <c r="THO566" s="501"/>
      <c r="THP566" s="501"/>
      <c r="THQ566" s="501"/>
      <c r="THR566" s="501"/>
      <c r="THS566" s="501"/>
      <c r="THT566" s="501"/>
      <c r="THU566" s="501"/>
      <c r="THV566" s="501"/>
      <c r="THW566" s="501"/>
      <c r="THX566" s="501"/>
      <c r="THY566" s="501"/>
      <c r="THZ566" s="501"/>
      <c r="TIA566" s="501"/>
      <c r="TIB566" s="501"/>
      <c r="TIC566" s="501"/>
      <c r="TID566" s="501"/>
      <c r="TIE566" s="501"/>
      <c r="TIF566" s="501"/>
      <c r="TIG566" s="501"/>
      <c r="TIH566" s="501"/>
      <c r="TII566" s="501"/>
      <c r="TIJ566" s="501"/>
      <c r="TIK566" s="501"/>
      <c r="TIL566" s="501"/>
      <c r="TIM566" s="501"/>
      <c r="TIN566" s="501"/>
      <c r="TIO566" s="501"/>
      <c r="TIP566" s="501"/>
      <c r="TIQ566" s="501"/>
      <c r="TIR566" s="501"/>
      <c r="TIS566" s="501"/>
      <c r="TIT566" s="501"/>
      <c r="TIU566" s="501"/>
      <c r="TIV566" s="501"/>
      <c r="TIW566" s="501"/>
      <c r="TIX566" s="501"/>
      <c r="TIY566" s="501"/>
      <c r="TIZ566" s="501"/>
      <c r="TJA566" s="501"/>
      <c r="TJB566" s="501"/>
      <c r="TJC566" s="501"/>
      <c r="TJD566" s="501"/>
      <c r="TJE566" s="501"/>
      <c r="TJF566" s="501"/>
      <c r="TJG566" s="501"/>
      <c r="TJH566" s="501"/>
      <c r="TJI566" s="501"/>
      <c r="TJJ566" s="501"/>
      <c r="TJK566" s="501"/>
      <c r="TJL566" s="501"/>
      <c r="TJM566" s="501"/>
      <c r="TJN566" s="501"/>
      <c r="TJO566" s="501"/>
      <c r="TJP566" s="501"/>
      <c r="TJQ566" s="501"/>
      <c r="TJR566" s="501"/>
      <c r="TJS566" s="501"/>
      <c r="TJT566" s="501"/>
      <c r="TJU566" s="501"/>
      <c r="TJV566" s="501"/>
      <c r="TJW566" s="501"/>
      <c r="TJX566" s="501"/>
      <c r="TJY566" s="501"/>
      <c r="TJZ566" s="501"/>
      <c r="TKA566" s="501"/>
      <c r="TKB566" s="501"/>
      <c r="TKC566" s="501"/>
      <c r="TKD566" s="501"/>
      <c r="TKE566" s="501"/>
      <c r="TKF566" s="501"/>
      <c r="TKG566" s="501"/>
      <c r="TKH566" s="501"/>
      <c r="TKI566" s="501"/>
      <c r="TKJ566" s="501"/>
      <c r="TKK566" s="501"/>
      <c r="TKL566" s="501"/>
      <c r="TKM566" s="501"/>
      <c r="TKN566" s="501"/>
      <c r="TKO566" s="501"/>
      <c r="TKP566" s="501"/>
      <c r="TKQ566" s="501"/>
      <c r="TKR566" s="501"/>
      <c r="TKS566" s="501"/>
      <c r="TKT566" s="501"/>
      <c r="TKU566" s="501"/>
      <c r="TKV566" s="501"/>
      <c r="TKW566" s="501"/>
      <c r="TKX566" s="501"/>
      <c r="TKY566" s="501"/>
      <c r="TKZ566" s="501"/>
      <c r="TLA566" s="501"/>
      <c r="TLB566" s="501"/>
      <c r="TLC566" s="501"/>
      <c r="TLD566" s="501"/>
      <c r="TLE566" s="501"/>
      <c r="TLF566" s="501"/>
      <c r="TLG566" s="501"/>
      <c r="TLH566" s="501"/>
      <c r="TLI566" s="501"/>
      <c r="TLJ566" s="501"/>
      <c r="TLK566" s="501"/>
      <c r="TLL566" s="501"/>
      <c r="TLM566" s="501"/>
      <c r="TLN566" s="501"/>
      <c r="TLO566" s="501"/>
      <c r="TLP566" s="501"/>
      <c r="TLQ566" s="501"/>
      <c r="TLR566" s="501"/>
      <c r="TLS566" s="501"/>
      <c r="TLT566" s="501"/>
      <c r="TLU566" s="501"/>
      <c r="TLV566" s="501"/>
      <c r="TLW566" s="501"/>
      <c r="TLX566" s="501"/>
      <c r="TLY566" s="501"/>
      <c r="TLZ566" s="501"/>
      <c r="TMA566" s="501"/>
      <c r="TMB566" s="501"/>
      <c r="TMC566" s="501"/>
      <c r="TMD566" s="501"/>
      <c r="TME566" s="501"/>
      <c r="TMF566" s="501"/>
      <c r="TMG566" s="501"/>
      <c r="TMH566" s="501"/>
      <c r="TMI566" s="501"/>
      <c r="TMJ566" s="501"/>
      <c r="TMK566" s="501"/>
      <c r="TML566" s="501"/>
      <c r="TMM566" s="501"/>
      <c r="TMN566" s="501"/>
      <c r="TMO566" s="501"/>
      <c r="TMP566" s="501"/>
      <c r="TMQ566" s="501"/>
      <c r="TMR566" s="501"/>
      <c r="TMS566" s="501"/>
      <c r="TMT566" s="501"/>
      <c r="TMU566" s="501"/>
      <c r="TMV566" s="501"/>
      <c r="TMW566" s="501"/>
      <c r="TMX566" s="501"/>
      <c r="TMY566" s="501"/>
      <c r="TMZ566" s="501"/>
      <c r="TNA566" s="501"/>
      <c r="TNB566" s="501"/>
      <c r="TNC566" s="501"/>
      <c r="TND566" s="501"/>
      <c r="TNE566" s="501"/>
      <c r="TNF566" s="501"/>
      <c r="TNG566" s="501"/>
      <c r="TNH566" s="501"/>
      <c r="TNI566" s="501"/>
      <c r="TNJ566" s="501"/>
      <c r="TNK566" s="501"/>
      <c r="TNL566" s="501"/>
      <c r="TNM566" s="501"/>
      <c r="TNN566" s="501"/>
      <c r="TNO566" s="501"/>
      <c r="TNP566" s="501"/>
      <c r="TNQ566" s="501"/>
      <c r="TNR566" s="501"/>
      <c r="TNS566" s="501"/>
      <c r="TNT566" s="501"/>
      <c r="TNU566" s="501"/>
      <c r="TNV566" s="501"/>
      <c r="TNW566" s="501"/>
      <c r="TNX566" s="501"/>
      <c r="TNY566" s="501"/>
      <c r="TNZ566" s="501"/>
      <c r="TOA566" s="501"/>
      <c r="TOB566" s="501"/>
      <c r="TOC566" s="501"/>
      <c r="TOD566" s="501"/>
      <c r="TOE566" s="501"/>
      <c r="TOF566" s="501"/>
      <c r="TOG566" s="501"/>
      <c r="TOH566" s="501"/>
      <c r="TOI566" s="501"/>
      <c r="TOJ566" s="501"/>
      <c r="TOK566" s="501"/>
      <c r="TOL566" s="501"/>
      <c r="TOM566" s="501"/>
      <c r="TON566" s="501"/>
      <c r="TOO566" s="501"/>
      <c r="TOP566" s="501"/>
      <c r="TOQ566" s="501"/>
      <c r="TOR566" s="501"/>
      <c r="TOS566" s="501"/>
      <c r="TOT566" s="501"/>
      <c r="TOU566" s="501"/>
      <c r="TOV566" s="501"/>
      <c r="TOW566" s="501"/>
      <c r="TOX566" s="501"/>
      <c r="TOY566" s="501"/>
      <c r="TOZ566" s="501"/>
      <c r="TPA566" s="501"/>
      <c r="TPB566" s="501"/>
      <c r="TPC566" s="501"/>
      <c r="TPD566" s="501"/>
      <c r="TPE566" s="501"/>
      <c r="TPF566" s="501"/>
      <c r="TPG566" s="501"/>
      <c r="TPH566" s="501"/>
      <c r="TPI566" s="501"/>
      <c r="TPJ566" s="501"/>
      <c r="TPK566" s="501"/>
      <c r="TPL566" s="501"/>
      <c r="TPM566" s="501"/>
      <c r="TPN566" s="501"/>
      <c r="TPO566" s="501"/>
      <c r="TPP566" s="501"/>
      <c r="TPQ566" s="501"/>
      <c r="TPR566" s="501"/>
      <c r="TPS566" s="501"/>
      <c r="TPT566" s="501"/>
      <c r="TPU566" s="501"/>
      <c r="TPV566" s="501"/>
      <c r="TPW566" s="501"/>
      <c r="TPX566" s="501"/>
      <c r="TPY566" s="501"/>
      <c r="TPZ566" s="501"/>
      <c r="TQA566" s="501"/>
      <c r="TQB566" s="501"/>
      <c r="TQC566" s="501"/>
      <c r="TQD566" s="501"/>
      <c r="TQE566" s="501"/>
      <c r="TQF566" s="501"/>
      <c r="TQG566" s="501"/>
      <c r="TQH566" s="501"/>
      <c r="TQI566" s="501"/>
      <c r="TQJ566" s="501"/>
      <c r="TQK566" s="501"/>
      <c r="TQL566" s="501"/>
      <c r="TQM566" s="501"/>
      <c r="TQN566" s="501"/>
      <c r="TQO566" s="501"/>
      <c r="TQP566" s="501"/>
      <c r="TQQ566" s="501"/>
      <c r="TQR566" s="501"/>
      <c r="TQS566" s="501"/>
      <c r="TQT566" s="501"/>
      <c r="TQU566" s="501"/>
      <c r="TQV566" s="501"/>
      <c r="TQW566" s="501"/>
      <c r="TQX566" s="501"/>
      <c r="TQY566" s="501"/>
      <c r="TQZ566" s="501"/>
      <c r="TRA566" s="501"/>
      <c r="TRB566" s="501"/>
      <c r="TRC566" s="501"/>
      <c r="TRD566" s="501"/>
      <c r="TRE566" s="501"/>
      <c r="TRF566" s="501"/>
      <c r="TRG566" s="501"/>
      <c r="TRH566" s="501"/>
      <c r="TRI566" s="501"/>
      <c r="TRJ566" s="501"/>
      <c r="TRK566" s="501"/>
      <c r="TRL566" s="501"/>
      <c r="TRM566" s="501"/>
      <c r="TRN566" s="501"/>
      <c r="TRO566" s="501"/>
      <c r="TRP566" s="501"/>
      <c r="TRQ566" s="501"/>
      <c r="TRR566" s="501"/>
      <c r="TRS566" s="501"/>
      <c r="TRT566" s="501"/>
      <c r="TRU566" s="501"/>
      <c r="TRV566" s="501"/>
      <c r="TRW566" s="501"/>
      <c r="TRX566" s="501"/>
      <c r="TRY566" s="501"/>
      <c r="TRZ566" s="501"/>
      <c r="TSA566" s="501"/>
      <c r="TSB566" s="501"/>
      <c r="TSC566" s="501"/>
      <c r="TSD566" s="501"/>
      <c r="TSE566" s="501"/>
      <c r="TSF566" s="501"/>
      <c r="TSG566" s="501"/>
      <c r="TSH566" s="501"/>
      <c r="TSI566" s="501"/>
      <c r="TSJ566" s="501"/>
      <c r="TSK566" s="501"/>
      <c r="TSL566" s="501"/>
      <c r="TSM566" s="501"/>
      <c r="TSN566" s="501"/>
      <c r="TSO566" s="501"/>
      <c r="TSP566" s="501"/>
      <c r="TSQ566" s="501"/>
      <c r="TSR566" s="501"/>
      <c r="TSS566" s="501"/>
      <c r="TST566" s="501"/>
      <c r="TSU566" s="501"/>
      <c r="TSV566" s="501"/>
      <c r="TSW566" s="501"/>
      <c r="TSX566" s="501"/>
      <c r="TSY566" s="501"/>
      <c r="TSZ566" s="501"/>
      <c r="TTA566" s="501"/>
      <c r="TTB566" s="501"/>
      <c r="TTC566" s="501"/>
      <c r="TTD566" s="501"/>
      <c r="TTE566" s="501"/>
      <c r="TTF566" s="501"/>
      <c r="TTG566" s="501"/>
      <c r="TTH566" s="501"/>
      <c r="TTI566" s="501"/>
      <c r="TTJ566" s="501"/>
      <c r="TTK566" s="501"/>
      <c r="TTL566" s="501"/>
      <c r="TTM566" s="501"/>
      <c r="TTN566" s="501"/>
      <c r="TTO566" s="501"/>
      <c r="TTP566" s="501"/>
      <c r="TTQ566" s="501"/>
      <c r="TTR566" s="501"/>
      <c r="TTS566" s="501"/>
      <c r="TTT566" s="501"/>
      <c r="TTU566" s="501"/>
      <c r="TTV566" s="501"/>
      <c r="TTW566" s="501"/>
      <c r="TTX566" s="501"/>
      <c r="TTY566" s="501"/>
      <c r="TTZ566" s="501"/>
      <c r="TUA566" s="501"/>
      <c r="TUB566" s="501"/>
      <c r="TUC566" s="501"/>
      <c r="TUD566" s="501"/>
      <c r="TUE566" s="501"/>
      <c r="TUF566" s="501"/>
      <c r="TUG566" s="501"/>
      <c r="TUH566" s="501"/>
      <c r="TUI566" s="501"/>
      <c r="TUJ566" s="501"/>
      <c r="TUK566" s="501"/>
      <c r="TUL566" s="501"/>
      <c r="TUM566" s="501"/>
      <c r="TUN566" s="501"/>
      <c r="TUO566" s="501"/>
      <c r="TUP566" s="501"/>
      <c r="TUQ566" s="501"/>
      <c r="TUR566" s="501"/>
      <c r="TUS566" s="501"/>
      <c r="TUT566" s="501"/>
      <c r="TUU566" s="501"/>
      <c r="TUV566" s="501"/>
      <c r="TUW566" s="501"/>
      <c r="TUX566" s="501"/>
      <c r="TUY566" s="501"/>
      <c r="TUZ566" s="501"/>
      <c r="TVA566" s="501"/>
      <c r="TVB566" s="501"/>
      <c r="TVC566" s="501"/>
      <c r="TVD566" s="501"/>
      <c r="TVE566" s="501"/>
      <c r="TVF566" s="501"/>
      <c r="TVG566" s="501"/>
      <c r="TVH566" s="501"/>
      <c r="TVI566" s="501"/>
      <c r="TVJ566" s="501"/>
      <c r="TVK566" s="501"/>
      <c r="TVL566" s="501"/>
      <c r="TVM566" s="501"/>
      <c r="TVN566" s="501"/>
      <c r="TVO566" s="501"/>
      <c r="TVP566" s="501"/>
      <c r="TVQ566" s="501"/>
      <c r="TVR566" s="501"/>
      <c r="TVS566" s="501"/>
      <c r="TVT566" s="501"/>
      <c r="TVU566" s="501"/>
      <c r="TVV566" s="501"/>
      <c r="TVW566" s="501"/>
      <c r="TVX566" s="501"/>
      <c r="TVY566" s="501"/>
      <c r="TVZ566" s="501"/>
      <c r="TWA566" s="501"/>
      <c r="TWB566" s="501"/>
      <c r="TWC566" s="501"/>
      <c r="TWD566" s="501"/>
      <c r="TWE566" s="501"/>
      <c r="TWF566" s="501"/>
      <c r="TWG566" s="501"/>
      <c r="TWH566" s="501"/>
      <c r="TWI566" s="501"/>
      <c r="TWJ566" s="501"/>
      <c r="TWK566" s="501"/>
      <c r="TWL566" s="501"/>
      <c r="TWM566" s="501"/>
      <c r="TWN566" s="501"/>
      <c r="TWO566" s="501"/>
      <c r="TWP566" s="501"/>
      <c r="TWQ566" s="501"/>
      <c r="TWR566" s="501"/>
      <c r="TWS566" s="501"/>
      <c r="TWT566" s="501"/>
      <c r="TWU566" s="501"/>
      <c r="TWV566" s="501"/>
      <c r="TWW566" s="501"/>
      <c r="TWX566" s="501"/>
      <c r="TWY566" s="501"/>
      <c r="TWZ566" s="501"/>
      <c r="TXA566" s="501"/>
      <c r="TXB566" s="501"/>
      <c r="TXC566" s="501"/>
      <c r="TXD566" s="501"/>
      <c r="TXE566" s="501"/>
      <c r="TXF566" s="501"/>
      <c r="TXG566" s="501"/>
      <c r="TXH566" s="501"/>
      <c r="TXI566" s="501"/>
      <c r="TXJ566" s="501"/>
      <c r="TXK566" s="501"/>
      <c r="TXL566" s="501"/>
      <c r="TXM566" s="501"/>
      <c r="TXN566" s="501"/>
      <c r="TXO566" s="501"/>
      <c r="TXP566" s="501"/>
      <c r="TXQ566" s="501"/>
      <c r="TXR566" s="501"/>
      <c r="TXS566" s="501"/>
      <c r="TXT566" s="501"/>
      <c r="TXU566" s="501"/>
      <c r="TXV566" s="501"/>
      <c r="TXW566" s="501"/>
      <c r="TXX566" s="501"/>
      <c r="TXY566" s="501"/>
      <c r="TXZ566" s="501"/>
      <c r="TYA566" s="501"/>
      <c r="TYB566" s="501"/>
      <c r="TYC566" s="501"/>
      <c r="TYD566" s="501"/>
      <c r="TYE566" s="501"/>
      <c r="TYF566" s="501"/>
      <c r="TYG566" s="501"/>
      <c r="TYH566" s="501"/>
      <c r="TYI566" s="501"/>
      <c r="TYJ566" s="501"/>
      <c r="TYK566" s="501"/>
      <c r="TYL566" s="501"/>
      <c r="TYM566" s="501"/>
      <c r="TYN566" s="501"/>
      <c r="TYO566" s="501"/>
      <c r="TYP566" s="501"/>
      <c r="TYQ566" s="501"/>
      <c r="TYR566" s="501"/>
      <c r="TYS566" s="501"/>
      <c r="TYT566" s="501"/>
      <c r="TYU566" s="501"/>
      <c r="TYV566" s="501"/>
      <c r="TYW566" s="501"/>
      <c r="TYX566" s="501"/>
      <c r="TYY566" s="501"/>
      <c r="TYZ566" s="501"/>
      <c r="TZA566" s="501"/>
      <c r="TZB566" s="501"/>
      <c r="TZC566" s="501"/>
      <c r="TZD566" s="501"/>
      <c r="TZE566" s="501"/>
      <c r="TZF566" s="501"/>
      <c r="TZG566" s="501"/>
      <c r="TZH566" s="501"/>
      <c r="TZI566" s="501"/>
      <c r="TZJ566" s="501"/>
      <c r="TZK566" s="501"/>
      <c r="TZL566" s="501"/>
      <c r="TZM566" s="501"/>
      <c r="TZN566" s="501"/>
      <c r="TZO566" s="501"/>
      <c r="TZP566" s="501"/>
      <c r="TZQ566" s="501"/>
      <c r="TZR566" s="501"/>
      <c r="TZS566" s="501"/>
      <c r="TZT566" s="501"/>
      <c r="TZU566" s="501"/>
      <c r="TZV566" s="501"/>
      <c r="TZW566" s="501"/>
      <c r="TZX566" s="501"/>
      <c r="TZY566" s="501"/>
      <c r="TZZ566" s="501"/>
      <c r="UAA566" s="501"/>
      <c r="UAB566" s="501"/>
      <c r="UAC566" s="501"/>
      <c r="UAD566" s="501"/>
      <c r="UAE566" s="501"/>
      <c r="UAF566" s="501"/>
      <c r="UAG566" s="501"/>
      <c r="UAH566" s="501"/>
      <c r="UAI566" s="501"/>
      <c r="UAJ566" s="501"/>
      <c r="UAK566" s="501"/>
      <c r="UAL566" s="501"/>
      <c r="UAM566" s="501"/>
      <c r="UAN566" s="501"/>
      <c r="UAO566" s="501"/>
      <c r="UAP566" s="501"/>
      <c r="UAQ566" s="501"/>
      <c r="UAR566" s="501"/>
      <c r="UAS566" s="501"/>
      <c r="UAT566" s="501"/>
      <c r="UAU566" s="501"/>
      <c r="UAV566" s="501"/>
      <c r="UAW566" s="501"/>
      <c r="UAX566" s="501"/>
      <c r="UAY566" s="501"/>
      <c r="UAZ566" s="501"/>
      <c r="UBA566" s="501"/>
      <c r="UBB566" s="501"/>
      <c r="UBC566" s="501"/>
      <c r="UBD566" s="501"/>
      <c r="UBE566" s="501"/>
      <c r="UBF566" s="501"/>
      <c r="UBG566" s="501"/>
      <c r="UBH566" s="501"/>
      <c r="UBI566" s="501"/>
      <c r="UBJ566" s="501"/>
      <c r="UBK566" s="501"/>
      <c r="UBL566" s="501"/>
      <c r="UBM566" s="501"/>
      <c r="UBN566" s="501"/>
      <c r="UBO566" s="501"/>
      <c r="UBP566" s="501"/>
      <c r="UBQ566" s="501"/>
      <c r="UBR566" s="501"/>
      <c r="UBS566" s="501"/>
      <c r="UBT566" s="501"/>
      <c r="UBU566" s="501"/>
      <c r="UBV566" s="501"/>
      <c r="UBW566" s="501"/>
      <c r="UBX566" s="501"/>
      <c r="UBY566" s="501"/>
      <c r="UBZ566" s="501"/>
      <c r="UCA566" s="501"/>
      <c r="UCB566" s="501"/>
      <c r="UCC566" s="501"/>
      <c r="UCD566" s="501"/>
      <c r="UCE566" s="501"/>
      <c r="UCF566" s="501"/>
      <c r="UCG566" s="501"/>
      <c r="UCH566" s="501"/>
      <c r="UCI566" s="501"/>
      <c r="UCJ566" s="501"/>
      <c r="UCK566" s="501"/>
      <c r="UCL566" s="501"/>
      <c r="UCM566" s="501"/>
      <c r="UCN566" s="501"/>
      <c r="UCO566" s="501"/>
      <c r="UCP566" s="501"/>
      <c r="UCQ566" s="501"/>
      <c r="UCR566" s="501"/>
      <c r="UCS566" s="501"/>
      <c r="UCT566" s="501"/>
      <c r="UCU566" s="501"/>
      <c r="UCV566" s="501"/>
      <c r="UCW566" s="501"/>
      <c r="UCX566" s="501"/>
      <c r="UCY566" s="501"/>
      <c r="UCZ566" s="501"/>
      <c r="UDA566" s="501"/>
      <c r="UDB566" s="501"/>
      <c r="UDC566" s="501"/>
      <c r="UDD566" s="501"/>
      <c r="UDE566" s="501"/>
      <c r="UDF566" s="501"/>
      <c r="UDG566" s="501"/>
      <c r="UDH566" s="501"/>
      <c r="UDI566" s="501"/>
      <c r="UDJ566" s="501"/>
      <c r="UDK566" s="501"/>
      <c r="UDL566" s="501"/>
      <c r="UDM566" s="501"/>
      <c r="UDN566" s="501"/>
      <c r="UDO566" s="501"/>
      <c r="UDP566" s="501"/>
      <c r="UDQ566" s="501"/>
      <c r="UDR566" s="501"/>
      <c r="UDS566" s="501"/>
      <c r="UDT566" s="501"/>
      <c r="UDU566" s="501"/>
      <c r="UDV566" s="501"/>
      <c r="UDW566" s="501"/>
      <c r="UDX566" s="501"/>
      <c r="UDY566" s="501"/>
      <c r="UDZ566" s="501"/>
      <c r="UEA566" s="501"/>
      <c r="UEB566" s="501"/>
      <c r="UEC566" s="501"/>
      <c r="UED566" s="501"/>
      <c r="UEE566" s="501"/>
      <c r="UEF566" s="501"/>
      <c r="UEG566" s="501"/>
      <c r="UEH566" s="501"/>
      <c r="UEI566" s="501"/>
      <c r="UEJ566" s="501"/>
      <c r="UEK566" s="501"/>
      <c r="UEL566" s="501"/>
      <c r="UEM566" s="501"/>
      <c r="UEN566" s="501"/>
      <c r="UEO566" s="501"/>
      <c r="UEP566" s="501"/>
      <c r="UEQ566" s="501"/>
      <c r="UER566" s="501"/>
      <c r="UES566" s="501"/>
      <c r="UET566" s="501"/>
      <c r="UEU566" s="501"/>
      <c r="UEV566" s="501"/>
      <c r="UEW566" s="501"/>
      <c r="UEX566" s="501"/>
      <c r="UEY566" s="501"/>
      <c r="UEZ566" s="501"/>
      <c r="UFA566" s="501"/>
      <c r="UFB566" s="501"/>
      <c r="UFC566" s="501"/>
      <c r="UFD566" s="501"/>
      <c r="UFE566" s="501"/>
      <c r="UFF566" s="501"/>
      <c r="UFG566" s="501"/>
      <c r="UFH566" s="501"/>
      <c r="UFI566" s="501"/>
      <c r="UFJ566" s="501"/>
      <c r="UFK566" s="501"/>
      <c r="UFL566" s="501"/>
      <c r="UFM566" s="501"/>
      <c r="UFN566" s="501"/>
      <c r="UFO566" s="501"/>
      <c r="UFP566" s="501"/>
      <c r="UFQ566" s="501"/>
      <c r="UFR566" s="501"/>
      <c r="UFS566" s="501"/>
      <c r="UFT566" s="501"/>
      <c r="UFU566" s="501"/>
      <c r="UFV566" s="501"/>
      <c r="UFW566" s="501"/>
      <c r="UFX566" s="501"/>
      <c r="UFY566" s="501"/>
      <c r="UFZ566" s="501"/>
      <c r="UGA566" s="501"/>
      <c r="UGB566" s="501"/>
      <c r="UGC566" s="501"/>
      <c r="UGD566" s="501"/>
      <c r="UGE566" s="501"/>
      <c r="UGF566" s="501"/>
      <c r="UGG566" s="501"/>
      <c r="UGH566" s="501"/>
      <c r="UGI566" s="501"/>
      <c r="UGJ566" s="501"/>
      <c r="UGK566" s="501"/>
      <c r="UGL566" s="501"/>
      <c r="UGM566" s="501"/>
      <c r="UGN566" s="501"/>
      <c r="UGO566" s="501"/>
      <c r="UGP566" s="501"/>
      <c r="UGQ566" s="501"/>
      <c r="UGR566" s="501"/>
      <c r="UGS566" s="501"/>
      <c r="UGT566" s="501"/>
      <c r="UGU566" s="501"/>
      <c r="UGV566" s="501"/>
      <c r="UGW566" s="501"/>
      <c r="UGX566" s="501"/>
      <c r="UGY566" s="501"/>
      <c r="UGZ566" s="501"/>
      <c r="UHA566" s="501"/>
      <c r="UHB566" s="501"/>
      <c r="UHC566" s="501"/>
      <c r="UHD566" s="501"/>
      <c r="UHE566" s="501"/>
      <c r="UHF566" s="501"/>
      <c r="UHG566" s="501"/>
      <c r="UHH566" s="501"/>
      <c r="UHI566" s="501"/>
      <c r="UHJ566" s="501"/>
      <c r="UHK566" s="501"/>
      <c r="UHL566" s="501"/>
      <c r="UHM566" s="501"/>
      <c r="UHN566" s="501"/>
      <c r="UHO566" s="501"/>
      <c r="UHP566" s="501"/>
      <c r="UHQ566" s="501"/>
      <c r="UHR566" s="501"/>
      <c r="UHS566" s="501"/>
      <c r="UHT566" s="501"/>
      <c r="UHU566" s="501"/>
      <c r="UHV566" s="501"/>
      <c r="UHW566" s="501"/>
      <c r="UHX566" s="501"/>
      <c r="UHY566" s="501"/>
      <c r="UHZ566" s="501"/>
      <c r="UIA566" s="501"/>
      <c r="UIB566" s="501"/>
      <c r="UIC566" s="501"/>
      <c r="UID566" s="501"/>
      <c r="UIE566" s="501"/>
      <c r="UIF566" s="501"/>
      <c r="UIG566" s="501"/>
      <c r="UIH566" s="501"/>
      <c r="UII566" s="501"/>
      <c r="UIJ566" s="501"/>
      <c r="UIK566" s="501"/>
      <c r="UIL566" s="501"/>
      <c r="UIM566" s="501"/>
      <c r="UIN566" s="501"/>
      <c r="UIO566" s="501"/>
      <c r="UIP566" s="501"/>
      <c r="UIQ566" s="501"/>
      <c r="UIR566" s="501"/>
      <c r="UIS566" s="501"/>
      <c r="UIT566" s="501"/>
      <c r="UIU566" s="501"/>
      <c r="UIV566" s="501"/>
      <c r="UIW566" s="501"/>
      <c r="UIX566" s="501"/>
      <c r="UIY566" s="501"/>
      <c r="UIZ566" s="501"/>
      <c r="UJA566" s="501"/>
      <c r="UJB566" s="501"/>
      <c r="UJC566" s="501"/>
      <c r="UJD566" s="501"/>
      <c r="UJE566" s="501"/>
      <c r="UJF566" s="501"/>
      <c r="UJG566" s="501"/>
      <c r="UJH566" s="501"/>
      <c r="UJI566" s="501"/>
      <c r="UJJ566" s="501"/>
      <c r="UJK566" s="501"/>
      <c r="UJL566" s="501"/>
      <c r="UJM566" s="501"/>
      <c r="UJN566" s="501"/>
      <c r="UJO566" s="501"/>
      <c r="UJP566" s="501"/>
      <c r="UJQ566" s="501"/>
      <c r="UJR566" s="501"/>
      <c r="UJS566" s="501"/>
      <c r="UJT566" s="501"/>
      <c r="UJU566" s="501"/>
      <c r="UJV566" s="501"/>
      <c r="UJW566" s="501"/>
      <c r="UJX566" s="501"/>
      <c r="UJY566" s="501"/>
      <c r="UJZ566" s="501"/>
      <c r="UKA566" s="501"/>
      <c r="UKB566" s="501"/>
      <c r="UKC566" s="501"/>
      <c r="UKD566" s="501"/>
      <c r="UKE566" s="501"/>
      <c r="UKF566" s="501"/>
      <c r="UKG566" s="501"/>
      <c r="UKH566" s="501"/>
      <c r="UKI566" s="501"/>
      <c r="UKJ566" s="501"/>
      <c r="UKK566" s="501"/>
      <c r="UKL566" s="501"/>
      <c r="UKM566" s="501"/>
      <c r="UKN566" s="501"/>
      <c r="UKO566" s="501"/>
      <c r="UKP566" s="501"/>
      <c r="UKQ566" s="501"/>
      <c r="UKR566" s="501"/>
      <c r="UKS566" s="501"/>
      <c r="UKT566" s="501"/>
      <c r="UKU566" s="501"/>
      <c r="UKV566" s="501"/>
      <c r="UKW566" s="501"/>
      <c r="UKX566" s="501"/>
      <c r="UKY566" s="501"/>
      <c r="UKZ566" s="501"/>
      <c r="ULA566" s="501"/>
      <c r="ULB566" s="501"/>
      <c r="ULC566" s="501"/>
      <c r="ULD566" s="501"/>
      <c r="ULE566" s="501"/>
      <c r="ULF566" s="501"/>
      <c r="ULG566" s="501"/>
      <c r="ULH566" s="501"/>
      <c r="ULI566" s="501"/>
      <c r="ULJ566" s="501"/>
      <c r="ULK566" s="501"/>
      <c r="ULL566" s="501"/>
      <c r="ULM566" s="501"/>
      <c r="ULN566" s="501"/>
      <c r="ULO566" s="501"/>
      <c r="ULP566" s="501"/>
      <c r="ULQ566" s="501"/>
      <c r="ULR566" s="501"/>
      <c r="ULS566" s="501"/>
      <c r="ULT566" s="501"/>
      <c r="ULU566" s="501"/>
      <c r="ULV566" s="501"/>
      <c r="ULW566" s="501"/>
      <c r="ULX566" s="501"/>
      <c r="ULY566" s="501"/>
      <c r="ULZ566" s="501"/>
      <c r="UMA566" s="501"/>
      <c r="UMB566" s="501"/>
      <c r="UMC566" s="501"/>
      <c r="UMD566" s="501"/>
      <c r="UME566" s="501"/>
      <c r="UMF566" s="501"/>
      <c r="UMG566" s="501"/>
      <c r="UMH566" s="501"/>
      <c r="UMI566" s="501"/>
      <c r="UMJ566" s="501"/>
      <c r="UMK566" s="501"/>
      <c r="UML566" s="501"/>
      <c r="UMM566" s="501"/>
      <c r="UMN566" s="501"/>
      <c r="UMO566" s="501"/>
      <c r="UMP566" s="501"/>
      <c r="UMQ566" s="501"/>
      <c r="UMR566" s="501"/>
      <c r="UMS566" s="501"/>
      <c r="UMT566" s="501"/>
      <c r="UMU566" s="501"/>
      <c r="UMV566" s="501"/>
      <c r="UMW566" s="501"/>
      <c r="UMX566" s="501"/>
      <c r="UMY566" s="501"/>
      <c r="UMZ566" s="501"/>
      <c r="UNA566" s="501"/>
      <c r="UNB566" s="501"/>
      <c r="UNC566" s="501"/>
      <c r="UND566" s="501"/>
      <c r="UNE566" s="501"/>
      <c r="UNF566" s="501"/>
      <c r="UNG566" s="501"/>
      <c r="UNH566" s="501"/>
      <c r="UNI566" s="501"/>
      <c r="UNJ566" s="501"/>
      <c r="UNK566" s="501"/>
      <c r="UNL566" s="501"/>
      <c r="UNM566" s="501"/>
      <c r="UNN566" s="501"/>
      <c r="UNO566" s="501"/>
      <c r="UNP566" s="501"/>
      <c r="UNQ566" s="501"/>
      <c r="UNR566" s="501"/>
      <c r="UNS566" s="501"/>
      <c r="UNT566" s="501"/>
      <c r="UNU566" s="501"/>
      <c r="UNV566" s="501"/>
      <c r="UNW566" s="501"/>
      <c r="UNX566" s="501"/>
      <c r="UNY566" s="501"/>
      <c r="UNZ566" s="501"/>
      <c r="UOA566" s="501"/>
      <c r="UOB566" s="501"/>
      <c r="UOC566" s="501"/>
      <c r="UOD566" s="501"/>
      <c r="UOE566" s="501"/>
      <c r="UOF566" s="501"/>
      <c r="UOG566" s="501"/>
      <c r="UOH566" s="501"/>
      <c r="UOI566" s="501"/>
      <c r="UOJ566" s="501"/>
      <c r="UOK566" s="501"/>
      <c r="UOL566" s="501"/>
      <c r="UOM566" s="501"/>
      <c r="UON566" s="501"/>
      <c r="UOO566" s="501"/>
      <c r="UOP566" s="501"/>
      <c r="UOQ566" s="501"/>
      <c r="UOR566" s="501"/>
      <c r="UOS566" s="501"/>
      <c r="UOT566" s="501"/>
      <c r="UOU566" s="501"/>
      <c r="UOV566" s="501"/>
      <c r="UOW566" s="501"/>
      <c r="UOX566" s="501"/>
      <c r="UOY566" s="501"/>
      <c r="UOZ566" s="501"/>
      <c r="UPA566" s="501"/>
      <c r="UPB566" s="501"/>
      <c r="UPC566" s="501"/>
      <c r="UPD566" s="501"/>
      <c r="UPE566" s="501"/>
      <c r="UPF566" s="501"/>
      <c r="UPG566" s="501"/>
      <c r="UPH566" s="501"/>
      <c r="UPI566" s="501"/>
      <c r="UPJ566" s="501"/>
      <c r="UPK566" s="501"/>
      <c r="UPL566" s="501"/>
      <c r="UPM566" s="501"/>
      <c r="UPN566" s="501"/>
      <c r="UPO566" s="501"/>
      <c r="UPP566" s="501"/>
      <c r="UPQ566" s="501"/>
      <c r="UPR566" s="501"/>
      <c r="UPS566" s="501"/>
      <c r="UPT566" s="501"/>
      <c r="UPU566" s="501"/>
      <c r="UPV566" s="501"/>
      <c r="UPW566" s="501"/>
      <c r="UPX566" s="501"/>
      <c r="UPY566" s="501"/>
      <c r="UPZ566" s="501"/>
      <c r="UQA566" s="501"/>
      <c r="UQB566" s="501"/>
      <c r="UQC566" s="501"/>
      <c r="UQD566" s="501"/>
      <c r="UQE566" s="501"/>
      <c r="UQF566" s="501"/>
      <c r="UQG566" s="501"/>
      <c r="UQH566" s="501"/>
      <c r="UQI566" s="501"/>
      <c r="UQJ566" s="501"/>
      <c r="UQK566" s="501"/>
      <c r="UQL566" s="501"/>
      <c r="UQM566" s="501"/>
      <c r="UQN566" s="501"/>
      <c r="UQO566" s="501"/>
      <c r="UQP566" s="501"/>
      <c r="UQQ566" s="501"/>
      <c r="UQR566" s="501"/>
      <c r="UQS566" s="501"/>
      <c r="UQT566" s="501"/>
      <c r="UQU566" s="501"/>
      <c r="UQV566" s="501"/>
      <c r="UQW566" s="501"/>
      <c r="UQX566" s="501"/>
      <c r="UQY566" s="501"/>
      <c r="UQZ566" s="501"/>
      <c r="URA566" s="501"/>
      <c r="URB566" s="501"/>
      <c r="URC566" s="501"/>
      <c r="URD566" s="501"/>
      <c r="URE566" s="501"/>
      <c r="URF566" s="501"/>
      <c r="URG566" s="501"/>
      <c r="URH566" s="501"/>
      <c r="URI566" s="501"/>
      <c r="URJ566" s="501"/>
      <c r="URK566" s="501"/>
      <c r="URL566" s="501"/>
      <c r="URM566" s="501"/>
      <c r="URN566" s="501"/>
      <c r="URO566" s="501"/>
      <c r="URP566" s="501"/>
      <c r="URQ566" s="501"/>
      <c r="URR566" s="501"/>
      <c r="URS566" s="501"/>
      <c r="URT566" s="501"/>
      <c r="URU566" s="501"/>
      <c r="URV566" s="501"/>
      <c r="URW566" s="501"/>
      <c r="URX566" s="501"/>
      <c r="URY566" s="501"/>
      <c r="URZ566" s="501"/>
      <c r="USA566" s="501"/>
      <c r="USB566" s="501"/>
      <c r="USC566" s="501"/>
      <c r="USD566" s="501"/>
      <c r="USE566" s="501"/>
      <c r="USF566" s="501"/>
      <c r="USG566" s="501"/>
      <c r="USH566" s="501"/>
      <c r="USI566" s="501"/>
      <c r="USJ566" s="501"/>
      <c r="USK566" s="501"/>
      <c r="USL566" s="501"/>
      <c r="USM566" s="501"/>
      <c r="USN566" s="501"/>
      <c r="USO566" s="501"/>
      <c r="USP566" s="501"/>
      <c r="USQ566" s="501"/>
      <c r="USR566" s="501"/>
      <c r="USS566" s="501"/>
      <c r="UST566" s="501"/>
      <c r="USU566" s="501"/>
      <c r="USV566" s="501"/>
      <c r="USW566" s="501"/>
      <c r="USX566" s="501"/>
      <c r="USY566" s="501"/>
      <c r="USZ566" s="501"/>
      <c r="UTA566" s="501"/>
      <c r="UTB566" s="501"/>
      <c r="UTC566" s="501"/>
      <c r="UTD566" s="501"/>
      <c r="UTE566" s="501"/>
      <c r="UTF566" s="501"/>
      <c r="UTG566" s="501"/>
      <c r="UTH566" s="501"/>
      <c r="UTI566" s="501"/>
      <c r="UTJ566" s="501"/>
      <c r="UTK566" s="501"/>
      <c r="UTL566" s="501"/>
      <c r="UTM566" s="501"/>
      <c r="UTN566" s="501"/>
      <c r="UTO566" s="501"/>
      <c r="UTP566" s="501"/>
      <c r="UTQ566" s="501"/>
      <c r="UTR566" s="501"/>
      <c r="UTS566" s="501"/>
      <c r="UTT566" s="501"/>
      <c r="UTU566" s="501"/>
      <c r="UTV566" s="501"/>
      <c r="UTW566" s="501"/>
      <c r="UTX566" s="501"/>
      <c r="UTY566" s="501"/>
      <c r="UTZ566" s="501"/>
      <c r="UUA566" s="501"/>
      <c r="UUB566" s="501"/>
      <c r="UUC566" s="501"/>
      <c r="UUD566" s="501"/>
      <c r="UUE566" s="501"/>
      <c r="UUF566" s="501"/>
      <c r="UUG566" s="501"/>
      <c r="UUH566" s="501"/>
      <c r="UUI566" s="501"/>
      <c r="UUJ566" s="501"/>
      <c r="UUK566" s="501"/>
      <c r="UUL566" s="501"/>
      <c r="UUM566" s="501"/>
      <c r="UUN566" s="501"/>
      <c r="UUO566" s="501"/>
      <c r="UUP566" s="501"/>
      <c r="UUQ566" s="501"/>
      <c r="UUR566" s="501"/>
      <c r="UUS566" s="501"/>
      <c r="UUT566" s="501"/>
      <c r="UUU566" s="501"/>
      <c r="UUV566" s="501"/>
      <c r="UUW566" s="501"/>
      <c r="UUX566" s="501"/>
      <c r="UUY566" s="501"/>
      <c r="UUZ566" s="501"/>
      <c r="UVA566" s="501"/>
      <c r="UVB566" s="501"/>
      <c r="UVC566" s="501"/>
      <c r="UVD566" s="501"/>
      <c r="UVE566" s="501"/>
      <c r="UVF566" s="501"/>
      <c r="UVG566" s="501"/>
      <c r="UVH566" s="501"/>
      <c r="UVI566" s="501"/>
      <c r="UVJ566" s="501"/>
      <c r="UVK566" s="501"/>
      <c r="UVL566" s="501"/>
      <c r="UVM566" s="501"/>
      <c r="UVN566" s="501"/>
      <c r="UVO566" s="501"/>
      <c r="UVP566" s="501"/>
      <c r="UVQ566" s="501"/>
      <c r="UVR566" s="501"/>
      <c r="UVS566" s="501"/>
      <c r="UVT566" s="501"/>
      <c r="UVU566" s="501"/>
      <c r="UVV566" s="501"/>
      <c r="UVW566" s="501"/>
      <c r="UVX566" s="501"/>
      <c r="UVY566" s="501"/>
      <c r="UVZ566" s="501"/>
      <c r="UWA566" s="501"/>
      <c r="UWB566" s="501"/>
      <c r="UWC566" s="501"/>
      <c r="UWD566" s="501"/>
      <c r="UWE566" s="501"/>
      <c r="UWF566" s="501"/>
      <c r="UWG566" s="501"/>
      <c r="UWH566" s="501"/>
      <c r="UWI566" s="501"/>
      <c r="UWJ566" s="501"/>
      <c r="UWK566" s="501"/>
      <c r="UWL566" s="501"/>
      <c r="UWM566" s="501"/>
      <c r="UWN566" s="501"/>
      <c r="UWO566" s="501"/>
      <c r="UWP566" s="501"/>
      <c r="UWQ566" s="501"/>
      <c r="UWR566" s="501"/>
      <c r="UWS566" s="501"/>
      <c r="UWT566" s="501"/>
      <c r="UWU566" s="501"/>
      <c r="UWV566" s="501"/>
      <c r="UWW566" s="501"/>
      <c r="UWX566" s="501"/>
      <c r="UWY566" s="501"/>
      <c r="UWZ566" s="501"/>
      <c r="UXA566" s="501"/>
      <c r="UXB566" s="501"/>
      <c r="UXC566" s="501"/>
      <c r="UXD566" s="501"/>
      <c r="UXE566" s="501"/>
      <c r="UXF566" s="501"/>
      <c r="UXG566" s="501"/>
      <c r="UXH566" s="501"/>
      <c r="UXI566" s="501"/>
      <c r="UXJ566" s="501"/>
      <c r="UXK566" s="501"/>
      <c r="UXL566" s="501"/>
      <c r="UXM566" s="501"/>
      <c r="UXN566" s="501"/>
      <c r="UXO566" s="501"/>
      <c r="UXP566" s="501"/>
      <c r="UXQ566" s="501"/>
      <c r="UXR566" s="501"/>
      <c r="UXS566" s="501"/>
      <c r="UXT566" s="501"/>
      <c r="UXU566" s="501"/>
      <c r="UXV566" s="501"/>
      <c r="UXW566" s="501"/>
      <c r="UXX566" s="501"/>
      <c r="UXY566" s="501"/>
      <c r="UXZ566" s="501"/>
      <c r="UYA566" s="501"/>
      <c r="UYB566" s="501"/>
      <c r="UYC566" s="501"/>
      <c r="UYD566" s="501"/>
      <c r="UYE566" s="501"/>
      <c r="UYF566" s="501"/>
      <c r="UYG566" s="501"/>
      <c r="UYH566" s="501"/>
      <c r="UYI566" s="501"/>
      <c r="UYJ566" s="501"/>
      <c r="UYK566" s="501"/>
      <c r="UYL566" s="501"/>
      <c r="UYM566" s="501"/>
      <c r="UYN566" s="501"/>
      <c r="UYO566" s="501"/>
      <c r="UYP566" s="501"/>
      <c r="UYQ566" s="501"/>
      <c r="UYR566" s="501"/>
      <c r="UYS566" s="501"/>
      <c r="UYT566" s="501"/>
      <c r="UYU566" s="501"/>
      <c r="UYV566" s="501"/>
      <c r="UYW566" s="501"/>
      <c r="UYX566" s="501"/>
      <c r="UYY566" s="501"/>
      <c r="UYZ566" s="501"/>
      <c r="UZA566" s="501"/>
      <c r="UZB566" s="501"/>
      <c r="UZC566" s="501"/>
      <c r="UZD566" s="501"/>
      <c r="UZE566" s="501"/>
      <c r="UZF566" s="501"/>
      <c r="UZG566" s="501"/>
      <c r="UZH566" s="501"/>
      <c r="UZI566" s="501"/>
      <c r="UZJ566" s="501"/>
      <c r="UZK566" s="501"/>
      <c r="UZL566" s="501"/>
      <c r="UZM566" s="501"/>
      <c r="UZN566" s="501"/>
      <c r="UZO566" s="501"/>
      <c r="UZP566" s="501"/>
      <c r="UZQ566" s="501"/>
      <c r="UZR566" s="501"/>
      <c r="UZS566" s="501"/>
      <c r="UZT566" s="501"/>
      <c r="UZU566" s="501"/>
      <c r="UZV566" s="501"/>
      <c r="UZW566" s="501"/>
      <c r="UZX566" s="501"/>
      <c r="UZY566" s="501"/>
      <c r="UZZ566" s="501"/>
      <c r="VAA566" s="501"/>
      <c r="VAB566" s="501"/>
      <c r="VAC566" s="501"/>
      <c r="VAD566" s="501"/>
      <c r="VAE566" s="501"/>
      <c r="VAF566" s="501"/>
      <c r="VAG566" s="501"/>
      <c r="VAH566" s="501"/>
      <c r="VAI566" s="501"/>
      <c r="VAJ566" s="501"/>
      <c r="VAK566" s="501"/>
      <c r="VAL566" s="501"/>
      <c r="VAM566" s="501"/>
      <c r="VAN566" s="501"/>
      <c r="VAO566" s="501"/>
      <c r="VAP566" s="501"/>
      <c r="VAQ566" s="501"/>
      <c r="VAR566" s="501"/>
      <c r="VAS566" s="501"/>
      <c r="VAT566" s="501"/>
      <c r="VAU566" s="501"/>
      <c r="VAV566" s="501"/>
      <c r="VAW566" s="501"/>
      <c r="VAX566" s="501"/>
      <c r="VAY566" s="501"/>
      <c r="VAZ566" s="501"/>
      <c r="VBA566" s="501"/>
      <c r="VBB566" s="501"/>
      <c r="VBC566" s="501"/>
      <c r="VBD566" s="501"/>
      <c r="VBE566" s="501"/>
      <c r="VBF566" s="501"/>
      <c r="VBG566" s="501"/>
      <c r="VBH566" s="501"/>
      <c r="VBI566" s="501"/>
      <c r="VBJ566" s="501"/>
      <c r="VBK566" s="501"/>
      <c r="VBL566" s="501"/>
      <c r="VBM566" s="501"/>
      <c r="VBN566" s="501"/>
      <c r="VBO566" s="501"/>
      <c r="VBP566" s="501"/>
      <c r="VBQ566" s="501"/>
      <c r="VBR566" s="501"/>
      <c r="VBS566" s="501"/>
      <c r="VBT566" s="501"/>
      <c r="VBU566" s="501"/>
      <c r="VBV566" s="501"/>
      <c r="VBW566" s="501"/>
      <c r="VBX566" s="501"/>
      <c r="VBY566" s="501"/>
      <c r="VBZ566" s="501"/>
      <c r="VCA566" s="501"/>
      <c r="VCB566" s="501"/>
      <c r="VCC566" s="501"/>
      <c r="VCD566" s="501"/>
      <c r="VCE566" s="501"/>
      <c r="VCF566" s="501"/>
      <c r="VCG566" s="501"/>
      <c r="VCH566" s="501"/>
      <c r="VCI566" s="501"/>
      <c r="VCJ566" s="501"/>
      <c r="VCK566" s="501"/>
      <c r="VCL566" s="501"/>
      <c r="VCM566" s="501"/>
      <c r="VCN566" s="501"/>
      <c r="VCO566" s="501"/>
      <c r="VCP566" s="501"/>
      <c r="VCQ566" s="501"/>
      <c r="VCR566" s="501"/>
      <c r="VCS566" s="501"/>
      <c r="VCT566" s="501"/>
      <c r="VCU566" s="501"/>
      <c r="VCV566" s="501"/>
      <c r="VCW566" s="501"/>
      <c r="VCX566" s="501"/>
      <c r="VCY566" s="501"/>
      <c r="VCZ566" s="501"/>
      <c r="VDA566" s="501"/>
      <c r="VDB566" s="501"/>
      <c r="VDC566" s="501"/>
      <c r="VDD566" s="501"/>
      <c r="VDE566" s="501"/>
      <c r="VDF566" s="501"/>
      <c r="VDG566" s="501"/>
      <c r="VDH566" s="501"/>
      <c r="VDI566" s="501"/>
      <c r="VDJ566" s="501"/>
      <c r="VDK566" s="501"/>
      <c r="VDL566" s="501"/>
      <c r="VDM566" s="501"/>
      <c r="VDN566" s="501"/>
      <c r="VDO566" s="501"/>
      <c r="VDP566" s="501"/>
      <c r="VDQ566" s="501"/>
      <c r="VDR566" s="501"/>
      <c r="VDS566" s="501"/>
      <c r="VDT566" s="501"/>
      <c r="VDU566" s="501"/>
      <c r="VDV566" s="501"/>
      <c r="VDW566" s="501"/>
      <c r="VDX566" s="501"/>
      <c r="VDY566" s="501"/>
      <c r="VDZ566" s="501"/>
      <c r="VEA566" s="501"/>
      <c r="VEB566" s="501"/>
      <c r="VEC566" s="501"/>
      <c r="VED566" s="501"/>
      <c r="VEE566" s="501"/>
      <c r="VEF566" s="501"/>
      <c r="VEG566" s="501"/>
      <c r="VEH566" s="501"/>
      <c r="VEI566" s="501"/>
      <c r="VEJ566" s="501"/>
      <c r="VEK566" s="501"/>
      <c r="VEL566" s="501"/>
      <c r="VEM566" s="501"/>
      <c r="VEN566" s="501"/>
      <c r="VEO566" s="501"/>
      <c r="VEP566" s="501"/>
      <c r="VEQ566" s="501"/>
      <c r="VER566" s="501"/>
      <c r="VES566" s="501"/>
      <c r="VET566" s="501"/>
      <c r="VEU566" s="501"/>
      <c r="VEV566" s="501"/>
      <c r="VEW566" s="501"/>
      <c r="VEX566" s="501"/>
      <c r="VEY566" s="501"/>
      <c r="VEZ566" s="501"/>
      <c r="VFA566" s="501"/>
      <c r="VFB566" s="501"/>
      <c r="VFC566" s="501"/>
      <c r="VFD566" s="501"/>
      <c r="VFE566" s="501"/>
      <c r="VFF566" s="501"/>
      <c r="VFG566" s="501"/>
      <c r="VFH566" s="501"/>
      <c r="VFI566" s="501"/>
      <c r="VFJ566" s="501"/>
      <c r="VFK566" s="501"/>
      <c r="VFL566" s="501"/>
      <c r="VFM566" s="501"/>
      <c r="VFN566" s="501"/>
      <c r="VFO566" s="501"/>
      <c r="VFP566" s="501"/>
      <c r="VFQ566" s="501"/>
      <c r="VFR566" s="501"/>
      <c r="VFS566" s="501"/>
      <c r="VFT566" s="501"/>
      <c r="VFU566" s="501"/>
      <c r="VFV566" s="501"/>
      <c r="VFW566" s="501"/>
      <c r="VFX566" s="501"/>
      <c r="VFY566" s="501"/>
      <c r="VFZ566" s="501"/>
      <c r="VGA566" s="501"/>
      <c r="VGB566" s="501"/>
      <c r="VGC566" s="501"/>
      <c r="VGD566" s="501"/>
      <c r="VGE566" s="501"/>
      <c r="VGF566" s="501"/>
      <c r="VGG566" s="501"/>
      <c r="VGH566" s="501"/>
      <c r="VGI566" s="501"/>
      <c r="VGJ566" s="501"/>
      <c r="VGK566" s="501"/>
      <c r="VGL566" s="501"/>
      <c r="VGM566" s="501"/>
      <c r="VGN566" s="501"/>
      <c r="VGO566" s="501"/>
      <c r="VGP566" s="501"/>
      <c r="VGQ566" s="501"/>
      <c r="VGR566" s="501"/>
      <c r="VGS566" s="501"/>
      <c r="VGT566" s="501"/>
      <c r="VGU566" s="501"/>
      <c r="VGV566" s="501"/>
      <c r="VGW566" s="501"/>
      <c r="VGX566" s="501"/>
      <c r="VGY566" s="501"/>
      <c r="VGZ566" s="501"/>
      <c r="VHA566" s="501"/>
      <c r="VHB566" s="501"/>
      <c r="VHC566" s="501"/>
      <c r="VHD566" s="501"/>
      <c r="VHE566" s="501"/>
      <c r="VHF566" s="501"/>
      <c r="VHG566" s="501"/>
      <c r="VHH566" s="501"/>
      <c r="VHI566" s="501"/>
      <c r="VHJ566" s="501"/>
      <c r="VHK566" s="501"/>
      <c r="VHL566" s="501"/>
      <c r="VHM566" s="501"/>
      <c r="VHN566" s="501"/>
      <c r="VHO566" s="501"/>
      <c r="VHP566" s="501"/>
      <c r="VHQ566" s="501"/>
      <c r="VHR566" s="501"/>
      <c r="VHS566" s="501"/>
      <c r="VHT566" s="501"/>
      <c r="VHU566" s="501"/>
      <c r="VHV566" s="501"/>
      <c r="VHW566" s="501"/>
      <c r="VHX566" s="501"/>
      <c r="VHY566" s="501"/>
      <c r="VHZ566" s="501"/>
      <c r="VIA566" s="501"/>
      <c r="VIB566" s="501"/>
      <c r="VIC566" s="501"/>
      <c r="VID566" s="501"/>
      <c r="VIE566" s="501"/>
      <c r="VIF566" s="501"/>
      <c r="VIG566" s="501"/>
      <c r="VIH566" s="501"/>
      <c r="VII566" s="501"/>
      <c r="VIJ566" s="501"/>
      <c r="VIK566" s="501"/>
      <c r="VIL566" s="501"/>
      <c r="VIM566" s="501"/>
      <c r="VIN566" s="501"/>
      <c r="VIO566" s="501"/>
      <c r="VIP566" s="501"/>
      <c r="VIQ566" s="501"/>
      <c r="VIR566" s="501"/>
      <c r="VIS566" s="501"/>
      <c r="VIT566" s="501"/>
      <c r="VIU566" s="501"/>
      <c r="VIV566" s="501"/>
      <c r="VIW566" s="501"/>
      <c r="VIX566" s="501"/>
      <c r="VIY566" s="501"/>
      <c r="VIZ566" s="501"/>
      <c r="VJA566" s="501"/>
      <c r="VJB566" s="501"/>
      <c r="VJC566" s="501"/>
      <c r="VJD566" s="501"/>
      <c r="VJE566" s="501"/>
      <c r="VJF566" s="501"/>
      <c r="VJG566" s="501"/>
      <c r="VJH566" s="501"/>
      <c r="VJI566" s="501"/>
      <c r="VJJ566" s="501"/>
      <c r="VJK566" s="501"/>
      <c r="VJL566" s="501"/>
      <c r="VJM566" s="501"/>
      <c r="VJN566" s="501"/>
      <c r="VJO566" s="501"/>
      <c r="VJP566" s="501"/>
      <c r="VJQ566" s="501"/>
      <c r="VJR566" s="501"/>
      <c r="VJS566" s="501"/>
      <c r="VJT566" s="501"/>
      <c r="VJU566" s="501"/>
      <c r="VJV566" s="501"/>
      <c r="VJW566" s="501"/>
      <c r="VJX566" s="501"/>
      <c r="VJY566" s="501"/>
      <c r="VJZ566" s="501"/>
      <c r="VKA566" s="501"/>
      <c r="VKB566" s="501"/>
      <c r="VKC566" s="501"/>
      <c r="VKD566" s="501"/>
      <c r="VKE566" s="501"/>
      <c r="VKF566" s="501"/>
      <c r="VKG566" s="501"/>
      <c r="VKH566" s="501"/>
      <c r="VKI566" s="501"/>
      <c r="VKJ566" s="501"/>
      <c r="VKK566" s="501"/>
      <c r="VKL566" s="501"/>
      <c r="VKM566" s="501"/>
      <c r="VKN566" s="501"/>
      <c r="VKO566" s="501"/>
      <c r="VKP566" s="501"/>
      <c r="VKQ566" s="501"/>
      <c r="VKR566" s="501"/>
      <c r="VKS566" s="501"/>
      <c r="VKT566" s="501"/>
      <c r="VKU566" s="501"/>
      <c r="VKV566" s="501"/>
      <c r="VKW566" s="501"/>
      <c r="VKX566" s="501"/>
      <c r="VKY566" s="501"/>
      <c r="VKZ566" s="501"/>
      <c r="VLA566" s="501"/>
      <c r="VLB566" s="501"/>
      <c r="VLC566" s="501"/>
      <c r="VLD566" s="501"/>
      <c r="VLE566" s="501"/>
      <c r="VLF566" s="501"/>
      <c r="VLG566" s="501"/>
      <c r="VLH566" s="501"/>
      <c r="VLI566" s="501"/>
      <c r="VLJ566" s="501"/>
      <c r="VLK566" s="501"/>
      <c r="VLL566" s="501"/>
      <c r="VLM566" s="501"/>
      <c r="VLN566" s="501"/>
      <c r="VLO566" s="501"/>
      <c r="VLP566" s="501"/>
      <c r="VLQ566" s="501"/>
      <c r="VLR566" s="501"/>
      <c r="VLS566" s="501"/>
      <c r="VLT566" s="501"/>
      <c r="VLU566" s="501"/>
      <c r="VLV566" s="501"/>
      <c r="VLW566" s="501"/>
      <c r="VLX566" s="501"/>
      <c r="VLY566" s="501"/>
      <c r="VLZ566" s="501"/>
      <c r="VMA566" s="501"/>
      <c r="VMB566" s="501"/>
      <c r="VMC566" s="501"/>
      <c r="VMD566" s="501"/>
      <c r="VME566" s="501"/>
      <c r="VMF566" s="501"/>
      <c r="VMG566" s="501"/>
      <c r="VMH566" s="501"/>
      <c r="VMI566" s="501"/>
      <c r="VMJ566" s="501"/>
      <c r="VMK566" s="501"/>
      <c r="VML566" s="501"/>
      <c r="VMM566" s="501"/>
      <c r="VMN566" s="501"/>
      <c r="VMO566" s="501"/>
      <c r="VMP566" s="501"/>
      <c r="VMQ566" s="501"/>
      <c r="VMR566" s="501"/>
      <c r="VMS566" s="501"/>
      <c r="VMT566" s="501"/>
      <c r="VMU566" s="501"/>
      <c r="VMV566" s="501"/>
      <c r="VMW566" s="501"/>
      <c r="VMX566" s="501"/>
      <c r="VMY566" s="501"/>
      <c r="VMZ566" s="501"/>
      <c r="VNA566" s="501"/>
      <c r="VNB566" s="501"/>
      <c r="VNC566" s="501"/>
      <c r="VND566" s="501"/>
      <c r="VNE566" s="501"/>
      <c r="VNF566" s="501"/>
      <c r="VNG566" s="501"/>
      <c r="VNH566" s="501"/>
      <c r="VNI566" s="501"/>
      <c r="VNJ566" s="501"/>
      <c r="VNK566" s="501"/>
      <c r="VNL566" s="501"/>
      <c r="VNM566" s="501"/>
      <c r="VNN566" s="501"/>
      <c r="VNO566" s="501"/>
      <c r="VNP566" s="501"/>
      <c r="VNQ566" s="501"/>
      <c r="VNR566" s="501"/>
      <c r="VNS566" s="501"/>
      <c r="VNT566" s="501"/>
      <c r="VNU566" s="501"/>
      <c r="VNV566" s="501"/>
      <c r="VNW566" s="501"/>
      <c r="VNX566" s="501"/>
      <c r="VNY566" s="501"/>
      <c r="VNZ566" s="501"/>
      <c r="VOA566" s="501"/>
      <c r="VOB566" s="501"/>
      <c r="VOC566" s="501"/>
      <c r="VOD566" s="501"/>
      <c r="VOE566" s="501"/>
      <c r="VOF566" s="501"/>
      <c r="VOG566" s="501"/>
      <c r="VOH566" s="501"/>
      <c r="VOI566" s="501"/>
      <c r="VOJ566" s="501"/>
      <c r="VOK566" s="501"/>
      <c r="VOL566" s="501"/>
      <c r="VOM566" s="501"/>
      <c r="VON566" s="501"/>
      <c r="VOO566" s="501"/>
      <c r="VOP566" s="501"/>
      <c r="VOQ566" s="501"/>
      <c r="VOR566" s="501"/>
      <c r="VOS566" s="501"/>
      <c r="VOT566" s="501"/>
      <c r="VOU566" s="501"/>
      <c r="VOV566" s="501"/>
      <c r="VOW566" s="501"/>
      <c r="VOX566" s="501"/>
      <c r="VOY566" s="501"/>
      <c r="VOZ566" s="501"/>
      <c r="VPA566" s="501"/>
      <c r="VPB566" s="501"/>
      <c r="VPC566" s="501"/>
      <c r="VPD566" s="501"/>
      <c r="VPE566" s="501"/>
      <c r="VPF566" s="501"/>
      <c r="VPG566" s="501"/>
      <c r="VPH566" s="501"/>
      <c r="VPI566" s="501"/>
      <c r="VPJ566" s="501"/>
      <c r="VPK566" s="501"/>
      <c r="VPL566" s="501"/>
      <c r="VPM566" s="501"/>
      <c r="VPN566" s="501"/>
      <c r="VPO566" s="501"/>
      <c r="VPP566" s="501"/>
      <c r="VPQ566" s="501"/>
      <c r="VPR566" s="501"/>
      <c r="VPS566" s="501"/>
      <c r="VPT566" s="501"/>
      <c r="VPU566" s="501"/>
      <c r="VPV566" s="501"/>
      <c r="VPW566" s="501"/>
      <c r="VPX566" s="501"/>
      <c r="VPY566" s="501"/>
      <c r="VPZ566" s="501"/>
      <c r="VQA566" s="501"/>
      <c r="VQB566" s="501"/>
      <c r="VQC566" s="501"/>
      <c r="VQD566" s="501"/>
      <c r="VQE566" s="501"/>
      <c r="VQF566" s="501"/>
      <c r="VQG566" s="501"/>
      <c r="VQH566" s="501"/>
      <c r="VQI566" s="501"/>
      <c r="VQJ566" s="501"/>
      <c r="VQK566" s="501"/>
      <c r="VQL566" s="501"/>
      <c r="VQM566" s="501"/>
      <c r="VQN566" s="501"/>
      <c r="VQO566" s="501"/>
      <c r="VQP566" s="501"/>
      <c r="VQQ566" s="501"/>
      <c r="VQR566" s="501"/>
      <c r="VQS566" s="501"/>
      <c r="VQT566" s="501"/>
      <c r="VQU566" s="501"/>
      <c r="VQV566" s="501"/>
      <c r="VQW566" s="501"/>
      <c r="VQX566" s="501"/>
      <c r="VQY566" s="501"/>
      <c r="VQZ566" s="501"/>
      <c r="VRA566" s="501"/>
      <c r="VRB566" s="501"/>
      <c r="VRC566" s="501"/>
      <c r="VRD566" s="501"/>
      <c r="VRE566" s="501"/>
      <c r="VRF566" s="501"/>
      <c r="VRG566" s="501"/>
      <c r="VRH566" s="501"/>
      <c r="VRI566" s="501"/>
      <c r="VRJ566" s="501"/>
      <c r="VRK566" s="501"/>
      <c r="VRL566" s="501"/>
      <c r="VRM566" s="501"/>
      <c r="VRN566" s="501"/>
      <c r="VRO566" s="501"/>
      <c r="VRP566" s="501"/>
      <c r="VRQ566" s="501"/>
      <c r="VRR566" s="501"/>
      <c r="VRS566" s="501"/>
      <c r="VRT566" s="501"/>
      <c r="VRU566" s="501"/>
      <c r="VRV566" s="501"/>
      <c r="VRW566" s="501"/>
      <c r="VRX566" s="501"/>
      <c r="VRY566" s="501"/>
      <c r="VRZ566" s="501"/>
      <c r="VSA566" s="501"/>
      <c r="VSB566" s="501"/>
      <c r="VSC566" s="501"/>
      <c r="VSD566" s="501"/>
      <c r="VSE566" s="501"/>
      <c r="VSF566" s="501"/>
      <c r="VSG566" s="501"/>
      <c r="VSH566" s="501"/>
      <c r="VSI566" s="501"/>
      <c r="VSJ566" s="501"/>
      <c r="VSK566" s="501"/>
      <c r="VSL566" s="501"/>
      <c r="VSM566" s="501"/>
      <c r="VSN566" s="501"/>
      <c r="VSO566" s="501"/>
      <c r="VSP566" s="501"/>
      <c r="VSQ566" s="501"/>
      <c r="VSR566" s="501"/>
      <c r="VSS566" s="501"/>
      <c r="VST566" s="501"/>
      <c r="VSU566" s="501"/>
      <c r="VSV566" s="501"/>
      <c r="VSW566" s="501"/>
      <c r="VSX566" s="501"/>
      <c r="VSY566" s="501"/>
      <c r="VSZ566" s="501"/>
      <c r="VTA566" s="501"/>
      <c r="VTB566" s="501"/>
      <c r="VTC566" s="501"/>
      <c r="VTD566" s="501"/>
      <c r="VTE566" s="501"/>
      <c r="VTF566" s="501"/>
      <c r="VTG566" s="501"/>
      <c r="VTH566" s="501"/>
      <c r="VTI566" s="501"/>
      <c r="VTJ566" s="501"/>
      <c r="VTK566" s="501"/>
      <c r="VTL566" s="501"/>
      <c r="VTM566" s="501"/>
      <c r="VTN566" s="501"/>
      <c r="VTO566" s="501"/>
      <c r="VTP566" s="501"/>
      <c r="VTQ566" s="501"/>
      <c r="VTR566" s="501"/>
      <c r="VTS566" s="501"/>
      <c r="VTT566" s="501"/>
      <c r="VTU566" s="501"/>
      <c r="VTV566" s="501"/>
      <c r="VTW566" s="501"/>
      <c r="VTX566" s="501"/>
      <c r="VTY566" s="501"/>
      <c r="VTZ566" s="501"/>
      <c r="VUA566" s="501"/>
      <c r="VUB566" s="501"/>
      <c r="VUC566" s="501"/>
      <c r="VUD566" s="501"/>
      <c r="VUE566" s="501"/>
      <c r="VUF566" s="501"/>
      <c r="VUG566" s="501"/>
      <c r="VUH566" s="501"/>
      <c r="VUI566" s="501"/>
      <c r="VUJ566" s="501"/>
      <c r="VUK566" s="501"/>
      <c r="VUL566" s="501"/>
      <c r="VUM566" s="501"/>
      <c r="VUN566" s="501"/>
      <c r="VUO566" s="501"/>
      <c r="VUP566" s="501"/>
      <c r="VUQ566" s="501"/>
      <c r="VUR566" s="501"/>
      <c r="VUS566" s="501"/>
      <c r="VUT566" s="501"/>
      <c r="VUU566" s="501"/>
      <c r="VUV566" s="501"/>
      <c r="VUW566" s="501"/>
      <c r="VUX566" s="501"/>
      <c r="VUY566" s="501"/>
      <c r="VUZ566" s="501"/>
      <c r="VVA566" s="501"/>
      <c r="VVB566" s="501"/>
      <c r="VVC566" s="501"/>
      <c r="VVD566" s="501"/>
      <c r="VVE566" s="501"/>
      <c r="VVF566" s="501"/>
      <c r="VVG566" s="501"/>
      <c r="VVH566" s="501"/>
      <c r="VVI566" s="501"/>
      <c r="VVJ566" s="501"/>
      <c r="VVK566" s="501"/>
      <c r="VVL566" s="501"/>
      <c r="VVM566" s="501"/>
      <c r="VVN566" s="501"/>
      <c r="VVO566" s="501"/>
      <c r="VVP566" s="501"/>
      <c r="VVQ566" s="501"/>
      <c r="VVR566" s="501"/>
      <c r="VVS566" s="501"/>
      <c r="VVT566" s="501"/>
      <c r="VVU566" s="501"/>
      <c r="VVV566" s="501"/>
      <c r="VVW566" s="501"/>
      <c r="VVX566" s="501"/>
      <c r="VVY566" s="501"/>
      <c r="VVZ566" s="501"/>
      <c r="VWA566" s="501"/>
      <c r="VWB566" s="501"/>
      <c r="VWC566" s="501"/>
      <c r="VWD566" s="501"/>
      <c r="VWE566" s="501"/>
      <c r="VWF566" s="501"/>
      <c r="VWG566" s="501"/>
      <c r="VWH566" s="501"/>
      <c r="VWI566" s="501"/>
      <c r="VWJ566" s="501"/>
      <c r="VWK566" s="501"/>
      <c r="VWL566" s="501"/>
      <c r="VWM566" s="501"/>
      <c r="VWN566" s="501"/>
      <c r="VWO566" s="501"/>
      <c r="VWP566" s="501"/>
      <c r="VWQ566" s="501"/>
      <c r="VWR566" s="501"/>
      <c r="VWS566" s="501"/>
      <c r="VWT566" s="501"/>
      <c r="VWU566" s="501"/>
      <c r="VWV566" s="501"/>
      <c r="VWW566" s="501"/>
      <c r="VWX566" s="501"/>
      <c r="VWY566" s="501"/>
      <c r="VWZ566" s="501"/>
      <c r="VXA566" s="501"/>
      <c r="VXB566" s="501"/>
      <c r="VXC566" s="501"/>
      <c r="VXD566" s="501"/>
      <c r="VXE566" s="501"/>
      <c r="VXF566" s="501"/>
      <c r="VXG566" s="501"/>
      <c r="VXH566" s="501"/>
      <c r="VXI566" s="501"/>
      <c r="VXJ566" s="501"/>
      <c r="VXK566" s="501"/>
      <c r="VXL566" s="501"/>
      <c r="VXM566" s="501"/>
      <c r="VXN566" s="501"/>
      <c r="VXO566" s="501"/>
      <c r="VXP566" s="501"/>
      <c r="VXQ566" s="501"/>
      <c r="VXR566" s="501"/>
      <c r="VXS566" s="501"/>
      <c r="VXT566" s="501"/>
      <c r="VXU566" s="501"/>
      <c r="VXV566" s="501"/>
      <c r="VXW566" s="501"/>
      <c r="VXX566" s="501"/>
      <c r="VXY566" s="501"/>
      <c r="VXZ566" s="501"/>
      <c r="VYA566" s="501"/>
      <c r="VYB566" s="501"/>
      <c r="VYC566" s="501"/>
      <c r="VYD566" s="501"/>
      <c r="VYE566" s="501"/>
      <c r="VYF566" s="501"/>
      <c r="VYG566" s="501"/>
      <c r="VYH566" s="501"/>
      <c r="VYI566" s="501"/>
      <c r="VYJ566" s="501"/>
      <c r="VYK566" s="501"/>
      <c r="VYL566" s="501"/>
      <c r="VYM566" s="501"/>
      <c r="VYN566" s="501"/>
      <c r="VYO566" s="501"/>
      <c r="VYP566" s="501"/>
      <c r="VYQ566" s="501"/>
      <c r="VYR566" s="501"/>
      <c r="VYS566" s="501"/>
      <c r="VYT566" s="501"/>
      <c r="VYU566" s="501"/>
      <c r="VYV566" s="501"/>
      <c r="VYW566" s="501"/>
      <c r="VYX566" s="501"/>
      <c r="VYY566" s="501"/>
      <c r="VYZ566" s="501"/>
      <c r="VZA566" s="501"/>
      <c r="VZB566" s="501"/>
      <c r="VZC566" s="501"/>
      <c r="VZD566" s="501"/>
      <c r="VZE566" s="501"/>
      <c r="VZF566" s="501"/>
      <c r="VZG566" s="501"/>
      <c r="VZH566" s="501"/>
      <c r="VZI566" s="501"/>
      <c r="VZJ566" s="501"/>
      <c r="VZK566" s="501"/>
      <c r="VZL566" s="501"/>
      <c r="VZM566" s="501"/>
      <c r="VZN566" s="501"/>
      <c r="VZO566" s="501"/>
      <c r="VZP566" s="501"/>
      <c r="VZQ566" s="501"/>
      <c r="VZR566" s="501"/>
      <c r="VZS566" s="501"/>
      <c r="VZT566" s="501"/>
      <c r="VZU566" s="501"/>
      <c r="VZV566" s="501"/>
      <c r="VZW566" s="501"/>
      <c r="VZX566" s="501"/>
      <c r="VZY566" s="501"/>
      <c r="VZZ566" s="501"/>
      <c r="WAA566" s="501"/>
      <c r="WAB566" s="501"/>
      <c r="WAC566" s="501"/>
      <c r="WAD566" s="501"/>
      <c r="WAE566" s="501"/>
      <c r="WAF566" s="501"/>
      <c r="WAG566" s="501"/>
      <c r="WAH566" s="501"/>
      <c r="WAI566" s="501"/>
      <c r="WAJ566" s="501"/>
      <c r="WAK566" s="501"/>
      <c r="WAL566" s="501"/>
      <c r="WAM566" s="501"/>
      <c r="WAN566" s="501"/>
      <c r="WAO566" s="501"/>
      <c r="WAP566" s="501"/>
      <c r="WAQ566" s="501"/>
      <c r="WAR566" s="501"/>
      <c r="WAS566" s="501"/>
      <c r="WAT566" s="501"/>
      <c r="WAU566" s="501"/>
      <c r="WAV566" s="501"/>
      <c r="WAW566" s="501"/>
      <c r="WAX566" s="501"/>
      <c r="WAY566" s="501"/>
      <c r="WAZ566" s="501"/>
      <c r="WBA566" s="501"/>
      <c r="WBB566" s="501"/>
      <c r="WBC566" s="501"/>
      <c r="WBD566" s="501"/>
      <c r="WBE566" s="501"/>
      <c r="WBF566" s="501"/>
      <c r="WBG566" s="501"/>
      <c r="WBH566" s="501"/>
      <c r="WBI566" s="501"/>
      <c r="WBJ566" s="501"/>
      <c r="WBK566" s="501"/>
      <c r="WBL566" s="501"/>
      <c r="WBM566" s="501"/>
      <c r="WBN566" s="501"/>
      <c r="WBO566" s="501"/>
      <c r="WBP566" s="501"/>
      <c r="WBQ566" s="501"/>
      <c r="WBR566" s="501"/>
      <c r="WBS566" s="501"/>
      <c r="WBT566" s="501"/>
      <c r="WBU566" s="501"/>
      <c r="WBV566" s="501"/>
      <c r="WBW566" s="501"/>
      <c r="WBX566" s="501"/>
      <c r="WBY566" s="501"/>
      <c r="WBZ566" s="501"/>
      <c r="WCA566" s="501"/>
      <c r="WCB566" s="501"/>
      <c r="WCC566" s="501"/>
      <c r="WCD566" s="501"/>
      <c r="WCE566" s="501"/>
      <c r="WCF566" s="501"/>
      <c r="WCG566" s="501"/>
      <c r="WCH566" s="501"/>
      <c r="WCI566" s="501"/>
      <c r="WCJ566" s="501"/>
      <c r="WCK566" s="501"/>
      <c r="WCL566" s="501"/>
      <c r="WCM566" s="501"/>
      <c r="WCN566" s="501"/>
      <c r="WCO566" s="501"/>
      <c r="WCP566" s="501"/>
      <c r="WCQ566" s="501"/>
      <c r="WCR566" s="501"/>
      <c r="WCS566" s="501"/>
      <c r="WCT566" s="501"/>
      <c r="WCU566" s="501"/>
      <c r="WCV566" s="501"/>
      <c r="WCW566" s="501"/>
      <c r="WCX566" s="501"/>
      <c r="WCY566" s="501"/>
      <c r="WCZ566" s="501"/>
      <c r="WDA566" s="501"/>
      <c r="WDB566" s="501"/>
      <c r="WDC566" s="501"/>
      <c r="WDD566" s="501"/>
      <c r="WDE566" s="501"/>
      <c r="WDF566" s="501"/>
      <c r="WDG566" s="501"/>
      <c r="WDH566" s="501"/>
      <c r="WDI566" s="501"/>
      <c r="WDJ566" s="501"/>
      <c r="WDK566" s="501"/>
      <c r="WDL566" s="501"/>
      <c r="WDM566" s="501"/>
      <c r="WDN566" s="501"/>
      <c r="WDO566" s="501"/>
      <c r="WDP566" s="501"/>
      <c r="WDQ566" s="501"/>
      <c r="WDR566" s="501"/>
      <c r="WDS566" s="501"/>
      <c r="WDT566" s="501"/>
      <c r="WDU566" s="501"/>
      <c r="WDV566" s="501"/>
      <c r="WDW566" s="501"/>
      <c r="WDX566" s="501"/>
      <c r="WDY566" s="501"/>
      <c r="WDZ566" s="501"/>
      <c r="WEA566" s="501"/>
      <c r="WEB566" s="501"/>
      <c r="WEC566" s="501"/>
      <c r="WED566" s="501"/>
      <c r="WEE566" s="501"/>
      <c r="WEF566" s="501"/>
      <c r="WEG566" s="501"/>
      <c r="WEH566" s="501"/>
      <c r="WEI566" s="501"/>
      <c r="WEJ566" s="501"/>
      <c r="WEK566" s="501"/>
      <c r="WEL566" s="501"/>
      <c r="WEM566" s="501"/>
      <c r="WEN566" s="501"/>
      <c r="WEO566" s="501"/>
      <c r="WEP566" s="501"/>
      <c r="WEQ566" s="501"/>
      <c r="WER566" s="501"/>
      <c r="WES566" s="501"/>
      <c r="WET566" s="501"/>
      <c r="WEU566" s="501"/>
      <c r="WEV566" s="501"/>
      <c r="WEW566" s="501"/>
      <c r="WEX566" s="501"/>
      <c r="WEY566" s="501"/>
      <c r="WEZ566" s="501"/>
      <c r="WFA566" s="501"/>
      <c r="WFB566" s="501"/>
      <c r="WFC566" s="501"/>
      <c r="WFD566" s="501"/>
      <c r="WFE566" s="501"/>
      <c r="WFF566" s="501"/>
      <c r="WFG566" s="501"/>
      <c r="WFH566" s="501"/>
      <c r="WFI566" s="501"/>
      <c r="WFJ566" s="501"/>
      <c r="WFK566" s="501"/>
      <c r="WFL566" s="501"/>
      <c r="WFM566" s="501"/>
      <c r="WFN566" s="501"/>
      <c r="WFO566" s="501"/>
      <c r="WFP566" s="501"/>
      <c r="WFQ566" s="501"/>
      <c r="WFR566" s="501"/>
      <c r="WFS566" s="501"/>
      <c r="WFT566" s="501"/>
      <c r="WFU566" s="501"/>
      <c r="WFV566" s="501"/>
      <c r="WFW566" s="501"/>
      <c r="WFX566" s="501"/>
      <c r="WFY566" s="501"/>
      <c r="WFZ566" s="501"/>
      <c r="WGA566" s="501"/>
      <c r="WGB566" s="501"/>
      <c r="WGC566" s="501"/>
      <c r="WGD566" s="501"/>
      <c r="WGE566" s="501"/>
      <c r="WGF566" s="501"/>
      <c r="WGG566" s="501"/>
      <c r="WGH566" s="501"/>
      <c r="WGI566" s="501"/>
      <c r="WGJ566" s="501"/>
      <c r="WGK566" s="501"/>
      <c r="WGL566" s="501"/>
      <c r="WGM566" s="501"/>
      <c r="WGN566" s="501"/>
      <c r="WGO566" s="501"/>
      <c r="WGP566" s="501"/>
      <c r="WGQ566" s="501"/>
      <c r="WGR566" s="501"/>
      <c r="WGS566" s="501"/>
      <c r="WGT566" s="501"/>
      <c r="WGU566" s="501"/>
      <c r="WGV566" s="501"/>
      <c r="WGW566" s="501"/>
      <c r="WGX566" s="501"/>
      <c r="WGY566" s="501"/>
      <c r="WGZ566" s="501"/>
      <c r="WHA566" s="501"/>
      <c r="WHB566" s="501"/>
      <c r="WHC566" s="501"/>
      <c r="WHD566" s="501"/>
      <c r="WHE566" s="501"/>
      <c r="WHF566" s="501"/>
      <c r="WHG566" s="501"/>
      <c r="WHH566" s="501"/>
      <c r="WHI566" s="501"/>
      <c r="WHJ566" s="501"/>
      <c r="WHK566" s="501"/>
      <c r="WHL566" s="501"/>
      <c r="WHM566" s="501"/>
      <c r="WHN566" s="501"/>
      <c r="WHO566" s="501"/>
      <c r="WHP566" s="501"/>
      <c r="WHQ566" s="501"/>
      <c r="WHR566" s="501"/>
      <c r="WHS566" s="501"/>
      <c r="WHT566" s="501"/>
      <c r="WHU566" s="501"/>
      <c r="WHV566" s="501"/>
      <c r="WHW566" s="501"/>
      <c r="WHX566" s="501"/>
      <c r="WHY566" s="501"/>
      <c r="WHZ566" s="501"/>
      <c r="WIA566" s="501"/>
      <c r="WIB566" s="501"/>
      <c r="WIC566" s="501"/>
      <c r="WID566" s="501"/>
      <c r="WIE566" s="501"/>
      <c r="WIF566" s="501"/>
      <c r="WIG566" s="501"/>
      <c r="WIH566" s="501"/>
      <c r="WII566" s="501"/>
      <c r="WIJ566" s="501"/>
      <c r="WIK566" s="501"/>
      <c r="WIL566" s="501"/>
      <c r="WIM566" s="501"/>
      <c r="WIN566" s="501"/>
      <c r="WIO566" s="501"/>
      <c r="WIP566" s="501"/>
      <c r="WIQ566" s="501"/>
      <c r="WIR566" s="501"/>
      <c r="WIS566" s="501"/>
      <c r="WIT566" s="501"/>
      <c r="WIU566" s="501"/>
      <c r="WIV566" s="501"/>
      <c r="WIW566" s="501"/>
      <c r="WIX566" s="501"/>
      <c r="WIY566" s="501"/>
      <c r="WIZ566" s="501"/>
      <c r="WJA566" s="501"/>
      <c r="WJB566" s="501"/>
      <c r="WJC566" s="501"/>
      <c r="WJD566" s="501"/>
      <c r="WJE566" s="501"/>
      <c r="WJF566" s="501"/>
      <c r="WJG566" s="501"/>
      <c r="WJH566" s="501"/>
      <c r="WJI566" s="501"/>
      <c r="WJJ566" s="501"/>
      <c r="WJK566" s="501"/>
      <c r="WJL566" s="501"/>
      <c r="WJM566" s="501"/>
      <c r="WJN566" s="501"/>
      <c r="WJO566" s="501"/>
      <c r="WJP566" s="501"/>
      <c r="WJQ566" s="501"/>
      <c r="WJR566" s="501"/>
      <c r="WJS566" s="501"/>
      <c r="WJT566" s="501"/>
      <c r="WJU566" s="501"/>
      <c r="WJV566" s="501"/>
      <c r="WJW566" s="501"/>
      <c r="WJX566" s="501"/>
      <c r="WJY566" s="501"/>
      <c r="WJZ566" s="501"/>
      <c r="WKA566" s="501"/>
      <c r="WKB566" s="501"/>
      <c r="WKC566" s="501"/>
      <c r="WKD566" s="501"/>
      <c r="WKE566" s="501"/>
      <c r="WKF566" s="501"/>
      <c r="WKG566" s="501"/>
      <c r="WKH566" s="501"/>
      <c r="WKI566" s="501"/>
      <c r="WKJ566" s="501"/>
      <c r="WKK566" s="501"/>
      <c r="WKL566" s="501"/>
      <c r="WKM566" s="501"/>
      <c r="WKN566" s="501"/>
      <c r="WKO566" s="501"/>
      <c r="WKP566" s="501"/>
      <c r="WKQ566" s="501"/>
      <c r="WKR566" s="501"/>
      <c r="WKS566" s="501"/>
      <c r="WKT566" s="501"/>
      <c r="WKU566" s="501"/>
      <c r="WKV566" s="501"/>
      <c r="WKW566" s="501"/>
      <c r="WKX566" s="501"/>
      <c r="WKY566" s="501"/>
      <c r="WKZ566" s="501"/>
      <c r="WLA566" s="501"/>
      <c r="WLB566" s="501"/>
      <c r="WLC566" s="501"/>
      <c r="WLD566" s="501"/>
      <c r="WLE566" s="501"/>
      <c r="WLF566" s="501"/>
      <c r="WLG566" s="501"/>
      <c r="WLH566" s="501"/>
      <c r="WLI566" s="501"/>
      <c r="WLJ566" s="501"/>
      <c r="WLK566" s="501"/>
      <c r="WLL566" s="501"/>
      <c r="WLM566" s="501"/>
      <c r="WLN566" s="501"/>
      <c r="WLO566" s="501"/>
      <c r="WLP566" s="501"/>
      <c r="WLQ566" s="501"/>
      <c r="WLR566" s="501"/>
      <c r="WLS566" s="501"/>
      <c r="WLT566" s="501"/>
      <c r="WLU566" s="501"/>
      <c r="WLV566" s="501"/>
      <c r="WLW566" s="501"/>
      <c r="WLX566" s="501"/>
      <c r="WLY566" s="501"/>
      <c r="WLZ566" s="501"/>
      <c r="WMA566" s="501"/>
      <c r="WMB566" s="501"/>
      <c r="WMC566" s="501"/>
      <c r="WMD566" s="501"/>
      <c r="WME566" s="501"/>
      <c r="WMF566" s="501"/>
      <c r="WMG566" s="501"/>
      <c r="WMH566" s="501"/>
      <c r="WMI566" s="501"/>
      <c r="WMJ566" s="501"/>
      <c r="WMK566" s="501"/>
      <c r="WML566" s="501"/>
      <c r="WMM566" s="501"/>
      <c r="WMN566" s="501"/>
      <c r="WMO566" s="501"/>
      <c r="WMP566" s="501"/>
      <c r="WMQ566" s="501"/>
      <c r="WMR566" s="501"/>
      <c r="WMS566" s="501"/>
      <c r="WMT566" s="501"/>
      <c r="WMU566" s="501"/>
      <c r="WMV566" s="501"/>
      <c r="WMW566" s="501"/>
      <c r="WMX566" s="501"/>
      <c r="WMY566" s="501"/>
      <c r="WMZ566" s="501"/>
      <c r="WNA566" s="501"/>
      <c r="WNB566" s="501"/>
      <c r="WNC566" s="501"/>
      <c r="WND566" s="501"/>
      <c r="WNE566" s="501"/>
      <c r="WNF566" s="501"/>
      <c r="WNG566" s="501"/>
      <c r="WNH566" s="501"/>
      <c r="WNI566" s="501"/>
      <c r="WNJ566" s="501"/>
      <c r="WNK566" s="501"/>
      <c r="WNL566" s="501"/>
      <c r="WNM566" s="501"/>
      <c r="WNN566" s="501"/>
      <c r="WNO566" s="501"/>
      <c r="WNP566" s="501"/>
      <c r="WNQ566" s="501"/>
      <c r="WNR566" s="501"/>
      <c r="WNS566" s="501"/>
      <c r="WNT566" s="501"/>
      <c r="WNU566" s="501"/>
      <c r="WNV566" s="501"/>
      <c r="WNW566" s="501"/>
      <c r="WNX566" s="501"/>
      <c r="WNY566" s="501"/>
      <c r="WNZ566" s="501"/>
      <c r="WOA566" s="501"/>
      <c r="WOB566" s="501"/>
      <c r="WOC566" s="501"/>
      <c r="WOD566" s="501"/>
      <c r="WOE566" s="501"/>
      <c r="WOF566" s="501"/>
      <c r="WOG566" s="501"/>
      <c r="WOH566" s="501"/>
      <c r="WOI566" s="501"/>
      <c r="WOJ566" s="501"/>
      <c r="WOK566" s="501"/>
      <c r="WOL566" s="501"/>
      <c r="WOM566" s="501"/>
      <c r="WON566" s="501"/>
      <c r="WOO566" s="501"/>
      <c r="WOP566" s="501"/>
      <c r="WOQ566" s="501"/>
      <c r="WOR566" s="501"/>
      <c r="WOS566" s="501"/>
      <c r="WOT566" s="501"/>
      <c r="WOU566" s="501"/>
      <c r="WOV566" s="501"/>
      <c r="WOW566" s="501"/>
      <c r="WOX566" s="501"/>
      <c r="WOY566" s="501"/>
      <c r="WOZ566" s="501"/>
      <c r="WPA566" s="501"/>
      <c r="WPB566" s="501"/>
      <c r="WPC566" s="501"/>
      <c r="WPD566" s="501"/>
      <c r="WPE566" s="501"/>
      <c r="WPF566" s="501"/>
      <c r="WPG566" s="501"/>
      <c r="WPH566" s="501"/>
      <c r="WPI566" s="501"/>
      <c r="WPJ566" s="501"/>
      <c r="WPK566" s="501"/>
      <c r="WPL566" s="501"/>
      <c r="WPM566" s="501"/>
      <c r="WPN566" s="501"/>
      <c r="WPO566" s="501"/>
      <c r="WPP566" s="501"/>
      <c r="WPQ566" s="501"/>
      <c r="WPR566" s="501"/>
      <c r="WPS566" s="501"/>
      <c r="WPT566" s="501"/>
      <c r="WPU566" s="501"/>
      <c r="WPV566" s="501"/>
      <c r="WPW566" s="501"/>
      <c r="WPX566" s="501"/>
      <c r="WPY566" s="501"/>
      <c r="WPZ566" s="501"/>
      <c r="WQA566" s="501"/>
      <c r="WQB566" s="501"/>
      <c r="WQC566" s="501"/>
      <c r="WQD566" s="501"/>
      <c r="WQE566" s="501"/>
      <c r="WQF566" s="501"/>
      <c r="WQG566" s="501"/>
      <c r="WQH566" s="501"/>
      <c r="WQI566" s="501"/>
      <c r="WQJ566" s="501"/>
      <c r="WQK566" s="501"/>
      <c r="WQL566" s="501"/>
      <c r="WQM566" s="501"/>
      <c r="WQN566" s="501"/>
      <c r="WQO566" s="501"/>
      <c r="WQP566" s="501"/>
      <c r="WQQ566" s="501"/>
      <c r="WQR566" s="501"/>
      <c r="WQS566" s="501"/>
      <c r="WQT566" s="501"/>
      <c r="WQU566" s="501"/>
      <c r="WQV566" s="501"/>
      <c r="WQW566" s="501"/>
      <c r="WQX566" s="501"/>
      <c r="WQY566" s="501"/>
      <c r="WQZ566" s="501"/>
      <c r="WRA566" s="501"/>
      <c r="WRB566" s="501"/>
      <c r="WRC566" s="501"/>
      <c r="WRD566" s="501"/>
      <c r="WRE566" s="501"/>
      <c r="WRF566" s="501"/>
      <c r="WRG566" s="501"/>
      <c r="WRH566" s="501"/>
      <c r="WRI566" s="501"/>
      <c r="WRJ566" s="501"/>
      <c r="WRK566" s="501"/>
      <c r="WRL566" s="501"/>
      <c r="WRM566" s="501"/>
      <c r="WRN566" s="501"/>
      <c r="WRO566" s="501"/>
      <c r="WRP566" s="501"/>
      <c r="WRQ566" s="501"/>
      <c r="WRR566" s="501"/>
      <c r="WRS566" s="501"/>
      <c r="WRT566" s="501"/>
      <c r="WRU566" s="501"/>
      <c r="WRV566" s="501"/>
      <c r="WRW566" s="501"/>
      <c r="WRX566" s="501"/>
      <c r="WRY566" s="501"/>
      <c r="WRZ566" s="501"/>
      <c r="WSA566" s="501"/>
      <c r="WSB566" s="501"/>
      <c r="WSC566" s="501"/>
      <c r="WSD566" s="501"/>
      <c r="WSE566" s="501"/>
      <c r="WSF566" s="501"/>
      <c r="WSG566" s="501"/>
      <c r="WSH566" s="501"/>
      <c r="WSI566" s="501"/>
      <c r="WSJ566" s="501"/>
      <c r="WSK566" s="501"/>
      <c r="WSL566" s="501"/>
      <c r="WSM566" s="501"/>
      <c r="WSN566" s="501"/>
      <c r="WSO566" s="501"/>
      <c r="WSP566" s="501"/>
      <c r="WSQ566" s="501"/>
      <c r="WSR566" s="501"/>
      <c r="WSS566" s="501"/>
      <c r="WST566" s="501"/>
      <c r="WSU566" s="501"/>
      <c r="WSV566" s="501"/>
      <c r="WSW566" s="501"/>
      <c r="WSX566" s="501"/>
      <c r="WSY566" s="501"/>
      <c r="WSZ566" s="501"/>
      <c r="WTA566" s="501"/>
      <c r="WTB566" s="501"/>
      <c r="WTC566" s="501"/>
      <c r="WTD566" s="501"/>
      <c r="WTE566" s="501"/>
      <c r="WTF566" s="501"/>
      <c r="WTG566" s="501"/>
      <c r="WTH566" s="501"/>
      <c r="WTI566" s="501"/>
      <c r="WTJ566" s="501"/>
      <c r="WTK566" s="501"/>
      <c r="WTL566" s="501"/>
      <c r="WTM566" s="501"/>
      <c r="WTN566" s="501"/>
      <c r="WTO566" s="501"/>
      <c r="WTP566" s="501"/>
      <c r="WTQ566" s="501"/>
      <c r="WTR566" s="501"/>
      <c r="WTS566" s="501"/>
      <c r="WTT566" s="501"/>
      <c r="WTU566" s="501"/>
      <c r="WTV566" s="501"/>
      <c r="WTW566" s="501"/>
      <c r="WTX566" s="501"/>
      <c r="WTY566" s="501"/>
      <c r="WTZ566" s="501"/>
      <c r="WUA566" s="501"/>
      <c r="WUB566" s="501"/>
      <c r="WUC566" s="501"/>
      <c r="WUD566" s="501"/>
      <c r="WUE566" s="501"/>
      <c r="WUF566" s="501"/>
      <c r="WUG566" s="501"/>
      <c r="WUH566" s="501"/>
      <c r="WUI566" s="501"/>
      <c r="WUJ566" s="501"/>
      <c r="WUK566" s="501"/>
      <c r="WUL566" s="501"/>
      <c r="WUM566" s="501"/>
      <c r="WUN566" s="501"/>
      <c r="WUO566" s="501"/>
      <c r="WUP566" s="501"/>
      <c r="WUQ566" s="501"/>
      <c r="WUR566" s="501"/>
      <c r="WUS566" s="501"/>
      <c r="WUT566" s="501"/>
      <c r="WUU566" s="501"/>
      <c r="WUV566" s="501"/>
      <c r="WUW566" s="501"/>
      <c r="WUX566" s="501"/>
      <c r="WUY566" s="501"/>
      <c r="WUZ566" s="501"/>
      <c r="WVA566" s="501"/>
      <c r="WVB566" s="501"/>
      <c r="WVC566" s="501"/>
      <c r="WVD566" s="501"/>
      <c r="WVE566" s="501"/>
      <c r="WVF566" s="501"/>
      <c r="WVG566" s="501"/>
      <c r="WVH566" s="501"/>
      <c r="WVI566" s="501"/>
      <c r="WVJ566" s="501"/>
      <c r="WVK566" s="501"/>
      <c r="WVL566" s="501"/>
      <c r="WVM566" s="501"/>
      <c r="WVN566" s="501"/>
      <c r="WVO566" s="501"/>
      <c r="WVP566" s="501"/>
      <c r="WVQ566" s="501"/>
      <c r="WVR566" s="501"/>
      <c r="WVS566" s="501"/>
      <c r="WVT566" s="501"/>
      <c r="WVU566" s="501"/>
      <c r="WVV566" s="501"/>
      <c r="WVW566" s="501"/>
      <c r="WVX566" s="501"/>
      <c r="WVY566" s="501"/>
      <c r="WVZ566" s="501"/>
      <c r="WWA566" s="501"/>
      <c r="WWB566" s="501"/>
      <c r="WWC566" s="501"/>
      <c r="WWD566" s="501"/>
      <c r="WWE566" s="501"/>
      <c r="WWF566" s="501"/>
      <c r="WWG566" s="501"/>
      <c r="WWH566" s="501"/>
      <c r="WWI566" s="501"/>
      <c r="WWJ566" s="501"/>
      <c r="WWK566" s="501"/>
      <c r="WWL566" s="501"/>
      <c r="WWM566" s="501"/>
      <c r="WWN566" s="501"/>
      <c r="WWO566" s="501"/>
      <c r="WWP566" s="501"/>
      <c r="WWQ566" s="501"/>
      <c r="WWR566" s="501"/>
      <c r="WWS566" s="501"/>
      <c r="WWT566" s="501"/>
      <c r="WWU566" s="501"/>
      <c r="WWV566" s="501"/>
      <c r="WWW566" s="501"/>
      <c r="WWX566" s="501"/>
      <c r="WWY566" s="501"/>
      <c r="WWZ566" s="501"/>
      <c r="WXA566" s="501"/>
      <c r="WXB566" s="501"/>
      <c r="WXC566" s="501"/>
      <c r="WXD566" s="501"/>
      <c r="WXE566" s="501"/>
      <c r="WXF566" s="501"/>
      <c r="WXG566" s="501"/>
      <c r="WXH566" s="501"/>
      <c r="WXI566" s="501"/>
      <c r="WXJ566" s="501"/>
      <c r="WXK566" s="501"/>
      <c r="WXL566" s="501"/>
      <c r="WXM566" s="501"/>
      <c r="WXN566" s="501"/>
      <c r="WXO566" s="501"/>
      <c r="WXP566" s="501"/>
      <c r="WXQ566" s="501"/>
      <c r="WXR566" s="501"/>
      <c r="WXS566" s="501"/>
      <c r="WXT566" s="501"/>
      <c r="WXU566" s="501"/>
      <c r="WXV566" s="501"/>
      <c r="WXW566" s="501"/>
      <c r="WXX566" s="501"/>
      <c r="WXY566" s="501"/>
      <c r="WXZ566" s="501"/>
      <c r="WYA566" s="501"/>
      <c r="WYB566" s="501"/>
      <c r="WYC566" s="501"/>
      <c r="WYD566" s="501"/>
      <c r="WYE566" s="501"/>
      <c r="WYF566" s="501"/>
      <c r="WYG566" s="501"/>
      <c r="WYH566" s="501"/>
      <c r="WYI566" s="501"/>
      <c r="WYJ566" s="501"/>
      <c r="WYK566" s="501"/>
      <c r="WYL566" s="501"/>
      <c r="WYM566" s="501"/>
      <c r="WYN566" s="501"/>
      <c r="WYO566" s="501"/>
      <c r="WYP566" s="501"/>
      <c r="WYQ566" s="501"/>
      <c r="WYR566" s="501"/>
      <c r="WYS566" s="501"/>
      <c r="WYT566" s="501"/>
      <c r="WYU566" s="501"/>
      <c r="WYV566" s="501"/>
      <c r="WYW566" s="501"/>
      <c r="WYX566" s="501"/>
      <c r="WYY566" s="501"/>
      <c r="WYZ566" s="501"/>
      <c r="WZA566" s="501"/>
      <c r="WZB566" s="501"/>
      <c r="WZC566" s="501"/>
      <c r="WZD566" s="501"/>
      <c r="WZE566" s="501"/>
      <c r="WZF566" s="501"/>
      <c r="WZG566" s="501"/>
      <c r="WZH566" s="501"/>
      <c r="WZI566" s="501"/>
      <c r="WZJ566" s="501"/>
      <c r="WZK566" s="501"/>
      <c r="WZL566" s="501"/>
      <c r="WZM566" s="501"/>
      <c r="WZN566" s="501"/>
      <c r="WZO566" s="501"/>
      <c r="WZP566" s="501"/>
      <c r="WZQ566" s="501"/>
      <c r="WZR566" s="501"/>
      <c r="WZS566" s="501"/>
      <c r="WZT566" s="501"/>
      <c r="WZU566" s="501"/>
      <c r="WZV566" s="501"/>
      <c r="WZW566" s="501"/>
      <c r="WZX566" s="501"/>
      <c r="WZY566" s="501"/>
      <c r="WZZ566" s="501"/>
      <c r="XAA566" s="501"/>
      <c r="XAB566" s="501"/>
      <c r="XAC566" s="501"/>
      <c r="XAD566" s="501"/>
      <c r="XAE566" s="501"/>
      <c r="XAF566" s="501"/>
      <c r="XAG566" s="501"/>
      <c r="XAH566" s="501"/>
      <c r="XAI566" s="501"/>
      <c r="XAJ566" s="501"/>
      <c r="XAK566" s="501"/>
      <c r="XAL566" s="501"/>
      <c r="XAM566" s="501"/>
      <c r="XAN566" s="501"/>
      <c r="XAO566" s="501"/>
      <c r="XAP566" s="501"/>
      <c r="XAQ566" s="501"/>
      <c r="XAR566" s="501"/>
      <c r="XAS566" s="501"/>
      <c r="XAT566" s="501"/>
      <c r="XAU566" s="501"/>
      <c r="XAV566" s="501"/>
      <c r="XAW566" s="501"/>
      <c r="XAX566" s="501"/>
      <c r="XAY566" s="501"/>
      <c r="XAZ566" s="501"/>
      <c r="XBA566" s="501"/>
      <c r="XBB566" s="501"/>
      <c r="XBC566" s="501"/>
      <c r="XBD566" s="501"/>
      <c r="XBE566" s="501"/>
      <c r="XBF566" s="501"/>
      <c r="XBG566" s="501"/>
      <c r="XBH566" s="501"/>
      <c r="XBI566" s="501"/>
      <c r="XBJ566" s="501"/>
      <c r="XBK566" s="501"/>
      <c r="XBL566" s="501"/>
      <c r="XBM566" s="501"/>
      <c r="XBN566" s="501"/>
      <c r="XBO566" s="501"/>
      <c r="XBP566" s="501"/>
      <c r="XBQ566" s="501"/>
      <c r="XBR566" s="501"/>
      <c r="XBS566" s="501"/>
      <c r="XBT566" s="501"/>
      <c r="XBU566" s="501"/>
      <c r="XBV566" s="501"/>
      <c r="XBW566" s="501"/>
      <c r="XBX566" s="501"/>
      <c r="XBY566" s="501"/>
      <c r="XBZ566" s="501"/>
      <c r="XCA566" s="501"/>
      <c r="XCB566" s="501"/>
      <c r="XCC566" s="501"/>
      <c r="XCD566" s="501"/>
      <c r="XCE566" s="501"/>
    </row>
    <row r="567" spans="1:16307" s="788" customFormat="1" ht="24.75" x14ac:dyDescent="0.6">
      <c r="A567" s="786">
        <v>36</v>
      </c>
      <c r="B567" s="787" t="s">
        <v>617</v>
      </c>
      <c r="C567" s="796"/>
      <c r="D567" s="796"/>
      <c r="E567" s="796"/>
      <c r="F567" s="796"/>
      <c r="G567" s="796"/>
      <c r="H567" s="796"/>
      <c r="I567" s="796"/>
      <c r="J567" s="796"/>
      <c r="K567" s="796"/>
      <c r="L567" s="796"/>
      <c r="M567" s="796"/>
      <c r="N567" s="796"/>
      <c r="O567" s="796"/>
      <c r="R567" s="794"/>
      <c r="S567" s="795"/>
      <c r="T567" s="792"/>
      <c r="U567" s="797"/>
      <c r="V567" s="795"/>
    </row>
    <row r="568" spans="1:16307" s="345" customFormat="1" x14ac:dyDescent="0.2">
      <c r="A568" s="646" t="s">
        <v>808</v>
      </c>
      <c r="B568" s="625">
        <v>41464</v>
      </c>
      <c r="C568" s="625">
        <v>41495</v>
      </c>
      <c r="D568" s="625">
        <v>41526</v>
      </c>
      <c r="E568" s="625">
        <v>41556</v>
      </c>
      <c r="F568" s="625">
        <v>41587</v>
      </c>
      <c r="G568" s="625">
        <v>41617</v>
      </c>
      <c r="H568" s="625">
        <v>41648</v>
      </c>
      <c r="I568" s="625">
        <v>41679</v>
      </c>
      <c r="J568" s="625">
        <v>41707</v>
      </c>
      <c r="K568" s="625">
        <v>41738</v>
      </c>
      <c r="L568" s="625">
        <v>41768</v>
      </c>
      <c r="M568" s="625">
        <v>41799</v>
      </c>
      <c r="N568" s="666" t="s">
        <v>752</v>
      </c>
    </row>
    <row r="569" spans="1:16307" s="345" customFormat="1" x14ac:dyDescent="0.2">
      <c r="A569" s="345" t="s">
        <v>753</v>
      </c>
      <c r="B569"/>
    </row>
    <row r="570" spans="1:16307" s="345" customFormat="1" x14ac:dyDescent="0.2">
      <c r="A570" s="667" t="s">
        <v>809</v>
      </c>
      <c r="B570"/>
      <c r="C570" s="633">
        <v>0</v>
      </c>
      <c r="D570" s="668">
        <v>271000</v>
      </c>
      <c r="E570" s="668">
        <v>257600</v>
      </c>
      <c r="F570" s="668">
        <v>248800</v>
      </c>
      <c r="G570" s="668">
        <v>232400</v>
      </c>
      <c r="H570" s="668">
        <v>217000</v>
      </c>
      <c r="I570" s="668">
        <v>188400</v>
      </c>
      <c r="J570" s="668">
        <v>237000</v>
      </c>
      <c r="K570" s="668">
        <v>238000</v>
      </c>
      <c r="L570" s="668">
        <v>322800</v>
      </c>
      <c r="M570" s="668">
        <v>334000</v>
      </c>
      <c r="N570" s="628">
        <f>SUM(B570:M570)</f>
        <v>2547000</v>
      </c>
    </row>
    <row r="571" spans="1:16307" s="345" customFormat="1" x14ac:dyDescent="0.2">
      <c r="A571" s="667" t="s">
        <v>810</v>
      </c>
      <c r="B571"/>
      <c r="C571" s="633">
        <v>0</v>
      </c>
      <c r="D571" s="633">
        <v>0</v>
      </c>
      <c r="E571" s="633">
        <v>0</v>
      </c>
      <c r="F571" s="633">
        <v>0</v>
      </c>
      <c r="G571" s="633">
        <v>0</v>
      </c>
      <c r="H571" s="633">
        <v>0</v>
      </c>
      <c r="I571" s="633">
        <v>0</v>
      </c>
      <c r="J571" s="633">
        <v>0</v>
      </c>
      <c r="K571" s="633">
        <v>0</v>
      </c>
      <c r="L571" s="633">
        <v>578</v>
      </c>
      <c r="M571" s="633">
        <v>702</v>
      </c>
      <c r="N571" s="632">
        <f>SUM(B571:M571)</f>
        <v>1280</v>
      </c>
    </row>
    <row r="572" spans="1:16307" s="345" customFormat="1" x14ac:dyDescent="0.2">
      <c r="A572" s="667" t="s">
        <v>759</v>
      </c>
      <c r="B572" s="669"/>
      <c r="C572" s="670">
        <v>17.510000000000002</v>
      </c>
      <c r="D572" s="670">
        <v>23490.26</v>
      </c>
      <c r="E572" s="670">
        <v>21781.91</v>
      </c>
      <c r="F572" s="670">
        <v>21124.71</v>
      </c>
      <c r="G572" s="670">
        <v>19507.650000000001</v>
      </c>
      <c r="H572" s="670">
        <v>18410.8</v>
      </c>
      <c r="I572" s="670">
        <v>16373.78</v>
      </c>
      <c r="J572" s="670">
        <v>19835.29</v>
      </c>
      <c r="K572" s="670">
        <v>19906.509999999998</v>
      </c>
      <c r="L572" s="670">
        <v>26005.39</v>
      </c>
      <c r="M572" s="670">
        <v>25641.94</v>
      </c>
      <c r="N572" s="671">
        <f>SUM(B572:M572)</f>
        <v>212095.75</v>
      </c>
    </row>
    <row r="573" spans="1:16307" s="345" customFormat="1" x14ac:dyDescent="0.2">
      <c r="B573"/>
    </row>
    <row r="574" spans="1:16307" s="345" customFormat="1" x14ac:dyDescent="0.2">
      <c r="A574" s="345" t="s">
        <v>760</v>
      </c>
      <c r="B574"/>
    </row>
    <row r="575" spans="1:16307" s="345" customFormat="1" x14ac:dyDescent="0.2">
      <c r="A575" s="345" t="s">
        <v>811</v>
      </c>
      <c r="B575"/>
      <c r="C575" s="637">
        <v>705</v>
      </c>
      <c r="D575" s="637">
        <v>423.4</v>
      </c>
      <c r="E575" s="637">
        <v>510.3</v>
      </c>
      <c r="F575" s="637">
        <v>755.6</v>
      </c>
      <c r="G575" s="637">
        <v>1098.5999999999999</v>
      </c>
      <c r="H575" s="637">
        <v>1300.4000000000001</v>
      </c>
      <c r="I575" s="637">
        <v>1061.5999999999999</v>
      </c>
      <c r="J575" s="637">
        <v>383.5</v>
      </c>
      <c r="K575" s="637">
        <v>713</v>
      </c>
      <c r="L575" s="637">
        <v>697.4</v>
      </c>
      <c r="M575" s="637">
        <v>642.9</v>
      </c>
      <c r="N575" s="632">
        <f>SUM(B575:M575)</f>
        <v>8291.6999999999989</v>
      </c>
    </row>
    <row r="576" spans="1:16307" s="345" customFormat="1" x14ac:dyDescent="0.2">
      <c r="A576" s="345" t="s">
        <v>759</v>
      </c>
      <c r="B576" s="669"/>
      <c r="C576" s="671">
        <v>6474.16</v>
      </c>
      <c r="D576" s="671">
        <v>3897.67</v>
      </c>
      <c r="E576" s="671">
        <v>4973.8100000000004</v>
      </c>
      <c r="F576" s="671">
        <v>7089.77</v>
      </c>
      <c r="G576" s="671">
        <v>10403.16</v>
      </c>
      <c r="H576" s="671">
        <v>12397.04</v>
      </c>
      <c r="I576" s="671">
        <v>9757.84</v>
      </c>
      <c r="J576" s="671">
        <v>7047.09</v>
      </c>
      <c r="K576" s="671">
        <v>6044.15</v>
      </c>
      <c r="L576" s="671">
        <v>6028.34</v>
      </c>
      <c r="M576" s="671">
        <v>5710.61</v>
      </c>
      <c r="N576" s="671">
        <f>SUM(B576:M576)</f>
        <v>79823.639999999985</v>
      </c>
    </row>
    <row r="577" spans="1:14" s="345" customFormat="1" x14ac:dyDescent="0.2">
      <c r="B577"/>
    </row>
    <row r="578" spans="1:14" s="345" customFormat="1" x14ac:dyDescent="0.2">
      <c r="A578" s="345" t="s">
        <v>763</v>
      </c>
      <c r="B578"/>
    </row>
    <row r="579" spans="1:14" s="345" customFormat="1" x14ac:dyDescent="0.2">
      <c r="A579" s="345" t="s">
        <v>754</v>
      </c>
      <c r="B579"/>
      <c r="C579" s="627">
        <v>0</v>
      </c>
      <c r="D579" s="627">
        <v>0</v>
      </c>
      <c r="E579" s="627">
        <v>0</v>
      </c>
      <c r="F579" s="627">
        <v>0</v>
      </c>
      <c r="G579" s="627">
        <v>0</v>
      </c>
      <c r="H579" s="627">
        <v>0</v>
      </c>
      <c r="I579" s="627">
        <v>0</v>
      </c>
      <c r="J579" s="627">
        <v>0</v>
      </c>
      <c r="K579" s="627">
        <v>0</v>
      </c>
      <c r="L579" s="627">
        <v>0</v>
      </c>
      <c r="M579" s="627">
        <v>0</v>
      </c>
    </row>
    <row r="580" spans="1:14" s="345" customFormat="1" x14ac:dyDescent="0.2">
      <c r="A580" s="345" t="s">
        <v>755</v>
      </c>
      <c r="B580"/>
      <c r="C580" s="627">
        <v>0</v>
      </c>
      <c r="D580" s="627">
        <v>0</v>
      </c>
      <c r="E580" s="627">
        <v>0</v>
      </c>
      <c r="F580" s="627">
        <v>0</v>
      </c>
      <c r="G580" s="627">
        <v>0</v>
      </c>
      <c r="H580" s="627">
        <v>0</v>
      </c>
      <c r="I580" s="627">
        <v>0</v>
      </c>
      <c r="J580" s="627">
        <v>0</v>
      </c>
      <c r="K580" s="627">
        <v>0</v>
      </c>
      <c r="L580" s="627">
        <v>0</v>
      </c>
      <c r="M580" s="627">
        <v>0</v>
      </c>
    </row>
    <row r="581" spans="1:14" s="345" customFormat="1" x14ac:dyDescent="0.2">
      <c r="A581" s="345" t="s">
        <v>812</v>
      </c>
      <c r="B581"/>
      <c r="C581" s="627">
        <v>0</v>
      </c>
      <c r="D581" s="627">
        <v>0</v>
      </c>
      <c r="E581" s="627">
        <v>0</v>
      </c>
      <c r="F581" s="627">
        <v>0</v>
      </c>
      <c r="G581" s="627">
        <v>0</v>
      </c>
      <c r="H581" s="627">
        <v>0</v>
      </c>
      <c r="I581" s="627">
        <v>0</v>
      </c>
      <c r="J581" s="627">
        <v>0</v>
      </c>
      <c r="K581" s="627">
        <v>0</v>
      </c>
      <c r="L581" s="627">
        <v>0</v>
      </c>
      <c r="M581" s="627">
        <v>0</v>
      </c>
      <c r="N581" s="632">
        <f>SUM(B581:M581)</f>
        <v>0</v>
      </c>
    </row>
    <row r="582" spans="1:14" s="345" customFormat="1" x14ac:dyDescent="0.2">
      <c r="A582" s="345" t="s">
        <v>765</v>
      </c>
      <c r="B582"/>
      <c r="C582" s="636">
        <v>3.7000000000000002E-3</v>
      </c>
      <c r="D582" s="636">
        <v>3.7000000000000002E-3</v>
      </c>
      <c r="E582" s="636">
        <v>3.5999999999999999E-3</v>
      </c>
      <c r="F582" s="636">
        <v>3.5999999999999999E-3</v>
      </c>
      <c r="G582" s="636">
        <v>3.7000000000000002E-3</v>
      </c>
      <c r="H582" s="636">
        <v>3.7000000000000002E-3</v>
      </c>
      <c r="I582" s="636">
        <v>3.8E-3</v>
      </c>
      <c r="J582" s="636">
        <v>3.8E-3</v>
      </c>
      <c r="K582" s="636">
        <v>3.7000000000000002E-3</v>
      </c>
      <c r="L582" s="636">
        <v>3.7000000000000002E-3</v>
      </c>
      <c r="M582" s="636">
        <v>3.8999999999999998E-3</v>
      </c>
    </row>
    <row r="583" spans="1:14" s="345" customFormat="1" x14ac:dyDescent="0.2">
      <c r="A583" s="345" t="s">
        <v>759</v>
      </c>
      <c r="B583" s="669"/>
      <c r="C583" s="652">
        <v>0</v>
      </c>
      <c r="D583" s="652">
        <v>0</v>
      </c>
      <c r="E583" s="652">
        <v>0</v>
      </c>
      <c r="F583" s="652">
        <v>0</v>
      </c>
      <c r="G583" s="652">
        <v>0</v>
      </c>
      <c r="H583" s="652">
        <v>0</v>
      </c>
      <c r="I583" s="652">
        <v>0</v>
      </c>
      <c r="J583" s="652">
        <v>0</v>
      </c>
      <c r="K583" s="652">
        <v>0</v>
      </c>
      <c r="L583" s="652">
        <v>0</v>
      </c>
      <c r="M583" s="652">
        <v>0</v>
      </c>
      <c r="N583" s="671">
        <f>SUM(B583:M583)</f>
        <v>0</v>
      </c>
    </row>
    <row r="584" spans="1:14" s="345" customFormat="1" x14ac:dyDescent="0.2">
      <c r="B584"/>
    </row>
    <row r="585" spans="1:14" s="345" customFormat="1" x14ac:dyDescent="0.2">
      <c r="A585" s="345" t="s">
        <v>766</v>
      </c>
      <c r="B585"/>
    </row>
    <row r="586" spans="1:14" s="345" customFormat="1" x14ac:dyDescent="0.2">
      <c r="A586" s="345" t="s">
        <v>765</v>
      </c>
      <c r="B586"/>
      <c r="C586" s="636">
        <v>5.0000000000000001E-3</v>
      </c>
      <c r="D586" s="636">
        <v>5.0000000000000001E-3</v>
      </c>
      <c r="E586" s="636">
        <v>4.7000000000000002E-3</v>
      </c>
      <c r="F586" s="636">
        <v>4.7000000000000002E-3</v>
      </c>
      <c r="G586" s="636">
        <v>4.4999999999999997E-3</v>
      </c>
      <c r="H586" s="636">
        <v>4.4999999999999997E-3</v>
      </c>
      <c r="I586" s="636">
        <v>4.3E-3</v>
      </c>
      <c r="J586" s="636">
        <v>4.3E-3</v>
      </c>
      <c r="K586" s="636">
        <v>4.4000000000000003E-3</v>
      </c>
      <c r="L586" s="636">
        <v>4.4000000000000003E-3</v>
      </c>
      <c r="M586" s="636">
        <v>4.5999999999999999E-3</v>
      </c>
    </row>
    <row r="587" spans="1:14" s="345" customFormat="1" x14ac:dyDescent="0.2">
      <c r="A587" s="345" t="s">
        <v>759</v>
      </c>
      <c r="B587" s="669"/>
      <c r="C587" s="652">
        <v>0</v>
      </c>
      <c r="D587" s="652">
        <v>0</v>
      </c>
      <c r="E587" s="652">
        <v>0</v>
      </c>
      <c r="F587" s="652">
        <v>0</v>
      </c>
      <c r="G587" s="652">
        <v>0</v>
      </c>
      <c r="H587" s="652">
        <v>0</v>
      </c>
      <c r="I587" s="652">
        <v>0</v>
      </c>
      <c r="J587" s="652">
        <v>0</v>
      </c>
      <c r="K587" s="652">
        <v>0</v>
      </c>
      <c r="L587" s="652">
        <v>0</v>
      </c>
      <c r="M587" s="652">
        <v>0</v>
      </c>
      <c r="N587" s="671">
        <f>SUM(B587:M587)</f>
        <v>0</v>
      </c>
    </row>
    <row r="588" spans="1:14" s="345" customFormat="1" x14ac:dyDescent="0.2">
      <c r="B588"/>
    </row>
    <row r="589" spans="1:14" s="345" customFormat="1" x14ac:dyDescent="0.2">
      <c r="B589" s="653" t="s">
        <v>769</v>
      </c>
      <c r="C589" s="653" t="s">
        <v>769</v>
      </c>
      <c r="D589" s="653" t="s">
        <v>769</v>
      </c>
      <c r="E589" s="653" t="s">
        <v>769</v>
      </c>
      <c r="F589" s="653" t="s">
        <v>769</v>
      </c>
      <c r="G589" s="653" t="s">
        <v>769</v>
      </c>
      <c r="H589" s="653" t="s">
        <v>769</v>
      </c>
      <c r="I589" s="653" t="s">
        <v>769</v>
      </c>
      <c r="J589" s="653" t="s">
        <v>769</v>
      </c>
      <c r="K589" s="653" t="s">
        <v>769</v>
      </c>
      <c r="L589" s="653" t="s">
        <v>769</v>
      </c>
      <c r="M589" s="653" t="s">
        <v>769</v>
      </c>
      <c r="N589" s="653" t="s">
        <v>769</v>
      </c>
    </row>
    <row r="590" spans="1:14" s="345" customFormat="1" x14ac:dyDescent="0.2">
      <c r="A590" s="345" t="s">
        <v>775</v>
      </c>
      <c r="B590"/>
      <c r="C590" s="651">
        <v>6491.67</v>
      </c>
      <c r="D590" s="651">
        <v>27387.93</v>
      </c>
      <c r="E590" s="651">
        <v>26755.72</v>
      </c>
      <c r="F590" s="651">
        <v>28214.48</v>
      </c>
      <c r="G590" s="651">
        <v>29910.81</v>
      </c>
      <c r="H590" s="651">
        <v>30807.84</v>
      </c>
      <c r="I590" s="651">
        <v>26131.620000000003</v>
      </c>
      <c r="J590" s="651">
        <v>26882.38</v>
      </c>
      <c r="K590" s="651">
        <v>25950.659999999996</v>
      </c>
      <c r="L590" s="651">
        <v>32033.73</v>
      </c>
      <c r="M590" s="651">
        <v>31352.55</v>
      </c>
      <c r="N590" s="632">
        <f>SUM(B590:M590)</f>
        <v>291919.39</v>
      </c>
    </row>
    <row r="591" spans="1:14" s="345" customFormat="1" x14ac:dyDescent="0.2">
      <c r="B591" s="655" t="s">
        <v>776</v>
      </c>
      <c r="C591" s="655" t="s">
        <v>776</v>
      </c>
      <c r="D591" s="655" t="s">
        <v>776</v>
      </c>
      <c r="E591" s="655" t="s">
        <v>776</v>
      </c>
      <c r="F591" s="655" t="s">
        <v>776</v>
      </c>
      <c r="G591" s="655" t="s">
        <v>776</v>
      </c>
      <c r="H591" s="655" t="s">
        <v>776</v>
      </c>
      <c r="I591" s="655" t="s">
        <v>776</v>
      </c>
      <c r="J591" s="655" t="s">
        <v>776</v>
      </c>
      <c r="K591" s="655" t="s">
        <v>776</v>
      </c>
      <c r="L591" s="655" t="s">
        <v>776</v>
      </c>
      <c r="M591" s="655" t="s">
        <v>776</v>
      </c>
      <c r="N591" s="655" t="s">
        <v>776</v>
      </c>
    </row>
    <row r="592" spans="1:14" s="345" customFormat="1" x14ac:dyDescent="0.2">
      <c r="B592"/>
    </row>
    <row r="593" spans="1:14" s="345" customFormat="1" x14ac:dyDescent="0.2">
      <c r="A593" s="345" t="s">
        <v>813</v>
      </c>
      <c r="B593" s="669"/>
      <c r="C593" s="672">
        <v>0</v>
      </c>
      <c r="D593" s="672">
        <v>256.49</v>
      </c>
      <c r="E593" s="672">
        <v>256.49</v>
      </c>
      <c r="F593" s="672">
        <v>256.49</v>
      </c>
      <c r="G593" s="672">
        <v>236.76</v>
      </c>
      <c r="H593" s="672">
        <v>236.76</v>
      </c>
      <c r="I593" s="672">
        <v>236.76</v>
      </c>
      <c r="J593" s="672">
        <v>256.49</v>
      </c>
      <c r="K593" s="672">
        <v>236.76</v>
      </c>
      <c r="L593" s="672">
        <v>256.49</v>
      </c>
      <c r="M593" s="672">
        <v>256.49</v>
      </c>
      <c r="N593" s="671">
        <f>SUM(B593:M593)</f>
        <v>2485.9799999999996</v>
      </c>
    </row>
    <row r="594" spans="1:14" s="345" customFormat="1" x14ac:dyDescent="0.2">
      <c r="B594"/>
    </row>
    <row r="595" spans="1:14" s="345" customFormat="1" x14ac:dyDescent="0.2">
      <c r="A595" s="646" t="s">
        <v>814</v>
      </c>
      <c r="B595"/>
    </row>
    <row r="596" spans="1:14" s="345" customFormat="1" x14ac:dyDescent="0.2">
      <c r="A596" s="345" t="s">
        <v>753</v>
      </c>
      <c r="B596"/>
      <c r="C596" s="673">
        <v>4.38</v>
      </c>
      <c r="D596" s="673">
        <v>5872.57</v>
      </c>
      <c r="E596" s="673">
        <v>5445.48</v>
      </c>
      <c r="F596" s="673">
        <v>5281.18</v>
      </c>
      <c r="G596" s="673">
        <v>4876.91</v>
      </c>
      <c r="H596" s="673">
        <v>4602.7</v>
      </c>
      <c r="I596" s="673">
        <v>4093.45</v>
      </c>
      <c r="J596" s="673">
        <v>4958.82</v>
      </c>
      <c r="K596" s="673">
        <v>4976.63</v>
      </c>
      <c r="L596" s="673">
        <v>6501.35</v>
      </c>
      <c r="M596" s="673">
        <v>6410.49</v>
      </c>
      <c r="N596" s="632">
        <f>SUM(B596:M596)</f>
        <v>53023.96</v>
      </c>
    </row>
    <row r="597" spans="1:14" s="345" customFormat="1" x14ac:dyDescent="0.2">
      <c r="A597" s="345" t="s">
        <v>760</v>
      </c>
      <c r="B597"/>
      <c r="C597" s="673">
        <v>1618.54</v>
      </c>
      <c r="D597" s="673">
        <v>974.42</v>
      </c>
      <c r="E597" s="673">
        <v>1243.45</v>
      </c>
      <c r="F597" s="673">
        <v>1772.44</v>
      </c>
      <c r="G597" s="673">
        <v>2600.79</v>
      </c>
      <c r="H597" s="673">
        <v>3099.26</v>
      </c>
      <c r="I597" s="673">
        <v>2439.46</v>
      </c>
      <c r="J597" s="673">
        <v>1761.77</v>
      </c>
      <c r="K597" s="673">
        <v>1511.04</v>
      </c>
      <c r="L597" s="673">
        <v>1507.09</v>
      </c>
      <c r="M597" s="673">
        <v>1427.65</v>
      </c>
      <c r="N597" s="632">
        <f>SUM(B597:M597)</f>
        <v>19955.910000000003</v>
      </c>
    </row>
    <row r="598" spans="1:14" s="345" customFormat="1" x14ac:dyDescent="0.2">
      <c r="A598" s="345" t="s">
        <v>763</v>
      </c>
      <c r="B598"/>
      <c r="C598" s="673">
        <v>0</v>
      </c>
      <c r="D598" s="673">
        <v>0</v>
      </c>
      <c r="E598" s="673">
        <v>0</v>
      </c>
      <c r="F598" s="673">
        <v>0</v>
      </c>
      <c r="G598" s="673">
        <v>0</v>
      </c>
      <c r="H598" s="673">
        <v>0</v>
      </c>
      <c r="I598" s="673">
        <v>0</v>
      </c>
      <c r="J598" s="673">
        <v>0</v>
      </c>
      <c r="K598" s="673">
        <v>0</v>
      </c>
      <c r="L598" s="673">
        <v>0</v>
      </c>
      <c r="M598" s="673">
        <v>0</v>
      </c>
      <c r="N598" s="632">
        <f>SUM(B598:M598)</f>
        <v>0</v>
      </c>
    </row>
    <row r="599" spans="1:14" s="345" customFormat="1" x14ac:dyDescent="0.2">
      <c r="A599" s="345" t="s">
        <v>815</v>
      </c>
      <c r="B599"/>
      <c r="C599" s="673">
        <v>0</v>
      </c>
      <c r="D599" s="673">
        <v>0</v>
      </c>
      <c r="E599" s="673">
        <v>0</v>
      </c>
      <c r="F599" s="673">
        <v>0</v>
      </c>
      <c r="G599" s="673">
        <v>0</v>
      </c>
      <c r="H599" s="673">
        <v>0</v>
      </c>
      <c r="I599" s="673">
        <v>0</v>
      </c>
      <c r="J599" s="673">
        <v>0</v>
      </c>
      <c r="K599" s="673">
        <v>0</v>
      </c>
      <c r="L599" s="673">
        <v>0</v>
      </c>
      <c r="M599" s="673">
        <v>0</v>
      </c>
      <c r="N599" s="632">
        <f>SUM(B599:M599)</f>
        <v>0</v>
      </c>
    </row>
    <row r="600" spans="1:14" s="345" customFormat="1" x14ac:dyDescent="0.2">
      <c r="B600" s="665" t="s">
        <v>769</v>
      </c>
      <c r="C600" s="665" t="s">
        <v>769</v>
      </c>
      <c r="D600" s="665"/>
      <c r="E600" s="653" t="s">
        <v>769</v>
      </c>
      <c r="F600" s="653" t="s">
        <v>769</v>
      </c>
      <c r="G600" s="653" t="s">
        <v>769</v>
      </c>
      <c r="H600" s="653" t="s">
        <v>769</v>
      </c>
      <c r="I600" s="653" t="s">
        <v>769</v>
      </c>
      <c r="J600" s="653" t="s">
        <v>769</v>
      </c>
      <c r="K600" s="653" t="s">
        <v>769</v>
      </c>
      <c r="L600" s="653" t="s">
        <v>769</v>
      </c>
      <c r="M600" s="653" t="s">
        <v>769</v>
      </c>
      <c r="N600" s="665" t="s">
        <v>769</v>
      </c>
    </row>
    <row r="601" spans="1:14" s="345" customFormat="1" x14ac:dyDescent="0.2">
      <c r="A601" s="345" t="s">
        <v>775</v>
      </c>
      <c r="B601"/>
      <c r="C601" s="673">
        <v>1622.92</v>
      </c>
      <c r="D601" s="673">
        <v>6846.99</v>
      </c>
      <c r="E601" s="673">
        <v>6688.9299999999994</v>
      </c>
      <c r="F601" s="673">
        <v>7053.6200000000008</v>
      </c>
      <c r="G601" s="673">
        <v>7477.7</v>
      </c>
      <c r="H601" s="673">
        <v>7701.96</v>
      </c>
      <c r="I601" s="673">
        <v>6532.91</v>
      </c>
      <c r="J601" s="673">
        <v>6720.59</v>
      </c>
      <c r="K601" s="673">
        <v>6487.67</v>
      </c>
      <c r="L601" s="673">
        <v>8008.4400000000005</v>
      </c>
      <c r="M601" s="673">
        <v>7838.1399999999994</v>
      </c>
      <c r="N601" s="632">
        <f>SUM(B601:M601)</f>
        <v>72979.87</v>
      </c>
    </row>
    <row r="602" spans="1:14" s="345" customFormat="1" x14ac:dyDescent="0.2">
      <c r="B602" s="655" t="s">
        <v>776</v>
      </c>
      <c r="C602" s="655" t="s">
        <v>776</v>
      </c>
      <c r="D602" s="655"/>
      <c r="E602" s="655" t="s">
        <v>776</v>
      </c>
      <c r="F602" s="655" t="s">
        <v>776</v>
      </c>
      <c r="G602" s="655" t="s">
        <v>776</v>
      </c>
      <c r="H602" s="655" t="s">
        <v>776</v>
      </c>
      <c r="I602" s="655" t="s">
        <v>776</v>
      </c>
      <c r="J602" s="655" t="s">
        <v>776</v>
      </c>
      <c r="K602" s="655" t="s">
        <v>776</v>
      </c>
      <c r="L602" s="655" t="s">
        <v>776</v>
      </c>
      <c r="M602" s="655" t="s">
        <v>776</v>
      </c>
      <c r="N602" s="655" t="s">
        <v>776</v>
      </c>
    </row>
    <row r="603" spans="1:14" s="345" customFormat="1" x14ac:dyDescent="0.2">
      <c r="B603"/>
    </row>
    <row r="604" spans="1:14" s="345" customFormat="1" x14ac:dyDescent="0.2">
      <c r="A604" s="345" t="s">
        <v>777</v>
      </c>
      <c r="B604" s="669"/>
      <c r="C604" s="672">
        <v>0</v>
      </c>
      <c r="D604" s="672">
        <v>64.12</v>
      </c>
      <c r="E604" s="672">
        <v>64.12</v>
      </c>
      <c r="F604" s="672">
        <v>64.12</v>
      </c>
      <c r="G604" s="672">
        <v>59.19</v>
      </c>
      <c r="H604" s="672">
        <v>59.19</v>
      </c>
      <c r="I604" s="672">
        <v>59.19</v>
      </c>
      <c r="J604" s="672">
        <v>64.12</v>
      </c>
      <c r="K604" s="672">
        <v>59.19</v>
      </c>
      <c r="L604" s="672">
        <v>64.12</v>
      </c>
      <c r="M604" s="672">
        <v>64.12</v>
      </c>
      <c r="N604" s="671">
        <f>SUM(B604:M604)</f>
        <v>621.48</v>
      </c>
    </row>
    <row r="605" spans="1:14" s="345" customFormat="1" x14ac:dyDescent="0.2">
      <c r="B605"/>
    </row>
    <row r="606" spans="1:14" s="345" customFormat="1" x14ac:dyDescent="0.2">
      <c r="A606" s="646" t="s">
        <v>816</v>
      </c>
      <c r="B606"/>
    </row>
    <row r="607" spans="1:14" s="345" customFormat="1" x14ac:dyDescent="0.2">
      <c r="A607" s="345" t="s">
        <v>753</v>
      </c>
      <c r="B607"/>
      <c r="C607" s="673">
        <v>13.13</v>
      </c>
      <c r="D607" s="673">
        <v>17617.7</v>
      </c>
      <c r="E607" s="673">
        <v>16336.43</v>
      </c>
      <c r="F607" s="673">
        <v>15843.53</v>
      </c>
      <c r="G607" s="673">
        <v>14630.74</v>
      </c>
      <c r="H607" s="673">
        <v>13808.1</v>
      </c>
      <c r="I607" s="673">
        <v>12280.34</v>
      </c>
      <c r="J607" s="673">
        <v>14876.47</v>
      </c>
      <c r="K607" s="673">
        <v>14929.88</v>
      </c>
      <c r="L607" s="673">
        <v>19504.04</v>
      </c>
      <c r="M607" s="673">
        <v>19231.46</v>
      </c>
      <c r="N607" s="632">
        <f>SUM(B607:M607)</f>
        <v>159071.82</v>
      </c>
    </row>
    <row r="608" spans="1:14" s="345" customFormat="1" x14ac:dyDescent="0.2">
      <c r="A608" s="345" t="s">
        <v>760</v>
      </c>
      <c r="B608"/>
      <c r="C608" s="673">
        <v>4855.62</v>
      </c>
      <c r="D608" s="673">
        <v>2923.25</v>
      </c>
      <c r="E608" s="673">
        <v>3730.36</v>
      </c>
      <c r="F608" s="673">
        <v>5317.33</v>
      </c>
      <c r="G608" s="673">
        <v>7802.37</v>
      </c>
      <c r="H608" s="673">
        <v>9297.7800000000007</v>
      </c>
      <c r="I608" s="673">
        <v>7318.38</v>
      </c>
      <c r="J608" s="673">
        <v>5285.32</v>
      </c>
      <c r="K608" s="673">
        <v>4533.1099999999997</v>
      </c>
      <c r="L608" s="673">
        <v>4521.26</v>
      </c>
      <c r="M608" s="673">
        <v>4282.96</v>
      </c>
      <c r="N608" s="632">
        <f>SUM(B608:M608)</f>
        <v>59867.74</v>
      </c>
    </row>
    <row r="609" spans="1:14" s="345" customFormat="1" x14ac:dyDescent="0.2">
      <c r="A609" s="345" t="s">
        <v>763</v>
      </c>
      <c r="B609"/>
      <c r="C609" s="673">
        <v>0</v>
      </c>
      <c r="D609" s="673">
        <v>0</v>
      </c>
      <c r="E609" s="673">
        <v>0</v>
      </c>
      <c r="F609" s="673">
        <v>0</v>
      </c>
      <c r="G609" s="673">
        <v>0</v>
      </c>
      <c r="H609" s="673">
        <v>0</v>
      </c>
      <c r="I609" s="673">
        <v>0</v>
      </c>
      <c r="J609" s="673">
        <v>0</v>
      </c>
      <c r="K609" s="673">
        <v>0</v>
      </c>
      <c r="L609" s="673">
        <v>0</v>
      </c>
      <c r="M609" s="673">
        <v>0</v>
      </c>
      <c r="N609" s="632">
        <f>SUM(B609:M609)</f>
        <v>0</v>
      </c>
    </row>
    <row r="610" spans="1:14" s="345" customFormat="1" x14ac:dyDescent="0.2">
      <c r="A610" s="345" t="s">
        <v>815</v>
      </c>
      <c r="B610"/>
      <c r="C610" s="673">
        <v>0</v>
      </c>
      <c r="D610" s="673">
        <v>0</v>
      </c>
      <c r="E610" s="673">
        <v>0</v>
      </c>
      <c r="F610" s="673">
        <v>0</v>
      </c>
      <c r="G610" s="673">
        <v>0</v>
      </c>
      <c r="H610" s="673">
        <v>0</v>
      </c>
      <c r="I610" s="673">
        <v>0</v>
      </c>
      <c r="J610" s="673">
        <v>0</v>
      </c>
      <c r="K610" s="673">
        <v>0</v>
      </c>
      <c r="L610" s="673">
        <v>0</v>
      </c>
      <c r="M610" s="673">
        <v>0</v>
      </c>
      <c r="N610" s="632">
        <f>SUM(B610:M610)</f>
        <v>0</v>
      </c>
    </row>
    <row r="611" spans="1:14" s="345" customFormat="1" x14ac:dyDescent="0.2">
      <c r="B611" s="665" t="s">
        <v>769</v>
      </c>
      <c r="C611" s="665" t="s">
        <v>769</v>
      </c>
      <c r="D611" s="665"/>
      <c r="E611" s="653" t="s">
        <v>769</v>
      </c>
      <c r="F611" s="653" t="s">
        <v>769</v>
      </c>
      <c r="G611" s="653" t="s">
        <v>769</v>
      </c>
      <c r="H611" s="653" t="s">
        <v>769</v>
      </c>
      <c r="I611" s="653" t="s">
        <v>769</v>
      </c>
      <c r="J611" s="653" t="s">
        <v>769</v>
      </c>
      <c r="K611" s="653" t="s">
        <v>769</v>
      </c>
      <c r="L611" s="653" t="s">
        <v>769</v>
      </c>
      <c r="M611" s="653" t="s">
        <v>769</v>
      </c>
      <c r="N611" s="665" t="s">
        <v>769</v>
      </c>
    </row>
    <row r="612" spans="1:14" s="345" customFormat="1" x14ac:dyDescent="0.2">
      <c r="A612" s="345" t="s">
        <v>775</v>
      </c>
      <c r="B612"/>
      <c r="C612" s="673">
        <v>4868.75</v>
      </c>
      <c r="D612" s="673">
        <v>20540.95</v>
      </c>
      <c r="E612" s="673">
        <v>20066.79</v>
      </c>
      <c r="F612" s="673">
        <v>21160.86</v>
      </c>
      <c r="G612" s="673">
        <v>22433.11</v>
      </c>
      <c r="H612" s="673">
        <v>23105.88</v>
      </c>
      <c r="I612" s="673">
        <v>19598.72</v>
      </c>
      <c r="J612" s="673">
        <v>20161.79</v>
      </c>
      <c r="K612" s="673">
        <v>19462.989999999998</v>
      </c>
      <c r="L612" s="673">
        <v>24025.300000000003</v>
      </c>
      <c r="M612" s="673">
        <v>23514.42</v>
      </c>
      <c r="N612" s="632">
        <f>SUM(B612:M612)</f>
        <v>218939.56</v>
      </c>
    </row>
    <row r="613" spans="1:14" s="345" customFormat="1" x14ac:dyDescent="0.2">
      <c r="B613" s="655" t="s">
        <v>776</v>
      </c>
      <c r="C613" s="665" t="s">
        <v>776</v>
      </c>
      <c r="D613" s="655" t="s">
        <v>776</v>
      </c>
      <c r="E613" s="655" t="s">
        <v>776</v>
      </c>
      <c r="F613" s="655" t="s">
        <v>776</v>
      </c>
      <c r="G613" s="655" t="s">
        <v>776</v>
      </c>
      <c r="H613" s="655" t="s">
        <v>776</v>
      </c>
      <c r="I613" s="655" t="s">
        <v>776</v>
      </c>
      <c r="J613" s="655" t="s">
        <v>776</v>
      </c>
      <c r="K613" s="655" t="s">
        <v>776</v>
      </c>
      <c r="L613" s="655" t="s">
        <v>776</v>
      </c>
      <c r="M613" s="655" t="s">
        <v>776</v>
      </c>
      <c r="N613" s="655" t="s">
        <v>776</v>
      </c>
    </row>
    <row r="614" spans="1:14" s="345" customFormat="1" x14ac:dyDescent="0.2">
      <c r="B614"/>
      <c r="C614" s="651"/>
      <c r="D614" s="651"/>
      <c r="E614" s="651"/>
      <c r="F614" s="651"/>
      <c r="G614" s="651"/>
      <c r="H614" s="651"/>
      <c r="I614" s="651"/>
      <c r="J614" s="651"/>
      <c r="K614" s="651"/>
      <c r="L614" s="651"/>
      <c r="M614" s="651"/>
    </row>
    <row r="615" spans="1:14" s="345" customFormat="1" x14ac:dyDescent="0.2">
      <c r="A615" s="345" t="s">
        <v>777</v>
      </c>
      <c r="B615" s="669"/>
      <c r="C615" s="672">
        <v>0</v>
      </c>
      <c r="D615" s="672">
        <v>192.37</v>
      </c>
      <c r="E615" s="672">
        <v>192.37</v>
      </c>
      <c r="F615" s="672">
        <v>192.37</v>
      </c>
      <c r="G615" s="672">
        <v>177.57</v>
      </c>
      <c r="H615" s="672">
        <v>177.57</v>
      </c>
      <c r="I615" s="672">
        <v>177.57</v>
      </c>
      <c r="J615" s="672">
        <v>192.37</v>
      </c>
      <c r="K615" s="672">
        <v>177.57</v>
      </c>
      <c r="L615" s="672">
        <v>192.37</v>
      </c>
      <c r="M615" s="672">
        <v>192.37</v>
      </c>
      <c r="N615" s="671">
        <f>SUM(B615:M615)</f>
        <v>1864.5</v>
      </c>
    </row>
    <row r="616" spans="1:14" s="345" customFormat="1" x14ac:dyDescent="0.2">
      <c r="B616"/>
    </row>
    <row r="617" spans="1:14" s="345" customFormat="1" x14ac:dyDescent="0.2">
      <c r="A617" s="345" t="s">
        <v>817</v>
      </c>
      <c r="B617"/>
    </row>
    <row r="618" spans="1:14" s="345" customFormat="1" x14ac:dyDescent="0.2">
      <c r="A618" s="345" t="s">
        <v>818</v>
      </c>
      <c r="B618"/>
    </row>
    <row r="619" spans="1:14" s="345" customFormat="1" x14ac:dyDescent="0.2">
      <c r="B619" s="627"/>
      <c r="C619" s="627"/>
      <c r="D619" s="627"/>
      <c r="E619" s="627"/>
      <c r="F619" s="627"/>
      <c r="G619" s="627"/>
      <c r="H619" s="627"/>
      <c r="I619" s="627"/>
      <c r="J619" s="627"/>
      <c r="K619" s="627"/>
      <c r="L619" s="627"/>
      <c r="M619" s="627"/>
    </row>
    <row r="620" spans="1:14" s="632" customFormat="1" x14ac:dyDescent="0.2">
      <c r="A620" s="632" t="s">
        <v>775</v>
      </c>
      <c r="B620" s="644">
        <f>SUM(B617,B613,B608,B604,B600,B593,B586)</f>
        <v>0</v>
      </c>
      <c r="C620" s="644">
        <f t="shared" ref="C620:M620" si="24">SUM(C617,C613,C608,C604,C600,C593,C586)</f>
        <v>4855.625</v>
      </c>
      <c r="D620" s="644">
        <f t="shared" si="24"/>
        <v>3243.8649999999998</v>
      </c>
      <c r="E620" s="644">
        <f t="shared" si="24"/>
        <v>4050.9747000000002</v>
      </c>
      <c r="F620" s="644">
        <f t="shared" si="24"/>
        <v>5637.9447</v>
      </c>
      <c r="G620" s="644">
        <f t="shared" si="24"/>
        <v>8098.3244999999997</v>
      </c>
      <c r="H620" s="644">
        <f t="shared" si="24"/>
        <v>9593.7345000000005</v>
      </c>
      <c r="I620" s="644">
        <f t="shared" si="24"/>
        <v>7614.3342999999995</v>
      </c>
      <c r="J620" s="644">
        <f t="shared" si="24"/>
        <v>5605.934299999999</v>
      </c>
      <c r="K620" s="644">
        <f t="shared" si="24"/>
        <v>4829.0643999999993</v>
      </c>
      <c r="L620" s="644">
        <f t="shared" si="24"/>
        <v>4841.8743999999997</v>
      </c>
      <c r="M620" s="644">
        <f t="shared" si="24"/>
        <v>4603.5745999999999</v>
      </c>
      <c r="N620" s="632">
        <f>SUM(B620:M620)</f>
        <v>62975.250399999997</v>
      </c>
    </row>
    <row r="621" spans="1:14" s="345" customFormat="1" x14ac:dyDescent="0.2">
      <c r="B621" s="640" t="s">
        <v>776</v>
      </c>
      <c r="C621" s="640" t="s">
        <v>776</v>
      </c>
      <c r="D621" s="640" t="s">
        <v>776</v>
      </c>
      <c r="E621" s="640" t="s">
        <v>776</v>
      </c>
      <c r="F621" s="640" t="s">
        <v>776</v>
      </c>
      <c r="G621" s="640" t="s">
        <v>776</v>
      </c>
      <c r="H621" s="640" t="s">
        <v>776</v>
      </c>
      <c r="I621" s="640" t="s">
        <v>776</v>
      </c>
      <c r="J621" s="640" t="s">
        <v>776</v>
      </c>
      <c r="K621" s="640" t="s">
        <v>776</v>
      </c>
      <c r="L621" s="640" t="s">
        <v>776</v>
      </c>
      <c r="M621" s="640" t="s">
        <v>776</v>
      </c>
      <c r="N621" s="641" t="s">
        <v>776</v>
      </c>
    </row>
    <row r="622" spans="1:14" s="345" customFormat="1" x14ac:dyDescent="0.2">
      <c r="B622" s="627"/>
      <c r="C622" s="627"/>
      <c r="D622" s="627"/>
      <c r="E622" s="627"/>
      <c r="F622" s="627"/>
      <c r="G622" s="627"/>
      <c r="H622" s="627"/>
      <c r="I622" s="627"/>
      <c r="J622" s="627"/>
      <c r="K622" s="627"/>
      <c r="L622" s="627"/>
      <c r="M622" s="627"/>
    </row>
    <row r="623" spans="1:14" s="345" customFormat="1" x14ac:dyDescent="0.2">
      <c r="A623" s="345" t="s">
        <v>777</v>
      </c>
      <c r="B623" s="627"/>
      <c r="C623" s="627"/>
      <c r="D623" s="627"/>
      <c r="E623" s="627"/>
      <c r="F623" s="627"/>
      <c r="G623" s="627"/>
      <c r="H623" s="627"/>
      <c r="I623" s="627"/>
      <c r="J623" s="627"/>
      <c r="K623" s="627"/>
      <c r="L623" s="627"/>
      <c r="M623" s="627"/>
    </row>
    <row r="624" spans="1:14" s="345" customFormat="1" x14ac:dyDescent="0.2">
      <c r="A624" s="345" t="s">
        <v>778</v>
      </c>
      <c r="B624" s="635">
        <v>39.456000000000003</v>
      </c>
      <c r="C624" s="635">
        <v>39.46</v>
      </c>
      <c r="D624" s="635">
        <v>39.46</v>
      </c>
      <c r="E624" s="635">
        <v>59.19</v>
      </c>
      <c r="F624" s="635">
        <v>39.46</v>
      </c>
      <c r="G624" s="635">
        <v>39.46</v>
      </c>
      <c r="H624" s="635">
        <v>39.46</v>
      </c>
      <c r="I624" s="635">
        <v>39.46</v>
      </c>
      <c r="J624" s="635">
        <v>39.46</v>
      </c>
      <c r="K624" s="635">
        <v>59.19</v>
      </c>
      <c r="L624" s="635">
        <v>39.46</v>
      </c>
      <c r="M624" s="635">
        <v>39.46</v>
      </c>
      <c r="N624" s="644">
        <f>SUM(B624:M624)</f>
        <v>512.97599999999989</v>
      </c>
    </row>
    <row r="625" spans="1:14" s="345" customFormat="1" x14ac:dyDescent="0.2">
      <c r="A625" s="345" t="s">
        <v>779</v>
      </c>
      <c r="B625" s="635">
        <v>0</v>
      </c>
      <c r="C625" s="635">
        <v>0</v>
      </c>
      <c r="D625" s="635">
        <v>0</v>
      </c>
      <c r="E625" s="635">
        <v>0</v>
      </c>
      <c r="F625" s="635">
        <v>0</v>
      </c>
      <c r="G625" s="635">
        <v>0</v>
      </c>
      <c r="H625" s="635">
        <v>0</v>
      </c>
      <c r="I625" s="635">
        <v>19.73</v>
      </c>
      <c r="J625" s="635">
        <v>0</v>
      </c>
      <c r="K625" s="635">
        <v>0</v>
      </c>
      <c r="L625" s="635">
        <v>0</v>
      </c>
      <c r="M625" s="635">
        <v>0</v>
      </c>
      <c r="N625" s="644">
        <f>SUM(B625:M625)</f>
        <v>19.73</v>
      </c>
    </row>
    <row r="626" spans="1:14" s="345" customFormat="1" x14ac:dyDescent="0.2">
      <c r="B626" s="645" t="s">
        <v>769</v>
      </c>
      <c r="C626" s="645" t="s">
        <v>769</v>
      </c>
      <c r="D626" s="645" t="s">
        <v>769</v>
      </c>
      <c r="E626" s="645" t="s">
        <v>769</v>
      </c>
      <c r="F626" s="645" t="s">
        <v>769</v>
      </c>
      <c r="G626" s="645" t="s">
        <v>769</v>
      </c>
      <c r="H626" s="645" t="s">
        <v>769</v>
      </c>
      <c r="I626" s="645" t="s">
        <v>769</v>
      </c>
      <c r="J626" s="645" t="s">
        <v>769</v>
      </c>
      <c r="K626" s="645" t="s">
        <v>769</v>
      </c>
      <c r="L626" s="645" t="s">
        <v>769</v>
      </c>
      <c r="M626" s="645" t="s">
        <v>769</v>
      </c>
      <c r="N626" s="641" t="s">
        <v>769</v>
      </c>
    </row>
    <row r="627" spans="1:14" s="345" customFormat="1" x14ac:dyDescent="0.2">
      <c r="A627" s="629" t="s">
        <v>780</v>
      </c>
      <c r="B627" s="635">
        <v>39.456000000000003</v>
      </c>
      <c r="C627" s="635">
        <v>39.46</v>
      </c>
      <c r="D627" s="635">
        <v>39.46</v>
      </c>
      <c r="E627" s="635">
        <v>59.19</v>
      </c>
      <c r="F627" s="635">
        <v>39.46</v>
      </c>
      <c r="G627" s="635">
        <v>39.46</v>
      </c>
      <c r="H627" s="635">
        <v>39.46</v>
      </c>
      <c r="I627" s="635">
        <v>59.19</v>
      </c>
      <c r="J627" s="635">
        <v>39.46</v>
      </c>
      <c r="K627" s="635">
        <v>59.19</v>
      </c>
      <c r="L627" s="635">
        <v>39.46</v>
      </c>
      <c r="M627" s="635">
        <v>39.46</v>
      </c>
      <c r="N627" s="635">
        <f>N624+N625</f>
        <v>532.7059999999999</v>
      </c>
    </row>
    <row r="628" spans="1:14" s="345" customFormat="1" x14ac:dyDescent="0.2">
      <c r="B628" s="640" t="s">
        <v>776</v>
      </c>
      <c r="C628" s="640" t="s">
        <v>776</v>
      </c>
      <c r="D628" s="640" t="s">
        <v>776</v>
      </c>
      <c r="E628" s="640" t="s">
        <v>776</v>
      </c>
      <c r="F628" s="640" t="s">
        <v>776</v>
      </c>
      <c r="G628" s="640" t="s">
        <v>776</v>
      </c>
      <c r="H628" s="640" t="s">
        <v>776</v>
      </c>
      <c r="I628" s="640" t="s">
        <v>776</v>
      </c>
      <c r="J628" s="640" t="s">
        <v>776</v>
      </c>
      <c r="K628" s="640" t="s">
        <v>776</v>
      </c>
      <c r="L628" s="640" t="s">
        <v>776</v>
      </c>
      <c r="M628" s="640" t="s">
        <v>776</v>
      </c>
      <c r="N628" s="641" t="s">
        <v>776</v>
      </c>
    </row>
    <row r="629" spans="1:14" s="345" customFormat="1" x14ac:dyDescent="0.2">
      <c r="A629" s="345" t="s">
        <v>781</v>
      </c>
      <c r="B629" s="627"/>
      <c r="C629" s="627"/>
      <c r="D629" s="627"/>
      <c r="E629" s="627"/>
      <c r="F629" s="627"/>
      <c r="G629" s="627"/>
      <c r="H629" s="627"/>
      <c r="I629" s="627"/>
      <c r="J629" s="627"/>
      <c r="K629" s="627"/>
      <c r="L629" s="627"/>
      <c r="M629" s="627"/>
    </row>
    <row r="630" spans="1:14" s="345" customFormat="1" x14ac:dyDescent="0.2">
      <c r="A630" s="345" t="s">
        <v>782</v>
      </c>
      <c r="B630" s="627"/>
      <c r="C630" s="627"/>
      <c r="D630" s="627"/>
      <c r="E630" s="627"/>
      <c r="F630" s="627"/>
      <c r="G630" s="627"/>
      <c r="H630" s="627"/>
      <c r="I630" s="627"/>
      <c r="J630" s="627"/>
      <c r="K630" s="627"/>
      <c r="L630" s="627"/>
      <c r="M630" s="627"/>
    </row>
    <row r="631" spans="1:14" s="345" customFormat="1" x14ac:dyDescent="0.2">
      <c r="B631" s="627"/>
      <c r="C631" s="627"/>
      <c r="D631" s="627"/>
      <c r="E631" s="627"/>
      <c r="F631" s="627"/>
      <c r="G631" s="627"/>
      <c r="H631" s="627"/>
      <c r="I631" s="627"/>
      <c r="J631" s="627"/>
      <c r="K631" s="627"/>
      <c r="L631" s="627"/>
      <c r="M631" s="627"/>
    </row>
    <row r="632" spans="1:14" s="345" customFormat="1" x14ac:dyDescent="0.2">
      <c r="A632" s="345" t="s">
        <v>783</v>
      </c>
      <c r="B632" s="627"/>
      <c r="C632" s="627"/>
      <c r="D632" s="627"/>
      <c r="E632" s="627"/>
      <c r="F632" s="627"/>
      <c r="G632" s="627"/>
      <c r="H632" s="627"/>
      <c r="I632" s="627"/>
      <c r="J632" s="627"/>
      <c r="K632" s="627"/>
      <c r="L632" s="627"/>
      <c r="M632" s="627"/>
    </row>
    <row r="633" spans="1:14" s="345" customFormat="1" x14ac:dyDescent="0.2">
      <c r="A633" s="345" t="s">
        <v>784</v>
      </c>
      <c r="B633" s="627"/>
      <c r="C633" s="627"/>
      <c r="D633" s="627"/>
      <c r="E633" s="627"/>
      <c r="F633" s="627"/>
      <c r="G633" s="627"/>
      <c r="H633" s="627"/>
      <c r="I633" s="627"/>
      <c r="J633" s="627"/>
      <c r="K633" s="627"/>
      <c r="L633" s="627"/>
      <c r="M633" s="627"/>
    </row>
    <row r="634" spans="1:14" s="345" customFormat="1" x14ac:dyDescent="0.2">
      <c r="B634" s="627"/>
      <c r="C634" s="627"/>
      <c r="D634" s="627"/>
      <c r="E634" s="627"/>
      <c r="F634" s="627"/>
      <c r="G634" s="627"/>
      <c r="H634" s="627"/>
      <c r="I634" s="627"/>
      <c r="J634" s="627"/>
      <c r="K634" s="627"/>
      <c r="L634" s="627"/>
      <c r="M634" s="627"/>
    </row>
    <row r="635" spans="1:14" s="345" customFormat="1" x14ac:dyDescent="0.2">
      <c r="A635" s="345" t="s">
        <v>785</v>
      </c>
      <c r="B635" s="345" t="s">
        <v>786</v>
      </c>
      <c r="C635" s="627"/>
      <c r="D635" s="345" t="s">
        <v>787</v>
      </c>
      <c r="E635" s="627"/>
      <c r="F635" s="345" t="s">
        <v>788</v>
      </c>
      <c r="G635" s="627"/>
      <c r="H635" s="345" t="s">
        <v>789</v>
      </c>
      <c r="I635" s="627"/>
      <c r="J635" s="345" t="s">
        <v>790</v>
      </c>
      <c r="K635" s="627"/>
      <c r="L635" s="627"/>
      <c r="M635" s="627"/>
    </row>
    <row r="636" spans="1:14" s="345" customFormat="1" x14ac:dyDescent="0.2">
      <c r="A636" s="345" t="s">
        <v>791</v>
      </c>
      <c r="B636" s="345" t="s">
        <v>792</v>
      </c>
      <c r="C636" s="627"/>
      <c r="D636" s="345" t="s">
        <v>793</v>
      </c>
      <c r="E636" s="627"/>
      <c r="F636" s="345" t="s">
        <v>794</v>
      </c>
      <c r="G636" s="627"/>
      <c r="H636" s="345" t="s">
        <v>795</v>
      </c>
      <c r="I636" s="627"/>
      <c r="J636" s="345" t="s">
        <v>796</v>
      </c>
      <c r="K636" s="627"/>
      <c r="L636" s="627"/>
      <c r="M636" s="627"/>
    </row>
    <row r="637" spans="1:14" s="345" customFormat="1" x14ac:dyDescent="0.2">
      <c r="B637" s="627"/>
      <c r="C637" s="627"/>
      <c r="D637" s="627"/>
      <c r="E637" s="627"/>
      <c r="F637" s="627"/>
      <c r="G637" s="627"/>
      <c r="H637" s="627"/>
      <c r="I637" s="627"/>
      <c r="J637" s="627"/>
      <c r="K637" s="627"/>
      <c r="L637" s="627"/>
      <c r="M637" s="627"/>
    </row>
    <row r="638" spans="1:14" s="345" customFormat="1" x14ac:dyDescent="0.2">
      <c r="A638" s="627" t="s">
        <v>770</v>
      </c>
      <c r="B638" s="627"/>
      <c r="C638" s="627"/>
      <c r="D638" s="627"/>
      <c r="E638" s="627"/>
      <c r="F638" s="627"/>
      <c r="G638" s="627"/>
      <c r="H638" s="627"/>
      <c r="I638" s="627"/>
      <c r="J638" s="627"/>
      <c r="K638" s="627"/>
      <c r="L638" s="627"/>
      <c r="M638" s="627"/>
    </row>
    <row r="639" spans="1:14" s="345" customFormat="1" x14ac:dyDescent="0.2">
      <c r="A639" s="627" t="s">
        <v>771</v>
      </c>
      <c r="B639" s="627">
        <v>166225</v>
      </c>
      <c r="C639" s="627">
        <v>167925</v>
      </c>
      <c r="D639" s="627">
        <v>129275</v>
      </c>
      <c r="E639" s="627">
        <v>102217</v>
      </c>
      <c r="F639" s="627">
        <v>47075</v>
      </c>
      <c r="G639" s="627">
        <v>42608</v>
      </c>
      <c r="H639" s="627">
        <v>25117</v>
      </c>
      <c r="I639" s="627">
        <v>20575</v>
      </c>
      <c r="J639" s="627">
        <v>44867</v>
      </c>
      <c r="K639" s="627">
        <v>74842</v>
      </c>
      <c r="L639" s="627">
        <v>112958</v>
      </c>
      <c r="M639" s="627">
        <v>149900</v>
      </c>
    </row>
    <row r="640" spans="1:14" s="345" customFormat="1" x14ac:dyDescent="0.2">
      <c r="A640" s="627" t="s">
        <v>772</v>
      </c>
      <c r="B640" s="627"/>
      <c r="C640" s="627"/>
      <c r="D640" s="627"/>
      <c r="E640" s="627"/>
      <c r="F640" s="627"/>
      <c r="G640" s="627"/>
      <c r="H640" s="627"/>
      <c r="I640" s="627"/>
      <c r="J640" s="627"/>
      <c r="K640" s="627"/>
      <c r="L640" s="627"/>
      <c r="M640" s="627"/>
    </row>
    <row r="641" spans="1:22" s="345" customFormat="1" x14ac:dyDescent="0.2">
      <c r="A641" s="627"/>
      <c r="B641" s="627"/>
      <c r="C641" s="627"/>
      <c r="D641" s="627"/>
      <c r="E641" s="627"/>
      <c r="F641" s="627"/>
      <c r="G641" s="627"/>
      <c r="H641" s="627"/>
      <c r="I641" s="627"/>
      <c r="J641" s="627"/>
      <c r="K641" s="627"/>
      <c r="L641" s="627"/>
      <c r="M641" s="627"/>
    </row>
    <row r="642" spans="1:22" s="345" customFormat="1" x14ac:dyDescent="0.2">
      <c r="A642" s="627" t="s">
        <v>773</v>
      </c>
      <c r="B642" s="627">
        <v>328600</v>
      </c>
      <c r="C642" s="627">
        <v>319000</v>
      </c>
      <c r="D642" s="627">
        <v>251800</v>
      </c>
      <c r="E642" s="627">
        <v>339700</v>
      </c>
      <c r="F642" s="627">
        <v>596800</v>
      </c>
      <c r="G642" s="627">
        <v>877900</v>
      </c>
      <c r="H642" s="627">
        <v>10008000</v>
      </c>
      <c r="I642" s="627">
        <v>593200</v>
      </c>
      <c r="J642" s="627">
        <v>644700</v>
      </c>
      <c r="K642" s="627">
        <v>327800</v>
      </c>
      <c r="L642" s="627">
        <v>293200</v>
      </c>
      <c r="M642" s="627">
        <v>315801</v>
      </c>
    </row>
    <row r="643" spans="1:22" s="345" customFormat="1" x14ac:dyDescent="0.2">
      <c r="A643" s="627" t="s">
        <v>774</v>
      </c>
      <c r="B643" s="627"/>
      <c r="C643" s="627"/>
      <c r="D643" s="627"/>
      <c r="E643" s="627"/>
      <c r="F643" s="627"/>
      <c r="G643" s="627"/>
      <c r="H643" s="627"/>
      <c r="I643" s="627"/>
      <c r="J643" s="627"/>
      <c r="K643" s="627"/>
      <c r="L643" s="627"/>
      <c r="M643" s="627"/>
    </row>
    <row r="644" spans="1:22" s="345" customFormat="1" x14ac:dyDescent="0.2">
      <c r="A644" s="627" t="s">
        <v>772</v>
      </c>
      <c r="B644" s="627"/>
      <c r="C644" s="627"/>
      <c r="D644" s="627"/>
      <c r="E644" s="627"/>
      <c r="F644" s="627"/>
      <c r="G644" s="627"/>
      <c r="H644" s="627"/>
      <c r="I644" s="627"/>
      <c r="J644" s="627"/>
      <c r="K644" s="627"/>
      <c r="L644" s="627"/>
      <c r="M644" s="627"/>
    </row>
    <row r="645" spans="1:22" s="788" customFormat="1" ht="24.75" x14ac:dyDescent="0.6">
      <c r="A645" s="786">
        <v>37</v>
      </c>
      <c r="B645" s="787" t="s">
        <v>618</v>
      </c>
      <c r="C645" s="796"/>
      <c r="D645" s="796"/>
      <c r="E645" s="796"/>
      <c r="F645" s="796"/>
      <c r="G645" s="796"/>
      <c r="H645" s="796"/>
      <c r="I645" s="796"/>
      <c r="J645" s="796"/>
      <c r="K645" s="796"/>
      <c r="L645" s="796"/>
      <c r="M645" s="796"/>
      <c r="N645" s="796"/>
      <c r="O645" s="796"/>
      <c r="R645" s="794"/>
      <c r="S645" s="795"/>
      <c r="T645" s="792"/>
      <c r="U645" s="797"/>
      <c r="V645" s="795"/>
    </row>
    <row r="646" spans="1:22" ht="31.15" customHeight="1" x14ac:dyDescent="0.2">
      <c r="A646" s="464" t="s">
        <v>724</v>
      </c>
    </row>
    <row r="647" spans="1:22" s="94" customFormat="1" x14ac:dyDescent="0.2">
      <c r="A647" s="465" t="s">
        <v>337</v>
      </c>
      <c r="B647" s="91">
        <v>41395</v>
      </c>
      <c r="C647" s="91">
        <v>41426</v>
      </c>
      <c r="D647" s="91">
        <v>41456</v>
      </c>
      <c r="E647" s="91">
        <v>41487</v>
      </c>
      <c r="F647" s="91">
        <v>41518</v>
      </c>
      <c r="G647" s="91">
        <v>41548</v>
      </c>
      <c r="H647" s="91">
        <v>41579</v>
      </c>
      <c r="I647" s="91">
        <v>41609</v>
      </c>
      <c r="J647" s="91">
        <v>41640</v>
      </c>
      <c r="K647" s="91">
        <v>41671</v>
      </c>
      <c r="L647" s="91">
        <v>41699</v>
      </c>
      <c r="M647" s="91">
        <v>41730</v>
      </c>
      <c r="N647" s="91">
        <v>41760</v>
      </c>
      <c r="O647" s="91">
        <v>41791</v>
      </c>
      <c r="P647" s="91">
        <v>41821</v>
      </c>
      <c r="Q647" s="91">
        <v>41852</v>
      </c>
      <c r="R647" s="91">
        <v>41883</v>
      </c>
    </row>
    <row r="649" spans="1:22" x14ac:dyDescent="0.2">
      <c r="A649" s="95" t="s">
        <v>409</v>
      </c>
      <c r="B649" s="96">
        <v>106000</v>
      </c>
      <c r="C649" s="96">
        <v>95400</v>
      </c>
      <c r="D649" s="96">
        <v>89400</v>
      </c>
      <c r="E649" s="96">
        <v>77200</v>
      </c>
      <c r="F649" s="96">
        <v>67000</v>
      </c>
      <c r="G649" s="96">
        <v>69200</v>
      </c>
      <c r="H649" s="96">
        <v>82600</v>
      </c>
      <c r="I649" s="96">
        <v>78200</v>
      </c>
      <c r="J649" s="96">
        <v>73400</v>
      </c>
      <c r="K649" s="96">
        <v>81800</v>
      </c>
      <c r="L649" s="96">
        <v>69800</v>
      </c>
      <c r="M649" s="96">
        <v>74800</v>
      </c>
      <c r="N649" s="96">
        <v>76400</v>
      </c>
      <c r="O649" s="96">
        <v>65400</v>
      </c>
      <c r="P649" s="454">
        <v>62600</v>
      </c>
      <c r="Q649" s="454">
        <v>75400</v>
      </c>
      <c r="R649" s="454">
        <v>72000</v>
      </c>
    </row>
    <row r="650" spans="1:22" x14ac:dyDescent="0.2">
      <c r="A650" s="95" t="s">
        <v>614</v>
      </c>
      <c r="B650" s="101">
        <v>17</v>
      </c>
      <c r="C650" s="101">
        <v>14</v>
      </c>
      <c r="D650" s="101">
        <v>15</v>
      </c>
      <c r="E650" s="101">
        <v>16</v>
      </c>
      <c r="F650" s="101">
        <v>22</v>
      </c>
      <c r="G650" s="101">
        <v>20</v>
      </c>
      <c r="H650" s="101">
        <v>21</v>
      </c>
      <c r="I650" s="101">
        <v>17</v>
      </c>
      <c r="J650" s="101">
        <v>13</v>
      </c>
      <c r="K650" s="101">
        <v>20</v>
      </c>
      <c r="L650" s="101">
        <v>19</v>
      </c>
      <c r="M650" s="101">
        <v>18</v>
      </c>
      <c r="N650" s="101">
        <v>19</v>
      </c>
      <c r="O650" s="101">
        <v>16</v>
      </c>
      <c r="P650" s="441">
        <v>27</v>
      </c>
      <c r="Q650" s="441">
        <v>23</v>
      </c>
      <c r="R650" s="441">
        <v>22</v>
      </c>
    </row>
    <row r="652" spans="1:22" x14ac:dyDescent="0.2">
      <c r="A652" s="95" t="s">
        <v>347</v>
      </c>
      <c r="B652" s="109">
        <v>8606.91</v>
      </c>
      <c r="C652" s="109">
        <v>9907.7900000000009</v>
      </c>
      <c r="D652" s="109">
        <v>7575.88</v>
      </c>
      <c r="E652" s="109">
        <v>6633</v>
      </c>
      <c r="F652" s="109">
        <v>5764.64</v>
      </c>
      <c r="G652" s="109">
        <v>5997.1</v>
      </c>
      <c r="H652" s="109">
        <v>7048.17</v>
      </c>
      <c r="I652" s="109">
        <v>6695.62</v>
      </c>
      <c r="J652" s="109">
        <v>6475.23</v>
      </c>
      <c r="K652" s="109">
        <v>7165.66</v>
      </c>
      <c r="L652" s="109">
        <v>6044.77</v>
      </c>
      <c r="M652" s="109">
        <v>6288.27</v>
      </c>
      <c r="N652" s="109">
        <v>6432.95</v>
      </c>
      <c r="O652" s="109">
        <v>5628.77</v>
      </c>
      <c r="P652" s="109">
        <v>5526.73</v>
      </c>
      <c r="Q652" s="109">
        <v>6463.28</v>
      </c>
      <c r="R652" s="109">
        <v>6206.95</v>
      </c>
      <c r="S652" s="120"/>
    </row>
    <row r="653" spans="1:22" x14ac:dyDescent="0.2">
      <c r="A653" s="112" t="s">
        <v>410</v>
      </c>
      <c r="B653" s="113">
        <v>139.69</v>
      </c>
      <c r="C653" s="113">
        <v>120.57</v>
      </c>
      <c r="D653" s="113">
        <v>178.72</v>
      </c>
      <c r="E653" s="113">
        <v>185.57</v>
      </c>
      <c r="F653" s="113">
        <v>226.64</v>
      </c>
      <c r="G653" s="113">
        <v>212.95</v>
      </c>
      <c r="H653" s="113">
        <v>219.79</v>
      </c>
      <c r="I653" s="113">
        <v>192.41</v>
      </c>
      <c r="J653" s="113">
        <v>165.03</v>
      </c>
      <c r="K653" s="113">
        <v>212.95</v>
      </c>
      <c r="L653" s="113">
        <v>210.2</v>
      </c>
      <c r="M653" s="113">
        <v>211.56</v>
      </c>
      <c r="N653" s="113">
        <v>218.4</v>
      </c>
      <c r="O653" s="113">
        <v>197.87</v>
      </c>
      <c r="P653" s="441">
        <v>304.75</v>
      </c>
      <c r="Q653" s="441">
        <v>276.69</v>
      </c>
      <c r="R653" s="441">
        <v>269.68</v>
      </c>
      <c r="S653" s="120"/>
    </row>
    <row r="654" spans="1:22" s="788" customFormat="1" ht="20.25" x14ac:dyDescent="0.3">
      <c r="A654" s="786">
        <v>38</v>
      </c>
      <c r="B654" s="787" t="s">
        <v>621</v>
      </c>
      <c r="S654" s="789"/>
      <c r="V654" s="789"/>
    </row>
    <row r="655" spans="1:22" s="788" customFormat="1" ht="24.75" x14ac:dyDescent="0.6">
      <c r="A655" s="786">
        <v>39</v>
      </c>
      <c r="B655" s="787" t="s">
        <v>622</v>
      </c>
      <c r="C655" s="796"/>
      <c r="D655" s="796"/>
      <c r="E655" s="796"/>
      <c r="F655" s="796"/>
      <c r="G655" s="796"/>
      <c r="H655" s="796"/>
      <c r="I655" s="796"/>
      <c r="J655" s="796"/>
      <c r="K655" s="796"/>
      <c r="L655" s="796"/>
      <c r="M655" s="796"/>
      <c r="N655" s="796"/>
      <c r="O655" s="796"/>
      <c r="R655" s="794"/>
      <c r="S655" s="795"/>
      <c r="T655" s="792"/>
      <c r="U655" s="797"/>
      <c r="V655" s="795"/>
    </row>
    <row r="656" spans="1:22" s="345" customFormat="1" x14ac:dyDescent="0.2">
      <c r="A656" s="624" t="s">
        <v>751</v>
      </c>
      <c r="B656" s="625">
        <v>41464</v>
      </c>
      <c r="C656" s="625">
        <v>41495</v>
      </c>
      <c r="D656" s="625">
        <v>41526</v>
      </c>
      <c r="E656" s="625">
        <v>41556</v>
      </c>
      <c r="F656" s="625">
        <v>41587</v>
      </c>
      <c r="G656" s="625">
        <v>41617</v>
      </c>
      <c r="H656" s="625">
        <v>41648</v>
      </c>
      <c r="I656" s="625">
        <v>41679</v>
      </c>
      <c r="J656" s="625">
        <v>41707</v>
      </c>
      <c r="K656" s="625">
        <v>41738</v>
      </c>
      <c r="L656" s="625">
        <v>41768</v>
      </c>
      <c r="M656" s="625">
        <v>41799</v>
      </c>
      <c r="N656" s="626" t="s">
        <v>752</v>
      </c>
    </row>
    <row r="657" spans="1:14" s="345" customFormat="1" x14ac:dyDescent="0.2">
      <c r="A657" s="345" t="s">
        <v>753</v>
      </c>
      <c r="B657" s="627"/>
      <c r="C657" s="627"/>
      <c r="D657" s="627"/>
      <c r="E657" s="627"/>
      <c r="F657" s="627"/>
      <c r="G657" s="627"/>
      <c r="H657" s="627"/>
      <c r="I657" s="627"/>
      <c r="J657" s="627"/>
      <c r="K657" s="627"/>
      <c r="L657" s="627"/>
      <c r="M657" s="627"/>
    </row>
    <row r="658" spans="1:14" s="345" customFormat="1" x14ac:dyDescent="0.2">
      <c r="A658" s="345" t="s">
        <v>754</v>
      </c>
      <c r="B658" s="627">
        <v>24625</v>
      </c>
      <c r="C658" s="627">
        <v>24782</v>
      </c>
      <c r="D658" s="627">
        <v>24925</v>
      </c>
      <c r="E658" s="627">
        <v>25136</v>
      </c>
      <c r="F658" s="627">
        <v>25212</v>
      </c>
      <c r="G658" s="627">
        <v>25341</v>
      </c>
      <c r="H658" s="627">
        <v>25473</v>
      </c>
      <c r="I658" s="627">
        <v>25598</v>
      </c>
      <c r="J658" s="627">
        <v>25732</v>
      </c>
      <c r="K658" s="627">
        <v>25878</v>
      </c>
      <c r="L658" s="627">
        <v>26004</v>
      </c>
      <c r="M658" s="627">
        <v>26173</v>
      </c>
      <c r="N658" s="628"/>
    </row>
    <row r="659" spans="1:14" s="345" customFormat="1" x14ac:dyDescent="0.2">
      <c r="A659" s="345" t="s">
        <v>755</v>
      </c>
      <c r="B659" s="627">
        <v>24429</v>
      </c>
      <c r="C659" s="627">
        <v>24625</v>
      </c>
      <c r="D659" s="627">
        <v>24782</v>
      </c>
      <c r="E659" s="627">
        <v>24925</v>
      </c>
      <c r="F659" s="627">
        <v>25136</v>
      </c>
      <c r="G659" s="627">
        <v>25212</v>
      </c>
      <c r="H659" s="627">
        <v>25341</v>
      </c>
      <c r="I659" s="627">
        <v>25473</v>
      </c>
      <c r="J659" s="627">
        <v>25598</v>
      </c>
      <c r="K659" s="627">
        <v>25732</v>
      </c>
      <c r="L659" s="627">
        <v>25878</v>
      </c>
      <c r="M659" s="627">
        <v>26004</v>
      </c>
      <c r="N659" s="628"/>
    </row>
    <row r="660" spans="1:14" s="345" customFormat="1" x14ac:dyDescent="0.2">
      <c r="A660" s="629" t="s">
        <v>756</v>
      </c>
      <c r="B660" s="627">
        <v>196</v>
      </c>
      <c r="C660" s="627">
        <v>157</v>
      </c>
      <c r="D660" s="627">
        <v>143</v>
      </c>
      <c r="E660" s="627">
        <v>211</v>
      </c>
      <c r="F660" s="627">
        <v>76</v>
      </c>
      <c r="G660" s="627">
        <v>129</v>
      </c>
      <c r="H660" s="627">
        <v>132</v>
      </c>
      <c r="I660" s="627">
        <v>125</v>
      </c>
      <c r="J660" s="627">
        <v>134</v>
      </c>
      <c r="K660" s="627">
        <v>146</v>
      </c>
      <c r="L660" s="627">
        <v>126</v>
      </c>
      <c r="M660" s="627">
        <v>169</v>
      </c>
      <c r="N660" s="628"/>
    </row>
    <row r="661" spans="1:14" s="628" customFormat="1" x14ac:dyDescent="0.2">
      <c r="A661" s="630" t="s">
        <v>757</v>
      </c>
      <c r="B661" s="628">
        <v>196000</v>
      </c>
      <c r="C661" s="628">
        <v>157000</v>
      </c>
      <c r="D661" s="628">
        <v>143000</v>
      </c>
      <c r="E661" s="628">
        <v>211000</v>
      </c>
      <c r="F661" s="628">
        <v>76000</v>
      </c>
      <c r="G661" s="628">
        <v>129000</v>
      </c>
      <c r="H661" s="628">
        <v>132000</v>
      </c>
      <c r="I661" s="628">
        <v>125000</v>
      </c>
      <c r="J661" s="628">
        <v>134000</v>
      </c>
      <c r="K661" s="628">
        <v>146000</v>
      </c>
      <c r="L661" s="628">
        <v>126000</v>
      </c>
      <c r="M661" s="628">
        <v>169000</v>
      </c>
      <c r="N661" s="628">
        <f>SUM(B661:M661)</f>
        <v>1744000</v>
      </c>
    </row>
    <row r="662" spans="1:14" s="345" customFormat="1" x14ac:dyDescent="0.2">
      <c r="A662" s="345" t="s">
        <v>758</v>
      </c>
      <c r="B662" s="631">
        <v>0.08</v>
      </c>
      <c r="C662" s="631">
        <v>8.4699999999999998E-2</v>
      </c>
      <c r="D662" s="631">
        <v>7.9899999999999999E-2</v>
      </c>
      <c r="E662" s="631">
        <v>7.3999999999999996E-2</v>
      </c>
      <c r="F662" s="631">
        <v>7.0499999999999993E-2</v>
      </c>
      <c r="G662" s="631">
        <v>7.4200000000000002E-2</v>
      </c>
      <c r="H662" s="631">
        <v>7.0699999999999999E-2</v>
      </c>
      <c r="I662" s="631">
        <v>7.5600000000000001E-2</v>
      </c>
      <c r="J662" s="631">
        <v>7.2599999999999998E-2</v>
      </c>
      <c r="K662" s="631">
        <v>7.0599999999999996E-2</v>
      </c>
      <c r="L662" s="631">
        <v>6.9599999999999995E-2</v>
      </c>
      <c r="M662" s="631">
        <v>8.1299999999999997E-2</v>
      </c>
      <c r="N662" s="631">
        <f>ROUND(N663/N661,4)</f>
        <v>7.5800000000000006E-2</v>
      </c>
    </row>
    <row r="663" spans="1:14" s="632" customFormat="1" x14ac:dyDescent="0.2">
      <c r="A663" s="632" t="s">
        <v>759</v>
      </c>
      <c r="B663" s="633">
        <v>15680</v>
      </c>
      <c r="C663" s="633">
        <v>13297.9</v>
      </c>
      <c r="D663" s="633">
        <v>11425.7</v>
      </c>
      <c r="E663" s="633">
        <v>15614</v>
      </c>
      <c r="F663" s="633">
        <v>5358</v>
      </c>
      <c r="G663" s="633">
        <v>9571.7999999999993</v>
      </c>
      <c r="H663" s="633">
        <v>9332.4</v>
      </c>
      <c r="I663" s="633">
        <v>9450</v>
      </c>
      <c r="J663" s="633">
        <v>9728.4</v>
      </c>
      <c r="K663" s="633">
        <v>10307.6</v>
      </c>
      <c r="L663" s="633">
        <v>8769.6</v>
      </c>
      <c r="M663" s="633">
        <v>13739.7</v>
      </c>
      <c r="N663" s="632">
        <f>SUM(B663:M663)</f>
        <v>132275.1</v>
      </c>
    </row>
    <row r="664" spans="1:14" s="345" customFormat="1" x14ac:dyDescent="0.2">
      <c r="B664" s="627"/>
      <c r="C664" s="627"/>
      <c r="D664" s="627"/>
      <c r="E664" s="627"/>
      <c r="F664" s="627"/>
      <c r="G664" s="627"/>
      <c r="H664" s="627"/>
      <c r="I664" s="627"/>
      <c r="J664" s="627"/>
      <c r="K664" s="627"/>
      <c r="L664" s="627"/>
      <c r="M664" s="627"/>
    </row>
    <row r="665" spans="1:14" s="345" customFormat="1" x14ac:dyDescent="0.2">
      <c r="A665" s="345" t="s">
        <v>760</v>
      </c>
      <c r="B665" s="627"/>
      <c r="C665" s="627"/>
      <c r="D665" s="627"/>
      <c r="E665" s="627"/>
      <c r="F665" s="627"/>
      <c r="G665" s="627"/>
      <c r="H665" s="627"/>
      <c r="I665" s="627"/>
      <c r="J665" s="627"/>
      <c r="K665" s="627"/>
      <c r="L665" s="627"/>
      <c r="M665" s="627"/>
    </row>
    <row r="666" spans="1:14" s="345" customFormat="1" x14ac:dyDescent="0.2">
      <c r="A666" s="345" t="s">
        <v>754</v>
      </c>
      <c r="B666" s="627">
        <v>11486</v>
      </c>
      <c r="C666" s="627">
        <v>11506</v>
      </c>
      <c r="D666" s="627">
        <v>11532</v>
      </c>
      <c r="E666" s="627">
        <v>11567</v>
      </c>
      <c r="F666" s="627">
        <v>11578</v>
      </c>
      <c r="G666" s="627">
        <v>11592</v>
      </c>
      <c r="H666" s="627">
        <v>11618</v>
      </c>
      <c r="I666" s="627">
        <v>11650</v>
      </c>
      <c r="J666" s="627">
        <v>11675</v>
      </c>
      <c r="K666" s="627">
        <v>11709</v>
      </c>
      <c r="L666" s="627">
        <v>11723</v>
      </c>
      <c r="M666" s="627">
        <v>11744</v>
      </c>
      <c r="N666" s="627"/>
    </row>
    <row r="667" spans="1:14" s="345" customFormat="1" x14ac:dyDescent="0.2">
      <c r="A667" s="345" t="s">
        <v>755</v>
      </c>
      <c r="B667" s="627">
        <v>11464</v>
      </c>
      <c r="C667" s="627">
        <v>11486</v>
      </c>
      <c r="D667" s="627">
        <v>11506</v>
      </c>
      <c r="E667" s="627">
        <v>11532</v>
      </c>
      <c r="F667" s="627">
        <v>11567</v>
      </c>
      <c r="G667" s="627">
        <v>11578</v>
      </c>
      <c r="H667" s="627">
        <v>11592</v>
      </c>
      <c r="I667" s="627">
        <v>11618</v>
      </c>
      <c r="J667" s="627">
        <v>11650</v>
      </c>
      <c r="K667" s="627">
        <v>11675</v>
      </c>
      <c r="L667" s="627">
        <v>11709</v>
      </c>
      <c r="M667" s="627">
        <v>11723</v>
      </c>
      <c r="N667" s="627"/>
    </row>
    <row r="668" spans="1:14" s="345" customFormat="1" x14ac:dyDescent="0.2">
      <c r="A668" s="345" t="s">
        <v>761</v>
      </c>
      <c r="B668" s="628">
        <v>22</v>
      </c>
      <c r="C668" s="628">
        <v>20</v>
      </c>
      <c r="D668" s="628">
        <v>26</v>
      </c>
      <c r="E668" s="628">
        <v>35</v>
      </c>
      <c r="F668" s="628">
        <v>11</v>
      </c>
      <c r="G668" s="628">
        <v>14</v>
      </c>
      <c r="H668" s="628">
        <v>26</v>
      </c>
      <c r="I668" s="628">
        <v>32</v>
      </c>
      <c r="J668" s="628">
        <v>25</v>
      </c>
      <c r="K668" s="628">
        <v>34</v>
      </c>
      <c r="L668" s="628">
        <v>14</v>
      </c>
      <c r="M668" s="628">
        <v>21</v>
      </c>
      <c r="N668" s="628">
        <f>SUM(B668:M668)</f>
        <v>280</v>
      </c>
    </row>
    <row r="669" spans="1:14" s="345" customFormat="1" x14ac:dyDescent="0.2">
      <c r="A669" s="345" t="s">
        <v>762</v>
      </c>
      <c r="B669" s="634">
        <v>5.39</v>
      </c>
      <c r="C669" s="634">
        <v>5.14</v>
      </c>
      <c r="D669" s="634">
        <v>5.21</v>
      </c>
      <c r="E669" s="634">
        <v>5.03</v>
      </c>
      <c r="F669" s="634">
        <v>5.46</v>
      </c>
      <c r="G669" s="634">
        <v>5.7</v>
      </c>
      <c r="H669" s="634">
        <v>6.14</v>
      </c>
      <c r="I669" s="634">
        <v>7.48</v>
      </c>
      <c r="J669" s="634">
        <v>6.33</v>
      </c>
      <c r="K669" s="634">
        <v>5.85</v>
      </c>
      <c r="L669" s="634">
        <v>6.15</v>
      </c>
      <c r="M669" s="634">
        <v>5.94</v>
      </c>
      <c r="N669" s="635">
        <f>ROUND(N670/N668,2)</f>
        <v>5.86</v>
      </c>
    </row>
    <row r="670" spans="1:14" s="632" customFormat="1" x14ac:dyDescent="0.2">
      <c r="A670" s="632" t="s">
        <v>759</v>
      </c>
      <c r="B670" s="633">
        <v>118.58</v>
      </c>
      <c r="C670" s="633">
        <v>102.8</v>
      </c>
      <c r="D670" s="633">
        <v>135.46</v>
      </c>
      <c r="E670" s="633">
        <v>176.05</v>
      </c>
      <c r="F670" s="633">
        <v>60.06</v>
      </c>
      <c r="G670" s="633">
        <v>79.8</v>
      </c>
      <c r="H670" s="633">
        <v>159.63999999999999</v>
      </c>
      <c r="I670" s="633">
        <v>239.36</v>
      </c>
      <c r="J670" s="633">
        <v>158.25</v>
      </c>
      <c r="K670" s="633">
        <v>198.9</v>
      </c>
      <c r="L670" s="633">
        <v>86.1</v>
      </c>
      <c r="M670" s="633">
        <v>124.74</v>
      </c>
      <c r="N670" s="632">
        <f>SUM(B670:M670)</f>
        <v>1639.74</v>
      </c>
    </row>
    <row r="671" spans="1:14" s="345" customFormat="1" x14ac:dyDescent="0.2">
      <c r="B671" s="627"/>
      <c r="C671" s="627"/>
      <c r="D671" s="627"/>
      <c r="E671" s="627"/>
      <c r="F671" s="627"/>
      <c r="G671" s="627"/>
      <c r="H671" s="627"/>
      <c r="I671" s="627"/>
      <c r="J671" s="627"/>
      <c r="K671" s="627"/>
      <c r="L671" s="627"/>
      <c r="M671" s="627"/>
    </row>
    <row r="672" spans="1:14" s="345" customFormat="1" x14ac:dyDescent="0.2">
      <c r="A672" s="345" t="s">
        <v>763</v>
      </c>
      <c r="B672" s="627"/>
      <c r="C672" s="627"/>
      <c r="D672" s="627"/>
      <c r="E672" s="627"/>
      <c r="F672" s="627"/>
      <c r="G672" s="627"/>
      <c r="H672" s="627"/>
      <c r="I672" s="627"/>
      <c r="J672" s="627"/>
      <c r="K672" s="627"/>
      <c r="L672" s="627"/>
      <c r="M672" s="627"/>
    </row>
    <row r="673" spans="1:14" s="345" customFormat="1" x14ac:dyDescent="0.2">
      <c r="A673" s="345" t="s">
        <v>754</v>
      </c>
      <c r="B673" s="627">
        <v>31716400</v>
      </c>
      <c r="C673" s="627">
        <v>31792400</v>
      </c>
      <c r="D673" s="627">
        <v>31926800</v>
      </c>
      <c r="E673" s="627">
        <v>32120500</v>
      </c>
      <c r="F673" s="627">
        <v>32169000</v>
      </c>
      <c r="G673" s="627">
        <v>32264000</v>
      </c>
      <c r="H673" s="627">
        <v>32333300</v>
      </c>
      <c r="I673" s="627">
        <v>32461100</v>
      </c>
      <c r="J673" s="627">
        <v>32664100</v>
      </c>
      <c r="K673" s="627">
        <v>32702500</v>
      </c>
      <c r="L673" s="627">
        <v>32776100</v>
      </c>
      <c r="M673" s="627">
        <v>32858900</v>
      </c>
      <c r="N673" s="628"/>
    </row>
    <row r="674" spans="1:14" s="345" customFormat="1" x14ac:dyDescent="0.2">
      <c r="A674" s="345" t="s">
        <v>755</v>
      </c>
      <c r="B674" s="627">
        <v>31691400</v>
      </c>
      <c r="C674" s="627">
        <v>31716400</v>
      </c>
      <c r="D674" s="627">
        <v>31792400</v>
      </c>
      <c r="E674" s="627">
        <v>31926800</v>
      </c>
      <c r="F674" s="627">
        <v>32120500</v>
      </c>
      <c r="G674" s="627">
        <v>32169000</v>
      </c>
      <c r="H674" s="627">
        <v>32264000</v>
      </c>
      <c r="I674" s="627">
        <v>32333300</v>
      </c>
      <c r="J674" s="627">
        <v>32461100</v>
      </c>
      <c r="K674" s="627">
        <v>32664100</v>
      </c>
      <c r="L674" s="627">
        <v>32702500</v>
      </c>
      <c r="M674" s="627">
        <v>32776100</v>
      </c>
      <c r="N674" s="628"/>
    </row>
    <row r="675" spans="1:14" s="628" customFormat="1" x14ac:dyDescent="0.2">
      <c r="A675" s="630" t="s">
        <v>764</v>
      </c>
      <c r="B675" s="628">
        <v>25000</v>
      </c>
      <c r="C675" s="628">
        <v>76000</v>
      </c>
      <c r="D675" s="628">
        <v>134400</v>
      </c>
      <c r="E675" s="628">
        <v>193700</v>
      </c>
      <c r="F675" s="628">
        <v>48500</v>
      </c>
      <c r="G675" s="628">
        <v>95000</v>
      </c>
      <c r="H675" s="628">
        <v>69300</v>
      </c>
      <c r="I675" s="628">
        <v>127800</v>
      </c>
      <c r="J675" s="628">
        <v>203000</v>
      </c>
      <c r="K675" s="628">
        <v>38400</v>
      </c>
      <c r="L675" s="628">
        <v>73600</v>
      </c>
      <c r="M675" s="628">
        <v>82800</v>
      </c>
      <c r="N675" s="628" t="e">
        <f>SUM(GALLONS)</f>
        <v>#REF!</v>
      </c>
    </row>
    <row r="676" spans="1:14" s="345" customFormat="1" x14ac:dyDescent="0.2">
      <c r="A676" s="345" t="s">
        <v>765</v>
      </c>
      <c r="B676" s="636">
        <v>3.7000000000000002E-3</v>
      </c>
      <c r="C676" s="636">
        <v>3.7000000000000002E-3</v>
      </c>
      <c r="D676" s="636">
        <v>3.7000000000000002E-3</v>
      </c>
      <c r="E676" s="636">
        <v>3.5999999999999999E-3</v>
      </c>
      <c r="F676" s="636">
        <v>3.5999999999999999E-3</v>
      </c>
      <c r="G676" s="636">
        <v>3.7000000000000002E-3</v>
      </c>
      <c r="H676" s="636">
        <v>3.7000000000000002E-3</v>
      </c>
      <c r="I676" s="636">
        <v>3.8E-3</v>
      </c>
      <c r="J676" s="636">
        <v>3.8E-3</v>
      </c>
      <c r="K676" s="636">
        <v>3.7000000000000002E-3</v>
      </c>
      <c r="L676" s="636">
        <v>3.7000000000000002E-3</v>
      </c>
      <c r="M676" s="636">
        <v>3.8999999999999998E-3</v>
      </c>
      <c r="N676" s="631" t="e">
        <f>ROUND(N677/N675,4)</f>
        <v>#REF!</v>
      </c>
    </row>
    <row r="677" spans="1:14" s="632" customFormat="1" x14ac:dyDescent="0.2">
      <c r="A677" s="632" t="s">
        <v>759</v>
      </c>
      <c r="B677" s="635">
        <v>92.5</v>
      </c>
      <c r="C677" s="635">
        <v>281.2</v>
      </c>
      <c r="D677" s="635">
        <v>497.28</v>
      </c>
      <c r="E677" s="635">
        <v>697.32</v>
      </c>
      <c r="F677" s="635">
        <v>174.6</v>
      </c>
      <c r="G677" s="635">
        <v>351.5</v>
      </c>
      <c r="H677" s="635">
        <v>256.41000000000003</v>
      </c>
      <c r="I677" s="635">
        <v>485.64</v>
      </c>
      <c r="J677" s="635">
        <v>771.4</v>
      </c>
      <c r="K677" s="635">
        <v>142.08000000000001</v>
      </c>
      <c r="L677" s="635">
        <v>272.32</v>
      </c>
      <c r="M677" s="635">
        <v>322.92</v>
      </c>
      <c r="N677" s="632">
        <f>SUM(B677:M677)</f>
        <v>4345.17</v>
      </c>
    </row>
    <row r="678" spans="1:14" s="345" customFormat="1" x14ac:dyDescent="0.2">
      <c r="B678" s="627"/>
      <c r="C678" s="627"/>
      <c r="D678" s="627"/>
      <c r="E678" s="627"/>
      <c r="F678" s="627"/>
      <c r="G678" s="627"/>
      <c r="H678" s="627"/>
      <c r="I678" s="627"/>
      <c r="J678" s="627"/>
      <c r="K678" s="627"/>
      <c r="L678" s="627"/>
      <c r="M678" s="627"/>
    </row>
    <row r="679" spans="1:14" s="345" customFormat="1" x14ac:dyDescent="0.2">
      <c r="A679" s="345" t="s">
        <v>766</v>
      </c>
      <c r="B679" s="627"/>
      <c r="C679" s="627"/>
      <c r="D679" s="627"/>
      <c r="E679" s="627"/>
      <c r="F679" s="627"/>
      <c r="G679" s="627"/>
      <c r="H679" s="627"/>
      <c r="I679" s="627"/>
      <c r="J679" s="627"/>
      <c r="K679" s="627"/>
      <c r="L679" s="627"/>
      <c r="M679" s="627"/>
    </row>
    <row r="680" spans="1:14" s="345" customFormat="1" x14ac:dyDescent="0.2">
      <c r="A680" s="345" t="s">
        <v>765</v>
      </c>
      <c r="B680" s="636">
        <v>4.5999999999999999E-3</v>
      </c>
      <c r="C680" s="636">
        <v>5.0000000000000001E-3</v>
      </c>
      <c r="D680" s="636">
        <v>5.0000000000000001E-3</v>
      </c>
      <c r="E680" s="636">
        <v>4.7000000000000002E-3</v>
      </c>
      <c r="F680" s="636">
        <v>4.7000000000000002E-3</v>
      </c>
      <c r="G680" s="636">
        <v>4.4999999999999997E-3</v>
      </c>
      <c r="H680" s="636">
        <v>4.4999999999999997E-3</v>
      </c>
      <c r="I680" s="636">
        <v>4.3E-3</v>
      </c>
      <c r="J680" s="636">
        <v>4.3E-3</v>
      </c>
      <c r="K680" s="636">
        <v>4.4000000000000003E-3</v>
      </c>
      <c r="L680" s="636">
        <v>4.4000000000000003E-3</v>
      </c>
      <c r="M680" s="636">
        <v>4.5999999999999999E-3</v>
      </c>
      <c r="N680" s="631" t="e">
        <f>ROUND(N681/N675,4)</f>
        <v>#REF!</v>
      </c>
    </row>
    <row r="681" spans="1:14" s="632" customFormat="1" x14ac:dyDescent="0.2">
      <c r="A681" s="632" t="s">
        <v>759</v>
      </c>
      <c r="B681" s="632">
        <v>115</v>
      </c>
      <c r="C681" s="632">
        <v>380</v>
      </c>
      <c r="D681" s="632">
        <v>672</v>
      </c>
      <c r="E681" s="632">
        <v>910.39</v>
      </c>
      <c r="F681" s="632">
        <v>227.95</v>
      </c>
      <c r="G681" s="632">
        <v>427.5</v>
      </c>
      <c r="H681" s="632">
        <v>311.85000000000002</v>
      </c>
      <c r="I681" s="632">
        <v>549.54</v>
      </c>
      <c r="J681" s="632">
        <v>872.9</v>
      </c>
      <c r="K681" s="632">
        <v>168.96</v>
      </c>
      <c r="L681" s="632">
        <v>323.83999999999997</v>
      </c>
      <c r="M681" s="632">
        <v>380.88</v>
      </c>
      <c r="N681" s="632">
        <f>SUM(B681:M681)</f>
        <v>5340.8099999999995</v>
      </c>
    </row>
    <row r="682" spans="1:14" s="632" customFormat="1" x14ac:dyDescent="0.2">
      <c r="A682" s="345"/>
    </row>
    <row r="683" spans="1:14" s="632" customFormat="1" x14ac:dyDescent="0.2">
      <c r="A683" s="629" t="s">
        <v>767</v>
      </c>
    </row>
    <row r="684" spans="1:14" s="632" customFormat="1" ht="14.25" x14ac:dyDescent="0.2">
      <c r="A684" s="345" t="s">
        <v>768</v>
      </c>
      <c r="B684" s="637">
        <v>0</v>
      </c>
      <c r="C684" s="637">
        <v>0</v>
      </c>
      <c r="D684" s="637">
        <v>0</v>
      </c>
      <c r="E684" s="637">
        <v>0</v>
      </c>
      <c r="F684" s="638">
        <v>0</v>
      </c>
      <c r="G684" s="637">
        <v>0</v>
      </c>
      <c r="H684" s="637">
        <v>0</v>
      </c>
      <c r="I684" s="637">
        <v>62.2</v>
      </c>
      <c r="J684" s="637">
        <v>0</v>
      </c>
      <c r="K684" s="637">
        <v>0</v>
      </c>
      <c r="L684" s="637">
        <v>0</v>
      </c>
      <c r="M684" s="637">
        <v>0</v>
      </c>
      <c r="N684" s="632">
        <f>SUM(B684:M684)</f>
        <v>62.2</v>
      </c>
    </row>
    <row r="685" spans="1:14" s="632" customFormat="1" ht="14.25" x14ac:dyDescent="0.2">
      <c r="A685" s="345" t="s">
        <v>759</v>
      </c>
      <c r="B685" s="635">
        <v>0</v>
      </c>
      <c r="C685" s="635">
        <v>0</v>
      </c>
      <c r="D685" s="635">
        <v>0</v>
      </c>
      <c r="E685" s="635">
        <v>0</v>
      </c>
      <c r="F685" s="639">
        <v>0</v>
      </c>
      <c r="G685" s="635">
        <v>0</v>
      </c>
      <c r="H685" s="635">
        <v>0</v>
      </c>
      <c r="I685" s="635">
        <v>210.72</v>
      </c>
      <c r="J685" s="635">
        <v>0</v>
      </c>
      <c r="K685" s="635">
        <v>0</v>
      </c>
      <c r="L685" s="635">
        <v>0</v>
      </c>
      <c r="M685" s="635">
        <v>0</v>
      </c>
      <c r="N685" s="632">
        <f>SUM(B685:M685)</f>
        <v>210.72</v>
      </c>
    </row>
    <row r="686" spans="1:14" s="345" customFormat="1" x14ac:dyDescent="0.2">
      <c r="B686" s="640" t="s">
        <v>769</v>
      </c>
      <c r="C686" s="640" t="s">
        <v>769</v>
      </c>
      <c r="D686" s="640" t="s">
        <v>769</v>
      </c>
      <c r="E686" s="640" t="s">
        <v>769</v>
      </c>
      <c r="F686" s="640" t="s">
        <v>769</v>
      </c>
      <c r="G686" s="640" t="s">
        <v>769</v>
      </c>
      <c r="H686" s="640" t="s">
        <v>769</v>
      </c>
      <c r="I686" s="640" t="s">
        <v>769</v>
      </c>
      <c r="J686" s="640" t="s">
        <v>769</v>
      </c>
      <c r="K686" s="640" t="s">
        <v>769</v>
      </c>
      <c r="L686" s="640" t="s">
        <v>769</v>
      </c>
      <c r="M686" s="640" t="s">
        <v>769</v>
      </c>
      <c r="N686" s="641" t="s">
        <v>769</v>
      </c>
    </row>
    <row r="687" spans="1:14" s="345" customFormat="1" x14ac:dyDescent="0.2">
      <c r="B687" s="640"/>
      <c r="C687" s="640"/>
      <c r="D687" s="640"/>
      <c r="E687" s="640"/>
      <c r="F687" s="640"/>
      <c r="G687" s="640"/>
      <c r="H687" s="640"/>
      <c r="I687" s="640"/>
      <c r="J687" s="640"/>
      <c r="K687" s="640"/>
      <c r="L687" s="640"/>
      <c r="M687" s="640"/>
      <c r="N687" s="641"/>
    </row>
    <row r="688" spans="1:14" s="345" customFormat="1" x14ac:dyDescent="0.2">
      <c r="A688" s="627" t="s">
        <v>770</v>
      </c>
      <c r="B688" s="627"/>
      <c r="C688" s="627"/>
      <c r="D688" s="627"/>
      <c r="E688" s="627"/>
      <c r="F688" s="627"/>
      <c r="G688" s="627"/>
      <c r="H688" s="627"/>
      <c r="I688" s="627"/>
      <c r="J688" s="627"/>
      <c r="K688" s="627"/>
      <c r="L688" s="627"/>
      <c r="M688" s="627"/>
      <c r="N688" s="641"/>
    </row>
    <row r="689" spans="1:14" s="345" customFormat="1" x14ac:dyDescent="0.2">
      <c r="A689" s="627" t="s">
        <v>771</v>
      </c>
      <c r="B689" s="627">
        <v>166225</v>
      </c>
      <c r="C689" s="627">
        <v>167925</v>
      </c>
      <c r="D689" s="627">
        <v>129275</v>
      </c>
      <c r="E689" s="627">
        <v>102217</v>
      </c>
      <c r="F689" s="627">
        <v>47075</v>
      </c>
      <c r="G689" s="627">
        <v>42608</v>
      </c>
      <c r="H689" s="627">
        <v>25117</v>
      </c>
      <c r="I689" s="627">
        <v>20575</v>
      </c>
      <c r="J689" s="627">
        <v>44867</v>
      </c>
      <c r="K689" s="627">
        <v>74842</v>
      </c>
      <c r="L689" s="627">
        <v>112958</v>
      </c>
      <c r="M689" s="627">
        <v>149900</v>
      </c>
      <c r="N689" s="642">
        <f>SUM(B689:M689)</f>
        <v>1083584</v>
      </c>
    </row>
    <row r="690" spans="1:14" s="345" customFormat="1" x14ac:dyDescent="0.2">
      <c r="A690" s="627" t="s">
        <v>772</v>
      </c>
      <c r="B690" s="627">
        <v>16008</v>
      </c>
      <c r="C690" s="627">
        <v>14362</v>
      </c>
      <c r="D690" s="627">
        <v>8271</v>
      </c>
      <c r="E690" s="627">
        <v>7801</v>
      </c>
      <c r="F690" s="627">
        <v>1814</v>
      </c>
      <c r="G690" s="627">
        <v>3336</v>
      </c>
      <c r="H690" s="627">
        <v>2530</v>
      </c>
      <c r="I690" s="627">
        <v>2243</v>
      </c>
      <c r="J690" s="627">
        <v>2486</v>
      </c>
      <c r="K690" s="627">
        <v>5389</v>
      </c>
      <c r="L690" s="627">
        <v>5703</v>
      </c>
      <c r="M690" s="627">
        <v>12696</v>
      </c>
      <c r="N690" s="643">
        <f>SUM(B690:M690)</f>
        <v>82639</v>
      </c>
    </row>
    <row r="691" spans="1:14" s="345" customFormat="1" x14ac:dyDescent="0.2">
      <c r="A691" s="627"/>
      <c r="B691" s="627"/>
      <c r="C691" s="627"/>
      <c r="D691" s="627"/>
      <c r="E691" s="627"/>
      <c r="F691" s="627"/>
      <c r="G691" s="627"/>
      <c r="H691" s="627"/>
      <c r="I691" s="627"/>
      <c r="J691" s="627"/>
      <c r="K691" s="627"/>
      <c r="L691" s="627"/>
      <c r="M691" s="627"/>
      <c r="N691" s="643"/>
    </row>
    <row r="692" spans="1:14" s="345" customFormat="1" x14ac:dyDescent="0.2">
      <c r="A692" s="627" t="s">
        <v>773</v>
      </c>
      <c r="B692" s="627"/>
      <c r="C692" s="627"/>
      <c r="D692" s="627"/>
      <c r="E692" s="627"/>
      <c r="F692" s="627"/>
      <c r="G692" s="627"/>
      <c r="H692" s="627"/>
      <c r="I692" s="627"/>
      <c r="J692" s="627"/>
      <c r="K692" s="627"/>
      <c r="L692" s="627"/>
      <c r="M692" s="627"/>
      <c r="N692" s="643"/>
    </row>
    <row r="693" spans="1:14" s="345" customFormat="1" x14ac:dyDescent="0.2">
      <c r="A693" s="627" t="s">
        <v>774</v>
      </c>
      <c r="B693" s="627">
        <v>328600</v>
      </c>
      <c r="C693" s="627">
        <v>319000</v>
      </c>
      <c r="D693" s="627">
        <v>251800</v>
      </c>
      <c r="E693" s="627">
        <v>339700</v>
      </c>
      <c r="F693" s="627">
        <v>596800</v>
      </c>
      <c r="G693" s="627">
        <v>877900</v>
      </c>
      <c r="H693" s="627">
        <v>10008000</v>
      </c>
      <c r="I693" s="627">
        <v>593200</v>
      </c>
      <c r="J693" s="627">
        <v>644700</v>
      </c>
      <c r="K693" s="627">
        <v>327800</v>
      </c>
      <c r="L693" s="627">
        <v>293200</v>
      </c>
      <c r="M693" s="627">
        <v>315801</v>
      </c>
      <c r="N693" s="642">
        <f>SUM(B693:M693)</f>
        <v>14896501</v>
      </c>
    </row>
    <row r="694" spans="1:14" s="345" customFormat="1" x14ac:dyDescent="0.2">
      <c r="A694" s="627" t="s">
        <v>772</v>
      </c>
      <c r="B694" s="628">
        <v>1828</v>
      </c>
      <c r="C694" s="628">
        <v>1544</v>
      </c>
      <c r="D694" s="628">
        <v>1208</v>
      </c>
      <c r="E694" s="628">
        <v>2422</v>
      </c>
      <c r="F694" s="628">
        <v>1567</v>
      </c>
      <c r="G694" s="628">
        <v>3248</v>
      </c>
      <c r="H694" s="628">
        <v>2711</v>
      </c>
      <c r="I694" s="628">
        <v>3327</v>
      </c>
      <c r="J694" s="628">
        <v>2821</v>
      </c>
      <c r="K694" s="628">
        <v>1789</v>
      </c>
      <c r="L694" s="628">
        <v>1578</v>
      </c>
      <c r="M694" s="628">
        <v>1924</v>
      </c>
      <c r="N694" s="643">
        <f>SUM(B694:M694)</f>
        <v>25967</v>
      </c>
    </row>
    <row r="695" spans="1:14" s="345" customFormat="1" x14ac:dyDescent="0.2">
      <c r="B695" s="640"/>
      <c r="C695" s="640"/>
      <c r="D695" s="640"/>
      <c r="E695" s="640"/>
      <c r="F695" s="640"/>
      <c r="G695" s="640"/>
      <c r="H695" s="640"/>
      <c r="I695" s="640"/>
      <c r="J695" s="640"/>
      <c r="K695" s="640"/>
      <c r="L695" s="640"/>
      <c r="M695" s="640"/>
      <c r="N695" s="641"/>
    </row>
    <row r="696" spans="1:14" s="345" customFormat="1" x14ac:dyDescent="0.2">
      <c r="B696" s="627"/>
      <c r="C696" s="627"/>
      <c r="D696" s="627"/>
      <c r="E696" s="627"/>
      <c r="F696" s="627"/>
      <c r="G696" s="627"/>
      <c r="H696" s="627"/>
      <c r="I696" s="627"/>
      <c r="J696" s="627"/>
      <c r="K696" s="627"/>
      <c r="L696" s="627"/>
      <c r="M696" s="627"/>
    </row>
    <row r="697" spans="1:14" s="632" customFormat="1" x14ac:dyDescent="0.2">
      <c r="A697" s="632" t="s">
        <v>775</v>
      </c>
      <c r="B697" s="644">
        <f>SUM(B694,B690,B685,B681,B677,B670,B663)</f>
        <v>33842.080000000002</v>
      </c>
      <c r="C697" s="644">
        <f t="shared" ref="C697:M697" si="25">SUM(C694,C690,C685,C681,C677,C670,C663)</f>
        <v>29967.9</v>
      </c>
      <c r="D697" s="644">
        <f t="shared" si="25"/>
        <v>22209.440000000002</v>
      </c>
      <c r="E697" s="644">
        <f t="shared" si="25"/>
        <v>27620.76</v>
      </c>
      <c r="F697" s="644">
        <f t="shared" si="25"/>
        <v>9201.61</v>
      </c>
      <c r="G697" s="644">
        <f t="shared" si="25"/>
        <v>17014.599999999999</v>
      </c>
      <c r="H697" s="644">
        <f t="shared" si="25"/>
        <v>15301.3</v>
      </c>
      <c r="I697" s="644">
        <f t="shared" si="25"/>
        <v>16505.260000000002</v>
      </c>
      <c r="J697" s="644">
        <f t="shared" si="25"/>
        <v>16837.949999999997</v>
      </c>
      <c r="K697" s="644">
        <f t="shared" si="25"/>
        <v>17995.54</v>
      </c>
      <c r="L697" s="644">
        <f t="shared" si="25"/>
        <v>16732.86</v>
      </c>
      <c r="M697" s="644">
        <f t="shared" si="25"/>
        <v>29188.239999999998</v>
      </c>
      <c r="N697" s="632">
        <f>SUM(B697:M697)</f>
        <v>252417.54000000004</v>
      </c>
    </row>
    <row r="698" spans="1:14" s="345" customFormat="1" x14ac:dyDescent="0.2">
      <c r="B698" s="640" t="s">
        <v>776</v>
      </c>
      <c r="C698" s="640" t="s">
        <v>776</v>
      </c>
      <c r="D698" s="640" t="s">
        <v>776</v>
      </c>
      <c r="E698" s="640" t="s">
        <v>776</v>
      </c>
      <c r="F698" s="640" t="s">
        <v>776</v>
      </c>
      <c r="G698" s="640" t="s">
        <v>776</v>
      </c>
      <c r="H698" s="640" t="s">
        <v>776</v>
      </c>
      <c r="I698" s="640" t="s">
        <v>776</v>
      </c>
      <c r="J698" s="640" t="s">
        <v>776</v>
      </c>
      <c r="K698" s="640" t="s">
        <v>776</v>
      </c>
      <c r="L698" s="640" t="s">
        <v>776</v>
      </c>
      <c r="M698" s="640" t="s">
        <v>776</v>
      </c>
      <c r="N698" s="641" t="s">
        <v>776</v>
      </c>
    </row>
    <row r="699" spans="1:14" s="345" customFormat="1" x14ac:dyDescent="0.2">
      <c r="B699" s="627"/>
      <c r="C699" s="627"/>
      <c r="D699" s="627"/>
      <c r="E699" s="627"/>
      <c r="F699" s="627"/>
      <c r="G699" s="627"/>
      <c r="H699" s="627"/>
      <c r="I699" s="627"/>
      <c r="J699" s="627"/>
      <c r="K699" s="627"/>
      <c r="L699" s="627"/>
      <c r="M699" s="627"/>
    </row>
    <row r="700" spans="1:14" s="345" customFormat="1" x14ac:dyDescent="0.2">
      <c r="A700" s="345" t="s">
        <v>777</v>
      </c>
      <c r="B700" s="627"/>
      <c r="C700" s="627"/>
      <c r="D700" s="627"/>
      <c r="E700" s="627"/>
      <c r="F700" s="627"/>
      <c r="G700" s="627"/>
      <c r="H700" s="627"/>
      <c r="I700" s="627"/>
      <c r="J700" s="627"/>
      <c r="K700" s="627"/>
      <c r="L700" s="627"/>
      <c r="M700" s="627"/>
    </row>
    <row r="701" spans="1:14" s="345" customFormat="1" x14ac:dyDescent="0.2">
      <c r="A701" s="345" t="s">
        <v>778</v>
      </c>
      <c r="B701" s="635">
        <v>39.456000000000003</v>
      </c>
      <c r="C701" s="635">
        <v>39.46</v>
      </c>
      <c r="D701" s="635">
        <v>39.46</v>
      </c>
      <c r="E701" s="635">
        <v>59.19</v>
      </c>
      <c r="F701" s="635">
        <v>39.46</v>
      </c>
      <c r="G701" s="635">
        <v>39.46</v>
      </c>
      <c r="H701" s="635">
        <v>39.46</v>
      </c>
      <c r="I701" s="635">
        <v>39.46</v>
      </c>
      <c r="J701" s="635">
        <v>39.46</v>
      </c>
      <c r="K701" s="635">
        <v>59.19</v>
      </c>
      <c r="L701" s="635">
        <v>39.46</v>
      </c>
      <c r="M701" s="635">
        <v>39.46</v>
      </c>
      <c r="N701" s="644">
        <f>SUM(B701:M701)</f>
        <v>512.97599999999989</v>
      </c>
    </row>
    <row r="702" spans="1:14" s="345" customFormat="1" x14ac:dyDescent="0.2">
      <c r="A702" s="345" t="s">
        <v>779</v>
      </c>
      <c r="B702" s="635">
        <v>0</v>
      </c>
      <c r="C702" s="635">
        <v>0</v>
      </c>
      <c r="D702" s="635">
        <v>0</v>
      </c>
      <c r="E702" s="635">
        <v>0</v>
      </c>
      <c r="F702" s="635">
        <v>0</v>
      </c>
      <c r="G702" s="635">
        <v>0</v>
      </c>
      <c r="H702" s="635">
        <v>0</v>
      </c>
      <c r="I702" s="635">
        <v>19.73</v>
      </c>
      <c r="J702" s="635">
        <v>0</v>
      </c>
      <c r="K702" s="635">
        <v>0</v>
      </c>
      <c r="L702" s="635">
        <v>0</v>
      </c>
      <c r="M702" s="635">
        <v>0</v>
      </c>
      <c r="N702" s="644">
        <f>SUM(B702:M702)</f>
        <v>19.73</v>
      </c>
    </row>
    <row r="703" spans="1:14" s="345" customFormat="1" x14ac:dyDescent="0.2">
      <c r="B703" s="645" t="s">
        <v>769</v>
      </c>
      <c r="C703" s="645" t="s">
        <v>769</v>
      </c>
      <c r="D703" s="645" t="s">
        <v>769</v>
      </c>
      <c r="E703" s="645" t="s">
        <v>769</v>
      </c>
      <c r="F703" s="645" t="s">
        <v>769</v>
      </c>
      <c r="G703" s="645" t="s">
        <v>769</v>
      </c>
      <c r="H703" s="645" t="s">
        <v>769</v>
      </c>
      <c r="I703" s="645" t="s">
        <v>769</v>
      </c>
      <c r="J703" s="645" t="s">
        <v>769</v>
      </c>
      <c r="K703" s="645" t="s">
        <v>769</v>
      </c>
      <c r="L703" s="645" t="s">
        <v>769</v>
      </c>
      <c r="M703" s="645" t="s">
        <v>769</v>
      </c>
      <c r="N703" s="641" t="s">
        <v>769</v>
      </c>
    </row>
    <row r="704" spans="1:14" s="345" customFormat="1" x14ac:dyDescent="0.2">
      <c r="A704" s="629" t="s">
        <v>780</v>
      </c>
      <c r="B704" s="635">
        <v>39.456000000000003</v>
      </c>
      <c r="C704" s="635">
        <v>39.46</v>
      </c>
      <c r="D704" s="635">
        <v>39.46</v>
      </c>
      <c r="E704" s="635">
        <v>59.19</v>
      </c>
      <c r="F704" s="635">
        <v>39.46</v>
      </c>
      <c r="G704" s="635">
        <v>39.46</v>
      </c>
      <c r="H704" s="635">
        <v>39.46</v>
      </c>
      <c r="I704" s="635">
        <v>59.19</v>
      </c>
      <c r="J704" s="635">
        <v>39.46</v>
      </c>
      <c r="K704" s="635">
        <v>59.19</v>
      </c>
      <c r="L704" s="635">
        <v>39.46</v>
      </c>
      <c r="M704" s="635">
        <v>39.46</v>
      </c>
      <c r="N704" s="635">
        <f>N701+N702</f>
        <v>532.7059999999999</v>
      </c>
    </row>
    <row r="705" spans="1:14" s="345" customFormat="1" x14ac:dyDescent="0.2">
      <c r="B705" s="640" t="s">
        <v>776</v>
      </c>
      <c r="C705" s="640" t="s">
        <v>776</v>
      </c>
      <c r="D705" s="640" t="s">
        <v>776</v>
      </c>
      <c r="E705" s="640" t="s">
        <v>776</v>
      </c>
      <c r="F705" s="640" t="s">
        <v>776</v>
      </c>
      <c r="G705" s="640" t="s">
        <v>776</v>
      </c>
      <c r="H705" s="640" t="s">
        <v>776</v>
      </c>
      <c r="I705" s="640" t="s">
        <v>776</v>
      </c>
      <c r="J705" s="640" t="s">
        <v>776</v>
      </c>
      <c r="K705" s="640" t="s">
        <v>776</v>
      </c>
      <c r="L705" s="640" t="s">
        <v>776</v>
      </c>
      <c r="M705" s="640" t="s">
        <v>776</v>
      </c>
      <c r="N705" s="641" t="s">
        <v>776</v>
      </c>
    </row>
    <row r="706" spans="1:14" s="345" customFormat="1" x14ac:dyDescent="0.2">
      <c r="A706" s="345" t="s">
        <v>781</v>
      </c>
      <c r="B706" s="627"/>
      <c r="C706" s="627"/>
      <c r="D706" s="627"/>
      <c r="E706" s="627"/>
      <c r="F706" s="627"/>
      <c r="G706" s="627"/>
      <c r="H706" s="627"/>
      <c r="I706" s="627"/>
      <c r="J706" s="627"/>
      <c r="K706" s="627"/>
      <c r="L706" s="627"/>
      <c r="M706" s="627"/>
    </row>
    <row r="707" spans="1:14" s="345" customFormat="1" x14ac:dyDescent="0.2">
      <c r="A707" s="345" t="s">
        <v>782</v>
      </c>
      <c r="B707" s="627"/>
      <c r="C707" s="627"/>
      <c r="D707" s="627"/>
      <c r="E707" s="627"/>
      <c r="F707" s="627"/>
      <c r="G707" s="627"/>
      <c r="H707" s="627"/>
      <c r="I707" s="627"/>
      <c r="J707" s="627"/>
      <c r="K707" s="627"/>
      <c r="L707" s="627"/>
      <c r="M707" s="627"/>
    </row>
    <row r="708" spans="1:14" s="345" customFormat="1" x14ac:dyDescent="0.2">
      <c r="B708" s="627"/>
      <c r="C708" s="627"/>
      <c r="D708" s="627"/>
      <c r="E708" s="627"/>
      <c r="F708" s="627"/>
      <c r="G708" s="627"/>
      <c r="H708" s="627"/>
      <c r="I708" s="627"/>
      <c r="J708" s="627"/>
      <c r="K708" s="627"/>
      <c r="L708" s="627"/>
      <c r="M708" s="627"/>
    </row>
    <row r="709" spans="1:14" s="345" customFormat="1" x14ac:dyDescent="0.2">
      <c r="A709" s="345" t="s">
        <v>783</v>
      </c>
      <c r="B709" s="627"/>
      <c r="C709" s="627"/>
      <c r="D709" s="627"/>
      <c r="E709" s="627"/>
      <c r="F709" s="627"/>
      <c r="G709" s="627"/>
      <c r="H709" s="627"/>
      <c r="I709" s="627"/>
      <c r="J709" s="627"/>
      <c r="K709" s="627"/>
      <c r="L709" s="627"/>
      <c r="M709" s="627"/>
    </row>
    <row r="710" spans="1:14" s="345" customFormat="1" x14ac:dyDescent="0.2">
      <c r="A710" s="345" t="s">
        <v>784</v>
      </c>
      <c r="B710" s="627"/>
      <c r="C710" s="627"/>
      <c r="D710" s="627"/>
      <c r="E710" s="627"/>
      <c r="F710" s="627"/>
      <c r="G710" s="627"/>
      <c r="H710" s="627"/>
      <c r="I710" s="627"/>
      <c r="J710" s="627"/>
      <c r="K710" s="627"/>
      <c r="L710" s="627"/>
      <c r="M710" s="627"/>
    </row>
    <row r="711" spans="1:14" s="345" customFormat="1" x14ac:dyDescent="0.2">
      <c r="B711" s="627"/>
      <c r="C711" s="627"/>
      <c r="D711" s="627"/>
      <c r="E711" s="627"/>
      <c r="F711" s="627"/>
      <c r="G711" s="627"/>
      <c r="H711" s="627"/>
      <c r="I711" s="627"/>
      <c r="J711" s="627"/>
      <c r="K711" s="627"/>
      <c r="L711" s="627"/>
      <c r="M711" s="627"/>
    </row>
    <row r="712" spans="1:14" s="345" customFormat="1" x14ac:dyDescent="0.2">
      <c r="A712" s="345" t="s">
        <v>785</v>
      </c>
      <c r="B712" s="345" t="s">
        <v>786</v>
      </c>
      <c r="C712" s="627"/>
      <c r="D712" s="345" t="s">
        <v>787</v>
      </c>
      <c r="E712" s="627"/>
      <c r="F712" s="345" t="s">
        <v>788</v>
      </c>
      <c r="G712" s="627"/>
      <c r="H712" s="345" t="s">
        <v>789</v>
      </c>
      <c r="I712" s="627"/>
      <c r="J712" s="345" t="s">
        <v>790</v>
      </c>
      <c r="K712" s="627"/>
      <c r="L712" s="627"/>
      <c r="M712" s="627"/>
    </row>
    <row r="713" spans="1:14" s="345" customFormat="1" x14ac:dyDescent="0.2">
      <c r="A713" s="345" t="s">
        <v>791</v>
      </c>
      <c r="B713" s="345" t="s">
        <v>792</v>
      </c>
      <c r="C713" s="627"/>
      <c r="D713" s="345" t="s">
        <v>793</v>
      </c>
      <c r="E713" s="627"/>
      <c r="F713" s="345" t="s">
        <v>794</v>
      </c>
      <c r="G713" s="627"/>
      <c r="H713" s="345" t="s">
        <v>795</v>
      </c>
      <c r="I713" s="627"/>
      <c r="J713" s="345" t="s">
        <v>796</v>
      </c>
      <c r="K713" s="627"/>
      <c r="L713" s="627"/>
      <c r="M713" s="627"/>
    </row>
    <row r="714" spans="1:14" s="345" customFormat="1" x14ac:dyDescent="0.2">
      <c r="A714" s="627" t="s">
        <v>770</v>
      </c>
      <c r="B714" s="627"/>
      <c r="C714" s="627"/>
      <c r="D714" s="627"/>
      <c r="E714" s="627"/>
      <c r="F714" s="627"/>
      <c r="G714" s="627"/>
      <c r="H714" s="627"/>
      <c r="I714" s="627"/>
      <c r="J714" s="627"/>
      <c r="K714" s="627"/>
      <c r="L714" s="627"/>
      <c r="M714" s="627"/>
    </row>
    <row r="715" spans="1:14" s="345" customFormat="1" x14ac:dyDescent="0.2">
      <c r="A715" s="627" t="s">
        <v>771</v>
      </c>
      <c r="B715" s="627">
        <v>166225</v>
      </c>
      <c r="C715" s="627">
        <v>167925</v>
      </c>
      <c r="D715" s="627">
        <v>129275</v>
      </c>
      <c r="E715" s="627">
        <v>102217</v>
      </c>
      <c r="F715" s="627">
        <v>47075</v>
      </c>
      <c r="G715" s="627">
        <v>42608</v>
      </c>
      <c r="H715" s="627">
        <v>25117</v>
      </c>
      <c r="I715" s="627">
        <v>20575</v>
      </c>
      <c r="J715" s="627">
        <v>44867</v>
      </c>
      <c r="K715" s="627">
        <v>74842</v>
      </c>
      <c r="L715" s="627">
        <v>112958</v>
      </c>
      <c r="M715" s="627">
        <v>149900</v>
      </c>
    </row>
    <row r="716" spans="1:14" s="345" customFormat="1" x14ac:dyDescent="0.2">
      <c r="A716" s="627" t="s">
        <v>772</v>
      </c>
      <c r="B716" s="627"/>
      <c r="C716" s="627"/>
      <c r="D716" s="627"/>
      <c r="E716" s="627"/>
      <c r="F716" s="627"/>
      <c r="G716" s="627"/>
      <c r="H716" s="627"/>
      <c r="I716" s="627"/>
      <c r="J716" s="627"/>
      <c r="K716" s="627"/>
      <c r="L716" s="627"/>
      <c r="M716" s="627"/>
    </row>
    <row r="717" spans="1:14" s="345" customFormat="1" x14ac:dyDescent="0.2">
      <c r="A717" s="627"/>
      <c r="B717" s="627"/>
      <c r="C717" s="627"/>
      <c r="D717" s="627"/>
      <c r="E717" s="627"/>
      <c r="F717" s="627"/>
      <c r="G717" s="627"/>
      <c r="H717" s="627"/>
      <c r="I717" s="627"/>
      <c r="J717" s="627"/>
      <c r="K717" s="627"/>
      <c r="L717" s="627"/>
      <c r="M717" s="627"/>
    </row>
    <row r="718" spans="1:14" s="345" customFormat="1" x14ac:dyDescent="0.2">
      <c r="A718" s="627" t="s">
        <v>773</v>
      </c>
      <c r="B718" s="627">
        <v>328600</v>
      </c>
      <c r="C718" s="627">
        <v>319000</v>
      </c>
      <c r="D718" s="627">
        <v>251800</v>
      </c>
      <c r="E718" s="627">
        <v>339700</v>
      </c>
      <c r="F718" s="627">
        <v>596800</v>
      </c>
      <c r="G718" s="627">
        <v>877900</v>
      </c>
      <c r="H718" s="627">
        <v>10008000</v>
      </c>
      <c r="I718" s="627">
        <v>593200</v>
      </c>
      <c r="J718" s="627">
        <v>644700</v>
      </c>
      <c r="K718" s="627">
        <v>327800</v>
      </c>
      <c r="L718" s="627">
        <v>293200</v>
      </c>
      <c r="M718" s="627">
        <v>315801</v>
      </c>
    </row>
    <row r="719" spans="1:14" s="345" customFormat="1" x14ac:dyDescent="0.2">
      <c r="A719" s="627" t="s">
        <v>774</v>
      </c>
      <c r="B719" s="627"/>
      <c r="C719" s="627"/>
      <c r="D719" s="627"/>
      <c r="E719" s="627"/>
      <c r="F719" s="627"/>
      <c r="G719" s="627"/>
      <c r="H719" s="627"/>
      <c r="I719" s="627"/>
      <c r="J719" s="627"/>
      <c r="K719" s="627"/>
      <c r="L719" s="627"/>
      <c r="M719" s="627"/>
    </row>
    <row r="720" spans="1:14" s="345" customFormat="1" x14ac:dyDescent="0.2">
      <c r="A720" s="627" t="s">
        <v>772</v>
      </c>
      <c r="B720" s="627"/>
      <c r="C720" s="627"/>
      <c r="D720" s="627"/>
      <c r="E720" s="627"/>
      <c r="F720" s="627"/>
      <c r="G720" s="627"/>
      <c r="H720" s="627"/>
      <c r="I720" s="627"/>
      <c r="J720" s="627"/>
      <c r="K720" s="627"/>
      <c r="L720" s="627"/>
      <c r="M720" s="627"/>
    </row>
    <row r="721" spans="1:24" s="788" customFormat="1" ht="20.25" x14ac:dyDescent="0.3">
      <c r="A721" s="786">
        <v>40</v>
      </c>
      <c r="B721" s="787" t="s">
        <v>623</v>
      </c>
      <c r="C721" s="787"/>
      <c r="U721" s="789"/>
      <c r="X721" s="789"/>
    </row>
    <row r="722" spans="1:24" ht="31.15" customHeight="1" x14ac:dyDescent="0.2">
      <c r="B722" s="464" t="s">
        <v>871</v>
      </c>
    </row>
    <row r="723" spans="1:24" s="94" customFormat="1" x14ac:dyDescent="0.2">
      <c r="B723" s="465" t="s">
        <v>337</v>
      </c>
      <c r="C723" s="91">
        <v>41456</v>
      </c>
      <c r="D723" s="91">
        <v>41487</v>
      </c>
      <c r="E723" s="91">
        <v>41518</v>
      </c>
      <c r="F723" s="91">
        <v>41548</v>
      </c>
      <c r="G723" s="91">
        <v>41579</v>
      </c>
      <c r="H723" s="91">
        <v>41609</v>
      </c>
      <c r="I723" s="91">
        <v>41640</v>
      </c>
      <c r="J723" s="91">
        <v>41671</v>
      </c>
      <c r="K723" s="91">
        <v>41699</v>
      </c>
      <c r="L723" s="91">
        <v>41730</v>
      </c>
      <c r="M723" s="91">
        <v>41760</v>
      </c>
      <c r="N723" s="91">
        <v>41791</v>
      </c>
      <c r="O723" s="91">
        <v>41821</v>
      </c>
      <c r="P723" s="91">
        <v>41852</v>
      </c>
    </row>
    <row r="724" spans="1:24" ht="15" x14ac:dyDescent="0.25">
      <c r="C724" s="776"/>
      <c r="D724" s="776"/>
      <c r="E724" s="776"/>
      <c r="F724" s="776"/>
      <c r="G724" s="776"/>
      <c r="H724" s="776"/>
      <c r="I724" s="776"/>
      <c r="J724" s="776"/>
      <c r="K724" s="776"/>
      <c r="L724" s="776"/>
      <c r="M724" s="776"/>
      <c r="N724" s="776"/>
      <c r="O724" s="776"/>
      <c r="P724" s="776"/>
    </row>
    <row r="725" spans="1:24" x14ac:dyDescent="0.2">
      <c r="B725" s="95" t="s">
        <v>872</v>
      </c>
      <c r="C725" s="96">
        <v>151265.48623791776</v>
      </c>
      <c r="D725" s="96">
        <v>160590.0710060086</v>
      </c>
      <c r="E725" s="96">
        <v>144457.05926439114</v>
      </c>
      <c r="F725" s="96">
        <v>125807.8897282095</v>
      </c>
      <c r="G725" s="96">
        <v>113819.1378835213</v>
      </c>
      <c r="H725" s="96">
        <v>103014.4602950986</v>
      </c>
      <c r="I725" s="96">
        <v>121367.61126721387</v>
      </c>
      <c r="J725" s="96">
        <v>106566.68306389511</v>
      </c>
      <c r="K725" s="96">
        <v>120479.55557501475</v>
      </c>
      <c r="L725" s="96">
        <v>123587.75049771168</v>
      </c>
      <c r="M725" s="96">
        <v>138388.67870103044</v>
      </c>
      <c r="N725" s="96">
        <v>154373.68116061471</v>
      </c>
      <c r="O725" s="96">
        <v>152005.5326480837</v>
      </c>
      <c r="P725" s="96">
        <v>164734.33090293786</v>
      </c>
    </row>
    <row r="726" spans="1:24" ht="51" x14ac:dyDescent="0.2">
      <c r="B726" s="777" t="s">
        <v>873</v>
      </c>
      <c r="C726" s="96">
        <v>4256.840744204661</v>
      </c>
      <c r="D726" s="96">
        <v>4722.4899901254112</v>
      </c>
      <c r="E726" s="96">
        <v>4849.2352483654731</v>
      </c>
      <c r="F726" s="96">
        <v>5621.7063488818221</v>
      </c>
      <c r="G726" s="96">
        <v>8284.6067251601908</v>
      </c>
      <c r="H726" s="96">
        <v>9198.3225414667468</v>
      </c>
      <c r="I726" s="96">
        <v>10961.50657769387</v>
      </c>
      <c r="J726" s="96">
        <v>9524.7269967766206</v>
      </c>
      <c r="K726" s="96">
        <v>10187.285542645606</v>
      </c>
      <c r="L726" s="96">
        <v>7054.986060735243</v>
      </c>
      <c r="M726" s="96">
        <v>4238.3414362958547</v>
      </c>
      <c r="N726" s="96">
        <v>4485.9155074537912</v>
      </c>
      <c r="O726" s="96">
        <v>4407.3351139492697</v>
      </c>
      <c r="P726" s="96">
        <v>4609.7442081406625</v>
      </c>
    </row>
    <row r="727" spans="1:24" ht="25.5" x14ac:dyDescent="0.2">
      <c r="B727" s="777" t="s">
        <v>874</v>
      </c>
      <c r="C727" s="96">
        <v>114</v>
      </c>
      <c r="D727" s="96">
        <v>118</v>
      </c>
      <c r="E727" s="96">
        <v>307</v>
      </c>
      <c r="F727" s="96">
        <v>340</v>
      </c>
      <c r="G727" s="96">
        <v>412</v>
      </c>
      <c r="H727" s="96">
        <v>2094</v>
      </c>
      <c r="I727" s="96">
        <v>1802</v>
      </c>
      <c r="J727" s="96">
        <v>1176</v>
      </c>
      <c r="K727" s="96">
        <v>903</v>
      </c>
      <c r="L727" s="96">
        <v>1012</v>
      </c>
      <c r="M727" s="96">
        <v>881</v>
      </c>
      <c r="N727" s="96">
        <v>324</v>
      </c>
      <c r="O727" s="96">
        <v>283</v>
      </c>
      <c r="P727" s="96">
        <v>678</v>
      </c>
    </row>
    <row r="728" spans="1:24" ht="15" x14ac:dyDescent="0.25">
      <c r="B728" s="95" t="s">
        <v>322</v>
      </c>
      <c r="C728" s="778">
        <v>41890.800000000003</v>
      </c>
      <c r="D728" s="778">
        <v>11362.879500000001</v>
      </c>
      <c r="E728" s="778">
        <v>24850.221000000001</v>
      </c>
      <c r="F728" s="778">
        <v>91479.034500000009</v>
      </c>
      <c r="G728" s="778">
        <v>66987.877500000002</v>
      </c>
      <c r="H728" s="778">
        <v>22404.0975</v>
      </c>
      <c r="I728" s="778">
        <v>93760.587</v>
      </c>
      <c r="J728" s="778">
        <v>93184.588499999998</v>
      </c>
      <c r="K728" s="778">
        <v>62185.396500000003</v>
      </c>
      <c r="L728" s="778">
        <v>95832.685500000007</v>
      </c>
      <c r="M728" s="778">
        <v>22493.863499999999</v>
      </c>
      <c r="N728" s="778">
        <v>21850.540499999999</v>
      </c>
      <c r="O728" s="101">
        <v>9747.0915000000005</v>
      </c>
      <c r="P728" s="101">
        <v>74617.987500000003</v>
      </c>
    </row>
    <row r="729" spans="1:24" ht="15" x14ac:dyDescent="0.25">
      <c r="C729" s="776"/>
      <c r="D729" s="776"/>
      <c r="E729" s="776"/>
      <c r="F729" s="776"/>
      <c r="G729" s="776"/>
      <c r="H729" s="776"/>
      <c r="I729" s="776"/>
      <c r="J729" s="776"/>
      <c r="K729" s="776"/>
      <c r="L729" s="776"/>
      <c r="M729" s="776"/>
      <c r="N729" s="776"/>
      <c r="O729" s="776"/>
      <c r="P729" s="776"/>
    </row>
    <row r="730" spans="1:24" x14ac:dyDescent="0.2">
      <c r="B730" s="95" t="s">
        <v>875</v>
      </c>
      <c r="C730" s="858">
        <v>10835.374713516381</v>
      </c>
      <c r="D730" s="858">
        <v>11766.468692754397</v>
      </c>
      <c r="E730" s="858">
        <v>10554.284530090632</v>
      </c>
      <c r="F730" s="858">
        <v>7913.7331567154379</v>
      </c>
      <c r="G730" s="858">
        <v>7299.0547198005543</v>
      </c>
      <c r="H730" s="858">
        <v>6490.4561661133675</v>
      </c>
      <c r="I730" s="858">
        <v>7579.7296549628227</v>
      </c>
      <c r="J730" s="858">
        <v>7021.3440816478951</v>
      </c>
      <c r="K730" s="858">
        <v>7629.1441983171808</v>
      </c>
      <c r="L730" s="858">
        <v>7864.7182384225689</v>
      </c>
      <c r="M730" s="858">
        <v>9521.0547558830422</v>
      </c>
      <c r="N730" s="858">
        <v>11935.942955132547</v>
      </c>
      <c r="O730" s="858">
        <v>11603.927711401911</v>
      </c>
      <c r="P730" s="858">
        <v>12774.344822304694</v>
      </c>
    </row>
    <row r="731" spans="1:24" x14ac:dyDescent="0.2">
      <c r="B731" s="112" t="s">
        <v>876</v>
      </c>
      <c r="C731" s="779">
        <v>2238.4587553755609</v>
      </c>
      <c r="D731" s="779">
        <v>2348.8854574544443</v>
      </c>
      <c r="E731" s="779">
        <v>2460.0487986410476</v>
      </c>
      <c r="F731" s="779">
        <v>2782.3234084556052</v>
      </c>
      <c r="G731" s="779">
        <v>4471.4077168820659</v>
      </c>
      <c r="H731" s="779">
        <v>5180.1537014655287</v>
      </c>
      <c r="I731" s="779">
        <v>6460.6774615173799</v>
      </c>
      <c r="J731" s="779">
        <v>6728.5291073894105</v>
      </c>
      <c r="K731" s="779">
        <v>6080.2350278619997</v>
      </c>
      <c r="L731" s="779">
        <v>4188.1283148558186</v>
      </c>
      <c r="M731" s="779">
        <v>2661.051278789645</v>
      </c>
      <c r="N731" s="779">
        <v>2609.6057034578457</v>
      </c>
      <c r="O731" s="779">
        <v>2469.0234628832927</v>
      </c>
      <c r="P731" s="779">
        <v>2305.1887588903919</v>
      </c>
    </row>
    <row r="732" spans="1:24" ht="25.5" x14ac:dyDescent="0.2">
      <c r="B732" s="777" t="s">
        <v>877</v>
      </c>
      <c r="C732" s="779">
        <v>107.87922471910112</v>
      </c>
      <c r="D732" s="779">
        <v>111.66446067415733</v>
      </c>
      <c r="E732" s="779">
        <v>290.51685955056178</v>
      </c>
      <c r="F732" s="779">
        <v>321.7450561797753</v>
      </c>
      <c r="G732" s="779">
        <v>389.87930337078654</v>
      </c>
      <c r="H732" s="779">
        <v>1958.65</v>
      </c>
      <c r="I732" s="779">
        <v>1710.31</v>
      </c>
      <c r="J732" s="779">
        <v>1089.45</v>
      </c>
      <c r="K732" s="779">
        <v>765.71</v>
      </c>
      <c r="L732" s="779">
        <v>854.38</v>
      </c>
      <c r="M732" s="779">
        <v>807.61</v>
      </c>
      <c r="N732" s="779">
        <v>319.60000000000002</v>
      </c>
      <c r="O732" s="779">
        <v>282.14</v>
      </c>
      <c r="P732" s="779">
        <v>601.01</v>
      </c>
    </row>
    <row r="733" spans="1:24" ht="15" x14ac:dyDescent="0.25">
      <c r="B733" s="112" t="s">
        <v>410</v>
      </c>
      <c r="C733" s="780">
        <f>417.26-12.87</f>
        <v>404.39</v>
      </c>
      <c r="D733" s="780">
        <f>178.78-10.98</f>
        <v>167.8</v>
      </c>
      <c r="E733" s="780">
        <f>270.54-10.22</f>
        <v>260.32</v>
      </c>
      <c r="F733" s="780">
        <f>841.17-14.19</f>
        <v>826.9799999999999</v>
      </c>
      <c r="G733" s="780">
        <f>630.7-12.16</f>
        <v>618.54000000000008</v>
      </c>
      <c r="H733" s="780">
        <v>282.63</v>
      </c>
      <c r="I733" s="780">
        <v>827.71</v>
      </c>
      <c r="J733" s="780">
        <f>1578.26-I733</f>
        <v>750.55</v>
      </c>
      <c r="K733" s="780">
        <v>570.96</v>
      </c>
      <c r="L733" s="780">
        <v>861.08</v>
      </c>
      <c r="M733" s="780">
        <v>263.41000000000003</v>
      </c>
      <c r="N733" s="780">
        <v>278.3</v>
      </c>
      <c r="O733" s="780">
        <v>163.58000000000001</v>
      </c>
      <c r="P733" s="779">
        <v>684.94</v>
      </c>
    </row>
    <row r="734" spans="1:24" s="788" customFormat="1" ht="20.25" x14ac:dyDescent="0.3">
      <c r="A734" s="786">
        <v>41</v>
      </c>
      <c r="B734" s="787" t="s">
        <v>624</v>
      </c>
      <c r="S734" s="791"/>
      <c r="T734" s="789"/>
      <c r="W734" s="789"/>
    </row>
    <row r="735" spans="1:24" s="543" customFormat="1" ht="20.25" x14ac:dyDescent="0.3">
      <c r="A735" s="570" t="s">
        <v>531</v>
      </c>
      <c r="B735" s="127"/>
      <c r="C735" s="128" t="s">
        <v>62</v>
      </c>
      <c r="D735" s="128"/>
      <c r="E735" s="128"/>
      <c r="F735" s="128"/>
      <c r="G735" s="128"/>
      <c r="H735" s="128"/>
      <c r="I735" s="128"/>
      <c r="J735" s="128"/>
      <c r="K735" s="128"/>
      <c r="L735" s="128"/>
      <c r="M735" s="128"/>
      <c r="S735" s="545"/>
      <c r="T735" s="544"/>
      <c r="W735" s="544"/>
    </row>
    <row r="736" spans="1:24" s="543" customFormat="1" ht="20.25" x14ac:dyDescent="0.3">
      <c r="A736" s="570"/>
      <c r="D736" s="564" t="s">
        <v>709</v>
      </c>
      <c r="E736" s="128" t="s">
        <v>710</v>
      </c>
      <c r="F736" s="128" t="s">
        <v>711</v>
      </c>
      <c r="G736" s="128" t="s">
        <v>712</v>
      </c>
      <c r="H736" s="128" t="s">
        <v>713</v>
      </c>
      <c r="I736" s="128" t="s">
        <v>714</v>
      </c>
      <c r="J736" s="128" t="s">
        <v>715</v>
      </c>
      <c r="K736" s="128" t="s">
        <v>716</v>
      </c>
      <c r="L736" s="128" t="s">
        <v>717</v>
      </c>
      <c r="M736" s="128" t="s">
        <v>718</v>
      </c>
      <c r="N736" s="128" t="s">
        <v>581</v>
      </c>
      <c r="O736" s="128" t="s">
        <v>719</v>
      </c>
      <c r="S736" s="545"/>
      <c r="T736" s="544"/>
      <c r="W736" s="544"/>
    </row>
    <row r="737" spans="1:23" s="543" customFormat="1" ht="20.25" x14ac:dyDescent="0.3">
      <c r="A737" s="570" t="s">
        <v>694</v>
      </c>
      <c r="D737" s="564"/>
      <c r="E737" s="128"/>
      <c r="F737" s="128"/>
      <c r="G737" s="128"/>
      <c r="H737" s="128"/>
      <c r="I737" s="128"/>
      <c r="J737" s="128"/>
      <c r="K737" s="128"/>
      <c r="L737" s="128"/>
      <c r="M737" s="128"/>
      <c r="N737" s="128"/>
      <c r="O737" s="128"/>
      <c r="S737" s="545"/>
      <c r="T737" s="544"/>
      <c r="W737" s="544"/>
    </row>
    <row r="738" spans="1:23" s="543" customFormat="1" ht="20.25" x14ac:dyDescent="0.3">
      <c r="A738" s="570" t="s">
        <v>695</v>
      </c>
      <c r="D738" s="566">
        <v>163324</v>
      </c>
      <c r="E738" s="562">
        <v>175940</v>
      </c>
      <c r="F738" s="562">
        <v>215472</v>
      </c>
      <c r="G738" s="562">
        <v>177599</v>
      </c>
      <c r="H738" s="562">
        <v>155770</v>
      </c>
      <c r="I738" s="562">
        <v>138580</v>
      </c>
      <c r="J738" s="562">
        <v>148199</v>
      </c>
      <c r="K738" s="562">
        <v>131000</v>
      </c>
      <c r="L738" s="562">
        <v>153381</v>
      </c>
      <c r="M738" s="562">
        <v>161007</v>
      </c>
      <c r="N738" s="562">
        <v>160801</v>
      </c>
      <c r="O738" s="562">
        <v>37260</v>
      </c>
      <c r="S738" s="545"/>
      <c r="T738" s="544"/>
      <c r="W738" s="544"/>
    </row>
    <row r="739" spans="1:23" s="543" customFormat="1" ht="20.25" x14ac:dyDescent="0.3">
      <c r="A739" s="570" t="s">
        <v>696</v>
      </c>
      <c r="D739" s="566">
        <v>2134</v>
      </c>
      <c r="E739" s="562">
        <v>2912</v>
      </c>
      <c r="F739" s="562">
        <v>3806</v>
      </c>
      <c r="G739" s="562">
        <v>3609</v>
      </c>
      <c r="H739" s="562">
        <v>4632</v>
      </c>
      <c r="I739" s="562">
        <v>5855</v>
      </c>
      <c r="J739" s="562">
        <v>6585</v>
      </c>
      <c r="K739" s="562">
        <v>5964</v>
      </c>
      <c r="L739" s="562">
        <v>5972</v>
      </c>
      <c r="M739" s="562">
        <v>3972</v>
      </c>
      <c r="N739" s="562">
        <v>1376</v>
      </c>
      <c r="O739" s="562">
        <v>268</v>
      </c>
      <c r="S739" s="545"/>
      <c r="T739" s="544"/>
      <c r="W739" s="544"/>
    </row>
    <row r="740" spans="1:23" s="543" customFormat="1" ht="20.25" x14ac:dyDescent="0.3">
      <c r="A740" s="570" t="s">
        <v>697</v>
      </c>
      <c r="D740" s="566">
        <v>14673.796791443849</v>
      </c>
      <c r="E740" s="562">
        <v>64347.593582887697</v>
      </c>
      <c r="F740" s="562">
        <v>97355.614973262025</v>
      </c>
      <c r="G740" s="562">
        <v>40498.663101604274</v>
      </c>
      <c r="H740" s="562">
        <v>42875.668449197859</v>
      </c>
      <c r="I740" s="562">
        <v>54553.475935828872</v>
      </c>
      <c r="J740" s="562">
        <v>59014.705882352937</v>
      </c>
      <c r="K740" s="562">
        <v>62072.19251336898</v>
      </c>
      <c r="L740" s="562">
        <v>74533.422459893045</v>
      </c>
      <c r="M740" s="562">
        <v>62820.855614973254</v>
      </c>
      <c r="N740" s="562">
        <v>21835.561497326202</v>
      </c>
      <c r="O740" s="562">
        <v>6530.7486631016036</v>
      </c>
      <c r="S740" s="545"/>
      <c r="T740" s="544"/>
      <c r="W740" s="544"/>
    </row>
    <row r="741" spans="1:23" s="543" customFormat="1" ht="20.25" x14ac:dyDescent="0.3">
      <c r="A741" s="570"/>
      <c r="D741" s="564"/>
      <c r="E741" s="128"/>
      <c r="F741" s="128"/>
      <c r="G741" s="128"/>
      <c r="H741" s="128"/>
      <c r="I741" s="128"/>
      <c r="J741" s="128"/>
      <c r="K741" s="128"/>
      <c r="L741" s="128"/>
      <c r="M741" s="128"/>
      <c r="N741" s="128"/>
      <c r="O741" s="128"/>
      <c r="S741" s="545"/>
      <c r="T741" s="544"/>
      <c r="W741" s="544"/>
    </row>
    <row r="742" spans="1:23" s="543" customFormat="1" ht="20.25" x14ac:dyDescent="0.3">
      <c r="A742" s="570" t="s">
        <v>698</v>
      </c>
      <c r="D742" s="564"/>
      <c r="E742" s="128"/>
      <c r="F742" s="128"/>
      <c r="G742" s="128"/>
      <c r="H742" s="128"/>
      <c r="I742" s="128"/>
      <c r="J742" s="128"/>
      <c r="K742" s="128"/>
      <c r="L742" s="128"/>
      <c r="M742" s="128"/>
      <c r="N742" s="128"/>
      <c r="O742" s="128"/>
      <c r="S742" s="545"/>
      <c r="T742" s="544"/>
      <c r="W742" s="544"/>
    </row>
    <row r="743" spans="1:23" s="543" customFormat="1" ht="20.25" x14ac:dyDescent="0.3">
      <c r="A743" s="570" t="s">
        <v>699</v>
      </c>
      <c r="D743" s="565">
        <v>10914.967070385144</v>
      </c>
      <c r="E743" s="563">
        <v>11676.037823770699</v>
      </c>
      <c r="F743" s="563">
        <v>14552.26614903164</v>
      </c>
      <c r="G743" s="563">
        <v>10762.516728326584</v>
      </c>
      <c r="H743" s="563">
        <v>8944.2066166650402</v>
      </c>
      <c r="I743" s="563">
        <v>8089.1439663164956</v>
      </c>
      <c r="J743" s="563">
        <v>8492.547790906523</v>
      </c>
      <c r="K743" s="563">
        <v>7637.8065839776627</v>
      </c>
      <c r="L743" s="563">
        <v>9087.3970368723258</v>
      </c>
      <c r="M743" s="563">
        <v>9153.1176712605793</v>
      </c>
      <c r="N743" s="563">
        <v>9283.0281266481907</v>
      </c>
      <c r="O743" s="563">
        <v>2416.7619482665227</v>
      </c>
      <c r="S743" s="545"/>
      <c r="T743" s="544"/>
      <c r="W743" s="544"/>
    </row>
    <row r="744" spans="1:23" s="543" customFormat="1" ht="20.25" x14ac:dyDescent="0.3">
      <c r="A744" s="570" t="s">
        <v>700</v>
      </c>
      <c r="D744" s="565">
        <v>1942.16</v>
      </c>
      <c r="E744" s="563">
        <v>2641.33</v>
      </c>
      <c r="F744" s="563">
        <v>3444.74</v>
      </c>
      <c r="G744" s="563">
        <v>3267.71</v>
      </c>
      <c r="H744" s="563">
        <v>4321.62</v>
      </c>
      <c r="I744" s="563">
        <v>5413.39</v>
      </c>
      <c r="J744" s="563">
        <v>6168.68</v>
      </c>
      <c r="K744" s="563">
        <v>5504.48</v>
      </c>
      <c r="L744" s="563">
        <v>5110.7700000000004</v>
      </c>
      <c r="M744" s="563">
        <v>3259.05</v>
      </c>
      <c r="N744" s="563">
        <v>1219.6099999999999</v>
      </c>
      <c r="O744" s="563">
        <v>262.64999999999998</v>
      </c>
      <c r="S744" s="545"/>
      <c r="T744" s="544"/>
      <c r="W744" s="544"/>
    </row>
    <row r="745" spans="1:23" s="543" customFormat="1" ht="20.25" x14ac:dyDescent="0.3">
      <c r="A745" s="570" t="s">
        <v>701</v>
      </c>
      <c r="D745" s="565">
        <v>1256.7939256631141</v>
      </c>
      <c r="E745" s="563">
        <v>4887.4234832454877</v>
      </c>
      <c r="F745" s="563">
        <v>7233.6021105500104</v>
      </c>
      <c r="G745" s="563">
        <v>3155.636713669558</v>
      </c>
      <c r="H745" s="563">
        <v>3396.0192968061247</v>
      </c>
      <c r="I745" s="563">
        <v>4740.5033468648317</v>
      </c>
      <c r="J745" s="563">
        <v>4066.1627345566576</v>
      </c>
      <c r="K745" s="563">
        <v>5148.8731653741233</v>
      </c>
      <c r="L745" s="563">
        <v>5141.820306024043</v>
      </c>
      <c r="M745" s="563">
        <v>4566.6246405435049</v>
      </c>
      <c r="N745" s="563">
        <v>1624.6640382193648</v>
      </c>
      <c r="O745" s="563">
        <v>495.76066569298837</v>
      </c>
      <c r="S745" s="545"/>
      <c r="T745" s="544"/>
      <c r="W745" s="544"/>
    </row>
    <row r="746" spans="1:23" s="788" customFormat="1" ht="20.25" x14ac:dyDescent="0.3">
      <c r="A746" s="786">
        <v>42</v>
      </c>
      <c r="B746" s="787" t="s">
        <v>625</v>
      </c>
      <c r="S746" s="791"/>
      <c r="T746" s="789"/>
      <c r="W746" s="789"/>
    </row>
    <row r="747" spans="1:23" ht="15" x14ac:dyDescent="0.25">
      <c r="B747" s="712" t="s">
        <v>866</v>
      </c>
      <c r="C747" s="713"/>
      <c r="D747" s="713"/>
      <c r="E747" s="713"/>
      <c r="F747" s="713"/>
      <c r="G747" s="713"/>
      <c r="H747" s="713"/>
      <c r="I747" s="713"/>
      <c r="J747" s="713"/>
      <c r="K747" s="713"/>
      <c r="L747" s="713"/>
      <c r="M747" s="713"/>
      <c r="N747" s="713"/>
      <c r="O747" s="713"/>
      <c r="P747" s="713"/>
      <c r="Q747" s="713"/>
      <c r="R747" s="713"/>
      <c r="S747" s="713"/>
      <c r="T747" s="714"/>
      <c r="U747" s="715"/>
      <c r="V747" s="716"/>
    </row>
    <row r="748" spans="1:23" ht="15" x14ac:dyDescent="0.25">
      <c r="B748" s="717" t="s">
        <v>337</v>
      </c>
      <c r="G748" s="719">
        <v>41487</v>
      </c>
      <c r="H748" s="719">
        <v>41518</v>
      </c>
      <c r="I748" s="719">
        <v>41548</v>
      </c>
      <c r="J748" s="719">
        <v>41579</v>
      </c>
      <c r="K748" s="719">
        <v>41609</v>
      </c>
      <c r="L748" s="719">
        <v>41640</v>
      </c>
      <c r="M748" s="719">
        <v>41671</v>
      </c>
      <c r="N748" s="719">
        <v>41699</v>
      </c>
      <c r="O748" s="719">
        <v>41730</v>
      </c>
      <c r="P748" s="719">
        <v>41760</v>
      </c>
      <c r="Q748" s="719">
        <v>41791</v>
      </c>
      <c r="R748" s="719">
        <v>41821</v>
      </c>
      <c r="S748" s="719">
        <v>41852</v>
      </c>
      <c r="T748" s="718"/>
      <c r="U748" s="720" t="s">
        <v>338</v>
      </c>
      <c r="V748" s="721" t="s">
        <v>339</v>
      </c>
    </row>
    <row r="749" spans="1:23" ht="15" x14ac:dyDescent="0.25">
      <c r="B749" s="722" t="s">
        <v>360</v>
      </c>
      <c r="G749" s="734">
        <v>19200</v>
      </c>
      <c r="H749" s="734">
        <v>12120</v>
      </c>
      <c r="I749" s="734">
        <v>13440</v>
      </c>
      <c r="J749" s="734">
        <v>20280</v>
      </c>
      <c r="K749" s="734">
        <v>24960</v>
      </c>
      <c r="L749" s="734">
        <v>26520</v>
      </c>
      <c r="M749" s="736">
        <v>26160</v>
      </c>
      <c r="N749" s="736">
        <v>15240</v>
      </c>
      <c r="O749" s="736">
        <v>15120</v>
      </c>
      <c r="P749" s="736">
        <v>14280</v>
      </c>
      <c r="Q749" s="736">
        <v>11280</v>
      </c>
      <c r="R749" s="736">
        <v>14219.29</v>
      </c>
      <c r="S749" s="736">
        <v>13560</v>
      </c>
      <c r="T749" s="714"/>
      <c r="U749" s="724">
        <f>SUM(G749:S749)</f>
        <v>226379.29</v>
      </c>
      <c r="V749" s="725" t="s">
        <v>361</v>
      </c>
    </row>
    <row r="750" spans="1:23" x14ac:dyDescent="0.2">
      <c r="B750" s="728" t="s">
        <v>864</v>
      </c>
      <c r="G750" s="750">
        <v>0</v>
      </c>
      <c r="H750" s="750">
        <v>2</v>
      </c>
      <c r="I750" s="750">
        <v>0</v>
      </c>
      <c r="J750" s="750">
        <v>1</v>
      </c>
      <c r="K750" s="750">
        <v>1</v>
      </c>
      <c r="L750" s="750">
        <v>0</v>
      </c>
      <c r="M750" s="728">
        <v>1</v>
      </c>
      <c r="N750" s="728">
        <v>1</v>
      </c>
      <c r="O750" s="728">
        <v>1</v>
      </c>
      <c r="P750" s="728">
        <v>1</v>
      </c>
      <c r="Q750" s="728">
        <v>1</v>
      </c>
      <c r="R750" s="728">
        <v>1</v>
      </c>
      <c r="S750" s="728">
        <v>1</v>
      </c>
      <c r="T750" s="730"/>
      <c r="U750" s="724">
        <f>SUM(G750:S750)</f>
        <v>11</v>
      </c>
      <c r="V750" s="727" t="s">
        <v>379</v>
      </c>
    </row>
    <row r="751" spans="1:23" ht="15" x14ac:dyDescent="0.25">
      <c r="B751" s="722" t="s">
        <v>368</v>
      </c>
      <c r="G751" s="731">
        <v>1451.38</v>
      </c>
      <c r="H751" s="731">
        <v>945.06</v>
      </c>
      <c r="I751" s="731">
        <v>1123.3499999999999</v>
      </c>
      <c r="J751" s="731">
        <v>1527.15</v>
      </c>
      <c r="K751" s="731">
        <v>1714.14</v>
      </c>
      <c r="L751" s="731">
        <v>1839.47</v>
      </c>
      <c r="M751" s="455">
        <v>1873.1</v>
      </c>
      <c r="N751" s="455">
        <v>1184.81</v>
      </c>
      <c r="O751" s="455">
        <v>1193.8699999999999</v>
      </c>
      <c r="P751" s="455">
        <v>1052.54</v>
      </c>
      <c r="Q751" s="455">
        <v>1080.6099999999999</v>
      </c>
      <c r="R751" s="455">
        <v>736.23</v>
      </c>
      <c r="S751" s="455">
        <v>1071.77</v>
      </c>
      <c r="T751" s="714"/>
      <c r="U751" s="724">
        <f>SUM(G751:S751)</f>
        <v>16793.480000000003</v>
      </c>
      <c r="V751" s="725" t="s">
        <v>865</v>
      </c>
    </row>
    <row r="752" spans="1:23" ht="15" x14ac:dyDescent="0.25">
      <c r="B752" s="732" t="s">
        <v>325</v>
      </c>
      <c r="G752" s="455">
        <v>48.83</v>
      </c>
      <c r="H752" s="751">
        <v>116.33</v>
      </c>
      <c r="I752" s="455">
        <v>48.83</v>
      </c>
      <c r="J752" s="455">
        <v>55.664999999999999</v>
      </c>
      <c r="K752" s="751">
        <v>104.495</v>
      </c>
      <c r="L752" s="455">
        <v>48.83</v>
      </c>
      <c r="M752" s="455">
        <v>55.664999999999999</v>
      </c>
      <c r="N752" s="455">
        <v>55.664999999999999</v>
      </c>
      <c r="O752" s="455">
        <v>55.664999999999999</v>
      </c>
      <c r="P752" s="455">
        <v>55.664999999999999</v>
      </c>
      <c r="Q752" s="455">
        <v>55.664999999999999</v>
      </c>
      <c r="R752" s="455">
        <v>55.664999999999999</v>
      </c>
      <c r="S752" s="455">
        <v>55.664999999999999</v>
      </c>
      <c r="T752" s="714"/>
      <c r="U752" s="724">
        <f>SUM(G752:S752)</f>
        <v>812.63499999999988</v>
      </c>
      <c r="V752" s="725" t="s">
        <v>865</v>
      </c>
    </row>
    <row r="753" spans="1:23" s="788" customFormat="1" ht="20.25" x14ac:dyDescent="0.3">
      <c r="A753" s="786">
        <v>43</v>
      </c>
      <c r="B753" s="787" t="s">
        <v>626</v>
      </c>
      <c r="S753" s="791"/>
      <c r="T753" s="789"/>
      <c r="W753" s="789"/>
    </row>
    <row r="754" spans="1:23" s="543" customFormat="1" ht="20.25" x14ac:dyDescent="0.3">
      <c r="A754" s="570" t="s">
        <v>532</v>
      </c>
      <c r="B754" s="564"/>
      <c r="C754" s="128" t="s">
        <v>84</v>
      </c>
      <c r="D754" s="128"/>
      <c r="E754" s="128"/>
      <c r="F754" s="128"/>
      <c r="G754" s="128"/>
      <c r="H754" s="128"/>
      <c r="I754" s="128"/>
      <c r="J754" s="128"/>
      <c r="K754" s="128"/>
      <c r="L754" s="128"/>
      <c r="M754" s="128"/>
      <c r="S754" s="545"/>
      <c r="T754" s="544"/>
      <c r="W754" s="544"/>
    </row>
    <row r="755" spans="1:23" s="543" customFormat="1" ht="20.25" x14ac:dyDescent="0.3">
      <c r="A755" s="173"/>
      <c r="D755" s="564" t="s">
        <v>682</v>
      </c>
      <c r="E755" s="128" t="s">
        <v>683</v>
      </c>
      <c r="F755" s="128" t="s">
        <v>684</v>
      </c>
      <c r="G755" s="128" t="s">
        <v>685</v>
      </c>
      <c r="H755" s="128" t="s">
        <v>686</v>
      </c>
      <c r="I755" s="128" t="s">
        <v>687</v>
      </c>
      <c r="J755" s="128" t="s">
        <v>688</v>
      </c>
      <c r="K755" s="128" t="s">
        <v>689</v>
      </c>
      <c r="L755" s="128" t="s">
        <v>690</v>
      </c>
      <c r="M755" s="128" t="s">
        <v>691</v>
      </c>
      <c r="N755" s="128" t="s">
        <v>692</v>
      </c>
      <c r="O755" s="128" t="s">
        <v>693</v>
      </c>
      <c r="S755" s="545"/>
      <c r="T755" s="544"/>
      <c r="W755" s="544"/>
    </row>
    <row r="756" spans="1:23" s="543" customFormat="1" ht="20.25" x14ac:dyDescent="0.3">
      <c r="A756" s="570" t="s">
        <v>694</v>
      </c>
      <c r="D756" s="564"/>
      <c r="E756" s="128"/>
      <c r="F756" s="128"/>
      <c r="G756" s="128"/>
      <c r="H756" s="128"/>
      <c r="I756" s="128"/>
      <c r="J756" s="128"/>
      <c r="K756" s="128"/>
      <c r="L756" s="128"/>
      <c r="M756" s="128"/>
      <c r="N756" s="128"/>
      <c r="O756" s="128"/>
      <c r="S756" s="545"/>
      <c r="T756" s="544"/>
      <c r="W756" s="544"/>
    </row>
    <row r="757" spans="1:23" s="543" customFormat="1" ht="20.25" x14ac:dyDescent="0.3">
      <c r="A757" s="570" t="s">
        <v>695</v>
      </c>
      <c r="D757" s="566">
        <v>62719</v>
      </c>
      <c r="E757" s="562">
        <v>135317</v>
      </c>
      <c r="F757" s="562">
        <v>83282</v>
      </c>
      <c r="G757" s="562">
        <v>75172</v>
      </c>
      <c r="H757" s="562">
        <v>106109</v>
      </c>
      <c r="I757" s="562">
        <v>86868</v>
      </c>
      <c r="J757" s="562">
        <v>82705</v>
      </c>
      <c r="K757" s="562">
        <v>91894</v>
      </c>
      <c r="L757" s="562">
        <v>91196</v>
      </c>
      <c r="M757" s="562">
        <v>96122</v>
      </c>
      <c r="N757" s="562">
        <v>77072</v>
      </c>
      <c r="O757" s="562">
        <v>63855</v>
      </c>
      <c r="S757" s="545"/>
      <c r="T757" s="544"/>
      <c r="W757" s="544"/>
    </row>
    <row r="758" spans="1:23" s="543" customFormat="1" ht="20.25" x14ac:dyDescent="0.3">
      <c r="A758" s="570" t="s">
        <v>696</v>
      </c>
      <c r="D758" s="566">
        <v>100</v>
      </c>
      <c r="E758" s="562">
        <v>281</v>
      </c>
      <c r="F758" s="562">
        <v>690</v>
      </c>
      <c r="G758" s="562">
        <v>675</v>
      </c>
      <c r="H758" s="562">
        <v>783</v>
      </c>
      <c r="I758" s="562">
        <v>617</v>
      </c>
      <c r="J758" s="562">
        <v>821</v>
      </c>
      <c r="K758" s="562">
        <v>1211</v>
      </c>
      <c r="L758" s="562">
        <v>907</v>
      </c>
      <c r="M758" s="562">
        <v>1007</v>
      </c>
      <c r="N758" s="562">
        <v>613</v>
      </c>
      <c r="O758" s="562">
        <v>125</v>
      </c>
      <c r="S758" s="545"/>
      <c r="T758" s="544"/>
      <c r="W758" s="544"/>
    </row>
    <row r="759" spans="1:23" s="543" customFormat="1" ht="20.25" x14ac:dyDescent="0.3">
      <c r="A759" s="570" t="s">
        <v>697</v>
      </c>
      <c r="D759" s="566">
        <v>1999</v>
      </c>
      <c r="E759" s="562">
        <v>25635</v>
      </c>
      <c r="F759" s="562">
        <v>50734</v>
      </c>
      <c r="G759" s="562">
        <v>35367</v>
      </c>
      <c r="H759" s="562">
        <v>39687</v>
      </c>
      <c r="I759" s="562">
        <v>16640</v>
      </c>
      <c r="J759" s="562">
        <v>38589</v>
      </c>
      <c r="K759" s="562">
        <v>35870</v>
      </c>
      <c r="L759" s="562">
        <v>30818</v>
      </c>
      <c r="M759" s="562">
        <v>26888</v>
      </c>
      <c r="N759" s="562">
        <v>22548</v>
      </c>
      <c r="O759" s="562">
        <v>2485</v>
      </c>
      <c r="S759" s="545"/>
      <c r="T759" s="544"/>
      <c r="W759" s="544"/>
    </row>
    <row r="760" spans="1:23" s="543" customFormat="1" ht="20.25" x14ac:dyDescent="0.3">
      <c r="A760" s="570"/>
      <c r="D760" s="564"/>
      <c r="E760" s="128"/>
      <c r="F760" s="128"/>
      <c r="G760" s="128"/>
      <c r="H760" s="128"/>
      <c r="I760" s="128"/>
      <c r="J760" s="128"/>
      <c r="K760" s="128"/>
      <c r="L760" s="128"/>
      <c r="M760" s="128"/>
      <c r="N760" s="128"/>
      <c r="O760" s="128"/>
      <c r="S760" s="545"/>
      <c r="T760" s="544"/>
      <c r="W760" s="544"/>
    </row>
    <row r="761" spans="1:23" s="543" customFormat="1" ht="20.25" x14ac:dyDescent="0.3">
      <c r="A761" s="570" t="s">
        <v>698</v>
      </c>
      <c r="D761" s="564"/>
      <c r="E761" s="128"/>
      <c r="F761" s="128"/>
      <c r="G761" s="128"/>
      <c r="H761" s="128"/>
      <c r="I761" s="128"/>
      <c r="J761" s="128"/>
      <c r="K761" s="128"/>
      <c r="L761" s="128"/>
      <c r="M761" s="128"/>
      <c r="N761" s="128"/>
      <c r="O761" s="128"/>
      <c r="S761" s="545"/>
      <c r="T761" s="544"/>
      <c r="W761" s="544"/>
    </row>
    <row r="762" spans="1:23" s="543" customFormat="1" ht="20.25" x14ac:dyDescent="0.3">
      <c r="A762" s="570" t="s">
        <v>699</v>
      </c>
      <c r="D762" s="565">
        <v>4191.5200441299867</v>
      </c>
      <c r="E762" s="563">
        <v>8980.1432886164584</v>
      </c>
      <c r="F762" s="563">
        <v>5624.5908026270372</v>
      </c>
      <c r="G762" s="563">
        <v>4555.4305345287185</v>
      </c>
      <c r="H762" s="563">
        <v>6092.7060402369571</v>
      </c>
      <c r="I762" s="563">
        <v>5070.628936830577</v>
      </c>
      <c r="J762" s="563">
        <v>4739.4123107910573</v>
      </c>
      <c r="K762" s="563">
        <v>5357.7755589926974</v>
      </c>
      <c r="L762" s="563">
        <v>5403.1089911697582</v>
      </c>
      <c r="M762" s="563">
        <v>5464.4579229282544</v>
      </c>
      <c r="N762" s="563">
        <v>4449.3600399066509</v>
      </c>
      <c r="O762" s="563">
        <v>4141.7695707611056</v>
      </c>
      <c r="S762" s="545"/>
      <c r="T762" s="544"/>
      <c r="W762" s="544"/>
    </row>
    <row r="763" spans="1:23" s="543" customFormat="1" ht="20.25" x14ac:dyDescent="0.3">
      <c r="A763" s="570" t="s">
        <v>700</v>
      </c>
      <c r="D763" s="565">
        <v>113.07</v>
      </c>
      <c r="E763" s="563">
        <v>276.93</v>
      </c>
      <c r="F763" s="563">
        <v>644.48</v>
      </c>
      <c r="G763" s="563">
        <v>631.01</v>
      </c>
      <c r="H763" s="563">
        <v>750.81</v>
      </c>
      <c r="I763" s="563">
        <v>592.29999999999995</v>
      </c>
      <c r="J763" s="563">
        <v>790.46</v>
      </c>
      <c r="K763" s="563">
        <v>1137.1400000000001</v>
      </c>
      <c r="L763" s="563">
        <v>796.9</v>
      </c>
      <c r="M763" s="563">
        <v>844.47</v>
      </c>
      <c r="N763" s="563">
        <v>556.86</v>
      </c>
      <c r="O763" s="563">
        <v>134</v>
      </c>
      <c r="S763" s="545"/>
      <c r="T763" s="544"/>
      <c r="W763" s="544"/>
    </row>
    <row r="764" spans="1:23" s="543" customFormat="1" ht="20.25" x14ac:dyDescent="0.3">
      <c r="A764" s="570" t="s">
        <v>701</v>
      </c>
      <c r="D764" s="565">
        <v>171.21206550069451</v>
      </c>
      <c r="E764" s="563">
        <v>1947.0673884892083</v>
      </c>
      <c r="F764" s="563">
        <v>3769.5778469216707</v>
      </c>
      <c r="G764" s="563">
        <v>2755.7799469170682</v>
      </c>
      <c r="H764" s="563">
        <v>3143.4569467304987</v>
      </c>
      <c r="I764" s="563">
        <v>1445.9569136276391</v>
      </c>
      <c r="J764" s="563">
        <v>2658.8144669670742</v>
      </c>
      <c r="K764" s="563">
        <v>2975.4077142061906</v>
      </c>
      <c r="L764" s="563">
        <v>2126.0343743951612</v>
      </c>
      <c r="M764" s="563">
        <v>1954.5643263360389</v>
      </c>
      <c r="N764" s="563">
        <v>1677.6726688826386</v>
      </c>
      <c r="O764" s="563">
        <v>188.64073903312448</v>
      </c>
      <c r="S764" s="545"/>
      <c r="T764" s="544"/>
      <c r="W764" s="544"/>
    </row>
    <row r="765" spans="1:23" s="543" customFormat="1" ht="20.25" x14ac:dyDescent="0.3">
      <c r="A765" s="570" t="s">
        <v>720</v>
      </c>
      <c r="B765" s="564"/>
      <c r="C765" s="128"/>
      <c r="D765" s="128"/>
      <c r="E765" s="128"/>
      <c r="F765" s="128"/>
      <c r="G765" s="128"/>
      <c r="H765" s="128"/>
      <c r="I765" s="128"/>
      <c r="J765" s="128"/>
      <c r="K765" s="128"/>
      <c r="L765" s="128"/>
      <c r="M765" s="128"/>
      <c r="S765" s="545"/>
      <c r="T765" s="544"/>
      <c r="W765" s="544"/>
    </row>
    <row r="766" spans="1:23" s="543" customFormat="1" ht="20.25" x14ac:dyDescent="0.3">
      <c r="A766" s="570" t="s">
        <v>721</v>
      </c>
      <c r="B766" s="564"/>
      <c r="C766" s="128"/>
      <c r="D766" s="128"/>
      <c r="E766" s="128"/>
      <c r="F766" s="128"/>
      <c r="G766" s="128"/>
      <c r="H766" s="128"/>
      <c r="I766" s="128"/>
      <c r="J766" s="128"/>
      <c r="K766" s="128"/>
      <c r="L766" s="128"/>
      <c r="M766" s="128"/>
      <c r="S766" s="545"/>
      <c r="T766" s="544"/>
      <c r="W766" s="544"/>
    </row>
    <row r="767" spans="1:23" s="543" customFormat="1" ht="20.25" x14ac:dyDescent="0.3">
      <c r="A767" s="571" t="s">
        <v>722</v>
      </c>
      <c r="B767" s="564"/>
      <c r="C767" s="128"/>
      <c r="D767" s="128"/>
      <c r="E767" s="128"/>
      <c r="F767" s="128"/>
      <c r="G767" s="128"/>
      <c r="H767" s="128"/>
      <c r="I767" s="128"/>
      <c r="J767" s="128"/>
      <c r="K767" s="128"/>
      <c r="L767" s="128"/>
      <c r="M767" s="128"/>
      <c r="S767" s="545"/>
      <c r="T767" s="544"/>
      <c r="W767" s="544"/>
    </row>
    <row r="768" spans="1:23" s="543" customFormat="1" ht="20.25" x14ac:dyDescent="0.3">
      <c r="A768" s="570"/>
      <c r="D768" s="564" t="s">
        <v>682</v>
      </c>
      <c r="E768" s="128" t="s">
        <v>683</v>
      </c>
      <c r="F768" s="128" t="s">
        <v>684</v>
      </c>
      <c r="G768" s="128" t="s">
        <v>685</v>
      </c>
      <c r="H768" s="128" t="s">
        <v>686</v>
      </c>
      <c r="I768" s="128" t="s">
        <v>687</v>
      </c>
      <c r="J768" s="128" t="s">
        <v>688</v>
      </c>
      <c r="K768" s="128" t="s">
        <v>689</v>
      </c>
      <c r="L768" s="128" t="s">
        <v>690</v>
      </c>
      <c r="M768" s="128" t="s">
        <v>691</v>
      </c>
      <c r="N768" s="128" t="s">
        <v>692</v>
      </c>
      <c r="O768" s="128" t="s">
        <v>693</v>
      </c>
      <c r="S768" s="545"/>
      <c r="T768" s="544"/>
      <c r="W768" s="544"/>
    </row>
    <row r="769" spans="1:23" s="543" customFormat="1" ht="20.25" x14ac:dyDescent="0.3">
      <c r="A769" s="570" t="s">
        <v>694</v>
      </c>
      <c r="D769" s="564"/>
      <c r="E769" s="128"/>
      <c r="F769" s="128"/>
      <c r="G769" s="128"/>
      <c r="H769" s="128"/>
      <c r="I769" s="128"/>
      <c r="J769" s="128"/>
      <c r="K769" s="128"/>
      <c r="L769" s="128"/>
      <c r="M769" s="128"/>
      <c r="N769" s="128"/>
      <c r="O769" s="128"/>
      <c r="S769" s="545"/>
      <c r="T769" s="544"/>
      <c r="W769" s="544"/>
    </row>
    <row r="770" spans="1:23" s="543" customFormat="1" ht="20.25" x14ac:dyDescent="0.3">
      <c r="A770" s="570" t="s">
        <v>695</v>
      </c>
      <c r="D770" s="566">
        <v>68260</v>
      </c>
      <c r="E770" s="562">
        <v>100193</v>
      </c>
      <c r="F770" s="562">
        <v>42411</v>
      </c>
      <c r="G770" s="562">
        <v>47279</v>
      </c>
      <c r="H770" s="562">
        <v>32134</v>
      </c>
      <c r="I770" s="562">
        <v>34367</v>
      </c>
      <c r="J770" s="562">
        <v>30431</v>
      </c>
      <c r="K770" s="562">
        <v>29943</v>
      </c>
      <c r="L770" s="562">
        <v>32510</v>
      </c>
      <c r="M770" s="562">
        <v>41846</v>
      </c>
      <c r="N770" s="562">
        <v>60551</v>
      </c>
      <c r="O770" s="562">
        <v>81591</v>
      </c>
      <c r="S770" s="545"/>
      <c r="T770" s="544"/>
      <c r="W770" s="544"/>
    </row>
    <row r="771" spans="1:23" s="543" customFormat="1" ht="20.25" x14ac:dyDescent="0.3">
      <c r="A771" s="570" t="s">
        <v>696</v>
      </c>
      <c r="D771" s="566">
        <v>4395</v>
      </c>
      <c r="E771" s="562">
        <v>2624</v>
      </c>
      <c r="F771" s="562">
        <v>3702</v>
      </c>
      <c r="G771" s="562">
        <v>3797</v>
      </c>
      <c r="H771" s="562">
        <v>5182</v>
      </c>
      <c r="I771" s="562">
        <v>6851</v>
      </c>
      <c r="J771" s="562">
        <v>8615</v>
      </c>
      <c r="K771" s="562">
        <v>7688</v>
      </c>
      <c r="L771" s="562">
        <v>6823</v>
      </c>
      <c r="M771" s="562">
        <v>5657</v>
      </c>
      <c r="N771" s="562">
        <v>5944</v>
      </c>
      <c r="O771" s="562">
        <v>7918</v>
      </c>
      <c r="S771" s="545"/>
      <c r="T771" s="544"/>
      <c r="W771" s="544"/>
    </row>
    <row r="772" spans="1:23" s="543" customFormat="1" ht="20.25" x14ac:dyDescent="0.3">
      <c r="A772" s="570" t="s">
        <v>697</v>
      </c>
      <c r="D772" s="566">
        <v>11841</v>
      </c>
      <c r="E772" s="562">
        <v>11101</v>
      </c>
      <c r="F772" s="562">
        <v>19915</v>
      </c>
      <c r="G772" s="562">
        <v>3684</v>
      </c>
      <c r="H772" s="562">
        <v>6915</v>
      </c>
      <c r="I772" s="562">
        <v>1799</v>
      </c>
      <c r="J772" s="562">
        <v>1980</v>
      </c>
      <c r="K772" s="562">
        <v>2209</v>
      </c>
      <c r="L772" s="562">
        <v>2775</v>
      </c>
      <c r="M772" s="562">
        <v>11714</v>
      </c>
      <c r="N772" s="562">
        <v>17125</v>
      </c>
      <c r="O772" s="562">
        <v>24294</v>
      </c>
      <c r="S772" s="545"/>
      <c r="T772" s="544"/>
      <c r="W772" s="544"/>
    </row>
    <row r="773" spans="1:23" s="543" customFormat="1" ht="20.25" x14ac:dyDescent="0.3">
      <c r="A773" s="570"/>
      <c r="D773" s="564"/>
      <c r="E773" s="128"/>
      <c r="F773" s="128"/>
      <c r="G773" s="128"/>
      <c r="H773" s="128"/>
      <c r="I773" s="128"/>
      <c r="J773" s="128"/>
      <c r="K773" s="128"/>
      <c r="L773" s="128"/>
      <c r="M773" s="128"/>
      <c r="N773" s="128"/>
      <c r="O773" s="128"/>
      <c r="S773" s="545"/>
      <c r="T773" s="544"/>
      <c r="W773" s="544"/>
    </row>
    <row r="774" spans="1:23" s="543" customFormat="1" ht="20.25" x14ac:dyDescent="0.3">
      <c r="A774" s="570" t="s">
        <v>698</v>
      </c>
      <c r="D774" s="564"/>
      <c r="E774" s="128"/>
      <c r="F774" s="128"/>
      <c r="G774" s="128"/>
      <c r="H774" s="128"/>
      <c r="I774" s="128"/>
      <c r="J774" s="128"/>
      <c r="K774" s="128"/>
      <c r="L774" s="128"/>
      <c r="M774" s="128"/>
      <c r="N774" s="128"/>
      <c r="O774" s="128"/>
      <c r="S774" s="545"/>
      <c r="T774" s="544"/>
      <c r="W774" s="544"/>
    </row>
    <row r="775" spans="1:23" s="543" customFormat="1" ht="20.25" x14ac:dyDescent="0.3">
      <c r="A775" s="570" t="s">
        <v>699</v>
      </c>
      <c r="D775" s="565">
        <v>4561.8258934662999</v>
      </c>
      <c r="E775" s="563">
        <v>6649.1830037345553</v>
      </c>
      <c r="F775" s="563">
        <v>2864.2986543336528</v>
      </c>
      <c r="G775" s="563">
        <v>2865.1120130099412</v>
      </c>
      <c r="H775" s="563">
        <v>1845.1122515241345</v>
      </c>
      <c r="I775" s="563">
        <v>2006.0586714561914</v>
      </c>
      <c r="J775" s="563">
        <v>1743.849296048397</v>
      </c>
      <c r="K775" s="563">
        <v>1745.7926911759021</v>
      </c>
      <c r="L775" s="563">
        <v>1926.1269496790301</v>
      </c>
      <c r="M775" s="563">
        <v>2378.9112403284967</v>
      </c>
      <c r="N775" s="563">
        <v>3495.6041075408398</v>
      </c>
      <c r="O775" s="563">
        <v>5292.1638250406286</v>
      </c>
      <c r="S775" s="545"/>
      <c r="T775" s="544"/>
      <c r="W775" s="544"/>
    </row>
    <row r="776" spans="1:23" s="543" customFormat="1" ht="20.25" x14ac:dyDescent="0.3">
      <c r="A776" s="570" t="s">
        <v>700</v>
      </c>
      <c r="D776" s="565">
        <v>3974.06</v>
      </c>
      <c r="E776" s="563">
        <v>2382.5100000000002</v>
      </c>
      <c r="F776" s="563">
        <v>3351.28</v>
      </c>
      <c r="G776" s="563">
        <v>3436.65</v>
      </c>
      <c r="H776" s="563">
        <v>4831.87</v>
      </c>
      <c r="I776" s="563">
        <v>6330.11</v>
      </c>
      <c r="J776" s="563">
        <v>8062.81</v>
      </c>
      <c r="K776" s="563">
        <v>7088.6</v>
      </c>
      <c r="L776" s="563">
        <v>5835.57</v>
      </c>
      <c r="M776" s="563">
        <v>4631.26</v>
      </c>
      <c r="N776" s="563">
        <v>5187.41</v>
      </c>
      <c r="O776" s="563">
        <v>7063.42</v>
      </c>
      <c r="S776" s="545"/>
      <c r="T776" s="544"/>
      <c r="W776" s="544"/>
    </row>
    <row r="777" spans="1:23" s="543" customFormat="1" ht="20.25" x14ac:dyDescent="0.3">
      <c r="A777" s="570" t="s">
        <v>701</v>
      </c>
      <c r="D777" s="565">
        <v>1014.1681178557898</v>
      </c>
      <c r="E777" s="563">
        <v>843.15955059952023</v>
      </c>
      <c r="F777" s="563">
        <v>1479.700847980547</v>
      </c>
      <c r="G777" s="563">
        <v>287.05554116669435</v>
      </c>
      <c r="H777" s="563">
        <v>547.71095791169387</v>
      </c>
      <c r="I777" s="563">
        <v>156.32671199616124</v>
      </c>
      <c r="J777" s="563">
        <v>136.42366074774694</v>
      </c>
      <c r="K777" s="563">
        <v>183.23600894010247</v>
      </c>
      <c r="L777" s="563">
        <v>191.43829544248723</v>
      </c>
      <c r="M777" s="563">
        <v>851.52359858302441</v>
      </c>
      <c r="N777" s="563">
        <v>1274.1770646893378</v>
      </c>
      <c r="O777" s="563">
        <v>1844.2004483181995</v>
      </c>
      <c r="S777" s="545"/>
      <c r="T777" s="544"/>
      <c r="W777" s="544"/>
    </row>
    <row r="778" spans="1:23" s="788" customFormat="1" ht="20.25" x14ac:dyDescent="0.3">
      <c r="A778" s="786">
        <v>44</v>
      </c>
      <c r="B778" s="790" t="s">
        <v>627</v>
      </c>
      <c r="S778" s="789"/>
      <c r="V778" s="789"/>
    </row>
    <row r="779" spans="1:23" ht="15" x14ac:dyDescent="0.25">
      <c r="B779" s="712" t="s">
        <v>869</v>
      </c>
      <c r="C779" s="713"/>
      <c r="D779" s="713"/>
      <c r="E779" s="713"/>
      <c r="F779" s="713"/>
      <c r="G779" s="713"/>
      <c r="H779" s="713"/>
      <c r="I779" s="713"/>
      <c r="J779" s="713"/>
      <c r="K779" s="713"/>
      <c r="L779" s="713"/>
      <c r="M779" s="713"/>
      <c r="N779" s="713"/>
      <c r="O779" s="713"/>
      <c r="P779" s="713"/>
      <c r="Q779" s="713"/>
      <c r="R779" s="713"/>
      <c r="S779" s="713"/>
      <c r="T779" s="714"/>
      <c r="U779" s="715"/>
      <c r="V779" s="716"/>
    </row>
    <row r="780" spans="1:23" ht="15" x14ac:dyDescent="0.25">
      <c r="B780" s="717" t="s">
        <v>337</v>
      </c>
      <c r="G780" s="719">
        <v>41487</v>
      </c>
      <c r="H780" s="719">
        <v>41518</v>
      </c>
      <c r="I780" s="719">
        <v>41548</v>
      </c>
      <c r="J780" s="719">
        <v>41579</v>
      </c>
      <c r="K780" s="719">
        <v>41609</v>
      </c>
      <c r="L780" s="719">
        <v>41640</v>
      </c>
      <c r="M780" s="719">
        <v>41671</v>
      </c>
      <c r="N780" s="719">
        <v>41699</v>
      </c>
      <c r="O780" s="719">
        <v>41730</v>
      </c>
      <c r="P780" s="719">
        <v>41760</v>
      </c>
      <c r="Q780" s="719">
        <v>41791</v>
      </c>
      <c r="R780" s="719">
        <v>41821</v>
      </c>
      <c r="S780" s="719">
        <v>41852</v>
      </c>
      <c r="T780" s="752"/>
      <c r="U780" s="720" t="s">
        <v>338</v>
      </c>
      <c r="V780" s="721" t="s">
        <v>339</v>
      </c>
    </row>
    <row r="781" spans="1:23" ht="15" x14ac:dyDescent="0.25">
      <c r="B781" s="722" t="s">
        <v>360</v>
      </c>
      <c r="G781" s="753">
        <v>44583.341706793202</v>
      </c>
      <c r="H781" s="753">
        <v>42479.170146593417</v>
      </c>
      <c r="I781" s="761">
        <v>41397.003173827979</v>
      </c>
      <c r="J781" s="762">
        <v>37326.00402832</v>
      </c>
      <c r="K781" s="762">
        <v>34498.992919921991</v>
      </c>
      <c r="L781" s="762">
        <v>36833.0078125</v>
      </c>
      <c r="M781" s="762">
        <v>38876.007080078009</v>
      </c>
      <c r="N781" s="762">
        <v>38966.979980469034</v>
      </c>
      <c r="O781" s="762">
        <v>38203.002929686991</v>
      </c>
      <c r="P781" s="762">
        <v>36464.019775390967</v>
      </c>
      <c r="Q781" s="756">
        <v>37791</v>
      </c>
      <c r="R781" s="756">
        <v>37184</v>
      </c>
      <c r="S781" s="763">
        <v>38392</v>
      </c>
      <c r="T781" s="714"/>
      <c r="U781" s="724">
        <f t="shared" ref="U781:U788" si="26">SUM(G781:S781)</f>
        <v>502994.52955358161</v>
      </c>
      <c r="V781" s="725" t="s">
        <v>361</v>
      </c>
    </row>
    <row r="782" spans="1:23" ht="15" x14ac:dyDescent="0.25">
      <c r="B782" s="722" t="s">
        <v>362</v>
      </c>
      <c r="G782" s="753">
        <v>315.53076923076924</v>
      </c>
      <c r="H782" s="753">
        <v>235.0538929950358</v>
      </c>
      <c r="I782" s="753">
        <v>103.28271518543956</v>
      </c>
      <c r="J782" s="753">
        <v>74.892553209642671</v>
      </c>
      <c r="K782" s="753">
        <v>8.2823545744172655</v>
      </c>
      <c r="L782" s="753">
        <v>14</v>
      </c>
      <c r="M782" s="753">
        <v>18</v>
      </c>
      <c r="N782" s="753">
        <v>26</v>
      </c>
      <c r="O782" s="753">
        <v>84</v>
      </c>
      <c r="P782" s="756">
        <v>161</v>
      </c>
      <c r="Q782" s="756">
        <v>305</v>
      </c>
      <c r="R782" s="756">
        <v>332</v>
      </c>
      <c r="S782" s="732">
        <v>286</v>
      </c>
      <c r="T782" s="714"/>
      <c r="U782" s="724">
        <f t="shared" si="26"/>
        <v>1963.0422851953044</v>
      </c>
      <c r="V782" s="725" t="s">
        <v>363</v>
      </c>
    </row>
    <row r="783" spans="1:23" ht="15" x14ac:dyDescent="0.25">
      <c r="B783" s="722" t="s">
        <v>364</v>
      </c>
      <c r="F783" s="740" t="s">
        <v>351</v>
      </c>
      <c r="G783" s="757">
        <v>57.463891601562409</v>
      </c>
      <c r="H783" s="757">
        <v>69.835375976562418</v>
      </c>
      <c r="I783" s="757">
        <v>102.94909667968801</v>
      </c>
      <c r="J783" s="757">
        <v>203.12055664062484</v>
      </c>
      <c r="K783" s="757">
        <v>277.71826171874636</v>
      </c>
      <c r="L783" s="757">
        <v>376.11279296875205</v>
      </c>
      <c r="M783" s="757">
        <v>265.03681640624802</v>
      </c>
      <c r="N783" s="757">
        <v>261.35527343750402</v>
      </c>
      <c r="O783" s="757">
        <v>91.104687500000011</v>
      </c>
      <c r="P783" s="757">
        <v>47.614453125000004</v>
      </c>
      <c r="Q783" s="757">
        <v>43.78</v>
      </c>
      <c r="R783" s="757">
        <v>50.9</v>
      </c>
      <c r="S783" s="757">
        <v>25.23</v>
      </c>
      <c r="T783" s="714"/>
      <c r="U783" s="724">
        <f t="shared" si="26"/>
        <v>1872.2212060546879</v>
      </c>
      <c r="V783" s="727" t="s">
        <v>365</v>
      </c>
    </row>
    <row r="784" spans="1:23" x14ac:dyDescent="0.2">
      <c r="B784" s="728" t="s">
        <v>864</v>
      </c>
      <c r="F784" s="729"/>
      <c r="G784" s="759">
        <v>119</v>
      </c>
      <c r="H784" s="760">
        <v>187</v>
      </c>
      <c r="I784" s="760">
        <v>159</v>
      </c>
      <c r="J784" s="760">
        <v>125</v>
      </c>
      <c r="K784" s="760">
        <v>178</v>
      </c>
      <c r="L784" s="760">
        <v>116</v>
      </c>
      <c r="M784" s="750">
        <v>125</v>
      </c>
      <c r="N784" s="750">
        <v>79</v>
      </c>
      <c r="O784" s="750">
        <v>88</v>
      </c>
      <c r="P784" s="750">
        <v>53</v>
      </c>
      <c r="Q784" s="750">
        <v>68</v>
      </c>
      <c r="R784" s="750">
        <v>54</v>
      </c>
      <c r="S784" s="728">
        <v>62</v>
      </c>
      <c r="T784" s="730"/>
      <c r="U784" s="724">
        <f t="shared" si="26"/>
        <v>1413</v>
      </c>
      <c r="V784" s="727" t="s">
        <v>379</v>
      </c>
    </row>
    <row r="785" spans="1:22" ht="15" x14ac:dyDescent="0.25">
      <c r="B785" s="722" t="s">
        <v>368</v>
      </c>
      <c r="F785" s="713"/>
      <c r="G785" s="731">
        <f>G781*0.087</f>
        <v>3878.7507284910084</v>
      </c>
      <c r="H785" s="731">
        <f t="shared" ref="H785:S785" si="27">H781*0.087</f>
        <v>3695.6878027536268</v>
      </c>
      <c r="I785" s="731">
        <f t="shared" si="27"/>
        <v>3601.5392761230341</v>
      </c>
      <c r="J785" s="731">
        <f t="shared" si="27"/>
        <v>3247.3623504638399</v>
      </c>
      <c r="K785" s="731">
        <f t="shared" si="27"/>
        <v>3001.4123840332131</v>
      </c>
      <c r="L785" s="731">
        <f t="shared" si="27"/>
        <v>3204.4716796875</v>
      </c>
      <c r="M785" s="731">
        <f t="shared" si="27"/>
        <v>3382.2126159667864</v>
      </c>
      <c r="N785" s="731">
        <f t="shared" si="27"/>
        <v>3390.1272583008058</v>
      </c>
      <c r="O785" s="731">
        <f t="shared" si="27"/>
        <v>3323.6612548827679</v>
      </c>
      <c r="P785" s="731">
        <f t="shared" si="27"/>
        <v>3172.3697204590139</v>
      </c>
      <c r="Q785" s="731">
        <f t="shared" si="27"/>
        <v>3287.8169999999996</v>
      </c>
      <c r="R785" s="731">
        <f t="shared" si="27"/>
        <v>3235.0079999999998</v>
      </c>
      <c r="S785" s="731">
        <f t="shared" si="27"/>
        <v>3340.1039999999998</v>
      </c>
      <c r="T785" s="714"/>
      <c r="U785" s="724">
        <f t="shared" si="26"/>
        <v>43760.524071161606</v>
      </c>
      <c r="V785" s="725" t="s">
        <v>865</v>
      </c>
    </row>
    <row r="786" spans="1:22" ht="15" x14ac:dyDescent="0.25">
      <c r="B786" s="722" t="s">
        <v>369</v>
      </c>
      <c r="F786" s="713"/>
      <c r="G786" s="731">
        <f>G782*13.71</f>
        <v>4325.9268461538468</v>
      </c>
      <c r="H786" s="731">
        <f t="shared" ref="H786:Q786" si="28">H782*13.71</f>
        <v>3222.588872961941</v>
      </c>
      <c r="I786" s="731">
        <f t="shared" si="28"/>
        <v>1416.0060251923765</v>
      </c>
      <c r="J786" s="731">
        <f t="shared" si="28"/>
        <v>1026.7769045042012</v>
      </c>
      <c r="K786" s="731">
        <f t="shared" si="28"/>
        <v>113.55108121526072</v>
      </c>
      <c r="L786" s="731">
        <f t="shared" si="28"/>
        <v>191.94</v>
      </c>
      <c r="M786" s="731">
        <f t="shared" si="28"/>
        <v>246.78000000000003</v>
      </c>
      <c r="N786" s="731">
        <f t="shared" si="28"/>
        <v>356.46000000000004</v>
      </c>
      <c r="O786" s="731">
        <f t="shared" si="28"/>
        <v>1151.6400000000001</v>
      </c>
      <c r="P786" s="731">
        <f t="shared" si="28"/>
        <v>2207.31</v>
      </c>
      <c r="Q786" s="731">
        <f t="shared" si="28"/>
        <v>4181.55</v>
      </c>
      <c r="R786" s="731">
        <f>R782*14.4</f>
        <v>4780.8</v>
      </c>
      <c r="S786" s="731">
        <f>S782*14.4</f>
        <v>4118.4000000000005</v>
      </c>
      <c r="T786" s="714"/>
      <c r="U786" s="724">
        <f t="shared" si="26"/>
        <v>27339.729730027626</v>
      </c>
      <c r="V786" s="725" t="s">
        <v>865</v>
      </c>
    </row>
    <row r="787" spans="1:22" ht="15" x14ac:dyDescent="0.25">
      <c r="B787" s="722" t="s">
        <v>326</v>
      </c>
      <c r="F787" s="740" t="s">
        <v>351</v>
      </c>
      <c r="G787" s="736" t="s">
        <v>13</v>
      </c>
      <c r="H787" s="736" t="s">
        <v>13</v>
      </c>
      <c r="I787" s="736" t="s">
        <v>13</v>
      </c>
      <c r="J787" s="736" t="s">
        <v>13</v>
      </c>
      <c r="K787" s="736" t="s">
        <v>13</v>
      </c>
      <c r="L787" s="731">
        <f t="shared" ref="L787:Q787" si="29">L783*14.42</f>
        <v>5423.5464746094049</v>
      </c>
      <c r="M787" s="731">
        <f t="shared" si="29"/>
        <v>3821.8308925780966</v>
      </c>
      <c r="N787" s="731">
        <f t="shared" si="29"/>
        <v>3768.7430429688079</v>
      </c>
      <c r="O787" s="731">
        <f t="shared" si="29"/>
        <v>1313.72959375</v>
      </c>
      <c r="P787" s="731" t="s">
        <v>13</v>
      </c>
      <c r="Q787" s="731">
        <f t="shared" si="29"/>
        <v>631.30759999999998</v>
      </c>
      <c r="R787" s="731">
        <f>R783*13.87</f>
        <v>705.98299999999995</v>
      </c>
      <c r="S787" s="731">
        <f>S783*13.87</f>
        <v>349.94009999999997</v>
      </c>
      <c r="T787" s="714"/>
      <c r="U787" s="724">
        <f t="shared" si="26"/>
        <v>16015.080703906311</v>
      </c>
      <c r="V787" s="725" t="s">
        <v>865</v>
      </c>
    </row>
    <row r="788" spans="1:22" ht="15" x14ac:dyDescent="0.25">
      <c r="B788" s="732" t="s">
        <v>325</v>
      </c>
      <c r="F788" s="733"/>
      <c r="G788" s="455">
        <f>G784*6.55</f>
        <v>779.44999999999993</v>
      </c>
      <c r="H788" s="455">
        <f t="shared" ref="H788:Q788" si="30">H784*6.55</f>
        <v>1224.8499999999999</v>
      </c>
      <c r="I788" s="455">
        <f t="shared" si="30"/>
        <v>1041.45</v>
      </c>
      <c r="J788" s="455">
        <f t="shared" si="30"/>
        <v>818.75</v>
      </c>
      <c r="K788" s="455">
        <f t="shared" si="30"/>
        <v>1165.8999999999999</v>
      </c>
      <c r="L788" s="455">
        <f t="shared" si="30"/>
        <v>759.8</v>
      </c>
      <c r="M788" s="455">
        <f t="shared" si="30"/>
        <v>818.75</v>
      </c>
      <c r="N788" s="455">
        <f t="shared" si="30"/>
        <v>517.44999999999993</v>
      </c>
      <c r="O788" s="455">
        <f t="shared" si="30"/>
        <v>576.4</v>
      </c>
      <c r="P788" s="455">
        <f t="shared" si="30"/>
        <v>347.15</v>
      </c>
      <c r="Q788" s="455">
        <f t="shared" si="30"/>
        <v>445.4</v>
      </c>
      <c r="R788" s="455">
        <f>R784*7.86</f>
        <v>424.44</v>
      </c>
      <c r="S788" s="455">
        <f>S784*7.86</f>
        <v>487.32</v>
      </c>
      <c r="T788" s="714"/>
      <c r="U788" s="724">
        <f t="shared" si="26"/>
        <v>9407.1099999999988</v>
      </c>
      <c r="V788" s="725" t="s">
        <v>865</v>
      </c>
    </row>
    <row r="789" spans="1:22" ht="15" x14ac:dyDescent="0.25">
      <c r="B789" s="713"/>
      <c r="C789" s="713"/>
      <c r="D789" s="713"/>
      <c r="E789" s="713"/>
      <c r="F789" s="748" t="s">
        <v>868</v>
      </c>
      <c r="G789" s="713"/>
      <c r="H789" s="713"/>
      <c r="I789" s="713"/>
      <c r="J789" s="713"/>
      <c r="K789" s="713"/>
      <c r="L789" s="713"/>
      <c r="M789" s="713"/>
      <c r="N789" s="713"/>
      <c r="O789" s="713"/>
      <c r="P789" s="713"/>
      <c r="Q789" s="713"/>
      <c r="R789" s="713"/>
      <c r="S789" s="713"/>
      <c r="T789" s="714"/>
      <c r="U789" s="715"/>
      <c r="V789" s="716"/>
    </row>
    <row r="790" spans="1:22" s="788" customFormat="1" ht="20.25" x14ac:dyDescent="0.3">
      <c r="A790" s="786">
        <v>45</v>
      </c>
      <c r="B790" s="790" t="s">
        <v>628</v>
      </c>
      <c r="S790" s="789"/>
      <c r="V790" s="789"/>
    </row>
    <row r="791" spans="1:22" ht="15" x14ac:dyDescent="0.25">
      <c r="B791" s="712" t="s">
        <v>867</v>
      </c>
      <c r="C791" s="713"/>
      <c r="D791" s="713"/>
      <c r="E791" s="713"/>
      <c r="F791" s="713"/>
      <c r="G791" s="713"/>
      <c r="H791" s="713"/>
      <c r="I791" s="713"/>
      <c r="J791" s="713"/>
      <c r="K791" s="713"/>
      <c r="L791" s="713"/>
      <c r="M791" s="713"/>
      <c r="N791" s="713"/>
      <c r="O791" s="713"/>
      <c r="P791" s="713"/>
      <c r="Q791" s="713"/>
      <c r="R791" s="713"/>
      <c r="S791" s="713"/>
      <c r="T791" s="714"/>
      <c r="U791" s="715"/>
      <c r="V791" s="716"/>
    </row>
    <row r="792" spans="1:22" ht="15" x14ac:dyDescent="0.25">
      <c r="B792" s="717" t="s">
        <v>337</v>
      </c>
      <c r="G792" s="719">
        <v>41487</v>
      </c>
      <c r="H792" s="719">
        <v>41518</v>
      </c>
      <c r="I792" s="719">
        <v>41548</v>
      </c>
      <c r="J792" s="719">
        <v>41579</v>
      </c>
      <c r="K792" s="719">
        <v>41609</v>
      </c>
      <c r="L792" s="719">
        <v>41640</v>
      </c>
      <c r="M792" s="719">
        <v>41671</v>
      </c>
      <c r="N792" s="719">
        <v>41699</v>
      </c>
      <c r="O792" s="719">
        <v>41730</v>
      </c>
      <c r="P792" s="719">
        <v>41760</v>
      </c>
      <c r="Q792" s="719">
        <v>41791</v>
      </c>
      <c r="R792" s="719">
        <v>41821</v>
      </c>
      <c r="S792" s="719">
        <v>41852</v>
      </c>
      <c r="T792" s="752"/>
      <c r="U792" s="720" t="s">
        <v>338</v>
      </c>
      <c r="V792" s="721" t="s">
        <v>339</v>
      </c>
    </row>
    <row r="793" spans="1:22" ht="15" x14ac:dyDescent="0.25">
      <c r="B793" s="722" t="s">
        <v>360</v>
      </c>
      <c r="G793" s="753">
        <v>157530.28980312444</v>
      </c>
      <c r="H793" s="753">
        <v>151838.64591055855</v>
      </c>
      <c r="I793" s="754">
        <v>151949.99694824204</v>
      </c>
      <c r="J793" s="754">
        <v>135144.98901367199</v>
      </c>
      <c r="K793" s="754">
        <v>130012.95471191403</v>
      </c>
      <c r="L793" s="754">
        <v>137597.10693359404</v>
      </c>
      <c r="M793" s="754">
        <v>144941.00952148388</v>
      </c>
      <c r="N793" s="754">
        <v>144964.93530273507</v>
      </c>
      <c r="O793" s="754">
        <v>139818.05419921601</v>
      </c>
      <c r="P793" s="754">
        <v>135489.99023437494</v>
      </c>
      <c r="Q793" s="754">
        <v>131695.922851565</v>
      </c>
      <c r="R793" s="754">
        <v>131431.03027343308</v>
      </c>
      <c r="S793" s="723">
        <v>136429.07714844</v>
      </c>
      <c r="T793" s="714"/>
      <c r="U793" s="724">
        <f t="shared" ref="U793:U800" si="31">SUM(G793:S793)</f>
        <v>1828844.0028523533</v>
      </c>
      <c r="V793" s="725" t="s">
        <v>361</v>
      </c>
    </row>
    <row r="794" spans="1:22" ht="15" x14ac:dyDescent="0.25">
      <c r="B794" s="722" t="s">
        <v>362</v>
      </c>
      <c r="G794" s="753">
        <v>1488.6334475651106</v>
      </c>
      <c r="H794" s="753">
        <v>650.12580845264256</v>
      </c>
      <c r="I794" s="753">
        <v>416.59705146821773</v>
      </c>
      <c r="J794" s="753">
        <v>263.34482266099394</v>
      </c>
      <c r="K794" s="753">
        <v>122</v>
      </c>
      <c r="L794" s="755">
        <v>96</v>
      </c>
      <c r="M794" s="753">
        <v>102</v>
      </c>
      <c r="N794" s="753">
        <v>157</v>
      </c>
      <c r="O794" s="753">
        <v>341</v>
      </c>
      <c r="P794" s="756">
        <v>668</v>
      </c>
      <c r="Q794" s="756">
        <v>978</v>
      </c>
      <c r="R794" s="756">
        <v>1035</v>
      </c>
      <c r="S794" s="732">
        <v>976</v>
      </c>
      <c r="T794" s="714"/>
      <c r="U794" s="724">
        <f t="shared" si="31"/>
        <v>7293.7011301469647</v>
      </c>
      <c r="V794" s="725" t="s">
        <v>363</v>
      </c>
    </row>
    <row r="795" spans="1:22" ht="15" x14ac:dyDescent="0.25">
      <c r="B795" s="722" t="s">
        <v>364</v>
      </c>
      <c r="F795" s="740" t="s">
        <v>351</v>
      </c>
      <c r="G795" s="757">
        <v>120.67417236328106</v>
      </c>
      <c r="H795" s="757">
        <v>146.65428955078107</v>
      </c>
      <c r="I795" s="757">
        <v>216.19310302734482</v>
      </c>
      <c r="J795" s="757">
        <v>426.55316894531211</v>
      </c>
      <c r="K795" s="757">
        <v>583.20834960936736</v>
      </c>
      <c r="L795" s="758">
        <v>1383.7268652343794</v>
      </c>
      <c r="M795" s="758">
        <v>1169.2073144531205</v>
      </c>
      <c r="N795" s="758">
        <v>639.1349951171984</v>
      </c>
      <c r="O795" s="758">
        <v>321.81671875000029</v>
      </c>
      <c r="P795" s="758">
        <v>211.46018554686998</v>
      </c>
      <c r="Q795" s="756">
        <v>157</v>
      </c>
      <c r="R795" s="756">
        <v>169</v>
      </c>
      <c r="S795" s="732">
        <v>175</v>
      </c>
      <c r="T795" s="714"/>
      <c r="U795" s="724">
        <f t="shared" si="31"/>
        <v>5719.6291625976555</v>
      </c>
      <c r="V795" s="727" t="s">
        <v>365</v>
      </c>
    </row>
    <row r="796" spans="1:22" x14ac:dyDescent="0.2">
      <c r="B796" s="728" t="s">
        <v>864</v>
      </c>
      <c r="F796" s="729"/>
      <c r="G796" s="759">
        <v>155</v>
      </c>
      <c r="H796" s="760">
        <v>190</v>
      </c>
      <c r="I796" s="760">
        <v>215</v>
      </c>
      <c r="J796" s="760">
        <v>255</v>
      </c>
      <c r="K796" s="760">
        <v>170</v>
      </c>
      <c r="L796" s="760">
        <v>185</v>
      </c>
      <c r="M796" s="750">
        <v>255</v>
      </c>
      <c r="N796" s="750">
        <v>195</v>
      </c>
      <c r="O796" s="750">
        <v>215</v>
      </c>
      <c r="P796" s="750">
        <v>90</v>
      </c>
      <c r="Q796" s="750">
        <v>110</v>
      </c>
      <c r="R796" s="750">
        <v>105</v>
      </c>
      <c r="S796" s="728">
        <v>190</v>
      </c>
      <c r="T796" s="730"/>
      <c r="U796" s="724">
        <f t="shared" si="31"/>
        <v>2330</v>
      </c>
      <c r="V796" s="727" t="s">
        <v>379</v>
      </c>
    </row>
    <row r="797" spans="1:22" ht="15" x14ac:dyDescent="0.25">
      <c r="B797" s="722" t="s">
        <v>368</v>
      </c>
      <c r="F797" s="713"/>
      <c r="G797" s="731">
        <f>G793*0.087</f>
        <v>13705.135212871824</v>
      </c>
      <c r="H797" s="731">
        <f t="shared" ref="H797:S797" si="32">H793*0.087</f>
        <v>13209.962194218593</v>
      </c>
      <c r="I797" s="731">
        <f t="shared" si="32"/>
        <v>13219.649734497058</v>
      </c>
      <c r="J797" s="731">
        <f t="shared" si="32"/>
        <v>11757.614044189462</v>
      </c>
      <c r="K797" s="731">
        <f t="shared" si="32"/>
        <v>11311.12705993652</v>
      </c>
      <c r="L797" s="731">
        <f t="shared" si="32"/>
        <v>11970.94830322268</v>
      </c>
      <c r="M797" s="731">
        <f t="shared" si="32"/>
        <v>12609.867828369097</v>
      </c>
      <c r="N797" s="731">
        <f t="shared" si="32"/>
        <v>12611.949371337951</v>
      </c>
      <c r="O797" s="731">
        <f t="shared" si="32"/>
        <v>12164.170715331793</v>
      </c>
      <c r="P797" s="731">
        <f t="shared" si="32"/>
        <v>11787.62915039062</v>
      </c>
      <c r="Q797" s="731">
        <f t="shared" si="32"/>
        <v>11457.545288086154</v>
      </c>
      <c r="R797" s="731">
        <f t="shared" si="32"/>
        <v>11434.499633788677</v>
      </c>
      <c r="S797" s="731">
        <f t="shared" si="32"/>
        <v>11869.329711914279</v>
      </c>
      <c r="T797" s="714"/>
      <c r="U797" s="724">
        <f t="shared" si="31"/>
        <v>159109.4282481547</v>
      </c>
      <c r="V797" s="725" t="s">
        <v>865</v>
      </c>
    </row>
    <row r="798" spans="1:22" ht="15" x14ac:dyDescent="0.25">
      <c r="B798" s="722" t="s">
        <v>369</v>
      </c>
      <c r="F798" s="713"/>
      <c r="G798" s="731">
        <f>G794*13.71</f>
        <v>20409.164566117666</v>
      </c>
      <c r="H798" s="731">
        <f t="shared" ref="H798:Q798" si="33">H794*13.71</f>
        <v>8913.2248338857298</v>
      </c>
      <c r="I798" s="731">
        <f t="shared" si="33"/>
        <v>5711.5455756292658</v>
      </c>
      <c r="J798" s="731">
        <f t="shared" si="33"/>
        <v>3610.4575186822271</v>
      </c>
      <c r="K798" s="731">
        <f t="shared" si="33"/>
        <v>1672.6200000000001</v>
      </c>
      <c r="L798" s="731">
        <f t="shared" si="33"/>
        <v>1316.16</v>
      </c>
      <c r="M798" s="731">
        <f t="shared" si="33"/>
        <v>1398.42</v>
      </c>
      <c r="N798" s="731">
        <f t="shared" si="33"/>
        <v>2152.4700000000003</v>
      </c>
      <c r="O798" s="731">
        <f t="shared" si="33"/>
        <v>4675.1100000000006</v>
      </c>
      <c r="P798" s="731">
        <f t="shared" si="33"/>
        <v>9158.2800000000007</v>
      </c>
      <c r="Q798" s="731">
        <f t="shared" si="33"/>
        <v>13408.380000000001</v>
      </c>
      <c r="R798" s="731">
        <f>R794*14.4</f>
        <v>14904</v>
      </c>
      <c r="S798" s="731">
        <f>S794*14.4</f>
        <v>14054.4</v>
      </c>
      <c r="T798" s="714"/>
      <c r="U798" s="724">
        <f t="shared" si="31"/>
        <v>101384.23249431489</v>
      </c>
      <c r="V798" s="725" t="s">
        <v>865</v>
      </c>
    </row>
    <row r="799" spans="1:22" ht="15" x14ac:dyDescent="0.25">
      <c r="B799" s="722" t="s">
        <v>326</v>
      </c>
      <c r="F799" s="740" t="s">
        <v>351</v>
      </c>
      <c r="G799" s="731">
        <f>G795*14.42</f>
        <v>1740.1215654785128</v>
      </c>
      <c r="H799" s="731">
        <f t="shared" ref="H799:Q799" si="34">H795*14.42</f>
        <v>2114.7548553222632</v>
      </c>
      <c r="I799" s="731">
        <f t="shared" si="34"/>
        <v>3117.5045456543121</v>
      </c>
      <c r="J799" s="731">
        <f t="shared" si="34"/>
        <v>6150.8966961914002</v>
      </c>
      <c r="K799" s="731">
        <f t="shared" si="34"/>
        <v>8409.8644013670764</v>
      </c>
      <c r="L799" s="731">
        <f t="shared" si="34"/>
        <v>19953.341396679749</v>
      </c>
      <c r="M799" s="731">
        <f t="shared" si="34"/>
        <v>16859.969474413996</v>
      </c>
      <c r="N799" s="731">
        <f t="shared" si="34"/>
        <v>9216.3266295900012</v>
      </c>
      <c r="O799" s="731">
        <f t="shared" si="34"/>
        <v>4640.5970843750038</v>
      </c>
      <c r="P799" s="731">
        <f t="shared" si="34"/>
        <v>3049.2558755858649</v>
      </c>
      <c r="Q799" s="731">
        <f t="shared" si="34"/>
        <v>2263.94</v>
      </c>
      <c r="R799" s="731">
        <f>R795*13.87</f>
        <v>2344.0299999999997</v>
      </c>
      <c r="S799" s="731">
        <f>S795*13.87</f>
        <v>2427.25</v>
      </c>
      <c r="T799" s="714"/>
      <c r="U799" s="724">
        <f t="shared" si="31"/>
        <v>82287.85252465817</v>
      </c>
      <c r="V799" s="725" t="s">
        <v>865</v>
      </c>
    </row>
    <row r="800" spans="1:22" ht="15" x14ac:dyDescent="0.25">
      <c r="B800" s="732" t="s">
        <v>325</v>
      </c>
      <c r="F800" s="733"/>
      <c r="G800" s="455">
        <f>G796*6.55</f>
        <v>1015.25</v>
      </c>
      <c r="H800" s="455">
        <f t="shared" ref="H800:Q800" si="35">H796*6.55</f>
        <v>1244.5</v>
      </c>
      <c r="I800" s="455">
        <f t="shared" si="35"/>
        <v>1408.25</v>
      </c>
      <c r="J800" s="455">
        <f t="shared" si="35"/>
        <v>1670.25</v>
      </c>
      <c r="K800" s="455">
        <f t="shared" si="35"/>
        <v>1113.5</v>
      </c>
      <c r="L800" s="455">
        <f t="shared" si="35"/>
        <v>1211.75</v>
      </c>
      <c r="M800" s="455">
        <f t="shared" si="35"/>
        <v>1670.25</v>
      </c>
      <c r="N800" s="455">
        <f t="shared" si="35"/>
        <v>1277.25</v>
      </c>
      <c r="O800" s="455">
        <f t="shared" si="35"/>
        <v>1408.25</v>
      </c>
      <c r="P800" s="455">
        <f t="shared" si="35"/>
        <v>589.5</v>
      </c>
      <c r="Q800" s="455">
        <f t="shared" si="35"/>
        <v>720.5</v>
      </c>
      <c r="R800" s="455">
        <f>R796*7.86</f>
        <v>825.30000000000007</v>
      </c>
      <c r="S800" s="455">
        <f>S796*7.86</f>
        <v>1493.4</v>
      </c>
      <c r="T800" s="714"/>
      <c r="U800" s="724">
        <f t="shared" si="31"/>
        <v>15647.949999999999</v>
      </c>
      <c r="V800" s="725" t="s">
        <v>865</v>
      </c>
    </row>
    <row r="801" spans="1:23" ht="15" x14ac:dyDescent="0.25">
      <c r="B801" s="713"/>
      <c r="C801" s="748"/>
      <c r="D801" s="748"/>
      <c r="E801" s="748"/>
      <c r="F801" s="748" t="s">
        <v>868</v>
      </c>
      <c r="G801" s="748"/>
      <c r="H801" s="713"/>
      <c r="I801" s="713"/>
      <c r="J801" s="713"/>
      <c r="K801" s="713"/>
      <c r="L801" s="713"/>
      <c r="M801" s="713"/>
      <c r="N801" s="713"/>
      <c r="O801" s="713"/>
      <c r="P801" s="713"/>
      <c r="Q801" s="713"/>
      <c r="R801" s="713"/>
      <c r="S801" s="713"/>
      <c r="T801" s="714"/>
      <c r="U801" s="715"/>
      <c r="V801" s="716"/>
    </row>
    <row r="802" spans="1:23" s="788" customFormat="1" ht="20.25" x14ac:dyDescent="0.3">
      <c r="A802" s="786">
        <v>46</v>
      </c>
      <c r="B802" s="787" t="s">
        <v>734</v>
      </c>
      <c r="S802" s="791"/>
      <c r="T802" s="789"/>
      <c r="W802" s="789"/>
    </row>
    <row r="803" spans="1:23" s="94" customFormat="1" ht="15.75" x14ac:dyDescent="0.25">
      <c r="B803" s="572" t="s">
        <v>732</v>
      </c>
      <c r="C803" s="91">
        <v>41487</v>
      </c>
      <c r="D803" s="91">
        <v>41518</v>
      </c>
      <c r="E803" s="91">
        <v>41548</v>
      </c>
      <c r="F803" s="91">
        <v>41579</v>
      </c>
      <c r="G803" s="91">
        <v>41609</v>
      </c>
      <c r="H803" s="91">
        <v>41640</v>
      </c>
      <c r="I803" s="91">
        <v>41671</v>
      </c>
      <c r="J803" s="91">
        <v>41699</v>
      </c>
      <c r="K803" s="91">
        <v>41730</v>
      </c>
      <c r="L803" s="91">
        <v>41760</v>
      </c>
      <c r="M803" s="91">
        <v>41791</v>
      </c>
      <c r="N803" s="91">
        <v>41821</v>
      </c>
      <c r="O803" s="91">
        <v>41852</v>
      </c>
    </row>
    <row r="804" spans="1:23" x14ac:dyDescent="0.2">
      <c r="C804" s="588"/>
      <c r="D804" s="588"/>
      <c r="E804" s="588"/>
      <c r="F804" s="588"/>
      <c r="G804" s="588"/>
      <c r="H804" s="588"/>
      <c r="I804" s="588"/>
      <c r="J804" s="588"/>
      <c r="K804" s="588"/>
      <c r="L804" s="588"/>
      <c r="M804" s="588"/>
      <c r="N804" s="573"/>
      <c r="O804" s="573"/>
    </row>
    <row r="805" spans="1:23" x14ac:dyDescent="0.2">
      <c r="B805" s="574" t="s">
        <v>319</v>
      </c>
      <c r="C805" s="539">
        <v>21300</v>
      </c>
      <c r="D805" s="539">
        <v>18000</v>
      </c>
      <c r="E805" s="539">
        <v>86700</v>
      </c>
      <c r="F805" s="539">
        <v>102600</v>
      </c>
      <c r="G805" s="539">
        <v>109500</v>
      </c>
      <c r="H805" s="539">
        <v>1113400</v>
      </c>
      <c r="I805" s="539">
        <v>84000</v>
      </c>
      <c r="J805" s="539">
        <v>70500</v>
      </c>
      <c r="K805" s="539">
        <v>64333</v>
      </c>
      <c r="L805" s="539">
        <v>47264</v>
      </c>
      <c r="M805" s="539">
        <v>43754</v>
      </c>
      <c r="N805" s="589">
        <v>44155</v>
      </c>
      <c r="O805" s="589">
        <v>51376</v>
      </c>
    </row>
    <row r="806" spans="1:23" x14ac:dyDescent="0.2">
      <c r="B806" s="574" t="s">
        <v>322</v>
      </c>
      <c r="C806" s="590" t="s">
        <v>330</v>
      </c>
      <c r="D806" s="539">
        <v>175032</v>
      </c>
      <c r="E806" s="539">
        <v>228888</v>
      </c>
      <c r="F806" s="539">
        <v>210188</v>
      </c>
      <c r="G806" s="539">
        <v>229636</v>
      </c>
      <c r="H806" s="539">
        <v>73304</v>
      </c>
      <c r="I806" s="539">
        <v>187748</v>
      </c>
      <c r="J806" s="539">
        <v>222156</v>
      </c>
      <c r="K806" s="539">
        <v>201960</v>
      </c>
      <c r="L806" s="539">
        <v>246840</v>
      </c>
      <c r="M806" s="539">
        <v>12716</v>
      </c>
      <c r="N806" s="589">
        <v>1496</v>
      </c>
      <c r="O806" s="589">
        <v>33660</v>
      </c>
    </row>
    <row r="807" spans="1:23" x14ac:dyDescent="0.2">
      <c r="B807" s="577" t="s">
        <v>641</v>
      </c>
      <c r="C807" s="539">
        <v>99</v>
      </c>
      <c r="D807" s="539">
        <v>564</v>
      </c>
      <c r="E807" s="539">
        <v>531</v>
      </c>
      <c r="F807" s="539">
        <v>642</v>
      </c>
      <c r="G807" s="539">
        <v>616</v>
      </c>
      <c r="H807" s="539">
        <v>421</v>
      </c>
      <c r="I807" s="539">
        <v>865</v>
      </c>
      <c r="J807" s="539">
        <v>660</v>
      </c>
      <c r="K807" s="539">
        <v>711</v>
      </c>
      <c r="L807" s="539">
        <v>665</v>
      </c>
      <c r="M807" s="539">
        <v>98</v>
      </c>
      <c r="N807" s="589">
        <v>109</v>
      </c>
      <c r="O807" s="589">
        <v>122</v>
      </c>
    </row>
    <row r="808" spans="1:23" x14ac:dyDescent="0.2">
      <c r="B808" s="107"/>
      <c r="C808" s="588"/>
      <c r="D808" s="588"/>
      <c r="E808" s="588"/>
      <c r="F808" s="588"/>
      <c r="G808" s="588"/>
      <c r="H808" s="588"/>
      <c r="I808" s="588"/>
      <c r="J808" s="588"/>
      <c r="K808" s="588"/>
      <c r="L808" s="588"/>
      <c r="M808" s="588"/>
      <c r="N808" s="573"/>
      <c r="O808" s="573"/>
    </row>
    <row r="809" spans="1:23" x14ac:dyDescent="0.2">
      <c r="B809" s="574" t="s">
        <v>324</v>
      </c>
      <c r="C809" s="591">
        <v>1602.01</v>
      </c>
      <c r="D809" s="591">
        <v>1741.78</v>
      </c>
      <c r="E809" s="591">
        <v>6531.34</v>
      </c>
      <c r="F809" s="591">
        <v>7798.48</v>
      </c>
      <c r="G809" s="591">
        <v>8591.68</v>
      </c>
      <c r="H809" s="591">
        <v>8739.82</v>
      </c>
      <c r="I809" s="591">
        <v>6881.85</v>
      </c>
      <c r="J809" s="591">
        <v>6905.76</v>
      </c>
      <c r="K809" s="591">
        <v>5660.98</v>
      </c>
      <c r="L809" s="591">
        <v>4615.49</v>
      </c>
      <c r="M809" s="591">
        <v>4401.47</v>
      </c>
      <c r="N809" s="592">
        <v>4446.5600000000004</v>
      </c>
      <c r="O809" s="592">
        <v>4890.97</v>
      </c>
    </row>
    <row r="810" spans="1:23" x14ac:dyDescent="0.2">
      <c r="B810" s="582" t="s">
        <v>328</v>
      </c>
      <c r="C810" s="590" t="s">
        <v>330</v>
      </c>
      <c r="D810" s="591">
        <v>1956.28</v>
      </c>
      <c r="E810" s="591">
        <v>2351.56</v>
      </c>
      <c r="F810" s="591">
        <v>2214.31</v>
      </c>
      <c r="G810" s="591">
        <v>2357.0500000000002</v>
      </c>
      <c r="H810" s="591">
        <v>1209.6400000000001</v>
      </c>
      <c r="I810" s="591">
        <v>2049.61</v>
      </c>
      <c r="J810" s="591">
        <v>2302.15</v>
      </c>
      <c r="K810" s="591">
        <v>2153.92</v>
      </c>
      <c r="L810" s="591">
        <v>2483.3200000000002</v>
      </c>
      <c r="M810" s="591">
        <v>764.95</v>
      </c>
      <c r="N810" s="592">
        <v>708.98</v>
      </c>
      <c r="O810" s="592">
        <v>954.95</v>
      </c>
    </row>
    <row r="811" spans="1:23" x14ac:dyDescent="0.2">
      <c r="B811" s="586" t="s">
        <v>733</v>
      </c>
      <c r="C811" s="591">
        <v>112.15</v>
      </c>
      <c r="D811" s="591">
        <v>531.25</v>
      </c>
      <c r="E811" s="591">
        <v>501.6</v>
      </c>
      <c r="F811" s="591">
        <v>626.82000000000005</v>
      </c>
      <c r="G811" s="591">
        <v>590.24</v>
      </c>
      <c r="H811" s="591">
        <v>415.76</v>
      </c>
      <c r="I811" s="591">
        <v>1245.33</v>
      </c>
      <c r="J811" s="591">
        <v>188.72</v>
      </c>
      <c r="K811" s="591">
        <v>607.86</v>
      </c>
      <c r="L811" s="591">
        <v>584.78</v>
      </c>
      <c r="M811" s="591">
        <v>110.3</v>
      </c>
      <c r="N811" s="592">
        <v>123.14</v>
      </c>
      <c r="O811" s="592">
        <v>135.02000000000001</v>
      </c>
    </row>
    <row r="812" spans="1:23" s="788" customFormat="1" ht="20.25" x14ac:dyDescent="0.3">
      <c r="A812" s="786">
        <v>47</v>
      </c>
      <c r="B812" s="787" t="s">
        <v>736</v>
      </c>
      <c r="S812" s="791"/>
      <c r="T812" s="789"/>
      <c r="W812" s="789"/>
    </row>
    <row r="813" spans="1:23" s="94" customFormat="1" ht="15.75" x14ac:dyDescent="0.25">
      <c r="B813" s="572" t="s">
        <v>735</v>
      </c>
      <c r="C813" s="91">
        <v>41487</v>
      </c>
      <c r="D813" s="91">
        <v>41518</v>
      </c>
      <c r="E813" s="91">
        <v>41548</v>
      </c>
      <c r="F813" s="91">
        <v>41579</v>
      </c>
      <c r="G813" s="91">
        <v>41609</v>
      </c>
      <c r="H813" s="91">
        <v>41640</v>
      </c>
      <c r="I813" s="91">
        <v>41671</v>
      </c>
      <c r="J813" s="91">
        <v>41699</v>
      </c>
      <c r="K813" s="91">
        <v>41730</v>
      </c>
      <c r="L813" s="91">
        <v>41760</v>
      </c>
      <c r="M813" s="91">
        <v>41791</v>
      </c>
      <c r="N813" s="91">
        <v>41821</v>
      </c>
      <c r="O813" s="91">
        <v>41852</v>
      </c>
    </row>
    <row r="814" spans="1:23" x14ac:dyDescent="0.2">
      <c r="C814" s="441"/>
      <c r="D814" s="441"/>
      <c r="E814" s="441"/>
      <c r="F814" s="441"/>
      <c r="G814" s="441"/>
      <c r="H814" s="441"/>
      <c r="I814" s="441"/>
      <c r="J814" s="441"/>
      <c r="K814" s="441"/>
      <c r="L814" s="441"/>
      <c r="M814" s="441"/>
      <c r="N814" s="573"/>
      <c r="O814" s="573"/>
    </row>
    <row r="815" spans="1:23" x14ac:dyDescent="0.2">
      <c r="B815" s="574" t="s">
        <v>319</v>
      </c>
      <c r="C815" s="593">
        <v>49500</v>
      </c>
      <c r="D815" s="593">
        <v>92700</v>
      </c>
      <c r="E815" s="593">
        <v>61800</v>
      </c>
      <c r="F815" s="593">
        <v>42300</v>
      </c>
      <c r="G815" s="593">
        <v>61500</v>
      </c>
      <c r="H815" s="593">
        <v>78900</v>
      </c>
      <c r="I815" s="593">
        <v>63600</v>
      </c>
      <c r="J815" s="593">
        <v>50100</v>
      </c>
      <c r="K815" s="593">
        <v>39000</v>
      </c>
      <c r="L815" s="593">
        <v>27035</v>
      </c>
      <c r="M815" s="593">
        <v>26613</v>
      </c>
      <c r="N815" s="589">
        <v>27287</v>
      </c>
      <c r="O815" s="589">
        <v>32916</v>
      </c>
    </row>
    <row r="816" spans="1:23" x14ac:dyDescent="0.2">
      <c r="B816" s="574" t="s">
        <v>322</v>
      </c>
      <c r="C816" s="590" t="s">
        <v>330</v>
      </c>
      <c r="D816" s="593">
        <v>75548</v>
      </c>
      <c r="E816" s="593">
        <v>89760</v>
      </c>
      <c r="F816" s="593">
        <v>86020</v>
      </c>
      <c r="G816" s="593">
        <v>80784</v>
      </c>
      <c r="H816" s="593">
        <v>18700</v>
      </c>
      <c r="I816" s="593">
        <v>71060</v>
      </c>
      <c r="J816" s="593">
        <v>80036</v>
      </c>
      <c r="K816" s="593">
        <v>60588</v>
      </c>
      <c r="L816" s="593">
        <v>63580</v>
      </c>
      <c r="M816" s="593">
        <v>3740</v>
      </c>
      <c r="N816" s="589">
        <v>2244</v>
      </c>
      <c r="O816" s="589">
        <v>2992</v>
      </c>
    </row>
    <row r="817" spans="1:24" x14ac:dyDescent="0.2">
      <c r="B817" s="577" t="s">
        <v>641</v>
      </c>
      <c r="C817" s="593">
        <v>70</v>
      </c>
      <c r="D817" s="593">
        <v>312</v>
      </c>
      <c r="E817" s="593">
        <v>299</v>
      </c>
      <c r="F817" s="593">
        <v>375</v>
      </c>
      <c r="G817" s="593">
        <v>331</v>
      </c>
      <c r="H817" s="593">
        <v>259</v>
      </c>
      <c r="I817" s="593">
        <v>482</v>
      </c>
      <c r="J817" s="593">
        <v>329</v>
      </c>
      <c r="K817" s="593">
        <v>364</v>
      </c>
      <c r="L817" s="593">
        <v>318</v>
      </c>
      <c r="M817" s="593">
        <v>378</v>
      </c>
      <c r="N817" s="589">
        <v>346</v>
      </c>
      <c r="O817" s="589">
        <v>195</v>
      </c>
    </row>
    <row r="818" spans="1:24" x14ac:dyDescent="0.2">
      <c r="B818" s="107"/>
      <c r="C818" s="441"/>
      <c r="D818" s="441"/>
      <c r="E818" s="441"/>
      <c r="F818" s="441"/>
      <c r="G818" s="441"/>
      <c r="H818" s="441"/>
      <c r="I818" s="441"/>
      <c r="J818" s="441"/>
      <c r="K818" s="441"/>
      <c r="L818" s="441"/>
      <c r="M818" s="441"/>
      <c r="N818" s="573"/>
      <c r="O818" s="573"/>
    </row>
    <row r="819" spans="1:24" x14ac:dyDescent="0.2">
      <c r="B819" s="574" t="s">
        <v>324</v>
      </c>
      <c r="C819" s="594">
        <v>3557.69</v>
      </c>
      <c r="D819" s="594">
        <v>6668.52</v>
      </c>
      <c r="E819" s="594">
        <v>4453.1899999999996</v>
      </c>
      <c r="F819" s="594">
        <v>3480.48</v>
      </c>
      <c r="G819" s="594">
        <v>4810.01</v>
      </c>
      <c r="H819" s="594">
        <v>6102.75</v>
      </c>
      <c r="I819" s="594">
        <v>5018.6099999999997</v>
      </c>
      <c r="J819" s="594">
        <v>4548.76</v>
      </c>
      <c r="K819" s="594">
        <v>3405.03</v>
      </c>
      <c r="L819" s="594">
        <v>2672.6</v>
      </c>
      <c r="M819" s="594">
        <v>2646.87</v>
      </c>
      <c r="N819" s="592">
        <v>2700.47</v>
      </c>
      <c r="O819" s="592">
        <v>3046.58</v>
      </c>
    </row>
    <row r="820" spans="1:24" x14ac:dyDescent="0.2">
      <c r="B820" s="582" t="s">
        <v>328</v>
      </c>
      <c r="C820" s="590" t="s">
        <v>330</v>
      </c>
      <c r="D820" s="594">
        <v>1226.1099999999999</v>
      </c>
      <c r="E820" s="594">
        <v>1330.42</v>
      </c>
      <c r="F820" s="594">
        <v>1302.97</v>
      </c>
      <c r="G820" s="594">
        <v>1264.54</v>
      </c>
      <c r="H820" s="594">
        <v>808.87</v>
      </c>
      <c r="I820" s="594">
        <v>1193.17</v>
      </c>
      <c r="J820" s="594">
        <v>1259.05</v>
      </c>
      <c r="K820" s="594">
        <v>1116.31</v>
      </c>
      <c r="L820" s="594">
        <v>1138.27</v>
      </c>
      <c r="M820" s="594">
        <v>699.07</v>
      </c>
      <c r="N820" s="592">
        <v>714.69</v>
      </c>
      <c r="O820" s="592">
        <v>720.84</v>
      </c>
    </row>
    <row r="821" spans="1:24" x14ac:dyDescent="0.2">
      <c r="B821" s="586" t="s">
        <v>733</v>
      </c>
      <c r="C821" s="594">
        <v>85.75</v>
      </c>
      <c r="D821" s="594">
        <v>304.79000000000002</v>
      </c>
      <c r="E821" s="594">
        <v>293.11</v>
      </c>
      <c r="F821" s="594">
        <v>376.29</v>
      </c>
      <c r="G821" s="594">
        <v>328.45</v>
      </c>
      <c r="H821" s="594">
        <v>265.16000000000003</v>
      </c>
      <c r="I821" s="594">
        <v>472.82</v>
      </c>
      <c r="J821" s="594">
        <v>312.14999999999998</v>
      </c>
      <c r="K821" s="594">
        <v>325.25</v>
      </c>
      <c r="L821" s="594">
        <v>292.37</v>
      </c>
      <c r="M821" s="594">
        <v>360.44</v>
      </c>
      <c r="N821" s="592">
        <v>339.7</v>
      </c>
      <c r="O821" s="592">
        <v>201.73</v>
      </c>
    </row>
    <row r="822" spans="1:24" s="788" customFormat="1" ht="20.25" x14ac:dyDescent="0.3">
      <c r="A822" s="786">
        <v>48</v>
      </c>
      <c r="B822" s="787" t="s">
        <v>631</v>
      </c>
      <c r="S822" s="791"/>
      <c r="T822" s="789"/>
      <c r="W822" s="789"/>
    </row>
    <row r="823" spans="1:24" s="94" customFormat="1" ht="15.75" x14ac:dyDescent="0.25">
      <c r="B823" s="572" t="s">
        <v>737</v>
      </c>
      <c r="C823" s="91">
        <v>41487</v>
      </c>
      <c r="D823" s="91">
        <v>41518</v>
      </c>
      <c r="E823" s="91">
        <v>41548</v>
      </c>
      <c r="F823" s="91">
        <v>41579</v>
      </c>
      <c r="G823" s="91">
        <v>41609</v>
      </c>
      <c r="H823" s="91">
        <v>41640</v>
      </c>
      <c r="I823" s="91">
        <v>41671</v>
      </c>
      <c r="J823" s="91">
        <v>41699</v>
      </c>
      <c r="K823" s="91">
        <v>41730</v>
      </c>
      <c r="L823" s="91">
        <v>41760</v>
      </c>
      <c r="M823" s="91">
        <v>41791</v>
      </c>
      <c r="N823" s="91">
        <v>41821</v>
      </c>
      <c r="O823" s="91">
        <v>41852</v>
      </c>
    </row>
    <row r="824" spans="1:24" x14ac:dyDescent="0.2">
      <c r="C824" s="441"/>
      <c r="D824" s="441"/>
      <c r="E824" s="441"/>
      <c r="F824" s="441"/>
      <c r="G824" s="441"/>
      <c r="H824" s="441"/>
      <c r="I824" s="441"/>
      <c r="J824" s="441"/>
      <c r="K824" s="441"/>
      <c r="L824" s="441"/>
      <c r="M824" s="441"/>
      <c r="N824" s="441"/>
      <c r="O824" s="441"/>
    </row>
    <row r="825" spans="1:24" x14ac:dyDescent="0.2">
      <c r="B825" s="574" t="s">
        <v>319</v>
      </c>
      <c r="C825" s="590" t="s">
        <v>330</v>
      </c>
      <c r="D825" s="590" t="s">
        <v>330</v>
      </c>
      <c r="E825" s="593">
        <v>4380</v>
      </c>
      <c r="F825" s="593">
        <v>46500</v>
      </c>
      <c r="G825" s="593">
        <v>54900</v>
      </c>
      <c r="H825" s="593">
        <v>68700</v>
      </c>
      <c r="I825" s="593">
        <v>57300</v>
      </c>
      <c r="J825" s="593">
        <v>48000</v>
      </c>
      <c r="K825" s="593">
        <v>46395</v>
      </c>
      <c r="L825" s="593">
        <v>34365</v>
      </c>
      <c r="M825" s="593">
        <v>29364</v>
      </c>
      <c r="N825" s="593">
        <v>31741</v>
      </c>
      <c r="O825" s="593">
        <v>39247</v>
      </c>
    </row>
    <row r="826" spans="1:24" x14ac:dyDescent="0.2">
      <c r="B826" s="574" t="s">
        <v>322</v>
      </c>
      <c r="C826" s="590" t="s">
        <v>330</v>
      </c>
      <c r="D826" s="593">
        <v>139128</v>
      </c>
      <c r="E826" s="593">
        <v>178772</v>
      </c>
      <c r="F826" s="593">
        <v>166056</v>
      </c>
      <c r="G826" s="593">
        <v>158576</v>
      </c>
      <c r="H826" s="593">
        <v>37400</v>
      </c>
      <c r="I826" s="593">
        <v>155584</v>
      </c>
      <c r="J826" s="593">
        <v>168300</v>
      </c>
      <c r="K826" s="593">
        <v>142120</v>
      </c>
      <c r="L826" s="593">
        <v>143616</v>
      </c>
      <c r="M826" s="593">
        <v>748</v>
      </c>
      <c r="N826" s="593">
        <v>1496</v>
      </c>
      <c r="O826" s="593">
        <v>14212</v>
      </c>
    </row>
    <row r="827" spans="1:24" x14ac:dyDescent="0.2">
      <c r="B827" s="577" t="s">
        <v>641</v>
      </c>
      <c r="C827" s="593">
        <v>68</v>
      </c>
      <c r="D827" s="593">
        <v>475</v>
      </c>
      <c r="E827" s="593">
        <v>461</v>
      </c>
      <c r="F827" s="593">
        <v>554</v>
      </c>
      <c r="G827" s="593">
        <v>531</v>
      </c>
      <c r="H827" s="593">
        <v>373</v>
      </c>
      <c r="I827" s="593">
        <v>812</v>
      </c>
      <c r="J827" s="593">
        <v>494</v>
      </c>
      <c r="K827" s="593">
        <v>617</v>
      </c>
      <c r="L827" s="593">
        <v>546</v>
      </c>
      <c r="M827" s="593">
        <v>88</v>
      </c>
      <c r="N827" s="593">
        <v>126</v>
      </c>
      <c r="O827" s="593">
        <v>119</v>
      </c>
    </row>
    <row r="828" spans="1:24" x14ac:dyDescent="0.2">
      <c r="B828" s="107"/>
      <c r="C828" s="441"/>
      <c r="D828" s="441"/>
      <c r="E828" s="441"/>
      <c r="F828" s="441"/>
      <c r="G828" s="441"/>
      <c r="H828" s="441"/>
      <c r="I828" s="441"/>
      <c r="J828" s="441"/>
      <c r="K828" s="441"/>
      <c r="L828" s="441"/>
      <c r="M828" s="441"/>
      <c r="N828" s="441"/>
      <c r="O828" s="441"/>
    </row>
    <row r="829" spans="1:24" x14ac:dyDescent="0.2">
      <c r="B829" s="574" t="s">
        <v>324</v>
      </c>
      <c r="C829" s="590" t="s">
        <v>330</v>
      </c>
      <c r="D829" s="590" t="s">
        <v>330</v>
      </c>
      <c r="E829" s="594">
        <v>4056.36</v>
      </c>
      <c r="F829" s="594">
        <v>4231.6099999999997</v>
      </c>
      <c r="G829" s="594">
        <v>4800.03</v>
      </c>
      <c r="H829" s="594">
        <v>5553.53</v>
      </c>
      <c r="I829" s="594">
        <v>4831.13</v>
      </c>
      <c r="J829" s="594">
        <v>4896.78</v>
      </c>
      <c r="K829" s="594">
        <v>4151.6000000000004</v>
      </c>
      <c r="L829" s="594">
        <v>3414.67</v>
      </c>
      <c r="M829" s="594">
        <v>3080.44</v>
      </c>
      <c r="N829" s="594">
        <v>3260.39</v>
      </c>
      <c r="O829" s="594">
        <v>3731.22</v>
      </c>
    </row>
    <row r="830" spans="1:24" x14ac:dyDescent="0.2">
      <c r="B830" s="582" t="s">
        <v>328</v>
      </c>
      <c r="C830" s="595" t="s">
        <v>330</v>
      </c>
      <c r="D830" s="594">
        <v>1692.76</v>
      </c>
      <c r="E830" s="594">
        <v>1983.73</v>
      </c>
      <c r="F830" s="594">
        <v>1890.4</v>
      </c>
      <c r="G830" s="594">
        <v>1835.5</v>
      </c>
      <c r="H830" s="594">
        <v>946.12</v>
      </c>
      <c r="I830" s="594">
        <v>1813.54</v>
      </c>
      <c r="J830" s="594">
        <v>1906.87</v>
      </c>
      <c r="K830" s="594">
        <v>1714.72</v>
      </c>
      <c r="L830" s="594">
        <v>1725.7</v>
      </c>
      <c r="M830" s="594">
        <v>721.03</v>
      </c>
      <c r="N830" s="594">
        <v>708.98</v>
      </c>
      <c r="O830" s="594">
        <v>806.49</v>
      </c>
    </row>
    <row r="831" spans="1:24" x14ac:dyDescent="0.2">
      <c r="B831" s="586" t="s">
        <v>733</v>
      </c>
      <c r="C831" s="594">
        <v>83.93</v>
      </c>
      <c r="D831" s="594">
        <v>451.27</v>
      </c>
      <c r="E831" s="594">
        <v>438.69</v>
      </c>
      <c r="F831" s="594">
        <v>544.25</v>
      </c>
      <c r="G831" s="594">
        <v>512.16999999999996</v>
      </c>
      <c r="H831" s="594">
        <v>371.14</v>
      </c>
      <c r="I831" s="594">
        <v>779.07</v>
      </c>
      <c r="J831" s="594">
        <v>456.45</v>
      </c>
      <c r="K831" s="594">
        <v>533.64</v>
      </c>
      <c r="L831" s="594">
        <v>484.5</v>
      </c>
      <c r="M831" s="594">
        <v>101.29</v>
      </c>
      <c r="N831" s="594">
        <v>138.66999999999999</v>
      </c>
      <c r="O831" s="594">
        <v>132.27000000000001</v>
      </c>
    </row>
    <row r="832" spans="1:24" s="788" customFormat="1" ht="20.25" x14ac:dyDescent="0.3">
      <c r="A832" s="786">
        <v>49</v>
      </c>
      <c r="B832" s="787" t="s">
        <v>632</v>
      </c>
      <c r="C832" s="787"/>
      <c r="U832" s="789"/>
      <c r="X832" s="789"/>
    </row>
    <row r="833" spans="1:24" ht="31.15" customHeight="1" x14ac:dyDescent="0.25">
      <c r="B833" s="464" t="s">
        <v>878</v>
      </c>
      <c r="C833" s="776"/>
      <c r="D833" s="776"/>
      <c r="E833" s="776"/>
      <c r="F833" s="776"/>
      <c r="G833" s="776"/>
      <c r="H833" s="776"/>
      <c r="I833" s="776"/>
      <c r="J833" s="776"/>
      <c r="K833" s="776"/>
      <c r="L833" s="776"/>
      <c r="M833" s="776"/>
      <c r="N833" s="776"/>
      <c r="O833" s="776"/>
      <c r="P833" s="776"/>
    </row>
    <row r="834" spans="1:24" s="94" customFormat="1" x14ac:dyDescent="0.2">
      <c r="B834" s="465" t="s">
        <v>337</v>
      </c>
      <c r="C834" s="91">
        <v>41456</v>
      </c>
      <c r="D834" s="91">
        <v>41487</v>
      </c>
      <c r="E834" s="91">
        <v>41518</v>
      </c>
      <c r="F834" s="91">
        <v>41548</v>
      </c>
      <c r="G834" s="91">
        <v>41579</v>
      </c>
      <c r="H834" s="91">
        <v>41609</v>
      </c>
      <c r="I834" s="91">
        <v>41640</v>
      </c>
      <c r="J834" s="91">
        <v>41671</v>
      </c>
      <c r="K834" s="91">
        <v>41699</v>
      </c>
      <c r="L834" s="91">
        <v>41730</v>
      </c>
      <c r="M834" s="91">
        <v>41760</v>
      </c>
      <c r="N834" s="91">
        <v>41791</v>
      </c>
      <c r="O834" s="91">
        <v>41821</v>
      </c>
      <c r="P834" s="91">
        <v>41852</v>
      </c>
    </row>
    <row r="835" spans="1:24" ht="15" x14ac:dyDescent="0.25">
      <c r="C835" s="776"/>
      <c r="D835" s="776"/>
      <c r="E835" s="776"/>
      <c r="F835" s="776"/>
      <c r="G835" s="776"/>
      <c r="H835" s="776"/>
      <c r="I835" s="776"/>
      <c r="J835" s="776"/>
      <c r="K835" s="776"/>
      <c r="L835" s="776"/>
      <c r="M835" s="776"/>
      <c r="N835" s="776"/>
      <c r="O835" s="776"/>
      <c r="P835" s="776"/>
    </row>
    <row r="836" spans="1:24" x14ac:dyDescent="0.2">
      <c r="B836" s="95" t="s">
        <v>872</v>
      </c>
      <c r="C836" s="96"/>
      <c r="D836" s="96"/>
      <c r="E836" s="96">
        <v>83895.223255562392</v>
      </c>
      <c r="F836" s="96">
        <v>73064.487466422157</v>
      </c>
      <c r="G836" s="96">
        <v>66101.871601974868</v>
      </c>
      <c r="H836" s="96">
        <v>59826.921501917444</v>
      </c>
      <c r="I836" s="96">
        <v>70485.740849960202</v>
      </c>
      <c r="J836" s="96">
        <v>61889.918795087011</v>
      </c>
      <c r="K836" s="96">
        <v>69969.991526667814</v>
      </c>
      <c r="L836" s="96">
        <v>71775.11415819118</v>
      </c>
      <c r="M836" s="96">
        <v>80370.936213064386</v>
      </c>
      <c r="N836" s="96">
        <v>89654.424032327428</v>
      </c>
      <c r="O836" s="96">
        <v>88279.092503547712</v>
      </c>
      <c r="P836" s="96">
        <v>95671.499470738665</v>
      </c>
    </row>
    <row r="837" spans="1:24" ht="63.75" x14ac:dyDescent="0.2">
      <c r="B837" s="777" t="s">
        <v>879</v>
      </c>
      <c r="C837" s="96"/>
      <c r="D837" s="96"/>
      <c r="E837" s="96">
        <v>2816.2533271272778</v>
      </c>
      <c r="F837" s="96">
        <v>3264.8754696954538</v>
      </c>
      <c r="G837" s="96">
        <v>4811.3877877006998</v>
      </c>
      <c r="H837" s="96">
        <v>5342.0395453339306</v>
      </c>
      <c r="I837" s="96">
        <v>6366.0304746327474</v>
      </c>
      <c r="J837" s="96">
        <v>5531.6029684665673</v>
      </c>
      <c r="K837" s="96">
        <v>5916.392035948722</v>
      </c>
      <c r="L837" s="96">
        <v>4097.2703836299333</v>
      </c>
      <c r="M837" s="96">
        <v>2461.4691925892735</v>
      </c>
      <c r="N837" s="96">
        <v>2605.2508954555142</v>
      </c>
      <c r="O837" s="96">
        <v>2559.6143603485252</v>
      </c>
      <c r="P837" s="96">
        <v>2677.1659444152024</v>
      </c>
    </row>
    <row r="838" spans="1:24" x14ac:dyDescent="0.2">
      <c r="B838" s="95" t="s">
        <v>322</v>
      </c>
      <c r="C838" s="101"/>
      <c r="D838" s="101"/>
      <c r="E838" s="781">
        <v>16838.605500000001</v>
      </c>
      <c r="F838" s="781">
        <v>7278.5264999999999</v>
      </c>
      <c r="G838" s="781">
        <v>3523.3155000000002</v>
      </c>
      <c r="H838" s="781">
        <v>2842.59</v>
      </c>
      <c r="I838" s="781">
        <v>156132.99600000001</v>
      </c>
      <c r="J838" s="781">
        <v>178754.02799999999</v>
      </c>
      <c r="K838" s="781">
        <v>118296.62700000001</v>
      </c>
      <c r="L838" s="781">
        <v>210561.114</v>
      </c>
      <c r="M838" s="781">
        <v>17145.306</v>
      </c>
      <c r="N838" s="781">
        <v>161758.33199999999</v>
      </c>
      <c r="O838" s="101">
        <v>193146.51</v>
      </c>
      <c r="P838" s="101">
        <v>309356.07750000001</v>
      </c>
    </row>
    <row r="839" spans="1:24" ht="15" x14ac:dyDescent="0.25">
      <c r="C839" s="776"/>
      <c r="D839" s="776"/>
      <c r="E839" s="782"/>
      <c r="F839" s="782"/>
      <c r="G839" s="782"/>
      <c r="H839" s="782"/>
      <c r="I839" s="782"/>
      <c r="J839" s="782"/>
      <c r="K839" s="782"/>
      <c r="L839" s="782"/>
      <c r="M839" s="782"/>
      <c r="N839" s="782"/>
      <c r="O839" s="782"/>
      <c r="P839" s="776"/>
    </row>
    <row r="840" spans="1:24" x14ac:dyDescent="0.2">
      <c r="B840" s="95" t="s">
        <v>875</v>
      </c>
      <c r="C840" s="109"/>
      <c r="D840" s="109"/>
      <c r="E840" s="559">
        <v>6129.5312355354554</v>
      </c>
      <c r="F840" s="559">
        <v>4595.9983772924998</v>
      </c>
      <c r="G840" s="559">
        <v>4239.0162750819645</v>
      </c>
      <c r="H840" s="559">
        <v>3769.4126673998198</v>
      </c>
      <c r="I840" s="559">
        <v>4402.0217139825427</v>
      </c>
      <c r="J840" s="559">
        <v>4077.7323883207087</v>
      </c>
      <c r="K840" s="559">
        <v>4430.7198210040769</v>
      </c>
      <c r="L840" s="559">
        <v>4567.5323574664471</v>
      </c>
      <c r="M840" s="559">
        <v>5529.4702691635093</v>
      </c>
      <c r="N840" s="559">
        <v>6931.9464489011698</v>
      </c>
      <c r="O840" s="559">
        <v>6739.1244910205851</v>
      </c>
      <c r="P840" s="559">
        <v>7418.8586993821418</v>
      </c>
    </row>
    <row r="841" spans="1:24" x14ac:dyDescent="0.2">
      <c r="B841" s="112" t="s">
        <v>880</v>
      </c>
      <c r="C841" s="113"/>
      <c r="D841" s="113"/>
      <c r="E841" s="779">
        <v>1428.7037562064179</v>
      </c>
      <c r="F841" s="779">
        <v>1615.8687205056483</v>
      </c>
      <c r="G841" s="779">
        <v>2596.8253167045846</v>
      </c>
      <c r="H841" s="779">
        <v>3008.4383102882771</v>
      </c>
      <c r="I841" s="779">
        <v>3752.1183165175325</v>
      </c>
      <c r="J841" s="779">
        <v>3907.6764716138205</v>
      </c>
      <c r="K841" s="779">
        <v>3531.1716693274407</v>
      </c>
      <c r="L841" s="779">
        <v>2432.3073014707484</v>
      </c>
      <c r="M841" s="779">
        <v>1545.4384317761642</v>
      </c>
      <c r="N841" s="779">
        <v>1515.5607778217613</v>
      </c>
      <c r="O841" s="779">
        <v>1433.9159034291356</v>
      </c>
      <c r="P841" s="779">
        <v>1338.7668734095168</v>
      </c>
    </row>
    <row r="842" spans="1:24" x14ac:dyDescent="0.2">
      <c r="B842" s="112" t="s">
        <v>410</v>
      </c>
      <c r="C842" s="113"/>
      <c r="D842" s="113"/>
      <c r="E842" s="783">
        <f>529.62-20.92</f>
        <v>508.7</v>
      </c>
      <c r="F842" s="779">
        <f>295.42-22.39</f>
        <v>273.03000000000003</v>
      </c>
      <c r="G842" s="783">
        <f>173.23+41.23</f>
        <v>214.45999999999998</v>
      </c>
      <c r="H842" s="783">
        <v>131.19</v>
      </c>
      <c r="I842" s="783">
        <v>1306.76</v>
      </c>
      <c r="J842" s="783">
        <f>2461.5-I842</f>
        <v>1154.74</v>
      </c>
      <c r="K842" s="783">
        <v>1010.44</v>
      </c>
      <c r="L842" s="783">
        <v>1646.17</v>
      </c>
      <c r="M842" s="783">
        <v>221.52</v>
      </c>
      <c r="N842" s="783">
        <v>1351.49</v>
      </c>
      <c r="O842" s="784">
        <v>1518.96</v>
      </c>
      <c r="P842" s="784">
        <v>2226.02</v>
      </c>
    </row>
    <row r="843" spans="1:24" s="799" customFormat="1" ht="20.25" x14ac:dyDescent="0.3">
      <c r="A843" s="798">
        <v>50</v>
      </c>
      <c r="B843" s="799" t="s">
        <v>634</v>
      </c>
    </row>
    <row r="844" spans="1:24" s="788" customFormat="1" ht="20.25" x14ac:dyDescent="0.3">
      <c r="A844" s="786">
        <v>51</v>
      </c>
      <c r="B844" s="787" t="s">
        <v>635</v>
      </c>
      <c r="C844" s="787"/>
      <c r="U844" s="789"/>
      <c r="X844" s="789"/>
    </row>
    <row r="845" spans="1:24" ht="15" x14ac:dyDescent="0.2">
      <c r="B845" s="464" t="s">
        <v>680</v>
      </c>
    </row>
    <row r="846" spans="1:24" x14ac:dyDescent="0.2">
      <c r="B846" s="465" t="s">
        <v>337</v>
      </c>
      <c r="C846" s="91">
        <v>41456</v>
      </c>
      <c r="D846" s="91">
        <v>41487</v>
      </c>
      <c r="E846" s="91">
        <v>41518</v>
      </c>
      <c r="F846" s="91">
        <v>41548</v>
      </c>
      <c r="G846" s="91">
        <v>41579</v>
      </c>
      <c r="H846" s="91">
        <v>41609</v>
      </c>
      <c r="I846" s="91">
        <v>41640</v>
      </c>
      <c r="J846" s="91">
        <v>41671</v>
      </c>
      <c r="K846" s="91">
        <v>41699</v>
      </c>
      <c r="L846" s="91">
        <v>41730</v>
      </c>
      <c r="M846" s="91">
        <v>41760</v>
      </c>
      <c r="N846" s="91">
        <v>41791</v>
      </c>
      <c r="O846" s="91">
        <v>41821</v>
      </c>
      <c r="P846" s="91">
        <v>41852</v>
      </c>
    </row>
    <row r="848" spans="1:24" x14ac:dyDescent="0.2">
      <c r="B848" s="95" t="s">
        <v>409</v>
      </c>
      <c r="C848" s="96"/>
      <c r="D848" s="96"/>
      <c r="E848" s="96"/>
      <c r="F848" s="96"/>
      <c r="G848" s="96"/>
      <c r="H848" s="96">
        <v>49565</v>
      </c>
      <c r="I848" s="96">
        <v>35870</v>
      </c>
      <c r="J848" s="96">
        <v>26238</v>
      </c>
      <c r="K848" s="96">
        <v>36303</v>
      </c>
      <c r="L848" s="96">
        <v>32906</v>
      </c>
      <c r="M848" s="96">
        <v>35271</v>
      </c>
      <c r="N848" s="96">
        <v>33773</v>
      </c>
      <c r="O848" s="96">
        <v>44401</v>
      </c>
      <c r="P848" s="96">
        <v>25329</v>
      </c>
    </row>
    <row r="849" spans="2:16" x14ac:dyDescent="0.2">
      <c r="B849" s="95" t="s">
        <v>679</v>
      </c>
      <c r="C849" s="496" t="s">
        <v>330</v>
      </c>
      <c r="D849" s="496" t="s">
        <v>330</v>
      </c>
      <c r="E849" s="496" t="s">
        <v>330</v>
      </c>
      <c r="F849" s="496" t="s">
        <v>330</v>
      </c>
      <c r="G849" s="496" t="s">
        <v>330</v>
      </c>
      <c r="H849" s="496" t="s">
        <v>330</v>
      </c>
      <c r="I849" s="496" t="s">
        <v>330</v>
      </c>
      <c r="J849" s="496" t="s">
        <v>330</v>
      </c>
      <c r="K849" s="496" t="s">
        <v>330</v>
      </c>
      <c r="L849" s="496" t="s">
        <v>330</v>
      </c>
      <c r="M849" s="496" t="s">
        <v>330</v>
      </c>
      <c r="N849" s="496" t="s">
        <v>330</v>
      </c>
      <c r="O849" s="496" t="s">
        <v>330</v>
      </c>
      <c r="P849" s="496" t="s">
        <v>330</v>
      </c>
    </row>
    <row r="850" spans="2:16" x14ac:dyDescent="0.2">
      <c r="B850" s="95" t="s">
        <v>320</v>
      </c>
      <c r="C850" s="96"/>
      <c r="D850" s="96"/>
      <c r="E850" s="96"/>
      <c r="F850" s="96"/>
      <c r="G850" s="96"/>
      <c r="H850" s="96"/>
      <c r="I850" s="96"/>
      <c r="J850" s="96"/>
      <c r="K850" s="96"/>
      <c r="L850" s="96"/>
      <c r="M850" s="96"/>
      <c r="N850" s="96"/>
      <c r="O850" s="96"/>
      <c r="P850" s="96"/>
    </row>
    <row r="851" spans="2:16" x14ac:dyDescent="0.2">
      <c r="B851" s="95" t="s">
        <v>322</v>
      </c>
      <c r="C851" s="101"/>
      <c r="D851" s="101"/>
      <c r="E851" s="101"/>
      <c r="F851" s="101"/>
      <c r="G851" s="101"/>
      <c r="H851" s="101"/>
      <c r="I851" s="101"/>
      <c r="J851" s="101"/>
      <c r="K851" s="101"/>
      <c r="L851" s="101"/>
      <c r="M851" s="101"/>
      <c r="N851" s="101"/>
      <c r="O851" s="101"/>
      <c r="P851" s="101"/>
    </row>
    <row r="853" spans="2:16" x14ac:dyDescent="0.2">
      <c r="B853" s="95" t="s">
        <v>347</v>
      </c>
      <c r="C853" s="109"/>
      <c r="D853" s="109"/>
      <c r="E853" s="109"/>
      <c r="F853" s="109"/>
      <c r="G853" s="109"/>
      <c r="H853" s="559">
        <f>H848*0.094</f>
        <v>4659.1099999999997</v>
      </c>
      <c r="I853" s="559">
        <f t="shared" ref="I853:P853" si="36">I848*0.094</f>
        <v>3371.78</v>
      </c>
      <c r="J853" s="559">
        <f t="shared" si="36"/>
        <v>2466.3719999999998</v>
      </c>
      <c r="K853" s="559">
        <f t="shared" si="36"/>
        <v>3412.482</v>
      </c>
      <c r="L853" s="559">
        <f t="shared" si="36"/>
        <v>3093.1640000000002</v>
      </c>
      <c r="M853" s="559">
        <f t="shared" si="36"/>
        <v>3315.4740000000002</v>
      </c>
      <c r="N853" s="559">
        <f t="shared" si="36"/>
        <v>3174.6619999999998</v>
      </c>
      <c r="O853" s="559">
        <f t="shared" si="36"/>
        <v>4173.6940000000004</v>
      </c>
      <c r="P853" s="559">
        <f t="shared" si="36"/>
        <v>2380.9259999999999</v>
      </c>
    </row>
    <row r="854" spans="2:16" x14ac:dyDescent="0.2">
      <c r="B854" s="112" t="s">
        <v>348</v>
      </c>
      <c r="C854" s="113"/>
      <c r="D854" s="113"/>
      <c r="E854" s="113"/>
      <c r="F854" s="113"/>
      <c r="G854" s="113"/>
      <c r="H854" s="113"/>
      <c r="I854" s="113"/>
      <c r="J854" s="113"/>
      <c r="K854" s="113"/>
      <c r="L854" s="113"/>
      <c r="M854" s="113"/>
      <c r="N854" s="113"/>
      <c r="O854" s="113"/>
      <c r="P854" s="113"/>
    </row>
    <row r="855" spans="2:16" x14ac:dyDescent="0.2">
      <c r="B855" s="112" t="s">
        <v>410</v>
      </c>
      <c r="C855" s="113"/>
      <c r="D855" s="113"/>
      <c r="E855" s="113"/>
      <c r="F855" s="113"/>
      <c r="G855" s="113"/>
      <c r="H855" s="113"/>
      <c r="I855" s="113"/>
      <c r="J855" s="113"/>
      <c r="K855" s="113"/>
      <c r="L855" s="113"/>
      <c r="M855" s="113"/>
      <c r="N855" s="113"/>
      <c r="O855" s="113"/>
      <c r="P855" s="113"/>
    </row>
  </sheetData>
  <mergeCells count="20">
    <mergeCell ref="A3:AY3"/>
    <mergeCell ref="A12:AY12"/>
    <mergeCell ref="A21:AY21"/>
    <mergeCell ref="A513:AY513"/>
    <mergeCell ref="A522:AY522"/>
    <mergeCell ref="A339:M339"/>
    <mergeCell ref="A73:B73"/>
    <mergeCell ref="A74:A76"/>
    <mergeCell ref="A78:A79"/>
    <mergeCell ref="A81:A84"/>
    <mergeCell ref="A57:B57"/>
    <mergeCell ref="A58:A60"/>
    <mergeCell ref="A62:A63"/>
    <mergeCell ref="A91:L91"/>
    <mergeCell ref="A65:A68"/>
    <mergeCell ref="A531:AY531"/>
    <mergeCell ref="A541:AY541"/>
    <mergeCell ref="A96:M96"/>
    <mergeCell ref="A550:AY550"/>
    <mergeCell ref="A559:AY559"/>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76"/>
  <sheetViews>
    <sheetView zoomScale="89" zoomScaleNormal="89" workbookViewId="0">
      <selection activeCell="T16" sqref="T16"/>
    </sheetView>
  </sheetViews>
  <sheetFormatPr defaultColWidth="8.85546875" defaultRowHeight="14.25" x14ac:dyDescent="0.2"/>
  <cols>
    <col min="1" max="1" width="17.7109375" style="125" customWidth="1"/>
    <col min="2" max="3" width="10.28515625" style="125" customWidth="1"/>
    <col min="4" max="13" width="10.42578125" style="125" bestFit="1" customWidth="1"/>
    <col min="14" max="14" width="9" style="125" bestFit="1" customWidth="1"/>
    <col min="15" max="15" width="8.85546875" style="125" bestFit="1" customWidth="1"/>
    <col min="16" max="16" width="2.7109375" style="125" customWidth="1"/>
    <col min="17" max="17" width="11.42578125" style="125" bestFit="1" customWidth="1"/>
    <col min="18" max="18" width="7.7109375" style="126" bestFit="1" customWidth="1"/>
    <col min="19" max="19" width="2.7109375" style="125" customWidth="1"/>
    <col min="20" max="20" width="12.7109375" style="125" bestFit="1" customWidth="1"/>
    <col min="21" max="21" width="7.7109375" style="126" bestFit="1" customWidth="1"/>
    <col min="22" max="16384" width="8.85546875" style="125"/>
  </cols>
  <sheetData>
    <row r="1" spans="1:21" ht="18" x14ac:dyDescent="0.25">
      <c r="A1" s="124" t="s">
        <v>335</v>
      </c>
    </row>
    <row r="3" spans="1:21" s="128" customFormat="1" ht="15" x14ac:dyDescent="0.2">
      <c r="A3" s="127" t="s">
        <v>336</v>
      </c>
      <c r="R3" s="129"/>
      <c r="U3" s="129"/>
    </row>
    <row r="4" spans="1:21" ht="15" x14ac:dyDescent="0.25">
      <c r="A4" s="130" t="s">
        <v>337</v>
      </c>
      <c r="B4" s="131">
        <v>41091</v>
      </c>
      <c r="C4" s="131">
        <v>41122</v>
      </c>
      <c r="D4" s="131">
        <v>41153</v>
      </c>
      <c r="E4" s="131">
        <v>41183</v>
      </c>
      <c r="F4" s="131">
        <v>41214</v>
      </c>
      <c r="G4" s="131">
        <v>41244</v>
      </c>
      <c r="H4" s="131">
        <v>41275</v>
      </c>
      <c r="I4" s="131">
        <v>41306</v>
      </c>
      <c r="J4" s="131">
        <v>41334</v>
      </c>
      <c r="K4" s="131">
        <v>41365</v>
      </c>
      <c r="L4" s="131">
        <v>41395</v>
      </c>
      <c r="M4" s="131">
        <v>41426</v>
      </c>
      <c r="N4" s="132"/>
      <c r="O4" s="132"/>
      <c r="P4" s="132"/>
      <c r="Q4" s="133" t="s">
        <v>338</v>
      </c>
      <c r="R4" s="134" t="s">
        <v>339</v>
      </c>
      <c r="S4" s="132"/>
      <c r="T4" s="133" t="s">
        <v>338</v>
      </c>
      <c r="U4" s="134" t="s">
        <v>339</v>
      </c>
    </row>
    <row r="5" spans="1:21" x14ac:dyDescent="0.2">
      <c r="A5" s="135" t="s">
        <v>340</v>
      </c>
      <c r="B5" s="136">
        <v>70400</v>
      </c>
      <c r="C5" s="136">
        <v>79760</v>
      </c>
      <c r="D5" s="136">
        <v>91600</v>
      </c>
      <c r="E5" s="136">
        <v>80080</v>
      </c>
      <c r="F5" s="136">
        <v>75520</v>
      </c>
      <c r="G5" s="136">
        <v>74400</v>
      </c>
      <c r="H5" s="136">
        <v>59920</v>
      </c>
      <c r="I5" s="136">
        <v>75680</v>
      </c>
      <c r="J5" s="136">
        <v>64720</v>
      </c>
      <c r="K5" s="136">
        <v>71920</v>
      </c>
      <c r="L5" s="136">
        <v>67920</v>
      </c>
      <c r="M5" s="136">
        <v>84240</v>
      </c>
      <c r="Q5" s="137">
        <f>SUM(B5:P5)</f>
        <v>896160</v>
      </c>
      <c r="R5" s="138" t="s">
        <v>341</v>
      </c>
      <c r="S5" s="139"/>
      <c r="T5" s="140">
        <f>Q5*3143/1000000</f>
        <v>2816.6308800000002</v>
      </c>
      <c r="U5" s="138" t="s">
        <v>342</v>
      </c>
    </row>
    <row r="6" spans="1:21" x14ac:dyDescent="0.2">
      <c r="A6" s="135" t="s">
        <v>343</v>
      </c>
      <c r="B6" s="136">
        <v>25026</v>
      </c>
      <c r="C6" s="136">
        <v>37539</v>
      </c>
      <c r="D6" s="136">
        <v>50886.200000000004</v>
      </c>
      <c r="E6" s="136">
        <v>170176.80000000002</v>
      </c>
      <c r="F6" s="136">
        <v>252762.6</v>
      </c>
      <c r="G6" s="136">
        <v>201876.40000000002</v>
      </c>
      <c r="H6" s="136">
        <v>303648.80000000005</v>
      </c>
      <c r="I6" s="136">
        <v>283628</v>
      </c>
      <c r="J6" s="136">
        <v>257767.80000000002</v>
      </c>
      <c r="K6" s="136">
        <v>179353</v>
      </c>
      <c r="L6" s="136">
        <v>98435.6</v>
      </c>
      <c r="M6" s="136">
        <v>12513</v>
      </c>
      <c r="Q6" s="137">
        <f>SUM(B6:P6)</f>
        <v>1873613.2000000002</v>
      </c>
      <c r="R6" s="138" t="s">
        <v>344</v>
      </c>
      <c r="S6" s="139"/>
      <c r="T6" s="140">
        <f>Q6/1000</f>
        <v>1873.6132000000002</v>
      </c>
      <c r="U6" s="138" t="s">
        <v>342</v>
      </c>
    </row>
    <row r="7" spans="1:21" x14ac:dyDescent="0.2">
      <c r="A7" s="135" t="s">
        <v>345</v>
      </c>
      <c r="B7" s="141">
        <v>18000</v>
      </c>
      <c r="C7" s="141">
        <v>27000</v>
      </c>
      <c r="D7" s="141">
        <v>114000</v>
      </c>
      <c r="E7" s="141">
        <v>166000</v>
      </c>
      <c r="F7" s="141">
        <v>176000</v>
      </c>
      <c r="G7" s="141">
        <v>172000</v>
      </c>
      <c r="H7" s="141">
        <v>77000</v>
      </c>
      <c r="I7" s="141">
        <v>129000</v>
      </c>
      <c r="J7" s="141">
        <v>170000</v>
      </c>
      <c r="K7" s="141">
        <v>133000</v>
      </c>
      <c r="L7" s="141">
        <v>167000</v>
      </c>
      <c r="M7" s="141">
        <v>113000</v>
      </c>
      <c r="Q7" s="137">
        <f>SUM(B7:P7)</f>
        <v>1462000</v>
      </c>
      <c r="R7" s="138" t="s">
        <v>346</v>
      </c>
      <c r="S7" s="139"/>
      <c r="T7" s="137">
        <f>Q7</f>
        <v>1462000</v>
      </c>
      <c r="U7" s="138" t="s">
        <v>346</v>
      </c>
    </row>
    <row r="8" spans="1:21" x14ac:dyDescent="0.2">
      <c r="A8" s="135" t="s">
        <v>347</v>
      </c>
      <c r="B8" s="142">
        <v>6565.42</v>
      </c>
      <c r="C8" s="142">
        <v>7436.67</v>
      </c>
      <c r="D8" s="142">
        <v>8538.7800000000007</v>
      </c>
      <c r="E8" s="142">
        <v>7466.46</v>
      </c>
      <c r="F8" s="142">
        <v>7042</v>
      </c>
      <c r="G8" s="142">
        <v>6937.75</v>
      </c>
      <c r="H8" s="142">
        <v>4651.43</v>
      </c>
      <c r="I8" s="142">
        <v>7020.97</v>
      </c>
      <c r="J8" s="142">
        <v>6001.44</v>
      </c>
      <c r="K8" s="142">
        <v>6667.72</v>
      </c>
      <c r="L8" s="142">
        <v>6297.56</v>
      </c>
      <c r="M8" s="142">
        <v>7807.78</v>
      </c>
      <c r="Q8" s="143">
        <f>SUM(B8:P8)</f>
        <v>82433.98</v>
      </c>
      <c r="R8" s="138"/>
      <c r="S8" s="139"/>
      <c r="T8" s="143">
        <f>Q8</f>
        <v>82433.98</v>
      </c>
      <c r="U8" s="138"/>
    </row>
    <row r="9" spans="1:21" ht="16.5" x14ac:dyDescent="0.35">
      <c r="A9" s="144" t="s">
        <v>348</v>
      </c>
      <c r="B9" s="145">
        <v>1384.08</v>
      </c>
      <c r="C9" s="145">
        <v>1804.56</v>
      </c>
      <c r="D9" s="145">
        <v>3591.6</v>
      </c>
      <c r="E9" s="145">
        <v>3574.08</v>
      </c>
      <c r="F9" s="145">
        <v>4380</v>
      </c>
      <c r="G9" s="145">
        <v>4607.76</v>
      </c>
      <c r="H9" s="145">
        <v>6132</v>
      </c>
      <c r="I9" s="145">
        <v>5352.36</v>
      </c>
      <c r="J9" s="145">
        <v>4818</v>
      </c>
      <c r="K9" s="145">
        <v>3591.6</v>
      </c>
      <c r="L9" s="145">
        <v>3066</v>
      </c>
      <c r="M9" s="145">
        <v>1103.76</v>
      </c>
      <c r="Q9" s="143">
        <f>SUM(B9:P9)</f>
        <v>43405.8</v>
      </c>
      <c r="R9" s="138"/>
      <c r="S9" s="139"/>
      <c r="T9" s="146">
        <f>Q9</f>
        <v>43405.8</v>
      </c>
      <c r="U9" s="138"/>
    </row>
    <row r="10" spans="1:21" x14ac:dyDescent="0.2">
      <c r="Q10" s="139"/>
      <c r="R10" s="147"/>
      <c r="S10" s="139"/>
      <c r="T10" s="143">
        <f>SUM(T8:T9)</f>
        <v>125839.78</v>
      </c>
      <c r="U10" s="138"/>
    </row>
    <row r="11" spans="1:21" ht="15" x14ac:dyDescent="0.25">
      <c r="A11" s="148" t="s">
        <v>349</v>
      </c>
      <c r="Q11" s="139"/>
      <c r="R11" s="147"/>
      <c r="S11" s="139"/>
      <c r="T11" s="149"/>
      <c r="U11" s="150"/>
    </row>
    <row r="12" spans="1:21" ht="15" x14ac:dyDescent="0.25">
      <c r="A12" s="130" t="s">
        <v>337</v>
      </c>
      <c r="D12" s="131">
        <v>41153</v>
      </c>
      <c r="E12" s="131">
        <v>41183</v>
      </c>
      <c r="F12" s="131">
        <v>41214</v>
      </c>
      <c r="G12" s="131">
        <v>41244</v>
      </c>
      <c r="H12" s="131">
        <v>41275</v>
      </c>
      <c r="I12" s="131">
        <v>41306</v>
      </c>
      <c r="J12" s="131">
        <v>41334</v>
      </c>
      <c r="K12" s="131">
        <v>41365</v>
      </c>
      <c r="L12" s="131">
        <v>41395</v>
      </c>
      <c r="M12" s="131">
        <v>41426</v>
      </c>
      <c r="N12" s="131">
        <v>41456</v>
      </c>
      <c r="O12" s="151">
        <v>41487</v>
      </c>
      <c r="Q12" s="133" t="s">
        <v>338</v>
      </c>
      <c r="R12" s="134" t="s">
        <v>339</v>
      </c>
      <c r="S12" s="132"/>
      <c r="T12" s="133" t="s">
        <v>338</v>
      </c>
      <c r="U12" s="134" t="s">
        <v>339</v>
      </c>
    </row>
    <row r="13" spans="1:21" x14ac:dyDescent="0.2">
      <c r="A13" s="135" t="s">
        <v>340</v>
      </c>
      <c r="D13" s="136">
        <v>192858</v>
      </c>
      <c r="E13" s="136">
        <v>139482</v>
      </c>
      <c r="F13" s="136">
        <v>138822</v>
      </c>
      <c r="G13" s="136">
        <v>111327</v>
      </c>
      <c r="H13" s="136">
        <v>71743</v>
      </c>
      <c r="I13" s="136">
        <v>107158</v>
      </c>
      <c r="J13" s="136">
        <v>86119</v>
      </c>
      <c r="K13" s="136">
        <v>109632</v>
      </c>
      <c r="L13" s="136">
        <v>124337</v>
      </c>
      <c r="M13" s="136">
        <v>111701</v>
      </c>
      <c r="N13" s="136">
        <v>166836</v>
      </c>
      <c r="O13" s="136">
        <v>197374</v>
      </c>
      <c r="Q13" s="137">
        <f>SUM(D13:O13)</f>
        <v>1557389</v>
      </c>
      <c r="R13" s="138" t="s">
        <v>341</v>
      </c>
      <c r="S13" s="139"/>
      <c r="T13" s="140">
        <f>Q13*3143/1000000</f>
        <v>4894.8736269999999</v>
      </c>
      <c r="U13" s="138" t="s">
        <v>342</v>
      </c>
    </row>
    <row r="14" spans="1:21" x14ac:dyDescent="0.2">
      <c r="A14" s="135" t="s">
        <v>350</v>
      </c>
      <c r="C14" s="152" t="s">
        <v>351</v>
      </c>
      <c r="D14" s="153" t="s">
        <v>352</v>
      </c>
      <c r="E14" s="153" t="s">
        <v>352</v>
      </c>
      <c r="F14" s="153" t="s">
        <v>352</v>
      </c>
      <c r="G14" s="153" t="s">
        <v>352</v>
      </c>
      <c r="H14" s="153" t="s">
        <v>352</v>
      </c>
      <c r="I14" s="153" t="s">
        <v>352</v>
      </c>
      <c r="J14" s="153" t="s">
        <v>352</v>
      </c>
      <c r="K14" s="153" t="s">
        <v>352</v>
      </c>
      <c r="L14" s="153" t="s">
        <v>352</v>
      </c>
      <c r="M14" s="153" t="s">
        <v>352</v>
      </c>
      <c r="N14" s="153" t="s">
        <v>352</v>
      </c>
      <c r="O14" s="153" t="s">
        <v>352</v>
      </c>
      <c r="Q14" s="137">
        <f>SUM(B14:P14)</f>
        <v>0</v>
      </c>
      <c r="R14" s="138" t="s">
        <v>344</v>
      </c>
      <c r="S14" s="139"/>
      <c r="T14" s="140">
        <v>2757</v>
      </c>
      <c r="U14" s="138" t="s">
        <v>487</v>
      </c>
    </row>
    <row r="15" spans="1:21" x14ac:dyDescent="0.2">
      <c r="A15" s="135" t="s">
        <v>353</v>
      </c>
      <c r="D15" s="136">
        <v>0</v>
      </c>
      <c r="E15" s="136">
        <v>0</v>
      </c>
      <c r="F15" s="136">
        <v>0</v>
      </c>
      <c r="G15" s="136">
        <v>0</v>
      </c>
      <c r="H15" s="136">
        <v>0</v>
      </c>
      <c r="I15" s="136">
        <v>8</v>
      </c>
      <c r="J15" s="136">
        <v>29</v>
      </c>
      <c r="K15" s="136">
        <v>0</v>
      </c>
      <c r="L15" s="136">
        <v>0</v>
      </c>
      <c r="M15" s="136">
        <v>158</v>
      </c>
      <c r="N15" s="136">
        <v>280</v>
      </c>
      <c r="O15" s="136">
        <v>299</v>
      </c>
      <c r="Q15" s="137">
        <f>SUM(D15:P15)</f>
        <v>774</v>
      </c>
      <c r="R15" s="138" t="s">
        <v>354</v>
      </c>
      <c r="S15" s="139"/>
      <c r="T15" s="140">
        <f>Q15*99976.124488/1000000</f>
        <v>77.381520353712006</v>
      </c>
      <c r="U15" s="138" t="s">
        <v>342</v>
      </c>
    </row>
    <row r="16" spans="1:21" x14ac:dyDescent="0.2">
      <c r="A16" s="135" t="s">
        <v>345</v>
      </c>
      <c r="C16" s="152" t="s">
        <v>355</v>
      </c>
      <c r="D16" s="141">
        <v>10629</v>
      </c>
      <c r="E16" s="141">
        <v>17430</v>
      </c>
      <c r="F16" s="141">
        <v>13248</v>
      </c>
      <c r="G16" s="141">
        <v>17123</v>
      </c>
      <c r="H16" s="141">
        <v>3067</v>
      </c>
      <c r="I16" s="141">
        <v>14609</v>
      </c>
      <c r="J16" s="141">
        <v>93783</v>
      </c>
      <c r="K16" s="154">
        <f>(J16+L16)/2</f>
        <v>97231.5</v>
      </c>
      <c r="L16" s="141">
        <v>100680</v>
      </c>
      <c r="M16" s="141">
        <v>5521</v>
      </c>
      <c r="N16" s="141">
        <v>121632</v>
      </c>
      <c r="O16" s="141">
        <v>193313</v>
      </c>
      <c r="Q16" s="137">
        <f>SUM(D16:P16)</f>
        <v>688266.5</v>
      </c>
      <c r="R16" s="138" t="s">
        <v>346</v>
      </c>
      <c r="S16" s="139"/>
      <c r="T16" s="137">
        <f>Q16</f>
        <v>688266.5</v>
      </c>
      <c r="U16" s="138" t="s">
        <v>346</v>
      </c>
    </row>
    <row r="17" spans="1:24" x14ac:dyDescent="0.2">
      <c r="A17" s="135" t="s">
        <v>347</v>
      </c>
      <c r="D17" s="142">
        <v>13885.78</v>
      </c>
      <c r="E17" s="142">
        <v>9484.7800000000007</v>
      </c>
      <c r="F17" s="142">
        <v>8329.32</v>
      </c>
      <c r="G17" s="142">
        <v>6568.29</v>
      </c>
      <c r="H17" s="142">
        <v>4448.07</v>
      </c>
      <c r="I17" s="142">
        <v>6429.48</v>
      </c>
      <c r="J17" s="142">
        <v>5253.26</v>
      </c>
      <c r="K17" s="142">
        <v>6687.55</v>
      </c>
      <c r="L17" s="142">
        <v>7584.56</v>
      </c>
      <c r="M17" s="142">
        <v>6702.06</v>
      </c>
      <c r="N17" s="142">
        <v>12345.86</v>
      </c>
      <c r="O17" s="142">
        <v>11823</v>
      </c>
      <c r="P17" s="155"/>
      <c r="Q17" s="156">
        <f>SUM(D17:P17)</f>
        <v>99542.010000000009</v>
      </c>
      <c r="R17" s="138"/>
      <c r="S17" s="139"/>
      <c r="T17" s="143">
        <f>Q17</f>
        <v>99542.010000000009</v>
      </c>
      <c r="U17" s="138"/>
    </row>
    <row r="18" spans="1:24" x14ac:dyDescent="0.2">
      <c r="A18" s="144" t="s">
        <v>348</v>
      </c>
      <c r="C18" s="152" t="s">
        <v>351</v>
      </c>
      <c r="D18" s="153" t="s">
        <v>352</v>
      </c>
      <c r="E18" s="153" t="s">
        <v>352</v>
      </c>
      <c r="F18" s="153" t="s">
        <v>352</v>
      </c>
      <c r="G18" s="153" t="s">
        <v>352</v>
      </c>
      <c r="H18" s="153" t="s">
        <v>352</v>
      </c>
      <c r="I18" s="153" t="s">
        <v>352</v>
      </c>
      <c r="J18" s="153" t="s">
        <v>352</v>
      </c>
      <c r="K18" s="153" t="s">
        <v>352</v>
      </c>
      <c r="L18" s="153" t="s">
        <v>352</v>
      </c>
      <c r="M18" s="153" t="s">
        <v>352</v>
      </c>
      <c r="N18" s="153" t="s">
        <v>352</v>
      </c>
      <c r="O18" s="153" t="s">
        <v>352</v>
      </c>
      <c r="P18" s="157"/>
      <c r="Q18" s="153" t="s">
        <v>352</v>
      </c>
      <c r="R18" s="138"/>
      <c r="S18" s="139"/>
      <c r="T18" s="143" t="str">
        <f>Q18</f>
        <v>No data</v>
      </c>
      <c r="U18" s="138"/>
    </row>
    <row r="19" spans="1:24" ht="16.5" x14ac:dyDescent="0.35">
      <c r="A19" s="135" t="s">
        <v>356</v>
      </c>
      <c r="D19" s="145">
        <v>17.5</v>
      </c>
      <c r="E19" s="145">
        <v>17.5</v>
      </c>
      <c r="F19" s="145">
        <v>17.5</v>
      </c>
      <c r="G19" s="145">
        <v>17.5</v>
      </c>
      <c r="H19" s="145">
        <v>17.5</v>
      </c>
      <c r="I19" s="145">
        <v>24.82</v>
      </c>
      <c r="J19" s="145">
        <v>29</v>
      </c>
      <c r="K19" s="145">
        <v>17.5</v>
      </c>
      <c r="L19" s="145">
        <v>0</v>
      </c>
      <c r="M19" s="145">
        <v>158</v>
      </c>
      <c r="N19" s="145">
        <v>291.38</v>
      </c>
      <c r="O19" s="145">
        <v>309.81</v>
      </c>
      <c r="P19" s="155"/>
      <c r="Q19" s="156">
        <f>SUM(D19:P19)</f>
        <v>918.01</v>
      </c>
      <c r="R19" s="138"/>
      <c r="S19" s="139"/>
      <c r="T19" s="146">
        <f>Q19</f>
        <v>918.01</v>
      </c>
      <c r="U19" s="138"/>
    </row>
    <row r="20" spans="1:24" x14ac:dyDescent="0.2">
      <c r="C20" s="125" t="s">
        <v>357</v>
      </c>
      <c r="Q20" s="139"/>
      <c r="R20" s="147"/>
      <c r="S20" s="139"/>
      <c r="T20" s="143">
        <f>SUM(T17:T19)</f>
        <v>100460.02</v>
      </c>
      <c r="U20" s="150"/>
    </row>
    <row r="21" spans="1:24" x14ac:dyDescent="0.2">
      <c r="C21" s="125" t="s">
        <v>358</v>
      </c>
      <c r="Q21" s="139"/>
      <c r="R21" s="147"/>
      <c r="S21" s="139"/>
      <c r="T21" s="149"/>
      <c r="U21" s="150" t="s">
        <v>488</v>
      </c>
    </row>
    <row r="22" spans="1:24" ht="15" x14ac:dyDescent="0.25">
      <c r="A22" s="148" t="s">
        <v>359</v>
      </c>
      <c r="Q22" s="139"/>
      <c r="R22" s="147"/>
      <c r="S22" s="139"/>
      <c r="T22" s="149"/>
      <c r="U22" s="150"/>
    </row>
    <row r="23" spans="1:24" ht="15" x14ac:dyDescent="0.25">
      <c r="A23" s="130" t="s">
        <v>337</v>
      </c>
      <c r="B23" s="158"/>
      <c r="C23" s="131">
        <v>41122</v>
      </c>
      <c r="D23" s="131">
        <v>41153</v>
      </c>
      <c r="E23" s="131">
        <v>41183</v>
      </c>
      <c r="F23" s="131">
        <v>41214</v>
      </c>
      <c r="G23" s="131">
        <v>41244</v>
      </c>
      <c r="H23" s="131">
        <v>41275</v>
      </c>
      <c r="I23" s="131">
        <v>41306</v>
      </c>
      <c r="J23" s="131">
        <v>41334</v>
      </c>
      <c r="K23" s="131">
        <v>41365</v>
      </c>
      <c r="L23" s="131">
        <v>41395</v>
      </c>
      <c r="M23" s="131">
        <v>41426</v>
      </c>
      <c r="N23" s="131">
        <v>41456</v>
      </c>
      <c r="O23" s="132"/>
      <c r="P23" s="132"/>
      <c r="Q23" s="133" t="s">
        <v>338</v>
      </c>
      <c r="R23" s="134" t="s">
        <v>339</v>
      </c>
      <c r="S23" s="132"/>
      <c r="T23" s="133" t="s">
        <v>338</v>
      </c>
      <c r="U23" s="134" t="s">
        <v>339</v>
      </c>
    </row>
    <row r="24" spans="1:24" x14ac:dyDescent="0.2">
      <c r="A24" s="153" t="s">
        <v>360</v>
      </c>
      <c r="C24" s="140">
        <v>58922</v>
      </c>
      <c r="D24" s="140">
        <v>64433</v>
      </c>
      <c r="E24" s="140">
        <v>27834</v>
      </c>
      <c r="F24" s="140">
        <v>43379</v>
      </c>
      <c r="G24" s="140">
        <v>52554</v>
      </c>
      <c r="H24" s="140">
        <v>65640</v>
      </c>
      <c r="I24" s="140">
        <v>42990</v>
      </c>
      <c r="J24" s="140">
        <v>64258</v>
      </c>
      <c r="K24" s="140">
        <v>68459</v>
      </c>
      <c r="L24" s="140">
        <v>59732</v>
      </c>
      <c r="M24" s="140">
        <v>31392</v>
      </c>
      <c r="N24" s="140">
        <v>60060</v>
      </c>
      <c r="Q24" s="159">
        <f t="shared" ref="Q24:Q30" si="0">SUM(C24:P24)</f>
        <v>639653</v>
      </c>
      <c r="R24" s="138" t="s">
        <v>361</v>
      </c>
      <c r="S24" s="139"/>
      <c r="T24" s="140">
        <f>Q24*3143/1000000</f>
        <v>2010.4293789999999</v>
      </c>
      <c r="U24" s="138" t="s">
        <v>342</v>
      </c>
    </row>
    <row r="25" spans="1:24" x14ac:dyDescent="0.2">
      <c r="A25" s="153" t="s">
        <v>362</v>
      </c>
      <c r="C25" s="140">
        <v>606.80999999999995</v>
      </c>
      <c r="D25" s="140">
        <v>560.77</v>
      </c>
      <c r="E25" s="140">
        <v>299.08</v>
      </c>
      <c r="F25" s="140">
        <v>141.46</v>
      </c>
      <c r="G25" s="140">
        <v>129.51</v>
      </c>
      <c r="H25" s="140">
        <v>135.82</v>
      </c>
      <c r="I25" s="140">
        <v>154.11000000000001</v>
      </c>
      <c r="J25" s="140">
        <v>97.66</v>
      </c>
      <c r="K25" s="140">
        <v>268.74</v>
      </c>
      <c r="L25" s="140">
        <v>331.86</v>
      </c>
      <c r="M25" s="140">
        <v>715.98</v>
      </c>
      <c r="N25" s="140">
        <v>1017.16</v>
      </c>
      <c r="Q25" s="159">
        <f t="shared" si="0"/>
        <v>4458.96</v>
      </c>
      <c r="R25" s="138" t="s">
        <v>363</v>
      </c>
      <c r="S25" s="139"/>
      <c r="T25" s="160">
        <f>Q25*10*100000/1000000</f>
        <v>4458.96</v>
      </c>
      <c r="U25" s="138" t="s">
        <v>342</v>
      </c>
    </row>
    <row r="26" spans="1:24" x14ac:dyDescent="0.2">
      <c r="A26" s="153" t="s">
        <v>364</v>
      </c>
      <c r="B26" s="152" t="s">
        <v>351</v>
      </c>
      <c r="C26" s="140">
        <v>25.08</v>
      </c>
      <c r="D26" s="140">
        <v>25</v>
      </c>
      <c r="E26" s="140">
        <v>67.5</v>
      </c>
      <c r="F26" s="140">
        <v>158</v>
      </c>
      <c r="G26" s="140">
        <v>364</v>
      </c>
      <c r="H26" s="140">
        <v>464</v>
      </c>
      <c r="I26" s="140">
        <v>125.83</v>
      </c>
      <c r="J26" s="140">
        <v>489</v>
      </c>
      <c r="K26" s="140">
        <v>451</v>
      </c>
      <c r="L26" s="140">
        <v>178.33</v>
      </c>
      <c r="M26" s="140">
        <v>174</v>
      </c>
      <c r="N26" s="140">
        <v>174</v>
      </c>
      <c r="Q26" s="161">
        <f t="shared" si="0"/>
        <v>2695.74</v>
      </c>
      <c r="R26" s="162" t="s">
        <v>365</v>
      </c>
      <c r="S26" s="163"/>
      <c r="T26" s="164">
        <f>Q26</f>
        <v>2695.74</v>
      </c>
      <c r="U26" s="138" t="s">
        <v>342</v>
      </c>
    </row>
    <row r="27" spans="1:24" s="166" customFormat="1" ht="12.75" x14ac:dyDescent="0.2">
      <c r="A27" s="165" t="s">
        <v>366</v>
      </c>
      <c r="C27" s="167">
        <v>2917.67</v>
      </c>
      <c r="D27" s="168">
        <v>1691.9</v>
      </c>
      <c r="E27" s="168">
        <v>3271.34</v>
      </c>
      <c r="F27" s="168">
        <v>2003.71</v>
      </c>
      <c r="G27" s="168">
        <v>4794.5200000000004</v>
      </c>
      <c r="H27" s="168">
        <v>1859.64</v>
      </c>
      <c r="I27" s="169">
        <v>2031.25</v>
      </c>
      <c r="J27" s="169">
        <v>3090.73</v>
      </c>
      <c r="K27" s="169">
        <v>2363.0300000000002</v>
      </c>
      <c r="L27" s="169">
        <v>959.48</v>
      </c>
      <c r="M27" s="169">
        <v>2798.29</v>
      </c>
      <c r="N27" s="169">
        <v>3467.83</v>
      </c>
      <c r="Q27" s="170">
        <f t="shared" si="0"/>
        <v>31249.39</v>
      </c>
      <c r="R27" s="162" t="s">
        <v>367</v>
      </c>
      <c r="S27" s="163"/>
      <c r="T27" s="164">
        <f>Q27*7.48</f>
        <v>233745.43720000001</v>
      </c>
      <c r="U27" s="162" t="s">
        <v>346</v>
      </c>
    </row>
    <row r="28" spans="1:24" x14ac:dyDescent="0.2">
      <c r="A28" s="153" t="s">
        <v>368</v>
      </c>
      <c r="C28" s="171">
        <v>4949.45</v>
      </c>
      <c r="D28" s="171">
        <v>5412.37</v>
      </c>
      <c r="E28" s="171">
        <v>2338.06</v>
      </c>
      <c r="F28" s="171">
        <v>3643.84</v>
      </c>
      <c r="G28" s="171">
        <v>4414.54</v>
      </c>
      <c r="H28" s="171">
        <v>5513.76</v>
      </c>
      <c r="I28" s="171">
        <v>3611.16</v>
      </c>
      <c r="J28" s="171">
        <v>5397.67</v>
      </c>
      <c r="K28" s="171">
        <v>5750.56</v>
      </c>
      <c r="L28" s="171">
        <v>5017.49</v>
      </c>
      <c r="M28" s="171">
        <v>2636.93</v>
      </c>
      <c r="N28" s="171">
        <v>5225.22</v>
      </c>
      <c r="Q28" s="143">
        <f t="shared" si="0"/>
        <v>53911.049999999996</v>
      </c>
      <c r="R28" s="138"/>
      <c r="S28" s="139"/>
      <c r="T28" s="143">
        <f>Q28</f>
        <v>53911.049999999996</v>
      </c>
      <c r="U28" s="138"/>
    </row>
    <row r="29" spans="1:24" x14ac:dyDescent="0.2">
      <c r="A29" s="153" t="s">
        <v>369</v>
      </c>
      <c r="C29" s="171">
        <v>8325.43</v>
      </c>
      <c r="D29" s="171">
        <v>7693.76</v>
      </c>
      <c r="E29" s="171">
        <v>4103.38</v>
      </c>
      <c r="F29" s="171">
        <v>1940.83</v>
      </c>
      <c r="G29" s="171">
        <v>1776.88</v>
      </c>
      <c r="H29" s="171">
        <v>1863.45</v>
      </c>
      <c r="I29" s="171">
        <v>2114.39</v>
      </c>
      <c r="J29" s="171">
        <v>1339.9</v>
      </c>
      <c r="K29" s="171">
        <v>3687.11</v>
      </c>
      <c r="L29" s="171">
        <v>4553.12</v>
      </c>
      <c r="M29" s="171">
        <v>9823.25</v>
      </c>
      <c r="N29" s="171">
        <v>13945.26</v>
      </c>
      <c r="Q29" s="143">
        <f t="shared" si="0"/>
        <v>61166.760000000009</v>
      </c>
      <c r="R29" s="138"/>
      <c r="S29" s="139"/>
      <c r="T29" s="143">
        <f>Q29</f>
        <v>61166.760000000009</v>
      </c>
      <c r="U29" s="138"/>
    </row>
    <row r="30" spans="1:24" ht="16.5" x14ac:dyDescent="0.35">
      <c r="A30" s="153" t="s">
        <v>326</v>
      </c>
      <c r="B30" s="152" t="s">
        <v>351</v>
      </c>
      <c r="C30" s="171">
        <v>345</v>
      </c>
      <c r="D30" s="171">
        <v>344</v>
      </c>
      <c r="E30" s="171">
        <v>930.87</v>
      </c>
      <c r="F30" s="171">
        <v>2183.37</v>
      </c>
      <c r="G30" s="171">
        <v>5019.5600000000004</v>
      </c>
      <c r="H30" s="171">
        <v>6398.56</v>
      </c>
      <c r="I30" s="171">
        <v>1735.2</v>
      </c>
      <c r="J30" s="171">
        <v>6743.31</v>
      </c>
      <c r="K30" s="171">
        <v>6219.29</v>
      </c>
      <c r="L30" s="171">
        <v>2459.17</v>
      </c>
      <c r="M30" s="171">
        <v>2401.8000000000002</v>
      </c>
      <c r="N30" s="171">
        <v>2511.5300000000002</v>
      </c>
      <c r="Q30" s="143">
        <f t="shared" si="0"/>
        <v>37291.660000000003</v>
      </c>
      <c r="R30" s="138"/>
      <c r="S30" s="139"/>
      <c r="T30" s="146">
        <f>Q30</f>
        <v>37291.660000000003</v>
      </c>
      <c r="U30" s="138"/>
    </row>
    <row r="31" spans="1:24" x14ac:dyDescent="0.2">
      <c r="B31" s="125" t="s">
        <v>370</v>
      </c>
      <c r="Q31" s="139"/>
      <c r="R31" s="147"/>
      <c r="S31" s="139"/>
      <c r="T31" s="143">
        <f>SUM(T28:T30)</f>
        <v>152369.47</v>
      </c>
      <c r="U31" s="150"/>
    </row>
    <row r="32" spans="1:24" s="128" customFormat="1" ht="15" x14ac:dyDescent="0.25">
      <c r="A32" s="172" t="s">
        <v>371</v>
      </c>
      <c r="Q32" s="173"/>
      <c r="R32" s="129"/>
      <c r="U32" s="129"/>
      <c r="X32" s="129"/>
    </row>
    <row r="33" spans="1:21" ht="15" x14ac:dyDescent="0.25">
      <c r="A33" s="130" t="s">
        <v>337</v>
      </c>
      <c r="B33" s="158"/>
      <c r="C33" s="131">
        <v>41122</v>
      </c>
      <c r="D33" s="131">
        <v>41153</v>
      </c>
      <c r="E33" s="131">
        <v>41183</v>
      </c>
      <c r="F33" s="131">
        <v>41214</v>
      </c>
      <c r="G33" s="131">
        <v>41244</v>
      </c>
      <c r="H33" s="131">
        <v>41275</v>
      </c>
      <c r="I33" s="131">
        <v>41306</v>
      </c>
      <c r="J33" s="131">
        <v>41334</v>
      </c>
      <c r="K33" s="131">
        <v>41365</v>
      </c>
      <c r="L33" s="131">
        <v>41395</v>
      </c>
      <c r="M33" s="131">
        <v>41426</v>
      </c>
      <c r="N33" s="131">
        <v>41456</v>
      </c>
      <c r="O33" s="132"/>
      <c r="P33" s="132"/>
      <c r="Q33" s="133" t="s">
        <v>338</v>
      </c>
      <c r="R33" s="134" t="s">
        <v>339</v>
      </c>
      <c r="S33" s="132"/>
      <c r="T33" s="133" t="s">
        <v>338</v>
      </c>
      <c r="U33" s="134" t="s">
        <v>339</v>
      </c>
    </row>
    <row r="34" spans="1:21" x14ac:dyDescent="0.2">
      <c r="A34" s="135" t="s">
        <v>340</v>
      </c>
      <c r="B34" s="174"/>
      <c r="C34" s="136">
        <v>80189</v>
      </c>
      <c r="D34" s="136">
        <v>41330</v>
      </c>
      <c r="E34" s="136">
        <v>69306</v>
      </c>
      <c r="F34" s="136">
        <v>72328</v>
      </c>
      <c r="G34" s="136">
        <v>34592</v>
      </c>
      <c r="H34" s="136">
        <v>56617</v>
      </c>
      <c r="I34" s="136">
        <v>36235</v>
      </c>
      <c r="J34" s="136">
        <v>56903</v>
      </c>
      <c r="K34" s="136">
        <v>71169</v>
      </c>
      <c r="L34" s="136">
        <v>66909</v>
      </c>
      <c r="M34" s="136">
        <v>62812</v>
      </c>
      <c r="N34" s="136">
        <v>63690</v>
      </c>
      <c r="Q34" s="137">
        <f>SUM(C34:P34)</f>
        <v>712080</v>
      </c>
      <c r="R34" s="138" t="s">
        <v>341</v>
      </c>
      <c r="S34" s="139"/>
      <c r="T34" s="140">
        <f>Q34*3143/1000000</f>
        <v>2238.0674399999998</v>
      </c>
      <c r="U34" s="138" t="s">
        <v>342</v>
      </c>
    </row>
    <row r="35" spans="1:21" x14ac:dyDescent="0.2">
      <c r="A35" s="135" t="s">
        <v>372</v>
      </c>
      <c r="B35" s="174"/>
      <c r="C35" s="136">
        <v>1162</v>
      </c>
      <c r="D35" s="136">
        <v>1964</v>
      </c>
      <c r="E35" s="136">
        <v>1936</v>
      </c>
      <c r="F35" s="136">
        <v>2482</v>
      </c>
      <c r="G35" s="136">
        <v>1934</v>
      </c>
      <c r="H35" s="136">
        <v>2089</v>
      </c>
      <c r="I35" s="136">
        <v>3239</v>
      </c>
      <c r="J35" s="136">
        <v>2957</v>
      </c>
      <c r="K35" s="136">
        <v>3699</v>
      </c>
      <c r="L35" s="136">
        <v>2544</v>
      </c>
      <c r="M35" s="136">
        <v>1462</v>
      </c>
      <c r="N35" s="136">
        <v>1239</v>
      </c>
      <c r="Q35" s="137">
        <f>SUM(C35:P35)</f>
        <v>26707</v>
      </c>
      <c r="R35" s="138" t="s">
        <v>354</v>
      </c>
      <c r="S35" s="139"/>
      <c r="T35" s="140">
        <f>Q35*99976.124488/1000000</f>
        <v>2670.0623567010161</v>
      </c>
      <c r="U35" s="138" t="s">
        <v>342</v>
      </c>
    </row>
    <row r="36" spans="1:21" x14ac:dyDescent="0.2">
      <c r="A36" s="135" t="s">
        <v>373</v>
      </c>
      <c r="B36" s="175"/>
      <c r="C36" s="141">
        <v>86730</v>
      </c>
      <c r="D36" s="141">
        <v>25380</v>
      </c>
      <c r="E36" s="141">
        <v>42300</v>
      </c>
      <c r="F36" s="141">
        <v>16160</v>
      </c>
      <c r="G36" s="141">
        <v>3131</v>
      </c>
      <c r="H36" s="141">
        <v>13750</v>
      </c>
      <c r="I36" s="141">
        <v>12902</v>
      </c>
      <c r="J36" s="141">
        <v>14330</v>
      </c>
      <c r="K36" s="141">
        <v>22060</v>
      </c>
      <c r="L36" s="141">
        <v>5960</v>
      </c>
      <c r="M36" s="141">
        <v>12210</v>
      </c>
      <c r="N36" s="141">
        <v>7650</v>
      </c>
      <c r="Q36" s="137">
        <f>SUM(C36:P36)</f>
        <v>262563</v>
      </c>
      <c r="R36" s="138" t="s">
        <v>367</v>
      </c>
      <c r="S36" s="139"/>
      <c r="T36" s="137">
        <f>Q36*7.48</f>
        <v>1963971.2400000002</v>
      </c>
      <c r="U36" s="138" t="s">
        <v>346</v>
      </c>
    </row>
    <row r="37" spans="1:21" x14ac:dyDescent="0.2">
      <c r="A37" s="135" t="s">
        <v>347</v>
      </c>
      <c r="B37" s="176"/>
      <c r="C37" s="142">
        <v>5408.3346081943237</v>
      </c>
      <c r="D37" s="142">
        <v>2785.1917696795263</v>
      </c>
      <c r="E37" s="142">
        <v>4156.1595396419034</v>
      </c>
      <c r="F37" s="142">
        <v>4034.1955520530078</v>
      </c>
      <c r="G37" s="142">
        <v>1951.4846979375634</v>
      </c>
      <c r="H37" s="142">
        <v>3201.9713845873298</v>
      </c>
      <c r="I37" s="142">
        <v>2067.0059938591703</v>
      </c>
      <c r="J37" s="142">
        <v>3295.5937421996805</v>
      </c>
      <c r="K37" s="142">
        <v>4031.888230791586</v>
      </c>
      <c r="L37" s="142">
        <v>3737.8323351119288</v>
      </c>
      <c r="M37" s="142">
        <v>3975.6597899630988</v>
      </c>
      <c r="N37" s="142">
        <v>4256.4121177097659</v>
      </c>
      <c r="Q37" s="143">
        <f>SUM(C37:P37)</f>
        <v>42901.729761728886</v>
      </c>
      <c r="R37" s="138"/>
      <c r="S37" s="139"/>
      <c r="T37" s="143">
        <f>Q37</f>
        <v>42901.729761728886</v>
      </c>
      <c r="U37" s="138"/>
    </row>
    <row r="38" spans="1:21" ht="16.5" x14ac:dyDescent="0.35">
      <c r="A38" s="144" t="s">
        <v>374</v>
      </c>
      <c r="B38" s="177"/>
      <c r="C38" s="145">
        <v>362.87</v>
      </c>
      <c r="D38" s="145">
        <v>1528.27</v>
      </c>
      <c r="E38" s="145">
        <v>1506.83</v>
      </c>
      <c r="F38" s="145">
        <v>2173.0100000000002</v>
      </c>
      <c r="G38" s="145">
        <v>1729.56</v>
      </c>
      <c r="H38" s="145">
        <v>1863.85</v>
      </c>
      <c r="I38" s="145">
        <v>2697.22</v>
      </c>
      <c r="J38" s="145">
        <v>2402.16</v>
      </c>
      <c r="K38" s="145">
        <v>2780.23</v>
      </c>
      <c r="L38" s="145">
        <v>2216.75</v>
      </c>
      <c r="M38" s="145">
        <v>1338.26</v>
      </c>
      <c r="N38" s="145">
        <v>1137.8599999999999</v>
      </c>
      <c r="Q38" s="143">
        <f>SUM(C38:P38)</f>
        <v>21736.87</v>
      </c>
      <c r="R38" s="138"/>
      <c r="S38" s="139"/>
      <c r="T38" s="146">
        <f>Q38</f>
        <v>21736.87</v>
      </c>
      <c r="U38" s="138"/>
    </row>
    <row r="39" spans="1:21" x14ac:dyDescent="0.2">
      <c r="Q39" s="139"/>
      <c r="R39" s="147"/>
      <c r="S39" s="139"/>
      <c r="T39" s="143">
        <f>SUM(T37:T38)</f>
        <v>64638.599761728881</v>
      </c>
      <c r="U39" s="138"/>
    </row>
    <row r="40" spans="1:21" s="128" customFormat="1" ht="15" x14ac:dyDescent="0.2">
      <c r="A40" s="127" t="s">
        <v>375</v>
      </c>
      <c r="Q40" s="173"/>
      <c r="R40" s="129"/>
      <c r="U40" s="129"/>
    </row>
    <row r="41" spans="1:21" ht="15" x14ac:dyDescent="0.25">
      <c r="A41" s="130" t="s">
        <v>337</v>
      </c>
      <c r="B41" s="158"/>
      <c r="C41" s="131">
        <v>41122</v>
      </c>
      <c r="D41" s="131">
        <v>41153</v>
      </c>
      <c r="E41" s="131">
        <v>41183</v>
      </c>
      <c r="F41" s="131">
        <v>41214</v>
      </c>
      <c r="G41" s="131">
        <v>41244</v>
      </c>
      <c r="H41" s="131">
        <v>41275</v>
      </c>
      <c r="I41" s="131">
        <v>41306</v>
      </c>
      <c r="J41" s="131">
        <v>41334</v>
      </c>
      <c r="K41" s="131">
        <v>41365</v>
      </c>
      <c r="L41" s="131">
        <v>41395</v>
      </c>
      <c r="M41" s="131">
        <v>41426</v>
      </c>
      <c r="N41" s="131">
        <v>41456</v>
      </c>
      <c r="O41" s="132"/>
      <c r="P41" s="132"/>
      <c r="Q41" s="133" t="s">
        <v>338</v>
      </c>
      <c r="R41" s="134" t="s">
        <v>339</v>
      </c>
      <c r="S41" s="132"/>
      <c r="T41" s="133" t="s">
        <v>338</v>
      </c>
      <c r="U41" s="134" t="s">
        <v>339</v>
      </c>
    </row>
    <row r="42" spans="1:21" x14ac:dyDescent="0.2">
      <c r="A42" s="135" t="s">
        <v>340</v>
      </c>
      <c r="B42" s="174"/>
      <c r="C42" s="136">
        <v>191805</v>
      </c>
      <c r="D42" s="136">
        <v>83027</v>
      </c>
      <c r="E42" s="136">
        <v>74038</v>
      </c>
      <c r="F42" s="136">
        <v>153854.80000000005</v>
      </c>
      <c r="G42" s="136">
        <v>125895.19999999995</v>
      </c>
      <c r="H42" s="136">
        <v>158940</v>
      </c>
      <c r="I42" s="136">
        <v>94338</v>
      </c>
      <c r="J42" s="136">
        <v>127579</v>
      </c>
      <c r="K42" s="136">
        <v>149201</v>
      </c>
      <c r="L42" s="136">
        <v>150041</v>
      </c>
      <c r="M42" s="136">
        <v>165852</v>
      </c>
      <c r="N42" s="136">
        <v>217457</v>
      </c>
      <c r="Q42" s="137">
        <f>SUM(C42:P42)</f>
        <v>1692028</v>
      </c>
      <c r="R42" s="138" t="s">
        <v>341</v>
      </c>
      <c r="S42" s="139"/>
      <c r="T42" s="140">
        <f>Q42*3143/1000000</f>
        <v>5318.0440040000003</v>
      </c>
      <c r="U42" s="138" t="s">
        <v>342</v>
      </c>
    </row>
    <row r="43" spans="1:21" x14ac:dyDescent="0.2">
      <c r="A43" s="135" t="s">
        <v>372</v>
      </c>
      <c r="B43" s="174"/>
      <c r="C43" s="136">
        <v>3419</v>
      </c>
      <c r="D43" s="136">
        <v>3804</v>
      </c>
      <c r="E43" s="136">
        <v>3546</v>
      </c>
      <c r="F43" s="136">
        <v>4091</v>
      </c>
      <c r="G43" s="136">
        <v>4203</v>
      </c>
      <c r="H43" s="136">
        <v>6054</v>
      </c>
      <c r="I43" s="136">
        <v>7674</v>
      </c>
      <c r="J43" s="136">
        <v>6875</v>
      </c>
      <c r="K43" s="136">
        <v>5399</v>
      </c>
      <c r="L43" s="136">
        <v>3005</v>
      </c>
      <c r="M43" s="136">
        <v>3130</v>
      </c>
      <c r="N43" s="136">
        <v>3277</v>
      </c>
      <c r="Q43" s="137">
        <f>SUM(C43:P43)</f>
        <v>54477</v>
      </c>
      <c r="R43" s="138" t="s">
        <v>354</v>
      </c>
      <c r="S43" s="139"/>
      <c r="T43" s="140">
        <f>Q43*99976.124488/1000000</f>
        <v>5446.3993337327756</v>
      </c>
      <c r="U43" s="138" t="s">
        <v>342</v>
      </c>
    </row>
    <row r="44" spans="1:21" x14ac:dyDescent="0.2">
      <c r="A44" s="135" t="s">
        <v>373</v>
      </c>
      <c r="B44" s="178"/>
      <c r="C44" s="141">
        <v>80504.800000000047</v>
      </c>
      <c r="D44" s="141">
        <v>53768</v>
      </c>
      <c r="E44" s="141">
        <v>104464</v>
      </c>
      <c r="F44" s="141">
        <v>48863</v>
      </c>
      <c r="G44" s="141">
        <v>43098</v>
      </c>
      <c r="H44" s="141">
        <v>66001</v>
      </c>
      <c r="I44" s="141">
        <v>40038</v>
      </c>
      <c r="J44" s="141">
        <v>54450</v>
      </c>
      <c r="K44" s="141">
        <v>62052</v>
      </c>
      <c r="L44" s="141">
        <v>30982</v>
      </c>
      <c r="M44" s="141">
        <v>81030</v>
      </c>
      <c r="N44" s="141">
        <v>23765</v>
      </c>
      <c r="Q44" s="137">
        <f>SUM(C44:P44)</f>
        <v>689015.8</v>
      </c>
      <c r="R44" s="138" t="s">
        <v>367</v>
      </c>
      <c r="S44" s="139"/>
      <c r="T44" s="137">
        <f>Q44*7.48</f>
        <v>5153838.1840000004</v>
      </c>
      <c r="U44" s="138" t="s">
        <v>346</v>
      </c>
    </row>
    <row r="45" spans="1:21" x14ac:dyDescent="0.2">
      <c r="A45" s="135" t="s">
        <v>347</v>
      </c>
      <c r="B45" s="176"/>
      <c r="C45" s="142">
        <v>12936.258333745429</v>
      </c>
      <c r="D45" s="142">
        <v>5595.1153414270993</v>
      </c>
      <c r="E45" s="142">
        <v>4439.9292989929772</v>
      </c>
      <c r="F45" s="142">
        <v>8581.467064235223</v>
      </c>
      <c r="G45" s="142">
        <v>7102.29406636763</v>
      </c>
      <c r="H45" s="142">
        <v>8988.8431366252225</v>
      </c>
      <c r="I45" s="142">
        <v>5381.4602304039299</v>
      </c>
      <c r="J45" s="142">
        <v>7388.8644541780404</v>
      </c>
      <c r="K45" s="142">
        <v>8452.5812632232501</v>
      </c>
      <c r="L45" s="142">
        <v>8381.9531212920374</v>
      </c>
      <c r="M45" s="142">
        <v>10497.534348292682</v>
      </c>
      <c r="N45" s="142">
        <v>14532.683464920909</v>
      </c>
      <c r="Q45" s="143">
        <f>SUM(C45:P45)</f>
        <v>102278.98412370443</v>
      </c>
      <c r="R45" s="138"/>
      <c r="S45" s="139"/>
      <c r="T45" s="143">
        <f>Q45</f>
        <v>102278.98412370443</v>
      </c>
      <c r="U45" s="138"/>
    </row>
    <row r="46" spans="1:21" ht="16.5" x14ac:dyDescent="0.35">
      <c r="A46" s="144" t="s">
        <v>374</v>
      </c>
      <c r="B46" s="179"/>
      <c r="C46" s="145">
        <v>2557.4499999999998</v>
      </c>
      <c r="D46" s="145">
        <v>2821.99</v>
      </c>
      <c r="E46" s="145">
        <v>2756.36</v>
      </c>
      <c r="F46" s="145">
        <v>3581.7</v>
      </c>
      <c r="G46" s="145">
        <v>3729.23</v>
      </c>
      <c r="H46" s="145">
        <v>5400.26</v>
      </c>
      <c r="I46" s="145">
        <v>6370.93</v>
      </c>
      <c r="J46" s="145">
        <v>5370.34</v>
      </c>
      <c r="K46" s="145">
        <v>4061.04</v>
      </c>
      <c r="L46" s="145">
        <v>2618.4499999999998</v>
      </c>
      <c r="M46" s="145">
        <v>2699.4</v>
      </c>
      <c r="N46" s="145">
        <v>2815.15</v>
      </c>
      <c r="Q46" s="143">
        <f>SUM(C46:P46)</f>
        <v>44782.299999999996</v>
      </c>
      <c r="R46" s="138"/>
      <c r="S46" s="139"/>
      <c r="T46" s="146">
        <f>Q46</f>
        <v>44782.299999999996</v>
      </c>
      <c r="U46" s="138"/>
    </row>
    <row r="47" spans="1:21" x14ac:dyDescent="0.2">
      <c r="A47" s="180"/>
      <c r="B47" s="179"/>
      <c r="C47" s="179"/>
      <c r="D47" s="179"/>
      <c r="E47" s="179"/>
      <c r="F47" s="179"/>
      <c r="G47" s="179"/>
      <c r="H47" s="179"/>
      <c r="I47" s="179"/>
      <c r="J47" s="179"/>
      <c r="K47" s="179"/>
      <c r="L47" s="179"/>
      <c r="M47" s="179"/>
      <c r="N47" s="179"/>
      <c r="Q47" s="149"/>
      <c r="R47" s="150"/>
      <c r="S47" s="139"/>
      <c r="T47" s="143">
        <f>SUM(T45:T46)</f>
        <v>147061.28412370442</v>
      </c>
      <c r="U47" s="138"/>
    </row>
    <row r="48" spans="1:21" ht="16.5" x14ac:dyDescent="0.35">
      <c r="A48" s="127" t="s">
        <v>376</v>
      </c>
      <c r="B48" s="179"/>
      <c r="C48" s="179"/>
      <c r="D48" s="179"/>
      <c r="E48" s="179"/>
      <c r="F48" s="179"/>
      <c r="G48" s="179"/>
      <c r="H48" s="179"/>
      <c r="I48" s="179"/>
      <c r="J48" s="179"/>
      <c r="K48" s="179"/>
      <c r="L48" s="179"/>
      <c r="M48" s="179"/>
      <c r="N48" s="179"/>
      <c r="Q48" s="149"/>
      <c r="R48" s="150"/>
      <c r="S48" s="139"/>
      <c r="T48" s="181"/>
      <c r="U48" s="150"/>
    </row>
    <row r="49" spans="1:21" ht="15" x14ac:dyDescent="0.25">
      <c r="A49" s="130" t="s">
        <v>337</v>
      </c>
      <c r="B49" s="158"/>
      <c r="C49" s="131">
        <v>41122</v>
      </c>
      <c r="D49" s="131">
        <v>41153</v>
      </c>
      <c r="E49" s="131">
        <v>41183</v>
      </c>
      <c r="F49" s="131">
        <v>41214</v>
      </c>
      <c r="G49" s="131">
        <v>41244</v>
      </c>
      <c r="H49" s="131">
        <v>41275</v>
      </c>
      <c r="I49" s="131">
        <v>41306</v>
      </c>
      <c r="J49" s="131">
        <v>41334</v>
      </c>
      <c r="K49" s="131">
        <v>41365</v>
      </c>
      <c r="L49" s="131">
        <v>41395</v>
      </c>
      <c r="M49" s="131">
        <v>41426</v>
      </c>
      <c r="N49" s="131">
        <v>41456</v>
      </c>
      <c r="O49" s="132"/>
      <c r="P49" s="132"/>
      <c r="Q49" s="133" t="s">
        <v>338</v>
      </c>
      <c r="R49" s="134" t="s">
        <v>339</v>
      </c>
      <c r="S49" s="132"/>
      <c r="T49" s="133" t="s">
        <v>338</v>
      </c>
      <c r="U49" s="134" t="s">
        <v>339</v>
      </c>
    </row>
    <row r="50" spans="1:21" x14ac:dyDescent="0.2">
      <c r="A50" s="135" t="s">
        <v>340</v>
      </c>
      <c r="B50" s="174"/>
      <c r="C50" s="160">
        <v>396280</v>
      </c>
      <c r="D50" s="160">
        <v>337140</v>
      </c>
      <c r="E50" s="160">
        <v>393790</v>
      </c>
      <c r="F50" s="160">
        <v>395750</v>
      </c>
      <c r="G50" s="160">
        <v>330230</v>
      </c>
      <c r="H50" s="160">
        <v>360480</v>
      </c>
      <c r="I50" s="160">
        <v>347280</v>
      </c>
      <c r="J50" s="160">
        <v>359070</v>
      </c>
      <c r="K50" s="160">
        <v>332600</v>
      </c>
      <c r="L50" s="160">
        <v>400060</v>
      </c>
      <c r="M50" s="160">
        <v>405050</v>
      </c>
      <c r="N50" s="160">
        <v>360773</v>
      </c>
      <c r="Q50" s="137">
        <f>SUM(C50:P50)</f>
        <v>4418503</v>
      </c>
      <c r="R50" s="138" t="s">
        <v>341</v>
      </c>
      <c r="S50" s="139"/>
      <c r="T50" s="140">
        <f>Q50*3143/1000000</f>
        <v>13887.354928999999</v>
      </c>
      <c r="U50" s="138" t="s">
        <v>342</v>
      </c>
    </row>
    <row r="51" spans="1:21" x14ac:dyDescent="0.2">
      <c r="A51" s="135" t="s">
        <v>372</v>
      </c>
      <c r="B51" s="174"/>
      <c r="C51" s="160">
        <v>118</v>
      </c>
      <c r="D51" s="160">
        <v>181</v>
      </c>
      <c r="E51" s="160">
        <v>587</v>
      </c>
      <c r="F51" s="160">
        <v>3335</v>
      </c>
      <c r="G51" s="160">
        <v>2316</v>
      </c>
      <c r="H51" s="160">
        <v>3598</v>
      </c>
      <c r="I51" s="160">
        <v>5093</v>
      </c>
      <c r="J51" s="160">
        <v>5112</v>
      </c>
      <c r="K51" s="160">
        <v>4113</v>
      </c>
      <c r="L51" s="160">
        <v>906</v>
      </c>
      <c r="M51" s="160">
        <v>535</v>
      </c>
      <c r="N51" s="160">
        <v>499</v>
      </c>
      <c r="Q51" s="137">
        <f>SUM(C51:P51)</f>
        <v>26393</v>
      </c>
      <c r="R51" s="138" t="s">
        <v>354</v>
      </c>
      <c r="S51" s="139"/>
      <c r="T51" s="140">
        <f>Q51*99976.124488/1000000</f>
        <v>2638.6698536117838</v>
      </c>
      <c r="U51" s="138" t="s">
        <v>342</v>
      </c>
    </row>
    <row r="52" spans="1:21" x14ac:dyDescent="0.2">
      <c r="A52" s="135" t="s">
        <v>373</v>
      </c>
      <c r="B52" s="178"/>
      <c r="C52" s="160">
        <v>2260</v>
      </c>
      <c r="D52" s="160">
        <v>3480</v>
      </c>
      <c r="E52" s="160">
        <v>2044</v>
      </c>
      <c r="F52" s="160">
        <v>2770</v>
      </c>
      <c r="G52" s="160">
        <v>210</v>
      </c>
      <c r="H52" s="160">
        <v>460</v>
      </c>
      <c r="I52" s="160">
        <v>380</v>
      </c>
      <c r="J52" s="160">
        <v>590</v>
      </c>
      <c r="K52" s="160">
        <v>300</v>
      </c>
      <c r="L52" s="160">
        <v>379</v>
      </c>
      <c r="M52" s="160">
        <v>260</v>
      </c>
      <c r="N52" s="160">
        <v>6260</v>
      </c>
      <c r="Q52" s="137">
        <f>SUM(C52:P52)</f>
        <v>19393</v>
      </c>
      <c r="R52" s="138" t="s">
        <v>367</v>
      </c>
      <c r="S52" s="139"/>
      <c r="T52" s="137">
        <f>Q52*7.48</f>
        <v>145059.64000000001</v>
      </c>
      <c r="U52" s="138" t="s">
        <v>346</v>
      </c>
    </row>
    <row r="53" spans="1:21" x14ac:dyDescent="0.2">
      <c r="A53" s="135" t="s">
        <v>347</v>
      </c>
      <c r="B53" s="176"/>
      <c r="C53" s="142">
        <v>26727.042842974053</v>
      </c>
      <c r="D53" s="142">
        <v>22719.563349377098</v>
      </c>
      <c r="E53" s="142">
        <v>23614.8971967158</v>
      </c>
      <c r="F53" s="142">
        <v>22073.510808054663</v>
      </c>
      <c r="G53" s="142">
        <v>18629.70605342049</v>
      </c>
      <c r="H53" s="142">
        <v>20386.92697804618</v>
      </c>
      <c r="I53" s="142">
        <v>19810.399932314409</v>
      </c>
      <c r="J53" s="142">
        <v>20795.895559313907</v>
      </c>
      <c r="K53" s="142">
        <v>18842.558214409102</v>
      </c>
      <c r="L53" s="142">
        <v>22349.119012163959</v>
      </c>
      <c r="M53" s="142">
        <v>25637.473698091977</v>
      </c>
      <c r="N53" s="142">
        <v>24110.512936764098</v>
      </c>
      <c r="Q53" s="143">
        <f>SUM(C53:P53)</f>
        <v>265697.60658164573</v>
      </c>
      <c r="R53" s="138"/>
      <c r="S53" s="139"/>
      <c r="T53" s="143">
        <f>Q53</f>
        <v>265697.60658164573</v>
      </c>
      <c r="U53" s="138"/>
    </row>
    <row r="54" spans="1:21" ht="16.5" x14ac:dyDescent="0.35">
      <c r="A54" s="144" t="s">
        <v>374</v>
      </c>
      <c r="B54" s="179"/>
      <c r="C54" s="145">
        <v>36.85</v>
      </c>
      <c r="D54" s="145">
        <v>140.84</v>
      </c>
      <c r="E54" s="145">
        <v>456.87</v>
      </c>
      <c r="F54" s="145">
        <v>2919.82</v>
      </c>
      <c r="G54" s="145">
        <v>2071.1799999999998</v>
      </c>
      <c r="H54" s="145">
        <v>3210.21</v>
      </c>
      <c r="I54" s="145">
        <v>4241.1099999999997</v>
      </c>
      <c r="J54" s="145">
        <v>4152.8</v>
      </c>
      <c r="K54" s="145">
        <v>3091.4</v>
      </c>
      <c r="L54" s="145">
        <v>789.46</v>
      </c>
      <c r="M54" s="145">
        <v>489.72</v>
      </c>
      <c r="N54" s="145">
        <v>458.27</v>
      </c>
      <c r="Q54" s="143">
        <f>SUM(C54:P54)</f>
        <v>22058.530000000002</v>
      </c>
      <c r="R54" s="138"/>
      <c r="S54" s="139"/>
      <c r="T54" s="146">
        <f>Q54</f>
        <v>22058.530000000002</v>
      </c>
      <c r="U54" s="138"/>
    </row>
    <row r="55" spans="1:21" x14ac:dyDescent="0.2">
      <c r="A55" s="180"/>
      <c r="B55" s="179"/>
      <c r="C55" s="179"/>
      <c r="D55" s="179"/>
      <c r="E55" s="179"/>
      <c r="F55" s="179"/>
      <c r="G55" s="179"/>
      <c r="H55" s="179"/>
      <c r="I55" s="179"/>
      <c r="J55" s="179"/>
      <c r="K55" s="179"/>
      <c r="L55" s="179"/>
      <c r="M55" s="179"/>
      <c r="N55" s="179"/>
      <c r="Q55" s="149"/>
      <c r="R55" s="150"/>
      <c r="S55" s="139"/>
      <c r="T55" s="143">
        <f>SUM(T53:T54)</f>
        <v>287756.13658164575</v>
      </c>
      <c r="U55" s="138"/>
    </row>
    <row r="56" spans="1:21" s="128" customFormat="1" ht="15" x14ac:dyDescent="0.2">
      <c r="A56" s="127" t="s">
        <v>377</v>
      </c>
      <c r="Q56" s="173"/>
      <c r="R56" s="129"/>
      <c r="U56" s="129"/>
    </row>
    <row r="57" spans="1:21" ht="15" x14ac:dyDescent="0.25">
      <c r="A57" s="130" t="s">
        <v>337</v>
      </c>
      <c r="B57" s="132"/>
      <c r="C57" s="131">
        <v>41122</v>
      </c>
      <c r="D57" s="131">
        <v>41153</v>
      </c>
      <c r="E57" s="131">
        <v>41183</v>
      </c>
      <c r="F57" s="131">
        <v>41214</v>
      </c>
      <c r="G57" s="131">
        <v>41244</v>
      </c>
      <c r="H57" s="131">
        <v>41275</v>
      </c>
      <c r="I57" s="131">
        <v>41306</v>
      </c>
      <c r="J57" s="131">
        <v>41334</v>
      </c>
      <c r="K57" s="131">
        <v>41365</v>
      </c>
      <c r="L57" s="131">
        <v>41395</v>
      </c>
      <c r="M57" s="131">
        <v>41426</v>
      </c>
      <c r="N57" s="131">
        <v>41456</v>
      </c>
      <c r="O57" s="132"/>
      <c r="P57" s="132"/>
      <c r="Q57" s="133" t="s">
        <v>338</v>
      </c>
      <c r="R57" s="134" t="s">
        <v>339</v>
      </c>
      <c r="S57" s="132"/>
      <c r="T57" s="133" t="s">
        <v>338</v>
      </c>
      <c r="U57" s="134" t="s">
        <v>339</v>
      </c>
    </row>
    <row r="58" spans="1:21" x14ac:dyDescent="0.2">
      <c r="A58" s="135" t="s">
        <v>340</v>
      </c>
      <c r="B58" s="182" t="s">
        <v>351</v>
      </c>
      <c r="C58" s="136">
        <v>72384</v>
      </c>
      <c r="D58" s="136">
        <v>61248</v>
      </c>
      <c r="E58" s="136">
        <v>67008</v>
      </c>
      <c r="F58" s="136">
        <v>65000</v>
      </c>
      <c r="G58" s="136">
        <v>62784</v>
      </c>
      <c r="H58" s="136">
        <v>57792</v>
      </c>
      <c r="I58" s="136">
        <v>50205</v>
      </c>
      <c r="J58" s="136">
        <v>55872</v>
      </c>
      <c r="K58" s="136">
        <v>62784</v>
      </c>
      <c r="L58" s="136">
        <v>67008</v>
      </c>
      <c r="M58" s="136">
        <v>61248</v>
      </c>
      <c r="N58" s="136">
        <v>72384</v>
      </c>
      <c r="Q58" s="137">
        <f>SUM(C58:P58)</f>
        <v>755717</v>
      </c>
      <c r="R58" s="138" t="s">
        <v>341</v>
      </c>
      <c r="S58" s="139"/>
      <c r="T58" s="140">
        <f>Q58*3143/1000000</f>
        <v>2375.218531</v>
      </c>
      <c r="U58" s="138" t="s">
        <v>342</v>
      </c>
    </row>
    <row r="59" spans="1:21" x14ac:dyDescent="0.2">
      <c r="A59" s="135" t="s">
        <v>378</v>
      </c>
      <c r="B59" s="182" t="s">
        <v>355</v>
      </c>
      <c r="C59" s="136">
        <f>(D59+N59)/2</f>
        <v>470.5</v>
      </c>
      <c r="D59" s="153">
        <v>167</v>
      </c>
      <c r="E59" s="153">
        <v>463</v>
      </c>
      <c r="F59" s="153">
        <v>1528</v>
      </c>
      <c r="G59" s="153">
        <v>2113</v>
      </c>
      <c r="H59" s="153">
        <v>2787</v>
      </c>
      <c r="I59" s="153">
        <v>2470</v>
      </c>
      <c r="J59" s="153">
        <v>2289</v>
      </c>
      <c r="K59" s="153">
        <v>1954</v>
      </c>
      <c r="L59" s="153">
        <v>1445</v>
      </c>
      <c r="M59" s="153">
        <v>985</v>
      </c>
      <c r="N59" s="153">
        <v>774</v>
      </c>
      <c r="Q59" s="137">
        <f>SUM(C59:P59)</f>
        <v>17445.5</v>
      </c>
      <c r="R59" s="138" t="s">
        <v>379</v>
      </c>
      <c r="S59" s="139"/>
      <c r="T59" s="140">
        <f>Q59*100*1027/1000000</f>
        <v>1791.6528499999999</v>
      </c>
      <c r="U59" s="138" t="s">
        <v>342</v>
      </c>
    </row>
    <row r="60" spans="1:21" x14ac:dyDescent="0.2">
      <c r="A60" s="135" t="s">
        <v>380</v>
      </c>
      <c r="B60" s="182" t="s">
        <v>351</v>
      </c>
      <c r="C60" s="141">
        <v>34.729999999999997</v>
      </c>
      <c r="D60" s="141">
        <v>41.97</v>
      </c>
      <c r="E60" s="141">
        <v>39.06</v>
      </c>
      <c r="F60" s="141">
        <v>43.42</v>
      </c>
      <c r="G60" s="141">
        <v>31.83</v>
      </c>
      <c r="H60" s="141">
        <v>8.66</v>
      </c>
      <c r="I60" s="141">
        <v>52.09</v>
      </c>
      <c r="J60" s="141">
        <v>41.97</v>
      </c>
      <c r="K60" s="141">
        <v>41.97</v>
      </c>
      <c r="L60" s="141">
        <v>34.729999999999997</v>
      </c>
      <c r="M60" s="141">
        <v>11.57</v>
      </c>
      <c r="N60" s="141">
        <v>13.02</v>
      </c>
      <c r="Q60" s="137">
        <f>SUM(C60:P60)</f>
        <v>395.02000000000004</v>
      </c>
      <c r="R60" s="138" t="s">
        <v>379</v>
      </c>
      <c r="S60" s="139" t="s">
        <v>38</v>
      </c>
      <c r="T60" s="140">
        <f>Q60*748</f>
        <v>295474.96000000002</v>
      </c>
      <c r="U60" s="138" t="s">
        <v>346</v>
      </c>
    </row>
    <row r="61" spans="1:21" x14ac:dyDescent="0.2">
      <c r="A61" s="135" t="s">
        <v>347</v>
      </c>
      <c r="B61" s="182" t="s">
        <v>351</v>
      </c>
      <c r="C61" s="171">
        <v>3567.08</v>
      </c>
      <c r="D61" s="171">
        <v>3018.3</v>
      </c>
      <c r="E61" s="171">
        <v>3302.15</v>
      </c>
      <c r="F61" s="171">
        <v>3203.2</v>
      </c>
      <c r="G61" s="171">
        <v>3094</v>
      </c>
      <c r="H61" s="171">
        <v>2847.99</v>
      </c>
      <c r="I61" s="171">
        <v>2474.25</v>
      </c>
      <c r="J61" s="171">
        <v>2753.37</v>
      </c>
      <c r="K61" s="171">
        <v>3094</v>
      </c>
      <c r="L61" s="171">
        <v>3302.15</v>
      </c>
      <c r="M61" s="171">
        <v>3018.3</v>
      </c>
      <c r="N61" s="171">
        <v>3567.08</v>
      </c>
      <c r="Q61" s="143">
        <f>SUM(C61:P61)</f>
        <v>37241.870000000003</v>
      </c>
      <c r="R61" s="138"/>
      <c r="S61" s="139"/>
      <c r="T61" s="143">
        <f>Q61</f>
        <v>37241.870000000003</v>
      </c>
      <c r="U61" s="138"/>
    </row>
    <row r="62" spans="1:21" ht="16.5" x14ac:dyDescent="0.35">
      <c r="A62" s="135" t="s">
        <v>381</v>
      </c>
      <c r="B62" s="182" t="s">
        <v>355</v>
      </c>
      <c r="C62" s="171">
        <f>(D62+N62)/2</f>
        <v>497.19500000000005</v>
      </c>
      <c r="D62" s="171">
        <v>189.8</v>
      </c>
      <c r="E62" s="171">
        <v>472.53</v>
      </c>
      <c r="F62" s="171">
        <v>1343.94</v>
      </c>
      <c r="G62" s="171">
        <v>1926.01</v>
      </c>
      <c r="H62" s="171">
        <v>2582.16</v>
      </c>
      <c r="I62" s="171">
        <v>2301.64</v>
      </c>
      <c r="J62" s="171">
        <v>2141.48</v>
      </c>
      <c r="K62" s="171">
        <v>1846.07</v>
      </c>
      <c r="L62" s="171">
        <v>1397.47</v>
      </c>
      <c r="M62" s="171">
        <v>990.42</v>
      </c>
      <c r="N62" s="171">
        <v>804.59</v>
      </c>
      <c r="Q62" s="143">
        <f>SUM(C62:P62)</f>
        <v>16493.304999999997</v>
      </c>
      <c r="R62" s="138"/>
      <c r="S62" s="139"/>
      <c r="T62" s="146">
        <f>Q62</f>
        <v>16493.304999999997</v>
      </c>
      <c r="U62" s="138"/>
    </row>
    <row r="63" spans="1:21" x14ac:dyDescent="0.2">
      <c r="A63" s="183"/>
      <c r="B63" s="157" t="s">
        <v>382</v>
      </c>
      <c r="C63" s="184"/>
      <c r="D63" s="185"/>
      <c r="E63" s="185"/>
      <c r="F63" s="185"/>
      <c r="G63" s="185"/>
      <c r="H63" s="185"/>
      <c r="I63" s="185"/>
      <c r="J63" s="185"/>
      <c r="K63" s="185"/>
      <c r="L63" s="185"/>
      <c r="M63" s="185"/>
      <c r="N63" s="185"/>
      <c r="Q63" s="149"/>
      <c r="R63" s="150"/>
      <c r="S63" s="139"/>
      <c r="T63" s="143">
        <f>SUM(T61:T62)</f>
        <v>53735.175000000003</v>
      </c>
      <c r="U63" s="150"/>
    </row>
    <row r="64" spans="1:21" s="157" customFormat="1" ht="12.75" x14ac:dyDescent="0.2">
      <c r="B64" s="157" t="s">
        <v>383</v>
      </c>
      <c r="R64" s="182"/>
      <c r="U64" s="182"/>
    </row>
    <row r="65" spans="1:21" s="128" customFormat="1" ht="15" x14ac:dyDescent="0.2">
      <c r="A65" s="127" t="s">
        <v>384</v>
      </c>
      <c r="R65" s="129"/>
      <c r="U65" s="129"/>
    </row>
    <row r="66" spans="1:21" ht="15" x14ac:dyDescent="0.25">
      <c r="A66" s="130" t="s">
        <v>337</v>
      </c>
      <c r="B66" s="158"/>
      <c r="C66" s="158"/>
      <c r="D66" s="131">
        <v>41153</v>
      </c>
      <c r="E66" s="131">
        <v>41183</v>
      </c>
      <c r="F66" s="186" t="s">
        <v>385</v>
      </c>
      <c r="G66" s="186" t="s">
        <v>386</v>
      </c>
      <c r="H66" s="186" t="s">
        <v>387</v>
      </c>
      <c r="I66" s="186" t="s">
        <v>388</v>
      </c>
      <c r="J66" s="186" t="s">
        <v>389</v>
      </c>
      <c r="K66" s="186" t="s">
        <v>390</v>
      </c>
      <c r="L66" s="186" t="s">
        <v>391</v>
      </c>
      <c r="M66" s="186" t="s">
        <v>392</v>
      </c>
      <c r="N66" s="186" t="s">
        <v>393</v>
      </c>
      <c r="O66" s="186" t="s">
        <v>394</v>
      </c>
      <c r="P66" s="132"/>
      <c r="Q66" s="133" t="s">
        <v>338</v>
      </c>
      <c r="R66" s="134" t="s">
        <v>339</v>
      </c>
      <c r="S66" s="132"/>
      <c r="T66" s="133" t="s">
        <v>338</v>
      </c>
      <c r="U66" s="134" t="s">
        <v>339</v>
      </c>
    </row>
    <row r="67" spans="1:21" x14ac:dyDescent="0.2">
      <c r="A67" s="135" t="s">
        <v>340</v>
      </c>
      <c r="C67" s="126" t="s">
        <v>351</v>
      </c>
      <c r="D67" s="136">
        <v>62414</v>
      </c>
      <c r="E67" s="136">
        <v>70687</v>
      </c>
      <c r="F67" s="136">
        <v>77990</v>
      </c>
      <c r="G67" s="136">
        <v>67997</v>
      </c>
      <c r="H67" s="136">
        <v>74994</v>
      </c>
      <c r="I67" s="136">
        <v>86154</v>
      </c>
      <c r="J67" s="136">
        <v>70687</v>
      </c>
      <c r="K67" s="136">
        <v>45568</v>
      </c>
      <c r="L67" s="136">
        <v>62414</v>
      </c>
      <c r="M67" s="136">
        <v>64758</v>
      </c>
      <c r="N67" s="136">
        <v>63102</v>
      </c>
      <c r="O67" s="136">
        <v>65657</v>
      </c>
      <c r="Q67" s="187">
        <f>SUM(D67:O67)</f>
        <v>812422</v>
      </c>
      <c r="R67" s="188" t="s">
        <v>341</v>
      </c>
      <c r="S67" s="157"/>
      <c r="T67" s="160">
        <f>Q67*3143/1000000</f>
        <v>2553.4423459999998</v>
      </c>
      <c r="U67" s="138" t="s">
        <v>342</v>
      </c>
    </row>
    <row r="68" spans="1:21" x14ac:dyDescent="0.2">
      <c r="A68" s="135" t="s">
        <v>345</v>
      </c>
      <c r="C68" s="126" t="s">
        <v>351</v>
      </c>
      <c r="D68" s="141">
        <v>121000</v>
      </c>
      <c r="E68" s="141">
        <v>121000</v>
      </c>
      <c r="F68" s="154">
        <v>100000</v>
      </c>
      <c r="G68" s="154">
        <v>75000</v>
      </c>
      <c r="H68" s="154">
        <v>80000</v>
      </c>
      <c r="I68" s="141">
        <v>121000</v>
      </c>
      <c r="J68" s="154">
        <v>100000</v>
      </c>
      <c r="K68" s="141">
        <v>121000</v>
      </c>
      <c r="L68" s="141">
        <v>72000</v>
      </c>
      <c r="M68" s="141">
        <v>26000</v>
      </c>
      <c r="N68" s="141">
        <v>20000</v>
      </c>
      <c r="O68" s="141">
        <v>112000</v>
      </c>
      <c r="Q68" s="187">
        <f>SUM(D68:O68)</f>
        <v>1069000</v>
      </c>
      <c r="R68" s="188" t="s">
        <v>346</v>
      </c>
      <c r="S68" s="157"/>
      <c r="T68" s="141">
        <f>Q68</f>
        <v>1069000</v>
      </c>
      <c r="U68" s="188" t="s">
        <v>346</v>
      </c>
    </row>
    <row r="69" spans="1:21" x14ac:dyDescent="0.2">
      <c r="A69" s="135" t="s">
        <v>347</v>
      </c>
      <c r="C69" s="126" t="s">
        <v>351</v>
      </c>
      <c r="D69" s="142">
        <v>3617.44</v>
      </c>
      <c r="E69" s="142">
        <v>4022.8</v>
      </c>
      <c r="F69" s="142">
        <v>4528.1000000000004</v>
      </c>
      <c r="G69" s="142">
        <v>4031.24</v>
      </c>
      <c r="H69" s="142">
        <v>4392.6000000000004</v>
      </c>
      <c r="I69" s="142">
        <v>4998.03</v>
      </c>
      <c r="J69" s="142">
        <v>4022.8</v>
      </c>
      <c r="K69" s="142">
        <v>2660.66</v>
      </c>
      <c r="L69" s="142">
        <v>3617.44</v>
      </c>
      <c r="M69" s="142">
        <v>4626.72</v>
      </c>
      <c r="N69" s="142">
        <v>4393.66</v>
      </c>
      <c r="O69" s="142">
        <v>4571.6969099999997</v>
      </c>
      <c r="Q69" s="189">
        <f>SUM(D69:O69)</f>
        <v>49483.186910000004</v>
      </c>
      <c r="R69" s="188"/>
      <c r="S69" s="157"/>
      <c r="T69" s="190">
        <f>Q69</f>
        <v>49483.186910000004</v>
      </c>
      <c r="U69" s="188"/>
    </row>
    <row r="70" spans="1:21" x14ac:dyDescent="0.2">
      <c r="C70" s="157" t="s">
        <v>395</v>
      </c>
    </row>
    <row r="71" spans="1:21" ht="15" x14ac:dyDescent="0.25">
      <c r="A71" s="148" t="s">
        <v>396</v>
      </c>
      <c r="C71" s="157"/>
    </row>
    <row r="72" spans="1:21" s="157" customFormat="1" ht="15" x14ac:dyDescent="0.25">
      <c r="A72" s="130" t="s">
        <v>337</v>
      </c>
      <c r="B72" s="191"/>
      <c r="C72" s="191"/>
      <c r="D72" s="131">
        <v>41153</v>
      </c>
      <c r="E72" s="131">
        <v>41183</v>
      </c>
      <c r="F72" s="131">
        <v>41214</v>
      </c>
      <c r="G72" s="131">
        <v>41244</v>
      </c>
      <c r="H72" s="131">
        <v>41275</v>
      </c>
      <c r="I72" s="131">
        <v>41306</v>
      </c>
      <c r="J72" s="131">
        <v>41334</v>
      </c>
      <c r="K72" s="131">
        <v>41365</v>
      </c>
      <c r="L72" s="131">
        <v>41395</v>
      </c>
      <c r="M72" s="131">
        <v>41426</v>
      </c>
      <c r="N72" s="131">
        <v>41456</v>
      </c>
      <c r="O72" s="131">
        <v>41487</v>
      </c>
      <c r="P72" s="191"/>
      <c r="Q72" s="133" t="s">
        <v>338</v>
      </c>
      <c r="R72" s="134" t="s">
        <v>339</v>
      </c>
      <c r="S72" s="132"/>
      <c r="T72" s="133" t="s">
        <v>338</v>
      </c>
      <c r="U72" s="134" t="s">
        <v>339</v>
      </c>
    </row>
    <row r="73" spans="1:21" s="157" customFormat="1" ht="12.75" x14ac:dyDescent="0.2">
      <c r="A73" s="135" t="s">
        <v>319</v>
      </c>
      <c r="D73" s="136">
        <v>27314</v>
      </c>
      <c r="E73" s="136">
        <v>25544</v>
      </c>
      <c r="F73" s="136">
        <v>24015</v>
      </c>
      <c r="G73" s="136">
        <v>22868</v>
      </c>
      <c r="H73" s="136">
        <v>23105</v>
      </c>
      <c r="I73" s="136">
        <v>23733</v>
      </c>
      <c r="J73" s="136">
        <v>27737</v>
      </c>
      <c r="K73" s="136">
        <v>26171</v>
      </c>
      <c r="L73" s="136">
        <v>20858</v>
      </c>
      <c r="M73" s="136">
        <v>15845</v>
      </c>
      <c r="N73" s="136">
        <v>17235</v>
      </c>
      <c r="O73" s="136">
        <v>25624</v>
      </c>
      <c r="Q73" s="141">
        <f>SUM(D73:P73)</f>
        <v>280049</v>
      </c>
      <c r="R73" s="188" t="s">
        <v>341</v>
      </c>
      <c r="T73" s="160">
        <f>Q73*3143/1000000</f>
        <v>880.19400700000006</v>
      </c>
      <c r="U73" s="138" t="s">
        <v>342</v>
      </c>
    </row>
    <row r="74" spans="1:21" s="157" customFormat="1" ht="12.75" x14ac:dyDescent="0.2">
      <c r="A74" s="135" t="s">
        <v>320</v>
      </c>
      <c r="D74" s="137">
        <f>(E74+O74)/2</f>
        <v>14185</v>
      </c>
      <c r="E74" s="137">
        <v>18300</v>
      </c>
      <c r="F74" s="137">
        <v>19250</v>
      </c>
      <c r="G74" s="136">
        <v>17900</v>
      </c>
      <c r="H74" s="136">
        <v>11890</v>
      </c>
      <c r="I74" s="136">
        <v>141540</v>
      </c>
      <c r="J74" s="136">
        <v>32580</v>
      </c>
      <c r="K74" s="136">
        <v>22660</v>
      </c>
      <c r="L74" s="136">
        <v>7410</v>
      </c>
      <c r="M74" s="136">
        <v>4190</v>
      </c>
      <c r="N74" s="136">
        <v>4430</v>
      </c>
      <c r="O74" s="136">
        <v>10070</v>
      </c>
      <c r="Q74" s="141">
        <f>SUM(D74:P74)</f>
        <v>304405</v>
      </c>
      <c r="R74" s="188" t="s">
        <v>344</v>
      </c>
      <c r="T74" s="160">
        <f>Q74/1000</f>
        <v>304.40499999999997</v>
      </c>
      <c r="U74" s="138" t="s">
        <v>342</v>
      </c>
    </row>
    <row r="75" spans="1:21" s="157" customFormat="1" ht="12.75" x14ac:dyDescent="0.2">
      <c r="A75" s="192" t="s">
        <v>323</v>
      </c>
      <c r="D75" s="141">
        <v>24100</v>
      </c>
      <c r="E75" s="141">
        <v>25800</v>
      </c>
      <c r="F75" s="141">
        <v>6300</v>
      </c>
      <c r="G75" s="141">
        <v>8700</v>
      </c>
      <c r="H75" s="141">
        <v>6800</v>
      </c>
      <c r="I75" s="141">
        <v>7100</v>
      </c>
      <c r="J75" s="141">
        <v>8800</v>
      </c>
      <c r="K75" s="141">
        <v>15000</v>
      </c>
      <c r="L75" s="141">
        <v>17000</v>
      </c>
      <c r="M75" s="141">
        <v>20000</v>
      </c>
      <c r="N75" s="141">
        <v>24000</v>
      </c>
      <c r="O75" s="141">
        <v>26000</v>
      </c>
      <c r="Q75" s="141">
        <f>SUM(D75:P75)</f>
        <v>189600</v>
      </c>
      <c r="R75" s="188" t="s">
        <v>397</v>
      </c>
      <c r="T75" s="193">
        <f>Q75*0.012</f>
        <v>2275.2000000000003</v>
      </c>
      <c r="U75" s="138" t="s">
        <v>342</v>
      </c>
    </row>
    <row r="76" spans="1:21" s="157" customFormat="1" ht="12.75" x14ac:dyDescent="0.2">
      <c r="A76" s="135" t="s">
        <v>322</v>
      </c>
      <c r="D76" s="141">
        <v>59000</v>
      </c>
      <c r="E76" s="141">
        <v>52500</v>
      </c>
      <c r="F76" s="141">
        <v>41800</v>
      </c>
      <c r="G76" s="141">
        <v>18800</v>
      </c>
      <c r="H76" s="141">
        <v>38400</v>
      </c>
      <c r="I76" s="141">
        <v>48900</v>
      </c>
      <c r="J76" s="141">
        <v>42800</v>
      </c>
      <c r="K76" s="141">
        <v>48800</v>
      </c>
      <c r="L76" s="141">
        <v>12500</v>
      </c>
      <c r="M76" s="141">
        <v>900</v>
      </c>
      <c r="N76" s="141">
        <v>500</v>
      </c>
      <c r="O76" s="141">
        <v>38300</v>
      </c>
      <c r="Q76" s="141">
        <f>SUM(D76:P76)</f>
        <v>403200</v>
      </c>
      <c r="R76" s="188" t="s">
        <v>346</v>
      </c>
      <c r="T76" s="141">
        <f>Q76</f>
        <v>403200</v>
      </c>
      <c r="U76" s="188" t="s">
        <v>346</v>
      </c>
    </row>
    <row r="77" spans="1:21" s="157" customFormat="1" ht="12.75" x14ac:dyDescent="0.2">
      <c r="A77" s="135" t="s">
        <v>324</v>
      </c>
      <c r="D77" s="142">
        <v>1978.29</v>
      </c>
      <c r="E77" s="142">
        <v>1669.48</v>
      </c>
      <c r="F77" s="142">
        <v>1379.69</v>
      </c>
      <c r="G77" s="142">
        <v>1402.35</v>
      </c>
      <c r="H77" s="142">
        <v>1447.58</v>
      </c>
      <c r="I77" s="142">
        <v>1445.74</v>
      </c>
      <c r="J77" s="142">
        <v>1720.97</v>
      </c>
      <c r="K77" s="142">
        <v>1579.63</v>
      </c>
      <c r="L77" s="142">
        <v>1250.45</v>
      </c>
      <c r="M77" s="142">
        <v>1069.96</v>
      </c>
      <c r="N77" s="142">
        <v>1240.8599999999999</v>
      </c>
      <c r="O77" s="142">
        <v>1819.24</v>
      </c>
      <c r="P77" s="194"/>
      <c r="Q77" s="171">
        <f>SUM(D77:P77)</f>
        <v>18004.240000000002</v>
      </c>
      <c r="R77" s="188"/>
      <c r="T77" s="190">
        <f>Q77</f>
        <v>18004.240000000002</v>
      </c>
      <c r="U77" s="188"/>
    </row>
    <row r="78" spans="1:21" s="157" customFormat="1" ht="15" x14ac:dyDescent="0.35">
      <c r="A78" s="195" t="s">
        <v>326</v>
      </c>
      <c r="D78" s="196">
        <f>(E78+O78)/2</f>
        <v>110.83500000000001</v>
      </c>
      <c r="E78" s="196">
        <v>142.99</v>
      </c>
      <c r="F78" s="196">
        <v>150.41</v>
      </c>
      <c r="G78" s="196">
        <v>139.86000000000001</v>
      </c>
      <c r="H78" s="196">
        <v>92.9</v>
      </c>
      <c r="I78" s="196">
        <v>1105.93</v>
      </c>
      <c r="J78" s="196">
        <v>254.56</v>
      </c>
      <c r="K78" s="196">
        <v>177.05</v>
      </c>
      <c r="L78" s="196">
        <v>57.9</v>
      </c>
      <c r="M78" s="196">
        <v>32.74</v>
      </c>
      <c r="N78" s="196">
        <v>34.619999999999997</v>
      </c>
      <c r="O78" s="196">
        <v>78.680000000000007</v>
      </c>
      <c r="P78" s="194"/>
      <c r="Q78" s="171">
        <f>SUM(E78:P78)</f>
        <v>2267.64</v>
      </c>
      <c r="R78" s="188"/>
      <c r="T78" s="197">
        <f>Q78</f>
        <v>2267.64</v>
      </c>
      <c r="U78" s="188"/>
    </row>
    <row r="79" spans="1:21" s="157" customFormat="1" ht="12.75" x14ac:dyDescent="0.2">
      <c r="A79" s="195" t="s">
        <v>398</v>
      </c>
      <c r="D79" s="198" t="s">
        <v>352</v>
      </c>
      <c r="E79" s="198" t="s">
        <v>352</v>
      </c>
      <c r="F79" s="198" t="s">
        <v>352</v>
      </c>
      <c r="G79" s="198" t="s">
        <v>352</v>
      </c>
      <c r="H79" s="198" t="s">
        <v>352</v>
      </c>
      <c r="I79" s="198" t="s">
        <v>352</v>
      </c>
      <c r="J79" s="198" t="s">
        <v>352</v>
      </c>
      <c r="K79" s="198" t="s">
        <v>352</v>
      </c>
      <c r="L79" s="198" t="s">
        <v>352</v>
      </c>
      <c r="M79" s="198" t="s">
        <v>352</v>
      </c>
      <c r="N79" s="198" t="s">
        <v>352</v>
      </c>
      <c r="O79" s="198" t="s">
        <v>352</v>
      </c>
      <c r="P79" s="194"/>
      <c r="Q79" s="184"/>
      <c r="R79" s="199"/>
      <c r="T79" s="190">
        <f>SUM(T77:T78)</f>
        <v>20271.88</v>
      </c>
      <c r="U79" s="199"/>
    </row>
    <row r="80" spans="1:21" x14ac:dyDescent="0.2">
      <c r="A80" s="200"/>
      <c r="D80" s="201"/>
      <c r="E80" s="202"/>
      <c r="F80" s="202"/>
      <c r="G80" s="203"/>
      <c r="H80" s="203"/>
      <c r="I80" s="203"/>
      <c r="J80" s="203"/>
      <c r="K80" s="203"/>
      <c r="L80" s="203"/>
      <c r="M80" s="203"/>
      <c r="N80" s="203"/>
      <c r="O80" s="203"/>
    </row>
    <row r="81" spans="1:21" ht="15" x14ac:dyDescent="0.25">
      <c r="A81" s="148" t="s">
        <v>399</v>
      </c>
    </row>
    <row r="82" spans="1:21" s="157" customFormat="1" ht="15" x14ac:dyDescent="0.25">
      <c r="A82" s="130" t="s">
        <v>337</v>
      </c>
      <c r="B82" s="191"/>
      <c r="C82" s="191"/>
      <c r="D82" s="131">
        <v>41153</v>
      </c>
      <c r="E82" s="131">
        <v>41183</v>
      </c>
      <c r="F82" s="131">
        <v>41214</v>
      </c>
      <c r="G82" s="131">
        <v>41244</v>
      </c>
      <c r="H82" s="131">
        <v>41275</v>
      </c>
      <c r="I82" s="131">
        <v>41306</v>
      </c>
      <c r="J82" s="131">
        <v>41334</v>
      </c>
      <c r="K82" s="131">
        <v>41365</v>
      </c>
      <c r="L82" s="131">
        <v>41395</v>
      </c>
      <c r="M82" s="131">
        <v>41426</v>
      </c>
      <c r="N82" s="131">
        <v>41456</v>
      </c>
      <c r="O82" s="131">
        <v>41487</v>
      </c>
      <c r="P82" s="191"/>
      <c r="Q82" s="133" t="s">
        <v>338</v>
      </c>
      <c r="R82" s="134" t="s">
        <v>339</v>
      </c>
      <c r="S82" s="132"/>
      <c r="T82" s="133" t="s">
        <v>338</v>
      </c>
      <c r="U82" s="134" t="s">
        <v>339</v>
      </c>
    </row>
    <row r="83" spans="1:21" s="157" customFormat="1" ht="12.75" x14ac:dyDescent="0.2">
      <c r="A83" s="135" t="s">
        <v>319</v>
      </c>
      <c r="D83" s="136">
        <v>26275</v>
      </c>
      <c r="E83" s="136">
        <v>25135</v>
      </c>
      <c r="F83" s="136">
        <v>23402</v>
      </c>
      <c r="G83" s="136">
        <v>23069</v>
      </c>
      <c r="H83" s="136">
        <v>23260</v>
      </c>
      <c r="I83" s="136">
        <v>23590</v>
      </c>
      <c r="J83" s="136">
        <v>25880</v>
      </c>
      <c r="K83" s="136">
        <v>26283</v>
      </c>
      <c r="L83" s="136">
        <v>19119</v>
      </c>
      <c r="M83" s="136">
        <v>15390</v>
      </c>
      <c r="N83" s="136">
        <v>16654</v>
      </c>
      <c r="O83" s="136">
        <v>24291</v>
      </c>
      <c r="Q83" s="141">
        <f>SUM(D83:P83)</f>
        <v>272348</v>
      </c>
      <c r="R83" s="188" t="s">
        <v>341</v>
      </c>
      <c r="T83" s="160">
        <f>Q83*3143/1000000</f>
        <v>855.98976400000004</v>
      </c>
      <c r="U83" s="138" t="s">
        <v>342</v>
      </c>
    </row>
    <row r="84" spans="1:21" s="157" customFormat="1" ht="12.75" x14ac:dyDescent="0.2">
      <c r="A84" s="135" t="s">
        <v>320</v>
      </c>
      <c r="D84" s="137">
        <f>(E84+O84)/2</f>
        <v>32640</v>
      </c>
      <c r="E84" s="137">
        <v>55500</v>
      </c>
      <c r="F84" s="137">
        <v>59890</v>
      </c>
      <c r="G84" s="136">
        <v>100570</v>
      </c>
      <c r="H84" s="136">
        <v>91070</v>
      </c>
      <c r="I84" s="136">
        <v>68930</v>
      </c>
      <c r="J84" s="136">
        <v>135630</v>
      </c>
      <c r="K84" s="136">
        <v>76900</v>
      </c>
      <c r="L84" s="136">
        <v>36950</v>
      </c>
      <c r="M84" s="136">
        <v>3850</v>
      </c>
      <c r="N84" s="136">
        <v>4080</v>
      </c>
      <c r="O84" s="136">
        <v>9780</v>
      </c>
      <c r="Q84" s="141">
        <f>SUM(D84:P84)</f>
        <v>675790</v>
      </c>
      <c r="R84" s="188" t="s">
        <v>344</v>
      </c>
      <c r="T84" s="160">
        <f>Q84/1000</f>
        <v>675.79</v>
      </c>
      <c r="U84" s="138" t="s">
        <v>342</v>
      </c>
    </row>
    <row r="85" spans="1:21" s="157" customFormat="1" ht="12.75" x14ac:dyDescent="0.2">
      <c r="A85" s="192" t="s">
        <v>323</v>
      </c>
      <c r="D85" s="141">
        <v>11000</v>
      </c>
      <c r="E85" s="141">
        <v>28000</v>
      </c>
      <c r="F85" s="141">
        <v>12000</v>
      </c>
      <c r="G85" s="141">
        <v>14000</v>
      </c>
      <c r="H85" s="141">
        <v>10000</v>
      </c>
      <c r="I85" s="141">
        <v>9000</v>
      </c>
      <c r="J85" s="141">
        <v>12000</v>
      </c>
      <c r="K85" s="141">
        <v>15000</v>
      </c>
      <c r="L85" s="141">
        <v>14000</v>
      </c>
      <c r="M85" s="141">
        <v>20000</v>
      </c>
      <c r="N85" s="141">
        <v>25000</v>
      </c>
      <c r="O85" s="141">
        <v>25000</v>
      </c>
      <c r="Q85" s="141">
        <f>SUM(D85:P85)</f>
        <v>195000</v>
      </c>
      <c r="R85" s="188" t="s">
        <v>397</v>
      </c>
      <c r="T85" s="193">
        <f>Q85*0.012</f>
        <v>2340</v>
      </c>
      <c r="U85" s="138" t="s">
        <v>342</v>
      </c>
    </row>
    <row r="86" spans="1:21" s="157" customFormat="1" ht="12.75" x14ac:dyDescent="0.2">
      <c r="A86" s="135" t="s">
        <v>322</v>
      </c>
      <c r="D86" s="141">
        <v>60900</v>
      </c>
      <c r="E86" s="141">
        <v>53000</v>
      </c>
      <c r="F86" s="141">
        <v>44200</v>
      </c>
      <c r="G86" s="141">
        <v>22000</v>
      </c>
      <c r="H86" s="141">
        <v>39500</v>
      </c>
      <c r="I86" s="141">
        <v>50000</v>
      </c>
      <c r="J86" s="141">
        <v>44700</v>
      </c>
      <c r="K86" s="141">
        <v>57000</v>
      </c>
      <c r="L86" s="141">
        <v>14300</v>
      </c>
      <c r="M86" s="141">
        <v>700</v>
      </c>
      <c r="N86" s="141">
        <v>400</v>
      </c>
      <c r="O86" s="141">
        <v>34000</v>
      </c>
      <c r="Q86" s="141">
        <f>SUM(D86:P86)</f>
        <v>420700</v>
      </c>
      <c r="R86" s="188" t="s">
        <v>346</v>
      </c>
      <c r="T86" s="141">
        <f>Q86</f>
        <v>420700</v>
      </c>
      <c r="U86" s="188" t="s">
        <v>346</v>
      </c>
    </row>
    <row r="87" spans="1:21" s="157" customFormat="1" ht="12.75" x14ac:dyDescent="0.2">
      <c r="A87" s="135" t="s">
        <v>324</v>
      </c>
      <c r="D87" s="142">
        <v>1903.04</v>
      </c>
      <c r="E87" s="142">
        <v>1642.95</v>
      </c>
      <c r="F87" s="142">
        <v>1334.47</v>
      </c>
      <c r="G87" s="142">
        <v>1414.68</v>
      </c>
      <c r="H87" s="142">
        <v>1457.3</v>
      </c>
      <c r="I87" s="142">
        <v>1437.03</v>
      </c>
      <c r="J87" s="142">
        <v>1605.75</v>
      </c>
      <c r="K87" s="142">
        <v>1586.39</v>
      </c>
      <c r="L87" s="142">
        <v>1146.19</v>
      </c>
      <c r="M87" s="142">
        <v>1039.24</v>
      </c>
      <c r="N87" s="142">
        <v>1199.03</v>
      </c>
      <c r="O87" s="142">
        <v>1724.6</v>
      </c>
      <c r="Q87" s="171">
        <f>SUM(D87:P87)</f>
        <v>17490.670000000002</v>
      </c>
      <c r="R87" s="188"/>
      <c r="T87" s="190">
        <f>Q87</f>
        <v>17490.670000000002</v>
      </c>
      <c r="U87" s="188"/>
    </row>
    <row r="88" spans="1:21" s="157" customFormat="1" ht="15" x14ac:dyDescent="0.35">
      <c r="A88" s="204" t="s">
        <v>326</v>
      </c>
      <c r="D88" s="196">
        <f>(E88+O88)/2</f>
        <v>255.035</v>
      </c>
      <c r="E88" s="196">
        <v>433.65</v>
      </c>
      <c r="F88" s="196">
        <v>467.95</v>
      </c>
      <c r="G88" s="196">
        <v>785.81</v>
      </c>
      <c r="H88" s="196">
        <v>711.58</v>
      </c>
      <c r="I88" s="196">
        <v>538.59</v>
      </c>
      <c r="J88" s="196">
        <v>1059.75</v>
      </c>
      <c r="K88" s="196">
        <v>600.86</v>
      </c>
      <c r="L88" s="196">
        <v>288.70999999999998</v>
      </c>
      <c r="M88" s="196">
        <v>30.08</v>
      </c>
      <c r="N88" s="196">
        <v>31.88</v>
      </c>
      <c r="O88" s="196">
        <v>76.42</v>
      </c>
      <c r="Q88" s="171">
        <f>SUM(E88:P88)</f>
        <v>5025.28</v>
      </c>
      <c r="R88" s="188"/>
      <c r="T88" s="197">
        <f>Q88</f>
        <v>5025.28</v>
      </c>
      <c r="U88" s="188"/>
    </row>
    <row r="89" spans="1:21" s="157" customFormat="1" ht="12.75" x14ac:dyDescent="0.2">
      <c r="A89" s="195" t="s">
        <v>398</v>
      </c>
      <c r="D89" s="198" t="s">
        <v>352</v>
      </c>
      <c r="E89" s="198" t="s">
        <v>352</v>
      </c>
      <c r="F89" s="198" t="s">
        <v>352</v>
      </c>
      <c r="G89" s="198" t="s">
        <v>352</v>
      </c>
      <c r="H89" s="198" t="s">
        <v>352</v>
      </c>
      <c r="I89" s="198" t="s">
        <v>352</v>
      </c>
      <c r="J89" s="198" t="s">
        <v>352</v>
      </c>
      <c r="K89" s="198" t="s">
        <v>352</v>
      </c>
      <c r="L89" s="198" t="s">
        <v>352</v>
      </c>
      <c r="M89" s="198" t="s">
        <v>352</v>
      </c>
      <c r="N89" s="198" t="s">
        <v>352</v>
      </c>
      <c r="O89" s="198" t="s">
        <v>352</v>
      </c>
      <c r="P89" s="194"/>
      <c r="Q89" s="184"/>
      <c r="R89" s="199"/>
      <c r="T89" s="190">
        <f>SUM(T87:T88)</f>
        <v>22515.95</v>
      </c>
      <c r="U89" s="199"/>
    </row>
    <row r="90" spans="1:21" x14ac:dyDescent="0.2">
      <c r="T90" s="190">
        <f>SUM(T87:T88)</f>
        <v>22515.95</v>
      </c>
    </row>
    <row r="91" spans="1:21" ht="15" x14ac:dyDescent="0.25">
      <c r="A91" s="148" t="s">
        <v>400</v>
      </c>
    </row>
    <row r="92" spans="1:21" s="157" customFormat="1" ht="15" x14ac:dyDescent="0.25">
      <c r="A92" s="130" t="s">
        <v>337</v>
      </c>
      <c r="B92" s="191"/>
      <c r="C92" s="191"/>
      <c r="D92" s="131">
        <v>41153</v>
      </c>
      <c r="E92" s="131">
        <v>41183</v>
      </c>
      <c r="F92" s="131">
        <v>41214</v>
      </c>
      <c r="G92" s="131">
        <v>41244</v>
      </c>
      <c r="H92" s="131">
        <v>41275</v>
      </c>
      <c r="I92" s="131">
        <v>41306</v>
      </c>
      <c r="J92" s="131">
        <v>41334</v>
      </c>
      <c r="K92" s="131">
        <v>41365</v>
      </c>
      <c r="L92" s="131">
        <v>41395</v>
      </c>
      <c r="M92" s="131">
        <v>41426</v>
      </c>
      <c r="N92" s="131">
        <v>41456</v>
      </c>
      <c r="O92" s="131">
        <v>41487</v>
      </c>
      <c r="P92" s="191"/>
      <c r="Q92" s="133" t="s">
        <v>338</v>
      </c>
      <c r="R92" s="134" t="s">
        <v>339</v>
      </c>
      <c r="S92" s="132"/>
      <c r="T92" s="133" t="s">
        <v>338</v>
      </c>
      <c r="U92" s="134" t="s">
        <v>339</v>
      </c>
    </row>
    <row r="93" spans="1:21" s="157" customFormat="1" ht="12.75" x14ac:dyDescent="0.2">
      <c r="A93" s="135" t="s">
        <v>319</v>
      </c>
      <c r="D93" s="136">
        <v>27684</v>
      </c>
      <c r="E93" s="136">
        <v>26216</v>
      </c>
      <c r="F93" s="136">
        <v>24877</v>
      </c>
      <c r="G93" s="136">
        <v>24731</v>
      </c>
      <c r="H93" s="136">
        <v>23302</v>
      </c>
      <c r="I93" s="136">
        <v>22299</v>
      </c>
      <c r="J93" s="136">
        <v>27461</v>
      </c>
      <c r="K93" s="136">
        <v>26587</v>
      </c>
      <c r="L93" s="136">
        <v>19537</v>
      </c>
      <c r="M93" s="136">
        <v>17126</v>
      </c>
      <c r="N93" s="136">
        <v>18528</v>
      </c>
      <c r="O93" s="136">
        <v>25985</v>
      </c>
      <c r="Q93" s="141">
        <f>SUM(D93:P93)</f>
        <v>284333</v>
      </c>
      <c r="R93" s="188" t="s">
        <v>341</v>
      </c>
      <c r="T93" s="160">
        <f>Q93*3143/1000000</f>
        <v>893.65861900000004</v>
      </c>
      <c r="U93" s="138" t="s">
        <v>342</v>
      </c>
    </row>
    <row r="94" spans="1:21" s="157" customFormat="1" ht="12.75" x14ac:dyDescent="0.2">
      <c r="A94" s="135" t="s">
        <v>320</v>
      </c>
      <c r="D94" s="137">
        <f>(E94+O94)/2</f>
        <v>65785</v>
      </c>
      <c r="E94" s="137">
        <v>114060</v>
      </c>
      <c r="F94" s="137">
        <v>230110</v>
      </c>
      <c r="G94" s="136">
        <v>248900</v>
      </c>
      <c r="H94" s="136">
        <v>234570</v>
      </c>
      <c r="I94" s="136">
        <v>200880</v>
      </c>
      <c r="J94" s="136">
        <v>249800</v>
      </c>
      <c r="K94" s="136">
        <v>58670</v>
      </c>
      <c r="L94" s="136">
        <v>13340</v>
      </c>
      <c r="M94" s="136">
        <v>7550</v>
      </c>
      <c r="N94" s="136">
        <v>7720</v>
      </c>
      <c r="O94" s="136">
        <v>17510</v>
      </c>
      <c r="Q94" s="141">
        <f>SUM(D94:P94)</f>
        <v>1448895</v>
      </c>
      <c r="R94" s="188" t="s">
        <v>344</v>
      </c>
      <c r="T94" s="160">
        <f>Q94/1000</f>
        <v>1448.895</v>
      </c>
      <c r="U94" s="138" t="s">
        <v>342</v>
      </c>
    </row>
    <row r="95" spans="1:21" s="157" customFormat="1" ht="12.75" x14ac:dyDescent="0.2">
      <c r="A95" s="192" t="s">
        <v>323</v>
      </c>
      <c r="D95" s="141">
        <v>14100</v>
      </c>
      <c r="E95" s="141">
        <v>26100</v>
      </c>
      <c r="F95" s="141">
        <v>10800</v>
      </c>
      <c r="G95" s="141">
        <v>12500</v>
      </c>
      <c r="H95" s="141">
        <v>7900</v>
      </c>
      <c r="I95" s="141">
        <v>6600</v>
      </c>
      <c r="J95" s="141">
        <v>10200</v>
      </c>
      <c r="K95" s="141">
        <v>1400</v>
      </c>
      <c r="L95" s="141">
        <v>11200</v>
      </c>
      <c r="M95" s="141">
        <v>13700</v>
      </c>
      <c r="N95" s="141">
        <v>16500</v>
      </c>
      <c r="O95" s="141">
        <v>20100</v>
      </c>
      <c r="Q95" s="141">
        <f>SUM(D95:P95)</f>
        <v>151100</v>
      </c>
      <c r="R95" s="188" t="s">
        <v>397</v>
      </c>
      <c r="T95" s="193">
        <f>Q95*0.012</f>
        <v>1813.2</v>
      </c>
      <c r="U95" s="138" t="s">
        <v>342</v>
      </c>
    </row>
    <row r="96" spans="1:21" s="157" customFormat="1" ht="12.75" x14ac:dyDescent="0.2">
      <c r="A96" s="135" t="s">
        <v>322</v>
      </c>
      <c r="D96" s="141">
        <v>57500</v>
      </c>
      <c r="E96" s="141">
        <v>48700</v>
      </c>
      <c r="F96" s="141">
        <v>42000</v>
      </c>
      <c r="G96" s="141">
        <v>21600</v>
      </c>
      <c r="H96" s="141">
        <v>36800</v>
      </c>
      <c r="I96" s="141">
        <v>46600</v>
      </c>
      <c r="J96" s="141">
        <v>45600</v>
      </c>
      <c r="K96" s="141">
        <v>50700</v>
      </c>
      <c r="L96" s="141">
        <v>11600</v>
      </c>
      <c r="M96" s="141">
        <v>1300</v>
      </c>
      <c r="N96" s="141">
        <v>300</v>
      </c>
      <c r="O96" s="141">
        <v>41400</v>
      </c>
      <c r="Q96" s="141">
        <f>SUM(D96:P96)</f>
        <v>404100</v>
      </c>
      <c r="R96" s="188" t="s">
        <v>346</v>
      </c>
      <c r="T96" s="141">
        <f>Q96</f>
        <v>404100</v>
      </c>
      <c r="U96" s="188" t="s">
        <v>346</v>
      </c>
    </row>
    <row r="97" spans="1:21" s="157" customFormat="1" ht="12.75" x14ac:dyDescent="0.2">
      <c r="A97" s="135" t="s">
        <v>324</v>
      </c>
      <c r="D97" s="142">
        <v>2005.09</v>
      </c>
      <c r="E97" s="142">
        <v>1713.4</v>
      </c>
      <c r="F97" s="142">
        <v>1429.21</v>
      </c>
      <c r="G97" s="142">
        <v>1516.6</v>
      </c>
      <c r="H97" s="142">
        <v>1459.93</v>
      </c>
      <c r="I97" s="142">
        <v>1358.38</v>
      </c>
      <c r="J97" s="142">
        <v>1703.84</v>
      </c>
      <c r="K97" s="142">
        <v>1604.74</v>
      </c>
      <c r="L97" s="142">
        <v>1171.25</v>
      </c>
      <c r="M97" s="142">
        <v>1156.47</v>
      </c>
      <c r="N97" s="142">
        <v>1333.95</v>
      </c>
      <c r="O97" s="142">
        <v>1844.87</v>
      </c>
      <c r="Q97" s="171">
        <f>SUM(D97:P97)</f>
        <v>18297.73</v>
      </c>
      <c r="R97" s="188"/>
      <c r="T97" s="190">
        <f>Q97</f>
        <v>18297.73</v>
      </c>
      <c r="U97" s="188"/>
    </row>
    <row r="98" spans="1:21" s="157" customFormat="1" ht="15" x14ac:dyDescent="0.35">
      <c r="A98" s="204" t="s">
        <v>326</v>
      </c>
      <c r="D98" s="198">
        <f>(E98+O98)/2</f>
        <v>514.01499999999999</v>
      </c>
      <c r="E98" s="156">
        <v>891.21</v>
      </c>
      <c r="F98" s="156">
        <v>1797.97</v>
      </c>
      <c r="G98" s="171">
        <v>1944.79</v>
      </c>
      <c r="H98" s="171">
        <v>1832.82</v>
      </c>
      <c r="I98" s="171">
        <v>1569.58</v>
      </c>
      <c r="J98" s="171">
        <v>1951.82</v>
      </c>
      <c r="K98" s="171">
        <v>458.42</v>
      </c>
      <c r="L98" s="171">
        <v>104.23</v>
      </c>
      <c r="M98" s="171">
        <v>58.99</v>
      </c>
      <c r="N98" s="171">
        <v>60.32</v>
      </c>
      <c r="O98" s="171">
        <v>136.82</v>
      </c>
      <c r="Q98" s="171">
        <f>SUM(E98:P98)</f>
        <v>10806.97</v>
      </c>
      <c r="R98" s="188"/>
      <c r="T98" s="197">
        <f>Q98</f>
        <v>10806.97</v>
      </c>
      <c r="U98" s="188"/>
    </row>
    <row r="99" spans="1:21" s="157" customFormat="1" ht="12.75" x14ac:dyDescent="0.2">
      <c r="A99" s="195" t="s">
        <v>398</v>
      </c>
      <c r="D99" s="198" t="s">
        <v>352</v>
      </c>
      <c r="E99" s="198" t="s">
        <v>352</v>
      </c>
      <c r="F99" s="198" t="s">
        <v>352</v>
      </c>
      <c r="G99" s="198" t="s">
        <v>352</v>
      </c>
      <c r="H99" s="198" t="s">
        <v>352</v>
      </c>
      <c r="I99" s="198" t="s">
        <v>352</v>
      </c>
      <c r="J99" s="198" t="s">
        <v>352</v>
      </c>
      <c r="K99" s="198" t="s">
        <v>352</v>
      </c>
      <c r="L99" s="198" t="s">
        <v>352</v>
      </c>
      <c r="M99" s="198" t="s">
        <v>352</v>
      </c>
      <c r="N99" s="198" t="s">
        <v>352</v>
      </c>
      <c r="O99" s="198" t="s">
        <v>352</v>
      </c>
      <c r="P99" s="194"/>
      <c r="Q99" s="184"/>
      <c r="R99" s="199"/>
      <c r="T99" s="190">
        <f>SUM(T97:T98)</f>
        <v>29104.699999999997</v>
      </c>
      <c r="U99" s="199"/>
    </row>
    <row r="100" spans="1:21" x14ac:dyDescent="0.2">
      <c r="T100" s="190">
        <f>SUM(T97:T98)</f>
        <v>29104.699999999997</v>
      </c>
    </row>
    <row r="101" spans="1:21" ht="15" x14ac:dyDescent="0.25">
      <c r="A101" s="148" t="s">
        <v>401</v>
      </c>
    </row>
    <row r="102" spans="1:21" s="157" customFormat="1" ht="15" x14ac:dyDescent="0.25">
      <c r="A102" s="130" t="s">
        <v>337</v>
      </c>
      <c r="B102" s="191"/>
      <c r="C102" s="191"/>
      <c r="D102" s="131">
        <v>41153</v>
      </c>
      <c r="E102" s="131">
        <v>41183</v>
      </c>
      <c r="F102" s="131">
        <v>41214</v>
      </c>
      <c r="G102" s="131">
        <v>41244</v>
      </c>
      <c r="H102" s="131">
        <v>41275</v>
      </c>
      <c r="I102" s="131">
        <v>41306</v>
      </c>
      <c r="J102" s="131">
        <v>41334</v>
      </c>
      <c r="K102" s="131">
        <v>41365</v>
      </c>
      <c r="L102" s="131">
        <v>41395</v>
      </c>
      <c r="M102" s="131">
        <v>41426</v>
      </c>
      <c r="N102" s="131">
        <v>41456</v>
      </c>
      <c r="O102" s="131">
        <v>41487</v>
      </c>
      <c r="P102" s="191"/>
      <c r="Q102" s="133" t="s">
        <v>338</v>
      </c>
      <c r="R102" s="134" t="s">
        <v>339</v>
      </c>
      <c r="S102" s="132"/>
      <c r="T102" s="133" t="s">
        <v>338</v>
      </c>
      <c r="U102" s="134" t="s">
        <v>339</v>
      </c>
    </row>
    <row r="103" spans="1:21" s="157" customFormat="1" ht="12.75" x14ac:dyDescent="0.2">
      <c r="A103" s="135" t="s">
        <v>319</v>
      </c>
      <c r="D103" s="136">
        <v>27754</v>
      </c>
      <c r="E103" s="136">
        <v>25834</v>
      </c>
      <c r="F103" s="136">
        <v>24168</v>
      </c>
      <c r="G103" s="136">
        <v>24141</v>
      </c>
      <c r="H103" s="136">
        <v>23146</v>
      </c>
      <c r="I103" s="136">
        <v>24026</v>
      </c>
      <c r="J103" s="136">
        <v>27725</v>
      </c>
      <c r="K103" s="136">
        <v>27357</v>
      </c>
      <c r="L103" s="136">
        <v>21502</v>
      </c>
      <c r="M103" s="136">
        <v>17073</v>
      </c>
      <c r="N103" s="136">
        <v>19805</v>
      </c>
      <c r="O103" s="136">
        <v>27005</v>
      </c>
      <c r="Q103" s="141">
        <f>SUM(D103:P103)</f>
        <v>289536</v>
      </c>
      <c r="R103" s="188" t="s">
        <v>341</v>
      </c>
      <c r="T103" s="160">
        <f>Q103*3143/1000000</f>
        <v>910.01164800000004</v>
      </c>
      <c r="U103" s="138" t="s">
        <v>342</v>
      </c>
    </row>
    <row r="104" spans="1:21" s="157" customFormat="1" ht="12.75" x14ac:dyDescent="0.2">
      <c r="A104" s="135" t="s">
        <v>320</v>
      </c>
      <c r="D104" s="137">
        <f>(E104+O104)/2</f>
        <v>51560</v>
      </c>
      <c r="E104" s="137">
        <v>92800</v>
      </c>
      <c r="F104" s="137">
        <v>117770</v>
      </c>
      <c r="G104" s="136">
        <v>136210</v>
      </c>
      <c r="H104" s="136">
        <v>137600</v>
      </c>
      <c r="I104" s="136">
        <v>148740</v>
      </c>
      <c r="J104" s="136">
        <v>154340</v>
      </c>
      <c r="K104" s="136">
        <v>36400</v>
      </c>
      <c r="L104" s="136">
        <v>8490</v>
      </c>
      <c r="M104" s="136">
        <v>4260</v>
      </c>
      <c r="N104" s="136">
        <v>8090</v>
      </c>
      <c r="O104" s="136">
        <v>10320</v>
      </c>
      <c r="Q104" s="141">
        <f>SUM(D104:P104)</f>
        <v>906580</v>
      </c>
      <c r="R104" s="188" t="s">
        <v>344</v>
      </c>
      <c r="T104" s="160">
        <f>Q104/1000</f>
        <v>906.58</v>
      </c>
      <c r="U104" s="138" t="s">
        <v>342</v>
      </c>
    </row>
    <row r="105" spans="1:21" s="157" customFormat="1" ht="12.75" x14ac:dyDescent="0.2">
      <c r="A105" s="192" t="s">
        <v>323</v>
      </c>
      <c r="D105" s="141">
        <v>18000</v>
      </c>
      <c r="E105" s="141">
        <v>11000</v>
      </c>
      <c r="F105" s="141">
        <v>8000</v>
      </c>
      <c r="G105" s="141">
        <v>6000</v>
      </c>
      <c r="H105" s="141">
        <v>7000</v>
      </c>
      <c r="I105" s="141">
        <v>6000</v>
      </c>
      <c r="J105" s="141">
        <v>6000</v>
      </c>
      <c r="K105" s="141">
        <v>9000</v>
      </c>
      <c r="L105" s="141">
        <v>13000</v>
      </c>
      <c r="M105" s="141">
        <v>16000</v>
      </c>
      <c r="N105" s="141">
        <v>18000</v>
      </c>
      <c r="O105" s="141">
        <v>22000</v>
      </c>
      <c r="Q105" s="141">
        <f>SUM(D105:P105)</f>
        <v>140000</v>
      </c>
      <c r="R105" s="188" t="s">
        <v>397</v>
      </c>
      <c r="T105" s="193">
        <f>Q105*0.012</f>
        <v>1680</v>
      </c>
      <c r="U105" s="138" t="s">
        <v>342</v>
      </c>
    </row>
    <row r="106" spans="1:21" s="157" customFormat="1" ht="12.75" x14ac:dyDescent="0.2">
      <c r="A106" s="135" t="s">
        <v>322</v>
      </c>
      <c r="D106" s="141">
        <v>60200</v>
      </c>
      <c r="E106" s="141">
        <v>52100</v>
      </c>
      <c r="F106" s="141">
        <v>44700</v>
      </c>
      <c r="G106" s="141">
        <v>22500</v>
      </c>
      <c r="H106" s="141">
        <v>42300</v>
      </c>
      <c r="I106" s="141">
        <v>51800</v>
      </c>
      <c r="J106" s="141">
        <v>45000</v>
      </c>
      <c r="K106" s="141">
        <v>54700</v>
      </c>
      <c r="L106" s="141">
        <v>13000</v>
      </c>
      <c r="M106" s="141">
        <v>700</v>
      </c>
      <c r="N106" s="141">
        <v>700</v>
      </c>
      <c r="O106" s="141">
        <v>36500</v>
      </c>
      <c r="Q106" s="141">
        <f>SUM(D106:P106)</f>
        <v>424200</v>
      </c>
      <c r="R106" s="188" t="s">
        <v>346</v>
      </c>
      <c r="T106" s="141">
        <f>Q106</f>
        <v>424200</v>
      </c>
      <c r="U106" s="188" t="s">
        <v>346</v>
      </c>
    </row>
    <row r="107" spans="1:21" s="157" customFormat="1" ht="12.75" x14ac:dyDescent="0.2">
      <c r="A107" s="135" t="s">
        <v>324</v>
      </c>
      <c r="D107" s="142">
        <v>2010.16</v>
      </c>
      <c r="E107" s="142">
        <v>1688.44</v>
      </c>
      <c r="F107" s="142">
        <v>1484.19</v>
      </c>
      <c r="G107" s="142">
        <v>1584.24</v>
      </c>
      <c r="H107" s="142">
        <v>1618.56</v>
      </c>
      <c r="I107" s="142">
        <v>1573.72</v>
      </c>
      <c r="J107" s="142">
        <v>1602.89</v>
      </c>
      <c r="K107" s="142">
        <v>1559.29</v>
      </c>
      <c r="L107" s="142">
        <v>1548.76</v>
      </c>
      <c r="M107" s="142">
        <v>1744.49</v>
      </c>
      <c r="N107" s="142">
        <v>1859.95</v>
      </c>
      <c r="O107" s="142">
        <v>1834.15</v>
      </c>
      <c r="Q107" s="171">
        <f>SUM(D107:P107)</f>
        <v>20108.84</v>
      </c>
      <c r="R107" s="188"/>
      <c r="T107" s="190">
        <f>Q107</f>
        <v>20108.84</v>
      </c>
      <c r="U107" s="188"/>
    </row>
    <row r="108" spans="1:21" s="157" customFormat="1" ht="15" x14ac:dyDescent="0.35">
      <c r="A108" s="204" t="s">
        <v>326</v>
      </c>
      <c r="D108" s="198">
        <f>(E108+O108)/2</f>
        <v>402.87</v>
      </c>
      <c r="E108" s="156">
        <v>725.1</v>
      </c>
      <c r="F108" s="156">
        <v>920.2</v>
      </c>
      <c r="G108" s="171">
        <v>1064.28</v>
      </c>
      <c r="H108" s="171">
        <v>1075.1400000000001</v>
      </c>
      <c r="I108" s="171">
        <v>1162.18</v>
      </c>
      <c r="J108" s="171">
        <v>1205.94</v>
      </c>
      <c r="K108" s="171">
        <v>284.41000000000003</v>
      </c>
      <c r="L108" s="171">
        <v>66.34</v>
      </c>
      <c r="M108" s="171">
        <v>33.29</v>
      </c>
      <c r="N108" s="171">
        <v>63.21</v>
      </c>
      <c r="O108" s="171">
        <v>80.64</v>
      </c>
      <c r="Q108" s="171">
        <f>SUM(E108:P108)</f>
        <v>6680.7300000000005</v>
      </c>
      <c r="R108" s="188"/>
      <c r="T108" s="197">
        <f>Q108</f>
        <v>6680.7300000000005</v>
      </c>
      <c r="U108" s="188"/>
    </row>
    <row r="109" spans="1:21" s="157" customFormat="1" ht="12.75" x14ac:dyDescent="0.2">
      <c r="A109" s="195" t="s">
        <v>398</v>
      </c>
      <c r="D109" s="198" t="s">
        <v>352</v>
      </c>
      <c r="E109" s="198" t="s">
        <v>352</v>
      </c>
      <c r="F109" s="198" t="s">
        <v>352</v>
      </c>
      <c r="G109" s="198" t="s">
        <v>352</v>
      </c>
      <c r="H109" s="198" t="s">
        <v>352</v>
      </c>
      <c r="I109" s="198" t="s">
        <v>352</v>
      </c>
      <c r="J109" s="198" t="s">
        <v>352</v>
      </c>
      <c r="K109" s="198" t="s">
        <v>352</v>
      </c>
      <c r="L109" s="198" t="s">
        <v>352</v>
      </c>
      <c r="M109" s="198" t="s">
        <v>352</v>
      </c>
      <c r="N109" s="198" t="s">
        <v>352</v>
      </c>
      <c r="O109" s="198" t="s">
        <v>352</v>
      </c>
      <c r="P109" s="194"/>
      <c r="Q109" s="184"/>
      <c r="R109" s="199"/>
      <c r="T109" s="190">
        <f>SUM(T107:T108)</f>
        <v>26789.57</v>
      </c>
      <c r="U109" s="199"/>
    </row>
    <row r="110" spans="1:21" x14ac:dyDescent="0.2">
      <c r="A110" s="205"/>
      <c r="D110" s="201"/>
      <c r="E110" s="202"/>
      <c r="F110" s="202"/>
      <c r="G110" s="203"/>
      <c r="H110" s="203"/>
      <c r="I110" s="203"/>
      <c r="J110" s="203"/>
      <c r="K110" s="203"/>
      <c r="L110" s="203"/>
      <c r="M110" s="203"/>
      <c r="N110" s="203"/>
      <c r="O110" s="203"/>
      <c r="T110" s="190">
        <f>SUM(T107:T108)</f>
        <v>26789.57</v>
      </c>
    </row>
    <row r="111" spans="1:21" ht="15" x14ac:dyDescent="0.25">
      <c r="A111" s="148" t="s">
        <v>402</v>
      </c>
      <c r="D111" s="157"/>
      <c r="E111" s="157"/>
      <c r="F111" s="157"/>
      <c r="G111" s="157"/>
      <c r="H111" s="157"/>
      <c r="I111" s="157"/>
      <c r="J111" s="157"/>
      <c r="K111" s="157"/>
      <c r="L111" s="157"/>
      <c r="M111" s="157"/>
      <c r="N111" s="157"/>
      <c r="O111" s="157"/>
    </row>
    <row r="112" spans="1:21" s="157" customFormat="1" ht="15" x14ac:dyDescent="0.25">
      <c r="A112" s="130" t="s">
        <v>337</v>
      </c>
      <c r="B112" s="191"/>
      <c r="C112" s="191"/>
      <c r="D112" s="131">
        <v>41153</v>
      </c>
      <c r="E112" s="131">
        <v>41183</v>
      </c>
      <c r="F112" s="131">
        <v>41214</v>
      </c>
      <c r="G112" s="131">
        <v>41244</v>
      </c>
      <c r="H112" s="131">
        <v>41275</v>
      </c>
      <c r="I112" s="131">
        <v>41306</v>
      </c>
      <c r="J112" s="131">
        <v>41334</v>
      </c>
      <c r="K112" s="131">
        <v>41365</v>
      </c>
      <c r="L112" s="131">
        <v>41395</v>
      </c>
      <c r="M112" s="131">
        <v>41426</v>
      </c>
      <c r="N112" s="131">
        <v>41456</v>
      </c>
      <c r="O112" s="131">
        <v>41487</v>
      </c>
      <c r="P112" s="191"/>
      <c r="Q112" s="133" t="s">
        <v>338</v>
      </c>
      <c r="R112" s="134" t="s">
        <v>339</v>
      </c>
      <c r="S112" s="132"/>
      <c r="T112" s="133" t="s">
        <v>338</v>
      </c>
      <c r="U112" s="134" t="s">
        <v>339</v>
      </c>
    </row>
    <row r="113" spans="1:21" s="157" customFormat="1" ht="12.75" x14ac:dyDescent="0.2">
      <c r="A113" s="135" t="s">
        <v>319</v>
      </c>
      <c r="D113" s="136">
        <v>31337</v>
      </c>
      <c r="E113" s="136">
        <v>29489</v>
      </c>
      <c r="F113" s="136">
        <v>27971</v>
      </c>
      <c r="G113" s="136">
        <v>28908</v>
      </c>
      <c r="H113" s="136">
        <v>26763</v>
      </c>
      <c r="I113" s="136">
        <v>27672</v>
      </c>
      <c r="J113" s="136">
        <v>31291</v>
      </c>
      <c r="K113" s="136">
        <v>30512</v>
      </c>
      <c r="L113" s="136">
        <v>25464</v>
      </c>
      <c r="M113" s="136">
        <v>19405</v>
      </c>
      <c r="N113" s="136">
        <v>21420</v>
      </c>
      <c r="O113" s="136">
        <v>30854</v>
      </c>
      <c r="Q113" s="141">
        <f>SUM(D113:P113)</f>
        <v>331086</v>
      </c>
      <c r="R113" s="188" t="s">
        <v>341</v>
      </c>
      <c r="T113" s="160">
        <f>Q113*3143/1000000</f>
        <v>1040.603298</v>
      </c>
      <c r="U113" s="138" t="s">
        <v>342</v>
      </c>
    </row>
    <row r="114" spans="1:21" s="157" customFormat="1" ht="12.75" x14ac:dyDescent="0.2">
      <c r="A114" s="135" t="s">
        <v>320</v>
      </c>
      <c r="D114" s="137">
        <f>D104</f>
        <v>51560</v>
      </c>
      <c r="E114" s="137">
        <f>E104</f>
        <v>92800</v>
      </c>
      <c r="F114" s="137">
        <v>96840</v>
      </c>
      <c r="G114" s="136">
        <v>125400</v>
      </c>
      <c r="H114" s="136">
        <v>125050</v>
      </c>
      <c r="I114" s="136">
        <v>151390</v>
      </c>
      <c r="J114" s="136">
        <v>144990</v>
      </c>
      <c r="K114" s="136">
        <v>184780</v>
      </c>
      <c r="L114" s="136">
        <v>10300</v>
      </c>
      <c r="M114" s="136">
        <v>7640</v>
      </c>
      <c r="N114" s="136">
        <v>8030</v>
      </c>
      <c r="O114" s="136">
        <v>15530</v>
      </c>
      <c r="Q114" s="141">
        <f>SUM(D114:P114)</f>
        <v>1014310</v>
      </c>
      <c r="R114" s="188" t="s">
        <v>344</v>
      </c>
      <c r="T114" s="160">
        <f>Q114/1000</f>
        <v>1014.31</v>
      </c>
      <c r="U114" s="138" t="s">
        <v>342</v>
      </c>
    </row>
    <row r="115" spans="1:21" s="157" customFormat="1" ht="12.75" x14ac:dyDescent="0.2">
      <c r="A115" s="192" t="s">
        <v>323</v>
      </c>
      <c r="D115" s="141">
        <v>21000</v>
      </c>
      <c r="E115" s="141">
        <v>12200</v>
      </c>
      <c r="F115" s="141">
        <v>9100</v>
      </c>
      <c r="G115" s="141">
        <v>9100</v>
      </c>
      <c r="H115" s="141">
        <v>18900</v>
      </c>
      <c r="I115" s="141">
        <v>7300</v>
      </c>
      <c r="J115" s="141">
        <v>9900</v>
      </c>
      <c r="K115" s="141">
        <v>13500</v>
      </c>
      <c r="L115" s="141">
        <v>13900</v>
      </c>
      <c r="M115" s="141">
        <v>15800</v>
      </c>
      <c r="N115" s="141">
        <v>19300</v>
      </c>
      <c r="O115" s="141">
        <v>26100</v>
      </c>
      <c r="Q115" s="141">
        <f>SUM(D115:P115)</f>
        <v>176100</v>
      </c>
      <c r="R115" s="188" t="s">
        <v>397</v>
      </c>
      <c r="T115" s="193">
        <f>Q115*0.012</f>
        <v>2113.1999999999998</v>
      </c>
      <c r="U115" s="138" t="s">
        <v>342</v>
      </c>
    </row>
    <row r="116" spans="1:21" s="157" customFormat="1" ht="12.75" x14ac:dyDescent="0.2">
      <c r="A116" s="135" t="s">
        <v>322</v>
      </c>
      <c r="D116" s="137">
        <f>(E116+O116)/2</f>
        <v>41350</v>
      </c>
      <c r="E116" s="141">
        <v>46900</v>
      </c>
      <c r="F116" s="141">
        <v>39800</v>
      </c>
      <c r="G116" s="141">
        <v>19400</v>
      </c>
      <c r="H116" s="141">
        <v>32000</v>
      </c>
      <c r="I116" s="141">
        <v>42400</v>
      </c>
      <c r="J116" s="141">
        <v>37400</v>
      </c>
      <c r="K116" s="141">
        <v>45600</v>
      </c>
      <c r="L116" s="141">
        <v>12100</v>
      </c>
      <c r="M116" s="141">
        <v>2600</v>
      </c>
      <c r="N116" s="141">
        <v>2800</v>
      </c>
      <c r="O116" s="141">
        <v>35800</v>
      </c>
      <c r="Q116" s="141">
        <f>SUM(D116:P116)</f>
        <v>358150</v>
      </c>
      <c r="R116" s="188" t="s">
        <v>346</v>
      </c>
      <c r="T116" s="141">
        <f>Q116</f>
        <v>358150</v>
      </c>
      <c r="U116" s="188" t="s">
        <v>346</v>
      </c>
    </row>
    <row r="117" spans="1:21" s="157" customFormat="1" ht="12.75" x14ac:dyDescent="0.2">
      <c r="A117" s="135" t="s">
        <v>324</v>
      </c>
      <c r="D117" s="142">
        <v>2269.67</v>
      </c>
      <c r="E117" s="142">
        <v>1927.32</v>
      </c>
      <c r="F117" s="142">
        <v>1606.96</v>
      </c>
      <c r="G117" s="142">
        <v>1772.75</v>
      </c>
      <c r="H117" s="142">
        <v>1676.77</v>
      </c>
      <c r="I117" s="142">
        <v>1685.69</v>
      </c>
      <c r="J117" s="142">
        <v>1941.48</v>
      </c>
      <c r="K117" s="142">
        <v>1841.64</v>
      </c>
      <c r="L117" s="142">
        <v>1526.58</v>
      </c>
      <c r="M117" s="142">
        <v>1310.3599999999999</v>
      </c>
      <c r="N117" s="142">
        <v>1542.16</v>
      </c>
      <c r="O117" s="142">
        <v>2190.56</v>
      </c>
      <c r="Q117" s="171">
        <f>SUM(D117:P117)</f>
        <v>21291.94</v>
      </c>
      <c r="R117" s="188"/>
      <c r="T117" s="190">
        <f>Q117</f>
        <v>21291.94</v>
      </c>
      <c r="U117" s="188"/>
    </row>
    <row r="118" spans="1:21" s="157" customFormat="1" ht="15" x14ac:dyDescent="0.35">
      <c r="A118" s="204" t="s">
        <v>326</v>
      </c>
      <c r="D118" s="198">
        <f>D108</f>
        <v>402.87</v>
      </c>
      <c r="E118" s="198">
        <f>E108</f>
        <v>725.1</v>
      </c>
      <c r="F118" s="156">
        <v>756.66</v>
      </c>
      <c r="G118" s="171">
        <v>979.82</v>
      </c>
      <c r="H118" s="171">
        <v>977.08</v>
      </c>
      <c r="I118" s="171">
        <v>1182.8900000000001</v>
      </c>
      <c r="J118" s="171">
        <v>1132.8800000000001</v>
      </c>
      <c r="K118" s="171">
        <v>1443.78</v>
      </c>
      <c r="L118" s="171">
        <v>80.48</v>
      </c>
      <c r="M118" s="171">
        <v>59.7</v>
      </c>
      <c r="N118" s="171">
        <v>62.74</v>
      </c>
      <c r="O118" s="171">
        <v>121.34</v>
      </c>
      <c r="Q118" s="171">
        <f>SUM(E118:P118)</f>
        <v>7522.4699999999993</v>
      </c>
      <c r="R118" s="188"/>
      <c r="T118" s="197">
        <f>Q118</f>
        <v>7522.4699999999993</v>
      </c>
      <c r="U118" s="188"/>
    </row>
    <row r="119" spans="1:21" s="157" customFormat="1" ht="12.75" x14ac:dyDescent="0.2">
      <c r="A119" s="195" t="s">
        <v>398</v>
      </c>
      <c r="D119" s="198" t="s">
        <v>352</v>
      </c>
      <c r="E119" s="198" t="s">
        <v>352</v>
      </c>
      <c r="F119" s="198" t="s">
        <v>352</v>
      </c>
      <c r="G119" s="198" t="s">
        <v>352</v>
      </c>
      <c r="H119" s="198" t="s">
        <v>352</v>
      </c>
      <c r="I119" s="198" t="s">
        <v>352</v>
      </c>
      <c r="J119" s="198" t="s">
        <v>352</v>
      </c>
      <c r="K119" s="198" t="s">
        <v>352</v>
      </c>
      <c r="L119" s="198" t="s">
        <v>352</v>
      </c>
      <c r="M119" s="198" t="s">
        <v>352</v>
      </c>
      <c r="N119" s="198" t="s">
        <v>352</v>
      </c>
      <c r="O119" s="198" t="s">
        <v>352</v>
      </c>
      <c r="P119" s="194"/>
      <c r="Q119" s="184"/>
      <c r="R119" s="199"/>
      <c r="T119" s="190">
        <f>SUM(T117:T118)</f>
        <v>28814.409999999996</v>
      </c>
      <c r="U119" s="199"/>
    </row>
    <row r="120" spans="1:21" x14ac:dyDescent="0.2">
      <c r="A120" s="205"/>
      <c r="D120" s="201"/>
      <c r="E120" s="206"/>
      <c r="F120" s="202"/>
      <c r="G120" s="203"/>
      <c r="H120" s="203"/>
      <c r="I120" s="203"/>
      <c r="J120" s="203"/>
      <c r="K120" s="203"/>
      <c r="L120" s="203"/>
      <c r="M120" s="203"/>
      <c r="N120" s="203"/>
      <c r="O120" s="203"/>
      <c r="T120" s="190">
        <f>SUM(T117:T118)</f>
        <v>28814.409999999996</v>
      </c>
    </row>
    <row r="121" spans="1:21" ht="15" x14ac:dyDescent="0.25">
      <c r="A121" s="148" t="s">
        <v>403</v>
      </c>
      <c r="D121" s="157"/>
      <c r="E121" s="157"/>
      <c r="F121" s="157"/>
      <c r="G121" s="157"/>
      <c r="H121" s="157"/>
      <c r="I121" s="157"/>
      <c r="J121" s="157"/>
      <c r="K121" s="157"/>
      <c r="L121" s="157"/>
      <c r="M121" s="157"/>
      <c r="N121" s="157"/>
      <c r="O121" s="157"/>
    </row>
    <row r="122" spans="1:21" s="157" customFormat="1" ht="15" x14ac:dyDescent="0.25">
      <c r="A122" s="130" t="s">
        <v>337</v>
      </c>
      <c r="B122" s="191"/>
      <c r="C122" s="191"/>
      <c r="D122" s="131">
        <v>41153</v>
      </c>
      <c r="E122" s="131">
        <v>41183</v>
      </c>
      <c r="F122" s="131">
        <v>41214</v>
      </c>
      <c r="G122" s="131">
        <v>41244</v>
      </c>
      <c r="H122" s="131">
        <v>41275</v>
      </c>
      <c r="I122" s="131">
        <v>41306</v>
      </c>
      <c r="J122" s="131">
        <v>41334</v>
      </c>
      <c r="K122" s="131">
        <v>41365</v>
      </c>
      <c r="L122" s="131">
        <v>41395</v>
      </c>
      <c r="M122" s="131">
        <v>41426</v>
      </c>
      <c r="N122" s="131">
        <v>41456</v>
      </c>
      <c r="O122" s="131">
        <v>41487</v>
      </c>
      <c r="P122" s="191"/>
      <c r="Q122" s="133" t="s">
        <v>338</v>
      </c>
      <c r="R122" s="134" t="s">
        <v>339</v>
      </c>
      <c r="S122" s="132"/>
      <c r="T122" s="133" t="s">
        <v>338</v>
      </c>
      <c r="U122" s="134" t="s">
        <v>339</v>
      </c>
    </row>
    <row r="123" spans="1:21" s="157" customFormat="1" ht="12.75" x14ac:dyDescent="0.2">
      <c r="A123" s="135" t="s">
        <v>319</v>
      </c>
      <c r="D123" s="136">
        <v>27770</v>
      </c>
      <c r="E123" s="136">
        <v>26421</v>
      </c>
      <c r="F123" s="136">
        <v>25025</v>
      </c>
      <c r="G123" s="136">
        <v>25443</v>
      </c>
      <c r="H123" s="136">
        <v>20716</v>
      </c>
      <c r="I123" s="136">
        <v>25336</v>
      </c>
      <c r="J123" s="136">
        <v>23549</v>
      </c>
      <c r="K123" s="136">
        <v>26961</v>
      </c>
      <c r="L123" s="136">
        <v>22441</v>
      </c>
      <c r="M123" s="136">
        <v>18315</v>
      </c>
      <c r="N123" s="136">
        <v>18909</v>
      </c>
      <c r="O123" s="136">
        <v>27052</v>
      </c>
      <c r="Q123" s="141">
        <f>SUM(D123:P123)</f>
        <v>287938</v>
      </c>
      <c r="R123" s="188" t="s">
        <v>341</v>
      </c>
      <c r="T123" s="160">
        <f>Q123*3143/1000000</f>
        <v>904.98913400000004</v>
      </c>
      <c r="U123" s="138" t="s">
        <v>342</v>
      </c>
    </row>
    <row r="124" spans="1:21" s="157" customFormat="1" ht="12.75" x14ac:dyDescent="0.2">
      <c r="A124" s="135" t="s">
        <v>320</v>
      </c>
      <c r="D124" s="137">
        <f>D74</f>
        <v>14185</v>
      </c>
      <c r="E124" s="137">
        <f>E74</f>
        <v>18300</v>
      </c>
      <c r="F124" s="137">
        <f>F74</f>
        <v>19250</v>
      </c>
      <c r="G124" s="136">
        <v>21780</v>
      </c>
      <c r="H124" s="136">
        <v>22750</v>
      </c>
      <c r="I124" s="136">
        <v>50090</v>
      </c>
      <c r="J124" s="136">
        <v>28480</v>
      </c>
      <c r="K124" s="136">
        <v>16650</v>
      </c>
      <c r="L124" s="136">
        <v>9890</v>
      </c>
      <c r="M124" s="136">
        <v>6550</v>
      </c>
      <c r="N124" s="136">
        <v>6880</v>
      </c>
      <c r="O124" s="136">
        <v>13410</v>
      </c>
      <c r="Q124" s="141">
        <f>SUM(D124:P124)</f>
        <v>228215</v>
      </c>
      <c r="R124" s="188" t="s">
        <v>344</v>
      </c>
      <c r="T124" s="160">
        <f>Q124/1000</f>
        <v>228.215</v>
      </c>
      <c r="U124" s="138" t="s">
        <v>342</v>
      </c>
    </row>
    <row r="125" spans="1:21" s="157" customFormat="1" ht="12.75" x14ac:dyDescent="0.2">
      <c r="A125" s="192" t="s">
        <v>323</v>
      </c>
      <c r="D125" s="141">
        <v>11000</v>
      </c>
      <c r="E125" s="141">
        <v>30000</v>
      </c>
      <c r="F125" s="141">
        <v>4000</v>
      </c>
      <c r="G125" s="141">
        <v>5000</v>
      </c>
      <c r="H125" s="141">
        <v>3000</v>
      </c>
      <c r="I125" s="141">
        <v>4000</v>
      </c>
      <c r="J125" s="141">
        <v>4000</v>
      </c>
      <c r="K125" s="141">
        <v>6000</v>
      </c>
      <c r="L125" s="141">
        <v>7000</v>
      </c>
      <c r="M125" s="141">
        <v>7000</v>
      </c>
      <c r="N125" s="141">
        <v>9000</v>
      </c>
      <c r="O125" s="141">
        <v>8000</v>
      </c>
      <c r="Q125" s="141">
        <f>SUM(D125:P125)</f>
        <v>98000</v>
      </c>
      <c r="R125" s="188" t="s">
        <v>397</v>
      </c>
      <c r="T125" s="193">
        <f>Q125*0.012</f>
        <v>1176</v>
      </c>
      <c r="U125" s="138" t="s">
        <v>342</v>
      </c>
    </row>
    <row r="126" spans="1:21" s="157" customFormat="1" ht="12.75" x14ac:dyDescent="0.2">
      <c r="A126" s="135" t="s">
        <v>322</v>
      </c>
      <c r="D126" s="141">
        <v>56100</v>
      </c>
      <c r="E126" s="141">
        <v>49300</v>
      </c>
      <c r="F126" s="141">
        <v>43000</v>
      </c>
      <c r="G126" s="141">
        <v>22800</v>
      </c>
      <c r="H126" s="141">
        <v>34600</v>
      </c>
      <c r="I126" s="141">
        <v>46300</v>
      </c>
      <c r="J126" s="141">
        <v>41900</v>
      </c>
      <c r="K126" s="141">
        <v>48700</v>
      </c>
      <c r="L126" s="141">
        <v>12100</v>
      </c>
      <c r="M126" s="141">
        <v>600</v>
      </c>
      <c r="N126" s="141">
        <v>900</v>
      </c>
      <c r="O126" s="141">
        <v>32800</v>
      </c>
      <c r="Q126" s="141">
        <f>SUM(D126:P126)</f>
        <v>389100</v>
      </c>
      <c r="R126" s="188" t="s">
        <v>346</v>
      </c>
      <c r="T126" s="141">
        <f>Q126</f>
        <v>389100</v>
      </c>
      <c r="U126" s="188" t="s">
        <v>346</v>
      </c>
    </row>
    <row r="127" spans="1:21" s="157" customFormat="1" ht="12.75" x14ac:dyDescent="0.2">
      <c r="A127" s="135" t="s">
        <v>324</v>
      </c>
      <c r="D127" s="142">
        <v>2011.32</v>
      </c>
      <c r="E127" s="142">
        <v>1726.8</v>
      </c>
      <c r="F127" s="142">
        <v>1437.71</v>
      </c>
      <c r="G127" s="142">
        <v>1560.26</v>
      </c>
      <c r="H127" s="142">
        <v>1297.9100000000001</v>
      </c>
      <c r="I127" s="142">
        <v>1543.39</v>
      </c>
      <c r="J127" s="142">
        <v>1461.12</v>
      </c>
      <c r="K127" s="142">
        <v>1627.31</v>
      </c>
      <c r="L127" s="142">
        <v>1345.35</v>
      </c>
      <c r="M127" s="142">
        <v>1236.76</v>
      </c>
      <c r="N127" s="142">
        <v>1361.38</v>
      </c>
      <c r="O127" s="142">
        <v>1920.63</v>
      </c>
      <c r="Q127" s="171">
        <f>SUM(D127:P127)</f>
        <v>18529.939999999999</v>
      </c>
      <c r="R127" s="188"/>
      <c r="T127" s="190">
        <f>Q127</f>
        <v>18529.939999999999</v>
      </c>
      <c r="U127" s="188"/>
    </row>
    <row r="128" spans="1:21" s="157" customFormat="1" ht="15" x14ac:dyDescent="0.35">
      <c r="A128" s="204" t="s">
        <v>326</v>
      </c>
      <c r="D128" s="198">
        <f>D78:F78</f>
        <v>110.83500000000001</v>
      </c>
      <c r="E128" s="198">
        <f>E78</f>
        <v>142.99</v>
      </c>
      <c r="F128" s="198">
        <f>F78</f>
        <v>150.41</v>
      </c>
      <c r="G128" s="171">
        <v>170.18</v>
      </c>
      <c r="H128" s="171">
        <v>177.76</v>
      </c>
      <c r="I128" s="171">
        <v>391.38</v>
      </c>
      <c r="J128" s="171">
        <v>222.53</v>
      </c>
      <c r="K128" s="171">
        <v>130.1</v>
      </c>
      <c r="L128" s="171">
        <v>77.28</v>
      </c>
      <c r="M128" s="171">
        <v>51.18</v>
      </c>
      <c r="N128" s="171">
        <v>53.75</v>
      </c>
      <c r="O128" s="171">
        <v>104.78</v>
      </c>
      <c r="Q128" s="171">
        <f>SUM(E128:P128)</f>
        <v>1672.3399999999997</v>
      </c>
      <c r="R128" s="188"/>
      <c r="T128" s="197">
        <f>Q128</f>
        <v>1672.3399999999997</v>
      </c>
      <c r="U128" s="188"/>
    </row>
    <row r="129" spans="1:21" s="157" customFormat="1" ht="12.75" x14ac:dyDescent="0.2">
      <c r="A129" s="195" t="s">
        <v>398</v>
      </c>
      <c r="D129" s="198" t="s">
        <v>352</v>
      </c>
      <c r="E129" s="198" t="s">
        <v>352</v>
      </c>
      <c r="F129" s="198" t="s">
        <v>352</v>
      </c>
      <c r="G129" s="198" t="s">
        <v>352</v>
      </c>
      <c r="H129" s="198" t="s">
        <v>352</v>
      </c>
      <c r="I129" s="198" t="s">
        <v>352</v>
      </c>
      <c r="J129" s="198" t="s">
        <v>352</v>
      </c>
      <c r="K129" s="198" t="s">
        <v>352</v>
      </c>
      <c r="L129" s="198" t="s">
        <v>352</v>
      </c>
      <c r="M129" s="198" t="s">
        <v>352</v>
      </c>
      <c r="N129" s="198" t="s">
        <v>352</v>
      </c>
      <c r="O129" s="198" t="s">
        <v>352</v>
      </c>
      <c r="P129" s="194"/>
      <c r="Q129" s="184"/>
      <c r="R129" s="199"/>
      <c r="T129" s="190">
        <f>SUM(T127:T128)</f>
        <v>20202.28</v>
      </c>
      <c r="U129" s="199"/>
    </row>
    <row r="130" spans="1:21" x14ac:dyDescent="0.2">
      <c r="A130" s="205"/>
      <c r="D130" s="201"/>
      <c r="E130" s="206"/>
      <c r="F130" s="202"/>
      <c r="G130" s="203"/>
      <c r="H130" s="203"/>
      <c r="I130" s="203"/>
      <c r="J130" s="203"/>
      <c r="K130" s="203"/>
      <c r="L130" s="203"/>
      <c r="M130" s="203"/>
      <c r="N130" s="203"/>
      <c r="O130" s="203"/>
      <c r="T130" s="190">
        <f>SUM(T127:T128)</f>
        <v>20202.28</v>
      </c>
    </row>
    <row r="131" spans="1:21" ht="15" x14ac:dyDescent="0.25">
      <c r="A131" s="148" t="s">
        <v>404</v>
      </c>
      <c r="D131" s="157"/>
      <c r="E131" s="157"/>
      <c r="F131" s="157"/>
      <c r="G131" s="157"/>
      <c r="H131" s="157"/>
      <c r="I131" s="157"/>
      <c r="J131" s="157"/>
      <c r="K131" s="157"/>
      <c r="L131" s="157"/>
      <c r="M131" s="157"/>
      <c r="N131" s="157"/>
      <c r="O131" s="157"/>
    </row>
    <row r="132" spans="1:21" s="157" customFormat="1" ht="15" x14ac:dyDescent="0.25">
      <c r="A132" s="130" t="s">
        <v>337</v>
      </c>
      <c r="B132" s="191"/>
      <c r="C132" s="191"/>
      <c r="D132" s="131">
        <v>41153</v>
      </c>
      <c r="E132" s="131">
        <v>41183</v>
      </c>
      <c r="F132" s="131">
        <v>41214</v>
      </c>
      <c r="G132" s="131">
        <v>41244</v>
      </c>
      <c r="H132" s="131">
        <v>41275</v>
      </c>
      <c r="I132" s="131">
        <v>41306</v>
      </c>
      <c r="J132" s="131">
        <v>41334</v>
      </c>
      <c r="K132" s="131">
        <v>41365</v>
      </c>
      <c r="L132" s="131">
        <v>41395</v>
      </c>
      <c r="M132" s="131">
        <v>41426</v>
      </c>
      <c r="N132" s="131">
        <v>41456</v>
      </c>
      <c r="O132" s="131">
        <v>41487</v>
      </c>
      <c r="P132" s="191"/>
      <c r="Q132" s="133" t="s">
        <v>338</v>
      </c>
      <c r="R132" s="134" t="s">
        <v>339</v>
      </c>
      <c r="S132" s="132"/>
      <c r="T132" s="133" t="s">
        <v>338</v>
      </c>
      <c r="U132" s="134" t="s">
        <v>339</v>
      </c>
    </row>
    <row r="133" spans="1:21" s="157" customFormat="1" ht="12.75" x14ac:dyDescent="0.2">
      <c r="A133" s="135" t="s">
        <v>319</v>
      </c>
      <c r="D133" s="136">
        <v>52787</v>
      </c>
      <c r="E133" s="136">
        <v>47182</v>
      </c>
      <c r="F133" s="136">
        <v>41178</v>
      </c>
      <c r="G133" s="136">
        <v>42583</v>
      </c>
      <c r="H133" s="136">
        <v>39584</v>
      </c>
      <c r="I133" s="136">
        <v>41946</v>
      </c>
      <c r="J133" s="136">
        <v>52401</v>
      </c>
      <c r="K133" s="136">
        <v>49958</v>
      </c>
      <c r="L133" s="136">
        <v>41964</v>
      </c>
      <c r="M133" s="136">
        <v>32814</v>
      </c>
      <c r="N133" s="136">
        <v>35588</v>
      </c>
      <c r="O133" s="136">
        <v>48804</v>
      </c>
      <c r="Q133" s="141">
        <f>SUM(D133:P133)</f>
        <v>526789</v>
      </c>
      <c r="R133" s="188" t="s">
        <v>341</v>
      </c>
      <c r="T133" s="160">
        <f>Q133*3143/1000000</f>
        <v>1655.697827</v>
      </c>
      <c r="U133" s="138" t="s">
        <v>342</v>
      </c>
    </row>
    <row r="134" spans="1:21" s="157" customFormat="1" ht="12.75" x14ac:dyDescent="0.2">
      <c r="A134" s="135" t="s">
        <v>320</v>
      </c>
      <c r="D134" s="137">
        <f>(E134+O134)/2</f>
        <v>198280</v>
      </c>
      <c r="E134" s="137">
        <v>391020</v>
      </c>
      <c r="F134" s="137">
        <v>332710</v>
      </c>
      <c r="G134" s="136">
        <v>435580</v>
      </c>
      <c r="H134" s="136">
        <v>410910</v>
      </c>
      <c r="I134" s="136">
        <v>609370</v>
      </c>
      <c r="J134" s="136">
        <v>925610</v>
      </c>
      <c r="K134" s="136">
        <v>197840</v>
      </c>
      <c r="L134" s="136">
        <v>63070</v>
      </c>
      <c r="M134" s="136">
        <v>7700</v>
      </c>
      <c r="N134" s="136">
        <v>3820</v>
      </c>
      <c r="O134" s="136">
        <v>5540</v>
      </c>
      <c r="Q134" s="141">
        <f>SUM(D134:P134)</f>
        <v>3581450</v>
      </c>
      <c r="R134" s="188" t="s">
        <v>344</v>
      </c>
      <c r="T134" s="160">
        <f>Q134/1000</f>
        <v>3581.45</v>
      </c>
      <c r="U134" s="138" t="s">
        <v>342</v>
      </c>
    </row>
    <row r="135" spans="1:21" s="157" customFormat="1" ht="12.75" x14ac:dyDescent="0.2">
      <c r="A135" s="192" t="s">
        <v>323</v>
      </c>
      <c r="D135" s="141">
        <v>45000</v>
      </c>
      <c r="E135" s="141">
        <v>10600</v>
      </c>
      <c r="F135" s="141">
        <v>23700</v>
      </c>
      <c r="G135" s="141">
        <v>27400</v>
      </c>
      <c r="H135" s="141">
        <v>20100</v>
      </c>
      <c r="I135" s="141">
        <v>22100</v>
      </c>
      <c r="J135" s="141">
        <v>28200</v>
      </c>
      <c r="K135" s="141">
        <v>32700</v>
      </c>
      <c r="L135" s="141">
        <v>38200</v>
      </c>
      <c r="M135" s="141">
        <v>39400</v>
      </c>
      <c r="N135" s="141">
        <v>41900</v>
      </c>
      <c r="O135" s="141">
        <v>49900</v>
      </c>
      <c r="Q135" s="141">
        <f>SUM(D135:P135)</f>
        <v>379200</v>
      </c>
      <c r="R135" s="188" t="s">
        <v>397</v>
      </c>
      <c r="T135" s="193">
        <f>Q135*0.012</f>
        <v>4550.4000000000005</v>
      </c>
      <c r="U135" s="138" t="s">
        <v>342</v>
      </c>
    </row>
    <row r="136" spans="1:21" s="157" customFormat="1" ht="12.75" x14ac:dyDescent="0.2">
      <c r="A136" s="135" t="s">
        <v>322</v>
      </c>
      <c r="D136" s="141">
        <v>92800</v>
      </c>
      <c r="E136" s="141">
        <v>82500</v>
      </c>
      <c r="F136" s="141">
        <v>69400</v>
      </c>
      <c r="G136" s="141">
        <v>36900</v>
      </c>
      <c r="H136" s="141">
        <v>64000</v>
      </c>
      <c r="I136" s="141">
        <v>79100</v>
      </c>
      <c r="J136" s="141">
        <v>77500</v>
      </c>
      <c r="K136" s="141">
        <v>90900</v>
      </c>
      <c r="L136" s="141">
        <v>22000</v>
      </c>
      <c r="M136" s="141">
        <v>2700</v>
      </c>
      <c r="N136" s="141">
        <v>2700</v>
      </c>
      <c r="O136" s="141">
        <v>60400</v>
      </c>
      <c r="Q136" s="141">
        <f>SUM(D136:P136)</f>
        <v>680900</v>
      </c>
      <c r="R136" s="188" t="s">
        <v>346</v>
      </c>
      <c r="T136" s="141">
        <f>Q136</f>
        <v>680900</v>
      </c>
      <c r="U136" s="188" t="s">
        <v>346</v>
      </c>
    </row>
    <row r="137" spans="1:21" s="157" customFormat="1" ht="12.75" x14ac:dyDescent="0.2">
      <c r="A137" s="135" t="s">
        <v>324</v>
      </c>
      <c r="D137" s="142">
        <v>3823.24</v>
      </c>
      <c r="E137" s="142">
        <v>3083.68</v>
      </c>
      <c r="F137" s="142">
        <v>2365.7199999999998</v>
      </c>
      <c r="G137" s="142">
        <v>2611.35</v>
      </c>
      <c r="H137" s="142">
        <v>2480.0300000000002</v>
      </c>
      <c r="I137" s="142">
        <v>2555.21</v>
      </c>
      <c r="J137" s="142">
        <v>3251.26</v>
      </c>
      <c r="K137" s="142">
        <v>3015.36</v>
      </c>
      <c r="L137" s="142">
        <v>2515.7600000000002</v>
      </c>
      <c r="M137" s="142">
        <v>2215.83</v>
      </c>
      <c r="N137" s="142">
        <v>2562.1999999999998</v>
      </c>
      <c r="O137" s="142">
        <v>3464.97</v>
      </c>
      <c r="Q137" s="171">
        <f>SUM(D137:P137)</f>
        <v>33944.61</v>
      </c>
      <c r="R137" s="188"/>
      <c r="T137" s="190">
        <f>Q137</f>
        <v>33944.61</v>
      </c>
      <c r="U137" s="188"/>
    </row>
    <row r="138" spans="1:21" s="157" customFormat="1" ht="15" x14ac:dyDescent="0.35">
      <c r="A138" s="204" t="s">
        <v>326</v>
      </c>
      <c r="D138" s="198">
        <f>(E138+O138)/2</f>
        <v>1549.2650000000001</v>
      </c>
      <c r="E138" s="156">
        <v>3055.25</v>
      </c>
      <c r="F138" s="156">
        <v>2599.64</v>
      </c>
      <c r="G138" s="171">
        <v>3403.42</v>
      </c>
      <c r="H138" s="171">
        <v>3210.66</v>
      </c>
      <c r="I138" s="171">
        <v>4761.33</v>
      </c>
      <c r="J138" s="171">
        <v>7232.28</v>
      </c>
      <c r="K138" s="171">
        <v>1545.83</v>
      </c>
      <c r="L138" s="171">
        <v>492.8</v>
      </c>
      <c r="M138" s="171">
        <v>60.16</v>
      </c>
      <c r="N138" s="171">
        <v>29.85</v>
      </c>
      <c r="O138" s="171">
        <v>43.28</v>
      </c>
      <c r="Q138" s="171">
        <f>SUM(E138:P138)</f>
        <v>26434.499999999993</v>
      </c>
      <c r="R138" s="188"/>
      <c r="T138" s="197">
        <f>Q138</f>
        <v>26434.499999999993</v>
      </c>
      <c r="U138" s="188"/>
    </row>
    <row r="139" spans="1:21" s="157" customFormat="1" ht="12.75" x14ac:dyDescent="0.2">
      <c r="A139" s="195" t="s">
        <v>398</v>
      </c>
      <c r="D139" s="198" t="s">
        <v>352</v>
      </c>
      <c r="E139" s="198" t="s">
        <v>352</v>
      </c>
      <c r="F139" s="198" t="s">
        <v>352</v>
      </c>
      <c r="G139" s="198" t="s">
        <v>352</v>
      </c>
      <c r="H139" s="198" t="s">
        <v>352</v>
      </c>
      <c r="I139" s="198" t="s">
        <v>352</v>
      </c>
      <c r="J139" s="198" t="s">
        <v>352</v>
      </c>
      <c r="K139" s="198" t="s">
        <v>352</v>
      </c>
      <c r="L139" s="198" t="s">
        <v>352</v>
      </c>
      <c r="M139" s="198" t="s">
        <v>352</v>
      </c>
      <c r="N139" s="198" t="s">
        <v>352</v>
      </c>
      <c r="O139" s="198" t="s">
        <v>352</v>
      </c>
      <c r="P139" s="194"/>
      <c r="Q139" s="184"/>
      <c r="R139" s="199"/>
      <c r="T139" s="190">
        <f>SUM(T137:T138)</f>
        <v>60379.109999999993</v>
      </c>
      <c r="U139" s="199"/>
    </row>
    <row r="140" spans="1:21" x14ac:dyDescent="0.2">
      <c r="T140" s="190">
        <f>SUM(T137:T138)</f>
        <v>60379.109999999993</v>
      </c>
    </row>
    <row r="141" spans="1:21" ht="15" x14ac:dyDescent="0.2">
      <c r="A141" s="207" t="s">
        <v>405</v>
      </c>
    </row>
    <row r="142" spans="1:21" ht="15" x14ac:dyDescent="0.25">
      <c r="A142" s="130" t="s">
        <v>337</v>
      </c>
      <c r="B142" s="132"/>
      <c r="C142" s="132"/>
      <c r="D142" s="131">
        <v>41153</v>
      </c>
      <c r="E142" s="131">
        <v>41183</v>
      </c>
      <c r="F142" s="131">
        <v>41214</v>
      </c>
      <c r="G142" s="131">
        <v>41244</v>
      </c>
      <c r="H142" s="131">
        <v>41275</v>
      </c>
      <c r="I142" s="131">
        <v>41306</v>
      </c>
      <c r="J142" s="131">
        <v>41334</v>
      </c>
      <c r="K142" s="131">
        <v>41365</v>
      </c>
      <c r="L142" s="131">
        <v>41395</v>
      </c>
      <c r="M142" s="131">
        <v>41426</v>
      </c>
      <c r="N142" s="131">
        <v>41456</v>
      </c>
      <c r="O142" s="131">
        <v>41487</v>
      </c>
      <c r="P142" s="132"/>
      <c r="Q142" s="133" t="s">
        <v>338</v>
      </c>
      <c r="R142" s="134" t="s">
        <v>339</v>
      </c>
      <c r="S142" s="132"/>
      <c r="T142" s="133" t="s">
        <v>338</v>
      </c>
      <c r="U142" s="134" t="s">
        <v>339</v>
      </c>
    </row>
    <row r="143" spans="1:21" x14ac:dyDescent="0.2">
      <c r="A143" s="135" t="s">
        <v>340</v>
      </c>
      <c r="D143" s="136">
        <v>133296</v>
      </c>
      <c r="E143" s="136">
        <v>119403</v>
      </c>
      <c r="F143" s="136">
        <v>112577</v>
      </c>
      <c r="G143" s="136">
        <v>71941</v>
      </c>
      <c r="H143" s="136">
        <v>114723</v>
      </c>
      <c r="I143" s="136">
        <v>108426</v>
      </c>
      <c r="J143" s="136">
        <v>101057</v>
      </c>
      <c r="K143" s="136">
        <v>112318</v>
      </c>
      <c r="L143" s="136">
        <v>116347</v>
      </c>
      <c r="M143" s="136">
        <v>109347</v>
      </c>
      <c r="N143" s="136">
        <v>127593</v>
      </c>
      <c r="O143" s="136">
        <v>138924</v>
      </c>
      <c r="Q143" s="137">
        <f>SUM(D143:O143)</f>
        <v>1365952</v>
      </c>
      <c r="R143" s="138" t="s">
        <v>341</v>
      </c>
      <c r="S143" s="139"/>
      <c r="T143" s="140">
        <f>Q143*3143/1000000</f>
        <v>4293.1871359999996</v>
      </c>
      <c r="U143" s="138" t="s">
        <v>342</v>
      </c>
    </row>
    <row r="144" spans="1:21" x14ac:dyDescent="0.2">
      <c r="A144" s="135" t="s">
        <v>322</v>
      </c>
      <c r="D144" s="141">
        <v>169796</v>
      </c>
      <c r="E144" s="141">
        <v>193732</v>
      </c>
      <c r="F144" s="141">
        <v>121924</v>
      </c>
      <c r="G144" s="141">
        <v>7480</v>
      </c>
      <c r="H144" s="141">
        <v>264792</v>
      </c>
      <c r="I144" s="141">
        <v>235620</v>
      </c>
      <c r="J144" s="141">
        <v>211684</v>
      </c>
      <c r="K144" s="141">
        <v>234872</v>
      </c>
      <c r="L144" s="141">
        <v>20944</v>
      </c>
      <c r="M144" s="141">
        <v>44880</v>
      </c>
      <c r="N144" s="141">
        <v>56100</v>
      </c>
      <c r="O144" s="141">
        <v>176528</v>
      </c>
      <c r="Q144" s="137">
        <f>SUM(D144:O144)</f>
        <v>1738352</v>
      </c>
      <c r="R144" s="138" t="s">
        <v>346</v>
      </c>
      <c r="S144" s="139"/>
      <c r="T144" s="137">
        <f>Q144</f>
        <v>1738352</v>
      </c>
      <c r="U144" s="138" t="s">
        <v>346</v>
      </c>
    </row>
    <row r="145" spans="1:23" x14ac:dyDescent="0.2">
      <c r="A145" s="135" t="s">
        <v>347</v>
      </c>
      <c r="D145" s="142">
        <v>10594.22</v>
      </c>
      <c r="E145" s="142">
        <v>9143.86</v>
      </c>
      <c r="F145" s="142">
        <v>8779.23</v>
      </c>
      <c r="G145" s="142">
        <v>5616.48</v>
      </c>
      <c r="H145" s="142">
        <v>9381.5400000000009</v>
      </c>
      <c r="I145" s="142">
        <v>8335.41</v>
      </c>
      <c r="J145" s="142">
        <v>7833.73</v>
      </c>
      <c r="K145" s="142">
        <v>8409.23</v>
      </c>
      <c r="L145" s="142">
        <v>9199.07</v>
      </c>
      <c r="M145" s="142">
        <v>8724.42</v>
      </c>
      <c r="N145" s="142">
        <v>10207.719999999999</v>
      </c>
      <c r="O145" s="142">
        <v>10828.03</v>
      </c>
      <c r="Q145" s="143">
        <f>SUM(D145:O145)</f>
        <v>107052.93999999999</v>
      </c>
      <c r="R145" s="138"/>
      <c r="S145" s="139"/>
      <c r="T145" s="143">
        <f>Q145</f>
        <v>107052.93999999999</v>
      </c>
      <c r="U145" s="138"/>
    </row>
    <row r="147" spans="1:23" ht="15" x14ac:dyDescent="0.25">
      <c r="A147" s="148" t="s">
        <v>406</v>
      </c>
    </row>
    <row r="148" spans="1:23" ht="15" x14ac:dyDescent="0.25">
      <c r="A148" s="130" t="s">
        <v>337</v>
      </c>
      <c r="B148" s="131">
        <v>41091</v>
      </c>
      <c r="C148" s="131">
        <v>41122</v>
      </c>
      <c r="D148" s="131">
        <v>41153</v>
      </c>
      <c r="E148" s="131">
        <v>41183</v>
      </c>
      <c r="F148" s="131">
        <v>41214</v>
      </c>
      <c r="G148" s="131">
        <v>41244</v>
      </c>
      <c r="H148" s="131">
        <v>41275</v>
      </c>
      <c r="I148" s="131">
        <v>41306</v>
      </c>
      <c r="J148" s="131">
        <v>41334</v>
      </c>
      <c r="K148" s="131">
        <v>41365</v>
      </c>
      <c r="L148" s="131">
        <v>41395</v>
      </c>
      <c r="M148" s="131">
        <v>41426</v>
      </c>
      <c r="Q148" s="133" t="s">
        <v>338</v>
      </c>
      <c r="R148" s="134" t="s">
        <v>339</v>
      </c>
      <c r="S148" s="132"/>
      <c r="T148" s="133" t="s">
        <v>338</v>
      </c>
      <c r="U148" s="134" t="s">
        <v>339</v>
      </c>
    </row>
    <row r="149" spans="1:23" s="157" customFormat="1" ht="12.75" x14ac:dyDescent="0.2">
      <c r="A149" s="135" t="s">
        <v>319</v>
      </c>
      <c r="B149" s="208">
        <v>85778.96</v>
      </c>
      <c r="C149" s="208">
        <v>113621.46</v>
      </c>
      <c r="D149" s="208">
        <v>152143.23999999993</v>
      </c>
      <c r="E149" s="208">
        <v>180402.19999999998</v>
      </c>
      <c r="F149" s="208">
        <v>114532.16000000009</v>
      </c>
      <c r="G149" s="208">
        <v>95786.239999999903</v>
      </c>
      <c r="H149" s="208">
        <v>90504.506199999989</v>
      </c>
      <c r="I149" s="208">
        <v>111469.90000000013</v>
      </c>
      <c r="J149" s="208">
        <v>86489.399999999834</v>
      </c>
      <c r="K149" s="208">
        <v>99097.300000000163</v>
      </c>
      <c r="L149" s="208">
        <v>111892.49999999996</v>
      </c>
      <c r="M149" s="208">
        <v>111499.99999999993</v>
      </c>
      <c r="Q149" s="137">
        <f>SUM(B149:M149)</f>
        <v>1353217.8662</v>
      </c>
      <c r="R149" s="138" t="s">
        <v>341</v>
      </c>
      <c r="S149" s="139"/>
      <c r="T149" s="140">
        <f>Q149*3143/1000000</f>
        <v>4253.1637534665997</v>
      </c>
      <c r="U149" s="138" t="s">
        <v>342</v>
      </c>
    </row>
    <row r="150" spans="1:23" s="157" customFormat="1" ht="12.75" x14ac:dyDescent="0.2">
      <c r="A150" s="135" t="s">
        <v>372</v>
      </c>
      <c r="B150" s="209">
        <v>2102</v>
      </c>
      <c r="C150" s="209">
        <v>2784</v>
      </c>
      <c r="D150" s="209">
        <v>3728</v>
      </c>
      <c r="E150" s="209">
        <v>4420</v>
      </c>
      <c r="F150" s="209">
        <v>2806</v>
      </c>
      <c r="G150" s="209">
        <v>2347</v>
      </c>
      <c r="H150" s="209">
        <v>2217</v>
      </c>
      <c r="I150" s="209">
        <v>2731</v>
      </c>
      <c r="J150" s="209">
        <v>2119</v>
      </c>
      <c r="K150" s="209">
        <v>2428</v>
      </c>
      <c r="L150" s="209">
        <v>2741</v>
      </c>
      <c r="M150" s="209">
        <v>2732</v>
      </c>
      <c r="Q150" s="137">
        <f>SUM(B150:M150)</f>
        <v>33155</v>
      </c>
      <c r="R150" s="138" t="s">
        <v>354</v>
      </c>
      <c r="S150" s="139"/>
      <c r="T150" s="140">
        <f>Q150*99976.124488/1000000</f>
        <v>3314.7084073996402</v>
      </c>
      <c r="U150" s="138" t="s">
        <v>342</v>
      </c>
    </row>
    <row r="151" spans="1:23" s="157" customFormat="1" ht="12.75" x14ac:dyDescent="0.2">
      <c r="A151" s="135" t="s">
        <v>345</v>
      </c>
      <c r="B151" s="210">
        <v>4632</v>
      </c>
      <c r="C151" s="210">
        <v>6135</v>
      </c>
      <c r="D151" s="210">
        <v>8215</v>
      </c>
      <c r="E151" s="210">
        <v>9741</v>
      </c>
      <c r="F151" s="210">
        <v>6184</v>
      </c>
      <c r="G151" s="210">
        <v>5172</v>
      </c>
      <c r="H151" s="210">
        <v>4887</v>
      </c>
      <c r="I151" s="210">
        <v>6019</v>
      </c>
      <c r="J151" s="210">
        <v>4670</v>
      </c>
      <c r="K151" s="210">
        <v>5351</v>
      </c>
      <c r="L151" s="210">
        <v>6042</v>
      </c>
      <c r="M151" s="210">
        <v>6021</v>
      </c>
      <c r="Q151" s="137">
        <f>SUM(B151:M151)</f>
        <v>73069</v>
      </c>
      <c r="R151" s="138" t="s">
        <v>346</v>
      </c>
      <c r="S151" s="139"/>
      <c r="T151" s="137">
        <f>Q151</f>
        <v>73069</v>
      </c>
      <c r="U151" s="138" t="s">
        <v>346</v>
      </c>
    </row>
    <row r="152" spans="1:23" s="157" customFormat="1" ht="12.75" x14ac:dyDescent="0.2">
      <c r="A152" s="135" t="s">
        <v>324</v>
      </c>
      <c r="B152" s="211">
        <f>B149*0.08076</f>
        <v>6927.5088095999999</v>
      </c>
      <c r="C152" s="211">
        <f t="shared" ref="C152:M152" si="1">C149*0.08076</f>
        <v>9176.069109600001</v>
      </c>
      <c r="D152" s="211">
        <f t="shared" si="1"/>
        <v>12287.088062399995</v>
      </c>
      <c r="E152" s="211">
        <f t="shared" si="1"/>
        <v>14569.281671999999</v>
      </c>
      <c r="F152" s="211">
        <f t="shared" si="1"/>
        <v>9249.6172416000063</v>
      </c>
      <c r="G152" s="211">
        <f t="shared" si="1"/>
        <v>7735.6967423999922</v>
      </c>
      <c r="H152" s="211">
        <f t="shared" si="1"/>
        <v>7309.1439207119993</v>
      </c>
      <c r="I152" s="211">
        <f t="shared" si="1"/>
        <v>9002.3091240000103</v>
      </c>
      <c r="J152" s="211">
        <f t="shared" si="1"/>
        <v>6984.8839439999865</v>
      </c>
      <c r="K152" s="211">
        <f t="shared" si="1"/>
        <v>8003.0979480000133</v>
      </c>
      <c r="L152" s="211">
        <f t="shared" si="1"/>
        <v>9036.4382999999962</v>
      </c>
      <c r="M152" s="211">
        <f t="shared" si="1"/>
        <v>9004.7399999999943</v>
      </c>
      <c r="Q152" s="143">
        <f>SUM(C152:P152)</f>
        <v>102358.36606471198</v>
      </c>
      <c r="R152" s="138"/>
      <c r="S152" s="139"/>
      <c r="T152" s="143">
        <f>Q152</f>
        <v>102358.36606471198</v>
      </c>
      <c r="U152" s="138"/>
    </row>
    <row r="153" spans="1:23" s="157" customFormat="1" ht="15" x14ac:dyDescent="0.35">
      <c r="A153" s="144" t="s">
        <v>374</v>
      </c>
      <c r="B153" s="212">
        <f>B150*0.4016</f>
        <v>844.16320000000007</v>
      </c>
      <c r="C153" s="212">
        <f t="shared" ref="C153:M153" si="2">C150*0.4016</f>
        <v>1118.0544</v>
      </c>
      <c r="D153" s="212">
        <f t="shared" si="2"/>
        <v>1497.1648</v>
      </c>
      <c r="E153" s="212">
        <f t="shared" si="2"/>
        <v>1775.0720000000001</v>
      </c>
      <c r="F153" s="212">
        <f t="shared" si="2"/>
        <v>1126.8896</v>
      </c>
      <c r="G153" s="212">
        <f t="shared" si="2"/>
        <v>942.55520000000001</v>
      </c>
      <c r="H153" s="212">
        <f t="shared" si="2"/>
        <v>890.34720000000004</v>
      </c>
      <c r="I153" s="212">
        <f t="shared" si="2"/>
        <v>1096.7696000000001</v>
      </c>
      <c r="J153" s="212">
        <f t="shared" si="2"/>
        <v>850.99040000000002</v>
      </c>
      <c r="K153" s="212">
        <f t="shared" si="2"/>
        <v>975.08480000000009</v>
      </c>
      <c r="L153" s="212">
        <f t="shared" si="2"/>
        <v>1100.7855999999999</v>
      </c>
      <c r="M153" s="212">
        <f t="shared" si="2"/>
        <v>1097.1712</v>
      </c>
      <c r="Q153" s="143">
        <f>SUM(C153:P153)</f>
        <v>12470.884800000002</v>
      </c>
      <c r="R153" s="138"/>
      <c r="S153" s="139"/>
      <c r="T153" s="146">
        <f>Q153</f>
        <v>12470.884800000002</v>
      </c>
      <c r="U153" s="138"/>
    </row>
    <row r="154" spans="1:23" x14ac:dyDescent="0.2">
      <c r="Q154" s="139"/>
      <c r="R154" s="147"/>
      <c r="S154" s="139"/>
      <c r="T154" s="143">
        <f>SUM(T152:T153)</f>
        <v>114829.25086471198</v>
      </c>
      <c r="U154" s="138"/>
    </row>
    <row r="155" spans="1:23" ht="15" x14ac:dyDescent="0.25">
      <c r="A155" s="148" t="s">
        <v>412</v>
      </c>
    </row>
    <row r="156" spans="1:23" ht="15" x14ac:dyDescent="0.25">
      <c r="A156" s="130" t="s">
        <v>337</v>
      </c>
      <c r="B156" s="131">
        <v>41091</v>
      </c>
      <c r="C156" s="131">
        <v>41122</v>
      </c>
      <c r="D156" s="131">
        <v>41153</v>
      </c>
      <c r="E156" s="131">
        <v>41183</v>
      </c>
      <c r="F156" s="131">
        <v>41214</v>
      </c>
      <c r="G156" s="131">
        <v>41244</v>
      </c>
      <c r="H156" s="131">
        <v>41275</v>
      </c>
      <c r="I156" s="131">
        <v>41306</v>
      </c>
      <c r="J156" s="131">
        <v>41334</v>
      </c>
      <c r="K156" s="131">
        <v>41365</v>
      </c>
      <c r="L156" s="131">
        <v>41395</v>
      </c>
      <c r="M156" s="131">
        <v>41426</v>
      </c>
      <c r="Q156" s="133" t="s">
        <v>338</v>
      </c>
      <c r="R156" s="134" t="s">
        <v>339</v>
      </c>
      <c r="S156" s="132"/>
      <c r="T156" s="133" t="s">
        <v>338</v>
      </c>
      <c r="U156" s="134" t="s">
        <v>339</v>
      </c>
    </row>
    <row r="157" spans="1:23" x14ac:dyDescent="0.2">
      <c r="A157" s="238" t="s">
        <v>409</v>
      </c>
      <c r="B157" s="239">
        <f>M157</f>
        <v>47081</v>
      </c>
      <c r="C157" s="239">
        <v>30708</v>
      </c>
      <c r="D157" s="239">
        <v>65943</v>
      </c>
      <c r="E157" s="239">
        <v>66790</v>
      </c>
      <c r="F157" s="239">
        <v>53679</v>
      </c>
      <c r="G157" s="239">
        <v>46195</v>
      </c>
      <c r="H157" s="239">
        <v>47003</v>
      </c>
      <c r="I157" s="239">
        <v>49174</v>
      </c>
      <c r="J157" s="239">
        <v>48672</v>
      </c>
      <c r="K157" s="239">
        <v>56553</v>
      </c>
      <c r="L157" s="239">
        <v>53063</v>
      </c>
      <c r="M157" s="239">
        <v>47081</v>
      </c>
      <c r="Q157" s="137">
        <f>SUM(B157:M157)</f>
        <v>611942</v>
      </c>
      <c r="R157" s="138" t="s">
        <v>341</v>
      </c>
      <c r="S157" s="139"/>
      <c r="T157" s="140">
        <f>Q157*3143/1000000</f>
        <v>1923.3337059999999</v>
      </c>
      <c r="U157" s="138" t="s">
        <v>342</v>
      </c>
    </row>
    <row r="158" spans="1:23" x14ac:dyDescent="0.2">
      <c r="A158" s="238" t="s">
        <v>322</v>
      </c>
      <c r="B158" s="240">
        <f>M158</f>
        <v>8967</v>
      </c>
      <c r="C158" s="240">
        <v>139932</v>
      </c>
      <c r="D158" s="240">
        <v>165960</v>
      </c>
      <c r="E158" s="240">
        <v>181700</v>
      </c>
      <c r="F158" s="240">
        <v>181700</v>
      </c>
      <c r="G158" s="240">
        <v>181700</v>
      </c>
      <c r="H158" s="240">
        <v>110600</v>
      </c>
      <c r="I158" s="240">
        <v>174615</v>
      </c>
      <c r="J158" s="240">
        <v>106988</v>
      </c>
      <c r="K158" s="240">
        <v>194743</v>
      </c>
      <c r="L158" s="240">
        <v>103497</v>
      </c>
      <c r="M158" s="240">
        <v>8967</v>
      </c>
      <c r="Q158" s="137">
        <f>SUM(B158:M158)</f>
        <v>1559369</v>
      </c>
      <c r="R158" s="138" t="s">
        <v>346</v>
      </c>
      <c r="S158" s="139"/>
      <c r="T158" s="137">
        <f>Q158</f>
        <v>1559369</v>
      </c>
      <c r="U158" s="138" t="s">
        <v>346</v>
      </c>
    </row>
    <row r="159" spans="1:23" x14ac:dyDescent="0.2">
      <c r="A159" s="238" t="s">
        <v>347</v>
      </c>
      <c r="B159" s="142">
        <f>M159</f>
        <v>5065.92</v>
      </c>
      <c r="C159" s="142">
        <v>3239.65</v>
      </c>
      <c r="D159" s="142">
        <v>7029.52</v>
      </c>
      <c r="E159" s="142">
        <v>6819.22</v>
      </c>
      <c r="F159" s="142">
        <v>5625.51</v>
      </c>
      <c r="G159" s="142">
        <v>4905.87</v>
      </c>
      <c r="H159" s="142">
        <v>5052.83</v>
      </c>
      <c r="I159" s="142">
        <v>5217.33</v>
      </c>
      <c r="J159" s="142">
        <v>5134.88</v>
      </c>
      <c r="K159" s="142">
        <v>5887.15</v>
      </c>
      <c r="L159" s="142">
        <v>5709.58</v>
      </c>
      <c r="M159" s="142">
        <v>5065.92</v>
      </c>
      <c r="Q159" s="143">
        <f>SUM(B159:P159)</f>
        <v>64753.38</v>
      </c>
      <c r="R159" s="138"/>
      <c r="S159" s="139"/>
      <c r="T159" s="143">
        <f>Q159</f>
        <v>64753.38</v>
      </c>
      <c r="U159" s="138"/>
      <c r="W159" s="125">
        <f>Q159/Q157</f>
        <v>0.10581620480372322</v>
      </c>
    </row>
    <row r="161" spans="1:23" ht="15" x14ac:dyDescent="0.25">
      <c r="A161" s="148" t="s">
        <v>413</v>
      </c>
    </row>
    <row r="162" spans="1:23" ht="15" x14ac:dyDescent="0.25">
      <c r="A162" s="130" t="s">
        <v>337</v>
      </c>
      <c r="B162" s="131">
        <v>41091</v>
      </c>
      <c r="C162" s="131">
        <v>41122</v>
      </c>
      <c r="D162" s="131">
        <v>41153</v>
      </c>
      <c r="E162" s="131">
        <v>41183</v>
      </c>
      <c r="F162" s="131">
        <v>41214</v>
      </c>
      <c r="G162" s="131">
        <v>41244</v>
      </c>
      <c r="H162" s="131">
        <v>41275</v>
      </c>
      <c r="I162" s="131">
        <v>41306</v>
      </c>
      <c r="J162" s="131">
        <v>41334</v>
      </c>
      <c r="K162" s="131">
        <v>41365</v>
      </c>
      <c r="L162" s="131">
        <v>41395</v>
      </c>
      <c r="M162" s="131">
        <v>41426</v>
      </c>
      <c r="Q162" s="133" t="s">
        <v>338</v>
      </c>
      <c r="R162" s="134" t="s">
        <v>339</v>
      </c>
      <c r="S162" s="132"/>
      <c r="T162" s="133" t="s">
        <v>338</v>
      </c>
      <c r="U162" s="134" t="s">
        <v>339</v>
      </c>
    </row>
    <row r="163" spans="1:23" x14ac:dyDescent="0.2">
      <c r="A163" s="238" t="s">
        <v>409</v>
      </c>
      <c r="B163" s="239">
        <v>54336</v>
      </c>
      <c r="C163" s="239">
        <v>58368</v>
      </c>
      <c r="D163" s="239">
        <v>53952</v>
      </c>
      <c r="E163" s="239">
        <v>53376</v>
      </c>
      <c r="F163" s="239">
        <v>45888</v>
      </c>
      <c r="G163" s="239">
        <v>48576</v>
      </c>
      <c r="H163" s="239">
        <v>46848</v>
      </c>
      <c r="I163" s="239">
        <v>58752</v>
      </c>
      <c r="J163" s="239">
        <v>55296</v>
      </c>
      <c r="K163" s="239">
        <v>53376</v>
      </c>
      <c r="L163" s="239">
        <v>50304</v>
      </c>
      <c r="M163" s="239">
        <v>52800</v>
      </c>
      <c r="Q163" s="137">
        <f>SUM(B163:M163)</f>
        <v>631872</v>
      </c>
      <c r="R163" s="138" t="s">
        <v>341</v>
      </c>
      <c r="S163" s="139"/>
      <c r="T163" s="140">
        <f>Q163*3143/1000000</f>
        <v>1985.973696</v>
      </c>
      <c r="U163" s="138" t="s">
        <v>342</v>
      </c>
    </row>
    <row r="164" spans="1:23" x14ac:dyDescent="0.2">
      <c r="A164" s="238" t="s">
        <v>322</v>
      </c>
      <c r="B164" s="240">
        <v>4943.6499999999996</v>
      </c>
      <c r="C164" s="240">
        <v>6841.98</v>
      </c>
      <c r="D164" s="240">
        <v>6520.6</v>
      </c>
      <c r="E164" s="240">
        <v>6752.78</v>
      </c>
      <c r="F164" s="240">
        <v>5081.8999999999996</v>
      </c>
      <c r="G164" s="240">
        <v>2234.21</v>
      </c>
      <c r="H164" s="240">
        <v>3043.51</v>
      </c>
      <c r="I164" s="240">
        <v>4648</v>
      </c>
      <c r="J164" s="240">
        <v>3766.27</v>
      </c>
      <c r="K164" s="240">
        <v>6580.2</v>
      </c>
      <c r="L164" s="240">
        <v>4356.57</v>
      </c>
      <c r="M164" s="240">
        <v>5399.32</v>
      </c>
      <c r="Q164" s="137">
        <f>SUM(B164:M164)</f>
        <v>60168.989999999991</v>
      </c>
      <c r="R164" s="138" t="s">
        <v>346</v>
      </c>
      <c r="S164" s="139"/>
      <c r="T164" s="137">
        <f>Q164</f>
        <v>60168.989999999991</v>
      </c>
      <c r="U164" s="138" t="s">
        <v>346</v>
      </c>
    </row>
    <row r="165" spans="1:23" x14ac:dyDescent="0.2">
      <c r="A165" s="238" t="s">
        <v>347</v>
      </c>
      <c r="B165" s="142">
        <v>6578.89</v>
      </c>
      <c r="C165" s="142">
        <v>7712.48</v>
      </c>
      <c r="D165" s="142">
        <v>6939.67</v>
      </c>
      <c r="E165" s="142">
        <v>6326.58</v>
      </c>
      <c r="F165" s="142">
        <v>5448.14</v>
      </c>
      <c r="G165" s="142">
        <v>5286.63</v>
      </c>
      <c r="H165" s="142">
        <v>5312.63</v>
      </c>
      <c r="I165" s="142">
        <v>7388.65</v>
      </c>
      <c r="J165" s="142">
        <v>6443.39</v>
      </c>
      <c r="K165" s="142">
        <v>6751.35</v>
      </c>
      <c r="L165" s="142">
        <v>6442.57</v>
      </c>
      <c r="M165" s="142">
        <v>6710.76</v>
      </c>
      <c r="Q165" s="143">
        <f>SUM(B165:P165)</f>
        <v>77341.739999999991</v>
      </c>
      <c r="R165" s="138"/>
      <c r="S165" s="139"/>
      <c r="T165" s="143">
        <f>Q165</f>
        <v>77341.739999999991</v>
      </c>
      <c r="U165" s="138"/>
      <c r="W165" s="125">
        <f>Q165/Q163</f>
        <v>0.12240096095411727</v>
      </c>
    </row>
    <row r="167" spans="1:23" ht="15" x14ac:dyDescent="0.25">
      <c r="A167" s="359" t="s">
        <v>359</v>
      </c>
      <c r="B167" s="360"/>
      <c r="C167" s="360"/>
      <c r="D167" s="360"/>
      <c r="E167" s="360"/>
      <c r="F167" s="360"/>
      <c r="G167" s="360"/>
      <c r="H167" s="360"/>
      <c r="I167" s="360"/>
      <c r="J167" s="360"/>
      <c r="K167" s="360"/>
      <c r="L167" s="360"/>
      <c r="M167" s="360"/>
      <c r="N167" s="360"/>
      <c r="O167" s="360"/>
      <c r="P167" s="360"/>
      <c r="Q167" s="361"/>
      <c r="R167" s="362"/>
      <c r="S167" s="361"/>
      <c r="T167" s="363"/>
      <c r="U167" s="364"/>
    </row>
    <row r="168" spans="1:23" ht="15" x14ac:dyDescent="0.25">
      <c r="A168" s="365" t="s">
        <v>337</v>
      </c>
      <c r="B168" s="366"/>
      <c r="C168" s="367">
        <v>41122</v>
      </c>
      <c r="D168" s="367">
        <v>41153</v>
      </c>
      <c r="E168" s="367">
        <v>41183</v>
      </c>
      <c r="F168" s="367">
        <v>41214</v>
      </c>
      <c r="G168" s="367">
        <v>41244</v>
      </c>
      <c r="H168" s="367">
        <v>41275</v>
      </c>
      <c r="I168" s="367">
        <v>41306</v>
      </c>
      <c r="J168" s="367">
        <v>41334</v>
      </c>
      <c r="K168" s="367">
        <v>41365</v>
      </c>
      <c r="L168" s="367">
        <v>41395</v>
      </c>
      <c r="M168" s="367">
        <v>41426</v>
      </c>
      <c r="N168" s="367">
        <v>41456</v>
      </c>
      <c r="O168" s="368"/>
      <c r="P168" s="368"/>
      <c r="Q168" s="369" t="s">
        <v>338</v>
      </c>
      <c r="R168" s="370" t="s">
        <v>339</v>
      </c>
      <c r="S168" s="368"/>
      <c r="T168" s="369" t="s">
        <v>338</v>
      </c>
      <c r="U168" s="370" t="s">
        <v>339</v>
      </c>
    </row>
    <row r="169" spans="1:23" x14ac:dyDescent="0.2">
      <c r="A169" s="371" t="s">
        <v>360</v>
      </c>
      <c r="B169" s="360"/>
      <c r="C169" s="372">
        <v>58922</v>
      </c>
      <c r="D169" s="372">
        <v>64433</v>
      </c>
      <c r="E169" s="372">
        <v>27834</v>
      </c>
      <c r="F169" s="372">
        <v>43379</v>
      </c>
      <c r="G169" s="372">
        <v>52554</v>
      </c>
      <c r="H169" s="372">
        <v>65640</v>
      </c>
      <c r="I169" s="372">
        <v>42990</v>
      </c>
      <c r="J169" s="372">
        <v>64258</v>
      </c>
      <c r="K169" s="372">
        <v>68459</v>
      </c>
      <c r="L169" s="372">
        <v>59732</v>
      </c>
      <c r="M169" s="372">
        <v>31392</v>
      </c>
      <c r="N169" s="372">
        <v>60060</v>
      </c>
      <c r="O169" s="360"/>
      <c r="P169" s="360"/>
      <c r="Q169" s="373">
        <v>639653</v>
      </c>
      <c r="R169" s="374" t="s">
        <v>361</v>
      </c>
      <c r="S169" s="361"/>
      <c r="T169" s="372">
        <v>2010.4293789999999</v>
      </c>
      <c r="U169" s="374" t="s">
        <v>497</v>
      </c>
    </row>
    <row r="170" spans="1:23" x14ac:dyDescent="0.2">
      <c r="A170" s="371" t="s">
        <v>362</v>
      </c>
      <c r="B170" s="360"/>
      <c r="C170" s="372">
        <v>606.80999999999995</v>
      </c>
      <c r="D170" s="372">
        <v>560.77</v>
      </c>
      <c r="E170" s="372">
        <v>299.08</v>
      </c>
      <c r="F170" s="372">
        <v>141.46</v>
      </c>
      <c r="G170" s="372">
        <v>129.51</v>
      </c>
      <c r="H170" s="372">
        <v>135.82</v>
      </c>
      <c r="I170" s="372">
        <v>154.11000000000001</v>
      </c>
      <c r="J170" s="372">
        <v>97.66</v>
      </c>
      <c r="K170" s="372">
        <v>268.74</v>
      </c>
      <c r="L170" s="372">
        <v>331.86</v>
      </c>
      <c r="M170" s="372">
        <v>715.98</v>
      </c>
      <c r="N170" s="372">
        <v>1017.16</v>
      </c>
      <c r="O170" s="360"/>
      <c r="P170" s="360"/>
      <c r="Q170" s="373">
        <v>4458.96</v>
      </c>
      <c r="R170" s="374" t="s">
        <v>363</v>
      </c>
      <c r="S170" s="361"/>
      <c r="T170" s="375">
        <v>4458.96</v>
      </c>
      <c r="U170" s="374" t="s">
        <v>497</v>
      </c>
    </row>
    <row r="171" spans="1:23" x14ac:dyDescent="0.2">
      <c r="A171" s="371" t="s">
        <v>364</v>
      </c>
      <c r="B171" s="376" t="s">
        <v>351</v>
      </c>
      <c r="C171" s="372">
        <v>25.08</v>
      </c>
      <c r="D171" s="372">
        <v>25</v>
      </c>
      <c r="E171" s="372">
        <v>67.5</v>
      </c>
      <c r="F171" s="372">
        <v>158</v>
      </c>
      <c r="G171" s="372">
        <v>364</v>
      </c>
      <c r="H171" s="372">
        <v>464</v>
      </c>
      <c r="I171" s="372">
        <v>125.83</v>
      </c>
      <c r="J171" s="372">
        <v>489</v>
      </c>
      <c r="K171" s="372">
        <v>451</v>
      </c>
      <c r="L171" s="372">
        <v>178.33</v>
      </c>
      <c r="M171" s="372">
        <v>174</v>
      </c>
      <c r="N171" s="372">
        <v>174</v>
      </c>
      <c r="O171" s="360"/>
      <c r="P171" s="360"/>
      <c r="Q171" s="377">
        <v>2695.74</v>
      </c>
      <c r="R171" s="378" t="s">
        <v>365</v>
      </c>
      <c r="S171" s="379"/>
      <c r="T171" s="380">
        <v>2695.74</v>
      </c>
      <c r="U171" s="378" t="s">
        <v>497</v>
      </c>
      <c r="W171" s="427">
        <f>T169+T170+T171</f>
        <v>9165.129379</v>
      </c>
    </row>
    <row r="172" spans="1:23" x14ac:dyDescent="0.2">
      <c r="A172" s="381" t="s">
        <v>366</v>
      </c>
      <c r="B172" s="382"/>
      <c r="C172" s="383">
        <v>2917.67</v>
      </c>
      <c r="D172" s="384">
        <v>1691.9</v>
      </c>
      <c r="E172" s="384">
        <v>3271.34</v>
      </c>
      <c r="F172" s="384">
        <v>2003.71</v>
      </c>
      <c r="G172" s="384">
        <v>4794.5200000000004</v>
      </c>
      <c r="H172" s="384">
        <v>1859.64</v>
      </c>
      <c r="I172" s="385">
        <v>2031.25</v>
      </c>
      <c r="J172" s="385">
        <v>3090.73</v>
      </c>
      <c r="K172" s="385">
        <v>2363.0300000000002</v>
      </c>
      <c r="L172" s="385">
        <v>959.48</v>
      </c>
      <c r="M172" s="385">
        <v>2798.29</v>
      </c>
      <c r="N172" s="385">
        <v>3467.83</v>
      </c>
      <c r="O172" s="382"/>
      <c r="P172" s="382"/>
      <c r="Q172" s="386">
        <v>31249.39</v>
      </c>
      <c r="R172" s="378" t="s">
        <v>367</v>
      </c>
      <c r="S172" s="379"/>
      <c r="T172" s="380">
        <v>233745.43720000001</v>
      </c>
      <c r="U172" s="378" t="s">
        <v>346</v>
      </c>
    </row>
    <row r="173" spans="1:23" x14ac:dyDescent="0.2">
      <c r="A173" s="371" t="s">
        <v>368</v>
      </c>
      <c r="B173" s="360"/>
      <c r="C173" s="387">
        <v>4949.45</v>
      </c>
      <c r="D173" s="387">
        <v>5412.37</v>
      </c>
      <c r="E173" s="387">
        <v>2338.06</v>
      </c>
      <c r="F173" s="387">
        <v>3643.84</v>
      </c>
      <c r="G173" s="387">
        <v>4414.54</v>
      </c>
      <c r="H173" s="387">
        <v>5513.76</v>
      </c>
      <c r="I173" s="387">
        <v>3611.16</v>
      </c>
      <c r="J173" s="387">
        <v>5397.67</v>
      </c>
      <c r="K173" s="387">
        <v>5750.56</v>
      </c>
      <c r="L173" s="387">
        <v>5017.49</v>
      </c>
      <c r="M173" s="387">
        <v>2636.93</v>
      </c>
      <c r="N173" s="387">
        <v>5225.22</v>
      </c>
      <c r="O173" s="360"/>
      <c r="P173" s="360"/>
      <c r="Q173" s="388">
        <v>53911.049999999996</v>
      </c>
      <c r="R173" s="374"/>
      <c r="S173" s="361"/>
      <c r="T173" s="388">
        <v>53911.049999999996</v>
      </c>
      <c r="U173" s="374"/>
    </row>
    <row r="174" spans="1:23" x14ac:dyDescent="0.2">
      <c r="A174" s="371" t="s">
        <v>369</v>
      </c>
      <c r="B174" s="360"/>
      <c r="C174" s="387">
        <v>8325.43</v>
      </c>
      <c r="D174" s="387">
        <v>7693.76</v>
      </c>
      <c r="E174" s="387">
        <v>4103.38</v>
      </c>
      <c r="F174" s="387">
        <v>1940.83</v>
      </c>
      <c r="G174" s="387">
        <v>1776.88</v>
      </c>
      <c r="H174" s="387">
        <v>1863.45</v>
      </c>
      <c r="I174" s="387">
        <v>2114.39</v>
      </c>
      <c r="J174" s="387">
        <v>1339.9</v>
      </c>
      <c r="K174" s="387">
        <v>3687.11</v>
      </c>
      <c r="L174" s="387">
        <v>4553.12</v>
      </c>
      <c r="M174" s="387">
        <v>9823.25</v>
      </c>
      <c r="N174" s="387">
        <v>13945.26</v>
      </c>
      <c r="O174" s="360"/>
      <c r="P174" s="360"/>
      <c r="Q174" s="388">
        <v>61166.760000000009</v>
      </c>
      <c r="R174" s="374"/>
      <c r="S174" s="361"/>
      <c r="T174" s="388">
        <v>61166.760000000009</v>
      </c>
      <c r="U174" s="374"/>
    </row>
    <row r="175" spans="1:23" ht="16.5" x14ac:dyDescent="0.35">
      <c r="A175" s="371" t="s">
        <v>326</v>
      </c>
      <c r="B175" s="376" t="s">
        <v>351</v>
      </c>
      <c r="C175" s="387">
        <v>345</v>
      </c>
      <c r="D175" s="387">
        <v>344</v>
      </c>
      <c r="E175" s="387">
        <v>930.87</v>
      </c>
      <c r="F175" s="387">
        <v>2183.37</v>
      </c>
      <c r="G175" s="387">
        <v>5019.5600000000004</v>
      </c>
      <c r="H175" s="387">
        <v>6398.56</v>
      </c>
      <c r="I175" s="387">
        <v>1735.2</v>
      </c>
      <c r="J175" s="387">
        <v>6743.31</v>
      </c>
      <c r="K175" s="387">
        <v>6219.29</v>
      </c>
      <c r="L175" s="387">
        <v>2459.17</v>
      </c>
      <c r="M175" s="387">
        <v>2401.8000000000002</v>
      </c>
      <c r="N175" s="387">
        <v>2511.5300000000002</v>
      </c>
      <c r="O175" s="360"/>
      <c r="P175" s="360"/>
      <c r="Q175" s="388">
        <v>37291.660000000003</v>
      </c>
      <c r="R175" s="374"/>
      <c r="S175" s="361"/>
      <c r="T175" s="389">
        <v>37291.660000000003</v>
      </c>
      <c r="U175" s="374"/>
    </row>
    <row r="176" spans="1:23" x14ac:dyDescent="0.2">
      <c r="A176" s="360"/>
      <c r="B176" s="360" t="s">
        <v>370</v>
      </c>
      <c r="C176" s="360"/>
      <c r="D176" s="360"/>
      <c r="E176" s="360"/>
      <c r="F176" s="360"/>
      <c r="G176" s="360"/>
      <c r="H176" s="360"/>
      <c r="I176" s="360"/>
      <c r="J176" s="360"/>
      <c r="K176" s="360"/>
      <c r="L176" s="360"/>
      <c r="M176" s="360"/>
      <c r="N176" s="360"/>
      <c r="O176" s="360"/>
      <c r="P176" s="360"/>
      <c r="Q176" s="361"/>
      <c r="R176" s="362"/>
      <c r="S176" s="361"/>
      <c r="T176" s="388">
        <v>152369.47</v>
      </c>
      <c r="U176" s="364"/>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2"/>
  <sheetViews>
    <sheetView zoomScale="69" zoomScaleNormal="69" workbookViewId="0">
      <selection activeCell="E206" sqref="E206:E207"/>
    </sheetView>
  </sheetViews>
  <sheetFormatPr defaultRowHeight="12.75" x14ac:dyDescent="0.2"/>
  <cols>
    <col min="1" max="1" width="17.7109375" customWidth="1"/>
    <col min="2" max="2" width="10" bestFit="1" customWidth="1"/>
    <col min="3" max="3" width="9.5703125" customWidth="1"/>
    <col min="4" max="6" width="10" bestFit="1" customWidth="1"/>
    <col min="7" max="12" width="9" bestFit="1" customWidth="1"/>
    <col min="13" max="13" width="9.85546875" bestFit="1" customWidth="1"/>
    <col min="14" max="14" width="10" bestFit="1" customWidth="1"/>
    <col min="20" max="20" width="10" bestFit="1" customWidth="1"/>
  </cols>
  <sheetData>
    <row r="1" spans="1:16" x14ac:dyDescent="0.2">
      <c r="A1" s="340" t="s">
        <v>469</v>
      </c>
    </row>
    <row r="2" spans="1:16" s="94" customFormat="1" ht="15.75" x14ac:dyDescent="0.25">
      <c r="A2" s="90" t="s">
        <v>318</v>
      </c>
      <c r="B2" s="91">
        <v>41122</v>
      </c>
      <c r="C2" s="91">
        <v>41153</v>
      </c>
      <c r="D2" s="91">
        <v>41183</v>
      </c>
      <c r="E2" s="91">
        <v>41214</v>
      </c>
      <c r="F2" s="91">
        <v>41244</v>
      </c>
      <c r="G2" s="91">
        <v>41275</v>
      </c>
      <c r="H2" s="91">
        <v>41306</v>
      </c>
      <c r="I2" s="91">
        <v>41334</v>
      </c>
      <c r="J2" s="91">
        <v>41365</v>
      </c>
      <c r="K2" s="91">
        <v>41395</v>
      </c>
      <c r="L2" s="91">
        <v>41426</v>
      </c>
      <c r="M2" s="91">
        <v>41456</v>
      </c>
      <c r="N2" s="92">
        <v>41487</v>
      </c>
      <c r="O2" s="93"/>
    </row>
    <row r="4" spans="1:16" x14ac:dyDescent="0.2">
      <c r="A4" s="95" t="s">
        <v>319</v>
      </c>
      <c r="B4" s="96">
        <v>20647</v>
      </c>
      <c r="C4" s="96">
        <v>27314</v>
      </c>
      <c r="D4" s="96">
        <v>25544</v>
      </c>
      <c r="E4" s="96">
        <v>24015</v>
      </c>
      <c r="F4" s="96">
        <v>22868</v>
      </c>
      <c r="G4" s="96">
        <v>23105</v>
      </c>
      <c r="H4" s="96">
        <v>23733</v>
      </c>
      <c r="I4" s="96">
        <v>27737</v>
      </c>
      <c r="J4" s="96">
        <v>26171</v>
      </c>
      <c r="K4" s="96">
        <v>20858</v>
      </c>
      <c r="L4" s="96">
        <v>15845</v>
      </c>
      <c r="M4" s="96">
        <v>17235</v>
      </c>
      <c r="N4" s="97">
        <v>25624</v>
      </c>
      <c r="O4" s="98"/>
    </row>
    <row r="5" spans="1:16" x14ac:dyDescent="0.2">
      <c r="A5" s="95" t="s">
        <v>320</v>
      </c>
      <c r="B5" s="99" t="s">
        <v>321</v>
      </c>
      <c r="C5" s="99" t="s">
        <v>321</v>
      </c>
      <c r="D5" s="100">
        <v>18300</v>
      </c>
      <c r="E5" s="100">
        <v>19250</v>
      </c>
      <c r="F5" s="96">
        <v>17900</v>
      </c>
      <c r="G5" s="96">
        <v>11890</v>
      </c>
      <c r="H5" s="96">
        <v>141540</v>
      </c>
      <c r="I5" s="96">
        <v>32580</v>
      </c>
      <c r="J5" s="96">
        <v>22660</v>
      </c>
      <c r="K5" s="96">
        <v>7410</v>
      </c>
      <c r="L5" s="96">
        <v>4190</v>
      </c>
      <c r="M5" s="96">
        <v>4430</v>
      </c>
      <c r="N5" s="97">
        <v>10070</v>
      </c>
      <c r="O5" s="98"/>
    </row>
    <row r="6" spans="1:16" x14ac:dyDescent="0.2">
      <c r="A6" s="95" t="s">
        <v>322</v>
      </c>
      <c r="B6" s="101">
        <v>75800</v>
      </c>
      <c r="C6" s="101">
        <v>59000</v>
      </c>
      <c r="D6" s="101">
        <v>52500</v>
      </c>
      <c r="E6" s="101">
        <v>41800</v>
      </c>
      <c r="F6" s="101">
        <v>18800</v>
      </c>
      <c r="G6" s="101">
        <v>38400</v>
      </c>
      <c r="H6" s="101">
        <v>48900</v>
      </c>
      <c r="I6" s="101">
        <v>42800</v>
      </c>
      <c r="J6" s="101">
        <v>48800</v>
      </c>
      <c r="K6" s="101">
        <v>12500</v>
      </c>
      <c r="L6" s="101">
        <v>900</v>
      </c>
      <c r="M6" s="101">
        <v>500</v>
      </c>
      <c r="N6" s="102">
        <v>38300</v>
      </c>
      <c r="O6" s="103"/>
    </row>
    <row r="7" spans="1:16" s="106" customFormat="1" x14ac:dyDescent="0.2">
      <c r="A7" s="104" t="s">
        <v>323</v>
      </c>
      <c r="B7" s="99" t="s">
        <v>321</v>
      </c>
      <c r="C7" s="105">
        <v>24100</v>
      </c>
      <c r="D7" s="105">
        <v>25800</v>
      </c>
      <c r="E7" s="105">
        <v>6300</v>
      </c>
      <c r="F7" s="105">
        <v>8700</v>
      </c>
      <c r="G7" s="105">
        <v>6800</v>
      </c>
      <c r="H7" s="105">
        <v>7100</v>
      </c>
      <c r="I7" s="105">
        <v>8800</v>
      </c>
      <c r="J7" s="105">
        <v>15000</v>
      </c>
      <c r="K7" s="105">
        <v>17000</v>
      </c>
      <c r="L7" s="105">
        <v>20000</v>
      </c>
      <c r="M7" s="105">
        <v>24000</v>
      </c>
      <c r="N7" s="105">
        <v>26000</v>
      </c>
    </row>
    <row r="8" spans="1:16" x14ac:dyDescent="0.2">
      <c r="A8" s="107"/>
      <c r="B8" s="108"/>
      <c r="C8" s="108"/>
      <c r="D8" s="108"/>
      <c r="E8" s="108"/>
      <c r="F8" s="108"/>
      <c r="G8" s="108"/>
      <c r="H8" s="108"/>
      <c r="I8" s="108"/>
      <c r="J8" s="108"/>
      <c r="K8" s="108"/>
      <c r="L8" s="108"/>
      <c r="M8" s="108"/>
      <c r="N8" s="108"/>
    </row>
    <row r="9" spans="1:16" x14ac:dyDescent="0.2">
      <c r="A9" s="95" t="s">
        <v>324</v>
      </c>
      <c r="B9" s="109">
        <v>1492.33</v>
      </c>
      <c r="C9" s="109">
        <v>1978.29</v>
      </c>
      <c r="D9" s="109">
        <v>1669.48</v>
      </c>
      <c r="E9" s="109">
        <v>1379.69</v>
      </c>
      <c r="F9" s="109">
        <v>1402.35</v>
      </c>
      <c r="G9" s="109">
        <v>1447.58</v>
      </c>
      <c r="H9" s="109">
        <v>1445.74</v>
      </c>
      <c r="I9" s="109">
        <v>1720.97</v>
      </c>
      <c r="J9" s="109">
        <v>1579.63</v>
      </c>
      <c r="K9" s="109">
        <v>1250.45</v>
      </c>
      <c r="L9" s="109">
        <v>1069.96</v>
      </c>
      <c r="M9" s="109">
        <v>1240.8599999999999</v>
      </c>
      <c r="N9" s="110">
        <v>1819.24</v>
      </c>
      <c r="O9" s="111"/>
    </row>
    <row r="10" spans="1:16" x14ac:dyDescent="0.2">
      <c r="A10" s="112" t="s">
        <v>325</v>
      </c>
      <c r="B10" s="113">
        <v>533.15</v>
      </c>
      <c r="C10" s="113">
        <v>414.05</v>
      </c>
      <c r="D10" s="113">
        <v>368.43</v>
      </c>
      <c r="E10" s="113">
        <v>293.33999999999997</v>
      </c>
      <c r="F10" s="113">
        <v>131.93</v>
      </c>
      <c r="G10" s="113">
        <v>269.48</v>
      </c>
      <c r="H10" s="113">
        <v>343.17</v>
      </c>
      <c r="I10" s="113">
        <v>303.02</v>
      </c>
      <c r="J10" s="113">
        <v>345.5</v>
      </c>
      <c r="K10" s="113">
        <v>88.5</v>
      </c>
      <c r="L10" s="113">
        <v>6.37</v>
      </c>
      <c r="M10" s="113">
        <v>3.54</v>
      </c>
      <c r="N10" s="114">
        <v>271.16000000000003</v>
      </c>
      <c r="O10" s="115"/>
      <c r="P10" s="116"/>
    </row>
    <row r="11" spans="1:16" s="120" customFormat="1" x14ac:dyDescent="0.2">
      <c r="A11" s="117" t="s">
        <v>326</v>
      </c>
      <c r="B11" s="99" t="s">
        <v>321</v>
      </c>
      <c r="C11" s="99" t="s">
        <v>321</v>
      </c>
      <c r="D11" s="118">
        <v>142.99</v>
      </c>
      <c r="E11" s="118">
        <v>150.41</v>
      </c>
      <c r="F11" s="119">
        <v>139.86000000000001</v>
      </c>
      <c r="G11" s="119">
        <v>92.9</v>
      </c>
      <c r="H11" s="119">
        <v>1105.93</v>
      </c>
      <c r="I11" s="119">
        <v>254.56</v>
      </c>
      <c r="J11" s="119">
        <v>177.05</v>
      </c>
      <c r="K11" s="119">
        <v>57.9</v>
      </c>
      <c r="L11" s="119">
        <v>32.74</v>
      </c>
      <c r="M11" s="119">
        <v>34.619999999999997</v>
      </c>
      <c r="N11" s="119">
        <v>78.680000000000007</v>
      </c>
    </row>
    <row r="12" spans="1:16" x14ac:dyDescent="0.2">
      <c r="B12" s="108"/>
      <c r="C12" s="108"/>
      <c r="D12" s="108"/>
      <c r="E12" s="108"/>
      <c r="F12" s="108"/>
      <c r="G12" s="108"/>
      <c r="H12" s="108"/>
      <c r="I12" s="108"/>
      <c r="J12" s="108"/>
      <c r="K12" s="108"/>
      <c r="L12" s="108"/>
      <c r="M12" s="108"/>
      <c r="N12" s="108"/>
    </row>
    <row r="13" spans="1:16" s="94" customFormat="1" ht="15.75" x14ac:dyDescent="0.25">
      <c r="A13" s="90" t="s">
        <v>327</v>
      </c>
      <c r="B13" s="91">
        <v>41122</v>
      </c>
      <c r="C13" s="91">
        <v>41153</v>
      </c>
      <c r="D13" s="91">
        <v>41183</v>
      </c>
      <c r="E13" s="91">
        <v>41214</v>
      </c>
      <c r="F13" s="91">
        <v>41244</v>
      </c>
      <c r="G13" s="91">
        <v>41275</v>
      </c>
      <c r="H13" s="91">
        <v>41306</v>
      </c>
      <c r="I13" s="91">
        <v>41334</v>
      </c>
      <c r="J13" s="91">
        <v>41365</v>
      </c>
      <c r="K13" s="91">
        <v>41395</v>
      </c>
      <c r="L13" s="91">
        <v>41426</v>
      </c>
      <c r="M13" s="91">
        <v>41456</v>
      </c>
      <c r="N13" s="92">
        <v>41487</v>
      </c>
      <c r="O13" s="93"/>
    </row>
    <row r="14" spans="1:16" x14ac:dyDescent="0.2">
      <c r="B14" s="108"/>
      <c r="C14" s="108"/>
      <c r="D14" s="108"/>
      <c r="E14" s="108"/>
      <c r="F14" s="108"/>
      <c r="G14" s="108"/>
      <c r="H14" s="108"/>
      <c r="I14" s="108"/>
      <c r="J14" s="108"/>
      <c r="K14" s="108"/>
      <c r="L14" s="108"/>
      <c r="M14" s="108"/>
      <c r="N14" s="108"/>
    </row>
    <row r="15" spans="1:16" x14ac:dyDescent="0.2">
      <c r="A15" s="95" t="s">
        <v>319</v>
      </c>
      <c r="B15" s="96">
        <v>20088</v>
      </c>
      <c r="C15" s="96">
        <v>26275</v>
      </c>
      <c r="D15" s="96">
        <v>25135</v>
      </c>
      <c r="E15" s="96">
        <v>23402</v>
      </c>
      <c r="F15" s="96">
        <v>23069</v>
      </c>
      <c r="G15" s="96">
        <v>23260</v>
      </c>
      <c r="H15" s="96">
        <v>23590</v>
      </c>
      <c r="I15" s="96">
        <v>25880</v>
      </c>
      <c r="J15" s="96">
        <v>26283</v>
      </c>
      <c r="K15" s="96">
        <v>19119</v>
      </c>
      <c r="L15" s="96">
        <v>15390</v>
      </c>
      <c r="M15" s="96">
        <v>16654</v>
      </c>
      <c r="N15" s="97">
        <v>24291</v>
      </c>
      <c r="O15" s="98"/>
    </row>
    <row r="16" spans="1:16" x14ac:dyDescent="0.2">
      <c r="A16" s="95" t="s">
        <v>320</v>
      </c>
      <c r="B16" s="99" t="s">
        <v>321</v>
      </c>
      <c r="C16" s="99" t="s">
        <v>321</v>
      </c>
      <c r="D16" s="100">
        <v>55500</v>
      </c>
      <c r="E16" s="100">
        <v>59890</v>
      </c>
      <c r="F16" s="96">
        <v>100570</v>
      </c>
      <c r="G16" s="96">
        <v>91070</v>
      </c>
      <c r="H16" s="96">
        <v>68930</v>
      </c>
      <c r="I16" s="96">
        <v>135630</v>
      </c>
      <c r="J16" s="96">
        <v>76900</v>
      </c>
      <c r="K16" s="96">
        <v>36950</v>
      </c>
      <c r="L16" s="96">
        <v>3850</v>
      </c>
      <c r="M16" s="96">
        <v>4080</v>
      </c>
      <c r="N16" s="97">
        <v>9780</v>
      </c>
      <c r="O16" s="98"/>
    </row>
    <row r="17" spans="1:16" x14ac:dyDescent="0.2">
      <c r="A17" s="95" t="s">
        <v>322</v>
      </c>
      <c r="B17" s="101">
        <v>30532</v>
      </c>
      <c r="C17" s="101">
        <v>60900</v>
      </c>
      <c r="D17" s="101">
        <v>53000</v>
      </c>
      <c r="E17" s="101">
        <v>44200</v>
      </c>
      <c r="F17" s="101">
        <v>22000</v>
      </c>
      <c r="G17" s="101">
        <v>39500</v>
      </c>
      <c r="H17" s="101">
        <v>50000</v>
      </c>
      <c r="I17" s="101">
        <v>44700</v>
      </c>
      <c r="J17" s="101">
        <v>57000</v>
      </c>
      <c r="K17" s="101">
        <v>14300</v>
      </c>
      <c r="L17" s="101">
        <v>700</v>
      </c>
      <c r="M17" s="101">
        <v>400</v>
      </c>
      <c r="N17" s="102">
        <v>34000</v>
      </c>
      <c r="O17" s="103"/>
    </row>
    <row r="18" spans="1:16" s="106" customFormat="1" x14ac:dyDescent="0.2">
      <c r="A18" s="104" t="s">
        <v>323</v>
      </c>
      <c r="B18" s="99" t="s">
        <v>321</v>
      </c>
      <c r="C18" s="105">
        <v>11000</v>
      </c>
      <c r="D18" s="105">
        <v>28000</v>
      </c>
      <c r="E18" s="105">
        <v>12000</v>
      </c>
      <c r="F18" s="105">
        <v>14000</v>
      </c>
      <c r="G18" s="105">
        <v>10000</v>
      </c>
      <c r="H18" s="105">
        <v>9000</v>
      </c>
      <c r="I18" s="105">
        <v>12000</v>
      </c>
      <c r="J18" s="105">
        <v>15000</v>
      </c>
      <c r="K18" s="105">
        <v>14000</v>
      </c>
      <c r="L18" s="105">
        <v>20000</v>
      </c>
      <c r="M18" s="105">
        <v>25000</v>
      </c>
      <c r="N18" s="105">
        <v>25000</v>
      </c>
    </row>
    <row r="19" spans="1:16" x14ac:dyDescent="0.2">
      <c r="A19" s="107"/>
      <c r="B19" s="108"/>
      <c r="C19" s="108"/>
      <c r="D19" s="108"/>
      <c r="E19" s="108"/>
      <c r="F19" s="108"/>
      <c r="G19" s="108"/>
      <c r="H19" s="108"/>
      <c r="I19" s="108"/>
      <c r="J19" s="108"/>
      <c r="K19" s="108"/>
      <c r="L19" s="108"/>
      <c r="M19" s="108"/>
      <c r="N19" s="108"/>
    </row>
    <row r="20" spans="1:16" x14ac:dyDescent="0.2">
      <c r="A20" s="95" t="s">
        <v>324</v>
      </c>
      <c r="B20" s="109">
        <v>1451.93</v>
      </c>
      <c r="C20" s="109">
        <v>1903.04</v>
      </c>
      <c r="D20" s="109">
        <v>1642.95</v>
      </c>
      <c r="E20" s="109">
        <v>1334.47</v>
      </c>
      <c r="F20" s="109">
        <v>1414.68</v>
      </c>
      <c r="G20" s="109">
        <v>1457.3</v>
      </c>
      <c r="H20" s="109">
        <v>1437.03</v>
      </c>
      <c r="I20" s="109">
        <v>1605.75</v>
      </c>
      <c r="J20" s="109">
        <v>1586.39</v>
      </c>
      <c r="K20" s="109">
        <v>1146.19</v>
      </c>
      <c r="L20" s="109">
        <v>1039.24</v>
      </c>
      <c r="M20" s="109">
        <v>1199.03</v>
      </c>
      <c r="N20" s="110">
        <v>1724.6</v>
      </c>
      <c r="O20" s="111"/>
    </row>
    <row r="21" spans="1:16" x14ac:dyDescent="0.2">
      <c r="A21" s="112" t="s">
        <v>328</v>
      </c>
      <c r="B21" s="113">
        <v>214.27</v>
      </c>
      <c r="C21" s="113">
        <v>427.38</v>
      </c>
      <c r="D21" s="113">
        <v>371.94</v>
      </c>
      <c r="E21" s="113">
        <v>310.19</v>
      </c>
      <c r="F21" s="113">
        <v>154.38999999999999</v>
      </c>
      <c r="G21" s="113">
        <v>277.2</v>
      </c>
      <c r="H21" s="113">
        <v>350.89</v>
      </c>
      <c r="I21" s="113">
        <v>316.48</v>
      </c>
      <c r="J21" s="113">
        <v>403.56</v>
      </c>
      <c r="K21" s="113">
        <v>101.24</v>
      </c>
      <c r="L21" s="113">
        <v>4.96</v>
      </c>
      <c r="M21" s="113">
        <v>2.83</v>
      </c>
      <c r="N21" s="114">
        <v>240.72</v>
      </c>
      <c r="O21" s="115"/>
      <c r="P21" s="116"/>
    </row>
    <row r="22" spans="1:16" x14ac:dyDescent="0.2">
      <c r="A22" s="121" t="s">
        <v>326</v>
      </c>
      <c r="B22" s="99" t="s">
        <v>321</v>
      </c>
      <c r="C22" s="99" t="s">
        <v>321</v>
      </c>
      <c r="D22" s="118">
        <v>433.65</v>
      </c>
      <c r="E22" s="118">
        <v>467.95</v>
      </c>
      <c r="F22" s="119">
        <v>785.81</v>
      </c>
      <c r="G22" s="119">
        <v>711.58</v>
      </c>
      <c r="H22" s="119">
        <v>538.59</v>
      </c>
      <c r="I22" s="119">
        <v>1059.75</v>
      </c>
      <c r="J22" s="119">
        <v>600.86</v>
      </c>
      <c r="K22" s="119">
        <v>288.70999999999998</v>
      </c>
      <c r="L22" s="119">
        <v>30.08</v>
      </c>
      <c r="M22" s="119">
        <v>31.88</v>
      </c>
      <c r="N22" s="119">
        <v>76.42</v>
      </c>
    </row>
    <row r="23" spans="1:16" x14ac:dyDescent="0.2">
      <c r="B23" s="108"/>
      <c r="C23" s="108"/>
      <c r="D23" s="108"/>
      <c r="E23" s="108"/>
      <c r="F23" s="108"/>
      <c r="G23" s="108"/>
      <c r="H23" s="108"/>
      <c r="I23" s="108"/>
      <c r="J23" s="108"/>
      <c r="K23" s="108"/>
      <c r="L23" s="108"/>
      <c r="M23" s="108"/>
      <c r="N23" s="108"/>
    </row>
    <row r="24" spans="1:16" s="94" customFormat="1" ht="15.75" x14ac:dyDescent="0.25">
      <c r="A24" s="90" t="s">
        <v>329</v>
      </c>
      <c r="B24" s="91">
        <v>41122</v>
      </c>
      <c r="C24" s="91">
        <v>41153</v>
      </c>
      <c r="D24" s="91">
        <v>41183</v>
      </c>
      <c r="E24" s="91">
        <v>41214</v>
      </c>
      <c r="F24" s="91">
        <v>41244</v>
      </c>
      <c r="G24" s="91">
        <v>41275</v>
      </c>
      <c r="H24" s="91">
        <v>41306</v>
      </c>
      <c r="I24" s="91">
        <v>41334</v>
      </c>
      <c r="J24" s="91">
        <v>41365</v>
      </c>
      <c r="K24" s="91">
        <v>41395</v>
      </c>
      <c r="L24" s="91">
        <v>41426</v>
      </c>
      <c r="M24" s="91">
        <v>41456</v>
      </c>
      <c r="N24" s="92">
        <v>41487</v>
      </c>
      <c r="O24" s="93"/>
    </row>
    <row r="25" spans="1:16" x14ac:dyDescent="0.2">
      <c r="B25" s="108"/>
      <c r="C25" s="108"/>
      <c r="D25" s="108"/>
      <c r="E25" s="108"/>
      <c r="F25" s="108"/>
      <c r="G25" s="108"/>
      <c r="H25" s="108"/>
      <c r="I25" s="108"/>
      <c r="J25" s="108"/>
      <c r="K25" s="108"/>
      <c r="L25" s="108"/>
      <c r="M25" s="108"/>
      <c r="N25" s="108"/>
    </row>
    <row r="26" spans="1:16" x14ac:dyDescent="0.2">
      <c r="A26" s="95" t="s">
        <v>319</v>
      </c>
      <c r="B26" s="96">
        <v>22137</v>
      </c>
      <c r="C26" s="96">
        <v>27684</v>
      </c>
      <c r="D26" s="96">
        <v>26216</v>
      </c>
      <c r="E26" s="96">
        <v>24877</v>
      </c>
      <c r="F26" s="96">
        <v>24731</v>
      </c>
      <c r="G26" s="96">
        <v>23302</v>
      </c>
      <c r="H26" s="96">
        <v>22299</v>
      </c>
      <c r="I26" s="96">
        <v>27461</v>
      </c>
      <c r="J26" s="96">
        <v>26587</v>
      </c>
      <c r="K26" s="96">
        <v>19537</v>
      </c>
      <c r="L26" s="96">
        <v>17126</v>
      </c>
      <c r="M26" s="96">
        <v>18528</v>
      </c>
      <c r="N26" s="97">
        <v>25985</v>
      </c>
      <c r="O26" s="98"/>
    </row>
    <row r="27" spans="1:16" x14ac:dyDescent="0.2">
      <c r="A27" s="95" t="s">
        <v>320</v>
      </c>
      <c r="B27" s="99" t="s">
        <v>321</v>
      </c>
      <c r="C27" s="99" t="s">
        <v>321</v>
      </c>
      <c r="D27" s="100">
        <v>114060</v>
      </c>
      <c r="E27" s="100">
        <v>230110</v>
      </c>
      <c r="F27" s="96">
        <v>248900</v>
      </c>
      <c r="G27" s="96">
        <v>234570</v>
      </c>
      <c r="H27" s="96">
        <v>200880</v>
      </c>
      <c r="I27" s="96">
        <v>249800</v>
      </c>
      <c r="J27" s="96">
        <v>58670</v>
      </c>
      <c r="K27" s="96">
        <v>13340</v>
      </c>
      <c r="L27" s="96">
        <v>7550</v>
      </c>
      <c r="M27" s="96">
        <v>7720</v>
      </c>
      <c r="N27" s="97">
        <v>17510</v>
      </c>
      <c r="O27" s="98"/>
    </row>
    <row r="28" spans="1:16" x14ac:dyDescent="0.2">
      <c r="A28" s="95" t="s">
        <v>322</v>
      </c>
      <c r="B28" s="101">
        <v>89495</v>
      </c>
      <c r="C28" s="101">
        <v>57500</v>
      </c>
      <c r="D28" s="101">
        <v>48700</v>
      </c>
      <c r="E28" s="101">
        <v>42000</v>
      </c>
      <c r="F28" s="101">
        <v>21600</v>
      </c>
      <c r="G28" s="101">
        <v>36800</v>
      </c>
      <c r="H28" s="101">
        <v>46600</v>
      </c>
      <c r="I28" s="101">
        <v>45600</v>
      </c>
      <c r="J28" s="101">
        <v>50700</v>
      </c>
      <c r="K28" s="101">
        <v>11600</v>
      </c>
      <c r="L28" s="101">
        <v>1300</v>
      </c>
      <c r="M28" s="101">
        <v>300</v>
      </c>
      <c r="N28" s="102">
        <v>41400</v>
      </c>
      <c r="O28" s="103"/>
    </row>
    <row r="29" spans="1:16" s="106" customFormat="1" x14ac:dyDescent="0.2">
      <c r="A29" s="104" t="s">
        <v>323</v>
      </c>
      <c r="B29" s="99" t="s">
        <v>330</v>
      </c>
      <c r="C29" s="105">
        <v>14100</v>
      </c>
      <c r="D29" s="105">
        <v>26100</v>
      </c>
      <c r="E29" s="105">
        <v>10800</v>
      </c>
      <c r="F29" s="105">
        <v>12500</v>
      </c>
      <c r="G29" s="105">
        <v>7900</v>
      </c>
      <c r="H29" s="105">
        <v>6600</v>
      </c>
      <c r="I29" s="105">
        <v>10200</v>
      </c>
      <c r="J29" s="105">
        <v>1400</v>
      </c>
      <c r="K29" s="105">
        <v>11200</v>
      </c>
      <c r="L29" s="105">
        <v>13700</v>
      </c>
      <c r="M29" s="105">
        <v>16500</v>
      </c>
      <c r="N29" s="105">
        <v>20100</v>
      </c>
    </row>
    <row r="30" spans="1:16" x14ac:dyDescent="0.2">
      <c r="A30" s="107"/>
      <c r="B30" s="108"/>
      <c r="C30" s="108"/>
      <c r="D30" s="108"/>
      <c r="E30" s="108"/>
      <c r="F30" s="108"/>
      <c r="G30" s="108"/>
      <c r="H30" s="108"/>
      <c r="I30" s="108"/>
      <c r="J30" s="108"/>
      <c r="K30" s="108"/>
      <c r="L30" s="108"/>
      <c r="M30" s="108"/>
      <c r="N30" s="108"/>
    </row>
    <row r="31" spans="1:16" x14ac:dyDescent="0.2">
      <c r="A31" s="95" t="s">
        <v>324</v>
      </c>
      <c r="B31" s="109">
        <v>1600.03</v>
      </c>
      <c r="C31" s="109">
        <v>2005.09</v>
      </c>
      <c r="D31" s="109">
        <v>1713.4</v>
      </c>
      <c r="E31" s="109">
        <v>1429.21</v>
      </c>
      <c r="F31" s="109">
        <v>1516.6</v>
      </c>
      <c r="G31" s="109">
        <v>1459.93</v>
      </c>
      <c r="H31" s="109">
        <v>1358.38</v>
      </c>
      <c r="I31" s="109">
        <v>1703.84</v>
      </c>
      <c r="J31" s="109">
        <v>1604.74</v>
      </c>
      <c r="K31" s="109">
        <v>1171.25</v>
      </c>
      <c r="L31" s="109">
        <v>1156.47</v>
      </c>
      <c r="M31" s="109">
        <v>1333.95</v>
      </c>
      <c r="N31" s="110">
        <v>1844.87</v>
      </c>
      <c r="O31" s="111"/>
    </row>
    <row r="32" spans="1:16" x14ac:dyDescent="0.2">
      <c r="A32" s="112" t="s">
        <v>328</v>
      </c>
      <c r="B32" s="113">
        <v>628.05999999999995</v>
      </c>
      <c r="C32" s="113">
        <v>403.52</v>
      </c>
      <c r="D32" s="113">
        <v>341.77</v>
      </c>
      <c r="E32" s="113">
        <v>294.75</v>
      </c>
      <c r="F32" s="113">
        <v>151.58000000000001</v>
      </c>
      <c r="G32" s="113">
        <v>258.25</v>
      </c>
      <c r="H32" s="113">
        <v>327.02999999999997</v>
      </c>
      <c r="I32" s="113">
        <v>322.85000000000002</v>
      </c>
      <c r="J32" s="113">
        <v>358.96</v>
      </c>
      <c r="K32" s="113">
        <v>82.13</v>
      </c>
      <c r="L32" s="113">
        <v>9.1999999999999993</v>
      </c>
      <c r="M32" s="113">
        <v>2.12</v>
      </c>
      <c r="N32" s="114">
        <v>293.11</v>
      </c>
      <c r="O32" s="115"/>
      <c r="P32" s="116"/>
    </row>
    <row r="33" spans="1:16" x14ac:dyDescent="0.2">
      <c r="A33" s="121" t="s">
        <v>326</v>
      </c>
      <c r="B33" s="99" t="s">
        <v>321</v>
      </c>
      <c r="C33" s="99" t="s">
        <v>321</v>
      </c>
      <c r="D33" s="118">
        <v>891.21</v>
      </c>
      <c r="E33" s="118">
        <v>1797.97</v>
      </c>
      <c r="F33" s="119">
        <v>1944.79</v>
      </c>
      <c r="G33" s="119">
        <v>1832.82</v>
      </c>
      <c r="H33" s="119">
        <v>1569.58</v>
      </c>
      <c r="I33" s="119">
        <v>1951.82</v>
      </c>
      <c r="J33" s="119">
        <v>458.42</v>
      </c>
      <c r="K33" s="119">
        <v>104.23</v>
      </c>
      <c r="L33" s="119">
        <v>58.99</v>
      </c>
      <c r="M33" s="119">
        <v>60.32</v>
      </c>
      <c r="N33" s="119">
        <v>136.82</v>
      </c>
    </row>
    <row r="34" spans="1:16" x14ac:dyDescent="0.2">
      <c r="B34" s="108"/>
      <c r="C34" s="108"/>
      <c r="D34" s="108"/>
      <c r="E34" s="108"/>
      <c r="F34" s="108"/>
      <c r="G34" s="108"/>
      <c r="H34" s="108"/>
      <c r="I34" s="108"/>
      <c r="J34" s="108"/>
      <c r="K34" s="108"/>
      <c r="L34" s="108"/>
      <c r="M34" s="108"/>
      <c r="N34" s="108"/>
    </row>
    <row r="35" spans="1:16" s="94" customFormat="1" ht="15.75" x14ac:dyDescent="0.25">
      <c r="A35" s="90" t="s">
        <v>331</v>
      </c>
      <c r="B35" s="91">
        <v>41122</v>
      </c>
      <c r="C35" s="91">
        <v>41153</v>
      </c>
      <c r="D35" s="91">
        <v>41183</v>
      </c>
      <c r="E35" s="91">
        <v>41214</v>
      </c>
      <c r="F35" s="91">
        <v>41244</v>
      </c>
      <c r="G35" s="91">
        <v>41275</v>
      </c>
      <c r="H35" s="91">
        <v>41306</v>
      </c>
      <c r="I35" s="91">
        <v>41334</v>
      </c>
      <c r="J35" s="91">
        <v>41365</v>
      </c>
      <c r="K35" s="91">
        <v>41395</v>
      </c>
      <c r="L35" s="91">
        <v>41426</v>
      </c>
      <c r="M35" s="91">
        <v>41456</v>
      </c>
      <c r="N35" s="92">
        <v>41487</v>
      </c>
      <c r="O35" s="93"/>
    </row>
    <row r="36" spans="1:16" x14ac:dyDescent="0.2">
      <c r="B36" s="108"/>
      <c r="C36" s="108"/>
      <c r="D36" s="108"/>
      <c r="E36" s="108"/>
      <c r="F36" s="108"/>
      <c r="G36" s="108"/>
      <c r="H36" s="108"/>
      <c r="I36" s="108"/>
      <c r="J36" s="108"/>
      <c r="K36" s="108"/>
      <c r="L36" s="108"/>
      <c r="M36" s="108"/>
      <c r="N36" s="108"/>
    </row>
    <row r="37" spans="1:16" x14ac:dyDescent="0.2">
      <c r="A37" s="95" t="s">
        <v>319</v>
      </c>
      <c r="B37" s="96">
        <v>23914</v>
      </c>
      <c r="C37" s="96">
        <v>27754</v>
      </c>
      <c r="D37" s="96">
        <v>25834</v>
      </c>
      <c r="E37" s="96">
        <v>24168</v>
      </c>
      <c r="F37" s="96">
        <v>24141</v>
      </c>
      <c r="G37" s="96">
        <v>23146</v>
      </c>
      <c r="H37" s="96">
        <v>24026</v>
      </c>
      <c r="I37" s="96">
        <v>27725</v>
      </c>
      <c r="J37" s="96">
        <v>27357</v>
      </c>
      <c r="K37" s="96">
        <v>21502</v>
      </c>
      <c r="L37" s="96">
        <v>17073</v>
      </c>
      <c r="M37" s="96">
        <v>19805</v>
      </c>
      <c r="N37" s="97">
        <v>27005</v>
      </c>
      <c r="O37" s="98"/>
    </row>
    <row r="38" spans="1:16" x14ac:dyDescent="0.2">
      <c r="A38" s="95" t="s">
        <v>320</v>
      </c>
      <c r="B38" s="99" t="s">
        <v>321</v>
      </c>
      <c r="C38" s="99" t="s">
        <v>321</v>
      </c>
      <c r="D38" s="100">
        <v>92800</v>
      </c>
      <c r="E38" s="100">
        <v>117770</v>
      </c>
      <c r="F38" s="96">
        <v>136210</v>
      </c>
      <c r="G38" s="96">
        <v>137600</v>
      </c>
      <c r="H38" s="96">
        <v>148740</v>
      </c>
      <c r="I38" s="96">
        <v>154340</v>
      </c>
      <c r="J38" s="96">
        <v>36400</v>
      </c>
      <c r="K38" s="96">
        <v>8490</v>
      </c>
      <c r="L38" s="96">
        <v>4260</v>
      </c>
      <c r="M38" s="96">
        <v>8090</v>
      </c>
      <c r="N38" s="97">
        <v>10320</v>
      </c>
      <c r="O38" s="98"/>
    </row>
    <row r="39" spans="1:16" x14ac:dyDescent="0.2">
      <c r="A39" s="95" t="s">
        <v>322</v>
      </c>
      <c r="B39" s="101">
        <v>45200</v>
      </c>
      <c r="C39" s="101">
        <v>60200</v>
      </c>
      <c r="D39" s="101">
        <v>52100</v>
      </c>
      <c r="E39" s="101">
        <v>44700</v>
      </c>
      <c r="F39" s="101">
        <v>22500</v>
      </c>
      <c r="G39" s="101">
        <v>42300</v>
      </c>
      <c r="H39" s="101">
        <v>51800</v>
      </c>
      <c r="I39" s="101">
        <v>45000</v>
      </c>
      <c r="J39" s="101">
        <v>54700</v>
      </c>
      <c r="K39" s="101">
        <v>13000</v>
      </c>
      <c r="L39" s="101">
        <v>700</v>
      </c>
      <c r="M39" s="101">
        <v>700</v>
      </c>
      <c r="N39" s="102">
        <v>36500</v>
      </c>
      <c r="O39" s="103"/>
    </row>
    <row r="40" spans="1:16" s="106" customFormat="1" x14ac:dyDescent="0.2">
      <c r="A40" s="104" t="s">
        <v>323</v>
      </c>
      <c r="B40" s="99" t="s">
        <v>321</v>
      </c>
      <c r="C40" s="105">
        <v>18000</v>
      </c>
      <c r="D40" s="105">
        <v>11000</v>
      </c>
      <c r="E40" s="105">
        <v>8000</v>
      </c>
      <c r="F40" s="105">
        <v>6000</v>
      </c>
      <c r="G40" s="105">
        <v>7000</v>
      </c>
      <c r="H40" s="105">
        <v>6000</v>
      </c>
      <c r="I40" s="105">
        <v>6000</v>
      </c>
      <c r="J40" s="105">
        <v>9000</v>
      </c>
      <c r="K40" s="105">
        <v>13000</v>
      </c>
      <c r="L40" s="105">
        <v>16000</v>
      </c>
      <c r="M40" s="105">
        <v>18000</v>
      </c>
      <c r="N40" s="105">
        <v>22000</v>
      </c>
    </row>
    <row r="41" spans="1:16" x14ac:dyDescent="0.2">
      <c r="A41" s="107"/>
      <c r="B41" s="108"/>
      <c r="C41" s="108"/>
      <c r="D41" s="108"/>
      <c r="E41" s="108"/>
      <c r="F41" s="108"/>
      <c r="G41" s="108"/>
      <c r="H41" s="108"/>
      <c r="I41" s="108"/>
      <c r="J41" s="108"/>
      <c r="K41" s="108"/>
      <c r="L41" s="108"/>
      <c r="M41" s="108"/>
      <c r="N41" s="108"/>
    </row>
    <row r="42" spans="1:16" x14ac:dyDescent="0.2">
      <c r="A42" s="95" t="s">
        <v>324</v>
      </c>
      <c r="B42" s="109">
        <v>1728.46</v>
      </c>
      <c r="C42" s="109">
        <v>2010.16</v>
      </c>
      <c r="D42" s="109">
        <v>1688.44</v>
      </c>
      <c r="E42" s="109">
        <v>1484.19</v>
      </c>
      <c r="F42" s="109">
        <v>1584.24</v>
      </c>
      <c r="G42" s="109">
        <v>1618.56</v>
      </c>
      <c r="H42" s="109">
        <v>1573.72</v>
      </c>
      <c r="I42" s="109">
        <v>1602.89</v>
      </c>
      <c r="J42" s="109">
        <v>1559.29</v>
      </c>
      <c r="K42" s="109">
        <v>1548.76</v>
      </c>
      <c r="L42" s="109">
        <v>1744.49</v>
      </c>
      <c r="M42" s="109">
        <v>1859.95</v>
      </c>
      <c r="N42" s="110">
        <v>1834.15</v>
      </c>
      <c r="O42" s="111"/>
    </row>
    <row r="43" spans="1:16" x14ac:dyDescent="0.2">
      <c r="A43" s="112" t="s">
        <v>328</v>
      </c>
      <c r="B43" s="113">
        <v>315.97000000000003</v>
      </c>
      <c r="C43" s="113">
        <v>422.47</v>
      </c>
      <c r="D43" s="113">
        <v>365.63</v>
      </c>
      <c r="E43" s="113">
        <v>313.69</v>
      </c>
      <c r="F43" s="113">
        <v>157.9</v>
      </c>
      <c r="G43" s="113">
        <v>196.85</v>
      </c>
      <c r="H43" s="113">
        <v>363.52</v>
      </c>
      <c r="I43" s="113">
        <v>318.60000000000002</v>
      </c>
      <c r="J43" s="113">
        <v>387.28</v>
      </c>
      <c r="K43" s="113">
        <v>92.04</v>
      </c>
      <c r="L43" s="113">
        <v>4.96</v>
      </c>
      <c r="M43" s="113">
        <v>4.96</v>
      </c>
      <c r="N43" s="114">
        <v>258.42</v>
      </c>
      <c r="O43" s="115"/>
      <c r="P43" s="116"/>
    </row>
    <row r="44" spans="1:16" x14ac:dyDescent="0.2">
      <c r="A44" s="121" t="s">
        <v>326</v>
      </c>
      <c r="B44" s="99" t="s">
        <v>321</v>
      </c>
      <c r="C44" s="99" t="s">
        <v>321</v>
      </c>
      <c r="D44" s="118">
        <v>725.1</v>
      </c>
      <c r="E44" s="118">
        <v>920.2</v>
      </c>
      <c r="F44" s="119">
        <v>1064.28</v>
      </c>
      <c r="G44" s="119">
        <v>1075.1400000000001</v>
      </c>
      <c r="H44" s="119">
        <v>1162.18</v>
      </c>
      <c r="I44" s="119">
        <v>1205.94</v>
      </c>
      <c r="J44" s="119">
        <v>284.41000000000003</v>
      </c>
      <c r="K44" s="119">
        <v>66.34</v>
      </c>
      <c r="L44" s="119">
        <v>33.29</v>
      </c>
      <c r="M44" s="119">
        <v>63.21</v>
      </c>
      <c r="N44" s="119">
        <v>80.64</v>
      </c>
    </row>
    <row r="45" spans="1:16" x14ac:dyDescent="0.2">
      <c r="B45" s="108"/>
      <c r="C45" s="108"/>
      <c r="D45" s="108"/>
      <c r="E45" s="108"/>
      <c r="F45" s="108"/>
      <c r="G45" s="108"/>
      <c r="H45" s="108"/>
      <c r="I45" s="108"/>
      <c r="J45" s="108"/>
      <c r="K45" s="108"/>
      <c r="L45" s="108"/>
      <c r="M45" s="108"/>
      <c r="N45" s="108"/>
    </row>
    <row r="46" spans="1:16" s="94" customFormat="1" ht="15.75" x14ac:dyDescent="0.25">
      <c r="A46" s="90" t="s">
        <v>332</v>
      </c>
      <c r="B46" s="91">
        <v>41122</v>
      </c>
      <c r="C46" s="91">
        <v>41153</v>
      </c>
      <c r="D46" s="91">
        <v>41183</v>
      </c>
      <c r="E46" s="91">
        <v>41214</v>
      </c>
      <c r="F46" s="91">
        <v>41244</v>
      </c>
      <c r="G46" s="91">
        <v>41275</v>
      </c>
      <c r="H46" s="91">
        <v>41306</v>
      </c>
      <c r="I46" s="91">
        <v>41334</v>
      </c>
      <c r="J46" s="91">
        <v>41365</v>
      </c>
      <c r="K46" s="91">
        <v>41395</v>
      </c>
      <c r="L46" s="91">
        <v>41426</v>
      </c>
      <c r="M46" s="91">
        <v>41456</v>
      </c>
      <c r="N46" s="92">
        <v>41487</v>
      </c>
      <c r="O46" s="93"/>
    </row>
    <row r="47" spans="1:16" x14ac:dyDescent="0.2">
      <c r="B47" s="108"/>
      <c r="C47" s="108"/>
      <c r="D47" s="108"/>
      <c r="E47" s="108"/>
      <c r="F47" s="108"/>
      <c r="G47" s="108"/>
      <c r="H47" s="108"/>
      <c r="I47" s="108"/>
      <c r="J47" s="108"/>
      <c r="K47" s="108"/>
      <c r="L47" s="108"/>
      <c r="M47" s="108"/>
      <c r="N47" s="108"/>
    </row>
    <row r="48" spans="1:16" x14ac:dyDescent="0.2">
      <c r="A48" s="95" t="s">
        <v>319</v>
      </c>
      <c r="B48" s="96">
        <v>25679</v>
      </c>
      <c r="C48" s="96">
        <v>31337</v>
      </c>
      <c r="D48" s="96">
        <v>29489</v>
      </c>
      <c r="E48" s="96">
        <v>27971</v>
      </c>
      <c r="F48" s="96">
        <v>28908</v>
      </c>
      <c r="G48" s="96">
        <v>26763</v>
      </c>
      <c r="H48" s="96">
        <v>27672</v>
      </c>
      <c r="I48" s="96">
        <v>31291</v>
      </c>
      <c r="J48" s="96">
        <v>30512</v>
      </c>
      <c r="K48" s="96">
        <v>25464</v>
      </c>
      <c r="L48" s="96">
        <v>19405</v>
      </c>
      <c r="M48" s="96">
        <v>21420</v>
      </c>
      <c r="N48" s="97">
        <v>30854</v>
      </c>
      <c r="O48" s="98"/>
    </row>
    <row r="49" spans="1:16" x14ac:dyDescent="0.2">
      <c r="A49" s="95" t="s">
        <v>320</v>
      </c>
      <c r="B49" s="99" t="s">
        <v>321</v>
      </c>
      <c r="C49" s="99" t="s">
        <v>321</v>
      </c>
      <c r="D49" s="99" t="s">
        <v>321</v>
      </c>
      <c r="E49" s="100">
        <v>96840</v>
      </c>
      <c r="F49" s="96">
        <v>125400</v>
      </c>
      <c r="G49" s="96">
        <v>125050</v>
      </c>
      <c r="H49" s="96">
        <v>151390</v>
      </c>
      <c r="I49" s="96">
        <v>144990</v>
      </c>
      <c r="J49" s="96">
        <v>184780</v>
      </c>
      <c r="K49" s="96">
        <v>10300</v>
      </c>
      <c r="L49" s="96">
        <v>7640</v>
      </c>
      <c r="M49" s="96">
        <v>8030</v>
      </c>
      <c r="N49" s="97">
        <v>15530</v>
      </c>
      <c r="O49" s="98"/>
    </row>
    <row r="50" spans="1:16" x14ac:dyDescent="0.2">
      <c r="A50" s="95" t="s">
        <v>322</v>
      </c>
      <c r="B50" s="99" t="s">
        <v>321</v>
      </c>
      <c r="C50" s="99" t="s">
        <v>321</v>
      </c>
      <c r="D50" s="101">
        <v>46900</v>
      </c>
      <c r="E50" s="101">
        <v>39800</v>
      </c>
      <c r="F50" s="101">
        <v>19400</v>
      </c>
      <c r="G50" s="101">
        <v>32000</v>
      </c>
      <c r="H50" s="101">
        <v>42400</v>
      </c>
      <c r="I50" s="101">
        <v>37400</v>
      </c>
      <c r="J50" s="101">
        <v>45600</v>
      </c>
      <c r="K50" s="101">
        <v>12100</v>
      </c>
      <c r="L50" s="101">
        <v>2600</v>
      </c>
      <c r="M50" s="101">
        <v>2800</v>
      </c>
      <c r="N50" s="102">
        <v>35800</v>
      </c>
      <c r="O50" s="103"/>
    </row>
    <row r="51" spans="1:16" s="106" customFormat="1" x14ac:dyDescent="0.2">
      <c r="A51" s="104" t="s">
        <v>323</v>
      </c>
      <c r="B51" s="99" t="s">
        <v>321</v>
      </c>
      <c r="C51" s="105">
        <v>21000</v>
      </c>
      <c r="D51" s="105">
        <v>12200</v>
      </c>
      <c r="E51" s="105">
        <v>9100</v>
      </c>
      <c r="F51" s="105">
        <v>9100</v>
      </c>
      <c r="G51" s="105">
        <v>18900</v>
      </c>
      <c r="H51" s="105">
        <v>7300</v>
      </c>
      <c r="I51" s="105">
        <v>9900</v>
      </c>
      <c r="J51" s="105">
        <v>13500</v>
      </c>
      <c r="K51" s="105">
        <v>13900</v>
      </c>
      <c r="L51" s="105">
        <v>15800</v>
      </c>
      <c r="M51" s="105">
        <v>19300</v>
      </c>
      <c r="N51" s="105">
        <v>26100</v>
      </c>
    </row>
    <row r="52" spans="1:16" x14ac:dyDescent="0.2">
      <c r="A52" s="107"/>
      <c r="B52" s="108"/>
      <c r="C52" s="108"/>
      <c r="D52" s="108"/>
      <c r="E52" s="108"/>
      <c r="F52" s="108"/>
      <c r="G52" s="108"/>
      <c r="H52" s="108"/>
      <c r="I52" s="108"/>
      <c r="J52" s="108"/>
      <c r="K52" s="108"/>
      <c r="L52" s="108"/>
      <c r="M52" s="108"/>
      <c r="N52" s="108"/>
    </row>
    <row r="53" spans="1:16" x14ac:dyDescent="0.2">
      <c r="A53" s="95" t="s">
        <v>324</v>
      </c>
      <c r="B53" s="109">
        <v>1856.04</v>
      </c>
      <c r="C53" s="109">
        <v>2269.67</v>
      </c>
      <c r="D53" s="109">
        <v>1927.32</v>
      </c>
      <c r="E53" s="109">
        <v>1606.96</v>
      </c>
      <c r="F53" s="109">
        <v>1772.75</v>
      </c>
      <c r="G53" s="109">
        <v>1676.77</v>
      </c>
      <c r="H53" s="109">
        <v>1685.69</v>
      </c>
      <c r="I53" s="109">
        <v>1941.48</v>
      </c>
      <c r="J53" s="109">
        <v>1841.64</v>
      </c>
      <c r="K53" s="109">
        <v>1526.58</v>
      </c>
      <c r="L53" s="109">
        <v>1310.3599999999999</v>
      </c>
      <c r="M53" s="109">
        <v>1542.16</v>
      </c>
      <c r="N53" s="110">
        <v>2190.56</v>
      </c>
      <c r="O53" s="111"/>
    </row>
    <row r="54" spans="1:16" x14ac:dyDescent="0.2">
      <c r="A54" s="112" t="s">
        <v>328</v>
      </c>
      <c r="B54" s="99" t="s">
        <v>321</v>
      </c>
      <c r="C54" s="99" t="s">
        <v>321</v>
      </c>
      <c r="D54" s="113">
        <v>329.13</v>
      </c>
      <c r="E54" s="113">
        <v>279.31</v>
      </c>
      <c r="F54" s="113">
        <v>136.13999999999999</v>
      </c>
      <c r="G54" s="113">
        <v>224.57</v>
      </c>
      <c r="H54" s="113">
        <v>297.55</v>
      </c>
      <c r="I54" s="113">
        <v>264.79000000000002</v>
      </c>
      <c r="J54" s="113">
        <v>322.85000000000002</v>
      </c>
      <c r="K54" s="113">
        <v>85.67</v>
      </c>
      <c r="L54" s="113">
        <v>18.41</v>
      </c>
      <c r="M54" s="113">
        <v>19.82</v>
      </c>
      <c r="N54" s="114">
        <v>253.46</v>
      </c>
      <c r="O54" s="115"/>
      <c r="P54" s="116"/>
    </row>
    <row r="55" spans="1:16" x14ac:dyDescent="0.2">
      <c r="A55" s="121" t="s">
        <v>326</v>
      </c>
      <c r="B55" s="99" t="s">
        <v>321</v>
      </c>
      <c r="C55" s="99" t="s">
        <v>321</v>
      </c>
      <c r="D55" s="122" t="s">
        <v>321</v>
      </c>
      <c r="E55" s="123">
        <v>756.66</v>
      </c>
      <c r="F55" s="119">
        <v>979.82</v>
      </c>
      <c r="G55" s="119">
        <v>977.08</v>
      </c>
      <c r="H55" s="119">
        <v>1182.8900000000001</v>
      </c>
      <c r="I55" s="119">
        <v>1132.8800000000001</v>
      </c>
      <c r="J55" s="119">
        <v>1443.78</v>
      </c>
      <c r="K55" s="119">
        <v>80.48</v>
      </c>
      <c r="L55" s="119">
        <v>59.7</v>
      </c>
      <c r="M55" s="119">
        <v>62.74</v>
      </c>
      <c r="N55" s="119">
        <v>121.34</v>
      </c>
    </row>
    <row r="56" spans="1:16" x14ac:dyDescent="0.2">
      <c r="B56" s="108"/>
      <c r="C56" s="108"/>
      <c r="D56" s="108"/>
      <c r="E56" s="108"/>
      <c r="F56" s="108"/>
      <c r="G56" s="108"/>
      <c r="H56" s="108"/>
      <c r="I56" s="108"/>
      <c r="J56" s="108"/>
      <c r="K56" s="108"/>
      <c r="L56" s="108"/>
      <c r="M56" s="108"/>
      <c r="N56" s="108"/>
    </row>
    <row r="57" spans="1:16" s="94" customFormat="1" ht="15.75" x14ac:dyDescent="0.25">
      <c r="A57" s="90" t="s">
        <v>333</v>
      </c>
      <c r="B57" s="91">
        <v>41122</v>
      </c>
      <c r="C57" s="91">
        <v>41153</v>
      </c>
      <c r="D57" s="91">
        <v>41183</v>
      </c>
      <c r="E57" s="91">
        <v>41214</v>
      </c>
      <c r="F57" s="91">
        <v>41244</v>
      </c>
      <c r="G57" s="91">
        <v>41275</v>
      </c>
      <c r="H57" s="91">
        <v>41306</v>
      </c>
      <c r="I57" s="91">
        <v>41334</v>
      </c>
      <c r="J57" s="91">
        <v>41365</v>
      </c>
      <c r="K57" s="91">
        <v>41395</v>
      </c>
      <c r="L57" s="91">
        <v>41426</v>
      </c>
      <c r="M57" s="91">
        <v>41456</v>
      </c>
      <c r="N57" s="92">
        <v>41487</v>
      </c>
      <c r="O57" s="93"/>
    </row>
    <row r="58" spans="1:16" x14ac:dyDescent="0.2">
      <c r="B58" s="108"/>
      <c r="C58" s="108"/>
      <c r="D58" s="108"/>
      <c r="E58" s="108"/>
      <c r="F58" s="108"/>
      <c r="G58" s="108"/>
      <c r="H58" s="108"/>
      <c r="I58" s="108"/>
      <c r="J58" s="108"/>
      <c r="K58" s="108"/>
      <c r="L58" s="108"/>
      <c r="M58" s="108"/>
      <c r="N58" s="108"/>
    </row>
    <row r="59" spans="1:16" x14ac:dyDescent="0.2">
      <c r="A59" s="95" t="s">
        <v>319</v>
      </c>
      <c r="B59" s="96">
        <v>21632</v>
      </c>
      <c r="C59" s="96">
        <v>27770</v>
      </c>
      <c r="D59" s="96">
        <v>26421</v>
      </c>
      <c r="E59" s="96">
        <v>25025</v>
      </c>
      <c r="F59" s="96">
        <v>25443</v>
      </c>
      <c r="G59" s="96">
        <v>20716</v>
      </c>
      <c r="H59" s="96">
        <v>25336</v>
      </c>
      <c r="I59" s="96">
        <v>23549</v>
      </c>
      <c r="J59" s="96">
        <v>26961</v>
      </c>
      <c r="K59" s="96">
        <v>22441</v>
      </c>
      <c r="L59" s="96">
        <v>18315</v>
      </c>
      <c r="M59" s="96">
        <v>18909</v>
      </c>
      <c r="N59" s="97">
        <v>27052</v>
      </c>
      <c r="O59" s="98"/>
    </row>
    <row r="60" spans="1:16" x14ac:dyDescent="0.2">
      <c r="A60" s="95" t="s">
        <v>320</v>
      </c>
      <c r="B60" s="99" t="s">
        <v>321</v>
      </c>
      <c r="C60" s="99" t="s">
        <v>321</v>
      </c>
      <c r="D60" s="99" t="s">
        <v>321</v>
      </c>
      <c r="E60" s="99" t="s">
        <v>321</v>
      </c>
      <c r="F60" s="96">
        <v>21780</v>
      </c>
      <c r="G60" s="96">
        <v>22750</v>
      </c>
      <c r="H60" s="96">
        <v>50090</v>
      </c>
      <c r="I60" s="96">
        <v>28480</v>
      </c>
      <c r="J60" s="96">
        <v>16650</v>
      </c>
      <c r="K60" s="96">
        <v>9890</v>
      </c>
      <c r="L60" s="96">
        <v>6550</v>
      </c>
      <c r="M60" s="96">
        <v>6880</v>
      </c>
      <c r="N60" s="97">
        <v>13410</v>
      </c>
      <c r="O60" s="98"/>
    </row>
    <row r="61" spans="1:16" x14ac:dyDescent="0.2">
      <c r="A61" s="95" t="s">
        <v>322</v>
      </c>
      <c r="B61" s="101">
        <v>29700</v>
      </c>
      <c r="C61" s="101">
        <v>56100</v>
      </c>
      <c r="D61" s="101">
        <v>49300</v>
      </c>
      <c r="E61" s="101">
        <v>43000</v>
      </c>
      <c r="F61" s="101">
        <v>22800</v>
      </c>
      <c r="G61" s="101">
        <v>34600</v>
      </c>
      <c r="H61" s="101">
        <v>46300</v>
      </c>
      <c r="I61" s="101">
        <v>41900</v>
      </c>
      <c r="J61" s="101">
        <v>48700</v>
      </c>
      <c r="K61" s="101">
        <v>12100</v>
      </c>
      <c r="L61" s="101">
        <v>600</v>
      </c>
      <c r="M61" s="101">
        <v>900</v>
      </c>
      <c r="N61" s="102">
        <v>32800</v>
      </c>
      <c r="O61" s="103"/>
    </row>
    <row r="62" spans="1:16" s="106" customFormat="1" x14ac:dyDescent="0.2">
      <c r="A62" s="104" t="s">
        <v>323</v>
      </c>
      <c r="B62" s="99" t="s">
        <v>321</v>
      </c>
      <c r="C62" s="105">
        <v>11000</v>
      </c>
      <c r="D62" s="105">
        <v>30000</v>
      </c>
      <c r="E62" s="105">
        <v>4000</v>
      </c>
      <c r="F62" s="105">
        <v>5000</v>
      </c>
      <c r="G62" s="105">
        <v>3000</v>
      </c>
      <c r="H62" s="105">
        <v>4000</v>
      </c>
      <c r="I62" s="105">
        <v>4000</v>
      </c>
      <c r="J62" s="105">
        <v>6000</v>
      </c>
      <c r="K62" s="105">
        <v>7000</v>
      </c>
      <c r="L62" s="105">
        <v>7000</v>
      </c>
      <c r="M62" s="105">
        <v>9000</v>
      </c>
      <c r="N62" s="105">
        <v>8000</v>
      </c>
    </row>
    <row r="63" spans="1:16" x14ac:dyDescent="0.2">
      <c r="A63" s="107"/>
      <c r="B63" s="108"/>
      <c r="C63" s="108"/>
      <c r="D63" s="108"/>
      <c r="E63" s="108"/>
      <c r="F63" s="108"/>
      <c r="G63" s="108"/>
      <c r="H63" s="108"/>
      <c r="I63" s="108"/>
      <c r="J63" s="108"/>
      <c r="K63" s="108"/>
      <c r="L63" s="108"/>
      <c r="M63" s="108"/>
      <c r="N63" s="108"/>
    </row>
    <row r="64" spans="1:16" x14ac:dyDescent="0.2">
      <c r="A64" s="95" t="s">
        <v>324</v>
      </c>
      <c r="B64" s="109">
        <v>1563.53</v>
      </c>
      <c r="C64" s="109">
        <v>2011.32</v>
      </c>
      <c r="D64" s="109">
        <v>1726.8</v>
      </c>
      <c r="E64" s="109">
        <v>1437.71</v>
      </c>
      <c r="F64" s="109">
        <v>1560.26</v>
      </c>
      <c r="G64" s="109">
        <v>1297.9100000000001</v>
      </c>
      <c r="H64" s="109">
        <v>1543.39</v>
      </c>
      <c r="I64" s="109">
        <v>1461.12</v>
      </c>
      <c r="J64" s="109">
        <v>1627.31</v>
      </c>
      <c r="K64" s="109">
        <v>1345.35</v>
      </c>
      <c r="L64" s="109">
        <v>1236.76</v>
      </c>
      <c r="M64" s="109">
        <v>1361.38</v>
      </c>
      <c r="N64" s="110">
        <v>1920.63</v>
      </c>
      <c r="O64" s="111"/>
    </row>
    <row r="65" spans="1:16" x14ac:dyDescent="0.2">
      <c r="A65" s="112" t="s">
        <v>328</v>
      </c>
      <c r="B65" s="113">
        <v>208.22</v>
      </c>
      <c r="C65" s="113">
        <v>393.7</v>
      </c>
      <c r="D65" s="113">
        <v>345.98</v>
      </c>
      <c r="E65" s="113">
        <v>301.76</v>
      </c>
      <c r="F65" s="113">
        <v>160.01</v>
      </c>
      <c r="G65" s="113">
        <v>242.82</v>
      </c>
      <c r="H65" s="113">
        <v>324.92</v>
      </c>
      <c r="I65" s="113">
        <v>296.64999999999998</v>
      </c>
      <c r="J65" s="113">
        <v>344.8</v>
      </c>
      <c r="K65" s="113">
        <v>95.67</v>
      </c>
      <c r="L65" s="113">
        <v>4.25</v>
      </c>
      <c r="M65" s="113">
        <v>6.37</v>
      </c>
      <c r="N65" s="114">
        <v>232.22</v>
      </c>
      <c r="O65" s="115"/>
      <c r="P65" s="116"/>
    </row>
    <row r="66" spans="1:16" x14ac:dyDescent="0.2">
      <c r="A66" s="121" t="s">
        <v>326</v>
      </c>
      <c r="B66" s="99" t="s">
        <v>321</v>
      </c>
      <c r="C66" s="99" t="s">
        <v>321</v>
      </c>
      <c r="D66" s="99" t="s">
        <v>321</v>
      </c>
      <c r="E66" s="99" t="s">
        <v>321</v>
      </c>
      <c r="F66" s="119">
        <v>170.18</v>
      </c>
      <c r="G66" s="119">
        <v>177.76</v>
      </c>
      <c r="H66" s="119">
        <v>391.38</v>
      </c>
      <c r="I66" s="119">
        <v>222.53</v>
      </c>
      <c r="J66" s="119">
        <v>130.1</v>
      </c>
      <c r="K66" s="119">
        <v>77.28</v>
      </c>
      <c r="L66" s="119">
        <v>51.18</v>
      </c>
      <c r="M66" s="119">
        <v>53.75</v>
      </c>
      <c r="N66" s="119">
        <v>104.78</v>
      </c>
    </row>
    <row r="67" spans="1:16" x14ac:dyDescent="0.2">
      <c r="B67" s="108"/>
      <c r="C67" s="108"/>
      <c r="D67" s="108"/>
      <c r="E67" s="108"/>
      <c r="F67" s="108"/>
      <c r="G67" s="108"/>
      <c r="H67" s="108"/>
      <c r="I67" s="108"/>
      <c r="J67" s="108"/>
      <c r="K67" s="108"/>
      <c r="L67" s="108"/>
      <c r="M67" s="108"/>
      <c r="N67" s="108"/>
    </row>
    <row r="68" spans="1:16" s="94" customFormat="1" ht="15.75" x14ac:dyDescent="0.25">
      <c r="A68" s="90" t="s">
        <v>334</v>
      </c>
      <c r="B68" s="91">
        <v>41122</v>
      </c>
      <c r="C68" s="91">
        <v>41153</v>
      </c>
      <c r="D68" s="91">
        <v>41183</v>
      </c>
      <c r="E68" s="91">
        <v>41214</v>
      </c>
      <c r="F68" s="91">
        <v>41244</v>
      </c>
      <c r="G68" s="91">
        <v>41275</v>
      </c>
      <c r="H68" s="91">
        <v>41306</v>
      </c>
      <c r="I68" s="91">
        <v>41334</v>
      </c>
      <c r="J68" s="91">
        <v>41365</v>
      </c>
      <c r="K68" s="91">
        <v>41395</v>
      </c>
      <c r="L68" s="91">
        <v>41426</v>
      </c>
      <c r="M68" s="91">
        <v>41456</v>
      </c>
      <c r="N68" s="92">
        <v>41487</v>
      </c>
      <c r="O68" s="93"/>
    </row>
    <row r="69" spans="1:16" x14ac:dyDescent="0.2">
      <c r="B69" s="108"/>
      <c r="C69" s="108"/>
      <c r="D69" s="108"/>
      <c r="E69" s="108"/>
      <c r="F69" s="108"/>
      <c r="G69" s="108"/>
      <c r="H69" s="108"/>
      <c r="I69" s="108"/>
      <c r="J69" s="108"/>
      <c r="K69" s="108"/>
      <c r="L69" s="108"/>
      <c r="M69" s="108"/>
      <c r="N69" s="108"/>
    </row>
    <row r="70" spans="1:16" x14ac:dyDescent="0.2">
      <c r="A70" s="95" t="s">
        <v>319</v>
      </c>
      <c r="B70" s="96">
        <v>15397</v>
      </c>
      <c r="C70" s="96">
        <v>52787</v>
      </c>
      <c r="D70" s="96">
        <v>47182</v>
      </c>
      <c r="E70" s="96">
        <v>41178</v>
      </c>
      <c r="F70" s="96">
        <v>42583</v>
      </c>
      <c r="G70" s="96">
        <v>39584</v>
      </c>
      <c r="H70" s="96">
        <v>41946</v>
      </c>
      <c r="I70" s="96">
        <v>52401</v>
      </c>
      <c r="J70" s="96">
        <v>49958</v>
      </c>
      <c r="K70" s="96">
        <v>41964</v>
      </c>
      <c r="L70" s="96">
        <v>32814</v>
      </c>
      <c r="M70" s="96">
        <v>35588</v>
      </c>
      <c r="N70" s="97">
        <v>48804</v>
      </c>
      <c r="O70" s="98"/>
    </row>
    <row r="71" spans="1:16" x14ac:dyDescent="0.2">
      <c r="A71" s="95" t="s">
        <v>320</v>
      </c>
      <c r="B71" s="99" t="s">
        <v>321</v>
      </c>
      <c r="C71" s="99" t="s">
        <v>321</v>
      </c>
      <c r="D71" s="100">
        <v>391020</v>
      </c>
      <c r="E71" s="100">
        <v>332710</v>
      </c>
      <c r="F71" s="96">
        <v>435580</v>
      </c>
      <c r="G71" s="96">
        <v>410910</v>
      </c>
      <c r="H71" s="96">
        <v>609370</v>
      </c>
      <c r="I71" s="96">
        <v>925610</v>
      </c>
      <c r="J71" s="96">
        <v>197840</v>
      </c>
      <c r="K71" s="96">
        <v>63070</v>
      </c>
      <c r="L71" s="96">
        <v>7700</v>
      </c>
      <c r="M71" s="96">
        <v>3820</v>
      </c>
      <c r="N71" s="97">
        <v>5540</v>
      </c>
      <c r="O71" s="98"/>
    </row>
    <row r="72" spans="1:16" x14ac:dyDescent="0.2">
      <c r="A72" s="95" t="s">
        <v>322</v>
      </c>
      <c r="B72" s="101">
        <v>56200</v>
      </c>
      <c r="C72" s="101">
        <v>92800</v>
      </c>
      <c r="D72" s="101">
        <v>82500</v>
      </c>
      <c r="E72" s="101">
        <v>69400</v>
      </c>
      <c r="F72" s="101">
        <v>36900</v>
      </c>
      <c r="G72" s="101">
        <v>64000</v>
      </c>
      <c r="H72" s="101">
        <v>79100</v>
      </c>
      <c r="I72" s="101">
        <v>77500</v>
      </c>
      <c r="J72" s="101">
        <v>90900</v>
      </c>
      <c r="K72" s="101">
        <v>22000</v>
      </c>
      <c r="L72" s="101">
        <v>2700</v>
      </c>
      <c r="M72" s="101">
        <v>2700</v>
      </c>
      <c r="N72" s="102">
        <v>60400</v>
      </c>
      <c r="O72" s="103"/>
    </row>
    <row r="73" spans="1:16" s="106" customFormat="1" x14ac:dyDescent="0.2">
      <c r="A73" s="104" t="s">
        <v>323</v>
      </c>
      <c r="B73" s="99" t="s">
        <v>321</v>
      </c>
      <c r="C73" s="105">
        <v>45000</v>
      </c>
      <c r="D73" s="105">
        <v>10600</v>
      </c>
      <c r="E73" s="105">
        <v>23700</v>
      </c>
      <c r="F73" s="105">
        <v>27400</v>
      </c>
      <c r="G73" s="105">
        <v>20100</v>
      </c>
      <c r="H73" s="105">
        <v>22100</v>
      </c>
      <c r="I73" s="105">
        <v>28200</v>
      </c>
      <c r="J73" s="105">
        <v>32700</v>
      </c>
      <c r="K73" s="105">
        <v>38200</v>
      </c>
      <c r="L73" s="105">
        <v>39400</v>
      </c>
      <c r="M73" s="105">
        <v>41900</v>
      </c>
      <c r="N73" s="105">
        <v>49900</v>
      </c>
    </row>
    <row r="74" spans="1:16" x14ac:dyDescent="0.2">
      <c r="A74" s="107"/>
      <c r="B74" s="108"/>
      <c r="C74" s="108"/>
      <c r="D74" s="108"/>
      <c r="E74" s="108"/>
      <c r="F74" s="108"/>
      <c r="G74" s="108"/>
      <c r="H74" s="108"/>
      <c r="I74" s="108"/>
      <c r="J74" s="108"/>
      <c r="K74" s="108"/>
      <c r="L74" s="108"/>
      <c r="M74" s="108"/>
      <c r="N74" s="108"/>
    </row>
    <row r="75" spans="1:16" x14ac:dyDescent="0.2">
      <c r="A75" s="95" t="s">
        <v>324</v>
      </c>
      <c r="B75" s="109">
        <v>1112.8699999999999</v>
      </c>
      <c r="C75" s="109">
        <v>3823.24</v>
      </c>
      <c r="D75" s="109">
        <v>3083.68</v>
      </c>
      <c r="E75" s="109">
        <v>2365.7199999999998</v>
      </c>
      <c r="F75" s="109">
        <v>2611.35</v>
      </c>
      <c r="G75" s="109">
        <v>2480.0300000000002</v>
      </c>
      <c r="H75" s="109">
        <v>2555.21</v>
      </c>
      <c r="I75" s="109">
        <v>3251.26</v>
      </c>
      <c r="J75" s="109">
        <v>3015.36</v>
      </c>
      <c r="K75" s="109">
        <v>2515.7600000000002</v>
      </c>
      <c r="L75" s="109">
        <v>2215.83</v>
      </c>
      <c r="M75" s="109">
        <v>2562.1999999999998</v>
      </c>
      <c r="N75" s="110">
        <v>3464.97</v>
      </c>
      <c r="O75" s="111"/>
    </row>
    <row r="76" spans="1:16" x14ac:dyDescent="0.2">
      <c r="A76" s="112" t="s">
        <v>328</v>
      </c>
      <c r="B76" s="113">
        <v>394.4</v>
      </c>
      <c r="C76" s="113">
        <v>651.25</v>
      </c>
      <c r="D76" s="113">
        <v>578.97</v>
      </c>
      <c r="E76" s="113">
        <v>487.03</v>
      </c>
      <c r="F76" s="113">
        <v>258.95999999999998</v>
      </c>
      <c r="G76" s="113">
        <v>449.14</v>
      </c>
      <c r="H76" s="113">
        <v>555.11</v>
      </c>
      <c r="I76" s="113">
        <v>548.70000000000005</v>
      </c>
      <c r="J76" s="113">
        <v>643.57000000000005</v>
      </c>
      <c r="K76" s="113">
        <v>155.76</v>
      </c>
      <c r="L76" s="113">
        <v>19.12</v>
      </c>
      <c r="M76" s="113">
        <v>19.12</v>
      </c>
      <c r="N76" s="114">
        <v>427.63</v>
      </c>
      <c r="O76" s="115"/>
      <c r="P76" s="116"/>
    </row>
    <row r="77" spans="1:16" x14ac:dyDescent="0.2">
      <c r="A77" s="121" t="s">
        <v>326</v>
      </c>
      <c r="B77" s="99" t="s">
        <v>321</v>
      </c>
      <c r="C77" s="99" t="s">
        <v>321</v>
      </c>
      <c r="D77" s="118">
        <v>3055.25</v>
      </c>
      <c r="E77" s="118">
        <v>2599.64</v>
      </c>
      <c r="F77" s="119">
        <v>3403.42</v>
      </c>
      <c r="G77" s="119">
        <v>3210.66</v>
      </c>
      <c r="H77" s="119">
        <v>4761.33</v>
      </c>
      <c r="I77" s="119">
        <v>7232.28</v>
      </c>
      <c r="J77" s="119">
        <v>1545.83</v>
      </c>
      <c r="K77" s="119">
        <v>492.8</v>
      </c>
      <c r="L77" s="119">
        <v>60.16</v>
      </c>
      <c r="M77" s="119">
        <v>29.85</v>
      </c>
      <c r="N77" s="119">
        <v>43.28</v>
      </c>
    </row>
    <row r="79" spans="1:16" ht="15" x14ac:dyDescent="0.2">
      <c r="A79" s="217" t="s">
        <v>408</v>
      </c>
    </row>
    <row r="80" spans="1:16" x14ac:dyDescent="0.2">
      <c r="A80" s="216" t="s">
        <v>337</v>
      </c>
      <c r="B80" s="220">
        <v>41091</v>
      </c>
      <c r="C80" s="220">
        <v>41122</v>
      </c>
      <c r="D80" s="220">
        <v>41153</v>
      </c>
      <c r="E80" s="220">
        <v>41183</v>
      </c>
      <c r="F80" s="220">
        <v>41214</v>
      </c>
      <c r="G80" s="220">
        <v>41244</v>
      </c>
      <c r="H80" s="220">
        <v>41275</v>
      </c>
      <c r="I80" s="220">
        <v>41306</v>
      </c>
      <c r="J80" s="220">
        <v>41334</v>
      </c>
      <c r="K80" s="220">
        <v>41365</v>
      </c>
      <c r="L80" s="220">
        <v>41395</v>
      </c>
      <c r="M80" s="224">
        <v>41426</v>
      </c>
    </row>
    <row r="81" spans="1:13" ht="15" x14ac:dyDescent="0.25">
      <c r="A81" s="213"/>
      <c r="B81" s="218"/>
      <c r="C81" s="218"/>
      <c r="D81" s="218"/>
      <c r="E81" s="218"/>
      <c r="F81" s="218"/>
      <c r="G81" s="218"/>
      <c r="H81" s="218"/>
      <c r="I81" s="218"/>
      <c r="J81" s="218"/>
      <c r="K81" s="218"/>
      <c r="L81" s="218"/>
      <c r="M81" s="218"/>
    </row>
    <row r="82" spans="1:13" x14ac:dyDescent="0.2">
      <c r="A82" s="214" t="s">
        <v>409</v>
      </c>
      <c r="B82" s="219">
        <v>54336</v>
      </c>
      <c r="C82" s="219">
        <v>58368</v>
      </c>
      <c r="D82" s="219">
        <v>53952</v>
      </c>
      <c r="E82" s="219">
        <v>53376</v>
      </c>
      <c r="F82" s="219">
        <v>45888</v>
      </c>
      <c r="G82" s="219">
        <v>48576</v>
      </c>
      <c r="H82" s="219">
        <v>46848</v>
      </c>
      <c r="I82" s="219">
        <v>58752</v>
      </c>
      <c r="J82" s="219">
        <v>55296</v>
      </c>
      <c r="K82" s="219">
        <v>53376</v>
      </c>
      <c r="L82" s="219">
        <v>50304</v>
      </c>
      <c r="M82" s="219">
        <v>52800</v>
      </c>
    </row>
    <row r="83" spans="1:13" x14ac:dyDescent="0.2">
      <c r="A83" s="214" t="s">
        <v>322</v>
      </c>
      <c r="B83" s="223">
        <v>4943.6499999999996</v>
      </c>
      <c r="C83" s="223">
        <v>6841.98</v>
      </c>
      <c r="D83" s="223">
        <v>6520.6</v>
      </c>
      <c r="E83" s="223">
        <v>6752.78</v>
      </c>
      <c r="F83" s="223">
        <v>5081.8999999999996</v>
      </c>
      <c r="G83" s="223">
        <v>2234.21</v>
      </c>
      <c r="H83" s="223">
        <v>3043.51</v>
      </c>
      <c r="I83" s="223">
        <v>4648</v>
      </c>
      <c r="J83" s="223">
        <v>3766.27</v>
      </c>
      <c r="K83" s="223">
        <v>6580.2</v>
      </c>
      <c r="L83" s="223">
        <v>4356.57</v>
      </c>
      <c r="M83" s="223">
        <v>5399.32</v>
      </c>
    </row>
    <row r="84" spans="1:13" ht="15" x14ac:dyDescent="0.25">
      <c r="A84" s="213"/>
      <c r="B84" s="218"/>
      <c r="C84" s="218"/>
      <c r="D84" s="218"/>
      <c r="E84" s="218"/>
      <c r="F84" s="218"/>
      <c r="G84" s="218"/>
      <c r="H84" s="218"/>
      <c r="I84" s="218"/>
      <c r="J84" s="218"/>
      <c r="K84" s="218"/>
      <c r="L84" s="218"/>
      <c r="M84" s="225"/>
    </row>
    <row r="85" spans="1:13" x14ac:dyDescent="0.2">
      <c r="A85" s="214" t="s">
        <v>347</v>
      </c>
      <c r="B85" s="221">
        <v>6578.89</v>
      </c>
      <c r="C85" s="221">
        <v>7712.48</v>
      </c>
      <c r="D85" s="221">
        <v>6939.67</v>
      </c>
      <c r="E85" s="221">
        <v>6326.58</v>
      </c>
      <c r="F85" s="221">
        <v>5448.14</v>
      </c>
      <c r="G85" s="221">
        <v>5286.63</v>
      </c>
      <c r="H85" s="221">
        <v>5312.63</v>
      </c>
      <c r="I85" s="221">
        <v>7388.65</v>
      </c>
      <c r="J85" s="221">
        <v>6443.39</v>
      </c>
      <c r="K85" s="221">
        <v>6751.35</v>
      </c>
      <c r="L85" s="221">
        <v>6442.57</v>
      </c>
      <c r="M85" s="221">
        <v>6710.76</v>
      </c>
    </row>
    <row r="86" spans="1:13" x14ac:dyDescent="0.2">
      <c r="A86" s="215" t="s">
        <v>410</v>
      </c>
      <c r="B86" s="222">
        <v>651.31011000000001</v>
      </c>
      <c r="C86" s="222">
        <v>763.53552000000002</v>
      </c>
      <c r="D86" s="222">
        <v>687.02733000000001</v>
      </c>
      <c r="E86" s="222">
        <v>626.33141999999998</v>
      </c>
      <c r="F86" s="222">
        <v>539.36586000000011</v>
      </c>
      <c r="G86" s="222">
        <v>523.37637000000007</v>
      </c>
      <c r="H86" s="222">
        <v>525.95037000000002</v>
      </c>
      <c r="I86" s="222">
        <v>731.47635000000002</v>
      </c>
      <c r="J86" s="222">
        <v>637.89561000000003</v>
      </c>
      <c r="K86" s="222">
        <v>668.3836500000001</v>
      </c>
      <c r="L86" s="222">
        <v>637.81443000000002</v>
      </c>
      <c r="M86" s="222">
        <v>664.36524000000009</v>
      </c>
    </row>
    <row r="88" spans="1:13" ht="15" x14ac:dyDescent="0.25">
      <c r="A88" s="234" t="s">
        <v>411</v>
      </c>
      <c r="B88" s="226"/>
      <c r="C88" s="226"/>
      <c r="D88" s="226"/>
      <c r="E88" s="226"/>
      <c r="F88" s="226"/>
      <c r="G88" s="226"/>
      <c r="H88" s="226"/>
      <c r="I88" s="226"/>
      <c r="J88" s="226"/>
      <c r="K88" s="226"/>
      <c r="L88" s="226"/>
      <c r="M88" s="226"/>
    </row>
    <row r="89" spans="1:13" x14ac:dyDescent="0.2">
      <c r="A89" s="232" t="s">
        <v>337</v>
      </c>
      <c r="B89" s="230">
        <v>41091</v>
      </c>
      <c r="C89" s="230">
        <v>41122</v>
      </c>
      <c r="D89" s="230">
        <v>41153</v>
      </c>
      <c r="E89" s="230">
        <v>41183</v>
      </c>
      <c r="F89" s="230">
        <v>41214</v>
      </c>
      <c r="G89" s="230">
        <v>41244</v>
      </c>
      <c r="H89" s="230">
        <v>41275</v>
      </c>
      <c r="I89" s="230">
        <v>41306</v>
      </c>
      <c r="J89" s="230">
        <v>41334</v>
      </c>
      <c r="K89" s="230">
        <v>41365</v>
      </c>
      <c r="L89" s="230">
        <v>41395</v>
      </c>
      <c r="M89" s="236">
        <v>41426</v>
      </c>
    </row>
    <row r="91" spans="1:13" x14ac:dyDescent="0.2">
      <c r="A91" s="227" t="s">
        <v>409</v>
      </c>
      <c r="B91" s="229">
        <v>0</v>
      </c>
      <c r="C91" s="229">
        <v>30708</v>
      </c>
      <c r="D91" s="229">
        <v>65943</v>
      </c>
      <c r="E91" s="229">
        <v>66790</v>
      </c>
      <c r="F91" s="229">
        <v>53679</v>
      </c>
      <c r="G91" s="229">
        <v>46195</v>
      </c>
      <c r="H91" s="229">
        <v>47003</v>
      </c>
      <c r="I91" s="229">
        <v>49174</v>
      </c>
      <c r="J91" s="229">
        <v>48672</v>
      </c>
      <c r="K91" s="229">
        <v>56553</v>
      </c>
      <c r="L91" s="229">
        <v>53063</v>
      </c>
      <c r="M91" s="229">
        <v>47081</v>
      </c>
    </row>
    <row r="92" spans="1:13" x14ac:dyDescent="0.2">
      <c r="A92" s="227" t="s">
        <v>322</v>
      </c>
      <c r="B92" s="235">
        <v>0</v>
      </c>
      <c r="C92" s="235">
        <v>139932</v>
      </c>
      <c r="D92" s="235">
        <v>165960</v>
      </c>
      <c r="E92" s="235">
        <v>181700</v>
      </c>
      <c r="F92" s="235">
        <v>181700</v>
      </c>
      <c r="G92" s="235">
        <v>181700</v>
      </c>
      <c r="H92" s="235">
        <v>110600</v>
      </c>
      <c r="I92" s="235">
        <v>174615</v>
      </c>
      <c r="J92" s="235">
        <v>106988</v>
      </c>
      <c r="K92" s="235">
        <v>194743</v>
      </c>
      <c r="L92" s="235">
        <v>103497</v>
      </c>
      <c r="M92" s="235">
        <v>8967</v>
      </c>
    </row>
    <row r="93" spans="1:13" ht="15" x14ac:dyDescent="0.25">
      <c r="A93" s="226"/>
      <c r="B93" s="226"/>
      <c r="C93" s="226"/>
      <c r="D93" s="226"/>
      <c r="E93" s="226"/>
      <c r="F93" s="226"/>
      <c r="G93" s="226"/>
      <c r="H93" s="226"/>
      <c r="I93" s="226"/>
      <c r="J93" s="226"/>
      <c r="K93" s="226"/>
      <c r="L93" s="226"/>
      <c r="M93" s="237"/>
    </row>
    <row r="94" spans="1:13" x14ac:dyDescent="0.2">
      <c r="A94" s="227" t="s">
        <v>347</v>
      </c>
      <c r="B94" s="231">
        <v>0</v>
      </c>
      <c r="C94" s="231">
        <v>3239.65</v>
      </c>
      <c r="D94" s="231">
        <v>7029.52</v>
      </c>
      <c r="E94" s="231">
        <v>6819.22</v>
      </c>
      <c r="F94" s="231">
        <v>5625.51</v>
      </c>
      <c r="G94" s="231">
        <v>4905.87</v>
      </c>
      <c r="H94" s="231">
        <v>5052.83</v>
      </c>
      <c r="I94" s="231">
        <v>5217.33</v>
      </c>
      <c r="J94" s="231">
        <v>5134.88</v>
      </c>
      <c r="K94" s="231">
        <v>5887.15</v>
      </c>
      <c r="L94" s="231">
        <v>5709.58</v>
      </c>
      <c r="M94" s="231">
        <v>5065.92</v>
      </c>
    </row>
    <row r="95" spans="1:13" x14ac:dyDescent="0.2">
      <c r="A95" s="228" t="s">
        <v>410</v>
      </c>
      <c r="B95" s="233">
        <v>0</v>
      </c>
      <c r="C95" s="233">
        <v>1371.33</v>
      </c>
      <c r="D95" s="233">
        <v>1626.41</v>
      </c>
      <c r="E95" s="233">
        <v>1798.83</v>
      </c>
      <c r="F95" s="233">
        <v>1798.83</v>
      </c>
      <c r="G95" s="233">
        <v>1798.33</v>
      </c>
      <c r="H95" s="233">
        <v>1106</v>
      </c>
      <c r="I95" s="233">
        <v>1746.15</v>
      </c>
      <c r="J95" s="233">
        <v>1068.8800000000001</v>
      </c>
      <c r="K95" s="233">
        <v>1947.43</v>
      </c>
      <c r="L95" s="233">
        <v>1014.27</v>
      </c>
      <c r="M95" s="233">
        <v>85.93</v>
      </c>
    </row>
    <row r="97" spans="1:20" ht="15" x14ac:dyDescent="0.25">
      <c r="A97" s="273" t="s">
        <v>441</v>
      </c>
      <c r="B97" s="266"/>
      <c r="C97" s="266"/>
      <c r="D97" s="266"/>
      <c r="E97" s="266"/>
      <c r="F97" s="266"/>
      <c r="G97" s="266"/>
      <c r="H97" s="266"/>
      <c r="I97" s="266"/>
      <c r="J97" s="266"/>
      <c r="K97" s="266"/>
      <c r="L97" s="266"/>
      <c r="M97" s="266"/>
    </row>
    <row r="98" spans="1:20" x14ac:dyDescent="0.2">
      <c r="A98" s="271" t="s">
        <v>337</v>
      </c>
      <c r="B98" s="270">
        <v>41122</v>
      </c>
      <c r="C98" s="270">
        <v>41153</v>
      </c>
      <c r="D98" s="270">
        <v>41183</v>
      </c>
      <c r="E98" s="270">
        <v>41214</v>
      </c>
      <c r="F98" s="270">
        <v>41244</v>
      </c>
      <c r="G98" s="270">
        <v>41275</v>
      </c>
      <c r="H98" s="270">
        <v>41306</v>
      </c>
      <c r="I98" s="270">
        <v>41334</v>
      </c>
      <c r="J98" s="270">
        <v>41365</v>
      </c>
      <c r="K98" s="270">
        <v>41395</v>
      </c>
      <c r="L98" s="270">
        <v>41426</v>
      </c>
      <c r="M98" s="270">
        <v>41456</v>
      </c>
    </row>
    <row r="99" spans="1:20" ht="15" x14ac:dyDescent="0.25">
      <c r="A99" s="267" t="s">
        <v>378</v>
      </c>
      <c r="B99" s="284"/>
      <c r="C99" s="284">
        <v>167</v>
      </c>
      <c r="D99" s="284">
        <v>463</v>
      </c>
      <c r="E99" s="284">
        <v>1528</v>
      </c>
      <c r="F99" s="284">
        <v>2113</v>
      </c>
      <c r="G99" s="284">
        <v>2787</v>
      </c>
      <c r="H99" s="284">
        <v>2470</v>
      </c>
      <c r="I99" s="284">
        <v>2289</v>
      </c>
      <c r="J99" s="284">
        <v>1954</v>
      </c>
      <c r="K99" s="284">
        <v>1445</v>
      </c>
      <c r="L99" s="284">
        <v>985</v>
      </c>
      <c r="M99" s="284">
        <v>774</v>
      </c>
    </row>
    <row r="100" spans="1:20" x14ac:dyDescent="0.2">
      <c r="A100" s="267" t="s">
        <v>409</v>
      </c>
      <c r="B100" s="283" t="s">
        <v>442</v>
      </c>
      <c r="C100" s="283" t="s">
        <v>442</v>
      </c>
      <c r="D100" s="283" t="s">
        <v>442</v>
      </c>
      <c r="E100" s="283" t="s">
        <v>442</v>
      </c>
      <c r="F100" s="283" t="s">
        <v>442</v>
      </c>
      <c r="G100" s="269">
        <v>57792</v>
      </c>
      <c r="H100" s="269">
        <v>50205</v>
      </c>
      <c r="I100" s="269">
        <v>55872</v>
      </c>
      <c r="J100" s="269">
        <v>62784</v>
      </c>
      <c r="K100" s="269">
        <v>67008</v>
      </c>
      <c r="L100" s="269">
        <v>61248</v>
      </c>
      <c r="M100" s="269">
        <v>72384</v>
      </c>
    </row>
    <row r="101" spans="1:20" x14ac:dyDescent="0.2">
      <c r="A101" s="267" t="s">
        <v>322</v>
      </c>
      <c r="B101" s="279" t="s">
        <v>442</v>
      </c>
      <c r="C101" s="279" t="s">
        <v>442</v>
      </c>
      <c r="D101" s="274">
        <v>39.06</v>
      </c>
      <c r="E101" s="274">
        <v>43.42</v>
      </c>
      <c r="F101" s="274">
        <v>31.83</v>
      </c>
      <c r="G101" s="274">
        <v>8.66</v>
      </c>
      <c r="H101" s="274">
        <v>52.09</v>
      </c>
      <c r="I101" s="274">
        <v>41.97</v>
      </c>
      <c r="J101" s="274">
        <v>41.97</v>
      </c>
      <c r="K101" s="274">
        <v>34.729999999999997</v>
      </c>
      <c r="L101" s="274">
        <v>11.57</v>
      </c>
      <c r="M101" s="274">
        <v>13.02</v>
      </c>
    </row>
    <row r="102" spans="1:20" x14ac:dyDescent="0.2">
      <c r="A102" s="275"/>
      <c r="B102" s="276"/>
      <c r="C102" s="276"/>
      <c r="D102" s="276"/>
      <c r="E102" s="276"/>
      <c r="F102" s="276"/>
      <c r="G102" s="276"/>
      <c r="H102" s="276"/>
      <c r="I102" s="276"/>
      <c r="J102" s="276"/>
      <c r="K102" s="276"/>
      <c r="L102" s="276"/>
      <c r="M102" s="276"/>
    </row>
    <row r="103" spans="1:20" x14ac:dyDescent="0.2">
      <c r="A103" s="267" t="s">
        <v>381</v>
      </c>
      <c r="B103" s="277"/>
      <c r="C103" s="277">
        <v>189.8</v>
      </c>
      <c r="D103" s="277">
        <v>472.53</v>
      </c>
      <c r="E103" s="277">
        <v>1343.94</v>
      </c>
      <c r="F103" s="277">
        <v>1926.01</v>
      </c>
      <c r="G103" s="277">
        <v>2582.16</v>
      </c>
      <c r="H103" s="277">
        <v>2301.64</v>
      </c>
      <c r="I103" s="277">
        <v>2141.48</v>
      </c>
      <c r="J103" s="277">
        <v>1846.07</v>
      </c>
      <c r="K103" s="277">
        <v>1397.47</v>
      </c>
      <c r="L103" s="277">
        <v>990.42</v>
      </c>
      <c r="M103" s="277">
        <v>804.59</v>
      </c>
    </row>
    <row r="104" spans="1:20" x14ac:dyDescent="0.2">
      <c r="A104" s="267" t="s">
        <v>347</v>
      </c>
      <c r="B104" s="283" t="s">
        <v>442</v>
      </c>
      <c r="C104" s="283" t="s">
        <v>442</v>
      </c>
      <c r="D104" s="283" t="s">
        <v>442</v>
      </c>
      <c r="E104" s="283" t="s">
        <v>442</v>
      </c>
      <c r="F104" s="283" t="s">
        <v>442</v>
      </c>
      <c r="G104" s="277">
        <v>2847.99</v>
      </c>
      <c r="H104" s="277">
        <v>2474.25</v>
      </c>
      <c r="I104" s="277">
        <v>2753.37</v>
      </c>
      <c r="J104" s="277">
        <v>3094</v>
      </c>
      <c r="K104" s="277">
        <v>3302.15</v>
      </c>
      <c r="L104" s="277">
        <v>3018.3</v>
      </c>
      <c r="M104" s="277">
        <v>3567.08</v>
      </c>
    </row>
    <row r="105" spans="1:20" x14ac:dyDescent="0.2">
      <c r="A105" s="268" t="s">
        <v>410</v>
      </c>
      <c r="B105" s="279" t="s">
        <v>442</v>
      </c>
      <c r="C105" s="279" t="s">
        <v>442</v>
      </c>
      <c r="D105" s="272">
        <v>230.31</v>
      </c>
      <c r="E105" s="272">
        <v>246.81</v>
      </c>
      <c r="F105" s="272">
        <v>202.97</v>
      </c>
      <c r="G105" s="272">
        <v>115.32</v>
      </c>
      <c r="H105" s="272">
        <v>279.61</v>
      </c>
      <c r="I105" s="272">
        <v>241.33</v>
      </c>
      <c r="J105" s="272">
        <v>241.33</v>
      </c>
      <c r="K105" s="272">
        <v>213.94</v>
      </c>
      <c r="L105" s="272">
        <v>126.34</v>
      </c>
      <c r="M105" s="272">
        <v>131.82</v>
      </c>
    </row>
    <row r="106" spans="1:20" ht="15" x14ac:dyDescent="0.25">
      <c r="B106" s="280" t="s">
        <v>442</v>
      </c>
      <c r="C106" s="278" t="s">
        <v>443</v>
      </c>
    </row>
    <row r="107" spans="1:20" ht="15" x14ac:dyDescent="0.25">
      <c r="B107" s="282" t="s">
        <v>442</v>
      </c>
      <c r="C107" s="281" t="s">
        <v>444</v>
      </c>
    </row>
    <row r="108" spans="1:20" ht="15" x14ac:dyDescent="0.25">
      <c r="C108" s="281" t="s">
        <v>445</v>
      </c>
      <c r="D108" s="266"/>
      <c r="E108" s="266"/>
      <c r="F108" s="266"/>
      <c r="G108" s="266"/>
      <c r="H108" s="266"/>
      <c r="I108" s="266"/>
      <c r="J108" s="266"/>
      <c r="K108" s="266"/>
      <c r="L108" s="266"/>
      <c r="M108" s="266"/>
    </row>
    <row r="109" spans="1:20" ht="15" x14ac:dyDescent="0.25">
      <c r="C109" s="281" t="s">
        <v>446</v>
      </c>
    </row>
    <row r="110" spans="1:20" ht="15" x14ac:dyDescent="0.25">
      <c r="C110" s="281" t="s">
        <v>447</v>
      </c>
      <c r="D110" s="266"/>
      <c r="E110" s="266"/>
      <c r="F110" s="266"/>
      <c r="G110" s="266"/>
      <c r="H110" s="266"/>
      <c r="I110" s="266"/>
      <c r="J110" s="266"/>
      <c r="K110" s="266"/>
      <c r="L110" s="266"/>
      <c r="M110" s="266"/>
    </row>
    <row r="111" spans="1:20" ht="18.75" x14ac:dyDescent="0.3">
      <c r="A111" s="273" t="s">
        <v>486</v>
      </c>
      <c r="B111" s="341"/>
      <c r="C111" s="341"/>
      <c r="D111" s="342"/>
      <c r="E111" s="341"/>
      <c r="F111" s="341"/>
      <c r="G111" s="345" t="s">
        <v>485</v>
      </c>
      <c r="H111" s="341"/>
      <c r="I111" s="341"/>
      <c r="J111" s="341"/>
      <c r="K111" s="286"/>
      <c r="L111" s="286"/>
      <c r="M111" s="286"/>
    </row>
    <row r="112" spans="1:20" ht="15" x14ac:dyDescent="0.25">
      <c r="A112" s="341"/>
      <c r="K112" s="286"/>
      <c r="L112" s="343" t="s">
        <v>476</v>
      </c>
      <c r="M112" s="343" t="s">
        <v>477</v>
      </c>
      <c r="N112" s="343" t="s">
        <v>478</v>
      </c>
      <c r="O112" s="343" t="s">
        <v>479</v>
      </c>
      <c r="P112" s="343" t="s">
        <v>480</v>
      </c>
      <c r="Q112" s="343" t="s">
        <v>481</v>
      </c>
      <c r="R112" s="343" t="s">
        <v>482</v>
      </c>
      <c r="S112" s="343" t="s">
        <v>483</v>
      </c>
      <c r="T112" s="343" t="s">
        <v>484</v>
      </c>
    </row>
    <row r="113" spans="1:20" ht="15" x14ac:dyDescent="0.25">
      <c r="A113" s="267" t="s">
        <v>378</v>
      </c>
      <c r="K113" s="286"/>
      <c r="L113" s="344">
        <v>6285</v>
      </c>
      <c r="M113" s="344">
        <v>5997</v>
      </c>
      <c r="N113" s="344">
        <v>5925</v>
      </c>
      <c r="O113" s="344">
        <v>6197</v>
      </c>
      <c r="P113" s="344">
        <v>6678</v>
      </c>
      <c r="Q113" s="344">
        <v>7345</v>
      </c>
      <c r="R113" s="344">
        <v>7872</v>
      </c>
      <c r="S113" s="344">
        <v>9243</v>
      </c>
      <c r="T113" s="344">
        <v>8223</v>
      </c>
    </row>
    <row r="114" spans="1:20" ht="15" x14ac:dyDescent="0.25">
      <c r="A114" s="267" t="s">
        <v>409</v>
      </c>
      <c r="K114" s="286"/>
      <c r="L114" s="344">
        <v>779.2</v>
      </c>
      <c r="M114" s="344">
        <v>632.29999999999995</v>
      </c>
      <c r="N114" s="344">
        <v>627.70000000000005</v>
      </c>
      <c r="O114" s="344">
        <v>569.5</v>
      </c>
      <c r="P114" s="344">
        <v>510.4</v>
      </c>
      <c r="Q114" s="344">
        <v>401.8</v>
      </c>
      <c r="R114" s="344">
        <v>287.5</v>
      </c>
      <c r="S114" s="344">
        <v>329.5</v>
      </c>
      <c r="T114" s="344"/>
    </row>
    <row r="115" spans="1:20" ht="15" x14ac:dyDescent="0.25">
      <c r="A115" s="267" t="s">
        <v>322</v>
      </c>
      <c r="K115" s="286"/>
      <c r="L115" s="344">
        <v>10560</v>
      </c>
      <c r="M115" s="344">
        <v>6334</v>
      </c>
      <c r="N115" s="344">
        <v>5644</v>
      </c>
      <c r="O115" s="344">
        <v>5322</v>
      </c>
      <c r="P115" s="344">
        <v>5841</v>
      </c>
      <c r="Q115" s="344">
        <v>5419</v>
      </c>
      <c r="R115" s="344">
        <v>4256</v>
      </c>
      <c r="S115" s="344">
        <v>6332</v>
      </c>
      <c r="T115" s="344">
        <v>7040</v>
      </c>
    </row>
    <row r="116" spans="1:20" ht="15" x14ac:dyDescent="0.25">
      <c r="K116" s="286"/>
      <c r="M116" s="281"/>
      <c r="N116" s="286"/>
      <c r="O116" s="286"/>
      <c r="P116" s="286"/>
      <c r="Q116" s="286"/>
      <c r="R116" s="286"/>
      <c r="S116" s="286"/>
      <c r="T116" s="286"/>
    </row>
    <row r="117" spans="1:20" ht="15" x14ac:dyDescent="0.25">
      <c r="C117" s="281"/>
      <c r="D117" s="286"/>
      <c r="E117" s="286"/>
      <c r="F117" s="286"/>
      <c r="G117" s="286"/>
      <c r="H117" s="286"/>
      <c r="I117" s="286"/>
      <c r="J117" s="286"/>
      <c r="K117" s="286"/>
      <c r="L117" s="286"/>
      <c r="M117" s="286"/>
    </row>
    <row r="118" spans="1:20" ht="15" x14ac:dyDescent="0.25">
      <c r="A118" s="285" t="s">
        <v>468</v>
      </c>
      <c r="C118" s="266"/>
      <c r="D118" s="266"/>
      <c r="E118" s="266"/>
      <c r="F118" s="266"/>
      <c r="G118" s="266"/>
      <c r="H118" s="266"/>
      <c r="I118" s="266"/>
      <c r="J118" s="266"/>
      <c r="K118" s="266"/>
      <c r="L118" s="266"/>
      <c r="M118" s="266"/>
    </row>
    <row r="119" spans="1:20" x14ac:dyDescent="0.2">
      <c r="A119" s="327" t="s">
        <v>337</v>
      </c>
      <c r="B119" s="297" t="s">
        <v>448</v>
      </c>
      <c r="C119" s="291" t="s">
        <v>449</v>
      </c>
      <c r="D119" s="291" t="s">
        <v>450</v>
      </c>
      <c r="E119" s="291" t="s">
        <v>451</v>
      </c>
      <c r="F119" s="291" t="s">
        <v>452</v>
      </c>
      <c r="G119" s="293" t="s">
        <v>453</v>
      </c>
      <c r="H119" s="297" t="s">
        <v>454</v>
      </c>
      <c r="I119" s="291" t="s">
        <v>455</v>
      </c>
      <c r="J119" s="291" t="s">
        <v>456</v>
      </c>
      <c r="K119" s="291" t="s">
        <v>457</v>
      </c>
      <c r="L119" s="291" t="s">
        <v>458</v>
      </c>
      <c r="M119" s="293" t="s">
        <v>459</v>
      </c>
      <c r="N119" s="297" t="s">
        <v>460</v>
      </c>
      <c r="O119" s="308" t="s">
        <v>461</v>
      </c>
    </row>
    <row r="120" spans="1:20" ht="15" x14ac:dyDescent="0.25">
      <c r="A120" s="318"/>
      <c r="B120" s="298"/>
      <c r="C120" s="292"/>
      <c r="D120" s="292"/>
      <c r="E120" s="292"/>
      <c r="F120" s="292"/>
      <c r="G120" s="294"/>
      <c r="H120" s="298"/>
      <c r="I120" s="292"/>
      <c r="J120" s="292"/>
      <c r="K120" s="292"/>
      <c r="L120" s="292"/>
      <c r="M120" s="294"/>
      <c r="N120" s="298"/>
      <c r="O120" s="309"/>
    </row>
    <row r="121" spans="1:20" x14ac:dyDescent="0.2">
      <c r="A121" s="328" t="s">
        <v>409</v>
      </c>
      <c r="B121" s="299">
        <v>151502</v>
      </c>
      <c r="C121" s="287">
        <v>172355</v>
      </c>
      <c r="D121" s="287">
        <v>192858</v>
      </c>
      <c r="E121" s="287">
        <v>139482</v>
      </c>
      <c r="F121" s="287">
        <v>138822</v>
      </c>
      <c r="G121" s="295">
        <v>111327</v>
      </c>
      <c r="H121" s="299">
        <v>71743</v>
      </c>
      <c r="I121" s="287">
        <v>107158</v>
      </c>
      <c r="J121" s="287">
        <v>86119</v>
      </c>
      <c r="K121" s="287">
        <v>109632</v>
      </c>
      <c r="L121" s="287">
        <v>124337</v>
      </c>
      <c r="M121" s="295">
        <v>111701</v>
      </c>
      <c r="N121" s="299">
        <v>166836</v>
      </c>
      <c r="O121" s="310">
        <v>197374</v>
      </c>
    </row>
    <row r="122" spans="1:20" x14ac:dyDescent="0.2">
      <c r="A122" s="328" t="s">
        <v>320</v>
      </c>
      <c r="B122" s="320" t="s">
        <v>462</v>
      </c>
      <c r="C122" s="321" t="s">
        <v>462</v>
      </c>
      <c r="D122" s="321" t="s">
        <v>462</v>
      </c>
      <c r="E122" s="321" t="s">
        <v>462</v>
      </c>
      <c r="F122" s="321" t="s">
        <v>462</v>
      </c>
      <c r="G122" s="322" t="s">
        <v>462</v>
      </c>
      <c r="H122" s="320" t="s">
        <v>462</v>
      </c>
      <c r="I122" s="321" t="s">
        <v>462</v>
      </c>
      <c r="J122" s="321" t="s">
        <v>462</v>
      </c>
      <c r="K122" s="321" t="s">
        <v>462</v>
      </c>
      <c r="L122" s="321" t="s">
        <v>462</v>
      </c>
      <c r="M122" s="322" t="s">
        <v>462</v>
      </c>
      <c r="N122" s="320" t="s">
        <v>462</v>
      </c>
      <c r="O122" s="323" t="s">
        <v>462</v>
      </c>
    </row>
    <row r="123" spans="1:20" x14ac:dyDescent="0.2">
      <c r="A123" s="328" t="s">
        <v>463</v>
      </c>
      <c r="B123" s="299">
        <v>0</v>
      </c>
      <c r="C123" s="287">
        <v>0</v>
      </c>
      <c r="D123" s="287">
        <v>0</v>
      </c>
      <c r="E123" s="287">
        <v>0</v>
      </c>
      <c r="F123" s="287">
        <v>0</v>
      </c>
      <c r="G123" s="295">
        <v>0</v>
      </c>
      <c r="H123" s="299">
        <v>0</v>
      </c>
      <c r="I123" s="287">
        <v>8</v>
      </c>
      <c r="J123" s="287">
        <v>29</v>
      </c>
      <c r="K123" s="287">
        <v>0</v>
      </c>
      <c r="L123" s="287">
        <v>0</v>
      </c>
      <c r="M123" s="295">
        <v>158</v>
      </c>
      <c r="N123" s="299">
        <v>280</v>
      </c>
      <c r="O123" s="310">
        <v>299</v>
      </c>
    </row>
    <row r="124" spans="1:20" ht="15" x14ac:dyDescent="0.25">
      <c r="A124" s="328" t="s">
        <v>322</v>
      </c>
      <c r="B124" s="300">
        <v>269</v>
      </c>
      <c r="C124" s="290">
        <v>621</v>
      </c>
      <c r="D124" s="290">
        <v>10629</v>
      </c>
      <c r="E124" s="290">
        <v>17430</v>
      </c>
      <c r="F124" s="290">
        <v>13248</v>
      </c>
      <c r="G124" s="296">
        <v>17123</v>
      </c>
      <c r="H124" s="300">
        <v>3067</v>
      </c>
      <c r="I124" s="290">
        <v>14609</v>
      </c>
      <c r="J124" s="290">
        <v>93783</v>
      </c>
      <c r="K124" s="338">
        <v>5825827</v>
      </c>
      <c r="L124" s="290">
        <v>100680</v>
      </c>
      <c r="M124" s="296">
        <v>5521</v>
      </c>
      <c r="N124" s="300">
        <v>121632</v>
      </c>
      <c r="O124" s="311">
        <v>193313</v>
      </c>
      <c r="P124" s="286"/>
      <c r="Q124" s="325"/>
    </row>
    <row r="125" spans="1:20" ht="15" x14ac:dyDescent="0.25">
      <c r="A125" s="332"/>
      <c r="B125" s="333"/>
      <c r="C125" s="334"/>
      <c r="D125" s="334"/>
      <c r="E125" s="334"/>
      <c r="F125" s="334"/>
      <c r="G125" s="334"/>
      <c r="H125" s="334"/>
      <c r="I125" s="334"/>
      <c r="J125" s="334"/>
      <c r="K125" s="334"/>
      <c r="L125" s="334"/>
      <c r="M125" s="335"/>
      <c r="N125" s="335"/>
      <c r="O125" s="336"/>
      <c r="P125" s="286"/>
      <c r="Q125" s="286"/>
    </row>
    <row r="126" spans="1:20" ht="15" x14ac:dyDescent="0.25">
      <c r="A126" s="328" t="s">
        <v>347</v>
      </c>
      <c r="B126" s="303">
        <v>9999.1299999999992</v>
      </c>
      <c r="C126" s="288">
        <v>12409.56</v>
      </c>
      <c r="D126" s="288">
        <v>13885.78</v>
      </c>
      <c r="E126" s="288">
        <v>9484.7800000000007</v>
      </c>
      <c r="F126" s="288">
        <v>8329.32</v>
      </c>
      <c r="G126" s="301">
        <v>6568.29</v>
      </c>
      <c r="H126" s="303">
        <v>4448.07</v>
      </c>
      <c r="I126" s="288">
        <v>6429.48</v>
      </c>
      <c r="J126" s="288">
        <v>5253.26</v>
      </c>
      <c r="K126" s="288">
        <v>6687.55</v>
      </c>
      <c r="L126" s="288">
        <v>7584.56</v>
      </c>
      <c r="M126" s="301">
        <v>6702.06</v>
      </c>
      <c r="N126" s="303">
        <v>12345.86</v>
      </c>
      <c r="O126" s="313">
        <v>11823</v>
      </c>
      <c r="P126" s="286"/>
      <c r="Q126" s="286"/>
    </row>
    <row r="127" spans="1:20" ht="15" x14ac:dyDescent="0.25">
      <c r="A127" s="329" t="s">
        <v>348</v>
      </c>
      <c r="B127" s="320" t="s">
        <v>462</v>
      </c>
      <c r="C127" s="321" t="s">
        <v>462</v>
      </c>
      <c r="D127" s="321" t="s">
        <v>462</v>
      </c>
      <c r="E127" s="321" t="s">
        <v>462</v>
      </c>
      <c r="F127" s="321" t="s">
        <v>462</v>
      </c>
      <c r="G127" s="322" t="s">
        <v>462</v>
      </c>
      <c r="H127" s="320" t="s">
        <v>462</v>
      </c>
      <c r="I127" s="321" t="s">
        <v>462</v>
      </c>
      <c r="J127" s="321" t="s">
        <v>462</v>
      </c>
      <c r="K127" s="321" t="s">
        <v>462</v>
      </c>
      <c r="L127" s="321" t="s">
        <v>462</v>
      </c>
      <c r="M127" s="322" t="s">
        <v>462</v>
      </c>
      <c r="N127" s="320" t="s">
        <v>462</v>
      </c>
      <c r="O127" s="323" t="s">
        <v>462</v>
      </c>
      <c r="P127" s="286"/>
      <c r="Q127" s="286"/>
    </row>
    <row r="128" spans="1:20" ht="15" x14ac:dyDescent="0.25">
      <c r="A128" s="328" t="s">
        <v>356</v>
      </c>
      <c r="B128" s="304">
        <v>17.5</v>
      </c>
      <c r="C128" s="289">
        <v>17.5</v>
      </c>
      <c r="D128" s="289">
        <v>17.5</v>
      </c>
      <c r="E128" s="289">
        <v>17.5</v>
      </c>
      <c r="F128" s="289">
        <v>17.5</v>
      </c>
      <c r="G128" s="302">
        <v>17.5</v>
      </c>
      <c r="H128" s="304">
        <v>17.5</v>
      </c>
      <c r="I128" s="289">
        <v>24.82</v>
      </c>
      <c r="J128" s="289">
        <v>29</v>
      </c>
      <c r="K128" s="289">
        <v>17.5</v>
      </c>
      <c r="L128" s="289">
        <v>0</v>
      </c>
      <c r="M128" s="302">
        <v>158</v>
      </c>
      <c r="N128" s="304">
        <v>291.38</v>
      </c>
      <c r="O128" s="314">
        <v>309.81</v>
      </c>
      <c r="P128" s="286"/>
      <c r="Q128" s="286"/>
    </row>
    <row r="129" spans="1:22" ht="15.75" thickBot="1" x14ac:dyDescent="0.3">
      <c r="A129" s="330" t="s">
        <v>410</v>
      </c>
      <c r="B129" s="315">
        <v>197.52</v>
      </c>
      <c r="C129" s="316">
        <v>206.7</v>
      </c>
      <c r="D129" s="316">
        <v>294.2</v>
      </c>
      <c r="E129" s="316">
        <v>353.65</v>
      </c>
      <c r="F129" s="316">
        <v>317.10000000000002</v>
      </c>
      <c r="G129" s="317">
        <v>350.97</v>
      </c>
      <c r="H129" s="315">
        <v>228.09</v>
      </c>
      <c r="I129" s="316">
        <v>329</v>
      </c>
      <c r="J129" s="316">
        <v>1021.19</v>
      </c>
      <c r="K129" s="337">
        <v>51138.26</v>
      </c>
      <c r="L129" s="316">
        <v>4064.32</v>
      </c>
      <c r="M129" s="317">
        <v>1402.93</v>
      </c>
      <c r="N129" s="339">
        <v>1276.9000000000001</v>
      </c>
      <c r="O129" s="324">
        <v>3674.22</v>
      </c>
      <c r="P129" s="286"/>
      <c r="Q129" s="286"/>
    </row>
    <row r="130" spans="1:22" ht="15" x14ac:dyDescent="0.25">
      <c r="A130" s="305" t="s">
        <v>464</v>
      </c>
      <c r="B130" s="306"/>
      <c r="C130" s="306"/>
      <c r="D130" s="306"/>
      <c r="E130" s="306"/>
      <c r="F130" s="306"/>
      <c r="G130" s="306"/>
      <c r="H130" s="306"/>
      <c r="I130" s="306"/>
      <c r="J130" s="306"/>
      <c r="K130" s="306"/>
      <c r="L130" s="306"/>
      <c r="M130" s="306"/>
      <c r="N130" s="306"/>
      <c r="O130" s="307"/>
      <c r="P130" s="286"/>
      <c r="Q130" s="286"/>
    </row>
    <row r="131" spans="1:22" ht="15" x14ac:dyDescent="0.25">
      <c r="A131" s="326" t="s">
        <v>465</v>
      </c>
      <c r="B131" s="319"/>
      <c r="C131" s="319"/>
      <c r="D131" s="319"/>
      <c r="E131" s="319"/>
      <c r="F131" s="319"/>
      <c r="G131" s="319"/>
      <c r="H131" s="319"/>
      <c r="I131" s="319"/>
      <c r="J131" s="319"/>
      <c r="K131" s="319"/>
      <c r="L131" s="319"/>
      <c r="M131" s="319"/>
      <c r="N131" s="319"/>
      <c r="O131" s="312"/>
      <c r="P131" s="286"/>
      <c r="Q131" s="286"/>
    </row>
    <row r="132" spans="1:22" ht="15" x14ac:dyDescent="0.25">
      <c r="A132" s="331" t="s">
        <v>466</v>
      </c>
      <c r="B132" s="319"/>
      <c r="C132" s="319"/>
      <c r="D132" s="319"/>
      <c r="E132" s="319"/>
      <c r="F132" s="319"/>
      <c r="G132" s="319"/>
      <c r="H132" s="319"/>
      <c r="I132" s="319"/>
      <c r="J132" s="319"/>
      <c r="K132" s="319"/>
      <c r="L132" s="319"/>
      <c r="M132" s="319"/>
      <c r="N132" s="319"/>
      <c r="O132" s="312"/>
      <c r="P132" s="286"/>
      <c r="Q132" s="286"/>
    </row>
    <row r="133" spans="1:22" ht="15" x14ac:dyDescent="0.25">
      <c r="A133" s="331" t="s">
        <v>467</v>
      </c>
      <c r="B133" s="319"/>
      <c r="C133" s="319"/>
      <c r="D133" s="319"/>
      <c r="E133" s="319"/>
      <c r="F133" s="319"/>
      <c r="G133" s="319"/>
      <c r="H133" s="319"/>
      <c r="I133" s="319"/>
      <c r="J133" s="319"/>
      <c r="K133" s="319"/>
      <c r="L133" s="319"/>
      <c r="M133" s="319"/>
      <c r="N133" s="319"/>
      <c r="O133" s="312"/>
      <c r="P133" s="286"/>
      <c r="Q133" s="286"/>
    </row>
    <row r="135" spans="1:22" ht="15" x14ac:dyDescent="0.25">
      <c r="A135" s="358" t="s">
        <v>498</v>
      </c>
      <c r="B135" s="358"/>
      <c r="C135" s="358"/>
      <c r="D135" s="358"/>
      <c r="E135" s="358"/>
      <c r="F135" s="358"/>
      <c r="G135" s="358"/>
      <c r="H135" s="358"/>
      <c r="I135" s="358"/>
      <c r="J135" s="358"/>
      <c r="K135" s="358"/>
      <c r="L135" s="358"/>
      <c r="M135" s="358"/>
      <c r="N135" s="358"/>
      <c r="O135" s="350"/>
      <c r="P135" s="350"/>
      <c r="Q135" s="351"/>
      <c r="R135" s="352"/>
      <c r="S135" s="351"/>
      <c r="T135" s="353"/>
      <c r="U135" s="354"/>
    </row>
    <row r="136" spans="1:22" ht="15" x14ac:dyDescent="0.25">
      <c r="A136" s="358"/>
      <c r="B136" s="358"/>
      <c r="C136" s="358"/>
      <c r="D136" s="358"/>
      <c r="E136" s="358"/>
      <c r="F136" s="358"/>
      <c r="G136" s="358"/>
      <c r="H136" s="358"/>
      <c r="I136" s="358"/>
      <c r="J136" s="358"/>
      <c r="K136" s="358"/>
      <c r="L136" s="358"/>
      <c r="M136" s="358"/>
      <c r="N136" s="358"/>
      <c r="O136" s="360"/>
      <c r="P136" s="415"/>
      <c r="Q136" s="416"/>
      <c r="R136" s="364"/>
      <c r="S136" s="416"/>
      <c r="T136" s="363"/>
      <c r="U136" s="364"/>
      <c r="V136" s="116"/>
    </row>
    <row r="137" spans="1:22" ht="15" x14ac:dyDescent="0.25">
      <c r="A137" s="357" t="s">
        <v>499</v>
      </c>
      <c r="B137" s="390"/>
      <c r="C137" s="390"/>
      <c r="D137" s="390"/>
      <c r="E137" s="390"/>
      <c r="F137" s="390"/>
      <c r="G137" s="390"/>
      <c r="H137" s="390"/>
      <c r="I137" s="390"/>
      <c r="J137" s="390"/>
      <c r="K137" s="390"/>
      <c r="L137" s="390"/>
      <c r="M137" s="390"/>
      <c r="N137" s="390"/>
      <c r="O137" s="350"/>
      <c r="P137" s="415"/>
      <c r="Q137" s="417"/>
      <c r="R137" s="364"/>
      <c r="S137" s="416"/>
      <c r="T137" s="418"/>
      <c r="U137" s="364"/>
      <c r="V137" s="116"/>
    </row>
    <row r="138" spans="1:22" ht="15" x14ac:dyDescent="0.25">
      <c r="A138" s="391" t="s">
        <v>337</v>
      </c>
      <c r="B138" s="392">
        <v>41133</v>
      </c>
      <c r="C138" s="392">
        <v>41173</v>
      </c>
      <c r="D138" s="392">
        <v>41196</v>
      </c>
      <c r="E138" s="392">
        <v>41228</v>
      </c>
      <c r="F138" s="392">
        <v>41255</v>
      </c>
      <c r="G138" s="393">
        <v>41292</v>
      </c>
      <c r="H138" s="393">
        <v>41319</v>
      </c>
      <c r="I138" s="393">
        <v>41346</v>
      </c>
      <c r="J138" s="393">
        <v>41376</v>
      </c>
      <c r="K138" s="393">
        <v>41412</v>
      </c>
      <c r="L138" s="393">
        <v>41445</v>
      </c>
      <c r="M138" s="393">
        <v>41113.416666666701</v>
      </c>
      <c r="N138" s="394" t="s">
        <v>338</v>
      </c>
      <c r="O138" s="350"/>
      <c r="P138" s="415"/>
      <c r="Q138" s="417"/>
      <c r="R138" s="364"/>
      <c r="S138" s="416"/>
      <c r="T138" s="419"/>
      <c r="U138" s="364"/>
      <c r="V138" s="116"/>
    </row>
    <row r="139" spans="1:22" ht="15" x14ac:dyDescent="0.25">
      <c r="A139" s="395"/>
      <c r="B139" s="395"/>
      <c r="C139" s="395"/>
      <c r="D139" s="395"/>
      <c r="E139" s="395"/>
      <c r="F139" s="395"/>
      <c r="G139" s="395"/>
      <c r="H139" s="395"/>
      <c r="I139" s="395"/>
      <c r="J139" s="395"/>
      <c r="K139" s="395"/>
      <c r="L139" s="395"/>
      <c r="M139" s="395"/>
      <c r="N139" s="396"/>
      <c r="O139" s="350"/>
      <c r="P139" s="415"/>
      <c r="Q139" s="420"/>
      <c r="R139" s="421"/>
      <c r="S139" s="422"/>
      <c r="T139" s="423"/>
      <c r="U139" s="421"/>
      <c r="V139" s="116"/>
    </row>
    <row r="140" spans="1:22" ht="15" x14ac:dyDescent="0.25">
      <c r="A140" s="397" t="s">
        <v>500</v>
      </c>
      <c r="B140" s="398">
        <v>58922</v>
      </c>
      <c r="C140" s="398">
        <v>64433</v>
      </c>
      <c r="D140" s="398">
        <v>27834</v>
      </c>
      <c r="E140" s="398">
        <v>43379</v>
      </c>
      <c r="F140" s="398">
        <v>52554</v>
      </c>
      <c r="G140" s="399">
        <v>65640</v>
      </c>
      <c r="H140" s="399">
        <v>42990</v>
      </c>
      <c r="I140" s="399">
        <v>64258</v>
      </c>
      <c r="J140" s="399">
        <v>68459</v>
      </c>
      <c r="K140" s="399">
        <v>59732</v>
      </c>
      <c r="L140" s="399">
        <v>31392</v>
      </c>
      <c r="M140" s="399">
        <v>60060</v>
      </c>
      <c r="N140" s="400">
        <v>639653</v>
      </c>
      <c r="O140" s="355"/>
      <c r="P140" s="424"/>
      <c r="Q140" s="425"/>
      <c r="R140" s="421"/>
      <c r="S140" s="422"/>
      <c r="T140" s="423"/>
      <c r="U140" s="421"/>
      <c r="V140" s="116"/>
    </row>
    <row r="141" spans="1:22" ht="15" x14ac:dyDescent="0.25">
      <c r="A141" s="397" t="s">
        <v>501</v>
      </c>
      <c r="B141" s="401">
        <v>606.80999999999995</v>
      </c>
      <c r="C141" s="402">
        <v>560.77</v>
      </c>
      <c r="D141" s="402">
        <v>299.08</v>
      </c>
      <c r="E141" s="402">
        <v>141.46</v>
      </c>
      <c r="F141" s="402">
        <v>129.51</v>
      </c>
      <c r="G141" s="402">
        <v>135.82</v>
      </c>
      <c r="H141" s="403">
        <v>154.11000000000001</v>
      </c>
      <c r="I141" s="403">
        <v>97.66</v>
      </c>
      <c r="J141" s="403">
        <v>268.74</v>
      </c>
      <c r="K141" s="403">
        <v>331.86</v>
      </c>
      <c r="L141" s="403">
        <v>715.98</v>
      </c>
      <c r="M141" s="403">
        <v>1017.16</v>
      </c>
      <c r="N141" s="400">
        <v>4458.96</v>
      </c>
      <c r="O141" s="350"/>
      <c r="P141" s="415"/>
      <c r="Q141" s="363"/>
      <c r="R141" s="364"/>
      <c r="S141" s="416"/>
      <c r="T141" s="363"/>
      <c r="U141" s="364"/>
      <c r="V141" s="116"/>
    </row>
    <row r="142" spans="1:22" ht="15" x14ac:dyDescent="0.25">
      <c r="A142" s="397" t="s">
        <v>506</v>
      </c>
      <c r="B142" s="401">
        <v>2917.67</v>
      </c>
      <c r="C142" s="402">
        <v>1691.9</v>
      </c>
      <c r="D142" s="402">
        <v>3271.34</v>
      </c>
      <c r="E142" s="402">
        <v>2003.71</v>
      </c>
      <c r="F142" s="402">
        <v>4794.5200000000004</v>
      </c>
      <c r="G142" s="402">
        <v>1859.64</v>
      </c>
      <c r="H142" s="403">
        <v>2031.25</v>
      </c>
      <c r="I142" s="403">
        <v>3090.73</v>
      </c>
      <c r="J142" s="403">
        <v>2363.0300000000002</v>
      </c>
      <c r="K142" s="403">
        <v>959.48</v>
      </c>
      <c r="L142" s="403">
        <v>2798.29</v>
      </c>
      <c r="M142" s="403">
        <v>3467.83</v>
      </c>
      <c r="N142" s="400">
        <v>31249.39</v>
      </c>
      <c r="O142" s="350"/>
      <c r="P142" s="415"/>
      <c r="Q142" s="363"/>
      <c r="R142" s="364"/>
      <c r="S142" s="416"/>
      <c r="T142" s="363"/>
      <c r="U142" s="364"/>
      <c r="V142" s="116"/>
    </row>
    <row r="143" spans="1:22" ht="16.5" x14ac:dyDescent="0.35">
      <c r="A143" s="404" t="s">
        <v>502</v>
      </c>
      <c r="B143" s="405">
        <v>25.08</v>
      </c>
      <c r="C143" s="405">
        <v>25</v>
      </c>
      <c r="D143" s="405">
        <v>67.5</v>
      </c>
      <c r="E143" s="405">
        <v>158</v>
      </c>
      <c r="F143" s="405">
        <v>364</v>
      </c>
      <c r="G143" s="405">
        <v>464</v>
      </c>
      <c r="H143" s="405">
        <v>125.83</v>
      </c>
      <c r="I143" s="405">
        <v>489</v>
      </c>
      <c r="J143" s="405">
        <v>451</v>
      </c>
      <c r="K143" s="405">
        <v>178.33</v>
      </c>
      <c r="L143" s="405">
        <v>174</v>
      </c>
      <c r="M143" s="405">
        <v>174</v>
      </c>
      <c r="N143" s="406">
        <v>2695.74</v>
      </c>
      <c r="O143" s="350"/>
      <c r="P143" s="415"/>
      <c r="Q143" s="363"/>
      <c r="R143" s="364"/>
      <c r="S143" s="416"/>
      <c r="T143" s="426"/>
      <c r="U143" s="364"/>
      <c r="V143" s="116"/>
    </row>
    <row r="144" spans="1:22" ht="15" x14ac:dyDescent="0.25">
      <c r="A144" s="407"/>
      <c r="B144" s="395"/>
      <c r="C144" s="395"/>
      <c r="D144" s="395"/>
      <c r="E144" s="395"/>
      <c r="F144" s="395"/>
      <c r="G144" s="395"/>
      <c r="H144" s="395"/>
      <c r="I144" s="395"/>
      <c r="J144" s="395"/>
      <c r="K144" s="395"/>
      <c r="L144" s="395"/>
      <c r="M144" s="395"/>
      <c r="N144" s="408"/>
      <c r="O144" s="350"/>
      <c r="P144" s="415"/>
      <c r="Q144" s="416"/>
      <c r="R144" s="364"/>
      <c r="S144" s="416"/>
      <c r="T144" s="363"/>
      <c r="U144" s="364"/>
      <c r="V144" s="116"/>
    </row>
    <row r="145" spans="1:22" ht="15" x14ac:dyDescent="0.25">
      <c r="A145" s="397" t="s">
        <v>368</v>
      </c>
      <c r="B145" s="409">
        <v>4949.45</v>
      </c>
      <c r="C145" s="409">
        <v>5412.37</v>
      </c>
      <c r="D145" s="409">
        <v>2338.06</v>
      </c>
      <c r="E145" s="409">
        <v>3643.84</v>
      </c>
      <c r="F145" s="409">
        <v>4414.54</v>
      </c>
      <c r="G145" s="410">
        <v>5513.76</v>
      </c>
      <c r="H145" s="410">
        <v>3611.16</v>
      </c>
      <c r="I145" s="410">
        <v>5397.67</v>
      </c>
      <c r="J145" s="410">
        <v>5750.56</v>
      </c>
      <c r="K145" s="410">
        <v>5017.49</v>
      </c>
      <c r="L145" s="410">
        <v>2636.93</v>
      </c>
      <c r="M145" s="410">
        <v>5225.22</v>
      </c>
      <c r="N145" s="411">
        <v>53911.049999999996</v>
      </c>
      <c r="P145" s="116"/>
      <c r="Q145" s="116"/>
      <c r="R145" s="116"/>
      <c r="S145" s="116"/>
      <c r="T145" s="116"/>
      <c r="U145" s="116"/>
      <c r="V145" s="116"/>
    </row>
    <row r="146" spans="1:22" ht="15" x14ac:dyDescent="0.25">
      <c r="A146" s="397" t="s">
        <v>369</v>
      </c>
      <c r="B146" s="412">
        <v>8325.43</v>
      </c>
      <c r="C146" s="409">
        <v>7693.76</v>
      </c>
      <c r="D146" s="409">
        <v>4103.38</v>
      </c>
      <c r="E146" s="409">
        <v>1940.83</v>
      </c>
      <c r="F146" s="409">
        <v>1776.88</v>
      </c>
      <c r="G146" s="409">
        <v>1863.45</v>
      </c>
      <c r="H146" s="410">
        <v>2114.39</v>
      </c>
      <c r="I146" s="410">
        <v>1339.9</v>
      </c>
      <c r="J146" s="410">
        <v>3687.11</v>
      </c>
      <c r="K146" s="410">
        <v>4553.12</v>
      </c>
      <c r="L146" s="410">
        <v>9823.25</v>
      </c>
      <c r="M146" s="410">
        <v>13945.26</v>
      </c>
      <c r="N146" s="411">
        <v>61166.760000000009</v>
      </c>
    </row>
    <row r="147" spans="1:22" ht="15" x14ac:dyDescent="0.25">
      <c r="A147" s="397" t="s">
        <v>507</v>
      </c>
      <c r="B147" s="412">
        <v>444.09</v>
      </c>
      <c r="C147" s="409">
        <v>257.52</v>
      </c>
      <c r="D147" s="409">
        <v>497.92</v>
      </c>
      <c r="E147" s="409">
        <v>304.98</v>
      </c>
      <c r="F147" s="409">
        <v>729.76</v>
      </c>
      <c r="G147" s="409">
        <v>283.05</v>
      </c>
      <c r="H147" s="410">
        <v>309.17</v>
      </c>
      <c r="I147" s="410">
        <v>470.43</v>
      </c>
      <c r="J147" s="410">
        <v>359.67</v>
      </c>
      <c r="K147" s="410">
        <v>146.04</v>
      </c>
      <c r="L147" s="410">
        <v>425.92</v>
      </c>
      <c r="M147" s="410">
        <v>529.44000000000005</v>
      </c>
      <c r="N147" s="411">
        <v>4757.99</v>
      </c>
    </row>
    <row r="148" spans="1:22" ht="15" x14ac:dyDescent="0.25">
      <c r="A148" s="404" t="s">
        <v>503</v>
      </c>
      <c r="B148" s="413">
        <v>345</v>
      </c>
      <c r="C148" s="413">
        <v>344</v>
      </c>
      <c r="D148" s="413">
        <v>930.87</v>
      </c>
      <c r="E148" s="413">
        <v>2183.37</v>
      </c>
      <c r="F148" s="413">
        <v>5019.5600000000004</v>
      </c>
      <c r="G148" s="413">
        <v>6398.56</v>
      </c>
      <c r="H148" s="413">
        <v>1735.2</v>
      </c>
      <c r="I148" s="413">
        <v>6743.31</v>
      </c>
      <c r="J148" s="413">
        <v>6219.29</v>
      </c>
      <c r="K148" s="413">
        <v>2459.17</v>
      </c>
      <c r="L148" s="413">
        <v>2401.8000000000002</v>
      </c>
      <c r="M148" s="413">
        <v>2511.5300000000002</v>
      </c>
      <c r="N148" s="414">
        <v>37291.660000000003</v>
      </c>
    </row>
    <row r="149" spans="1:22" ht="15" x14ac:dyDescent="0.25">
      <c r="A149" s="356"/>
      <c r="B149" s="356"/>
      <c r="C149" s="356"/>
      <c r="D149" s="356"/>
      <c r="E149" s="356"/>
      <c r="F149" s="356"/>
      <c r="G149" s="356"/>
      <c r="H149" s="356"/>
      <c r="I149" s="356"/>
      <c r="J149" s="356"/>
      <c r="K149" s="356"/>
      <c r="L149" s="356"/>
      <c r="M149" s="356"/>
      <c r="N149" s="356"/>
    </row>
    <row r="151" spans="1:22" ht="15" x14ac:dyDescent="0.25">
      <c r="A151" s="358" t="s">
        <v>504</v>
      </c>
      <c r="B151" s="358"/>
      <c r="C151" s="358"/>
    </row>
    <row r="152" spans="1:22" ht="15" x14ac:dyDescent="0.25">
      <c r="A152" s="358" t="s">
        <v>505</v>
      </c>
      <c r="B152" s="358"/>
      <c r="C152" s="358"/>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1"/>
  <sheetViews>
    <sheetView topLeftCell="A19" workbookViewId="0">
      <selection activeCell="K31" sqref="K31"/>
    </sheetView>
  </sheetViews>
  <sheetFormatPr defaultRowHeight="12.75" x14ac:dyDescent="0.2"/>
  <sheetData>
    <row r="31" spans="11:11" x14ac:dyDescent="0.2">
      <c r="K31" t="s">
        <v>1391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2" sqref="Q22"/>
    </sheetView>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33"/>
  <sheetViews>
    <sheetView topLeftCell="A664" zoomScaleNormal="100" workbookViewId="0">
      <selection activeCell="T726" sqref="T726"/>
    </sheetView>
  </sheetViews>
  <sheetFormatPr defaultRowHeight="15" x14ac:dyDescent="0.25"/>
  <cols>
    <col min="1" max="1" width="8.85546875" style="462"/>
    <col min="2" max="2" width="17.5703125" customWidth="1"/>
    <col min="3" max="3" width="12.7109375" style="497" customWidth="1"/>
    <col min="4" max="18" width="12.7109375" customWidth="1"/>
    <col min="20" max="20" width="14.28515625" bestFit="1" customWidth="1"/>
    <col min="23" max="23" width="14.140625" bestFit="1" customWidth="1"/>
    <col min="25" max="25" width="9.85546875" style="345" bestFit="1" customWidth="1"/>
    <col min="26" max="26" width="8.85546875" style="345"/>
  </cols>
  <sheetData>
    <row r="1" spans="1:26" s="125" customFormat="1" ht="18" x14ac:dyDescent="0.25">
      <c r="A1" s="461"/>
      <c r="B1" s="124" t="s">
        <v>1472</v>
      </c>
      <c r="C1" s="601"/>
      <c r="U1" s="126"/>
      <c r="X1" s="126"/>
      <c r="Y1" s="157"/>
      <c r="Z1" s="157"/>
    </row>
    <row r="2" spans="1:26" s="125" customFormat="1" x14ac:dyDescent="0.25">
      <c r="A2" s="461"/>
      <c r="C2" s="152"/>
      <c r="U2" s="126"/>
      <c r="X2" s="126"/>
      <c r="Y2" s="157"/>
      <c r="Z2" s="157"/>
    </row>
    <row r="3" spans="1:26" s="128" customFormat="1" x14ac:dyDescent="0.25">
      <c r="A3" s="459">
        <v>1</v>
      </c>
      <c r="B3" s="127" t="s">
        <v>336</v>
      </c>
      <c r="C3" s="602"/>
      <c r="T3" s="172" t="s">
        <v>336</v>
      </c>
      <c r="U3" s="129"/>
      <c r="X3" s="129"/>
      <c r="Y3" s="166"/>
      <c r="Z3" s="166"/>
    </row>
    <row r="4" spans="1:26" s="125" customFormat="1" x14ac:dyDescent="0.25">
      <c r="A4" s="461"/>
      <c r="B4" s="130" t="s">
        <v>337</v>
      </c>
      <c r="C4" s="1152">
        <v>42522</v>
      </c>
      <c r="D4" s="131">
        <v>42552</v>
      </c>
      <c r="E4" s="131">
        <v>42583</v>
      </c>
      <c r="F4" s="131">
        <v>42614</v>
      </c>
      <c r="G4" s="131">
        <v>42644</v>
      </c>
      <c r="H4" s="131">
        <v>42675</v>
      </c>
      <c r="I4" s="131">
        <v>42705</v>
      </c>
      <c r="J4" s="131">
        <v>42736</v>
      </c>
      <c r="K4" s="131">
        <v>42767</v>
      </c>
      <c r="L4" s="131">
        <v>42795</v>
      </c>
      <c r="M4" s="131">
        <v>42826</v>
      </c>
      <c r="N4" s="131">
        <v>42856</v>
      </c>
      <c r="O4" s="131">
        <v>42887</v>
      </c>
      <c r="P4" s="131">
        <v>42917</v>
      </c>
      <c r="Q4" s="131">
        <v>42948</v>
      </c>
      <c r="R4" s="131">
        <v>42992</v>
      </c>
      <c r="S4" s="132"/>
      <c r="T4" s="133" t="s">
        <v>338</v>
      </c>
      <c r="U4" s="134" t="s">
        <v>339</v>
      </c>
      <c r="V4" s="132"/>
      <c r="W4" s="133" t="s">
        <v>338</v>
      </c>
      <c r="X4" s="134" t="s">
        <v>339</v>
      </c>
      <c r="Y4" s="157"/>
      <c r="Z4" s="157"/>
    </row>
    <row r="5" spans="1:26" s="125" customFormat="1" x14ac:dyDescent="0.25">
      <c r="A5" s="461"/>
      <c r="B5" s="135" t="s">
        <v>340</v>
      </c>
      <c r="C5" s="606"/>
      <c r="D5" s="136">
        <v>90183.92</v>
      </c>
      <c r="E5" s="136">
        <v>75576.559982699997</v>
      </c>
      <c r="F5" s="136">
        <v>97576.4</v>
      </c>
      <c r="G5" s="136">
        <v>83684.639999999999</v>
      </c>
      <c r="H5" s="136">
        <v>70809.119999999995</v>
      </c>
      <c r="I5" s="136">
        <v>57196</v>
      </c>
      <c r="J5" s="136">
        <v>34628.400017300002</v>
      </c>
      <c r="K5" s="136">
        <v>60848.480000000003</v>
      </c>
      <c r="L5" s="136">
        <v>55911.6</v>
      </c>
      <c r="M5" s="136">
        <v>67107.12</v>
      </c>
      <c r="N5" s="136">
        <v>74650.320017299993</v>
      </c>
      <c r="O5" s="136">
        <v>51248</v>
      </c>
      <c r="P5" s="499"/>
      <c r="Q5" s="174"/>
      <c r="R5" s="174"/>
      <c r="T5" s="140">
        <f>SUM(D5:O5)</f>
        <v>819420.56001729995</v>
      </c>
      <c r="U5" s="138" t="s">
        <v>341</v>
      </c>
      <c r="V5" s="139"/>
      <c r="W5" s="140">
        <f>T5*3413/1000000</f>
        <v>2796.6823713390445</v>
      </c>
      <c r="X5" s="138" t="s">
        <v>342</v>
      </c>
      <c r="Y5" s="157"/>
      <c r="Z5" s="157"/>
    </row>
    <row r="6" spans="1:26" s="125" customFormat="1" x14ac:dyDescent="0.25">
      <c r="A6" s="461"/>
      <c r="B6" s="135" t="s">
        <v>343</v>
      </c>
      <c r="C6" s="606"/>
      <c r="D6" s="136">
        <v>70907</v>
      </c>
      <c r="E6" s="136">
        <v>87591</v>
      </c>
      <c r="F6" s="136">
        <v>136808.80000000002</v>
      </c>
      <c r="G6" s="136">
        <v>139311.40000000002</v>
      </c>
      <c r="H6" s="136">
        <v>241918.00000000003</v>
      </c>
      <c r="I6" s="136">
        <v>150990.20000000001</v>
      </c>
      <c r="J6" s="136">
        <v>226902.40000000002</v>
      </c>
      <c r="K6" s="136">
        <v>146819.20000000001</v>
      </c>
      <c r="L6" s="136">
        <v>222731.40000000002</v>
      </c>
      <c r="M6" s="136">
        <v>121793.20000000001</v>
      </c>
      <c r="N6" s="136">
        <v>102606.6</v>
      </c>
      <c r="O6" s="136">
        <v>73409.600000000006</v>
      </c>
      <c r="P6" s="499"/>
      <c r="Q6" s="174"/>
      <c r="R6" s="174"/>
      <c r="T6" s="140">
        <f>SUM(D6:O6)</f>
        <v>1721788.8000000005</v>
      </c>
      <c r="U6" s="138" t="s">
        <v>344</v>
      </c>
      <c r="V6" s="139"/>
      <c r="W6" s="140">
        <f>T6/1000</f>
        <v>1721.7888000000005</v>
      </c>
      <c r="X6" s="138" t="s">
        <v>342</v>
      </c>
      <c r="Y6" s="495">
        <f>W6+W5</f>
        <v>4518.4711713390452</v>
      </c>
      <c r="Z6" s="138" t="s">
        <v>342</v>
      </c>
    </row>
    <row r="7" spans="1:26" s="125" customFormat="1" x14ac:dyDescent="0.25">
      <c r="A7" s="461"/>
      <c r="B7" s="135" t="s">
        <v>345</v>
      </c>
      <c r="C7" s="606"/>
      <c r="D7" s="141">
        <v>146908</v>
      </c>
      <c r="E7" s="141">
        <v>171372</v>
      </c>
      <c r="F7" s="141">
        <v>218777.00001729999</v>
      </c>
      <c r="G7" s="141">
        <v>168072</v>
      </c>
      <c r="H7" s="141">
        <v>159633</v>
      </c>
      <c r="I7" s="141">
        <v>50000</v>
      </c>
      <c r="J7" s="141">
        <v>112000</v>
      </c>
      <c r="K7" s="141">
        <v>174000</v>
      </c>
      <c r="L7" s="141">
        <v>155865.00001729999</v>
      </c>
      <c r="M7" s="141">
        <v>155975.00001730002</v>
      </c>
      <c r="N7" s="141">
        <v>94933.000017300001</v>
      </c>
      <c r="O7" s="141">
        <v>57452</v>
      </c>
      <c r="P7" s="618"/>
      <c r="Q7" s="178"/>
      <c r="R7" s="178"/>
      <c r="T7" s="140">
        <f>SUM(D7:O7)</f>
        <v>1664987.0000692001</v>
      </c>
      <c r="U7" s="138" t="s">
        <v>346</v>
      </c>
      <c r="V7" s="139"/>
      <c r="W7" s="137">
        <f>T7</f>
        <v>1664987.0000692001</v>
      </c>
      <c r="X7" s="138" t="s">
        <v>346</v>
      </c>
      <c r="Y7" s="157"/>
      <c r="Z7" s="157"/>
    </row>
    <row r="8" spans="1:26" s="125" customFormat="1" x14ac:dyDescent="0.25">
      <c r="A8" s="461"/>
      <c r="B8" s="135" t="s">
        <v>324</v>
      </c>
      <c r="C8" s="606"/>
      <c r="D8" s="142">
        <v>7278.9497200000005</v>
      </c>
      <c r="E8" s="142">
        <v>6102.3156399999998</v>
      </c>
      <c r="F8" s="142">
        <v>7874.4200599999995</v>
      </c>
      <c r="G8" s="142">
        <v>6755.4263700000001</v>
      </c>
      <c r="H8" s="142">
        <v>5718.2861199999998</v>
      </c>
      <c r="I8" s="142">
        <v>4621.7521900000002</v>
      </c>
      <c r="J8" s="142">
        <v>2803.9182799999999</v>
      </c>
      <c r="K8" s="142">
        <v>5070.1960900000004</v>
      </c>
      <c r="L8" s="142">
        <v>4801.7407599999997</v>
      </c>
      <c r="M8" s="142">
        <v>5760.2983199999999</v>
      </c>
      <c r="N8" s="142">
        <v>6406.1559800000005</v>
      </c>
      <c r="O8" s="142">
        <v>4402.4386800000002</v>
      </c>
      <c r="P8" s="1555"/>
      <c r="Q8" s="176"/>
      <c r="R8" s="176"/>
      <c r="T8" s="140">
        <f>SUM(D8:O8)</f>
        <v>67595.898209999999</v>
      </c>
      <c r="U8" s="138"/>
      <c r="V8" s="139"/>
      <c r="W8" s="143">
        <f>T8</f>
        <v>67595.898209999999</v>
      </c>
      <c r="X8" s="138"/>
      <c r="Y8" s="157"/>
      <c r="Z8" s="157"/>
    </row>
    <row r="9" spans="1:26" s="125" customFormat="1" ht="16.5" x14ac:dyDescent="0.35">
      <c r="A9" s="461"/>
      <c r="B9" s="144" t="s">
        <v>348</v>
      </c>
      <c r="C9" s="607"/>
      <c r="D9" s="145">
        <v>1489.2</v>
      </c>
      <c r="E9" s="145">
        <v>1839.6</v>
      </c>
      <c r="F9" s="145">
        <v>2873.28</v>
      </c>
      <c r="G9" s="145">
        <v>2925.84</v>
      </c>
      <c r="H9" s="145">
        <v>5080.8</v>
      </c>
      <c r="I9" s="145">
        <v>3171.12</v>
      </c>
      <c r="J9" s="145">
        <v>4765.4399999999996</v>
      </c>
      <c r="K9" s="145">
        <v>3083.52</v>
      </c>
      <c r="L9" s="145">
        <v>4677.84</v>
      </c>
      <c r="M9" s="145">
        <v>2557.92</v>
      </c>
      <c r="N9" s="145">
        <v>2154.96</v>
      </c>
      <c r="O9" s="145">
        <v>1908.72</v>
      </c>
      <c r="P9" s="1556"/>
      <c r="Q9" s="179"/>
      <c r="R9" s="179"/>
      <c r="T9" s="140">
        <f>SUM(D9:O9)</f>
        <v>36528.239999999998</v>
      </c>
      <c r="U9" s="138"/>
      <c r="V9" s="139"/>
      <c r="W9" s="146">
        <f>T9</f>
        <v>36528.239999999998</v>
      </c>
      <c r="X9" s="138"/>
      <c r="Y9" s="157"/>
      <c r="Z9" s="157"/>
    </row>
    <row r="10" spans="1:26" x14ac:dyDescent="0.25">
      <c r="W10" s="143">
        <f>SUM(W8:W9)</f>
        <v>104124.13821</v>
      </c>
      <c r="X10" s="138"/>
    </row>
    <row r="11" spans="1:26" x14ac:dyDescent="0.25">
      <c r="W11" s="149"/>
      <c r="X11" s="150"/>
    </row>
    <row r="12" spans="1:26" s="128" customFormat="1" x14ac:dyDescent="0.25">
      <c r="A12" s="459">
        <v>2</v>
      </c>
      <c r="B12" s="172" t="s">
        <v>371</v>
      </c>
      <c r="C12" s="173"/>
      <c r="S12" s="173"/>
      <c r="T12" s="598" t="s">
        <v>371</v>
      </c>
      <c r="W12" s="129"/>
      <c r="Y12" s="166"/>
      <c r="Z12" s="764"/>
    </row>
    <row r="13" spans="1:26" s="125" customFormat="1" x14ac:dyDescent="0.25">
      <c r="A13" s="461"/>
      <c r="B13" s="130" t="s">
        <v>337</v>
      </c>
      <c r="C13" s="1152">
        <v>42522</v>
      </c>
      <c r="D13" s="131">
        <v>42552</v>
      </c>
      <c r="E13" s="131">
        <v>42583</v>
      </c>
      <c r="F13" s="131">
        <v>42614</v>
      </c>
      <c r="G13" s="131">
        <v>42644</v>
      </c>
      <c r="H13" s="131">
        <v>42675</v>
      </c>
      <c r="I13" s="131">
        <v>42705</v>
      </c>
      <c r="J13" s="131">
        <v>42736</v>
      </c>
      <c r="K13" s="131">
        <v>42767</v>
      </c>
      <c r="L13" s="131">
        <v>42795</v>
      </c>
      <c r="M13" s="131">
        <v>42826</v>
      </c>
      <c r="N13" s="131">
        <v>42856</v>
      </c>
      <c r="O13" s="131">
        <v>42887</v>
      </c>
      <c r="P13" s="131">
        <v>42917</v>
      </c>
      <c r="Q13" s="131">
        <v>42948</v>
      </c>
      <c r="R13" s="131">
        <v>42992</v>
      </c>
      <c r="S13" s="132"/>
      <c r="T13" s="133" t="s">
        <v>338</v>
      </c>
      <c r="U13" s="134" t="s">
        <v>339</v>
      </c>
      <c r="V13" s="132"/>
      <c r="W13" s="133" t="s">
        <v>338</v>
      </c>
      <c r="X13" s="134" t="s">
        <v>339</v>
      </c>
      <c r="Y13" s="157"/>
      <c r="Z13" s="157"/>
    </row>
    <row r="14" spans="1:26" s="125" customFormat="1" x14ac:dyDescent="0.25">
      <c r="A14" s="461"/>
      <c r="B14" s="135" t="s">
        <v>340</v>
      </c>
      <c r="C14" s="606"/>
      <c r="D14" s="136"/>
      <c r="E14" s="136"/>
      <c r="F14" s="136"/>
      <c r="G14" s="136"/>
      <c r="H14" s="136"/>
      <c r="I14" s="136"/>
      <c r="J14" s="136"/>
      <c r="K14" s="136"/>
      <c r="L14" s="136"/>
      <c r="M14" s="136"/>
      <c r="N14" s="136"/>
      <c r="O14" s="136"/>
      <c r="P14" s="174"/>
      <c r="Q14" s="174"/>
      <c r="R14" s="174"/>
      <c r="T14" s="140">
        <f t="shared" ref="T14:T20" si="0">SUM(C14:O14)</f>
        <v>0</v>
      </c>
      <c r="U14" s="138" t="s">
        <v>341</v>
      </c>
      <c r="V14" s="139"/>
      <c r="W14" s="140">
        <f>T14*3413/1000000</f>
        <v>0</v>
      </c>
      <c r="X14" s="138" t="s">
        <v>342</v>
      </c>
      <c r="Y14" s="157"/>
      <c r="Z14" s="157"/>
    </row>
    <row r="15" spans="1:26" s="125" customFormat="1" x14ac:dyDescent="0.25">
      <c r="A15" s="461"/>
      <c r="B15" s="135" t="s">
        <v>372</v>
      </c>
      <c r="C15" s="606"/>
      <c r="D15" s="136"/>
      <c r="E15" s="136"/>
      <c r="F15" s="136"/>
      <c r="G15" s="136"/>
      <c r="H15" s="136"/>
      <c r="I15" s="136"/>
      <c r="J15" s="136"/>
      <c r="K15" s="136"/>
      <c r="L15" s="136"/>
      <c r="M15" s="136"/>
      <c r="N15" s="136"/>
      <c r="O15" s="136"/>
      <c r="P15" s="174"/>
      <c r="Q15" s="174"/>
      <c r="R15" s="174"/>
      <c r="T15" s="140">
        <f t="shared" si="0"/>
        <v>0</v>
      </c>
      <c r="U15" s="138" t="s">
        <v>354</v>
      </c>
      <c r="V15" s="139"/>
      <c r="W15" s="140">
        <f>T15*99976.124488/1000000</f>
        <v>0</v>
      </c>
      <c r="X15" s="138" t="s">
        <v>342</v>
      </c>
    </row>
    <row r="16" spans="1:26" s="125" customFormat="1" x14ac:dyDescent="0.25">
      <c r="A16" s="461"/>
      <c r="B16" s="135" t="s">
        <v>1059</v>
      </c>
      <c r="C16" s="606"/>
      <c r="D16" s="136"/>
      <c r="E16" s="136"/>
      <c r="F16" s="136"/>
      <c r="G16" s="136"/>
      <c r="H16" s="136"/>
      <c r="I16" s="136"/>
      <c r="J16" s="136"/>
      <c r="K16" s="136"/>
      <c r="L16" s="136"/>
      <c r="M16" s="136"/>
      <c r="N16" s="136"/>
      <c r="O16" s="136"/>
      <c r="P16" s="174"/>
      <c r="Q16" s="174"/>
      <c r="R16" s="174"/>
      <c r="T16" s="140">
        <f t="shared" si="0"/>
        <v>0</v>
      </c>
      <c r="U16" s="138" t="s">
        <v>342</v>
      </c>
      <c r="V16" s="139"/>
      <c r="W16" s="140">
        <f>T16</f>
        <v>0</v>
      </c>
      <c r="X16" s="138" t="s">
        <v>342</v>
      </c>
      <c r="Y16" s="495">
        <f>W14+W15+W16</f>
        <v>0</v>
      </c>
      <c r="Z16" s="153" t="s">
        <v>342</v>
      </c>
    </row>
    <row r="17" spans="1:26" s="125" customFormat="1" x14ac:dyDescent="0.25">
      <c r="A17" s="461"/>
      <c r="B17" s="135" t="s">
        <v>373</v>
      </c>
      <c r="C17" s="606"/>
      <c r="D17" s="141"/>
      <c r="E17" s="141"/>
      <c r="F17" s="141"/>
      <c r="G17" s="141"/>
      <c r="H17" s="141"/>
      <c r="I17" s="141"/>
      <c r="J17" s="141"/>
      <c r="K17" s="141"/>
      <c r="L17" s="141"/>
      <c r="M17" s="141"/>
      <c r="N17" s="141"/>
      <c r="O17" s="141"/>
      <c r="P17" s="178"/>
      <c r="Q17" s="178"/>
      <c r="R17" s="178"/>
      <c r="T17" s="140">
        <f>SUM(C17:O17)</f>
        <v>0</v>
      </c>
      <c r="U17" s="138" t="s">
        <v>367</v>
      </c>
      <c r="V17" s="139"/>
      <c r="W17" s="137">
        <f>T17*7.48</f>
        <v>0</v>
      </c>
      <c r="X17" s="138" t="s">
        <v>346</v>
      </c>
      <c r="Y17" s="157"/>
      <c r="Z17" s="157"/>
    </row>
    <row r="18" spans="1:26" s="125" customFormat="1" x14ac:dyDescent="0.25">
      <c r="A18" s="461"/>
      <c r="B18" s="135" t="s">
        <v>324</v>
      </c>
      <c r="C18" s="606"/>
      <c r="D18" s="142"/>
      <c r="E18" s="142"/>
      <c r="F18" s="142"/>
      <c r="G18" s="142"/>
      <c r="H18" s="142"/>
      <c r="I18" s="142"/>
      <c r="J18" s="142"/>
      <c r="K18" s="142"/>
      <c r="L18" s="142"/>
      <c r="M18" s="142"/>
      <c r="N18" s="142"/>
      <c r="O18" s="142"/>
      <c r="P18" s="176"/>
      <c r="Q18" s="176"/>
      <c r="R18" s="176"/>
      <c r="T18" s="140">
        <f t="shared" si="0"/>
        <v>0</v>
      </c>
      <c r="U18" s="138"/>
      <c r="V18" s="139"/>
      <c r="W18" s="143">
        <f>T18</f>
        <v>0</v>
      </c>
      <c r="X18" s="138"/>
      <c r="Y18" s="157"/>
      <c r="Z18" s="157"/>
    </row>
    <row r="19" spans="1:26" s="125" customFormat="1" x14ac:dyDescent="0.25">
      <c r="A19" s="461"/>
      <c r="B19" s="144" t="s">
        <v>374</v>
      </c>
      <c r="C19" s="607"/>
      <c r="D19" s="145"/>
      <c r="E19" s="145"/>
      <c r="F19" s="145"/>
      <c r="G19" s="145"/>
      <c r="H19" s="145"/>
      <c r="I19" s="145"/>
      <c r="J19" s="145"/>
      <c r="K19" s="145"/>
      <c r="L19" s="145"/>
      <c r="M19" s="145"/>
      <c r="N19" s="145"/>
      <c r="O19" s="145"/>
      <c r="P19" s="179"/>
      <c r="Q19" s="179"/>
      <c r="R19" s="179"/>
      <c r="T19" s="140">
        <f t="shared" si="0"/>
        <v>0</v>
      </c>
      <c r="U19" s="138"/>
      <c r="V19" s="139"/>
      <c r="W19" s="143">
        <f>T19</f>
        <v>0</v>
      </c>
      <c r="X19" s="138"/>
      <c r="Y19" s="157"/>
      <c r="Z19" s="157"/>
    </row>
    <row r="20" spans="1:26" s="125" customFormat="1" ht="16.5" x14ac:dyDescent="0.35">
      <c r="A20" s="461"/>
      <c r="B20" s="204" t="s">
        <v>398</v>
      </c>
      <c r="C20" s="607"/>
      <c r="D20" s="145"/>
      <c r="E20" s="145"/>
      <c r="F20" s="145"/>
      <c r="G20" s="145"/>
      <c r="H20" s="145"/>
      <c r="I20" s="145"/>
      <c r="J20" s="145"/>
      <c r="K20" s="145"/>
      <c r="L20" s="145"/>
      <c r="M20" s="145"/>
      <c r="N20" s="145"/>
      <c r="O20" s="145"/>
      <c r="P20" s="179"/>
      <c r="Q20" s="179"/>
      <c r="R20" s="179"/>
      <c r="T20" s="140">
        <f t="shared" si="0"/>
        <v>0</v>
      </c>
      <c r="U20" s="138"/>
      <c r="V20" s="139"/>
      <c r="W20" s="146">
        <f>T20</f>
        <v>0</v>
      </c>
      <c r="X20" s="138"/>
      <c r="Y20" s="157"/>
      <c r="Z20" s="157"/>
    </row>
    <row r="21" spans="1:26" x14ac:dyDescent="0.25">
      <c r="W21" s="143">
        <f>SUM(W18:W20)</f>
        <v>0</v>
      </c>
      <c r="X21" s="138"/>
    </row>
    <row r="22" spans="1:26" x14ac:dyDescent="0.25">
      <c r="W22" s="149"/>
      <c r="X22" s="150"/>
      <c r="Z22" s="345" t="s">
        <v>38</v>
      </c>
    </row>
    <row r="23" spans="1:26" s="128" customFormat="1" x14ac:dyDescent="0.25">
      <c r="A23" s="459">
        <v>3</v>
      </c>
      <c r="B23" s="127" t="s">
        <v>375</v>
      </c>
      <c r="C23" s="173"/>
      <c r="S23" s="173"/>
      <c r="T23" s="598" t="s">
        <v>375</v>
      </c>
      <c r="W23" s="129"/>
      <c r="Y23" s="166"/>
      <c r="Z23" s="166"/>
    </row>
    <row r="24" spans="1:26" s="125" customFormat="1" x14ac:dyDescent="0.25">
      <c r="A24" s="461"/>
      <c r="B24" s="130" t="s">
        <v>337</v>
      </c>
      <c r="C24" s="1152">
        <v>42522</v>
      </c>
      <c r="D24" s="131">
        <v>42552</v>
      </c>
      <c r="E24" s="131">
        <v>42583</v>
      </c>
      <c r="F24" s="131">
        <v>42614</v>
      </c>
      <c r="G24" s="131">
        <v>42644</v>
      </c>
      <c r="H24" s="131">
        <v>42675</v>
      </c>
      <c r="I24" s="131">
        <v>42705</v>
      </c>
      <c r="J24" s="131">
        <v>42736</v>
      </c>
      <c r="K24" s="131">
        <v>42767</v>
      </c>
      <c r="L24" s="131">
        <v>42795</v>
      </c>
      <c r="M24" s="131">
        <v>42826</v>
      </c>
      <c r="N24" s="131">
        <v>42856</v>
      </c>
      <c r="O24" s="131">
        <v>42887</v>
      </c>
      <c r="P24" s="131">
        <v>42917</v>
      </c>
      <c r="Q24" s="131">
        <v>42948</v>
      </c>
      <c r="R24" s="131">
        <v>42992</v>
      </c>
      <c r="S24" s="132"/>
      <c r="T24" s="133" t="s">
        <v>338</v>
      </c>
      <c r="U24" s="134" t="s">
        <v>339</v>
      </c>
      <c r="V24" s="132"/>
      <c r="W24" s="133" t="s">
        <v>338</v>
      </c>
      <c r="X24" s="134" t="s">
        <v>339</v>
      </c>
      <c r="Y24" s="157"/>
      <c r="Z24" s="157"/>
    </row>
    <row r="25" spans="1:26" s="125" customFormat="1" x14ac:dyDescent="0.25">
      <c r="A25" s="461"/>
      <c r="B25" s="135" t="s">
        <v>340</v>
      </c>
      <c r="C25" s="606"/>
      <c r="D25" s="136"/>
      <c r="E25" s="136"/>
      <c r="F25" s="136"/>
      <c r="G25" s="136"/>
      <c r="H25" s="136"/>
      <c r="I25" s="136"/>
      <c r="J25" s="136"/>
      <c r="K25" s="136"/>
      <c r="L25" s="136"/>
      <c r="M25" s="136"/>
      <c r="N25" s="136"/>
      <c r="O25" s="136"/>
      <c r="P25" s="174"/>
      <c r="Q25" s="174"/>
      <c r="R25" s="174"/>
      <c r="T25" s="140">
        <f>SUM(C25:S25)</f>
        <v>0</v>
      </c>
      <c r="U25" s="138" t="s">
        <v>341</v>
      </c>
      <c r="V25" s="139"/>
      <c r="W25" s="140">
        <f>T25*3413/1000000</f>
        <v>0</v>
      </c>
      <c r="X25" s="138" t="s">
        <v>342</v>
      </c>
      <c r="Y25" s="157"/>
      <c r="Z25" s="157"/>
    </row>
    <row r="26" spans="1:26" s="125" customFormat="1" x14ac:dyDescent="0.25">
      <c r="A26" s="461"/>
      <c r="B26" s="135" t="s">
        <v>372</v>
      </c>
      <c r="C26" s="606"/>
      <c r="D26" s="136"/>
      <c r="E26" s="136"/>
      <c r="F26" s="136"/>
      <c r="G26" s="136"/>
      <c r="H26" s="136"/>
      <c r="I26" s="136"/>
      <c r="J26" s="136"/>
      <c r="K26" s="136"/>
      <c r="L26" s="136"/>
      <c r="M26" s="136"/>
      <c r="N26" s="136"/>
      <c r="O26" s="136"/>
      <c r="P26" s="174"/>
      <c r="Q26" s="174"/>
      <c r="R26" s="174"/>
      <c r="T26" s="140">
        <f>SUM(C26:S26)</f>
        <v>0</v>
      </c>
      <c r="U26" s="138" t="s">
        <v>354</v>
      </c>
      <c r="V26" s="139"/>
      <c r="W26" s="140">
        <f>T26*99976.124488/1000000</f>
        <v>0</v>
      </c>
      <c r="X26" s="138" t="s">
        <v>342</v>
      </c>
      <c r="Y26" s="495">
        <f>W25+W26</f>
        <v>0</v>
      </c>
      <c r="Z26" s="153" t="s">
        <v>342</v>
      </c>
    </row>
    <row r="27" spans="1:26" s="125" customFormat="1" x14ac:dyDescent="0.25">
      <c r="A27" s="461"/>
      <c r="B27" s="135" t="s">
        <v>373</v>
      </c>
      <c r="C27" s="606"/>
      <c r="D27" s="141"/>
      <c r="E27" s="141"/>
      <c r="F27" s="141"/>
      <c r="G27" s="141"/>
      <c r="H27" s="141"/>
      <c r="I27" s="141"/>
      <c r="J27" s="141"/>
      <c r="K27" s="141"/>
      <c r="L27" s="141"/>
      <c r="M27" s="141"/>
      <c r="N27" s="141"/>
      <c r="O27" s="141"/>
      <c r="P27" s="178"/>
      <c r="Q27" s="178"/>
      <c r="R27" s="178"/>
      <c r="T27" s="140">
        <f>SUM(C27:S27)</f>
        <v>0</v>
      </c>
      <c r="U27" s="138" t="s">
        <v>367</v>
      </c>
      <c r="V27" s="139"/>
      <c r="W27" s="137">
        <f>T27*7.48</f>
        <v>0</v>
      </c>
      <c r="X27" s="138" t="s">
        <v>346</v>
      </c>
      <c r="Y27" s="157"/>
      <c r="Z27" s="157"/>
    </row>
    <row r="28" spans="1:26" s="125" customFormat="1" x14ac:dyDescent="0.25">
      <c r="A28" s="461"/>
      <c r="B28" s="135" t="s">
        <v>324</v>
      </c>
      <c r="C28" s="606"/>
      <c r="D28" s="142"/>
      <c r="E28" s="142"/>
      <c r="F28" s="142"/>
      <c r="G28" s="142"/>
      <c r="H28" s="142"/>
      <c r="I28" s="142"/>
      <c r="J28" s="142"/>
      <c r="K28" s="142"/>
      <c r="L28" s="142"/>
      <c r="M28" s="142"/>
      <c r="N28" s="142"/>
      <c r="O28" s="142"/>
      <c r="P28" s="176"/>
      <c r="Q28" s="176"/>
      <c r="R28" s="176"/>
      <c r="T28" s="143">
        <f>SUM(C28:S28)</f>
        <v>0</v>
      </c>
      <c r="U28" s="138"/>
      <c r="V28" s="139"/>
      <c r="W28" s="143">
        <f>T28</f>
        <v>0</v>
      </c>
      <c r="X28" s="138"/>
      <c r="Y28" s="157"/>
      <c r="Z28" s="157"/>
    </row>
    <row r="29" spans="1:26" s="125" customFormat="1" ht="16.5" x14ac:dyDescent="0.35">
      <c r="A29" s="461"/>
      <c r="B29" s="144" t="s">
        <v>374</v>
      </c>
      <c r="C29" s="607"/>
      <c r="D29" s="145"/>
      <c r="E29" s="145"/>
      <c r="F29" s="145"/>
      <c r="G29" s="145"/>
      <c r="H29" s="145"/>
      <c r="I29" s="145"/>
      <c r="J29" s="145"/>
      <c r="K29" s="145"/>
      <c r="L29" s="145"/>
      <c r="M29" s="145"/>
      <c r="N29" s="145"/>
      <c r="O29" s="145"/>
      <c r="P29" s="179"/>
      <c r="Q29" s="179"/>
      <c r="R29" s="179"/>
      <c r="T29" s="143">
        <f>SUM(C29:S29)</f>
        <v>0</v>
      </c>
      <c r="U29" s="138"/>
      <c r="V29" s="139"/>
      <c r="W29" s="146">
        <f>T29</f>
        <v>0</v>
      </c>
      <c r="X29" s="138"/>
      <c r="Y29" s="157"/>
      <c r="Z29" s="157"/>
    </row>
    <row r="30" spans="1:26" x14ac:dyDescent="0.25">
      <c r="W30" s="143">
        <f>SUM(W28:W29)</f>
        <v>0</v>
      </c>
      <c r="X30" s="138"/>
      <c r="Z30" s="628" t="e">
        <f>'16.17 Meter Data'!#REF!</f>
        <v>#REF!</v>
      </c>
    </row>
    <row r="31" spans="1:26" x14ac:dyDescent="0.25">
      <c r="W31" s="149"/>
      <c r="X31" s="150"/>
    </row>
    <row r="32" spans="1:26" s="125" customFormat="1" x14ac:dyDescent="0.25">
      <c r="A32" s="461">
        <v>4</v>
      </c>
      <c r="B32" s="148" t="s">
        <v>553</v>
      </c>
      <c r="C32" s="152"/>
      <c r="S32" s="139"/>
      <c r="T32" s="766" t="s">
        <v>553</v>
      </c>
      <c r="U32" s="139"/>
      <c r="V32" s="149"/>
      <c r="W32" s="150"/>
      <c r="Y32" s="157"/>
      <c r="Z32" s="157"/>
    </row>
    <row r="33" spans="1:26" s="125" customFormat="1" x14ac:dyDescent="0.25">
      <c r="A33" s="461"/>
      <c r="B33" s="130" t="s">
        <v>337</v>
      </c>
      <c r="C33" s="1152">
        <v>42522</v>
      </c>
      <c r="D33" s="131">
        <v>42552</v>
      </c>
      <c r="E33" s="131">
        <v>42583</v>
      </c>
      <c r="F33" s="131">
        <v>42614</v>
      </c>
      <c r="G33" s="131">
        <v>42644</v>
      </c>
      <c r="H33" s="131">
        <v>42675</v>
      </c>
      <c r="I33" s="131">
        <v>42705</v>
      </c>
      <c r="J33" s="131">
        <v>42736</v>
      </c>
      <c r="K33" s="131">
        <v>42767</v>
      </c>
      <c r="L33" s="131">
        <v>42795</v>
      </c>
      <c r="M33" s="131">
        <v>42826</v>
      </c>
      <c r="N33" s="131">
        <v>42856</v>
      </c>
      <c r="O33" s="131">
        <v>42887</v>
      </c>
      <c r="P33" s="131">
        <v>42917</v>
      </c>
      <c r="Q33" s="131">
        <v>42948</v>
      </c>
      <c r="R33" s="131">
        <v>42992</v>
      </c>
      <c r="S33" s="132"/>
      <c r="T33" s="133" t="s">
        <v>338</v>
      </c>
      <c r="U33" s="134" t="s">
        <v>339</v>
      </c>
      <c r="V33" s="132"/>
      <c r="W33" s="133" t="s">
        <v>338</v>
      </c>
      <c r="X33" s="134" t="s">
        <v>339</v>
      </c>
      <c r="Y33" s="157"/>
      <c r="Z33" s="157"/>
    </row>
    <row r="34" spans="1:26" s="125" customFormat="1" x14ac:dyDescent="0.25">
      <c r="A34" s="461"/>
      <c r="B34" s="135" t="s">
        <v>340</v>
      </c>
      <c r="C34" s="152"/>
      <c r="D34" s="770">
        <v>101534</v>
      </c>
      <c r="E34" s="770">
        <v>104360</v>
      </c>
      <c r="F34" s="558">
        <v>88955</v>
      </c>
      <c r="G34" s="558">
        <v>79901</v>
      </c>
      <c r="H34" s="558">
        <v>57473</v>
      </c>
      <c r="I34" s="558">
        <v>51047</v>
      </c>
      <c r="J34" s="558">
        <v>53957</v>
      </c>
      <c r="K34" s="558">
        <v>57291</v>
      </c>
      <c r="L34" s="558">
        <v>60217</v>
      </c>
      <c r="M34" s="558">
        <v>65740</v>
      </c>
      <c r="N34" s="558">
        <v>68099</v>
      </c>
      <c r="O34" s="558">
        <v>70935</v>
      </c>
      <c r="P34" s="1340"/>
      <c r="Q34" s="174"/>
      <c r="R34" s="174"/>
      <c r="T34" s="140">
        <f>SUM(D34:P34)</f>
        <v>859509</v>
      </c>
      <c r="U34" s="138" t="s">
        <v>341</v>
      </c>
      <c r="V34" s="139"/>
      <c r="W34" s="140">
        <f>T34*3413/1000000</f>
        <v>2933.5042170000002</v>
      </c>
      <c r="X34" s="138" t="s">
        <v>342</v>
      </c>
      <c r="Y34" s="157"/>
      <c r="Z34" s="157"/>
    </row>
    <row r="35" spans="1:26" s="125" customFormat="1" x14ac:dyDescent="0.25">
      <c r="A35" s="461"/>
      <c r="B35" s="135" t="s">
        <v>350</v>
      </c>
      <c r="C35" s="152" t="s">
        <v>1393</v>
      </c>
      <c r="D35" s="2156"/>
      <c r="E35" s="770"/>
      <c r="F35" s="164"/>
      <c r="G35" s="164"/>
      <c r="H35" s="164"/>
      <c r="I35" s="558"/>
      <c r="J35" s="558"/>
      <c r="K35" s="558"/>
      <c r="L35" s="558"/>
      <c r="M35" s="558"/>
      <c r="N35" s="558"/>
      <c r="O35" s="558"/>
      <c r="P35" s="1340"/>
      <c r="Q35" s="174"/>
      <c r="R35" s="174"/>
      <c r="T35" s="140">
        <f t="shared" ref="T35:T40" si="1">SUM(D35:P35)</f>
        <v>0</v>
      </c>
      <c r="U35" s="138" t="s">
        <v>344</v>
      </c>
      <c r="V35" s="139"/>
      <c r="W35" s="140">
        <f>T35/1000</f>
        <v>0</v>
      </c>
      <c r="X35" s="138" t="s">
        <v>342</v>
      </c>
      <c r="Y35" s="157"/>
      <c r="Z35" s="157"/>
    </row>
    <row r="36" spans="1:26" s="125" customFormat="1" x14ac:dyDescent="0.25">
      <c r="A36" s="461"/>
      <c r="B36" s="135" t="s">
        <v>353</v>
      </c>
      <c r="C36" s="152"/>
      <c r="D36" s="1094">
        <v>39</v>
      </c>
      <c r="E36" s="165">
        <v>41</v>
      </c>
      <c r="F36" s="1094">
        <v>47</v>
      </c>
      <c r="G36" s="1094">
        <v>39</v>
      </c>
      <c r="H36" s="1094">
        <v>40</v>
      </c>
      <c r="I36" s="1094">
        <v>47</v>
      </c>
      <c r="J36" s="1094">
        <v>51</v>
      </c>
      <c r="K36" s="1094">
        <v>48</v>
      </c>
      <c r="L36" s="1094">
        <v>51</v>
      </c>
      <c r="M36" s="1094">
        <v>44</v>
      </c>
      <c r="N36" s="1094">
        <v>46</v>
      </c>
      <c r="O36" s="2096">
        <v>50</v>
      </c>
      <c r="P36" s="456"/>
      <c r="Q36" s="178"/>
      <c r="R36" s="178"/>
      <c r="T36" s="140">
        <f>SUM(D36:P36)</f>
        <v>543</v>
      </c>
      <c r="U36" s="138" t="s">
        <v>354</v>
      </c>
      <c r="V36" s="139"/>
      <c r="W36" s="140">
        <f>T36*99976.124488/1000000</f>
        <v>54.287035596983998</v>
      </c>
      <c r="X36" s="138" t="s">
        <v>342</v>
      </c>
      <c r="Y36" s="495">
        <f>W34+W35+W36</f>
        <v>2987.7912525969841</v>
      </c>
      <c r="Z36" s="153" t="s">
        <v>342</v>
      </c>
    </row>
    <row r="37" spans="1:26" s="125" customFormat="1" x14ac:dyDescent="0.25">
      <c r="A37" s="461"/>
      <c r="B37" s="135" t="s">
        <v>864</v>
      </c>
      <c r="C37" s="152"/>
      <c r="D37" s="2157">
        <v>29190</v>
      </c>
      <c r="E37" s="770">
        <v>36174</v>
      </c>
      <c r="F37" s="768">
        <v>26967</v>
      </c>
      <c r="G37" s="768">
        <v>22047</v>
      </c>
      <c r="H37" s="768">
        <v>20331</v>
      </c>
      <c r="I37" s="768">
        <v>16553</v>
      </c>
      <c r="J37" s="768">
        <v>16038</v>
      </c>
      <c r="K37" s="769">
        <v>8982</v>
      </c>
      <c r="L37" s="769">
        <v>5104</v>
      </c>
      <c r="M37" s="769">
        <v>8580</v>
      </c>
      <c r="N37" s="769">
        <v>8836</v>
      </c>
      <c r="O37" s="769">
        <v>8359</v>
      </c>
      <c r="P37" s="2098"/>
      <c r="Q37" s="730"/>
      <c r="R37" s="176"/>
      <c r="T37" s="140">
        <f t="shared" si="1"/>
        <v>207161</v>
      </c>
      <c r="U37" s="138" t="s">
        <v>379</v>
      </c>
      <c r="V37" s="139"/>
      <c r="W37" s="137">
        <f>T37*7.48</f>
        <v>1549564.28</v>
      </c>
      <c r="X37" s="138" t="s">
        <v>346</v>
      </c>
      <c r="Y37" s="157"/>
      <c r="Z37" s="157"/>
    </row>
    <row r="38" spans="1:26" s="125" customFormat="1" x14ac:dyDescent="0.25">
      <c r="A38" s="461"/>
      <c r="B38" s="135" t="s">
        <v>324</v>
      </c>
      <c r="C38" s="152"/>
      <c r="D38" s="775">
        <v>6315.67</v>
      </c>
      <c r="E38" s="775">
        <v>6491.45</v>
      </c>
      <c r="F38" s="775">
        <v>5533.22</v>
      </c>
      <c r="G38" s="775">
        <v>4970.04</v>
      </c>
      <c r="H38" s="775">
        <v>3637.17</v>
      </c>
      <c r="I38" s="775">
        <v>3175.25</v>
      </c>
      <c r="J38" s="775">
        <v>3356.26</v>
      </c>
      <c r="K38" s="775">
        <v>3563.64</v>
      </c>
      <c r="L38" s="775">
        <v>3745.65</v>
      </c>
      <c r="M38" s="775">
        <v>4089.19</v>
      </c>
      <c r="N38" s="775">
        <v>4235.93</v>
      </c>
      <c r="O38" s="775">
        <v>4412.33</v>
      </c>
      <c r="P38" s="184"/>
      <c r="Q38" s="1162"/>
      <c r="R38" s="179"/>
      <c r="S38" s="155"/>
      <c r="T38" s="156">
        <f t="shared" si="1"/>
        <v>53525.80000000001</v>
      </c>
      <c r="U38" s="138"/>
      <c r="V38" s="139"/>
      <c r="W38" s="143">
        <f>T38</f>
        <v>53525.80000000001</v>
      </c>
      <c r="X38" s="138"/>
      <c r="Y38" s="157"/>
      <c r="Z38" s="157"/>
    </row>
    <row r="39" spans="1:26" s="125" customFormat="1" x14ac:dyDescent="0.25">
      <c r="A39" s="461"/>
      <c r="B39" s="144" t="s">
        <v>348</v>
      </c>
      <c r="C39" s="152" t="s">
        <v>1393</v>
      </c>
      <c r="D39" s="2156"/>
      <c r="E39" s="2158"/>
      <c r="F39" s="775"/>
      <c r="G39" s="775"/>
      <c r="H39" s="775"/>
      <c r="I39" s="775"/>
      <c r="J39" s="775"/>
      <c r="K39" s="775"/>
      <c r="L39" s="775"/>
      <c r="M39" s="775"/>
      <c r="N39" s="775"/>
      <c r="O39" s="775"/>
      <c r="P39" s="184"/>
      <c r="Q39" s="554"/>
      <c r="R39" s="554"/>
      <c r="S39" s="157"/>
      <c r="T39" s="140">
        <f t="shared" si="1"/>
        <v>0</v>
      </c>
      <c r="U39" s="138"/>
      <c r="V39" s="139"/>
      <c r="W39" s="143">
        <f>T39</f>
        <v>0</v>
      </c>
      <c r="X39" s="138"/>
      <c r="Y39" s="157"/>
      <c r="Z39" s="157"/>
    </row>
    <row r="40" spans="1:26" s="125" customFormat="1" ht="16.5" x14ac:dyDescent="0.35">
      <c r="A40" s="461"/>
      <c r="B40" s="135" t="s">
        <v>356</v>
      </c>
      <c r="C40" s="152"/>
      <c r="D40" s="775">
        <v>45.4</v>
      </c>
      <c r="E40" s="775">
        <v>46.77</v>
      </c>
      <c r="F40" s="1147">
        <v>50.87</v>
      </c>
      <c r="G40" s="1147">
        <v>45.48</v>
      </c>
      <c r="H40" s="1147">
        <v>46.63</v>
      </c>
      <c r="I40" s="1147">
        <v>53.19</v>
      </c>
      <c r="J40" s="1147">
        <v>56.61</v>
      </c>
      <c r="K40" s="1147">
        <v>57.79</v>
      </c>
      <c r="L40" s="1147">
        <v>60.26</v>
      </c>
      <c r="M40" s="1147">
        <v>54.71</v>
      </c>
      <c r="N40" s="1147">
        <v>56.95</v>
      </c>
      <c r="O40" s="1147">
        <v>60.27</v>
      </c>
      <c r="P40" s="179"/>
      <c r="Q40" s="179"/>
      <c r="R40" s="179"/>
      <c r="S40" s="155"/>
      <c r="T40" s="156">
        <f t="shared" si="1"/>
        <v>634.93000000000006</v>
      </c>
      <c r="U40" s="138"/>
      <c r="V40" s="139"/>
      <c r="W40" s="146">
        <f>T40</f>
        <v>634.93000000000006</v>
      </c>
      <c r="X40" s="138"/>
      <c r="Y40" s="157"/>
      <c r="Z40" s="157"/>
    </row>
    <row r="41" spans="1:26" x14ac:dyDescent="0.25">
      <c r="C41" s="609"/>
      <c r="W41" s="143">
        <f>SUM(W38:W40)</f>
        <v>54160.73000000001</v>
      </c>
      <c r="X41" s="138"/>
    </row>
    <row r="42" spans="1:26" x14ac:dyDescent="0.25">
      <c r="W42" s="149"/>
      <c r="X42" s="150"/>
    </row>
    <row r="43" spans="1:26" s="125" customFormat="1" x14ac:dyDescent="0.25">
      <c r="A43" s="461">
        <v>5</v>
      </c>
      <c r="B43" s="148" t="s">
        <v>555</v>
      </c>
      <c r="C43" s="152"/>
      <c r="S43" s="139"/>
      <c r="T43" s="766" t="s">
        <v>555</v>
      </c>
      <c r="U43" s="139"/>
      <c r="V43" s="149"/>
      <c r="W43" s="150"/>
      <c r="Y43" s="157"/>
      <c r="Z43" s="157"/>
    </row>
    <row r="44" spans="1:26" s="125" customFormat="1" x14ac:dyDescent="0.25">
      <c r="A44" s="461"/>
      <c r="B44" s="130" t="s">
        <v>337</v>
      </c>
      <c r="C44" s="1152">
        <v>42522</v>
      </c>
      <c r="D44" s="131">
        <v>42552</v>
      </c>
      <c r="E44" s="131">
        <v>42583</v>
      </c>
      <c r="F44" s="131">
        <v>42614</v>
      </c>
      <c r="G44" s="131">
        <v>42644</v>
      </c>
      <c r="H44" s="131">
        <v>42675</v>
      </c>
      <c r="I44" s="131">
        <v>42705</v>
      </c>
      <c r="J44" s="131">
        <v>42736</v>
      </c>
      <c r="K44" s="131">
        <v>42767</v>
      </c>
      <c r="L44" s="131">
        <v>42795</v>
      </c>
      <c r="M44" s="131">
        <v>42826</v>
      </c>
      <c r="N44" s="131">
        <v>42856</v>
      </c>
      <c r="O44" s="131">
        <v>42887</v>
      </c>
      <c r="P44" s="131">
        <v>42917</v>
      </c>
      <c r="Q44" s="131">
        <v>42948</v>
      </c>
      <c r="R44" s="131">
        <v>42992</v>
      </c>
      <c r="S44" s="132"/>
      <c r="T44" s="133" t="s">
        <v>338</v>
      </c>
      <c r="U44" s="134" t="s">
        <v>339</v>
      </c>
      <c r="V44" s="132"/>
      <c r="W44" s="133" t="s">
        <v>338</v>
      </c>
      <c r="X44" s="134" t="s">
        <v>339</v>
      </c>
      <c r="Y44" s="157"/>
      <c r="Z44" s="157"/>
    </row>
    <row r="45" spans="1:26" s="125" customFormat="1" x14ac:dyDescent="0.25">
      <c r="A45" s="461"/>
      <c r="B45" s="135" t="s">
        <v>340</v>
      </c>
      <c r="C45" s="152"/>
      <c r="D45" s="160">
        <v>147744</v>
      </c>
      <c r="E45" s="160">
        <v>165784</v>
      </c>
      <c r="F45" s="558">
        <v>358416</v>
      </c>
      <c r="G45" s="558">
        <v>114416</v>
      </c>
      <c r="H45" s="558">
        <v>80848</v>
      </c>
      <c r="I45" s="558">
        <v>81512</v>
      </c>
      <c r="J45" s="558">
        <v>115584</v>
      </c>
      <c r="K45" s="558">
        <v>105168</v>
      </c>
      <c r="L45" s="558">
        <v>109536</v>
      </c>
      <c r="M45" s="558">
        <v>142384</v>
      </c>
      <c r="N45" s="558">
        <v>133160</v>
      </c>
      <c r="O45" s="558">
        <v>130944</v>
      </c>
      <c r="P45" s="1340"/>
      <c r="Q45" s="174"/>
      <c r="R45" s="174"/>
      <c r="T45" s="140">
        <f>SUM(D45:P45)</f>
        <v>1685496</v>
      </c>
      <c r="U45" s="138" t="s">
        <v>341</v>
      </c>
      <c r="V45" s="139"/>
      <c r="W45" s="140">
        <f>T45*3413/1000000</f>
        <v>5752.5978480000003</v>
      </c>
      <c r="X45" s="138" t="s">
        <v>342</v>
      </c>
      <c r="Y45" s="157"/>
      <c r="Z45" s="157"/>
    </row>
    <row r="46" spans="1:26" s="125" customFormat="1" x14ac:dyDescent="0.25">
      <c r="A46" s="461"/>
      <c r="B46" s="135" t="s">
        <v>350</v>
      </c>
      <c r="C46" s="152" t="s">
        <v>1393</v>
      </c>
      <c r="D46" s="1092"/>
      <c r="E46" s="160"/>
      <c r="F46" s="140"/>
      <c r="G46" s="140"/>
      <c r="H46" s="140"/>
      <c r="I46" s="558"/>
      <c r="J46" s="558"/>
      <c r="K46" s="558"/>
      <c r="L46" s="558"/>
      <c r="M46" s="558"/>
      <c r="N46" s="558"/>
      <c r="O46" s="558"/>
      <c r="P46" s="1340"/>
      <c r="Q46" s="174"/>
      <c r="R46" s="174"/>
      <c r="T46" s="140">
        <f t="shared" ref="T46" si="2">SUM(D46:P46)</f>
        <v>0</v>
      </c>
      <c r="U46" s="138" t="s">
        <v>344</v>
      </c>
      <c r="V46" s="139"/>
      <c r="W46" s="140">
        <f>T46/1000</f>
        <v>0</v>
      </c>
      <c r="X46" s="138" t="s">
        <v>342</v>
      </c>
      <c r="Y46" s="157"/>
      <c r="Z46" s="157"/>
    </row>
    <row r="47" spans="1:26" s="125" customFormat="1" x14ac:dyDescent="0.25">
      <c r="A47" s="461"/>
      <c r="B47" s="135" t="s">
        <v>353</v>
      </c>
      <c r="C47" s="152"/>
      <c r="D47" s="141">
        <v>289</v>
      </c>
      <c r="E47" s="153">
        <v>404</v>
      </c>
      <c r="F47" s="141">
        <v>594</v>
      </c>
      <c r="G47" s="141">
        <v>878</v>
      </c>
      <c r="H47" s="141">
        <v>1277</v>
      </c>
      <c r="I47" s="141">
        <v>1383</v>
      </c>
      <c r="J47" s="141">
        <v>685</v>
      </c>
      <c r="K47" s="141">
        <v>2155</v>
      </c>
      <c r="L47" s="141">
        <v>2118</v>
      </c>
      <c r="M47" s="141">
        <v>1658</v>
      </c>
      <c r="N47" s="141">
        <v>1977</v>
      </c>
      <c r="O47" s="2096">
        <v>48</v>
      </c>
      <c r="P47" s="456"/>
      <c r="Q47" s="178"/>
      <c r="R47" s="178"/>
      <c r="T47" s="140">
        <f>SUM(D47:P47)</f>
        <v>13466</v>
      </c>
      <c r="U47" s="138" t="s">
        <v>354</v>
      </c>
      <c r="V47" s="139"/>
      <c r="W47" s="140">
        <f>T47*99976.124488/1000000</f>
        <v>1346.2784923554079</v>
      </c>
      <c r="X47" s="138" t="s">
        <v>342</v>
      </c>
      <c r="Y47" s="495">
        <f>W45+W46+W47</f>
        <v>7098.8763403554085</v>
      </c>
      <c r="Z47" s="153" t="s">
        <v>342</v>
      </c>
    </row>
    <row r="48" spans="1:26" s="125" customFormat="1" x14ac:dyDescent="0.25">
      <c r="A48" s="461"/>
      <c r="B48" s="135" t="s">
        <v>864</v>
      </c>
      <c r="C48" s="152"/>
      <c r="D48" s="1258">
        <v>36393</v>
      </c>
      <c r="E48" s="160">
        <v>89259</v>
      </c>
      <c r="F48" s="768">
        <v>91028</v>
      </c>
      <c r="G48" s="768">
        <v>83333</v>
      </c>
      <c r="H48" s="768">
        <v>77392</v>
      </c>
      <c r="I48" s="768">
        <v>28849</v>
      </c>
      <c r="J48" s="768">
        <v>86983</v>
      </c>
      <c r="K48" s="769">
        <v>135056</v>
      </c>
      <c r="L48" s="769">
        <v>119848</v>
      </c>
      <c r="M48" s="769">
        <v>109228</v>
      </c>
      <c r="N48" s="769">
        <v>78193</v>
      </c>
      <c r="O48" s="769">
        <v>73540</v>
      </c>
      <c r="P48" s="2098"/>
      <c r="Q48" s="730"/>
      <c r="R48" s="176"/>
      <c r="T48" s="140">
        <f t="shared" ref="T48:T51" si="3">SUM(D48:P48)</f>
        <v>1009102</v>
      </c>
      <c r="U48" s="138" t="s">
        <v>379</v>
      </c>
      <c r="V48" s="139"/>
      <c r="W48" s="137">
        <f>T48*7.48</f>
        <v>7548082.9600000009</v>
      </c>
      <c r="X48" s="138" t="s">
        <v>346</v>
      </c>
      <c r="Y48" s="157"/>
      <c r="Z48" s="157"/>
    </row>
    <row r="49" spans="1:26" s="125" customFormat="1" x14ac:dyDescent="0.25">
      <c r="A49" s="461"/>
      <c r="B49" s="135" t="s">
        <v>324</v>
      </c>
      <c r="C49" s="152"/>
      <c r="D49" s="171">
        <v>9190.0400000000009</v>
      </c>
      <c r="E49" s="171">
        <v>10312.18</v>
      </c>
      <c r="F49" s="171">
        <v>22294.36</v>
      </c>
      <c r="G49" s="171">
        <v>7179.16</v>
      </c>
      <c r="H49" s="171">
        <v>5028.95</v>
      </c>
      <c r="I49" s="171">
        <v>5070.25</v>
      </c>
      <c r="J49" s="171">
        <v>7189.61</v>
      </c>
      <c r="K49" s="171">
        <v>6541.71</v>
      </c>
      <c r="L49" s="171">
        <v>6813.41</v>
      </c>
      <c r="M49" s="171">
        <v>8856.64</v>
      </c>
      <c r="N49" s="171">
        <v>8282.8799999999992</v>
      </c>
      <c r="O49" s="171">
        <v>8145.04</v>
      </c>
      <c r="P49" s="184"/>
      <c r="Q49" s="1162"/>
      <c r="R49" s="179"/>
      <c r="S49" s="155"/>
      <c r="T49" s="156">
        <f t="shared" si="3"/>
        <v>104904.23000000001</v>
      </c>
      <c r="U49" s="138"/>
      <c r="V49" s="139"/>
      <c r="W49" s="143">
        <f>T49</f>
        <v>104904.23000000001</v>
      </c>
      <c r="X49" s="138"/>
      <c r="Y49" s="157"/>
      <c r="Z49" s="157"/>
    </row>
    <row r="50" spans="1:26" s="125" customFormat="1" x14ac:dyDescent="0.25">
      <c r="A50" s="461"/>
      <c r="B50" s="144" t="s">
        <v>348</v>
      </c>
      <c r="C50" s="152" t="s">
        <v>1393</v>
      </c>
      <c r="D50" s="1092"/>
      <c r="E50" s="555"/>
      <c r="F50" s="171"/>
      <c r="G50" s="171"/>
      <c r="H50" s="171"/>
      <c r="I50" s="171"/>
      <c r="J50" s="171"/>
      <c r="K50" s="171"/>
      <c r="L50" s="171"/>
      <c r="M50" s="171"/>
      <c r="N50" s="171"/>
      <c r="O50" s="171"/>
      <c r="P50" s="184"/>
      <c r="Q50" s="554"/>
      <c r="R50" s="554"/>
      <c r="S50" s="157"/>
      <c r="T50" s="140">
        <f t="shared" si="3"/>
        <v>0</v>
      </c>
      <c r="U50" s="138"/>
      <c r="V50" s="139"/>
      <c r="W50" s="143">
        <f>T50</f>
        <v>0</v>
      </c>
      <c r="X50" s="138"/>
      <c r="Y50" s="157"/>
      <c r="Z50" s="157"/>
    </row>
    <row r="51" spans="1:26" s="125" customFormat="1" ht="16.5" x14ac:dyDescent="0.35">
      <c r="A51" s="461"/>
      <c r="B51" s="135" t="s">
        <v>356</v>
      </c>
      <c r="C51" s="152"/>
      <c r="D51" s="171">
        <v>216.39</v>
      </c>
      <c r="E51" s="171">
        <v>295.02999999999997</v>
      </c>
      <c r="F51" s="145">
        <v>418.92</v>
      </c>
      <c r="G51" s="145">
        <v>597.94000000000005</v>
      </c>
      <c r="H51" s="145">
        <v>870.45</v>
      </c>
      <c r="I51" s="145">
        <v>985.72</v>
      </c>
      <c r="J51" s="145">
        <v>522.20000000000005</v>
      </c>
      <c r="K51" s="145">
        <v>1684.04</v>
      </c>
      <c r="L51" s="145">
        <v>1657.57</v>
      </c>
      <c r="M51" s="145">
        <v>1315.61</v>
      </c>
      <c r="N51" s="145">
        <v>1582.56</v>
      </c>
      <c r="O51" s="145">
        <v>58.61</v>
      </c>
      <c r="P51" s="179"/>
      <c r="Q51" s="179"/>
      <c r="R51" s="179"/>
      <c r="S51" s="155"/>
      <c r="T51" s="156">
        <f t="shared" si="3"/>
        <v>10205.039999999999</v>
      </c>
      <c r="U51" s="138"/>
      <c r="V51" s="139"/>
      <c r="W51" s="146">
        <f>T51</f>
        <v>10205.039999999999</v>
      </c>
      <c r="X51" s="138"/>
      <c r="Y51" s="157"/>
      <c r="Z51" s="157"/>
    </row>
    <row r="52" spans="1:26" x14ac:dyDescent="0.25">
      <c r="C52" s="609"/>
      <c r="W52" s="143">
        <f>SUM(W49:W51)</f>
        <v>115109.27</v>
      </c>
      <c r="X52" s="138"/>
    </row>
    <row r="53" spans="1:26" x14ac:dyDescent="0.25">
      <c r="W53" s="149"/>
      <c r="X53" s="150"/>
    </row>
    <row r="54" spans="1:26" s="125" customFormat="1" x14ac:dyDescent="0.25">
      <c r="A54" s="461">
        <v>6</v>
      </c>
      <c r="B54" s="148" t="s">
        <v>556</v>
      </c>
      <c r="C54" s="152"/>
      <c r="D54" s="157"/>
      <c r="S54" s="126"/>
      <c r="T54" s="569" t="s">
        <v>556</v>
      </c>
      <c r="V54" s="126"/>
      <c r="Y54" s="157"/>
      <c r="Z54" s="157"/>
    </row>
    <row r="55" spans="1:26" s="125" customFormat="1" x14ac:dyDescent="0.25">
      <c r="A55" s="461"/>
      <c r="B55" s="130" t="s">
        <v>337</v>
      </c>
      <c r="C55" s="1152">
        <v>42522</v>
      </c>
      <c r="D55" s="131">
        <v>42552</v>
      </c>
      <c r="E55" s="131">
        <v>42583</v>
      </c>
      <c r="F55" s="131">
        <v>42614</v>
      </c>
      <c r="G55" s="131">
        <v>42644</v>
      </c>
      <c r="H55" s="131">
        <v>42675</v>
      </c>
      <c r="I55" s="131">
        <v>42705</v>
      </c>
      <c r="J55" s="131">
        <v>42736</v>
      </c>
      <c r="K55" s="131">
        <v>42767</v>
      </c>
      <c r="L55" s="131">
        <v>42795</v>
      </c>
      <c r="M55" s="131">
        <v>42826</v>
      </c>
      <c r="N55" s="131">
        <v>42856</v>
      </c>
      <c r="O55" s="131">
        <v>42887</v>
      </c>
      <c r="P55" s="131">
        <v>42917</v>
      </c>
      <c r="Q55" s="131">
        <v>42948</v>
      </c>
      <c r="R55" s="131">
        <v>42992</v>
      </c>
      <c r="S55" s="132"/>
      <c r="T55" s="133" t="s">
        <v>338</v>
      </c>
      <c r="U55" s="134" t="s">
        <v>339</v>
      </c>
      <c r="V55" s="132"/>
      <c r="W55" s="133" t="s">
        <v>338</v>
      </c>
      <c r="X55" s="134" t="s">
        <v>339</v>
      </c>
      <c r="Y55" s="157"/>
      <c r="Z55" s="157"/>
    </row>
    <row r="56" spans="1:26" s="157" customFormat="1" x14ac:dyDescent="0.25">
      <c r="A56" s="461"/>
      <c r="B56" s="135" t="s">
        <v>319</v>
      </c>
      <c r="C56" s="599"/>
      <c r="E56" s="1346">
        <v>132497</v>
      </c>
      <c r="F56" s="1346">
        <v>190080</v>
      </c>
      <c r="G56" s="1346">
        <v>173794</v>
      </c>
      <c r="H56" s="1346">
        <v>197784</v>
      </c>
      <c r="I56" s="1346">
        <v>172425</v>
      </c>
      <c r="J56" s="1346">
        <v>169010</v>
      </c>
      <c r="K56" s="1346">
        <v>163677</v>
      </c>
      <c r="L56" s="1346">
        <v>151891</v>
      </c>
      <c r="M56" s="1346">
        <v>156752</v>
      </c>
      <c r="N56" s="1346">
        <v>144391</v>
      </c>
      <c r="O56" s="1346">
        <v>192321</v>
      </c>
      <c r="P56" s="1346">
        <v>147026</v>
      </c>
      <c r="Q56" s="174"/>
      <c r="T56" s="141">
        <f t="shared" ref="T56:T64" si="4">SUM(C56:Q56)</f>
        <v>1991648</v>
      </c>
      <c r="U56" s="188" t="s">
        <v>341</v>
      </c>
      <c r="W56" s="160">
        <f>T56*3413/1000000</f>
        <v>6797.4946239999999</v>
      </c>
      <c r="X56" s="138" t="s">
        <v>342</v>
      </c>
    </row>
    <row r="57" spans="1:26" s="157" customFormat="1" x14ac:dyDescent="0.25">
      <c r="A57" s="461"/>
      <c r="B57" s="135" t="s">
        <v>859</v>
      </c>
      <c r="C57" s="599"/>
      <c r="E57" s="1346">
        <v>638</v>
      </c>
      <c r="F57" s="1346">
        <v>567</v>
      </c>
      <c r="G57" s="1346">
        <v>660</v>
      </c>
      <c r="H57" s="1346">
        <v>408</v>
      </c>
      <c r="I57" s="1346">
        <v>407</v>
      </c>
      <c r="J57" s="1346">
        <v>721</v>
      </c>
      <c r="K57" s="1346">
        <v>581</v>
      </c>
      <c r="L57" s="1346">
        <v>356</v>
      </c>
      <c r="M57" s="1346">
        <v>474</v>
      </c>
      <c r="N57" s="1346">
        <v>383</v>
      </c>
      <c r="O57" s="1346">
        <v>468</v>
      </c>
      <c r="P57" s="1346">
        <v>477</v>
      </c>
      <c r="Q57" s="174"/>
      <c r="T57" s="141">
        <f t="shared" si="4"/>
        <v>6140</v>
      </c>
      <c r="U57" s="188" t="s">
        <v>860</v>
      </c>
      <c r="W57" s="160">
        <f>T57*1194000/1000000</f>
        <v>7331.16</v>
      </c>
      <c r="X57" s="138" t="s">
        <v>342</v>
      </c>
    </row>
    <row r="58" spans="1:26" s="157" customFormat="1" x14ac:dyDescent="0.25">
      <c r="A58" s="461"/>
      <c r="B58" s="192" t="s">
        <v>323</v>
      </c>
      <c r="C58" s="599"/>
      <c r="E58" s="1346">
        <v>181905</v>
      </c>
      <c r="F58" s="1346">
        <v>184835</v>
      </c>
      <c r="G58" s="1346">
        <v>155343</v>
      </c>
      <c r="H58" s="1346">
        <v>64925</v>
      </c>
      <c r="I58" s="1346">
        <v>14135</v>
      </c>
      <c r="J58" s="1346">
        <v>2139</v>
      </c>
      <c r="K58" s="1346">
        <v>2227</v>
      </c>
      <c r="L58" s="1346">
        <v>9867</v>
      </c>
      <c r="M58" s="1346">
        <v>14159</v>
      </c>
      <c r="N58" s="1346">
        <v>54300</v>
      </c>
      <c r="O58" s="1346">
        <v>87151</v>
      </c>
      <c r="P58" s="1346">
        <v>121876</v>
      </c>
      <c r="Q58" s="178"/>
      <c r="T58" s="141">
        <f t="shared" si="4"/>
        <v>892862</v>
      </c>
      <c r="U58" s="188" t="s">
        <v>397</v>
      </c>
      <c r="W58" s="160">
        <f>T58*0.012</f>
        <v>10714.344000000001</v>
      </c>
      <c r="X58" s="138" t="s">
        <v>342</v>
      </c>
    </row>
    <row r="59" spans="1:26" s="157" customFormat="1" x14ac:dyDescent="0.25">
      <c r="A59" s="461"/>
      <c r="B59" s="192" t="s">
        <v>861</v>
      </c>
      <c r="C59" s="599"/>
      <c r="E59" s="1346">
        <v>109</v>
      </c>
      <c r="F59" s="1346">
        <v>162</v>
      </c>
      <c r="G59" s="1346">
        <v>379</v>
      </c>
      <c r="H59" s="1346">
        <v>599</v>
      </c>
      <c r="I59" s="1346">
        <v>380</v>
      </c>
      <c r="J59" s="1346">
        <v>486</v>
      </c>
      <c r="K59" s="1346">
        <v>282</v>
      </c>
      <c r="L59" s="1346">
        <v>303</v>
      </c>
      <c r="M59" s="1346">
        <v>335</v>
      </c>
      <c r="N59" s="1346">
        <v>293</v>
      </c>
      <c r="O59" s="1346">
        <v>381</v>
      </c>
      <c r="P59" s="1346">
        <v>293</v>
      </c>
      <c r="Q59" s="178"/>
      <c r="T59" s="141">
        <f t="shared" si="4"/>
        <v>4002</v>
      </c>
      <c r="U59" s="188" t="s">
        <v>354</v>
      </c>
      <c r="W59" s="140">
        <f>T59*99976.124488/1000000</f>
        <v>400.10445020097603</v>
      </c>
      <c r="X59" s="138" t="s">
        <v>342</v>
      </c>
      <c r="Y59" s="495">
        <f>W56+W57+W58+W59</f>
        <v>25243.103074200975</v>
      </c>
      <c r="Z59" s="153" t="s">
        <v>677</v>
      </c>
    </row>
    <row r="60" spans="1:26" s="157" customFormat="1" x14ac:dyDescent="0.25">
      <c r="A60" s="461"/>
      <c r="B60" s="135" t="s">
        <v>862</v>
      </c>
      <c r="C60" s="599"/>
      <c r="E60" s="1346">
        <v>107</v>
      </c>
      <c r="F60" s="1346">
        <v>201</v>
      </c>
      <c r="G60" s="1346">
        <v>278</v>
      </c>
      <c r="H60" s="1346">
        <v>234</v>
      </c>
      <c r="I60" s="1346">
        <v>215</v>
      </c>
      <c r="J60" s="1346">
        <v>140</v>
      </c>
      <c r="K60" s="1346">
        <v>161</v>
      </c>
      <c r="L60" s="1346">
        <v>131</v>
      </c>
      <c r="M60" s="1346">
        <v>151</v>
      </c>
      <c r="N60" s="1346">
        <v>107</v>
      </c>
      <c r="O60" s="1346">
        <v>122</v>
      </c>
      <c r="P60" s="1346">
        <v>69</v>
      </c>
      <c r="Q60" s="178"/>
      <c r="T60" s="141">
        <f t="shared" si="4"/>
        <v>1916</v>
      </c>
      <c r="U60" s="188" t="s">
        <v>863</v>
      </c>
      <c r="W60" s="141">
        <f>T60*1000</f>
        <v>1916000</v>
      </c>
      <c r="X60" s="188" t="s">
        <v>346</v>
      </c>
    </row>
    <row r="61" spans="1:26" s="157" customFormat="1" x14ac:dyDescent="0.25">
      <c r="A61" s="461"/>
      <c r="B61" s="135" t="s">
        <v>324</v>
      </c>
      <c r="C61" s="599"/>
      <c r="E61" s="171">
        <v>9500.0300000000007</v>
      </c>
      <c r="F61" s="171">
        <v>10416.379999999999</v>
      </c>
      <c r="G61" s="171">
        <v>11522.54</v>
      </c>
      <c r="H61" s="171">
        <v>9374.9599999999991</v>
      </c>
      <c r="I61" s="171">
        <v>9948.92</v>
      </c>
      <c r="J61" s="171">
        <v>8484.2999999999993</v>
      </c>
      <c r="K61" s="171">
        <v>8805.82</v>
      </c>
      <c r="L61" s="171">
        <v>8186.92</v>
      </c>
      <c r="M61" s="171">
        <v>9044.59</v>
      </c>
      <c r="N61" s="171">
        <v>7999.26</v>
      </c>
      <c r="O61" s="171">
        <v>9154.48</v>
      </c>
      <c r="P61" s="171">
        <v>9644.91</v>
      </c>
      <c r="Q61" s="176"/>
      <c r="T61" s="171">
        <f t="shared" si="4"/>
        <v>112083.11</v>
      </c>
      <c r="U61" s="188"/>
      <c r="W61" s="439">
        <f>T61</f>
        <v>112083.11</v>
      </c>
      <c r="X61" s="188"/>
    </row>
    <row r="62" spans="1:26" s="157" customFormat="1" x14ac:dyDescent="0.25">
      <c r="A62" s="461"/>
      <c r="B62" s="195" t="s">
        <v>326</v>
      </c>
      <c r="C62" s="599"/>
      <c r="E62" s="171">
        <v>7017.87</v>
      </c>
      <c r="F62" s="171">
        <v>6236.89</v>
      </c>
      <c r="G62" s="171">
        <v>7259.87</v>
      </c>
      <c r="H62" s="171">
        <v>4487.92</v>
      </c>
      <c r="I62" s="171">
        <v>4476.92</v>
      </c>
      <c r="J62" s="171">
        <v>7930.86</v>
      </c>
      <c r="K62" s="171">
        <v>6390.88</v>
      </c>
      <c r="L62" s="171">
        <v>3915.93</v>
      </c>
      <c r="M62" s="171">
        <v>5213.91</v>
      </c>
      <c r="N62" s="171">
        <v>4212.92</v>
      </c>
      <c r="O62" s="171">
        <v>5147.91</v>
      </c>
      <c r="P62" s="171">
        <v>5245.04</v>
      </c>
      <c r="Q62" s="1058"/>
      <c r="T62" s="171">
        <f t="shared" si="4"/>
        <v>67536.92</v>
      </c>
      <c r="U62" s="188"/>
      <c r="W62" s="190">
        <f>T62</f>
        <v>67536.92</v>
      </c>
      <c r="X62" s="438"/>
    </row>
    <row r="63" spans="1:26" s="157" customFormat="1" x14ac:dyDescent="0.25">
      <c r="A63" s="461"/>
      <c r="B63" s="195" t="s">
        <v>398</v>
      </c>
      <c r="C63" s="599"/>
      <c r="E63" s="171">
        <v>16644.310000000001</v>
      </c>
      <c r="F63" s="171">
        <v>16912.400000000001</v>
      </c>
      <c r="G63" s="171">
        <v>14213.88</v>
      </c>
      <c r="H63" s="171">
        <v>5940.64</v>
      </c>
      <c r="I63" s="171">
        <v>1293.3499999999999</v>
      </c>
      <c r="J63" s="171">
        <v>195.72</v>
      </c>
      <c r="K63" s="171">
        <v>203.77</v>
      </c>
      <c r="L63" s="171">
        <v>902.83</v>
      </c>
      <c r="M63" s="171">
        <v>1295.55</v>
      </c>
      <c r="N63" s="171">
        <v>4968.45</v>
      </c>
      <c r="O63" s="171">
        <v>7974.32</v>
      </c>
      <c r="P63" s="171">
        <v>11395.41</v>
      </c>
      <c r="Q63" s="446"/>
      <c r="T63" s="171">
        <f t="shared" si="4"/>
        <v>81940.63</v>
      </c>
      <c r="U63" s="188"/>
      <c r="W63" s="190">
        <f>T63</f>
        <v>81940.63</v>
      </c>
      <c r="X63" s="188"/>
    </row>
    <row r="64" spans="1:26" s="157" customFormat="1" x14ac:dyDescent="0.25">
      <c r="A64" s="461"/>
      <c r="B64" s="195" t="s">
        <v>829</v>
      </c>
      <c r="C64" s="599"/>
      <c r="E64" s="171">
        <v>69.67</v>
      </c>
      <c r="F64" s="171">
        <v>103.55</v>
      </c>
      <c r="G64" s="171">
        <v>242.25</v>
      </c>
      <c r="H64" s="171">
        <v>380.29</v>
      </c>
      <c r="I64" s="171">
        <v>253.63</v>
      </c>
      <c r="J64" s="171">
        <v>333.09</v>
      </c>
      <c r="K64" s="171">
        <v>203.89</v>
      </c>
      <c r="L64" s="171">
        <v>230.46</v>
      </c>
      <c r="M64" s="171">
        <v>255.24</v>
      </c>
      <c r="N64" s="171">
        <v>225.42</v>
      </c>
      <c r="O64" s="171">
        <v>295.89</v>
      </c>
      <c r="P64" s="171">
        <v>227.55</v>
      </c>
      <c r="Q64" s="446"/>
      <c r="T64" s="171">
        <f t="shared" si="4"/>
        <v>2820.93</v>
      </c>
      <c r="U64" s="188"/>
      <c r="W64" s="190">
        <f>T64</f>
        <v>2820.93</v>
      </c>
      <c r="X64" s="188"/>
    </row>
    <row r="65" spans="1:26" s="125" customFormat="1" x14ac:dyDescent="0.25">
      <c r="A65" s="461"/>
      <c r="B65" s="200"/>
      <c r="C65" s="152"/>
      <c r="E65" s="201"/>
      <c r="F65" s="202"/>
      <c r="G65" s="202"/>
      <c r="H65" s="203"/>
      <c r="I65" s="203"/>
      <c r="J65" s="203"/>
      <c r="K65" s="203"/>
      <c r="L65" s="203"/>
      <c r="M65" s="203"/>
      <c r="N65" s="203"/>
      <c r="O65" s="203"/>
      <c r="P65" s="203"/>
      <c r="S65" s="126"/>
      <c r="V65" s="126"/>
      <c r="W65" s="190">
        <f>SUM(W61:W63)</f>
        <v>261560.66</v>
      </c>
      <c r="X65" s="440"/>
      <c r="Y65" s="157"/>
      <c r="Z65" s="157"/>
    </row>
    <row r="66" spans="1:26" s="125" customFormat="1" x14ac:dyDescent="0.25">
      <c r="A66" s="461"/>
      <c r="B66" s="200"/>
      <c r="C66" s="152"/>
      <c r="E66" s="201"/>
      <c r="F66" s="202"/>
      <c r="G66" s="202"/>
      <c r="H66" s="203"/>
      <c r="I66" s="203"/>
      <c r="J66" s="203"/>
      <c r="K66" s="203"/>
      <c r="L66" s="203"/>
      <c r="M66" s="203"/>
      <c r="N66" s="203"/>
      <c r="O66" s="203"/>
      <c r="P66" s="203"/>
      <c r="S66" s="126"/>
      <c r="V66" s="126"/>
      <c r="W66" s="443"/>
      <c r="X66" s="444"/>
      <c r="Y66" s="157"/>
      <c r="Z66" s="157"/>
    </row>
    <row r="67" spans="1:26" s="128" customFormat="1" x14ac:dyDescent="0.25">
      <c r="A67" s="459">
        <v>7</v>
      </c>
      <c r="B67" s="172" t="s">
        <v>1607</v>
      </c>
      <c r="C67" s="173"/>
      <c r="S67" s="173"/>
      <c r="T67" s="598" t="str">
        <f>B67</f>
        <v>DACS - Davis Event Center</v>
      </c>
      <c r="W67" s="129"/>
      <c r="Y67" s="166"/>
      <c r="Z67" s="764"/>
    </row>
    <row r="68" spans="1:26" s="125" customFormat="1" x14ac:dyDescent="0.25">
      <c r="A68" s="461"/>
      <c r="B68" s="130" t="s">
        <v>337</v>
      </c>
      <c r="C68" s="1152">
        <v>42522</v>
      </c>
      <c r="D68" s="131">
        <v>42552</v>
      </c>
      <c r="E68" s="131">
        <v>42583</v>
      </c>
      <c r="F68" s="131">
        <v>42614</v>
      </c>
      <c r="G68" s="131">
        <v>42644</v>
      </c>
      <c r="H68" s="131">
        <v>42675</v>
      </c>
      <c r="I68" s="131">
        <v>42705</v>
      </c>
      <c r="J68" s="131">
        <v>42736</v>
      </c>
      <c r="K68" s="131">
        <v>42767</v>
      </c>
      <c r="L68" s="131">
        <v>42795</v>
      </c>
      <c r="M68" s="131">
        <v>42826</v>
      </c>
      <c r="N68" s="131">
        <v>42856</v>
      </c>
      <c r="O68" s="131">
        <v>42887</v>
      </c>
      <c r="P68" s="131">
        <v>42917</v>
      </c>
      <c r="Q68" s="131">
        <v>42948</v>
      </c>
      <c r="R68" s="131">
        <v>42992</v>
      </c>
      <c r="S68" s="132"/>
      <c r="T68" s="133" t="s">
        <v>338</v>
      </c>
      <c r="U68" s="134" t="s">
        <v>339</v>
      </c>
      <c r="V68" s="132"/>
      <c r="W68" s="133" t="s">
        <v>338</v>
      </c>
      <c r="X68" s="134" t="s">
        <v>339</v>
      </c>
      <c r="Y68" s="157"/>
      <c r="Z68" s="157"/>
    </row>
    <row r="69" spans="1:26" s="125" customFormat="1" x14ac:dyDescent="0.25">
      <c r="A69" s="461"/>
      <c r="B69" s="135" t="s">
        <v>340</v>
      </c>
      <c r="C69" s="606"/>
      <c r="D69" s="136">
        <v>46440</v>
      </c>
      <c r="E69" s="136">
        <v>59080</v>
      </c>
      <c r="F69" s="136">
        <v>67880</v>
      </c>
      <c r="G69" s="136">
        <v>46840</v>
      </c>
      <c r="H69" s="136">
        <v>36040</v>
      </c>
      <c r="I69" s="136">
        <v>30840</v>
      </c>
      <c r="J69" s="136">
        <v>33440</v>
      </c>
      <c r="K69" s="136">
        <v>40120</v>
      </c>
      <c r="L69" s="136">
        <v>41440</v>
      </c>
      <c r="M69" s="136">
        <v>23400</v>
      </c>
      <c r="N69" s="136">
        <v>50960</v>
      </c>
      <c r="O69" s="136">
        <v>37800</v>
      </c>
      <c r="P69" s="174"/>
      <c r="Q69" s="174"/>
      <c r="R69" s="174"/>
      <c r="T69" s="140">
        <f>SUM(C69:S69)</f>
        <v>514280</v>
      </c>
      <c r="U69" s="138" t="s">
        <v>341</v>
      </c>
      <c r="V69" s="139"/>
      <c r="W69" s="140">
        <f>T69*3413/1000000</f>
        <v>1755.2376400000001</v>
      </c>
      <c r="X69" s="138" t="s">
        <v>342</v>
      </c>
      <c r="Y69" s="157"/>
      <c r="Z69" s="157"/>
    </row>
    <row r="70" spans="1:26" s="125" customFormat="1" x14ac:dyDescent="0.25">
      <c r="A70" s="461"/>
      <c r="B70" s="135" t="s">
        <v>372</v>
      </c>
      <c r="C70" s="606"/>
      <c r="D70" s="154">
        <v>113</v>
      </c>
      <c r="E70" s="154">
        <v>91</v>
      </c>
      <c r="F70" s="154">
        <v>305</v>
      </c>
      <c r="G70" s="154">
        <v>177</v>
      </c>
      <c r="H70" s="154">
        <v>2117</v>
      </c>
      <c r="I70" s="154">
        <v>1910</v>
      </c>
      <c r="J70" s="154">
        <v>2421</v>
      </c>
      <c r="K70" s="154">
        <v>3187</v>
      </c>
      <c r="L70" s="154">
        <v>2779</v>
      </c>
      <c r="M70" s="154">
        <v>174</v>
      </c>
      <c r="N70" s="154">
        <v>197</v>
      </c>
      <c r="O70" s="154">
        <v>142</v>
      </c>
      <c r="P70" s="174"/>
      <c r="Q70" s="174"/>
      <c r="R70" s="174"/>
      <c r="T70" s="140">
        <f>SUM(C70:S70)</f>
        <v>13613</v>
      </c>
      <c r="U70" s="138" t="s">
        <v>354</v>
      </c>
      <c r="V70" s="139"/>
      <c r="W70" s="140">
        <f>T70*99976.124488/1000000</f>
        <v>1360.974982655144</v>
      </c>
      <c r="X70" s="138" t="s">
        <v>342</v>
      </c>
      <c r="Y70" s="495">
        <f>W69+W70</f>
        <v>3116.2126226551441</v>
      </c>
      <c r="Z70" s="153" t="s">
        <v>677</v>
      </c>
    </row>
    <row r="71" spans="1:26" s="125" customFormat="1" x14ac:dyDescent="0.25">
      <c r="A71" s="461"/>
      <c r="B71" s="135" t="s">
        <v>322</v>
      </c>
      <c r="C71" s="606"/>
      <c r="D71" s="141">
        <v>21693.5</v>
      </c>
      <c r="E71" s="1094">
        <v>55355.8</v>
      </c>
      <c r="F71" s="141">
        <v>87522.1</v>
      </c>
      <c r="G71" s="136">
        <v>38898.698799999998</v>
      </c>
      <c r="H71" s="136">
        <v>32914.283600000002</v>
      </c>
      <c r="I71" s="136">
        <v>29174.024099999999</v>
      </c>
      <c r="J71" s="136">
        <v>71064.930500000002</v>
      </c>
      <c r="K71" s="136">
        <v>54607.788699999997</v>
      </c>
      <c r="L71" s="136">
        <v>62088.307699999998</v>
      </c>
      <c r="M71" s="136">
        <v>30670.127899999999</v>
      </c>
      <c r="N71" s="136">
        <v>45631.1659</v>
      </c>
      <c r="O71" s="136">
        <v>26181.816500000001</v>
      </c>
      <c r="P71" s="178"/>
      <c r="Q71" s="178"/>
      <c r="R71" s="178"/>
      <c r="T71" s="140">
        <f>SUM(C71:S71)</f>
        <v>555802.54370000004</v>
      </c>
      <c r="U71" s="138" t="s">
        <v>346</v>
      </c>
      <c r="V71" s="139"/>
      <c r="W71" s="137">
        <f>T71</f>
        <v>555802.54370000004</v>
      </c>
      <c r="X71" s="138" t="s">
        <v>346</v>
      </c>
      <c r="Y71" s="157"/>
      <c r="Z71" s="157"/>
    </row>
    <row r="72" spans="1:26" s="125" customFormat="1" x14ac:dyDescent="0.25">
      <c r="A72" s="461"/>
      <c r="B72" s="135" t="s">
        <v>324</v>
      </c>
      <c r="C72" s="606"/>
      <c r="D72" s="142">
        <v>5015.84</v>
      </c>
      <c r="E72" s="142">
        <v>5949.32</v>
      </c>
      <c r="F72" s="142">
        <v>6783.01</v>
      </c>
      <c r="G72" s="142">
        <v>4970.32</v>
      </c>
      <c r="H72" s="142">
        <v>4030.41</v>
      </c>
      <c r="I72" s="142">
        <v>3472.82</v>
      </c>
      <c r="J72" s="142">
        <v>3666.52</v>
      </c>
      <c r="K72" s="142">
        <v>4120.6099999999997</v>
      </c>
      <c r="L72" s="142">
        <v>4210.38</v>
      </c>
      <c r="M72" s="142">
        <v>3056.1</v>
      </c>
      <c r="N72" s="142">
        <v>5015.3500000000004</v>
      </c>
      <c r="O72" s="142">
        <v>4179.66</v>
      </c>
      <c r="P72" s="176"/>
      <c r="Q72" s="176"/>
      <c r="R72" s="176"/>
      <c r="T72" s="143">
        <f>SUM(C72:S72)</f>
        <v>54470.34</v>
      </c>
      <c r="U72" s="138"/>
      <c r="V72" s="139"/>
      <c r="W72" s="143">
        <f>T72</f>
        <v>54470.34</v>
      </c>
      <c r="X72" s="138"/>
      <c r="Y72" s="157"/>
      <c r="Z72" s="157"/>
    </row>
    <row r="73" spans="1:26" s="125" customFormat="1" ht="16.5" x14ac:dyDescent="0.35">
      <c r="A73" s="461"/>
      <c r="B73" s="144" t="s">
        <v>374</v>
      </c>
      <c r="C73" s="607"/>
      <c r="D73" s="145">
        <v>89.73</v>
      </c>
      <c r="E73" s="145">
        <v>75.67</v>
      </c>
      <c r="F73" s="145">
        <v>212.99</v>
      </c>
      <c r="G73" s="145">
        <v>132.91999999999999</v>
      </c>
      <c r="H73" s="145">
        <v>1387.6</v>
      </c>
      <c r="I73" s="145">
        <v>1273.49</v>
      </c>
      <c r="J73" s="145">
        <v>1762.89</v>
      </c>
      <c r="K73" s="145">
        <v>2308.67</v>
      </c>
      <c r="L73" s="145">
        <v>2028.08</v>
      </c>
      <c r="M73" s="145">
        <v>152.63</v>
      </c>
      <c r="N73" s="145">
        <v>170.49</v>
      </c>
      <c r="O73" s="145">
        <v>127.78</v>
      </c>
      <c r="P73" s="179"/>
      <c r="Q73" s="179"/>
      <c r="R73" s="179"/>
      <c r="T73" s="143">
        <f>SUM(C73:S73)</f>
        <v>9722.94</v>
      </c>
      <c r="U73" s="138"/>
      <c r="V73" s="139"/>
      <c r="W73" s="146">
        <f>T73</f>
        <v>9722.94</v>
      </c>
      <c r="X73" s="138"/>
      <c r="Y73" s="157"/>
      <c r="Z73" s="157"/>
    </row>
    <row r="74" spans="1:26" x14ac:dyDescent="0.25">
      <c r="W74" s="455">
        <f>SUM(W72:W73)</f>
        <v>64193.279999999999</v>
      </c>
      <c r="X74" s="441"/>
    </row>
    <row r="75" spans="1:26" x14ac:dyDescent="0.25">
      <c r="W75" s="445"/>
      <c r="X75" s="116"/>
    </row>
    <row r="76" spans="1:26" s="125" customFormat="1" x14ac:dyDescent="0.25">
      <c r="A76" s="461">
        <v>8</v>
      </c>
      <c r="B76" s="148" t="s">
        <v>359</v>
      </c>
      <c r="C76" s="152"/>
      <c r="R76" s="139"/>
      <c r="S76" s="147"/>
      <c r="T76" s="569" t="s">
        <v>359</v>
      </c>
      <c r="U76" s="149"/>
      <c r="V76" s="150"/>
      <c r="Y76" s="157"/>
      <c r="Z76" s="157"/>
    </row>
    <row r="77" spans="1:26" s="125" customFormat="1" x14ac:dyDescent="0.25">
      <c r="A77" s="461"/>
      <c r="B77" s="130" t="s">
        <v>337</v>
      </c>
      <c r="C77" s="131">
        <v>42522</v>
      </c>
      <c r="D77" s="131">
        <v>42552</v>
      </c>
      <c r="E77" s="131">
        <v>42583</v>
      </c>
      <c r="F77" s="131">
        <v>42614</v>
      </c>
      <c r="G77" s="131">
        <v>42644</v>
      </c>
      <c r="H77" s="131">
        <v>42675</v>
      </c>
      <c r="I77" s="131">
        <v>42705</v>
      </c>
      <c r="J77" s="131">
        <v>42736</v>
      </c>
      <c r="K77" s="131">
        <v>42767</v>
      </c>
      <c r="L77" s="131">
        <v>42795</v>
      </c>
      <c r="M77" s="131">
        <v>42826</v>
      </c>
      <c r="N77" s="131">
        <v>42856</v>
      </c>
      <c r="O77" s="131">
        <v>42887</v>
      </c>
      <c r="P77" s="131">
        <v>42917</v>
      </c>
      <c r="Q77" s="131">
        <v>42948</v>
      </c>
      <c r="R77" s="131">
        <v>42992</v>
      </c>
      <c r="S77" s="132"/>
      <c r="T77" s="133" t="s">
        <v>338</v>
      </c>
      <c r="U77" s="134" t="s">
        <v>339</v>
      </c>
      <c r="V77" s="132"/>
      <c r="W77" s="133" t="s">
        <v>338</v>
      </c>
      <c r="X77" s="134" t="s">
        <v>339</v>
      </c>
      <c r="Y77" s="157"/>
      <c r="Z77" s="157"/>
    </row>
    <row r="78" spans="1:26" s="125" customFormat="1" x14ac:dyDescent="0.25">
      <c r="A78" s="461"/>
      <c r="B78" s="153" t="s">
        <v>360</v>
      </c>
      <c r="C78" s="152"/>
      <c r="E78" s="140">
        <v>56779.999999999971</v>
      </c>
      <c r="F78" s="140">
        <v>55389.000000000124</v>
      </c>
      <c r="G78" s="140">
        <v>56067.000000000007</v>
      </c>
      <c r="H78" s="140">
        <v>57166.999999999913</v>
      </c>
      <c r="I78" s="140">
        <v>56608.999999999927</v>
      </c>
      <c r="J78" s="140">
        <v>61875</v>
      </c>
      <c r="K78" s="140">
        <v>56873.000000000044</v>
      </c>
      <c r="L78" s="140">
        <v>61004.000000000131</v>
      </c>
      <c r="M78" s="140">
        <v>57213.999999999942</v>
      </c>
      <c r="N78" s="140">
        <v>58425.999999999927</v>
      </c>
      <c r="O78" s="140">
        <v>56375.999999999978</v>
      </c>
      <c r="P78" s="140">
        <v>58950.000000000044</v>
      </c>
      <c r="Q78" s="456"/>
      <c r="T78" s="159">
        <f>SUM(E78:Q78)</f>
        <v>692730</v>
      </c>
      <c r="U78" s="138" t="s">
        <v>341</v>
      </c>
      <c r="V78" s="139"/>
      <c r="W78" s="140">
        <f>T78*3413/1000000</f>
        <v>2364.2874900000002</v>
      </c>
      <c r="X78" s="138" t="s">
        <v>342</v>
      </c>
      <c r="Y78" s="157"/>
      <c r="Z78" s="157"/>
    </row>
    <row r="79" spans="1:26" s="125" customFormat="1" x14ac:dyDescent="0.25">
      <c r="A79" s="461"/>
      <c r="B79" s="153" t="s">
        <v>362</v>
      </c>
      <c r="C79" s="152"/>
      <c r="E79" s="140">
        <v>701.02</v>
      </c>
      <c r="F79" s="140">
        <v>535.34</v>
      </c>
      <c r="G79" s="140">
        <v>279.11</v>
      </c>
      <c r="H79" s="140">
        <v>144.63</v>
      </c>
      <c r="I79" s="140">
        <v>74.75</v>
      </c>
      <c r="J79" s="140">
        <v>88.38</v>
      </c>
      <c r="K79" s="140">
        <v>138.6</v>
      </c>
      <c r="L79" s="140">
        <v>228.58</v>
      </c>
      <c r="M79" s="140">
        <v>332.16</v>
      </c>
      <c r="N79" s="140">
        <v>452.57</v>
      </c>
      <c r="O79" s="140">
        <v>585.29999999999995</v>
      </c>
      <c r="P79" s="140">
        <v>752.22</v>
      </c>
      <c r="Q79" s="456"/>
      <c r="T79" s="159">
        <f t="shared" ref="T79:T84" si="5">SUM(E79:Q79)</f>
        <v>4312.6600000000008</v>
      </c>
      <c r="U79" s="138" t="s">
        <v>363</v>
      </c>
      <c r="V79" s="139"/>
      <c r="W79" s="160">
        <f>T79*10*100000/1000000</f>
        <v>4312.6600000000008</v>
      </c>
      <c r="X79" s="138" t="s">
        <v>342</v>
      </c>
      <c r="Y79" s="157"/>
      <c r="Z79" s="157"/>
    </row>
    <row r="80" spans="1:26" s="125" customFormat="1" x14ac:dyDescent="0.25">
      <c r="A80" s="461"/>
      <c r="B80" s="153" t="s">
        <v>364</v>
      </c>
      <c r="C80" s="152"/>
      <c r="E80" s="140">
        <v>248</v>
      </c>
      <c r="F80" s="140">
        <v>433</v>
      </c>
      <c r="G80" s="140">
        <v>477</v>
      </c>
      <c r="H80" s="140">
        <v>516</v>
      </c>
      <c r="I80" s="140">
        <v>420</v>
      </c>
      <c r="J80" s="140">
        <v>432</v>
      </c>
      <c r="K80" s="140">
        <v>566</v>
      </c>
      <c r="L80" s="140">
        <v>570</v>
      </c>
      <c r="M80" s="140">
        <v>499</v>
      </c>
      <c r="N80" s="140">
        <v>502</v>
      </c>
      <c r="O80" s="140">
        <v>484</v>
      </c>
      <c r="P80" s="140">
        <v>483</v>
      </c>
      <c r="Q80" s="456"/>
      <c r="T80" s="161">
        <f t="shared" si="5"/>
        <v>5630</v>
      </c>
      <c r="U80" s="162" t="s">
        <v>365</v>
      </c>
      <c r="V80" s="163"/>
      <c r="W80" s="164">
        <f>T80</f>
        <v>5630</v>
      </c>
      <c r="X80" s="138" t="s">
        <v>342</v>
      </c>
      <c r="Y80" s="495">
        <f>W78+W79+W80</f>
        <v>12306.94749</v>
      </c>
      <c r="Z80" s="153" t="s">
        <v>677</v>
      </c>
    </row>
    <row r="81" spans="1:26" s="166" customFormat="1" x14ac:dyDescent="0.25">
      <c r="A81" s="459"/>
      <c r="B81" s="165" t="s">
        <v>864</v>
      </c>
      <c r="C81" s="610"/>
      <c r="E81" s="167">
        <v>49.476033653846159</v>
      </c>
      <c r="F81" s="771">
        <v>53.163526785714289</v>
      </c>
      <c r="G81" s="771">
        <v>57.087619047619057</v>
      </c>
      <c r="H81" s="771">
        <v>51.171494252873565</v>
      </c>
      <c r="I81" s="771">
        <v>36.769234913793106</v>
      </c>
      <c r="J81" s="771">
        <v>41.314062499999999</v>
      </c>
      <c r="K81" s="771">
        <v>52.677092391304349</v>
      </c>
      <c r="L81" s="771">
        <v>61.201345108695662</v>
      </c>
      <c r="M81" s="771">
        <v>57.503437500000004</v>
      </c>
      <c r="N81" s="771">
        <v>45.050000000000004</v>
      </c>
      <c r="O81" s="771">
        <v>37.595333333333336</v>
      </c>
      <c r="P81" s="771">
        <v>40.126602150537636</v>
      </c>
      <c r="Q81" s="1151"/>
      <c r="T81" s="170">
        <f t="shared" si="5"/>
        <v>583.13578163771729</v>
      </c>
      <c r="U81" s="162" t="s">
        <v>379</v>
      </c>
      <c r="V81" s="163"/>
      <c r="W81" s="164">
        <f>T81*748</f>
        <v>436185.56466501253</v>
      </c>
      <c r="X81" s="162" t="s">
        <v>346</v>
      </c>
    </row>
    <row r="82" spans="1:26" s="125" customFormat="1" x14ac:dyDescent="0.25">
      <c r="A82" s="461"/>
      <c r="B82" s="153" t="s">
        <v>324</v>
      </c>
      <c r="C82" s="152"/>
      <c r="E82" s="171">
        <v>4939.8599999999969</v>
      </c>
      <c r="F82" s="171">
        <v>4818.8430000000108</v>
      </c>
      <c r="G82" s="171">
        <v>4877.8290000000006</v>
      </c>
      <c r="H82" s="171">
        <v>4973.5289999999923</v>
      </c>
      <c r="I82" s="171">
        <v>4924.9829999999929</v>
      </c>
      <c r="J82" s="171">
        <v>5383.125</v>
      </c>
      <c r="K82" s="171">
        <v>4947.9510000000037</v>
      </c>
      <c r="L82" s="171">
        <v>5307.3480000000109</v>
      </c>
      <c r="M82" s="171">
        <v>4977.6179999999949</v>
      </c>
      <c r="N82" s="171">
        <v>5083.0619999999935</v>
      </c>
      <c r="O82" s="171">
        <v>4904.7119999999977</v>
      </c>
      <c r="P82" s="171">
        <v>4892.850000000004</v>
      </c>
      <c r="Q82" s="184"/>
      <c r="T82" s="143">
        <f t="shared" si="5"/>
        <v>60031.71</v>
      </c>
      <c r="U82" s="138"/>
      <c r="V82" s="139"/>
      <c r="W82" s="143">
        <f>T82</f>
        <v>60031.71</v>
      </c>
      <c r="X82" s="138"/>
      <c r="Y82" s="157"/>
      <c r="Z82" s="157"/>
    </row>
    <row r="83" spans="1:26" s="125" customFormat="1" x14ac:dyDescent="0.25">
      <c r="A83" s="461"/>
      <c r="B83" s="153" t="s">
        <v>369</v>
      </c>
      <c r="C83" s="152"/>
      <c r="E83" s="171">
        <v>9078.2089999999989</v>
      </c>
      <c r="F83" s="171">
        <v>6932.6530000000002</v>
      </c>
      <c r="G83" s="171">
        <v>3614.4744999999998</v>
      </c>
      <c r="H83" s="171">
        <v>1872.9584999999997</v>
      </c>
      <c r="I83" s="171">
        <v>968.01249999999993</v>
      </c>
      <c r="J83" s="171">
        <v>1144.521</v>
      </c>
      <c r="K83" s="171">
        <v>1794.87</v>
      </c>
      <c r="L83" s="171">
        <v>2960.1109999999999</v>
      </c>
      <c r="M83" s="171">
        <v>4301.4719999999998</v>
      </c>
      <c r="N83" s="171">
        <v>5860.7814999999991</v>
      </c>
      <c r="O83" s="171">
        <v>7579.6349999999993</v>
      </c>
      <c r="P83" s="171">
        <v>9598.3271999999997</v>
      </c>
      <c r="Q83" s="184"/>
      <c r="T83" s="143">
        <f t="shared" si="5"/>
        <v>55706.025199999996</v>
      </c>
      <c r="U83" s="138"/>
      <c r="V83" s="139"/>
      <c r="W83" s="143">
        <f>T83</f>
        <v>55706.025199999996</v>
      </c>
      <c r="X83" s="138"/>
      <c r="Y83" s="157"/>
      <c r="Z83" s="157"/>
    </row>
    <row r="84" spans="1:26" s="125" customFormat="1" ht="16.5" x14ac:dyDescent="0.35">
      <c r="A84" s="461"/>
      <c r="B84" s="153" t="s">
        <v>326</v>
      </c>
      <c r="C84" s="152"/>
      <c r="E84" s="171">
        <v>2980.96</v>
      </c>
      <c r="F84" s="171">
        <v>5204.66</v>
      </c>
      <c r="G84" s="171">
        <v>5733.54</v>
      </c>
      <c r="H84" s="171">
        <v>6202.32</v>
      </c>
      <c r="I84" s="171">
        <v>5048.3999999999996</v>
      </c>
      <c r="J84" s="171">
        <v>5192.6399999999994</v>
      </c>
      <c r="K84" s="171">
        <v>6803.32</v>
      </c>
      <c r="L84" s="171">
        <v>6851.4</v>
      </c>
      <c r="M84" s="171">
        <v>5997.98</v>
      </c>
      <c r="N84" s="171">
        <v>6034.04</v>
      </c>
      <c r="O84" s="171">
        <v>5817.6799999999994</v>
      </c>
      <c r="P84" s="171">
        <v>6670.2300000000005</v>
      </c>
      <c r="Q84" s="184"/>
      <c r="T84" s="143">
        <f t="shared" si="5"/>
        <v>68537.17</v>
      </c>
      <c r="U84" s="138"/>
      <c r="V84" s="139"/>
      <c r="W84" s="146">
        <f>T84</f>
        <v>68537.17</v>
      </c>
      <c r="X84" s="138"/>
      <c r="Y84" s="157"/>
      <c r="Z84" s="157"/>
    </row>
    <row r="85" spans="1:26" s="125" customFormat="1" x14ac:dyDescent="0.25">
      <c r="A85" s="461"/>
      <c r="C85" s="152"/>
      <c r="T85" s="139"/>
      <c r="U85" s="147"/>
      <c r="V85" s="139"/>
      <c r="W85" s="143">
        <f>SUM(W82:W84)</f>
        <v>184274.90519999998</v>
      </c>
      <c r="X85" s="150"/>
      <c r="Y85" s="157"/>
      <c r="Z85" s="157"/>
    </row>
    <row r="86" spans="1:26" s="125" customFormat="1" x14ac:dyDescent="0.25">
      <c r="A86" s="461"/>
      <c r="C86" s="152"/>
      <c r="T86" s="139"/>
      <c r="U86" s="147"/>
      <c r="V86" s="139"/>
      <c r="W86" s="149"/>
      <c r="X86" s="150"/>
      <c r="Y86" s="157"/>
      <c r="Z86" s="157"/>
    </row>
    <row r="87" spans="1:26" s="128" customFormat="1" x14ac:dyDescent="0.25">
      <c r="A87" s="459">
        <v>9</v>
      </c>
      <c r="B87" s="172" t="s">
        <v>413</v>
      </c>
      <c r="C87" s="173"/>
      <c r="S87" s="129"/>
      <c r="T87" s="561" t="s">
        <v>413</v>
      </c>
      <c r="V87" s="129"/>
      <c r="Y87" s="166"/>
      <c r="Z87" s="166"/>
    </row>
    <row r="88" spans="1:26" s="128" customFormat="1" x14ac:dyDescent="0.25">
      <c r="A88" s="459"/>
      <c r="B88" s="130" t="s">
        <v>337</v>
      </c>
      <c r="C88" s="1152">
        <v>42522</v>
      </c>
      <c r="D88" s="131">
        <v>42552</v>
      </c>
      <c r="E88" s="131">
        <v>42583</v>
      </c>
      <c r="F88" s="131">
        <v>42614</v>
      </c>
      <c r="G88" s="131">
        <v>42644</v>
      </c>
      <c r="H88" s="131">
        <v>42675</v>
      </c>
      <c r="I88" s="131">
        <v>42705</v>
      </c>
      <c r="J88" s="131">
        <v>42736</v>
      </c>
      <c r="K88" s="131">
        <v>42767</v>
      </c>
      <c r="L88" s="131">
        <v>42795</v>
      </c>
      <c r="M88" s="131">
        <v>42826</v>
      </c>
      <c r="N88" s="131">
        <v>42856</v>
      </c>
      <c r="O88" s="131">
        <v>42887</v>
      </c>
      <c r="P88" s="131">
        <v>42917</v>
      </c>
      <c r="Q88" s="131">
        <v>42948</v>
      </c>
      <c r="R88" s="131">
        <v>42992</v>
      </c>
      <c r="S88" s="132"/>
      <c r="T88" s="133" t="s">
        <v>338</v>
      </c>
      <c r="U88" s="134" t="s">
        <v>339</v>
      </c>
      <c r="V88" s="132"/>
      <c r="W88" s="133" t="s">
        <v>338</v>
      </c>
      <c r="X88" s="134" t="s">
        <v>339</v>
      </c>
      <c r="Y88" s="166"/>
      <c r="Z88" s="166"/>
    </row>
    <row r="89" spans="1:26" s="128" customFormat="1" x14ac:dyDescent="0.25">
      <c r="A89" s="459"/>
      <c r="B89" s="2141" t="s">
        <v>409</v>
      </c>
      <c r="C89" s="173"/>
      <c r="D89" s="136">
        <v>105600</v>
      </c>
      <c r="E89" s="136">
        <v>103488</v>
      </c>
      <c r="F89" s="136">
        <v>101952</v>
      </c>
      <c r="G89" s="136">
        <v>76416</v>
      </c>
      <c r="H89" s="136">
        <v>56064</v>
      </c>
      <c r="I89" s="136">
        <v>53952</v>
      </c>
      <c r="J89" s="136">
        <v>53760</v>
      </c>
      <c r="K89" s="136">
        <v>57600</v>
      </c>
      <c r="L89" s="136">
        <v>53951</v>
      </c>
      <c r="M89" s="136">
        <v>63936</v>
      </c>
      <c r="N89" s="136">
        <v>56832</v>
      </c>
      <c r="O89" s="136">
        <v>76872</v>
      </c>
      <c r="T89" s="170">
        <f>SUM(D89:O89)</f>
        <v>860423</v>
      </c>
      <c r="U89" s="162" t="s">
        <v>341</v>
      </c>
      <c r="V89" s="163"/>
      <c r="W89" s="164">
        <f>T89*3413/1000000</f>
        <v>2936.6236990000002</v>
      </c>
      <c r="X89" s="162" t="s">
        <v>342</v>
      </c>
      <c r="Y89" s="166"/>
      <c r="Z89" s="166"/>
    </row>
    <row r="90" spans="1:26" s="128" customFormat="1" x14ac:dyDescent="0.25">
      <c r="A90" s="459"/>
      <c r="B90" s="2141" t="s">
        <v>322</v>
      </c>
      <c r="C90" s="173"/>
      <c r="D90" s="760">
        <v>4236.25</v>
      </c>
      <c r="E90" s="760">
        <v>4271</v>
      </c>
      <c r="F90" s="760">
        <v>7092.43</v>
      </c>
      <c r="G90" s="760">
        <v>9192.19</v>
      </c>
      <c r="H90" s="760">
        <v>5542</v>
      </c>
      <c r="I90" s="760">
        <v>2443.31</v>
      </c>
      <c r="J90" s="760">
        <v>10161.6</v>
      </c>
      <c r="K90" s="750">
        <v>6178.68</v>
      </c>
      <c r="L90" s="750">
        <v>5091.22</v>
      </c>
      <c r="M90" s="750">
        <v>6424.63</v>
      </c>
      <c r="N90" s="750">
        <v>7074.19</v>
      </c>
      <c r="O90" s="750">
        <v>5182.18</v>
      </c>
      <c r="T90" s="170">
        <f>SUM(D90:O90)</f>
        <v>72889.679999999993</v>
      </c>
      <c r="U90" s="162" t="s">
        <v>346</v>
      </c>
      <c r="V90" s="163"/>
      <c r="W90" s="170">
        <f>T90</f>
        <v>72889.679999999993</v>
      </c>
      <c r="X90" s="162" t="s">
        <v>346</v>
      </c>
      <c r="Y90" s="166"/>
      <c r="Z90" s="166"/>
    </row>
    <row r="91" spans="1:26" s="128" customFormat="1" x14ac:dyDescent="0.25">
      <c r="A91" s="459"/>
      <c r="B91" s="2141" t="s">
        <v>324</v>
      </c>
      <c r="C91" s="173"/>
      <c r="D91" s="1208">
        <v>9189.16</v>
      </c>
      <c r="E91" s="1208">
        <v>8991.0499999999993</v>
      </c>
      <c r="F91" s="1208">
        <v>8993.77</v>
      </c>
      <c r="G91" s="1208">
        <v>7428.3</v>
      </c>
      <c r="H91" s="1208">
        <v>5775.37</v>
      </c>
      <c r="I91" s="1208">
        <v>5379.52</v>
      </c>
      <c r="J91" s="1208">
        <v>5367.51</v>
      </c>
      <c r="K91" s="1208">
        <v>5574.91</v>
      </c>
      <c r="L91" s="1208">
        <v>5379.52</v>
      </c>
      <c r="M91" s="1208">
        <v>5971.52</v>
      </c>
      <c r="N91" s="1208">
        <v>5658.66</v>
      </c>
      <c r="O91" s="1208">
        <v>7274.25</v>
      </c>
      <c r="T91" s="1095">
        <f>SUM(D91:O91)</f>
        <v>80983.540000000008</v>
      </c>
      <c r="U91" s="162"/>
      <c r="V91" s="163"/>
      <c r="W91" s="1095">
        <f>T91</f>
        <v>80983.540000000008</v>
      </c>
      <c r="X91" s="162"/>
      <c r="Y91" s="166"/>
      <c r="Z91" s="166"/>
    </row>
    <row r="92" spans="1:26" s="125" customFormat="1" x14ac:dyDescent="0.25">
      <c r="A92" s="461"/>
      <c r="C92" s="152"/>
      <c r="S92" s="126"/>
      <c r="V92" s="126"/>
      <c r="Y92" s="157"/>
      <c r="Z92" s="157"/>
    </row>
    <row r="93" spans="1:26" s="125" customFormat="1" ht="16.5" x14ac:dyDescent="0.35">
      <c r="A93" s="461">
        <v>10</v>
      </c>
      <c r="B93" s="127" t="s">
        <v>376</v>
      </c>
      <c r="C93" s="611"/>
      <c r="D93" s="179"/>
      <c r="E93" s="179"/>
      <c r="F93" s="179"/>
      <c r="G93" s="179"/>
      <c r="H93" s="179"/>
      <c r="I93" s="179"/>
      <c r="J93" s="179"/>
      <c r="K93" s="179"/>
      <c r="L93" s="179"/>
      <c r="M93" s="179"/>
      <c r="N93" s="179"/>
      <c r="O93" s="179"/>
      <c r="R93" s="149"/>
      <c r="S93" s="150"/>
      <c r="T93" s="569" t="s">
        <v>376</v>
      </c>
      <c r="U93" s="181"/>
      <c r="V93" s="150"/>
      <c r="Y93" s="157"/>
      <c r="Z93" s="157"/>
    </row>
    <row r="94" spans="1:26" s="125" customFormat="1" x14ac:dyDescent="0.25">
      <c r="A94" s="461"/>
      <c r="B94" s="130" t="s">
        <v>337</v>
      </c>
      <c r="C94" s="1152">
        <v>42522</v>
      </c>
      <c r="D94" s="131">
        <v>42552</v>
      </c>
      <c r="E94" s="131">
        <v>42583</v>
      </c>
      <c r="F94" s="131">
        <v>42614</v>
      </c>
      <c r="G94" s="131">
        <v>42644</v>
      </c>
      <c r="H94" s="131">
        <v>42675</v>
      </c>
      <c r="I94" s="131">
        <v>42705</v>
      </c>
      <c r="J94" s="131">
        <v>42736</v>
      </c>
      <c r="K94" s="131">
        <v>42767</v>
      </c>
      <c r="L94" s="131">
        <v>42795</v>
      </c>
      <c r="M94" s="131">
        <v>42826</v>
      </c>
      <c r="N94" s="131">
        <v>42856</v>
      </c>
      <c r="O94" s="131">
        <v>42887</v>
      </c>
      <c r="P94" s="131">
        <v>42917</v>
      </c>
      <c r="Q94" s="131">
        <v>42948</v>
      </c>
      <c r="R94" s="131">
        <v>42992</v>
      </c>
      <c r="S94" s="132"/>
      <c r="T94" s="133" t="s">
        <v>338</v>
      </c>
      <c r="U94" s="134" t="s">
        <v>339</v>
      </c>
      <c r="V94" s="132"/>
      <c r="W94" s="133" t="s">
        <v>338</v>
      </c>
      <c r="X94" s="134" t="s">
        <v>339</v>
      </c>
      <c r="Y94" s="157"/>
      <c r="Z94" s="157"/>
    </row>
    <row r="95" spans="1:26" s="125" customFormat="1" x14ac:dyDescent="0.25">
      <c r="A95" s="461"/>
      <c r="B95" s="135" t="s">
        <v>340</v>
      </c>
      <c r="C95" s="612"/>
      <c r="D95" s="160"/>
      <c r="E95" s="160"/>
      <c r="F95" s="160"/>
      <c r="G95" s="160"/>
      <c r="H95" s="160"/>
      <c r="I95" s="160"/>
      <c r="J95" s="160"/>
      <c r="K95" s="160"/>
      <c r="L95" s="160"/>
      <c r="M95" s="160"/>
      <c r="N95" s="160"/>
      <c r="O95" s="160"/>
      <c r="P95" s="456"/>
      <c r="Q95" s="444"/>
      <c r="T95" s="137">
        <f>SUM(D95:Q95)</f>
        <v>0</v>
      </c>
      <c r="U95" s="138" t="s">
        <v>341</v>
      </c>
      <c r="V95" s="139"/>
      <c r="W95" s="140">
        <f>T95*3413/1000000</f>
        <v>0</v>
      </c>
      <c r="X95" s="138" t="s">
        <v>342</v>
      </c>
      <c r="Y95" s="157"/>
      <c r="Z95" s="157"/>
    </row>
    <row r="96" spans="1:26" s="125" customFormat="1" x14ac:dyDescent="0.25">
      <c r="A96" s="461"/>
      <c r="B96" s="135" t="s">
        <v>372</v>
      </c>
      <c r="C96" s="612"/>
      <c r="D96" s="557"/>
      <c r="E96" s="557"/>
      <c r="F96" s="557"/>
      <c r="G96" s="557"/>
      <c r="H96" s="557"/>
      <c r="I96" s="557"/>
      <c r="J96" s="557"/>
      <c r="K96" s="557"/>
      <c r="L96" s="557"/>
      <c r="M96" s="557"/>
      <c r="N96" s="557"/>
      <c r="O96" s="557"/>
      <c r="P96" s="456"/>
      <c r="Q96" s="444"/>
      <c r="T96" s="137">
        <f>SUM(D96:Q96)</f>
        <v>0</v>
      </c>
      <c r="U96" s="138" t="s">
        <v>354</v>
      </c>
      <c r="V96" s="139"/>
      <c r="W96" s="140">
        <f>T96*99976.124488/1000000</f>
        <v>0</v>
      </c>
      <c r="X96" s="138" t="s">
        <v>342</v>
      </c>
      <c r="Y96" s="157"/>
      <c r="Z96" s="157"/>
    </row>
    <row r="97" spans="1:26" s="157" customFormat="1" x14ac:dyDescent="0.25">
      <c r="A97" s="461"/>
      <c r="B97" s="192" t="s">
        <v>739</v>
      </c>
      <c r="C97" s="599"/>
      <c r="D97" s="160"/>
      <c r="E97" s="160"/>
      <c r="F97" s="160"/>
      <c r="G97" s="160"/>
      <c r="H97" s="160"/>
      <c r="I97" s="160"/>
      <c r="J97" s="160"/>
      <c r="K97" s="160"/>
      <c r="L97" s="160"/>
      <c r="M97" s="160"/>
      <c r="N97" s="160"/>
      <c r="O97" s="160"/>
      <c r="P97" s="178"/>
      <c r="Q97" s="178"/>
      <c r="T97" s="141">
        <f>SUM(D97:Q97)</f>
        <v>0</v>
      </c>
      <c r="U97" s="138" t="s">
        <v>342</v>
      </c>
      <c r="W97" s="193">
        <f>T97</f>
        <v>0</v>
      </c>
      <c r="X97" s="138" t="s">
        <v>342</v>
      </c>
    </row>
    <row r="98" spans="1:26" s="125" customFormat="1" x14ac:dyDescent="0.25">
      <c r="A98" s="461"/>
      <c r="B98" s="153" t="s">
        <v>740</v>
      </c>
      <c r="C98" s="152"/>
      <c r="D98" s="153"/>
      <c r="E98" s="140"/>
      <c r="F98" s="140"/>
      <c r="G98" s="140"/>
      <c r="H98" s="140"/>
      <c r="I98" s="140"/>
      <c r="J98" s="140"/>
      <c r="K98" s="140"/>
      <c r="L98" s="140"/>
      <c r="M98" s="140"/>
      <c r="N98" s="140"/>
      <c r="O98" s="140"/>
      <c r="P98" s="596"/>
      <c r="Q98" s="444"/>
      <c r="T98" s="161">
        <f t="shared" ref="T98:T103" si="6">SUM(D98:Q98)</f>
        <v>0</v>
      </c>
      <c r="U98" s="162" t="s">
        <v>342</v>
      </c>
      <c r="V98" s="163"/>
      <c r="W98" s="164">
        <f>T98</f>
        <v>0</v>
      </c>
      <c r="X98" s="138" t="s">
        <v>342</v>
      </c>
      <c r="Y98" s="495">
        <f>W95+W96+W97+W98</f>
        <v>0</v>
      </c>
      <c r="Z98" s="153" t="s">
        <v>342</v>
      </c>
    </row>
    <row r="99" spans="1:26" s="125" customFormat="1" x14ac:dyDescent="0.25">
      <c r="A99" s="461"/>
      <c r="B99" s="135" t="s">
        <v>373</v>
      </c>
      <c r="C99" s="201"/>
      <c r="D99" s="160"/>
      <c r="E99" s="160"/>
      <c r="F99" s="160"/>
      <c r="G99" s="160"/>
      <c r="H99" s="160"/>
      <c r="I99" s="160"/>
      <c r="J99" s="160"/>
      <c r="K99" s="160"/>
      <c r="L99" s="160"/>
      <c r="M99" s="160"/>
      <c r="N99" s="160"/>
      <c r="O99" s="160"/>
      <c r="P99" s="456"/>
      <c r="Q99" s="444"/>
      <c r="T99" s="137">
        <f t="shared" si="6"/>
        <v>0</v>
      </c>
      <c r="U99" s="138" t="s">
        <v>367</v>
      </c>
      <c r="V99" s="139"/>
      <c r="W99" s="137">
        <f>T99*7.48</f>
        <v>0</v>
      </c>
      <c r="X99" s="138" t="s">
        <v>346</v>
      </c>
      <c r="Y99" s="157"/>
      <c r="Z99" s="157"/>
    </row>
    <row r="100" spans="1:26" s="125" customFormat="1" x14ac:dyDescent="0.25">
      <c r="A100" s="461"/>
      <c r="B100" s="135" t="s">
        <v>324</v>
      </c>
      <c r="C100" s="613"/>
      <c r="D100" s="171"/>
      <c r="E100" s="142"/>
      <c r="F100" s="142"/>
      <c r="G100" s="142"/>
      <c r="H100" s="142"/>
      <c r="I100" s="142"/>
      <c r="J100" s="142"/>
      <c r="K100" s="142"/>
      <c r="L100" s="142"/>
      <c r="M100" s="142"/>
      <c r="N100" s="142"/>
      <c r="O100" s="142"/>
      <c r="P100" s="176"/>
      <c r="Q100" s="444"/>
      <c r="T100" s="143">
        <f>SUM(D100:Q100)</f>
        <v>0</v>
      </c>
      <c r="U100" s="138"/>
      <c r="V100" s="139"/>
      <c r="W100" s="156">
        <f>T100</f>
        <v>0</v>
      </c>
      <c r="X100" s="138"/>
      <c r="Y100" s="157"/>
      <c r="Z100" s="157"/>
    </row>
    <row r="101" spans="1:26" s="125" customFormat="1" x14ac:dyDescent="0.25">
      <c r="A101" s="461"/>
      <c r="B101" s="144" t="s">
        <v>374</v>
      </c>
      <c r="C101" s="611"/>
      <c r="D101" s="171"/>
      <c r="E101" s="145"/>
      <c r="F101" s="145"/>
      <c r="G101" s="145"/>
      <c r="H101" s="145"/>
      <c r="I101" s="145"/>
      <c r="J101" s="145"/>
      <c r="K101" s="145"/>
      <c r="L101" s="145"/>
      <c r="M101" s="145"/>
      <c r="N101" s="145"/>
      <c r="O101" s="145"/>
      <c r="P101" s="179"/>
      <c r="Q101" s="444"/>
      <c r="T101" s="143">
        <f t="shared" si="6"/>
        <v>0</v>
      </c>
      <c r="U101" s="138"/>
      <c r="V101" s="139"/>
      <c r="W101" s="156">
        <f>T101</f>
        <v>0</v>
      </c>
      <c r="X101" s="138"/>
      <c r="Y101" s="157"/>
      <c r="Z101" s="157"/>
    </row>
    <row r="102" spans="1:26" s="125" customFormat="1" x14ac:dyDescent="0.25">
      <c r="A102" s="461"/>
      <c r="B102" s="144" t="s">
        <v>742</v>
      </c>
      <c r="C102" s="611"/>
      <c r="D102" s="171"/>
      <c r="E102" s="145"/>
      <c r="F102" s="145"/>
      <c r="G102" s="145"/>
      <c r="H102" s="145"/>
      <c r="I102" s="145"/>
      <c r="J102" s="145"/>
      <c r="K102" s="145"/>
      <c r="L102" s="145"/>
      <c r="M102" s="145"/>
      <c r="N102" s="145"/>
      <c r="O102" s="145"/>
      <c r="P102" s="179"/>
      <c r="Q102" s="444"/>
      <c r="T102" s="143">
        <f t="shared" si="6"/>
        <v>0</v>
      </c>
      <c r="U102" s="138"/>
      <c r="V102" s="139"/>
      <c r="W102" s="156">
        <f>T102</f>
        <v>0</v>
      </c>
      <c r="X102" s="138"/>
      <c r="Y102" s="157"/>
      <c r="Z102" s="157"/>
    </row>
    <row r="103" spans="1:26" s="125" customFormat="1" ht="16.5" x14ac:dyDescent="0.35">
      <c r="A103" s="461"/>
      <c r="B103" s="144" t="s">
        <v>741</v>
      </c>
      <c r="C103" s="611"/>
      <c r="D103" s="171"/>
      <c r="E103" s="145"/>
      <c r="F103" s="145"/>
      <c r="G103" s="145"/>
      <c r="H103" s="145"/>
      <c r="I103" s="145"/>
      <c r="J103" s="145"/>
      <c r="K103" s="145"/>
      <c r="L103" s="145"/>
      <c r="M103" s="145"/>
      <c r="N103" s="145"/>
      <c r="O103" s="145"/>
      <c r="P103" s="179"/>
      <c r="Q103" s="444"/>
      <c r="T103" s="143">
        <f t="shared" si="6"/>
        <v>0</v>
      </c>
      <c r="U103" s="138"/>
      <c r="V103" s="139"/>
      <c r="W103" s="597">
        <f>T103</f>
        <v>0</v>
      </c>
      <c r="X103" s="138"/>
      <c r="Y103" s="157"/>
      <c r="Z103" s="157"/>
    </row>
    <row r="104" spans="1:26" s="125" customFormat="1" x14ac:dyDescent="0.25">
      <c r="A104" s="461"/>
      <c r="B104" s="180"/>
      <c r="C104" s="611"/>
      <c r="D104" s="179"/>
      <c r="E104" s="179"/>
      <c r="F104" s="179"/>
      <c r="G104" s="179"/>
      <c r="H104" s="179"/>
      <c r="I104" s="179"/>
      <c r="J104" s="179"/>
      <c r="K104" s="179"/>
      <c r="L104" s="179"/>
      <c r="M104" s="179"/>
      <c r="N104" s="179"/>
      <c r="O104" s="179"/>
      <c r="T104" s="149"/>
      <c r="U104" s="150"/>
      <c r="V104" s="139"/>
      <c r="W104" s="156">
        <f>SUM(W100:W103)</f>
        <v>0</v>
      </c>
      <c r="X104" s="138"/>
      <c r="Y104" s="157"/>
      <c r="Z104" s="157"/>
    </row>
    <row r="105" spans="1:26" s="125" customFormat="1" x14ac:dyDescent="0.25">
      <c r="A105" s="461"/>
      <c r="B105" s="180"/>
      <c r="C105" s="611"/>
      <c r="D105" s="179"/>
      <c r="E105" s="179"/>
      <c r="F105" s="179"/>
      <c r="G105" s="179"/>
      <c r="H105" s="179"/>
      <c r="I105" s="179"/>
      <c r="J105" s="179"/>
      <c r="K105" s="179"/>
      <c r="L105" s="179"/>
      <c r="M105" s="179"/>
      <c r="N105" s="179"/>
      <c r="O105" s="179"/>
      <c r="T105" s="149"/>
      <c r="U105" s="150"/>
      <c r="V105" s="139"/>
      <c r="W105" s="2239"/>
      <c r="X105" s="150"/>
      <c r="Y105" s="157"/>
      <c r="Z105" s="157"/>
    </row>
    <row r="106" spans="1:26" s="128" customFormat="1" x14ac:dyDescent="0.25">
      <c r="A106" s="459">
        <v>11</v>
      </c>
      <c r="B106" s="172" t="s">
        <v>1606</v>
      </c>
      <c r="C106" s="173"/>
      <c r="S106" s="173"/>
      <c r="T106" s="598" t="str">
        <f>B106</f>
        <v>DACS - SENC Ag Center</v>
      </c>
      <c r="W106" s="129"/>
      <c r="Y106" s="166"/>
      <c r="Z106" s="764"/>
    </row>
    <row r="107" spans="1:26" s="125" customFormat="1" x14ac:dyDescent="0.25">
      <c r="A107" s="461"/>
      <c r="B107" s="130" t="s">
        <v>337</v>
      </c>
      <c r="C107" s="1152">
        <v>42522</v>
      </c>
      <c r="D107" s="131">
        <v>42552</v>
      </c>
      <c r="E107" s="131">
        <v>42583</v>
      </c>
      <c r="F107" s="131">
        <v>42614</v>
      </c>
      <c r="G107" s="131">
        <v>42644</v>
      </c>
      <c r="H107" s="131">
        <v>42675</v>
      </c>
      <c r="I107" s="131">
        <v>42705</v>
      </c>
      <c r="J107" s="131">
        <v>42736</v>
      </c>
      <c r="K107" s="131">
        <v>42767</v>
      </c>
      <c r="L107" s="131">
        <v>42795</v>
      </c>
      <c r="M107" s="131">
        <v>42826</v>
      </c>
      <c r="N107" s="131">
        <v>42856</v>
      </c>
      <c r="O107" s="131">
        <v>42887</v>
      </c>
      <c r="P107" s="131">
        <v>42917</v>
      </c>
      <c r="Q107" s="131">
        <v>42948</v>
      </c>
      <c r="R107" s="131">
        <v>42992</v>
      </c>
      <c r="S107" s="132"/>
      <c r="T107" s="133" t="s">
        <v>338</v>
      </c>
      <c r="U107" s="134" t="s">
        <v>339</v>
      </c>
      <c r="V107" s="132"/>
      <c r="W107" s="133" t="s">
        <v>338</v>
      </c>
      <c r="X107" s="134" t="s">
        <v>339</v>
      </c>
      <c r="Y107" s="157"/>
      <c r="Z107" s="157"/>
    </row>
    <row r="108" spans="1:26" s="125" customFormat="1" x14ac:dyDescent="0.25">
      <c r="A108" s="461"/>
      <c r="B108" s="135" t="s">
        <v>340</v>
      </c>
      <c r="C108" s="606"/>
      <c r="D108" s="136">
        <v>13600</v>
      </c>
      <c r="E108" s="136">
        <v>16280</v>
      </c>
      <c r="F108" s="136">
        <v>22560</v>
      </c>
      <c r="G108" s="136">
        <v>11971</v>
      </c>
      <c r="H108" s="136">
        <v>24720</v>
      </c>
      <c r="I108" s="136">
        <v>22080</v>
      </c>
      <c r="J108" s="136">
        <v>11060</v>
      </c>
      <c r="K108" s="136">
        <v>16880</v>
      </c>
      <c r="L108" s="136">
        <v>20140</v>
      </c>
      <c r="M108" s="136">
        <v>1900</v>
      </c>
      <c r="N108" s="136">
        <v>35420</v>
      </c>
      <c r="O108" s="136">
        <v>21220</v>
      </c>
      <c r="P108" s="174"/>
      <c r="Q108" s="174"/>
      <c r="R108" s="174"/>
      <c r="T108" s="140">
        <f>SUM(C108:S108)</f>
        <v>217831</v>
      </c>
      <c r="U108" s="138" t="s">
        <v>341</v>
      </c>
      <c r="V108" s="139"/>
      <c r="W108" s="140">
        <f>T108*3413/1000000</f>
        <v>743.45720300000005</v>
      </c>
      <c r="X108" s="138" t="s">
        <v>342</v>
      </c>
      <c r="Y108" s="157"/>
      <c r="Z108" s="157"/>
    </row>
    <row r="109" spans="1:26" s="125" customFormat="1" x14ac:dyDescent="0.25">
      <c r="A109" s="461"/>
      <c r="B109" s="135" t="s">
        <v>372</v>
      </c>
      <c r="C109" s="606"/>
      <c r="D109" s="153">
        <v>25</v>
      </c>
      <c r="E109" s="153">
        <v>27</v>
      </c>
      <c r="F109" s="153">
        <v>34</v>
      </c>
      <c r="G109" s="153">
        <v>27</v>
      </c>
      <c r="H109" s="153">
        <v>515</v>
      </c>
      <c r="I109" s="153">
        <v>1125</v>
      </c>
      <c r="J109" s="141">
        <v>1093</v>
      </c>
      <c r="K109" s="153">
        <v>919</v>
      </c>
      <c r="L109" s="153">
        <v>762</v>
      </c>
      <c r="M109" s="153">
        <v>69</v>
      </c>
      <c r="N109" s="153">
        <v>33</v>
      </c>
      <c r="O109" s="153">
        <v>26</v>
      </c>
      <c r="P109" s="174"/>
      <c r="Q109" s="174"/>
      <c r="R109" s="174"/>
      <c r="T109" s="140">
        <f>SUM(C109:S109)</f>
        <v>4655</v>
      </c>
      <c r="U109" s="138" t="s">
        <v>354</v>
      </c>
      <c r="V109" s="139"/>
      <c r="W109" s="140">
        <f>T109*99976.124488/1000000</f>
        <v>465.38885949164001</v>
      </c>
      <c r="X109" s="138" t="s">
        <v>342</v>
      </c>
      <c r="Y109" s="495">
        <f>W108+W109</f>
        <v>1208.8460624916402</v>
      </c>
      <c r="Z109" s="153" t="s">
        <v>677</v>
      </c>
    </row>
    <row r="110" spans="1:26" s="125" customFormat="1" x14ac:dyDescent="0.25">
      <c r="A110" s="461"/>
      <c r="B110" s="135" t="s">
        <v>322</v>
      </c>
      <c r="C110" s="606"/>
      <c r="D110" s="141">
        <v>4790</v>
      </c>
      <c r="E110" s="141">
        <v>2360</v>
      </c>
      <c r="F110" s="141">
        <v>10000</v>
      </c>
      <c r="G110" s="141">
        <v>10260</v>
      </c>
      <c r="H110" s="1258">
        <v>2930</v>
      </c>
      <c r="I110" s="141">
        <v>9600</v>
      </c>
      <c r="J110" s="141">
        <v>12330</v>
      </c>
      <c r="K110" s="2157">
        <v>1740</v>
      </c>
      <c r="L110" s="141">
        <v>370</v>
      </c>
      <c r="M110" s="141">
        <v>7420</v>
      </c>
      <c r="N110" s="141">
        <v>4090</v>
      </c>
      <c r="O110" s="141">
        <v>5100</v>
      </c>
      <c r="P110" s="178"/>
      <c r="Q110" s="178"/>
      <c r="R110" s="178"/>
      <c r="T110" s="140">
        <f>SUM(C110:S110)</f>
        <v>70990</v>
      </c>
      <c r="U110" s="138" t="s">
        <v>346</v>
      </c>
      <c r="V110" s="139"/>
      <c r="W110" s="137">
        <f>T110</f>
        <v>70990</v>
      </c>
      <c r="X110" s="138" t="s">
        <v>346</v>
      </c>
      <c r="Y110" s="157"/>
      <c r="Z110" s="157"/>
    </row>
    <row r="111" spans="1:26" s="125" customFormat="1" x14ac:dyDescent="0.25">
      <c r="A111" s="461"/>
      <c r="B111" s="135" t="s">
        <v>324</v>
      </c>
      <c r="C111" s="606"/>
      <c r="D111" s="142">
        <v>2388.0700000000002</v>
      </c>
      <c r="E111" s="142">
        <v>2637.87</v>
      </c>
      <c r="F111" s="142">
        <v>3326.85</v>
      </c>
      <c r="G111" s="142">
        <v>1624.82</v>
      </c>
      <c r="H111" s="142">
        <v>3310.01</v>
      </c>
      <c r="I111" s="142">
        <v>3086.48</v>
      </c>
      <c r="J111" s="142">
        <v>1832.56</v>
      </c>
      <c r="K111" s="142">
        <v>2524.59</v>
      </c>
      <c r="L111" s="142">
        <v>2245.63</v>
      </c>
      <c r="M111" s="142">
        <v>929.42</v>
      </c>
      <c r="N111" s="142">
        <v>4356.75</v>
      </c>
      <c r="O111" s="142">
        <v>3047.37</v>
      </c>
      <c r="P111" s="176"/>
      <c r="Q111" s="176"/>
      <c r="R111" s="176"/>
      <c r="T111" s="143">
        <f>SUM(C111:S111)</f>
        <v>31310.42</v>
      </c>
      <c r="U111" s="138"/>
      <c r="V111" s="139"/>
      <c r="W111" s="143">
        <f>T111</f>
        <v>31310.42</v>
      </c>
      <c r="X111" s="138"/>
      <c r="Y111" s="157"/>
      <c r="Z111" s="157"/>
    </row>
    <row r="112" spans="1:26" s="125" customFormat="1" ht="16.5" x14ac:dyDescent="0.35">
      <c r="A112" s="461"/>
      <c r="B112" s="144" t="s">
        <v>374</v>
      </c>
      <c r="C112" s="607"/>
      <c r="D112" s="1147">
        <v>40</v>
      </c>
      <c r="E112" s="1147">
        <v>41</v>
      </c>
      <c r="F112" s="1147">
        <v>46</v>
      </c>
      <c r="G112" s="1147">
        <v>41.31</v>
      </c>
      <c r="H112" s="1147">
        <v>429.89</v>
      </c>
      <c r="I112" s="1147">
        <v>965</v>
      </c>
      <c r="J112" s="1147">
        <v>936.43</v>
      </c>
      <c r="K112" s="1147">
        <v>790.76</v>
      </c>
      <c r="L112" s="1147">
        <v>627.80999999999995</v>
      </c>
      <c r="M112" s="1147">
        <v>77.849999999999994</v>
      </c>
      <c r="N112" s="1147">
        <v>48.75</v>
      </c>
      <c r="O112" s="1147">
        <v>43.29</v>
      </c>
      <c r="P112" s="179"/>
      <c r="Q112" s="179"/>
      <c r="R112" s="179"/>
      <c r="T112" s="143">
        <f>SUM(C112:S112)</f>
        <v>4088.09</v>
      </c>
      <c r="U112" s="138"/>
      <c r="V112" s="139"/>
      <c r="W112" s="146">
        <f>T112</f>
        <v>4088.09</v>
      </c>
      <c r="X112" s="138"/>
      <c r="Y112" s="157"/>
      <c r="Z112" s="157"/>
    </row>
    <row r="113" spans="1:26" x14ac:dyDescent="0.25">
      <c r="W113" s="455">
        <f>SUM(W111:W112)</f>
        <v>35398.509999999995</v>
      </c>
      <c r="X113" s="441"/>
    </row>
    <row r="115" spans="1:26" s="125" customFormat="1" ht="16.5" x14ac:dyDescent="0.35">
      <c r="A115" s="461">
        <v>12</v>
      </c>
      <c r="B115" s="1412" t="s">
        <v>1605</v>
      </c>
      <c r="C115" s="611"/>
      <c r="D115" s="179"/>
      <c r="E115" s="179"/>
      <c r="F115" s="179"/>
      <c r="G115" s="179"/>
      <c r="H115" s="179"/>
      <c r="I115" s="179"/>
      <c r="J115" s="179"/>
      <c r="K115" s="179"/>
      <c r="L115" s="179"/>
      <c r="M115" s="179"/>
      <c r="N115" s="179"/>
      <c r="O115" s="179"/>
      <c r="R115" s="149"/>
      <c r="S115" s="150"/>
      <c r="T115" s="1412" t="str">
        <f>B115</f>
        <v>MVA - NC State Veterans Home - Black Mountain</v>
      </c>
      <c r="U115" s="181"/>
      <c r="V115" s="150"/>
      <c r="Y115" s="157"/>
      <c r="Z115" s="157"/>
    </row>
    <row r="116" spans="1:26" s="125" customFormat="1" x14ac:dyDescent="0.25">
      <c r="A116" s="461"/>
      <c r="B116" s="130" t="s">
        <v>337</v>
      </c>
      <c r="C116" s="1152">
        <v>42522</v>
      </c>
      <c r="D116" s="131">
        <v>42552</v>
      </c>
      <c r="E116" s="131">
        <v>42583</v>
      </c>
      <c r="F116" s="131">
        <v>42614</v>
      </c>
      <c r="G116" s="131">
        <v>42644</v>
      </c>
      <c r="H116" s="131">
        <v>42675</v>
      </c>
      <c r="I116" s="131">
        <v>42705</v>
      </c>
      <c r="J116" s="131">
        <v>42736</v>
      </c>
      <c r="K116" s="131">
        <v>42767</v>
      </c>
      <c r="L116" s="131">
        <v>42795</v>
      </c>
      <c r="M116" s="131">
        <v>42826</v>
      </c>
      <c r="N116" s="131">
        <v>42856</v>
      </c>
      <c r="O116" s="131">
        <v>42887</v>
      </c>
      <c r="P116" s="131">
        <v>42917</v>
      </c>
      <c r="Q116" s="131">
        <v>42948</v>
      </c>
      <c r="R116" s="131">
        <v>42992</v>
      </c>
      <c r="S116" s="132"/>
      <c r="T116" s="133" t="s">
        <v>338</v>
      </c>
      <c r="U116" s="134" t="s">
        <v>339</v>
      </c>
      <c r="V116" s="132"/>
      <c r="W116" s="133" t="s">
        <v>338</v>
      </c>
      <c r="X116" s="134" t="s">
        <v>339</v>
      </c>
      <c r="Y116" s="157"/>
      <c r="Z116" s="157"/>
    </row>
    <row r="117" spans="1:26" s="125" customFormat="1" x14ac:dyDescent="0.25">
      <c r="A117" s="461"/>
      <c r="B117" s="135" t="s">
        <v>340</v>
      </c>
      <c r="C117" s="612"/>
      <c r="D117" s="160">
        <v>177800</v>
      </c>
      <c r="E117" s="160">
        <v>186200</v>
      </c>
      <c r="F117" s="160">
        <v>185800</v>
      </c>
      <c r="G117" s="160">
        <v>177600</v>
      </c>
      <c r="H117" s="160">
        <v>143747</v>
      </c>
      <c r="I117" s="160">
        <v>153470</v>
      </c>
      <c r="J117" s="160">
        <v>177613</v>
      </c>
      <c r="K117" s="160">
        <v>148146</v>
      </c>
      <c r="L117" s="160">
        <v>161500</v>
      </c>
      <c r="M117" s="160">
        <v>149500</v>
      </c>
      <c r="N117" s="160">
        <v>153253</v>
      </c>
      <c r="O117" s="160">
        <v>193904</v>
      </c>
      <c r="P117" s="456"/>
      <c r="Q117" s="554"/>
      <c r="T117" s="137">
        <f>SUM(C117:Q117)</f>
        <v>2008533</v>
      </c>
      <c r="U117" s="138" t="s">
        <v>341</v>
      </c>
      <c r="V117" s="139"/>
      <c r="W117" s="140">
        <f>T117*3413/1000000</f>
        <v>6855.1231289999996</v>
      </c>
      <c r="X117" s="138" t="s">
        <v>342</v>
      </c>
      <c r="Y117" s="157"/>
      <c r="Z117" s="157"/>
    </row>
    <row r="118" spans="1:26" s="125" customFormat="1" x14ac:dyDescent="0.25">
      <c r="A118" s="461"/>
      <c r="B118" s="135" t="s">
        <v>372</v>
      </c>
      <c r="C118" s="612"/>
      <c r="D118" s="160">
        <v>1947</v>
      </c>
      <c r="E118" s="160">
        <v>1782</v>
      </c>
      <c r="F118" s="160">
        <v>1852</v>
      </c>
      <c r="G118" s="160">
        <v>1731</v>
      </c>
      <c r="H118" s="160">
        <v>2073</v>
      </c>
      <c r="I118" s="160">
        <v>2101</v>
      </c>
      <c r="J118" s="160">
        <v>2195</v>
      </c>
      <c r="K118" s="160">
        <v>2046</v>
      </c>
      <c r="L118" s="160">
        <v>2170</v>
      </c>
      <c r="M118" s="160">
        <v>2045</v>
      </c>
      <c r="N118" s="160">
        <v>2199</v>
      </c>
      <c r="O118" s="160">
        <v>1891</v>
      </c>
      <c r="P118" s="456"/>
      <c r="Q118" s="554"/>
      <c r="T118" s="137">
        <f>SUM(C118:Q118)</f>
        <v>24032</v>
      </c>
      <c r="U118" s="138" t="s">
        <v>354</v>
      </c>
      <c r="V118" s="139"/>
      <c r="W118" s="140">
        <f>T118*99976.124488/1000000</f>
        <v>2402.6262236956163</v>
      </c>
      <c r="X118" s="138" t="s">
        <v>342</v>
      </c>
      <c r="Y118" s="495">
        <f>W117+W118</f>
        <v>9257.7493526956168</v>
      </c>
      <c r="Z118" s="153" t="s">
        <v>677</v>
      </c>
    </row>
    <row r="119" spans="1:26" s="125" customFormat="1" x14ac:dyDescent="0.25">
      <c r="A119" s="461"/>
      <c r="B119" s="135" t="s">
        <v>614</v>
      </c>
      <c r="C119" s="201"/>
      <c r="D119" s="160">
        <v>394</v>
      </c>
      <c r="E119" s="160">
        <v>394</v>
      </c>
      <c r="F119" s="160">
        <v>419</v>
      </c>
      <c r="G119" s="160">
        <v>419</v>
      </c>
      <c r="H119" s="160">
        <v>419</v>
      </c>
      <c r="I119" s="160">
        <v>500</v>
      </c>
      <c r="J119" s="160">
        <v>504</v>
      </c>
      <c r="K119" s="160">
        <v>428</v>
      </c>
      <c r="L119" s="160">
        <v>438</v>
      </c>
      <c r="M119" s="160">
        <v>422</v>
      </c>
      <c r="N119" s="160">
        <v>358</v>
      </c>
      <c r="O119" s="160">
        <v>435</v>
      </c>
      <c r="P119" s="456"/>
      <c r="Q119" s="554"/>
      <c r="T119" s="137">
        <f>SUM(C119:Q119)</f>
        <v>5130</v>
      </c>
      <c r="U119" s="138" t="s">
        <v>379</v>
      </c>
      <c r="V119" s="139"/>
      <c r="W119" s="137">
        <f>T119*748</f>
        <v>3837240</v>
      </c>
      <c r="X119" s="138" t="s">
        <v>346</v>
      </c>
      <c r="Y119" s="157"/>
      <c r="Z119" s="157"/>
    </row>
    <row r="120" spans="1:26" s="125" customFormat="1" x14ac:dyDescent="0.25">
      <c r="A120" s="461"/>
      <c r="B120" s="135" t="s">
        <v>324</v>
      </c>
      <c r="C120" s="613"/>
      <c r="D120" s="171">
        <v>14147</v>
      </c>
      <c r="E120" s="142">
        <v>14604</v>
      </c>
      <c r="F120" s="142">
        <v>14512</v>
      </c>
      <c r="G120" s="142">
        <v>13905.45</v>
      </c>
      <c r="H120" s="142">
        <v>11441</v>
      </c>
      <c r="I120" s="142">
        <v>11792</v>
      </c>
      <c r="J120" s="142">
        <v>12827</v>
      </c>
      <c r="K120" s="142">
        <v>10859.76</v>
      </c>
      <c r="L120" s="142">
        <v>11848</v>
      </c>
      <c r="M120" s="142">
        <v>10888</v>
      </c>
      <c r="N120" s="142">
        <v>11228.29</v>
      </c>
      <c r="O120" s="142">
        <v>13775</v>
      </c>
      <c r="P120" s="176"/>
      <c r="Q120" s="184"/>
      <c r="T120" s="143">
        <f>SUM(C120:Q120)</f>
        <v>151827.5</v>
      </c>
      <c r="U120" s="138"/>
      <c r="V120" s="139"/>
      <c r="W120" s="143">
        <f>T120</f>
        <v>151827.5</v>
      </c>
      <c r="X120" s="138"/>
      <c r="Y120" s="157"/>
      <c r="Z120" s="157"/>
    </row>
    <row r="121" spans="1:26" s="125" customFormat="1" ht="16.5" x14ac:dyDescent="0.35">
      <c r="A121" s="461"/>
      <c r="B121" s="144" t="s">
        <v>374</v>
      </c>
      <c r="C121" s="611"/>
      <c r="D121" s="171">
        <v>1256.9000000000001</v>
      </c>
      <c r="E121" s="145">
        <v>1154.7</v>
      </c>
      <c r="F121" s="145">
        <v>1198</v>
      </c>
      <c r="G121" s="145">
        <v>1142</v>
      </c>
      <c r="H121" s="145">
        <v>1354</v>
      </c>
      <c r="I121" s="145">
        <v>1356.71</v>
      </c>
      <c r="J121" s="145">
        <v>1576</v>
      </c>
      <c r="K121" s="145">
        <v>1490</v>
      </c>
      <c r="L121" s="145">
        <v>1591</v>
      </c>
      <c r="M121" s="145">
        <v>1523</v>
      </c>
      <c r="N121" s="145">
        <v>1625</v>
      </c>
      <c r="O121" s="145">
        <v>1407</v>
      </c>
      <c r="P121" s="179"/>
      <c r="Q121" s="184"/>
      <c r="T121" s="143">
        <f>SUM(C121:Q121)</f>
        <v>16674.310000000001</v>
      </c>
      <c r="U121" s="138"/>
      <c r="V121" s="139"/>
      <c r="W121" s="146">
        <f>T121</f>
        <v>16674.310000000001</v>
      </c>
      <c r="X121" s="138"/>
      <c r="Y121" s="157"/>
      <c r="Z121" s="157"/>
    </row>
    <row r="122" spans="1:26" s="125" customFormat="1" x14ac:dyDescent="0.25">
      <c r="A122" s="461"/>
      <c r="B122" s="180"/>
      <c r="C122" s="611"/>
      <c r="D122" s="179"/>
      <c r="E122" s="179"/>
      <c r="F122" s="179"/>
      <c r="G122" s="179"/>
      <c r="H122" s="179"/>
      <c r="I122" s="179"/>
      <c r="J122" s="179"/>
      <c r="K122" s="179"/>
      <c r="L122" s="179"/>
      <c r="M122" s="179"/>
      <c r="N122" s="179"/>
      <c r="O122" s="179"/>
      <c r="T122" s="149"/>
      <c r="U122" s="150"/>
      <c r="V122" s="139"/>
      <c r="W122" s="143">
        <f>SUM(W120:W121)</f>
        <v>168501.81</v>
      </c>
      <c r="X122" s="138"/>
      <c r="Y122" s="157"/>
      <c r="Z122" s="157"/>
    </row>
    <row r="124" spans="1:26" s="128" customFormat="1" x14ac:dyDescent="0.25">
      <c r="A124" s="459">
        <v>13</v>
      </c>
      <c r="B124" s="127" t="s">
        <v>1608</v>
      </c>
      <c r="C124" s="173"/>
      <c r="Q124" s="173"/>
      <c r="R124" s="129"/>
      <c r="T124" s="598" t="str">
        <f>B124</f>
        <v xml:space="preserve">PCC - Russell Classroom Building </v>
      </c>
      <c r="U124" s="129"/>
      <c r="Y124" s="166"/>
      <c r="Z124" s="166"/>
    </row>
    <row r="125" spans="1:26" s="125" customFormat="1" x14ac:dyDescent="0.25">
      <c r="A125" s="461"/>
      <c r="B125" s="130" t="s">
        <v>337</v>
      </c>
      <c r="C125" s="1152">
        <v>42522</v>
      </c>
      <c r="D125" s="131">
        <v>42552</v>
      </c>
      <c r="E125" s="131">
        <v>42583</v>
      </c>
      <c r="F125" s="131">
        <v>42614</v>
      </c>
      <c r="G125" s="131">
        <v>42644</v>
      </c>
      <c r="H125" s="131">
        <v>42675</v>
      </c>
      <c r="I125" s="131">
        <v>42705</v>
      </c>
      <c r="J125" s="131">
        <v>42736</v>
      </c>
      <c r="K125" s="131">
        <v>42767</v>
      </c>
      <c r="L125" s="131">
        <v>42795</v>
      </c>
      <c r="M125" s="131">
        <v>42826</v>
      </c>
      <c r="N125" s="131">
        <v>42856</v>
      </c>
      <c r="O125" s="131">
        <v>42887</v>
      </c>
      <c r="P125" s="131">
        <v>42917</v>
      </c>
      <c r="Q125" s="131">
        <v>42948</v>
      </c>
      <c r="R125" s="131">
        <v>42992</v>
      </c>
      <c r="S125" s="132"/>
      <c r="T125" s="133" t="s">
        <v>338</v>
      </c>
      <c r="U125" s="134" t="s">
        <v>339</v>
      </c>
      <c r="V125" s="132"/>
      <c r="W125" s="133" t="s">
        <v>338</v>
      </c>
      <c r="X125" s="134" t="s">
        <v>339</v>
      </c>
      <c r="Y125" s="157"/>
      <c r="Z125" s="157"/>
    </row>
    <row r="126" spans="1:26" s="128" customFormat="1" x14ac:dyDescent="0.25">
      <c r="A126" s="459"/>
      <c r="B126" s="204" t="s">
        <v>340</v>
      </c>
      <c r="C126" s="173"/>
      <c r="E126" s="136"/>
      <c r="F126" s="136"/>
      <c r="G126" s="136"/>
      <c r="H126" s="136"/>
      <c r="I126" s="136"/>
      <c r="J126" s="136"/>
      <c r="K126" s="136"/>
      <c r="L126" s="136"/>
      <c r="M126" s="136"/>
      <c r="N126" s="136"/>
      <c r="O126" s="136"/>
      <c r="P126" s="136"/>
      <c r="T126" s="170">
        <f>SUM(E126:P126)</f>
        <v>0</v>
      </c>
      <c r="U126" s="162" t="s">
        <v>341</v>
      </c>
      <c r="V126" s="163"/>
      <c r="W126" s="164">
        <f>T126*3413/1000000</f>
        <v>0</v>
      </c>
      <c r="X126" s="162" t="s">
        <v>342</v>
      </c>
      <c r="Y126" s="166"/>
      <c r="Z126" s="166"/>
    </row>
    <row r="127" spans="1:26" s="128" customFormat="1" x14ac:dyDescent="0.25">
      <c r="A127" s="459"/>
      <c r="B127" s="204" t="s">
        <v>1092</v>
      </c>
      <c r="C127" s="173"/>
      <c r="E127" s="136"/>
      <c r="F127" s="165"/>
      <c r="G127" s="165"/>
      <c r="H127" s="165"/>
      <c r="I127" s="165"/>
      <c r="J127" s="165"/>
      <c r="K127" s="165"/>
      <c r="L127" s="165"/>
      <c r="M127" s="165"/>
      <c r="N127" s="165"/>
      <c r="O127" s="165"/>
      <c r="P127" s="165"/>
      <c r="T127" s="170">
        <f>SUM(E127:P127)</f>
        <v>0</v>
      </c>
      <c r="U127" s="162" t="s">
        <v>665</v>
      </c>
      <c r="V127" s="163"/>
      <c r="W127" s="164">
        <f>T127*99976.124488/1000000</f>
        <v>0</v>
      </c>
      <c r="X127" s="162" t="s">
        <v>342</v>
      </c>
      <c r="Y127" s="1093">
        <f>W126+W127</f>
        <v>0</v>
      </c>
      <c r="Z127" s="165" t="s">
        <v>677</v>
      </c>
    </row>
    <row r="128" spans="1:26" s="128" customFormat="1" x14ac:dyDescent="0.25">
      <c r="A128" s="459"/>
      <c r="B128" s="204" t="s">
        <v>1007</v>
      </c>
      <c r="C128" s="173"/>
      <c r="E128" s="1094"/>
      <c r="F128" s="1094"/>
      <c r="G128" s="1094"/>
      <c r="H128" s="1094"/>
      <c r="I128" s="1094"/>
      <c r="J128" s="1094"/>
      <c r="K128" s="1094"/>
      <c r="L128" s="1094"/>
      <c r="M128" s="1094"/>
      <c r="N128" s="1094"/>
      <c r="O128" s="1094"/>
      <c r="P128" s="1094"/>
      <c r="T128" s="170">
        <f>SUM(E128:P128)</f>
        <v>0</v>
      </c>
      <c r="U128" s="162" t="s">
        <v>379</v>
      </c>
      <c r="V128" s="163" t="s">
        <v>38</v>
      </c>
      <c r="W128" s="164">
        <f>T128*748</f>
        <v>0</v>
      </c>
      <c r="X128" s="162" t="s">
        <v>346</v>
      </c>
      <c r="Y128" s="166"/>
      <c r="Z128" s="166"/>
    </row>
    <row r="129" spans="1:26" s="128" customFormat="1" x14ac:dyDescent="0.25">
      <c r="A129" s="459"/>
      <c r="B129" s="204" t="s">
        <v>324</v>
      </c>
      <c r="C129" s="173"/>
      <c r="E129" s="775"/>
      <c r="F129" s="775"/>
      <c r="G129" s="775"/>
      <c r="H129" s="775"/>
      <c r="I129" s="775"/>
      <c r="J129" s="775"/>
      <c r="K129" s="775"/>
      <c r="L129" s="775"/>
      <c r="M129" s="775"/>
      <c r="N129" s="775"/>
      <c r="O129" s="775"/>
      <c r="P129" s="775"/>
      <c r="T129" s="1095">
        <f>SUM(E129:P129)</f>
        <v>0</v>
      </c>
      <c r="U129" s="162"/>
      <c r="V129" s="163"/>
      <c r="W129" s="1095">
        <f>T129</f>
        <v>0</v>
      </c>
      <c r="X129" s="162"/>
      <c r="Y129" s="166"/>
      <c r="Z129" s="166"/>
    </row>
    <row r="130" spans="1:26" s="128" customFormat="1" ht="16.5" x14ac:dyDescent="0.35">
      <c r="A130" s="459"/>
      <c r="B130" s="204" t="s">
        <v>381</v>
      </c>
      <c r="C130" s="173"/>
      <c r="E130" s="1264"/>
      <c r="F130" s="1264"/>
      <c r="G130" s="1264"/>
      <c r="H130" s="1264"/>
      <c r="I130" s="1264"/>
      <c r="J130" s="1264"/>
      <c r="K130" s="1264"/>
      <c r="L130" s="1264"/>
      <c r="M130" s="1264"/>
      <c r="N130" s="1264"/>
      <c r="O130" s="1264"/>
      <c r="P130" s="1264"/>
      <c r="T130" s="1095">
        <f>SUM(E130:P130)</f>
        <v>0</v>
      </c>
      <c r="U130" s="162"/>
      <c r="V130" s="163"/>
      <c r="W130" s="1096">
        <f>T130</f>
        <v>0</v>
      </c>
      <c r="X130" s="162"/>
      <c r="Y130" s="166"/>
      <c r="Z130" s="166"/>
    </row>
    <row r="131" spans="1:26" s="125" customFormat="1" x14ac:dyDescent="0.25">
      <c r="A131" s="463"/>
      <c r="B131" s="157"/>
      <c r="C131" s="446"/>
      <c r="D131" s="185"/>
      <c r="E131" s="185"/>
      <c r="F131" s="185"/>
      <c r="G131" s="185"/>
      <c r="H131" s="185"/>
      <c r="I131" s="185"/>
      <c r="J131" s="185"/>
      <c r="K131" s="185"/>
      <c r="L131" s="185"/>
      <c r="M131" s="185"/>
      <c r="N131" s="185"/>
      <c r="T131" s="149"/>
      <c r="U131" s="150"/>
      <c r="V131" s="139"/>
      <c r="W131" s="143">
        <f>SUM(W129:W130)</f>
        <v>0</v>
      </c>
      <c r="X131" s="150"/>
      <c r="Y131" s="157"/>
      <c r="Z131" s="157"/>
    </row>
    <row r="132" spans="1:26" s="157" customFormat="1" x14ac:dyDescent="0.25">
      <c r="A132" s="461"/>
      <c r="C132" s="599"/>
      <c r="R132" s="182"/>
      <c r="U132" s="182"/>
    </row>
    <row r="133" spans="1:26" s="125" customFormat="1" x14ac:dyDescent="0.25">
      <c r="A133" s="461">
        <v>14</v>
      </c>
      <c r="B133" s="148" t="s">
        <v>396</v>
      </c>
      <c r="C133" s="152"/>
      <c r="D133" s="157"/>
      <c r="S133" s="126"/>
      <c r="T133" s="148" t="s">
        <v>396</v>
      </c>
      <c r="V133" s="126"/>
      <c r="Y133" s="157"/>
      <c r="Z133" s="157"/>
    </row>
    <row r="134" spans="1:26" s="125" customFormat="1" x14ac:dyDescent="0.25">
      <c r="A134" s="461"/>
      <c r="B134" s="130" t="s">
        <v>337</v>
      </c>
      <c r="C134" s="1152">
        <v>42522</v>
      </c>
      <c r="D134" s="131">
        <v>42552</v>
      </c>
      <c r="E134" s="131">
        <v>42583</v>
      </c>
      <c r="F134" s="131">
        <v>42614</v>
      </c>
      <c r="G134" s="131">
        <v>42644</v>
      </c>
      <c r="H134" s="131">
        <v>42675</v>
      </c>
      <c r="I134" s="131">
        <v>42705</v>
      </c>
      <c r="J134" s="131">
        <v>42736</v>
      </c>
      <c r="K134" s="131">
        <v>42767</v>
      </c>
      <c r="L134" s="131">
        <v>42795</v>
      </c>
      <c r="M134" s="131">
        <v>42826</v>
      </c>
      <c r="N134" s="131">
        <v>42856</v>
      </c>
      <c r="O134" s="131">
        <v>42887</v>
      </c>
      <c r="P134" s="131">
        <v>42917</v>
      </c>
      <c r="Q134" s="131">
        <v>42948</v>
      </c>
      <c r="R134" s="131">
        <v>42992</v>
      </c>
      <c r="S134" s="132"/>
      <c r="T134" s="133" t="s">
        <v>338</v>
      </c>
      <c r="U134" s="134" t="s">
        <v>339</v>
      </c>
      <c r="V134" s="132"/>
      <c r="W134" s="133" t="s">
        <v>338</v>
      </c>
      <c r="X134" s="134" t="s">
        <v>339</v>
      </c>
      <c r="Y134" s="157"/>
      <c r="Z134" s="157"/>
    </row>
    <row r="135" spans="1:26" s="157" customFormat="1" x14ac:dyDescent="0.25">
      <c r="A135" s="461"/>
      <c r="B135" s="135" t="s">
        <v>319</v>
      </c>
      <c r="C135" s="599"/>
      <c r="D135" s="160">
        <v>19077</v>
      </c>
      <c r="E135" s="1247">
        <v>24682</v>
      </c>
      <c r="F135" s="136">
        <v>25006</v>
      </c>
      <c r="G135" s="136">
        <v>21386</v>
      </c>
      <c r="H135" s="136">
        <v>24873</v>
      </c>
      <c r="I135" s="136">
        <v>22911</v>
      </c>
      <c r="J135" s="136">
        <v>21122</v>
      </c>
      <c r="K135" s="136">
        <v>22868</v>
      </c>
      <c r="L135" s="136">
        <v>26101</v>
      </c>
      <c r="M135" s="136">
        <v>22533</v>
      </c>
      <c r="N135" s="136">
        <v>22646</v>
      </c>
      <c r="O135" s="136">
        <v>18070</v>
      </c>
      <c r="P135" s="456"/>
      <c r="Q135" s="174"/>
      <c r="T135" s="141">
        <f t="shared" ref="T135:T141" si="7">SUM(D135:P135)</f>
        <v>271275</v>
      </c>
      <c r="U135" s="188" t="s">
        <v>341</v>
      </c>
      <c r="W135" s="140">
        <f>T135*3413/1000000</f>
        <v>925.86157500000002</v>
      </c>
      <c r="X135" s="138" t="s">
        <v>342</v>
      </c>
    </row>
    <row r="136" spans="1:26" s="157" customFormat="1" x14ac:dyDescent="0.25">
      <c r="A136" s="461"/>
      <c r="B136" s="135" t="s">
        <v>320</v>
      </c>
      <c r="C136" s="599"/>
      <c r="D136" s="160">
        <v>5270</v>
      </c>
      <c r="E136" s="1247">
        <v>9860</v>
      </c>
      <c r="F136" s="137">
        <v>13340</v>
      </c>
      <c r="G136" s="137">
        <v>17520</v>
      </c>
      <c r="H136" s="137">
        <v>43220</v>
      </c>
      <c r="I136" s="136">
        <v>68250</v>
      </c>
      <c r="J136" s="136">
        <v>74950</v>
      </c>
      <c r="K136" s="136">
        <v>60780</v>
      </c>
      <c r="L136" s="136">
        <v>54350</v>
      </c>
      <c r="M136" s="136">
        <v>17190</v>
      </c>
      <c r="N136" s="136">
        <v>9090</v>
      </c>
      <c r="O136" s="136">
        <v>6360</v>
      </c>
      <c r="P136" s="456"/>
      <c r="Q136" s="174"/>
      <c r="T136" s="141">
        <f t="shared" si="7"/>
        <v>380180</v>
      </c>
      <c r="U136" s="188" t="s">
        <v>344</v>
      </c>
      <c r="W136" s="160">
        <f>T136/1000</f>
        <v>380.18</v>
      </c>
      <c r="X136" s="138" t="s">
        <v>342</v>
      </c>
    </row>
    <row r="137" spans="1:26" s="157" customFormat="1" x14ac:dyDescent="0.25">
      <c r="A137" s="461"/>
      <c r="B137" s="192" t="s">
        <v>323</v>
      </c>
      <c r="C137" s="599"/>
      <c r="D137" s="160">
        <v>22276</v>
      </c>
      <c r="E137" s="1248">
        <v>27099.333333333332</v>
      </c>
      <c r="F137" s="141">
        <v>23967.333333333332</v>
      </c>
      <c r="G137" s="141">
        <v>11504</v>
      </c>
      <c r="H137" s="141">
        <v>10664.666666666666</v>
      </c>
      <c r="I137" s="141">
        <v>7941</v>
      </c>
      <c r="J137" s="141">
        <v>4767</v>
      </c>
      <c r="K137" s="141">
        <v>4462</v>
      </c>
      <c r="L137" s="141">
        <v>6798</v>
      </c>
      <c r="M137" s="141">
        <v>7812</v>
      </c>
      <c r="N137" s="141">
        <v>10861</v>
      </c>
      <c r="O137" s="141">
        <v>12558</v>
      </c>
      <c r="P137" s="456"/>
      <c r="Q137" s="178"/>
      <c r="T137" s="141">
        <f t="shared" si="7"/>
        <v>150710.33333333331</v>
      </c>
      <c r="U137" s="188" t="s">
        <v>397</v>
      </c>
      <c r="W137" s="193">
        <f>T137*0.012</f>
        <v>1808.5239999999999</v>
      </c>
      <c r="X137" s="138" t="s">
        <v>342</v>
      </c>
      <c r="Y137" s="495">
        <f>W135+W136+W137</f>
        <v>3114.5655749999996</v>
      </c>
      <c r="Z137" s="153" t="s">
        <v>677</v>
      </c>
    </row>
    <row r="138" spans="1:26" s="157" customFormat="1" x14ac:dyDescent="0.25">
      <c r="A138" s="461"/>
      <c r="B138" s="135" t="s">
        <v>345</v>
      </c>
      <c r="C138" s="599"/>
      <c r="D138" s="160">
        <v>6700.0000000000246</v>
      </c>
      <c r="E138" s="1248">
        <v>51100.000000000182</v>
      </c>
      <c r="F138" s="141">
        <v>85600.000000000306</v>
      </c>
      <c r="G138" s="141">
        <v>67400.000000000247</v>
      </c>
      <c r="H138" s="141">
        <v>83000.000000000306</v>
      </c>
      <c r="I138" s="141">
        <v>48200.000000000175</v>
      </c>
      <c r="J138" s="141">
        <v>62200.000000000226</v>
      </c>
      <c r="K138" s="141">
        <v>86600.00000000032</v>
      </c>
      <c r="L138" s="141">
        <v>84200.00000000032</v>
      </c>
      <c r="M138" s="141">
        <v>77400.000000000276</v>
      </c>
      <c r="N138" s="141">
        <v>33700.000000000124</v>
      </c>
      <c r="O138" s="141">
        <v>14400.000000000053</v>
      </c>
      <c r="P138" s="176"/>
      <c r="Q138" s="178"/>
      <c r="T138" s="141">
        <f t="shared" si="7"/>
        <v>700500.00000000244</v>
      </c>
      <c r="U138" s="188" t="s">
        <v>346</v>
      </c>
      <c r="W138" s="141">
        <f>T138</f>
        <v>700500.00000000244</v>
      </c>
      <c r="X138" s="188" t="s">
        <v>346</v>
      </c>
    </row>
    <row r="139" spans="1:26" s="157" customFormat="1" x14ac:dyDescent="0.25">
      <c r="A139" s="461"/>
      <c r="B139" s="135" t="s">
        <v>324</v>
      </c>
      <c r="C139" s="599"/>
      <c r="D139" s="171">
        <v>1329.6231285276845</v>
      </c>
      <c r="E139" s="1249">
        <v>1691.6888754966039</v>
      </c>
      <c r="F139" s="142">
        <v>1663.9910290168045</v>
      </c>
      <c r="G139" s="142">
        <v>1194.0055254271647</v>
      </c>
      <c r="H139" s="142">
        <v>1364.5018428393287</v>
      </c>
      <c r="I139" s="142">
        <v>1308.0225847291943</v>
      </c>
      <c r="J139" s="142">
        <v>1213.1635263852243</v>
      </c>
      <c r="K139" s="142">
        <v>1247.7805645607991</v>
      </c>
      <c r="L139" s="142">
        <v>1501.192280942</v>
      </c>
      <c r="M139" s="142">
        <v>1220.6932898224668</v>
      </c>
      <c r="N139" s="142">
        <v>1254.9449675036976</v>
      </c>
      <c r="O139" s="142">
        <v>1119.7120067264573</v>
      </c>
      <c r="P139" s="179"/>
      <c r="Q139" s="176"/>
      <c r="T139" s="171">
        <f t="shared" si="7"/>
        <v>16109.319621977425</v>
      </c>
      <c r="U139" s="188"/>
      <c r="W139" s="190">
        <f>T139</f>
        <v>16109.319621977425</v>
      </c>
      <c r="X139" s="188"/>
    </row>
    <row r="140" spans="1:26" s="157" customFormat="1" x14ac:dyDescent="0.25">
      <c r="A140" s="461"/>
      <c r="B140" s="195" t="s">
        <v>326</v>
      </c>
      <c r="C140" s="599"/>
      <c r="D140" s="171">
        <v>41.179253000000003</v>
      </c>
      <c r="E140" s="1250">
        <v>77.045054000000007</v>
      </c>
      <c r="F140" s="156">
        <v>104.237426</v>
      </c>
      <c r="G140" s="156">
        <v>136.899528</v>
      </c>
      <c r="H140" s="156">
        <v>337.71675800000003</v>
      </c>
      <c r="I140" s="171">
        <v>533.298675</v>
      </c>
      <c r="J140" s="171">
        <v>585.65180500000008</v>
      </c>
      <c r="K140" s="171">
        <v>474.92884200000003</v>
      </c>
      <c r="L140" s="171">
        <v>424.68546500000002</v>
      </c>
      <c r="M140" s="171">
        <v>134.320941</v>
      </c>
      <c r="N140" s="171">
        <v>71.028351000000001</v>
      </c>
      <c r="O140" s="171">
        <v>49.696404000000001</v>
      </c>
      <c r="P140" s="125"/>
      <c r="Q140" s="1058"/>
      <c r="T140" s="171">
        <f t="shared" si="7"/>
        <v>2970.688502</v>
      </c>
      <c r="U140" s="188"/>
      <c r="W140" s="190">
        <f>T140</f>
        <v>2970.688502</v>
      </c>
      <c r="X140" s="188"/>
    </row>
    <row r="141" spans="1:26" s="157" customFormat="1" ht="16.5" x14ac:dyDescent="0.35">
      <c r="A141" s="461"/>
      <c r="B141" s="195" t="s">
        <v>398</v>
      </c>
      <c r="C141" s="599" t="s">
        <v>1393</v>
      </c>
      <c r="D141" s="171"/>
      <c r="E141" s="1092"/>
      <c r="F141" s="198"/>
      <c r="G141" s="198"/>
      <c r="H141" s="198"/>
      <c r="I141" s="198"/>
      <c r="J141" s="198"/>
      <c r="K141" s="198"/>
      <c r="L141" s="198"/>
      <c r="M141" s="198"/>
      <c r="N141" s="198"/>
      <c r="O141" s="198"/>
      <c r="P141"/>
      <c r="Q141" s="446"/>
      <c r="T141" s="171">
        <f t="shared" si="7"/>
        <v>0</v>
      </c>
      <c r="U141" s="188"/>
      <c r="W141" s="197">
        <f>T141</f>
        <v>0</v>
      </c>
      <c r="X141" s="188"/>
    </row>
    <row r="142" spans="1:26" s="157" customFormat="1" x14ac:dyDescent="0.25">
      <c r="A142" s="461"/>
      <c r="B142" s="200"/>
      <c r="C142" s="599"/>
      <c r="E142" s="446"/>
      <c r="F142" s="600"/>
      <c r="G142" s="446"/>
      <c r="H142" s="446"/>
      <c r="I142" s="446"/>
      <c r="J142" s="446"/>
      <c r="K142" s="446"/>
      <c r="L142" s="446"/>
      <c r="M142" s="446"/>
      <c r="N142" s="446"/>
      <c r="O142" s="446"/>
      <c r="P142" s="446"/>
      <c r="Q142" s="194"/>
      <c r="T142" s="184"/>
      <c r="U142" s="199"/>
      <c r="W142" s="190">
        <f>SUM(W139:W141)</f>
        <v>19080.008123977426</v>
      </c>
      <c r="X142" s="188"/>
    </row>
    <row r="143" spans="1:26" s="125" customFormat="1" x14ac:dyDescent="0.25">
      <c r="A143" s="461"/>
      <c r="B143" s="200"/>
      <c r="C143" s="152"/>
      <c r="E143" s="201"/>
      <c r="F143" s="202"/>
      <c r="G143" s="202"/>
      <c r="H143" s="203"/>
      <c r="I143" s="203"/>
      <c r="J143" s="203"/>
      <c r="K143" s="203"/>
      <c r="L143" s="203"/>
      <c r="M143" s="203"/>
      <c r="N143" s="203"/>
      <c r="O143" s="203"/>
      <c r="P143" s="203"/>
      <c r="S143" s="126"/>
      <c r="V143" s="126"/>
      <c r="Y143" s="157"/>
      <c r="Z143" s="157"/>
    </row>
    <row r="144" spans="1:26" s="125" customFormat="1" x14ac:dyDescent="0.25">
      <c r="A144" s="461">
        <v>15</v>
      </c>
      <c r="B144" s="148" t="s">
        <v>560</v>
      </c>
      <c r="C144" s="152"/>
      <c r="S144" s="126"/>
      <c r="T144" s="148" t="s">
        <v>560</v>
      </c>
      <c r="V144" s="126"/>
      <c r="Y144" s="157"/>
      <c r="Z144" s="157"/>
    </row>
    <row r="145" spans="1:26" s="125" customFormat="1" x14ac:dyDescent="0.25">
      <c r="A145" s="461"/>
      <c r="B145" s="130" t="s">
        <v>337</v>
      </c>
      <c r="C145" s="1152">
        <v>42522</v>
      </c>
      <c r="D145" s="131">
        <v>42552</v>
      </c>
      <c r="E145" s="131">
        <v>42583</v>
      </c>
      <c r="F145" s="131">
        <v>42614</v>
      </c>
      <c r="G145" s="131">
        <v>42644</v>
      </c>
      <c r="H145" s="131">
        <v>42675</v>
      </c>
      <c r="I145" s="131">
        <v>42705</v>
      </c>
      <c r="J145" s="131">
        <v>42736</v>
      </c>
      <c r="K145" s="131">
        <v>42767</v>
      </c>
      <c r="L145" s="131">
        <v>42795</v>
      </c>
      <c r="M145" s="131">
        <v>42826</v>
      </c>
      <c r="N145" s="131">
        <v>42856</v>
      </c>
      <c r="O145" s="131">
        <v>42887</v>
      </c>
      <c r="P145" s="131">
        <v>42917</v>
      </c>
      <c r="Q145" s="131">
        <v>42948</v>
      </c>
      <c r="R145" s="131">
        <v>42992</v>
      </c>
      <c r="S145" s="132"/>
      <c r="T145" s="133" t="s">
        <v>338</v>
      </c>
      <c r="U145" s="134" t="s">
        <v>339</v>
      </c>
      <c r="V145" s="132"/>
      <c r="W145" s="133" t="s">
        <v>338</v>
      </c>
      <c r="X145" s="134" t="s">
        <v>339</v>
      </c>
      <c r="Y145" s="157"/>
      <c r="Z145" s="157"/>
    </row>
    <row r="146" spans="1:26" s="157" customFormat="1" x14ac:dyDescent="0.25">
      <c r="A146" s="461"/>
      <c r="B146" s="135" t="s">
        <v>319</v>
      </c>
      <c r="C146" s="599"/>
      <c r="D146" s="160">
        <v>19440</v>
      </c>
      <c r="E146" s="1247">
        <v>25539.666666666668</v>
      </c>
      <c r="F146" s="136">
        <v>26717.666666666668</v>
      </c>
      <c r="G146" s="136">
        <v>20243</v>
      </c>
      <c r="H146" s="136">
        <v>22933</v>
      </c>
      <c r="I146" s="136">
        <v>21422</v>
      </c>
      <c r="J146" s="136">
        <v>20113</v>
      </c>
      <c r="K146" s="136">
        <v>21952</v>
      </c>
      <c r="L146" s="136">
        <v>25056</v>
      </c>
      <c r="M146" s="136">
        <v>21553</v>
      </c>
      <c r="N146" s="136">
        <v>21798</v>
      </c>
      <c r="O146" s="136">
        <v>17036</v>
      </c>
      <c r="P146" s="456"/>
      <c r="Q146" s="174"/>
      <c r="T146" s="141">
        <f t="shared" ref="T146:T151" si="8">SUM(D146:O146)</f>
        <v>263803.33333333337</v>
      </c>
      <c r="U146" s="188" t="s">
        <v>341</v>
      </c>
      <c r="W146" s="140">
        <f>T146*3413/1000000</f>
        <v>900.36077666666677</v>
      </c>
      <c r="X146" s="138" t="s">
        <v>342</v>
      </c>
    </row>
    <row r="147" spans="1:26" s="157" customFormat="1" x14ac:dyDescent="0.25">
      <c r="A147" s="461"/>
      <c r="B147" s="135" t="s">
        <v>320</v>
      </c>
      <c r="C147" s="599" t="s">
        <v>351</v>
      </c>
      <c r="D147" s="160">
        <v>4500</v>
      </c>
      <c r="E147" s="1247">
        <v>10190</v>
      </c>
      <c r="F147" s="137">
        <v>10660</v>
      </c>
      <c r="G147" s="137">
        <v>37200</v>
      </c>
      <c r="H147" s="137">
        <v>28733.333333333332</v>
      </c>
      <c r="I147" s="136">
        <v>54006.666666666664</v>
      </c>
      <c r="J147" s="136">
        <v>63430</v>
      </c>
      <c r="K147" s="136">
        <v>40763.333333333336</v>
      </c>
      <c r="L147" s="136">
        <v>40293.333333333336</v>
      </c>
      <c r="M147" s="136">
        <v>36110</v>
      </c>
      <c r="N147" s="136">
        <v>6453.333333333333</v>
      </c>
      <c r="O147" s="136">
        <v>4540</v>
      </c>
      <c r="P147" s="456"/>
      <c r="Q147" s="174"/>
      <c r="T147" s="141">
        <f t="shared" si="8"/>
        <v>336880</v>
      </c>
      <c r="U147" s="188" t="s">
        <v>344</v>
      </c>
      <c r="W147" s="160">
        <f>T147/1000</f>
        <v>336.88</v>
      </c>
      <c r="X147" s="138" t="s">
        <v>342</v>
      </c>
    </row>
    <row r="148" spans="1:26" s="157" customFormat="1" x14ac:dyDescent="0.25">
      <c r="A148" s="461"/>
      <c r="B148" s="192" t="s">
        <v>323</v>
      </c>
      <c r="C148" s="599"/>
      <c r="D148" s="160">
        <v>22627</v>
      </c>
      <c r="E148" s="1248">
        <v>29638</v>
      </c>
      <c r="F148" s="141">
        <v>24518</v>
      </c>
      <c r="G148" s="141">
        <v>15124</v>
      </c>
      <c r="H148" s="141">
        <v>15778</v>
      </c>
      <c r="I148" s="141">
        <v>14869</v>
      </c>
      <c r="J148" s="141">
        <v>12368</v>
      </c>
      <c r="K148" s="141">
        <v>13340</v>
      </c>
      <c r="L148" s="141">
        <v>10425</v>
      </c>
      <c r="M148" s="141">
        <v>11675</v>
      </c>
      <c r="N148" s="141">
        <v>17875</v>
      </c>
      <c r="O148" s="141">
        <v>18406</v>
      </c>
      <c r="P148" s="456"/>
      <c r="Q148" s="178"/>
      <c r="T148" s="141">
        <f t="shared" si="8"/>
        <v>206643</v>
      </c>
      <c r="U148" s="188" t="s">
        <v>397</v>
      </c>
      <c r="W148" s="193">
        <f>T148*0.012</f>
        <v>2479.7159999999999</v>
      </c>
      <c r="X148" s="138" t="s">
        <v>342</v>
      </c>
      <c r="Y148" s="495">
        <f>W146+W147+W148</f>
        <v>3716.9567766666669</v>
      </c>
      <c r="Z148" s="153" t="s">
        <v>677</v>
      </c>
    </row>
    <row r="149" spans="1:26" s="157" customFormat="1" x14ac:dyDescent="0.25">
      <c r="A149" s="461"/>
      <c r="B149" s="135" t="s">
        <v>345</v>
      </c>
      <c r="C149" s="599"/>
      <c r="D149" s="160">
        <v>49800.000000000182</v>
      </c>
      <c r="E149" s="1248">
        <v>129100.00000000048</v>
      </c>
      <c r="F149" s="141">
        <v>267500.00000000093</v>
      </c>
      <c r="G149" s="141">
        <v>229900.00000000084</v>
      </c>
      <c r="H149" s="141">
        <v>282900.00000000105</v>
      </c>
      <c r="I149" s="141">
        <v>141700.00000000052</v>
      </c>
      <c r="J149" s="141">
        <v>44600.00000000016</v>
      </c>
      <c r="K149" s="141">
        <v>63500.000000000226</v>
      </c>
      <c r="L149" s="141">
        <v>62800.000000000226</v>
      </c>
      <c r="M149" s="141">
        <v>59100.000000000211</v>
      </c>
      <c r="N149" s="141">
        <v>29400.000000000106</v>
      </c>
      <c r="O149" s="141">
        <v>25200.000000000095</v>
      </c>
      <c r="P149" s="176"/>
      <c r="Q149" s="178"/>
      <c r="T149" s="141">
        <f t="shared" si="8"/>
        <v>1385500.0000000049</v>
      </c>
      <c r="U149" s="188" t="s">
        <v>346</v>
      </c>
      <c r="W149" s="141">
        <f>T149</f>
        <v>1385500.0000000049</v>
      </c>
      <c r="X149" s="188" t="s">
        <v>346</v>
      </c>
    </row>
    <row r="150" spans="1:26" s="157" customFormat="1" x14ac:dyDescent="0.25">
      <c r="A150" s="461"/>
      <c r="B150" s="135" t="s">
        <v>324</v>
      </c>
      <c r="C150" s="599"/>
      <c r="D150" s="171">
        <v>1354.9233956375838</v>
      </c>
      <c r="E150" s="1249">
        <v>1750.4728135439361</v>
      </c>
      <c r="F150" s="142">
        <v>1777.8916119969067</v>
      </c>
      <c r="G150" s="142">
        <v>1130.1904915001448</v>
      </c>
      <c r="H150" s="142">
        <v>1258.0758558209434</v>
      </c>
      <c r="I150" s="142">
        <v>1223.0133913870543</v>
      </c>
      <c r="J150" s="142">
        <v>1155.2105864116095</v>
      </c>
      <c r="K150" s="142">
        <v>1197.7994994419566</v>
      </c>
      <c r="L150" s="142">
        <v>1441.0893755520001</v>
      </c>
      <c r="M150" s="142">
        <v>1167.6031809143756</v>
      </c>
      <c r="N150" s="142">
        <v>1207.9524155102711</v>
      </c>
      <c r="O150" s="142">
        <v>1055.6399417040359</v>
      </c>
      <c r="P150" s="179"/>
      <c r="Q150" s="176"/>
      <c r="T150" s="171">
        <f t="shared" si="8"/>
        <v>15719.862559420817</v>
      </c>
      <c r="U150" s="188"/>
      <c r="W150" s="190">
        <f>T150</f>
        <v>15719.862559420817</v>
      </c>
      <c r="X150" s="188"/>
    </row>
    <row r="151" spans="1:26" s="157" customFormat="1" x14ac:dyDescent="0.25">
      <c r="A151" s="461"/>
      <c r="B151" s="204" t="s">
        <v>326</v>
      </c>
      <c r="C151" s="599"/>
      <c r="D151" s="171">
        <v>35.162550000000003</v>
      </c>
      <c r="E151" s="1250" t="s">
        <v>321</v>
      </c>
      <c r="F151" s="156">
        <v>83.296174000000008</v>
      </c>
      <c r="G151" s="156">
        <v>290.67707999999999</v>
      </c>
      <c r="H151" s="156">
        <v>224.51939333333334</v>
      </c>
      <c r="I151" s="171">
        <v>422.00269266666669</v>
      </c>
      <c r="J151" s="171">
        <v>495.63567700000004</v>
      </c>
      <c r="K151" s="171">
        <v>318.52061033333337</v>
      </c>
      <c r="L151" s="171">
        <v>314.84807733333338</v>
      </c>
      <c r="M151" s="171">
        <v>282.15992900000003</v>
      </c>
      <c r="N151" s="171">
        <v>50.425701333333336</v>
      </c>
      <c r="O151" s="171">
        <v>35.475106000000004</v>
      </c>
      <c r="P151" s="125"/>
      <c r="Q151" s="1058"/>
      <c r="T151" s="171">
        <f t="shared" si="8"/>
        <v>2552.7229909999996</v>
      </c>
      <c r="U151" s="188"/>
      <c r="W151" s="190">
        <f>T151</f>
        <v>2552.7229909999996</v>
      </c>
      <c r="X151" s="188"/>
    </row>
    <row r="152" spans="1:26" s="157" customFormat="1" ht="16.5" x14ac:dyDescent="0.35">
      <c r="A152" s="461"/>
      <c r="B152" s="195" t="s">
        <v>398</v>
      </c>
      <c r="C152" s="599" t="s">
        <v>1393</v>
      </c>
      <c r="D152" s="153"/>
      <c r="E152" s="1092"/>
      <c r="F152" s="198"/>
      <c r="G152" s="198"/>
      <c r="H152" s="198"/>
      <c r="I152" s="198"/>
      <c r="J152" s="198"/>
      <c r="K152" s="198"/>
      <c r="L152" s="198"/>
      <c r="M152" s="198"/>
      <c r="N152" s="198"/>
      <c r="O152" s="198"/>
      <c r="P152"/>
      <c r="Q152" s="446"/>
      <c r="T152" s="171">
        <f>SUM(G152:Q152)</f>
        <v>0</v>
      </c>
      <c r="U152" s="188"/>
      <c r="W152" s="197">
        <f>T152</f>
        <v>0</v>
      </c>
      <c r="X152" s="188"/>
    </row>
    <row r="153" spans="1:26" s="125" customFormat="1" x14ac:dyDescent="0.25">
      <c r="A153" s="461"/>
      <c r="C153" s="2147" t="s">
        <v>1551</v>
      </c>
      <c r="D153" s="157"/>
      <c r="E153" s="446"/>
      <c r="F153" s="600"/>
      <c r="G153" s="446"/>
      <c r="H153" s="446"/>
      <c r="I153" s="446"/>
      <c r="J153" s="446"/>
      <c r="K153" s="446"/>
      <c r="L153" s="446"/>
      <c r="M153" s="446"/>
      <c r="N153" s="446"/>
      <c r="O153" s="446"/>
      <c r="P153" s="446"/>
      <c r="Q153" s="194"/>
      <c r="R153" s="157"/>
      <c r="S153" s="157"/>
      <c r="T153" s="184"/>
      <c r="U153" s="199"/>
      <c r="V153" s="157"/>
      <c r="W153" s="190">
        <f>SUM(W150:W152)</f>
        <v>18272.585550420816</v>
      </c>
      <c r="X153" s="188"/>
      <c r="Y153" s="157"/>
      <c r="Z153" s="157"/>
    </row>
    <row r="154" spans="1:26" s="125" customFormat="1" x14ac:dyDescent="0.25">
      <c r="A154" s="461"/>
      <c r="C154" s="152"/>
      <c r="S154" s="126"/>
      <c r="U154" s="447"/>
      <c r="V154" s="126"/>
      <c r="Y154" s="157"/>
      <c r="Z154" s="157"/>
    </row>
    <row r="155" spans="1:26" s="125" customFormat="1" x14ac:dyDescent="0.25">
      <c r="A155" s="461">
        <v>16</v>
      </c>
      <c r="B155" s="148" t="s">
        <v>561</v>
      </c>
      <c r="C155" s="152"/>
      <c r="S155" s="126"/>
      <c r="T155" s="148" t="s">
        <v>561</v>
      </c>
      <c r="V155" s="126"/>
      <c r="Y155" s="157"/>
      <c r="Z155" s="157"/>
    </row>
    <row r="156" spans="1:26" s="125" customFormat="1" x14ac:dyDescent="0.25">
      <c r="A156" s="461"/>
      <c r="B156" s="130" t="s">
        <v>337</v>
      </c>
      <c r="C156" s="1152">
        <v>42522</v>
      </c>
      <c r="D156" s="131">
        <v>42552</v>
      </c>
      <c r="E156" s="131">
        <v>42583</v>
      </c>
      <c r="F156" s="131">
        <v>42614</v>
      </c>
      <c r="G156" s="131">
        <v>42644</v>
      </c>
      <c r="H156" s="131">
        <v>42675</v>
      </c>
      <c r="I156" s="131">
        <v>42705</v>
      </c>
      <c r="J156" s="131">
        <v>42736</v>
      </c>
      <c r="K156" s="131">
        <v>42767</v>
      </c>
      <c r="L156" s="131">
        <v>42795</v>
      </c>
      <c r="M156" s="131">
        <v>42826</v>
      </c>
      <c r="N156" s="131">
        <v>42856</v>
      </c>
      <c r="O156" s="131">
        <v>42887</v>
      </c>
      <c r="P156" s="131">
        <v>42917</v>
      </c>
      <c r="Q156" s="131">
        <v>42948</v>
      </c>
      <c r="R156" s="131">
        <v>42992</v>
      </c>
      <c r="S156" s="132"/>
      <c r="T156" s="133" t="s">
        <v>338</v>
      </c>
      <c r="U156" s="134" t="s">
        <v>339</v>
      </c>
      <c r="V156" s="132"/>
      <c r="W156" s="133" t="s">
        <v>338</v>
      </c>
      <c r="X156" s="134" t="s">
        <v>339</v>
      </c>
      <c r="Y156" s="157"/>
      <c r="Z156" s="157"/>
    </row>
    <row r="157" spans="1:26" s="157" customFormat="1" x14ac:dyDescent="0.25">
      <c r="A157" s="461"/>
      <c r="B157" s="135" t="s">
        <v>319</v>
      </c>
      <c r="C157" s="599"/>
      <c r="D157" s="160">
        <v>19274</v>
      </c>
      <c r="E157" s="1247">
        <v>26563</v>
      </c>
      <c r="F157" s="136">
        <v>28279</v>
      </c>
      <c r="G157" s="136">
        <v>21878</v>
      </c>
      <c r="H157" s="136">
        <v>24768</v>
      </c>
      <c r="I157" s="136">
        <v>22791</v>
      </c>
      <c r="J157" s="136">
        <v>20710</v>
      </c>
      <c r="K157" s="136">
        <v>22501</v>
      </c>
      <c r="L157" s="136">
        <v>24666</v>
      </c>
      <c r="M157" s="136">
        <v>23585</v>
      </c>
      <c r="N157" s="136">
        <v>22578</v>
      </c>
      <c r="O157" s="136">
        <v>16574</v>
      </c>
      <c r="P157" s="456"/>
      <c r="Q157" s="174"/>
      <c r="T157" s="141">
        <f t="shared" ref="T157:T162" si="9">SUM(D157:O157)</f>
        <v>274167</v>
      </c>
      <c r="U157" s="188" t="s">
        <v>341</v>
      </c>
      <c r="W157" s="140">
        <f>T157*3413/1000000</f>
        <v>935.73197100000004</v>
      </c>
      <c r="X157" s="138" t="s">
        <v>342</v>
      </c>
    </row>
    <row r="158" spans="1:26" s="157" customFormat="1" x14ac:dyDescent="0.25">
      <c r="A158" s="461"/>
      <c r="B158" s="135" t="s">
        <v>320</v>
      </c>
      <c r="C158" s="599"/>
      <c r="D158" s="160">
        <v>6680</v>
      </c>
      <c r="E158" s="1247">
        <v>17870</v>
      </c>
      <c r="F158" s="137">
        <v>21720</v>
      </c>
      <c r="G158" s="137">
        <v>15290</v>
      </c>
      <c r="H158" s="137">
        <v>23904.444444444442</v>
      </c>
      <c r="I158" s="136">
        <v>49258.888888888883</v>
      </c>
      <c r="J158" s="136">
        <v>59590</v>
      </c>
      <c r="K158" s="136">
        <v>34091.111111111117</v>
      </c>
      <c r="L158" s="136">
        <v>35607.777777777781</v>
      </c>
      <c r="M158" s="136">
        <v>23290</v>
      </c>
      <c r="N158" s="136">
        <v>9260</v>
      </c>
      <c r="O158" s="136">
        <v>6140</v>
      </c>
      <c r="P158" s="456"/>
      <c r="Q158" s="174"/>
      <c r="T158" s="141">
        <f t="shared" si="9"/>
        <v>302702.22222222225</v>
      </c>
      <c r="U158" s="188" t="s">
        <v>344</v>
      </c>
      <c r="W158" s="160">
        <f>T158/1000</f>
        <v>302.70222222222225</v>
      </c>
      <c r="X158" s="138" t="s">
        <v>342</v>
      </c>
    </row>
    <row r="159" spans="1:26" s="157" customFormat="1" x14ac:dyDescent="0.25">
      <c r="A159" s="461"/>
      <c r="B159" s="192" t="s">
        <v>323</v>
      </c>
      <c r="C159" s="599"/>
      <c r="D159" s="160">
        <v>21484</v>
      </c>
      <c r="E159" s="1248">
        <v>25899</v>
      </c>
      <c r="F159" s="141">
        <v>24306</v>
      </c>
      <c r="G159" s="141">
        <v>12824</v>
      </c>
      <c r="H159" s="141">
        <v>10780</v>
      </c>
      <c r="I159" s="141">
        <v>7513</v>
      </c>
      <c r="J159" s="141">
        <v>24748</v>
      </c>
      <c r="K159" s="187" t="s">
        <v>321</v>
      </c>
      <c r="L159" s="141">
        <v>10087</v>
      </c>
      <c r="M159" s="141">
        <v>14413</v>
      </c>
      <c r="N159" s="141">
        <v>14228</v>
      </c>
      <c r="O159" s="141">
        <v>15570</v>
      </c>
      <c r="P159" s="456"/>
      <c r="Q159" s="178"/>
      <c r="T159" s="141">
        <f t="shared" si="9"/>
        <v>181852</v>
      </c>
      <c r="U159" s="188" t="s">
        <v>397</v>
      </c>
      <c r="W159" s="160">
        <f>T159*0.012</f>
        <v>2182.2240000000002</v>
      </c>
      <c r="X159" s="138" t="s">
        <v>342</v>
      </c>
      <c r="Y159" s="495">
        <f>W157+W158+W159</f>
        <v>3420.6581932222225</v>
      </c>
      <c r="Z159" s="153" t="s">
        <v>677</v>
      </c>
    </row>
    <row r="160" spans="1:26" s="157" customFormat="1" x14ac:dyDescent="0.25">
      <c r="A160" s="461"/>
      <c r="B160" s="135" t="s">
        <v>345</v>
      </c>
      <c r="C160" s="599"/>
      <c r="D160" s="160">
        <v>37100.000000000131</v>
      </c>
      <c r="E160" s="1248">
        <v>117100.00000000042</v>
      </c>
      <c r="F160" s="141">
        <v>105500.00000000038</v>
      </c>
      <c r="G160" s="141">
        <v>94900.000000000349</v>
      </c>
      <c r="H160" s="141">
        <v>137600.00000000049</v>
      </c>
      <c r="I160" s="141">
        <v>91600.000000000335</v>
      </c>
      <c r="J160" s="141">
        <v>109100.00000000039</v>
      </c>
      <c r="K160" s="141">
        <v>93100.000000000335</v>
      </c>
      <c r="L160" s="141">
        <v>33100.000000000124</v>
      </c>
      <c r="M160" s="141">
        <v>57000.000000000204</v>
      </c>
      <c r="N160" s="141">
        <v>29000.000000000106</v>
      </c>
      <c r="O160" s="141">
        <v>1400.0000000000052</v>
      </c>
      <c r="P160" s="176"/>
      <c r="Q160" s="178"/>
      <c r="T160" s="141">
        <f t="shared" si="9"/>
        <v>906500.00000000326</v>
      </c>
      <c r="U160" s="188" t="s">
        <v>346</v>
      </c>
      <c r="W160" s="141">
        <f>T160</f>
        <v>906500.00000000326</v>
      </c>
      <c r="X160" s="188" t="s">
        <v>346</v>
      </c>
    </row>
    <row r="161" spans="1:26" s="157" customFormat="1" x14ac:dyDescent="0.25">
      <c r="A161" s="461"/>
      <c r="B161" s="135" t="s">
        <v>324</v>
      </c>
      <c r="C161" s="599"/>
      <c r="D161" s="171">
        <v>1343.3535765184563</v>
      </c>
      <c r="E161" s="1249">
        <v>1820.6114415288991</v>
      </c>
      <c r="F161" s="142">
        <v>1881.7884631514924</v>
      </c>
      <c r="G161" s="142">
        <v>1221.4744639154358</v>
      </c>
      <c r="H161" s="142">
        <v>1358.7416734388489</v>
      </c>
      <c r="I161" s="142">
        <v>1301.1716087714663</v>
      </c>
      <c r="J161" s="142">
        <v>1189.4998878627969</v>
      </c>
      <c r="K161" s="142">
        <v>1227.7553998243197</v>
      </c>
      <c r="L161" s="142">
        <v>1418.6586261719999</v>
      </c>
      <c r="M161" s="142">
        <v>1277.6838965278871</v>
      </c>
      <c r="N161" s="142">
        <v>1251.1766968249794</v>
      </c>
      <c r="O161" s="142">
        <v>1027.0119977578474</v>
      </c>
      <c r="P161" s="179"/>
      <c r="Q161" s="176"/>
      <c r="T161" s="171">
        <f t="shared" si="9"/>
        <v>16318.927732294431</v>
      </c>
      <c r="U161" s="188"/>
      <c r="W161" s="190">
        <f>T161</f>
        <v>16318.927732294431</v>
      </c>
      <c r="X161" s="188"/>
    </row>
    <row r="162" spans="1:26" s="157" customFormat="1" x14ac:dyDescent="0.25">
      <c r="A162" s="461"/>
      <c r="B162" s="204" t="s">
        <v>326</v>
      </c>
      <c r="C162" s="599"/>
      <c r="D162" s="171">
        <v>52.196852</v>
      </c>
      <c r="E162" s="1250">
        <v>139.63439300000002</v>
      </c>
      <c r="F162" s="156">
        <v>169.71790799999999</v>
      </c>
      <c r="G162" s="156">
        <v>119.474531</v>
      </c>
      <c r="H162" s="156">
        <v>186.78693844444444</v>
      </c>
      <c r="I162" s="171">
        <v>384.90403188888888</v>
      </c>
      <c r="J162" s="171">
        <v>465.63030100000003</v>
      </c>
      <c r="K162" s="171">
        <v>266.38453311111118</v>
      </c>
      <c r="L162" s="171">
        <v>278.23561477777781</v>
      </c>
      <c r="M162" s="171">
        <v>181.98573100000002</v>
      </c>
      <c r="N162" s="171">
        <v>72.356713999999997</v>
      </c>
      <c r="O162" s="171">
        <v>47.977346000000004</v>
      </c>
      <c r="P162" s="125"/>
      <c r="Q162" s="1058"/>
      <c r="T162" s="171">
        <f t="shared" si="9"/>
        <v>2365.2848942222226</v>
      </c>
      <c r="U162" s="188"/>
      <c r="W162" s="190">
        <f>T162</f>
        <v>2365.2848942222226</v>
      </c>
      <c r="X162" s="188"/>
    </row>
    <row r="163" spans="1:26" s="157" customFormat="1" ht="16.5" x14ac:dyDescent="0.35">
      <c r="A163" s="461"/>
      <c r="B163" s="195" t="s">
        <v>398</v>
      </c>
      <c r="C163" s="599" t="s">
        <v>1393</v>
      </c>
      <c r="D163" s="153"/>
      <c r="E163" s="1092"/>
      <c r="F163" s="198"/>
      <c r="G163" s="198"/>
      <c r="H163" s="198"/>
      <c r="I163" s="198"/>
      <c r="J163" s="198"/>
      <c r="K163" s="198"/>
      <c r="L163" s="198"/>
      <c r="M163" s="198"/>
      <c r="N163" s="198"/>
      <c r="O163" s="198"/>
      <c r="P163"/>
      <c r="Q163" s="446"/>
      <c r="T163" s="171">
        <f>SUM(G163:Q163)</f>
        <v>0</v>
      </c>
      <c r="U163" s="188"/>
      <c r="W163" s="197">
        <f>T163</f>
        <v>0</v>
      </c>
      <c r="X163" s="188"/>
    </row>
    <row r="164" spans="1:26" s="125" customFormat="1" x14ac:dyDescent="0.25">
      <c r="A164" s="461"/>
      <c r="C164" s="2147" t="s">
        <v>1551</v>
      </c>
      <c r="D164" s="157"/>
      <c r="E164" s="446"/>
      <c r="F164" s="600"/>
      <c r="G164" s="446"/>
      <c r="H164" s="446"/>
      <c r="I164" s="446"/>
      <c r="J164" s="446"/>
      <c r="K164" s="446"/>
      <c r="L164" s="446"/>
      <c r="M164" s="446"/>
      <c r="N164" s="446"/>
      <c r="O164" s="446"/>
      <c r="P164" s="446"/>
      <c r="Q164" s="194"/>
      <c r="R164" s="157"/>
      <c r="S164" s="157"/>
      <c r="T164" s="184"/>
      <c r="U164" s="199"/>
      <c r="V164" s="157"/>
      <c r="W164" s="190">
        <f>SUM(W161:W163)</f>
        <v>18684.212626516652</v>
      </c>
      <c r="X164" s="188"/>
      <c r="Y164" s="157"/>
      <c r="Z164" s="157"/>
    </row>
    <row r="165" spans="1:26" s="125" customFormat="1" x14ac:dyDescent="0.25">
      <c r="A165" s="461"/>
      <c r="C165" s="152"/>
      <c r="S165" s="126"/>
      <c r="U165" s="447"/>
      <c r="V165" s="126"/>
      <c r="Y165" s="157"/>
      <c r="Z165" s="157"/>
    </row>
    <row r="166" spans="1:26" s="125" customFormat="1" x14ac:dyDescent="0.25">
      <c r="A166" s="461">
        <v>17</v>
      </c>
      <c r="B166" s="148" t="s">
        <v>562</v>
      </c>
      <c r="C166" s="152"/>
      <c r="S166" s="126"/>
      <c r="T166" s="148" t="s">
        <v>562</v>
      </c>
      <c r="V166" s="126"/>
      <c r="Y166" s="157"/>
      <c r="Z166" s="157"/>
    </row>
    <row r="167" spans="1:26" s="125" customFormat="1" x14ac:dyDescent="0.25">
      <c r="A167" s="461"/>
      <c r="B167" s="130" t="s">
        <v>337</v>
      </c>
      <c r="C167" s="1152">
        <v>42522</v>
      </c>
      <c r="D167" s="131">
        <v>42552</v>
      </c>
      <c r="E167" s="131">
        <v>42583</v>
      </c>
      <c r="F167" s="131">
        <v>42614</v>
      </c>
      <c r="G167" s="131">
        <v>42644</v>
      </c>
      <c r="H167" s="131">
        <v>42675</v>
      </c>
      <c r="I167" s="131">
        <v>42705</v>
      </c>
      <c r="J167" s="131">
        <v>42736</v>
      </c>
      <c r="K167" s="131">
        <v>42767</v>
      </c>
      <c r="L167" s="131">
        <v>42795</v>
      </c>
      <c r="M167" s="131">
        <v>42826</v>
      </c>
      <c r="N167" s="131">
        <v>42856</v>
      </c>
      <c r="O167" s="131">
        <v>42887</v>
      </c>
      <c r="P167" s="131">
        <v>42917</v>
      </c>
      <c r="Q167" s="131">
        <v>42948</v>
      </c>
      <c r="R167" s="131">
        <v>42992</v>
      </c>
      <c r="S167" s="132"/>
      <c r="T167" s="133" t="s">
        <v>338</v>
      </c>
      <c r="U167" s="134" t="s">
        <v>339</v>
      </c>
      <c r="V167" s="132"/>
      <c r="W167" s="133" t="s">
        <v>338</v>
      </c>
      <c r="X167" s="134" t="s">
        <v>339</v>
      </c>
      <c r="Y167" s="157"/>
      <c r="Z167" s="157"/>
    </row>
    <row r="168" spans="1:26" s="157" customFormat="1" x14ac:dyDescent="0.25">
      <c r="A168" s="461"/>
      <c r="B168" s="135" t="s">
        <v>319</v>
      </c>
      <c r="C168" s="599"/>
      <c r="D168" s="160">
        <v>19969</v>
      </c>
      <c r="E168" s="1247">
        <v>25374</v>
      </c>
      <c r="F168" s="136">
        <v>26868</v>
      </c>
      <c r="G168" s="136">
        <v>22056</v>
      </c>
      <c r="H168" s="136">
        <v>25355</v>
      </c>
      <c r="I168" s="136">
        <v>23119</v>
      </c>
      <c r="J168" s="136">
        <v>21134</v>
      </c>
      <c r="K168" s="136">
        <v>23134</v>
      </c>
      <c r="L168" s="136">
        <v>26601</v>
      </c>
      <c r="M168" s="136">
        <v>23753</v>
      </c>
      <c r="N168" s="136">
        <v>24223</v>
      </c>
      <c r="O168" s="136">
        <v>18849</v>
      </c>
      <c r="P168" s="456"/>
      <c r="Q168" s="174"/>
      <c r="T168" s="141">
        <f t="shared" ref="T168:T173" si="10">SUM(D168:O168)</f>
        <v>280435</v>
      </c>
      <c r="U168" s="188" t="s">
        <v>341</v>
      </c>
      <c r="W168" s="140">
        <f>T168*3413/1000000</f>
        <v>957.12465499999996</v>
      </c>
      <c r="X168" s="138" t="s">
        <v>342</v>
      </c>
    </row>
    <row r="169" spans="1:26" s="157" customFormat="1" x14ac:dyDescent="0.25">
      <c r="A169" s="461"/>
      <c r="B169" s="135" t="s">
        <v>320</v>
      </c>
      <c r="C169" s="599"/>
      <c r="D169" s="160">
        <v>2930</v>
      </c>
      <c r="E169" s="1247">
        <v>2840</v>
      </c>
      <c r="F169" s="137">
        <v>10570</v>
      </c>
      <c r="G169" s="137">
        <v>9710</v>
      </c>
      <c r="H169" s="137">
        <v>25390</v>
      </c>
      <c r="I169" s="136">
        <v>72570</v>
      </c>
      <c r="J169" s="136">
        <v>75300</v>
      </c>
      <c r="K169" s="136">
        <v>40940</v>
      </c>
      <c r="L169" s="136">
        <v>49300</v>
      </c>
      <c r="M169" s="136">
        <v>5340</v>
      </c>
      <c r="N169" s="136">
        <v>1010</v>
      </c>
      <c r="O169" s="136">
        <v>1120</v>
      </c>
      <c r="P169" s="456"/>
      <c r="Q169" s="174"/>
      <c r="T169" s="141">
        <f t="shared" si="10"/>
        <v>297020</v>
      </c>
      <c r="U169" s="188" t="s">
        <v>344</v>
      </c>
      <c r="W169" s="160">
        <f>T169/1000</f>
        <v>297.02</v>
      </c>
      <c r="X169" s="138" t="s">
        <v>342</v>
      </c>
    </row>
    <row r="170" spans="1:26" s="157" customFormat="1" x14ac:dyDescent="0.25">
      <c r="A170" s="461"/>
      <c r="B170" s="192" t="s">
        <v>323</v>
      </c>
      <c r="C170" s="599"/>
      <c r="D170" s="160">
        <v>22717</v>
      </c>
      <c r="E170" s="1248">
        <v>25761</v>
      </c>
      <c r="F170" s="141">
        <v>23078</v>
      </c>
      <c r="G170" s="141">
        <v>6564</v>
      </c>
      <c r="H170" s="141">
        <v>5436</v>
      </c>
      <c r="I170" s="141">
        <v>4947</v>
      </c>
      <c r="J170" s="141">
        <v>5318</v>
      </c>
      <c r="K170" s="141">
        <v>7817</v>
      </c>
      <c r="L170" s="141">
        <v>9341</v>
      </c>
      <c r="M170" s="141">
        <v>14442</v>
      </c>
      <c r="N170" s="141">
        <v>16173</v>
      </c>
      <c r="O170" s="141">
        <v>18973</v>
      </c>
      <c r="P170" s="456"/>
      <c r="Q170" s="178"/>
      <c r="T170" s="141">
        <f t="shared" si="10"/>
        <v>160567</v>
      </c>
      <c r="U170" s="188" t="s">
        <v>397</v>
      </c>
      <c r="W170" s="193">
        <f>T170*0.012</f>
        <v>1926.8040000000001</v>
      </c>
      <c r="X170" s="138" t="s">
        <v>342</v>
      </c>
      <c r="Y170" s="495">
        <f>W168+W169+W170</f>
        <v>3180.9486550000001</v>
      </c>
      <c r="Z170" s="153" t="s">
        <v>677</v>
      </c>
    </row>
    <row r="171" spans="1:26" s="157" customFormat="1" x14ac:dyDescent="0.25">
      <c r="A171" s="461"/>
      <c r="B171" s="135" t="s">
        <v>345</v>
      </c>
      <c r="C171" s="599"/>
      <c r="D171" s="160">
        <v>39400.000000000146</v>
      </c>
      <c r="E171" s="1248">
        <v>75400.000000000276</v>
      </c>
      <c r="F171" s="141">
        <v>120000.00000000044</v>
      </c>
      <c r="G171" s="141">
        <v>112000.00000000041</v>
      </c>
      <c r="H171" s="141">
        <v>143900.00000000052</v>
      </c>
      <c r="I171" s="141">
        <v>129900.00000000048</v>
      </c>
      <c r="J171" s="141">
        <v>66800.000000000247</v>
      </c>
      <c r="K171" s="141">
        <v>57200.000000000204</v>
      </c>
      <c r="L171" s="141">
        <v>55400.000000000204</v>
      </c>
      <c r="M171" s="141">
        <v>53900.000000000196</v>
      </c>
      <c r="N171" s="141">
        <v>24100.000000000087</v>
      </c>
      <c r="O171" s="141">
        <v>9400.0000000000346</v>
      </c>
      <c r="P171" s="176"/>
      <c r="Q171" s="178"/>
      <c r="T171" s="141">
        <f t="shared" si="10"/>
        <v>887400.00000000338</v>
      </c>
      <c r="U171" s="188" t="s">
        <v>346</v>
      </c>
      <c r="W171" s="141">
        <f>T171</f>
        <v>887400.00000000338</v>
      </c>
      <c r="X171" s="188" t="s">
        <v>346</v>
      </c>
    </row>
    <row r="172" spans="1:26" s="157" customFormat="1" x14ac:dyDescent="0.25">
      <c r="A172" s="461"/>
      <c r="B172" s="135" t="s">
        <v>324</v>
      </c>
      <c r="C172" s="599"/>
      <c r="D172" s="171">
        <v>1391.7934818666106</v>
      </c>
      <c r="E172" s="1249">
        <v>1739.1181236063053</v>
      </c>
      <c r="F172" s="142">
        <v>1787.8953438224228</v>
      </c>
      <c r="G172" s="142">
        <v>1231.4124132059078</v>
      </c>
      <c r="H172" s="142">
        <v>1390.9437633253399</v>
      </c>
      <c r="I172" s="142">
        <v>1319.8976097225891</v>
      </c>
      <c r="J172" s="142">
        <v>1213.8527585751979</v>
      </c>
      <c r="K172" s="142">
        <v>1262.2947166586289</v>
      </c>
      <c r="L172" s="142">
        <v>1529.9496519419999</v>
      </c>
      <c r="M172" s="142">
        <v>1286.7850580549884</v>
      </c>
      <c r="N172" s="142">
        <v>1342.3355978027937</v>
      </c>
      <c r="O172" s="142">
        <v>1167.9829338565021</v>
      </c>
      <c r="P172" s="179"/>
      <c r="Q172" s="176"/>
      <c r="T172" s="171">
        <f t="shared" si="10"/>
        <v>16664.261452439288</v>
      </c>
      <c r="U172" s="188"/>
      <c r="W172" s="190">
        <f>T172</f>
        <v>16664.261452439288</v>
      </c>
      <c r="X172" s="188"/>
    </row>
    <row r="173" spans="1:26" s="157" customFormat="1" x14ac:dyDescent="0.25">
      <c r="A173" s="461"/>
      <c r="B173" s="204" t="s">
        <v>326</v>
      </c>
      <c r="C173" s="599"/>
      <c r="D173" s="171">
        <v>22.894727</v>
      </c>
      <c r="E173" s="1250">
        <v>22.191476000000002</v>
      </c>
      <c r="F173" s="156">
        <v>82.592922999999999</v>
      </c>
      <c r="G173" s="156">
        <v>75.872968999999998</v>
      </c>
      <c r="H173" s="156">
        <v>198.39492100000001</v>
      </c>
      <c r="I173" s="171">
        <v>567.05472300000008</v>
      </c>
      <c r="J173" s="171">
        <v>588.38666999999998</v>
      </c>
      <c r="K173" s="171">
        <v>319.90106600000001</v>
      </c>
      <c r="L173" s="171">
        <v>385.22527000000002</v>
      </c>
      <c r="M173" s="171">
        <v>41.726226000000004</v>
      </c>
      <c r="N173" s="171">
        <v>7.8920390000000005</v>
      </c>
      <c r="O173" s="171">
        <v>8.7515680000000007</v>
      </c>
      <c r="P173" s="125"/>
      <c r="Q173" s="1058"/>
      <c r="T173" s="171">
        <f t="shared" si="10"/>
        <v>2320.8845780000001</v>
      </c>
      <c r="U173" s="188"/>
      <c r="W173" s="190">
        <f>T173</f>
        <v>2320.8845780000001</v>
      </c>
      <c r="X173" s="188"/>
    </row>
    <row r="174" spans="1:26" s="157" customFormat="1" ht="16.5" x14ac:dyDescent="0.35">
      <c r="A174" s="461"/>
      <c r="B174" s="195" t="s">
        <v>398</v>
      </c>
      <c r="C174" s="599" t="s">
        <v>1393</v>
      </c>
      <c r="D174" s="153"/>
      <c r="E174" s="1092"/>
      <c r="F174" s="198"/>
      <c r="G174" s="198"/>
      <c r="H174" s="198"/>
      <c r="I174" s="198"/>
      <c r="J174" s="198"/>
      <c r="K174" s="198"/>
      <c r="L174" s="198"/>
      <c r="M174" s="198"/>
      <c r="N174" s="198"/>
      <c r="O174" s="198"/>
      <c r="P174"/>
      <c r="Q174" s="446"/>
      <c r="T174" s="171">
        <f>SUM(E174:P174)</f>
        <v>0</v>
      </c>
      <c r="U174" s="188"/>
      <c r="W174" s="197">
        <f>T174</f>
        <v>0</v>
      </c>
      <c r="X174" s="188"/>
    </row>
    <row r="175" spans="1:26" s="125" customFormat="1" x14ac:dyDescent="0.25">
      <c r="A175" s="461"/>
      <c r="B175" s="205"/>
      <c r="C175" s="599"/>
      <c r="D175" s="157"/>
      <c r="E175" s="446"/>
      <c r="F175" s="600"/>
      <c r="G175" s="446"/>
      <c r="H175" s="446"/>
      <c r="I175" s="446"/>
      <c r="J175" s="446"/>
      <c r="K175" s="446"/>
      <c r="L175" s="446"/>
      <c r="M175" s="446"/>
      <c r="N175" s="446"/>
      <c r="O175" s="446"/>
      <c r="P175" s="446"/>
      <c r="Q175" s="194"/>
      <c r="R175" s="157"/>
      <c r="S175" s="157"/>
      <c r="T175" s="184"/>
      <c r="U175" s="199"/>
      <c r="V175" s="157"/>
      <c r="W175" s="190">
        <f>SUM(W172:W174)</f>
        <v>18985.146030439289</v>
      </c>
      <c r="X175" s="188"/>
      <c r="Y175" s="157"/>
      <c r="Z175" s="157"/>
    </row>
    <row r="176" spans="1:26" s="125" customFormat="1" x14ac:dyDescent="0.25">
      <c r="A176" s="461"/>
      <c r="B176" s="205"/>
      <c r="C176" s="152"/>
      <c r="E176" s="201"/>
      <c r="F176" s="202"/>
      <c r="G176" s="202"/>
      <c r="H176" s="203"/>
      <c r="I176" s="203"/>
      <c r="J176" s="203"/>
      <c r="K176" s="203"/>
      <c r="L176" s="203"/>
      <c r="M176" s="203"/>
      <c r="N176" s="203"/>
      <c r="O176" s="203"/>
      <c r="P176" s="203"/>
      <c r="S176" s="126"/>
      <c r="U176" s="447"/>
      <c r="V176" s="126"/>
      <c r="Y176" s="157"/>
      <c r="Z176" s="157"/>
    </row>
    <row r="177" spans="1:26" s="125" customFormat="1" x14ac:dyDescent="0.25">
      <c r="A177" s="461">
        <v>18</v>
      </c>
      <c r="B177" s="148" t="s">
        <v>563</v>
      </c>
      <c r="C177" s="152"/>
      <c r="E177" s="157"/>
      <c r="F177" s="157"/>
      <c r="G177" s="157"/>
      <c r="H177" s="157"/>
      <c r="I177" s="157"/>
      <c r="J177" s="157"/>
      <c r="K177" s="157"/>
      <c r="L177" s="157"/>
      <c r="M177" s="157"/>
      <c r="N177" s="157"/>
      <c r="O177" s="157"/>
      <c r="P177" s="157"/>
      <c r="S177" s="126"/>
      <c r="T177" s="148" t="s">
        <v>563</v>
      </c>
      <c r="V177" s="126"/>
      <c r="Y177" s="157"/>
      <c r="Z177" s="157"/>
    </row>
    <row r="178" spans="1:26" s="125" customFormat="1" x14ac:dyDescent="0.25">
      <c r="A178" s="461"/>
      <c r="B178" s="130" t="s">
        <v>337</v>
      </c>
      <c r="C178" s="1152">
        <v>42522</v>
      </c>
      <c r="D178" s="131">
        <v>42552</v>
      </c>
      <c r="E178" s="131">
        <v>42583</v>
      </c>
      <c r="F178" s="131">
        <v>42614</v>
      </c>
      <c r="G178" s="131">
        <v>42644</v>
      </c>
      <c r="H178" s="131">
        <v>42675</v>
      </c>
      <c r="I178" s="131">
        <v>42705</v>
      </c>
      <c r="J178" s="131">
        <v>42736</v>
      </c>
      <c r="K178" s="131">
        <v>42767</v>
      </c>
      <c r="L178" s="131">
        <v>42795</v>
      </c>
      <c r="M178" s="131">
        <v>42826</v>
      </c>
      <c r="N178" s="131">
        <v>42856</v>
      </c>
      <c r="O178" s="131">
        <v>42887</v>
      </c>
      <c r="P178" s="131">
        <v>42917</v>
      </c>
      <c r="Q178" s="131">
        <v>42948</v>
      </c>
      <c r="R178" s="131">
        <v>42992</v>
      </c>
      <c r="S178" s="132"/>
      <c r="T178" s="133" t="s">
        <v>338</v>
      </c>
      <c r="U178" s="134" t="s">
        <v>339</v>
      </c>
      <c r="V178" s="132"/>
      <c r="W178" s="133" t="s">
        <v>338</v>
      </c>
      <c r="X178" s="134" t="s">
        <v>339</v>
      </c>
      <c r="Y178" s="157"/>
      <c r="Z178" s="157"/>
    </row>
    <row r="179" spans="1:26" s="157" customFormat="1" x14ac:dyDescent="0.25">
      <c r="A179" s="461"/>
      <c r="B179" s="135" t="s">
        <v>319</v>
      </c>
      <c r="C179" s="599"/>
      <c r="D179" s="160">
        <v>23243</v>
      </c>
      <c r="E179" s="1247">
        <v>31723</v>
      </c>
      <c r="F179" s="136">
        <v>33831</v>
      </c>
      <c r="G179" s="136">
        <v>26694</v>
      </c>
      <c r="H179" s="136">
        <v>28058</v>
      </c>
      <c r="I179" s="136">
        <v>28507</v>
      </c>
      <c r="J179" s="136">
        <v>25550</v>
      </c>
      <c r="K179" s="136">
        <v>27252</v>
      </c>
      <c r="L179" s="136">
        <v>31964</v>
      </c>
      <c r="M179" s="136">
        <v>28723</v>
      </c>
      <c r="N179" s="136">
        <v>28894</v>
      </c>
      <c r="O179" s="136">
        <v>23949</v>
      </c>
      <c r="P179" s="456"/>
      <c r="Q179" s="174"/>
      <c r="T179" s="141">
        <f t="shared" ref="T179:T186" si="11">SUM(D179:O179)</f>
        <v>338388</v>
      </c>
      <c r="U179" s="188" t="s">
        <v>341</v>
      </c>
      <c r="W179" s="140">
        <f>T179*3413/1000000</f>
        <v>1154.918244</v>
      </c>
      <c r="X179" s="138" t="s">
        <v>342</v>
      </c>
    </row>
    <row r="180" spans="1:26" s="157" customFormat="1" x14ac:dyDescent="0.25">
      <c r="A180" s="461"/>
      <c r="B180" s="135" t="s">
        <v>1439</v>
      </c>
      <c r="C180" s="599"/>
      <c r="D180" s="160">
        <v>2841</v>
      </c>
      <c r="E180" s="1247">
        <v>2732</v>
      </c>
      <c r="F180" s="136">
        <v>3101</v>
      </c>
      <c r="G180" s="136">
        <v>3253</v>
      </c>
      <c r="H180" s="136">
        <v>3928</v>
      </c>
      <c r="I180" s="136">
        <v>3929</v>
      </c>
      <c r="J180" s="136">
        <v>3878</v>
      </c>
      <c r="K180" s="136">
        <v>3480</v>
      </c>
      <c r="L180" s="136">
        <v>3040</v>
      </c>
      <c r="M180" s="136">
        <v>2912</v>
      </c>
      <c r="N180" s="136">
        <v>2644</v>
      </c>
      <c r="O180" s="136">
        <v>2330</v>
      </c>
      <c r="P180" s="456"/>
      <c r="Q180" s="174"/>
      <c r="T180" s="141">
        <f t="shared" si="11"/>
        <v>38068</v>
      </c>
      <c r="U180" s="188" t="s">
        <v>341</v>
      </c>
      <c r="W180" s="140">
        <f>T180*3413/1000000</f>
        <v>129.926084</v>
      </c>
      <c r="X180" s="138" t="s">
        <v>342</v>
      </c>
    </row>
    <row r="181" spans="1:26" s="157" customFormat="1" x14ac:dyDescent="0.25">
      <c r="A181" s="461"/>
      <c r="B181" s="135" t="s">
        <v>320</v>
      </c>
      <c r="C181" s="599"/>
      <c r="D181" s="160">
        <v>4960</v>
      </c>
      <c r="E181" s="1247">
        <v>5800</v>
      </c>
      <c r="F181" s="137">
        <v>12680</v>
      </c>
      <c r="G181" s="137">
        <v>15600</v>
      </c>
      <c r="H181" s="137">
        <v>17590</v>
      </c>
      <c r="I181" s="136">
        <v>21200</v>
      </c>
      <c r="J181" s="136">
        <v>40040</v>
      </c>
      <c r="K181" s="136">
        <v>20570</v>
      </c>
      <c r="L181" s="136">
        <v>17230</v>
      </c>
      <c r="M181" s="136">
        <v>13660</v>
      </c>
      <c r="N181" s="136">
        <v>8500</v>
      </c>
      <c r="O181" s="136">
        <v>2820</v>
      </c>
      <c r="P181" s="456"/>
      <c r="Q181" s="174"/>
      <c r="T181" s="141">
        <f t="shared" si="11"/>
        <v>180650</v>
      </c>
      <c r="U181" s="188" t="s">
        <v>344</v>
      </c>
      <c r="W181" s="160">
        <f>T181/1000</f>
        <v>180.65</v>
      </c>
      <c r="X181" s="138" t="s">
        <v>342</v>
      </c>
    </row>
    <row r="182" spans="1:26" s="157" customFormat="1" x14ac:dyDescent="0.25">
      <c r="A182" s="461"/>
      <c r="B182" s="192" t="s">
        <v>323</v>
      </c>
      <c r="C182" s="599"/>
      <c r="D182" s="160">
        <v>20598</v>
      </c>
      <c r="E182" s="1248">
        <v>26776</v>
      </c>
      <c r="F182" s="141">
        <v>23608</v>
      </c>
      <c r="G182" s="141">
        <v>11831</v>
      </c>
      <c r="H182" s="141">
        <v>7988</v>
      </c>
      <c r="I182" s="141">
        <v>5522</v>
      </c>
      <c r="J182" s="141">
        <v>5299</v>
      </c>
      <c r="K182" s="141">
        <v>7236</v>
      </c>
      <c r="L182" s="141">
        <v>9076</v>
      </c>
      <c r="M182" s="141">
        <v>14531</v>
      </c>
      <c r="N182" s="141">
        <v>15171</v>
      </c>
      <c r="O182" s="141">
        <v>18926</v>
      </c>
      <c r="P182" s="456"/>
      <c r="Q182" s="178"/>
      <c r="T182" s="141">
        <f t="shared" si="11"/>
        <v>166562</v>
      </c>
      <c r="U182" s="188" t="s">
        <v>397</v>
      </c>
      <c r="W182" s="160">
        <f>T182*0.012</f>
        <v>1998.7440000000001</v>
      </c>
      <c r="X182" s="138" t="s">
        <v>342</v>
      </c>
      <c r="Y182" s="495">
        <f>W179-W180+W181+W182</f>
        <v>3204.38616</v>
      </c>
      <c r="Z182" s="153" t="s">
        <v>677</v>
      </c>
    </row>
    <row r="183" spans="1:26" s="157" customFormat="1" x14ac:dyDescent="0.25">
      <c r="A183" s="461"/>
      <c r="B183" s="135" t="s">
        <v>345</v>
      </c>
      <c r="C183" s="599"/>
      <c r="D183" s="160">
        <v>16600.000000000062</v>
      </c>
      <c r="E183" s="1248">
        <v>73500.000000000262</v>
      </c>
      <c r="F183" s="137">
        <v>104600.00000000039</v>
      </c>
      <c r="G183" s="141">
        <v>82700.000000000306</v>
      </c>
      <c r="H183" s="141">
        <v>122500.00000000045</v>
      </c>
      <c r="I183" s="141">
        <v>79200.000000000291</v>
      </c>
      <c r="J183" s="141">
        <v>57700.000000000211</v>
      </c>
      <c r="K183" s="141">
        <v>57400.000000000211</v>
      </c>
      <c r="L183" s="141">
        <v>56500.000000000204</v>
      </c>
      <c r="M183" s="141">
        <v>57300.000000000211</v>
      </c>
      <c r="N183" s="141">
        <v>41400.000000000153</v>
      </c>
      <c r="O183" s="141">
        <v>45500.000000000167</v>
      </c>
      <c r="P183" s="176"/>
      <c r="Q183" s="178"/>
      <c r="T183" s="141">
        <f t="shared" si="11"/>
        <v>794900.00000000291</v>
      </c>
      <c r="U183" s="188" t="s">
        <v>346</v>
      </c>
      <c r="W183" s="141">
        <f>T183</f>
        <v>794900.00000000291</v>
      </c>
      <c r="X183" s="188" t="s">
        <v>346</v>
      </c>
    </row>
    <row r="184" spans="1:26" s="157" customFormat="1" x14ac:dyDescent="0.25">
      <c r="A184" s="461"/>
      <c r="B184" s="135" t="s">
        <v>324</v>
      </c>
      <c r="C184" s="599"/>
      <c r="D184" s="171">
        <v>1619.9837697944631</v>
      </c>
      <c r="E184" s="1249">
        <v>2174.2746210752275</v>
      </c>
      <c r="F184" s="142">
        <v>2251.238922765237</v>
      </c>
      <c r="G184" s="142">
        <v>1490.3574065160731</v>
      </c>
      <c r="H184" s="142">
        <v>1539.2269813205437</v>
      </c>
      <c r="I184" s="142">
        <v>1627.5064302245707</v>
      </c>
      <c r="J184" s="142">
        <v>1467.4902044854882</v>
      </c>
      <c r="K184" s="142">
        <v>1486.9912517671373</v>
      </c>
      <c r="L184" s="142">
        <v>1838.401213288</v>
      </c>
      <c r="M184" s="142">
        <v>1556.0277532317361</v>
      </c>
      <c r="N184" s="142">
        <v>1601.1825439835661</v>
      </c>
      <c r="O184" s="142">
        <v>1484.0056917040358</v>
      </c>
      <c r="P184" s="179"/>
      <c r="Q184" s="176"/>
      <c r="T184" s="1643">
        <f t="shared" si="11"/>
        <v>20136.686790156076</v>
      </c>
      <c r="U184" s="188"/>
      <c r="W184" s="190">
        <f>T184</f>
        <v>20136.686790156076</v>
      </c>
      <c r="X184" s="188"/>
    </row>
    <row r="185" spans="1:26" s="157" customFormat="1" x14ac:dyDescent="0.25">
      <c r="A185" s="461"/>
      <c r="B185" s="204" t="s">
        <v>326</v>
      </c>
      <c r="C185" s="599"/>
      <c r="D185" s="171">
        <v>38.756944000000004</v>
      </c>
      <c r="E185" s="1250">
        <v>45.320620000000005</v>
      </c>
      <c r="F185" s="156">
        <v>99.080252000000002</v>
      </c>
      <c r="G185" s="156">
        <v>121.89684000000001</v>
      </c>
      <c r="H185" s="156">
        <v>137.44650100000001</v>
      </c>
      <c r="I185" s="171">
        <v>165.65468000000001</v>
      </c>
      <c r="J185" s="171">
        <v>312.86855600000001</v>
      </c>
      <c r="K185" s="171">
        <v>160.73192299999999</v>
      </c>
      <c r="L185" s="171">
        <v>134.63349700000001</v>
      </c>
      <c r="M185" s="171">
        <v>106.73787400000001</v>
      </c>
      <c r="N185" s="171">
        <v>66.418149999999997</v>
      </c>
      <c r="O185" s="171">
        <v>22.035198000000001</v>
      </c>
      <c r="P185" s="125"/>
      <c r="Q185" s="1058"/>
      <c r="T185" s="1643">
        <f t="shared" si="11"/>
        <v>1411.5810349999999</v>
      </c>
      <c r="U185" s="188"/>
      <c r="W185" s="190">
        <f>T185</f>
        <v>1411.5810349999999</v>
      </c>
      <c r="X185" s="188"/>
    </row>
    <row r="186" spans="1:26" s="157" customFormat="1" ht="16.5" x14ac:dyDescent="0.35">
      <c r="A186" s="461"/>
      <c r="B186" s="195" t="s">
        <v>398</v>
      </c>
      <c r="C186" s="599" t="s">
        <v>1393</v>
      </c>
      <c r="D186" s="171"/>
      <c r="E186" s="198"/>
      <c r="F186" s="198"/>
      <c r="G186" s="198"/>
      <c r="H186" s="198"/>
      <c r="I186" s="198"/>
      <c r="J186" s="198"/>
      <c r="K186" s="198"/>
      <c r="L186" s="198"/>
      <c r="M186" s="198"/>
      <c r="N186" s="198"/>
      <c r="O186" s="198"/>
      <c r="P186"/>
      <c r="Q186" s="446"/>
      <c r="T186" s="1643">
        <f t="shared" si="11"/>
        <v>0</v>
      </c>
      <c r="U186" s="188"/>
      <c r="W186" s="197">
        <f>T186</f>
        <v>0</v>
      </c>
      <c r="X186" s="188"/>
    </row>
    <row r="187" spans="1:26" s="125" customFormat="1" x14ac:dyDescent="0.25">
      <c r="A187" s="461"/>
      <c r="B187" s="205"/>
      <c r="C187" s="599"/>
      <c r="D187" s="157"/>
      <c r="E187" s="446"/>
      <c r="F187" s="600"/>
      <c r="G187" s="446"/>
      <c r="H187" s="446"/>
      <c r="I187" s="446"/>
      <c r="J187" s="446"/>
      <c r="K187" s="446"/>
      <c r="L187" s="446"/>
      <c r="M187" s="446"/>
      <c r="N187" s="446"/>
      <c r="O187" s="446"/>
      <c r="P187" s="446"/>
      <c r="Q187" s="194"/>
      <c r="R187" s="157"/>
      <c r="S187" s="157"/>
      <c r="T187" s="184"/>
      <c r="U187" s="199"/>
      <c r="V187" s="157"/>
      <c r="W187" s="190">
        <f>SUM(W184:W186)</f>
        <v>21548.267825156076</v>
      </c>
      <c r="X187" s="188"/>
      <c r="Y187" s="157"/>
      <c r="Z187" s="157"/>
    </row>
    <row r="188" spans="1:26" s="125" customFormat="1" x14ac:dyDescent="0.25">
      <c r="A188" s="461"/>
      <c r="B188" s="205"/>
      <c r="C188" s="152"/>
      <c r="E188" s="201"/>
      <c r="F188" s="206"/>
      <c r="G188" s="202"/>
      <c r="H188" s="203"/>
      <c r="I188" s="203"/>
      <c r="J188" s="203"/>
      <c r="K188" s="203"/>
      <c r="L188" s="203"/>
      <c r="M188" s="203"/>
      <c r="N188" s="203"/>
      <c r="O188" s="203"/>
      <c r="P188" s="203"/>
      <c r="S188" s="126"/>
      <c r="U188" s="447"/>
      <c r="V188" s="126"/>
      <c r="Y188" s="157"/>
      <c r="Z188" s="157"/>
    </row>
    <row r="189" spans="1:26" s="125" customFormat="1" x14ac:dyDescent="0.25">
      <c r="A189" s="461">
        <v>19</v>
      </c>
      <c r="B189" s="148" t="s">
        <v>564</v>
      </c>
      <c r="C189" s="152"/>
      <c r="E189" s="157"/>
      <c r="F189" s="157"/>
      <c r="G189" s="157"/>
      <c r="H189" s="157"/>
      <c r="I189" s="157"/>
      <c r="J189" s="157"/>
      <c r="K189" s="157"/>
      <c r="L189" s="157"/>
      <c r="M189" s="157"/>
      <c r="N189" s="157"/>
      <c r="O189" s="157"/>
      <c r="P189" s="157"/>
      <c r="S189" s="126"/>
      <c r="T189" s="148" t="s">
        <v>564</v>
      </c>
      <c r="V189" s="126"/>
      <c r="Y189" s="157"/>
      <c r="Z189" s="157"/>
    </row>
    <row r="190" spans="1:26" s="125" customFormat="1" x14ac:dyDescent="0.25">
      <c r="A190" s="461"/>
      <c r="B190" s="130" t="s">
        <v>337</v>
      </c>
      <c r="C190" s="1152">
        <v>42522</v>
      </c>
      <c r="D190" s="131">
        <v>42552</v>
      </c>
      <c r="E190" s="131">
        <v>42583</v>
      </c>
      <c r="F190" s="131">
        <v>42614</v>
      </c>
      <c r="G190" s="131">
        <v>42644</v>
      </c>
      <c r="H190" s="131">
        <v>42675</v>
      </c>
      <c r="I190" s="131">
        <v>42705</v>
      </c>
      <c r="J190" s="131">
        <v>42736</v>
      </c>
      <c r="K190" s="131">
        <v>42767</v>
      </c>
      <c r="L190" s="131">
        <v>42795</v>
      </c>
      <c r="M190" s="131">
        <v>42826</v>
      </c>
      <c r="N190" s="131">
        <v>42856</v>
      </c>
      <c r="O190" s="131">
        <v>42887</v>
      </c>
      <c r="P190" s="131">
        <v>42917</v>
      </c>
      <c r="Q190" s="131">
        <v>42948</v>
      </c>
      <c r="R190" s="131">
        <v>42992</v>
      </c>
      <c r="S190" s="132"/>
      <c r="T190" s="133" t="s">
        <v>338</v>
      </c>
      <c r="U190" s="134" t="s">
        <v>339</v>
      </c>
      <c r="V190" s="132"/>
      <c r="W190" s="133" t="s">
        <v>338</v>
      </c>
      <c r="X190" s="134" t="s">
        <v>339</v>
      </c>
      <c r="Y190" s="157"/>
      <c r="Z190" s="157"/>
    </row>
    <row r="191" spans="1:26" s="157" customFormat="1" x14ac:dyDescent="0.25">
      <c r="A191" s="461"/>
      <c r="B191" s="135" t="s">
        <v>319</v>
      </c>
      <c r="C191" s="599"/>
      <c r="D191" s="160">
        <v>17705</v>
      </c>
      <c r="E191" s="1247">
        <v>24833</v>
      </c>
      <c r="F191" s="136">
        <v>26199</v>
      </c>
      <c r="G191" s="136">
        <v>21474</v>
      </c>
      <c r="H191" s="136">
        <v>25185</v>
      </c>
      <c r="I191" s="136">
        <v>23084</v>
      </c>
      <c r="J191" s="136">
        <v>21405</v>
      </c>
      <c r="K191" s="136">
        <v>23213</v>
      </c>
      <c r="L191" s="136">
        <v>26551</v>
      </c>
      <c r="M191" s="136">
        <v>23018</v>
      </c>
      <c r="N191" s="136">
        <v>23962</v>
      </c>
      <c r="O191" s="136">
        <v>17281</v>
      </c>
      <c r="P191" s="456"/>
      <c r="Q191" s="174"/>
      <c r="T191" s="141">
        <f t="shared" ref="T191:T197" si="12">SUM(D191:O191)</f>
        <v>273910</v>
      </c>
      <c r="U191" s="188" t="s">
        <v>341</v>
      </c>
      <c r="W191" s="140">
        <f>T191*3413/1000000</f>
        <v>934.85482999999999</v>
      </c>
      <c r="X191" s="138" t="s">
        <v>342</v>
      </c>
    </row>
    <row r="192" spans="1:26" s="157" customFormat="1" x14ac:dyDescent="0.25">
      <c r="A192" s="461"/>
      <c r="B192" s="135" t="s">
        <v>320</v>
      </c>
      <c r="C192" s="599"/>
      <c r="D192" s="160">
        <v>4856.666666666667</v>
      </c>
      <c r="E192" s="1247">
        <v>8836.6666666666661</v>
      </c>
      <c r="F192" s="137">
        <v>14990</v>
      </c>
      <c r="G192" s="137">
        <v>13533.333333333334</v>
      </c>
      <c r="H192" s="137">
        <v>22294.814814814814</v>
      </c>
      <c r="I192" s="137">
        <v>12760</v>
      </c>
      <c r="J192" s="1251">
        <v>10570</v>
      </c>
      <c r="K192" s="1251">
        <v>10270</v>
      </c>
      <c r="L192" s="137">
        <v>6060</v>
      </c>
      <c r="M192" s="1251">
        <v>14096.666666666666</v>
      </c>
      <c r="N192" s="1251">
        <v>6256.666666666667</v>
      </c>
      <c r="O192" s="1251">
        <v>3360</v>
      </c>
      <c r="P192" s="456"/>
      <c r="Q192" s="174"/>
      <c r="T192" s="141">
        <f t="shared" si="12"/>
        <v>127884.81481481482</v>
      </c>
      <c r="U192" s="188" t="s">
        <v>344</v>
      </c>
      <c r="W192" s="160">
        <f>T192/1000</f>
        <v>127.88481481481482</v>
      </c>
      <c r="X192" s="138" t="s">
        <v>342</v>
      </c>
    </row>
    <row r="193" spans="1:26" s="157" customFormat="1" x14ac:dyDescent="0.25">
      <c r="A193" s="461"/>
      <c r="B193" s="192" t="s">
        <v>323</v>
      </c>
      <c r="C193" s="599"/>
      <c r="D193" s="160">
        <v>20598</v>
      </c>
      <c r="E193" s="1248">
        <v>26776</v>
      </c>
      <c r="F193" s="141">
        <v>23608</v>
      </c>
      <c r="G193" s="141">
        <v>11831</v>
      </c>
      <c r="H193" s="141">
        <v>7988</v>
      </c>
      <c r="I193" s="141">
        <v>5522</v>
      </c>
      <c r="J193" s="141">
        <v>5299</v>
      </c>
      <c r="K193" s="141">
        <v>7236</v>
      </c>
      <c r="L193" s="141">
        <v>9076</v>
      </c>
      <c r="M193" s="141">
        <v>14531</v>
      </c>
      <c r="N193" s="141">
        <v>15171</v>
      </c>
      <c r="O193" s="141">
        <v>18926</v>
      </c>
      <c r="P193" s="456"/>
      <c r="Q193" s="178"/>
      <c r="T193" s="141">
        <f t="shared" si="12"/>
        <v>166562</v>
      </c>
      <c r="U193" s="188" t="s">
        <v>397</v>
      </c>
      <c r="W193" s="160">
        <f>T193*0.012</f>
        <v>1998.7440000000001</v>
      </c>
      <c r="X193" s="138" t="s">
        <v>342</v>
      </c>
      <c r="Y193" s="495">
        <f>W191+W192+W193</f>
        <v>3061.4836448148149</v>
      </c>
      <c r="Z193" s="153" t="s">
        <v>677</v>
      </c>
    </row>
    <row r="194" spans="1:26" s="157" customFormat="1" x14ac:dyDescent="0.25">
      <c r="A194" s="461"/>
      <c r="B194" s="135" t="s">
        <v>345</v>
      </c>
      <c r="C194" s="599"/>
      <c r="D194" s="160">
        <v>29000.000000000106</v>
      </c>
      <c r="E194" s="1248">
        <v>78100.000000000276</v>
      </c>
      <c r="F194" s="141">
        <v>127200.00000000047</v>
      </c>
      <c r="G194" s="141">
        <v>94000.000000000335</v>
      </c>
      <c r="H194" s="141">
        <v>115200.00000000042</v>
      </c>
      <c r="I194" s="141">
        <v>101600.00000000036</v>
      </c>
      <c r="J194" s="141">
        <v>104200.00000000038</v>
      </c>
      <c r="K194" s="141">
        <v>105300.00000000038</v>
      </c>
      <c r="L194" s="141">
        <v>87900.00000000032</v>
      </c>
      <c r="M194" s="141">
        <v>59100.000000000211</v>
      </c>
      <c r="N194" s="141">
        <v>24900.000000000091</v>
      </c>
      <c r="O194" s="141">
        <v>2600.0000000000091</v>
      </c>
      <c r="P194" s="176"/>
      <c r="Q194" s="178"/>
      <c r="T194" s="141">
        <f t="shared" si="12"/>
        <v>929100.00000000338</v>
      </c>
      <c r="U194" s="188" t="s">
        <v>346</v>
      </c>
      <c r="W194" s="141">
        <f>T194</f>
        <v>929100.00000000338</v>
      </c>
      <c r="X194" s="188" t="s">
        <v>346</v>
      </c>
    </row>
    <row r="195" spans="1:26" s="157" customFormat="1" x14ac:dyDescent="0.25">
      <c r="A195" s="461"/>
      <c r="B195" s="135" t="s">
        <v>324</v>
      </c>
      <c r="C195" s="599"/>
      <c r="D195" s="171">
        <v>1233.9978765310402</v>
      </c>
      <c r="E195" s="1249">
        <v>1702.0383212546456</v>
      </c>
      <c r="F195" s="142">
        <v>1743.3776281376975</v>
      </c>
      <c r="G195" s="142">
        <v>1198.9186688966117</v>
      </c>
      <c r="H195" s="142">
        <v>1381.6177747721824</v>
      </c>
      <c r="I195" s="142">
        <v>1317.8994084015853</v>
      </c>
      <c r="J195" s="142">
        <v>1229.4179188654352</v>
      </c>
      <c r="K195" s="142">
        <v>1266.6053107027212</v>
      </c>
      <c r="L195" s="142">
        <v>1527.073914842</v>
      </c>
      <c r="M195" s="142">
        <v>1246.9674763739199</v>
      </c>
      <c r="N195" s="142">
        <v>1327.8720882859491</v>
      </c>
      <c r="O195" s="142">
        <v>1070.8214271300449</v>
      </c>
      <c r="P195" s="179"/>
      <c r="Q195" s="176"/>
      <c r="T195" s="1643">
        <f t="shared" si="12"/>
        <v>16246.607814193834</v>
      </c>
      <c r="U195" s="188"/>
      <c r="W195" s="190">
        <f>T195</f>
        <v>16246.607814193834</v>
      </c>
      <c r="X195" s="188"/>
    </row>
    <row r="196" spans="1:26" s="157" customFormat="1" x14ac:dyDescent="0.25">
      <c r="A196" s="461"/>
      <c r="B196" s="204" t="s">
        <v>326</v>
      </c>
      <c r="C196" s="599"/>
      <c r="D196" s="171">
        <v>37.949507666666669</v>
      </c>
      <c r="E196" s="1250">
        <v>69.048829666666663</v>
      </c>
      <c r="F196" s="156">
        <v>117.13036100000001</v>
      </c>
      <c r="G196" s="156">
        <v>105.74811333333334</v>
      </c>
      <c r="H196" s="156">
        <v>174.20945348148149</v>
      </c>
      <c r="I196" s="156">
        <v>99.705364000000003</v>
      </c>
      <c r="J196" s="171">
        <v>82.592922999999999</v>
      </c>
      <c r="K196" s="156">
        <v>80.248753000000008</v>
      </c>
      <c r="L196" s="156">
        <v>47.352234000000003</v>
      </c>
      <c r="M196" s="171">
        <v>110.14994366666667</v>
      </c>
      <c r="N196" s="171">
        <v>48.888967666666673</v>
      </c>
      <c r="O196" s="171">
        <v>26.254704</v>
      </c>
      <c r="P196" s="125"/>
      <c r="Q196" s="1058"/>
      <c r="T196" s="1643">
        <f t="shared" si="12"/>
        <v>999.27915448148133</v>
      </c>
      <c r="U196" s="188"/>
      <c r="W196" s="190">
        <f>T196</f>
        <v>999.27915448148133</v>
      </c>
      <c r="X196" s="188"/>
    </row>
    <row r="197" spans="1:26" s="157" customFormat="1" ht="16.5" x14ac:dyDescent="0.35">
      <c r="A197" s="461"/>
      <c r="B197" s="195" t="s">
        <v>398</v>
      </c>
      <c r="C197" s="599" t="s">
        <v>1393</v>
      </c>
      <c r="D197" s="171"/>
      <c r="E197" s="171"/>
      <c r="F197" s="198"/>
      <c r="G197" s="198"/>
      <c r="H197" s="198"/>
      <c r="I197" s="198"/>
      <c r="J197" s="198"/>
      <c r="K197" s="198"/>
      <c r="L197" s="198"/>
      <c r="M197" s="198"/>
      <c r="N197" s="198"/>
      <c r="O197" s="198"/>
      <c r="P197"/>
      <c r="Q197" s="446"/>
      <c r="T197" s="1643">
        <f t="shared" si="12"/>
        <v>0</v>
      </c>
      <c r="U197" s="188"/>
      <c r="W197" s="197">
        <f>T197</f>
        <v>0</v>
      </c>
      <c r="X197" s="188"/>
    </row>
    <row r="198" spans="1:26" s="125" customFormat="1" x14ac:dyDescent="0.25">
      <c r="A198" s="461"/>
      <c r="B198" s="205"/>
      <c r="C198" s="599"/>
      <c r="D198" s="157"/>
      <c r="E198" s="446"/>
      <c r="F198" s="446"/>
      <c r="G198" s="446"/>
      <c r="H198" s="446"/>
      <c r="I198" s="446"/>
      <c r="J198" s="446"/>
      <c r="K198" s="446"/>
      <c r="L198" s="446"/>
      <c r="M198" s="446"/>
      <c r="N198" s="446"/>
      <c r="O198" s="446"/>
      <c r="P198" s="446"/>
      <c r="Q198" s="194"/>
      <c r="R198" s="157"/>
      <c r="S198" s="157"/>
      <c r="T198" s="184"/>
      <c r="U198" s="199"/>
      <c r="V198" s="157"/>
      <c r="W198" s="190">
        <f>SUM(W195:W197)</f>
        <v>17245.886968675317</v>
      </c>
      <c r="X198" s="188"/>
      <c r="Y198" s="157"/>
      <c r="Z198" s="157"/>
    </row>
    <row r="199" spans="1:26" s="125" customFormat="1" x14ac:dyDescent="0.25">
      <c r="A199" s="461"/>
      <c r="B199" s="205"/>
      <c r="C199" s="152"/>
      <c r="E199" s="201"/>
      <c r="F199" s="206"/>
      <c r="G199" s="202"/>
      <c r="H199" s="203"/>
      <c r="I199" s="203"/>
      <c r="J199" s="203"/>
      <c r="K199" s="203"/>
      <c r="L199" s="203"/>
      <c r="M199" s="203"/>
      <c r="N199" s="203"/>
      <c r="O199" s="203"/>
      <c r="P199" s="203"/>
      <c r="S199" s="126"/>
      <c r="U199" s="447"/>
      <c r="V199" s="126"/>
      <c r="Y199" s="157"/>
      <c r="Z199" s="157"/>
    </row>
    <row r="200" spans="1:26" s="125" customFormat="1" x14ac:dyDescent="0.25">
      <c r="A200" s="461">
        <v>20</v>
      </c>
      <c r="B200" s="148" t="s">
        <v>565</v>
      </c>
      <c r="C200" s="152"/>
      <c r="E200" s="157"/>
      <c r="F200" s="157"/>
      <c r="G200" s="157"/>
      <c r="H200" s="157"/>
      <c r="I200" s="157"/>
      <c r="J200" s="157"/>
      <c r="K200" s="157"/>
      <c r="L200" s="157"/>
      <c r="M200" s="157"/>
      <c r="N200" s="157"/>
      <c r="O200" s="157"/>
      <c r="P200" s="157"/>
      <c r="S200" s="126"/>
      <c r="T200" s="148" t="s">
        <v>565</v>
      </c>
      <c r="V200" s="126"/>
      <c r="Y200" s="157"/>
      <c r="Z200" s="157"/>
    </row>
    <row r="201" spans="1:26" s="125" customFormat="1" x14ac:dyDescent="0.25">
      <c r="A201" s="461"/>
      <c r="B201" s="130" t="s">
        <v>337</v>
      </c>
      <c r="C201" s="1152">
        <v>42522</v>
      </c>
      <c r="D201" s="131">
        <v>42552</v>
      </c>
      <c r="E201" s="131">
        <v>42583</v>
      </c>
      <c r="F201" s="131">
        <v>42614</v>
      </c>
      <c r="G201" s="131">
        <v>42644</v>
      </c>
      <c r="H201" s="131">
        <v>42675</v>
      </c>
      <c r="I201" s="131">
        <v>42705</v>
      </c>
      <c r="J201" s="131">
        <v>42736</v>
      </c>
      <c r="K201" s="131">
        <v>42767</v>
      </c>
      <c r="L201" s="131">
        <v>42795</v>
      </c>
      <c r="M201" s="131">
        <v>42826</v>
      </c>
      <c r="N201" s="131">
        <v>42856</v>
      </c>
      <c r="O201" s="131">
        <v>42887</v>
      </c>
      <c r="P201" s="131">
        <v>42917</v>
      </c>
      <c r="Q201" s="131">
        <v>42948</v>
      </c>
      <c r="R201" s="131">
        <v>42992</v>
      </c>
      <c r="S201" s="132"/>
      <c r="T201" s="133" t="s">
        <v>338</v>
      </c>
      <c r="U201" s="134" t="s">
        <v>339</v>
      </c>
      <c r="V201" s="132"/>
      <c r="W201" s="133" t="s">
        <v>338</v>
      </c>
      <c r="X201" s="134" t="s">
        <v>339</v>
      </c>
      <c r="Y201" s="157"/>
      <c r="Z201" s="157"/>
    </row>
    <row r="202" spans="1:26" s="157" customFormat="1" x14ac:dyDescent="0.25">
      <c r="A202" s="461"/>
      <c r="B202" s="135" t="s">
        <v>319</v>
      </c>
      <c r="C202" s="599"/>
      <c r="D202" s="160">
        <v>39688</v>
      </c>
      <c r="E202" s="1247">
        <v>48238</v>
      </c>
      <c r="F202" s="136">
        <v>48931</v>
      </c>
      <c r="G202" s="136">
        <v>41121</v>
      </c>
      <c r="H202" s="136">
        <v>47838</v>
      </c>
      <c r="I202" s="136">
        <v>45675</v>
      </c>
      <c r="J202" s="136">
        <v>41273</v>
      </c>
      <c r="K202" s="136">
        <v>43974</v>
      </c>
      <c r="L202" s="136">
        <v>50831</v>
      </c>
      <c r="M202" s="136">
        <v>43055</v>
      </c>
      <c r="N202" s="136">
        <v>45402</v>
      </c>
      <c r="O202" s="136">
        <v>37916</v>
      </c>
      <c r="P202" s="456"/>
      <c r="Q202" s="174"/>
      <c r="T202" s="141">
        <f t="shared" ref="T202:T208" si="13">SUM(D202:O202)</f>
        <v>533942</v>
      </c>
      <c r="U202" s="188" t="s">
        <v>341</v>
      </c>
      <c r="W202" s="140">
        <f>T202*3413/1000000</f>
        <v>1822.3440459999999</v>
      </c>
      <c r="X202" s="138" t="s">
        <v>342</v>
      </c>
    </row>
    <row r="203" spans="1:26" s="157" customFormat="1" x14ac:dyDescent="0.25">
      <c r="A203" s="461"/>
      <c r="B203" s="135" t="s">
        <v>320</v>
      </c>
      <c r="C203" s="599"/>
      <c r="D203" s="160">
        <v>13120</v>
      </c>
      <c r="E203" s="1247">
        <v>19970</v>
      </c>
      <c r="F203" s="137">
        <v>25310</v>
      </c>
      <c r="G203" s="187" t="s">
        <v>1410</v>
      </c>
      <c r="H203" s="187" t="s">
        <v>1410</v>
      </c>
      <c r="I203" s="1180" t="s">
        <v>1410</v>
      </c>
      <c r="J203" s="1180" t="s">
        <v>1410</v>
      </c>
      <c r="K203" s="1180" t="s">
        <v>1410</v>
      </c>
      <c r="L203" s="1180" t="s">
        <v>1410</v>
      </c>
      <c r="M203" s="1180" t="s">
        <v>1410</v>
      </c>
      <c r="N203" s="136">
        <v>28310</v>
      </c>
      <c r="O203" s="1180" t="s">
        <v>1410</v>
      </c>
      <c r="P203" s="456"/>
      <c r="Q203" s="174"/>
      <c r="T203" s="141">
        <f t="shared" si="13"/>
        <v>86710</v>
      </c>
      <c r="U203" s="188" t="s">
        <v>344</v>
      </c>
      <c r="W203" s="160">
        <f>T203/1000</f>
        <v>86.71</v>
      </c>
      <c r="X203" s="138" t="s">
        <v>342</v>
      </c>
    </row>
    <row r="204" spans="1:26" s="157" customFormat="1" x14ac:dyDescent="0.25">
      <c r="A204" s="461"/>
      <c r="B204" s="192" t="s">
        <v>323</v>
      </c>
      <c r="C204" s="599"/>
      <c r="D204" s="160">
        <v>63820</v>
      </c>
      <c r="E204" s="1248">
        <v>69292</v>
      </c>
      <c r="F204" s="141">
        <v>53151</v>
      </c>
      <c r="G204" s="141">
        <v>31771</v>
      </c>
      <c r="H204" s="141">
        <v>33290</v>
      </c>
      <c r="I204" s="141">
        <v>32079</v>
      </c>
      <c r="J204" s="141">
        <v>26360</v>
      </c>
      <c r="K204" s="141">
        <v>28987</v>
      </c>
      <c r="L204" s="141">
        <v>34651</v>
      </c>
      <c r="M204" s="141">
        <v>34799</v>
      </c>
      <c r="N204" s="141">
        <v>38465</v>
      </c>
      <c r="O204" s="141">
        <v>43457</v>
      </c>
      <c r="P204" s="456"/>
      <c r="Q204" s="178"/>
      <c r="T204" s="141">
        <f t="shared" si="13"/>
        <v>490122</v>
      </c>
      <c r="U204" s="188" t="s">
        <v>397</v>
      </c>
      <c r="W204" s="160">
        <f>T204*0.012</f>
        <v>5881.4639999999999</v>
      </c>
      <c r="X204" s="138" t="s">
        <v>342</v>
      </c>
      <c r="Y204" s="495">
        <f>W202+W203+W204</f>
        <v>7790.5180460000001</v>
      </c>
      <c r="Z204" s="153" t="s">
        <v>677</v>
      </c>
    </row>
    <row r="205" spans="1:26" s="157" customFormat="1" x14ac:dyDescent="0.25">
      <c r="A205" s="461"/>
      <c r="B205" s="135" t="s">
        <v>345</v>
      </c>
      <c r="C205" s="599"/>
      <c r="D205" s="160">
        <v>40600.000000000146</v>
      </c>
      <c r="E205" s="1248">
        <v>119600.00000000044</v>
      </c>
      <c r="F205" s="141">
        <v>211600.00000000076</v>
      </c>
      <c r="G205" s="141">
        <v>214000.00000000079</v>
      </c>
      <c r="H205" s="141">
        <v>207500.00000000076</v>
      </c>
      <c r="I205" s="141">
        <v>111700.00000000041</v>
      </c>
      <c r="J205" s="141">
        <v>78300.000000000291</v>
      </c>
      <c r="K205" s="141">
        <v>80500.000000000291</v>
      </c>
      <c r="L205" s="141">
        <v>77500.000000000276</v>
      </c>
      <c r="M205" s="141">
        <v>75900.000000000276</v>
      </c>
      <c r="N205" s="141">
        <v>33900.000000000124</v>
      </c>
      <c r="O205" s="141">
        <v>18500.000000000065</v>
      </c>
      <c r="P205" s="176"/>
      <c r="Q205" s="178"/>
      <c r="T205" s="141">
        <f t="shared" si="13"/>
        <v>1269600.0000000044</v>
      </c>
      <c r="U205" s="188" t="s">
        <v>346</v>
      </c>
      <c r="W205" s="141">
        <f>T205</f>
        <v>1269600.0000000044</v>
      </c>
      <c r="X205" s="188" t="s">
        <v>346</v>
      </c>
    </row>
    <row r="206" spans="1:26" s="157" customFormat="1" x14ac:dyDescent="0.25">
      <c r="A206" s="461"/>
      <c r="B206" s="135" t="s">
        <v>324</v>
      </c>
      <c r="C206" s="599"/>
      <c r="D206" s="171">
        <v>2766.1625373489933</v>
      </c>
      <c r="E206" s="1249">
        <v>3306.2024137511212</v>
      </c>
      <c r="F206" s="142">
        <v>3256.0483500288437</v>
      </c>
      <c r="G206" s="142">
        <v>2295.8337796264118</v>
      </c>
      <c r="H206" s="142">
        <v>2624.3331788585133</v>
      </c>
      <c r="I206" s="142">
        <v>2607.652723910172</v>
      </c>
      <c r="J206" s="142">
        <v>2370.5566813984169</v>
      </c>
      <c r="K206" s="142">
        <v>2399.4185125938684</v>
      </c>
      <c r="L206" s="142">
        <v>2923.5318506019998</v>
      </c>
      <c r="M206" s="142">
        <v>2332.4435092223098</v>
      </c>
      <c r="N206" s="142">
        <v>2515.9856669876744</v>
      </c>
      <c r="O206" s="142">
        <v>2349.4742914798203</v>
      </c>
      <c r="P206" s="179"/>
      <c r="Q206" s="176"/>
      <c r="T206" s="1643">
        <f t="shared" si="13"/>
        <v>31747.643495808145</v>
      </c>
      <c r="U206" s="188"/>
      <c r="W206" s="190">
        <f>T206</f>
        <v>31747.643495808145</v>
      </c>
      <c r="X206" s="188"/>
    </row>
    <row r="207" spans="1:26" s="157" customFormat="1" x14ac:dyDescent="0.25">
      <c r="A207" s="461"/>
      <c r="B207" s="204" t="s">
        <v>326</v>
      </c>
      <c r="C207" s="599"/>
      <c r="D207" s="171">
        <v>102.51836800000001</v>
      </c>
      <c r="E207" s="1250">
        <v>156.04358300000001</v>
      </c>
      <c r="F207" s="156">
        <v>197.76980900000001</v>
      </c>
      <c r="G207" s="198" t="s">
        <v>1410</v>
      </c>
      <c r="H207" s="198" t="s">
        <v>1410</v>
      </c>
      <c r="I207" s="198" t="s">
        <v>1410</v>
      </c>
      <c r="J207" s="198" t="s">
        <v>1410</v>
      </c>
      <c r="K207" s="198" t="s">
        <v>1410</v>
      </c>
      <c r="L207" s="198" t="s">
        <v>1410</v>
      </c>
      <c r="M207" s="198" t="s">
        <v>1410</v>
      </c>
      <c r="N207" s="171">
        <v>221.21150900000001</v>
      </c>
      <c r="O207" s="171" t="s">
        <v>1410</v>
      </c>
      <c r="P207" s="125"/>
      <c r="Q207" s="1058"/>
      <c r="T207" s="1643">
        <f t="shared" si="13"/>
        <v>677.54326900000001</v>
      </c>
      <c r="U207" s="188"/>
      <c r="W207" s="190">
        <f>T207</f>
        <v>677.54326900000001</v>
      </c>
      <c r="X207" s="188"/>
    </row>
    <row r="208" spans="1:26" s="157" customFormat="1" ht="16.5" x14ac:dyDescent="0.35">
      <c r="A208" s="461"/>
      <c r="B208" s="195" t="s">
        <v>398</v>
      </c>
      <c r="C208" s="599" t="s">
        <v>1393</v>
      </c>
      <c r="D208" s="171"/>
      <c r="E208" s="171"/>
      <c r="F208" s="198"/>
      <c r="G208" s="198"/>
      <c r="H208" s="198"/>
      <c r="I208" s="198"/>
      <c r="J208" s="198"/>
      <c r="K208" s="198"/>
      <c r="L208" s="198"/>
      <c r="M208" s="198"/>
      <c r="N208" s="198"/>
      <c r="O208" s="198"/>
      <c r="P208"/>
      <c r="Q208" s="446"/>
      <c r="T208" s="1643">
        <f t="shared" si="13"/>
        <v>0</v>
      </c>
      <c r="U208" s="188"/>
      <c r="W208" s="197">
        <f>T208</f>
        <v>0</v>
      </c>
      <c r="X208" s="188"/>
    </row>
    <row r="209" spans="1:26" s="125" customFormat="1" x14ac:dyDescent="0.25">
      <c r="A209" s="461"/>
      <c r="C209" s="1615"/>
      <c r="D209" s="157" t="s">
        <v>1400</v>
      </c>
      <c r="E209" s="446"/>
      <c r="F209" s="446"/>
      <c r="G209" s="446"/>
      <c r="H209" s="446"/>
      <c r="I209" s="446"/>
      <c r="J209" s="446"/>
      <c r="K209" s="446"/>
      <c r="L209" s="446"/>
      <c r="M209" s="446"/>
      <c r="N209" s="446"/>
      <c r="O209" s="446"/>
      <c r="P209" s="446"/>
      <c r="Q209" s="194"/>
      <c r="R209" s="157"/>
      <c r="S209" s="157"/>
      <c r="T209" s="184"/>
      <c r="U209" s="199"/>
      <c r="V209" s="157"/>
      <c r="W209" s="190">
        <f>SUM(W206:W208)</f>
        <v>32425.186764808146</v>
      </c>
      <c r="X209" s="188"/>
      <c r="Y209" s="157"/>
      <c r="Z209" s="157"/>
    </row>
    <row r="211" spans="1:26" s="128" customFormat="1" x14ac:dyDescent="0.25">
      <c r="A211" s="459">
        <v>21</v>
      </c>
      <c r="B211" s="127" t="s">
        <v>384</v>
      </c>
      <c r="C211" s="173"/>
      <c r="S211" s="129"/>
      <c r="T211" s="127" t="s">
        <v>384</v>
      </c>
      <c r="V211" s="129"/>
      <c r="Y211" s="166"/>
      <c r="Z211" s="166"/>
    </row>
    <row r="212" spans="1:26" s="125" customFormat="1" x14ac:dyDescent="0.25">
      <c r="A212" s="461"/>
      <c r="B212" s="130" t="s">
        <v>337</v>
      </c>
      <c r="C212" s="1152">
        <v>42522</v>
      </c>
      <c r="D212" s="131">
        <v>42552</v>
      </c>
      <c r="E212" s="131">
        <v>42583</v>
      </c>
      <c r="F212" s="131">
        <v>42614</v>
      </c>
      <c r="G212" s="131">
        <v>42644</v>
      </c>
      <c r="H212" s="131">
        <v>42675</v>
      </c>
      <c r="I212" s="131">
        <v>42705</v>
      </c>
      <c r="J212" s="131">
        <v>42736</v>
      </c>
      <c r="K212" s="131">
        <v>42767</v>
      </c>
      <c r="L212" s="131">
        <v>42795</v>
      </c>
      <c r="M212" s="131">
        <v>42826</v>
      </c>
      <c r="N212" s="131">
        <v>42856</v>
      </c>
      <c r="O212" s="131">
        <v>42887</v>
      </c>
      <c r="P212" s="131">
        <v>42917</v>
      </c>
      <c r="Q212" s="131">
        <v>42948</v>
      </c>
      <c r="R212" s="131">
        <v>42992</v>
      </c>
      <c r="S212" s="132"/>
      <c r="T212" s="133" t="s">
        <v>338</v>
      </c>
      <c r="U212" s="134" t="s">
        <v>339</v>
      </c>
      <c r="V212" s="132"/>
      <c r="W212" s="133" t="s">
        <v>338</v>
      </c>
      <c r="X212" s="134" t="s">
        <v>339</v>
      </c>
      <c r="Y212" s="157"/>
      <c r="Z212" s="157"/>
    </row>
    <row r="213" spans="1:26" s="125" customFormat="1" x14ac:dyDescent="0.25">
      <c r="A213" s="461"/>
      <c r="B213" s="135" t="s">
        <v>340</v>
      </c>
      <c r="C213" s="152"/>
      <c r="D213" s="593">
        <v>61294</v>
      </c>
      <c r="E213" s="593">
        <v>78216</v>
      </c>
      <c r="F213" s="593">
        <v>83548</v>
      </c>
      <c r="G213" s="593">
        <v>74633</v>
      </c>
      <c r="H213" s="593">
        <v>72643</v>
      </c>
      <c r="I213" s="593">
        <v>58499</v>
      </c>
      <c r="J213" s="593">
        <v>73775</v>
      </c>
      <c r="K213" s="593">
        <v>69477</v>
      </c>
      <c r="L213" s="593">
        <v>73343</v>
      </c>
      <c r="M213" s="593">
        <v>68334</v>
      </c>
      <c r="N213" s="593">
        <v>52440</v>
      </c>
      <c r="O213" s="593">
        <v>48997</v>
      </c>
      <c r="P213" s="174"/>
      <c r="Q213" s="174"/>
      <c r="T213" s="137">
        <f>SUM(D213:Q213)</f>
        <v>815199</v>
      </c>
      <c r="U213" s="188" t="s">
        <v>341</v>
      </c>
      <c r="V213" s="157"/>
      <c r="W213" s="140">
        <f>T213*3413/1000000</f>
        <v>2782.274187</v>
      </c>
      <c r="X213" s="138" t="s">
        <v>342</v>
      </c>
      <c r="Y213" s="157"/>
      <c r="Z213" s="157"/>
    </row>
    <row r="214" spans="1:26" s="125" customFormat="1" x14ac:dyDescent="0.25">
      <c r="A214" s="461"/>
      <c r="B214" s="135" t="s">
        <v>864</v>
      </c>
      <c r="C214" s="152"/>
      <c r="D214" s="593">
        <v>40.478577635184813</v>
      </c>
      <c r="E214" s="593">
        <v>148.54622017244839</v>
      </c>
      <c r="F214" s="593">
        <v>276.73283871398974</v>
      </c>
      <c r="G214" s="593">
        <v>233.08602366151996</v>
      </c>
      <c r="H214" s="593">
        <v>236.01363545217566</v>
      </c>
      <c r="I214" s="593">
        <v>172.91624891384268</v>
      </c>
      <c r="J214" s="593">
        <v>219.77140565470225</v>
      </c>
      <c r="K214" s="593">
        <v>245.9461265958158</v>
      </c>
      <c r="L214" s="593">
        <v>211.87086424704233</v>
      </c>
      <c r="M214" s="593">
        <v>194.33192968384466</v>
      </c>
      <c r="N214" s="593">
        <v>62.910233273176928</v>
      </c>
      <c r="O214" s="593">
        <v>9.4111356192767861</v>
      </c>
      <c r="P214" s="178"/>
      <c r="Q214" s="178"/>
      <c r="T214" s="137">
        <f>SUM(D214:Q214)</f>
        <v>2052.0152396230201</v>
      </c>
      <c r="U214" s="188" t="s">
        <v>379</v>
      </c>
      <c r="V214" s="157"/>
      <c r="W214" s="137">
        <f>T214*748</f>
        <v>1534907.399238019</v>
      </c>
      <c r="X214" s="188" t="s">
        <v>346</v>
      </c>
      <c r="Y214" s="157"/>
      <c r="Z214" s="157"/>
    </row>
    <row r="215" spans="1:26" s="125" customFormat="1" x14ac:dyDescent="0.25">
      <c r="A215" s="461"/>
      <c r="B215" s="135" t="s">
        <v>324</v>
      </c>
      <c r="C215" s="152"/>
      <c r="D215" s="171">
        <v>4433.6401959999994</v>
      </c>
      <c r="E215" s="171">
        <v>5719.9360800000004</v>
      </c>
      <c r="F215" s="156">
        <v>5815.2749919999997</v>
      </c>
      <c r="G215" s="156">
        <v>4091.903491</v>
      </c>
      <c r="H215" s="156">
        <v>4017.0852570000002</v>
      </c>
      <c r="I215" s="142">
        <v>3308.001452</v>
      </c>
      <c r="J215" s="142">
        <v>4097.9061499999998</v>
      </c>
      <c r="K215" s="142">
        <v>3944.3482440000002</v>
      </c>
      <c r="L215" s="142">
        <v>4127.0839530000003</v>
      </c>
      <c r="M215" s="142">
        <v>3802.8554340000001</v>
      </c>
      <c r="N215" s="142">
        <v>3112.0518000000002</v>
      </c>
      <c r="O215" s="142">
        <v>3561.4939360000003</v>
      </c>
      <c r="P215" s="176"/>
      <c r="Q215" s="176"/>
      <c r="T215" s="189">
        <f>SUM(D215:Q215)</f>
        <v>50031.580984999993</v>
      </c>
      <c r="U215" s="188"/>
      <c r="V215" s="157"/>
      <c r="W215" s="190">
        <f>T215</f>
        <v>50031.580984999993</v>
      </c>
      <c r="X215" s="188"/>
      <c r="Y215" s="157"/>
      <c r="Z215" s="157"/>
    </row>
    <row r="216" spans="1:26" s="125" customFormat="1" x14ac:dyDescent="0.25">
      <c r="A216" s="461"/>
      <c r="C216" s="152"/>
      <c r="D216" s="157"/>
      <c r="U216" s="126"/>
      <c r="X216" s="126"/>
      <c r="Y216" s="157"/>
      <c r="Z216" s="157"/>
    </row>
    <row r="217" spans="1:26" s="128" customFormat="1" x14ac:dyDescent="0.25">
      <c r="A217" s="459">
        <v>23</v>
      </c>
      <c r="B217" s="127" t="s">
        <v>566</v>
      </c>
      <c r="C217" s="173"/>
      <c r="S217" s="129"/>
      <c r="T217" s="127" t="s">
        <v>566</v>
      </c>
      <c r="V217" s="129"/>
      <c r="Y217" s="166"/>
      <c r="Z217" s="166"/>
    </row>
    <row r="218" spans="1:26" s="125" customFormat="1" x14ac:dyDescent="0.25">
      <c r="A218" s="461"/>
      <c r="B218" s="130" t="s">
        <v>337</v>
      </c>
      <c r="C218" s="1152">
        <v>42522</v>
      </c>
      <c r="D218" s="131">
        <v>42552</v>
      </c>
      <c r="E218" s="131">
        <v>42583</v>
      </c>
      <c r="F218" s="131">
        <v>42614</v>
      </c>
      <c r="G218" s="131">
        <v>42644</v>
      </c>
      <c r="H218" s="131">
        <v>42675</v>
      </c>
      <c r="I218" s="131">
        <v>42705</v>
      </c>
      <c r="J218" s="131">
        <v>42736</v>
      </c>
      <c r="K218" s="131">
        <v>42767</v>
      </c>
      <c r="L218" s="131">
        <v>42795</v>
      </c>
      <c r="M218" s="131">
        <v>42826</v>
      </c>
      <c r="N218" s="131">
        <v>42856</v>
      </c>
      <c r="O218" s="131">
        <v>42887</v>
      </c>
      <c r="P218" s="131">
        <v>42917</v>
      </c>
      <c r="Q218" s="131">
        <v>42948</v>
      </c>
      <c r="R218" s="131">
        <v>42992</v>
      </c>
      <c r="S218" s="132"/>
      <c r="T218" s="133" t="s">
        <v>338</v>
      </c>
      <c r="U218" s="134" t="s">
        <v>339</v>
      </c>
      <c r="V218" s="132"/>
      <c r="W218" s="133" t="s">
        <v>338</v>
      </c>
      <c r="X218" s="134" t="s">
        <v>339</v>
      </c>
      <c r="Y218" s="157"/>
      <c r="Z218" s="157"/>
    </row>
    <row r="219" spans="1:26" s="125" customFormat="1" x14ac:dyDescent="0.25">
      <c r="A219" s="461"/>
      <c r="B219" s="135" t="s">
        <v>340</v>
      </c>
      <c r="C219" s="556"/>
      <c r="D219" s="449"/>
      <c r="E219" s="448"/>
      <c r="F219" s="136"/>
      <c r="G219" s="136"/>
      <c r="H219" s="136"/>
      <c r="I219" s="136"/>
      <c r="J219" s="136"/>
      <c r="K219" s="136"/>
      <c r="L219" s="136"/>
      <c r="M219" s="136"/>
      <c r="N219" s="136"/>
      <c r="O219" s="174"/>
      <c r="P219" s="174"/>
      <c r="Q219" s="174"/>
      <c r="T219" s="187">
        <f>SUM(F219:Q219)</f>
        <v>0</v>
      </c>
      <c r="U219" s="188" t="s">
        <v>341</v>
      </c>
      <c r="V219" s="157"/>
      <c r="W219" s="140">
        <f>T219*3413/1000000</f>
        <v>0</v>
      </c>
      <c r="X219" s="138" t="s">
        <v>342</v>
      </c>
      <c r="Y219" s="157"/>
      <c r="Z219" s="157"/>
    </row>
    <row r="220" spans="1:26" s="125" customFormat="1" x14ac:dyDescent="0.25">
      <c r="A220" s="461"/>
      <c r="B220" s="135" t="s">
        <v>345</v>
      </c>
      <c r="C220" s="556"/>
      <c r="D220" s="450"/>
      <c r="E220" s="440"/>
      <c r="F220" s="141"/>
      <c r="G220" s="141"/>
      <c r="H220" s="154"/>
      <c r="I220" s="154"/>
      <c r="J220" s="154"/>
      <c r="K220" s="141"/>
      <c r="L220" s="154"/>
      <c r="M220" s="141"/>
      <c r="N220" s="141"/>
      <c r="O220" s="178"/>
      <c r="P220" s="178"/>
      <c r="Q220" s="178"/>
      <c r="T220" s="187">
        <f>SUM(F220:Q220)</f>
        <v>0</v>
      </c>
      <c r="U220" s="188" t="s">
        <v>346</v>
      </c>
      <c r="V220" s="157"/>
      <c r="W220" s="141">
        <f>T220</f>
        <v>0</v>
      </c>
      <c r="X220" s="188" t="s">
        <v>346</v>
      </c>
      <c r="Y220" s="157"/>
      <c r="Z220" s="157"/>
    </row>
    <row r="221" spans="1:26" s="125" customFormat="1" x14ac:dyDescent="0.25">
      <c r="A221" s="461"/>
      <c r="B221" s="135" t="s">
        <v>324</v>
      </c>
      <c r="C221" s="556"/>
      <c r="D221" s="450"/>
      <c r="E221" s="440"/>
      <c r="F221" s="142"/>
      <c r="G221" s="142"/>
      <c r="H221" s="142"/>
      <c r="I221" s="142"/>
      <c r="J221" s="142"/>
      <c r="K221" s="142"/>
      <c r="L221" s="142"/>
      <c r="M221" s="142"/>
      <c r="N221" s="142"/>
      <c r="O221" s="176"/>
      <c r="P221" s="176"/>
      <c r="Q221" s="176"/>
      <c r="T221" s="189">
        <f>SUM(F221:Q221)</f>
        <v>0</v>
      </c>
      <c r="U221" s="188"/>
      <c r="V221" s="157"/>
      <c r="W221" s="190">
        <f>T221</f>
        <v>0</v>
      </c>
      <c r="X221" s="188"/>
      <c r="Y221" s="157"/>
      <c r="Z221" s="157"/>
    </row>
    <row r="222" spans="1:26" s="125" customFormat="1" x14ac:dyDescent="0.25">
      <c r="A222" s="461"/>
      <c r="B222" s="183"/>
      <c r="C222" s="614"/>
      <c r="D222" s="458"/>
      <c r="E222" s="444"/>
      <c r="F222" s="176"/>
      <c r="G222" s="176"/>
      <c r="H222" s="176"/>
      <c r="I222" s="176"/>
      <c r="J222" s="176"/>
      <c r="K222" s="176"/>
      <c r="L222" s="176"/>
      <c r="M222" s="176"/>
      <c r="N222" s="176"/>
      <c r="O222" s="176"/>
      <c r="P222" s="176"/>
      <c r="Q222" s="176"/>
      <c r="T222" s="2243"/>
      <c r="U222" s="199"/>
      <c r="V222" s="157"/>
      <c r="W222" s="447"/>
      <c r="X222" s="199"/>
      <c r="Y222" s="157"/>
      <c r="Z222" s="157"/>
    </row>
    <row r="223" spans="1:26" s="125" customFormat="1" x14ac:dyDescent="0.25">
      <c r="A223" s="461">
        <v>22</v>
      </c>
      <c r="B223" s="148" t="s">
        <v>406</v>
      </c>
      <c r="C223" s="152"/>
      <c r="S223" s="126"/>
      <c r="T223" s="148" t="s">
        <v>406</v>
      </c>
      <c r="V223" s="126"/>
      <c r="Y223" s="157"/>
      <c r="Z223" s="157"/>
    </row>
    <row r="224" spans="1:26" s="125" customFormat="1" x14ac:dyDescent="0.25">
      <c r="A224" s="461"/>
      <c r="B224" s="130" t="s">
        <v>337</v>
      </c>
      <c r="C224" s="1152">
        <v>42522</v>
      </c>
      <c r="D224" s="131">
        <v>42552</v>
      </c>
      <c r="E224" s="131">
        <v>42583</v>
      </c>
      <c r="F224" s="131">
        <v>42614</v>
      </c>
      <c r="G224" s="131">
        <v>42644</v>
      </c>
      <c r="H224" s="131">
        <v>42675</v>
      </c>
      <c r="I224" s="131">
        <v>42705</v>
      </c>
      <c r="J224" s="131">
        <v>42736</v>
      </c>
      <c r="K224" s="131">
        <v>42767</v>
      </c>
      <c r="L224" s="131">
        <v>42795</v>
      </c>
      <c r="M224" s="131">
        <v>42826</v>
      </c>
      <c r="N224" s="131">
        <v>42856</v>
      </c>
      <c r="O224" s="131">
        <v>42887</v>
      </c>
      <c r="P224" s="131">
        <v>42917</v>
      </c>
      <c r="Q224" s="131">
        <v>42948</v>
      </c>
      <c r="R224" s="131">
        <v>42992</v>
      </c>
      <c r="S224" s="132"/>
      <c r="T224" s="133" t="s">
        <v>338</v>
      </c>
      <c r="U224" s="134" t="s">
        <v>339</v>
      </c>
      <c r="V224" s="132"/>
      <c r="W224" s="133" t="s">
        <v>338</v>
      </c>
      <c r="X224" s="134" t="s">
        <v>339</v>
      </c>
      <c r="Y224" s="157"/>
      <c r="Z224" s="157"/>
    </row>
    <row r="225" spans="1:26" s="157" customFormat="1" x14ac:dyDescent="0.25">
      <c r="A225" s="461"/>
      <c r="B225" s="135" t="s">
        <v>319</v>
      </c>
      <c r="C225" s="599"/>
      <c r="D225" s="208"/>
      <c r="E225" s="208"/>
      <c r="F225" s="208"/>
      <c r="G225" s="208"/>
      <c r="H225" s="208"/>
      <c r="I225" s="208"/>
      <c r="J225" s="208"/>
      <c r="K225" s="208"/>
      <c r="L225" s="208"/>
      <c r="M225" s="208"/>
      <c r="N225" s="208"/>
      <c r="O225" s="208"/>
      <c r="T225" s="137">
        <f>SUM(D225:O225)</f>
        <v>0</v>
      </c>
      <c r="U225" s="138" t="s">
        <v>341</v>
      </c>
      <c r="V225" s="139"/>
      <c r="W225" s="140">
        <f>T225*3413/1000000</f>
        <v>0</v>
      </c>
      <c r="X225" s="138" t="s">
        <v>342</v>
      </c>
    </row>
    <row r="226" spans="1:26" s="157" customFormat="1" x14ac:dyDescent="0.25">
      <c r="A226" s="461"/>
      <c r="B226" s="135" t="s">
        <v>372</v>
      </c>
      <c r="C226" s="599"/>
      <c r="D226" s="209"/>
      <c r="E226" s="209"/>
      <c r="F226" s="209"/>
      <c r="G226" s="209"/>
      <c r="H226" s="209"/>
      <c r="I226" s="209"/>
      <c r="J226" s="209"/>
      <c r="K226" s="209"/>
      <c r="L226" s="209"/>
      <c r="M226" s="209"/>
      <c r="N226" s="209"/>
      <c r="O226" s="209"/>
      <c r="T226" s="137">
        <f>SUM(D226:O226)</f>
        <v>0</v>
      </c>
      <c r="U226" s="138" t="s">
        <v>354</v>
      </c>
      <c r="V226" s="139"/>
      <c r="W226" s="140">
        <f>T226*99976.124488/1000000</f>
        <v>0</v>
      </c>
      <c r="X226" s="138" t="s">
        <v>342</v>
      </c>
      <c r="Y226" s="495">
        <f>W225+W226</f>
        <v>0</v>
      </c>
      <c r="Z226" s="153" t="s">
        <v>649</v>
      </c>
    </row>
    <row r="227" spans="1:26" s="157" customFormat="1" x14ac:dyDescent="0.25">
      <c r="A227" s="461"/>
      <c r="B227" s="135" t="s">
        <v>345</v>
      </c>
      <c r="C227" s="1615"/>
      <c r="D227" s="494"/>
      <c r="E227" s="494"/>
      <c r="F227" s="494"/>
      <c r="G227" s="494"/>
      <c r="H227" s="494"/>
      <c r="I227" s="494"/>
      <c r="J227" s="494"/>
      <c r="K227" s="494"/>
      <c r="L227" s="494"/>
      <c r="M227" s="494"/>
      <c r="N227" s="494"/>
      <c r="O227" s="494"/>
      <c r="T227" s="137">
        <f>SUM(D227:O227)</f>
        <v>0</v>
      </c>
      <c r="U227" s="138" t="s">
        <v>346</v>
      </c>
      <c r="V227" s="139"/>
      <c r="W227" s="137">
        <f>T227</f>
        <v>0</v>
      </c>
      <c r="X227" s="138" t="s">
        <v>346</v>
      </c>
    </row>
    <row r="228" spans="1:26" s="157" customFormat="1" x14ac:dyDescent="0.25">
      <c r="A228" s="461"/>
      <c r="B228" s="135" t="s">
        <v>324</v>
      </c>
      <c r="C228" s="599"/>
      <c r="D228" s="211"/>
      <c r="E228" s="211"/>
      <c r="F228" s="211"/>
      <c r="G228" s="211"/>
      <c r="H228" s="211"/>
      <c r="I228" s="211"/>
      <c r="J228" s="211"/>
      <c r="K228" s="211"/>
      <c r="L228" s="211"/>
      <c r="M228" s="211"/>
      <c r="N228" s="211"/>
      <c r="O228" s="211"/>
      <c r="T228" s="143">
        <f>SUM(D228:Q228)</f>
        <v>0</v>
      </c>
      <c r="U228" s="138"/>
      <c r="V228" s="139"/>
      <c r="W228" s="143">
        <f>T228</f>
        <v>0</v>
      </c>
      <c r="X228" s="138"/>
    </row>
    <row r="229" spans="1:26" s="157" customFormat="1" ht="16.5" x14ac:dyDescent="0.35">
      <c r="A229" s="461"/>
      <c r="B229" s="144" t="s">
        <v>374</v>
      </c>
      <c r="C229" s="599"/>
      <c r="D229" s="212"/>
      <c r="E229" s="212"/>
      <c r="F229" s="212"/>
      <c r="G229" s="212"/>
      <c r="H229" s="212"/>
      <c r="I229" s="212"/>
      <c r="J229" s="212"/>
      <c r="K229" s="212"/>
      <c r="L229" s="212"/>
      <c r="M229" s="212"/>
      <c r="N229" s="212"/>
      <c r="O229" s="212"/>
      <c r="T229" s="143">
        <f>SUM(D229:Q229)</f>
        <v>0</v>
      </c>
      <c r="U229" s="138"/>
      <c r="V229" s="139"/>
      <c r="W229" s="146">
        <f>T229</f>
        <v>0</v>
      </c>
      <c r="X229" s="138"/>
    </row>
    <row r="230" spans="1:26" s="125" customFormat="1" x14ac:dyDescent="0.25">
      <c r="A230" s="461"/>
      <c r="C230" s="152"/>
      <c r="T230" s="139"/>
      <c r="U230" s="147"/>
      <c r="V230" s="139"/>
      <c r="W230" s="143">
        <f>SUM(W228:W229)</f>
        <v>0</v>
      </c>
      <c r="X230" s="138"/>
      <c r="Y230" s="157"/>
      <c r="Z230" s="157" t="s">
        <v>38</v>
      </c>
    </row>
    <row r="232" spans="1:26" s="128" customFormat="1" x14ac:dyDescent="0.25">
      <c r="A232" s="459">
        <v>24</v>
      </c>
      <c r="B232" s="127" t="s">
        <v>405</v>
      </c>
      <c r="C232" s="173"/>
      <c r="E232" s="2177"/>
      <c r="S232" s="129"/>
      <c r="T232" s="127" t="s">
        <v>405</v>
      </c>
      <c r="V232" s="129"/>
      <c r="Y232" s="166"/>
      <c r="Z232" s="166"/>
    </row>
    <row r="233" spans="1:26" s="128" customFormat="1" x14ac:dyDescent="0.25">
      <c r="A233" s="459"/>
      <c r="B233" s="130" t="s">
        <v>337</v>
      </c>
      <c r="C233" s="1152">
        <v>42522</v>
      </c>
      <c r="D233" s="131">
        <v>42552</v>
      </c>
      <c r="E233" s="131">
        <v>42583</v>
      </c>
      <c r="F233" s="131">
        <v>42614</v>
      </c>
      <c r="G233" s="131">
        <v>42644</v>
      </c>
      <c r="H233" s="131">
        <v>42675</v>
      </c>
      <c r="I233" s="131">
        <v>42705</v>
      </c>
      <c r="J233" s="131">
        <v>42736</v>
      </c>
      <c r="K233" s="131">
        <v>42767</v>
      </c>
      <c r="L233" s="131">
        <v>42795</v>
      </c>
      <c r="M233" s="131">
        <v>42826</v>
      </c>
      <c r="N233" s="131">
        <v>42856</v>
      </c>
      <c r="O233" s="131">
        <v>42887</v>
      </c>
      <c r="P233" s="131">
        <v>42917</v>
      </c>
      <c r="Q233" s="131">
        <v>42948</v>
      </c>
      <c r="R233" s="131">
        <v>42992</v>
      </c>
      <c r="S233" s="132"/>
      <c r="T233" s="133" t="s">
        <v>338</v>
      </c>
      <c r="U233" s="134" t="s">
        <v>339</v>
      </c>
      <c r="V233" s="132"/>
      <c r="W233" s="133" t="s">
        <v>338</v>
      </c>
      <c r="X233" s="134" t="s">
        <v>339</v>
      </c>
      <c r="Y233" s="166"/>
      <c r="Z233" s="166"/>
    </row>
    <row r="234" spans="1:26" s="128" customFormat="1" x14ac:dyDescent="0.25">
      <c r="A234" s="459"/>
      <c r="B234" s="204" t="s">
        <v>340</v>
      </c>
      <c r="C234" s="2178"/>
      <c r="D234" s="2179"/>
      <c r="E234" s="2179"/>
      <c r="F234" s="136"/>
      <c r="G234" s="136"/>
      <c r="H234" s="136"/>
      <c r="I234" s="136"/>
      <c r="J234" s="136"/>
      <c r="K234" s="136"/>
      <c r="L234" s="136"/>
      <c r="M234" s="136"/>
      <c r="N234" s="136"/>
      <c r="O234" s="174"/>
      <c r="P234" s="174"/>
      <c r="Q234" s="174"/>
      <c r="T234" s="170">
        <v>1535525</v>
      </c>
      <c r="U234" s="162" t="s">
        <v>341</v>
      </c>
      <c r="V234" s="163"/>
      <c r="W234" s="164">
        <f>T234*3413/1000000</f>
        <v>5240.7468250000002</v>
      </c>
      <c r="X234" s="162" t="s">
        <v>342</v>
      </c>
      <c r="Y234" s="166"/>
      <c r="Z234" s="166"/>
    </row>
    <row r="235" spans="1:26" s="128" customFormat="1" x14ac:dyDescent="0.25">
      <c r="A235" s="459"/>
      <c r="B235" s="204" t="s">
        <v>864</v>
      </c>
      <c r="C235" s="2157"/>
      <c r="D235" s="770"/>
      <c r="E235" s="770"/>
      <c r="F235" s="770"/>
      <c r="G235" s="770"/>
      <c r="H235" s="770"/>
      <c r="I235" s="770"/>
      <c r="J235" s="770"/>
      <c r="K235" s="770"/>
      <c r="L235" s="770"/>
      <c r="M235" s="770"/>
      <c r="N235" s="770"/>
      <c r="O235" s="175"/>
      <c r="P235" s="175"/>
      <c r="Q235" s="175"/>
      <c r="T235" s="170">
        <v>3951</v>
      </c>
      <c r="U235" s="162" t="s">
        <v>379</v>
      </c>
      <c r="V235" s="163"/>
      <c r="W235" s="170">
        <f>T235*748</f>
        <v>2955348</v>
      </c>
      <c r="X235" s="162" t="s">
        <v>346</v>
      </c>
      <c r="Y235" s="166"/>
      <c r="Z235" s="166"/>
    </row>
    <row r="236" spans="1:26" s="128" customFormat="1" x14ac:dyDescent="0.25">
      <c r="A236" s="459"/>
      <c r="B236" s="204" t="s">
        <v>324</v>
      </c>
      <c r="C236" s="2178"/>
      <c r="D236" s="2179"/>
      <c r="E236" s="2179"/>
      <c r="F236" s="142"/>
      <c r="G236" s="142"/>
      <c r="H236" s="142"/>
      <c r="I236" s="142"/>
      <c r="J236" s="142"/>
      <c r="K236" s="142"/>
      <c r="L236" s="142"/>
      <c r="M236" s="142"/>
      <c r="N236" s="142"/>
      <c r="O236" s="176"/>
      <c r="P236" s="176"/>
      <c r="Q236" s="176"/>
      <c r="T236" s="1095">
        <v>118312</v>
      </c>
      <c r="U236" s="162"/>
      <c r="V236" s="163"/>
      <c r="W236" s="1095">
        <f>T236</f>
        <v>118312</v>
      </c>
      <c r="X236" s="162"/>
      <c r="Y236" s="166"/>
      <c r="Z236" s="166"/>
    </row>
    <row r="237" spans="1:26" s="125" customFormat="1" x14ac:dyDescent="0.25">
      <c r="A237" s="461"/>
      <c r="C237" s="152"/>
      <c r="S237" s="126"/>
      <c r="V237" s="126"/>
      <c r="Y237" s="157"/>
      <c r="Z237" s="157"/>
    </row>
    <row r="238" spans="1:26" s="128" customFormat="1" x14ac:dyDescent="0.25">
      <c r="A238" s="459">
        <v>25</v>
      </c>
      <c r="B238" s="172" t="s">
        <v>633</v>
      </c>
      <c r="C238" s="173"/>
      <c r="S238" s="129"/>
      <c r="T238" s="172" t="s">
        <v>633</v>
      </c>
      <c r="V238" s="129"/>
      <c r="Y238" s="166"/>
      <c r="Z238" s="166"/>
    </row>
    <row r="239" spans="1:26" s="128" customFormat="1" x14ac:dyDescent="0.25">
      <c r="A239" s="459"/>
      <c r="B239" s="130" t="s">
        <v>337</v>
      </c>
      <c r="C239" s="1152">
        <v>42522</v>
      </c>
      <c r="D239" s="131">
        <v>42552</v>
      </c>
      <c r="E239" s="131">
        <v>42583</v>
      </c>
      <c r="F239" s="131">
        <v>42614</v>
      </c>
      <c r="G239" s="131">
        <v>42644</v>
      </c>
      <c r="H239" s="131">
        <v>42675</v>
      </c>
      <c r="I239" s="131">
        <v>42705</v>
      </c>
      <c r="J239" s="131">
        <v>42736</v>
      </c>
      <c r="K239" s="131">
        <v>42767</v>
      </c>
      <c r="L239" s="131">
        <v>42795</v>
      </c>
      <c r="M239" s="131">
        <v>42826</v>
      </c>
      <c r="N239" s="131">
        <v>42856</v>
      </c>
      <c r="O239" s="131">
        <v>42887</v>
      </c>
      <c r="P239" s="131">
        <v>42917</v>
      </c>
      <c r="Q239" s="131">
        <v>42948</v>
      </c>
      <c r="R239" s="131">
        <v>42992</v>
      </c>
      <c r="S239" s="132"/>
      <c r="T239" s="133" t="s">
        <v>338</v>
      </c>
      <c r="U239" s="134" t="s">
        <v>339</v>
      </c>
      <c r="V239" s="132"/>
      <c r="W239" s="133" t="s">
        <v>338</v>
      </c>
      <c r="X239" s="134" t="s">
        <v>339</v>
      </c>
      <c r="Y239" s="166"/>
      <c r="Z239" s="166"/>
    </row>
    <row r="240" spans="1:26" s="128" customFormat="1" x14ac:dyDescent="0.25">
      <c r="A240" s="459"/>
      <c r="B240" s="2141" t="s">
        <v>409</v>
      </c>
      <c r="C240" s="173"/>
      <c r="D240" s="136">
        <v>40760</v>
      </c>
      <c r="E240" s="136">
        <v>28119</v>
      </c>
      <c r="F240" s="136">
        <v>58731</v>
      </c>
      <c r="G240" s="136">
        <v>58222</v>
      </c>
      <c r="H240" s="136">
        <v>56170</v>
      </c>
      <c r="I240" s="136">
        <v>49151</v>
      </c>
      <c r="J240" s="136">
        <v>53036</v>
      </c>
      <c r="K240" s="136">
        <v>49265</v>
      </c>
      <c r="L240" s="136">
        <v>52527</v>
      </c>
      <c r="M240" s="136">
        <v>54793</v>
      </c>
      <c r="N240" s="136">
        <v>48155</v>
      </c>
      <c r="O240" s="136">
        <v>46501</v>
      </c>
      <c r="P240" s="174"/>
      <c r="T240" s="170">
        <f>SUM(D240:O240)</f>
        <v>595430</v>
      </c>
      <c r="U240" s="162" t="s">
        <v>341</v>
      </c>
      <c r="V240" s="163"/>
      <c r="W240" s="164">
        <f>T240*3413/1000000</f>
        <v>2032.2025900000001</v>
      </c>
      <c r="X240" s="162" t="s">
        <v>342</v>
      </c>
      <c r="Y240" s="166"/>
      <c r="Z240" s="166"/>
    </row>
    <row r="241" spans="1:26" s="128" customFormat="1" x14ac:dyDescent="0.25">
      <c r="A241" s="459"/>
      <c r="B241" s="204" t="s">
        <v>345</v>
      </c>
      <c r="C241" s="173"/>
      <c r="D241" s="760">
        <v>251089</v>
      </c>
      <c r="E241" s="760">
        <v>496833</v>
      </c>
      <c r="F241" s="760">
        <v>713301</v>
      </c>
      <c r="G241" s="760">
        <v>156426</v>
      </c>
      <c r="H241" s="760">
        <v>156426</v>
      </c>
      <c r="I241" s="760">
        <v>332819</v>
      </c>
      <c r="J241" s="760">
        <v>310871</v>
      </c>
      <c r="K241" s="750">
        <v>332819</v>
      </c>
      <c r="L241" s="750">
        <v>310871</v>
      </c>
      <c r="M241" s="750">
        <v>316938</v>
      </c>
      <c r="N241" s="750">
        <v>265914</v>
      </c>
      <c r="O241" s="750">
        <v>229491</v>
      </c>
      <c r="P241" s="1833"/>
      <c r="T241" s="170">
        <f>SUM(D241:O241)</f>
        <v>3873798</v>
      </c>
      <c r="U241" s="162" t="s">
        <v>346</v>
      </c>
      <c r="V241" s="163"/>
      <c r="W241" s="170">
        <f>T241</f>
        <v>3873798</v>
      </c>
      <c r="X241" s="162" t="s">
        <v>346</v>
      </c>
      <c r="Y241" s="166"/>
      <c r="Z241" s="166"/>
    </row>
    <row r="242" spans="1:26" s="128" customFormat="1" x14ac:dyDescent="0.25">
      <c r="A242" s="459"/>
      <c r="B242" s="2141" t="s">
        <v>324</v>
      </c>
      <c r="C242" s="173"/>
      <c r="D242" s="1208">
        <v>3680.63</v>
      </c>
      <c r="E242" s="1208">
        <v>2539.11</v>
      </c>
      <c r="F242" s="1208">
        <v>6025.8</v>
      </c>
      <c r="G242" s="1208">
        <v>5315.67</v>
      </c>
      <c r="H242" s="1208">
        <v>5178.8599999999997</v>
      </c>
      <c r="I242" s="1208">
        <v>4482.53</v>
      </c>
      <c r="J242" s="1208">
        <v>4815.6899999999996</v>
      </c>
      <c r="K242" s="1208">
        <v>4675.21</v>
      </c>
      <c r="L242" s="1208">
        <v>4795.72</v>
      </c>
      <c r="M242" s="1208">
        <v>4597.1000000000004</v>
      </c>
      <c r="N242" s="1208">
        <v>4468.76</v>
      </c>
      <c r="O242" s="1208">
        <v>4106</v>
      </c>
      <c r="P242" s="1833"/>
      <c r="T242" s="1095">
        <f>SUM(D242:Q242)</f>
        <v>54681.08</v>
      </c>
      <c r="U242" s="162"/>
      <c r="V242" s="163"/>
      <c r="W242" s="1095">
        <f>T242</f>
        <v>54681.08</v>
      </c>
      <c r="X242" s="162"/>
      <c r="Y242" s="166"/>
      <c r="Z242" s="166"/>
    </row>
    <row r="243" spans="1:26" s="125" customFormat="1" x14ac:dyDescent="0.25">
      <c r="A243" s="461"/>
      <c r="C243" s="152"/>
      <c r="S243" s="126"/>
      <c r="V243" s="126"/>
      <c r="Y243" s="157"/>
      <c r="Z243" s="157"/>
    </row>
    <row r="244" spans="1:26" s="125" customFormat="1" x14ac:dyDescent="0.25">
      <c r="A244" s="461"/>
      <c r="C244" s="152"/>
      <c r="S244" s="126"/>
      <c r="V244" s="126"/>
      <c r="Y244" s="157"/>
      <c r="Z244" s="157"/>
    </row>
    <row r="245" spans="1:26" s="128" customFormat="1" x14ac:dyDescent="0.25">
      <c r="A245" s="459">
        <v>26</v>
      </c>
      <c r="B245" s="172" t="s">
        <v>1218</v>
      </c>
      <c r="C245" s="173"/>
      <c r="E245" s="166"/>
      <c r="F245" s="166"/>
      <c r="G245" s="166"/>
      <c r="H245" s="166"/>
      <c r="I245" s="166"/>
      <c r="J245" s="166"/>
      <c r="K245" s="166"/>
      <c r="L245" s="166"/>
      <c r="M245" s="166"/>
      <c r="N245" s="166"/>
      <c r="O245" s="166"/>
      <c r="P245" s="166"/>
      <c r="S245" s="129"/>
      <c r="T245" s="172" t="s">
        <v>567</v>
      </c>
      <c r="V245" s="129"/>
      <c r="Y245" s="166"/>
      <c r="Z245" s="166"/>
    </row>
    <row r="246" spans="1:26" s="125" customFormat="1" x14ac:dyDescent="0.25">
      <c r="A246" s="461"/>
      <c r="B246" s="130" t="s">
        <v>337</v>
      </c>
      <c r="C246" s="1152">
        <v>42522</v>
      </c>
      <c r="D246" s="131">
        <v>42552</v>
      </c>
      <c r="E246" s="131">
        <v>42583</v>
      </c>
      <c r="F246" s="131">
        <v>42614</v>
      </c>
      <c r="G246" s="131">
        <v>42644</v>
      </c>
      <c r="H246" s="131">
        <v>42675</v>
      </c>
      <c r="I246" s="131">
        <v>42705</v>
      </c>
      <c r="J246" s="131">
        <v>42736</v>
      </c>
      <c r="K246" s="131">
        <v>42767</v>
      </c>
      <c r="L246" s="131">
        <v>42795</v>
      </c>
      <c r="M246" s="131">
        <v>42826</v>
      </c>
      <c r="N246" s="131">
        <v>42856</v>
      </c>
      <c r="O246" s="131">
        <v>42887</v>
      </c>
      <c r="P246" s="131">
        <v>42917</v>
      </c>
      <c r="Q246" s="131">
        <v>42948</v>
      </c>
      <c r="R246" s="131">
        <v>42992</v>
      </c>
      <c r="S246" s="132"/>
      <c r="T246" s="133" t="s">
        <v>338</v>
      </c>
      <c r="U246" s="134" t="s">
        <v>339</v>
      </c>
      <c r="V246" s="132"/>
      <c r="W246" s="133" t="s">
        <v>338</v>
      </c>
      <c r="X246" s="134" t="s">
        <v>339</v>
      </c>
      <c r="Y246" s="157"/>
      <c r="Z246" s="157"/>
    </row>
    <row r="247" spans="1:26" s="157" customFormat="1" x14ac:dyDescent="0.25">
      <c r="A247" s="461"/>
      <c r="B247" s="135" t="s">
        <v>319</v>
      </c>
      <c r="C247" s="599"/>
      <c r="D247" s="1253">
        <v>69426</v>
      </c>
      <c r="E247" s="1253">
        <v>81658</v>
      </c>
      <c r="F247" s="1253">
        <v>90743</v>
      </c>
      <c r="G247" s="1253">
        <v>73005</v>
      </c>
      <c r="H247" s="1253">
        <v>101317</v>
      </c>
      <c r="I247" s="1253">
        <v>81558</v>
      </c>
      <c r="J247" s="1253">
        <v>106084</v>
      </c>
      <c r="K247" s="1253">
        <v>71258</v>
      </c>
      <c r="L247" s="1253">
        <v>107855</v>
      </c>
      <c r="M247" s="1253">
        <v>73703</v>
      </c>
      <c r="N247" s="1253">
        <v>75575</v>
      </c>
      <c r="O247" s="1253">
        <v>85670</v>
      </c>
      <c r="P247" s="174"/>
      <c r="Q247" s="174"/>
      <c r="T247" s="141">
        <f>SUM(D247:Q247)</f>
        <v>1017852</v>
      </c>
      <c r="U247" s="188" t="s">
        <v>341</v>
      </c>
      <c r="W247" s="140">
        <f>T247*3413/1000000</f>
        <v>3473.9288759999999</v>
      </c>
      <c r="X247" s="138" t="s">
        <v>342</v>
      </c>
    </row>
    <row r="248" spans="1:26" s="157" customFormat="1" x14ac:dyDescent="0.25">
      <c r="A248" s="461"/>
      <c r="B248" s="135" t="s">
        <v>1207</v>
      </c>
      <c r="C248" s="599"/>
      <c r="D248" s="1254"/>
      <c r="E248" s="1254"/>
      <c r="F248" s="1254"/>
      <c r="G248" s="1254"/>
      <c r="H248" s="1254"/>
      <c r="I248" s="1254"/>
      <c r="J248" s="1254"/>
      <c r="K248" s="1254"/>
      <c r="L248" s="1254"/>
      <c r="M248" s="1254"/>
      <c r="N248" s="1254"/>
      <c r="O248" s="1254"/>
      <c r="P248" s="174"/>
      <c r="Q248" s="174"/>
      <c r="T248" s="141">
        <f>SUM(D248:Q248)</f>
        <v>0</v>
      </c>
      <c r="U248" s="138" t="s">
        <v>497</v>
      </c>
      <c r="W248" s="160">
        <f>T248/1000</f>
        <v>0</v>
      </c>
      <c r="X248" s="138" t="s">
        <v>342</v>
      </c>
    </row>
    <row r="249" spans="1:26" s="157" customFormat="1" x14ac:dyDescent="0.25">
      <c r="A249" s="461"/>
      <c r="B249" s="192" t="s">
        <v>323</v>
      </c>
      <c r="C249" s="599"/>
      <c r="D249" s="1254"/>
      <c r="E249" s="1254"/>
      <c r="F249" s="1254"/>
      <c r="G249" s="1254"/>
      <c r="H249" s="1254"/>
      <c r="I249" s="1254"/>
      <c r="J249" s="1254"/>
      <c r="K249" s="1254"/>
      <c r="L249" s="1254"/>
      <c r="M249" s="1254"/>
      <c r="N249" s="1254"/>
      <c r="O249" s="1254"/>
      <c r="P249" s="178"/>
      <c r="Q249" s="178"/>
      <c r="T249" s="141">
        <f>SUM(D249:Q249)</f>
        <v>0</v>
      </c>
      <c r="U249" s="188" t="s">
        <v>397</v>
      </c>
      <c r="W249" s="160">
        <f>T249*0.012</f>
        <v>0</v>
      </c>
      <c r="X249" s="138" t="s">
        <v>342</v>
      </c>
      <c r="Y249" s="495">
        <f>W247+W248+W249</f>
        <v>3473.9288759999999</v>
      </c>
      <c r="Z249" s="138" t="s">
        <v>342</v>
      </c>
    </row>
    <row r="250" spans="1:26" s="157" customFormat="1" x14ac:dyDescent="0.25">
      <c r="A250" s="461"/>
      <c r="B250" s="135" t="s">
        <v>322</v>
      </c>
      <c r="C250" s="599"/>
      <c r="D250" s="1253">
        <v>24840</v>
      </c>
      <c r="E250" s="1253">
        <v>45591</v>
      </c>
      <c r="F250" s="1253">
        <v>67564</v>
      </c>
      <c r="G250" s="1253">
        <v>50486</v>
      </c>
      <c r="H250" s="1253">
        <v>66784</v>
      </c>
      <c r="I250" s="1253">
        <v>23455</v>
      </c>
      <c r="J250" s="1253">
        <v>64719</v>
      </c>
      <c r="K250" s="1253">
        <v>51895</v>
      </c>
      <c r="L250" s="1253">
        <v>76540</v>
      </c>
      <c r="M250" s="1253">
        <v>76102</v>
      </c>
      <c r="N250" s="1253">
        <v>73498</v>
      </c>
      <c r="O250" s="1253">
        <v>49816</v>
      </c>
      <c r="P250" s="178"/>
      <c r="Q250" s="178"/>
      <c r="T250" s="141">
        <f>SUM(D250:Q250)</f>
        <v>671290</v>
      </c>
      <c r="U250" s="188" t="s">
        <v>346</v>
      </c>
      <c r="W250" s="141">
        <f>T250</f>
        <v>671290</v>
      </c>
      <c r="X250" s="188" t="s">
        <v>346</v>
      </c>
    </row>
    <row r="251" spans="1:26" s="157" customFormat="1" x14ac:dyDescent="0.25">
      <c r="A251" s="461"/>
      <c r="B251" s="135" t="s">
        <v>324</v>
      </c>
      <c r="C251" s="599"/>
      <c r="D251" s="1255">
        <v>5595.74</v>
      </c>
      <c r="E251" s="1255">
        <v>6622.46</v>
      </c>
      <c r="F251" s="1255">
        <v>7105.18</v>
      </c>
      <c r="G251" s="1255">
        <v>5577.58</v>
      </c>
      <c r="H251" s="1255">
        <v>7406.27</v>
      </c>
      <c r="I251" s="1255">
        <v>5692.75</v>
      </c>
      <c r="J251" s="1255">
        <v>7256.15</v>
      </c>
      <c r="K251" s="1255">
        <v>4817.04</v>
      </c>
      <c r="L251" s="1255">
        <v>7301.78</v>
      </c>
      <c r="M251" s="1255">
        <v>5019.17</v>
      </c>
      <c r="N251" s="1255">
        <v>5358.27</v>
      </c>
      <c r="O251" s="1255">
        <v>6185.37</v>
      </c>
      <c r="P251" s="176"/>
      <c r="Q251" s="176"/>
      <c r="T251" s="171">
        <f>SUM(D251:Q251)</f>
        <v>73937.759999999995</v>
      </c>
      <c r="U251" s="188"/>
      <c r="W251" s="190">
        <f>T251</f>
        <v>73937.759999999995</v>
      </c>
      <c r="X251" s="188"/>
    </row>
    <row r="252" spans="1:26" s="157" customFormat="1" x14ac:dyDescent="0.25">
      <c r="A252" s="461"/>
      <c r="B252" s="204" t="s">
        <v>1592</v>
      </c>
      <c r="C252" s="599"/>
      <c r="D252" s="145">
        <v>2029.02</v>
      </c>
      <c r="E252" s="145">
        <v>2046.76</v>
      </c>
      <c r="F252" s="145">
        <v>2466.12</v>
      </c>
      <c r="G252" s="145">
        <v>2550.69</v>
      </c>
      <c r="H252" s="145">
        <v>3619.84</v>
      </c>
      <c r="I252" s="145">
        <v>3622.22</v>
      </c>
      <c r="J252" s="145">
        <v>4729.75</v>
      </c>
      <c r="K252" s="145">
        <v>2381.0300000000002</v>
      </c>
      <c r="L252" s="145">
        <v>3262.48</v>
      </c>
      <c r="M252" s="145">
        <v>2140.16</v>
      </c>
      <c r="N252" s="145">
        <v>2557.75</v>
      </c>
      <c r="O252" s="145">
        <v>2890.63</v>
      </c>
      <c r="P252" s="184"/>
      <c r="Q252" s="184"/>
      <c r="T252" s="171">
        <f>SUM(D252:O252)</f>
        <v>34296.449999999997</v>
      </c>
      <c r="U252" s="188"/>
      <c r="W252" s="190">
        <f>T252</f>
        <v>34296.449999999997</v>
      </c>
      <c r="X252" s="188"/>
    </row>
    <row r="253" spans="1:26" s="157" customFormat="1" ht="16.5" x14ac:dyDescent="0.35">
      <c r="A253" s="461"/>
      <c r="B253" s="195" t="s">
        <v>1593</v>
      </c>
      <c r="C253" s="599"/>
      <c r="D253" s="1255">
        <v>3320.36</v>
      </c>
      <c r="E253" s="1255">
        <v>3523.53</v>
      </c>
      <c r="F253" s="1255">
        <v>2983.44</v>
      </c>
      <c r="G253" s="1255">
        <v>2862.49</v>
      </c>
      <c r="H253" s="1255">
        <v>2378.34</v>
      </c>
      <c r="I253" s="1255">
        <v>1460.77</v>
      </c>
      <c r="J253" s="1255">
        <v>1968.23</v>
      </c>
      <c r="K253" s="1255">
        <v>1587.55</v>
      </c>
      <c r="L253" s="1255">
        <v>1831.34</v>
      </c>
      <c r="M253" s="1255">
        <v>2778.89</v>
      </c>
      <c r="N253" s="1255">
        <v>3555.53</v>
      </c>
      <c r="O253" s="1255">
        <v>5591.35</v>
      </c>
      <c r="P253" s="446"/>
      <c r="Q253" s="446"/>
      <c r="T253" s="171">
        <f>SUM(D253:O253)</f>
        <v>33841.82</v>
      </c>
      <c r="U253" s="188"/>
      <c r="W253" s="197">
        <f>T253</f>
        <v>33841.82</v>
      </c>
      <c r="X253" s="188"/>
    </row>
    <row r="254" spans="1:26" s="125" customFormat="1" x14ac:dyDescent="0.25">
      <c r="A254" s="461"/>
      <c r="B254" s="205"/>
      <c r="C254" s="152"/>
      <c r="E254" s="201"/>
      <c r="F254" s="206"/>
      <c r="G254" s="202"/>
      <c r="H254" s="203"/>
      <c r="I254" s="203"/>
      <c r="J254" s="203"/>
      <c r="K254" s="203"/>
      <c r="L254" s="203"/>
      <c r="M254" s="203"/>
      <c r="N254" s="203"/>
      <c r="O254" s="203"/>
      <c r="P254" s="203"/>
      <c r="U254" s="126"/>
      <c r="W254" s="190">
        <f>SUM(W251:W253)</f>
        <v>142076.03</v>
      </c>
      <c r="X254" s="450"/>
      <c r="Y254" s="157"/>
      <c r="Z254" s="157"/>
    </row>
    <row r="255" spans="1:26" s="125" customFormat="1" x14ac:dyDescent="0.25">
      <c r="A255" s="461"/>
      <c r="B255" s="205"/>
      <c r="C255" s="152"/>
      <c r="E255" s="201"/>
      <c r="F255" s="206"/>
      <c r="G255" s="202"/>
      <c r="H255" s="203"/>
      <c r="I255" s="203"/>
      <c r="J255" s="203"/>
      <c r="K255" s="203"/>
      <c r="L255" s="203"/>
      <c r="M255" s="203"/>
      <c r="N255" s="203"/>
      <c r="O255" s="203"/>
      <c r="P255" s="203"/>
      <c r="U255" s="126"/>
      <c r="W255" s="447"/>
      <c r="X255" s="126"/>
      <c r="Y255" s="157"/>
      <c r="Z255" s="157"/>
    </row>
    <row r="256" spans="1:26" s="128" customFormat="1" x14ac:dyDescent="0.25">
      <c r="A256" s="459">
        <v>27</v>
      </c>
      <c r="B256" s="127" t="s">
        <v>568</v>
      </c>
      <c r="C256" s="173"/>
      <c r="E256" s="2177"/>
      <c r="S256" s="129"/>
      <c r="T256" s="127" t="s">
        <v>568</v>
      </c>
      <c r="V256" s="129"/>
      <c r="Y256" s="166"/>
      <c r="Z256" s="166"/>
    </row>
    <row r="257" spans="1:26" s="128" customFormat="1" x14ac:dyDescent="0.25">
      <c r="A257" s="459"/>
      <c r="B257" s="2137" t="s">
        <v>337</v>
      </c>
      <c r="C257" s="2138">
        <v>42522</v>
      </c>
      <c r="D257" s="1606">
        <v>42552</v>
      </c>
      <c r="E257" s="1606">
        <v>42583</v>
      </c>
      <c r="F257" s="1606">
        <v>42614</v>
      </c>
      <c r="G257" s="1606">
        <v>42644</v>
      </c>
      <c r="H257" s="1606">
        <v>42675</v>
      </c>
      <c r="I257" s="1606">
        <v>42705</v>
      </c>
      <c r="J257" s="1606">
        <v>42736</v>
      </c>
      <c r="K257" s="1606">
        <v>42767</v>
      </c>
      <c r="L257" s="1606">
        <v>42795</v>
      </c>
      <c r="M257" s="1606">
        <v>42826</v>
      </c>
      <c r="N257" s="1606">
        <v>42856</v>
      </c>
      <c r="O257" s="1606">
        <v>42887</v>
      </c>
      <c r="P257" s="1606">
        <v>42917</v>
      </c>
      <c r="Q257" s="1606">
        <v>42948</v>
      </c>
      <c r="R257" s="1606">
        <v>42992</v>
      </c>
      <c r="T257" s="2139" t="s">
        <v>338</v>
      </c>
      <c r="U257" s="2140" t="s">
        <v>339</v>
      </c>
      <c r="W257" s="2139" t="s">
        <v>338</v>
      </c>
      <c r="X257" s="2140" t="s">
        <v>339</v>
      </c>
      <c r="Y257" s="166"/>
      <c r="Z257" s="166"/>
    </row>
    <row r="258" spans="1:26" s="128" customFormat="1" x14ac:dyDescent="0.25">
      <c r="A258" s="459"/>
      <c r="B258" s="204" t="s">
        <v>340</v>
      </c>
      <c r="C258" s="2178"/>
      <c r="D258" s="2179"/>
      <c r="E258" s="2179"/>
      <c r="F258" s="136"/>
      <c r="G258" s="136"/>
      <c r="H258" s="136"/>
      <c r="I258" s="136"/>
      <c r="J258" s="136"/>
      <c r="K258" s="136"/>
      <c r="L258" s="136"/>
      <c r="M258" s="136"/>
      <c r="N258" s="136"/>
      <c r="O258" s="174"/>
      <c r="P258" s="174"/>
      <c r="Q258" s="174"/>
      <c r="T258" s="170">
        <v>343680</v>
      </c>
      <c r="U258" s="162" t="s">
        <v>341</v>
      </c>
      <c r="V258" s="163"/>
      <c r="W258" s="164">
        <f>T258*3413/1000000</f>
        <v>1172.97984</v>
      </c>
      <c r="X258" s="162" t="s">
        <v>342</v>
      </c>
      <c r="Y258" s="166"/>
      <c r="Z258" s="166"/>
    </row>
    <row r="259" spans="1:26" s="128" customFormat="1" x14ac:dyDescent="0.25">
      <c r="A259" s="459"/>
      <c r="B259" s="204" t="s">
        <v>864</v>
      </c>
      <c r="C259" s="2178"/>
      <c r="D259" s="165"/>
      <c r="E259" s="2179"/>
      <c r="F259" s="1094"/>
      <c r="G259" s="1094"/>
      <c r="H259" s="1094"/>
      <c r="I259" s="1094"/>
      <c r="J259" s="1094"/>
      <c r="K259" s="1094"/>
      <c r="L259" s="1094"/>
      <c r="M259" s="1094"/>
      <c r="N259" s="1094"/>
      <c r="O259" s="175"/>
      <c r="P259" s="175"/>
      <c r="Q259" s="175"/>
      <c r="T259" s="170">
        <v>1409</v>
      </c>
      <c r="U259" s="162" t="s">
        <v>379</v>
      </c>
      <c r="V259" s="163"/>
      <c r="W259" s="170">
        <f>T259*748</f>
        <v>1053932</v>
      </c>
      <c r="X259" s="162" t="s">
        <v>346</v>
      </c>
      <c r="Y259" s="166"/>
      <c r="Z259" s="166"/>
    </row>
    <row r="260" spans="1:26" s="128" customFormat="1" ht="16.5" x14ac:dyDescent="0.35">
      <c r="A260" s="459"/>
      <c r="B260" s="204" t="s">
        <v>324</v>
      </c>
      <c r="C260" s="2178"/>
      <c r="D260" s="2179"/>
      <c r="E260" s="2179"/>
      <c r="F260" s="142"/>
      <c r="G260" s="142"/>
      <c r="H260" s="142"/>
      <c r="I260" s="142"/>
      <c r="J260" s="142"/>
      <c r="K260" s="142"/>
      <c r="L260" s="142"/>
      <c r="M260" s="142"/>
      <c r="N260" s="142"/>
      <c r="O260" s="174"/>
      <c r="P260" s="176"/>
      <c r="Q260" s="176"/>
      <c r="T260" s="1095">
        <v>26480</v>
      </c>
      <c r="U260" s="162"/>
      <c r="V260" s="163"/>
      <c r="W260" s="1096">
        <f>T260</f>
        <v>26480</v>
      </c>
      <c r="X260" s="162"/>
      <c r="Y260" s="166"/>
      <c r="Z260" s="166"/>
    </row>
    <row r="261" spans="1:26" s="128" customFormat="1" x14ac:dyDescent="0.25">
      <c r="A261" s="459"/>
      <c r="B261" s="205"/>
      <c r="C261" s="173"/>
      <c r="F261" s="176"/>
      <c r="G261" s="176"/>
      <c r="H261" s="176"/>
      <c r="I261" s="176"/>
      <c r="J261" s="176"/>
      <c r="K261" s="176"/>
      <c r="L261" s="176"/>
      <c r="M261" s="176"/>
      <c r="N261" s="176"/>
      <c r="O261" s="176"/>
      <c r="P261" s="176"/>
      <c r="Q261" s="176"/>
      <c r="T261" s="1261"/>
      <c r="U261" s="1262"/>
      <c r="V261" s="163"/>
      <c r="W261" s="1095">
        <f>SUM(W260:W260)</f>
        <v>26480</v>
      </c>
      <c r="X261" s="162"/>
      <c r="Y261" s="166"/>
      <c r="Z261" s="166"/>
    </row>
    <row r="262" spans="1:26" s="125" customFormat="1" x14ac:dyDescent="0.25">
      <c r="A262" s="461"/>
      <c r="C262" s="152"/>
      <c r="S262" s="126"/>
      <c r="V262" s="126"/>
      <c r="Y262" s="157"/>
      <c r="Z262" s="157"/>
    </row>
    <row r="263" spans="1:26" s="125" customFormat="1" x14ac:dyDescent="0.25">
      <c r="A263" s="461">
        <v>28</v>
      </c>
      <c r="B263" s="148" t="s">
        <v>569</v>
      </c>
      <c r="C263" s="152"/>
      <c r="E263" s="157"/>
      <c r="F263" s="157"/>
      <c r="G263" s="157"/>
      <c r="H263" s="157"/>
      <c r="I263" s="157"/>
      <c r="J263" s="157"/>
      <c r="K263" s="157"/>
      <c r="L263" s="157"/>
      <c r="M263" s="157"/>
      <c r="N263" s="157"/>
      <c r="O263" s="157"/>
      <c r="P263" s="157"/>
      <c r="S263" s="126"/>
      <c r="T263" s="148" t="s">
        <v>569</v>
      </c>
      <c r="V263" s="126"/>
      <c r="Y263" s="157"/>
      <c r="Z263" s="157"/>
    </row>
    <row r="264" spans="1:26" s="125" customFormat="1" x14ac:dyDescent="0.25">
      <c r="A264" s="461"/>
      <c r="B264" s="130" t="s">
        <v>337</v>
      </c>
      <c r="C264" s="131">
        <v>42522</v>
      </c>
      <c r="D264" s="131">
        <v>42552</v>
      </c>
      <c r="E264" s="131">
        <v>42583</v>
      </c>
      <c r="F264" s="131">
        <v>42614</v>
      </c>
      <c r="G264" s="131">
        <v>42644</v>
      </c>
      <c r="H264" s="131">
        <v>42675</v>
      </c>
      <c r="I264" s="131">
        <v>42705</v>
      </c>
      <c r="J264" s="131">
        <v>42736</v>
      </c>
      <c r="K264" s="131">
        <v>42767</v>
      </c>
      <c r="L264" s="131">
        <v>42795</v>
      </c>
      <c r="M264" s="131">
        <v>42826</v>
      </c>
      <c r="N264" s="131">
        <v>42856</v>
      </c>
      <c r="O264" s="131">
        <v>42887</v>
      </c>
      <c r="P264" s="131">
        <v>42917</v>
      </c>
      <c r="Q264" s="131">
        <v>42948</v>
      </c>
      <c r="R264" s="131">
        <v>42992</v>
      </c>
      <c r="S264" s="132"/>
      <c r="T264" s="133" t="s">
        <v>338</v>
      </c>
      <c r="U264" s="134" t="s">
        <v>339</v>
      </c>
      <c r="V264" s="132"/>
      <c r="W264" s="133" t="s">
        <v>338</v>
      </c>
      <c r="X264" s="134" t="s">
        <v>339</v>
      </c>
      <c r="Y264" s="157"/>
      <c r="Z264" s="157"/>
    </row>
    <row r="265" spans="1:26" s="157" customFormat="1" x14ac:dyDescent="0.25">
      <c r="A265" s="461"/>
      <c r="B265" s="135" t="s">
        <v>319</v>
      </c>
      <c r="C265" s="599"/>
      <c r="D265" s="160">
        <v>227631.31</v>
      </c>
      <c r="E265" s="160">
        <v>231203.8</v>
      </c>
      <c r="F265" s="558">
        <v>225802.7</v>
      </c>
      <c r="G265" s="558">
        <v>224452.68</v>
      </c>
      <c r="H265" s="558">
        <v>212062.71</v>
      </c>
      <c r="I265" s="558">
        <v>201626.22</v>
      </c>
      <c r="J265" s="558">
        <v>204314.04</v>
      </c>
      <c r="K265" s="558">
        <v>189981.17</v>
      </c>
      <c r="L265" s="558">
        <v>221699.66</v>
      </c>
      <c r="M265" s="558">
        <v>206590.89</v>
      </c>
      <c r="N265" s="558">
        <v>218031.41</v>
      </c>
      <c r="O265" s="558">
        <v>215938.68</v>
      </c>
      <c r="P265" s="1340"/>
      <c r="Q265" s="456"/>
      <c r="R265" s="554"/>
      <c r="T265" s="141">
        <f t="shared" ref="T265:T271" si="14">SUM(D265:O265)</f>
        <v>2579335.27</v>
      </c>
      <c r="U265" s="188" t="s">
        <v>341</v>
      </c>
      <c r="W265" s="140">
        <f>T265*3413/1000000</f>
        <v>8803.2712765100005</v>
      </c>
      <c r="X265" s="138" t="s">
        <v>342</v>
      </c>
    </row>
    <row r="266" spans="1:26" s="157" customFormat="1" x14ac:dyDescent="0.25">
      <c r="A266" s="461"/>
      <c r="B266" s="192" t="s">
        <v>323</v>
      </c>
      <c r="C266" s="599"/>
      <c r="D266" s="160">
        <v>170787</v>
      </c>
      <c r="E266" s="160">
        <v>190439</v>
      </c>
      <c r="F266" s="160">
        <v>154143</v>
      </c>
      <c r="G266" s="160">
        <v>91735</v>
      </c>
      <c r="H266" s="160">
        <v>44754</v>
      </c>
      <c r="I266" s="160">
        <v>27373</v>
      </c>
      <c r="J266" s="160">
        <v>25083</v>
      </c>
      <c r="K266" s="160">
        <v>33364</v>
      </c>
      <c r="L266" s="160">
        <v>44943</v>
      </c>
      <c r="M266" s="160">
        <v>80069</v>
      </c>
      <c r="N266" s="160">
        <v>109605</v>
      </c>
      <c r="O266" s="160">
        <v>140893</v>
      </c>
      <c r="P266" s="178"/>
      <c r="Q266" s="178"/>
      <c r="R266" s="554"/>
      <c r="T266" s="141">
        <f t="shared" si="14"/>
        <v>1113188</v>
      </c>
      <c r="U266" s="188" t="s">
        <v>397</v>
      </c>
      <c r="W266" s="160">
        <f>T266*0.012</f>
        <v>13358.255999999999</v>
      </c>
      <c r="X266" s="138" t="s">
        <v>342</v>
      </c>
    </row>
    <row r="267" spans="1:26" s="157" customFormat="1" x14ac:dyDescent="0.25">
      <c r="A267" s="461"/>
      <c r="B267" s="192" t="s">
        <v>1373</v>
      </c>
      <c r="C267" s="599"/>
      <c r="D267" s="136">
        <v>1619</v>
      </c>
      <c r="E267" s="136">
        <v>2286</v>
      </c>
      <c r="F267" s="141">
        <v>2495</v>
      </c>
      <c r="G267" s="141">
        <v>6096</v>
      </c>
      <c r="H267" s="141">
        <v>5052</v>
      </c>
      <c r="I267" s="141">
        <v>6423</v>
      </c>
      <c r="J267" s="141">
        <v>7157</v>
      </c>
      <c r="K267" s="141">
        <v>5764</v>
      </c>
      <c r="L267" s="141">
        <v>7718</v>
      </c>
      <c r="M267" s="141">
        <v>4029</v>
      </c>
      <c r="N267" s="141">
        <v>3545</v>
      </c>
      <c r="O267" s="141">
        <v>2500</v>
      </c>
      <c r="P267" s="178"/>
      <c r="Q267" s="178"/>
      <c r="R267" s="554"/>
      <c r="T267" s="141">
        <f t="shared" si="14"/>
        <v>54684</v>
      </c>
      <c r="U267" s="188" t="s">
        <v>379</v>
      </c>
      <c r="W267" s="140">
        <f>T267*103046.67/1000000</f>
        <v>5635.0041022799996</v>
      </c>
      <c r="X267" s="138" t="s">
        <v>342</v>
      </c>
      <c r="Y267" s="495">
        <f>W265+W266+W267</f>
        <v>27796.531378790001</v>
      </c>
      <c r="Z267" s="138" t="s">
        <v>342</v>
      </c>
    </row>
    <row r="268" spans="1:26" s="157" customFormat="1" x14ac:dyDescent="0.25">
      <c r="A268" s="461"/>
      <c r="B268" s="135" t="s">
        <v>322</v>
      </c>
      <c r="C268" s="599" t="s">
        <v>1393</v>
      </c>
      <c r="D268" s="160"/>
      <c r="E268" s="160"/>
      <c r="F268" s="160"/>
      <c r="G268" s="160"/>
      <c r="H268" s="160"/>
      <c r="I268" s="160"/>
      <c r="J268" s="160"/>
      <c r="K268" s="160"/>
      <c r="L268" s="160"/>
      <c r="M268" s="160"/>
      <c r="N268" s="160"/>
      <c r="O268" s="160"/>
      <c r="P268" s="178"/>
      <c r="Q268" s="178"/>
      <c r="R268" s="554"/>
      <c r="T268" s="141">
        <f t="shared" si="14"/>
        <v>0</v>
      </c>
      <c r="U268" s="188" t="s">
        <v>346</v>
      </c>
      <c r="W268" s="141">
        <f>T268</f>
        <v>0</v>
      </c>
      <c r="X268" s="188" t="s">
        <v>346</v>
      </c>
    </row>
    <row r="269" spans="1:26" s="157" customFormat="1" x14ac:dyDescent="0.25">
      <c r="A269" s="461"/>
      <c r="B269" s="135" t="s">
        <v>324</v>
      </c>
      <c r="C269" s="599"/>
      <c r="D269" s="1059">
        <v>19974.647452499998</v>
      </c>
      <c r="E269" s="1059">
        <v>20288.133449999998</v>
      </c>
      <c r="F269" s="1059">
        <v>19814.186924999998</v>
      </c>
      <c r="G269" s="1059">
        <v>19695.722669999999</v>
      </c>
      <c r="H269" s="1059">
        <v>18608.502802499999</v>
      </c>
      <c r="I269" s="1059">
        <v>17692.700805</v>
      </c>
      <c r="J269" s="1059">
        <v>17928.55701</v>
      </c>
      <c r="K269" s="1059">
        <v>16670.847667499998</v>
      </c>
      <c r="L269" s="1059">
        <v>19454.145164999998</v>
      </c>
      <c r="M269" s="1059">
        <v>18128.350597500001</v>
      </c>
      <c r="N269" s="1059">
        <v>19132.256227499998</v>
      </c>
      <c r="O269" s="1059">
        <v>18948.619169999998</v>
      </c>
      <c r="P269" s="176"/>
      <c r="Q269" s="176"/>
      <c r="R269" s="554"/>
      <c r="T269" s="171">
        <f t="shared" si="14"/>
        <v>226336.66994249995</v>
      </c>
      <c r="U269" s="188"/>
      <c r="W269" s="190">
        <f>T269</f>
        <v>226336.66994249995</v>
      </c>
      <c r="X269" s="188"/>
    </row>
    <row r="270" spans="1:26" s="157" customFormat="1" x14ac:dyDescent="0.25">
      <c r="A270" s="461"/>
      <c r="B270" s="195" t="s">
        <v>398</v>
      </c>
      <c r="C270" s="599"/>
      <c r="D270" s="171">
        <v>9415.4873100000004</v>
      </c>
      <c r="E270" s="171">
        <v>10498.90207</v>
      </c>
      <c r="F270" s="198">
        <v>8497.9035899999999</v>
      </c>
      <c r="G270" s="198">
        <v>5057.3505500000001</v>
      </c>
      <c r="H270" s="198">
        <v>2467.28802</v>
      </c>
      <c r="I270" s="198">
        <v>1509.0734900000002</v>
      </c>
      <c r="J270" s="198">
        <v>1382.8257899999999</v>
      </c>
      <c r="K270" s="198">
        <v>1839.3573199999998</v>
      </c>
      <c r="L270" s="198">
        <v>2477.70759</v>
      </c>
      <c r="M270" s="198">
        <v>4414.2039700000005</v>
      </c>
      <c r="N270" s="198">
        <v>6042.5236500000001</v>
      </c>
      <c r="O270" s="198">
        <v>7767.43109</v>
      </c>
      <c r="P270" s="446"/>
      <c r="Q270" s="446"/>
      <c r="R270" s="554"/>
      <c r="T270" s="171">
        <f t="shared" si="14"/>
        <v>61370.054440000014</v>
      </c>
      <c r="U270" s="188"/>
      <c r="W270" s="190">
        <f>T270</f>
        <v>61370.054440000014</v>
      </c>
      <c r="X270" s="188"/>
    </row>
    <row r="271" spans="1:26" s="125" customFormat="1" ht="16.5" x14ac:dyDescent="0.35">
      <c r="A271" s="461"/>
      <c r="B271" s="144" t="s">
        <v>374</v>
      </c>
      <c r="C271" s="611"/>
      <c r="D271" s="171">
        <v>1433.45</v>
      </c>
      <c r="E271" s="145">
        <v>1915.36</v>
      </c>
      <c r="F271" s="145">
        <v>2079.61</v>
      </c>
      <c r="G271" s="145">
        <v>4922.8999999999996</v>
      </c>
      <c r="H271" s="145">
        <v>4408.4399999999996</v>
      </c>
      <c r="I271" s="145">
        <v>5572.56</v>
      </c>
      <c r="J271" s="145">
        <v>6206.22</v>
      </c>
      <c r="K271" s="145">
        <v>5256.81</v>
      </c>
      <c r="L271" s="145">
        <v>6998.61</v>
      </c>
      <c r="M271" s="145">
        <v>3710.23</v>
      </c>
      <c r="N271" s="145">
        <v>3278.79</v>
      </c>
      <c r="O271" s="145">
        <v>2312.2637517630465</v>
      </c>
      <c r="P271" s="179"/>
      <c r="Q271" s="444"/>
      <c r="R271" s="444"/>
      <c r="T271" s="171">
        <f t="shared" si="14"/>
        <v>48095.243751763046</v>
      </c>
      <c r="U271" s="138"/>
      <c r="V271" s="139"/>
      <c r="W271" s="146">
        <f>T271</f>
        <v>48095.243751763046</v>
      </c>
      <c r="X271" s="138"/>
      <c r="Y271" s="157"/>
      <c r="Z271" s="157"/>
    </row>
    <row r="272" spans="1:26" s="125" customFormat="1" x14ac:dyDescent="0.25">
      <c r="A272" s="461"/>
      <c r="B272" s="205"/>
      <c r="C272" s="152"/>
      <c r="E272" s="201"/>
      <c r="F272" s="206"/>
      <c r="G272" s="202"/>
      <c r="H272" s="203"/>
      <c r="I272" s="203"/>
      <c r="J272" s="203"/>
      <c r="K272" s="203"/>
      <c r="L272" s="203"/>
      <c r="M272" s="203"/>
      <c r="N272" s="203"/>
      <c r="O272" s="203"/>
      <c r="P272" s="203"/>
      <c r="U272" s="126"/>
      <c r="W272" s="190">
        <f>SUM(W269:W270)</f>
        <v>287706.72438249999</v>
      </c>
      <c r="X272" s="450"/>
      <c r="Y272" s="157"/>
      <c r="Z272" s="157"/>
    </row>
    <row r="274" spans="1:26" s="125" customFormat="1" x14ac:dyDescent="0.25">
      <c r="A274" s="461">
        <v>29</v>
      </c>
      <c r="B274" s="148" t="s">
        <v>1604</v>
      </c>
      <c r="C274" s="152"/>
      <c r="E274" s="157"/>
      <c r="F274" s="157"/>
      <c r="G274" s="157"/>
      <c r="H274" s="157"/>
      <c r="I274" s="157"/>
      <c r="J274" s="157"/>
      <c r="K274" s="157"/>
      <c r="L274" s="157"/>
      <c r="M274" s="157"/>
      <c r="N274" s="157"/>
      <c r="O274" s="157"/>
      <c r="P274" s="157"/>
      <c r="S274" s="126"/>
      <c r="T274" s="148" t="str">
        <f>B274</f>
        <v>GC - Lena Sue Beam Renovation</v>
      </c>
      <c r="V274" s="126"/>
      <c r="Y274" s="157"/>
      <c r="Z274" s="157"/>
    </row>
    <row r="275" spans="1:26" s="125" customFormat="1" x14ac:dyDescent="0.25">
      <c r="A275" s="461"/>
      <c r="B275" s="130" t="s">
        <v>337</v>
      </c>
      <c r="C275" s="131">
        <v>42522</v>
      </c>
      <c r="D275" s="131">
        <v>42552</v>
      </c>
      <c r="E275" s="131">
        <v>42583</v>
      </c>
      <c r="F275" s="131">
        <v>42614</v>
      </c>
      <c r="G275" s="131">
        <v>42644</v>
      </c>
      <c r="H275" s="131">
        <v>42675</v>
      </c>
      <c r="I275" s="131">
        <v>42705</v>
      </c>
      <c r="J275" s="131">
        <v>42736</v>
      </c>
      <c r="K275" s="131">
        <v>42767</v>
      </c>
      <c r="L275" s="131">
        <v>42795</v>
      </c>
      <c r="M275" s="131">
        <v>42826</v>
      </c>
      <c r="N275" s="131">
        <v>42856</v>
      </c>
      <c r="O275" s="131">
        <v>42887</v>
      </c>
      <c r="P275" s="131">
        <v>42917</v>
      </c>
      <c r="Q275" s="131">
        <v>42948</v>
      </c>
      <c r="R275" s="131">
        <v>42992</v>
      </c>
      <c r="S275" s="132"/>
      <c r="T275" s="133" t="s">
        <v>338</v>
      </c>
      <c r="U275" s="134" t="s">
        <v>339</v>
      </c>
      <c r="V275" s="132"/>
      <c r="W275" s="133" t="s">
        <v>338</v>
      </c>
      <c r="X275" s="134" t="s">
        <v>339</v>
      </c>
      <c r="Y275" s="157"/>
      <c r="Z275" s="157"/>
    </row>
    <row r="276" spans="1:26" s="157" customFormat="1" x14ac:dyDescent="0.25">
      <c r="A276" s="461"/>
      <c r="B276" s="135" t="s">
        <v>319</v>
      </c>
      <c r="C276" s="599"/>
      <c r="E276" s="160">
        <v>23240</v>
      </c>
      <c r="F276" s="558">
        <v>26680</v>
      </c>
      <c r="G276" s="558">
        <v>28640</v>
      </c>
      <c r="H276" s="558">
        <v>24480</v>
      </c>
      <c r="I276" s="558">
        <v>24600</v>
      </c>
      <c r="J276" s="558">
        <v>23400</v>
      </c>
      <c r="K276" s="558">
        <v>19920</v>
      </c>
      <c r="L276" s="558">
        <v>22720</v>
      </c>
      <c r="M276" s="558">
        <v>21640</v>
      </c>
      <c r="N276" s="558">
        <v>30880</v>
      </c>
      <c r="O276" s="558">
        <v>28080</v>
      </c>
      <c r="P276" s="558">
        <v>23160</v>
      </c>
      <c r="Q276" s="174"/>
      <c r="T276" s="141">
        <f>SUM(E276:P276)</f>
        <v>297440</v>
      </c>
      <c r="U276" s="188" t="s">
        <v>341</v>
      </c>
      <c r="W276" s="140">
        <f>T276*3413/1000000</f>
        <v>1015.16272</v>
      </c>
      <c r="X276" s="138" t="s">
        <v>342</v>
      </c>
    </row>
    <row r="277" spans="1:26" s="157" customFormat="1" x14ac:dyDescent="0.25">
      <c r="A277" s="461"/>
      <c r="B277" s="135" t="s">
        <v>343</v>
      </c>
      <c r="C277" s="599"/>
      <c r="E277" s="153">
        <v>0</v>
      </c>
      <c r="F277" s="137">
        <v>0</v>
      </c>
      <c r="G277" s="137">
        <v>0</v>
      </c>
      <c r="H277" s="137">
        <v>146300</v>
      </c>
      <c r="I277" s="136">
        <v>251550</v>
      </c>
      <c r="J277" s="136">
        <v>130650</v>
      </c>
      <c r="K277" s="136">
        <v>117700</v>
      </c>
      <c r="L277" s="136">
        <v>86750</v>
      </c>
      <c r="M277" s="136">
        <v>30100</v>
      </c>
      <c r="N277" s="136">
        <v>1550</v>
      </c>
      <c r="O277" s="136">
        <v>500</v>
      </c>
      <c r="P277" s="136">
        <v>0</v>
      </c>
      <c r="Q277" s="174"/>
      <c r="T277" s="141">
        <f>SUM(E277:Q277)</f>
        <v>765100</v>
      </c>
      <c r="U277" s="188" t="s">
        <v>344</v>
      </c>
      <c r="W277" s="160">
        <f>T277/1000</f>
        <v>765.1</v>
      </c>
      <c r="X277" s="138" t="s">
        <v>342</v>
      </c>
    </row>
    <row r="278" spans="1:26" s="157" customFormat="1" x14ac:dyDescent="0.25">
      <c r="A278" s="461"/>
      <c r="B278" s="192" t="s">
        <v>1529</v>
      </c>
      <c r="C278" s="599"/>
      <c r="E278" s="160">
        <v>107</v>
      </c>
      <c r="F278" s="160">
        <v>87</v>
      </c>
      <c r="G278" s="160">
        <v>129</v>
      </c>
      <c r="H278" s="160">
        <v>170</v>
      </c>
      <c r="I278" s="160">
        <v>34</v>
      </c>
      <c r="J278" s="160">
        <v>88</v>
      </c>
      <c r="K278" s="160">
        <v>56</v>
      </c>
      <c r="L278" s="160">
        <v>91</v>
      </c>
      <c r="M278" s="160">
        <v>103</v>
      </c>
      <c r="N278" s="160">
        <v>207</v>
      </c>
      <c r="O278" s="160">
        <v>221</v>
      </c>
      <c r="P278" s="160">
        <v>333</v>
      </c>
      <c r="Q278" s="178"/>
      <c r="T278" s="141">
        <f>SUM(D278:Q278)</f>
        <v>1626</v>
      </c>
      <c r="U278" s="188" t="s">
        <v>1530</v>
      </c>
      <c r="W278" s="140">
        <f>T278*99976.124488/100000</f>
        <v>1625.6117841748801</v>
      </c>
      <c r="X278" s="138" t="s">
        <v>342</v>
      </c>
      <c r="Y278" s="495">
        <f>W276+W277+W278</f>
        <v>3405.8745041748803</v>
      </c>
      <c r="Z278" s="138" t="s">
        <v>342</v>
      </c>
    </row>
    <row r="279" spans="1:26" s="157" customFormat="1" x14ac:dyDescent="0.25">
      <c r="A279" s="461"/>
      <c r="B279" s="135" t="s">
        <v>345</v>
      </c>
      <c r="C279" s="599"/>
      <c r="E279" s="160">
        <v>19775</v>
      </c>
      <c r="F279" s="160">
        <v>12756</v>
      </c>
      <c r="G279" s="160">
        <v>11815</v>
      </c>
      <c r="H279" s="160">
        <v>10801</v>
      </c>
      <c r="I279" s="160">
        <v>6589</v>
      </c>
      <c r="J279" s="160">
        <v>8199</v>
      </c>
      <c r="K279" s="160">
        <v>5742</v>
      </c>
      <c r="L279" s="160">
        <v>6154</v>
      </c>
      <c r="M279" s="160">
        <v>9329</v>
      </c>
      <c r="N279" s="160">
        <v>10700</v>
      </c>
      <c r="O279" s="160">
        <v>2737</v>
      </c>
      <c r="P279" s="160">
        <v>1726</v>
      </c>
      <c r="Q279" s="178"/>
      <c r="T279" s="141">
        <f>SUM(E279:P279)</f>
        <v>106323</v>
      </c>
      <c r="U279" s="188" t="s">
        <v>346</v>
      </c>
      <c r="W279" s="141">
        <f>T279</f>
        <v>106323</v>
      </c>
      <c r="X279" s="188" t="s">
        <v>346</v>
      </c>
    </row>
    <row r="280" spans="1:26" s="157" customFormat="1" x14ac:dyDescent="0.25">
      <c r="A280" s="461"/>
      <c r="B280" s="135" t="s">
        <v>324</v>
      </c>
      <c r="C280" s="599"/>
      <c r="E280" s="171">
        <v>1998.673832584029</v>
      </c>
      <c r="F280" s="142">
        <v>2139.2878614614615</v>
      </c>
      <c r="G280" s="142">
        <v>1932.5044673129505</v>
      </c>
      <c r="H280" s="142">
        <v>1804.0006315789476</v>
      </c>
      <c r="I280" s="142">
        <v>1787.8580230642506</v>
      </c>
      <c r="J280" s="142">
        <v>1590.327542600897</v>
      </c>
      <c r="K280" s="142">
        <v>1531.0811791044773</v>
      </c>
      <c r="L280" s="142">
        <v>1568.6143009192065</v>
      </c>
      <c r="M280" s="142">
        <v>1505.1000313176744</v>
      </c>
      <c r="N280" s="142">
        <v>3952.5862126703191</v>
      </c>
      <c r="O280" s="142">
        <v>2235.7870371155882</v>
      </c>
      <c r="P280" s="142">
        <v>2061.0835367483296</v>
      </c>
      <c r="Q280" s="176"/>
      <c r="T280" s="171">
        <f>SUM(E280:P280)</f>
        <v>24106.904656478131</v>
      </c>
      <c r="U280" s="188"/>
      <c r="W280" s="190">
        <f>T280</f>
        <v>24106.904656478131</v>
      </c>
      <c r="X280" s="188"/>
    </row>
    <row r="281" spans="1:26" s="157" customFormat="1" x14ac:dyDescent="0.25">
      <c r="A281" s="461"/>
      <c r="B281" s="204" t="s">
        <v>326</v>
      </c>
      <c r="C281" s="599"/>
      <c r="E281" s="153">
        <v>0</v>
      </c>
      <c r="F281" s="198">
        <v>0</v>
      </c>
      <c r="G281" s="198">
        <v>0</v>
      </c>
      <c r="H281" s="198">
        <v>1461.07</v>
      </c>
      <c r="I281" s="171">
        <v>2527.86</v>
      </c>
      <c r="J281" s="171">
        <v>1487.07</v>
      </c>
      <c r="K281" s="171">
        <v>1354.42</v>
      </c>
      <c r="L281" s="171">
        <v>1037.45</v>
      </c>
      <c r="M281" s="171">
        <v>428.85</v>
      </c>
      <c r="N281" s="171">
        <v>103.28</v>
      </c>
      <c r="O281" s="171">
        <v>91.3</v>
      </c>
      <c r="P281" s="171">
        <v>0</v>
      </c>
      <c r="Q281" s="184"/>
      <c r="T281" s="171">
        <f>SUM(E281:Q281)</f>
        <v>8491.2999999999993</v>
      </c>
      <c r="U281" s="188"/>
      <c r="W281" s="190">
        <f>T281</f>
        <v>8491.2999999999993</v>
      </c>
      <c r="X281" s="188"/>
    </row>
    <row r="282" spans="1:26" s="157" customFormat="1" ht="16.5" x14ac:dyDescent="0.35">
      <c r="A282" s="461"/>
      <c r="B282" s="195" t="s">
        <v>398</v>
      </c>
      <c r="C282" s="599"/>
      <c r="E282" s="171">
        <v>859.20999999999992</v>
      </c>
      <c r="F282" s="198">
        <v>698.6099999999999</v>
      </c>
      <c r="G282" s="198">
        <v>1035.8699999999999</v>
      </c>
      <c r="H282" s="198">
        <v>1365.1</v>
      </c>
      <c r="I282" s="198">
        <v>273.02</v>
      </c>
      <c r="J282" s="198">
        <v>706.64</v>
      </c>
      <c r="K282" s="198">
        <v>449.67999999999995</v>
      </c>
      <c r="L282" s="198">
        <v>730.7299999999999</v>
      </c>
      <c r="M282" s="198">
        <v>827.08999999999992</v>
      </c>
      <c r="N282" s="198">
        <v>1662.2099999999998</v>
      </c>
      <c r="O282" s="198">
        <v>1774.6299999999999</v>
      </c>
      <c r="P282" s="198">
        <v>2673.99</v>
      </c>
      <c r="Q282" s="446"/>
      <c r="T282" s="171">
        <f>SUM(D282:Q282)</f>
        <v>13056.779999999999</v>
      </c>
      <c r="U282" s="188"/>
      <c r="W282" s="197">
        <f>T282</f>
        <v>13056.779999999999</v>
      </c>
      <c r="X282" s="188"/>
    </row>
    <row r="283" spans="1:26" s="125" customFormat="1" x14ac:dyDescent="0.25">
      <c r="A283" s="461"/>
      <c r="B283" s="205"/>
      <c r="C283" s="152"/>
      <c r="E283" s="201"/>
      <c r="F283" s="206"/>
      <c r="G283" s="202"/>
      <c r="H283" s="203"/>
      <c r="I283" s="203"/>
      <c r="J283" s="203"/>
      <c r="K283" s="203"/>
      <c r="L283" s="203"/>
      <c r="M283" s="203"/>
      <c r="N283" s="203"/>
      <c r="O283" s="203"/>
      <c r="P283" s="203"/>
      <c r="U283" s="126"/>
      <c r="W283" s="190">
        <f>SUM(W280:W282)</f>
        <v>45654.984656478133</v>
      </c>
      <c r="X283" s="450"/>
      <c r="Y283" s="157"/>
      <c r="Z283" s="157"/>
    </row>
    <row r="285" spans="1:26" s="125" customFormat="1" x14ac:dyDescent="0.25">
      <c r="A285" s="461">
        <v>30</v>
      </c>
      <c r="B285" s="148" t="s">
        <v>574</v>
      </c>
      <c r="C285" s="152"/>
      <c r="R285" s="139"/>
      <c r="S285" s="147"/>
      <c r="T285" s="148" t="s">
        <v>574</v>
      </c>
      <c r="U285" s="149"/>
      <c r="V285" s="150"/>
      <c r="Y285" s="157"/>
      <c r="Z285" s="157"/>
    </row>
    <row r="286" spans="1:26" s="125" customFormat="1" x14ac:dyDescent="0.25">
      <c r="A286" s="461"/>
      <c r="B286" s="130" t="s">
        <v>337</v>
      </c>
      <c r="C286" s="131">
        <v>42522</v>
      </c>
      <c r="D286" s="131">
        <v>42552</v>
      </c>
      <c r="E286" s="131">
        <v>42583</v>
      </c>
      <c r="F286" s="131">
        <v>42614</v>
      </c>
      <c r="G286" s="131">
        <v>42644</v>
      </c>
      <c r="H286" s="131">
        <v>42675</v>
      </c>
      <c r="I286" s="131">
        <v>42705</v>
      </c>
      <c r="J286" s="131">
        <v>42736</v>
      </c>
      <c r="K286" s="131">
        <v>42767</v>
      </c>
      <c r="L286" s="131">
        <v>42795</v>
      </c>
      <c r="M286" s="131">
        <v>42826</v>
      </c>
      <c r="N286" s="131">
        <v>42856</v>
      </c>
      <c r="O286" s="131">
        <v>42887</v>
      </c>
      <c r="P286" s="131">
        <v>42917</v>
      </c>
      <c r="Q286" s="131">
        <v>42948</v>
      </c>
      <c r="R286" s="131">
        <v>42992</v>
      </c>
      <c r="S286" s="132"/>
      <c r="T286" s="133" t="s">
        <v>338</v>
      </c>
      <c r="U286" s="134" t="s">
        <v>339</v>
      </c>
      <c r="V286" s="132"/>
      <c r="W286" s="133" t="s">
        <v>338</v>
      </c>
      <c r="X286" s="134" t="s">
        <v>339</v>
      </c>
      <c r="Y286" s="157"/>
      <c r="Z286" s="157"/>
    </row>
    <row r="287" spans="1:26" s="125" customFormat="1" x14ac:dyDescent="0.25">
      <c r="A287" s="461"/>
      <c r="B287" s="153" t="s">
        <v>1016</v>
      </c>
      <c r="C287" s="152"/>
      <c r="E287" s="140">
        <v>389879.8828125</v>
      </c>
      <c r="F287" s="1163">
        <v>371120.1171875</v>
      </c>
      <c r="G287" s="1163">
        <v>376119.140625</v>
      </c>
      <c r="H287" s="1163">
        <v>355480.46875</v>
      </c>
      <c r="I287" s="1163">
        <v>348480.46875</v>
      </c>
      <c r="J287" s="1163">
        <v>351609.375</v>
      </c>
      <c r="K287" s="1163">
        <v>321339.84375</v>
      </c>
      <c r="L287" s="1164">
        <v>359160.15625</v>
      </c>
      <c r="M287" s="1165">
        <v>351919.921875</v>
      </c>
      <c r="N287" s="1165">
        <v>363299.8046875</v>
      </c>
      <c r="O287" s="1165">
        <v>345959.9609375</v>
      </c>
      <c r="P287" s="1165">
        <v>358800.78125</v>
      </c>
      <c r="Q287" s="456"/>
      <c r="T287" s="159">
        <f t="shared" ref="T287:T293" si="15">SUM(E287:P287)</f>
        <v>4293169.921875</v>
      </c>
      <c r="U287" s="138" t="s">
        <v>361</v>
      </c>
      <c r="V287" s="139"/>
      <c r="W287" s="140">
        <f>T287*3413/1000000</f>
        <v>14652.588943359375</v>
      </c>
      <c r="X287" s="138" t="s">
        <v>342</v>
      </c>
      <c r="Y287" s="157"/>
      <c r="Z287" s="157"/>
    </row>
    <row r="288" spans="1:26" s="125" customFormat="1" x14ac:dyDescent="0.25">
      <c r="A288" s="461"/>
      <c r="B288" s="153" t="s">
        <v>362</v>
      </c>
      <c r="C288" s="152"/>
      <c r="E288" s="140">
        <v>1498.92</v>
      </c>
      <c r="F288" s="1166">
        <v>1163.152</v>
      </c>
      <c r="G288" s="1166">
        <v>647.62400000000002</v>
      </c>
      <c r="H288" s="1166">
        <v>311.99200000000002</v>
      </c>
      <c r="I288" s="1166">
        <v>148.49600000000001</v>
      </c>
      <c r="J288" s="1166">
        <v>192.608</v>
      </c>
      <c r="K288" s="1166">
        <v>278.59199999999998</v>
      </c>
      <c r="L288" s="1164">
        <v>313.10399999999998</v>
      </c>
      <c r="M288" s="1167">
        <v>650.4</v>
      </c>
      <c r="N288" s="1167">
        <v>814.8</v>
      </c>
      <c r="O288" s="1167">
        <v>1041.6959999999999</v>
      </c>
      <c r="P288" s="1167">
        <v>1385.104</v>
      </c>
      <c r="Q288" s="456"/>
      <c r="T288" s="159">
        <f t="shared" si="15"/>
        <v>8446.4879999999994</v>
      </c>
      <c r="U288" s="138" t="s">
        <v>363</v>
      </c>
      <c r="V288" s="139"/>
      <c r="W288" s="160">
        <f>T288*10*100000/1000000</f>
        <v>8446.4879999999994</v>
      </c>
      <c r="X288" s="138" t="s">
        <v>342</v>
      </c>
      <c r="Y288" s="157"/>
      <c r="Z288" s="157"/>
    </row>
    <row r="289" spans="1:26" s="125" customFormat="1" x14ac:dyDescent="0.25">
      <c r="A289" s="461"/>
      <c r="B289" s="153" t="s">
        <v>364</v>
      </c>
      <c r="C289" s="152"/>
      <c r="E289" s="140">
        <v>273.38018750000003</v>
      </c>
      <c r="F289" s="1163">
        <v>277.063609375</v>
      </c>
      <c r="G289" s="1163">
        <v>316.54000000000002</v>
      </c>
      <c r="H289" s="1163">
        <v>465.30859375000006</v>
      </c>
      <c r="I289" s="1163">
        <v>697.39020312500008</v>
      </c>
      <c r="J289" s="1163">
        <v>723.38240625000003</v>
      </c>
      <c r="K289" s="1163">
        <v>436.32279687500005</v>
      </c>
      <c r="L289" s="1164">
        <v>168.80745000000002</v>
      </c>
      <c r="M289" s="2199">
        <v>325.20320000000004</v>
      </c>
      <c r="N289" s="2199">
        <v>302.7122</v>
      </c>
      <c r="O289" s="1167">
        <v>274.89000000000004</v>
      </c>
      <c r="P289" s="2199">
        <v>279.63810000000001</v>
      </c>
      <c r="Q289" s="456"/>
      <c r="T289" s="159">
        <f t="shared" si="15"/>
        <v>4540.6387468750008</v>
      </c>
      <c r="U289" s="162" t="s">
        <v>365</v>
      </c>
      <c r="V289" s="163"/>
      <c r="W289" s="164">
        <f>T289</f>
        <v>4540.6387468750008</v>
      </c>
      <c r="X289" s="138" t="s">
        <v>342</v>
      </c>
      <c r="Y289" s="495">
        <f>W287+W288+W289</f>
        <v>27639.715690234374</v>
      </c>
      <c r="Z289" s="138" t="s">
        <v>342</v>
      </c>
    </row>
    <row r="290" spans="1:26" s="166" customFormat="1" x14ac:dyDescent="0.25">
      <c r="A290" s="459"/>
      <c r="B290" s="165" t="s">
        <v>864</v>
      </c>
      <c r="C290" s="610"/>
      <c r="E290" s="167">
        <v>41</v>
      </c>
      <c r="F290" s="1165">
        <v>137</v>
      </c>
      <c r="G290" s="1165">
        <v>171</v>
      </c>
      <c r="H290" s="1165">
        <v>150</v>
      </c>
      <c r="I290" s="1165">
        <v>123</v>
      </c>
      <c r="J290" s="1165">
        <v>61</v>
      </c>
      <c r="K290" s="1165">
        <v>42</v>
      </c>
      <c r="L290" s="1165">
        <v>39</v>
      </c>
      <c r="M290" s="1165">
        <v>38</v>
      </c>
      <c r="N290" s="1165">
        <v>30</v>
      </c>
      <c r="O290" s="1165">
        <v>29</v>
      </c>
      <c r="P290" s="1165">
        <v>39</v>
      </c>
      <c r="Q290" s="1161"/>
      <c r="T290" s="159">
        <f t="shared" si="15"/>
        <v>900</v>
      </c>
      <c r="U290" s="162" t="s">
        <v>379</v>
      </c>
      <c r="V290" s="163"/>
      <c r="W290" s="164">
        <f>T290*748</f>
        <v>673200</v>
      </c>
      <c r="X290" s="162" t="s">
        <v>346</v>
      </c>
    </row>
    <row r="291" spans="1:26" s="125" customFormat="1" x14ac:dyDescent="0.25">
      <c r="A291" s="461"/>
      <c r="B291" s="153" t="s">
        <v>324</v>
      </c>
      <c r="C291" s="152"/>
      <c r="E291" s="171">
        <v>33919.5498046875</v>
      </c>
      <c r="F291" s="731">
        <v>32287.450195312496</v>
      </c>
      <c r="G291" s="731">
        <v>32722.365234374996</v>
      </c>
      <c r="H291" s="731">
        <v>30926.800781249996</v>
      </c>
      <c r="I291" s="731">
        <v>30317.800781249996</v>
      </c>
      <c r="J291" s="731">
        <v>30590.015624999996</v>
      </c>
      <c r="K291" s="731">
        <v>27956.566406249996</v>
      </c>
      <c r="L291" s="731">
        <v>31246.933593749996</v>
      </c>
      <c r="M291" s="731">
        <v>30617.033203124996</v>
      </c>
      <c r="N291" s="731">
        <v>31607.083007812496</v>
      </c>
      <c r="O291" s="731">
        <v>30098.516601562496</v>
      </c>
      <c r="P291" s="731">
        <v>29780.46484375</v>
      </c>
      <c r="Q291" s="184"/>
      <c r="T291" s="156">
        <f t="shared" si="15"/>
        <v>372070.580078125</v>
      </c>
      <c r="U291" s="138"/>
      <c r="V291" s="139"/>
      <c r="W291" s="143">
        <f>T291</f>
        <v>372070.580078125</v>
      </c>
      <c r="X291" s="138"/>
      <c r="Y291" s="157"/>
      <c r="Z291" s="157"/>
    </row>
    <row r="292" spans="1:26" s="125" customFormat="1" x14ac:dyDescent="0.25">
      <c r="A292" s="461"/>
      <c r="B292" s="153" t="s">
        <v>369</v>
      </c>
      <c r="C292" s="152"/>
      <c r="E292" s="171">
        <v>19411.013999999999</v>
      </c>
      <c r="F292" s="731">
        <v>15062.8184</v>
      </c>
      <c r="G292" s="731">
        <v>8386.7307999999994</v>
      </c>
      <c r="H292" s="731">
        <v>4040.2964000000002</v>
      </c>
      <c r="I292" s="731">
        <v>1923.0232000000001</v>
      </c>
      <c r="J292" s="731">
        <v>2494.2736</v>
      </c>
      <c r="K292" s="731">
        <v>3607.7663999999995</v>
      </c>
      <c r="L292" s="731">
        <v>4054.6967999999997</v>
      </c>
      <c r="M292" s="731">
        <v>8422.6799999999985</v>
      </c>
      <c r="N292" s="731">
        <v>10551.659999999998</v>
      </c>
      <c r="O292" s="731">
        <v>13489.963199999998</v>
      </c>
      <c r="P292" s="731">
        <v>17673.927039999999</v>
      </c>
      <c r="Q292" s="184"/>
      <c r="T292" s="159">
        <f t="shared" si="15"/>
        <v>109118.84984</v>
      </c>
      <c r="U292" s="138"/>
      <c r="V292" s="139"/>
      <c r="W292" s="143">
        <f>T292</f>
        <v>109118.84984</v>
      </c>
      <c r="X292" s="138"/>
      <c r="Y292" s="157"/>
      <c r="Z292" s="157"/>
    </row>
    <row r="293" spans="1:26" s="125" customFormat="1" ht="16.5" x14ac:dyDescent="0.35">
      <c r="A293" s="461"/>
      <c r="B293" s="153" t="s">
        <v>326</v>
      </c>
      <c r="C293" s="152"/>
      <c r="E293" s="171">
        <v>3286.0298537500003</v>
      </c>
      <c r="F293" s="731">
        <v>3330.3045846874998</v>
      </c>
      <c r="G293" s="731">
        <v>3804.8108000000002</v>
      </c>
      <c r="H293" s="731">
        <v>5593.0092968750005</v>
      </c>
      <c r="I293" s="731">
        <v>8382.6302415625014</v>
      </c>
      <c r="J293" s="731">
        <v>8695.0565231250002</v>
      </c>
      <c r="K293" s="731">
        <v>5244.6000184375007</v>
      </c>
      <c r="L293" s="731">
        <v>2029.0655490000001</v>
      </c>
      <c r="M293" s="731">
        <v>3908.9424640000002</v>
      </c>
      <c r="N293" s="731">
        <v>3638.6006439999996</v>
      </c>
      <c r="O293" s="731">
        <v>3304.1778000000004</v>
      </c>
      <c r="P293" s="731">
        <v>3861.8021610000001</v>
      </c>
      <c r="Q293" s="184"/>
      <c r="T293" s="159">
        <f t="shared" si="15"/>
        <v>55079.029936437495</v>
      </c>
      <c r="U293" s="138"/>
      <c r="V293" s="139"/>
      <c r="W293" s="146">
        <f>T293</f>
        <v>55079.029936437495</v>
      </c>
      <c r="X293" s="138"/>
      <c r="Y293" s="157"/>
      <c r="Z293" s="157"/>
    </row>
    <row r="294" spans="1:26" s="125" customFormat="1" x14ac:dyDescent="0.25">
      <c r="A294" s="461"/>
      <c r="C294" s="152"/>
      <c r="F294" s="1162"/>
      <c r="G294" s="1162"/>
      <c r="H294" s="1162"/>
      <c r="I294" s="1162"/>
      <c r="J294" s="1162"/>
      <c r="K294" s="1162"/>
      <c r="L294" s="1162"/>
      <c r="M294" s="1162"/>
      <c r="N294" s="1162"/>
      <c r="O294" s="1162"/>
      <c r="P294" s="1162"/>
      <c r="Q294" s="444"/>
      <c r="T294" s="139"/>
      <c r="U294" s="147"/>
      <c r="V294" s="139"/>
      <c r="W294" s="143">
        <f>SUM(W291:W293)</f>
        <v>536268.45985456253</v>
      </c>
      <c r="X294" s="150"/>
      <c r="Y294" s="157"/>
      <c r="Z294" s="157"/>
    </row>
    <row r="296" spans="1:26" s="125" customFormat="1" ht="16.5" x14ac:dyDescent="0.35">
      <c r="A296" s="461">
        <v>31</v>
      </c>
      <c r="B296" s="1412" t="s">
        <v>1602</v>
      </c>
      <c r="C296" s="611"/>
      <c r="D296" s="179"/>
      <c r="E296" s="179"/>
      <c r="F296" s="179"/>
      <c r="G296" s="179"/>
      <c r="H296" s="179"/>
      <c r="I296" s="179"/>
      <c r="J296" s="179"/>
      <c r="K296" s="179"/>
      <c r="L296" s="179"/>
      <c r="M296" s="179"/>
      <c r="N296" s="179"/>
      <c r="O296" s="179"/>
      <c r="R296" s="149"/>
      <c r="S296" s="150"/>
      <c r="T296" s="1412" t="s">
        <v>1602</v>
      </c>
      <c r="U296" s="181"/>
      <c r="V296" s="150"/>
      <c r="Y296" s="157"/>
      <c r="Z296" s="157"/>
    </row>
    <row r="297" spans="1:26" s="125" customFormat="1" x14ac:dyDescent="0.25">
      <c r="A297" s="461"/>
      <c r="B297" s="130" t="s">
        <v>337</v>
      </c>
      <c r="C297" s="1152">
        <v>42522</v>
      </c>
      <c r="D297" s="131">
        <v>42552</v>
      </c>
      <c r="E297" s="131">
        <v>42583</v>
      </c>
      <c r="F297" s="131">
        <v>42614</v>
      </c>
      <c r="G297" s="131">
        <v>42644</v>
      </c>
      <c r="H297" s="131">
        <v>42675</v>
      </c>
      <c r="I297" s="131">
        <v>42705</v>
      </c>
      <c r="J297" s="131">
        <v>42736</v>
      </c>
      <c r="K297" s="131">
        <v>42767</v>
      </c>
      <c r="L297" s="131">
        <v>42795</v>
      </c>
      <c r="M297" s="151">
        <v>42826</v>
      </c>
      <c r="N297" s="131">
        <v>42856</v>
      </c>
      <c r="O297" s="131">
        <v>42887</v>
      </c>
      <c r="P297" s="131">
        <v>42917</v>
      </c>
      <c r="Q297" s="131">
        <v>42948</v>
      </c>
      <c r="R297" s="131">
        <v>42992</v>
      </c>
      <c r="S297" s="132"/>
      <c r="T297" s="133" t="s">
        <v>338</v>
      </c>
      <c r="U297" s="134" t="s">
        <v>339</v>
      </c>
      <c r="V297" s="132"/>
      <c r="W297" s="133" t="s">
        <v>338</v>
      </c>
      <c r="X297" s="134" t="s">
        <v>339</v>
      </c>
      <c r="Y297" s="157"/>
      <c r="Z297" s="157"/>
    </row>
    <row r="298" spans="1:26" s="125" customFormat="1" x14ac:dyDescent="0.25">
      <c r="A298" s="461"/>
      <c r="B298" s="135" t="s">
        <v>340</v>
      </c>
      <c r="C298" s="1433">
        <v>186400</v>
      </c>
      <c r="D298" s="1433">
        <v>228400</v>
      </c>
      <c r="E298" s="1433">
        <v>267200</v>
      </c>
      <c r="F298" s="1433">
        <v>259600</v>
      </c>
      <c r="G298" s="1433">
        <v>238600</v>
      </c>
      <c r="H298" s="1433">
        <v>185782</v>
      </c>
      <c r="I298" s="1433">
        <v>192800</v>
      </c>
      <c r="J298" s="1433">
        <v>164800</v>
      </c>
      <c r="K298" s="1433">
        <v>154000</v>
      </c>
      <c r="L298" s="1433">
        <v>187200</v>
      </c>
      <c r="M298" s="2180">
        <v>197200</v>
      </c>
      <c r="N298" s="1433">
        <v>205800</v>
      </c>
      <c r="O298" s="2184"/>
      <c r="P298" s="456"/>
      <c r="T298" s="137">
        <f>SUM(C298:Q298)</f>
        <v>2467782</v>
      </c>
      <c r="U298" s="138" t="s">
        <v>341</v>
      </c>
      <c r="V298" s="139"/>
      <c r="W298" s="140">
        <f>T298*3413/1000000</f>
        <v>8422.5399660000003</v>
      </c>
      <c r="X298" s="138" t="s">
        <v>342</v>
      </c>
      <c r="Y298" s="157"/>
      <c r="Z298" s="157"/>
    </row>
    <row r="299" spans="1:26" s="125" customFormat="1" x14ac:dyDescent="0.25">
      <c r="A299" s="461"/>
      <c r="B299" s="135" t="s">
        <v>372</v>
      </c>
      <c r="C299" s="1433">
        <v>1881</v>
      </c>
      <c r="D299" s="1433">
        <v>1541</v>
      </c>
      <c r="E299" s="1433">
        <v>1580</v>
      </c>
      <c r="F299" s="1433">
        <v>1726</v>
      </c>
      <c r="G299" s="1433">
        <v>1589</v>
      </c>
      <c r="H299" s="1433">
        <v>1727</v>
      </c>
      <c r="I299" s="1433">
        <v>1956</v>
      </c>
      <c r="J299" s="1433">
        <v>1816</v>
      </c>
      <c r="K299" s="1433">
        <v>1896</v>
      </c>
      <c r="L299" s="1433">
        <v>1771</v>
      </c>
      <c r="M299" s="2180">
        <v>1800</v>
      </c>
      <c r="N299" s="1433">
        <v>1664</v>
      </c>
      <c r="O299" s="2184"/>
      <c r="P299" s="456"/>
      <c r="T299" s="137">
        <f>SUM(C299:Q299)</f>
        <v>20947</v>
      </c>
      <c r="U299" s="138" t="s">
        <v>354</v>
      </c>
      <c r="V299" s="139"/>
      <c r="W299" s="140">
        <f>T299*99976.124488/1000000</f>
        <v>2094.1998796501362</v>
      </c>
      <c r="X299" s="138" t="s">
        <v>342</v>
      </c>
      <c r="Y299" s="495">
        <f>W298+W299</f>
        <v>10516.739845650136</v>
      </c>
      <c r="Z299" s="153" t="s">
        <v>649</v>
      </c>
    </row>
    <row r="300" spans="1:26" s="125" customFormat="1" x14ac:dyDescent="0.25">
      <c r="A300" s="461"/>
      <c r="B300" s="135" t="s">
        <v>322</v>
      </c>
      <c r="C300" s="1434">
        <v>318000</v>
      </c>
      <c r="D300" s="1434">
        <v>313300</v>
      </c>
      <c r="E300" s="1434">
        <v>287700</v>
      </c>
      <c r="F300" s="1434">
        <v>256200</v>
      </c>
      <c r="G300" s="1434">
        <v>271400</v>
      </c>
      <c r="H300" s="1434">
        <v>237900</v>
      </c>
      <c r="I300" s="1434">
        <v>264900</v>
      </c>
      <c r="J300" s="1434">
        <v>287500</v>
      </c>
      <c r="K300" s="1434">
        <v>243600</v>
      </c>
      <c r="L300" s="1434">
        <v>257300</v>
      </c>
      <c r="M300" s="2181">
        <v>253100</v>
      </c>
      <c r="N300" s="1434">
        <v>298800</v>
      </c>
      <c r="O300" s="444"/>
      <c r="P300" s="456"/>
      <c r="T300" s="137">
        <f>SUM(C300:Q300)</f>
        <v>3289700</v>
      </c>
      <c r="U300" s="138" t="s">
        <v>346</v>
      </c>
      <c r="V300" s="139"/>
      <c r="W300" s="137">
        <f>T300</f>
        <v>3289700</v>
      </c>
      <c r="X300" s="138" t="s">
        <v>346</v>
      </c>
      <c r="Y300" s="157"/>
      <c r="Z300" s="157"/>
    </row>
    <row r="301" spans="1:26" s="125" customFormat="1" x14ac:dyDescent="0.25">
      <c r="A301" s="461"/>
      <c r="B301" s="135" t="s">
        <v>324</v>
      </c>
      <c r="C301" s="1264">
        <v>16067.44</v>
      </c>
      <c r="D301" s="1435">
        <v>19309.93</v>
      </c>
      <c r="E301" s="1435">
        <v>22503.72</v>
      </c>
      <c r="F301" s="1435">
        <v>21965.9</v>
      </c>
      <c r="G301" s="1435">
        <v>20274.3</v>
      </c>
      <c r="H301" s="1435">
        <v>15431.87</v>
      </c>
      <c r="I301" s="1435">
        <v>15300.75</v>
      </c>
      <c r="J301" s="1435">
        <v>13473.58</v>
      </c>
      <c r="K301" s="1435">
        <v>12739.07</v>
      </c>
      <c r="L301" s="1435">
        <v>15124.01</v>
      </c>
      <c r="M301" s="2182">
        <v>16073.57</v>
      </c>
      <c r="N301" s="1435">
        <v>16367.9</v>
      </c>
      <c r="O301" s="2185"/>
      <c r="P301" s="176"/>
      <c r="T301" s="143">
        <f>SUM(C301:Q301)</f>
        <v>204632.04</v>
      </c>
      <c r="U301" s="138"/>
      <c r="V301" s="139"/>
      <c r="W301" s="143">
        <f>T301</f>
        <v>204632.04</v>
      </c>
      <c r="X301" s="138"/>
      <c r="Y301" s="157"/>
      <c r="Z301" s="157"/>
    </row>
    <row r="302" spans="1:26" s="125" customFormat="1" ht="16.5" x14ac:dyDescent="0.35">
      <c r="A302" s="461"/>
      <c r="B302" s="144" t="s">
        <v>374</v>
      </c>
      <c r="C302" s="1181">
        <v>1402.88</v>
      </c>
      <c r="D302" s="1436">
        <v>1155.31</v>
      </c>
      <c r="E302" s="1436">
        <v>1183.96</v>
      </c>
      <c r="F302" s="1436">
        <v>1291.18</v>
      </c>
      <c r="G302" s="1436">
        <v>1190.55</v>
      </c>
      <c r="H302" s="1436">
        <v>1158.24</v>
      </c>
      <c r="I302" s="1436">
        <v>1741.61</v>
      </c>
      <c r="J302" s="1436">
        <v>1650.18</v>
      </c>
      <c r="K302" s="1436">
        <v>1720.6</v>
      </c>
      <c r="L302" s="1436">
        <v>1608.72</v>
      </c>
      <c r="M302" s="2183">
        <v>1573.33</v>
      </c>
      <c r="N302" s="1436">
        <v>1464.82</v>
      </c>
      <c r="O302" s="2186"/>
      <c r="P302" s="179"/>
      <c r="T302" s="143">
        <f>SUM(C302:Q302)</f>
        <v>17141.38</v>
      </c>
      <c r="U302" s="138"/>
      <c r="V302" s="139"/>
      <c r="W302" s="146">
        <f>T302</f>
        <v>17141.38</v>
      </c>
      <c r="X302" s="138"/>
      <c r="Y302" s="157"/>
      <c r="Z302" s="157"/>
    </row>
    <row r="303" spans="1:26" s="125" customFormat="1" x14ac:dyDescent="0.25">
      <c r="A303" s="461"/>
      <c r="B303" s="180"/>
      <c r="C303" s="611"/>
      <c r="D303" s="179"/>
      <c r="E303" s="179"/>
      <c r="F303" s="179"/>
      <c r="G303" s="179"/>
      <c r="H303" s="179"/>
      <c r="I303" s="179"/>
      <c r="J303" s="179"/>
      <c r="K303" s="179"/>
      <c r="L303" s="179"/>
      <c r="M303" s="179"/>
      <c r="N303" s="179"/>
      <c r="O303" s="179"/>
      <c r="T303" s="149"/>
      <c r="U303" s="150"/>
      <c r="V303" s="139"/>
      <c r="W303" s="143">
        <f>SUM(W301:W302)</f>
        <v>221773.42</v>
      </c>
      <c r="X303" s="138"/>
      <c r="Y303" s="157"/>
      <c r="Z303" s="157"/>
    </row>
    <row r="304" spans="1:26" s="125" customFormat="1" x14ac:dyDescent="0.25">
      <c r="A304" s="461"/>
      <c r="B304" s="180"/>
      <c r="C304" s="611"/>
      <c r="D304" s="179"/>
      <c r="E304" s="179"/>
      <c r="F304" s="179"/>
      <c r="G304" s="179"/>
      <c r="H304" s="179"/>
      <c r="I304" s="179"/>
      <c r="J304" s="179"/>
      <c r="K304" s="179"/>
      <c r="L304" s="179"/>
      <c r="M304" s="179"/>
      <c r="N304" s="179"/>
      <c r="O304" s="179"/>
      <c r="T304" s="149"/>
      <c r="U304" s="150"/>
      <c r="V304" s="139"/>
      <c r="W304" s="149"/>
      <c r="X304" s="150"/>
      <c r="Y304" s="157"/>
      <c r="Z304" s="157"/>
    </row>
    <row r="305" spans="1:26" s="125" customFormat="1" ht="16.5" x14ac:dyDescent="0.35">
      <c r="A305" s="461">
        <v>32</v>
      </c>
      <c r="B305" s="127" t="s">
        <v>611</v>
      </c>
      <c r="C305" s="611"/>
      <c r="D305" s="179"/>
      <c r="E305" s="179"/>
      <c r="F305" s="179"/>
      <c r="G305" s="179"/>
      <c r="H305" s="179"/>
      <c r="I305" s="179"/>
      <c r="J305" s="179"/>
      <c r="K305" s="179"/>
      <c r="L305" s="179"/>
      <c r="M305" s="179"/>
      <c r="N305" s="179"/>
      <c r="O305" s="179"/>
      <c r="R305" s="149"/>
      <c r="S305" s="150"/>
      <c r="T305" s="127" t="s">
        <v>611</v>
      </c>
      <c r="U305" s="181"/>
      <c r="V305" s="150"/>
      <c r="Y305" s="157"/>
      <c r="Z305" s="157"/>
    </row>
    <row r="306" spans="1:26" s="125" customFormat="1" x14ac:dyDescent="0.25">
      <c r="A306" s="461"/>
      <c r="B306" s="130" t="s">
        <v>337</v>
      </c>
      <c r="C306" s="1152">
        <v>42522</v>
      </c>
      <c r="D306" s="131">
        <v>42552</v>
      </c>
      <c r="E306" s="131">
        <v>42583</v>
      </c>
      <c r="F306" s="131">
        <v>42614</v>
      </c>
      <c r="G306" s="131">
        <v>42644</v>
      </c>
      <c r="H306" s="131">
        <v>42675</v>
      </c>
      <c r="I306" s="131">
        <v>42705</v>
      </c>
      <c r="J306" s="131">
        <v>42736</v>
      </c>
      <c r="K306" s="131">
        <v>42767</v>
      </c>
      <c r="L306" s="131">
        <v>42795</v>
      </c>
      <c r="M306" s="131">
        <v>42826</v>
      </c>
      <c r="N306" s="131">
        <v>42856</v>
      </c>
      <c r="O306" s="131">
        <v>42887</v>
      </c>
      <c r="P306" s="131">
        <v>42917</v>
      </c>
      <c r="Q306" s="131">
        <v>42948</v>
      </c>
      <c r="R306" s="131">
        <v>42992</v>
      </c>
      <c r="S306" s="132"/>
      <c r="T306" s="133" t="s">
        <v>338</v>
      </c>
      <c r="U306" s="134" t="s">
        <v>339</v>
      </c>
      <c r="V306" s="132"/>
      <c r="W306" s="133" t="s">
        <v>338</v>
      </c>
      <c r="X306" s="134" t="s">
        <v>339</v>
      </c>
      <c r="Y306" s="157"/>
      <c r="Z306" s="157"/>
    </row>
    <row r="307" spans="1:26" s="125" customFormat="1" x14ac:dyDescent="0.25">
      <c r="A307" s="461"/>
      <c r="B307" s="135" t="s">
        <v>340</v>
      </c>
      <c r="C307" s="612"/>
      <c r="D307" s="454"/>
      <c r="E307" s="454"/>
      <c r="F307" s="454"/>
      <c r="G307" s="454"/>
      <c r="H307" s="454"/>
      <c r="I307" s="454"/>
      <c r="J307" s="454"/>
      <c r="K307" s="454"/>
      <c r="L307" s="454"/>
      <c r="M307" s="454"/>
      <c r="N307" s="454"/>
      <c r="O307" s="454"/>
      <c r="P307" s="456"/>
      <c r="T307" s="137">
        <f>SUM(D307:Q307)</f>
        <v>0</v>
      </c>
      <c r="U307" s="138" t="s">
        <v>341</v>
      </c>
      <c r="V307" s="139"/>
      <c r="W307" s="140">
        <f>T307*3413/1000000</f>
        <v>0</v>
      </c>
      <c r="X307" s="138" t="s">
        <v>342</v>
      </c>
      <c r="Y307" s="157"/>
      <c r="Z307" s="157"/>
    </row>
    <row r="308" spans="1:26" s="125" customFormat="1" x14ac:dyDescent="0.25">
      <c r="A308" s="461"/>
      <c r="B308" s="135" t="s">
        <v>372</v>
      </c>
      <c r="C308" s="612"/>
      <c r="D308" s="454"/>
      <c r="E308" s="454"/>
      <c r="F308" s="454"/>
      <c r="G308" s="454"/>
      <c r="H308" s="454"/>
      <c r="I308" s="454"/>
      <c r="J308" s="454"/>
      <c r="K308" s="454"/>
      <c r="L308" s="454"/>
      <c r="M308" s="454"/>
      <c r="N308" s="454"/>
      <c r="O308" s="454"/>
      <c r="P308" s="456"/>
      <c r="T308" s="137">
        <f>SUM(D308:Q308)</f>
        <v>0</v>
      </c>
      <c r="U308" s="138" t="s">
        <v>354</v>
      </c>
      <c r="V308" s="139"/>
      <c r="W308" s="140">
        <f>T308*99976.124488/1000000</f>
        <v>0</v>
      </c>
      <c r="X308" s="138" t="s">
        <v>342</v>
      </c>
      <c r="Y308" s="495">
        <f>W307+W308</f>
        <v>0</v>
      </c>
      <c r="Z308" s="153" t="s">
        <v>677</v>
      </c>
    </row>
    <row r="309" spans="1:26" s="125" customFormat="1" x14ac:dyDescent="0.25">
      <c r="A309" s="461"/>
      <c r="B309" s="135" t="s">
        <v>373</v>
      </c>
      <c r="C309" s="201"/>
      <c r="D309" s="454"/>
      <c r="E309" s="454"/>
      <c r="F309" s="454"/>
      <c r="G309" s="454"/>
      <c r="H309" s="454"/>
      <c r="I309" s="454"/>
      <c r="J309" s="454"/>
      <c r="K309" s="454"/>
      <c r="L309" s="454"/>
      <c r="M309" s="454"/>
      <c r="N309" s="454"/>
      <c r="O309" s="454"/>
      <c r="P309" s="456"/>
      <c r="T309" s="137">
        <f>SUM(D309:Q309)</f>
        <v>0</v>
      </c>
      <c r="U309" s="138" t="s">
        <v>367</v>
      </c>
      <c r="V309" s="139"/>
      <c r="W309" s="137">
        <f>T309*7.48</f>
        <v>0</v>
      </c>
      <c r="X309" s="138" t="s">
        <v>346</v>
      </c>
      <c r="Y309" s="157"/>
      <c r="Z309" s="157"/>
    </row>
    <row r="310" spans="1:26" s="125" customFormat="1" x14ac:dyDescent="0.25">
      <c r="A310" s="461"/>
      <c r="B310" s="135" t="s">
        <v>324</v>
      </c>
      <c r="C310" s="613"/>
      <c r="D310" s="455"/>
      <c r="E310" s="455"/>
      <c r="F310" s="455"/>
      <c r="G310" s="455"/>
      <c r="H310" s="455"/>
      <c r="I310" s="455"/>
      <c r="J310" s="455"/>
      <c r="K310" s="455"/>
      <c r="L310" s="455"/>
      <c r="M310" s="455"/>
      <c r="N310" s="455"/>
      <c r="O310" s="455"/>
      <c r="P310" s="176"/>
      <c r="T310" s="143">
        <f>SUM(D310:Q310)</f>
        <v>0</v>
      </c>
      <c r="U310" s="138"/>
      <c r="V310" s="139"/>
      <c r="W310" s="143">
        <f>T310</f>
        <v>0</v>
      </c>
      <c r="X310" s="138"/>
      <c r="Y310" s="157"/>
      <c r="Z310" s="157"/>
    </row>
    <row r="311" spans="1:26" s="125" customFormat="1" ht="16.5" x14ac:dyDescent="0.35">
      <c r="A311" s="461"/>
      <c r="B311" s="144" t="s">
        <v>374</v>
      </c>
      <c r="C311" s="611"/>
      <c r="D311" s="455"/>
      <c r="E311" s="455"/>
      <c r="F311" s="455"/>
      <c r="G311" s="455"/>
      <c r="H311" s="455"/>
      <c r="I311" s="455"/>
      <c r="J311" s="455"/>
      <c r="K311" s="455"/>
      <c r="L311" s="455"/>
      <c r="M311" s="455"/>
      <c r="N311" s="455"/>
      <c r="O311" s="455"/>
      <c r="P311" s="179"/>
      <c r="T311" s="143">
        <f>SUM(D311:Q311)</f>
        <v>0</v>
      </c>
      <c r="U311" s="138"/>
      <c r="V311" s="139"/>
      <c r="W311" s="146">
        <f>T311</f>
        <v>0</v>
      </c>
      <c r="X311" s="138"/>
      <c r="Y311" s="157"/>
      <c r="Z311" s="157"/>
    </row>
    <row r="312" spans="1:26" s="125" customFormat="1" x14ac:dyDescent="0.25">
      <c r="A312" s="461"/>
      <c r="B312" s="180"/>
      <c r="C312" s="611"/>
      <c r="D312" s="179"/>
      <c r="E312" s="179"/>
      <c r="F312" s="179"/>
      <c r="G312" s="179"/>
      <c r="H312" s="179"/>
      <c r="I312" s="179"/>
      <c r="J312" s="179"/>
      <c r="K312" s="179"/>
      <c r="L312" s="179"/>
      <c r="M312" s="179"/>
      <c r="N312" s="179"/>
      <c r="O312" s="179"/>
      <c r="T312" s="149"/>
      <c r="U312" s="150"/>
      <c r="V312" s="139"/>
      <c r="W312" s="143">
        <f>SUM(W310:W311)</f>
        <v>0</v>
      </c>
      <c r="X312" s="138"/>
      <c r="Y312" s="157"/>
      <c r="Z312" s="157"/>
    </row>
    <row r="314" spans="1:26" s="125" customFormat="1" ht="16.5" x14ac:dyDescent="0.35">
      <c r="A314" s="461">
        <v>33</v>
      </c>
      <c r="B314" s="127" t="s">
        <v>1603</v>
      </c>
      <c r="C314" s="611"/>
      <c r="D314" s="179"/>
      <c r="E314" s="179"/>
      <c r="F314" s="179"/>
      <c r="G314" s="179"/>
      <c r="H314" s="179"/>
      <c r="I314" s="179"/>
      <c r="J314" s="179"/>
      <c r="K314" s="179"/>
      <c r="L314" s="179"/>
      <c r="M314" s="179"/>
      <c r="N314" s="179"/>
      <c r="O314" s="179"/>
      <c r="R314" s="149"/>
      <c r="S314" s="150"/>
      <c r="T314" s="127" t="str">
        <f>B314</f>
        <v>RCC - Continuing Education Industrial Center</v>
      </c>
      <c r="U314" s="181"/>
      <c r="V314" s="150"/>
      <c r="Y314" s="157"/>
      <c r="Z314" s="157"/>
    </row>
    <row r="315" spans="1:26" s="125" customFormat="1" x14ac:dyDescent="0.25">
      <c r="A315" s="461"/>
      <c r="B315" s="130" t="s">
        <v>337</v>
      </c>
      <c r="C315" s="1152">
        <v>42522</v>
      </c>
      <c r="D315" s="131">
        <v>42552</v>
      </c>
      <c r="E315" s="131">
        <v>42583</v>
      </c>
      <c r="F315" s="131">
        <v>42614</v>
      </c>
      <c r="G315" s="131">
        <v>42644</v>
      </c>
      <c r="H315" s="131">
        <v>42675</v>
      </c>
      <c r="I315" s="131">
        <v>42705</v>
      </c>
      <c r="J315" s="131">
        <v>42736</v>
      </c>
      <c r="K315" s="131">
        <v>42767</v>
      </c>
      <c r="L315" s="131">
        <v>42795</v>
      </c>
      <c r="M315" s="131">
        <v>42826</v>
      </c>
      <c r="N315" s="131">
        <v>42856</v>
      </c>
      <c r="O315" s="131">
        <v>42887</v>
      </c>
      <c r="P315" s="131">
        <v>42917</v>
      </c>
      <c r="Q315" s="131">
        <v>42948</v>
      </c>
      <c r="R315" s="131">
        <v>42992</v>
      </c>
      <c r="S315" s="132"/>
      <c r="T315" s="133" t="s">
        <v>338</v>
      </c>
      <c r="U315" s="134" t="s">
        <v>339</v>
      </c>
      <c r="V315" s="132"/>
      <c r="W315" s="133" t="s">
        <v>338</v>
      </c>
      <c r="X315" s="134" t="s">
        <v>339</v>
      </c>
      <c r="Y315" s="157"/>
      <c r="Z315" s="157"/>
    </row>
    <row r="316" spans="1:26" s="125" customFormat="1" x14ac:dyDescent="0.25">
      <c r="A316" s="461"/>
      <c r="B316" s="135" t="s">
        <v>340</v>
      </c>
      <c r="C316" s="612"/>
      <c r="D316" s="454">
        <v>86300</v>
      </c>
      <c r="E316" s="454">
        <v>76900</v>
      </c>
      <c r="F316" s="454">
        <v>84500</v>
      </c>
      <c r="G316" s="454">
        <v>70100</v>
      </c>
      <c r="H316" s="454">
        <v>57800</v>
      </c>
      <c r="I316" s="454">
        <v>52900</v>
      </c>
      <c r="J316" s="454">
        <v>53100</v>
      </c>
      <c r="K316" s="454">
        <v>53300</v>
      </c>
      <c r="L316" s="454">
        <v>54700</v>
      </c>
      <c r="M316" s="454">
        <v>70500</v>
      </c>
      <c r="N316" s="454">
        <v>62000</v>
      </c>
      <c r="O316" s="454">
        <v>72100</v>
      </c>
      <c r="P316" s="456"/>
      <c r="T316" s="137">
        <f>SUM(D316:Q316)</f>
        <v>794200</v>
      </c>
      <c r="U316" s="138" t="s">
        <v>341</v>
      </c>
      <c r="V316" s="139"/>
      <c r="W316" s="140">
        <f>T316*3413/1000000</f>
        <v>2710.6046000000001</v>
      </c>
      <c r="X316" s="138" t="s">
        <v>342</v>
      </c>
      <c r="Y316" s="157"/>
      <c r="Z316" s="157"/>
    </row>
    <row r="317" spans="1:26" s="125" customFormat="1" x14ac:dyDescent="0.25">
      <c r="A317" s="461"/>
      <c r="B317" s="135" t="s">
        <v>372</v>
      </c>
      <c r="C317" s="612"/>
      <c r="D317" s="454">
        <v>465</v>
      </c>
      <c r="E317" s="454">
        <v>577</v>
      </c>
      <c r="F317" s="454">
        <v>513</v>
      </c>
      <c r="G317" s="454">
        <v>695</v>
      </c>
      <c r="H317" s="454">
        <v>1109</v>
      </c>
      <c r="I317" s="454">
        <v>1311</v>
      </c>
      <c r="J317" s="454">
        <v>1615</v>
      </c>
      <c r="K317" s="454">
        <v>1156</v>
      </c>
      <c r="L317" s="454">
        <v>1435</v>
      </c>
      <c r="M317" s="454">
        <v>874</v>
      </c>
      <c r="N317" s="454">
        <v>569</v>
      </c>
      <c r="O317" s="454">
        <v>389</v>
      </c>
      <c r="P317" s="456"/>
      <c r="T317" s="137">
        <f>SUM(D317:Q317)</f>
        <v>10708</v>
      </c>
      <c r="U317" s="138" t="s">
        <v>354</v>
      </c>
      <c r="V317" s="139"/>
      <c r="W317" s="140">
        <f>T317*99976.124488/1000000</f>
        <v>1070.5443410175039</v>
      </c>
      <c r="X317" s="138" t="s">
        <v>342</v>
      </c>
      <c r="Y317" s="495">
        <f>W317+W316</f>
        <v>3781.1489410175041</v>
      </c>
      <c r="Z317" s="138" t="s">
        <v>342</v>
      </c>
    </row>
    <row r="318" spans="1:26" s="125" customFormat="1" x14ac:dyDescent="0.25">
      <c r="A318" s="461"/>
      <c r="B318" s="135" t="s">
        <v>373</v>
      </c>
      <c r="C318" s="201"/>
      <c r="D318" s="441">
        <v>184</v>
      </c>
      <c r="E318" s="441">
        <v>27</v>
      </c>
      <c r="F318" s="441">
        <v>3</v>
      </c>
      <c r="G318" s="441">
        <v>146</v>
      </c>
      <c r="H318" s="441">
        <v>10</v>
      </c>
      <c r="I318" s="441">
        <v>0</v>
      </c>
      <c r="J318" s="441">
        <v>0</v>
      </c>
      <c r="K318" s="441">
        <v>150</v>
      </c>
      <c r="L318" s="441">
        <v>215</v>
      </c>
      <c r="M318" s="441">
        <v>209</v>
      </c>
      <c r="N318" s="441">
        <v>142</v>
      </c>
      <c r="O318" s="441">
        <v>152</v>
      </c>
      <c r="P318" s="456"/>
      <c r="T318" s="137">
        <f>SUM(D318:Q318)</f>
        <v>1238</v>
      </c>
      <c r="U318" s="138" t="s">
        <v>367</v>
      </c>
      <c r="V318" s="139"/>
      <c r="W318" s="137">
        <f>T318*7.48</f>
        <v>9260.24</v>
      </c>
      <c r="X318" s="138" t="s">
        <v>346</v>
      </c>
      <c r="Y318" s="157"/>
      <c r="Z318" s="157"/>
    </row>
    <row r="319" spans="1:26" s="125" customFormat="1" x14ac:dyDescent="0.25">
      <c r="A319" s="461"/>
      <c r="B319" s="135" t="s">
        <v>324</v>
      </c>
      <c r="C319" s="613"/>
      <c r="D319" s="455">
        <v>7593.88</v>
      </c>
      <c r="E319" s="455">
        <v>6961.7499999999991</v>
      </c>
      <c r="F319" s="455">
        <v>7542.38</v>
      </c>
      <c r="G319" s="455">
        <v>6271.92</v>
      </c>
      <c r="H319" s="455">
        <v>5303.7599999999993</v>
      </c>
      <c r="I319" s="455">
        <v>4844.5999999999995</v>
      </c>
      <c r="J319" s="455">
        <v>4404.47</v>
      </c>
      <c r="K319" s="455">
        <v>4527.84</v>
      </c>
      <c r="L319" s="455">
        <v>4586.82</v>
      </c>
      <c r="M319" s="455">
        <v>5538.05</v>
      </c>
      <c r="N319" s="455">
        <v>5392.2500000000009</v>
      </c>
      <c r="O319" s="455">
        <v>6258.65</v>
      </c>
      <c r="P319" s="176"/>
      <c r="T319" s="143">
        <f>SUM(D319:Q319)</f>
        <v>69226.37000000001</v>
      </c>
      <c r="U319" s="138"/>
      <c r="V319" s="139"/>
      <c r="W319" s="143">
        <f>T319</f>
        <v>69226.37000000001</v>
      </c>
      <c r="X319" s="138"/>
      <c r="Y319" s="157"/>
      <c r="Z319" s="157"/>
    </row>
    <row r="320" spans="1:26" s="125" customFormat="1" ht="16.5" x14ac:dyDescent="0.35">
      <c r="A320" s="461"/>
      <c r="B320" s="144" t="s">
        <v>374</v>
      </c>
      <c r="C320" s="611"/>
      <c r="D320" s="455">
        <v>365.05</v>
      </c>
      <c r="E320" s="455">
        <v>447.31</v>
      </c>
      <c r="F320" s="455">
        <v>400.31</v>
      </c>
      <c r="G320" s="455">
        <v>561.36</v>
      </c>
      <c r="H320" s="455">
        <v>973.33999999999992</v>
      </c>
      <c r="I320" s="455">
        <v>1198.98</v>
      </c>
      <c r="J320" s="455">
        <v>1469.09</v>
      </c>
      <c r="K320" s="455">
        <v>1058.25</v>
      </c>
      <c r="L320" s="455">
        <v>1247.97</v>
      </c>
      <c r="M320" s="455">
        <v>780.55</v>
      </c>
      <c r="N320" s="455">
        <v>517.38</v>
      </c>
      <c r="O320" s="455">
        <v>364.34</v>
      </c>
      <c r="P320" s="179"/>
      <c r="T320" s="143">
        <f>SUM(D320:Q320)</f>
        <v>9383.9299999999985</v>
      </c>
      <c r="U320" s="138"/>
      <c r="V320" s="139"/>
      <c r="W320" s="146">
        <f>T320</f>
        <v>9383.9299999999985</v>
      </c>
      <c r="X320" s="138"/>
      <c r="Y320" s="157"/>
      <c r="Z320" s="157"/>
    </row>
    <row r="321" spans="1:26" s="125" customFormat="1" x14ac:dyDescent="0.25">
      <c r="A321" s="461"/>
      <c r="B321" s="180"/>
      <c r="C321" s="611"/>
      <c r="D321" s="179"/>
      <c r="E321" s="179"/>
      <c r="F321" s="179"/>
      <c r="G321" s="179"/>
      <c r="H321" s="179"/>
      <c r="I321" s="179"/>
      <c r="J321" s="179"/>
      <c r="K321" s="179"/>
      <c r="L321" s="179"/>
      <c r="M321" s="179"/>
      <c r="N321" s="179"/>
      <c r="O321" s="179"/>
      <c r="T321" s="149"/>
      <c r="U321" s="150"/>
      <c r="V321" s="139"/>
      <c r="W321" s="143">
        <f>SUM(W319:W320)</f>
        <v>78610.3</v>
      </c>
      <c r="X321" s="138"/>
      <c r="Y321" s="157"/>
      <c r="Z321" s="157"/>
    </row>
    <row r="323" spans="1:26" s="128" customFormat="1" x14ac:dyDescent="0.25">
      <c r="A323" s="459">
        <v>34</v>
      </c>
      <c r="B323" s="127" t="s">
        <v>615</v>
      </c>
      <c r="C323" s="602"/>
      <c r="T323" s="127" t="s">
        <v>615</v>
      </c>
      <c r="U323" s="129"/>
      <c r="X323" s="129"/>
      <c r="Y323" s="166"/>
      <c r="Z323" s="166"/>
    </row>
    <row r="324" spans="1:26" s="125" customFormat="1" x14ac:dyDescent="0.25">
      <c r="A324" s="461"/>
      <c r="B324" s="130" t="s">
        <v>337</v>
      </c>
      <c r="C324" s="1152">
        <v>42522</v>
      </c>
      <c r="D324" s="131">
        <v>42552</v>
      </c>
      <c r="E324" s="131">
        <v>42583</v>
      </c>
      <c r="F324" s="131">
        <v>42614</v>
      </c>
      <c r="G324" s="131">
        <v>42644</v>
      </c>
      <c r="H324" s="131">
        <v>42675</v>
      </c>
      <c r="I324" s="131">
        <v>42705</v>
      </c>
      <c r="J324" s="131">
        <v>42736</v>
      </c>
      <c r="K324" s="131">
        <v>42767</v>
      </c>
      <c r="L324" s="131">
        <v>42795</v>
      </c>
      <c r="M324" s="131">
        <v>42826</v>
      </c>
      <c r="N324" s="131">
        <v>42856</v>
      </c>
      <c r="O324" s="131">
        <v>42887</v>
      </c>
      <c r="P324" s="131">
        <v>42917</v>
      </c>
      <c r="Q324" s="131">
        <v>42948</v>
      </c>
      <c r="R324" s="131">
        <v>42992</v>
      </c>
      <c r="S324" s="132"/>
      <c r="T324" s="133" t="s">
        <v>338</v>
      </c>
      <c r="U324" s="134" t="s">
        <v>339</v>
      </c>
      <c r="V324" s="132"/>
      <c r="W324" s="133" t="s">
        <v>338</v>
      </c>
      <c r="X324" s="134" t="s">
        <v>339</v>
      </c>
      <c r="Y324" s="157"/>
      <c r="Z324" s="157"/>
    </row>
    <row r="325" spans="1:26" s="125" customFormat="1" x14ac:dyDescent="0.25">
      <c r="A325" s="461"/>
      <c r="B325" s="135" t="s">
        <v>340</v>
      </c>
      <c r="C325" s="606"/>
      <c r="D325" s="136">
        <v>124302.36</v>
      </c>
      <c r="E325" s="136">
        <v>136673.47995410001</v>
      </c>
      <c r="F325" s="136">
        <v>154241.20000000001</v>
      </c>
      <c r="G325" s="136">
        <v>154193.12</v>
      </c>
      <c r="H325" s="136">
        <v>150620.96</v>
      </c>
      <c r="I325" s="136">
        <v>124908</v>
      </c>
      <c r="J325" s="136">
        <v>100757.2000459</v>
      </c>
      <c r="K325" s="136">
        <v>142079.84</v>
      </c>
      <c r="L325" s="136">
        <v>126422.8</v>
      </c>
      <c r="M325" s="136">
        <v>146194.96</v>
      </c>
      <c r="N325" s="136">
        <v>153701.5600459</v>
      </c>
      <c r="O325" s="136">
        <v>92243</v>
      </c>
      <c r="P325" s="174"/>
      <c r="Q325" s="174"/>
      <c r="R325" s="174"/>
      <c r="T325" s="137">
        <f>SUM(D325:Q325)</f>
        <v>1606338.4800459</v>
      </c>
      <c r="U325" s="138" t="s">
        <v>341</v>
      </c>
      <c r="V325" s="139"/>
      <c r="W325" s="140">
        <f>T325*3413/1000000</f>
        <v>5482.4332323966573</v>
      </c>
      <c r="X325" s="138" t="s">
        <v>342</v>
      </c>
      <c r="Y325" s="157"/>
      <c r="Z325" s="157"/>
    </row>
    <row r="326" spans="1:26" s="125" customFormat="1" x14ac:dyDescent="0.25">
      <c r="A326" s="461"/>
      <c r="B326" s="135" t="s">
        <v>343</v>
      </c>
      <c r="C326" s="606"/>
      <c r="D326" s="136">
        <v>292804.2</v>
      </c>
      <c r="E326" s="136">
        <v>311990.80000000005</v>
      </c>
      <c r="F326" s="136">
        <v>263607.2</v>
      </c>
      <c r="G326" s="136">
        <v>227736.5991658</v>
      </c>
      <c r="H326" s="136">
        <v>376224.2</v>
      </c>
      <c r="I326" s="136">
        <v>459644.2</v>
      </c>
      <c r="J326" s="136">
        <v>623981.60000000009</v>
      </c>
      <c r="K326" s="136">
        <v>372887.4</v>
      </c>
      <c r="L326" s="136">
        <v>511364.60000000003</v>
      </c>
      <c r="M326" s="136">
        <v>386234.60000000003</v>
      </c>
      <c r="N326" s="136">
        <v>488007.00000000006</v>
      </c>
      <c r="O326" s="136">
        <v>330343.19916580006</v>
      </c>
      <c r="P326" s="174"/>
      <c r="Q326" s="174"/>
      <c r="R326" s="174"/>
      <c r="T326" s="137">
        <f>SUM(D326:Q326)</f>
        <v>4644825.5983316004</v>
      </c>
      <c r="U326" s="138" t="s">
        <v>344</v>
      </c>
      <c r="V326" s="139"/>
      <c r="W326" s="140">
        <f>T326/1000</f>
        <v>4644.8255983316003</v>
      </c>
      <c r="X326" s="138" t="s">
        <v>342</v>
      </c>
      <c r="Y326" s="495">
        <f>W325+W326</f>
        <v>10127.258830728257</v>
      </c>
      <c r="Z326" s="138" t="s">
        <v>342</v>
      </c>
    </row>
    <row r="327" spans="1:26" s="125" customFormat="1" x14ac:dyDescent="0.25">
      <c r="A327" s="461"/>
      <c r="B327" s="135" t="s">
        <v>345</v>
      </c>
      <c r="C327" s="606"/>
      <c r="D327" s="141">
        <v>347964.0001</v>
      </c>
      <c r="E327" s="141">
        <v>386276</v>
      </c>
      <c r="F327" s="141">
        <v>446391.0000459</v>
      </c>
      <c r="G327" s="141">
        <v>292376</v>
      </c>
      <c r="H327" s="141">
        <v>228639</v>
      </c>
      <c r="I327" s="141">
        <v>69000</v>
      </c>
      <c r="J327" s="141">
        <v>128000</v>
      </c>
      <c r="K327" s="141">
        <v>213000</v>
      </c>
      <c r="L327" s="141">
        <v>208295.0000459</v>
      </c>
      <c r="M327" s="141">
        <v>298425.00014590001</v>
      </c>
      <c r="N327" s="141">
        <v>287539.0000459</v>
      </c>
      <c r="O327" s="141">
        <v>287916</v>
      </c>
      <c r="P327" s="178"/>
      <c r="Q327" s="178"/>
      <c r="R327" s="178"/>
      <c r="T327" s="137">
        <f>SUM(D327:Q327)</f>
        <v>3193821.0003836006</v>
      </c>
      <c r="U327" s="138" t="s">
        <v>346</v>
      </c>
      <c r="V327" s="139"/>
      <c r="W327" s="137">
        <f>T327</f>
        <v>3193821.0003836006</v>
      </c>
      <c r="X327" s="138" t="s">
        <v>346</v>
      </c>
      <c r="Y327" s="157"/>
      <c r="Z327" s="157"/>
    </row>
    <row r="328" spans="1:26" s="125" customFormat="1" x14ac:dyDescent="0.25">
      <c r="A328" s="461"/>
      <c r="B328" s="135" t="s">
        <v>347</v>
      </c>
      <c r="C328" s="606"/>
      <c r="D328" s="142">
        <v>10055.600760000001</v>
      </c>
      <c r="E328" s="142">
        <v>11052.116120000001</v>
      </c>
      <c r="F328" s="142">
        <v>12467.196980000001</v>
      </c>
      <c r="G328" s="142">
        <v>12463.33771</v>
      </c>
      <c r="H328" s="142">
        <v>12175.59196</v>
      </c>
      <c r="I328" s="142">
        <v>10104.394770000001</v>
      </c>
      <c r="J328" s="142">
        <v>8159.0232400000004</v>
      </c>
      <c r="K328" s="142">
        <v>11847.90847</v>
      </c>
      <c r="L328" s="142">
        <v>10867.325080000001</v>
      </c>
      <c r="M328" s="142">
        <v>12560.214559999999</v>
      </c>
      <c r="N328" s="142">
        <v>13202.94234</v>
      </c>
      <c r="O328" s="142">
        <v>7940.8564399999996</v>
      </c>
      <c r="P328" s="176"/>
      <c r="Q328" s="176"/>
      <c r="R328" s="176"/>
      <c r="T328" s="137">
        <f>SUM(D328:Q328)</f>
        <v>132896.50842999996</v>
      </c>
      <c r="U328" s="138"/>
      <c r="V328" s="139"/>
      <c r="W328" s="143">
        <f>T328</f>
        <v>132896.50842999996</v>
      </c>
      <c r="X328" s="138"/>
      <c r="Y328" s="157"/>
      <c r="Z328" s="157"/>
    </row>
    <row r="329" spans="1:26" s="125" customFormat="1" ht="16.5" x14ac:dyDescent="0.35">
      <c r="A329" s="461"/>
      <c r="B329" s="144" t="s">
        <v>348</v>
      </c>
      <c r="C329" s="607"/>
      <c r="D329" s="145">
        <v>6149.52</v>
      </c>
      <c r="E329" s="145">
        <v>6552.48</v>
      </c>
      <c r="F329" s="145">
        <v>5536.32</v>
      </c>
      <c r="G329" s="145">
        <v>4782.96</v>
      </c>
      <c r="H329" s="145">
        <v>7901.52</v>
      </c>
      <c r="I329" s="145">
        <v>9653.52</v>
      </c>
      <c r="J329" s="145">
        <v>13104.96</v>
      </c>
      <c r="K329" s="145">
        <v>7831.44</v>
      </c>
      <c r="L329" s="145">
        <v>10739.76</v>
      </c>
      <c r="M329" s="145">
        <v>8111.76</v>
      </c>
      <c r="N329" s="145">
        <v>10249.200000000001</v>
      </c>
      <c r="O329" s="145">
        <v>8589.24</v>
      </c>
      <c r="P329" s="179"/>
      <c r="Q329" s="179"/>
      <c r="R329" s="179"/>
      <c r="T329" s="137">
        <f>SUM(D329:Q329)</f>
        <v>99202.68</v>
      </c>
      <c r="U329" s="138"/>
      <c r="V329" s="139"/>
      <c r="W329" s="146">
        <f>T329</f>
        <v>99202.68</v>
      </c>
      <c r="X329" s="138"/>
      <c r="Y329" s="157"/>
      <c r="Z329" s="157"/>
    </row>
    <row r="330" spans="1:26" x14ac:dyDescent="0.25">
      <c r="W330" s="143">
        <f>SUM(W328:W329)</f>
        <v>232099.18842999995</v>
      </c>
      <c r="X330" s="138"/>
    </row>
    <row r="332" spans="1:26" s="128" customFormat="1" x14ac:dyDescent="0.25">
      <c r="A332" s="459">
        <v>35</v>
      </c>
      <c r="B332" s="127" t="s">
        <v>912</v>
      </c>
      <c r="C332" s="602"/>
      <c r="T332" s="127" t="s">
        <v>912</v>
      </c>
      <c r="U332" s="129"/>
      <c r="X332" s="129"/>
      <c r="Y332" s="166"/>
      <c r="Z332" s="166"/>
    </row>
    <row r="333" spans="1:26" s="125" customFormat="1" x14ac:dyDescent="0.25">
      <c r="A333" s="461"/>
      <c r="B333" s="130" t="s">
        <v>337</v>
      </c>
      <c r="C333" s="1152">
        <v>42522</v>
      </c>
      <c r="D333" s="131">
        <v>42552</v>
      </c>
      <c r="E333" s="131">
        <v>42583</v>
      </c>
      <c r="F333" s="131">
        <v>42614</v>
      </c>
      <c r="G333" s="131">
        <v>42644</v>
      </c>
      <c r="H333" s="131">
        <v>42675</v>
      </c>
      <c r="I333" s="131">
        <v>42705</v>
      </c>
      <c r="J333" s="131">
        <v>42736</v>
      </c>
      <c r="K333" s="131">
        <v>42767</v>
      </c>
      <c r="L333" s="131">
        <v>42795</v>
      </c>
      <c r="M333" s="131">
        <v>42826</v>
      </c>
      <c r="N333" s="131">
        <v>42856</v>
      </c>
      <c r="O333" s="131">
        <v>42887</v>
      </c>
      <c r="P333" s="131">
        <v>42917</v>
      </c>
      <c r="Q333" s="131">
        <v>42948</v>
      </c>
      <c r="R333" s="131">
        <v>42992</v>
      </c>
      <c r="S333" s="132"/>
      <c r="T333" s="133" t="s">
        <v>338</v>
      </c>
      <c r="U333" s="134" t="s">
        <v>339</v>
      </c>
      <c r="V333" s="132"/>
      <c r="W333" s="133" t="s">
        <v>338</v>
      </c>
      <c r="X333" s="134" t="s">
        <v>339</v>
      </c>
      <c r="Y333" s="157"/>
      <c r="Z333" s="157"/>
    </row>
    <row r="334" spans="1:26" s="125" customFormat="1" x14ac:dyDescent="0.25">
      <c r="A334" s="461"/>
      <c r="B334" s="135" t="s">
        <v>340</v>
      </c>
      <c r="C334" s="606"/>
      <c r="D334" s="136">
        <v>86886.720000000001</v>
      </c>
      <c r="E334" s="136">
        <v>100976.9599632</v>
      </c>
      <c r="F334" s="136">
        <v>121742.40000000001</v>
      </c>
      <c r="G334" s="136">
        <v>106562.23999999999</v>
      </c>
      <c r="H334" s="136">
        <v>94529.919999999984</v>
      </c>
      <c r="I334" s="136">
        <v>77896</v>
      </c>
      <c r="J334" s="136">
        <v>67854.400036799998</v>
      </c>
      <c r="K334" s="136">
        <v>83151.680000000008</v>
      </c>
      <c r="L334" s="136">
        <v>77425.599999999991</v>
      </c>
      <c r="M334" s="136">
        <v>91417.919999999998</v>
      </c>
      <c r="N334" s="136">
        <v>88109.120036799999</v>
      </c>
      <c r="O334" s="136">
        <v>79328</v>
      </c>
      <c r="P334" s="174"/>
      <c r="Q334" s="174"/>
      <c r="R334" s="174"/>
      <c r="T334" s="137">
        <f>SUM(D334:Q334)</f>
        <v>1075880.9600368</v>
      </c>
      <c r="U334" s="138" t="s">
        <v>341</v>
      </c>
      <c r="V334" s="139"/>
      <c r="W334" s="164">
        <f>T334*3413/1000000</f>
        <v>3671.9817166055986</v>
      </c>
      <c r="X334" s="162" t="s">
        <v>342</v>
      </c>
      <c r="Y334" s="166"/>
      <c r="Z334" s="157"/>
    </row>
    <row r="335" spans="1:26" s="125" customFormat="1" x14ac:dyDescent="0.25">
      <c r="A335" s="461"/>
      <c r="B335" s="135" t="s">
        <v>343</v>
      </c>
      <c r="C335" s="606"/>
      <c r="D335" s="136">
        <v>221897.2</v>
      </c>
      <c r="E335" s="136">
        <v>250260</v>
      </c>
      <c r="F335" s="136">
        <v>302814.59999999998</v>
      </c>
      <c r="G335" s="136">
        <v>260270.40000000002</v>
      </c>
      <c r="H335" s="136">
        <v>444628.6</v>
      </c>
      <c r="I335" s="136">
        <v>537224.80000000005</v>
      </c>
      <c r="J335" s="136">
        <v>506359.4</v>
      </c>
      <c r="K335" s="136">
        <v>471323.00000000006</v>
      </c>
      <c r="L335" s="136">
        <v>412929</v>
      </c>
      <c r="M335" s="136">
        <v>266944</v>
      </c>
      <c r="N335" s="136">
        <v>260270.40000000002</v>
      </c>
      <c r="O335" s="136">
        <v>253596.80000000005</v>
      </c>
      <c r="P335" s="174"/>
      <c r="Q335" s="174"/>
      <c r="R335" s="174"/>
      <c r="T335" s="137">
        <f>SUM(D335:Q335)</f>
        <v>4188518.2</v>
      </c>
      <c r="U335" s="138" t="s">
        <v>344</v>
      </c>
      <c r="V335" s="139"/>
      <c r="W335" s="164">
        <f>T335/1000</f>
        <v>4188.5182000000004</v>
      </c>
      <c r="X335" s="162" t="s">
        <v>342</v>
      </c>
      <c r="Y335" s="1093">
        <f>W334+W335</f>
        <v>7860.4999166055986</v>
      </c>
      <c r="Z335" s="138" t="s">
        <v>342</v>
      </c>
    </row>
    <row r="336" spans="1:26" s="125" customFormat="1" x14ac:dyDescent="0.25">
      <c r="A336" s="461"/>
      <c r="B336" s="135" t="s">
        <v>345</v>
      </c>
      <c r="C336" s="606"/>
      <c r="D336" s="1094">
        <v>117128</v>
      </c>
      <c r="E336" s="1094">
        <v>239352</v>
      </c>
      <c r="F336" s="1094">
        <v>362832.00003679999</v>
      </c>
      <c r="G336" s="1094">
        <v>265552</v>
      </c>
      <c r="H336" s="1094">
        <v>246728</v>
      </c>
      <c r="I336" s="1094">
        <v>75000</v>
      </c>
      <c r="J336" s="1094">
        <v>173000</v>
      </c>
      <c r="K336" s="1094">
        <v>270000</v>
      </c>
      <c r="L336" s="1094">
        <v>245840.00003679999</v>
      </c>
      <c r="M336" s="1094">
        <v>263600.00003679999</v>
      </c>
      <c r="N336" s="1094">
        <v>157528.00003679999</v>
      </c>
      <c r="O336" s="1094">
        <v>90632</v>
      </c>
      <c r="P336" s="178"/>
      <c r="Q336" s="178"/>
      <c r="R336" s="178"/>
      <c r="T336" s="137">
        <f>SUM(D336:Q336)</f>
        <v>2507192.0001471997</v>
      </c>
      <c r="U336" s="138" t="s">
        <v>346</v>
      </c>
      <c r="V336" s="139"/>
      <c r="W336" s="170">
        <f>T336</f>
        <v>2507192.0001471997</v>
      </c>
      <c r="X336" s="162" t="s">
        <v>346</v>
      </c>
      <c r="Y336" s="166"/>
      <c r="Z336" s="157"/>
    </row>
    <row r="337" spans="1:26" s="125" customFormat="1" x14ac:dyDescent="0.25">
      <c r="A337" s="461"/>
      <c r="B337" s="135" t="s">
        <v>347</v>
      </c>
      <c r="C337" s="606"/>
      <c r="D337" s="142">
        <v>7028.1895200000008</v>
      </c>
      <c r="E337" s="142">
        <v>8163.1882400000004</v>
      </c>
      <c r="F337" s="142">
        <v>9835.8529600000002</v>
      </c>
      <c r="G337" s="142">
        <v>8613.0759199999993</v>
      </c>
      <c r="H337" s="142">
        <v>7643.8719199999996</v>
      </c>
      <c r="I337" s="142">
        <v>6303.9930400000003</v>
      </c>
      <c r="J337" s="142">
        <v>5495.1384800000005</v>
      </c>
      <c r="K337" s="142">
        <v>6938.1154399999996</v>
      </c>
      <c r="L337" s="142">
        <v>6658.6141600000001</v>
      </c>
      <c r="M337" s="142">
        <v>7856.6571200000008</v>
      </c>
      <c r="N337" s="142">
        <v>7573.36168</v>
      </c>
      <c r="O337" s="142">
        <v>6821.5048799999995</v>
      </c>
      <c r="P337" s="176"/>
      <c r="Q337" s="176"/>
      <c r="R337" s="176"/>
      <c r="T337" s="137">
        <f>SUM(D337:Q337)</f>
        <v>88931.56336</v>
      </c>
      <c r="U337" s="138"/>
      <c r="V337" s="139"/>
      <c r="W337" s="1095">
        <f>T337</f>
        <v>88931.56336</v>
      </c>
      <c r="X337" s="162"/>
      <c r="Y337" s="166"/>
      <c r="Z337" s="157"/>
    </row>
    <row r="338" spans="1:26" s="125" customFormat="1" ht="16.5" x14ac:dyDescent="0.35">
      <c r="A338" s="461"/>
      <c r="B338" s="144" t="s">
        <v>348</v>
      </c>
      <c r="C338" s="607"/>
      <c r="D338" s="1147">
        <v>5426</v>
      </c>
      <c r="E338" s="1147">
        <v>6119.55</v>
      </c>
      <c r="F338" s="1147">
        <v>7404.66</v>
      </c>
      <c r="G338" s="1147">
        <v>6364.33</v>
      </c>
      <c r="H338" s="1147">
        <v>10872.4</v>
      </c>
      <c r="I338" s="1147">
        <v>13136.640000000001</v>
      </c>
      <c r="J338" s="1147">
        <v>12381.89</v>
      </c>
      <c r="K338" s="1147">
        <v>11525.15</v>
      </c>
      <c r="L338" s="1147">
        <v>10097.26</v>
      </c>
      <c r="M338" s="1147">
        <v>6527.5199999999995</v>
      </c>
      <c r="N338" s="1147">
        <v>6364.33</v>
      </c>
      <c r="O338" s="1147">
        <v>7278.68</v>
      </c>
      <c r="P338" s="179"/>
      <c r="Q338" s="179"/>
      <c r="R338" s="179"/>
      <c r="T338" s="137">
        <f>SUM(D338:Q338)</f>
        <v>103498.41</v>
      </c>
      <c r="U338" s="138"/>
      <c r="V338" s="139"/>
      <c r="W338" s="1096">
        <f>T338</f>
        <v>103498.41</v>
      </c>
      <c r="X338" s="162"/>
      <c r="Y338" s="166"/>
      <c r="Z338" s="157"/>
    </row>
    <row r="339" spans="1:26" x14ac:dyDescent="0.25">
      <c r="W339" s="1095">
        <f>SUM(W337:W338)</f>
        <v>192429.97336</v>
      </c>
      <c r="X339" s="162"/>
      <c r="Y339" s="1256"/>
    </row>
    <row r="341" spans="1:26" s="128" customFormat="1" ht="16.5" x14ac:dyDescent="0.35">
      <c r="A341" s="459">
        <v>36</v>
      </c>
      <c r="B341" s="127" t="s">
        <v>617</v>
      </c>
      <c r="C341" s="613"/>
      <c r="D341" s="177"/>
      <c r="E341" s="177"/>
      <c r="F341" s="177"/>
      <c r="G341" s="177"/>
      <c r="H341" s="177"/>
      <c r="I341" s="177"/>
      <c r="J341" s="177"/>
      <c r="K341" s="177"/>
      <c r="L341" s="177"/>
      <c r="M341" s="177"/>
      <c r="N341" s="177"/>
      <c r="O341" s="177"/>
      <c r="R341" s="1261"/>
      <c r="S341" s="1262"/>
      <c r="T341" s="127" t="s">
        <v>617</v>
      </c>
      <c r="U341" s="1263"/>
      <c r="V341" s="1262"/>
      <c r="Y341" s="166"/>
      <c r="Z341" s="166"/>
    </row>
    <row r="342" spans="1:26" s="125" customFormat="1" x14ac:dyDescent="0.25">
      <c r="A342" s="461"/>
      <c r="B342" s="130" t="s">
        <v>337</v>
      </c>
      <c r="C342" s="131">
        <v>42522</v>
      </c>
      <c r="D342" s="131">
        <v>42552</v>
      </c>
      <c r="E342" s="131">
        <v>42583</v>
      </c>
      <c r="F342" s="131">
        <v>42614</v>
      </c>
      <c r="G342" s="131">
        <v>42644</v>
      </c>
      <c r="H342" s="131">
        <v>42675</v>
      </c>
      <c r="I342" s="131">
        <v>42705</v>
      </c>
      <c r="J342" s="131">
        <v>42736</v>
      </c>
      <c r="K342" s="131">
        <v>42767</v>
      </c>
      <c r="L342" s="131">
        <v>42795</v>
      </c>
      <c r="M342" s="131">
        <v>42826</v>
      </c>
      <c r="N342" s="131">
        <v>42856</v>
      </c>
      <c r="O342" s="131">
        <v>42887</v>
      </c>
      <c r="P342" s="131">
        <v>42917</v>
      </c>
      <c r="Q342" s="131">
        <v>42948</v>
      </c>
      <c r="R342" s="131">
        <v>42992</v>
      </c>
      <c r="S342" s="132"/>
      <c r="T342" s="133" t="s">
        <v>338</v>
      </c>
      <c r="U342" s="134" t="s">
        <v>339</v>
      </c>
      <c r="V342" s="132"/>
      <c r="W342" s="133" t="s">
        <v>338</v>
      </c>
      <c r="X342" s="134" t="s">
        <v>339</v>
      </c>
      <c r="Y342" s="157"/>
      <c r="Z342" s="157"/>
    </row>
    <row r="343" spans="1:26" s="125" customFormat="1" x14ac:dyDescent="0.25">
      <c r="A343" s="461"/>
      <c r="B343" s="135" t="s">
        <v>340</v>
      </c>
      <c r="C343" s="612"/>
      <c r="D343" s="1258">
        <v>442200</v>
      </c>
      <c r="E343" s="1258">
        <v>397800</v>
      </c>
      <c r="F343" s="160">
        <v>355800</v>
      </c>
      <c r="G343" s="160">
        <v>275600</v>
      </c>
      <c r="H343" s="160">
        <v>224600</v>
      </c>
      <c r="I343" s="160">
        <v>246800</v>
      </c>
      <c r="J343" s="160">
        <v>246800</v>
      </c>
      <c r="K343" s="160">
        <v>214800</v>
      </c>
      <c r="L343" s="160">
        <v>234600</v>
      </c>
      <c r="M343" s="160">
        <v>276200</v>
      </c>
      <c r="N343" s="160">
        <v>290200</v>
      </c>
      <c r="O343" s="160">
        <v>384000</v>
      </c>
      <c r="P343" s="456"/>
      <c r="T343" s="137">
        <f>SUM(D343:O343)</f>
        <v>3589400</v>
      </c>
      <c r="U343" s="138" t="s">
        <v>341</v>
      </c>
      <c r="V343" s="139"/>
      <c r="W343" s="140">
        <f>T343*3413/1000000</f>
        <v>12250.6222</v>
      </c>
      <c r="X343" s="138" t="s">
        <v>342</v>
      </c>
      <c r="Y343" s="157"/>
      <c r="Z343" s="157"/>
    </row>
    <row r="344" spans="1:26" s="125" customFormat="1" x14ac:dyDescent="0.25">
      <c r="A344" s="461"/>
      <c r="B344" s="135" t="s">
        <v>821</v>
      </c>
      <c r="C344" s="612"/>
      <c r="D344" s="140">
        <v>585.5</v>
      </c>
      <c r="E344" s="140">
        <v>702.6</v>
      </c>
      <c r="F344" s="140">
        <v>604.29999999999995</v>
      </c>
      <c r="G344" s="140">
        <v>821.2</v>
      </c>
      <c r="H344" s="140">
        <v>906</v>
      </c>
      <c r="I344" s="140">
        <v>1117.0999999999999</v>
      </c>
      <c r="J344" s="140">
        <v>1192.9000000000001</v>
      </c>
      <c r="K344" s="140">
        <v>870.2</v>
      </c>
      <c r="L344" s="140">
        <v>972</v>
      </c>
      <c r="M344" s="140">
        <v>686.9</v>
      </c>
      <c r="N344" s="140">
        <v>817.9</v>
      </c>
      <c r="O344" s="140">
        <v>399</v>
      </c>
      <c r="P344" s="456"/>
      <c r="T344" s="137">
        <f>SUM(D344:O344)</f>
        <v>9675.6</v>
      </c>
      <c r="U344" s="138" t="s">
        <v>822</v>
      </c>
      <c r="V344" s="139"/>
      <c r="W344" s="140">
        <f>T344*1000*1027/1000000</f>
        <v>9936.8412000000008</v>
      </c>
      <c r="X344" s="138" t="s">
        <v>342</v>
      </c>
      <c r="Y344" s="495">
        <f>W343+W344</f>
        <v>22187.463400000001</v>
      </c>
      <c r="Z344" s="138" t="s">
        <v>342</v>
      </c>
    </row>
    <row r="345" spans="1:26" s="125" customFormat="1" x14ac:dyDescent="0.25">
      <c r="A345" s="461"/>
      <c r="B345" s="135" t="s">
        <v>373</v>
      </c>
      <c r="C345" s="201" t="s">
        <v>1388</v>
      </c>
      <c r="D345" s="1092"/>
      <c r="E345" s="1092"/>
      <c r="F345" s="1092"/>
      <c r="G345" s="1092"/>
      <c r="H345" s="1092"/>
      <c r="I345" s="1092"/>
      <c r="J345" s="1092"/>
      <c r="K345" s="1092"/>
      <c r="L345" s="1092"/>
      <c r="M345" s="1092"/>
      <c r="N345" s="1092"/>
      <c r="O345" s="1092"/>
      <c r="P345" s="456"/>
      <c r="T345" s="137">
        <f>SUM(D345:O345)</f>
        <v>0</v>
      </c>
      <c r="U345" s="138" t="s">
        <v>367</v>
      </c>
      <c r="V345" s="139"/>
      <c r="W345" s="137">
        <f>T345*7.48</f>
        <v>0</v>
      </c>
      <c r="X345" s="138" t="s">
        <v>346</v>
      </c>
      <c r="Y345" s="157"/>
      <c r="Z345" s="157"/>
    </row>
    <row r="346" spans="1:26" s="125" customFormat="1" x14ac:dyDescent="0.25">
      <c r="A346" s="461"/>
      <c r="B346" s="135" t="s">
        <v>324</v>
      </c>
      <c r="C346" s="613"/>
      <c r="D346" s="145">
        <v>30515.3</v>
      </c>
      <c r="E346" s="145">
        <v>28286.59</v>
      </c>
      <c r="F346" s="145">
        <v>25406.57</v>
      </c>
      <c r="G346" s="145">
        <v>19075.830000000002</v>
      </c>
      <c r="H346" s="145">
        <v>15034.82</v>
      </c>
      <c r="I346" s="145">
        <v>14797.45</v>
      </c>
      <c r="J346" s="145">
        <v>14797.45</v>
      </c>
      <c r="K346" s="145">
        <v>13593.9</v>
      </c>
      <c r="L346" s="145">
        <v>14025.56</v>
      </c>
      <c r="M346" s="145">
        <v>17104.86</v>
      </c>
      <c r="N346" s="145">
        <v>18062.830000000002</v>
      </c>
      <c r="O346" s="145">
        <v>24481.15</v>
      </c>
      <c r="P346" s="176"/>
      <c r="T346" s="1260">
        <f>SUM(D346:O346)</f>
        <v>235182.31000000003</v>
      </c>
      <c r="U346" s="138"/>
      <c r="V346" s="139"/>
      <c r="W346" s="143">
        <f>T346</f>
        <v>235182.31000000003</v>
      </c>
      <c r="X346" s="138"/>
      <c r="Y346" s="157"/>
      <c r="Z346" s="157"/>
    </row>
    <row r="347" spans="1:26" s="125" customFormat="1" ht="16.5" x14ac:dyDescent="0.35">
      <c r="A347" s="461"/>
      <c r="B347" s="144" t="s">
        <v>374</v>
      </c>
      <c r="C347" s="611"/>
      <c r="D347" s="145">
        <v>4061.98</v>
      </c>
      <c r="E347" s="145">
        <v>4838.99</v>
      </c>
      <c r="F347" s="145">
        <v>4197.25</v>
      </c>
      <c r="G347" s="145">
        <v>5492.28</v>
      </c>
      <c r="H347" s="145">
        <v>7641.91</v>
      </c>
      <c r="I347" s="145">
        <v>9725.2800000000007</v>
      </c>
      <c r="J347" s="145">
        <v>10328.959999999999</v>
      </c>
      <c r="K347" s="145">
        <v>7613.44</v>
      </c>
      <c r="L347" s="145">
        <v>7878.41</v>
      </c>
      <c r="M347" s="145">
        <v>5752.69</v>
      </c>
      <c r="N347" s="145">
        <v>6796.48</v>
      </c>
      <c r="O347" s="145">
        <v>3443.57</v>
      </c>
      <c r="P347" s="179"/>
      <c r="T347" s="1260">
        <f>SUM(D347:O347)</f>
        <v>77771.240000000005</v>
      </c>
      <c r="U347" s="138"/>
      <c r="V347" s="139"/>
      <c r="W347" s="146">
        <f>T347</f>
        <v>77771.240000000005</v>
      </c>
      <c r="X347" s="138"/>
      <c r="Y347" s="157"/>
      <c r="Z347" s="157" t="s">
        <v>824</v>
      </c>
    </row>
    <row r="348" spans="1:26" s="125" customFormat="1" x14ac:dyDescent="0.25">
      <c r="A348" s="461"/>
      <c r="B348" s="180"/>
      <c r="C348" s="611"/>
      <c r="D348" s="611"/>
      <c r="E348" s="179"/>
      <c r="F348" s="179"/>
      <c r="G348" s="179"/>
      <c r="H348" s="179"/>
      <c r="I348" s="179"/>
      <c r="J348" s="179"/>
      <c r="K348" s="179"/>
      <c r="L348" s="179"/>
      <c r="M348" s="179"/>
      <c r="N348" s="179"/>
      <c r="O348" s="179"/>
      <c r="T348" s="149"/>
      <c r="U348" s="150"/>
      <c r="V348" s="139"/>
      <c r="W348" s="143">
        <f>SUM(W346:W347)</f>
        <v>312953.55000000005</v>
      </c>
      <c r="X348" s="138"/>
      <c r="Y348" s="157"/>
      <c r="Z348" s="674" t="s">
        <v>825</v>
      </c>
    </row>
    <row r="350" spans="1:26" s="125" customFormat="1" ht="16.5" x14ac:dyDescent="0.35">
      <c r="A350" s="461">
        <v>37</v>
      </c>
      <c r="B350" s="127" t="s">
        <v>618</v>
      </c>
      <c r="C350" s="611"/>
      <c r="D350" s="179"/>
      <c r="E350" s="179"/>
      <c r="F350" s="179"/>
      <c r="G350" s="179"/>
      <c r="H350" s="179"/>
      <c r="I350" s="179"/>
      <c r="J350" s="179"/>
      <c r="K350" s="179"/>
      <c r="L350" s="179"/>
      <c r="M350" s="179"/>
      <c r="N350" s="179"/>
      <c r="O350" s="179"/>
      <c r="R350" s="149"/>
      <c r="S350" s="150"/>
      <c r="T350" s="127" t="s">
        <v>618</v>
      </c>
      <c r="U350" s="181"/>
      <c r="V350" s="150"/>
      <c r="Y350" s="157"/>
      <c r="Z350" s="157"/>
    </row>
    <row r="351" spans="1:26" s="125" customFormat="1" x14ac:dyDescent="0.25">
      <c r="A351" s="461"/>
      <c r="B351" s="130" t="s">
        <v>337</v>
      </c>
      <c r="C351" s="131">
        <v>42522</v>
      </c>
      <c r="D351" s="151">
        <v>42552</v>
      </c>
      <c r="E351" s="131">
        <v>42583</v>
      </c>
      <c r="F351" s="131">
        <v>42614</v>
      </c>
      <c r="G351" s="131">
        <v>42644</v>
      </c>
      <c r="H351" s="131">
        <v>42675</v>
      </c>
      <c r="I351" s="131">
        <v>42705</v>
      </c>
      <c r="J351" s="131">
        <v>42736</v>
      </c>
      <c r="K351" s="131">
        <v>42767</v>
      </c>
      <c r="L351" s="131">
        <v>42795</v>
      </c>
      <c r="M351" s="131">
        <v>42826</v>
      </c>
      <c r="N351" s="131">
        <v>42856</v>
      </c>
      <c r="O351" s="131">
        <v>42887</v>
      </c>
      <c r="P351" s="131">
        <v>42917</v>
      </c>
      <c r="Q351" s="131">
        <v>42948</v>
      </c>
      <c r="R351" s="131">
        <v>42992</v>
      </c>
      <c r="S351" s="132"/>
      <c r="T351" s="133" t="s">
        <v>338</v>
      </c>
      <c r="U351" s="134" t="s">
        <v>339</v>
      </c>
      <c r="V351" s="132"/>
      <c r="W351" s="133" t="s">
        <v>338</v>
      </c>
      <c r="X351" s="134" t="s">
        <v>339</v>
      </c>
      <c r="Y351" s="157"/>
      <c r="Z351" s="157"/>
    </row>
    <row r="352" spans="1:26" s="125" customFormat="1" x14ac:dyDescent="0.25">
      <c r="A352" s="461"/>
      <c r="B352" s="135" t="s">
        <v>340</v>
      </c>
      <c r="C352" s="612"/>
      <c r="D352" s="456"/>
      <c r="E352" s="160">
        <v>69200</v>
      </c>
      <c r="F352" s="160">
        <v>71200</v>
      </c>
      <c r="G352" s="160">
        <v>69400</v>
      </c>
      <c r="H352" s="160">
        <v>79000</v>
      </c>
      <c r="I352" s="160">
        <v>68200</v>
      </c>
      <c r="J352" s="160">
        <v>94200</v>
      </c>
      <c r="K352" s="160">
        <v>73400</v>
      </c>
      <c r="L352" s="160">
        <v>81800</v>
      </c>
      <c r="M352" s="160">
        <v>75000</v>
      </c>
      <c r="N352" s="160">
        <v>72000</v>
      </c>
      <c r="O352" s="160">
        <v>39200</v>
      </c>
      <c r="P352" s="160">
        <v>102800</v>
      </c>
      <c r="Q352" s="991"/>
      <c r="R352" s="991"/>
      <c r="T352" s="137">
        <f>SUM(D352:R352)</f>
        <v>895400</v>
      </c>
      <c r="U352" s="138" t="s">
        <v>341</v>
      </c>
      <c r="V352" s="139"/>
      <c r="W352" s="140">
        <f>T352*3413/1000000</f>
        <v>3056.0001999999999</v>
      </c>
      <c r="X352" s="138" t="s">
        <v>342</v>
      </c>
      <c r="Y352" s="157"/>
      <c r="Z352" s="157"/>
    </row>
    <row r="353" spans="1:26" s="125" customFormat="1" x14ac:dyDescent="0.25">
      <c r="A353" s="461"/>
      <c r="B353" s="135" t="s">
        <v>614</v>
      </c>
      <c r="C353" s="201"/>
      <c r="D353" s="554"/>
      <c r="E353" s="160">
        <v>22</v>
      </c>
      <c r="F353" s="160">
        <v>18</v>
      </c>
      <c r="G353" s="160">
        <v>19</v>
      </c>
      <c r="H353" s="160">
        <v>18</v>
      </c>
      <c r="I353" s="160">
        <v>18</v>
      </c>
      <c r="J353" s="160">
        <v>13</v>
      </c>
      <c r="K353" s="160">
        <v>19</v>
      </c>
      <c r="L353" s="160">
        <v>27</v>
      </c>
      <c r="M353" s="160">
        <v>18</v>
      </c>
      <c r="N353" s="160">
        <v>19</v>
      </c>
      <c r="O353" s="160">
        <v>18</v>
      </c>
      <c r="P353" s="160">
        <v>21</v>
      </c>
      <c r="Q353" s="444"/>
      <c r="R353" s="444"/>
      <c r="T353" s="137">
        <f>SUM(D353:R353)</f>
        <v>230</v>
      </c>
      <c r="U353" s="138" t="s">
        <v>379</v>
      </c>
      <c r="V353" s="139"/>
      <c r="W353" s="137">
        <f>T353*748</f>
        <v>172040</v>
      </c>
      <c r="X353" s="138" t="s">
        <v>346</v>
      </c>
      <c r="Y353" s="157"/>
      <c r="Z353" s="157"/>
    </row>
    <row r="354" spans="1:26" s="157" customFormat="1" ht="12.75" x14ac:dyDescent="0.2">
      <c r="A354" s="1153"/>
      <c r="B354" s="135" t="s">
        <v>347</v>
      </c>
      <c r="C354" s="613"/>
      <c r="D354" s="184"/>
      <c r="E354" s="142">
        <v>6227.6</v>
      </c>
      <c r="F354" s="142">
        <v>6398.76</v>
      </c>
      <c r="G354" s="142">
        <v>6359.65</v>
      </c>
      <c r="H354" s="142">
        <v>6998.26</v>
      </c>
      <c r="I354" s="142">
        <v>6082.92</v>
      </c>
      <c r="J354" s="142">
        <v>7699.57</v>
      </c>
      <c r="K354" s="142">
        <v>6181.56</v>
      </c>
      <c r="L354" s="142">
        <v>6752.66</v>
      </c>
      <c r="M354" s="142">
        <v>6325.78</v>
      </c>
      <c r="N354" s="142">
        <v>6050.78</v>
      </c>
      <c r="O354" s="142">
        <v>3773.09</v>
      </c>
      <c r="P354" s="142">
        <v>8097.79</v>
      </c>
      <c r="Q354" s="554"/>
      <c r="R354" s="554"/>
      <c r="T354" s="143">
        <f>SUM(D354:R354)</f>
        <v>76948.419999999984</v>
      </c>
      <c r="U354" s="138"/>
      <c r="V354" s="139"/>
      <c r="W354" s="143">
        <f>T354</f>
        <v>76948.419999999984</v>
      </c>
      <c r="X354" s="138"/>
    </row>
    <row r="355" spans="1:26" s="125" customFormat="1" x14ac:dyDescent="0.25">
      <c r="A355" s="461"/>
      <c r="B355" s="180"/>
      <c r="C355" s="611"/>
      <c r="D355" s="179"/>
      <c r="E355" s="179"/>
      <c r="F355" s="179"/>
      <c r="G355" s="179"/>
      <c r="H355" s="179"/>
      <c r="I355" s="179"/>
      <c r="J355" s="179"/>
      <c r="K355" s="179"/>
      <c r="L355" s="179"/>
      <c r="M355" s="179"/>
      <c r="N355" s="179"/>
      <c r="O355" s="179"/>
      <c r="T355" s="149"/>
      <c r="U355" s="150"/>
      <c r="V355" s="139"/>
      <c r="W355" s="143">
        <f>SUM(W354:W354)</f>
        <v>76948.419999999984</v>
      </c>
      <c r="X355" s="138"/>
      <c r="Y355" s="157"/>
      <c r="Z355" s="157"/>
    </row>
    <row r="357" spans="1:26" s="128" customFormat="1" x14ac:dyDescent="0.25">
      <c r="A357" s="459">
        <v>38</v>
      </c>
      <c r="B357" s="127" t="s">
        <v>621</v>
      </c>
      <c r="C357" s="173"/>
      <c r="S357" s="129"/>
      <c r="T357" s="127" t="s">
        <v>621</v>
      </c>
      <c r="V357" s="129"/>
      <c r="Y357" s="166"/>
      <c r="Z357" s="166"/>
    </row>
    <row r="358" spans="1:26" s="125" customFormat="1" x14ac:dyDescent="0.25">
      <c r="A358" s="461"/>
      <c r="B358" s="130" t="s">
        <v>337</v>
      </c>
      <c r="C358" s="131">
        <v>42522</v>
      </c>
      <c r="D358" s="131">
        <v>42552</v>
      </c>
      <c r="E358" s="131">
        <v>42583</v>
      </c>
      <c r="F358" s="131">
        <v>42614</v>
      </c>
      <c r="G358" s="131">
        <v>42644</v>
      </c>
      <c r="H358" s="131">
        <v>42675</v>
      </c>
      <c r="I358" s="131">
        <v>42705</v>
      </c>
      <c r="J358" s="131">
        <v>42736</v>
      </c>
      <c r="K358" s="131">
        <v>42767</v>
      </c>
      <c r="L358" s="131">
        <v>42795</v>
      </c>
      <c r="M358" s="131">
        <v>42826</v>
      </c>
      <c r="N358" s="131">
        <v>42856</v>
      </c>
      <c r="O358" s="131">
        <v>42887</v>
      </c>
      <c r="P358" s="131">
        <v>42917</v>
      </c>
      <c r="Q358" s="131">
        <v>42948</v>
      </c>
      <c r="R358" s="131">
        <v>42992</v>
      </c>
      <c r="S358" s="132"/>
      <c r="T358" s="133" t="s">
        <v>338</v>
      </c>
      <c r="U358" s="134" t="s">
        <v>339</v>
      </c>
      <c r="V358" s="132"/>
      <c r="W358" s="133" t="s">
        <v>338</v>
      </c>
      <c r="X358" s="134" t="s">
        <v>339</v>
      </c>
      <c r="Y358" s="157"/>
      <c r="Z358" s="157"/>
    </row>
    <row r="359" spans="1:26" s="125" customFormat="1" x14ac:dyDescent="0.25">
      <c r="A359" s="461"/>
      <c r="B359" s="135" t="s">
        <v>340</v>
      </c>
      <c r="C359" s="556"/>
      <c r="D359" s="457"/>
      <c r="E359" s="448"/>
      <c r="F359" s="136"/>
      <c r="G359" s="136"/>
      <c r="H359" s="136"/>
      <c r="I359" s="136"/>
      <c r="J359" s="136"/>
      <c r="K359" s="136"/>
      <c r="L359" s="136"/>
      <c r="M359" s="136"/>
      <c r="N359" s="136"/>
      <c r="O359" s="136"/>
      <c r="P359" s="136"/>
      <c r="Q359" s="174"/>
      <c r="T359" s="187">
        <f>SUM(F359:Q359)</f>
        <v>0</v>
      </c>
      <c r="U359" s="188" t="s">
        <v>341</v>
      </c>
      <c r="V359" s="157"/>
      <c r="W359" s="140">
        <f>T359*3413/1000000</f>
        <v>0</v>
      </c>
      <c r="X359" s="138" t="s">
        <v>342</v>
      </c>
      <c r="Y359" s="157"/>
      <c r="Z359" s="157"/>
    </row>
    <row r="360" spans="1:26" s="125" customFormat="1" x14ac:dyDescent="0.25">
      <c r="A360" s="461"/>
      <c r="B360" s="135" t="s">
        <v>345</v>
      </c>
      <c r="C360" s="556"/>
      <c r="D360" s="458"/>
      <c r="E360" s="440"/>
      <c r="F360" s="141"/>
      <c r="G360" s="141"/>
      <c r="H360" s="154"/>
      <c r="I360" s="154"/>
      <c r="J360" s="154"/>
      <c r="K360" s="141"/>
      <c r="L360" s="154"/>
      <c r="M360" s="141"/>
      <c r="N360" s="141"/>
      <c r="O360" s="141"/>
      <c r="P360" s="141"/>
      <c r="Q360" s="178"/>
      <c r="T360" s="187">
        <f>SUM(F360:Q360)</f>
        <v>0</v>
      </c>
      <c r="U360" s="188" t="s">
        <v>346</v>
      </c>
      <c r="V360" s="157"/>
      <c r="W360" s="141">
        <f>T360</f>
        <v>0</v>
      </c>
      <c r="X360" s="188" t="s">
        <v>346</v>
      </c>
      <c r="Y360" s="157"/>
      <c r="Z360" s="157"/>
    </row>
    <row r="361" spans="1:26" s="125" customFormat="1" x14ac:dyDescent="0.25">
      <c r="A361" s="461"/>
      <c r="B361" s="135" t="s">
        <v>324</v>
      </c>
      <c r="C361" s="556"/>
      <c r="D361" s="458"/>
      <c r="E361" s="440"/>
      <c r="F361" s="142"/>
      <c r="G361" s="142"/>
      <c r="H361" s="142"/>
      <c r="I361" s="142"/>
      <c r="J361" s="142"/>
      <c r="K361" s="142"/>
      <c r="L361" s="142"/>
      <c r="M361" s="142"/>
      <c r="N361" s="142"/>
      <c r="O361" s="142"/>
      <c r="P361" s="142"/>
      <c r="Q361" s="176"/>
      <c r="T361" s="189">
        <f>SUM(F361:Q361)</f>
        <v>0</v>
      </c>
      <c r="U361" s="188"/>
      <c r="V361" s="157"/>
      <c r="W361" s="190">
        <f>T361</f>
        <v>0</v>
      </c>
      <c r="X361" s="188"/>
      <c r="Y361" s="157"/>
      <c r="Z361" s="157"/>
    </row>
    <row r="363" spans="1:26" s="125" customFormat="1" ht="16.5" x14ac:dyDescent="0.35">
      <c r="A363" s="461">
        <v>39</v>
      </c>
      <c r="B363" s="127" t="s">
        <v>622</v>
      </c>
      <c r="C363" s="611"/>
      <c r="D363" s="179"/>
      <c r="E363" s="179"/>
      <c r="F363" s="179"/>
      <c r="G363" s="179"/>
      <c r="H363" s="179"/>
      <c r="I363" s="179"/>
      <c r="J363" s="179"/>
      <c r="K363" s="179"/>
      <c r="L363" s="179"/>
      <c r="M363" s="179"/>
      <c r="N363" s="179"/>
      <c r="O363" s="179"/>
      <c r="R363" s="149"/>
      <c r="S363" s="150"/>
      <c r="T363" s="127" t="s">
        <v>622</v>
      </c>
      <c r="U363" s="181"/>
      <c r="V363" s="150"/>
      <c r="Y363" s="157"/>
      <c r="Z363" s="157"/>
    </row>
    <row r="364" spans="1:26" s="125" customFormat="1" x14ac:dyDescent="0.25">
      <c r="A364" s="461"/>
      <c r="B364" s="130" t="s">
        <v>337</v>
      </c>
      <c r="C364" s="131">
        <v>42522</v>
      </c>
      <c r="D364" s="131">
        <v>42552</v>
      </c>
      <c r="E364" s="131">
        <v>42583</v>
      </c>
      <c r="F364" s="131">
        <v>42614</v>
      </c>
      <c r="G364" s="131">
        <v>42644</v>
      </c>
      <c r="H364" s="131">
        <v>42675</v>
      </c>
      <c r="I364" s="131">
        <v>42705</v>
      </c>
      <c r="J364" s="131">
        <v>42736</v>
      </c>
      <c r="K364" s="131">
        <v>42767</v>
      </c>
      <c r="L364" s="131">
        <v>42795</v>
      </c>
      <c r="M364" s="131">
        <v>42826</v>
      </c>
      <c r="N364" s="131">
        <v>42856</v>
      </c>
      <c r="O364" s="131">
        <v>42887</v>
      </c>
      <c r="P364" s="131">
        <v>42917</v>
      </c>
      <c r="Q364" s="131">
        <v>42948</v>
      </c>
      <c r="R364" s="131">
        <v>42992</v>
      </c>
      <c r="S364" s="132"/>
      <c r="T364" s="133" t="s">
        <v>338</v>
      </c>
      <c r="U364" s="134" t="s">
        <v>339</v>
      </c>
      <c r="V364" s="132"/>
      <c r="W364" s="133" t="s">
        <v>338</v>
      </c>
      <c r="X364" s="134" t="s">
        <v>339</v>
      </c>
      <c r="Y364" s="157"/>
      <c r="Z364" s="157"/>
    </row>
    <row r="365" spans="1:26" s="125" customFormat="1" x14ac:dyDescent="0.25">
      <c r="A365" s="461"/>
      <c r="B365" s="135" t="s">
        <v>340</v>
      </c>
      <c r="C365" s="612"/>
      <c r="D365" s="160">
        <v>135000</v>
      </c>
      <c r="E365" s="160">
        <v>165000</v>
      </c>
      <c r="F365" s="160">
        <v>179000</v>
      </c>
      <c r="G365" s="160">
        <v>131000</v>
      </c>
      <c r="H365" s="160">
        <v>158000</v>
      </c>
      <c r="I365" s="160">
        <v>110000</v>
      </c>
      <c r="J365" s="160">
        <v>153000</v>
      </c>
      <c r="K365" s="160">
        <v>109000</v>
      </c>
      <c r="L365" s="160">
        <v>154000</v>
      </c>
      <c r="M365" s="160">
        <v>127000</v>
      </c>
      <c r="N365" s="160">
        <v>134000</v>
      </c>
      <c r="O365" s="160">
        <v>165000</v>
      </c>
      <c r="P365" s="456"/>
      <c r="T365" s="137">
        <f>SUM(D365:O365)</f>
        <v>1720000</v>
      </c>
      <c r="U365" s="138" t="s">
        <v>341</v>
      </c>
      <c r="V365" s="139"/>
      <c r="W365" s="140">
        <f>T365*3413/1000000</f>
        <v>5870.36</v>
      </c>
      <c r="X365" s="138" t="s">
        <v>342</v>
      </c>
      <c r="Y365" s="157"/>
      <c r="Z365" s="157"/>
    </row>
    <row r="366" spans="1:26" s="125" customFormat="1" x14ac:dyDescent="0.25">
      <c r="A366" s="461"/>
      <c r="B366" s="135" t="s">
        <v>821</v>
      </c>
      <c r="C366" s="612"/>
      <c r="D366" s="153">
        <v>13</v>
      </c>
      <c r="E366" s="160">
        <v>16</v>
      </c>
      <c r="F366" s="160">
        <v>21</v>
      </c>
      <c r="G366" s="160">
        <v>19</v>
      </c>
      <c r="H366" s="160">
        <v>20</v>
      </c>
      <c r="I366" s="160">
        <v>12</v>
      </c>
      <c r="J366" s="160">
        <v>24</v>
      </c>
      <c r="K366" s="160">
        <v>19</v>
      </c>
      <c r="L366" s="160">
        <v>24</v>
      </c>
      <c r="M366" s="160">
        <v>20</v>
      </c>
      <c r="N366" s="160">
        <v>15</v>
      </c>
      <c r="O366" s="160">
        <v>18</v>
      </c>
      <c r="P366" s="456"/>
      <c r="T366" s="137">
        <f>SUM(D366:O366)</f>
        <v>221</v>
      </c>
      <c r="U366" s="138" t="s">
        <v>822</v>
      </c>
      <c r="V366" s="139"/>
      <c r="W366" s="140">
        <f>T366*1000*1027/1000000</f>
        <v>226.96700000000001</v>
      </c>
      <c r="X366" s="138" t="s">
        <v>342</v>
      </c>
      <c r="Y366" s="765"/>
      <c r="Z366" s="150"/>
    </row>
    <row r="367" spans="1:26" s="157" customFormat="1" x14ac:dyDescent="0.25">
      <c r="A367" s="461"/>
      <c r="B367" s="135" t="s">
        <v>1207</v>
      </c>
      <c r="C367" s="599" t="s">
        <v>352</v>
      </c>
      <c r="D367" s="557"/>
      <c r="E367" s="557"/>
      <c r="F367" s="557"/>
      <c r="G367" s="557"/>
      <c r="H367" s="557"/>
      <c r="I367" s="557"/>
      <c r="J367" s="557"/>
      <c r="K367" s="557"/>
      <c r="L367" s="557"/>
      <c r="M367" s="557"/>
      <c r="N367" s="557"/>
      <c r="O367" s="557"/>
      <c r="P367" s="174"/>
      <c r="Q367" s="174"/>
      <c r="T367" s="141">
        <f>SUM(D367:O367)</f>
        <v>0</v>
      </c>
      <c r="U367" s="138" t="s">
        <v>497</v>
      </c>
      <c r="W367" s="160">
        <f>T367/1000</f>
        <v>0</v>
      </c>
      <c r="X367" s="138" t="s">
        <v>342</v>
      </c>
    </row>
    <row r="368" spans="1:26" s="157" customFormat="1" x14ac:dyDescent="0.25">
      <c r="A368" s="461"/>
      <c r="B368" s="192" t="s">
        <v>323</v>
      </c>
      <c r="C368" s="599" t="s">
        <v>352</v>
      </c>
      <c r="D368" s="557"/>
      <c r="E368" s="557"/>
      <c r="F368" s="557"/>
      <c r="G368" s="557"/>
      <c r="H368" s="557"/>
      <c r="I368" s="557"/>
      <c r="J368" s="557"/>
      <c r="K368" s="557"/>
      <c r="L368" s="557"/>
      <c r="M368" s="557"/>
      <c r="N368" s="557"/>
      <c r="O368" s="557"/>
      <c r="P368" s="178"/>
      <c r="Q368" s="178"/>
      <c r="T368" s="141">
        <f>SUM(D368:O368)</f>
        <v>0</v>
      </c>
      <c r="U368" s="188" t="s">
        <v>397</v>
      </c>
      <c r="W368" s="160">
        <f>T368*0.012</f>
        <v>0</v>
      </c>
      <c r="X368" s="138" t="s">
        <v>342</v>
      </c>
      <c r="Y368" s="495">
        <f>W365+W366+W367+W368</f>
        <v>6097.3269999999993</v>
      </c>
      <c r="Z368" s="138" t="s">
        <v>342</v>
      </c>
    </row>
    <row r="369" spans="1:26" s="125" customFormat="1" x14ac:dyDescent="0.25">
      <c r="A369" s="461"/>
      <c r="B369" s="135" t="s">
        <v>322</v>
      </c>
      <c r="C369" s="201" t="s">
        <v>1248</v>
      </c>
      <c r="D369" s="160">
        <v>0</v>
      </c>
      <c r="E369" s="160">
        <v>0</v>
      </c>
      <c r="F369" s="160">
        <v>0</v>
      </c>
      <c r="G369" s="160">
        <v>210600</v>
      </c>
      <c r="H369" s="160">
        <v>93400</v>
      </c>
      <c r="I369" s="160">
        <v>34100</v>
      </c>
      <c r="J369" s="160">
        <v>131400</v>
      </c>
      <c r="K369" s="160">
        <v>116000</v>
      </c>
      <c r="L369" s="160">
        <v>148310</v>
      </c>
      <c r="M369" s="160">
        <v>85290</v>
      </c>
      <c r="N369" s="160">
        <v>71900</v>
      </c>
      <c r="O369" s="160">
        <v>84900</v>
      </c>
      <c r="P369" s="456"/>
      <c r="T369" s="137">
        <f>SUM(D369:O369)</f>
        <v>975900</v>
      </c>
      <c r="U369" s="138" t="s">
        <v>346</v>
      </c>
      <c r="V369" s="139"/>
      <c r="W369" s="137">
        <f>T369</f>
        <v>975900</v>
      </c>
      <c r="X369" s="138" t="s">
        <v>346</v>
      </c>
      <c r="Y369" s="157"/>
      <c r="Z369" s="157"/>
    </row>
    <row r="370" spans="1:26" s="125" customFormat="1" x14ac:dyDescent="0.25">
      <c r="A370" s="461"/>
      <c r="B370" s="135" t="s">
        <v>324</v>
      </c>
      <c r="C370" s="613"/>
      <c r="D370" s="171">
        <v>10881</v>
      </c>
      <c r="E370" s="142">
        <v>13381.5</v>
      </c>
      <c r="F370" s="142">
        <v>14015.7</v>
      </c>
      <c r="G370" s="142">
        <v>10008.4</v>
      </c>
      <c r="H370" s="142">
        <v>11549.8</v>
      </c>
      <c r="I370" s="142">
        <v>7678</v>
      </c>
      <c r="J370" s="142">
        <v>10465.200000000001</v>
      </c>
      <c r="K370" s="142">
        <v>7368.4</v>
      </c>
      <c r="L370" s="142">
        <v>10425.799999999999</v>
      </c>
      <c r="M370" s="142">
        <v>8648.7000000000007</v>
      </c>
      <c r="N370" s="142">
        <v>9500.6</v>
      </c>
      <c r="O370" s="142">
        <v>11913</v>
      </c>
      <c r="P370" s="176"/>
      <c r="T370" s="143">
        <f>SUM(D370:Q370)</f>
        <v>125836.09999999999</v>
      </c>
      <c r="U370" s="138"/>
      <c r="V370" s="139"/>
      <c r="W370" s="143">
        <f>T370</f>
        <v>125836.09999999999</v>
      </c>
      <c r="X370" s="138"/>
      <c r="Y370" s="157"/>
      <c r="Z370" s="157"/>
    </row>
    <row r="371" spans="1:26" s="125" customFormat="1" x14ac:dyDescent="0.25">
      <c r="A371" s="461"/>
      <c r="B371" s="144" t="s">
        <v>374</v>
      </c>
      <c r="C371" s="611"/>
      <c r="D371" s="171">
        <v>66.69</v>
      </c>
      <c r="E371" s="145">
        <v>78.239999999999995</v>
      </c>
      <c r="F371" s="145">
        <v>102.69</v>
      </c>
      <c r="G371" s="145">
        <v>95.19</v>
      </c>
      <c r="H371" s="145">
        <v>101</v>
      </c>
      <c r="I371" s="145">
        <v>69.48</v>
      </c>
      <c r="J371" s="145">
        <v>155.04</v>
      </c>
      <c r="K371" s="145">
        <v>114.38</v>
      </c>
      <c r="L371" s="145">
        <v>124.08</v>
      </c>
      <c r="M371" s="145">
        <v>110</v>
      </c>
      <c r="N371" s="145">
        <v>82.8</v>
      </c>
      <c r="O371" s="145">
        <v>102.78</v>
      </c>
      <c r="P371" s="179"/>
      <c r="T371" s="143">
        <f>SUM(D371:Q371)</f>
        <v>1202.3699999999999</v>
      </c>
      <c r="U371" s="138"/>
      <c r="V371" s="139"/>
      <c r="W371" s="143">
        <f>T371</f>
        <v>1202.3699999999999</v>
      </c>
      <c r="X371" s="138"/>
      <c r="Y371" s="157"/>
      <c r="Z371" s="157" t="s">
        <v>824</v>
      </c>
    </row>
    <row r="372" spans="1:26" s="157" customFormat="1" x14ac:dyDescent="0.25">
      <c r="A372" s="461"/>
      <c r="B372" s="204" t="s">
        <v>819</v>
      </c>
      <c r="C372" s="599"/>
      <c r="D372" s="145">
        <v>1648.58</v>
      </c>
      <c r="E372" s="145">
        <v>1662.99</v>
      </c>
      <c r="F372" s="145">
        <v>2003.73</v>
      </c>
      <c r="G372" s="145">
        <v>2072.44</v>
      </c>
      <c r="H372" s="145">
        <v>2941.12</v>
      </c>
      <c r="I372" s="145">
        <v>2943.06</v>
      </c>
      <c r="J372" s="145">
        <v>3842.92</v>
      </c>
      <c r="K372" s="145">
        <v>1934.59</v>
      </c>
      <c r="L372" s="145">
        <v>2650.76</v>
      </c>
      <c r="M372" s="145">
        <v>1738.88</v>
      </c>
      <c r="N372" s="145">
        <v>2078.17</v>
      </c>
      <c r="O372" s="145">
        <v>2348.64</v>
      </c>
      <c r="P372" s="184"/>
      <c r="Q372" s="184"/>
      <c r="T372" s="171">
        <f>SUM(D372:O372)</f>
        <v>27865.880000000005</v>
      </c>
      <c r="U372" s="188"/>
      <c r="W372" s="190">
        <f>T372</f>
        <v>27865.880000000005</v>
      </c>
      <c r="X372" s="188"/>
    </row>
    <row r="373" spans="1:26" s="157" customFormat="1" ht="16.5" x14ac:dyDescent="0.35">
      <c r="A373" s="461"/>
      <c r="B373" s="195" t="s">
        <v>398</v>
      </c>
      <c r="C373" s="599"/>
      <c r="D373" s="145">
        <v>2697.79</v>
      </c>
      <c r="E373" s="145">
        <v>2862.87</v>
      </c>
      <c r="F373" s="145">
        <v>2424.0500000000002</v>
      </c>
      <c r="G373" s="145">
        <v>2325.7800000000002</v>
      </c>
      <c r="H373" s="145">
        <v>1932.4</v>
      </c>
      <c r="I373" s="145">
        <v>1186.8800000000001</v>
      </c>
      <c r="J373" s="145">
        <v>1599.19</v>
      </c>
      <c r="K373" s="145">
        <v>1289.8900000000001</v>
      </c>
      <c r="L373" s="145">
        <v>1487.97</v>
      </c>
      <c r="M373" s="145">
        <v>2257.85</v>
      </c>
      <c r="N373" s="145">
        <v>2888.87</v>
      </c>
      <c r="O373" s="145">
        <v>4542.97</v>
      </c>
      <c r="P373" s="446"/>
      <c r="Q373" s="446"/>
      <c r="T373" s="171">
        <f>SUM(D373:O373)</f>
        <v>27496.51</v>
      </c>
      <c r="U373" s="188"/>
      <c r="W373" s="197">
        <f>T373</f>
        <v>27496.51</v>
      </c>
      <c r="X373" s="188"/>
    </row>
    <row r="374" spans="1:26" s="125" customFormat="1" x14ac:dyDescent="0.25">
      <c r="A374" s="461"/>
      <c r="B374" s="180"/>
      <c r="C374" s="611"/>
      <c r="D374" s="179"/>
      <c r="E374" s="179"/>
      <c r="F374" s="179"/>
      <c r="G374" s="179"/>
      <c r="H374" s="179"/>
      <c r="I374" s="179"/>
      <c r="J374" s="179"/>
      <c r="K374" s="179"/>
      <c r="L374" s="179"/>
      <c r="M374" s="179"/>
      <c r="N374" s="179"/>
      <c r="O374" s="179"/>
      <c r="T374" s="149"/>
      <c r="U374" s="150"/>
      <c r="V374" s="139"/>
      <c r="W374" s="143">
        <f>SUM(W370:W373)</f>
        <v>182400.86</v>
      </c>
      <c r="X374" s="138"/>
      <c r="Y374" s="157"/>
      <c r="Z374" s="674" t="s">
        <v>825</v>
      </c>
    </row>
    <row r="376" spans="1:26" s="128" customFormat="1" x14ac:dyDescent="0.25">
      <c r="A376" s="459">
        <v>40</v>
      </c>
      <c r="B376" s="127" t="s">
        <v>623</v>
      </c>
      <c r="C376" s="602"/>
      <c r="T376" s="127" t="s">
        <v>623</v>
      </c>
      <c r="U376" s="129"/>
      <c r="X376" s="129"/>
      <c r="Y376" s="166"/>
      <c r="Z376" s="166"/>
    </row>
    <row r="377" spans="1:26" s="125" customFormat="1" x14ac:dyDescent="0.25">
      <c r="A377" s="461"/>
      <c r="B377" s="130" t="s">
        <v>337</v>
      </c>
      <c r="C377" s="131">
        <v>42522</v>
      </c>
      <c r="D377" s="131">
        <v>42552</v>
      </c>
      <c r="E377" s="131">
        <v>42583</v>
      </c>
      <c r="F377" s="131">
        <v>42614</v>
      </c>
      <c r="G377" s="131">
        <v>42644</v>
      </c>
      <c r="H377" s="131">
        <v>42675</v>
      </c>
      <c r="I377" s="131">
        <v>42705</v>
      </c>
      <c r="J377" s="131">
        <v>42736</v>
      </c>
      <c r="K377" s="131">
        <v>42767</v>
      </c>
      <c r="L377" s="131">
        <v>42795</v>
      </c>
      <c r="M377" s="131">
        <v>42826</v>
      </c>
      <c r="N377" s="131">
        <v>42856</v>
      </c>
      <c r="O377" s="131">
        <v>42887</v>
      </c>
      <c r="P377" s="131">
        <v>42917</v>
      </c>
      <c r="Q377" s="131">
        <v>42948</v>
      </c>
      <c r="R377" s="131">
        <v>42992</v>
      </c>
      <c r="S377" s="132"/>
      <c r="T377" s="133" t="s">
        <v>338</v>
      </c>
      <c r="U377" s="134" t="s">
        <v>339</v>
      </c>
      <c r="V377" s="132"/>
      <c r="W377" s="133" t="s">
        <v>338</v>
      </c>
      <c r="X377" s="134" t="s">
        <v>339</v>
      </c>
      <c r="Y377" s="157"/>
      <c r="Z377" s="157"/>
    </row>
    <row r="378" spans="1:26" s="125" customFormat="1" x14ac:dyDescent="0.25">
      <c r="A378" s="461"/>
      <c r="B378" s="135" t="s">
        <v>340</v>
      </c>
      <c r="C378" s="606"/>
      <c r="D378" s="136">
        <v>70789</v>
      </c>
      <c r="E378" s="136">
        <v>90642</v>
      </c>
      <c r="F378" s="136">
        <v>103653</v>
      </c>
      <c r="G378" s="136">
        <v>106555</v>
      </c>
      <c r="H378" s="136">
        <v>107163</v>
      </c>
      <c r="I378" s="136">
        <v>90691</v>
      </c>
      <c r="J378" s="136">
        <v>126671</v>
      </c>
      <c r="K378" s="136">
        <v>75986</v>
      </c>
      <c r="L378" s="136">
        <v>102972</v>
      </c>
      <c r="M378" s="136">
        <v>100858</v>
      </c>
      <c r="N378" s="136">
        <v>66790</v>
      </c>
      <c r="O378" s="136">
        <v>61469</v>
      </c>
      <c r="P378" s="174"/>
      <c r="Q378" s="174"/>
      <c r="R378" s="174"/>
      <c r="T378" s="140">
        <f>SUM(D378:P378)</f>
        <v>1104239</v>
      </c>
      <c r="U378" s="138" t="s">
        <v>341</v>
      </c>
      <c r="V378" s="139"/>
      <c r="W378" s="140">
        <f>T378*3413/1000000</f>
        <v>3768.767707</v>
      </c>
      <c r="X378" s="138" t="s">
        <v>342</v>
      </c>
      <c r="Y378" s="157"/>
      <c r="Z378" s="157"/>
    </row>
    <row r="379" spans="1:26" s="125" customFormat="1" x14ac:dyDescent="0.25">
      <c r="A379" s="461"/>
      <c r="B379" s="135" t="s">
        <v>921</v>
      </c>
      <c r="C379" s="606"/>
      <c r="D379" s="136">
        <v>0</v>
      </c>
      <c r="E379" s="136">
        <v>0</v>
      </c>
      <c r="F379" s="136">
        <v>0</v>
      </c>
      <c r="G379" s="136">
        <v>0</v>
      </c>
      <c r="H379" s="136">
        <v>0</v>
      </c>
      <c r="I379" s="136">
        <v>9691.6796044097391</v>
      </c>
      <c r="J379" s="136">
        <v>9112.5576134864768</v>
      </c>
      <c r="K379" s="136">
        <v>7083.3684499780165</v>
      </c>
      <c r="L379" s="136">
        <v>7814.0575244632255</v>
      </c>
      <c r="M379" s="136">
        <v>5964.9739080117288</v>
      </c>
      <c r="N379" s="136">
        <v>0</v>
      </c>
      <c r="O379" s="136">
        <v>0</v>
      </c>
      <c r="P379" s="174"/>
      <c r="Q379" s="174"/>
      <c r="R379" s="174"/>
      <c r="T379" s="140">
        <f>SUM(D379:P379)</f>
        <v>39666.637100349188</v>
      </c>
      <c r="U379" s="138" t="s">
        <v>354</v>
      </c>
      <c r="V379" s="139"/>
      <c r="W379" s="140">
        <f>T379*99976.124488/1000000</f>
        <v>3965.7166487648296</v>
      </c>
      <c r="X379" s="138" t="s">
        <v>342</v>
      </c>
      <c r="Y379" s="157"/>
      <c r="Z379" s="157"/>
    </row>
    <row r="380" spans="1:26" s="125" customFormat="1" x14ac:dyDescent="0.25">
      <c r="A380" s="461"/>
      <c r="B380" s="135" t="s">
        <v>1231</v>
      </c>
      <c r="C380" s="606"/>
      <c r="D380" s="136">
        <v>133783.61850085694</v>
      </c>
      <c r="E380" s="136">
        <v>147811.33776306125</v>
      </c>
      <c r="F380" s="136">
        <v>119652.93653417901</v>
      </c>
      <c r="G380" s="136">
        <v>67415.109937156783</v>
      </c>
      <c r="H380" s="136">
        <v>57316.947773671141</v>
      </c>
      <c r="I380" s="136">
        <v>53033.163236134271</v>
      </c>
      <c r="J380" s="136">
        <v>64641.817309284241</v>
      </c>
      <c r="K380" s="136">
        <v>43003.345080390354</v>
      </c>
      <c r="L380" s="136">
        <v>88241.494544649002</v>
      </c>
      <c r="M380" s="136">
        <v>143721.86462008418</v>
      </c>
      <c r="N380" s="136">
        <v>93238.200888432882</v>
      </c>
      <c r="O380" s="136">
        <v>77154.577733213635</v>
      </c>
      <c r="P380" s="174"/>
      <c r="Q380" s="174"/>
      <c r="R380" s="174"/>
      <c r="T380" s="140">
        <f t="shared" ref="T380:T386" si="16">SUM(D380:P380)</f>
        <v>1089014.4139211136</v>
      </c>
      <c r="U380" s="138" t="s">
        <v>341</v>
      </c>
      <c r="V380" s="139"/>
      <c r="W380" s="140">
        <f>T380*3413/1000000</f>
        <v>3716.8061947127608</v>
      </c>
      <c r="X380" s="138" t="s">
        <v>342</v>
      </c>
      <c r="Y380" s="157"/>
      <c r="Z380" s="157"/>
    </row>
    <row r="381" spans="1:26" s="125" customFormat="1" x14ac:dyDescent="0.25">
      <c r="A381" s="461"/>
      <c r="B381" s="135" t="s">
        <v>372</v>
      </c>
      <c r="C381" s="612"/>
      <c r="D381" s="160">
        <v>1344</v>
      </c>
      <c r="E381" s="160">
        <v>2163</v>
      </c>
      <c r="F381" s="160">
        <v>2692</v>
      </c>
      <c r="G381" s="160">
        <v>2679</v>
      </c>
      <c r="H381" s="160">
        <v>3195</v>
      </c>
      <c r="I381" s="160">
        <v>1314</v>
      </c>
      <c r="J381" s="160">
        <v>874</v>
      </c>
      <c r="K381" s="160">
        <v>827</v>
      </c>
      <c r="L381" s="160">
        <v>783</v>
      </c>
      <c r="M381" s="160">
        <v>2276</v>
      </c>
      <c r="N381" s="160">
        <v>1834</v>
      </c>
      <c r="O381" s="160">
        <v>1135</v>
      </c>
      <c r="P381" s="456"/>
      <c r="Q381" s="554"/>
      <c r="R381" s="444"/>
      <c r="T381" s="140">
        <f t="shared" si="16"/>
        <v>21116</v>
      </c>
      <c r="U381" s="138" t="s">
        <v>354</v>
      </c>
      <c r="V381" s="139"/>
      <c r="W381" s="140">
        <f>T381*99976.124488/1000000</f>
        <v>2111.0958446886079</v>
      </c>
      <c r="X381" s="138" t="s">
        <v>342</v>
      </c>
      <c r="Y381" s="495">
        <f>W378+W379+W381</f>
        <v>9845.580200453438</v>
      </c>
      <c r="Z381" s="153" t="s">
        <v>677</v>
      </c>
    </row>
    <row r="382" spans="1:26" s="125" customFormat="1" x14ac:dyDescent="0.25">
      <c r="A382" s="461"/>
      <c r="B382" s="135" t="s">
        <v>864</v>
      </c>
      <c r="C382" s="606"/>
      <c r="D382" s="141">
        <v>19.02</v>
      </c>
      <c r="E382" s="141">
        <v>328.73</v>
      </c>
      <c r="F382" s="141">
        <v>328.73</v>
      </c>
      <c r="G382" s="141">
        <v>364.26</v>
      </c>
      <c r="H382" s="141">
        <v>19.39</v>
      </c>
      <c r="I382" s="141">
        <v>689.84</v>
      </c>
      <c r="J382" s="141">
        <v>353.88</v>
      </c>
      <c r="K382" s="141">
        <v>411.87</v>
      </c>
      <c r="L382" s="141">
        <v>284.27</v>
      </c>
      <c r="M382" s="141">
        <v>193.1</v>
      </c>
      <c r="N382" s="141">
        <v>207.25</v>
      </c>
      <c r="O382" s="141">
        <v>180.96</v>
      </c>
      <c r="P382" s="178"/>
      <c r="Q382" s="178"/>
      <c r="R382" s="178"/>
      <c r="T382" s="140">
        <f t="shared" si="16"/>
        <v>3381.3</v>
      </c>
      <c r="U382" s="138" t="s">
        <v>379</v>
      </c>
      <c r="V382" s="139"/>
      <c r="W382" s="137">
        <f>T382*748</f>
        <v>2529212.4</v>
      </c>
      <c r="X382" s="138" t="s">
        <v>346</v>
      </c>
      <c r="Y382" s="157"/>
      <c r="Z382" s="157"/>
    </row>
    <row r="383" spans="1:26" s="125" customFormat="1" x14ac:dyDescent="0.25">
      <c r="A383" s="461"/>
      <c r="B383" s="135" t="s">
        <v>324</v>
      </c>
      <c r="C383" s="606"/>
      <c r="D383" s="142">
        <v>5037.6169740866717</v>
      </c>
      <c r="E383" s="142">
        <v>6450.4326627747832</v>
      </c>
      <c r="F383" s="142">
        <v>7376.3453674300499</v>
      </c>
      <c r="G383" s="142">
        <v>7582.8628271879152</v>
      </c>
      <c r="H383" s="142">
        <v>7626.1304410861858</v>
      </c>
      <c r="I383" s="142">
        <v>6453.9196908685581</v>
      </c>
      <c r="J383" s="142">
        <v>9014.3946054405751</v>
      </c>
      <c r="K383" s="142">
        <v>5407.4554435427799</v>
      </c>
      <c r="L383" s="142">
        <v>7327.8827933104403</v>
      </c>
      <c r="M383" s="142">
        <v>7177.442438407571</v>
      </c>
      <c r="N383" s="142">
        <v>4753.0327833314332</v>
      </c>
      <c r="O383" s="142">
        <v>4374.3699978829145</v>
      </c>
      <c r="P383" s="176"/>
      <c r="Q383" s="176"/>
      <c r="R383" s="176"/>
      <c r="T383" s="140">
        <f t="shared" si="16"/>
        <v>78581.886025349871</v>
      </c>
      <c r="U383" s="138"/>
      <c r="V383" s="139"/>
      <c r="W383" s="143">
        <f>T383</f>
        <v>78581.886025349871</v>
      </c>
      <c r="X383" s="138"/>
      <c r="Y383" s="157"/>
      <c r="Z383" s="157"/>
    </row>
    <row r="384" spans="1:26" s="125" customFormat="1" x14ac:dyDescent="0.25">
      <c r="A384" s="461"/>
      <c r="B384" s="144" t="s">
        <v>922</v>
      </c>
      <c r="C384" s="607"/>
      <c r="D384" s="145">
        <v>0</v>
      </c>
      <c r="E384" s="145">
        <v>0</v>
      </c>
      <c r="F384" s="145">
        <v>0</v>
      </c>
      <c r="G384" s="145">
        <v>0</v>
      </c>
      <c r="H384" s="145">
        <v>0</v>
      </c>
      <c r="I384" s="145">
        <v>5540.622617192751</v>
      </c>
      <c r="J384" s="145">
        <v>3951.6975481270592</v>
      </c>
      <c r="K384" s="145">
        <v>3750.1011459381775</v>
      </c>
      <c r="L384" s="145">
        <v>3182.6599133204218</v>
      </c>
      <c r="M384" s="145">
        <v>1587.1031317925649</v>
      </c>
      <c r="N384" s="145">
        <v>0</v>
      </c>
      <c r="O384" s="145">
        <v>0</v>
      </c>
      <c r="P384" s="179"/>
      <c r="Q384" s="179"/>
      <c r="R384" s="179"/>
      <c r="T384" s="140">
        <f t="shared" si="16"/>
        <v>18012.184356370977</v>
      </c>
      <c r="U384" s="138"/>
      <c r="V384" s="139"/>
      <c r="W384" s="143">
        <f>T384</f>
        <v>18012.184356370977</v>
      </c>
      <c r="X384" s="138"/>
      <c r="Y384" s="157"/>
      <c r="Z384" s="157"/>
    </row>
    <row r="385" spans="1:26" s="125" customFormat="1" x14ac:dyDescent="0.25">
      <c r="A385" s="461"/>
      <c r="B385" s="144" t="s">
        <v>1232</v>
      </c>
      <c r="C385" s="607"/>
      <c r="D385" s="145">
        <v>9520.5558408036941</v>
      </c>
      <c r="E385" s="145">
        <v>10518.822190985262</v>
      </c>
      <c r="F385" s="145">
        <v>8514.9622693341553</v>
      </c>
      <c r="G385" s="145">
        <v>4797.5180060368148</v>
      </c>
      <c r="H385" s="145">
        <v>4078.8940231884194</v>
      </c>
      <c r="I385" s="145">
        <v>3774.043471554327</v>
      </c>
      <c r="J385" s="145">
        <v>4600.1598569418966</v>
      </c>
      <c r="K385" s="145">
        <v>3060.2831106454537</v>
      </c>
      <c r="L385" s="145">
        <v>6279.6034798754081</v>
      </c>
      <c r="M385" s="145">
        <v>10227.799584081182</v>
      </c>
      <c r="N385" s="145">
        <v>6635.1882838982401</v>
      </c>
      <c r="O385" s="145">
        <v>5490.6159207973924</v>
      </c>
      <c r="P385" s="179"/>
      <c r="Q385" s="179"/>
      <c r="R385" s="179"/>
      <c r="T385" s="140">
        <f t="shared" si="16"/>
        <v>77498.446038142254</v>
      </c>
      <c r="U385" s="138"/>
      <c r="V385" s="139"/>
      <c r="W385" s="143">
        <f>T385</f>
        <v>77498.446038142254</v>
      </c>
      <c r="X385" s="138"/>
      <c r="Y385" s="157"/>
      <c r="Z385" s="157"/>
    </row>
    <row r="386" spans="1:26" s="125" customFormat="1" ht="16.5" x14ac:dyDescent="0.35">
      <c r="A386" s="461"/>
      <c r="B386" s="144" t="s">
        <v>374</v>
      </c>
      <c r="C386" s="611"/>
      <c r="D386" s="440">
        <v>944.51</v>
      </c>
      <c r="E386" s="145">
        <v>1506.66</v>
      </c>
      <c r="F386" s="145">
        <v>1869.76</v>
      </c>
      <c r="G386" s="145">
        <v>1945.33</v>
      </c>
      <c r="H386" s="145">
        <v>2557.42</v>
      </c>
      <c r="I386" s="145">
        <v>1123.22</v>
      </c>
      <c r="J386" s="145">
        <v>753.12</v>
      </c>
      <c r="K386" s="145">
        <v>713.8</v>
      </c>
      <c r="L386" s="145">
        <v>644.51</v>
      </c>
      <c r="M386" s="145">
        <v>1864.4</v>
      </c>
      <c r="N386" s="145">
        <v>1506.6</v>
      </c>
      <c r="O386" s="145">
        <v>951.29</v>
      </c>
      <c r="P386" s="179"/>
      <c r="Q386" s="184"/>
      <c r="R386" s="444"/>
      <c r="T386" s="140">
        <f t="shared" si="16"/>
        <v>16380.619999999999</v>
      </c>
      <c r="U386" s="138"/>
      <c r="V386" s="139"/>
      <c r="W386" s="146">
        <f>T386</f>
        <v>16380.619999999999</v>
      </c>
      <c r="X386" s="138"/>
      <c r="Y386" s="157"/>
      <c r="Z386" s="157"/>
    </row>
    <row r="387" spans="1:26" x14ac:dyDescent="0.25">
      <c r="W387" s="143">
        <f>SUM(W383:W386)</f>
        <v>190473.13641986309</v>
      </c>
      <c r="X387" s="138"/>
    </row>
    <row r="388" spans="1:26" x14ac:dyDescent="0.25">
      <c r="W388" s="149"/>
      <c r="X388" s="150"/>
    </row>
    <row r="389" spans="1:26" x14ac:dyDescent="0.25">
      <c r="A389" s="462">
        <v>41</v>
      </c>
      <c r="B389" s="460" t="s">
        <v>1601</v>
      </c>
      <c r="T389" s="666" t="s">
        <v>1601</v>
      </c>
      <c r="W389" s="149"/>
      <c r="X389" s="150"/>
    </row>
    <row r="390" spans="1:26" s="125" customFormat="1" x14ac:dyDescent="0.25">
      <c r="A390" s="461"/>
      <c r="B390" s="130" t="s">
        <v>337</v>
      </c>
      <c r="C390" s="131">
        <v>42522</v>
      </c>
      <c r="D390" s="131">
        <v>42552</v>
      </c>
      <c r="E390" s="131">
        <v>42583</v>
      </c>
      <c r="F390" s="131">
        <v>42614</v>
      </c>
      <c r="G390" s="131">
        <v>42644</v>
      </c>
      <c r="H390" s="131">
        <v>42675</v>
      </c>
      <c r="I390" s="131">
        <v>42705</v>
      </c>
      <c r="J390" s="131">
        <v>42736</v>
      </c>
      <c r="K390" s="131">
        <v>42767</v>
      </c>
      <c r="L390" s="131">
        <v>42795</v>
      </c>
      <c r="M390" s="131">
        <v>42826</v>
      </c>
      <c r="N390" s="131">
        <v>42856</v>
      </c>
      <c r="O390" s="131">
        <v>42887</v>
      </c>
      <c r="P390" s="131">
        <v>42917</v>
      </c>
      <c r="Q390" s="131">
        <v>42948</v>
      </c>
      <c r="R390" s="131">
        <v>42992</v>
      </c>
      <c r="S390" s="132"/>
      <c r="T390" s="133" t="s">
        <v>338</v>
      </c>
      <c r="U390" s="134" t="s">
        <v>339</v>
      </c>
      <c r="V390" s="132"/>
      <c r="W390" s="133" t="s">
        <v>338</v>
      </c>
      <c r="X390" s="134" t="s">
        <v>339</v>
      </c>
      <c r="Y390" s="157"/>
      <c r="Z390" s="157"/>
    </row>
    <row r="391" spans="1:26" s="125" customFormat="1" x14ac:dyDescent="0.25">
      <c r="A391" s="461"/>
      <c r="B391" s="135" t="s">
        <v>340</v>
      </c>
      <c r="C391" s="612"/>
      <c r="D391" s="615"/>
      <c r="E391" s="1258">
        <v>27521</v>
      </c>
      <c r="F391" s="160">
        <v>27735.53</v>
      </c>
      <c r="G391" s="160">
        <v>20205</v>
      </c>
      <c r="H391" s="160">
        <v>19726.830000000002</v>
      </c>
      <c r="I391" s="160">
        <v>16030.75</v>
      </c>
      <c r="J391" s="160">
        <v>16441.895</v>
      </c>
      <c r="K391" s="160">
        <v>18656.95</v>
      </c>
      <c r="L391" s="160">
        <v>20884.187999999998</v>
      </c>
      <c r="M391" s="160">
        <v>22695.627</v>
      </c>
      <c r="N391" s="160">
        <v>22662.143</v>
      </c>
      <c r="O391" s="160">
        <v>21777.506000000001</v>
      </c>
      <c r="P391" s="160">
        <v>25951.063999999998</v>
      </c>
      <c r="Q391" s="554"/>
      <c r="T391" s="137">
        <f>SUM(D391:R391)</f>
        <v>260288.48300000001</v>
      </c>
      <c r="U391" s="138" t="s">
        <v>341</v>
      </c>
      <c r="V391" s="139"/>
      <c r="W391" s="140">
        <f>T391*3413/1000000</f>
        <v>888.36459247899995</v>
      </c>
      <c r="X391" s="138" t="s">
        <v>342</v>
      </c>
      <c r="Y391" s="157"/>
      <c r="Z391" s="157"/>
    </row>
    <row r="392" spans="1:26" s="125" customFormat="1" x14ac:dyDescent="0.25">
      <c r="A392" s="461"/>
      <c r="B392" s="135" t="s">
        <v>1221</v>
      </c>
      <c r="C392" s="612"/>
      <c r="D392" s="615"/>
      <c r="E392" s="160">
        <v>39</v>
      </c>
      <c r="F392" s="160">
        <v>3</v>
      </c>
      <c r="G392" s="160">
        <v>231</v>
      </c>
      <c r="H392" s="160">
        <v>443</v>
      </c>
      <c r="I392" s="160">
        <v>1612</v>
      </c>
      <c r="J392" s="160">
        <v>1890</v>
      </c>
      <c r="K392" s="160">
        <v>1376</v>
      </c>
      <c r="L392" s="160">
        <v>1616</v>
      </c>
      <c r="M392" s="160">
        <v>862</v>
      </c>
      <c r="N392" s="160">
        <v>668</v>
      </c>
      <c r="O392" s="160">
        <v>136</v>
      </c>
      <c r="P392" s="160">
        <v>73</v>
      </c>
      <c r="Q392" s="554"/>
      <c r="T392" s="137">
        <f t="shared" ref="T392:T393" si="17">SUM(D392:R392)</f>
        <v>8949</v>
      </c>
      <c r="U392" s="138" t="s">
        <v>354</v>
      </c>
      <c r="V392" s="139"/>
      <c r="W392" s="140">
        <f>T392*99976.124488/1000000</f>
        <v>894.68633804311207</v>
      </c>
      <c r="X392" s="138" t="s">
        <v>342</v>
      </c>
      <c r="Y392" s="495">
        <f>W391+W392</f>
        <v>1783.0509305221121</v>
      </c>
      <c r="Z392" s="138" t="s">
        <v>342</v>
      </c>
    </row>
    <row r="393" spans="1:26" s="125" customFormat="1" x14ac:dyDescent="0.25">
      <c r="A393" s="461"/>
      <c r="B393" s="135" t="s">
        <v>614</v>
      </c>
      <c r="C393" s="201"/>
      <c r="D393" s="615"/>
      <c r="E393" s="141">
        <v>2851</v>
      </c>
      <c r="F393" s="760">
        <v>3109.74</v>
      </c>
      <c r="G393" s="760">
        <v>1253.96</v>
      </c>
      <c r="H393" s="760">
        <v>1083.29</v>
      </c>
      <c r="I393" s="760">
        <v>373</v>
      </c>
      <c r="J393" s="760">
        <v>567</v>
      </c>
      <c r="K393" s="750">
        <v>3979</v>
      </c>
      <c r="L393" s="750">
        <v>1159.79</v>
      </c>
      <c r="M393" s="750">
        <v>1353.27</v>
      </c>
      <c r="N393" s="750">
        <v>1630.825</v>
      </c>
      <c r="O393" s="750">
        <v>1490.8579999999999</v>
      </c>
      <c r="P393" s="750">
        <v>1881.7473</v>
      </c>
      <c r="Q393" s="596"/>
      <c r="T393" s="137">
        <f t="shared" si="17"/>
        <v>20733.480299999999</v>
      </c>
      <c r="U393" s="138" t="s">
        <v>379</v>
      </c>
      <c r="V393" s="139"/>
      <c r="W393" s="137">
        <f>T393*7.48</f>
        <v>155086.43264400001</v>
      </c>
      <c r="X393" s="138" t="s">
        <v>346</v>
      </c>
      <c r="Y393" s="157"/>
      <c r="Z393" s="157"/>
    </row>
    <row r="394" spans="1:26" s="125" customFormat="1" x14ac:dyDescent="0.25">
      <c r="A394" s="461"/>
      <c r="B394" s="135" t="s">
        <v>347</v>
      </c>
      <c r="C394" s="613"/>
      <c r="D394" s="615"/>
      <c r="E394" s="198">
        <v>2752</v>
      </c>
      <c r="F394" s="142">
        <v>2773.5529999999999</v>
      </c>
      <c r="G394" s="142">
        <v>2020.5</v>
      </c>
      <c r="H394" s="142">
        <v>1972.68</v>
      </c>
      <c r="I394" s="142">
        <v>1603.075</v>
      </c>
      <c r="J394" s="142">
        <v>1644</v>
      </c>
      <c r="K394" s="142">
        <v>1865.6949999999999</v>
      </c>
      <c r="L394" s="142">
        <v>2088.4187999999999</v>
      </c>
      <c r="M394" s="142">
        <v>2269.56</v>
      </c>
      <c r="N394" s="142">
        <v>2266.2143000000001</v>
      </c>
      <c r="O394" s="142">
        <v>2177.75</v>
      </c>
      <c r="P394" s="142">
        <v>2595.11</v>
      </c>
      <c r="Q394" s="554"/>
      <c r="T394" s="137">
        <f>SUM(D394:R394)</f>
        <v>26028.556100000002</v>
      </c>
      <c r="U394" s="138"/>
      <c r="V394" s="139"/>
      <c r="W394" s="143">
        <f>T394</f>
        <v>26028.556100000002</v>
      </c>
      <c r="X394" s="138"/>
      <c r="Y394" s="157"/>
      <c r="Z394" s="157"/>
    </row>
    <row r="395" spans="1:26" s="125" customFormat="1" ht="16.5" x14ac:dyDescent="0.35">
      <c r="A395" s="461"/>
      <c r="B395" s="144" t="s">
        <v>374</v>
      </c>
      <c r="C395" s="611"/>
      <c r="D395" s="615"/>
      <c r="E395" s="145">
        <v>45.4</v>
      </c>
      <c r="F395" s="145">
        <v>20.78</v>
      </c>
      <c r="G395" s="145">
        <v>177.94</v>
      </c>
      <c r="H395" s="145">
        <v>333.27</v>
      </c>
      <c r="I395" s="145">
        <v>1141.4000000000001</v>
      </c>
      <c r="J395" s="145">
        <v>1394</v>
      </c>
      <c r="K395" s="145">
        <v>1091.72</v>
      </c>
      <c r="L395" s="145">
        <v>1276.32</v>
      </c>
      <c r="M395" s="145">
        <v>708.51</v>
      </c>
      <c r="N395" s="145">
        <v>564.83000000000004</v>
      </c>
      <c r="O395" s="145">
        <v>131.74</v>
      </c>
      <c r="P395" s="145">
        <v>79.38</v>
      </c>
      <c r="Q395" s="184"/>
      <c r="T395" s="137">
        <f>SUM(D395:R395)</f>
        <v>6965.29</v>
      </c>
      <c r="U395" s="138"/>
      <c r="V395" s="139"/>
      <c r="W395" s="146">
        <f>T395</f>
        <v>6965.29</v>
      </c>
      <c r="X395" s="138"/>
      <c r="Y395" s="157"/>
      <c r="Z395" s="157"/>
    </row>
    <row r="396" spans="1:26" s="125" customFormat="1" x14ac:dyDescent="0.25">
      <c r="A396" s="461"/>
      <c r="B396" s="180"/>
      <c r="C396" s="611"/>
      <c r="D396" s="611"/>
      <c r="E396" s="179"/>
      <c r="F396" s="179"/>
      <c r="G396" s="179"/>
      <c r="H396" s="179"/>
      <c r="I396" s="179"/>
      <c r="J396" s="179"/>
      <c r="K396" s="179"/>
      <c r="L396" s="179"/>
      <c r="M396" s="179"/>
      <c r="N396" s="179"/>
      <c r="O396" s="179"/>
      <c r="T396" s="149"/>
      <c r="U396" s="150"/>
      <c r="V396" s="139"/>
      <c r="W396" s="143">
        <f>SUM(W394:W395)</f>
        <v>32993.846100000002</v>
      </c>
      <c r="X396" s="138"/>
      <c r="Y396" s="157"/>
      <c r="Z396" s="674"/>
    </row>
    <row r="397" spans="1:26" x14ac:dyDescent="0.25">
      <c r="W397" s="149"/>
      <c r="X397" s="150"/>
    </row>
    <row r="398" spans="1:26" s="128" customFormat="1" x14ac:dyDescent="0.25">
      <c r="A398" s="459">
        <v>42</v>
      </c>
      <c r="B398" s="127" t="s">
        <v>624</v>
      </c>
      <c r="C398" s="173"/>
      <c r="S398" s="173"/>
      <c r="T398" s="127" t="s">
        <v>624</v>
      </c>
      <c r="W398" s="129"/>
      <c r="Y398" s="166"/>
      <c r="Z398" s="166"/>
    </row>
    <row r="399" spans="1:26" s="125" customFormat="1" x14ac:dyDescent="0.25">
      <c r="A399" s="461"/>
      <c r="B399" s="130" t="s">
        <v>337</v>
      </c>
      <c r="C399" s="131">
        <v>42522</v>
      </c>
      <c r="D399" s="131">
        <v>42552</v>
      </c>
      <c r="E399" s="131">
        <v>42583</v>
      </c>
      <c r="F399" s="131">
        <v>42614</v>
      </c>
      <c r="G399" s="131">
        <v>42644</v>
      </c>
      <c r="H399" s="131">
        <v>42675</v>
      </c>
      <c r="I399" s="131">
        <v>42705</v>
      </c>
      <c r="J399" s="131">
        <v>42736</v>
      </c>
      <c r="K399" s="131">
        <v>42767</v>
      </c>
      <c r="L399" s="131">
        <v>42795</v>
      </c>
      <c r="M399" s="131">
        <v>42826</v>
      </c>
      <c r="N399" s="131">
        <v>42856</v>
      </c>
      <c r="O399" s="131">
        <v>42887</v>
      </c>
      <c r="P399" s="131">
        <v>42917</v>
      </c>
      <c r="Q399" s="131">
        <v>42948</v>
      </c>
      <c r="R399" s="131">
        <v>42992</v>
      </c>
      <c r="S399" s="132"/>
      <c r="T399" s="133" t="s">
        <v>338</v>
      </c>
      <c r="U399" s="134" t="s">
        <v>339</v>
      </c>
      <c r="V399" s="132"/>
      <c r="W399" s="133" t="s">
        <v>338</v>
      </c>
      <c r="X399" s="134" t="s">
        <v>339</v>
      </c>
      <c r="Y399" s="157"/>
      <c r="Z399" s="157"/>
    </row>
    <row r="400" spans="1:26" s="125" customFormat="1" x14ac:dyDescent="0.25">
      <c r="A400" s="461"/>
      <c r="B400" s="135" t="s">
        <v>340</v>
      </c>
      <c r="C400" s="606"/>
      <c r="D400" s="454"/>
      <c r="E400" s="454"/>
      <c r="F400" s="454"/>
      <c r="G400" s="454"/>
      <c r="H400" s="454"/>
      <c r="I400" s="454"/>
      <c r="J400" s="454"/>
      <c r="K400" s="454"/>
      <c r="L400" s="454"/>
      <c r="M400" s="454"/>
      <c r="N400" s="454"/>
      <c r="O400" s="454"/>
      <c r="P400" s="174"/>
      <c r="Q400" s="174"/>
      <c r="R400" s="174"/>
      <c r="T400" s="140">
        <f>SUM(C400:S400)</f>
        <v>0</v>
      </c>
      <c r="U400" s="138" t="s">
        <v>341</v>
      </c>
      <c r="V400" s="139"/>
      <c r="W400" s="140">
        <f>T400*3413/1000000</f>
        <v>0</v>
      </c>
      <c r="X400" s="138" t="s">
        <v>342</v>
      </c>
      <c r="Y400" s="157"/>
      <c r="Z400" s="157"/>
    </row>
    <row r="401" spans="1:26" s="125" customFormat="1" x14ac:dyDescent="0.25">
      <c r="A401" s="461"/>
      <c r="B401" s="135" t="s">
        <v>372</v>
      </c>
      <c r="C401" s="606"/>
      <c r="D401" s="454"/>
      <c r="E401" s="454"/>
      <c r="F401" s="454"/>
      <c r="G401" s="454"/>
      <c r="H401" s="454"/>
      <c r="I401" s="454"/>
      <c r="J401" s="454"/>
      <c r="K401" s="454"/>
      <c r="L401" s="454"/>
      <c r="M401" s="454"/>
      <c r="N401" s="454"/>
      <c r="O401" s="454"/>
      <c r="P401" s="174"/>
      <c r="Q401" s="174"/>
      <c r="R401" s="174"/>
      <c r="T401" s="140">
        <f>SUM(C401:S401)</f>
        <v>0</v>
      </c>
      <c r="U401" s="138" t="s">
        <v>354</v>
      </c>
      <c r="V401" s="139"/>
      <c r="W401" s="140">
        <f>T401*99976.124488/1000000</f>
        <v>0</v>
      </c>
      <c r="X401" s="138" t="s">
        <v>342</v>
      </c>
      <c r="Y401" s="495">
        <f>W400+W401</f>
        <v>0</v>
      </c>
      <c r="Z401" s="153" t="s">
        <v>677</v>
      </c>
    </row>
    <row r="402" spans="1:26" s="125" customFormat="1" x14ac:dyDescent="0.25">
      <c r="A402" s="461"/>
      <c r="B402" s="135" t="s">
        <v>366</v>
      </c>
      <c r="C402" s="606"/>
      <c r="D402" s="454"/>
      <c r="E402" s="454"/>
      <c r="F402" s="454"/>
      <c r="G402" s="454"/>
      <c r="H402" s="454"/>
      <c r="I402" s="454"/>
      <c r="J402" s="454"/>
      <c r="K402" s="454"/>
      <c r="L402" s="454"/>
      <c r="M402" s="454"/>
      <c r="N402" s="454"/>
      <c r="O402" s="454"/>
      <c r="P402" s="178"/>
      <c r="Q402" s="178"/>
      <c r="R402" s="178"/>
      <c r="T402" s="140">
        <f>SUM(C402:S402)</f>
        <v>0</v>
      </c>
      <c r="U402" s="138" t="s">
        <v>367</v>
      </c>
      <c r="V402" s="139"/>
      <c r="W402" s="137">
        <f>T402*7.48</f>
        <v>0</v>
      </c>
      <c r="X402" s="138" t="s">
        <v>346</v>
      </c>
      <c r="Y402" s="157"/>
      <c r="Z402" s="157"/>
    </row>
    <row r="403" spans="1:26" s="125" customFormat="1" x14ac:dyDescent="0.25">
      <c r="A403" s="461"/>
      <c r="B403" s="135" t="s">
        <v>324</v>
      </c>
      <c r="C403" s="606"/>
      <c r="D403" s="455"/>
      <c r="E403" s="455"/>
      <c r="F403" s="455"/>
      <c r="G403" s="455"/>
      <c r="H403" s="455"/>
      <c r="I403" s="455"/>
      <c r="J403" s="455"/>
      <c r="K403" s="455"/>
      <c r="L403" s="455"/>
      <c r="M403" s="455"/>
      <c r="N403" s="455"/>
      <c r="O403" s="455"/>
      <c r="P403" s="176"/>
      <c r="Q403" s="176"/>
      <c r="R403" s="176"/>
      <c r="T403" s="143">
        <f>SUM(C403:S403)</f>
        <v>0</v>
      </c>
      <c r="U403" s="138"/>
      <c r="V403" s="139"/>
      <c r="W403" s="143">
        <f>T403</f>
        <v>0</v>
      </c>
      <c r="X403" s="138"/>
      <c r="Y403" s="157"/>
      <c r="Z403" s="157"/>
    </row>
    <row r="404" spans="1:26" s="125" customFormat="1" ht="16.5" x14ac:dyDescent="0.35">
      <c r="A404" s="461"/>
      <c r="B404" s="144" t="s">
        <v>374</v>
      </c>
      <c r="C404" s="607"/>
      <c r="D404" s="455"/>
      <c r="E404" s="455"/>
      <c r="F404" s="455"/>
      <c r="G404" s="455"/>
      <c r="H404" s="455"/>
      <c r="I404" s="455"/>
      <c r="J404" s="455"/>
      <c r="K404" s="455"/>
      <c r="L404" s="455"/>
      <c r="M404" s="455"/>
      <c r="N404" s="455"/>
      <c r="O404" s="455"/>
      <c r="P404" s="179"/>
      <c r="Q404" s="179"/>
      <c r="R404" s="179"/>
      <c r="T404" s="143">
        <f>SUM(C404:S404)</f>
        <v>0</v>
      </c>
      <c r="U404" s="138"/>
      <c r="V404" s="139"/>
      <c r="W404" s="146">
        <f>T404</f>
        <v>0</v>
      </c>
      <c r="X404" s="138"/>
      <c r="Y404" s="157"/>
      <c r="Z404" s="157"/>
    </row>
    <row r="405" spans="1:26" x14ac:dyDescent="0.25">
      <c r="W405" s="143">
        <f>SUM(W403:W404)</f>
        <v>0</v>
      </c>
      <c r="X405" s="138"/>
    </row>
    <row r="407" spans="1:26" s="128" customFormat="1" x14ac:dyDescent="0.25">
      <c r="A407" s="459">
        <v>43</v>
      </c>
      <c r="B407" s="127" t="s">
        <v>625</v>
      </c>
      <c r="C407" s="173"/>
      <c r="S407" s="173"/>
      <c r="T407" s="127" t="s">
        <v>625</v>
      </c>
      <c r="W407" s="129"/>
      <c r="Y407" s="166"/>
      <c r="Z407" s="166"/>
    </row>
    <row r="408" spans="1:26" s="125" customFormat="1" x14ac:dyDescent="0.25">
      <c r="A408" s="461"/>
      <c r="B408" s="130" t="s">
        <v>337</v>
      </c>
      <c r="C408" s="131">
        <v>42522</v>
      </c>
      <c r="D408" s="131">
        <v>42552</v>
      </c>
      <c r="E408" s="131">
        <v>42583</v>
      </c>
      <c r="F408" s="131">
        <v>42614</v>
      </c>
      <c r="G408" s="131">
        <v>42644</v>
      </c>
      <c r="H408" s="131">
        <v>42675</v>
      </c>
      <c r="I408" s="131">
        <v>42705</v>
      </c>
      <c r="J408" s="131">
        <v>42736</v>
      </c>
      <c r="K408" s="131">
        <v>42767</v>
      </c>
      <c r="L408" s="131">
        <v>42795</v>
      </c>
      <c r="M408" s="131">
        <v>42826</v>
      </c>
      <c r="N408" s="131">
        <v>42856</v>
      </c>
      <c r="O408" s="131">
        <v>42887</v>
      </c>
      <c r="P408" s="131">
        <v>42917</v>
      </c>
      <c r="Q408" s="131">
        <v>42948</v>
      </c>
      <c r="R408" s="131">
        <v>42992</v>
      </c>
      <c r="S408" s="132"/>
      <c r="T408" s="133" t="s">
        <v>338</v>
      </c>
      <c r="U408" s="134" t="s">
        <v>339</v>
      </c>
      <c r="V408" s="132"/>
      <c r="W408" s="133" t="s">
        <v>338</v>
      </c>
      <c r="X408" s="134" t="s">
        <v>339</v>
      </c>
      <c r="Y408" s="157"/>
      <c r="Z408" s="157"/>
    </row>
    <row r="409" spans="1:26" s="125" customFormat="1" x14ac:dyDescent="0.25">
      <c r="A409" s="461"/>
      <c r="B409" s="135" t="s">
        <v>340</v>
      </c>
      <c r="C409" s="606"/>
      <c r="D409" s="174"/>
      <c r="E409" s="136">
        <v>38320.007324213977</v>
      </c>
      <c r="F409" s="734">
        <v>31811.03515625</v>
      </c>
      <c r="G409" s="734">
        <v>26853.02734375</v>
      </c>
      <c r="H409" s="734">
        <v>25903.930664059997</v>
      </c>
      <c r="I409" s="734">
        <v>25402.954101570002</v>
      </c>
      <c r="J409" s="734">
        <v>26928.100585929998</v>
      </c>
      <c r="K409" s="736">
        <v>23670.8984375</v>
      </c>
      <c r="L409" s="736">
        <v>26217.041015630002</v>
      </c>
      <c r="M409" s="736">
        <v>25682.983398440003</v>
      </c>
      <c r="N409" s="736">
        <v>28046.020507809997</v>
      </c>
      <c r="O409" s="736">
        <v>26443.969726559997</v>
      </c>
      <c r="P409" s="736">
        <v>30530.029296880002</v>
      </c>
      <c r="Q409" s="1178"/>
      <c r="R409" s="174"/>
      <c r="T409" s="140">
        <f>SUM(E409:P409)</f>
        <v>335809.99755859398</v>
      </c>
      <c r="U409" s="138" t="s">
        <v>341</v>
      </c>
      <c r="V409" s="139"/>
      <c r="W409" s="140">
        <f>T409*3413/1000000</f>
        <v>1146.1195216674812</v>
      </c>
      <c r="X409" s="138" t="s">
        <v>342</v>
      </c>
      <c r="Y409" s="157"/>
      <c r="Z409" s="157"/>
    </row>
    <row r="410" spans="1:26" s="125" customFormat="1" x14ac:dyDescent="0.25">
      <c r="A410" s="461"/>
      <c r="B410" s="135" t="s">
        <v>372</v>
      </c>
      <c r="C410" s="606"/>
      <c r="D410" s="174"/>
      <c r="E410" s="1670">
        <v>99</v>
      </c>
      <c r="F410" s="1671">
        <v>181</v>
      </c>
      <c r="G410" s="1671">
        <v>264</v>
      </c>
      <c r="H410" s="1671">
        <v>731</v>
      </c>
      <c r="I410" s="1671">
        <v>1648</v>
      </c>
      <c r="J410" s="1671">
        <v>740</v>
      </c>
      <c r="K410" s="1671">
        <v>592</v>
      </c>
      <c r="L410" s="1672">
        <v>530</v>
      </c>
      <c r="M410" s="1672">
        <v>228</v>
      </c>
      <c r="N410" s="1672">
        <v>231</v>
      </c>
      <c r="O410" s="1672">
        <v>143</v>
      </c>
      <c r="P410" s="1672">
        <v>120</v>
      </c>
      <c r="Q410" s="174"/>
      <c r="R410" s="174"/>
      <c r="T410" s="137">
        <f>SUM(E410:P410)</f>
        <v>5507</v>
      </c>
      <c r="U410" s="138" t="s">
        <v>354</v>
      </c>
      <c r="V410" s="139"/>
      <c r="W410" s="140">
        <f>T410*99976.124488/1000000</f>
        <v>550.56851755541595</v>
      </c>
      <c r="X410" s="138" t="s">
        <v>342</v>
      </c>
      <c r="Y410" s="495">
        <f>W409+W410</f>
        <v>1696.6880392228973</v>
      </c>
      <c r="Z410" s="153" t="s">
        <v>677</v>
      </c>
    </row>
    <row r="411" spans="1:26" s="125" customFormat="1" x14ac:dyDescent="0.25">
      <c r="A411" s="461"/>
      <c r="B411" s="135" t="s">
        <v>864</v>
      </c>
      <c r="C411" s="606"/>
      <c r="D411" s="178"/>
      <c r="E411" s="1172">
        <v>3.2</v>
      </c>
      <c r="F411" s="1669">
        <v>10.9</v>
      </c>
      <c r="G411" s="1669">
        <v>10.3</v>
      </c>
      <c r="H411" s="1669">
        <v>11</v>
      </c>
      <c r="I411" s="1669">
        <v>6.9</v>
      </c>
      <c r="J411" s="1669">
        <v>6.1</v>
      </c>
      <c r="K411" s="1669">
        <v>9.3000000000000007</v>
      </c>
      <c r="L411" s="1172">
        <v>31.2</v>
      </c>
      <c r="M411" s="1173">
        <v>9.5</v>
      </c>
      <c r="N411" s="1173">
        <v>9.5</v>
      </c>
      <c r="O411" s="1172">
        <v>2.5</v>
      </c>
      <c r="P411" s="1172">
        <v>1.2</v>
      </c>
      <c r="Q411" s="730"/>
      <c r="R411" s="178"/>
      <c r="T411" s="1177">
        <f>SUM(C411:S411)</f>
        <v>111.60000000000001</v>
      </c>
      <c r="U411" s="138" t="s">
        <v>379</v>
      </c>
      <c r="V411" s="139"/>
      <c r="W411" s="137">
        <f>T411*748</f>
        <v>83476.800000000003</v>
      </c>
      <c r="X411" s="138" t="s">
        <v>346</v>
      </c>
      <c r="Y411" s="157"/>
      <c r="Z411" s="157"/>
    </row>
    <row r="412" spans="1:26" s="125" customFormat="1" x14ac:dyDescent="0.25">
      <c r="A412" s="461"/>
      <c r="B412" s="135" t="s">
        <v>324</v>
      </c>
      <c r="C412" s="606"/>
      <c r="D412" s="176"/>
      <c r="E412" s="455">
        <v>3333.8406372066156</v>
      </c>
      <c r="F412" s="731">
        <v>2767.56005859375</v>
      </c>
      <c r="G412" s="731">
        <v>2336.21337890625</v>
      </c>
      <c r="H412" s="731">
        <v>2253.6419677732197</v>
      </c>
      <c r="I412" s="731">
        <v>2210.0570068365901</v>
      </c>
      <c r="J412" s="731">
        <v>2342.7447509759095</v>
      </c>
      <c r="K412" s="731">
        <v>2059.3681640625</v>
      </c>
      <c r="L412" s="455">
        <v>2280.8825683598102</v>
      </c>
      <c r="M412" s="455">
        <v>2234.4195556642803</v>
      </c>
      <c r="N412" s="455">
        <v>2440.0037841794697</v>
      </c>
      <c r="O412" s="455">
        <v>2300.6253662107197</v>
      </c>
      <c r="P412" s="455">
        <v>2533.9924316410402</v>
      </c>
      <c r="Q412" s="1179"/>
      <c r="R412" s="176"/>
      <c r="T412" s="143">
        <f>SUM(C412:S412)</f>
        <v>29093.349670410156</v>
      </c>
      <c r="U412" s="138"/>
      <c r="V412" s="139"/>
      <c r="W412" s="143">
        <f>T412</f>
        <v>29093.349670410156</v>
      </c>
      <c r="X412" s="138"/>
      <c r="Y412" s="157"/>
      <c r="Z412" s="157"/>
    </row>
    <row r="413" spans="1:26" s="125" customFormat="1" ht="16.5" x14ac:dyDescent="0.35">
      <c r="A413" s="461"/>
      <c r="B413" s="144" t="s">
        <v>374</v>
      </c>
      <c r="C413" s="607"/>
      <c r="D413" s="179"/>
      <c r="E413" s="1181">
        <v>86.43</v>
      </c>
      <c r="F413" s="455">
        <v>143.35</v>
      </c>
      <c r="G413" s="751">
        <v>205.45</v>
      </c>
      <c r="H413" s="455">
        <v>542.45000000000005</v>
      </c>
      <c r="I413" s="455">
        <v>1210.0999999999999</v>
      </c>
      <c r="J413" s="751">
        <v>608.15</v>
      </c>
      <c r="K413" s="455">
        <v>496.23</v>
      </c>
      <c r="L413" s="455">
        <v>452.59</v>
      </c>
      <c r="M413" s="455">
        <v>208.19</v>
      </c>
      <c r="N413" s="455">
        <v>210.68</v>
      </c>
      <c r="O413" s="455">
        <v>137.56</v>
      </c>
      <c r="P413" s="1176">
        <v>118.44</v>
      </c>
      <c r="Q413" s="179"/>
      <c r="R413" s="179"/>
      <c r="T413" s="143">
        <f>SUM(C413:S413)</f>
        <v>4419.62</v>
      </c>
      <c r="U413" s="138"/>
      <c r="V413" s="139"/>
      <c r="W413" s="146">
        <f>T413</f>
        <v>4419.62</v>
      </c>
      <c r="X413" s="138"/>
      <c r="Y413" s="157"/>
      <c r="Z413" s="157"/>
    </row>
    <row r="414" spans="1:26" x14ac:dyDescent="0.25">
      <c r="E414" s="1182"/>
      <c r="W414" s="143">
        <f>SUM(W412:W413)</f>
        <v>33512.969670410159</v>
      </c>
      <c r="X414" s="138"/>
    </row>
    <row r="416" spans="1:26" s="128" customFormat="1" x14ac:dyDescent="0.25">
      <c r="A416" s="459">
        <v>44</v>
      </c>
      <c r="B416" s="127" t="s">
        <v>626</v>
      </c>
      <c r="C416" s="173"/>
      <c r="S416" s="173"/>
      <c r="T416" s="127" t="s">
        <v>626</v>
      </c>
      <c r="W416" s="129"/>
      <c r="Y416" s="166"/>
      <c r="Z416" s="166"/>
    </row>
    <row r="417" spans="1:26" s="125" customFormat="1" x14ac:dyDescent="0.25">
      <c r="A417" s="461"/>
      <c r="B417" s="130" t="s">
        <v>337</v>
      </c>
      <c r="C417" s="131">
        <v>42522</v>
      </c>
      <c r="D417" s="131">
        <v>42552</v>
      </c>
      <c r="E417" s="131">
        <v>42583</v>
      </c>
      <c r="F417" s="131">
        <v>42614</v>
      </c>
      <c r="G417" s="131">
        <v>42644</v>
      </c>
      <c r="H417" s="131">
        <v>42675</v>
      </c>
      <c r="I417" s="131">
        <v>42705</v>
      </c>
      <c r="J417" s="131">
        <v>42736</v>
      </c>
      <c r="K417" s="131">
        <v>42767</v>
      </c>
      <c r="L417" s="131">
        <v>42795</v>
      </c>
      <c r="M417" s="131">
        <v>42826</v>
      </c>
      <c r="N417" s="131">
        <v>42856</v>
      </c>
      <c r="O417" s="131">
        <v>42887</v>
      </c>
      <c r="P417" s="131">
        <v>42917</v>
      </c>
      <c r="Q417" s="131">
        <v>42948</v>
      </c>
      <c r="R417" s="131">
        <v>42992</v>
      </c>
      <c r="S417" s="132"/>
      <c r="T417" s="133" t="s">
        <v>338</v>
      </c>
      <c r="U417" s="134" t="s">
        <v>339</v>
      </c>
      <c r="V417" s="132"/>
      <c r="W417" s="133" t="s">
        <v>338</v>
      </c>
      <c r="X417" s="134" t="s">
        <v>339</v>
      </c>
      <c r="Y417" s="157"/>
      <c r="Z417" s="157"/>
    </row>
    <row r="418" spans="1:26" s="125" customFormat="1" x14ac:dyDescent="0.25">
      <c r="A418" s="461"/>
      <c r="B418" s="135" t="s">
        <v>340</v>
      </c>
      <c r="C418" s="606"/>
      <c r="D418" s="454"/>
      <c r="E418" s="454"/>
      <c r="F418" s="454"/>
      <c r="G418" s="454"/>
      <c r="H418" s="454"/>
      <c r="I418" s="454"/>
      <c r="J418" s="454"/>
      <c r="K418" s="454"/>
      <c r="L418" s="454"/>
      <c r="M418" s="454"/>
      <c r="N418" s="454"/>
      <c r="O418" s="454"/>
      <c r="P418" s="174"/>
      <c r="Q418" s="174"/>
      <c r="R418" s="174"/>
      <c r="T418" s="140">
        <f>SUM(C418:S418)</f>
        <v>0</v>
      </c>
      <c r="U418" s="138" t="s">
        <v>341</v>
      </c>
      <c r="V418" s="139"/>
      <c r="W418" s="140">
        <f>T418*3413/1000000</f>
        <v>0</v>
      </c>
      <c r="X418" s="138" t="s">
        <v>342</v>
      </c>
      <c r="Y418" s="157"/>
      <c r="Z418" s="157"/>
    </row>
    <row r="419" spans="1:26" s="125" customFormat="1" x14ac:dyDescent="0.25">
      <c r="A419" s="461"/>
      <c r="B419" s="135" t="s">
        <v>372</v>
      </c>
      <c r="C419" s="606"/>
      <c r="D419" s="454"/>
      <c r="E419" s="454"/>
      <c r="F419" s="454"/>
      <c r="G419" s="454"/>
      <c r="H419" s="454"/>
      <c r="I419" s="454"/>
      <c r="J419" s="454"/>
      <c r="K419" s="454"/>
      <c r="L419" s="454"/>
      <c r="M419" s="454"/>
      <c r="N419" s="454"/>
      <c r="O419" s="454"/>
      <c r="P419" s="174"/>
      <c r="Q419" s="174"/>
      <c r="R419" s="174"/>
      <c r="T419" s="140">
        <f t="shared" ref="T419:T425" si="18">SUM(C419:S419)</f>
        <v>0</v>
      </c>
      <c r="U419" s="138" t="s">
        <v>354</v>
      </c>
      <c r="V419" s="139"/>
      <c r="W419" s="140">
        <f>T419*99976.124488/1000000</f>
        <v>0</v>
      </c>
      <c r="X419" s="138" t="s">
        <v>342</v>
      </c>
      <c r="Y419" s="765"/>
      <c r="Z419" s="554"/>
    </row>
    <row r="420" spans="1:26" s="125" customFormat="1" x14ac:dyDescent="0.25">
      <c r="A420" s="461"/>
      <c r="B420" s="135" t="s">
        <v>1059</v>
      </c>
      <c r="C420" s="606"/>
      <c r="D420" s="454"/>
      <c r="E420" s="454"/>
      <c r="F420" s="454"/>
      <c r="G420" s="454"/>
      <c r="H420" s="454"/>
      <c r="I420" s="454"/>
      <c r="J420" s="454"/>
      <c r="K420" s="454"/>
      <c r="L420" s="454"/>
      <c r="M420" s="454"/>
      <c r="N420" s="454"/>
      <c r="O420" s="454"/>
      <c r="P420" s="174"/>
      <c r="Q420" s="174"/>
      <c r="R420" s="174"/>
      <c r="T420" s="140">
        <f>SUM(C420:S420)</f>
        <v>0</v>
      </c>
      <c r="U420" s="138" t="s">
        <v>342</v>
      </c>
      <c r="V420" s="139"/>
      <c r="W420" s="140">
        <f>T420</f>
        <v>0</v>
      </c>
      <c r="X420" s="138" t="s">
        <v>342</v>
      </c>
    </row>
    <row r="421" spans="1:26" s="125" customFormat="1" x14ac:dyDescent="0.25">
      <c r="A421" s="461"/>
      <c r="B421" s="135" t="s">
        <v>1060</v>
      </c>
      <c r="C421" s="606"/>
      <c r="D421" s="454"/>
      <c r="E421" s="454"/>
      <c r="F421" s="454"/>
      <c r="G421" s="454"/>
      <c r="H421" s="454"/>
      <c r="I421" s="454"/>
      <c r="J421" s="454"/>
      <c r="K421" s="454"/>
      <c r="L421" s="454"/>
      <c r="M421" s="454"/>
      <c r="N421" s="454"/>
      <c r="O421" s="454"/>
      <c r="P421" s="174"/>
      <c r="Q421" s="174"/>
      <c r="R421" s="174"/>
      <c r="T421" s="140">
        <f>SUM(C421:S421)</f>
        <v>0</v>
      </c>
      <c r="U421" s="138" t="s">
        <v>342</v>
      </c>
      <c r="V421" s="139"/>
      <c r="W421" s="140">
        <f>T421</f>
        <v>0</v>
      </c>
      <c r="X421" s="138" t="s">
        <v>342</v>
      </c>
      <c r="Y421" s="495">
        <f>W418+W419+W420+W421</f>
        <v>0</v>
      </c>
      <c r="Z421" s="153" t="s">
        <v>342</v>
      </c>
    </row>
    <row r="422" spans="1:26" s="125" customFormat="1" x14ac:dyDescent="0.25">
      <c r="A422" s="461"/>
      <c r="B422" s="135" t="s">
        <v>366</v>
      </c>
      <c r="C422" s="606"/>
      <c r="D422" s="454"/>
      <c r="E422" s="454"/>
      <c r="F422" s="454"/>
      <c r="G422" s="454"/>
      <c r="H422" s="454"/>
      <c r="I422" s="454"/>
      <c r="J422" s="454"/>
      <c r="K422" s="454"/>
      <c r="L422" s="454"/>
      <c r="M422" s="454"/>
      <c r="N422" s="454"/>
      <c r="O422" s="454"/>
      <c r="P422" s="178"/>
      <c r="Q422" s="178"/>
      <c r="R422" s="178"/>
      <c r="T422" s="140">
        <f t="shared" si="18"/>
        <v>0</v>
      </c>
      <c r="U422" s="138" t="s">
        <v>367</v>
      </c>
      <c r="V422" s="139"/>
      <c r="W422" s="137">
        <f>T422*7.48</f>
        <v>0</v>
      </c>
      <c r="X422" s="138" t="s">
        <v>346</v>
      </c>
      <c r="Y422" s="157"/>
      <c r="Z422" s="157"/>
    </row>
    <row r="423" spans="1:26" s="125" customFormat="1" x14ac:dyDescent="0.25">
      <c r="A423" s="461"/>
      <c r="B423" s="135" t="s">
        <v>324</v>
      </c>
      <c r="C423" s="606"/>
      <c r="D423" s="455"/>
      <c r="E423" s="455"/>
      <c r="F423" s="455"/>
      <c r="G423" s="455"/>
      <c r="H423" s="455"/>
      <c r="I423" s="455"/>
      <c r="J423" s="455"/>
      <c r="K423" s="455"/>
      <c r="L423" s="455"/>
      <c r="M423" s="455"/>
      <c r="N423" s="455"/>
      <c r="O423" s="455"/>
      <c r="P423" s="176"/>
      <c r="Q423" s="176"/>
      <c r="R423" s="176"/>
      <c r="T423" s="143">
        <f t="shared" si="18"/>
        <v>0</v>
      </c>
      <c r="U423" s="138"/>
      <c r="V423" s="139"/>
      <c r="W423" s="143">
        <f>T423</f>
        <v>0</v>
      </c>
      <c r="X423" s="138"/>
      <c r="Y423" s="157"/>
      <c r="Z423" s="157"/>
    </row>
    <row r="424" spans="1:26" s="125" customFormat="1" x14ac:dyDescent="0.25">
      <c r="A424" s="461"/>
      <c r="B424" s="144" t="s">
        <v>374</v>
      </c>
      <c r="C424" s="607"/>
      <c r="D424" s="455"/>
      <c r="E424" s="455"/>
      <c r="F424" s="455"/>
      <c r="G424" s="455"/>
      <c r="H424" s="455"/>
      <c r="I424" s="455"/>
      <c r="J424" s="455"/>
      <c r="K424" s="455"/>
      <c r="L424" s="455"/>
      <c r="M424" s="455"/>
      <c r="N424" s="455"/>
      <c r="O424" s="455"/>
      <c r="P424" s="179"/>
      <c r="Q424" s="179"/>
      <c r="R424" s="179"/>
      <c r="T424" s="143">
        <f t="shared" si="18"/>
        <v>0</v>
      </c>
      <c r="U424" s="138"/>
      <c r="V424" s="139"/>
      <c r="W424" s="143">
        <f>T424</f>
        <v>0</v>
      </c>
      <c r="X424" s="138"/>
      <c r="Y424" s="157"/>
      <c r="Z424" s="157"/>
    </row>
    <row r="425" spans="1:26" s="125" customFormat="1" x14ac:dyDescent="0.25">
      <c r="A425" s="461"/>
      <c r="B425" s="204" t="s">
        <v>398</v>
      </c>
      <c r="C425" s="607"/>
      <c r="D425" s="455"/>
      <c r="E425" s="455"/>
      <c r="F425" s="455"/>
      <c r="G425" s="455"/>
      <c r="H425" s="455"/>
      <c r="I425" s="455"/>
      <c r="J425" s="455"/>
      <c r="K425" s="455"/>
      <c r="L425" s="455"/>
      <c r="M425" s="455"/>
      <c r="N425" s="455"/>
      <c r="O425" s="455"/>
      <c r="P425" s="179"/>
      <c r="Q425" s="179"/>
      <c r="R425" s="179"/>
      <c r="T425" s="143">
        <f t="shared" si="18"/>
        <v>0</v>
      </c>
      <c r="U425" s="138"/>
      <c r="V425" s="139"/>
      <c r="W425" s="143">
        <f>T425</f>
        <v>0</v>
      </c>
      <c r="X425" s="138"/>
      <c r="Y425" s="157"/>
      <c r="Z425" s="157"/>
    </row>
    <row r="426" spans="1:26" s="125" customFormat="1" ht="16.5" x14ac:dyDescent="0.35">
      <c r="A426" s="461"/>
      <c r="B426" s="204" t="s">
        <v>1058</v>
      </c>
      <c r="C426" s="607"/>
      <c r="D426" s="455"/>
      <c r="E426" s="455"/>
      <c r="F426" s="455"/>
      <c r="G426" s="455"/>
      <c r="H426" s="455"/>
      <c r="I426" s="455"/>
      <c r="J426" s="455"/>
      <c r="K426" s="455"/>
      <c r="L426" s="455"/>
      <c r="M426" s="455"/>
      <c r="N426" s="455"/>
      <c r="O426" s="455"/>
      <c r="P426" s="179"/>
      <c r="Q426" s="179"/>
      <c r="R426" s="179"/>
      <c r="T426" s="143">
        <f>SUM(C426:S426)</f>
        <v>0</v>
      </c>
      <c r="U426" s="138"/>
      <c r="V426" s="139"/>
      <c r="W426" s="597">
        <f>T426</f>
        <v>0</v>
      </c>
      <c r="X426" s="138"/>
      <c r="Y426" s="157"/>
      <c r="Z426" s="157"/>
    </row>
    <row r="427" spans="1:26" x14ac:dyDescent="0.25">
      <c r="W427" s="143">
        <f>SUM(W423:W426)</f>
        <v>0</v>
      </c>
      <c r="X427" s="138"/>
    </row>
    <row r="429" spans="1:26" s="125" customFormat="1" x14ac:dyDescent="0.25">
      <c r="A429" s="461">
        <v>45</v>
      </c>
      <c r="B429" s="148" t="s">
        <v>976</v>
      </c>
      <c r="C429" s="152"/>
      <c r="E429" s="157"/>
      <c r="F429" s="157"/>
      <c r="G429" s="157"/>
      <c r="H429" s="157"/>
      <c r="I429" s="157"/>
      <c r="J429" s="157"/>
      <c r="K429" s="157"/>
      <c r="L429" s="157"/>
      <c r="M429" s="157"/>
      <c r="N429" s="157"/>
      <c r="O429" s="157"/>
      <c r="P429" s="157"/>
      <c r="S429" s="126"/>
      <c r="T429" s="148" t="s">
        <v>1442</v>
      </c>
      <c r="V429" s="126"/>
      <c r="Y429" s="157"/>
      <c r="Z429" s="157"/>
    </row>
    <row r="430" spans="1:26" s="125" customFormat="1" x14ac:dyDescent="0.25">
      <c r="A430" s="461"/>
      <c r="B430" s="130" t="s">
        <v>337</v>
      </c>
      <c r="C430" s="131">
        <v>42522</v>
      </c>
      <c r="D430" s="131">
        <v>42552</v>
      </c>
      <c r="E430" s="131">
        <v>42583</v>
      </c>
      <c r="F430" s="131">
        <v>42614</v>
      </c>
      <c r="G430" s="131">
        <v>42644</v>
      </c>
      <c r="H430" s="131">
        <v>42675</v>
      </c>
      <c r="I430" s="131">
        <v>42705</v>
      </c>
      <c r="J430" s="131">
        <v>42736</v>
      </c>
      <c r="K430" s="131">
        <v>42767</v>
      </c>
      <c r="L430" s="131">
        <v>42795</v>
      </c>
      <c r="M430" s="131">
        <v>42826</v>
      </c>
      <c r="N430" s="131">
        <v>42856</v>
      </c>
      <c r="O430" s="131">
        <v>42887</v>
      </c>
      <c r="P430" s="131">
        <v>42917</v>
      </c>
      <c r="Q430" s="131">
        <v>42948</v>
      </c>
      <c r="R430" s="131">
        <v>42992</v>
      </c>
      <c r="S430" s="132"/>
      <c r="T430" s="133" t="s">
        <v>338</v>
      </c>
      <c r="U430" s="134" t="s">
        <v>339</v>
      </c>
      <c r="V430" s="132"/>
      <c r="W430" s="133" t="s">
        <v>338</v>
      </c>
      <c r="X430" s="134" t="s">
        <v>339</v>
      </c>
      <c r="Y430" s="157"/>
      <c r="Z430" s="157"/>
    </row>
    <row r="431" spans="1:26" s="157" customFormat="1" x14ac:dyDescent="0.25">
      <c r="A431" s="461"/>
      <c r="B431" s="135" t="s">
        <v>319</v>
      </c>
      <c r="C431" s="599"/>
      <c r="E431" s="160">
        <v>36934.020996093976</v>
      </c>
      <c r="F431" s="1170">
        <v>37820.983886718976</v>
      </c>
      <c r="G431" s="1170">
        <v>37377.990722656024</v>
      </c>
      <c r="H431" s="1185">
        <v>34983.032226561932</v>
      </c>
      <c r="I431" s="1186">
        <v>33385.009765625</v>
      </c>
      <c r="J431" s="1186">
        <v>35828.002929688068</v>
      </c>
      <c r="K431" s="1186">
        <v>33076.96533202898</v>
      </c>
      <c r="L431" s="1186">
        <v>34573.974609369994</v>
      </c>
      <c r="M431" s="1186">
        <v>34918.090820320002</v>
      </c>
      <c r="N431" s="1186">
        <v>30459.9609375</v>
      </c>
      <c r="O431" s="1186">
        <v>27027.954101559997</v>
      </c>
      <c r="P431" s="756">
        <v>28284.057617190003</v>
      </c>
      <c r="Q431" s="174"/>
      <c r="T431" s="141">
        <f t="shared" ref="T431:T437" si="19">SUM(E431:P431)</f>
        <v>404670.04394531297</v>
      </c>
      <c r="U431" s="188" t="s">
        <v>341</v>
      </c>
      <c r="W431" s="140">
        <f>T431*3413/1000000</f>
        <v>1381.1388599853533</v>
      </c>
      <c r="X431" s="138" t="s">
        <v>342</v>
      </c>
    </row>
    <row r="432" spans="1:26" s="157" customFormat="1" x14ac:dyDescent="0.25">
      <c r="A432" s="461"/>
      <c r="B432" s="135" t="s">
        <v>1137</v>
      </c>
      <c r="C432" s="599"/>
      <c r="E432" s="160">
        <v>108.10009600000012</v>
      </c>
      <c r="F432" s="1188">
        <v>121.63020799999993</v>
      </c>
      <c r="G432" s="1188">
        <v>165.39007999999978</v>
      </c>
      <c r="H432" s="1188">
        <v>222.85977600000035</v>
      </c>
      <c r="I432" s="1188">
        <v>285.80991999999986</v>
      </c>
      <c r="J432" s="1188">
        <v>275.3095679999999</v>
      </c>
      <c r="K432" s="1188">
        <v>266.20032000000009</v>
      </c>
      <c r="L432" s="1188">
        <v>253.69004799999993</v>
      </c>
      <c r="M432" s="1188">
        <v>190.56972800000045</v>
      </c>
      <c r="N432" s="1188">
        <v>158.22028799999998</v>
      </c>
      <c r="O432" s="1189">
        <v>130.35014399999929</v>
      </c>
      <c r="P432" s="1188">
        <v>129.50995200000003</v>
      </c>
      <c r="Q432" s="174"/>
      <c r="T432" s="141">
        <f>SUM(E432:P432)</f>
        <v>2307.6401279999995</v>
      </c>
      <c r="U432" s="188" t="s">
        <v>1138</v>
      </c>
      <c r="W432" s="160">
        <f>T432</f>
        <v>2307.6401279999995</v>
      </c>
      <c r="X432" s="138" t="s">
        <v>342</v>
      </c>
    </row>
    <row r="433" spans="1:26" s="157" customFormat="1" x14ac:dyDescent="0.25">
      <c r="A433" s="461"/>
      <c r="B433" s="153" t="s">
        <v>362</v>
      </c>
      <c r="C433" s="599"/>
      <c r="E433" s="193">
        <v>444</v>
      </c>
      <c r="F433" s="1170">
        <v>391</v>
      </c>
      <c r="G433" s="1170">
        <v>291</v>
      </c>
      <c r="H433" s="1170">
        <v>226</v>
      </c>
      <c r="I433" s="1170">
        <v>202</v>
      </c>
      <c r="J433" s="1170">
        <v>196</v>
      </c>
      <c r="K433" s="1170">
        <v>196</v>
      </c>
      <c r="L433" s="1170">
        <v>218</v>
      </c>
      <c r="M433" s="1170">
        <v>281</v>
      </c>
      <c r="N433" s="1170">
        <v>291</v>
      </c>
      <c r="O433" s="756">
        <v>320</v>
      </c>
      <c r="P433" s="756">
        <v>386</v>
      </c>
      <c r="Q433" s="178"/>
      <c r="T433" s="141">
        <f>SUM(E433:P433)</f>
        <v>3442</v>
      </c>
      <c r="U433" s="188" t="s">
        <v>870</v>
      </c>
      <c r="W433" s="140">
        <f>T433*99976.124488/100000</f>
        <v>3441.1782048769601</v>
      </c>
      <c r="X433" s="138" t="s">
        <v>342</v>
      </c>
      <c r="Y433" s="495">
        <f>W431+W432+W433</f>
        <v>7129.9571928623127</v>
      </c>
      <c r="Z433" s="153" t="s">
        <v>677</v>
      </c>
    </row>
    <row r="434" spans="1:26" s="157" customFormat="1" x14ac:dyDescent="0.25">
      <c r="A434" s="461"/>
      <c r="B434" s="135" t="s">
        <v>864</v>
      </c>
      <c r="C434" s="599"/>
      <c r="E434" s="153">
        <v>56</v>
      </c>
      <c r="F434" s="759">
        <v>97</v>
      </c>
      <c r="G434" s="760">
        <v>90</v>
      </c>
      <c r="H434" s="760">
        <v>89</v>
      </c>
      <c r="I434" s="760">
        <v>59</v>
      </c>
      <c r="J434" s="760">
        <v>66</v>
      </c>
      <c r="K434" s="760">
        <v>87</v>
      </c>
      <c r="L434" s="750">
        <v>79</v>
      </c>
      <c r="M434" s="750">
        <v>85</v>
      </c>
      <c r="N434" s="750">
        <v>51</v>
      </c>
      <c r="O434" s="750">
        <v>20</v>
      </c>
      <c r="P434" s="750">
        <v>22</v>
      </c>
      <c r="Q434" s="730"/>
      <c r="T434" s="141">
        <f t="shared" si="19"/>
        <v>801</v>
      </c>
      <c r="U434" s="188" t="s">
        <v>379</v>
      </c>
      <c r="W434" s="141">
        <f>T434*748</f>
        <v>599148</v>
      </c>
      <c r="X434" s="188" t="s">
        <v>346</v>
      </c>
    </row>
    <row r="435" spans="1:26" s="157" customFormat="1" x14ac:dyDescent="0.25">
      <c r="A435" s="461"/>
      <c r="B435" s="135" t="s">
        <v>324</v>
      </c>
      <c r="C435" s="599"/>
      <c r="E435" s="171">
        <v>3213.2598266601758</v>
      </c>
      <c r="F435" s="731">
        <v>3290.4255981445508</v>
      </c>
      <c r="G435" s="731">
        <v>3251.8851928710737</v>
      </c>
      <c r="H435" s="731">
        <v>3043.5238037108879</v>
      </c>
      <c r="I435" s="731">
        <v>2904.495849609375</v>
      </c>
      <c r="J435" s="731">
        <v>3117.0362548828616</v>
      </c>
      <c r="K435" s="731">
        <v>2877.6959838865209</v>
      </c>
      <c r="L435" s="731">
        <v>3007.9357910151894</v>
      </c>
      <c r="M435" s="731">
        <v>3037.8739013678401</v>
      </c>
      <c r="N435" s="731">
        <v>2650.0166015625</v>
      </c>
      <c r="O435" s="731">
        <v>2351.4320068357197</v>
      </c>
      <c r="P435" s="731">
        <v>2347.5767822267703</v>
      </c>
      <c r="Q435" s="1162"/>
      <c r="T435" s="171">
        <f t="shared" si="19"/>
        <v>35093.157592773467</v>
      </c>
      <c r="U435" s="188"/>
      <c r="W435" s="190">
        <f>T435</f>
        <v>35093.157592773467</v>
      </c>
      <c r="X435" s="188"/>
    </row>
    <row r="436" spans="1:26" s="157" customFormat="1" x14ac:dyDescent="0.25">
      <c r="A436" s="461"/>
      <c r="B436" s="144" t="s">
        <v>348</v>
      </c>
      <c r="C436" s="599"/>
      <c r="E436" s="171">
        <v>1299.3631539200014</v>
      </c>
      <c r="F436" s="731">
        <v>1461.9951001599991</v>
      </c>
      <c r="G436" s="731">
        <v>1987.9887615999974</v>
      </c>
      <c r="H436" s="731">
        <v>2678.7745075200041</v>
      </c>
      <c r="I436" s="731">
        <v>3435.4352383999981</v>
      </c>
      <c r="J436" s="731">
        <v>3309.2210073599986</v>
      </c>
      <c r="K436" s="731">
        <v>3199.727846400001</v>
      </c>
      <c r="L436" s="731">
        <v>3049.3543769599992</v>
      </c>
      <c r="M436" s="731">
        <v>2290.6481305600055</v>
      </c>
      <c r="N436" s="731">
        <v>1901.8078617599997</v>
      </c>
      <c r="O436" s="731">
        <v>1566.8087308799913</v>
      </c>
      <c r="P436" s="731">
        <v>1788.5324371200004</v>
      </c>
      <c r="Q436" s="1162"/>
      <c r="T436" s="171">
        <f t="shared" si="19"/>
        <v>27969.657152639997</v>
      </c>
      <c r="U436" s="188"/>
      <c r="W436" s="190">
        <f>T436</f>
        <v>27969.657152639997</v>
      </c>
      <c r="X436" s="188"/>
    </row>
    <row r="437" spans="1:26" s="157" customFormat="1" ht="16.5" x14ac:dyDescent="0.35">
      <c r="A437" s="461"/>
      <c r="B437" s="195" t="s">
        <v>398</v>
      </c>
      <c r="C437" s="599"/>
      <c r="E437" s="171">
        <v>5749.7999999999993</v>
      </c>
      <c r="F437" s="731">
        <v>5063.45</v>
      </c>
      <c r="G437" s="731">
        <v>3768.45</v>
      </c>
      <c r="H437" s="731">
        <v>2926.7</v>
      </c>
      <c r="I437" s="731">
        <v>2615.8999999999996</v>
      </c>
      <c r="J437" s="731">
        <v>2538.1999999999998</v>
      </c>
      <c r="K437" s="731">
        <v>2538.1999999999998</v>
      </c>
      <c r="L437" s="731">
        <v>2823.1</v>
      </c>
      <c r="M437" s="731">
        <v>3638.95</v>
      </c>
      <c r="N437" s="731">
        <v>3768.45</v>
      </c>
      <c r="O437" s="731">
        <v>4144</v>
      </c>
      <c r="P437" s="731">
        <v>4925.3599999999997</v>
      </c>
      <c r="Q437" s="1162"/>
      <c r="T437" s="171">
        <f t="shared" si="19"/>
        <v>44500.560000000005</v>
      </c>
      <c r="U437" s="188"/>
      <c r="W437" s="197">
        <f>T437</f>
        <v>44500.560000000005</v>
      </c>
      <c r="X437" s="188"/>
    </row>
    <row r="438" spans="1:26" s="125" customFormat="1" x14ac:dyDescent="0.25">
      <c r="A438" s="461"/>
      <c r="B438" s="205"/>
      <c r="C438" s="152"/>
      <c r="E438" s="201"/>
      <c r="F438" s="206"/>
      <c r="G438" s="202"/>
      <c r="H438" s="203"/>
      <c r="I438" s="203"/>
      <c r="J438" s="203"/>
      <c r="K438" s="203"/>
      <c r="L438" s="203"/>
      <c r="M438" s="203"/>
      <c r="N438" s="203"/>
      <c r="O438" s="203"/>
      <c r="P438" s="203"/>
      <c r="U438" s="126"/>
      <c r="W438" s="190">
        <f>SUM(W435:W437)</f>
        <v>107563.37474541346</v>
      </c>
      <c r="X438" s="450"/>
      <c r="Y438" s="157"/>
      <c r="Z438" s="157"/>
    </row>
    <row r="440" spans="1:26" s="125" customFormat="1" x14ac:dyDescent="0.25">
      <c r="A440" s="461">
        <v>46</v>
      </c>
      <c r="B440" s="148" t="s">
        <v>975</v>
      </c>
      <c r="C440" s="152"/>
      <c r="E440" s="157"/>
      <c r="F440" s="157"/>
      <c r="G440" s="157"/>
      <c r="H440" s="157"/>
      <c r="I440" s="157"/>
      <c r="J440" s="157"/>
      <c r="K440" s="157"/>
      <c r="L440" s="157"/>
      <c r="M440" s="157"/>
      <c r="N440" s="157"/>
      <c r="O440" s="157"/>
      <c r="P440" s="157"/>
      <c r="S440" s="126"/>
      <c r="T440" s="148" t="s">
        <v>1441</v>
      </c>
      <c r="V440" s="126"/>
      <c r="Y440" s="157"/>
      <c r="Z440" s="157"/>
    </row>
    <row r="441" spans="1:26" s="125" customFormat="1" x14ac:dyDescent="0.25">
      <c r="A441" s="461"/>
      <c r="B441" s="130" t="s">
        <v>337</v>
      </c>
      <c r="C441" s="131">
        <v>42522</v>
      </c>
      <c r="D441" s="131">
        <v>42552</v>
      </c>
      <c r="E441" s="131">
        <v>42583</v>
      </c>
      <c r="F441" s="131">
        <v>42614</v>
      </c>
      <c r="G441" s="131">
        <v>42644</v>
      </c>
      <c r="H441" s="131">
        <v>42675</v>
      </c>
      <c r="I441" s="131">
        <v>42705</v>
      </c>
      <c r="J441" s="131">
        <v>42736</v>
      </c>
      <c r="K441" s="131">
        <v>42767</v>
      </c>
      <c r="L441" s="131">
        <v>42795</v>
      </c>
      <c r="M441" s="131">
        <v>42826</v>
      </c>
      <c r="N441" s="131">
        <v>42856</v>
      </c>
      <c r="O441" s="131">
        <v>42887</v>
      </c>
      <c r="P441" s="131">
        <v>42917</v>
      </c>
      <c r="Q441" s="131">
        <v>42948</v>
      </c>
      <c r="R441" s="131">
        <v>42992</v>
      </c>
      <c r="S441" s="132"/>
      <c r="T441" s="133" t="s">
        <v>338</v>
      </c>
      <c r="U441" s="134" t="s">
        <v>339</v>
      </c>
      <c r="V441" s="132"/>
      <c r="W441" s="133" t="s">
        <v>338</v>
      </c>
      <c r="X441" s="134" t="s">
        <v>339</v>
      </c>
      <c r="Y441" s="157"/>
      <c r="Z441" s="157"/>
    </row>
    <row r="442" spans="1:26" s="157" customFormat="1" x14ac:dyDescent="0.25">
      <c r="A442" s="461"/>
      <c r="B442" s="135" t="s">
        <v>319</v>
      </c>
      <c r="C442" s="599"/>
      <c r="E442" s="753">
        <v>142992.91992188001</v>
      </c>
      <c r="F442" s="1170">
        <v>143932.00683593797</v>
      </c>
      <c r="G442" s="1170">
        <v>142215.02685546296</v>
      </c>
      <c r="H442" s="1192">
        <v>134521.11816406809</v>
      </c>
      <c r="I442" s="1192">
        <v>124160.03417968693</v>
      </c>
      <c r="J442" s="1192">
        <v>137486.81640624499</v>
      </c>
      <c r="K442" s="1192">
        <v>128972.04589844307</v>
      </c>
      <c r="L442" s="754">
        <v>139423.88916015602</v>
      </c>
      <c r="M442" s="754">
        <v>138697.14355468296</v>
      </c>
      <c r="N442" s="754">
        <v>131389.16015625</v>
      </c>
      <c r="O442" s="754">
        <v>121522.82714844</v>
      </c>
      <c r="P442" s="754">
        <v>128257.20214844</v>
      </c>
      <c r="Q442" s="1203"/>
      <c r="T442" s="141">
        <f>SUM(E442:P442)</f>
        <v>1613570.1904296931</v>
      </c>
      <c r="U442" s="188" t="s">
        <v>341</v>
      </c>
      <c r="W442" s="140">
        <f>T442*3413/1000000</f>
        <v>5507.1150599365428</v>
      </c>
      <c r="X442" s="138" t="s">
        <v>342</v>
      </c>
    </row>
    <row r="443" spans="1:26" s="157" customFormat="1" x14ac:dyDescent="0.25">
      <c r="A443" s="461"/>
      <c r="B443" s="135" t="s">
        <v>1137</v>
      </c>
      <c r="C443" s="599"/>
      <c r="E443" s="2202">
        <v>162.82518257812214</v>
      </c>
      <c r="F443" s="1192">
        <v>193.5513896406294</v>
      </c>
      <c r="G443" s="1192">
        <v>301.39158957811856</v>
      </c>
      <c r="H443" s="1192">
        <v>462.00680620313017</v>
      </c>
      <c r="I443" s="1192">
        <v>580.33201128124847</v>
      </c>
      <c r="J443" s="1192">
        <v>551.7521467812528</v>
      </c>
      <c r="K443" s="1192">
        <v>371.14792196874856</v>
      </c>
      <c r="L443" s="754">
        <v>423.66183990624972</v>
      </c>
      <c r="M443" s="754">
        <v>218.52040165625164</v>
      </c>
      <c r="N443" s="754">
        <v>201.66837306249943</v>
      </c>
      <c r="O443" s="754">
        <v>175.64351518750135</v>
      </c>
      <c r="P443" s="756">
        <v>144.41519618749675</v>
      </c>
      <c r="Q443" s="1204"/>
      <c r="T443" s="141">
        <f t="shared" ref="T443:T449" si="20">SUM(E443:P443)</f>
        <v>3786.9163740312488</v>
      </c>
      <c r="U443" s="188" t="s">
        <v>1138</v>
      </c>
      <c r="W443" s="160">
        <f>T443</f>
        <v>3786.9163740312488</v>
      </c>
      <c r="X443" s="138" t="s">
        <v>342</v>
      </c>
    </row>
    <row r="444" spans="1:26" s="157" customFormat="1" x14ac:dyDescent="0.25">
      <c r="A444" s="461"/>
      <c r="B444" s="192" t="s">
        <v>911</v>
      </c>
      <c r="C444" s="599"/>
      <c r="E444" s="753">
        <v>1197.9765625</v>
      </c>
      <c r="F444" s="1170">
        <v>958.98046875</v>
      </c>
      <c r="G444" s="1170">
        <v>490.69921875</v>
      </c>
      <c r="H444" s="1170">
        <v>235.076171875</v>
      </c>
      <c r="I444" s="1170">
        <v>134.046875</v>
      </c>
      <c r="J444" s="1170">
        <v>145.04052734375</v>
      </c>
      <c r="K444" s="1170">
        <v>200.841796875</v>
      </c>
      <c r="L444" s="1170">
        <v>227.705078125</v>
      </c>
      <c r="M444" s="1170">
        <v>513.46923828125</v>
      </c>
      <c r="N444" s="1170">
        <v>629.5009765625</v>
      </c>
      <c r="O444" s="756">
        <v>831.2666015625</v>
      </c>
      <c r="P444" s="756">
        <v>1107.564453125</v>
      </c>
      <c r="Q444" s="1149"/>
      <c r="T444" s="141">
        <f t="shared" si="20"/>
        <v>6672.16796875</v>
      </c>
      <c r="U444" s="188" t="s">
        <v>870</v>
      </c>
      <c r="W444" s="140">
        <f>T444*99976.124488/100000</f>
        <v>6670.5749544859609</v>
      </c>
      <c r="X444" s="138" t="s">
        <v>342</v>
      </c>
    </row>
    <row r="445" spans="1:26" s="157" customFormat="1" x14ac:dyDescent="0.25">
      <c r="A445" s="461"/>
      <c r="B445" s="728" t="s">
        <v>1130</v>
      </c>
      <c r="C445" s="599"/>
      <c r="E445" s="771">
        <v>956</v>
      </c>
      <c r="F445" s="759">
        <v>1240</v>
      </c>
      <c r="G445" s="760">
        <v>1441</v>
      </c>
      <c r="H445" s="760">
        <v>1149</v>
      </c>
      <c r="I445" s="760">
        <v>1184</v>
      </c>
      <c r="J445" s="760">
        <v>695</v>
      </c>
      <c r="K445" s="760">
        <v>1111</v>
      </c>
      <c r="L445" s="750">
        <v>1251</v>
      </c>
      <c r="M445" s="750">
        <v>1012</v>
      </c>
      <c r="N445" s="750">
        <v>1348</v>
      </c>
      <c r="O445" s="750">
        <v>914</v>
      </c>
      <c r="P445" s="750">
        <v>761</v>
      </c>
      <c r="Q445" s="1149"/>
      <c r="T445" s="141">
        <f t="shared" si="20"/>
        <v>13062</v>
      </c>
      <c r="U445" s="188" t="s">
        <v>354</v>
      </c>
      <c r="W445" s="140">
        <f>T445*99976.124488/1000000</f>
        <v>1305.8881380622561</v>
      </c>
      <c r="X445" s="138" t="s">
        <v>342</v>
      </c>
      <c r="Y445" s="495">
        <f>W442+W443+W444</f>
        <v>15964.606388453753</v>
      </c>
      <c r="Z445" s="153" t="s">
        <v>677</v>
      </c>
    </row>
    <row r="446" spans="1:26" s="157" customFormat="1" x14ac:dyDescent="0.25">
      <c r="A446" s="461"/>
      <c r="B446" s="135" t="s">
        <v>864</v>
      </c>
      <c r="C446" s="599"/>
      <c r="E446" s="760">
        <v>250</v>
      </c>
      <c r="F446" s="1193">
        <v>460</v>
      </c>
      <c r="G446" s="1194">
        <v>450</v>
      </c>
      <c r="H446" s="1194">
        <v>455</v>
      </c>
      <c r="I446" s="1194">
        <v>290</v>
      </c>
      <c r="J446" s="1194">
        <v>315</v>
      </c>
      <c r="K446" s="1194">
        <v>480</v>
      </c>
      <c r="L446" s="1195">
        <v>420</v>
      </c>
      <c r="M446" s="750">
        <v>455</v>
      </c>
      <c r="N446" s="750">
        <v>235</v>
      </c>
      <c r="O446" s="750">
        <v>75</v>
      </c>
      <c r="P446" s="750">
        <v>80</v>
      </c>
      <c r="Q446" s="730"/>
      <c r="T446" s="141">
        <f t="shared" si="20"/>
        <v>3965</v>
      </c>
      <c r="U446" s="188" t="s">
        <v>379</v>
      </c>
      <c r="W446" s="141">
        <f>T446*748</f>
        <v>2965820</v>
      </c>
      <c r="X446" s="188" t="s">
        <v>346</v>
      </c>
    </row>
    <row r="447" spans="1:26" s="157" customFormat="1" x14ac:dyDescent="0.25">
      <c r="A447" s="461"/>
      <c r="B447" s="135" t="s">
        <v>324</v>
      </c>
      <c r="C447" s="599"/>
      <c r="E447" s="775">
        <v>12440.38403320356</v>
      </c>
      <c r="F447" s="1208">
        <v>12522.084594726603</v>
      </c>
      <c r="G447" s="1208">
        <v>12372.707336425277</v>
      </c>
      <c r="H447" s="1208">
        <v>11703.337280273923</v>
      </c>
      <c r="I447" s="1208">
        <v>10801.922973632762</v>
      </c>
      <c r="J447" s="1208">
        <v>11961.353027343313</v>
      </c>
      <c r="K447" s="1208">
        <v>11220.567993164546</v>
      </c>
      <c r="L447" s="1208">
        <v>12129.878356933572</v>
      </c>
      <c r="M447" s="1208">
        <v>12066.651489257416</v>
      </c>
      <c r="N447" s="1208">
        <v>11430.85693359375</v>
      </c>
      <c r="O447" s="1208">
        <v>10572.485961914279</v>
      </c>
      <c r="P447" s="1208">
        <v>10645.347778320522</v>
      </c>
      <c r="Q447" s="1162"/>
      <c r="T447" s="171">
        <f>SUM(E447:P447)</f>
        <v>139867.57775878953</v>
      </c>
      <c r="U447" s="188"/>
      <c r="W447" s="190">
        <f>T447</f>
        <v>139867.57775878953</v>
      </c>
      <c r="X447" s="188"/>
    </row>
    <row r="448" spans="1:26" s="157" customFormat="1" x14ac:dyDescent="0.25">
      <c r="A448" s="461"/>
      <c r="B448" s="144" t="s">
        <v>348</v>
      </c>
      <c r="C448" s="599"/>
      <c r="E448" s="775">
        <v>1957.1586945890281</v>
      </c>
      <c r="F448" s="1208">
        <v>2326.4877034803653</v>
      </c>
      <c r="G448" s="1208">
        <v>3622.7269067289849</v>
      </c>
      <c r="H448" s="1208">
        <v>5553.3218105616243</v>
      </c>
      <c r="I448" s="1208">
        <v>6975.5907756006063</v>
      </c>
      <c r="J448" s="1208">
        <v>6632.0608043106586</v>
      </c>
      <c r="K448" s="1208">
        <v>4461.1980220643572</v>
      </c>
      <c r="L448" s="1208">
        <v>5092.4153156731218</v>
      </c>
      <c r="M448" s="1208">
        <v>2626.6152279081448</v>
      </c>
      <c r="N448" s="1208">
        <v>2424.0538442112429</v>
      </c>
      <c r="O448" s="1208">
        <v>2111.2350525537663</v>
      </c>
      <c r="P448" s="1208">
        <v>1994.3738593493301</v>
      </c>
      <c r="Q448" s="1162"/>
      <c r="T448" s="171">
        <f>SUM(E448:P448)</f>
        <v>45777.238017031232</v>
      </c>
      <c r="U448" s="188"/>
      <c r="W448" s="190">
        <f>T448</f>
        <v>45777.238017031232</v>
      </c>
      <c r="X448" s="188"/>
    </row>
    <row r="449" spans="1:26" s="157" customFormat="1" x14ac:dyDescent="0.25">
      <c r="A449" s="461"/>
      <c r="B449" s="195" t="s">
        <v>398</v>
      </c>
      <c r="C449" s="599"/>
      <c r="E449" s="775">
        <v>15513.796484375</v>
      </c>
      <c r="F449" s="1208">
        <v>12418.797070312499</v>
      </c>
      <c r="G449" s="1208">
        <v>6354.5548828124993</v>
      </c>
      <c r="H449" s="1208">
        <v>3044.2364257812496</v>
      </c>
      <c r="I449" s="1208">
        <v>1735.9070312499998</v>
      </c>
      <c r="J449" s="1208">
        <v>1878.2748291015623</v>
      </c>
      <c r="K449" s="1208">
        <v>2600.9012695312499</v>
      </c>
      <c r="L449" s="1208">
        <v>2948.78076171875</v>
      </c>
      <c r="M449" s="1208">
        <v>6649.4266357421875</v>
      </c>
      <c r="N449" s="1208">
        <v>8152.0376464843748</v>
      </c>
      <c r="O449" s="1208">
        <v>10764.902490234374</v>
      </c>
      <c r="P449" s="1208">
        <v>14132.522421874999</v>
      </c>
      <c r="Q449" s="1162"/>
      <c r="T449" s="171">
        <f t="shared" si="20"/>
        <v>86194.137949218726</v>
      </c>
      <c r="U449" s="188"/>
      <c r="W449" s="190">
        <f>T449</f>
        <v>86194.137949218726</v>
      </c>
      <c r="X449" s="188"/>
    </row>
    <row r="450" spans="1:26" s="157" customFormat="1" ht="16.5" x14ac:dyDescent="0.35">
      <c r="A450" s="461"/>
      <c r="B450" s="195" t="s">
        <v>829</v>
      </c>
      <c r="C450" s="599"/>
      <c r="E450" s="2203">
        <v>643.12</v>
      </c>
      <c r="F450" s="1208">
        <v>819.01</v>
      </c>
      <c r="G450" s="1208">
        <v>945.49</v>
      </c>
      <c r="H450" s="1208">
        <v>777.17</v>
      </c>
      <c r="I450" s="1208">
        <v>850.43</v>
      </c>
      <c r="J450" s="1208">
        <v>523.05999999999995</v>
      </c>
      <c r="K450" s="1208">
        <v>890.23</v>
      </c>
      <c r="L450" s="1208">
        <v>997</v>
      </c>
      <c r="M450" s="1208">
        <v>817.59</v>
      </c>
      <c r="N450" s="1208">
        <v>1093.52</v>
      </c>
      <c r="O450" s="1208">
        <v>756.09</v>
      </c>
      <c r="P450" s="1208">
        <v>637.14</v>
      </c>
      <c r="Q450" s="1162"/>
      <c r="T450" s="171">
        <f>SUM(E450:P450)</f>
        <v>9749.85</v>
      </c>
      <c r="U450" s="188"/>
      <c r="W450" s="197">
        <f>T450</f>
        <v>9749.85</v>
      </c>
      <c r="X450" s="188"/>
      <c r="Y450" s="157" t="s">
        <v>38</v>
      </c>
    </row>
    <row r="451" spans="1:26" s="125" customFormat="1" x14ac:dyDescent="0.25">
      <c r="A451" s="461"/>
      <c r="B451" s="205"/>
      <c r="C451" s="152"/>
      <c r="E451" s="1182"/>
      <c r="F451" s="206"/>
      <c r="G451" s="202"/>
      <c r="H451" s="203"/>
      <c r="I451" s="203"/>
      <c r="J451" s="203"/>
      <c r="K451" s="203"/>
      <c r="L451" s="203"/>
      <c r="M451" s="203"/>
      <c r="N451" s="203"/>
      <c r="O451" s="203"/>
      <c r="P451" s="203"/>
      <c r="U451" s="126"/>
      <c r="W451" s="190">
        <f>SUM(W447:W449)</f>
        <v>271838.95372503949</v>
      </c>
      <c r="X451" s="450"/>
      <c r="Y451" s="157"/>
      <c r="Z451" s="157"/>
    </row>
    <row r="453" spans="1:26" s="128" customFormat="1" x14ac:dyDescent="0.25">
      <c r="A453" s="459">
        <v>47</v>
      </c>
      <c r="B453" s="127" t="s">
        <v>1009</v>
      </c>
      <c r="C453" s="173"/>
      <c r="S453" s="173"/>
      <c r="T453" s="127" t="s">
        <v>1009</v>
      </c>
      <c r="W453" s="129"/>
      <c r="Y453" s="166"/>
      <c r="Z453" s="166"/>
    </row>
    <row r="454" spans="1:26" s="125" customFormat="1" x14ac:dyDescent="0.25">
      <c r="A454" s="461"/>
      <c r="B454" s="130" t="s">
        <v>337</v>
      </c>
      <c r="C454" s="131">
        <v>42522</v>
      </c>
      <c r="D454" s="131">
        <v>42552</v>
      </c>
      <c r="E454" s="131">
        <v>42583</v>
      </c>
      <c r="F454" s="131">
        <v>42614</v>
      </c>
      <c r="G454" s="131">
        <v>42644</v>
      </c>
      <c r="H454" s="131">
        <v>42675</v>
      </c>
      <c r="I454" s="131">
        <v>42705</v>
      </c>
      <c r="J454" s="131">
        <v>42736</v>
      </c>
      <c r="K454" s="131">
        <v>42767</v>
      </c>
      <c r="L454" s="131">
        <v>42795</v>
      </c>
      <c r="M454" s="131">
        <v>42826</v>
      </c>
      <c r="N454" s="131">
        <v>42856</v>
      </c>
      <c r="O454" s="131">
        <v>42887</v>
      </c>
      <c r="P454" s="131">
        <v>42917</v>
      </c>
      <c r="Q454" s="131">
        <v>42948</v>
      </c>
      <c r="R454" s="131">
        <v>42992</v>
      </c>
      <c r="S454" s="132"/>
      <c r="T454" s="133" t="s">
        <v>338</v>
      </c>
      <c r="U454" s="134" t="s">
        <v>339</v>
      </c>
      <c r="V454" s="132"/>
      <c r="W454" s="133" t="s">
        <v>338</v>
      </c>
      <c r="X454" s="134" t="s">
        <v>339</v>
      </c>
      <c r="Y454" s="157"/>
      <c r="Z454" s="157"/>
    </row>
    <row r="455" spans="1:26" s="125" customFormat="1" x14ac:dyDescent="0.25">
      <c r="A455" s="461"/>
      <c r="B455" s="135" t="s">
        <v>340</v>
      </c>
      <c r="C455" s="606"/>
      <c r="D455" s="136">
        <v>52947</v>
      </c>
      <c r="E455" s="136">
        <v>62731</v>
      </c>
      <c r="F455" s="617">
        <v>89755</v>
      </c>
      <c r="G455" s="136">
        <v>64121</v>
      </c>
      <c r="H455" s="136">
        <v>61865</v>
      </c>
      <c r="I455" s="136">
        <v>77423</v>
      </c>
      <c r="J455" s="136">
        <v>80723</v>
      </c>
      <c r="K455" s="136">
        <v>67610</v>
      </c>
      <c r="L455" s="136">
        <v>71297</v>
      </c>
      <c r="M455" s="136">
        <v>67750</v>
      </c>
      <c r="N455" s="136">
        <v>54725</v>
      </c>
      <c r="O455" s="136">
        <v>44235</v>
      </c>
      <c r="P455" s="174"/>
      <c r="Q455" s="174"/>
      <c r="R455" s="174"/>
      <c r="T455" s="140">
        <f>SUM(D455:O455)</f>
        <v>795182</v>
      </c>
      <c r="U455" s="138" t="s">
        <v>341</v>
      </c>
      <c r="V455" s="139"/>
      <c r="W455" s="140">
        <f>T455*3413/1000000</f>
        <v>2713.9561659999999</v>
      </c>
      <c r="X455" s="138" t="s">
        <v>342</v>
      </c>
      <c r="Y455" s="157"/>
      <c r="Z455" s="157"/>
    </row>
    <row r="456" spans="1:26" s="125" customFormat="1" x14ac:dyDescent="0.25">
      <c r="A456" s="461"/>
      <c r="B456" s="135" t="s">
        <v>372</v>
      </c>
      <c r="C456" s="606"/>
      <c r="D456" s="136">
        <v>143</v>
      </c>
      <c r="E456" s="136">
        <v>166</v>
      </c>
      <c r="F456" s="136">
        <v>414</v>
      </c>
      <c r="G456" s="136">
        <v>481</v>
      </c>
      <c r="H456" s="136">
        <v>582</v>
      </c>
      <c r="I456" s="136">
        <v>579</v>
      </c>
      <c r="J456" s="136">
        <v>385</v>
      </c>
      <c r="K456" s="136">
        <v>693</v>
      </c>
      <c r="L456" s="136">
        <v>633</v>
      </c>
      <c r="M456" s="136">
        <v>698</v>
      </c>
      <c r="N456" s="136">
        <v>522</v>
      </c>
      <c r="O456" s="136">
        <v>132</v>
      </c>
      <c r="P456" s="174"/>
      <c r="Q456" s="174"/>
      <c r="R456" s="174"/>
      <c r="T456" s="140">
        <f>SUM(D456:O456)</f>
        <v>5428</v>
      </c>
      <c r="U456" s="138" t="s">
        <v>354</v>
      </c>
      <c r="V456" s="139"/>
      <c r="W456" s="140">
        <f>T456*99976.124488/1000000</f>
        <v>542.6704037208641</v>
      </c>
      <c r="X456" s="138" t="s">
        <v>342</v>
      </c>
      <c r="Y456" s="495">
        <f>W455+W456</f>
        <v>3256.6265697208642</v>
      </c>
      <c r="Z456" s="153" t="s">
        <v>677</v>
      </c>
    </row>
    <row r="457" spans="1:26" s="125" customFormat="1" x14ac:dyDescent="0.25">
      <c r="A457" s="461"/>
      <c r="B457" s="135" t="s">
        <v>345</v>
      </c>
      <c r="C457" s="606"/>
      <c r="D457" s="141">
        <v>12716.884</v>
      </c>
      <c r="E457" s="1248">
        <v>65080.524000000005</v>
      </c>
      <c r="F457" s="141">
        <v>136145.46400000001</v>
      </c>
      <c r="G457" s="141">
        <v>207210.40400000001</v>
      </c>
      <c r="H457" s="141">
        <v>162327.28400000001</v>
      </c>
      <c r="I457" s="141">
        <v>184768.84400000001</v>
      </c>
      <c r="J457" s="141">
        <v>69568.835999999996</v>
      </c>
      <c r="K457" s="141">
        <v>181776.636</v>
      </c>
      <c r="L457" s="141">
        <v>199729.88400000002</v>
      </c>
      <c r="M457" s="141">
        <v>185516.89600000001</v>
      </c>
      <c r="N457" s="141">
        <v>184020.79200000002</v>
      </c>
      <c r="O457" s="141">
        <v>24685.716</v>
      </c>
      <c r="P457" s="1641"/>
      <c r="Q457" s="178"/>
      <c r="R457" s="178"/>
      <c r="T457" s="140">
        <f>SUM(D457:O457)</f>
        <v>1613548.1640000003</v>
      </c>
      <c r="U457" s="138" t="s">
        <v>346</v>
      </c>
      <c r="V457" s="139"/>
      <c r="W457" s="137">
        <f>T457</f>
        <v>1613548.1640000003</v>
      </c>
      <c r="X457" s="138" t="s">
        <v>346</v>
      </c>
      <c r="Y457" s="157"/>
      <c r="Z457" s="157"/>
    </row>
    <row r="458" spans="1:26" s="125" customFormat="1" x14ac:dyDescent="0.25">
      <c r="A458" s="461"/>
      <c r="B458" s="135" t="s">
        <v>324</v>
      </c>
      <c r="C458" s="606"/>
      <c r="D458" s="142">
        <v>4985.53</v>
      </c>
      <c r="E458" s="142">
        <v>5586.64</v>
      </c>
      <c r="F458" s="142">
        <v>7013.41</v>
      </c>
      <c r="G458" s="142">
        <v>5456.15</v>
      </c>
      <c r="H458" s="142">
        <v>5325.55</v>
      </c>
      <c r="I458" s="142">
        <v>5849.65</v>
      </c>
      <c r="J458" s="142">
        <v>6323.85</v>
      </c>
      <c r="K458" s="142">
        <v>5023</v>
      </c>
      <c r="L458" s="142">
        <v>5420.92</v>
      </c>
      <c r="M458" s="142">
        <v>4671.9399999999996</v>
      </c>
      <c r="N458" s="142">
        <v>4136.38</v>
      </c>
      <c r="O458" s="142">
        <v>3357.39</v>
      </c>
      <c r="P458" s="176"/>
      <c r="Q458" s="176"/>
      <c r="R458" s="176"/>
      <c r="T458" s="156">
        <f>SUM(D458:O458)</f>
        <v>63150.409999999996</v>
      </c>
      <c r="U458" s="138"/>
      <c r="V458" s="139"/>
      <c r="W458" s="143">
        <f>T458</f>
        <v>63150.409999999996</v>
      </c>
      <c r="X458" s="138"/>
      <c r="Y458" s="157"/>
      <c r="Z458" s="157"/>
    </row>
    <row r="459" spans="1:26" s="125" customFormat="1" ht="16.5" x14ac:dyDescent="0.35">
      <c r="A459" s="461"/>
      <c r="B459" s="144" t="s">
        <v>374</v>
      </c>
      <c r="C459" s="607"/>
      <c r="D459" s="145">
        <v>128.56</v>
      </c>
      <c r="E459" s="145">
        <v>145.46</v>
      </c>
      <c r="F459" s="145">
        <v>327.60000000000002</v>
      </c>
      <c r="G459" s="145">
        <v>380.08</v>
      </c>
      <c r="H459" s="145">
        <v>420.40999999999997</v>
      </c>
      <c r="I459" s="145">
        <v>531.77</v>
      </c>
      <c r="J459" s="145">
        <v>373.82</v>
      </c>
      <c r="K459" s="145">
        <v>643.83000000000004</v>
      </c>
      <c r="L459" s="145">
        <v>590.13</v>
      </c>
      <c r="M459" s="145">
        <v>622.72</v>
      </c>
      <c r="N459" s="145">
        <v>475.67</v>
      </c>
      <c r="O459" s="145">
        <v>138.5</v>
      </c>
      <c r="P459" s="179"/>
      <c r="Q459" s="179"/>
      <c r="R459" s="179"/>
      <c r="T459" s="156">
        <f>SUM(D459:O459)</f>
        <v>4778.55</v>
      </c>
      <c r="U459" s="138"/>
      <c r="V459" s="139"/>
      <c r="W459" s="146">
        <f>T459</f>
        <v>4778.55</v>
      </c>
      <c r="X459" s="138"/>
      <c r="Y459" s="157"/>
      <c r="Z459" s="157"/>
    </row>
    <row r="460" spans="1:26" x14ac:dyDescent="0.25">
      <c r="W460" s="143">
        <f>SUM(W458:W459)</f>
        <v>67928.959999999992</v>
      </c>
      <c r="X460" s="138"/>
    </row>
    <row r="462" spans="1:26" s="128" customFormat="1" x14ac:dyDescent="0.25">
      <c r="A462" s="459">
        <v>48</v>
      </c>
      <c r="B462" s="127" t="s">
        <v>736</v>
      </c>
      <c r="C462" s="173"/>
      <c r="S462" s="173"/>
      <c r="T462" s="127" t="s">
        <v>736</v>
      </c>
      <c r="W462" s="129"/>
      <c r="Y462" s="166"/>
      <c r="Z462" s="166"/>
    </row>
    <row r="463" spans="1:26" s="125" customFormat="1" x14ac:dyDescent="0.25">
      <c r="A463" s="461"/>
      <c r="B463" s="130" t="s">
        <v>337</v>
      </c>
      <c r="C463" s="131">
        <v>42522</v>
      </c>
      <c r="D463" s="131">
        <v>42552</v>
      </c>
      <c r="E463" s="131">
        <v>42583</v>
      </c>
      <c r="F463" s="131">
        <v>42614</v>
      </c>
      <c r="G463" s="131">
        <v>42644</v>
      </c>
      <c r="H463" s="131">
        <v>42675</v>
      </c>
      <c r="I463" s="131">
        <v>42705</v>
      </c>
      <c r="J463" s="131">
        <v>42736</v>
      </c>
      <c r="K463" s="131">
        <v>42767</v>
      </c>
      <c r="L463" s="131">
        <v>42795</v>
      </c>
      <c r="M463" s="131">
        <v>42826</v>
      </c>
      <c r="N463" s="131">
        <v>42856</v>
      </c>
      <c r="O463" s="131">
        <v>42887</v>
      </c>
      <c r="P463" s="131">
        <v>42917</v>
      </c>
      <c r="Q463" s="131">
        <v>42948</v>
      </c>
      <c r="R463" s="131">
        <v>42992</v>
      </c>
      <c r="S463" s="132"/>
      <c r="T463" s="133" t="s">
        <v>338</v>
      </c>
      <c r="U463" s="134" t="s">
        <v>339</v>
      </c>
      <c r="V463" s="132"/>
      <c r="W463" s="133" t="s">
        <v>338</v>
      </c>
      <c r="X463" s="134" t="s">
        <v>339</v>
      </c>
      <c r="Y463" s="157"/>
      <c r="Z463" s="157"/>
    </row>
    <row r="464" spans="1:26" s="125" customFormat="1" x14ac:dyDescent="0.25">
      <c r="A464" s="461"/>
      <c r="B464" s="135" t="s">
        <v>340</v>
      </c>
      <c r="C464" s="606"/>
      <c r="D464" s="136">
        <v>38381</v>
      </c>
      <c r="E464" s="136">
        <v>42563</v>
      </c>
      <c r="F464" s="617">
        <v>55986</v>
      </c>
      <c r="G464" s="136">
        <v>39727</v>
      </c>
      <c r="H464" s="136">
        <v>48595</v>
      </c>
      <c r="I464" s="136">
        <v>53348</v>
      </c>
      <c r="J464" s="136">
        <v>60364</v>
      </c>
      <c r="K464" s="136">
        <v>49556</v>
      </c>
      <c r="L464" s="136">
        <v>51700</v>
      </c>
      <c r="M464" s="136">
        <v>47402</v>
      </c>
      <c r="N464" s="136">
        <v>34815</v>
      </c>
      <c r="O464" s="136">
        <v>29429</v>
      </c>
      <c r="P464" s="174"/>
      <c r="Q464" s="174"/>
      <c r="R464" s="174"/>
      <c r="T464" s="140">
        <f>SUM(D464:O464)</f>
        <v>551866</v>
      </c>
      <c r="U464" s="138" t="s">
        <v>341</v>
      </c>
      <c r="V464" s="139"/>
      <c r="W464" s="140">
        <f>T464*3413/1000000</f>
        <v>1883.518658</v>
      </c>
      <c r="X464" s="138" t="s">
        <v>342</v>
      </c>
      <c r="Y464" s="157"/>
      <c r="Z464" s="157"/>
    </row>
    <row r="465" spans="1:26" s="125" customFormat="1" x14ac:dyDescent="0.25">
      <c r="A465" s="461"/>
      <c r="B465" s="135" t="s">
        <v>372</v>
      </c>
      <c r="C465" s="606"/>
      <c r="D465" s="136">
        <v>83</v>
      </c>
      <c r="E465" s="136">
        <v>92</v>
      </c>
      <c r="F465" s="136">
        <v>187</v>
      </c>
      <c r="G465" s="136">
        <v>228</v>
      </c>
      <c r="H465" s="136">
        <v>284</v>
      </c>
      <c r="I465" s="136">
        <v>298</v>
      </c>
      <c r="J465" s="136">
        <v>201</v>
      </c>
      <c r="K465" s="136">
        <v>369</v>
      </c>
      <c r="L465" s="136">
        <v>323</v>
      </c>
      <c r="M465" s="136">
        <v>382</v>
      </c>
      <c r="N465" s="136">
        <v>302</v>
      </c>
      <c r="O465" s="136">
        <v>101</v>
      </c>
      <c r="P465" s="174"/>
      <c r="Q465" s="174"/>
      <c r="R465" s="174"/>
      <c r="T465" s="140">
        <f>SUM(D465:O465)</f>
        <v>2850</v>
      </c>
      <c r="U465" s="138" t="s">
        <v>354</v>
      </c>
      <c r="V465" s="139"/>
      <c r="W465" s="140">
        <f>T465*99976.124488/1000000</f>
        <v>284.93195479079998</v>
      </c>
      <c r="X465" s="138" t="s">
        <v>342</v>
      </c>
      <c r="Y465" s="495">
        <f>W464+W465</f>
        <v>2168.4506127907998</v>
      </c>
      <c r="Z465" s="153" t="s">
        <v>677</v>
      </c>
    </row>
    <row r="466" spans="1:26" s="125" customFormat="1" x14ac:dyDescent="0.25">
      <c r="A466" s="461"/>
      <c r="B466" s="135" t="s">
        <v>345</v>
      </c>
      <c r="C466" s="606"/>
      <c r="D466" s="141">
        <v>12716.884</v>
      </c>
      <c r="E466" s="1248">
        <v>26929.871999999999</v>
      </c>
      <c r="F466" s="141">
        <v>156342.86800000002</v>
      </c>
      <c r="G466" s="141">
        <v>280519.5</v>
      </c>
      <c r="H466" s="141">
        <v>249849.36800000002</v>
      </c>
      <c r="I466" s="141">
        <v>256581.83600000001</v>
      </c>
      <c r="J466" s="141">
        <v>195241.57200000001</v>
      </c>
      <c r="K466" s="141">
        <v>228903.91200000001</v>
      </c>
      <c r="L466" s="141">
        <v>253589.628</v>
      </c>
      <c r="M466" s="141">
        <v>248353.264</v>
      </c>
      <c r="N466" s="141">
        <v>235636.38</v>
      </c>
      <c r="O466" s="141">
        <v>78545.460000000006</v>
      </c>
      <c r="P466" s="1641"/>
      <c r="Q466" s="178"/>
      <c r="R466" s="178"/>
      <c r="T466" s="140">
        <f>SUM(D466:O466)</f>
        <v>2223210.5440000002</v>
      </c>
      <c r="U466" s="138" t="s">
        <v>346</v>
      </c>
      <c r="V466" s="139"/>
      <c r="W466" s="137">
        <f>T466</f>
        <v>2223210.5440000002</v>
      </c>
      <c r="X466" s="138" t="s">
        <v>346</v>
      </c>
      <c r="Y466" s="157"/>
      <c r="Z466" s="157"/>
    </row>
    <row r="467" spans="1:26" s="125" customFormat="1" x14ac:dyDescent="0.25">
      <c r="A467" s="461"/>
      <c r="B467" s="135" t="s">
        <v>324</v>
      </c>
      <c r="C467" s="606"/>
      <c r="D467" s="142">
        <v>3380.33</v>
      </c>
      <c r="E467" s="142">
        <v>3637.76</v>
      </c>
      <c r="F467" s="142">
        <v>4317.57</v>
      </c>
      <c r="G467" s="142">
        <v>3330.67</v>
      </c>
      <c r="H467" s="142">
        <v>4140.78</v>
      </c>
      <c r="I467" s="142">
        <v>4119.22</v>
      </c>
      <c r="J467" s="142">
        <v>4526.7700000000004</v>
      </c>
      <c r="K467" s="142">
        <v>3722.68</v>
      </c>
      <c r="L467" s="142">
        <v>3827.45</v>
      </c>
      <c r="M467" s="142">
        <v>3331.68</v>
      </c>
      <c r="N467" s="142">
        <v>2610.71</v>
      </c>
      <c r="O467" s="142">
        <v>2230.3200000000002</v>
      </c>
      <c r="P467" s="176"/>
      <c r="Q467" s="176"/>
      <c r="R467" s="176"/>
      <c r="T467" s="156">
        <f>SUM(D467:O467)</f>
        <v>43175.94</v>
      </c>
      <c r="U467" s="138"/>
      <c r="V467" s="139"/>
      <c r="W467" s="143">
        <f>T467</f>
        <v>43175.94</v>
      </c>
      <c r="X467" s="138"/>
      <c r="Y467" s="157"/>
      <c r="Z467" s="157"/>
    </row>
    <row r="468" spans="1:26" s="125" customFormat="1" ht="16.5" x14ac:dyDescent="0.35">
      <c r="A468" s="461"/>
      <c r="B468" s="144" t="s">
        <v>374</v>
      </c>
      <c r="C468" s="607"/>
      <c r="D468" s="145">
        <v>84.5</v>
      </c>
      <c r="E468" s="145">
        <v>91.11</v>
      </c>
      <c r="F468" s="145">
        <v>160.87</v>
      </c>
      <c r="G468" s="145">
        <v>192.61</v>
      </c>
      <c r="H468" s="145">
        <v>212.64000000000001</v>
      </c>
      <c r="I468" s="145">
        <v>285.08999999999997</v>
      </c>
      <c r="J468" s="145">
        <v>206.48</v>
      </c>
      <c r="K468" s="145">
        <v>353.83</v>
      </c>
      <c r="L468" s="145">
        <v>312.64999999999998</v>
      </c>
      <c r="M468" s="145">
        <v>351.45</v>
      </c>
      <c r="N468" s="145">
        <v>285.12</v>
      </c>
      <c r="O468" s="145">
        <v>111.5</v>
      </c>
      <c r="P468" s="179"/>
      <c r="Q468" s="179"/>
      <c r="R468" s="179"/>
      <c r="T468" s="156">
        <f>SUM(D468:O468)</f>
        <v>2647.8499999999995</v>
      </c>
      <c r="U468" s="138"/>
      <c r="V468" s="139"/>
      <c r="W468" s="146">
        <f>T468</f>
        <v>2647.8499999999995</v>
      </c>
      <c r="X468" s="138"/>
      <c r="Y468" s="157"/>
      <c r="Z468" s="157"/>
    </row>
    <row r="469" spans="1:26" x14ac:dyDescent="0.25">
      <c r="W469" s="143">
        <f>SUM(W467:W468)</f>
        <v>45823.79</v>
      </c>
      <c r="X469" s="138"/>
    </row>
    <row r="471" spans="1:26" s="128" customFormat="1" x14ac:dyDescent="0.25">
      <c r="A471" s="459">
        <v>49</v>
      </c>
      <c r="B471" s="127" t="s">
        <v>1440</v>
      </c>
      <c r="C471" s="173"/>
      <c r="S471" s="173"/>
      <c r="T471" s="127" t="s">
        <v>1440</v>
      </c>
      <c r="W471" s="129"/>
      <c r="Y471" s="166"/>
      <c r="Z471" s="166"/>
    </row>
    <row r="472" spans="1:26" s="125" customFormat="1" x14ac:dyDescent="0.25">
      <c r="A472" s="461"/>
      <c r="B472" s="130" t="s">
        <v>337</v>
      </c>
      <c r="C472" s="131">
        <v>42522</v>
      </c>
      <c r="D472" s="131">
        <v>42552</v>
      </c>
      <c r="E472" s="131">
        <v>42583</v>
      </c>
      <c r="F472" s="131">
        <v>42614</v>
      </c>
      <c r="G472" s="131">
        <v>42644</v>
      </c>
      <c r="H472" s="131">
        <v>42675</v>
      </c>
      <c r="I472" s="131">
        <v>42705</v>
      </c>
      <c r="J472" s="131">
        <v>42736</v>
      </c>
      <c r="K472" s="131">
        <v>42767</v>
      </c>
      <c r="L472" s="131">
        <v>42795</v>
      </c>
      <c r="M472" s="131">
        <v>42826</v>
      </c>
      <c r="N472" s="131">
        <v>42856</v>
      </c>
      <c r="O472" s="131">
        <v>42887</v>
      </c>
      <c r="P472" s="131">
        <v>42917</v>
      </c>
      <c r="Q472" s="131">
        <v>42948</v>
      </c>
      <c r="R472" s="131">
        <v>42992</v>
      </c>
      <c r="S472" s="132"/>
      <c r="T472" s="133" t="s">
        <v>338</v>
      </c>
      <c r="U472" s="134" t="s">
        <v>339</v>
      </c>
      <c r="V472" s="132"/>
      <c r="W472" s="133" t="s">
        <v>338</v>
      </c>
      <c r="X472" s="134" t="s">
        <v>339</v>
      </c>
      <c r="Y472" s="157"/>
      <c r="Z472" s="157"/>
    </row>
    <row r="473" spans="1:26" s="125" customFormat="1" x14ac:dyDescent="0.25">
      <c r="A473" s="461"/>
      <c r="B473" s="135" t="s">
        <v>340</v>
      </c>
      <c r="C473" s="606"/>
      <c r="D473" s="136">
        <v>43939</v>
      </c>
      <c r="E473" s="136">
        <v>50401</v>
      </c>
      <c r="F473" s="617">
        <v>73790</v>
      </c>
      <c r="G473" s="136">
        <v>53290</v>
      </c>
      <c r="H473" s="136">
        <v>54502</v>
      </c>
      <c r="I473" s="136">
        <v>59046</v>
      </c>
      <c r="J473" s="136">
        <v>62444</v>
      </c>
      <c r="K473" s="136">
        <v>53789</v>
      </c>
      <c r="L473" s="136">
        <v>54926</v>
      </c>
      <c r="M473" s="136">
        <v>54353</v>
      </c>
      <c r="N473" s="136">
        <v>43429</v>
      </c>
      <c r="O473" s="136">
        <v>35593</v>
      </c>
      <c r="P473" s="174"/>
      <c r="Q473" s="174"/>
      <c r="R473" s="174"/>
      <c r="T473" s="140">
        <f>SUM(D473:O473)</f>
        <v>639502</v>
      </c>
      <c r="U473" s="138" t="s">
        <v>341</v>
      </c>
      <c r="V473" s="139"/>
      <c r="W473" s="140">
        <f>T473*3413/1000000</f>
        <v>2182.6203260000002</v>
      </c>
      <c r="X473" s="138" t="s">
        <v>342</v>
      </c>
      <c r="Y473" s="157"/>
      <c r="Z473" s="157"/>
    </row>
    <row r="474" spans="1:26" s="125" customFormat="1" x14ac:dyDescent="0.25">
      <c r="A474" s="461"/>
      <c r="B474" s="135" t="s">
        <v>372</v>
      </c>
      <c r="C474" s="606"/>
      <c r="D474" s="136">
        <v>127</v>
      </c>
      <c r="E474" s="136">
        <v>145</v>
      </c>
      <c r="F474" s="136">
        <v>348</v>
      </c>
      <c r="G474" s="136">
        <v>421</v>
      </c>
      <c r="H474" s="136">
        <v>516</v>
      </c>
      <c r="I474" s="136">
        <v>509</v>
      </c>
      <c r="J474" s="136">
        <v>358</v>
      </c>
      <c r="K474" s="136">
        <v>604</v>
      </c>
      <c r="L474" s="136">
        <v>568</v>
      </c>
      <c r="M474" s="136">
        <v>609</v>
      </c>
      <c r="N474" s="136">
        <v>453</v>
      </c>
      <c r="O474" s="136">
        <v>121</v>
      </c>
      <c r="P474" s="174"/>
      <c r="Q474" s="174"/>
      <c r="R474" s="174"/>
      <c r="T474" s="140">
        <f>SUM(D474:O474)</f>
        <v>4779</v>
      </c>
      <c r="U474" s="138" t="s">
        <v>354</v>
      </c>
      <c r="V474" s="139"/>
      <c r="W474" s="140">
        <f>T474*99976.124488/1000000</f>
        <v>477.78589892815205</v>
      </c>
      <c r="X474" s="138" t="s">
        <v>342</v>
      </c>
      <c r="Y474" s="495">
        <f>W473+W474</f>
        <v>2660.4062249281524</v>
      </c>
      <c r="Z474" s="153" t="s">
        <v>677</v>
      </c>
    </row>
    <row r="475" spans="1:26" s="125" customFormat="1" x14ac:dyDescent="0.25">
      <c r="A475" s="461"/>
      <c r="B475" s="135" t="s">
        <v>345</v>
      </c>
      <c r="C475" s="606"/>
      <c r="D475" s="141">
        <v>13464.936</v>
      </c>
      <c r="E475" s="1248">
        <v>8228.5720000000001</v>
      </c>
      <c r="F475" s="141">
        <v>176540.272</v>
      </c>
      <c r="G475" s="141">
        <v>348592.23200000002</v>
      </c>
      <c r="H475" s="141">
        <v>290244.17600000004</v>
      </c>
      <c r="I475" s="141">
        <v>293984.43599999999</v>
      </c>
      <c r="J475" s="141">
        <v>175792.22</v>
      </c>
      <c r="K475" s="141">
        <v>235636.38</v>
      </c>
      <c r="L475" s="141">
        <v>200000</v>
      </c>
      <c r="M475" s="141">
        <v>223667.54800000001</v>
      </c>
      <c r="N475" s="141">
        <v>308945.47600000002</v>
      </c>
      <c r="O475" s="141">
        <v>175044.16800000001</v>
      </c>
      <c r="P475" s="1641"/>
      <c r="Q475" s="178"/>
      <c r="R475" s="178"/>
      <c r="T475" s="140">
        <f>SUM(D475:O475)</f>
        <v>2450140.4159999997</v>
      </c>
      <c r="U475" s="138" t="s">
        <v>346</v>
      </c>
      <c r="V475" s="139"/>
      <c r="W475" s="137">
        <f>T475</f>
        <v>2450140.4159999997</v>
      </c>
      <c r="X475" s="138" t="s">
        <v>346</v>
      </c>
      <c r="Y475" s="157"/>
      <c r="Z475" s="157"/>
    </row>
    <row r="476" spans="1:26" s="125" customFormat="1" x14ac:dyDescent="0.25">
      <c r="A476" s="461"/>
      <c r="B476" s="135" t="s">
        <v>324</v>
      </c>
      <c r="C476" s="606"/>
      <c r="D476" s="142">
        <v>4017.39</v>
      </c>
      <c r="E476" s="142">
        <v>4414.6899999999996</v>
      </c>
      <c r="F476" s="142">
        <v>5659.56</v>
      </c>
      <c r="G476" s="142">
        <v>4412.58</v>
      </c>
      <c r="H476" s="142">
        <v>4680.93</v>
      </c>
      <c r="I476" s="142">
        <v>4374.92</v>
      </c>
      <c r="J476" s="142">
        <v>4645.67</v>
      </c>
      <c r="K476" s="142">
        <v>3997.57</v>
      </c>
      <c r="L476" s="142">
        <v>4010.86</v>
      </c>
      <c r="M476" s="142">
        <v>3744.26</v>
      </c>
      <c r="N476" s="142">
        <v>3237.39</v>
      </c>
      <c r="O476" s="142">
        <v>2694.88</v>
      </c>
      <c r="P476" s="176"/>
      <c r="Q476" s="176"/>
      <c r="R476" s="176"/>
      <c r="T476" s="156">
        <f>SUM(D476:O476)</f>
        <v>49890.7</v>
      </c>
      <c r="U476" s="138"/>
      <c r="V476" s="139"/>
      <c r="W476" s="143">
        <f>T476</f>
        <v>49890.7</v>
      </c>
      <c r="X476" s="138"/>
      <c r="Y476" s="157"/>
      <c r="Z476" s="157"/>
    </row>
    <row r="477" spans="1:26" s="125" customFormat="1" ht="16.5" x14ac:dyDescent="0.35">
      <c r="A477" s="461"/>
      <c r="B477" s="144" t="s">
        <v>374</v>
      </c>
      <c r="C477" s="607"/>
      <c r="D477" s="145">
        <v>116.81</v>
      </c>
      <c r="E477" s="145">
        <v>130.04</v>
      </c>
      <c r="F477" s="145">
        <v>279.12</v>
      </c>
      <c r="G477" s="145">
        <v>335.53</v>
      </c>
      <c r="H477" s="145">
        <v>378.6</v>
      </c>
      <c r="I477" s="145">
        <v>470.43</v>
      </c>
      <c r="J477" s="145">
        <v>349</v>
      </c>
      <c r="K477" s="145">
        <v>564.16999999999996</v>
      </c>
      <c r="L477" s="145">
        <v>531.94000000000005</v>
      </c>
      <c r="M477" s="145">
        <v>546.32000000000005</v>
      </c>
      <c r="N477" s="145">
        <v>415.91</v>
      </c>
      <c r="O477" s="145">
        <v>128.91999999999999</v>
      </c>
      <c r="P477" s="179"/>
      <c r="Q477" s="179"/>
      <c r="R477" s="179"/>
      <c r="T477" s="156">
        <f>SUM(D477:O477)</f>
        <v>4246.79</v>
      </c>
      <c r="U477" s="138"/>
      <c r="V477" s="139"/>
      <c r="W477" s="146">
        <f>T477</f>
        <v>4246.79</v>
      </c>
      <c r="X477" s="138"/>
      <c r="Y477" s="157"/>
      <c r="Z477" s="157"/>
    </row>
    <row r="478" spans="1:26" x14ac:dyDescent="0.25">
      <c r="W478" s="143">
        <f>SUM(W476:W477)</f>
        <v>54137.49</v>
      </c>
      <c r="X478" s="138"/>
    </row>
    <row r="480" spans="1:26" s="128" customFormat="1" x14ac:dyDescent="0.25">
      <c r="A480" s="459">
        <v>50</v>
      </c>
      <c r="B480" s="127" t="s">
        <v>632</v>
      </c>
      <c r="C480" s="602"/>
      <c r="T480" s="127" t="s">
        <v>632</v>
      </c>
      <c r="U480" s="129"/>
      <c r="X480" s="129"/>
      <c r="Y480" s="166"/>
      <c r="Z480" s="166"/>
    </row>
    <row r="481" spans="1:26" s="125" customFormat="1" x14ac:dyDescent="0.25">
      <c r="A481" s="461"/>
      <c r="B481" s="130" t="s">
        <v>337</v>
      </c>
      <c r="C481" s="131">
        <v>42522</v>
      </c>
      <c r="D481" s="131">
        <v>42552</v>
      </c>
      <c r="E481" s="131">
        <v>42583</v>
      </c>
      <c r="F481" s="131">
        <v>42614</v>
      </c>
      <c r="G481" s="131">
        <v>42644</v>
      </c>
      <c r="H481" s="131">
        <v>42675</v>
      </c>
      <c r="I481" s="131">
        <v>42705</v>
      </c>
      <c r="J481" s="131">
        <v>42736</v>
      </c>
      <c r="K481" s="131">
        <v>42767</v>
      </c>
      <c r="L481" s="131">
        <v>42795</v>
      </c>
      <c r="M481" s="131">
        <v>42826</v>
      </c>
      <c r="N481" s="131">
        <v>42856</v>
      </c>
      <c r="O481" s="131">
        <v>42887</v>
      </c>
      <c r="P481" s="131">
        <v>42917</v>
      </c>
      <c r="Q481" s="131">
        <v>42948</v>
      </c>
      <c r="R481" s="131">
        <v>42992</v>
      </c>
      <c r="S481" s="132"/>
      <c r="T481" s="133" t="s">
        <v>338</v>
      </c>
      <c r="U481" s="134" t="s">
        <v>339</v>
      </c>
      <c r="V481" s="132"/>
      <c r="W481" s="133" t="s">
        <v>338</v>
      </c>
      <c r="X481" s="134" t="s">
        <v>339</v>
      </c>
      <c r="Y481" s="157"/>
      <c r="Z481" s="157"/>
    </row>
    <row r="482" spans="1:26" s="125" customFormat="1" x14ac:dyDescent="0.25">
      <c r="A482" s="461"/>
      <c r="B482" s="135" t="s">
        <v>340</v>
      </c>
      <c r="C482" s="606"/>
      <c r="D482" s="136">
        <v>22904</v>
      </c>
      <c r="E482" s="136">
        <v>37807</v>
      </c>
      <c r="F482" s="136">
        <v>41696</v>
      </c>
      <c r="G482" s="136">
        <v>40968</v>
      </c>
      <c r="H482" s="136">
        <v>38386</v>
      </c>
      <c r="I482" s="136">
        <v>30267</v>
      </c>
      <c r="J482" s="136">
        <v>46534</v>
      </c>
      <c r="K482" s="136">
        <v>29068</v>
      </c>
      <c r="L482" s="136">
        <v>36510</v>
      </c>
      <c r="M482" s="136">
        <v>39913</v>
      </c>
      <c r="N482" s="136">
        <v>23149</v>
      </c>
      <c r="O482" s="136">
        <v>20963</v>
      </c>
      <c r="P482" s="174"/>
      <c r="Q482" s="174"/>
      <c r="R482" s="174"/>
      <c r="T482" s="140">
        <f>SUM(D482:O482)</f>
        <v>408165</v>
      </c>
      <c r="U482" s="138" t="s">
        <v>341</v>
      </c>
      <c r="V482" s="139"/>
      <c r="W482" s="140">
        <f>T482*3413/1000000</f>
        <v>1393.067145</v>
      </c>
      <c r="X482" s="138" t="s">
        <v>342</v>
      </c>
      <c r="Y482" s="157"/>
      <c r="Z482" s="157"/>
    </row>
    <row r="483" spans="1:26" s="125" customFormat="1" x14ac:dyDescent="0.25">
      <c r="A483" s="461"/>
      <c r="B483" s="135" t="s">
        <v>1237</v>
      </c>
      <c r="C483" s="612"/>
      <c r="D483" s="160">
        <v>2251.6474388555607</v>
      </c>
      <c r="E483" s="160">
        <v>2144.8255652976468</v>
      </c>
      <c r="F483" s="160">
        <v>2506.0694508537149</v>
      </c>
      <c r="G483" s="160">
        <v>4199.5043839409327</v>
      </c>
      <c r="H483" s="160">
        <v>4670.3493308721736</v>
      </c>
      <c r="I483" s="160">
        <v>5628.5627595754504</v>
      </c>
      <c r="J483" s="160">
        <v>5292.2305029995387</v>
      </c>
      <c r="K483" s="160">
        <v>4113.7538071065992</v>
      </c>
      <c r="L483" s="160">
        <v>4538.1105214582376</v>
      </c>
      <c r="M483" s="160">
        <v>3464.2323488694051</v>
      </c>
      <c r="N483" s="160">
        <v>1683.5309183202585</v>
      </c>
      <c r="O483" s="160">
        <v>2042.0461467466544</v>
      </c>
      <c r="P483" s="456"/>
      <c r="Q483" s="456"/>
      <c r="R483" s="444"/>
      <c r="T483" s="140">
        <f t="shared" ref="T483:T488" si="21">SUM(D483:O483)</f>
        <v>42534.863174896163</v>
      </c>
      <c r="U483" s="138" t="s">
        <v>354</v>
      </c>
      <c r="V483" s="139"/>
      <c r="W483" s="140">
        <f>T483*99976.124488/1000000</f>
        <v>4252.470775853466</v>
      </c>
      <c r="X483" s="138" t="s">
        <v>342</v>
      </c>
    </row>
    <row r="484" spans="1:26" s="125" customFormat="1" x14ac:dyDescent="0.25">
      <c r="A484" s="461"/>
      <c r="B484" s="135" t="s">
        <v>1236</v>
      </c>
      <c r="C484" s="612"/>
      <c r="D484" s="160">
        <v>77696.490564189851</v>
      </c>
      <c r="E484" s="160">
        <v>85843.261966444756</v>
      </c>
      <c r="F484" s="160">
        <v>69489.922298266276</v>
      </c>
      <c r="G484" s="160">
        <v>39152.15862607702</v>
      </c>
      <c r="H484" s="160">
        <v>33287.526094509667</v>
      </c>
      <c r="I484" s="160">
        <v>30799.665259009664</v>
      </c>
      <c r="J484" s="160">
        <v>37541.534643052852</v>
      </c>
      <c r="K484" s="160">
        <v>24974.724354953421</v>
      </c>
      <c r="L484" s="160">
        <v>51247.338987279785</v>
      </c>
      <c r="M484" s="160">
        <v>83468.249875829264</v>
      </c>
      <c r="N484" s="160">
        <v>54149.237976425051</v>
      </c>
      <c r="O484" s="160">
        <v>44808.474968811577</v>
      </c>
      <c r="P484" s="456"/>
      <c r="Q484" s="456"/>
      <c r="R484" s="444"/>
      <c r="T484" s="140">
        <f t="shared" si="21"/>
        <v>632458.58561484935</v>
      </c>
      <c r="U484" s="138" t="s">
        <v>341</v>
      </c>
      <c r="V484" s="139"/>
      <c r="W484" s="140">
        <f>T484*3413/1000000</f>
        <v>2158.5811527034807</v>
      </c>
      <c r="X484" s="138" t="s">
        <v>342</v>
      </c>
      <c r="Y484" s="495">
        <f>W482+W483+W484</f>
        <v>7804.1190735569471</v>
      </c>
      <c r="Z484" s="153" t="s">
        <v>677</v>
      </c>
    </row>
    <row r="485" spans="1:26" s="125" customFormat="1" x14ac:dyDescent="0.25">
      <c r="A485" s="461"/>
      <c r="B485" s="135" t="s">
        <v>864</v>
      </c>
      <c r="C485" s="606"/>
      <c r="D485" s="141">
        <v>143.47999999999999</v>
      </c>
      <c r="E485" s="141">
        <v>510.77499999999998</v>
      </c>
      <c r="F485" s="141">
        <v>510.78</v>
      </c>
      <c r="G485" s="141">
        <v>604.97</v>
      </c>
      <c r="H485" s="141">
        <v>787.16</v>
      </c>
      <c r="I485" s="141">
        <v>296.82</v>
      </c>
      <c r="J485" s="141">
        <v>642.41</v>
      </c>
      <c r="K485" s="141">
        <v>1002.16</v>
      </c>
      <c r="L485" s="141">
        <v>889.53</v>
      </c>
      <c r="M485" s="141">
        <v>1178.67</v>
      </c>
      <c r="N485" s="141">
        <v>633.14</v>
      </c>
      <c r="O485" s="141">
        <v>246.55</v>
      </c>
      <c r="P485" s="178"/>
      <c r="Q485" s="178"/>
      <c r="R485" s="178"/>
      <c r="T485" s="140">
        <f>SUM(D485:O485)</f>
        <v>7446.4450000000006</v>
      </c>
      <c r="U485" s="138" t="s">
        <v>379</v>
      </c>
      <c r="V485" s="139"/>
      <c r="W485" s="137">
        <f>T485*748</f>
        <v>5569940.8600000003</v>
      </c>
      <c r="X485" s="138" t="s">
        <v>346</v>
      </c>
      <c r="Y485" s="157"/>
      <c r="Z485" s="157"/>
    </row>
    <row r="486" spans="1:26" s="125" customFormat="1" x14ac:dyDescent="0.25">
      <c r="A486" s="461"/>
      <c r="B486" s="135" t="s">
        <v>324</v>
      </c>
      <c r="C486" s="606"/>
      <c r="D486" s="142">
        <v>1629.9365604045986</v>
      </c>
      <c r="E486" s="142">
        <v>2690.4912477827743</v>
      </c>
      <c r="F486" s="142">
        <v>2967.2474162866811</v>
      </c>
      <c r="G486" s="142">
        <v>2915.4401417505937</v>
      </c>
      <c r="H486" s="142">
        <v>2731.6951103602396</v>
      </c>
      <c r="I486" s="142">
        <v>2153.9159043732966</v>
      </c>
      <c r="J486" s="142">
        <v>3311.5380676679879</v>
      </c>
      <c r="K486" s="142">
        <v>2068.590461833779</v>
      </c>
      <c r="L486" s="142">
        <v>2598.1917490557062</v>
      </c>
      <c r="M486" s="142">
        <v>2840.3622919764562</v>
      </c>
      <c r="N486" s="142">
        <v>1647.3717008734743</v>
      </c>
      <c r="O486" s="142">
        <v>1491.8075495879148</v>
      </c>
      <c r="P486" s="176"/>
      <c r="Q486" s="176"/>
      <c r="R486" s="176"/>
      <c r="T486" s="140">
        <f t="shared" si="21"/>
        <v>29046.588201953506</v>
      </c>
      <c r="U486" s="138"/>
      <c r="V486" s="139"/>
      <c r="W486" s="143">
        <f>T486</f>
        <v>29046.588201953506</v>
      </c>
      <c r="X486" s="138"/>
      <c r="Y486" s="157"/>
      <c r="Z486" s="157"/>
    </row>
    <row r="487" spans="1:26" s="125" customFormat="1" x14ac:dyDescent="0.25">
      <c r="A487" s="461"/>
      <c r="B487" s="144" t="s">
        <v>1238</v>
      </c>
      <c r="C487" s="611"/>
      <c r="D487" s="171">
        <v>1138.3255168435624</v>
      </c>
      <c r="E487" s="145">
        <v>1033.5400299953853</v>
      </c>
      <c r="F487" s="145">
        <v>1244.1054476234426</v>
      </c>
      <c r="G487" s="145">
        <v>2083.0927295800648</v>
      </c>
      <c r="H487" s="145">
        <v>2141.6032233502542</v>
      </c>
      <c r="I487" s="145">
        <v>3025.9493770189201</v>
      </c>
      <c r="J487" s="145">
        <v>3217.785089986156</v>
      </c>
      <c r="K487" s="145">
        <v>2294.9972104291646</v>
      </c>
      <c r="L487" s="145">
        <v>2177.917607291186</v>
      </c>
      <c r="M487" s="145">
        <v>1848.3690955237657</v>
      </c>
      <c r="N487" s="145">
        <v>921.72976695892953</v>
      </c>
      <c r="O487" s="145">
        <v>1130.5023557914167</v>
      </c>
      <c r="P487" s="179"/>
      <c r="Q487" s="184"/>
      <c r="R487" s="444"/>
      <c r="T487" s="140">
        <f t="shared" si="21"/>
        <v>22257.917450392244</v>
      </c>
      <c r="U487" s="138"/>
      <c r="V487" s="139"/>
      <c r="W487" s="156">
        <f>T487</f>
        <v>22257.917450392244</v>
      </c>
      <c r="X487" s="138"/>
      <c r="Y487" s="157"/>
      <c r="Z487" s="157"/>
    </row>
    <row r="488" spans="1:26" s="125" customFormat="1" ht="16.5" x14ac:dyDescent="0.35">
      <c r="A488" s="461"/>
      <c r="B488" s="204" t="s">
        <v>1239</v>
      </c>
      <c r="C488" s="611"/>
      <c r="D488" s="171">
        <v>5529.1805180625206</v>
      </c>
      <c r="E488" s="145">
        <v>6108.9360436385732</v>
      </c>
      <c r="F488" s="145">
        <v>4945.1696181286661</v>
      </c>
      <c r="G488" s="145">
        <v>2786.2178992055192</v>
      </c>
      <c r="H488" s="145">
        <v>2368.8681359964812</v>
      </c>
      <c r="I488" s="145">
        <v>2191.8224089191067</v>
      </c>
      <c r="J488" s="145">
        <v>2671.5997139542283</v>
      </c>
      <c r="K488" s="145">
        <v>1777.2972542859648</v>
      </c>
      <c r="L488" s="145">
        <v>3646.957362854318</v>
      </c>
      <c r="M488" s="145">
        <v>5939.9210664338425</v>
      </c>
      <c r="N488" s="145">
        <v>3853.4676342920152</v>
      </c>
      <c r="O488" s="145">
        <v>3188.7430827645958</v>
      </c>
      <c r="P488" s="179"/>
      <c r="Q488" s="184"/>
      <c r="R488" s="444"/>
      <c r="T488" s="140">
        <f t="shared" si="21"/>
        <v>45008.180738535833</v>
      </c>
      <c r="U488" s="138"/>
      <c r="V488" s="139"/>
      <c r="W488" s="597">
        <f>T488</f>
        <v>45008.180738535833</v>
      </c>
      <c r="X488" s="138"/>
      <c r="Y488" s="157"/>
      <c r="Z488" s="157"/>
    </row>
    <row r="489" spans="1:26" x14ac:dyDescent="0.25">
      <c r="W489" s="143">
        <f>SUM(W486:W488)</f>
        <v>96312.686390881572</v>
      </c>
      <c r="X489" s="138"/>
    </row>
    <row r="491" spans="1:26" s="460" customFormat="1" x14ac:dyDescent="0.25">
      <c r="A491" s="462">
        <v>51</v>
      </c>
      <c r="B491" s="460" t="s">
        <v>1600</v>
      </c>
      <c r="C491" s="462"/>
      <c r="T491" s="460" t="s">
        <v>1600</v>
      </c>
      <c r="Y491" s="666"/>
      <c r="Z491" s="666"/>
    </row>
    <row r="492" spans="1:26" s="125" customFormat="1" x14ac:dyDescent="0.25">
      <c r="A492" s="461"/>
      <c r="B492" s="130" t="s">
        <v>337</v>
      </c>
      <c r="C492" s="131">
        <v>42522</v>
      </c>
      <c r="D492" s="131">
        <v>42552</v>
      </c>
      <c r="E492" s="131">
        <v>42583</v>
      </c>
      <c r="F492" s="131">
        <v>42614</v>
      </c>
      <c r="G492" s="131">
        <v>42644</v>
      </c>
      <c r="H492" s="131">
        <v>42675</v>
      </c>
      <c r="I492" s="131">
        <v>42705</v>
      </c>
      <c r="J492" s="131">
        <v>42736</v>
      </c>
      <c r="K492" s="131">
        <v>42767</v>
      </c>
      <c r="L492" s="131">
        <v>42795</v>
      </c>
      <c r="M492" s="131">
        <v>42826</v>
      </c>
      <c r="N492" s="131">
        <v>42856</v>
      </c>
      <c r="O492" s="131">
        <v>42887</v>
      </c>
      <c r="P492" s="131">
        <v>42917</v>
      </c>
      <c r="Q492" s="131">
        <v>42948</v>
      </c>
      <c r="R492" s="131">
        <v>42992</v>
      </c>
      <c r="S492" s="132"/>
      <c r="T492" s="133" t="s">
        <v>338</v>
      </c>
      <c r="U492" s="134" t="s">
        <v>339</v>
      </c>
      <c r="V492" s="132"/>
      <c r="W492" s="133" t="s">
        <v>338</v>
      </c>
      <c r="X492" s="134" t="s">
        <v>339</v>
      </c>
      <c r="Y492" s="157"/>
      <c r="Z492" s="157"/>
    </row>
    <row r="493" spans="1:26" s="125" customFormat="1" x14ac:dyDescent="0.25">
      <c r="A493" s="461"/>
      <c r="B493" s="135" t="s">
        <v>340</v>
      </c>
      <c r="C493" s="1819">
        <v>358325</v>
      </c>
      <c r="D493" s="136">
        <v>412600</v>
      </c>
      <c r="E493" s="136">
        <v>387225</v>
      </c>
      <c r="F493" s="136">
        <v>391450</v>
      </c>
      <c r="G493" s="136">
        <v>295050</v>
      </c>
      <c r="H493" s="136">
        <v>267125</v>
      </c>
      <c r="I493" s="136">
        <v>267975</v>
      </c>
      <c r="J493" s="136">
        <v>275475</v>
      </c>
      <c r="K493" s="136">
        <v>251800</v>
      </c>
      <c r="L493" s="136">
        <v>251725</v>
      </c>
      <c r="M493" s="136">
        <v>273475</v>
      </c>
      <c r="N493" s="136">
        <v>285200</v>
      </c>
      <c r="O493" s="174"/>
      <c r="P493" s="174"/>
      <c r="Q493" s="174"/>
      <c r="R493" s="174"/>
      <c r="T493" s="140">
        <f>SUM(C493:N493)</f>
        <v>3717425</v>
      </c>
      <c r="U493" s="138" t="s">
        <v>341</v>
      </c>
      <c r="V493" s="139"/>
      <c r="W493" s="140">
        <f>T493*3413/1000000</f>
        <v>12687.571524999999</v>
      </c>
      <c r="X493" s="138" t="s">
        <v>342</v>
      </c>
      <c r="Y493" s="157"/>
      <c r="Z493" s="157"/>
    </row>
    <row r="494" spans="1:26" s="125" customFormat="1" x14ac:dyDescent="0.25">
      <c r="A494" s="461"/>
      <c r="B494" s="135" t="s">
        <v>372</v>
      </c>
      <c r="C494" s="1819">
        <v>9294</v>
      </c>
      <c r="D494" s="136">
        <v>9173</v>
      </c>
      <c r="E494" s="136">
        <v>8819</v>
      </c>
      <c r="F494" s="136">
        <v>11968</v>
      </c>
      <c r="G494" s="136">
        <v>10121</v>
      </c>
      <c r="H494" s="136">
        <v>15102</v>
      </c>
      <c r="I494" s="136">
        <v>17226</v>
      </c>
      <c r="J494" s="136">
        <v>17322</v>
      </c>
      <c r="K494" s="136">
        <v>12271</v>
      </c>
      <c r="L494" s="136">
        <v>9636</v>
      </c>
      <c r="M494" s="136">
        <v>8277</v>
      </c>
      <c r="N494" s="136">
        <v>8289</v>
      </c>
      <c r="O494" s="174"/>
      <c r="P494" s="174"/>
      <c r="Q494" s="174"/>
      <c r="R494" s="174"/>
      <c r="T494" s="140">
        <f>SUM(C494:N494)</f>
        <v>137498</v>
      </c>
      <c r="U494" s="138" t="s">
        <v>354</v>
      </c>
      <c r="V494" s="139"/>
      <c r="W494" s="140">
        <f>T494*99976.124488/1000000</f>
        <v>13746.517164851024</v>
      </c>
      <c r="X494" s="138" t="s">
        <v>342</v>
      </c>
      <c r="Y494" s="495">
        <f>W493+W494</f>
        <v>26434.088689851022</v>
      </c>
      <c r="Z494" s="1323" t="s">
        <v>342</v>
      </c>
    </row>
    <row r="495" spans="1:26" s="125" customFormat="1" x14ac:dyDescent="0.25">
      <c r="A495" s="461"/>
      <c r="B495" s="135" t="s">
        <v>1478</v>
      </c>
      <c r="C495" s="1819">
        <v>382</v>
      </c>
      <c r="D495" s="141">
        <v>563</v>
      </c>
      <c r="E495" s="141">
        <v>564</v>
      </c>
      <c r="F495" s="141">
        <v>469</v>
      </c>
      <c r="G495" s="141">
        <v>469</v>
      </c>
      <c r="H495" s="141">
        <v>208</v>
      </c>
      <c r="I495" s="141">
        <v>208</v>
      </c>
      <c r="J495" s="141">
        <v>184</v>
      </c>
      <c r="K495" s="141">
        <v>185</v>
      </c>
      <c r="L495" s="141">
        <v>161</v>
      </c>
      <c r="M495" s="141">
        <v>162</v>
      </c>
      <c r="N495" s="141">
        <v>356</v>
      </c>
      <c r="O495" s="178"/>
      <c r="P495" s="178"/>
      <c r="Q495" s="178"/>
      <c r="R495" s="178"/>
      <c r="T495" s="140">
        <f>SUM(C495:N495)</f>
        <v>3911</v>
      </c>
      <c r="U495" s="138" t="s">
        <v>1479</v>
      </c>
      <c r="V495" s="139"/>
      <c r="W495" s="137">
        <f>T495*1000</f>
        <v>3911000</v>
      </c>
      <c r="X495" s="138" t="s">
        <v>346</v>
      </c>
      <c r="Z495" s="157"/>
    </row>
    <row r="496" spans="1:26" s="125" customFormat="1" x14ac:dyDescent="0.25">
      <c r="A496" s="461"/>
      <c r="B496" s="135" t="s">
        <v>324</v>
      </c>
      <c r="C496" s="1181">
        <v>25594.84</v>
      </c>
      <c r="D496" s="142">
        <v>28494.25</v>
      </c>
      <c r="E496" s="142">
        <v>27845.439999999999</v>
      </c>
      <c r="F496" s="142">
        <v>27784.41</v>
      </c>
      <c r="G496" s="142">
        <v>20819.04</v>
      </c>
      <c r="H496" s="142">
        <v>18751.48</v>
      </c>
      <c r="I496" s="142">
        <v>17034.759999999998</v>
      </c>
      <c r="J496" s="142">
        <v>16432.48</v>
      </c>
      <c r="K496" s="142">
        <v>15820.07</v>
      </c>
      <c r="L496" s="142">
        <v>15903.67</v>
      </c>
      <c r="M496" s="142">
        <v>17080.63</v>
      </c>
      <c r="N496" s="142">
        <v>17983.59</v>
      </c>
      <c r="O496" s="176"/>
      <c r="P496" s="176"/>
      <c r="Q496" s="176"/>
      <c r="R496" s="176"/>
      <c r="T496" s="156">
        <f>SUM(C496:N496)</f>
        <v>249544.66000000006</v>
      </c>
      <c r="U496" s="138"/>
      <c r="V496" s="139"/>
      <c r="W496" s="143">
        <f>T496</f>
        <v>249544.66000000006</v>
      </c>
      <c r="X496" s="138"/>
      <c r="Y496" s="157"/>
      <c r="Z496" s="157"/>
    </row>
    <row r="497" spans="1:26" s="125" customFormat="1" ht="16.5" x14ac:dyDescent="0.35">
      <c r="A497" s="461"/>
      <c r="B497" s="144" t="s">
        <v>374</v>
      </c>
      <c r="C497" s="1181">
        <v>6157.23</v>
      </c>
      <c r="D497" s="145">
        <v>6080.16</v>
      </c>
      <c r="E497" s="145">
        <v>5853.21</v>
      </c>
      <c r="F497" s="145">
        <v>7872.04</v>
      </c>
      <c r="G497" s="145">
        <v>5003.6000000000004</v>
      </c>
      <c r="H497" s="145">
        <v>12127.73</v>
      </c>
      <c r="I497" s="145">
        <v>14433.17</v>
      </c>
      <c r="J497" s="145">
        <v>14483.77</v>
      </c>
      <c r="K497" s="145">
        <v>10335.530000000001</v>
      </c>
      <c r="L497" s="145">
        <v>7589.69</v>
      </c>
      <c r="M497" s="145">
        <v>6592.82</v>
      </c>
      <c r="N497" s="145">
        <v>6603.32</v>
      </c>
      <c r="O497" s="179"/>
      <c r="P497" s="179"/>
      <c r="Q497" s="179"/>
      <c r="R497" s="179"/>
      <c r="T497" s="156">
        <f t="shared" ref="T497" si="22">SUM(C497:N497)</f>
        <v>103132.27000000002</v>
      </c>
      <c r="U497" s="138"/>
      <c r="V497" s="139"/>
      <c r="W497" s="146">
        <f>T497</f>
        <v>103132.27000000002</v>
      </c>
      <c r="X497" s="138"/>
      <c r="Y497" s="157"/>
      <c r="Z497" s="157"/>
    </row>
    <row r="498" spans="1:26" x14ac:dyDescent="0.25">
      <c r="W498" s="143">
        <f>SUM(W496:W497)</f>
        <v>352676.93000000005</v>
      </c>
      <c r="X498" s="138"/>
    </row>
    <row r="500" spans="1:26" s="128" customFormat="1" x14ac:dyDescent="0.25">
      <c r="A500" s="459">
        <v>52</v>
      </c>
      <c r="B500" s="127" t="s">
        <v>635</v>
      </c>
      <c r="C500" s="602"/>
      <c r="T500" s="1344" t="s">
        <v>635</v>
      </c>
      <c r="U500" s="129"/>
      <c r="X500" s="129"/>
      <c r="Y500" s="166"/>
      <c r="Z500" s="166"/>
    </row>
    <row r="501" spans="1:26" s="125" customFormat="1" x14ac:dyDescent="0.25">
      <c r="A501" s="461"/>
      <c r="B501" s="130" t="s">
        <v>337</v>
      </c>
      <c r="C501" s="131">
        <v>42522</v>
      </c>
      <c r="D501" s="131">
        <v>42552</v>
      </c>
      <c r="E501" s="131">
        <v>42583</v>
      </c>
      <c r="F501" s="131">
        <v>42614</v>
      </c>
      <c r="G501" s="131">
        <v>42644</v>
      </c>
      <c r="H501" s="131">
        <v>42675</v>
      </c>
      <c r="I501" s="131">
        <v>42705</v>
      </c>
      <c r="J501" s="131">
        <v>42736</v>
      </c>
      <c r="K501" s="131">
        <v>42767</v>
      </c>
      <c r="L501" s="131">
        <v>42795</v>
      </c>
      <c r="M501" s="131">
        <v>42826</v>
      </c>
      <c r="N501" s="131">
        <v>42856</v>
      </c>
      <c r="O501" s="131">
        <v>42887</v>
      </c>
      <c r="P501" s="560">
        <v>42917</v>
      </c>
      <c r="Q501" s="560">
        <v>42948</v>
      </c>
      <c r="R501" s="131">
        <v>42992</v>
      </c>
      <c r="S501" s="132"/>
      <c r="T501" s="133" t="s">
        <v>338</v>
      </c>
      <c r="U501" s="134" t="s">
        <v>339</v>
      </c>
      <c r="V501" s="132"/>
      <c r="W501" s="133" t="s">
        <v>338</v>
      </c>
      <c r="X501" s="134" t="s">
        <v>339</v>
      </c>
      <c r="Y501" s="157"/>
      <c r="Z501" s="157"/>
    </row>
    <row r="502" spans="1:26" s="125" customFormat="1" x14ac:dyDescent="0.25">
      <c r="A502" s="461"/>
      <c r="B502" s="135" t="s">
        <v>340</v>
      </c>
      <c r="C502" s="606"/>
      <c r="D502" s="136">
        <v>38470</v>
      </c>
      <c r="E502" s="136">
        <v>37733</v>
      </c>
      <c r="F502" s="136">
        <v>40115</v>
      </c>
      <c r="G502" s="136">
        <v>34543</v>
      </c>
      <c r="H502" s="136">
        <v>33747</v>
      </c>
      <c r="I502" s="136">
        <v>39909</v>
      </c>
      <c r="J502" s="136">
        <v>39879</v>
      </c>
      <c r="K502" s="136">
        <v>27881</v>
      </c>
      <c r="L502" s="136">
        <v>38890</v>
      </c>
      <c r="M502" s="136">
        <v>35070</v>
      </c>
      <c r="N502" s="136">
        <v>24385</v>
      </c>
      <c r="O502" s="136">
        <v>38838</v>
      </c>
      <c r="P502" s="174"/>
      <c r="Q502" s="174"/>
      <c r="R502" s="174"/>
      <c r="T502" s="140">
        <f>SUM(D502:O502)</f>
        <v>429460</v>
      </c>
      <c r="U502" s="138" t="s">
        <v>341</v>
      </c>
      <c r="V502" s="139"/>
      <c r="W502" s="140">
        <f>T502*3413/1000000</f>
        <v>1465.7469799999999</v>
      </c>
      <c r="X502" s="138" t="s">
        <v>342</v>
      </c>
      <c r="Y502" s="157"/>
      <c r="Z502" s="157"/>
    </row>
    <row r="503" spans="1:26" s="125" customFormat="1" x14ac:dyDescent="0.25">
      <c r="A503" s="461"/>
      <c r="B503" s="135" t="s">
        <v>1060</v>
      </c>
      <c r="C503" s="606" t="s">
        <v>352</v>
      </c>
      <c r="D503" s="136"/>
      <c r="E503" s="136"/>
      <c r="F503" s="136"/>
      <c r="G503" s="136"/>
      <c r="H503" s="136"/>
      <c r="I503" s="136"/>
      <c r="J503" s="136"/>
      <c r="K503" s="136"/>
      <c r="L503" s="136"/>
      <c r="M503" s="136"/>
      <c r="N503" s="136"/>
      <c r="O503" s="136"/>
      <c r="P503" s="174"/>
      <c r="Q503" s="174"/>
      <c r="R503" s="174"/>
      <c r="T503" s="140">
        <f t="shared" ref="T503:T508" si="23">SUM(D503:O503)</f>
        <v>0</v>
      </c>
      <c r="U503" s="138" t="s">
        <v>344</v>
      </c>
      <c r="V503" s="139"/>
      <c r="W503" s="140">
        <f>T503/1000</f>
        <v>0</v>
      </c>
      <c r="X503" s="138" t="s">
        <v>342</v>
      </c>
      <c r="Y503" s="157"/>
      <c r="Z503" s="157"/>
    </row>
    <row r="504" spans="1:26" s="125" customFormat="1" x14ac:dyDescent="0.25">
      <c r="A504" s="461"/>
      <c r="B504" s="135" t="s">
        <v>1389</v>
      </c>
      <c r="C504" s="606"/>
      <c r="D504" s="160">
        <v>26921</v>
      </c>
      <c r="E504" s="160">
        <v>26100</v>
      </c>
      <c r="F504" s="160">
        <v>20524</v>
      </c>
      <c r="G504" s="160">
        <v>13417</v>
      </c>
      <c r="H504" s="160">
        <v>5214</v>
      </c>
      <c r="I504" s="160">
        <v>5387</v>
      </c>
      <c r="J504" s="160">
        <v>6074</v>
      </c>
      <c r="K504" s="160">
        <v>7813</v>
      </c>
      <c r="L504" s="160">
        <v>6248</v>
      </c>
      <c r="M504" s="160">
        <v>16100</v>
      </c>
      <c r="N504" s="160">
        <v>16920</v>
      </c>
      <c r="O504" s="160">
        <v>14100</v>
      </c>
      <c r="P504" s="456"/>
      <c r="Q504" s="444"/>
      <c r="R504" s="444"/>
      <c r="T504" s="140">
        <f t="shared" si="23"/>
        <v>164818</v>
      </c>
      <c r="U504" s="138" t="s">
        <v>397</v>
      </c>
      <c r="V504" s="139"/>
      <c r="W504" s="160">
        <f>T504*0.012</f>
        <v>1977.816</v>
      </c>
      <c r="X504" s="138" t="s">
        <v>342</v>
      </c>
      <c r="Y504" s="495">
        <f>W502+W503+W504</f>
        <v>3443.5629799999997</v>
      </c>
      <c r="Z504" s="153" t="s">
        <v>342</v>
      </c>
    </row>
    <row r="505" spans="1:26" s="125" customFormat="1" x14ac:dyDescent="0.25">
      <c r="A505" s="461"/>
      <c r="B505" s="135" t="s">
        <v>345</v>
      </c>
      <c r="C505" s="606" t="s">
        <v>352</v>
      </c>
      <c r="D505" s="141"/>
      <c r="E505" s="141"/>
      <c r="F505" s="141"/>
      <c r="G505" s="141"/>
      <c r="H505" s="141"/>
      <c r="I505" s="141"/>
      <c r="J505" s="141"/>
      <c r="K505" s="141"/>
      <c r="L505" s="141"/>
      <c r="M505" s="141"/>
      <c r="N505" s="141"/>
      <c r="O505" s="141"/>
      <c r="P505" s="178"/>
      <c r="Q505" s="178"/>
      <c r="R505" s="178"/>
      <c r="T505" s="140">
        <f t="shared" si="23"/>
        <v>0</v>
      </c>
      <c r="U505" s="138" t="s">
        <v>346</v>
      </c>
      <c r="V505" s="139"/>
      <c r="W505" s="137">
        <f>T505</f>
        <v>0</v>
      </c>
      <c r="X505" s="138" t="s">
        <v>346</v>
      </c>
      <c r="Y505" s="157"/>
      <c r="Z505" s="157"/>
    </row>
    <row r="506" spans="1:26" s="125" customFormat="1" x14ac:dyDescent="0.25">
      <c r="A506" s="461"/>
      <c r="B506" s="135" t="s">
        <v>324</v>
      </c>
      <c r="C506" s="606"/>
      <c r="D506" s="142">
        <v>3375.7424999999998</v>
      </c>
      <c r="E506" s="142">
        <v>3311.0707499999999</v>
      </c>
      <c r="F506" s="142">
        <v>3520.0912499999999</v>
      </c>
      <c r="G506" s="142">
        <v>3031.1482499999997</v>
      </c>
      <c r="H506" s="142">
        <v>2961.29925</v>
      </c>
      <c r="I506" s="142">
        <v>3502.0147499999998</v>
      </c>
      <c r="J506" s="142">
        <v>3499.3822499999997</v>
      </c>
      <c r="K506" s="142">
        <v>2446.5577499999999</v>
      </c>
      <c r="L506" s="142">
        <v>3412.5974999999999</v>
      </c>
      <c r="M506" s="142">
        <v>3077.3924999999999</v>
      </c>
      <c r="N506" s="142">
        <v>2139.7837500000001</v>
      </c>
      <c r="O506" s="142">
        <v>3408.0344999999998</v>
      </c>
      <c r="P506" s="176"/>
      <c r="Q506" s="176"/>
      <c r="R506" s="176"/>
      <c r="T506" s="956">
        <f t="shared" si="23"/>
        <v>37685.114999999998</v>
      </c>
      <c r="U506" s="138"/>
      <c r="V506" s="139"/>
      <c r="W506" s="143">
        <f>T506</f>
        <v>37685.114999999998</v>
      </c>
      <c r="X506" s="138"/>
      <c r="Y506" s="157"/>
      <c r="Z506" s="157"/>
    </row>
    <row r="507" spans="1:26" s="125" customFormat="1" x14ac:dyDescent="0.25">
      <c r="A507" s="461"/>
      <c r="B507" s="144" t="s">
        <v>1058</v>
      </c>
      <c r="C507" s="606" t="s">
        <v>352</v>
      </c>
      <c r="D507" s="145"/>
      <c r="E507" s="145"/>
      <c r="F507" s="145"/>
      <c r="G507" s="145"/>
      <c r="H507" s="145"/>
      <c r="I507" s="145"/>
      <c r="J507" s="145"/>
      <c r="K507" s="145"/>
      <c r="L507" s="145"/>
      <c r="M507" s="145"/>
      <c r="N507" s="145"/>
      <c r="O507" s="145"/>
      <c r="P507" s="179"/>
      <c r="Q507" s="179"/>
      <c r="R507" s="179"/>
      <c r="T507" s="956">
        <f t="shared" si="23"/>
        <v>0</v>
      </c>
      <c r="U507" s="138"/>
      <c r="V507" s="139"/>
      <c r="W507" s="143">
        <f>T507</f>
        <v>0</v>
      </c>
      <c r="X507" s="138"/>
      <c r="Y507" s="157"/>
      <c r="Z507" s="157"/>
    </row>
    <row r="508" spans="1:26" s="125" customFormat="1" ht="16.5" x14ac:dyDescent="0.35">
      <c r="A508" s="461"/>
      <c r="B508" s="144" t="s">
        <v>398</v>
      </c>
      <c r="C508" s="606" t="s">
        <v>352</v>
      </c>
      <c r="D508" s="440"/>
      <c r="E508" s="145"/>
      <c r="F508" s="145"/>
      <c r="G508" s="145"/>
      <c r="H508" s="145"/>
      <c r="I508" s="145"/>
      <c r="J508" s="145"/>
      <c r="K508" s="145"/>
      <c r="L508" s="145"/>
      <c r="M508" s="145"/>
      <c r="N508" s="145"/>
      <c r="O508" s="145"/>
      <c r="P508" s="179"/>
      <c r="Q508" s="444"/>
      <c r="R508" s="444"/>
      <c r="T508" s="956">
        <f t="shared" si="23"/>
        <v>0</v>
      </c>
      <c r="U508" s="138"/>
      <c r="V508" s="139"/>
      <c r="W508" s="146">
        <f>T508</f>
        <v>0</v>
      </c>
      <c r="X508" s="138"/>
      <c r="Y508" s="157"/>
      <c r="Z508" s="157"/>
    </row>
    <row r="509" spans="1:26" x14ac:dyDescent="0.25">
      <c r="W509" s="143">
        <f>SUM(W506:W507)</f>
        <v>37685.114999999998</v>
      </c>
      <c r="X509" s="138"/>
    </row>
    <row r="511" spans="1:26" x14ac:dyDescent="0.25">
      <c r="A511" s="462">
        <v>53</v>
      </c>
      <c r="B511" s="666" t="s">
        <v>974</v>
      </c>
      <c r="T511" s="666" t="s">
        <v>974</v>
      </c>
    </row>
    <row r="512" spans="1:26" s="125" customFormat="1" x14ac:dyDescent="0.25">
      <c r="A512" s="461"/>
      <c r="B512" s="130" t="s">
        <v>337</v>
      </c>
      <c r="C512" s="131">
        <v>42522</v>
      </c>
      <c r="D512" s="131">
        <v>42552</v>
      </c>
      <c r="E512" s="131">
        <v>42583</v>
      </c>
      <c r="F512" s="131">
        <v>42614</v>
      </c>
      <c r="G512" s="131">
        <v>42644</v>
      </c>
      <c r="H512" s="131">
        <v>42675</v>
      </c>
      <c r="I512" s="131">
        <v>42705</v>
      </c>
      <c r="J512" s="131">
        <v>42736</v>
      </c>
      <c r="K512" s="131">
        <v>42767</v>
      </c>
      <c r="L512" s="131">
        <v>42795</v>
      </c>
      <c r="M512" s="131">
        <v>42826</v>
      </c>
      <c r="N512" s="131">
        <v>42856</v>
      </c>
      <c r="O512" s="131">
        <v>42887</v>
      </c>
      <c r="P512" s="131">
        <v>42917</v>
      </c>
      <c r="Q512" s="131">
        <v>42948</v>
      </c>
      <c r="R512" s="131">
        <v>42992</v>
      </c>
      <c r="S512" s="132"/>
      <c r="T512" s="133" t="s">
        <v>338</v>
      </c>
      <c r="U512" s="134" t="s">
        <v>339</v>
      </c>
      <c r="V512" s="132"/>
      <c r="W512" s="133" t="s">
        <v>338</v>
      </c>
      <c r="X512" s="134" t="s">
        <v>339</v>
      </c>
      <c r="Y512" s="157"/>
      <c r="Z512" s="157"/>
    </row>
    <row r="513" spans="1:26" s="157" customFormat="1" x14ac:dyDescent="0.25">
      <c r="A513" s="461"/>
      <c r="B513" s="135" t="s">
        <v>319</v>
      </c>
      <c r="C513" s="599"/>
      <c r="E513" s="1170">
        <v>44531.982421869994</v>
      </c>
      <c r="F513" s="1170">
        <v>51126.953125</v>
      </c>
      <c r="G513" s="1170">
        <v>50754.028320309997</v>
      </c>
      <c r="H513" s="1218">
        <v>45870.971679690003</v>
      </c>
      <c r="I513" s="1186">
        <v>41633.056640630006</v>
      </c>
      <c r="J513" s="1186">
        <v>45049.926757809997</v>
      </c>
      <c r="K513" s="1186">
        <v>40887.084960940003</v>
      </c>
      <c r="L513" s="1186">
        <v>42773.92578125</v>
      </c>
      <c r="M513" s="1196">
        <v>46723.999023429998</v>
      </c>
      <c r="N513" s="1196">
        <v>38963.989257820002</v>
      </c>
      <c r="O513" s="1196">
        <v>33222.045898429998</v>
      </c>
      <c r="P513" s="756">
        <v>35352.05078125</v>
      </c>
      <c r="Q513" s="174"/>
      <c r="T513" s="141">
        <f t="shared" ref="T513:T519" si="24">SUM(E513:P513)</f>
        <v>516890.01464842999</v>
      </c>
      <c r="U513" s="188" t="s">
        <v>341</v>
      </c>
      <c r="W513" s="140">
        <f>T513*3413/1000000</f>
        <v>1764.1456199950917</v>
      </c>
      <c r="X513" s="138" t="s">
        <v>342</v>
      </c>
    </row>
    <row r="514" spans="1:26" s="157" customFormat="1" x14ac:dyDescent="0.25">
      <c r="A514" s="461"/>
      <c r="B514" s="135" t="s">
        <v>1137</v>
      </c>
      <c r="C514" s="599"/>
      <c r="E514" s="1192">
        <v>75.520000000000152</v>
      </c>
      <c r="F514" s="1192">
        <v>74.820352000000113</v>
      </c>
      <c r="G514" s="1192">
        <v>133.73951999999991</v>
      </c>
      <c r="H514" s="1192">
        <v>191.33055999999954</v>
      </c>
      <c r="I514" s="1192">
        <v>259.52972800000043</v>
      </c>
      <c r="J514" s="1192">
        <v>255.50028799999922</v>
      </c>
      <c r="K514" s="1192">
        <v>175.72966400000081</v>
      </c>
      <c r="L514" s="1192">
        <v>187.87993600000019</v>
      </c>
      <c r="M514" s="2205">
        <v>101.55980800000003</v>
      </c>
      <c r="N514" s="2205">
        <v>77.010431999999412</v>
      </c>
      <c r="O514" s="2205">
        <v>60.360192000000836</v>
      </c>
      <c r="P514" s="2205">
        <v>64.439807999999601</v>
      </c>
      <c r="Q514" s="174"/>
      <c r="T514" s="141">
        <f t="shared" si="24"/>
        <v>1657.4202880000003</v>
      </c>
      <c r="U514" s="188" t="s">
        <v>1138</v>
      </c>
      <c r="W514" s="160">
        <f>T514</f>
        <v>1657.4202880000003</v>
      </c>
      <c r="X514" s="138" t="s">
        <v>342</v>
      </c>
    </row>
    <row r="515" spans="1:26" s="157" customFormat="1" x14ac:dyDescent="0.25">
      <c r="A515" s="461"/>
      <c r="B515" s="153" t="s">
        <v>362</v>
      </c>
      <c r="C515" s="599"/>
      <c r="E515" s="1170">
        <v>615.8251953125</v>
      </c>
      <c r="F515" s="1170">
        <v>475.43994140625</v>
      </c>
      <c r="G515" s="1170">
        <v>325.66015625</v>
      </c>
      <c r="H515" s="1170">
        <v>215.3662109375</v>
      </c>
      <c r="I515" s="1170">
        <v>149.8544921875</v>
      </c>
      <c r="J515" s="1170">
        <v>149.806640625</v>
      </c>
      <c r="K515" s="1170">
        <v>157.9375</v>
      </c>
      <c r="L515" s="1170">
        <v>168.0419921875</v>
      </c>
      <c r="M515" s="1197">
        <v>279.0283203125</v>
      </c>
      <c r="N515" s="1197">
        <v>296.7138671875</v>
      </c>
      <c r="O515" s="756">
        <v>369.2587890625</v>
      </c>
      <c r="P515" s="756">
        <v>503.978515625</v>
      </c>
      <c r="Q515" s="178"/>
      <c r="T515" s="141">
        <f t="shared" si="24"/>
        <v>3706.91162109375</v>
      </c>
      <c r="U515" s="188" t="s">
        <v>870</v>
      </c>
      <c r="W515" s="140">
        <f>T515*99976.124488/100000</f>
        <v>3706.0265769648267</v>
      </c>
      <c r="X515" s="138" t="s">
        <v>342</v>
      </c>
      <c r="Y515" s="495">
        <f>W513+W514+W515</f>
        <v>7127.5924849599187</v>
      </c>
      <c r="Z515" s="153" t="s">
        <v>677</v>
      </c>
    </row>
    <row r="516" spans="1:26" s="157" customFormat="1" x14ac:dyDescent="0.25">
      <c r="A516" s="461"/>
      <c r="B516" s="135" t="s">
        <v>864</v>
      </c>
      <c r="C516" s="599"/>
      <c r="E516" s="1193">
        <v>95</v>
      </c>
      <c r="F516" s="1193">
        <v>176</v>
      </c>
      <c r="G516" s="1194">
        <v>145</v>
      </c>
      <c r="H516" s="1194">
        <v>147</v>
      </c>
      <c r="I516" s="1194">
        <v>87</v>
      </c>
      <c r="J516" s="1194">
        <v>94</v>
      </c>
      <c r="K516" s="1194">
        <v>122</v>
      </c>
      <c r="L516" s="1200">
        <v>105</v>
      </c>
      <c r="M516" s="1200">
        <v>117</v>
      </c>
      <c r="N516" s="1200">
        <v>65</v>
      </c>
      <c r="O516" s="1200">
        <v>19</v>
      </c>
      <c r="P516" s="1200">
        <v>22</v>
      </c>
      <c r="Q516" s="730"/>
      <c r="T516" s="141">
        <f t="shared" si="24"/>
        <v>1194</v>
      </c>
      <c r="U516" s="188" t="s">
        <v>379</v>
      </c>
      <c r="W516" s="141">
        <f>T516*748</f>
        <v>893112</v>
      </c>
      <c r="X516" s="188" t="s">
        <v>346</v>
      </c>
    </row>
    <row r="517" spans="1:26" s="157" customFormat="1" x14ac:dyDescent="0.25">
      <c r="A517" s="461"/>
      <c r="B517" s="135" t="s">
        <v>324</v>
      </c>
      <c r="C517" s="599"/>
      <c r="E517" s="1208">
        <v>3874.2824707026894</v>
      </c>
      <c r="F517" s="1208">
        <v>4448.044921875</v>
      </c>
      <c r="G517" s="1208">
        <v>4415.6004638669692</v>
      </c>
      <c r="H517" s="1208">
        <v>3990.7745361330299</v>
      </c>
      <c r="I517" s="1208">
        <v>3622.0759277348102</v>
      </c>
      <c r="J517" s="1208">
        <v>3919.3436279294697</v>
      </c>
      <c r="K517" s="1208">
        <v>3557.1763916017799</v>
      </c>
      <c r="L517" s="1208">
        <v>3721.3315429687495</v>
      </c>
      <c r="M517" s="1208">
        <v>4064.9879150384095</v>
      </c>
      <c r="N517" s="1208">
        <v>3389.8670654303401</v>
      </c>
      <c r="O517" s="1208">
        <v>2890.3179931634095</v>
      </c>
      <c r="P517" s="1208">
        <v>2934.22021484375</v>
      </c>
      <c r="Q517" s="1162"/>
      <c r="T517" s="141">
        <f t="shared" si="24"/>
        <v>44828.023071288408</v>
      </c>
      <c r="U517" s="188"/>
      <c r="W517" s="190">
        <f>T517</f>
        <v>44828.023071288408</v>
      </c>
      <c r="X517" s="188"/>
    </row>
    <row r="518" spans="1:26" s="157" customFormat="1" x14ac:dyDescent="0.25">
      <c r="A518" s="461"/>
      <c r="B518" s="144" t="s">
        <v>348</v>
      </c>
      <c r="C518" s="599"/>
      <c r="E518" s="1208">
        <v>907.75040000000183</v>
      </c>
      <c r="F518" s="1208">
        <v>899.34063104000131</v>
      </c>
      <c r="G518" s="1208">
        <v>1607.5490303999989</v>
      </c>
      <c r="H518" s="1208">
        <v>2299.7933311999946</v>
      </c>
      <c r="I518" s="1208">
        <v>3119.5473305600049</v>
      </c>
      <c r="J518" s="1208">
        <v>3071.1134617599905</v>
      </c>
      <c r="K518" s="1208">
        <v>2112.2705612800096</v>
      </c>
      <c r="L518" s="1208">
        <v>2258.3168307200021</v>
      </c>
      <c r="M518" s="1208">
        <v>1220.7488921600004</v>
      </c>
      <c r="N518" s="1208">
        <v>925.66539263999289</v>
      </c>
      <c r="O518" s="1208">
        <v>725.52950784001007</v>
      </c>
      <c r="P518" s="1208">
        <v>889.91374847999452</v>
      </c>
      <c r="Q518" s="1162"/>
      <c r="T518" s="141">
        <f t="shared" si="24"/>
        <v>20037.53911808</v>
      </c>
      <c r="U518" s="188"/>
      <c r="W518" s="190">
        <f>T518</f>
        <v>20037.53911808</v>
      </c>
      <c r="X518" s="188"/>
    </row>
    <row r="519" spans="1:26" s="157" customFormat="1" ht="16.5" x14ac:dyDescent="0.35">
      <c r="A519" s="461"/>
      <c r="B519" s="195" t="s">
        <v>398</v>
      </c>
      <c r="C519" s="599"/>
      <c r="E519" s="1208">
        <v>7974.936279296875</v>
      </c>
      <c r="F519" s="1208">
        <v>6156.9472412109371</v>
      </c>
      <c r="G519" s="1208">
        <v>4217.2990234375002</v>
      </c>
      <c r="H519" s="1208">
        <v>2788.992431640625</v>
      </c>
      <c r="I519" s="1208">
        <v>1940.615673828125</v>
      </c>
      <c r="J519" s="1208">
        <v>1939.9959960937499</v>
      </c>
      <c r="K519" s="1208">
        <v>2045.2906249999999</v>
      </c>
      <c r="L519" s="1208">
        <v>2176.143798828125</v>
      </c>
      <c r="M519" s="1208">
        <v>3613.416748046875</v>
      </c>
      <c r="N519" s="1208">
        <v>3842.444580078125</v>
      </c>
      <c r="O519" s="1208">
        <v>4781.9013183593752</v>
      </c>
      <c r="P519" s="1208">
        <v>6430.7658593750002</v>
      </c>
      <c r="Q519" s="1162"/>
      <c r="T519" s="141">
        <f t="shared" si="24"/>
        <v>47908.749575195317</v>
      </c>
      <c r="U519" s="188"/>
      <c r="W519" s="197">
        <f>T519</f>
        <v>47908.749575195317</v>
      </c>
      <c r="X519" s="188"/>
    </row>
    <row r="520" spans="1:26" s="125" customFormat="1" x14ac:dyDescent="0.25">
      <c r="A520" s="461"/>
      <c r="B520" s="205"/>
      <c r="C520" s="152"/>
      <c r="E520" s="201"/>
      <c r="F520" s="206"/>
      <c r="G520" s="202"/>
      <c r="H520" s="203"/>
      <c r="I520" s="203"/>
      <c r="J520" s="203"/>
      <c r="K520" s="203"/>
      <c r="L520" s="203"/>
      <c r="M520" s="203"/>
      <c r="N520" s="203"/>
      <c r="O520" s="203"/>
      <c r="P520" s="203"/>
      <c r="U520" s="126"/>
      <c r="W520" s="190">
        <f>SUM(W517:W519)</f>
        <v>112774.31176456372</v>
      </c>
      <c r="X520" s="450"/>
      <c r="Y520" s="157"/>
      <c r="Z520" s="157"/>
    </row>
    <row r="522" spans="1:26" s="666" customFormat="1" x14ac:dyDescent="0.25">
      <c r="A522" s="462">
        <v>54</v>
      </c>
      <c r="B522" s="666" t="s">
        <v>1413</v>
      </c>
      <c r="C522" s="930"/>
      <c r="T522" s="666" t="s">
        <v>1413</v>
      </c>
    </row>
    <row r="523" spans="1:26" s="125" customFormat="1" x14ac:dyDescent="0.25">
      <c r="A523" s="461"/>
      <c r="B523" s="130" t="s">
        <v>337</v>
      </c>
      <c r="C523" s="131">
        <v>42522</v>
      </c>
      <c r="D523" s="131">
        <v>42552</v>
      </c>
      <c r="E523" s="131">
        <v>42583</v>
      </c>
      <c r="F523" s="131">
        <v>42614</v>
      </c>
      <c r="G523" s="131">
        <v>42644</v>
      </c>
      <c r="H523" s="131">
        <v>42675</v>
      </c>
      <c r="I523" s="131">
        <v>42705</v>
      </c>
      <c r="J523" s="131">
        <v>42736</v>
      </c>
      <c r="K523" s="131">
        <v>42767</v>
      </c>
      <c r="L523" s="131">
        <v>42795</v>
      </c>
      <c r="M523" s="131">
        <v>42826</v>
      </c>
      <c r="N523" s="131">
        <v>42856</v>
      </c>
      <c r="O523" s="131">
        <v>42887</v>
      </c>
      <c r="P523" s="131">
        <v>42917</v>
      </c>
      <c r="Q523" s="131">
        <v>42948</v>
      </c>
      <c r="R523" s="131">
        <v>42992</v>
      </c>
      <c r="S523" s="132"/>
      <c r="T523" s="133" t="s">
        <v>338</v>
      </c>
      <c r="U523" s="134" t="s">
        <v>339</v>
      </c>
      <c r="V523" s="132"/>
      <c r="W523" s="133" t="s">
        <v>338</v>
      </c>
      <c r="X523" s="134" t="s">
        <v>339</v>
      </c>
      <c r="Y523" s="157"/>
      <c r="Z523" s="157"/>
    </row>
    <row r="524" spans="1:26" s="125" customFormat="1" x14ac:dyDescent="0.25">
      <c r="A524" s="461"/>
      <c r="B524" s="135" t="s">
        <v>340</v>
      </c>
      <c r="C524" s="606"/>
      <c r="D524" s="136">
        <v>78871</v>
      </c>
      <c r="E524" s="136">
        <v>71264</v>
      </c>
      <c r="F524" s="617">
        <v>95727</v>
      </c>
      <c r="G524" s="136">
        <v>68240</v>
      </c>
      <c r="H524" s="136">
        <v>65326</v>
      </c>
      <c r="I524" s="136">
        <v>73775</v>
      </c>
      <c r="J524" s="136">
        <v>78216</v>
      </c>
      <c r="K524" s="136">
        <v>68943</v>
      </c>
      <c r="L524" s="136">
        <v>72435</v>
      </c>
      <c r="M524" s="136">
        <v>70192</v>
      </c>
      <c r="N524" s="136">
        <v>56867</v>
      </c>
      <c r="O524" s="136">
        <v>45785</v>
      </c>
      <c r="P524" s="174"/>
      <c r="Q524" s="174"/>
      <c r="R524" s="174"/>
      <c r="T524" s="140">
        <f>SUM(D524:O524)</f>
        <v>845641</v>
      </c>
      <c r="U524" s="138" t="s">
        <v>341</v>
      </c>
      <c r="V524" s="139"/>
      <c r="W524" s="140">
        <f>T524*3413/1000000</f>
        <v>2886.1727329999999</v>
      </c>
      <c r="X524" s="138" t="s">
        <v>342</v>
      </c>
      <c r="Y524" s="157"/>
      <c r="Z524" s="157"/>
    </row>
    <row r="525" spans="1:26" s="125" customFormat="1" x14ac:dyDescent="0.25">
      <c r="A525" s="461"/>
      <c r="B525" s="135" t="s">
        <v>372</v>
      </c>
      <c r="C525" s="606"/>
      <c r="D525" s="136">
        <v>262</v>
      </c>
      <c r="E525" s="136">
        <v>176</v>
      </c>
      <c r="F525" s="136">
        <v>298</v>
      </c>
      <c r="G525" s="136">
        <v>377</v>
      </c>
      <c r="H525" s="136">
        <v>482</v>
      </c>
      <c r="I525" s="136">
        <v>504</v>
      </c>
      <c r="J525" s="136">
        <v>326</v>
      </c>
      <c r="K525" s="136">
        <v>617</v>
      </c>
      <c r="L525" s="136">
        <v>563</v>
      </c>
      <c r="M525" s="136">
        <v>581</v>
      </c>
      <c r="N525" s="136">
        <v>418</v>
      </c>
      <c r="O525" s="136">
        <v>67</v>
      </c>
      <c r="P525" s="174"/>
      <c r="Q525" s="174"/>
      <c r="R525" s="174"/>
      <c r="T525" s="140">
        <f>SUM(D525:O525)</f>
        <v>4671</v>
      </c>
      <c r="U525" s="138" t="s">
        <v>354</v>
      </c>
      <c r="V525" s="139"/>
      <c r="W525" s="140">
        <f>T525*99976.124488/1000000</f>
        <v>466.98847748344804</v>
      </c>
      <c r="X525" s="138" t="s">
        <v>342</v>
      </c>
      <c r="Y525" s="495">
        <f>W524+W525</f>
        <v>3353.161210483448</v>
      </c>
      <c r="Z525" s="153" t="s">
        <v>677</v>
      </c>
    </row>
    <row r="526" spans="1:26" s="125" customFormat="1" x14ac:dyDescent="0.25">
      <c r="A526" s="461"/>
      <c r="B526" s="135" t="s">
        <v>345</v>
      </c>
      <c r="C526" s="606"/>
      <c r="D526" s="141">
        <v>150358.45199999999</v>
      </c>
      <c r="E526" s="1248">
        <v>119688.32000000001</v>
      </c>
      <c r="F526" s="141">
        <v>150358.45199999999</v>
      </c>
      <c r="G526" s="141">
        <v>249849.36800000002</v>
      </c>
      <c r="H526" s="141">
        <v>167563.64800000002</v>
      </c>
      <c r="I526" s="141">
        <v>185516.89600000001</v>
      </c>
      <c r="J526" s="141">
        <v>80041.563999999998</v>
      </c>
      <c r="K526" s="141">
        <v>173548.06400000001</v>
      </c>
      <c r="L526" s="141">
        <v>188509.10399999999</v>
      </c>
      <c r="M526" s="141">
        <v>169807.804</v>
      </c>
      <c r="N526" s="141">
        <v>169059.75200000001</v>
      </c>
      <c r="O526" s="141">
        <v>18701.3</v>
      </c>
      <c r="P526" s="1641"/>
      <c r="Q526" s="178"/>
      <c r="R526" s="178"/>
      <c r="T526" s="140">
        <f>SUM(D526:O526)</f>
        <v>1823002.7240000002</v>
      </c>
      <c r="U526" s="138" t="s">
        <v>346</v>
      </c>
      <c r="V526" s="139"/>
      <c r="W526" s="137">
        <f>T526</f>
        <v>1823002.7240000002</v>
      </c>
      <c r="X526" s="138" t="s">
        <v>346</v>
      </c>
      <c r="Y526" s="157"/>
      <c r="Z526" s="157"/>
    </row>
    <row r="527" spans="1:26" s="125" customFormat="1" x14ac:dyDescent="0.25">
      <c r="A527" s="461"/>
      <c r="B527" s="135" t="s">
        <v>324</v>
      </c>
      <c r="C527" s="606"/>
      <c r="D527" s="142">
        <v>6609.37</v>
      </c>
      <c r="E527" s="142">
        <v>6148.93</v>
      </c>
      <c r="F527" s="142">
        <v>7393.57</v>
      </c>
      <c r="G527" s="142">
        <v>5735.35</v>
      </c>
      <c r="H527" s="142">
        <v>5622.78</v>
      </c>
      <c r="I527" s="142">
        <v>6003</v>
      </c>
      <c r="J527" s="142">
        <v>6301.18</v>
      </c>
      <c r="K527" s="142">
        <v>5745.8</v>
      </c>
      <c r="L527" s="142">
        <v>5945.03</v>
      </c>
      <c r="M527" s="142">
        <v>4837.1899999999996</v>
      </c>
      <c r="N527" s="142">
        <v>4218.07</v>
      </c>
      <c r="O527" s="142">
        <v>3500.23</v>
      </c>
      <c r="P527" s="176"/>
      <c r="Q527" s="176"/>
      <c r="R527" s="176"/>
      <c r="T527" s="156">
        <f>SUM(D527:O527)</f>
        <v>68060.5</v>
      </c>
      <c r="U527" s="138"/>
      <c r="V527" s="139"/>
      <c r="W527" s="143">
        <f>T527</f>
        <v>68060.5</v>
      </c>
      <c r="X527" s="138"/>
      <c r="Y527" s="157"/>
      <c r="Z527" s="157"/>
    </row>
    <row r="528" spans="1:26" s="125" customFormat="1" ht="16.5" x14ac:dyDescent="0.35">
      <c r="A528" s="461"/>
      <c r="B528" s="144" t="s">
        <v>374</v>
      </c>
      <c r="C528" s="607"/>
      <c r="D528" s="145">
        <v>215.96</v>
      </c>
      <c r="E528" s="145">
        <v>152.80000000000001</v>
      </c>
      <c r="F528" s="145">
        <v>242.4</v>
      </c>
      <c r="G528" s="145">
        <v>302.83999999999997</v>
      </c>
      <c r="H528" s="145">
        <v>342.65999999999997</v>
      </c>
      <c r="I528" s="145">
        <v>465.71</v>
      </c>
      <c r="J528" s="145">
        <v>320.29000000000002</v>
      </c>
      <c r="K528" s="145">
        <v>575.79999999999995</v>
      </c>
      <c r="L528" s="145">
        <v>527.47</v>
      </c>
      <c r="M528" s="145">
        <v>522.28</v>
      </c>
      <c r="N528" s="145">
        <v>385.6</v>
      </c>
      <c r="O528" s="145">
        <v>81.900000000000006</v>
      </c>
      <c r="P528" s="179"/>
      <c r="Q528" s="179"/>
      <c r="R528" s="179"/>
      <c r="T528" s="156">
        <f>SUM(D528:O528)</f>
        <v>4135.71</v>
      </c>
      <c r="U528" s="138"/>
      <c r="V528" s="139"/>
      <c r="W528" s="146">
        <f>T528</f>
        <v>4135.71</v>
      </c>
      <c r="X528" s="138"/>
      <c r="Y528" s="157"/>
      <c r="Z528" s="157"/>
    </row>
    <row r="529" spans="1:26" x14ac:dyDescent="0.25">
      <c r="W529" s="143">
        <f>SUM(W527:W528)</f>
        <v>72196.210000000006</v>
      </c>
      <c r="X529" s="138"/>
    </row>
    <row r="531" spans="1:26" x14ac:dyDescent="0.25">
      <c r="A531" s="462">
        <v>55</v>
      </c>
      <c r="B531" s="666" t="s">
        <v>979</v>
      </c>
      <c r="T531" s="666" t="s">
        <v>979</v>
      </c>
    </row>
    <row r="532" spans="1:26" s="125" customFormat="1" x14ac:dyDescent="0.25">
      <c r="A532" s="461"/>
      <c r="B532" s="130" t="s">
        <v>337</v>
      </c>
      <c r="C532" s="131">
        <v>42522</v>
      </c>
      <c r="D532" s="131">
        <v>42552</v>
      </c>
      <c r="E532" s="131">
        <v>42583</v>
      </c>
      <c r="F532" s="131">
        <v>42614</v>
      </c>
      <c r="G532" s="131">
        <v>42644</v>
      </c>
      <c r="H532" s="131">
        <v>42675</v>
      </c>
      <c r="I532" s="131">
        <v>42705</v>
      </c>
      <c r="J532" s="131">
        <v>42736</v>
      </c>
      <c r="K532" s="131">
        <v>42767</v>
      </c>
      <c r="L532" s="131">
        <v>42795</v>
      </c>
      <c r="M532" s="131">
        <v>42826</v>
      </c>
      <c r="N532" s="131">
        <v>42856</v>
      </c>
      <c r="O532" s="131">
        <v>42887</v>
      </c>
      <c r="P532" s="131">
        <v>42917</v>
      </c>
      <c r="Q532" s="131">
        <v>42948</v>
      </c>
      <c r="R532" s="131">
        <v>42992</v>
      </c>
      <c r="S532" s="132"/>
      <c r="T532" s="133" t="s">
        <v>338</v>
      </c>
      <c r="U532" s="134" t="s">
        <v>339</v>
      </c>
      <c r="V532" s="132"/>
      <c r="W532" s="133" t="s">
        <v>338</v>
      </c>
      <c r="X532" s="134" t="s">
        <v>339</v>
      </c>
      <c r="Y532" s="157"/>
      <c r="Z532" s="157"/>
    </row>
    <row r="533" spans="1:26" s="125" customFormat="1" x14ac:dyDescent="0.25">
      <c r="A533" s="461"/>
      <c r="B533" s="135" t="s">
        <v>340</v>
      </c>
      <c r="C533" s="606"/>
      <c r="D533" s="454"/>
      <c r="E533" s="454"/>
      <c r="F533" s="454"/>
      <c r="G533" s="454"/>
      <c r="H533" s="454"/>
      <c r="I533" s="454"/>
      <c r="J533" s="454"/>
      <c r="K533" s="454"/>
      <c r="L533" s="454"/>
      <c r="M533" s="454"/>
      <c r="N533" s="454"/>
      <c r="O533" s="454"/>
      <c r="P533" s="174"/>
      <c r="Q533" s="174"/>
      <c r="R533" s="174"/>
      <c r="T533" s="140">
        <f t="shared" ref="T533:T541" si="25">SUM(C533:S533)</f>
        <v>0</v>
      </c>
      <c r="U533" s="138" t="s">
        <v>341</v>
      </c>
      <c r="V533" s="139"/>
      <c r="W533" s="140">
        <f>T533*3413/1000000</f>
        <v>0</v>
      </c>
      <c r="X533" s="138" t="s">
        <v>342</v>
      </c>
      <c r="Y533" s="157"/>
      <c r="Z533" s="157"/>
    </row>
    <row r="534" spans="1:26" s="125" customFormat="1" x14ac:dyDescent="0.25">
      <c r="A534" s="461"/>
      <c r="B534" s="135" t="s">
        <v>372</v>
      </c>
      <c r="C534" s="606"/>
      <c r="D534" s="454"/>
      <c r="E534" s="454"/>
      <c r="F534" s="454"/>
      <c r="G534" s="454"/>
      <c r="H534" s="454"/>
      <c r="I534" s="454"/>
      <c r="J534" s="454"/>
      <c r="K534" s="454"/>
      <c r="L534" s="454"/>
      <c r="M534" s="454"/>
      <c r="N534" s="454"/>
      <c r="O534" s="454"/>
      <c r="P534" s="174"/>
      <c r="Q534" s="174"/>
      <c r="R534" s="174"/>
      <c r="T534" s="140">
        <f t="shared" si="25"/>
        <v>0</v>
      </c>
      <c r="U534" s="138" t="s">
        <v>354</v>
      </c>
      <c r="V534" s="139"/>
      <c r="W534" s="140">
        <f>T534*99976.124488/1000000</f>
        <v>0</v>
      </c>
      <c r="X534" s="138" t="s">
        <v>342</v>
      </c>
      <c r="Y534" s="765"/>
      <c r="Z534" s="554"/>
    </row>
    <row r="535" spans="1:26" s="125" customFormat="1" x14ac:dyDescent="0.25">
      <c r="A535" s="461"/>
      <c r="B535" s="135" t="s">
        <v>1056</v>
      </c>
      <c r="C535" s="606"/>
      <c r="D535" s="454"/>
      <c r="E535" s="454"/>
      <c r="F535" s="454"/>
      <c r="G535" s="454"/>
      <c r="H535" s="454"/>
      <c r="I535" s="454"/>
      <c r="J535" s="454"/>
      <c r="K535" s="454"/>
      <c r="L535" s="454"/>
      <c r="M535" s="454"/>
      <c r="N535" s="454"/>
      <c r="O535" s="454"/>
      <c r="P535" s="174"/>
      <c r="Q535" s="174"/>
      <c r="R535" s="174"/>
      <c r="T535" s="140">
        <f t="shared" si="25"/>
        <v>0</v>
      </c>
      <c r="U535" s="138" t="s">
        <v>342</v>
      </c>
      <c r="V535" s="139"/>
      <c r="W535" s="140">
        <f>T535</f>
        <v>0</v>
      </c>
      <c r="X535" s="138" t="s">
        <v>342</v>
      </c>
      <c r="Y535" s="765"/>
      <c r="Z535" s="554"/>
    </row>
    <row r="536" spans="1:26" s="125" customFormat="1" x14ac:dyDescent="0.25">
      <c r="A536" s="461"/>
      <c r="B536" s="135" t="s">
        <v>1057</v>
      </c>
      <c r="C536" s="606"/>
      <c r="D536" s="454"/>
      <c r="E536" s="454"/>
      <c r="F536" s="454"/>
      <c r="G536" s="454"/>
      <c r="H536" s="454"/>
      <c r="I536" s="454"/>
      <c r="J536" s="454"/>
      <c r="K536" s="454"/>
      <c r="L536" s="454"/>
      <c r="M536" s="454"/>
      <c r="N536" s="454"/>
      <c r="O536" s="454"/>
      <c r="P536" s="174"/>
      <c r="Q536" s="174"/>
      <c r="R536" s="174"/>
      <c r="T536" s="140">
        <f t="shared" si="25"/>
        <v>0</v>
      </c>
      <c r="U536" s="138" t="s">
        <v>342</v>
      </c>
      <c r="V536" s="139"/>
      <c r="W536" s="140">
        <f>T536</f>
        <v>0</v>
      </c>
      <c r="X536" s="138" t="s">
        <v>342</v>
      </c>
      <c r="Y536" s="495">
        <f>W533+W534+W535+W536</f>
        <v>0</v>
      </c>
      <c r="Z536" s="153" t="s">
        <v>677</v>
      </c>
    </row>
    <row r="537" spans="1:26" s="125" customFormat="1" x14ac:dyDescent="0.25">
      <c r="A537" s="461"/>
      <c r="B537" s="135" t="s">
        <v>366</v>
      </c>
      <c r="C537" s="606"/>
      <c r="D537" s="454"/>
      <c r="E537" s="454"/>
      <c r="F537" s="454"/>
      <c r="G537" s="454"/>
      <c r="H537" s="454"/>
      <c r="I537" s="454"/>
      <c r="J537" s="454"/>
      <c r="K537" s="454"/>
      <c r="L537" s="454"/>
      <c r="M537" s="454"/>
      <c r="N537" s="454"/>
      <c r="O537" s="454"/>
      <c r="P537" s="178"/>
      <c r="Q537" s="178"/>
      <c r="R537" s="178"/>
      <c r="T537" s="140">
        <f t="shared" si="25"/>
        <v>0</v>
      </c>
      <c r="U537" s="138" t="s">
        <v>367</v>
      </c>
      <c r="V537" s="139"/>
      <c r="W537" s="137">
        <f>T537*7.48</f>
        <v>0</v>
      </c>
      <c r="X537" s="138" t="s">
        <v>346</v>
      </c>
      <c r="Y537" s="157"/>
      <c r="Z537" s="157"/>
    </row>
    <row r="538" spans="1:26" s="125" customFormat="1" x14ac:dyDescent="0.25">
      <c r="A538" s="461"/>
      <c r="B538" s="135" t="s">
        <v>324</v>
      </c>
      <c r="C538" s="606"/>
      <c r="D538" s="455"/>
      <c r="E538" s="455"/>
      <c r="F538" s="455"/>
      <c r="G538" s="455"/>
      <c r="H538" s="455"/>
      <c r="I538" s="455"/>
      <c r="J538" s="455"/>
      <c r="K538" s="455"/>
      <c r="L538" s="455"/>
      <c r="M538" s="455"/>
      <c r="N538" s="455"/>
      <c r="O538" s="455"/>
      <c r="P538" s="176"/>
      <c r="Q538" s="176"/>
      <c r="R538" s="176"/>
      <c r="T538" s="143">
        <f t="shared" si="25"/>
        <v>0</v>
      </c>
      <c r="U538" s="138"/>
      <c r="V538" s="139"/>
      <c r="W538" s="143">
        <f>T538</f>
        <v>0</v>
      </c>
      <c r="X538" s="138"/>
      <c r="Y538" s="157"/>
      <c r="Z538" s="157"/>
    </row>
    <row r="539" spans="1:26" s="125" customFormat="1" x14ac:dyDescent="0.25">
      <c r="A539" s="461"/>
      <c r="B539" s="144" t="s">
        <v>374</v>
      </c>
      <c r="C539" s="607"/>
      <c r="D539" s="455"/>
      <c r="E539" s="455"/>
      <c r="F539" s="455"/>
      <c r="G539" s="455"/>
      <c r="H539" s="455"/>
      <c r="I539" s="455"/>
      <c r="J539" s="455"/>
      <c r="K539" s="455"/>
      <c r="L539" s="455"/>
      <c r="M539" s="455"/>
      <c r="N539" s="455"/>
      <c r="O539" s="455"/>
      <c r="P539" s="179"/>
      <c r="Q539" s="179"/>
      <c r="R539" s="179"/>
      <c r="T539" s="143">
        <f t="shared" si="25"/>
        <v>0</v>
      </c>
      <c r="U539" s="138"/>
      <c r="V539" s="139"/>
      <c r="W539" s="143">
        <f>T539</f>
        <v>0</v>
      </c>
      <c r="X539" s="138"/>
      <c r="Y539" s="157"/>
      <c r="Z539" s="157"/>
    </row>
    <row r="540" spans="1:26" s="125" customFormat="1" x14ac:dyDescent="0.25">
      <c r="A540" s="461"/>
      <c r="B540" s="204" t="s">
        <v>398</v>
      </c>
      <c r="C540" s="607"/>
      <c r="D540" s="455"/>
      <c r="E540" s="455"/>
      <c r="F540" s="455"/>
      <c r="G540" s="455"/>
      <c r="H540" s="455"/>
      <c r="I540" s="455"/>
      <c r="J540" s="455"/>
      <c r="K540" s="455"/>
      <c r="L540" s="455"/>
      <c r="M540" s="455"/>
      <c r="N540" s="455"/>
      <c r="O540" s="455"/>
      <c r="P540" s="179"/>
      <c r="Q540" s="179"/>
      <c r="R540" s="179"/>
      <c r="T540" s="143">
        <f t="shared" si="25"/>
        <v>0</v>
      </c>
      <c r="U540" s="138"/>
      <c r="V540" s="139"/>
      <c r="W540" s="143">
        <f>T540</f>
        <v>0</v>
      </c>
      <c r="X540" s="138"/>
      <c r="Y540" s="157"/>
      <c r="Z540" s="157"/>
    </row>
    <row r="541" spans="1:26" s="125" customFormat="1" x14ac:dyDescent="0.25">
      <c r="A541" s="461"/>
      <c r="B541" s="204" t="s">
        <v>1058</v>
      </c>
      <c r="C541" s="607"/>
      <c r="D541" s="455"/>
      <c r="E541" s="455"/>
      <c r="F541" s="455"/>
      <c r="G541" s="455"/>
      <c r="H541" s="455"/>
      <c r="I541" s="455"/>
      <c r="J541" s="455"/>
      <c r="K541" s="455"/>
      <c r="L541" s="455"/>
      <c r="M541" s="455"/>
      <c r="N541" s="455"/>
      <c r="O541" s="455"/>
      <c r="P541" s="179"/>
      <c r="Q541" s="179"/>
      <c r="R541" s="179"/>
      <c r="T541" s="143">
        <f t="shared" si="25"/>
        <v>0</v>
      </c>
      <c r="U541" s="138"/>
      <c r="V541" s="139"/>
      <c r="W541" s="143">
        <f>T541</f>
        <v>0</v>
      </c>
      <c r="X541" s="138"/>
      <c r="Y541" s="157"/>
      <c r="Z541" s="157"/>
    </row>
    <row r="542" spans="1:26" x14ac:dyDescent="0.25">
      <c r="W542" s="143">
        <f>SUM(W538:W541)</f>
        <v>0</v>
      </c>
      <c r="X542" s="138"/>
    </row>
    <row r="544" spans="1:26" x14ac:dyDescent="0.25">
      <c r="A544" s="462">
        <v>56</v>
      </c>
      <c r="B544" s="666" t="s">
        <v>980</v>
      </c>
      <c r="T544" s="666" t="s">
        <v>980</v>
      </c>
    </row>
    <row r="545" spans="1:26" s="125" customFormat="1" x14ac:dyDescent="0.25">
      <c r="A545" s="461"/>
      <c r="B545" s="130" t="s">
        <v>337</v>
      </c>
      <c r="C545" s="131">
        <v>42522</v>
      </c>
      <c r="D545" s="131">
        <v>42552</v>
      </c>
      <c r="E545" s="131">
        <v>42583</v>
      </c>
      <c r="F545" s="131">
        <v>42614</v>
      </c>
      <c r="G545" s="131">
        <v>42644</v>
      </c>
      <c r="H545" s="131">
        <v>42675</v>
      </c>
      <c r="I545" s="131">
        <v>42705</v>
      </c>
      <c r="J545" s="131">
        <v>42736</v>
      </c>
      <c r="K545" s="131">
        <v>42767</v>
      </c>
      <c r="L545" s="131">
        <v>42795</v>
      </c>
      <c r="M545" s="131">
        <v>42826</v>
      </c>
      <c r="N545" s="131">
        <v>42856</v>
      </c>
      <c r="O545" s="131">
        <v>42887</v>
      </c>
      <c r="P545" s="131">
        <v>42917</v>
      </c>
      <c r="Q545" s="131">
        <v>42948</v>
      </c>
      <c r="R545" s="131">
        <v>42992</v>
      </c>
      <c r="S545" s="132"/>
      <c r="T545" s="133" t="s">
        <v>338</v>
      </c>
      <c r="U545" s="134" t="s">
        <v>339</v>
      </c>
      <c r="V545" s="132"/>
      <c r="W545" s="133" t="s">
        <v>338</v>
      </c>
      <c r="X545" s="134" t="s">
        <v>339</v>
      </c>
      <c r="Y545" s="157"/>
      <c r="Z545" s="157"/>
    </row>
    <row r="546" spans="1:26" s="157" customFormat="1" x14ac:dyDescent="0.25">
      <c r="A546" s="461"/>
      <c r="B546" s="135" t="s">
        <v>319</v>
      </c>
      <c r="C546" s="599"/>
      <c r="E546" s="1170">
        <v>47737.060546880006</v>
      </c>
      <c r="F546" s="1170">
        <v>48851.928710929998</v>
      </c>
      <c r="G546" s="1170">
        <v>48113.037109380006</v>
      </c>
      <c r="H546" s="1218">
        <v>44437.01171875</v>
      </c>
      <c r="I546" s="1186">
        <v>40192.016601559997</v>
      </c>
      <c r="J546" s="1186">
        <v>44413.940429690003</v>
      </c>
      <c r="K546" s="1186">
        <v>41614.013671869994</v>
      </c>
      <c r="L546" s="1186">
        <v>43414.0625</v>
      </c>
      <c r="M546" s="1186">
        <v>45354.00390625</v>
      </c>
      <c r="N546" s="1186">
        <v>38745.971679690003</v>
      </c>
      <c r="O546" s="1186">
        <v>33611.938476559997</v>
      </c>
      <c r="P546" s="756">
        <v>35868.041992190003</v>
      </c>
      <c r="Q546" s="174"/>
      <c r="T546" s="141">
        <f t="shared" ref="T546:T552" si="26">SUM(E546:P546)</f>
        <v>512353.02734375</v>
      </c>
      <c r="U546" s="188" t="s">
        <v>341</v>
      </c>
      <c r="W546" s="140">
        <f>T546*3413/1000000</f>
        <v>1748.6608823242188</v>
      </c>
      <c r="X546" s="138" t="s">
        <v>342</v>
      </c>
    </row>
    <row r="547" spans="1:26" s="157" customFormat="1" x14ac:dyDescent="0.25">
      <c r="A547" s="461"/>
      <c r="B547" s="135" t="s">
        <v>1137</v>
      </c>
      <c r="C547" s="599"/>
      <c r="E547" s="1192">
        <v>37.799936000000429</v>
      </c>
      <c r="F547" s="1192">
        <v>43.710207999999426</v>
      </c>
      <c r="G547" s="1192">
        <v>52.669696000000116</v>
      </c>
      <c r="H547" s="1192">
        <v>135.82054399999998</v>
      </c>
      <c r="I547" s="1192">
        <v>225.07980799999976</v>
      </c>
      <c r="J547" s="1192">
        <v>225.26975999999996</v>
      </c>
      <c r="K547" s="1192">
        <v>146.36979199999988</v>
      </c>
      <c r="L547" s="1192">
        <v>157.9397120000009</v>
      </c>
      <c r="M547" s="1192">
        <v>74.50111999999919</v>
      </c>
      <c r="N547" s="1192">
        <v>52.65971200000044</v>
      </c>
      <c r="O547" s="1207">
        <v>36.869631999999669</v>
      </c>
      <c r="P547" s="1192">
        <v>28.00025599999978</v>
      </c>
      <c r="Q547" s="174"/>
      <c r="T547" s="141">
        <f t="shared" si="26"/>
        <v>1216.6901759999994</v>
      </c>
      <c r="U547" s="188" t="s">
        <v>1138</v>
      </c>
      <c r="W547" s="160">
        <f>T547</f>
        <v>1216.6901759999994</v>
      </c>
      <c r="X547" s="138" t="s">
        <v>342</v>
      </c>
    </row>
    <row r="548" spans="1:26" s="157" customFormat="1" x14ac:dyDescent="0.25">
      <c r="A548" s="461"/>
      <c r="B548" s="153" t="s">
        <v>362</v>
      </c>
      <c r="C548" s="599"/>
      <c r="E548" s="1170">
        <v>477.0869140625</v>
      </c>
      <c r="F548" s="1170">
        <v>348.4140625</v>
      </c>
      <c r="G548" s="1170">
        <v>160.10107421875</v>
      </c>
      <c r="H548" s="1170">
        <v>70.73583984375</v>
      </c>
      <c r="I548" s="1170">
        <v>39.17822265625</v>
      </c>
      <c r="J548" s="1170">
        <v>53.26416015625</v>
      </c>
      <c r="K548" s="1170">
        <v>72.927734375</v>
      </c>
      <c r="L548" s="1170">
        <v>82.64697265625</v>
      </c>
      <c r="M548" s="1170">
        <v>188.90625</v>
      </c>
      <c r="N548" s="1170">
        <v>212.52294921875</v>
      </c>
      <c r="O548" s="756">
        <v>278.1337890625</v>
      </c>
      <c r="P548" s="756">
        <v>382.1572265625</v>
      </c>
      <c r="Q548" s="178"/>
      <c r="T548" s="141">
        <f t="shared" si="26"/>
        <v>2366.0751953125</v>
      </c>
      <c r="U548" s="188" t="s">
        <v>870</v>
      </c>
      <c r="W548" s="140">
        <f>T548*99976.124488/100000</f>
        <v>2365.5102827453143</v>
      </c>
      <c r="X548" s="138" t="s">
        <v>342</v>
      </c>
      <c r="Y548" s="495">
        <f>W546+W547+W548</f>
        <v>5330.8613410695325</v>
      </c>
      <c r="Z548" s="153" t="s">
        <v>677</v>
      </c>
    </row>
    <row r="549" spans="1:26" s="157" customFormat="1" x14ac:dyDescent="0.25">
      <c r="A549" s="461"/>
      <c r="B549" s="135" t="s">
        <v>864</v>
      </c>
      <c r="C549" s="599"/>
      <c r="E549" s="1193">
        <v>75</v>
      </c>
      <c r="F549" s="1193">
        <v>135</v>
      </c>
      <c r="G549" s="1194">
        <v>127</v>
      </c>
      <c r="H549" s="1194">
        <v>121</v>
      </c>
      <c r="I549" s="1194">
        <v>80</v>
      </c>
      <c r="J549" s="1194">
        <v>81</v>
      </c>
      <c r="K549" s="1194">
        <v>113</v>
      </c>
      <c r="L549" s="1200">
        <v>105</v>
      </c>
      <c r="M549" s="1200">
        <v>117</v>
      </c>
      <c r="N549" s="1200">
        <v>70</v>
      </c>
      <c r="O549" s="750">
        <v>25</v>
      </c>
      <c r="P549" s="750">
        <v>28</v>
      </c>
      <c r="Q549" s="730"/>
      <c r="T549" s="141">
        <f t="shared" si="26"/>
        <v>1077</v>
      </c>
      <c r="U549" s="188" t="s">
        <v>379</v>
      </c>
      <c r="W549" s="141">
        <f>T549*748</f>
        <v>805596</v>
      </c>
      <c r="X549" s="188" t="s">
        <v>346</v>
      </c>
    </row>
    <row r="550" spans="1:26" s="157" customFormat="1" x14ac:dyDescent="0.25">
      <c r="A550" s="461"/>
      <c r="B550" s="135" t="s">
        <v>324</v>
      </c>
      <c r="C550" s="599"/>
      <c r="E550" s="1208">
        <v>4153.1242675785606</v>
      </c>
      <c r="F550" s="1208">
        <v>4250.1177978509095</v>
      </c>
      <c r="G550" s="1208">
        <v>4185.8342285160606</v>
      </c>
      <c r="H550" s="1208">
        <v>3866.0200195312495</v>
      </c>
      <c r="I550" s="1208">
        <v>3496.7054443357197</v>
      </c>
      <c r="J550" s="1208">
        <v>3864.0128173830299</v>
      </c>
      <c r="K550" s="1208">
        <v>3620.4191894526894</v>
      </c>
      <c r="L550" s="1208">
        <v>3777.0234374999995</v>
      </c>
      <c r="M550" s="1208">
        <v>3945.7983398437495</v>
      </c>
      <c r="N550" s="1208">
        <v>3370.8995361330299</v>
      </c>
      <c r="O550" s="1208">
        <v>2924.2386474607197</v>
      </c>
      <c r="P550" s="1208">
        <v>2977.0474853517703</v>
      </c>
      <c r="Q550" s="1162"/>
      <c r="T550" s="171">
        <f t="shared" si="26"/>
        <v>44431.241210937493</v>
      </c>
      <c r="U550" s="188"/>
      <c r="W550" s="190">
        <f>T550</f>
        <v>44431.241210937493</v>
      </c>
      <c r="X550" s="188"/>
    </row>
    <row r="551" spans="1:26" s="157" customFormat="1" x14ac:dyDescent="0.25">
      <c r="A551" s="461"/>
      <c r="B551" s="144" t="s">
        <v>348</v>
      </c>
      <c r="C551" s="599"/>
      <c r="E551" s="1208">
        <v>6178.2755371093745</v>
      </c>
      <c r="F551" s="1208">
        <v>4511.9621093750002</v>
      </c>
      <c r="G551" s="1208">
        <v>2073.3089111328122</v>
      </c>
      <c r="H551" s="1208">
        <v>916.02912597656245</v>
      </c>
      <c r="I551" s="1208">
        <v>507.35798339843745</v>
      </c>
      <c r="J551" s="1208">
        <v>689.7708740234375</v>
      </c>
      <c r="K551" s="1208">
        <v>944.41416015624998</v>
      </c>
      <c r="L551" s="1208">
        <v>1070.2782958984374</v>
      </c>
      <c r="M551" s="1208">
        <v>2446.3359375</v>
      </c>
      <c r="N551" s="1208">
        <v>2752.1721923828122</v>
      </c>
      <c r="O551" s="1208">
        <v>3601.8325683593748</v>
      </c>
      <c r="P551" s="1208">
        <v>4876.3262109375</v>
      </c>
      <c r="Q551" s="1162"/>
      <c r="T551" s="171">
        <f t="shared" si="26"/>
        <v>30568.063906249998</v>
      </c>
      <c r="U551" s="188"/>
      <c r="W551" s="190">
        <f>T551</f>
        <v>30568.063906249998</v>
      </c>
      <c r="X551" s="188"/>
    </row>
    <row r="552" spans="1:26" s="157" customFormat="1" ht="16.5" x14ac:dyDescent="0.35">
      <c r="A552" s="461"/>
      <c r="B552" s="195" t="s">
        <v>398</v>
      </c>
      <c r="C552" s="599"/>
      <c r="E552" s="1208">
        <v>454.35523072000512</v>
      </c>
      <c r="F552" s="1208">
        <v>525.39670015999309</v>
      </c>
      <c r="G552" s="1208">
        <v>633.08974592000141</v>
      </c>
      <c r="H552" s="1208">
        <v>1632.5629388799998</v>
      </c>
      <c r="I552" s="1208">
        <v>2705.4592921599969</v>
      </c>
      <c r="J552" s="1208">
        <v>2707.7425151999996</v>
      </c>
      <c r="K552" s="1208">
        <v>1759.3648998399985</v>
      </c>
      <c r="L552" s="1208">
        <v>1898.4353382400107</v>
      </c>
      <c r="M552" s="1208">
        <v>895.50346239999021</v>
      </c>
      <c r="N552" s="1208">
        <v>632.96973824000531</v>
      </c>
      <c r="O552" s="1208">
        <v>443.17297663999602</v>
      </c>
      <c r="P552" s="1208">
        <v>386.68353535999699</v>
      </c>
      <c r="Q552" s="1162"/>
      <c r="T552" s="171">
        <f t="shared" si="26"/>
        <v>14674.736373759995</v>
      </c>
      <c r="U552" s="188"/>
      <c r="W552" s="197">
        <f>T552</f>
        <v>14674.736373759995</v>
      </c>
      <c r="X552" s="188"/>
    </row>
    <row r="553" spans="1:26" s="125" customFormat="1" x14ac:dyDescent="0.25">
      <c r="A553" s="461"/>
      <c r="B553" s="205"/>
      <c r="C553" s="152"/>
      <c r="E553" s="201"/>
      <c r="F553" s="206"/>
      <c r="G553" s="202"/>
      <c r="H553" s="203"/>
      <c r="I553" s="203"/>
      <c r="J553" s="203"/>
      <c r="K553" s="203"/>
      <c r="L553" s="203"/>
      <c r="M553" s="203"/>
      <c r="N553" s="203"/>
      <c r="O553" s="203"/>
      <c r="P553" s="203"/>
      <c r="U553" s="126"/>
      <c r="W553" s="190">
        <f>SUM(W550:W552)</f>
        <v>89674.041490947493</v>
      </c>
      <c r="X553" s="450"/>
      <c r="Y553" s="157"/>
      <c r="Z553" s="157"/>
    </row>
    <row r="554" spans="1:26" s="125" customFormat="1" x14ac:dyDescent="0.25">
      <c r="A554" s="461"/>
      <c r="B554" s="205"/>
      <c r="C554" s="152"/>
      <c r="E554" s="201"/>
      <c r="F554" s="206"/>
      <c r="G554" s="202"/>
      <c r="H554" s="203"/>
      <c r="I554" s="203"/>
      <c r="J554" s="203"/>
      <c r="K554" s="203"/>
      <c r="L554" s="203"/>
      <c r="M554" s="203"/>
      <c r="N554" s="203"/>
      <c r="O554" s="203"/>
      <c r="P554" s="203"/>
      <c r="U554" s="126"/>
      <c r="W554" s="447"/>
      <c r="X554" s="458"/>
      <c r="Y554" s="157"/>
      <c r="Z554" s="157"/>
    </row>
    <row r="555" spans="1:26" s="125" customFormat="1" x14ac:dyDescent="0.25">
      <c r="A555" s="461">
        <v>57</v>
      </c>
      <c r="B555" s="931" t="s">
        <v>1011</v>
      </c>
      <c r="C555" s="152"/>
      <c r="E555" s="201"/>
      <c r="F555" s="206"/>
      <c r="G555" s="202"/>
      <c r="H555" s="203"/>
      <c r="I555" s="203"/>
      <c r="J555" s="203"/>
      <c r="K555" s="203"/>
      <c r="L555" s="203"/>
      <c r="M555" s="203"/>
      <c r="N555" s="203"/>
      <c r="O555" s="203"/>
      <c r="P555" s="203"/>
      <c r="T555" s="931" t="s">
        <v>1011</v>
      </c>
      <c r="U555" s="126"/>
      <c r="W555" s="447"/>
      <c r="X555" s="458"/>
      <c r="Y555" s="157"/>
      <c r="Z555" s="157"/>
    </row>
    <row r="556" spans="1:26" s="125" customFormat="1" x14ac:dyDescent="0.25">
      <c r="A556" s="461"/>
      <c r="B556" s="130" t="s">
        <v>337</v>
      </c>
      <c r="C556" s="131">
        <v>42522</v>
      </c>
      <c r="D556" s="131">
        <v>42552</v>
      </c>
      <c r="E556" s="131">
        <v>42583</v>
      </c>
      <c r="F556" s="131">
        <v>42614</v>
      </c>
      <c r="G556" s="131">
        <v>42644</v>
      </c>
      <c r="H556" s="131">
        <v>42675</v>
      </c>
      <c r="I556" s="131">
        <v>42705</v>
      </c>
      <c r="J556" s="131">
        <v>42736</v>
      </c>
      <c r="K556" s="131">
        <v>42767</v>
      </c>
      <c r="L556" s="131">
        <v>42795</v>
      </c>
      <c r="M556" s="131">
        <v>42826</v>
      </c>
      <c r="N556" s="131">
        <v>42856</v>
      </c>
      <c r="O556" s="131">
        <v>42887</v>
      </c>
      <c r="P556" s="131">
        <v>42917</v>
      </c>
      <c r="Q556" s="131">
        <v>42948</v>
      </c>
      <c r="R556" s="131">
        <v>42992</v>
      </c>
      <c r="S556" s="132"/>
      <c r="T556" s="133" t="s">
        <v>338</v>
      </c>
      <c r="U556" s="134" t="s">
        <v>339</v>
      </c>
      <c r="V556" s="132"/>
      <c r="W556" s="133" t="s">
        <v>338</v>
      </c>
      <c r="X556" s="134" t="s">
        <v>339</v>
      </c>
      <c r="Y556" s="157"/>
      <c r="Z556" s="157"/>
    </row>
    <row r="557" spans="1:26" s="128" customFormat="1" x14ac:dyDescent="0.25">
      <c r="A557" s="459"/>
      <c r="B557" s="204" t="s">
        <v>340</v>
      </c>
      <c r="C557" s="2135"/>
      <c r="D557" s="136">
        <v>36532</v>
      </c>
      <c r="E557" s="136">
        <v>44984</v>
      </c>
      <c r="F557" s="136">
        <v>48514</v>
      </c>
      <c r="G557" s="136">
        <v>49316</v>
      </c>
      <c r="H557" s="136">
        <v>43061</v>
      </c>
      <c r="I557" s="136">
        <v>43530</v>
      </c>
      <c r="J557" s="136">
        <v>53204</v>
      </c>
      <c r="K557" s="136">
        <v>34654</v>
      </c>
      <c r="L557" s="136">
        <v>48669</v>
      </c>
      <c r="M557" s="136">
        <v>51793</v>
      </c>
      <c r="N557" s="136">
        <v>17160</v>
      </c>
      <c r="O557" s="136">
        <v>48868</v>
      </c>
      <c r="P557" s="174"/>
      <c r="Q557" s="174"/>
      <c r="R557" s="174"/>
      <c r="T557" s="164">
        <f>SUM(D557:O557)</f>
        <v>520285</v>
      </c>
      <c r="U557" s="162" t="s">
        <v>341</v>
      </c>
      <c r="V557" s="163"/>
      <c r="W557" s="164">
        <f>T557*3413/1000000</f>
        <v>1775.7327049999999</v>
      </c>
      <c r="X557" s="162" t="s">
        <v>342</v>
      </c>
      <c r="Y557" s="166"/>
      <c r="Z557" s="166"/>
    </row>
    <row r="558" spans="1:26" s="128" customFormat="1" x14ac:dyDescent="0.25">
      <c r="A558" s="459"/>
      <c r="B558" s="204" t="s">
        <v>921</v>
      </c>
      <c r="C558" s="612"/>
      <c r="D558" s="770">
        <v>1534.0476510579233</v>
      </c>
      <c r="E558" s="770">
        <v>1461.2698966966925</v>
      </c>
      <c r="F558" s="770">
        <v>1707.3853961898051</v>
      </c>
      <c r="G558" s="770">
        <v>2861.1228048501325</v>
      </c>
      <c r="H558" s="770">
        <v>3181.9095196741387</v>
      </c>
      <c r="I558" s="770">
        <v>3834.7404354508758</v>
      </c>
      <c r="J558" s="770">
        <v>3605.5972315585614</v>
      </c>
      <c r="K558" s="770">
        <v>2802.700927295256</v>
      </c>
      <c r="L558" s="770">
        <v>3091.815204081262</v>
      </c>
      <c r="M558" s="770">
        <v>2360.1818854034573</v>
      </c>
      <c r="N558" s="770">
        <v>1146.98980229571</v>
      </c>
      <c r="O558" s="770">
        <v>1391.2462673822442</v>
      </c>
      <c r="P558" s="1161"/>
      <c r="Q558" s="1161"/>
      <c r="R558" s="1833"/>
      <c r="T558" s="164">
        <f t="shared" ref="T558:T563" si="27">SUM(D558:O558)</f>
        <v>28979.00702193606</v>
      </c>
      <c r="U558" s="162" t="s">
        <v>354</v>
      </c>
      <c r="V558" s="163"/>
      <c r="W558" s="164">
        <f>T558*99976.124488/1000000</f>
        <v>2897.2088135637059</v>
      </c>
      <c r="X558" s="162" t="s">
        <v>342</v>
      </c>
    </row>
    <row r="559" spans="1:26" s="128" customFormat="1" x14ac:dyDescent="0.25">
      <c r="A559" s="459"/>
      <c r="B559" s="204" t="s">
        <v>1236</v>
      </c>
      <c r="C559" s="612"/>
      <c r="D559" s="770">
        <v>52934.627681330086</v>
      </c>
      <c r="E559" s="770">
        <v>58485.023945714653</v>
      </c>
      <c r="F559" s="770">
        <v>47343.491807063161</v>
      </c>
      <c r="G559" s="770">
        <v>26674.370035793821</v>
      </c>
      <c r="H559" s="770">
        <v>22678.795238372841</v>
      </c>
      <c r="I559" s="770">
        <v>20983.815373853024</v>
      </c>
      <c r="J559" s="770">
        <v>25577.051736641446</v>
      </c>
      <c r="K559" s="770">
        <v>17015.282486679338</v>
      </c>
      <c r="L559" s="770">
        <v>34914.81776399399</v>
      </c>
      <c r="M559" s="770">
        <v>56866.927943662631</v>
      </c>
      <c r="N559" s="770">
        <v>36891.881868740456</v>
      </c>
      <c r="O559" s="770">
        <v>30528.018990544369</v>
      </c>
      <c r="P559" s="1161"/>
      <c r="Q559" s="1161"/>
      <c r="R559" s="1833"/>
      <c r="T559" s="164">
        <f t="shared" si="27"/>
        <v>430894.10487238981</v>
      </c>
      <c r="U559" s="162" t="s">
        <v>341</v>
      </c>
      <c r="V559" s="163"/>
      <c r="W559" s="164">
        <f>T559*3413/1000000</f>
        <v>1470.6415799294664</v>
      </c>
      <c r="X559" s="162" t="s">
        <v>342</v>
      </c>
      <c r="Y559" s="1093">
        <f>W557+W558+W559</f>
        <v>6143.5830984931727</v>
      </c>
      <c r="Z559" s="165" t="s">
        <v>677</v>
      </c>
    </row>
    <row r="560" spans="1:26" s="128" customFormat="1" x14ac:dyDescent="0.25">
      <c r="A560" s="459"/>
      <c r="B560" s="204" t="s">
        <v>864</v>
      </c>
      <c r="C560" s="2135"/>
      <c r="D560" s="1094">
        <v>10.9</v>
      </c>
      <c r="E560" s="1094">
        <v>24.05</v>
      </c>
      <c r="F560" s="1094">
        <v>24.05</v>
      </c>
      <c r="G560" s="1094">
        <v>25</v>
      </c>
      <c r="H560" s="1094">
        <v>24.5</v>
      </c>
      <c r="I560" s="1094">
        <v>6.3</v>
      </c>
      <c r="J560" s="1094">
        <v>18.8</v>
      </c>
      <c r="K560" s="1094">
        <v>27.6</v>
      </c>
      <c r="L560" s="1094">
        <v>16.899999999999999</v>
      </c>
      <c r="M560" s="1094">
        <v>18.5</v>
      </c>
      <c r="N560" s="1094">
        <v>9.8000000000000007</v>
      </c>
      <c r="O560" s="1094">
        <v>7.2</v>
      </c>
      <c r="P560" s="175"/>
      <c r="Q560" s="175"/>
      <c r="R560" s="175"/>
      <c r="T560" s="164">
        <f t="shared" si="27"/>
        <v>213.6</v>
      </c>
      <c r="U560" s="162" t="s">
        <v>379</v>
      </c>
      <c r="V560" s="163"/>
      <c r="W560" s="170">
        <f>T560*748</f>
        <v>159772.79999999999</v>
      </c>
      <c r="X560" s="162" t="s">
        <v>346</v>
      </c>
      <c r="Y560" s="166"/>
      <c r="Z560" s="166"/>
    </row>
    <row r="561" spans="1:26" s="128" customFormat="1" x14ac:dyDescent="0.25">
      <c r="A561" s="459"/>
      <c r="B561" s="204" t="s">
        <v>324</v>
      </c>
      <c r="C561" s="2135"/>
      <c r="D561" s="142">
        <v>2599.7573535059728</v>
      </c>
      <c r="E561" s="142">
        <v>3201.2341177628564</v>
      </c>
      <c r="F561" s="142">
        <v>3452.4424681919622</v>
      </c>
      <c r="G561" s="142">
        <v>3509.5158667880364</v>
      </c>
      <c r="H561" s="142">
        <v>3064.3860560418452</v>
      </c>
      <c r="I561" s="142">
        <v>3097.7618963679784</v>
      </c>
      <c r="J561" s="142">
        <v>3786.2008714532949</v>
      </c>
      <c r="K561" s="142">
        <v>2466.1116645241427</v>
      </c>
      <c r="L561" s="142">
        <v>3463.4728631824751</v>
      </c>
      <c r="M561" s="142">
        <v>3685.7886951203013</v>
      </c>
      <c r="N561" s="142">
        <v>1221.1714712077764</v>
      </c>
      <c r="O561" s="142">
        <v>3477.6344670735211</v>
      </c>
      <c r="P561" s="176"/>
      <c r="Q561" s="176"/>
      <c r="R561" s="176"/>
      <c r="T561" s="2136">
        <f t="shared" si="27"/>
        <v>37025.477791220161</v>
      </c>
      <c r="U561" s="162"/>
      <c r="V561" s="163"/>
      <c r="W561" s="1095">
        <f>T561</f>
        <v>37025.477791220161</v>
      </c>
      <c r="X561" s="162"/>
      <c r="Y561" s="166"/>
      <c r="Z561" s="166"/>
    </row>
    <row r="562" spans="1:26" s="128" customFormat="1" x14ac:dyDescent="0.25">
      <c r="A562" s="459"/>
      <c r="B562" s="204" t="s">
        <v>1238</v>
      </c>
      <c r="C562" s="2135"/>
      <c r="D562" s="142">
        <v>775.54130150176763</v>
      </c>
      <c r="E562" s="142">
        <v>704.15093763285358</v>
      </c>
      <c r="F562" s="142">
        <v>847.60918013219055</v>
      </c>
      <c r="G562" s="142">
        <v>1419.211308841644</v>
      </c>
      <c r="H562" s="142">
        <v>1459.074514768776</v>
      </c>
      <c r="I562" s="142">
        <v>2061.5796478312845</v>
      </c>
      <c r="J562" s="142">
        <v>2192.277340457616</v>
      </c>
      <c r="K562" s="142">
        <v>1563.5818552627277</v>
      </c>
      <c r="L562" s="142">
        <v>1483.8155085952858</v>
      </c>
      <c r="M562" s="142">
        <v>1259.2940707971034</v>
      </c>
      <c r="N562" s="142">
        <v>627.97459296389297</v>
      </c>
      <c r="O562" s="142">
        <v>770.21138100498172</v>
      </c>
      <c r="P562" s="176"/>
      <c r="Q562" s="176"/>
      <c r="R562" s="176"/>
      <c r="T562" s="2136">
        <f t="shared" si="27"/>
        <v>15164.321639790123</v>
      </c>
      <c r="U562" s="162"/>
      <c r="V562" s="163"/>
      <c r="W562" s="1095">
        <f>T562</f>
        <v>15164.321639790123</v>
      </c>
      <c r="X562" s="162"/>
      <c r="Y562" s="166"/>
      <c r="Z562" s="166"/>
    </row>
    <row r="563" spans="1:26" s="128" customFormat="1" ht="16.5" x14ac:dyDescent="0.35">
      <c r="A563" s="459"/>
      <c r="B563" s="694" t="s">
        <v>398</v>
      </c>
      <c r="C563" s="613"/>
      <c r="D563" s="775">
        <v>3767.0313032311046</v>
      </c>
      <c r="E563" s="1147">
        <v>4162.0188074248481</v>
      </c>
      <c r="F563" s="1147">
        <v>3369.1446120130904</v>
      </c>
      <c r="G563" s="1147">
        <v>1898.2505652768632</v>
      </c>
      <c r="H563" s="1147">
        <v>1613.9101250852959</v>
      </c>
      <c r="I563" s="1147">
        <v>1493.288851494199</v>
      </c>
      <c r="J563" s="1147">
        <v>1820.1611828899679</v>
      </c>
      <c r="K563" s="1147">
        <v>1210.8728174402167</v>
      </c>
      <c r="L563" s="1147">
        <v>2484.6724577976661</v>
      </c>
      <c r="M563" s="1147">
        <v>4046.8688846170812</v>
      </c>
      <c r="N563" s="1147">
        <v>2625.3679287455288</v>
      </c>
      <c r="O563" s="1147">
        <v>2172.4910177005831</v>
      </c>
      <c r="P563" s="177"/>
      <c r="Q563" s="1662"/>
      <c r="R563" s="1833"/>
      <c r="T563" s="2136">
        <f t="shared" si="27"/>
        <v>30664.078553716445</v>
      </c>
      <c r="U563" s="162"/>
      <c r="V563" s="163"/>
      <c r="W563" s="1096">
        <f>T563</f>
        <v>30664.078553716445</v>
      </c>
      <c r="X563" s="162"/>
      <c r="Y563" s="166"/>
      <c r="Z563" s="166"/>
    </row>
    <row r="564" spans="1:26" s="125" customFormat="1" x14ac:dyDescent="0.25">
      <c r="A564" s="461"/>
      <c r="B564" s="205"/>
      <c r="C564" s="152"/>
      <c r="E564" s="201"/>
      <c r="F564" s="206"/>
      <c r="G564" s="202"/>
      <c r="H564" s="203"/>
      <c r="I564" s="203"/>
      <c r="J564" s="203"/>
      <c r="K564" s="203"/>
      <c r="L564" s="203"/>
      <c r="M564" s="203"/>
      <c r="N564" s="203"/>
      <c r="O564" s="203"/>
      <c r="P564" s="203"/>
      <c r="U564" s="126"/>
      <c r="W564" s="190">
        <f>SUM(W561:W563)</f>
        <v>82853.877984726729</v>
      </c>
      <c r="X564" s="450"/>
      <c r="Y564" s="157"/>
      <c r="Z564" s="157"/>
    </row>
    <row r="566" spans="1:26" x14ac:dyDescent="0.25">
      <c r="A566" s="462">
        <v>58</v>
      </c>
      <c r="B566" s="666" t="s">
        <v>1012</v>
      </c>
      <c r="T566" s="666" t="s">
        <v>1012</v>
      </c>
    </row>
    <row r="567" spans="1:26" s="125" customFormat="1" x14ac:dyDescent="0.25">
      <c r="A567" s="461"/>
      <c r="B567" s="130" t="s">
        <v>337</v>
      </c>
      <c r="C567" s="131">
        <v>42522</v>
      </c>
      <c r="D567" s="131">
        <v>42552</v>
      </c>
      <c r="E567" s="131">
        <v>42583</v>
      </c>
      <c r="F567" s="131">
        <v>42614</v>
      </c>
      <c r="G567" s="131">
        <v>42644</v>
      </c>
      <c r="H567" s="131">
        <v>42675</v>
      </c>
      <c r="I567" s="131">
        <v>42705</v>
      </c>
      <c r="J567" s="131">
        <v>42736</v>
      </c>
      <c r="K567" s="131">
        <v>42767</v>
      </c>
      <c r="L567" s="131">
        <v>42795</v>
      </c>
      <c r="M567" s="131">
        <v>42826</v>
      </c>
      <c r="N567" s="131">
        <v>42856</v>
      </c>
      <c r="O567" s="131">
        <v>42887</v>
      </c>
      <c r="P567" s="131">
        <v>42917</v>
      </c>
      <c r="Q567" s="131">
        <v>42948</v>
      </c>
      <c r="R567" s="131">
        <v>42992</v>
      </c>
      <c r="S567" s="132"/>
      <c r="T567" s="133" t="s">
        <v>338</v>
      </c>
      <c r="U567" s="134" t="s">
        <v>339</v>
      </c>
      <c r="V567" s="132"/>
      <c r="W567" s="133" t="s">
        <v>338</v>
      </c>
      <c r="X567" s="134" t="s">
        <v>339</v>
      </c>
      <c r="Y567" s="157"/>
      <c r="Z567" s="157"/>
    </row>
    <row r="568" spans="1:26" s="166" customFormat="1" x14ac:dyDescent="0.25">
      <c r="A568" s="459"/>
      <c r="B568" s="204" t="s">
        <v>319</v>
      </c>
      <c r="C568" s="610"/>
      <c r="E568" s="1170">
        <v>33242.004394530908</v>
      </c>
      <c r="F568" s="1170">
        <v>37013.000488282043</v>
      </c>
      <c r="G568" s="1170">
        <v>37297.973632812049</v>
      </c>
      <c r="H568" s="1218">
        <v>35138.000488280908</v>
      </c>
      <c r="I568" s="1186">
        <v>31933.044433594092</v>
      </c>
      <c r="J568" s="1186">
        <v>32115.966796875</v>
      </c>
      <c r="K568" s="1186">
        <v>33400.024414062951</v>
      </c>
      <c r="L568" s="1186">
        <v>34113.952636717957</v>
      </c>
      <c r="M568" s="1186">
        <v>36401.000976563068</v>
      </c>
      <c r="N568" s="1186">
        <v>32186.03515625</v>
      </c>
      <c r="O568" s="1186">
        <v>28921.997070311932</v>
      </c>
      <c r="P568" s="756">
        <v>28945.983886719092</v>
      </c>
      <c r="Q568" s="174"/>
      <c r="T568" s="1094">
        <f>SUM(E568:P568)</f>
        <v>400708.984375</v>
      </c>
      <c r="U568" s="1223" t="s">
        <v>341</v>
      </c>
      <c r="W568" s="164">
        <f>T568*3413/1000000</f>
        <v>1367.619763671875</v>
      </c>
      <c r="X568" s="162" t="s">
        <v>342</v>
      </c>
    </row>
    <row r="569" spans="1:26" s="157" customFormat="1" x14ac:dyDescent="0.25">
      <c r="A569" s="461"/>
      <c r="B569" s="135" t="s">
        <v>1137</v>
      </c>
      <c r="C569" s="599"/>
      <c r="E569" s="1192">
        <v>45.590015999999878</v>
      </c>
      <c r="F569" s="1192">
        <v>52.259967999999773</v>
      </c>
      <c r="G569" s="1192">
        <v>79.470079999999726</v>
      </c>
      <c r="H569" s="1192">
        <v>131.40966400000082</v>
      </c>
      <c r="I569" s="1192">
        <v>190.99033600000001</v>
      </c>
      <c r="J569" s="1192">
        <v>160.57958399999944</v>
      </c>
      <c r="K569" s="1192">
        <v>128.24064000000027</v>
      </c>
      <c r="L569" s="1192">
        <v>127.83923199999964</v>
      </c>
      <c r="M569" s="1192">
        <v>70.040832000000947</v>
      </c>
      <c r="N569" s="1192">
        <v>57.279487999999276</v>
      </c>
      <c r="O569" s="1207">
        <v>45.490176000000076</v>
      </c>
      <c r="P569" s="1192">
        <v>42.550016000000042</v>
      </c>
      <c r="Q569" s="174"/>
      <c r="T569" s="1094">
        <f>SUM(E569:P569)</f>
        <v>1131.7400319999999</v>
      </c>
      <c r="U569" s="188" t="s">
        <v>1138</v>
      </c>
      <c r="W569" s="160">
        <f>T569</f>
        <v>1131.7400319999999</v>
      </c>
      <c r="X569" s="138" t="s">
        <v>342</v>
      </c>
    </row>
    <row r="570" spans="1:26" s="157" customFormat="1" x14ac:dyDescent="0.25">
      <c r="A570" s="461"/>
      <c r="B570" s="153" t="s">
        <v>362</v>
      </c>
      <c r="C570" s="599"/>
      <c r="E570" s="1170">
        <v>312.13623046875</v>
      </c>
      <c r="F570" s="1170">
        <v>271.31005859375</v>
      </c>
      <c r="G570" s="1170">
        <v>131.57958984375</v>
      </c>
      <c r="H570" s="1170">
        <v>62.533203125</v>
      </c>
      <c r="I570" s="1170">
        <v>37.3798828125</v>
      </c>
      <c r="J570" s="1170">
        <v>39.7900390625</v>
      </c>
      <c r="K570" s="1170">
        <v>57.541015625</v>
      </c>
      <c r="L570" s="1170">
        <v>67.498046875</v>
      </c>
      <c r="M570" s="1170">
        <v>151.6181640625</v>
      </c>
      <c r="N570" s="1170">
        <v>177.27587890625</v>
      </c>
      <c r="O570" s="756">
        <v>240.0439453125</v>
      </c>
      <c r="P570" s="756">
        <v>323.90087890625</v>
      </c>
      <c r="Q570" s="178"/>
      <c r="T570" s="1094">
        <f t="shared" ref="T570:T574" si="28">SUM(E570:P570)</f>
        <v>1872.60693359375</v>
      </c>
      <c r="U570" s="188" t="s">
        <v>870</v>
      </c>
      <c r="W570" s="140">
        <f>T570*99976.124488/100000</f>
        <v>1872.1598391006071</v>
      </c>
      <c r="X570" s="138" t="s">
        <v>342</v>
      </c>
      <c r="Y570" s="495">
        <f>W568+W569+W570</f>
        <v>4371.5196347724823</v>
      </c>
      <c r="Z570" s="153" t="s">
        <v>677</v>
      </c>
    </row>
    <row r="571" spans="1:26" s="157" customFormat="1" x14ac:dyDescent="0.25">
      <c r="A571" s="461"/>
      <c r="B571" s="135" t="s">
        <v>864</v>
      </c>
      <c r="C571" s="599"/>
      <c r="E571" s="1193">
        <v>48</v>
      </c>
      <c r="F571" s="1193">
        <v>94</v>
      </c>
      <c r="G571" s="1194">
        <v>87</v>
      </c>
      <c r="H571" s="1194">
        <v>81</v>
      </c>
      <c r="I571" s="1194">
        <v>53</v>
      </c>
      <c r="J571" s="1194">
        <v>58</v>
      </c>
      <c r="K571" s="1194">
        <v>77</v>
      </c>
      <c r="L571" s="1200">
        <v>74</v>
      </c>
      <c r="M571" s="750">
        <v>82</v>
      </c>
      <c r="N571" s="750">
        <v>53</v>
      </c>
      <c r="O571" s="750">
        <v>28</v>
      </c>
      <c r="P571" s="750">
        <v>26</v>
      </c>
      <c r="Q571" s="730"/>
      <c r="T571" s="1094">
        <f>SUM(E571:P571)</f>
        <v>761</v>
      </c>
      <c r="U571" s="188" t="s">
        <v>379</v>
      </c>
      <c r="W571" s="141">
        <f>T571*748</f>
        <v>569228</v>
      </c>
      <c r="X571" s="188" t="s">
        <v>346</v>
      </c>
    </row>
    <row r="572" spans="1:26" s="157" customFormat="1" x14ac:dyDescent="0.25">
      <c r="A572" s="461"/>
      <c r="B572" s="135" t="s">
        <v>324</v>
      </c>
      <c r="C572" s="599"/>
      <c r="E572" s="1208">
        <v>2892.0543823241887</v>
      </c>
      <c r="F572" s="1208">
        <v>3220.1310424805374</v>
      </c>
      <c r="G572" s="1208">
        <v>3244.9237060546479</v>
      </c>
      <c r="H572" s="1208">
        <v>3057.0060424804387</v>
      </c>
      <c r="I572" s="1208">
        <v>2778.1748657226858</v>
      </c>
      <c r="J572" s="1208">
        <v>2794.089111328125</v>
      </c>
      <c r="K572" s="1208">
        <v>2905.8021240234766</v>
      </c>
      <c r="L572" s="1208">
        <v>2967.9138793944621</v>
      </c>
      <c r="M572" s="1208">
        <v>3166.8870849609866</v>
      </c>
      <c r="N572" s="1208">
        <v>2800.18505859375</v>
      </c>
      <c r="O572" s="1208">
        <v>2516.2137451171379</v>
      </c>
      <c r="P572" s="1208">
        <v>2402.5166625976849</v>
      </c>
      <c r="Q572" s="1162"/>
      <c r="T572" s="775">
        <f t="shared" si="28"/>
        <v>34745.897705078118</v>
      </c>
      <c r="U572" s="188"/>
      <c r="W572" s="190">
        <f>T572</f>
        <v>34745.897705078118</v>
      </c>
      <c r="X572" s="188"/>
    </row>
    <row r="573" spans="1:26" s="157" customFormat="1" x14ac:dyDescent="0.25">
      <c r="A573" s="461"/>
      <c r="B573" s="144" t="s">
        <v>348</v>
      </c>
      <c r="C573" s="599"/>
      <c r="E573" s="1208">
        <v>547.99199231999853</v>
      </c>
      <c r="F573" s="1208">
        <v>628.16481535999731</v>
      </c>
      <c r="G573" s="1208">
        <v>955.23036159999663</v>
      </c>
      <c r="H573" s="1208">
        <v>1579.5441612800098</v>
      </c>
      <c r="I573" s="1208">
        <v>2295.70383872</v>
      </c>
      <c r="J573" s="1208">
        <v>1930.1665996799932</v>
      </c>
      <c r="K573" s="1208">
        <v>1541.4524928000033</v>
      </c>
      <c r="L573" s="1208">
        <v>1536.6275686399956</v>
      </c>
      <c r="M573" s="1208">
        <v>841.89080064001132</v>
      </c>
      <c r="N573" s="1208">
        <v>688.49944575999132</v>
      </c>
      <c r="O573" s="1208">
        <v>546.79191552000088</v>
      </c>
      <c r="P573" s="1208">
        <v>587.61572096000066</v>
      </c>
      <c r="Q573" s="1162"/>
      <c r="T573" s="775">
        <f t="shared" si="28"/>
        <v>13679.679713279998</v>
      </c>
      <c r="U573" s="188"/>
      <c r="W573" s="190">
        <f>T573</f>
        <v>13679.679713279998</v>
      </c>
      <c r="X573" s="188"/>
    </row>
    <row r="574" spans="1:26" s="157" customFormat="1" ht="16.5" x14ac:dyDescent="0.35">
      <c r="A574" s="461"/>
      <c r="B574" s="195" t="s">
        <v>398</v>
      </c>
      <c r="C574" s="599"/>
      <c r="E574" s="1208">
        <v>4042.1641845703125</v>
      </c>
      <c r="F574" s="1208">
        <v>3513.4652587890623</v>
      </c>
      <c r="G574" s="1208">
        <v>1703.9556884765625</v>
      </c>
      <c r="H574" s="1208">
        <v>809.80498046874993</v>
      </c>
      <c r="I574" s="1208">
        <v>484.06948242187497</v>
      </c>
      <c r="J574" s="1208">
        <v>515.281005859375</v>
      </c>
      <c r="K574" s="1208">
        <v>745.15615234374991</v>
      </c>
      <c r="L574" s="1208">
        <v>874.09970703124998</v>
      </c>
      <c r="M574" s="1208">
        <v>1963.4552246093749</v>
      </c>
      <c r="N574" s="1208">
        <v>2295.7226318359376</v>
      </c>
      <c r="O574" s="1208">
        <v>3108.569091796875</v>
      </c>
      <c r="P574" s="1208">
        <v>4132.9752148437501</v>
      </c>
      <c r="Q574" s="1162"/>
      <c r="T574" s="775">
        <f t="shared" si="28"/>
        <v>24188.71862304688</v>
      </c>
      <c r="U574" s="188"/>
      <c r="W574" s="197">
        <f>T574</f>
        <v>24188.71862304688</v>
      </c>
      <c r="X574" s="188"/>
    </row>
    <row r="575" spans="1:26" s="125" customFormat="1" x14ac:dyDescent="0.25">
      <c r="A575" s="461"/>
      <c r="B575" s="205"/>
      <c r="C575" s="152"/>
      <c r="E575" s="201"/>
      <c r="F575" s="206"/>
      <c r="G575" s="202"/>
      <c r="H575" s="203"/>
      <c r="I575" s="203"/>
      <c r="J575" s="203"/>
      <c r="K575" s="203"/>
      <c r="L575" s="203"/>
      <c r="M575" s="203"/>
      <c r="N575" s="203"/>
      <c r="O575" s="203"/>
      <c r="P575" s="203"/>
      <c r="U575" s="126"/>
      <c r="W575" s="190">
        <f>SUM(W572:W574)</f>
        <v>72614.296041405003</v>
      </c>
      <c r="X575" s="450"/>
      <c r="Y575" s="157"/>
      <c r="Z575" s="157"/>
    </row>
    <row r="577" spans="1:26" x14ac:dyDescent="0.25">
      <c r="A577" s="462">
        <v>59</v>
      </c>
      <c r="B577" s="666" t="s">
        <v>1013</v>
      </c>
      <c r="T577" s="666" t="s">
        <v>1013</v>
      </c>
    </row>
    <row r="578" spans="1:26" s="125" customFormat="1" x14ac:dyDescent="0.25">
      <c r="A578" s="461"/>
      <c r="B578" s="130" t="s">
        <v>337</v>
      </c>
      <c r="C578" s="131">
        <v>42522</v>
      </c>
      <c r="D578" s="131">
        <v>42552</v>
      </c>
      <c r="E578" s="131">
        <v>42583</v>
      </c>
      <c r="F578" s="131">
        <v>42614</v>
      </c>
      <c r="G578" s="131">
        <v>42644</v>
      </c>
      <c r="H578" s="131">
        <v>42675</v>
      </c>
      <c r="I578" s="131">
        <v>42705</v>
      </c>
      <c r="J578" s="131">
        <v>42736</v>
      </c>
      <c r="K578" s="131">
        <v>42767</v>
      </c>
      <c r="L578" s="131">
        <v>42795</v>
      </c>
      <c r="M578" s="131">
        <v>42826</v>
      </c>
      <c r="N578" s="131">
        <v>42856</v>
      </c>
      <c r="O578" s="131">
        <v>42887</v>
      </c>
      <c r="P578" s="131">
        <v>42917</v>
      </c>
      <c r="Q578" s="131">
        <v>42948</v>
      </c>
      <c r="R578" s="131">
        <v>42992</v>
      </c>
      <c r="S578" s="132"/>
      <c r="T578" s="133" t="s">
        <v>338</v>
      </c>
      <c r="U578" s="134" t="s">
        <v>339</v>
      </c>
      <c r="V578" s="132"/>
      <c r="W578" s="133" t="s">
        <v>338</v>
      </c>
      <c r="X578" s="134" t="s">
        <v>339</v>
      </c>
      <c r="Y578" s="157"/>
      <c r="Z578" s="157"/>
    </row>
    <row r="579" spans="1:26" s="157" customFormat="1" x14ac:dyDescent="0.25">
      <c r="A579" s="461"/>
      <c r="B579" s="135" t="s">
        <v>319</v>
      </c>
      <c r="C579" s="599"/>
      <c r="E579" s="1170">
        <v>35022.994995116991</v>
      </c>
      <c r="F579" s="1170">
        <v>31261.001586914033</v>
      </c>
      <c r="G579" s="1170">
        <v>31486.999511718976</v>
      </c>
      <c r="H579" s="1218">
        <v>32717.987060546988</v>
      </c>
      <c r="I579" s="1186">
        <v>30886.016845703012</v>
      </c>
      <c r="J579" s="1186">
        <v>31885.986328125</v>
      </c>
      <c r="K579" s="1186">
        <v>27928.009033203012</v>
      </c>
      <c r="L579" s="1186">
        <v>33164.001464843976</v>
      </c>
      <c r="M579" s="1186">
        <v>32671.997070313013</v>
      </c>
      <c r="N579" s="1186">
        <v>35393.005371092957</v>
      </c>
      <c r="O579" s="1186">
        <v>32484.985351563068</v>
      </c>
      <c r="P579" s="756">
        <v>33314.025878906024</v>
      </c>
      <c r="Q579" s="174"/>
      <c r="T579" s="141">
        <f>SUM(E579:P579)</f>
        <v>388217.01049804705</v>
      </c>
      <c r="U579" s="188" t="s">
        <v>341</v>
      </c>
      <c r="W579" s="140">
        <f>T579*3413/1000000</f>
        <v>1324.9846568298344</v>
      </c>
      <c r="X579" s="138" t="s">
        <v>342</v>
      </c>
    </row>
    <row r="580" spans="1:26" s="157" customFormat="1" x14ac:dyDescent="0.25">
      <c r="A580" s="461"/>
      <c r="B580" s="135" t="s">
        <v>1137</v>
      </c>
      <c r="C580" s="599"/>
      <c r="E580" s="1192">
        <v>36.169984000000554</v>
      </c>
      <c r="F580" s="1192">
        <v>37.060223999999437</v>
      </c>
      <c r="G580" s="1192">
        <v>63.309568000000709</v>
      </c>
      <c r="H580" s="1192">
        <v>115.83001600000006</v>
      </c>
      <c r="I580" s="1192">
        <v>180.19993599999964</v>
      </c>
      <c r="J580" s="1192">
        <v>141.34988800000019</v>
      </c>
      <c r="K580" s="1192">
        <v>103.36025600000038</v>
      </c>
      <c r="L580" s="1192">
        <v>50.580031999999051</v>
      </c>
      <c r="M580" s="1192">
        <v>66.900224000001202</v>
      </c>
      <c r="N580" s="1192">
        <v>59.569663999998895</v>
      </c>
      <c r="O580" s="1207">
        <v>47.960320000000209</v>
      </c>
      <c r="P580" s="1192">
        <v>44.8898560000016</v>
      </c>
      <c r="Q580" s="174"/>
      <c r="T580" s="141">
        <f>SUM(E580:P580)</f>
        <v>947.17996800000196</v>
      </c>
      <c r="U580" s="188" t="s">
        <v>1138</v>
      </c>
      <c r="W580" s="160">
        <f>T580</f>
        <v>947.17996800000196</v>
      </c>
      <c r="X580" s="138" t="s">
        <v>342</v>
      </c>
    </row>
    <row r="581" spans="1:26" s="157" customFormat="1" x14ac:dyDescent="0.25">
      <c r="A581" s="461"/>
      <c r="B581" s="153" t="s">
        <v>362</v>
      </c>
      <c r="C581" s="599"/>
      <c r="E581" s="1170">
        <v>383.14208984375</v>
      </c>
      <c r="F581" s="1170">
        <v>244.3330078125</v>
      </c>
      <c r="G581" s="1170">
        <v>101.498046875</v>
      </c>
      <c r="H581" s="1170">
        <v>36.833984375</v>
      </c>
      <c r="I581" s="1170">
        <v>23.39306640625</v>
      </c>
      <c r="J581" s="1170">
        <v>25.931640625</v>
      </c>
      <c r="K581" s="1170">
        <v>42.47216796875</v>
      </c>
      <c r="L581" s="1170">
        <v>56.8818359375</v>
      </c>
      <c r="M581" s="1170">
        <v>118.1630859375</v>
      </c>
      <c r="N581" s="1170">
        <v>178.14111328125</v>
      </c>
      <c r="O581" s="756">
        <v>251.376953125</v>
      </c>
      <c r="P581" s="756">
        <v>360.3720703125</v>
      </c>
      <c r="Q581" s="178"/>
      <c r="T581" s="141">
        <f t="shared" ref="T581:T585" si="29">SUM(E581:P581)</f>
        <v>1822.5390625</v>
      </c>
      <c r="U581" s="188" t="s">
        <v>870</v>
      </c>
      <c r="W581" s="140">
        <f>T581*99976.124488/100000</f>
        <v>1822.1039219674281</v>
      </c>
      <c r="X581" s="138" t="s">
        <v>342</v>
      </c>
      <c r="Y581" s="495">
        <f>W579+W580+W581</f>
        <v>4094.2685467972647</v>
      </c>
      <c r="Z581" s="153" t="s">
        <v>677</v>
      </c>
    </row>
    <row r="582" spans="1:26" s="157" customFormat="1" x14ac:dyDescent="0.25">
      <c r="A582" s="461"/>
      <c r="B582" s="135" t="s">
        <v>864</v>
      </c>
      <c r="C582" s="599"/>
      <c r="E582" s="1193">
        <v>33</v>
      </c>
      <c r="F582" s="1193">
        <v>24</v>
      </c>
      <c r="G582" s="1194">
        <v>15</v>
      </c>
      <c r="H582" s="1194">
        <v>12</v>
      </c>
      <c r="I582" s="1194">
        <v>13</v>
      </c>
      <c r="J582" s="1194">
        <v>15</v>
      </c>
      <c r="K582" s="1194">
        <v>12</v>
      </c>
      <c r="L582" s="1200">
        <v>20</v>
      </c>
      <c r="M582" s="750">
        <v>29</v>
      </c>
      <c r="N582" s="750">
        <v>35</v>
      </c>
      <c r="O582" s="750">
        <v>22</v>
      </c>
      <c r="P582" s="750">
        <v>25</v>
      </c>
      <c r="Q582" s="730"/>
      <c r="T582" s="141">
        <f t="shared" si="29"/>
        <v>255</v>
      </c>
      <c r="U582" s="188" t="s">
        <v>379</v>
      </c>
      <c r="W582" s="141">
        <f>T582*748</f>
        <v>190740</v>
      </c>
      <c r="X582" s="188" t="s">
        <v>346</v>
      </c>
    </row>
    <row r="583" spans="1:26" s="157" customFormat="1" x14ac:dyDescent="0.25">
      <c r="A583" s="461"/>
      <c r="B583" s="135" t="s">
        <v>324</v>
      </c>
      <c r="C583" s="599"/>
      <c r="E583" s="1208">
        <v>3047.000564575178</v>
      </c>
      <c r="F583" s="1208">
        <v>2719.7071380615207</v>
      </c>
      <c r="G583" s="1208">
        <v>2739.3689575195508</v>
      </c>
      <c r="H583" s="1208">
        <v>2846.4648742675877</v>
      </c>
      <c r="I583" s="1208">
        <v>2687.0834655761619</v>
      </c>
      <c r="J583" s="1208">
        <v>2774.080810546875</v>
      </c>
      <c r="K583" s="1208">
        <v>2429.7367858886619</v>
      </c>
      <c r="L583" s="1208">
        <v>2885.2681274414258</v>
      </c>
      <c r="M583" s="1208">
        <v>2842.4637451172321</v>
      </c>
      <c r="N583" s="1208">
        <v>3079.1914672850871</v>
      </c>
      <c r="O583" s="1208">
        <v>2826.1937255859866</v>
      </c>
      <c r="P583" s="1208">
        <v>2765.0641479492001</v>
      </c>
      <c r="Q583" s="1162"/>
      <c r="T583" s="141">
        <f t="shared" si="29"/>
        <v>33641.62380981446</v>
      </c>
      <c r="U583" s="188"/>
      <c r="W583" s="190">
        <f>T583</f>
        <v>33641.62380981446</v>
      </c>
      <c r="X583" s="188"/>
    </row>
    <row r="584" spans="1:26" s="157" customFormat="1" x14ac:dyDescent="0.25">
      <c r="A584" s="461"/>
      <c r="B584" s="144" t="s">
        <v>348</v>
      </c>
      <c r="C584" s="599"/>
      <c r="E584" s="1208">
        <v>434.76320768000664</v>
      </c>
      <c r="F584" s="1208">
        <v>445.46389247999321</v>
      </c>
      <c r="G584" s="1208">
        <v>760.98100736000845</v>
      </c>
      <c r="H584" s="1208">
        <v>1392.2767923200006</v>
      </c>
      <c r="I584" s="1208">
        <v>2166.0032307199954</v>
      </c>
      <c r="J584" s="1208">
        <v>1699.0256537600023</v>
      </c>
      <c r="K584" s="1208">
        <v>1242.3902771200044</v>
      </c>
      <c r="L584" s="1208">
        <v>607.97198463998859</v>
      </c>
      <c r="M584" s="1208">
        <v>804.14069248001442</v>
      </c>
      <c r="N584" s="1208">
        <v>716.02736127998674</v>
      </c>
      <c r="O584" s="1208">
        <v>576.48304640000254</v>
      </c>
      <c r="P584" s="1208">
        <v>619.92891136002208</v>
      </c>
      <c r="Q584" s="1162"/>
      <c r="T584" s="141">
        <f t="shared" si="29"/>
        <v>11465.456057600026</v>
      </c>
      <c r="U584" s="188"/>
      <c r="W584" s="190">
        <f>T584</f>
        <v>11465.456057600026</v>
      </c>
      <c r="X584" s="188"/>
    </row>
    <row r="585" spans="1:26" s="157" customFormat="1" ht="16.5" x14ac:dyDescent="0.35">
      <c r="A585" s="461"/>
      <c r="B585" s="195" t="s">
        <v>398</v>
      </c>
      <c r="C585" s="599"/>
      <c r="E585" s="1208">
        <v>4961.6900634765625</v>
      </c>
      <c r="F585" s="1208">
        <v>3164.1124511718749</v>
      </c>
      <c r="G585" s="1208">
        <v>1314.3997070312498</v>
      </c>
      <c r="H585" s="1208">
        <v>477.00009765624998</v>
      </c>
      <c r="I585" s="1208">
        <v>302.94020996093747</v>
      </c>
      <c r="J585" s="1208">
        <v>335.81474609374999</v>
      </c>
      <c r="K585" s="1208">
        <v>550.01457519531243</v>
      </c>
      <c r="L585" s="1208">
        <v>736.61977539062491</v>
      </c>
      <c r="M585" s="1208">
        <v>1530.2119628906248</v>
      </c>
      <c r="N585" s="1208">
        <v>2306.9274169921873</v>
      </c>
      <c r="O585" s="1208">
        <v>3255.33154296875</v>
      </c>
      <c r="P585" s="1208">
        <v>4598.3476171875</v>
      </c>
      <c r="Q585" s="1162"/>
      <c r="T585" s="141">
        <f t="shared" si="29"/>
        <v>23533.410166015627</v>
      </c>
      <c r="U585" s="188"/>
      <c r="W585" s="197">
        <f>T585</f>
        <v>23533.410166015627</v>
      </c>
      <c r="X585" s="188"/>
    </row>
    <row r="586" spans="1:26" s="125" customFormat="1" x14ac:dyDescent="0.25">
      <c r="A586" s="461"/>
      <c r="B586" s="205"/>
      <c r="C586" s="152"/>
      <c r="E586" s="201"/>
      <c r="F586" s="206"/>
      <c r="G586" s="202"/>
      <c r="H586" s="203"/>
      <c r="I586" s="203"/>
      <c r="J586" s="203"/>
      <c r="K586" s="203"/>
      <c r="L586" s="203"/>
      <c r="M586" s="203"/>
      <c r="N586" s="203"/>
      <c r="O586" s="203"/>
      <c r="P586" s="203"/>
      <c r="U586" s="126"/>
      <c r="W586" s="190">
        <f>SUM(W583:W585)</f>
        <v>68640.49003343012</v>
      </c>
      <c r="X586" s="450"/>
      <c r="Y586" s="157"/>
      <c r="Z586" s="157"/>
    </row>
    <row r="588" spans="1:26" x14ac:dyDescent="0.25">
      <c r="A588" s="462">
        <v>60</v>
      </c>
      <c r="B588" s="666" t="s">
        <v>1014</v>
      </c>
      <c r="T588" s="666" t="s">
        <v>1014</v>
      </c>
    </row>
    <row r="589" spans="1:26" s="125" customFormat="1" x14ac:dyDescent="0.25">
      <c r="A589" s="461"/>
      <c r="B589" s="130" t="s">
        <v>337</v>
      </c>
      <c r="C589" s="131">
        <v>42522</v>
      </c>
      <c r="D589" s="131">
        <v>42552</v>
      </c>
      <c r="E589" s="131">
        <v>42583</v>
      </c>
      <c r="F589" s="131">
        <v>42614</v>
      </c>
      <c r="G589" s="131">
        <v>42644</v>
      </c>
      <c r="H589" s="131">
        <v>42675</v>
      </c>
      <c r="I589" s="131">
        <v>42705</v>
      </c>
      <c r="J589" s="131">
        <v>42736</v>
      </c>
      <c r="K589" s="131">
        <v>42767</v>
      </c>
      <c r="L589" s="131">
        <v>42795</v>
      </c>
      <c r="M589" s="131">
        <v>42826</v>
      </c>
      <c r="N589" s="131">
        <v>42856</v>
      </c>
      <c r="O589" s="131">
        <v>42887</v>
      </c>
      <c r="P589" s="131">
        <v>42917</v>
      </c>
      <c r="Q589" s="131">
        <v>42948</v>
      </c>
      <c r="R589" s="131">
        <v>42992</v>
      </c>
      <c r="S589" s="132"/>
      <c r="T589" s="133" t="s">
        <v>338</v>
      </c>
      <c r="U589" s="134" t="s">
        <v>339</v>
      </c>
      <c r="V589" s="132"/>
      <c r="W589" s="133" t="s">
        <v>338</v>
      </c>
      <c r="X589" s="134" t="s">
        <v>339</v>
      </c>
      <c r="Y589" s="157"/>
      <c r="Z589" s="157"/>
    </row>
    <row r="590" spans="1:26" s="125" customFormat="1" x14ac:dyDescent="0.25">
      <c r="A590" s="461"/>
      <c r="B590" s="135" t="s">
        <v>340</v>
      </c>
      <c r="C590" s="606"/>
      <c r="D590" s="593">
        <v>36789</v>
      </c>
      <c r="E590" s="593">
        <v>48745</v>
      </c>
      <c r="F590" s="593">
        <v>49769</v>
      </c>
      <c r="G590" s="593">
        <v>36478</v>
      </c>
      <c r="H590" s="593">
        <v>27694</v>
      </c>
      <c r="I590" s="593">
        <v>29813</v>
      </c>
      <c r="J590" s="593">
        <v>24353</v>
      </c>
      <c r="K590" s="593">
        <v>26324</v>
      </c>
      <c r="L590" s="593">
        <v>25217</v>
      </c>
      <c r="M590" s="593">
        <v>30467</v>
      </c>
      <c r="N590" s="593">
        <v>31050</v>
      </c>
      <c r="O590" s="1597">
        <v>34929</v>
      </c>
      <c r="P590" s="174"/>
      <c r="Q590" s="174"/>
      <c r="R590" s="174"/>
      <c r="T590" s="140">
        <f>SUM(C590:S590)</f>
        <v>401628</v>
      </c>
      <c r="U590" s="138" t="s">
        <v>341</v>
      </c>
      <c r="V590" s="139"/>
      <c r="W590" s="140">
        <f>T590*3413/1000000</f>
        <v>1370.7563640000001</v>
      </c>
      <c r="X590" s="138" t="s">
        <v>342</v>
      </c>
      <c r="Y590" s="157"/>
      <c r="Z590" s="157"/>
    </row>
    <row r="591" spans="1:26" s="125" customFormat="1" x14ac:dyDescent="0.25">
      <c r="A591" s="461"/>
      <c r="B591" s="135" t="s">
        <v>372</v>
      </c>
      <c r="C591" s="606"/>
      <c r="D591" s="593">
        <v>123</v>
      </c>
      <c r="E591" s="593">
        <v>149</v>
      </c>
      <c r="F591" s="593">
        <v>209</v>
      </c>
      <c r="G591" s="593">
        <v>412</v>
      </c>
      <c r="H591" s="593">
        <v>845</v>
      </c>
      <c r="I591" s="593">
        <v>941</v>
      </c>
      <c r="J591" s="593">
        <v>1367</v>
      </c>
      <c r="K591" s="593">
        <v>683</v>
      </c>
      <c r="L591" s="593">
        <v>944</v>
      </c>
      <c r="M591" s="593">
        <v>482</v>
      </c>
      <c r="N591" s="593">
        <v>428</v>
      </c>
      <c r="O591" s="593">
        <v>245</v>
      </c>
      <c r="P591" s="174"/>
      <c r="Q591" s="174"/>
      <c r="R591" s="174"/>
      <c r="T591" s="140">
        <f>SUM(C591:S591)</f>
        <v>6828</v>
      </c>
      <c r="U591" s="138" t="s">
        <v>354</v>
      </c>
      <c r="V591" s="139"/>
      <c r="W591" s="140">
        <f>T591*99976.124488/1000000</f>
        <v>682.63697800406396</v>
      </c>
      <c r="X591" s="138" t="s">
        <v>342</v>
      </c>
      <c r="Y591" s="495">
        <f>W590+W591</f>
        <v>2053.3933420040639</v>
      </c>
      <c r="Z591" s="153" t="s">
        <v>677</v>
      </c>
    </row>
    <row r="592" spans="1:26" s="125" customFormat="1" x14ac:dyDescent="0.25">
      <c r="A592" s="461"/>
      <c r="B592" s="135" t="s">
        <v>345</v>
      </c>
      <c r="C592" s="606"/>
      <c r="D592" s="593">
        <v>2992</v>
      </c>
      <c r="E592" s="593">
        <v>4488</v>
      </c>
      <c r="F592" s="593">
        <v>3740</v>
      </c>
      <c r="G592" s="593">
        <v>3740</v>
      </c>
      <c r="H592" s="593">
        <v>3740</v>
      </c>
      <c r="I592" s="593">
        <v>1496</v>
      </c>
      <c r="J592" s="593">
        <v>5236</v>
      </c>
      <c r="K592" s="593">
        <v>3740</v>
      </c>
      <c r="L592" s="593">
        <v>5236</v>
      </c>
      <c r="M592" s="593">
        <v>2244</v>
      </c>
      <c r="N592" s="593">
        <v>2244</v>
      </c>
      <c r="O592" s="1598">
        <v>2992</v>
      </c>
      <c r="P592" s="178"/>
      <c r="Q592" s="178"/>
      <c r="R592" s="178"/>
      <c r="T592" s="140">
        <f>SUM(C592:S592)</f>
        <v>41888</v>
      </c>
      <c r="U592" s="138" t="s">
        <v>346</v>
      </c>
      <c r="V592" s="139"/>
      <c r="W592" s="137">
        <f>T592</f>
        <v>41888</v>
      </c>
      <c r="X592" s="138" t="s">
        <v>346</v>
      </c>
      <c r="Y592" s="157"/>
      <c r="Z592" s="157"/>
    </row>
    <row r="593" spans="1:26" s="125" customFormat="1" x14ac:dyDescent="0.25">
      <c r="A593" s="461"/>
      <c r="B593" s="135" t="s">
        <v>324</v>
      </c>
      <c r="C593" s="606"/>
      <c r="D593" s="1489">
        <v>3332.3</v>
      </c>
      <c r="E593" s="1489">
        <v>4151.88</v>
      </c>
      <c r="F593" s="1489">
        <v>4104.22</v>
      </c>
      <c r="G593" s="1489">
        <v>3048.37</v>
      </c>
      <c r="H593" s="1489">
        <v>2434.91</v>
      </c>
      <c r="I593" s="1489">
        <v>2545.69</v>
      </c>
      <c r="J593" s="1489">
        <v>2091.54</v>
      </c>
      <c r="K593" s="1489">
        <v>2248.39</v>
      </c>
      <c r="L593" s="1489">
        <v>2231.02</v>
      </c>
      <c r="M593" s="1489">
        <v>2556.94</v>
      </c>
      <c r="N593" s="1489">
        <v>2678.71</v>
      </c>
      <c r="O593" s="1599">
        <v>2953.76</v>
      </c>
      <c r="P593" s="176"/>
      <c r="Q593" s="176"/>
      <c r="R593" s="176"/>
      <c r="T593" s="143">
        <f>SUM(C593:S593)</f>
        <v>34377.729999999996</v>
      </c>
      <c r="U593" s="138"/>
      <c r="V593" s="139"/>
      <c r="W593" s="143">
        <f>T593</f>
        <v>34377.729999999996</v>
      </c>
      <c r="X593" s="138"/>
      <c r="Y593" s="157"/>
      <c r="Z593" s="157"/>
    </row>
    <row r="594" spans="1:26" s="125" customFormat="1" ht="16.5" x14ac:dyDescent="0.35">
      <c r="A594" s="461"/>
      <c r="B594" s="144" t="s">
        <v>374</v>
      </c>
      <c r="C594" s="607"/>
      <c r="D594" s="1489">
        <v>113.14</v>
      </c>
      <c r="E594" s="1489">
        <v>132.24</v>
      </c>
      <c r="F594" s="1489">
        <v>177.04</v>
      </c>
      <c r="G594" s="1489">
        <v>244.66</v>
      </c>
      <c r="H594" s="1489">
        <v>745.97</v>
      </c>
      <c r="I594" s="1489">
        <v>866.35</v>
      </c>
      <c r="J594" s="1489">
        <v>1247.1099999999999</v>
      </c>
      <c r="K594" s="1489">
        <v>635.77</v>
      </c>
      <c r="L594" s="1489">
        <v>829.16</v>
      </c>
      <c r="M594" s="1489">
        <v>441.02</v>
      </c>
      <c r="N594" s="1489">
        <v>395.02</v>
      </c>
      <c r="O594" s="1489">
        <v>238.18</v>
      </c>
      <c r="P594" s="179"/>
      <c r="Q594" s="179"/>
      <c r="R594" s="179"/>
      <c r="T594" s="143">
        <f>SUM(C594:S594)</f>
        <v>6065.6600000000017</v>
      </c>
      <c r="U594" s="138"/>
      <c r="V594" s="139"/>
      <c r="W594" s="146">
        <f>T594</f>
        <v>6065.6600000000017</v>
      </c>
      <c r="X594" s="138"/>
      <c r="Y594" s="157"/>
      <c r="Z594" s="157"/>
    </row>
    <row r="595" spans="1:26" x14ac:dyDescent="0.25">
      <c r="W595" s="143">
        <f>SUM(W593:W594)</f>
        <v>40443.39</v>
      </c>
      <c r="X595" s="138"/>
    </row>
    <row r="597" spans="1:26" x14ac:dyDescent="0.25">
      <c r="A597" s="462">
        <v>61</v>
      </c>
      <c r="B597" s="666" t="s">
        <v>1015</v>
      </c>
      <c r="T597" s="666" t="s">
        <v>1015</v>
      </c>
    </row>
    <row r="598" spans="1:26" s="125" customFormat="1" x14ac:dyDescent="0.25">
      <c r="A598" s="461"/>
      <c r="B598" s="130" t="s">
        <v>337</v>
      </c>
      <c r="C598" s="131">
        <v>42522</v>
      </c>
      <c r="D598" s="131">
        <v>42552</v>
      </c>
      <c r="E598" s="131">
        <v>42583</v>
      </c>
      <c r="F598" s="131">
        <v>42614</v>
      </c>
      <c r="G598" s="131">
        <v>42644</v>
      </c>
      <c r="H598" s="131">
        <v>42675</v>
      </c>
      <c r="I598" s="131">
        <v>42705</v>
      </c>
      <c r="J598" s="131">
        <v>42736</v>
      </c>
      <c r="K598" s="131">
        <v>42767</v>
      </c>
      <c r="L598" s="131">
        <v>42795</v>
      </c>
      <c r="M598" s="131">
        <v>42826</v>
      </c>
      <c r="N598" s="131">
        <v>42856</v>
      </c>
      <c r="O598" s="131">
        <v>42887</v>
      </c>
      <c r="P598" s="131">
        <v>42917</v>
      </c>
      <c r="Q598" s="131">
        <v>42948</v>
      </c>
      <c r="R598" s="131">
        <v>42992</v>
      </c>
      <c r="S598" s="132"/>
      <c r="T598" s="133" t="s">
        <v>338</v>
      </c>
      <c r="U598" s="134" t="s">
        <v>339</v>
      </c>
      <c r="V598" s="132"/>
      <c r="W598" s="133" t="s">
        <v>338</v>
      </c>
      <c r="X598" s="134" t="s">
        <v>339</v>
      </c>
      <c r="Y598" s="157"/>
      <c r="Z598" s="157"/>
    </row>
    <row r="599" spans="1:26" s="125" customFormat="1" x14ac:dyDescent="0.25">
      <c r="A599" s="461"/>
      <c r="B599" s="135" t="s">
        <v>340</v>
      </c>
      <c r="C599" s="606"/>
      <c r="D599" s="454"/>
      <c r="E599" s="454"/>
      <c r="F599" s="454"/>
      <c r="G599" s="454"/>
      <c r="H599" s="454"/>
      <c r="I599" s="454"/>
      <c r="J599" s="454"/>
      <c r="K599" s="454"/>
      <c r="L599" s="454"/>
      <c r="M599" s="454"/>
      <c r="N599" s="454"/>
      <c r="O599" s="136"/>
      <c r="Q599" s="174"/>
      <c r="R599" s="174"/>
      <c r="T599" s="140">
        <f>SUM(C599:S599)</f>
        <v>0</v>
      </c>
      <c r="U599" s="138" t="s">
        <v>341</v>
      </c>
      <c r="V599" s="139"/>
      <c r="W599" s="140">
        <f>T599*3413/1000000</f>
        <v>0</v>
      </c>
      <c r="X599" s="138" t="s">
        <v>342</v>
      </c>
      <c r="Y599" s="157"/>
      <c r="Z599" s="157"/>
    </row>
    <row r="600" spans="1:26" s="125" customFormat="1" x14ac:dyDescent="0.25">
      <c r="A600" s="461"/>
      <c r="B600" s="135" t="s">
        <v>372</v>
      </c>
      <c r="C600" s="606"/>
      <c r="D600" s="454"/>
      <c r="E600" s="454"/>
      <c r="F600" s="454"/>
      <c r="G600" s="454"/>
      <c r="H600" s="454"/>
      <c r="I600" s="454"/>
      <c r="J600" s="454"/>
      <c r="K600" s="454"/>
      <c r="L600" s="454"/>
      <c r="M600" s="454"/>
      <c r="N600" s="454"/>
      <c r="O600" s="136"/>
      <c r="Q600" s="174"/>
      <c r="R600" s="174"/>
      <c r="T600" s="140">
        <f>SUM(C600:S600)</f>
        <v>0</v>
      </c>
      <c r="U600" s="138" t="s">
        <v>354</v>
      </c>
      <c r="V600" s="139"/>
      <c r="W600" s="140">
        <f>T600*99976.124488/1000000</f>
        <v>0</v>
      </c>
      <c r="X600" s="138" t="s">
        <v>342</v>
      </c>
      <c r="Y600" s="495">
        <f>W599+W600</f>
        <v>0</v>
      </c>
      <c r="Z600" s="153" t="s">
        <v>677</v>
      </c>
    </row>
    <row r="601" spans="1:26" s="125" customFormat="1" x14ac:dyDescent="0.25">
      <c r="A601" s="461"/>
      <c r="B601" s="135" t="s">
        <v>366</v>
      </c>
      <c r="C601" s="606"/>
      <c r="D601" s="454"/>
      <c r="E601" s="454"/>
      <c r="F601" s="454"/>
      <c r="G601" s="454"/>
      <c r="H601" s="454"/>
      <c r="I601" s="454"/>
      <c r="J601" s="454"/>
      <c r="K601" s="454"/>
      <c r="L601" s="454"/>
      <c r="M601" s="454"/>
      <c r="N601" s="454"/>
      <c r="O601" s="136"/>
      <c r="Q601" s="178"/>
      <c r="R601" s="178"/>
      <c r="T601" s="140">
        <f>SUM(C601:S601)</f>
        <v>0</v>
      </c>
      <c r="U601" s="138" t="s">
        <v>367</v>
      </c>
      <c r="V601" s="139"/>
      <c r="W601" s="137">
        <f>T601*7.48</f>
        <v>0</v>
      </c>
      <c r="X601" s="138" t="s">
        <v>346</v>
      </c>
      <c r="Y601" s="157"/>
      <c r="Z601" s="157"/>
    </row>
    <row r="602" spans="1:26" s="125" customFormat="1" x14ac:dyDescent="0.25">
      <c r="A602" s="461"/>
      <c r="B602" s="135" t="s">
        <v>324</v>
      </c>
      <c r="C602" s="606"/>
      <c r="D602" s="455"/>
      <c r="E602" s="455"/>
      <c r="F602" s="455"/>
      <c r="G602" s="455"/>
      <c r="H602" s="455"/>
      <c r="I602" s="455"/>
      <c r="J602" s="455"/>
      <c r="K602" s="455"/>
      <c r="L602" s="455"/>
      <c r="M602" s="455"/>
      <c r="N602" s="455"/>
      <c r="O602" s="136"/>
      <c r="Q602" s="176"/>
      <c r="R602" s="176"/>
      <c r="T602" s="143">
        <f>SUM(C602:S602)</f>
        <v>0</v>
      </c>
      <c r="U602" s="138"/>
      <c r="V602" s="139"/>
      <c r="W602" s="143">
        <f>T602</f>
        <v>0</v>
      </c>
      <c r="X602" s="138"/>
      <c r="Y602" s="157"/>
      <c r="Z602" s="157"/>
    </row>
    <row r="603" spans="1:26" s="125" customFormat="1" x14ac:dyDescent="0.25">
      <c r="A603" s="461"/>
      <c r="B603" s="144" t="s">
        <v>374</v>
      </c>
      <c r="C603" s="607"/>
      <c r="D603" s="455"/>
      <c r="E603" s="455"/>
      <c r="F603" s="455"/>
      <c r="G603" s="455"/>
      <c r="H603" s="455"/>
      <c r="I603" s="455"/>
      <c r="J603" s="455"/>
      <c r="K603" s="455"/>
      <c r="L603" s="455"/>
      <c r="M603" s="455"/>
      <c r="N603" s="455"/>
      <c r="O603" s="136"/>
      <c r="Q603" s="179"/>
      <c r="R603" s="179"/>
      <c r="T603" s="143">
        <f>SUM(C603:S603)</f>
        <v>0</v>
      </c>
      <c r="U603" s="138"/>
      <c r="V603" s="139"/>
      <c r="W603" s="143">
        <f>T603</f>
        <v>0</v>
      </c>
      <c r="X603" s="138"/>
      <c r="Y603" s="157"/>
      <c r="Z603" s="157"/>
    </row>
    <row r="604" spans="1:26" x14ac:dyDescent="0.25">
      <c r="P604" s="345"/>
      <c r="W604" s="143">
        <f>SUM(W602:W603)</f>
        <v>0</v>
      </c>
      <c r="X604" s="138"/>
    </row>
    <row r="606" spans="1:26" x14ac:dyDescent="0.25">
      <c r="A606" s="462">
        <v>62</v>
      </c>
      <c r="B606" s="666" t="s">
        <v>1278</v>
      </c>
      <c r="T606" s="666" t="s">
        <v>1278</v>
      </c>
    </row>
    <row r="607" spans="1:26" s="125" customFormat="1" x14ac:dyDescent="0.25">
      <c r="A607" s="461"/>
      <c r="B607" s="130" t="s">
        <v>337</v>
      </c>
      <c r="C607" s="131">
        <v>42522</v>
      </c>
      <c r="D607" s="131">
        <v>42552</v>
      </c>
      <c r="E607" s="131">
        <v>42583</v>
      </c>
      <c r="F607" s="131">
        <v>42614</v>
      </c>
      <c r="G607" s="131">
        <v>42644</v>
      </c>
      <c r="H607" s="131">
        <v>42675</v>
      </c>
      <c r="I607" s="131">
        <v>42705</v>
      </c>
      <c r="J607" s="131">
        <v>42736</v>
      </c>
      <c r="K607" s="131">
        <v>42767</v>
      </c>
      <c r="L607" s="131">
        <v>42795</v>
      </c>
      <c r="M607" s="131">
        <v>42826</v>
      </c>
      <c r="N607" s="131">
        <v>42856</v>
      </c>
      <c r="O607" s="131">
        <v>42887</v>
      </c>
      <c r="P607" s="131">
        <v>42917</v>
      </c>
      <c r="Q607" s="131">
        <v>42948</v>
      </c>
      <c r="R607" s="131">
        <v>42992</v>
      </c>
      <c r="S607" s="132"/>
      <c r="T607" s="133" t="s">
        <v>338</v>
      </c>
      <c r="U607" s="134" t="s">
        <v>339</v>
      </c>
      <c r="V607" s="132"/>
      <c r="W607" s="133" t="s">
        <v>338</v>
      </c>
      <c r="X607" s="134" t="s">
        <v>339</v>
      </c>
      <c r="Y607" s="157"/>
      <c r="Z607" s="157"/>
    </row>
    <row r="608" spans="1:26" s="125" customFormat="1" x14ac:dyDescent="0.25">
      <c r="A608" s="461"/>
      <c r="B608" s="135" t="s">
        <v>340</v>
      </c>
      <c r="C608" s="606"/>
      <c r="D608" s="174"/>
      <c r="E608" s="454"/>
      <c r="F608" s="454"/>
      <c r="G608" s="454"/>
      <c r="H608" s="454"/>
      <c r="I608" s="454"/>
      <c r="J608" s="454"/>
      <c r="K608" s="454"/>
      <c r="L608" s="454"/>
      <c r="M608" s="454"/>
      <c r="N608" s="454"/>
      <c r="O608" s="454"/>
      <c r="P608" s="136"/>
      <c r="Q608" s="174"/>
      <c r="R608" s="174"/>
      <c r="T608" s="140">
        <f>SUM(C608:S608)</f>
        <v>0</v>
      </c>
      <c r="U608" s="138" t="s">
        <v>341</v>
      </c>
      <c r="V608" s="139"/>
      <c r="W608" s="140">
        <f>T608*3413/1000000</f>
        <v>0</v>
      </c>
      <c r="X608" s="138" t="s">
        <v>342</v>
      </c>
      <c r="Y608" s="157"/>
      <c r="Z608" s="157"/>
    </row>
    <row r="609" spans="1:26" s="125" customFormat="1" x14ac:dyDescent="0.25">
      <c r="A609" s="461"/>
      <c r="B609" s="135" t="s">
        <v>372</v>
      </c>
      <c r="C609" s="606"/>
      <c r="D609" s="174"/>
      <c r="E609" s="454"/>
      <c r="F609" s="454"/>
      <c r="G609" s="454"/>
      <c r="H609" s="454"/>
      <c r="I609" s="454"/>
      <c r="J609" s="454"/>
      <c r="K609" s="454"/>
      <c r="L609" s="454"/>
      <c r="M609" s="454"/>
      <c r="N609" s="454"/>
      <c r="O609" s="454"/>
      <c r="P609" s="136"/>
      <c r="Q609" s="174"/>
      <c r="R609" s="174"/>
      <c r="T609" s="140">
        <f>SUM(C609:S609)</f>
        <v>0</v>
      </c>
      <c r="U609" s="138" t="s">
        <v>354</v>
      </c>
      <c r="V609" s="139"/>
      <c r="W609" s="140">
        <f>T609*99976.124488/1000000</f>
        <v>0</v>
      </c>
      <c r="X609" s="138" t="s">
        <v>342</v>
      </c>
      <c r="Y609" s="495">
        <f>W608+W609</f>
        <v>0</v>
      </c>
      <c r="Z609" s="153" t="s">
        <v>677</v>
      </c>
    </row>
    <row r="610" spans="1:26" s="125" customFormat="1" x14ac:dyDescent="0.25">
      <c r="A610" s="461"/>
      <c r="B610" s="135" t="s">
        <v>366</v>
      </c>
      <c r="C610" s="606"/>
      <c r="D610" s="178"/>
      <c r="E610" s="454"/>
      <c r="F610" s="454"/>
      <c r="G610" s="454"/>
      <c r="H610" s="454"/>
      <c r="I610" s="454"/>
      <c r="J610" s="454"/>
      <c r="K610" s="454"/>
      <c r="L610" s="454"/>
      <c r="M610" s="454"/>
      <c r="N610" s="454"/>
      <c r="O610" s="454"/>
      <c r="P610" s="136"/>
      <c r="Q610" s="178"/>
      <c r="R610" s="178"/>
      <c r="T610" s="140">
        <f>SUM(C610:S610)</f>
        <v>0</v>
      </c>
      <c r="U610" s="138" t="s">
        <v>367</v>
      </c>
      <c r="V610" s="139"/>
      <c r="W610" s="137">
        <f>T610*7.48</f>
        <v>0</v>
      </c>
      <c r="X610" s="138" t="s">
        <v>346</v>
      </c>
      <c r="Y610" s="157"/>
      <c r="Z610" s="157"/>
    </row>
    <row r="611" spans="1:26" s="125" customFormat="1" x14ac:dyDescent="0.25">
      <c r="A611" s="461"/>
      <c r="B611" s="135" t="s">
        <v>324</v>
      </c>
      <c r="C611" s="606"/>
      <c r="D611" s="176"/>
      <c r="E611" s="455"/>
      <c r="F611" s="455"/>
      <c r="G611" s="455"/>
      <c r="H611" s="455"/>
      <c r="I611" s="455"/>
      <c r="J611" s="455"/>
      <c r="K611" s="455"/>
      <c r="L611" s="455"/>
      <c r="M611" s="455"/>
      <c r="N611" s="455"/>
      <c r="O611" s="455"/>
      <c r="P611" s="136"/>
      <c r="Q611" s="176"/>
      <c r="R611" s="176"/>
      <c r="T611" s="143">
        <f>SUM(C611:S611)</f>
        <v>0</v>
      </c>
      <c r="U611" s="138"/>
      <c r="V611" s="139"/>
      <c r="W611" s="143">
        <f>T611</f>
        <v>0</v>
      </c>
      <c r="X611" s="138"/>
      <c r="Y611" s="157"/>
      <c r="Z611" s="157"/>
    </row>
    <row r="612" spans="1:26" s="125" customFormat="1" x14ac:dyDescent="0.25">
      <c r="A612" s="461"/>
      <c r="B612" s="144" t="s">
        <v>374</v>
      </c>
      <c r="C612" s="607"/>
      <c r="D612" s="179"/>
      <c r="E612" s="455"/>
      <c r="F612" s="455"/>
      <c r="G612" s="455"/>
      <c r="H612" s="455"/>
      <c r="I612" s="455"/>
      <c r="J612" s="455"/>
      <c r="K612" s="455"/>
      <c r="L612" s="455"/>
      <c r="M612" s="455"/>
      <c r="N612" s="455"/>
      <c r="O612" s="455"/>
      <c r="P612" s="136"/>
      <c r="Q612" s="179"/>
      <c r="R612" s="179"/>
      <c r="T612" s="143">
        <f>SUM(C612:S612)</f>
        <v>0</v>
      </c>
      <c r="U612" s="138"/>
      <c r="V612" s="139"/>
      <c r="W612" s="143">
        <f>T612</f>
        <v>0</v>
      </c>
      <c r="X612" s="138"/>
      <c r="Y612" s="157"/>
      <c r="Z612" s="157"/>
    </row>
    <row r="613" spans="1:26" x14ac:dyDescent="0.25">
      <c r="P613" s="345"/>
      <c r="W613" s="143">
        <f>SUM(W611:W612)</f>
        <v>0</v>
      </c>
      <c r="X613" s="138"/>
    </row>
    <row r="614" spans="1:26" x14ac:dyDescent="0.25">
      <c r="B614" s="666"/>
    </row>
    <row r="615" spans="1:26" x14ac:dyDescent="0.25">
      <c r="A615" s="462">
        <v>63</v>
      </c>
      <c r="B615" s="666" t="s">
        <v>1599</v>
      </c>
      <c r="T615" s="666" t="s">
        <v>1599</v>
      </c>
    </row>
    <row r="616" spans="1:26" s="125" customFormat="1" x14ac:dyDescent="0.25">
      <c r="A616" s="461"/>
      <c r="B616" s="130" t="s">
        <v>337</v>
      </c>
      <c r="C616" s="131">
        <v>42522</v>
      </c>
      <c r="D616" s="131">
        <v>42552</v>
      </c>
      <c r="E616" s="131">
        <v>42583</v>
      </c>
      <c r="F616" s="131">
        <v>42614</v>
      </c>
      <c r="G616" s="131">
        <v>42644</v>
      </c>
      <c r="H616" s="131">
        <v>42675</v>
      </c>
      <c r="I616" s="131">
        <v>42705</v>
      </c>
      <c r="J616" s="131">
        <v>42736</v>
      </c>
      <c r="K616" s="131">
        <v>42767</v>
      </c>
      <c r="L616" s="131">
        <v>42795</v>
      </c>
      <c r="M616" s="131">
        <v>42826</v>
      </c>
      <c r="N616" s="131">
        <v>42856</v>
      </c>
      <c r="O616" s="131">
        <v>42887</v>
      </c>
      <c r="P616" s="131">
        <v>42917</v>
      </c>
      <c r="Q616" s="131">
        <v>42948</v>
      </c>
      <c r="R616" s="131">
        <v>42992</v>
      </c>
      <c r="S616" s="132"/>
      <c r="T616" s="133" t="s">
        <v>338</v>
      </c>
      <c r="U616" s="134" t="s">
        <v>339</v>
      </c>
      <c r="V616" s="132"/>
      <c r="W616" s="133" t="s">
        <v>338</v>
      </c>
      <c r="X616" s="134" t="s">
        <v>339</v>
      </c>
      <c r="Y616" s="157"/>
      <c r="Z616" s="157"/>
    </row>
    <row r="617" spans="1:26" s="125" customFormat="1" x14ac:dyDescent="0.25">
      <c r="A617" s="461"/>
      <c r="B617" s="135" t="s">
        <v>340</v>
      </c>
      <c r="C617" s="606"/>
      <c r="D617" s="454">
        <v>38354</v>
      </c>
      <c r="E617" s="454">
        <v>36013</v>
      </c>
      <c r="F617" s="454">
        <v>30552</v>
      </c>
      <c r="G617" s="454">
        <v>24645</v>
      </c>
      <c r="H617" s="454">
        <v>20004</v>
      </c>
      <c r="I617" s="454">
        <v>19960</v>
      </c>
      <c r="J617" s="454">
        <v>17068</v>
      </c>
      <c r="K617" s="454">
        <v>18478</v>
      </c>
      <c r="L617" s="454">
        <v>19754</v>
      </c>
      <c r="M617" s="454">
        <v>24347</v>
      </c>
      <c r="N617" s="454">
        <v>25448</v>
      </c>
      <c r="O617" s="136">
        <v>28029</v>
      </c>
      <c r="Q617" s="174"/>
      <c r="R617" s="174"/>
      <c r="T617" s="140">
        <f>SUM(C617:S617)</f>
        <v>302652</v>
      </c>
      <c r="U617" s="138" t="s">
        <v>341</v>
      </c>
      <c r="V617" s="139"/>
      <c r="W617" s="140">
        <f>T617*3413/1000000</f>
        <v>1032.951276</v>
      </c>
      <c r="X617" s="138" t="s">
        <v>342</v>
      </c>
      <c r="Y617" s="157"/>
      <c r="Z617" s="157"/>
    </row>
    <row r="618" spans="1:26" s="125" customFormat="1" x14ac:dyDescent="0.25">
      <c r="A618" s="461"/>
      <c r="B618" s="135" t="s">
        <v>372</v>
      </c>
      <c r="C618" s="606"/>
      <c r="D618" s="454">
        <v>804</v>
      </c>
      <c r="E618" s="454">
        <v>856</v>
      </c>
      <c r="F618" s="454">
        <v>477</v>
      </c>
      <c r="G618" s="454">
        <v>185</v>
      </c>
      <c r="H618" s="454">
        <v>660</v>
      </c>
      <c r="I618" s="454">
        <v>1335</v>
      </c>
      <c r="J618" s="454">
        <v>1278</v>
      </c>
      <c r="K618" s="454">
        <v>988</v>
      </c>
      <c r="L618" s="454">
        <v>1307</v>
      </c>
      <c r="M618" s="454">
        <v>1195</v>
      </c>
      <c r="N618" s="454">
        <v>1007</v>
      </c>
      <c r="O618" s="136">
        <v>1043</v>
      </c>
      <c r="Q618" s="174"/>
      <c r="R618" s="174"/>
      <c r="T618" s="140">
        <f>SUM(C618:S618)</f>
        <v>11135</v>
      </c>
      <c r="U618" s="138" t="s">
        <v>354</v>
      </c>
      <c r="V618" s="139"/>
      <c r="W618" s="140">
        <f>T618*99976.124488/1000000</f>
        <v>1113.2341461738802</v>
      </c>
      <c r="X618" s="138" t="s">
        <v>342</v>
      </c>
      <c r="Y618" s="495">
        <f>W617+W618</f>
        <v>2146.1854221738804</v>
      </c>
      <c r="Z618" s="153" t="s">
        <v>677</v>
      </c>
    </row>
    <row r="619" spans="1:26" s="125" customFormat="1" x14ac:dyDescent="0.25">
      <c r="A619" s="461"/>
      <c r="B619" s="135" t="s">
        <v>864</v>
      </c>
      <c r="C619" s="606"/>
      <c r="D619" s="454">
        <v>11</v>
      </c>
      <c r="E619" s="454">
        <v>13</v>
      </c>
      <c r="F619" s="454">
        <v>13</v>
      </c>
      <c r="G619" s="454">
        <v>15</v>
      </c>
      <c r="H619" s="454">
        <v>14</v>
      </c>
      <c r="I619" s="454">
        <v>12</v>
      </c>
      <c r="J619" s="454">
        <v>11</v>
      </c>
      <c r="K619" s="454">
        <v>15</v>
      </c>
      <c r="L619" s="454">
        <v>11</v>
      </c>
      <c r="M619" s="454">
        <v>14</v>
      </c>
      <c r="N619" s="454">
        <v>14</v>
      </c>
      <c r="O619" s="136">
        <v>12</v>
      </c>
      <c r="Q619" s="178"/>
      <c r="R619" s="178"/>
      <c r="T619" s="140">
        <f>SUM(C619:S619)</f>
        <v>155</v>
      </c>
      <c r="U619" s="138" t="s">
        <v>379</v>
      </c>
      <c r="V619" s="139"/>
      <c r="W619" s="137">
        <f>T619*748</f>
        <v>115940</v>
      </c>
      <c r="X619" s="138" t="s">
        <v>346</v>
      </c>
      <c r="Y619" s="157"/>
      <c r="Z619" s="157"/>
    </row>
    <row r="620" spans="1:26" s="125" customFormat="1" x14ac:dyDescent="0.25">
      <c r="A620" s="461"/>
      <c r="B620" s="135" t="s">
        <v>324</v>
      </c>
      <c r="C620" s="606"/>
      <c r="D620" s="455">
        <v>2763.55</v>
      </c>
      <c r="E620" s="455">
        <v>2559.5300000000002</v>
      </c>
      <c r="F620" s="455">
        <v>2113.44</v>
      </c>
      <c r="G620" s="455">
        <v>1508.53</v>
      </c>
      <c r="H620" s="455">
        <v>1130.82</v>
      </c>
      <c r="I620" s="455">
        <v>1165.46</v>
      </c>
      <c r="J620" s="455">
        <v>996.55</v>
      </c>
      <c r="K620" s="455">
        <v>1053.79</v>
      </c>
      <c r="L620" s="455">
        <v>1240.7</v>
      </c>
      <c r="M620" s="455">
        <v>1412.01</v>
      </c>
      <c r="N620" s="455">
        <v>1474.84</v>
      </c>
      <c r="O620" s="136">
        <v>1838.68</v>
      </c>
      <c r="Q620" s="176"/>
      <c r="R620" s="176"/>
      <c r="T620" s="143">
        <f>SUM(C620:S620)</f>
        <v>19257.900000000001</v>
      </c>
      <c r="U620" s="138"/>
      <c r="V620" s="139"/>
      <c r="W620" s="143">
        <f>T620</f>
        <v>19257.900000000001</v>
      </c>
      <c r="X620" s="138"/>
      <c r="Y620" s="157"/>
      <c r="Z620" s="157"/>
    </row>
    <row r="621" spans="1:26" s="125" customFormat="1" ht="16.5" x14ac:dyDescent="0.35">
      <c r="A621" s="461"/>
      <c r="B621" s="144" t="s">
        <v>374</v>
      </c>
      <c r="C621" s="607"/>
      <c r="D621" s="455">
        <v>573.86</v>
      </c>
      <c r="E621" s="455">
        <v>609.54999999999995</v>
      </c>
      <c r="F621" s="455">
        <v>349.41</v>
      </c>
      <c r="G621" s="455">
        <v>148.97999999999999</v>
      </c>
      <c r="H621" s="455">
        <v>520.28</v>
      </c>
      <c r="I621" s="455">
        <v>1110.19</v>
      </c>
      <c r="J621" s="455">
        <v>1092.1300000000001</v>
      </c>
      <c r="K621" s="455">
        <v>848.48</v>
      </c>
      <c r="L621" s="455">
        <v>1115.33</v>
      </c>
      <c r="M621" s="455">
        <v>980.96</v>
      </c>
      <c r="N621" s="455">
        <v>857.16</v>
      </c>
      <c r="O621" s="136">
        <v>871.3</v>
      </c>
      <c r="Q621" s="179"/>
      <c r="R621" s="179"/>
      <c r="T621" s="143">
        <f>SUM(C621:S621)</f>
        <v>9077.6299999999992</v>
      </c>
      <c r="U621" s="138"/>
      <c r="V621" s="139"/>
      <c r="W621" s="146">
        <f>T621</f>
        <v>9077.6299999999992</v>
      </c>
      <c r="X621" s="138"/>
      <c r="Y621" s="157"/>
      <c r="Z621" s="157"/>
    </row>
    <row r="622" spans="1:26" x14ac:dyDescent="0.25">
      <c r="P622" s="345"/>
      <c r="W622" s="143">
        <f>SUM(W620:W621)</f>
        <v>28335.53</v>
      </c>
      <c r="X622" s="138"/>
    </row>
    <row r="623" spans="1:26" x14ac:dyDescent="0.25">
      <c r="B623" s="666"/>
    </row>
    <row r="624" spans="1:26" x14ac:dyDescent="0.25">
      <c r="A624" s="462">
        <v>64</v>
      </c>
      <c r="B624" s="666" t="s">
        <v>1277</v>
      </c>
      <c r="T624" s="666" t="s">
        <v>1277</v>
      </c>
    </row>
    <row r="625" spans="1:26" s="125" customFormat="1" x14ac:dyDescent="0.25">
      <c r="A625" s="461"/>
      <c r="B625" s="130" t="s">
        <v>337</v>
      </c>
      <c r="C625" s="131">
        <v>42522</v>
      </c>
      <c r="D625" s="131">
        <v>42552</v>
      </c>
      <c r="E625" s="131">
        <v>42583</v>
      </c>
      <c r="F625" s="131">
        <v>42614</v>
      </c>
      <c r="G625" s="131">
        <v>42644</v>
      </c>
      <c r="H625" s="131">
        <v>42675</v>
      </c>
      <c r="I625" s="131">
        <v>42705</v>
      </c>
      <c r="J625" s="131">
        <v>42736</v>
      </c>
      <c r="K625" s="131">
        <v>42767</v>
      </c>
      <c r="L625" s="131">
        <v>42795</v>
      </c>
      <c r="M625" s="131">
        <v>42826</v>
      </c>
      <c r="N625" s="131">
        <v>42856</v>
      </c>
      <c r="O625" s="131">
        <v>42887</v>
      </c>
      <c r="P625" s="131">
        <v>42917</v>
      </c>
      <c r="Q625" s="131">
        <v>42948</v>
      </c>
      <c r="R625" s="131">
        <v>42992</v>
      </c>
      <c r="S625" s="132"/>
      <c r="T625" s="133" t="s">
        <v>338</v>
      </c>
      <c r="U625" s="134" t="s">
        <v>339</v>
      </c>
      <c r="V625" s="132"/>
      <c r="W625" s="133" t="s">
        <v>338</v>
      </c>
      <c r="X625" s="134" t="s">
        <v>339</v>
      </c>
      <c r="Y625" s="157"/>
      <c r="Z625" s="157"/>
    </row>
    <row r="626" spans="1:26" s="125" customFormat="1" x14ac:dyDescent="0.25">
      <c r="A626" s="461"/>
      <c r="B626" s="135" t="s">
        <v>340</v>
      </c>
      <c r="C626" s="606"/>
      <c r="D626" s="454">
        <v>51957</v>
      </c>
      <c r="E626" s="454">
        <v>55238</v>
      </c>
      <c r="F626" s="454">
        <v>53913</v>
      </c>
      <c r="G626" s="454">
        <v>37459</v>
      </c>
      <c r="H626" s="454">
        <v>29984</v>
      </c>
      <c r="I626" s="454">
        <v>28341</v>
      </c>
      <c r="J626" s="454">
        <v>33966</v>
      </c>
      <c r="K626" s="454">
        <v>28457</v>
      </c>
      <c r="L626" s="454">
        <v>31311</v>
      </c>
      <c r="M626" s="454">
        <v>37191</v>
      </c>
      <c r="N626" s="454">
        <v>37503</v>
      </c>
      <c r="O626" s="454">
        <v>45351</v>
      </c>
      <c r="P626" s="174"/>
      <c r="Q626" s="174"/>
      <c r="R626" s="174"/>
      <c r="T626" s="140">
        <f>SUM(C626:S626)</f>
        <v>470671</v>
      </c>
      <c r="U626" s="138" t="s">
        <v>341</v>
      </c>
      <c r="V626" s="139"/>
      <c r="W626" s="140">
        <f>T626*3413/1000000</f>
        <v>1606.4001229999999</v>
      </c>
      <c r="X626" s="138" t="s">
        <v>342</v>
      </c>
      <c r="Y626" s="157"/>
      <c r="Z626" s="157"/>
    </row>
    <row r="627" spans="1:26" s="125" customFormat="1" x14ac:dyDescent="0.25">
      <c r="A627" s="461"/>
      <c r="B627" s="135" t="s">
        <v>372</v>
      </c>
      <c r="C627" s="606"/>
      <c r="D627" s="454">
        <v>375</v>
      </c>
      <c r="E627" s="454">
        <v>298</v>
      </c>
      <c r="F627" s="454">
        <v>270</v>
      </c>
      <c r="G627" s="454">
        <v>410</v>
      </c>
      <c r="H627" s="454">
        <v>736</v>
      </c>
      <c r="I627" s="454">
        <v>1036</v>
      </c>
      <c r="J627" s="454">
        <v>1672</v>
      </c>
      <c r="K627" s="454">
        <v>1057</v>
      </c>
      <c r="L627" s="454">
        <v>938</v>
      </c>
      <c r="M627" s="454">
        <v>955</v>
      </c>
      <c r="N627" s="454">
        <v>563</v>
      </c>
      <c r="O627" s="454">
        <v>413</v>
      </c>
      <c r="P627" s="174"/>
      <c r="Q627" s="174"/>
      <c r="R627" s="174"/>
      <c r="T627" s="140">
        <f>SUM(C627:S627)</f>
        <v>8723</v>
      </c>
      <c r="U627" s="138" t="s">
        <v>354</v>
      </c>
      <c r="V627" s="139"/>
      <c r="W627" s="140">
        <f>T627*99976.124488/1000000</f>
        <v>872.09173390882393</v>
      </c>
      <c r="X627" s="138" t="s">
        <v>342</v>
      </c>
      <c r="Y627" s="495">
        <f>W626+W627</f>
        <v>2478.491856908824</v>
      </c>
      <c r="Z627" s="153" t="s">
        <v>677</v>
      </c>
    </row>
    <row r="628" spans="1:26" s="125" customFormat="1" x14ac:dyDescent="0.25">
      <c r="A628" s="461"/>
      <c r="B628" s="135" t="s">
        <v>345</v>
      </c>
      <c r="C628" s="606"/>
      <c r="D628" s="454">
        <v>9724.6759999999995</v>
      </c>
      <c r="E628" s="454">
        <v>9724.6759999999995</v>
      </c>
      <c r="F628" s="454">
        <v>6732.4679999999998</v>
      </c>
      <c r="G628" s="454">
        <v>8976.6239999999998</v>
      </c>
      <c r="H628" s="454">
        <v>5984.4160000000002</v>
      </c>
      <c r="I628" s="454">
        <v>6732.4679999999998</v>
      </c>
      <c r="J628" s="454">
        <v>6732.4679999999998</v>
      </c>
      <c r="K628" s="454">
        <v>7480.52</v>
      </c>
      <c r="L628" s="454">
        <v>8228.5720000000001</v>
      </c>
      <c r="M628" s="454">
        <v>8228.5720000000001</v>
      </c>
      <c r="N628" s="454">
        <v>6732.4679999999998</v>
      </c>
      <c r="O628" s="454">
        <v>6732.4679999999998</v>
      </c>
      <c r="P628" s="178"/>
      <c r="Q628" s="178"/>
      <c r="R628" s="178"/>
      <c r="T628" s="140">
        <f>SUM(C628:S628)</f>
        <v>92010.395999999993</v>
      </c>
      <c r="U628" s="138" t="s">
        <v>346</v>
      </c>
      <c r="V628" s="139"/>
      <c r="W628" s="137">
        <f>T628</f>
        <v>92010.395999999993</v>
      </c>
      <c r="X628" s="138" t="s">
        <v>346</v>
      </c>
      <c r="Y628" s="157"/>
      <c r="Z628" s="157"/>
    </row>
    <row r="629" spans="1:26" s="125" customFormat="1" x14ac:dyDescent="0.25">
      <c r="A629" s="461"/>
      <c r="B629" s="135" t="s">
        <v>324</v>
      </c>
      <c r="C629" s="606"/>
      <c r="D629" s="455">
        <v>4065.9718056999068</v>
      </c>
      <c r="E629" s="455">
        <v>4273.796653791771</v>
      </c>
      <c r="F629" s="455">
        <v>4045.1559261846951</v>
      </c>
      <c r="G629" s="455">
        <v>3002.8621662118703</v>
      </c>
      <c r="H629" s="455">
        <v>2519.4901161077387</v>
      </c>
      <c r="I629" s="455">
        <v>2026.1696087559735</v>
      </c>
      <c r="J629" s="455">
        <v>1875.5294642622086</v>
      </c>
      <c r="K629" s="455">
        <v>1625.9667368780247</v>
      </c>
      <c r="L629" s="455">
        <v>1821.2210102734771</v>
      </c>
      <c r="M629" s="455">
        <v>2111.0844949520065</v>
      </c>
      <c r="N629" s="455">
        <v>2162.2792799701233</v>
      </c>
      <c r="O629" s="455">
        <v>3292.7663411344024</v>
      </c>
      <c r="P629" s="176"/>
      <c r="Q629" s="176"/>
      <c r="R629" s="176"/>
      <c r="T629" s="143">
        <f>SUM(C629:S629)</f>
        <v>32822.293604222199</v>
      </c>
      <c r="U629" s="138"/>
      <c r="V629" s="139"/>
      <c r="W629" s="143">
        <f>T629</f>
        <v>32822.293604222199</v>
      </c>
      <c r="X629" s="138"/>
      <c r="Y629" s="157"/>
      <c r="Z629" s="157"/>
    </row>
    <row r="630" spans="1:26" s="125" customFormat="1" ht="16.5" x14ac:dyDescent="0.35">
      <c r="A630" s="461"/>
      <c r="B630" s="144" t="s">
        <v>374</v>
      </c>
      <c r="C630" s="607"/>
      <c r="D630" s="455">
        <v>298.95999999999998</v>
      </c>
      <c r="E630" s="455">
        <v>242.4</v>
      </c>
      <c r="F630" s="455">
        <v>221.84</v>
      </c>
      <c r="G630" s="455">
        <v>326.88</v>
      </c>
      <c r="H630" s="455">
        <v>479.59</v>
      </c>
      <c r="I630" s="455">
        <v>930.21</v>
      </c>
      <c r="J630" s="455">
        <v>1530.93</v>
      </c>
      <c r="K630" s="455">
        <v>969.63</v>
      </c>
      <c r="L630" s="455">
        <v>863.13</v>
      </c>
      <c r="M630" s="455">
        <v>843.33</v>
      </c>
      <c r="N630" s="455">
        <v>511.18</v>
      </c>
      <c r="O630" s="455">
        <v>383.24</v>
      </c>
      <c r="P630" s="179"/>
      <c r="Q630" s="179"/>
      <c r="R630" s="179"/>
      <c r="T630" s="143">
        <f>SUM(C630:S630)</f>
        <v>7601.3200000000006</v>
      </c>
      <c r="U630" s="138"/>
      <c r="V630" s="139"/>
      <c r="W630" s="146">
        <f>T630</f>
        <v>7601.3200000000006</v>
      </c>
      <c r="X630" s="138"/>
      <c r="Y630" s="157"/>
      <c r="Z630" s="157"/>
    </row>
    <row r="631" spans="1:26" x14ac:dyDescent="0.25">
      <c r="W631" s="143">
        <f>SUM(W629:W630)</f>
        <v>40423.613604222199</v>
      </c>
      <c r="X631" s="138"/>
    </row>
    <row r="632" spans="1:26" x14ac:dyDescent="0.25">
      <c r="B632" s="666"/>
    </row>
    <row r="633" spans="1:26" x14ac:dyDescent="0.25">
      <c r="B633" s="666"/>
    </row>
    <row r="634" spans="1:26" x14ac:dyDescent="0.25">
      <c r="A634" s="462">
        <v>65</v>
      </c>
      <c r="B634" s="666" t="s">
        <v>1279</v>
      </c>
      <c r="T634" s="666" t="s">
        <v>1279</v>
      </c>
    </row>
    <row r="635" spans="1:26" s="125" customFormat="1" x14ac:dyDescent="0.25">
      <c r="A635" s="461"/>
      <c r="B635" s="130" t="s">
        <v>337</v>
      </c>
      <c r="C635" s="131">
        <v>42522</v>
      </c>
      <c r="D635" s="131">
        <v>42552</v>
      </c>
      <c r="E635" s="131">
        <v>42583</v>
      </c>
      <c r="F635" s="131">
        <v>42614</v>
      </c>
      <c r="G635" s="131">
        <v>42644</v>
      </c>
      <c r="H635" s="131">
        <v>42675</v>
      </c>
      <c r="I635" s="131">
        <v>42705</v>
      </c>
      <c r="J635" s="131">
        <v>42736</v>
      </c>
      <c r="K635" s="131">
        <v>42767</v>
      </c>
      <c r="L635" s="131">
        <v>42795</v>
      </c>
      <c r="M635" s="131">
        <v>42826</v>
      </c>
      <c r="N635" s="131">
        <v>42856</v>
      </c>
      <c r="O635" s="131">
        <v>42887</v>
      </c>
      <c r="P635" s="131">
        <v>42917</v>
      </c>
      <c r="Q635" s="131">
        <v>42948</v>
      </c>
      <c r="R635" s="131">
        <v>42992</v>
      </c>
      <c r="S635" s="132"/>
      <c r="T635" s="133" t="s">
        <v>338</v>
      </c>
      <c r="U635" s="134" t="s">
        <v>339</v>
      </c>
      <c r="V635" s="132"/>
      <c r="W635" s="133" t="s">
        <v>338</v>
      </c>
      <c r="X635" s="134" t="s">
        <v>339</v>
      </c>
      <c r="Y635" s="157"/>
      <c r="Z635" s="157"/>
    </row>
    <row r="636" spans="1:26" s="125" customFormat="1" x14ac:dyDescent="0.25">
      <c r="A636" s="461"/>
      <c r="B636" s="135" t="s">
        <v>340</v>
      </c>
      <c r="C636" s="606"/>
      <c r="D636" s="454"/>
      <c r="E636" s="454"/>
      <c r="F636" s="454"/>
      <c r="G636" s="454"/>
      <c r="H636" s="454"/>
      <c r="I636" s="454"/>
      <c r="J636" s="454"/>
      <c r="K636" s="454"/>
      <c r="L636" s="454"/>
      <c r="M636" s="454"/>
      <c r="N636" s="454"/>
      <c r="O636" s="454"/>
      <c r="P636" s="174"/>
      <c r="Q636" s="174"/>
      <c r="R636" s="174"/>
      <c r="T636" s="140">
        <f t="shared" ref="T636:T644" si="30">SUM(C636:S636)</f>
        <v>0</v>
      </c>
      <c r="U636" s="138" t="s">
        <v>341</v>
      </c>
      <c r="V636" s="139"/>
      <c r="W636" s="140">
        <f>T636*3413/1000000</f>
        <v>0</v>
      </c>
      <c r="X636" s="138" t="s">
        <v>342</v>
      </c>
      <c r="Y636" s="157"/>
      <c r="Z636" s="157"/>
    </row>
    <row r="637" spans="1:26" s="125" customFormat="1" x14ac:dyDescent="0.25">
      <c r="A637" s="461"/>
      <c r="B637" s="135" t="s">
        <v>372</v>
      </c>
      <c r="C637" s="606"/>
      <c r="D637" s="454"/>
      <c r="E637" s="454"/>
      <c r="F637" s="454"/>
      <c r="G637" s="454"/>
      <c r="H637" s="454"/>
      <c r="I637" s="454"/>
      <c r="J637" s="454"/>
      <c r="K637" s="454"/>
      <c r="L637" s="454"/>
      <c r="M637" s="454"/>
      <c r="N637" s="454"/>
      <c r="O637" s="454"/>
      <c r="P637" s="174"/>
      <c r="Q637" s="174"/>
      <c r="R637" s="174"/>
      <c r="T637" s="140">
        <f t="shared" si="30"/>
        <v>0</v>
      </c>
      <c r="U637" s="138" t="s">
        <v>354</v>
      </c>
      <c r="V637" s="139"/>
      <c r="W637" s="140">
        <f>T637*99976.124488/1000000</f>
        <v>0</v>
      </c>
      <c r="X637" s="138" t="s">
        <v>342</v>
      </c>
      <c r="Y637" s="765"/>
      <c r="Z637" s="554"/>
    </row>
    <row r="638" spans="1:26" s="125" customFormat="1" x14ac:dyDescent="0.25">
      <c r="A638" s="461"/>
      <c r="B638" s="135" t="s">
        <v>1056</v>
      </c>
      <c r="C638" s="606"/>
      <c r="D638" s="454"/>
      <c r="E638" s="454"/>
      <c r="F638" s="454"/>
      <c r="G638" s="454"/>
      <c r="H638" s="454"/>
      <c r="I638" s="454"/>
      <c r="J638" s="454"/>
      <c r="K638" s="454"/>
      <c r="L638" s="454"/>
      <c r="M638" s="454"/>
      <c r="N638" s="454"/>
      <c r="O638" s="454"/>
      <c r="P638" s="174"/>
      <c r="Q638" s="174"/>
      <c r="R638" s="174"/>
      <c r="T638" s="140">
        <f t="shared" si="30"/>
        <v>0</v>
      </c>
      <c r="U638" s="138" t="s">
        <v>342</v>
      </c>
      <c r="V638" s="139"/>
      <c r="W638" s="140">
        <f>T638</f>
        <v>0</v>
      </c>
      <c r="X638" s="138" t="s">
        <v>342</v>
      </c>
      <c r="Y638" s="765"/>
      <c r="Z638" s="554"/>
    </row>
    <row r="639" spans="1:26" s="125" customFormat="1" x14ac:dyDescent="0.25">
      <c r="A639" s="461"/>
      <c r="B639" s="135" t="s">
        <v>1057</v>
      </c>
      <c r="C639" s="606"/>
      <c r="D639" s="454"/>
      <c r="E639" s="454"/>
      <c r="F639" s="454"/>
      <c r="G639" s="454"/>
      <c r="H639" s="454"/>
      <c r="I639" s="454"/>
      <c r="J639" s="454"/>
      <c r="K639" s="454"/>
      <c r="L639" s="454"/>
      <c r="M639" s="454"/>
      <c r="N639" s="454"/>
      <c r="O639" s="454"/>
      <c r="P639" s="174"/>
      <c r="Q639" s="174"/>
      <c r="R639" s="174"/>
      <c r="T639" s="140">
        <f t="shared" si="30"/>
        <v>0</v>
      </c>
      <c r="U639" s="138" t="s">
        <v>342</v>
      </c>
      <c r="V639" s="139"/>
      <c r="W639" s="140">
        <f>T639</f>
        <v>0</v>
      </c>
      <c r="X639" s="138" t="s">
        <v>342</v>
      </c>
      <c r="Y639" s="495">
        <f>W636+W637+W638+W639</f>
        <v>0</v>
      </c>
      <c r="Z639" s="153" t="s">
        <v>677</v>
      </c>
    </row>
    <row r="640" spans="1:26" s="125" customFormat="1" x14ac:dyDescent="0.25">
      <c r="A640" s="461"/>
      <c r="B640" s="135" t="s">
        <v>366</v>
      </c>
      <c r="C640" s="606"/>
      <c r="D640" s="454"/>
      <c r="E640" s="454"/>
      <c r="F640" s="454"/>
      <c r="G640" s="454"/>
      <c r="H640" s="454"/>
      <c r="I640" s="454"/>
      <c r="J640" s="454"/>
      <c r="K640" s="454"/>
      <c r="L640" s="454"/>
      <c r="M640" s="454"/>
      <c r="N640" s="454"/>
      <c r="O640" s="454"/>
      <c r="P640" s="178"/>
      <c r="Q640" s="178"/>
      <c r="R640" s="178"/>
      <c r="T640" s="140">
        <f t="shared" si="30"/>
        <v>0</v>
      </c>
      <c r="U640" s="138" t="s">
        <v>367</v>
      </c>
      <c r="V640" s="139"/>
      <c r="W640" s="137">
        <f>T640*7.48</f>
        <v>0</v>
      </c>
      <c r="X640" s="138" t="s">
        <v>346</v>
      </c>
      <c r="Y640" s="157"/>
      <c r="Z640" s="157"/>
    </row>
    <row r="641" spans="1:26" s="125" customFormat="1" x14ac:dyDescent="0.25">
      <c r="A641" s="461"/>
      <c r="B641" s="135" t="s">
        <v>324</v>
      </c>
      <c r="C641" s="606"/>
      <c r="D641" s="455"/>
      <c r="E641" s="455"/>
      <c r="F641" s="455"/>
      <c r="G641" s="455"/>
      <c r="H641" s="455"/>
      <c r="I641" s="455"/>
      <c r="J641" s="455"/>
      <c r="K641" s="455"/>
      <c r="L641" s="455"/>
      <c r="M641" s="455"/>
      <c r="N641" s="455"/>
      <c r="O641" s="455"/>
      <c r="P641" s="176"/>
      <c r="Q641" s="176"/>
      <c r="R641" s="176"/>
      <c r="T641" s="143">
        <f t="shared" si="30"/>
        <v>0</v>
      </c>
      <c r="U641" s="138"/>
      <c r="V641" s="139"/>
      <c r="W641" s="143">
        <f>T641</f>
        <v>0</v>
      </c>
      <c r="X641" s="138"/>
      <c r="Y641" s="157"/>
      <c r="Z641" s="157"/>
    </row>
    <row r="642" spans="1:26" s="125" customFormat="1" x14ac:dyDescent="0.25">
      <c r="A642" s="461"/>
      <c r="B642" s="144" t="s">
        <v>374</v>
      </c>
      <c r="C642" s="607"/>
      <c r="D642" s="455"/>
      <c r="E642" s="455"/>
      <c r="F642" s="455"/>
      <c r="G642" s="455"/>
      <c r="H642" s="455"/>
      <c r="I642" s="455"/>
      <c r="J642" s="455"/>
      <c r="K642" s="455"/>
      <c r="L642" s="455"/>
      <c r="M642" s="455"/>
      <c r="N642" s="455"/>
      <c r="O642" s="455"/>
      <c r="P642" s="179"/>
      <c r="Q642" s="179"/>
      <c r="R642" s="179"/>
      <c r="T642" s="143">
        <f t="shared" si="30"/>
        <v>0</v>
      </c>
      <c r="U642" s="138"/>
      <c r="V642" s="139"/>
      <c r="W642" s="143">
        <f>T642</f>
        <v>0</v>
      </c>
      <c r="X642" s="138"/>
      <c r="Y642" s="157"/>
      <c r="Z642" s="157"/>
    </row>
    <row r="643" spans="1:26" s="125" customFormat="1" x14ac:dyDescent="0.25">
      <c r="A643" s="461"/>
      <c r="B643" s="204" t="s">
        <v>398</v>
      </c>
      <c r="C643" s="607"/>
      <c r="D643" s="455"/>
      <c r="E643" s="455"/>
      <c r="F643" s="455"/>
      <c r="G643" s="455"/>
      <c r="H643" s="455"/>
      <c r="I643" s="455"/>
      <c r="J643" s="455"/>
      <c r="K643" s="455"/>
      <c r="L643" s="455"/>
      <c r="M643" s="455"/>
      <c r="N643" s="455"/>
      <c r="O643" s="455"/>
      <c r="P643" s="179"/>
      <c r="Q643" s="179"/>
      <c r="R643" s="179"/>
      <c r="T643" s="143">
        <f t="shared" si="30"/>
        <v>0</v>
      </c>
      <c r="U643" s="138"/>
      <c r="V643" s="139"/>
      <c r="W643" s="143">
        <f>T643</f>
        <v>0</v>
      </c>
      <c r="X643" s="138"/>
      <c r="Y643" s="157"/>
      <c r="Z643" s="157"/>
    </row>
    <row r="644" spans="1:26" s="125" customFormat="1" x14ac:dyDescent="0.25">
      <c r="A644" s="461"/>
      <c r="B644" s="204" t="s">
        <v>1058</v>
      </c>
      <c r="C644" s="607"/>
      <c r="D644" s="455"/>
      <c r="E644" s="455"/>
      <c r="F644" s="455"/>
      <c r="G644" s="455"/>
      <c r="H644" s="455"/>
      <c r="I644" s="455"/>
      <c r="J644" s="455"/>
      <c r="K644" s="455"/>
      <c r="L644" s="455"/>
      <c r="M644" s="455"/>
      <c r="N644" s="455"/>
      <c r="O644" s="455"/>
      <c r="P644" s="179"/>
      <c r="Q644" s="179"/>
      <c r="R644" s="179"/>
      <c r="T644" s="143">
        <f t="shared" si="30"/>
        <v>0</v>
      </c>
      <c r="U644" s="138"/>
      <c r="V644" s="139"/>
      <c r="W644" s="143">
        <f>T644</f>
        <v>0</v>
      </c>
      <c r="X644" s="138"/>
      <c r="Y644" s="157"/>
      <c r="Z644" s="157"/>
    </row>
    <row r="645" spans="1:26" x14ac:dyDescent="0.25">
      <c r="W645" s="143">
        <f>SUM(W641:W644)</f>
        <v>0</v>
      </c>
      <c r="X645" s="138"/>
    </row>
    <row r="646" spans="1:26" x14ac:dyDescent="0.25">
      <c r="B646" s="666"/>
    </row>
    <row r="647" spans="1:26" x14ac:dyDescent="0.25">
      <c r="A647" s="462">
        <v>66</v>
      </c>
      <c r="B647" s="666" t="s">
        <v>1542</v>
      </c>
      <c r="T647" s="666" t="s">
        <v>1280</v>
      </c>
    </row>
    <row r="648" spans="1:26" s="125" customFormat="1" x14ac:dyDescent="0.25">
      <c r="A648" s="461"/>
      <c r="B648" s="130" t="s">
        <v>337</v>
      </c>
      <c r="C648" s="131">
        <v>42522</v>
      </c>
      <c r="D648" s="131">
        <v>42552</v>
      </c>
      <c r="E648" s="131">
        <v>42583</v>
      </c>
      <c r="F648" s="131">
        <v>42614</v>
      </c>
      <c r="G648" s="131">
        <v>42644</v>
      </c>
      <c r="H648" s="131">
        <v>42675</v>
      </c>
      <c r="I648" s="131">
        <v>42705</v>
      </c>
      <c r="J648" s="131">
        <v>42736</v>
      </c>
      <c r="K648" s="131">
        <v>42767</v>
      </c>
      <c r="L648" s="131">
        <v>42795</v>
      </c>
      <c r="M648" s="131">
        <v>42826</v>
      </c>
      <c r="N648" s="131">
        <v>42856</v>
      </c>
      <c r="O648" s="131">
        <v>42887</v>
      </c>
      <c r="P648" s="131">
        <v>42917</v>
      </c>
      <c r="Q648" s="131">
        <v>42948</v>
      </c>
      <c r="R648" s="131">
        <v>42992</v>
      </c>
      <c r="S648" s="132"/>
      <c r="T648" s="133" t="s">
        <v>338</v>
      </c>
      <c r="U648" s="134" t="s">
        <v>339</v>
      </c>
      <c r="V648" s="132"/>
      <c r="W648" s="133" t="s">
        <v>338</v>
      </c>
      <c r="X648" s="134" t="s">
        <v>339</v>
      </c>
      <c r="Y648" s="157"/>
      <c r="Z648" s="157"/>
    </row>
    <row r="649" spans="1:26" s="125" customFormat="1" x14ac:dyDescent="0.25">
      <c r="A649" s="461"/>
      <c r="B649" s="135" t="s">
        <v>340</v>
      </c>
      <c r="C649" s="606"/>
      <c r="D649" s="454">
        <v>216777</v>
      </c>
      <c r="E649" s="454">
        <v>319608</v>
      </c>
      <c r="F649" s="454">
        <v>258955</v>
      </c>
      <c r="G649" s="454">
        <v>251121</v>
      </c>
      <c r="H649" s="454">
        <v>280913</v>
      </c>
      <c r="I649" s="454">
        <v>242911</v>
      </c>
      <c r="J649" s="454">
        <v>234010</v>
      </c>
      <c r="K649" s="454">
        <v>224198</v>
      </c>
      <c r="L649" s="454">
        <v>268037</v>
      </c>
      <c r="M649" s="454">
        <v>250006</v>
      </c>
      <c r="N649" s="454">
        <v>231619</v>
      </c>
      <c r="O649" s="454">
        <v>239556</v>
      </c>
      <c r="P649" s="174"/>
      <c r="Q649" s="174"/>
      <c r="R649" s="174"/>
      <c r="T649" s="140">
        <f t="shared" ref="T649:T657" si="31">SUM(C649:S649)</f>
        <v>3017711</v>
      </c>
      <c r="U649" s="138" t="s">
        <v>341</v>
      </c>
      <c r="V649" s="139"/>
      <c r="W649" s="140">
        <f>T649*3413/1000000</f>
        <v>10299.447643</v>
      </c>
      <c r="X649" s="138" t="s">
        <v>342</v>
      </c>
      <c r="Y649" s="157"/>
      <c r="Z649" s="157"/>
    </row>
    <row r="650" spans="1:26" s="125" customFormat="1" x14ac:dyDescent="0.25">
      <c r="A650" s="461"/>
      <c r="B650" s="135" t="s">
        <v>372</v>
      </c>
      <c r="C650" s="606"/>
      <c r="D650" s="454">
        <v>2029</v>
      </c>
      <c r="E650" s="454">
        <v>1603</v>
      </c>
      <c r="F650" s="454">
        <v>4667</v>
      </c>
      <c r="G650" s="454">
        <v>5030</v>
      </c>
      <c r="H650" s="454">
        <v>4692</v>
      </c>
      <c r="I650" s="454">
        <v>3907</v>
      </c>
      <c r="J650" s="454">
        <v>1124</v>
      </c>
      <c r="K650" s="454">
        <v>4649</v>
      </c>
      <c r="L650" s="454">
        <v>3727</v>
      </c>
      <c r="M650" s="454">
        <v>4693</v>
      </c>
      <c r="N650" s="454">
        <v>3835</v>
      </c>
      <c r="O650" s="454">
        <v>1088</v>
      </c>
      <c r="P650" s="174"/>
      <c r="Q650" s="174"/>
      <c r="R650" s="174"/>
      <c r="T650" s="140">
        <f t="shared" si="31"/>
        <v>41044</v>
      </c>
      <c r="U650" s="138" t="s">
        <v>354</v>
      </c>
      <c r="V650" s="139"/>
      <c r="W650" s="140">
        <f>T650*99976.124488/1000000</f>
        <v>4103.4200534854726</v>
      </c>
      <c r="X650" s="138" t="s">
        <v>342</v>
      </c>
      <c r="Y650" s="765"/>
      <c r="Z650" s="554"/>
    </row>
    <row r="651" spans="1:26" s="125" customFormat="1" x14ac:dyDescent="0.25">
      <c r="A651" s="461"/>
      <c r="B651" s="135" t="s">
        <v>1389</v>
      </c>
      <c r="C651" s="606"/>
      <c r="D651" s="1708">
        <v>344459.46979166631</v>
      </c>
      <c r="E651" s="1708">
        <v>354704.81354166614</v>
      </c>
      <c r="F651" s="454">
        <v>276951.17708333459</v>
      </c>
      <c r="G651" s="454">
        <v>186594.84270833095</v>
      </c>
      <c r="H651" s="454">
        <v>155201.2427083345</v>
      </c>
      <c r="I651" s="454">
        <v>103429.10000000052</v>
      </c>
      <c r="J651" s="454">
        <v>119861.71250000071</v>
      </c>
      <c r="K651" s="1708">
        <v>134074.78125000047</v>
      </c>
      <c r="L651" s="1708">
        <v>157555.99166666684</v>
      </c>
      <c r="M651" s="1708">
        <v>191209.33854166584</v>
      </c>
      <c r="N651" s="1708">
        <v>182287.68645833302</v>
      </c>
      <c r="O651" s="1708">
        <v>216474.71770833503</v>
      </c>
      <c r="P651" s="174"/>
      <c r="Q651" s="174"/>
      <c r="R651" s="174"/>
      <c r="T651" s="140">
        <f t="shared" si="31"/>
        <v>2422804.8739583353</v>
      </c>
      <c r="U651" s="138" t="s">
        <v>397</v>
      </c>
      <c r="V651" s="139"/>
      <c r="W651" s="140">
        <f>T651*0.012</f>
        <v>29073.658487500023</v>
      </c>
      <c r="X651" s="138" t="s">
        <v>342</v>
      </c>
      <c r="Y651" s="765"/>
      <c r="Z651" s="554"/>
    </row>
    <row r="652" spans="1:26" s="125" customFormat="1" x14ac:dyDescent="0.25">
      <c r="A652" s="461"/>
      <c r="B652" s="135" t="s">
        <v>320</v>
      </c>
      <c r="C652" s="606"/>
      <c r="D652" s="1708">
        <v>1026165</v>
      </c>
      <c r="E652" s="1708">
        <v>1005300.5</v>
      </c>
      <c r="F652" s="1708">
        <v>1136883.25</v>
      </c>
      <c r="G652" s="1708">
        <v>1189969.25</v>
      </c>
      <c r="H652" s="1708">
        <v>1473502</v>
      </c>
      <c r="I652" s="1708">
        <v>1629467.5</v>
      </c>
      <c r="J652" s="1708">
        <v>1795423</v>
      </c>
      <c r="K652" s="1708">
        <v>1486412.5</v>
      </c>
      <c r="L652" s="1708">
        <v>1819200.75</v>
      </c>
      <c r="M652" s="1708">
        <v>1267029.75</v>
      </c>
      <c r="N652" s="1708">
        <v>853718</v>
      </c>
      <c r="O652" s="1708">
        <v>821074.5</v>
      </c>
      <c r="P652" s="174"/>
      <c r="Q652" s="174"/>
      <c r="R652" s="174"/>
      <c r="T652" s="140">
        <f t="shared" si="31"/>
        <v>15504146</v>
      </c>
      <c r="U652" s="138" t="s">
        <v>344</v>
      </c>
      <c r="V652" s="139"/>
      <c r="W652" s="140">
        <f>T652/961</f>
        <v>16133.346514047867</v>
      </c>
      <c r="X652" s="138" t="s">
        <v>342</v>
      </c>
      <c r="Y652" s="495">
        <f>W649+W650+W651+W652</f>
        <v>59609.872698033359</v>
      </c>
      <c r="Z652" s="153" t="s">
        <v>677</v>
      </c>
    </row>
    <row r="653" spans="1:26" s="125" customFormat="1" x14ac:dyDescent="0.25">
      <c r="A653" s="461"/>
      <c r="B653" s="135" t="s">
        <v>345</v>
      </c>
      <c r="C653" s="606"/>
      <c r="D653" s="454">
        <v>280238.19999999902</v>
      </c>
      <c r="E653" s="454">
        <v>425357.67999999848</v>
      </c>
      <c r="F653" s="454">
        <v>514339.75999999815</v>
      </c>
      <c r="G653" s="454">
        <v>472870.63999999833</v>
      </c>
      <c r="H653" s="454">
        <v>504264.19999999821</v>
      </c>
      <c r="I653" s="454">
        <v>270439.39999999903</v>
      </c>
      <c r="J653" s="454">
        <v>382564.59999999864</v>
      </c>
      <c r="K653" s="454">
        <v>439988.55999999843</v>
      </c>
      <c r="L653" s="454">
        <v>467118.51999999833</v>
      </c>
      <c r="M653" s="454">
        <v>486080.31999999826</v>
      </c>
      <c r="N653" s="454">
        <v>247722.63999999911</v>
      </c>
      <c r="O653" s="454">
        <v>261014.59999999907</v>
      </c>
      <c r="P653" s="178"/>
      <c r="Q653" s="178"/>
      <c r="R653" s="178"/>
      <c r="T653" s="140">
        <f t="shared" si="31"/>
        <v>4751999.1199999815</v>
      </c>
      <c r="U653" s="138" t="s">
        <v>346</v>
      </c>
      <c r="V653" s="139"/>
      <c r="W653" s="137">
        <f t="shared" ref="W653:W657" si="32">T653</f>
        <v>4751999.1199999815</v>
      </c>
      <c r="X653" s="138" t="s">
        <v>346</v>
      </c>
      <c r="Y653" s="157"/>
      <c r="Z653" s="157"/>
    </row>
    <row r="654" spans="1:26" s="125" customFormat="1" x14ac:dyDescent="0.25">
      <c r="A654" s="461"/>
      <c r="B654" s="135" t="s">
        <v>324</v>
      </c>
      <c r="C654" s="606"/>
      <c r="D654" s="455">
        <v>15108.859513175335</v>
      </c>
      <c r="E654" s="455">
        <v>21905.732846597461</v>
      </c>
      <c r="F654" s="455">
        <v>17231.816240864056</v>
      </c>
      <c r="G654" s="455">
        <v>14020.380695351867</v>
      </c>
      <c r="H654" s="455">
        <v>15410.537779018387</v>
      </c>
      <c r="I654" s="455">
        <v>13868.145173896963</v>
      </c>
      <c r="J654" s="455">
        <v>13440.602064643799</v>
      </c>
      <c r="K654" s="455">
        <v>12233.247639207715</v>
      </c>
      <c r="L654" s="455">
        <v>15416.078901454001</v>
      </c>
      <c r="M654" s="455">
        <v>13543.720171098195</v>
      </c>
      <c r="N654" s="455">
        <v>12835.339504912079</v>
      </c>
      <c r="O654" s="455">
        <v>14844.146623318386</v>
      </c>
      <c r="P654" s="176"/>
      <c r="Q654" s="176"/>
      <c r="R654" s="176"/>
      <c r="T654" s="143">
        <f t="shared" si="31"/>
        <v>179858.60715353824</v>
      </c>
      <c r="U654" s="138"/>
      <c r="V654" s="139"/>
      <c r="W654" s="143">
        <f t="shared" si="32"/>
        <v>179858.60715353824</v>
      </c>
      <c r="X654" s="138"/>
      <c r="Y654" s="157"/>
      <c r="Z654" s="157"/>
    </row>
    <row r="655" spans="1:26" s="125" customFormat="1" x14ac:dyDescent="0.25">
      <c r="A655" s="461"/>
      <c r="B655" s="144" t="s">
        <v>374</v>
      </c>
      <c r="C655" s="607"/>
      <c r="D655" s="455">
        <v>1513.72</v>
      </c>
      <c r="E655" s="455">
        <v>1200.8399999999999</v>
      </c>
      <c r="F655" s="455">
        <v>3451.16</v>
      </c>
      <c r="G655" s="455">
        <v>3752.27</v>
      </c>
      <c r="H655" s="455">
        <v>3290.46</v>
      </c>
      <c r="I655" s="455">
        <v>3464.04</v>
      </c>
      <c r="J655" s="455">
        <v>1065.24</v>
      </c>
      <c r="K655" s="455">
        <v>4184.75</v>
      </c>
      <c r="L655" s="455">
        <v>3359.49</v>
      </c>
      <c r="M655" s="455">
        <v>4053.19</v>
      </c>
      <c r="N655" s="455">
        <v>3345.24</v>
      </c>
      <c r="O655" s="455">
        <v>971.5</v>
      </c>
      <c r="P655" s="179"/>
      <c r="Q655" s="179"/>
      <c r="R655" s="179"/>
      <c r="T655" s="143">
        <f t="shared" si="31"/>
        <v>33651.9</v>
      </c>
      <c r="U655" s="138"/>
      <c r="V655" s="139"/>
      <c r="W655" s="143">
        <f t="shared" si="32"/>
        <v>33651.9</v>
      </c>
      <c r="X655" s="138"/>
      <c r="Y655" s="157"/>
      <c r="Z655" s="157"/>
    </row>
    <row r="656" spans="1:26" s="125" customFormat="1" x14ac:dyDescent="0.25">
      <c r="A656" s="461"/>
      <c r="B656" s="204" t="s">
        <v>398</v>
      </c>
      <c r="C656" s="607" t="s">
        <v>352</v>
      </c>
      <c r="D656" s="455"/>
      <c r="E656" s="455"/>
      <c r="F656" s="455"/>
      <c r="G656" s="455"/>
      <c r="H656" s="455"/>
      <c r="I656" s="455"/>
      <c r="J656" s="455"/>
      <c r="K656" s="455"/>
      <c r="L656" s="455"/>
      <c r="M656" s="455"/>
      <c r="N656" s="455"/>
      <c r="O656" s="455"/>
      <c r="P656" s="179"/>
      <c r="Q656" s="179"/>
      <c r="R656" s="179"/>
      <c r="T656" s="143">
        <f t="shared" si="31"/>
        <v>0</v>
      </c>
      <c r="U656" s="138"/>
      <c r="V656" s="139"/>
      <c r="W656" s="143">
        <f t="shared" si="32"/>
        <v>0</v>
      </c>
      <c r="X656" s="138"/>
      <c r="Y656" s="157"/>
      <c r="Z656" s="157"/>
    </row>
    <row r="657" spans="1:26" s="125" customFormat="1" ht="16.5" x14ac:dyDescent="0.35">
      <c r="A657" s="461"/>
      <c r="B657" s="204" t="s">
        <v>1238</v>
      </c>
      <c r="C657" s="607" t="s">
        <v>352</v>
      </c>
      <c r="D657" s="455"/>
      <c r="E657" s="455"/>
      <c r="F657" s="455"/>
      <c r="G657" s="455"/>
      <c r="H657" s="455"/>
      <c r="I657" s="455"/>
      <c r="J657" s="455"/>
      <c r="K657" s="455"/>
      <c r="L657" s="455"/>
      <c r="M657" s="455"/>
      <c r="N657" s="455"/>
      <c r="O657" s="455"/>
      <c r="P657" s="179"/>
      <c r="Q657" s="179"/>
      <c r="R657" s="179"/>
      <c r="T657" s="143">
        <f t="shared" si="31"/>
        <v>0</v>
      </c>
      <c r="U657" s="138"/>
      <c r="V657" s="139"/>
      <c r="W657" s="146">
        <f t="shared" si="32"/>
        <v>0</v>
      </c>
      <c r="X657" s="138"/>
      <c r="Y657" s="157"/>
      <c r="Z657" s="157"/>
    </row>
    <row r="658" spans="1:26" x14ac:dyDescent="0.25">
      <c r="W658" s="143">
        <f>SUM(W654:W657)</f>
        <v>213510.50715353823</v>
      </c>
      <c r="X658" s="138"/>
    </row>
    <row r="659" spans="1:26" x14ac:dyDescent="0.25">
      <c r="B659" s="666"/>
    </row>
    <row r="660" spans="1:26" x14ac:dyDescent="0.25">
      <c r="A660" s="462">
        <v>67</v>
      </c>
      <c r="B660" s="666" t="s">
        <v>1281</v>
      </c>
      <c r="T660" s="666" t="s">
        <v>1281</v>
      </c>
    </row>
    <row r="661" spans="1:26" s="125" customFormat="1" x14ac:dyDescent="0.25">
      <c r="A661" s="461"/>
      <c r="B661" s="130" t="s">
        <v>337</v>
      </c>
      <c r="C661" s="131">
        <v>42522</v>
      </c>
      <c r="D661" s="131">
        <v>42552</v>
      </c>
      <c r="E661" s="131">
        <v>42583</v>
      </c>
      <c r="F661" s="131">
        <v>42614</v>
      </c>
      <c r="G661" s="131">
        <v>42644</v>
      </c>
      <c r="H661" s="131">
        <v>42675</v>
      </c>
      <c r="I661" s="131">
        <v>42705</v>
      </c>
      <c r="J661" s="131">
        <v>42736</v>
      </c>
      <c r="K661" s="131">
        <v>42767</v>
      </c>
      <c r="L661" s="131">
        <v>42795</v>
      </c>
      <c r="M661" s="131">
        <v>42826</v>
      </c>
      <c r="N661" s="131">
        <v>42856</v>
      </c>
      <c r="O661" s="131">
        <v>42887</v>
      </c>
      <c r="P661" s="131">
        <v>42917</v>
      </c>
      <c r="Q661" s="131">
        <v>42948</v>
      </c>
      <c r="R661" s="131">
        <v>42992</v>
      </c>
      <c r="S661" s="132"/>
      <c r="T661" s="133" t="s">
        <v>338</v>
      </c>
      <c r="U661" s="134" t="s">
        <v>339</v>
      </c>
      <c r="V661" s="132"/>
      <c r="W661" s="133" t="s">
        <v>338</v>
      </c>
      <c r="X661" s="134" t="s">
        <v>339</v>
      </c>
      <c r="Y661" s="157"/>
      <c r="Z661" s="157"/>
    </row>
    <row r="662" spans="1:26" s="125" customFormat="1" x14ac:dyDescent="0.25">
      <c r="A662" s="461"/>
      <c r="B662" s="135" t="s">
        <v>340</v>
      </c>
      <c r="C662" s="606"/>
      <c r="D662" s="136">
        <v>31878</v>
      </c>
      <c r="E662" s="136">
        <v>35999</v>
      </c>
      <c r="F662" s="136">
        <v>27423</v>
      </c>
      <c r="G662" s="136">
        <v>26620</v>
      </c>
      <c r="H662" s="136">
        <v>32395</v>
      </c>
      <c r="I662" s="136">
        <v>38651</v>
      </c>
      <c r="J662" s="136">
        <v>42743</v>
      </c>
      <c r="K662" s="136">
        <v>32682</v>
      </c>
      <c r="L662" s="136">
        <v>37539</v>
      </c>
      <c r="M662" s="136">
        <v>32116</v>
      </c>
      <c r="N662" s="136">
        <v>31687</v>
      </c>
      <c r="O662" s="136">
        <v>36849</v>
      </c>
      <c r="P662" s="174"/>
      <c r="Q662" s="174"/>
      <c r="R662" s="174"/>
      <c r="T662" s="140">
        <f>SUM(D662:O662)</f>
        <v>406582</v>
      </c>
      <c r="U662" s="138" t="s">
        <v>341</v>
      </c>
      <c r="V662" s="139"/>
      <c r="W662" s="140">
        <f>T662*3413/1000000</f>
        <v>1387.664366</v>
      </c>
      <c r="X662" s="138" t="s">
        <v>342</v>
      </c>
      <c r="Y662" s="495">
        <f>W662</f>
        <v>1387.664366</v>
      </c>
      <c r="Z662" s="153" t="s">
        <v>677</v>
      </c>
    </row>
    <row r="663" spans="1:26" s="125" customFormat="1" x14ac:dyDescent="0.25">
      <c r="A663" s="461"/>
      <c r="B663" s="135" t="s">
        <v>864</v>
      </c>
      <c r="C663" s="606"/>
      <c r="D663" s="141">
        <v>1.8</v>
      </c>
      <c r="E663" s="141">
        <v>0.4</v>
      </c>
      <c r="F663" s="141">
        <v>0.4</v>
      </c>
      <c r="G663" s="141">
        <v>0.85</v>
      </c>
      <c r="H663" s="141">
        <v>0.85</v>
      </c>
      <c r="I663" s="141">
        <v>0.6</v>
      </c>
      <c r="J663" s="141">
        <v>0.69</v>
      </c>
      <c r="K663" s="141">
        <v>0.8</v>
      </c>
      <c r="L663" s="141">
        <v>0.61</v>
      </c>
      <c r="M663" s="141">
        <v>0.66</v>
      </c>
      <c r="N663" s="141">
        <v>0.74</v>
      </c>
      <c r="O663" s="141">
        <v>0.63</v>
      </c>
      <c r="P663" s="178"/>
      <c r="Q663" s="178"/>
      <c r="R663" s="178"/>
      <c r="T663" s="140">
        <f>SUM(D663:O663)</f>
        <v>9.0300000000000011</v>
      </c>
      <c r="U663" s="138" t="s">
        <v>379</v>
      </c>
      <c r="V663" s="139"/>
      <c r="W663" s="137">
        <f>T663*748</f>
        <v>6754.4400000000005</v>
      </c>
      <c r="X663" s="138" t="s">
        <v>346</v>
      </c>
      <c r="Y663" s="157"/>
      <c r="Z663" s="157"/>
    </row>
    <row r="664" spans="1:26" s="125" customFormat="1" x14ac:dyDescent="0.25">
      <c r="A664" s="461"/>
      <c r="B664" s="135" t="s">
        <v>324</v>
      </c>
      <c r="C664" s="606"/>
      <c r="D664" s="142">
        <v>3962.44</v>
      </c>
      <c r="E664" s="142">
        <v>3230.87</v>
      </c>
      <c r="F664" s="142">
        <v>2583.83</v>
      </c>
      <c r="G664" s="142">
        <v>2531.1999999999998</v>
      </c>
      <c r="H664" s="142">
        <v>2887.65</v>
      </c>
      <c r="I664" s="142">
        <v>3370.79</v>
      </c>
      <c r="J664" s="142">
        <v>3563.42</v>
      </c>
      <c r="K664" s="142">
        <v>2916.97</v>
      </c>
      <c r="L664" s="142">
        <v>3218.49</v>
      </c>
      <c r="M664" s="142">
        <v>2881.84</v>
      </c>
      <c r="N664" s="142">
        <v>2855.21</v>
      </c>
      <c r="O664" s="142">
        <v>3175.65</v>
      </c>
      <c r="P664" s="176"/>
      <c r="Q664" s="176"/>
      <c r="R664" s="176"/>
      <c r="T664" s="156">
        <f>SUM(D664:O664)</f>
        <v>37178.36</v>
      </c>
      <c r="U664" s="138"/>
      <c r="V664" s="139"/>
      <c r="W664" s="143">
        <f>T664</f>
        <v>37178.36</v>
      </c>
      <c r="X664" s="138"/>
      <c r="Y664" s="157"/>
      <c r="Z664" s="157"/>
    </row>
    <row r="665" spans="1:26" s="125" customFormat="1" x14ac:dyDescent="0.25">
      <c r="A665" s="461"/>
      <c r="B665" s="205"/>
      <c r="C665" s="152"/>
      <c r="E665" s="201"/>
      <c r="F665" s="206"/>
      <c r="G665" s="202"/>
      <c r="H665" s="203"/>
      <c r="I665" s="203"/>
      <c r="J665" s="203"/>
      <c r="K665" s="203"/>
      <c r="L665" s="203"/>
      <c r="M665" s="203"/>
      <c r="N665" s="203"/>
      <c r="O665" s="203"/>
      <c r="P665" s="203"/>
      <c r="U665" s="126"/>
      <c r="W665" s="190">
        <f>SUM(W664:W664)</f>
        <v>37178.36</v>
      </c>
      <c r="X665" s="450"/>
      <c r="Y665" s="157"/>
      <c r="Z665" s="157"/>
    </row>
    <row r="666" spans="1:26" s="125" customFormat="1" x14ac:dyDescent="0.25">
      <c r="A666" s="461"/>
      <c r="B666" s="205"/>
      <c r="C666" s="152"/>
      <c r="E666" s="201"/>
      <c r="F666" s="206"/>
      <c r="G666" s="202"/>
      <c r="H666" s="203"/>
      <c r="I666" s="203"/>
      <c r="J666" s="203"/>
      <c r="K666" s="203"/>
      <c r="L666" s="203"/>
      <c r="M666" s="203"/>
      <c r="N666" s="203"/>
      <c r="O666" s="203"/>
      <c r="P666" s="203"/>
      <c r="U666" s="126"/>
      <c r="W666" s="447"/>
      <c r="X666" s="458"/>
      <c r="Y666" s="157"/>
      <c r="Z666" s="157"/>
    </row>
    <row r="667" spans="1:26" x14ac:dyDescent="0.25">
      <c r="A667" s="462">
        <v>68</v>
      </c>
      <c r="B667" s="666" t="s">
        <v>1282</v>
      </c>
      <c r="T667" s="666" t="s">
        <v>1282</v>
      </c>
    </row>
    <row r="668" spans="1:26" s="125" customFormat="1" x14ac:dyDescent="0.25">
      <c r="A668" s="461"/>
      <c r="B668" s="130" t="s">
        <v>337</v>
      </c>
      <c r="C668" s="131">
        <v>42522</v>
      </c>
      <c r="D668" s="131">
        <v>42552</v>
      </c>
      <c r="E668" s="131">
        <v>42583</v>
      </c>
      <c r="F668" s="131">
        <v>42614</v>
      </c>
      <c r="G668" s="131">
        <v>42644</v>
      </c>
      <c r="H668" s="131">
        <v>42675</v>
      </c>
      <c r="I668" s="131">
        <v>42705</v>
      </c>
      <c r="J668" s="131">
        <v>42736</v>
      </c>
      <c r="K668" s="131">
        <v>42767</v>
      </c>
      <c r="L668" s="131">
        <v>42795</v>
      </c>
      <c r="M668" s="131">
        <v>42826</v>
      </c>
      <c r="N668" s="131">
        <v>42856</v>
      </c>
      <c r="O668" s="131">
        <v>42887</v>
      </c>
      <c r="P668" s="131">
        <v>42917</v>
      </c>
      <c r="Q668" s="131">
        <v>42948</v>
      </c>
      <c r="R668" s="131">
        <v>42992</v>
      </c>
      <c r="S668" s="132"/>
      <c r="T668" s="133" t="s">
        <v>338</v>
      </c>
      <c r="U668" s="134" t="s">
        <v>339</v>
      </c>
      <c r="V668" s="132"/>
      <c r="W668" s="133" t="s">
        <v>338</v>
      </c>
      <c r="X668" s="134" t="s">
        <v>339</v>
      </c>
      <c r="Y668" s="157"/>
      <c r="Z668" s="157"/>
    </row>
    <row r="669" spans="1:26" s="125" customFormat="1" x14ac:dyDescent="0.25">
      <c r="A669" s="461"/>
      <c r="B669" s="135" t="s">
        <v>340</v>
      </c>
      <c r="C669" s="556"/>
      <c r="D669" s="457"/>
      <c r="E669" s="448"/>
      <c r="F669" s="136"/>
      <c r="G669" s="136"/>
      <c r="H669" s="136"/>
      <c r="I669" s="136"/>
      <c r="J669" s="136"/>
      <c r="K669" s="136"/>
      <c r="L669" s="136"/>
      <c r="M669" s="136"/>
      <c r="N669" s="136"/>
      <c r="O669" s="136"/>
      <c r="P669" s="136"/>
      <c r="Q669" s="174"/>
      <c r="T669" s="187">
        <f>SUM(F669:Q669)</f>
        <v>0</v>
      </c>
      <c r="U669" s="188" t="s">
        <v>341</v>
      </c>
      <c r="V669" s="157"/>
      <c r="W669" s="140">
        <f>T669*3413/1000000</f>
        <v>0</v>
      </c>
      <c r="X669" s="138" t="s">
        <v>342</v>
      </c>
      <c r="Y669" s="157"/>
      <c r="Z669" s="157"/>
    </row>
    <row r="670" spans="1:26" s="125" customFormat="1" x14ac:dyDescent="0.25">
      <c r="A670" s="461"/>
      <c r="B670" s="135" t="s">
        <v>345</v>
      </c>
      <c r="C670" s="556"/>
      <c r="D670" s="458"/>
      <c r="E670" s="440"/>
      <c r="F670" s="141"/>
      <c r="G670" s="141"/>
      <c r="H670" s="154"/>
      <c r="I670" s="154"/>
      <c r="J670" s="154"/>
      <c r="K670" s="141"/>
      <c r="L670" s="154"/>
      <c r="M670" s="141"/>
      <c r="N670" s="141"/>
      <c r="O670" s="141"/>
      <c r="P670" s="141"/>
      <c r="Q670" s="178"/>
      <c r="T670" s="187">
        <f>SUM(F670:Q670)</f>
        <v>0</v>
      </c>
      <c r="U670" s="188" t="s">
        <v>346</v>
      </c>
      <c r="V670" s="157"/>
      <c r="W670" s="141">
        <f>T670</f>
        <v>0</v>
      </c>
      <c r="X670" s="188" t="s">
        <v>346</v>
      </c>
      <c r="Y670" s="157"/>
      <c r="Z670" s="157"/>
    </row>
    <row r="671" spans="1:26" s="125" customFormat="1" x14ac:dyDescent="0.25">
      <c r="A671" s="461"/>
      <c r="B671" s="135" t="s">
        <v>324</v>
      </c>
      <c r="C671" s="556"/>
      <c r="D671" s="458"/>
      <c r="E671" s="440"/>
      <c r="F671" s="142"/>
      <c r="G671" s="142"/>
      <c r="H671" s="142"/>
      <c r="I671" s="142"/>
      <c r="J671" s="142"/>
      <c r="K671" s="142"/>
      <c r="L671" s="142"/>
      <c r="M671" s="142"/>
      <c r="N671" s="142"/>
      <c r="O671" s="142"/>
      <c r="P671" s="142"/>
      <c r="Q671" s="176"/>
      <c r="T671" s="189">
        <f>SUM(F671:Q671)</f>
        <v>0</v>
      </c>
      <c r="U671" s="188"/>
      <c r="V671" s="157"/>
      <c r="W671" s="190">
        <f>T671</f>
        <v>0</v>
      </c>
      <c r="X671" s="188"/>
      <c r="Y671" s="157"/>
      <c r="Z671" s="157"/>
    </row>
    <row r="673" spans="1:26" x14ac:dyDescent="0.25">
      <c r="B673" s="666"/>
    </row>
    <row r="674" spans="1:26" x14ac:dyDescent="0.25">
      <c r="A674" s="462">
        <v>69</v>
      </c>
      <c r="B674" s="666" t="s">
        <v>1283</v>
      </c>
      <c r="T674" s="666" t="s">
        <v>1283</v>
      </c>
    </row>
    <row r="675" spans="1:26" x14ac:dyDescent="0.25">
      <c r="B675" s="2245"/>
    </row>
    <row r="676" spans="1:26" x14ac:dyDescent="0.25">
      <c r="B676" s="666"/>
    </row>
    <row r="677" spans="1:26" x14ac:dyDescent="0.25">
      <c r="A677" s="462">
        <v>70</v>
      </c>
      <c r="B677" s="666" t="s">
        <v>1284</v>
      </c>
      <c r="T677" s="666" t="s">
        <v>1284</v>
      </c>
    </row>
    <row r="678" spans="1:26" x14ac:dyDescent="0.25">
      <c r="B678" s="2245"/>
    </row>
    <row r="679" spans="1:26" x14ac:dyDescent="0.25">
      <c r="B679" s="666"/>
    </row>
    <row r="680" spans="1:26" x14ac:dyDescent="0.25">
      <c r="A680" s="462">
        <v>71</v>
      </c>
      <c r="B680" s="666" t="s">
        <v>1285</v>
      </c>
      <c r="T680" s="666" t="s">
        <v>1285</v>
      </c>
    </row>
    <row r="681" spans="1:26" s="125" customFormat="1" x14ac:dyDescent="0.25">
      <c r="A681" s="461"/>
      <c r="B681" s="130" t="s">
        <v>337</v>
      </c>
      <c r="C681" s="131">
        <v>42522</v>
      </c>
      <c r="D681" s="131">
        <v>42552</v>
      </c>
      <c r="E681" s="131">
        <v>42583</v>
      </c>
      <c r="F681" s="131">
        <v>42614</v>
      </c>
      <c r="G681" s="131">
        <v>42644</v>
      </c>
      <c r="H681" s="131">
        <v>42675</v>
      </c>
      <c r="I681" s="131">
        <v>42705</v>
      </c>
      <c r="J681" s="131">
        <v>42736</v>
      </c>
      <c r="K681" s="131">
        <v>42767</v>
      </c>
      <c r="L681" s="131">
        <v>42795</v>
      </c>
      <c r="M681" s="131">
        <v>42826</v>
      </c>
      <c r="N681" s="131">
        <v>42856</v>
      </c>
      <c r="O681" s="131">
        <v>42887</v>
      </c>
      <c r="P681" s="131">
        <v>42917</v>
      </c>
      <c r="Q681" s="131">
        <v>42948</v>
      </c>
      <c r="R681" s="131">
        <v>42992</v>
      </c>
      <c r="S681" s="132"/>
      <c r="T681" s="133" t="s">
        <v>338</v>
      </c>
      <c r="U681" s="134" t="s">
        <v>339</v>
      </c>
      <c r="V681" s="132"/>
      <c r="W681" s="133" t="s">
        <v>338</v>
      </c>
      <c r="X681" s="134" t="s">
        <v>339</v>
      </c>
      <c r="Y681" s="157"/>
      <c r="Z681" s="157"/>
    </row>
    <row r="682" spans="1:26" s="157" customFormat="1" x14ac:dyDescent="0.25">
      <c r="A682" s="461"/>
      <c r="B682" s="135" t="s">
        <v>319</v>
      </c>
      <c r="C682" s="599"/>
      <c r="E682" s="1170">
        <v>404388.9765625</v>
      </c>
      <c r="F682" s="1170">
        <v>387783.45703125</v>
      </c>
      <c r="G682" s="1170">
        <v>399113.55859375</v>
      </c>
      <c r="H682" s="1218">
        <v>365638.140625</v>
      </c>
      <c r="I682" s="1186">
        <v>330221.2890625</v>
      </c>
      <c r="J682" s="1186">
        <v>364260.6328125</v>
      </c>
      <c r="K682" s="1186">
        <v>371929.078125</v>
      </c>
      <c r="L682" s="1186">
        <v>383835.0390625</v>
      </c>
      <c r="M682" s="1186">
        <v>391473.2578125</v>
      </c>
      <c r="N682" s="1186">
        <v>364464.1953125</v>
      </c>
      <c r="O682" s="1186">
        <v>339343.453125</v>
      </c>
      <c r="P682" s="756">
        <v>347896.3515625</v>
      </c>
      <c r="Q682" s="174"/>
      <c r="T682" s="141">
        <f t="shared" ref="T682:T690" si="33">SUM(E682:P682)</f>
        <v>4450347.4296875</v>
      </c>
      <c r="U682" s="188" t="s">
        <v>341</v>
      </c>
      <c r="W682" s="140">
        <f>T682*3413/1000000</f>
        <v>15189.035777523437</v>
      </c>
      <c r="X682" s="138" t="s">
        <v>342</v>
      </c>
    </row>
    <row r="683" spans="1:26" s="125" customFormat="1" x14ac:dyDescent="0.25">
      <c r="A683" s="461"/>
      <c r="B683" s="135" t="s">
        <v>372</v>
      </c>
      <c r="C683" s="606"/>
      <c r="D683" s="1709"/>
      <c r="E683" s="1170">
        <v>2029</v>
      </c>
      <c r="F683" s="1170">
        <v>3265</v>
      </c>
      <c r="G683" s="1170">
        <v>4100</v>
      </c>
      <c r="H683" s="1170">
        <v>3589</v>
      </c>
      <c r="I683" s="1170">
        <v>3582</v>
      </c>
      <c r="J683" s="1170">
        <v>2383</v>
      </c>
      <c r="K683" s="1170">
        <v>3400</v>
      </c>
      <c r="L683" s="1170">
        <v>4070</v>
      </c>
      <c r="M683" s="1170">
        <v>3136</v>
      </c>
      <c r="N683" s="1170">
        <v>4310</v>
      </c>
      <c r="O683" s="1170">
        <v>2363</v>
      </c>
      <c r="P683" s="136">
        <v>1658</v>
      </c>
      <c r="Q683" s="174"/>
      <c r="R683" s="174"/>
      <c r="T683" s="140">
        <f t="shared" si="33"/>
        <v>37885</v>
      </c>
      <c r="U683" s="138" t="s">
        <v>354</v>
      </c>
      <c r="V683" s="139"/>
      <c r="W683" s="140">
        <f>T683*99976.124488/1000000</f>
        <v>3787.5954762278802</v>
      </c>
      <c r="X683" s="138" t="s">
        <v>342</v>
      </c>
      <c r="Y683" s="765"/>
      <c r="Z683" s="554"/>
    </row>
    <row r="684" spans="1:26" s="157" customFormat="1" x14ac:dyDescent="0.25">
      <c r="A684" s="461"/>
      <c r="B684" s="135" t="s">
        <v>1137</v>
      </c>
      <c r="C684" s="599"/>
      <c r="E684" s="1192">
        <v>437.11500000000001</v>
      </c>
      <c r="F684" s="1192">
        <v>545.12453125000002</v>
      </c>
      <c r="G684" s="1192">
        <v>805.205078125</v>
      </c>
      <c r="H684" s="1192">
        <v>1150.8103125</v>
      </c>
      <c r="I684" s="1192">
        <v>1472.503671875</v>
      </c>
      <c r="J684" s="1192">
        <v>1587.8059375</v>
      </c>
      <c r="K684" s="1192">
        <v>1080.02859375</v>
      </c>
      <c r="L684" s="1192">
        <v>1222.56640625</v>
      </c>
      <c r="M684" s="1192">
        <v>743.5703125</v>
      </c>
      <c r="N684" s="1192">
        <v>526.125</v>
      </c>
      <c r="O684" s="1207">
        <v>423.4609375</v>
      </c>
      <c r="P684" s="1192">
        <v>383.22265625</v>
      </c>
      <c r="Q684" s="174"/>
      <c r="T684" s="141">
        <f t="shared" si="33"/>
        <v>10377.538437499999</v>
      </c>
      <c r="U684" s="188" t="s">
        <v>1138</v>
      </c>
      <c r="W684" s="160">
        <f>T684</f>
        <v>10377.538437499999</v>
      </c>
      <c r="X684" s="138" t="s">
        <v>342</v>
      </c>
    </row>
    <row r="685" spans="1:26" s="157" customFormat="1" x14ac:dyDescent="0.25">
      <c r="A685" s="461"/>
      <c r="B685" s="153" t="s">
        <v>362</v>
      </c>
      <c r="C685" s="599"/>
      <c r="E685" s="1170">
        <v>3131.65625</v>
      </c>
      <c r="F685" s="1170">
        <v>2789.4726249999999</v>
      </c>
      <c r="G685" s="1170">
        <v>1999.893</v>
      </c>
      <c r="H685" s="1170">
        <v>1008.9027500000001</v>
      </c>
      <c r="I685" s="1170">
        <v>107.69550000000001</v>
      </c>
      <c r="J685" s="1170">
        <v>260.26050000000004</v>
      </c>
      <c r="K685" s="1170">
        <v>464.77350000000001</v>
      </c>
      <c r="L685" s="1170">
        <v>463.48699999999997</v>
      </c>
      <c r="M685" s="1170">
        <v>1392.5474999999999</v>
      </c>
      <c r="N685" s="1170">
        <v>1310.4055000000001</v>
      </c>
      <c r="O685" s="756">
        <v>2031.0382500000001</v>
      </c>
      <c r="P685" s="756">
        <v>2805.0372500000003</v>
      </c>
      <c r="Q685" s="178"/>
      <c r="T685" s="141">
        <f t="shared" si="33"/>
        <v>17765.169624999999</v>
      </c>
      <c r="U685" s="188" t="s">
        <v>870</v>
      </c>
      <c r="W685" s="140">
        <f>T685*99976.124488/100000</f>
        <v>17760.928099794361</v>
      </c>
      <c r="X685" s="138" t="s">
        <v>342</v>
      </c>
      <c r="Y685" s="495">
        <f>W682+W684+W685</f>
        <v>43327.502314817801</v>
      </c>
      <c r="Z685" s="153" t="s">
        <v>677</v>
      </c>
    </row>
    <row r="686" spans="1:26" s="157" customFormat="1" x14ac:dyDescent="0.25">
      <c r="A686" s="461"/>
      <c r="B686" s="135" t="s">
        <v>864</v>
      </c>
      <c r="C686" s="599"/>
      <c r="E686" s="1193">
        <v>564.17125067999996</v>
      </c>
      <c r="F686" s="1193">
        <v>698.67835748468747</v>
      </c>
      <c r="G686" s="1194">
        <v>707.23799368999994</v>
      </c>
      <c r="H686" s="1194">
        <v>673.20147427999996</v>
      </c>
      <c r="I686" s="1194">
        <v>412.78950769468747</v>
      </c>
      <c r="J686" s="1194">
        <v>598.35749280999994</v>
      </c>
      <c r="K686" s="1194">
        <v>687.27006271999994</v>
      </c>
      <c r="L686" s="1200">
        <v>634.17731675999994</v>
      </c>
      <c r="M686" s="750">
        <v>798.98460079999995</v>
      </c>
      <c r="N686" s="750">
        <v>383.48801107999998</v>
      </c>
      <c r="O686" s="750">
        <v>347.30440770874998</v>
      </c>
      <c r="P686" s="750">
        <v>414.10898093999998</v>
      </c>
      <c r="Q686" s="730"/>
      <c r="T686" s="141">
        <f t="shared" si="33"/>
        <v>6919.769456648125</v>
      </c>
      <c r="U686" s="188" t="s">
        <v>379</v>
      </c>
      <c r="W686" s="141">
        <f>T686*748</f>
        <v>5175987.5535727972</v>
      </c>
      <c r="X686" s="188" t="s">
        <v>346</v>
      </c>
    </row>
    <row r="687" spans="1:26" s="157" customFormat="1" x14ac:dyDescent="0.25">
      <c r="A687" s="461"/>
      <c r="B687" s="135" t="s">
        <v>324</v>
      </c>
      <c r="C687" s="599"/>
      <c r="E687" s="1208">
        <v>35181.840960937494</v>
      </c>
      <c r="F687" s="1208">
        <v>33737.160761718747</v>
      </c>
      <c r="G687" s="1208">
        <v>34722.879597656247</v>
      </c>
      <c r="H687" s="1208">
        <v>31810.518234374998</v>
      </c>
      <c r="I687" s="1208">
        <v>28729.252148437499</v>
      </c>
      <c r="J687" s="1208">
        <v>31690.675054687497</v>
      </c>
      <c r="K687" s="1208">
        <v>32357.829796874998</v>
      </c>
      <c r="L687" s="1208">
        <v>33393.648398437501</v>
      </c>
      <c r="M687" s="1208">
        <v>34058.1734296875</v>
      </c>
      <c r="N687" s="1208">
        <v>31708.384992187497</v>
      </c>
      <c r="O687" s="1208">
        <v>29522.880421874997</v>
      </c>
      <c r="P687" s="1208">
        <v>28875.397179687501</v>
      </c>
      <c r="Q687" s="1162"/>
      <c r="T687" s="171">
        <f t="shared" si="33"/>
        <v>385788.64097656246</v>
      </c>
      <c r="U687" s="188"/>
      <c r="W687" s="190">
        <f>T687</f>
        <v>385788.64097656246</v>
      </c>
      <c r="X687" s="188"/>
    </row>
    <row r="688" spans="1:26" s="125" customFormat="1" x14ac:dyDescent="0.25">
      <c r="A688" s="461"/>
      <c r="B688" s="144" t="s">
        <v>374</v>
      </c>
      <c r="C688" s="607"/>
      <c r="E688" s="1176">
        <v>1307.68</v>
      </c>
      <c r="F688" s="1176">
        <v>2073.19</v>
      </c>
      <c r="G688" s="1176">
        <v>2596.0100000000002</v>
      </c>
      <c r="H688" s="1176">
        <v>2309.5700000000002</v>
      </c>
      <c r="I688" s="1176">
        <v>2199.77</v>
      </c>
      <c r="J688" s="1176">
        <v>1534.7</v>
      </c>
      <c r="K688" s="1176">
        <v>2370.29</v>
      </c>
      <c r="L688" s="1176">
        <v>2806.77</v>
      </c>
      <c r="M688" s="1176">
        <v>2206.88</v>
      </c>
      <c r="N688" s="1176">
        <v>3001.02</v>
      </c>
      <c r="O688" s="1176">
        <v>1717.94</v>
      </c>
      <c r="P688" s="1176">
        <v>1253.3399999999999</v>
      </c>
      <c r="Q688" s="179"/>
      <c r="R688" s="179"/>
      <c r="T688" s="156">
        <f t="shared" si="33"/>
        <v>25377.160000000003</v>
      </c>
      <c r="U688" s="138"/>
      <c r="V688" s="139"/>
      <c r="W688" s="143">
        <f>T688</f>
        <v>25377.160000000003</v>
      </c>
      <c r="X688" s="138"/>
      <c r="Y688" s="157"/>
      <c r="Z688" s="157"/>
    </row>
    <row r="689" spans="1:26" s="157" customFormat="1" x14ac:dyDescent="0.25">
      <c r="A689" s="461"/>
      <c r="B689" s="144" t="s">
        <v>348</v>
      </c>
      <c r="C689" s="599"/>
      <c r="E689" s="1208">
        <v>5254.1223</v>
      </c>
      <c r="F689" s="1208">
        <v>6552.3968656249999</v>
      </c>
      <c r="G689" s="1208">
        <v>9678.5650390624996</v>
      </c>
      <c r="H689" s="1208">
        <v>13832.73995625</v>
      </c>
      <c r="I689" s="1208">
        <v>17699.494135937501</v>
      </c>
      <c r="J689" s="1208">
        <v>19085.427368749999</v>
      </c>
      <c r="K689" s="1208">
        <v>12981.943696875</v>
      </c>
      <c r="L689" s="1208">
        <v>14695.248203125</v>
      </c>
      <c r="M689" s="1208">
        <v>8937.7151562500003</v>
      </c>
      <c r="N689" s="1208">
        <v>6324.0225</v>
      </c>
      <c r="O689" s="1208">
        <v>5090.0004687499995</v>
      </c>
      <c r="P689" s="1208">
        <v>5292.3048828125002</v>
      </c>
      <c r="Q689" s="1162"/>
      <c r="T689" s="171">
        <f t="shared" si="33"/>
        <v>125423.98057343751</v>
      </c>
      <c r="U689" s="188"/>
      <c r="W689" s="190">
        <f>T689</f>
        <v>125423.98057343751</v>
      </c>
      <c r="X689" s="188"/>
    </row>
    <row r="690" spans="1:26" s="157" customFormat="1" ht="16.5" x14ac:dyDescent="0.35">
      <c r="A690" s="461"/>
      <c r="B690" s="195" t="s">
        <v>398</v>
      </c>
      <c r="C690" s="599"/>
      <c r="E690" s="1208">
        <v>40554.948437499996</v>
      </c>
      <c r="F690" s="1208">
        <v>36123.670493749996</v>
      </c>
      <c r="G690" s="1208">
        <v>25898.61435</v>
      </c>
      <c r="H690" s="1208">
        <v>13065.290612500001</v>
      </c>
      <c r="I690" s="1208">
        <v>1394.6567250000001</v>
      </c>
      <c r="J690" s="1208">
        <v>3370.3734750000003</v>
      </c>
      <c r="K690" s="1208">
        <v>6018.8168249999999</v>
      </c>
      <c r="L690" s="1208">
        <v>6002.156649999999</v>
      </c>
      <c r="M690" s="1208">
        <v>18033.490124999997</v>
      </c>
      <c r="N690" s="1208">
        <v>16969.751225</v>
      </c>
      <c r="O690" s="1208">
        <v>26301.945337499998</v>
      </c>
      <c r="P690" s="1208">
        <v>35792.275310000005</v>
      </c>
      <c r="Q690" s="1162"/>
      <c r="T690" s="171">
        <f t="shared" si="33"/>
        <v>229525.98956624998</v>
      </c>
      <c r="U690" s="188"/>
      <c r="W690" s="197">
        <f>T690</f>
        <v>229525.98956624998</v>
      </c>
      <c r="X690" s="188"/>
    </row>
    <row r="691" spans="1:26" s="125" customFormat="1" x14ac:dyDescent="0.25">
      <c r="A691" s="461"/>
      <c r="B691" s="205"/>
      <c r="C691" s="152"/>
      <c r="E691" s="201"/>
      <c r="F691" s="206"/>
      <c r="G691" s="202"/>
      <c r="H691" s="203"/>
      <c r="I691" s="203"/>
      <c r="J691" s="203"/>
      <c r="K691" s="203"/>
      <c r="L691" s="203"/>
      <c r="M691" s="203"/>
      <c r="N691" s="203"/>
      <c r="O691" s="203"/>
      <c r="P691" s="203"/>
      <c r="U691" s="126"/>
      <c r="W691" s="190">
        <f>SUM(W687:W690)</f>
        <v>766115.77111624996</v>
      </c>
      <c r="X691" s="450"/>
      <c r="Y691" s="157"/>
      <c r="Z691" s="157"/>
    </row>
    <row r="692" spans="1:26" x14ac:dyDescent="0.25">
      <c r="B692" s="666"/>
    </row>
    <row r="693" spans="1:26" x14ac:dyDescent="0.25">
      <c r="A693" s="462">
        <v>72</v>
      </c>
      <c r="B693" s="666" t="s">
        <v>1609</v>
      </c>
      <c r="T693" s="666" t="str">
        <f>B693</f>
        <v>NCC - CE and BLET</v>
      </c>
    </row>
    <row r="694" spans="1:26" s="125" customFormat="1" x14ac:dyDescent="0.25">
      <c r="A694" s="461"/>
      <c r="B694" s="130" t="s">
        <v>337</v>
      </c>
      <c r="C694" s="131">
        <v>42522</v>
      </c>
      <c r="D694" s="131">
        <v>42552</v>
      </c>
      <c r="E694" s="131">
        <v>42583</v>
      </c>
      <c r="F694" s="131">
        <v>42614</v>
      </c>
      <c r="G694" s="131">
        <v>42644</v>
      </c>
      <c r="H694" s="131">
        <v>42675</v>
      </c>
      <c r="I694" s="131">
        <v>42705</v>
      </c>
      <c r="J694" s="131">
        <v>42736</v>
      </c>
      <c r="K694" s="131">
        <v>42767</v>
      </c>
      <c r="L694" s="131">
        <v>42795</v>
      </c>
      <c r="M694" s="131">
        <v>42826</v>
      </c>
      <c r="N694" s="131">
        <v>42856</v>
      </c>
      <c r="O694" s="131">
        <v>42887</v>
      </c>
      <c r="P694" s="131">
        <v>42917</v>
      </c>
      <c r="Q694" s="131">
        <v>42948</v>
      </c>
      <c r="R694" s="131">
        <v>42992</v>
      </c>
      <c r="S694" s="132"/>
      <c r="T694" s="133" t="s">
        <v>338</v>
      </c>
      <c r="U694" s="134" t="s">
        <v>339</v>
      </c>
      <c r="V694" s="132"/>
      <c r="W694" s="133" t="s">
        <v>338</v>
      </c>
      <c r="X694" s="134" t="s">
        <v>339</v>
      </c>
      <c r="Y694" s="157"/>
      <c r="Z694" s="157"/>
    </row>
    <row r="695" spans="1:26" s="125" customFormat="1" x14ac:dyDescent="0.25">
      <c r="A695" s="461"/>
      <c r="B695" s="135" t="s">
        <v>340</v>
      </c>
      <c r="C695" s="606"/>
      <c r="D695" s="136">
        <v>104400</v>
      </c>
      <c r="E695" s="136">
        <v>125200</v>
      </c>
      <c r="F695" s="136">
        <v>89040</v>
      </c>
      <c r="G695" s="136">
        <v>105360</v>
      </c>
      <c r="H695" s="136">
        <v>65360</v>
      </c>
      <c r="I695" s="136">
        <v>64880</v>
      </c>
      <c r="J695" s="136">
        <v>51440</v>
      </c>
      <c r="K695" s="136">
        <v>57200</v>
      </c>
      <c r="L695" s="136">
        <v>56800</v>
      </c>
      <c r="M695" s="136">
        <v>66960</v>
      </c>
      <c r="N695" s="136">
        <v>66640</v>
      </c>
      <c r="O695" s="136">
        <v>81440</v>
      </c>
      <c r="P695" s="174"/>
      <c r="Q695" s="174"/>
      <c r="R695" s="174"/>
      <c r="T695" s="140">
        <f t="shared" ref="T695:T700" si="34">SUM(D695:O695)</f>
        <v>934720</v>
      </c>
      <c r="U695" s="138" t="s">
        <v>341</v>
      </c>
      <c r="V695" s="139"/>
      <c r="W695" s="140">
        <f>T695*3413/1000000</f>
        <v>3190.1993600000001</v>
      </c>
      <c r="X695" s="138" t="s">
        <v>342</v>
      </c>
      <c r="Y695" s="157"/>
      <c r="Z695" s="157"/>
    </row>
    <row r="696" spans="1:26" s="125" customFormat="1" x14ac:dyDescent="0.25">
      <c r="A696" s="461"/>
      <c r="B696" s="135" t="s">
        <v>372</v>
      </c>
      <c r="C696" s="606"/>
      <c r="D696" s="153">
        <v>646</v>
      </c>
      <c r="E696" s="153">
        <v>641</v>
      </c>
      <c r="F696" s="141">
        <v>707</v>
      </c>
      <c r="G696" s="141">
        <v>1114</v>
      </c>
      <c r="H696" s="141">
        <v>1353</v>
      </c>
      <c r="I696" s="141">
        <v>1353</v>
      </c>
      <c r="J696" s="141">
        <v>2762</v>
      </c>
      <c r="K696" s="141">
        <v>4384</v>
      </c>
      <c r="L696" s="141">
        <v>3540</v>
      </c>
      <c r="M696" s="141">
        <v>3232</v>
      </c>
      <c r="N696" s="141">
        <v>1064</v>
      </c>
      <c r="O696" s="141">
        <v>769</v>
      </c>
      <c r="P696" s="174"/>
      <c r="Q696" s="174"/>
      <c r="R696" s="174"/>
      <c r="T696" s="140">
        <f t="shared" si="34"/>
        <v>21565</v>
      </c>
      <c r="U696" s="138" t="s">
        <v>354</v>
      </c>
      <c r="V696" s="139"/>
      <c r="W696" s="140">
        <f>T696*99976.124488/1000000</f>
        <v>2155.9851245837203</v>
      </c>
      <c r="X696" s="138" t="s">
        <v>342</v>
      </c>
      <c r="Y696" s="495">
        <f>W695+W696</f>
        <v>5346.1844845837204</v>
      </c>
      <c r="Z696" s="1323" t="s">
        <v>342</v>
      </c>
    </row>
    <row r="697" spans="1:26" s="125" customFormat="1" x14ac:dyDescent="0.25">
      <c r="A697" s="461"/>
      <c r="B697" s="135" t="s">
        <v>864</v>
      </c>
      <c r="C697" s="606"/>
      <c r="D697" s="141">
        <v>128</v>
      </c>
      <c r="E697" s="141">
        <v>121</v>
      </c>
      <c r="F697" s="141">
        <v>118</v>
      </c>
      <c r="G697" s="141">
        <v>29</v>
      </c>
      <c r="H697" s="141">
        <v>29</v>
      </c>
      <c r="I697" s="141">
        <v>29</v>
      </c>
      <c r="J697" s="141">
        <v>25</v>
      </c>
      <c r="K697" s="141">
        <v>9</v>
      </c>
      <c r="L697" s="141">
        <v>27</v>
      </c>
      <c r="M697" s="141">
        <v>32</v>
      </c>
      <c r="N697" s="141">
        <v>25</v>
      </c>
      <c r="O697" s="141">
        <v>17</v>
      </c>
      <c r="P697" s="178"/>
      <c r="Q697" s="178"/>
      <c r="R697" s="178"/>
      <c r="T697" s="140">
        <f t="shared" si="34"/>
        <v>589</v>
      </c>
      <c r="U697" s="138" t="s">
        <v>379</v>
      </c>
      <c r="V697" s="139"/>
      <c r="W697" s="137">
        <f>T697*748</f>
        <v>440572</v>
      </c>
      <c r="X697" s="138" t="s">
        <v>346</v>
      </c>
      <c r="Z697" s="157"/>
    </row>
    <row r="698" spans="1:26" s="125" customFormat="1" x14ac:dyDescent="0.25">
      <c r="A698" s="461"/>
      <c r="B698" s="135" t="s">
        <v>324</v>
      </c>
      <c r="C698" s="606"/>
      <c r="D698" s="142">
        <v>10646.43</v>
      </c>
      <c r="E698" s="142">
        <v>12365.49</v>
      </c>
      <c r="F698" s="142">
        <v>9174.33</v>
      </c>
      <c r="G698" s="142">
        <v>10543.77</v>
      </c>
      <c r="H698" s="142">
        <v>7371.11</v>
      </c>
      <c r="I698" s="142">
        <v>7162.18</v>
      </c>
      <c r="J698" s="142">
        <v>6046.74</v>
      </c>
      <c r="K698" s="142">
        <v>6455.13</v>
      </c>
      <c r="L698" s="142">
        <v>6427.83</v>
      </c>
      <c r="M698" s="142">
        <v>7118.7</v>
      </c>
      <c r="N698" s="142">
        <v>7096.93</v>
      </c>
      <c r="O698" s="142">
        <v>8103.31</v>
      </c>
      <c r="P698" s="176"/>
      <c r="Q698" s="176"/>
      <c r="R698" s="176"/>
      <c r="T698" s="156">
        <f t="shared" si="34"/>
        <v>98511.950000000012</v>
      </c>
      <c r="U698" s="138"/>
      <c r="V698" s="139"/>
      <c r="W698" s="143">
        <f>T698</f>
        <v>98511.950000000012</v>
      </c>
      <c r="X698" s="138"/>
      <c r="Y698" s="157"/>
      <c r="Z698" s="157"/>
    </row>
    <row r="699" spans="1:26" s="125" customFormat="1" x14ac:dyDescent="0.25">
      <c r="A699" s="461"/>
      <c r="B699" s="135" t="s">
        <v>1087</v>
      </c>
      <c r="C699" s="606"/>
      <c r="D699" s="142">
        <v>155.16</v>
      </c>
      <c r="E699" s="142">
        <v>933.58</v>
      </c>
      <c r="F699" s="142">
        <v>910.96</v>
      </c>
      <c r="G699" s="142">
        <v>239.9</v>
      </c>
      <c r="H699" s="142">
        <v>239.9</v>
      </c>
      <c r="I699" s="142">
        <v>209.74</v>
      </c>
      <c r="J699" s="142">
        <v>89.1</v>
      </c>
      <c r="K699" s="142">
        <v>224.82</v>
      </c>
      <c r="L699" s="142">
        <v>262.52</v>
      </c>
      <c r="M699" s="142">
        <v>247.44</v>
      </c>
      <c r="N699" s="142">
        <v>209.74</v>
      </c>
      <c r="O699" s="142">
        <v>149.41999999999999</v>
      </c>
      <c r="P699" s="176"/>
      <c r="Q699" s="176"/>
      <c r="R699" s="176"/>
      <c r="T699" s="156">
        <f t="shared" si="34"/>
        <v>3872.2799999999997</v>
      </c>
      <c r="U699" s="138"/>
      <c r="V699" s="139"/>
      <c r="W699" s="143">
        <f>T699</f>
        <v>3872.2799999999997</v>
      </c>
      <c r="X699" s="138"/>
      <c r="Y699" s="157"/>
      <c r="Z699" s="157"/>
    </row>
    <row r="700" spans="1:26" s="125" customFormat="1" ht="16.5" x14ac:dyDescent="0.35">
      <c r="A700" s="461"/>
      <c r="B700" s="144" t="s">
        <v>374</v>
      </c>
      <c r="C700" s="607"/>
      <c r="D700" s="145">
        <v>695.37</v>
      </c>
      <c r="E700" s="145">
        <v>690.25</v>
      </c>
      <c r="F700" s="145">
        <v>754.74</v>
      </c>
      <c r="G700" s="145">
        <v>1167.02</v>
      </c>
      <c r="H700" s="145">
        <v>1422.3</v>
      </c>
      <c r="I700" s="145">
        <v>1422.39</v>
      </c>
      <c r="J700" s="145">
        <v>2809.02</v>
      </c>
      <c r="K700" s="145">
        <v>4404.34</v>
      </c>
      <c r="L700" s="145">
        <v>3574.15</v>
      </c>
      <c r="M700" s="145">
        <v>3701.75</v>
      </c>
      <c r="N700" s="145">
        <v>1318.89</v>
      </c>
      <c r="O700" s="145">
        <v>1030.93</v>
      </c>
      <c r="P700" s="179"/>
      <c r="Q700" s="179"/>
      <c r="R700" s="179"/>
      <c r="T700" s="156">
        <f t="shared" si="34"/>
        <v>22991.15</v>
      </c>
      <c r="U700" s="138"/>
      <c r="V700" s="139"/>
      <c r="W700" s="146">
        <f>T700</f>
        <v>22991.15</v>
      </c>
      <c r="X700" s="138"/>
      <c r="Y700" s="157"/>
      <c r="Z700" s="157"/>
    </row>
    <row r="701" spans="1:26" x14ac:dyDescent="0.25">
      <c r="W701" s="143">
        <f>SUM(W698:W700)</f>
        <v>125375.38</v>
      </c>
      <c r="X701" s="138"/>
    </row>
    <row r="702" spans="1:26" x14ac:dyDescent="0.25">
      <c r="B702" s="666"/>
    </row>
    <row r="703" spans="1:26" x14ac:dyDescent="0.25">
      <c r="A703" s="462">
        <v>73</v>
      </c>
      <c r="B703" s="666" t="s">
        <v>1287</v>
      </c>
      <c r="T703" s="666" t="s">
        <v>1287</v>
      </c>
    </row>
    <row r="704" spans="1:26" s="125" customFormat="1" x14ac:dyDescent="0.25">
      <c r="A704" s="461"/>
      <c r="B704" s="130" t="s">
        <v>337</v>
      </c>
      <c r="C704" s="131">
        <v>42522</v>
      </c>
      <c r="D704" s="131">
        <v>42552</v>
      </c>
      <c r="E704" s="131">
        <v>42583</v>
      </c>
      <c r="F704" s="131">
        <v>42614</v>
      </c>
      <c r="G704" s="131">
        <v>42644</v>
      </c>
      <c r="H704" s="131">
        <v>42675</v>
      </c>
      <c r="I704" s="131">
        <v>42705</v>
      </c>
      <c r="J704" s="131">
        <v>42736</v>
      </c>
      <c r="K704" s="131">
        <v>42767</v>
      </c>
      <c r="L704" s="131">
        <v>42795</v>
      </c>
      <c r="M704" s="131">
        <v>42826</v>
      </c>
      <c r="N704" s="131">
        <v>42856</v>
      </c>
      <c r="O704" s="131">
        <v>42887</v>
      </c>
      <c r="P704" s="131">
        <v>42917</v>
      </c>
      <c r="Q704" s="131">
        <v>42948</v>
      </c>
      <c r="R704" s="131">
        <v>42992</v>
      </c>
      <c r="S704" s="132"/>
      <c r="T704" s="133" t="s">
        <v>338</v>
      </c>
      <c r="U704" s="134" t="s">
        <v>339</v>
      </c>
      <c r="V704" s="132"/>
      <c r="W704" s="133" t="s">
        <v>338</v>
      </c>
      <c r="X704" s="134" t="s">
        <v>339</v>
      </c>
      <c r="Y704" s="157"/>
      <c r="Z704" s="157"/>
    </row>
    <row r="705" spans="1:26" s="125" customFormat="1" x14ac:dyDescent="0.25">
      <c r="A705" s="461"/>
      <c r="B705" s="135" t="s">
        <v>340</v>
      </c>
      <c r="C705" s="606"/>
      <c r="D705" s="136"/>
      <c r="E705" s="136"/>
      <c r="F705" s="136"/>
      <c r="G705" s="136"/>
      <c r="H705" s="136"/>
      <c r="I705" s="136"/>
      <c r="J705" s="136"/>
      <c r="K705" s="136"/>
      <c r="L705" s="136"/>
      <c r="M705" s="136"/>
      <c r="N705" s="136"/>
      <c r="O705" s="136"/>
      <c r="P705" s="174"/>
      <c r="Q705" s="174"/>
      <c r="R705" s="174"/>
      <c r="T705" s="140">
        <f>SUM(D705:O705)</f>
        <v>0</v>
      </c>
      <c r="U705" s="138" t="s">
        <v>341</v>
      </c>
      <c r="V705" s="139"/>
      <c r="W705" s="140">
        <f>T705*3413/1000000</f>
        <v>0</v>
      </c>
      <c r="X705" s="138" t="s">
        <v>342</v>
      </c>
      <c r="Y705" s="157"/>
      <c r="Z705" s="157"/>
    </row>
    <row r="706" spans="1:26" s="125" customFormat="1" x14ac:dyDescent="0.25">
      <c r="A706" s="461"/>
      <c r="B706" s="135" t="s">
        <v>372</v>
      </c>
      <c r="C706" s="606"/>
      <c r="D706" s="153"/>
      <c r="E706" s="153"/>
      <c r="F706" s="141"/>
      <c r="G706" s="141"/>
      <c r="H706" s="141"/>
      <c r="I706" s="141"/>
      <c r="J706" s="141"/>
      <c r="K706" s="141"/>
      <c r="L706" s="141"/>
      <c r="M706" s="141"/>
      <c r="N706" s="141"/>
      <c r="O706" s="141"/>
      <c r="P706" s="174"/>
      <c r="Q706" s="174"/>
      <c r="R706" s="174"/>
      <c r="T706" s="140">
        <f>SUM(D706:O706)</f>
        <v>0</v>
      </c>
      <c r="U706" s="138" t="s">
        <v>354</v>
      </c>
      <c r="V706" s="139"/>
      <c r="W706" s="140">
        <f>T706*99976.124488/1000000</f>
        <v>0</v>
      </c>
      <c r="X706" s="138" t="s">
        <v>342</v>
      </c>
      <c r="Y706" s="495">
        <f>W705+W706</f>
        <v>0</v>
      </c>
      <c r="Z706" s="1323" t="s">
        <v>342</v>
      </c>
    </row>
    <row r="707" spans="1:26" s="125" customFormat="1" x14ac:dyDescent="0.25">
      <c r="A707" s="461"/>
      <c r="B707" s="135" t="s">
        <v>864</v>
      </c>
      <c r="C707" s="606"/>
      <c r="D707" s="141"/>
      <c r="E707" s="141"/>
      <c r="F707" s="141"/>
      <c r="G707" s="141"/>
      <c r="H707" s="141"/>
      <c r="I707" s="141"/>
      <c r="J707" s="141"/>
      <c r="K707" s="141"/>
      <c r="L707" s="141"/>
      <c r="M707" s="141"/>
      <c r="N707" s="141"/>
      <c r="O707" s="141"/>
      <c r="P707" s="178"/>
      <c r="Q707" s="178"/>
      <c r="R707" s="178"/>
      <c r="T707" s="140">
        <f>SUM(D707:O707)</f>
        <v>0</v>
      </c>
      <c r="U707" s="138" t="s">
        <v>379</v>
      </c>
      <c r="V707" s="139"/>
      <c r="W707" s="137">
        <f>T707*748</f>
        <v>0</v>
      </c>
      <c r="X707" s="138" t="s">
        <v>346</v>
      </c>
      <c r="Z707" s="157"/>
    </row>
    <row r="708" spans="1:26" s="125" customFormat="1" x14ac:dyDescent="0.25">
      <c r="A708" s="461"/>
      <c r="B708" s="135" t="s">
        <v>324</v>
      </c>
      <c r="C708" s="606"/>
      <c r="D708" s="142"/>
      <c r="E708" s="142"/>
      <c r="F708" s="142"/>
      <c r="G708" s="142"/>
      <c r="H708" s="142"/>
      <c r="I708" s="142"/>
      <c r="J708" s="142"/>
      <c r="K708" s="142"/>
      <c r="L708" s="142"/>
      <c r="M708" s="142"/>
      <c r="N708" s="142"/>
      <c r="O708" s="142"/>
      <c r="P708" s="176"/>
      <c r="Q708" s="176"/>
      <c r="R708" s="176"/>
      <c r="T708" s="156">
        <f>SUM(D708:O708)</f>
        <v>0</v>
      </c>
      <c r="U708" s="138"/>
      <c r="V708" s="139"/>
      <c r="W708" s="143">
        <f>T708</f>
        <v>0</v>
      </c>
      <c r="X708" s="138"/>
      <c r="Y708" s="157"/>
      <c r="Z708" s="157"/>
    </row>
    <row r="709" spans="1:26" s="125" customFormat="1" ht="16.5" x14ac:dyDescent="0.35">
      <c r="A709" s="461"/>
      <c r="B709" s="144" t="s">
        <v>374</v>
      </c>
      <c r="C709" s="607"/>
      <c r="D709" s="145"/>
      <c r="E709" s="145"/>
      <c r="F709" s="145"/>
      <c r="G709" s="145"/>
      <c r="H709" s="145"/>
      <c r="I709" s="145"/>
      <c r="J709" s="145"/>
      <c r="K709" s="145"/>
      <c r="L709" s="145"/>
      <c r="M709" s="145"/>
      <c r="N709" s="145"/>
      <c r="O709" s="145"/>
      <c r="P709" s="179"/>
      <c r="Q709" s="179"/>
      <c r="R709" s="179"/>
      <c r="T709" s="156">
        <f>SUM(D709:O709)</f>
        <v>0</v>
      </c>
      <c r="U709" s="138"/>
      <c r="V709" s="139"/>
      <c r="W709" s="146">
        <f>T709</f>
        <v>0</v>
      </c>
      <c r="X709" s="138"/>
      <c r="Y709" s="157"/>
      <c r="Z709" s="157"/>
    </row>
    <row r="710" spans="1:26" x14ac:dyDescent="0.25">
      <c r="W710" s="143">
        <f>SUM(W708:W709)</f>
        <v>0</v>
      </c>
      <c r="X710" s="138"/>
    </row>
    <row r="711" spans="1:26" x14ac:dyDescent="0.25">
      <c r="B711" s="666"/>
    </row>
    <row r="712" spans="1:26" x14ac:dyDescent="0.25">
      <c r="A712" s="462">
        <v>74</v>
      </c>
      <c r="B712" s="666" t="s">
        <v>1288</v>
      </c>
      <c r="T712" s="666" t="s">
        <v>1288</v>
      </c>
    </row>
    <row r="713" spans="1:26" s="125" customFormat="1" x14ac:dyDescent="0.25">
      <c r="A713" s="461"/>
      <c r="B713" s="130" t="s">
        <v>337</v>
      </c>
      <c r="C713" s="131">
        <v>42522</v>
      </c>
      <c r="D713" s="131">
        <v>42552</v>
      </c>
      <c r="E713" s="131">
        <v>42583</v>
      </c>
      <c r="F713" s="131">
        <v>42614</v>
      </c>
      <c r="G713" s="131">
        <v>42644</v>
      </c>
      <c r="H713" s="131">
        <v>42675</v>
      </c>
      <c r="I713" s="131">
        <v>42705</v>
      </c>
      <c r="J713" s="131">
        <v>42736</v>
      </c>
      <c r="K713" s="131">
        <v>42767</v>
      </c>
      <c r="L713" s="131">
        <v>42795</v>
      </c>
      <c r="M713" s="131">
        <v>42826</v>
      </c>
      <c r="N713" s="131">
        <v>42856</v>
      </c>
      <c r="O713" s="131">
        <v>42887</v>
      </c>
      <c r="P713" s="131">
        <v>42917</v>
      </c>
      <c r="Q713" s="131">
        <v>42948</v>
      </c>
      <c r="R713" s="131">
        <v>42992</v>
      </c>
      <c r="S713" s="132"/>
      <c r="T713" s="133" t="s">
        <v>338</v>
      </c>
      <c r="U713" s="134" t="s">
        <v>339</v>
      </c>
      <c r="V713" s="132"/>
      <c r="W713" s="133" t="s">
        <v>338</v>
      </c>
      <c r="X713" s="134" t="s">
        <v>339</v>
      </c>
      <c r="Y713" s="157"/>
      <c r="Z713" s="157"/>
    </row>
    <row r="714" spans="1:26" s="125" customFormat="1" x14ac:dyDescent="0.25">
      <c r="A714" s="461"/>
      <c r="B714" s="135" t="s">
        <v>340</v>
      </c>
      <c r="C714" s="606"/>
      <c r="D714" s="454"/>
      <c r="E714" s="454"/>
      <c r="F714" s="454"/>
      <c r="G714" s="454"/>
      <c r="H714" s="454"/>
      <c r="I714" s="454"/>
      <c r="J714" s="454"/>
      <c r="K714" s="454"/>
      <c r="L714" s="454"/>
      <c r="M714" s="454"/>
      <c r="N714" s="454"/>
      <c r="O714" s="454"/>
      <c r="P714" s="174"/>
      <c r="Q714" s="174"/>
      <c r="R714" s="174"/>
      <c r="T714" s="140">
        <f t="shared" ref="T714:T722" si="35">SUM(C714:S714)</f>
        <v>0</v>
      </c>
      <c r="U714" s="138" t="s">
        <v>341</v>
      </c>
      <c r="V714" s="139"/>
      <c r="W714" s="140">
        <f>T714*3413/1000000</f>
        <v>0</v>
      </c>
      <c r="X714" s="138" t="s">
        <v>342</v>
      </c>
      <c r="Y714" s="157"/>
      <c r="Z714" s="157"/>
    </row>
    <row r="715" spans="1:26" s="125" customFormat="1" x14ac:dyDescent="0.25">
      <c r="A715" s="461"/>
      <c r="B715" s="135" t="s">
        <v>372</v>
      </c>
      <c r="C715" s="606"/>
      <c r="D715" s="454"/>
      <c r="E715" s="454"/>
      <c r="F715" s="454"/>
      <c r="G715" s="454"/>
      <c r="H715" s="454"/>
      <c r="I715" s="454"/>
      <c r="J715" s="454"/>
      <c r="K715" s="454"/>
      <c r="L715" s="454"/>
      <c r="M715" s="454"/>
      <c r="N715" s="454"/>
      <c r="O715" s="454"/>
      <c r="P715" s="174"/>
      <c r="Q715" s="174"/>
      <c r="R715" s="174"/>
      <c r="T715" s="140">
        <f t="shared" si="35"/>
        <v>0</v>
      </c>
      <c r="U715" s="138" t="s">
        <v>354</v>
      </c>
      <c r="V715" s="139"/>
      <c r="W715" s="140">
        <f>T715*99976.124488/1000000</f>
        <v>0</v>
      </c>
      <c r="X715" s="138" t="s">
        <v>342</v>
      </c>
      <c r="Y715" s="765"/>
      <c r="Z715" s="554"/>
    </row>
    <row r="716" spans="1:26" s="125" customFormat="1" x14ac:dyDescent="0.25">
      <c r="A716" s="461"/>
      <c r="B716" s="135" t="s">
        <v>1056</v>
      </c>
      <c r="C716" s="606"/>
      <c r="D716" s="454"/>
      <c r="E716" s="454"/>
      <c r="F716" s="454"/>
      <c r="G716" s="454"/>
      <c r="H716" s="454"/>
      <c r="I716" s="454"/>
      <c r="J716" s="454"/>
      <c r="K716" s="454"/>
      <c r="L716" s="454"/>
      <c r="M716" s="454"/>
      <c r="N716" s="454"/>
      <c r="O716" s="454"/>
      <c r="P716" s="174"/>
      <c r="Q716" s="174"/>
      <c r="R716" s="174"/>
      <c r="T716" s="140">
        <f t="shared" si="35"/>
        <v>0</v>
      </c>
      <c r="U716" s="138" t="s">
        <v>342</v>
      </c>
      <c r="V716" s="139"/>
      <c r="W716" s="140">
        <f>T716</f>
        <v>0</v>
      </c>
      <c r="X716" s="138" t="s">
        <v>342</v>
      </c>
      <c r="Y716" s="765"/>
      <c r="Z716" s="554"/>
    </row>
    <row r="717" spans="1:26" s="125" customFormat="1" x14ac:dyDescent="0.25">
      <c r="A717" s="461"/>
      <c r="B717" s="135" t="s">
        <v>1057</v>
      </c>
      <c r="C717" s="606"/>
      <c r="D717" s="454"/>
      <c r="E717" s="454"/>
      <c r="F717" s="454"/>
      <c r="G717" s="454"/>
      <c r="H717" s="454"/>
      <c r="I717" s="454"/>
      <c r="J717" s="454"/>
      <c r="K717" s="454"/>
      <c r="L717" s="454"/>
      <c r="M717" s="454"/>
      <c r="N717" s="454"/>
      <c r="O717" s="454"/>
      <c r="P717" s="174"/>
      <c r="Q717" s="174"/>
      <c r="R717" s="174"/>
      <c r="T717" s="140">
        <f t="shared" si="35"/>
        <v>0</v>
      </c>
      <c r="U717" s="138" t="s">
        <v>342</v>
      </c>
      <c r="V717" s="139"/>
      <c r="W717" s="140">
        <f>T717</f>
        <v>0</v>
      </c>
      <c r="X717" s="138" t="s">
        <v>342</v>
      </c>
      <c r="Y717" s="495">
        <f>W714+W715+W716+W717</f>
        <v>0</v>
      </c>
      <c r="Z717" s="153" t="s">
        <v>677</v>
      </c>
    </row>
    <row r="718" spans="1:26" s="125" customFormat="1" x14ac:dyDescent="0.25">
      <c r="A718" s="461"/>
      <c r="B718" s="135" t="s">
        <v>366</v>
      </c>
      <c r="C718" s="606"/>
      <c r="D718" s="454"/>
      <c r="E718" s="454"/>
      <c r="F718" s="454"/>
      <c r="G718" s="454"/>
      <c r="H718" s="454"/>
      <c r="I718" s="454"/>
      <c r="J718" s="454"/>
      <c r="K718" s="454"/>
      <c r="L718" s="454"/>
      <c r="M718" s="454"/>
      <c r="N718" s="454"/>
      <c r="O718" s="454"/>
      <c r="P718" s="178"/>
      <c r="Q718" s="178"/>
      <c r="R718" s="178"/>
      <c r="T718" s="140">
        <f t="shared" si="35"/>
        <v>0</v>
      </c>
      <c r="U718" s="138" t="s">
        <v>367</v>
      </c>
      <c r="V718" s="139"/>
      <c r="W718" s="137">
        <f>T718*7.48</f>
        <v>0</v>
      </c>
      <c r="X718" s="138" t="s">
        <v>346</v>
      </c>
      <c r="Y718" s="157"/>
      <c r="Z718" s="157"/>
    </row>
    <row r="719" spans="1:26" s="125" customFormat="1" x14ac:dyDescent="0.25">
      <c r="A719" s="461"/>
      <c r="B719" s="135" t="s">
        <v>324</v>
      </c>
      <c r="C719" s="606"/>
      <c r="D719" s="455"/>
      <c r="E719" s="455"/>
      <c r="F719" s="455"/>
      <c r="G719" s="455"/>
      <c r="H719" s="455"/>
      <c r="I719" s="455"/>
      <c r="J719" s="455"/>
      <c r="K719" s="455"/>
      <c r="L719" s="455"/>
      <c r="M719" s="455"/>
      <c r="N719" s="455"/>
      <c r="O719" s="455"/>
      <c r="P719" s="176"/>
      <c r="Q719" s="176"/>
      <c r="R719" s="176"/>
      <c r="T719" s="143">
        <f t="shared" si="35"/>
        <v>0</v>
      </c>
      <c r="U719" s="138"/>
      <c r="V719" s="139"/>
      <c r="W719" s="143">
        <f>T719</f>
        <v>0</v>
      </c>
      <c r="X719" s="138"/>
      <c r="Y719" s="157"/>
      <c r="Z719" s="157"/>
    </row>
    <row r="720" spans="1:26" s="125" customFormat="1" x14ac:dyDescent="0.25">
      <c r="A720" s="461"/>
      <c r="B720" s="144" t="s">
        <v>374</v>
      </c>
      <c r="C720" s="607"/>
      <c r="D720" s="455"/>
      <c r="E720" s="455"/>
      <c r="F720" s="455"/>
      <c r="G720" s="455"/>
      <c r="H720" s="455"/>
      <c r="I720" s="455"/>
      <c r="J720" s="455"/>
      <c r="K720" s="455"/>
      <c r="L720" s="455"/>
      <c r="M720" s="455"/>
      <c r="N720" s="455"/>
      <c r="O720" s="455"/>
      <c r="P720" s="179"/>
      <c r="Q720" s="179"/>
      <c r="R720" s="179"/>
      <c r="T720" s="143">
        <f t="shared" si="35"/>
        <v>0</v>
      </c>
      <c r="U720" s="138"/>
      <c r="V720" s="139"/>
      <c r="W720" s="143">
        <f>T720</f>
        <v>0</v>
      </c>
      <c r="X720" s="138"/>
      <c r="Y720" s="157"/>
      <c r="Z720" s="157"/>
    </row>
    <row r="721" spans="1:26" s="125" customFormat="1" x14ac:dyDescent="0.25">
      <c r="A721" s="461"/>
      <c r="B721" s="204" t="s">
        <v>398</v>
      </c>
      <c r="C721" s="607"/>
      <c r="D721" s="455"/>
      <c r="E721" s="455"/>
      <c r="F721" s="455"/>
      <c r="G721" s="455"/>
      <c r="H721" s="455"/>
      <c r="I721" s="455"/>
      <c r="J721" s="455"/>
      <c r="K721" s="455"/>
      <c r="L721" s="455"/>
      <c r="M721" s="455"/>
      <c r="N721" s="455"/>
      <c r="O721" s="455"/>
      <c r="P721" s="179"/>
      <c r="Q721" s="179"/>
      <c r="R721" s="179"/>
      <c r="T721" s="143">
        <f t="shared" si="35"/>
        <v>0</v>
      </c>
      <c r="U721" s="138"/>
      <c r="V721" s="139"/>
      <c r="W721" s="143">
        <f>T721</f>
        <v>0</v>
      </c>
      <c r="X721" s="138"/>
      <c r="Y721" s="157"/>
      <c r="Z721" s="157"/>
    </row>
    <row r="722" spans="1:26" s="125" customFormat="1" x14ac:dyDescent="0.25">
      <c r="A722" s="461"/>
      <c r="B722" s="204" t="s">
        <v>1058</v>
      </c>
      <c r="C722" s="607"/>
      <c r="D722" s="455"/>
      <c r="E722" s="455"/>
      <c r="F722" s="455"/>
      <c r="G722" s="455"/>
      <c r="H722" s="455"/>
      <c r="I722" s="455"/>
      <c r="J722" s="455"/>
      <c r="K722" s="455"/>
      <c r="L722" s="455"/>
      <c r="M722" s="455"/>
      <c r="N722" s="455"/>
      <c r="O722" s="455"/>
      <c r="P722" s="179"/>
      <c r="Q722" s="179"/>
      <c r="R722" s="179"/>
      <c r="T722" s="143">
        <f t="shared" si="35"/>
        <v>0</v>
      </c>
      <c r="U722" s="138"/>
      <c r="V722" s="139"/>
      <c r="W722" s="143">
        <f>T722</f>
        <v>0</v>
      </c>
      <c r="X722" s="138"/>
      <c r="Y722" s="157"/>
      <c r="Z722" s="157"/>
    </row>
    <row r="723" spans="1:26" x14ac:dyDescent="0.25">
      <c r="W723" s="143">
        <f>SUM(W719:W722)</f>
        <v>0</v>
      </c>
      <c r="X723" s="138"/>
    </row>
    <row r="724" spans="1:26" x14ac:dyDescent="0.25">
      <c r="B724" s="666"/>
    </row>
    <row r="725" spans="1:26" x14ac:dyDescent="0.25">
      <c r="A725" s="462">
        <v>75</v>
      </c>
      <c r="B725" s="666" t="s">
        <v>1443</v>
      </c>
      <c r="T725" s="666" t="str">
        <f>B725</f>
        <v>UNCC - Laurel Residence Hall</v>
      </c>
    </row>
    <row r="726" spans="1:26" s="125" customFormat="1" x14ac:dyDescent="0.25">
      <c r="A726" s="461"/>
      <c r="B726" s="130" t="s">
        <v>337</v>
      </c>
      <c r="C726" s="131">
        <v>42522</v>
      </c>
      <c r="D726" s="131">
        <v>42552</v>
      </c>
      <c r="E726" s="131">
        <v>42583</v>
      </c>
      <c r="F726" s="131">
        <v>42614</v>
      </c>
      <c r="G726" s="131">
        <v>42644</v>
      </c>
      <c r="H726" s="131">
        <v>42675</v>
      </c>
      <c r="I726" s="131">
        <v>42705</v>
      </c>
      <c r="J726" s="131">
        <v>42736</v>
      </c>
      <c r="K726" s="131">
        <v>42767</v>
      </c>
      <c r="L726" s="131">
        <v>42795</v>
      </c>
      <c r="M726" s="131">
        <v>42826</v>
      </c>
      <c r="N726" s="131">
        <v>42856</v>
      </c>
      <c r="O726" s="131">
        <v>42887</v>
      </c>
      <c r="P726" s="131">
        <v>42917</v>
      </c>
      <c r="Q726" s="131">
        <v>42948</v>
      </c>
      <c r="R726" s="131">
        <v>42992</v>
      </c>
      <c r="S726" s="132"/>
      <c r="T726" s="133" t="s">
        <v>338</v>
      </c>
      <c r="U726" s="134" t="s">
        <v>339</v>
      </c>
      <c r="V726" s="132"/>
      <c r="W726" s="133" t="s">
        <v>338</v>
      </c>
      <c r="X726" s="134" t="s">
        <v>339</v>
      </c>
      <c r="Y726" s="157"/>
      <c r="Z726" s="157"/>
    </row>
    <row r="727" spans="1:26" s="125" customFormat="1" x14ac:dyDescent="0.25">
      <c r="A727" s="461"/>
      <c r="B727" s="135" t="s">
        <v>340</v>
      </c>
      <c r="C727" s="606"/>
      <c r="D727" s="454"/>
      <c r="E727" s="454"/>
      <c r="F727" s="454"/>
      <c r="G727" s="454"/>
      <c r="H727" s="454"/>
      <c r="I727" s="454"/>
      <c r="J727" s="454"/>
      <c r="K727" s="454"/>
      <c r="L727" s="454"/>
      <c r="M727" s="454"/>
      <c r="N727" s="454"/>
      <c r="O727" s="454"/>
      <c r="P727" s="174"/>
      <c r="Q727" s="174"/>
      <c r="R727" s="174"/>
      <c r="T727" s="140">
        <f t="shared" ref="T727:T735" si="36">SUM(C727:S727)</f>
        <v>0</v>
      </c>
      <c r="U727" s="138" t="s">
        <v>341</v>
      </c>
      <c r="V727" s="139"/>
      <c r="W727" s="140">
        <f>T727*3413/1000000</f>
        <v>0</v>
      </c>
      <c r="X727" s="138" t="s">
        <v>342</v>
      </c>
      <c r="Y727" s="157"/>
      <c r="Z727" s="157"/>
    </row>
    <row r="728" spans="1:26" s="125" customFormat="1" x14ac:dyDescent="0.25">
      <c r="A728" s="461"/>
      <c r="B728" s="135" t="s">
        <v>372</v>
      </c>
      <c r="C728" s="606"/>
      <c r="D728" s="454"/>
      <c r="E728" s="454"/>
      <c r="F728" s="454"/>
      <c r="G728" s="454"/>
      <c r="H728" s="454"/>
      <c r="I728" s="454"/>
      <c r="J728" s="454"/>
      <c r="K728" s="454"/>
      <c r="L728" s="454"/>
      <c r="M728" s="454"/>
      <c r="N728" s="454"/>
      <c r="O728" s="454"/>
      <c r="P728" s="174"/>
      <c r="Q728" s="174"/>
      <c r="R728" s="174"/>
      <c r="T728" s="140">
        <f t="shared" si="36"/>
        <v>0</v>
      </c>
      <c r="U728" s="138" t="s">
        <v>354</v>
      </c>
      <c r="V728" s="139"/>
      <c r="W728" s="140">
        <f>T728*99976.124488/1000000</f>
        <v>0</v>
      </c>
      <c r="X728" s="138" t="s">
        <v>342</v>
      </c>
      <c r="Y728" s="765"/>
      <c r="Z728" s="554"/>
    </row>
    <row r="729" spans="1:26" s="125" customFormat="1" x14ac:dyDescent="0.25">
      <c r="A729" s="461"/>
      <c r="B729" s="135" t="s">
        <v>1056</v>
      </c>
      <c r="C729" s="606"/>
      <c r="D729" s="454"/>
      <c r="E729" s="454"/>
      <c r="F729" s="454"/>
      <c r="G729" s="454"/>
      <c r="H729" s="454"/>
      <c r="I729" s="454"/>
      <c r="J729" s="454"/>
      <c r="K729" s="454"/>
      <c r="L729" s="454"/>
      <c r="M729" s="454"/>
      <c r="N729" s="454"/>
      <c r="O729" s="454"/>
      <c r="P729" s="174"/>
      <c r="Q729" s="174"/>
      <c r="R729" s="174"/>
      <c r="T729" s="140">
        <f t="shared" si="36"/>
        <v>0</v>
      </c>
      <c r="U729" s="138" t="s">
        <v>342</v>
      </c>
      <c r="V729" s="139"/>
      <c r="W729" s="140">
        <f>T729</f>
        <v>0</v>
      </c>
      <c r="X729" s="138" t="s">
        <v>342</v>
      </c>
      <c r="Y729" s="765"/>
      <c r="Z729" s="554"/>
    </row>
    <row r="730" spans="1:26" s="125" customFormat="1" x14ac:dyDescent="0.25">
      <c r="A730" s="461"/>
      <c r="B730" s="135" t="s">
        <v>1057</v>
      </c>
      <c r="C730" s="606"/>
      <c r="D730" s="454"/>
      <c r="E730" s="454"/>
      <c r="F730" s="454"/>
      <c r="G730" s="454"/>
      <c r="H730" s="454"/>
      <c r="I730" s="454"/>
      <c r="J730" s="454"/>
      <c r="K730" s="454"/>
      <c r="L730" s="454"/>
      <c r="M730" s="454"/>
      <c r="N730" s="454"/>
      <c r="O730" s="454"/>
      <c r="P730" s="174"/>
      <c r="Q730" s="174"/>
      <c r="R730" s="174"/>
      <c r="T730" s="140">
        <f t="shared" si="36"/>
        <v>0</v>
      </c>
      <c r="U730" s="138" t="s">
        <v>342</v>
      </c>
      <c r="V730" s="139"/>
      <c r="W730" s="140">
        <f>T730</f>
        <v>0</v>
      </c>
      <c r="X730" s="138" t="s">
        <v>342</v>
      </c>
      <c r="Y730" s="495">
        <f>W727+W728+W729+W730</f>
        <v>0</v>
      </c>
      <c r="Z730" s="153" t="s">
        <v>677</v>
      </c>
    </row>
    <row r="731" spans="1:26" s="125" customFormat="1" x14ac:dyDescent="0.25">
      <c r="A731" s="461"/>
      <c r="B731" s="135" t="s">
        <v>366</v>
      </c>
      <c r="C731" s="606"/>
      <c r="D731" s="454"/>
      <c r="E731" s="454"/>
      <c r="F731" s="454"/>
      <c r="G731" s="454"/>
      <c r="H731" s="454"/>
      <c r="I731" s="454"/>
      <c r="J731" s="454"/>
      <c r="K731" s="454"/>
      <c r="L731" s="454"/>
      <c r="M731" s="454"/>
      <c r="N731" s="454"/>
      <c r="O731" s="454"/>
      <c r="P731" s="178"/>
      <c r="Q731" s="178"/>
      <c r="R731" s="178"/>
      <c r="T731" s="140">
        <f t="shared" si="36"/>
        <v>0</v>
      </c>
      <c r="U731" s="138" t="s">
        <v>367</v>
      </c>
      <c r="V731" s="139"/>
      <c r="W731" s="137">
        <f>T731*7.48</f>
        <v>0</v>
      </c>
      <c r="X731" s="138" t="s">
        <v>346</v>
      </c>
      <c r="Y731" s="157"/>
      <c r="Z731" s="157"/>
    </row>
    <row r="732" spans="1:26" s="125" customFormat="1" x14ac:dyDescent="0.25">
      <c r="A732" s="461"/>
      <c r="B732" s="135" t="s">
        <v>324</v>
      </c>
      <c r="C732" s="606"/>
      <c r="D732" s="455"/>
      <c r="E732" s="455"/>
      <c r="F732" s="455"/>
      <c r="G732" s="455"/>
      <c r="H732" s="455"/>
      <c r="I732" s="455"/>
      <c r="J732" s="455"/>
      <c r="K732" s="455"/>
      <c r="L732" s="455"/>
      <c r="M732" s="455"/>
      <c r="N732" s="455"/>
      <c r="O732" s="455"/>
      <c r="P732" s="176"/>
      <c r="Q732" s="176"/>
      <c r="R732" s="176"/>
      <c r="T732" s="143">
        <f t="shared" si="36"/>
        <v>0</v>
      </c>
      <c r="U732" s="138"/>
      <c r="V732" s="139"/>
      <c r="W732" s="143">
        <f>T732</f>
        <v>0</v>
      </c>
      <c r="X732" s="138"/>
      <c r="Y732" s="157"/>
      <c r="Z732" s="157"/>
    </row>
    <row r="733" spans="1:26" s="125" customFormat="1" x14ac:dyDescent="0.25">
      <c r="A733" s="461"/>
      <c r="B733" s="144" t="s">
        <v>374</v>
      </c>
      <c r="C733" s="607"/>
      <c r="D733" s="455"/>
      <c r="E733" s="455"/>
      <c r="F733" s="455"/>
      <c r="G733" s="455"/>
      <c r="H733" s="455"/>
      <c r="I733" s="455"/>
      <c r="J733" s="455"/>
      <c r="K733" s="455"/>
      <c r="L733" s="455"/>
      <c r="M733" s="455"/>
      <c r="N733" s="455"/>
      <c r="O733" s="455"/>
      <c r="P733" s="179"/>
      <c r="Q733" s="179"/>
      <c r="R733" s="179"/>
      <c r="T733" s="143">
        <f t="shared" si="36"/>
        <v>0</v>
      </c>
      <c r="U733" s="138"/>
      <c r="V733" s="139"/>
      <c r="W733" s="143">
        <f>T733</f>
        <v>0</v>
      </c>
      <c r="X733" s="138"/>
      <c r="Y733" s="157"/>
      <c r="Z733" s="157"/>
    </row>
    <row r="734" spans="1:26" s="125" customFormat="1" x14ac:dyDescent="0.25">
      <c r="A734" s="461"/>
      <c r="B734" s="204" t="s">
        <v>398</v>
      </c>
      <c r="C734" s="607"/>
      <c r="D734" s="455"/>
      <c r="E734" s="455"/>
      <c r="F734" s="455"/>
      <c r="G734" s="455"/>
      <c r="H734" s="455"/>
      <c r="I734" s="455"/>
      <c r="J734" s="455"/>
      <c r="K734" s="455"/>
      <c r="L734" s="455"/>
      <c r="M734" s="455"/>
      <c r="N734" s="455"/>
      <c r="O734" s="455"/>
      <c r="P734" s="179"/>
      <c r="Q734" s="179"/>
      <c r="R734" s="179"/>
      <c r="T734" s="143">
        <f t="shared" si="36"/>
        <v>0</v>
      </c>
      <c r="U734" s="138"/>
      <c r="V734" s="139"/>
      <c r="W734" s="143">
        <f>T734</f>
        <v>0</v>
      </c>
      <c r="X734" s="138"/>
      <c r="Y734" s="157"/>
      <c r="Z734" s="157"/>
    </row>
    <row r="735" spans="1:26" s="125" customFormat="1" x14ac:dyDescent="0.25">
      <c r="A735" s="461"/>
      <c r="B735" s="204" t="s">
        <v>1058</v>
      </c>
      <c r="C735" s="607"/>
      <c r="D735" s="455"/>
      <c r="E735" s="455"/>
      <c r="F735" s="455"/>
      <c r="G735" s="455"/>
      <c r="H735" s="455"/>
      <c r="I735" s="455"/>
      <c r="J735" s="455"/>
      <c r="K735" s="455"/>
      <c r="L735" s="455"/>
      <c r="M735" s="455"/>
      <c r="N735" s="455"/>
      <c r="O735" s="455"/>
      <c r="P735" s="179"/>
      <c r="Q735" s="179"/>
      <c r="R735" s="179"/>
      <c r="T735" s="143">
        <f t="shared" si="36"/>
        <v>0</v>
      </c>
      <c r="U735" s="138"/>
      <c r="V735" s="139"/>
      <c r="W735" s="143">
        <f>T735</f>
        <v>0</v>
      </c>
      <c r="X735" s="138"/>
      <c r="Y735" s="157"/>
      <c r="Z735" s="157"/>
    </row>
    <row r="736" spans="1:26" x14ac:dyDescent="0.25">
      <c r="W736" s="143">
        <f>SUM(W732:W735)</f>
        <v>0</v>
      </c>
      <c r="X736" s="138"/>
    </row>
    <row r="737" spans="1:26" x14ac:dyDescent="0.25">
      <c r="B737" s="666"/>
    </row>
    <row r="738" spans="1:26" x14ac:dyDescent="0.25">
      <c r="A738" s="462">
        <v>76</v>
      </c>
      <c r="B738" s="666" t="s">
        <v>1290</v>
      </c>
      <c r="T738" s="666" t="s">
        <v>1290</v>
      </c>
    </row>
    <row r="739" spans="1:26" s="125" customFormat="1" x14ac:dyDescent="0.25">
      <c r="A739" s="461"/>
      <c r="B739" s="130" t="s">
        <v>337</v>
      </c>
      <c r="C739" s="131">
        <v>42522</v>
      </c>
      <c r="D739" s="131">
        <v>42552</v>
      </c>
      <c r="E739" s="131">
        <v>42583</v>
      </c>
      <c r="F739" s="131">
        <v>42614</v>
      </c>
      <c r="G739" s="131">
        <v>42644</v>
      </c>
      <c r="H739" s="131">
        <v>42675</v>
      </c>
      <c r="I739" s="131">
        <v>42705</v>
      </c>
      <c r="J739" s="131">
        <v>42736</v>
      </c>
      <c r="K739" s="131">
        <v>42767</v>
      </c>
      <c r="L739" s="131">
        <v>42795</v>
      </c>
      <c r="M739" s="131">
        <v>42826</v>
      </c>
      <c r="N739" s="131">
        <v>42856</v>
      </c>
      <c r="O739" s="131">
        <v>42887</v>
      </c>
      <c r="P739" s="131">
        <v>42917</v>
      </c>
      <c r="Q739" s="131">
        <v>42948</v>
      </c>
      <c r="R739" s="131">
        <v>42992</v>
      </c>
      <c r="S739" s="132"/>
      <c r="T739" s="133" t="s">
        <v>338</v>
      </c>
      <c r="U739" s="134" t="s">
        <v>339</v>
      </c>
      <c r="V739" s="132"/>
      <c r="W739" s="133" t="s">
        <v>338</v>
      </c>
      <c r="X739" s="134" t="s">
        <v>339</v>
      </c>
      <c r="Y739" s="157"/>
      <c r="Z739" s="157"/>
    </row>
    <row r="740" spans="1:26" s="125" customFormat="1" x14ac:dyDescent="0.25">
      <c r="A740" s="461"/>
      <c r="B740" s="135" t="s">
        <v>340</v>
      </c>
      <c r="C740" s="606"/>
      <c r="D740" s="136">
        <v>51000</v>
      </c>
      <c r="E740" s="136">
        <v>52560</v>
      </c>
      <c r="F740" s="136">
        <v>65280</v>
      </c>
      <c r="G740" s="136">
        <v>50280</v>
      </c>
      <c r="H740" s="136">
        <v>38640</v>
      </c>
      <c r="I740" s="136">
        <v>32280</v>
      </c>
      <c r="J740" s="136">
        <v>27600</v>
      </c>
      <c r="K740" s="136">
        <v>34440</v>
      </c>
      <c r="L740" s="136">
        <v>34080</v>
      </c>
      <c r="M740" s="136">
        <v>37320</v>
      </c>
      <c r="N740" s="136">
        <v>36480</v>
      </c>
      <c r="O740" s="136">
        <v>30480</v>
      </c>
      <c r="P740" s="499"/>
      <c r="Q740" s="174"/>
      <c r="R740" s="174"/>
      <c r="T740" s="140">
        <f>SUM(D740:O740)</f>
        <v>490440</v>
      </c>
      <c r="U740" s="138" t="s">
        <v>341</v>
      </c>
      <c r="V740" s="139"/>
      <c r="W740" s="140">
        <f>T740*3413/1000000</f>
        <v>1673.8717200000001</v>
      </c>
      <c r="X740" s="138" t="s">
        <v>342</v>
      </c>
      <c r="Y740" s="157"/>
      <c r="Z740" s="157"/>
    </row>
    <row r="741" spans="1:26" s="125" customFormat="1" x14ac:dyDescent="0.25">
      <c r="A741" s="461"/>
      <c r="B741" s="135" t="s">
        <v>343</v>
      </c>
      <c r="C741" s="606"/>
      <c r="D741" s="136">
        <v>33368</v>
      </c>
      <c r="E741" s="136">
        <v>39207.4</v>
      </c>
      <c r="F741" s="136">
        <v>55057.200000000004</v>
      </c>
      <c r="G741" s="136">
        <v>47549.4</v>
      </c>
      <c r="H741" s="136">
        <v>68404.400000000009</v>
      </c>
      <c r="I741" s="136">
        <v>90927.8</v>
      </c>
      <c r="J741" s="136">
        <v>95933</v>
      </c>
      <c r="K741" s="136">
        <v>77580.600000000006</v>
      </c>
      <c r="L741" s="136">
        <v>94264.6</v>
      </c>
      <c r="M741" s="136">
        <v>49217.8</v>
      </c>
      <c r="N741" s="136">
        <v>38373.200000000004</v>
      </c>
      <c r="O741" s="136">
        <v>39207.4</v>
      </c>
      <c r="P741" s="499"/>
      <c r="Q741" s="174"/>
      <c r="R741" s="174"/>
      <c r="T741" s="140">
        <f>SUM(D741:O741)</f>
        <v>729090.8</v>
      </c>
      <c r="U741" s="138" t="s">
        <v>344</v>
      </c>
      <c r="V741" s="139"/>
      <c r="W741" s="140">
        <f>T741/1000</f>
        <v>729.09080000000006</v>
      </c>
      <c r="X741" s="138" t="s">
        <v>342</v>
      </c>
      <c r="Y741" s="495">
        <f>W741+W740</f>
        <v>2402.96252</v>
      </c>
      <c r="Z741" s="138" t="s">
        <v>342</v>
      </c>
    </row>
    <row r="742" spans="1:26" s="125" customFormat="1" x14ac:dyDescent="0.25">
      <c r="A742" s="461"/>
      <c r="B742" s="135" t="s">
        <v>345</v>
      </c>
      <c r="C742" s="606"/>
      <c r="D742" s="141">
        <v>57000</v>
      </c>
      <c r="E742" s="141">
        <v>113000</v>
      </c>
      <c r="F742" s="141">
        <v>230000</v>
      </c>
      <c r="G742" s="141">
        <v>126000</v>
      </c>
      <c r="H742" s="141">
        <v>97000</v>
      </c>
      <c r="I742" s="141">
        <v>32000</v>
      </c>
      <c r="J742" s="141">
        <v>76000</v>
      </c>
      <c r="K742" s="141">
        <v>108000</v>
      </c>
      <c r="L742" s="141">
        <v>104000</v>
      </c>
      <c r="M742" s="141">
        <v>111000</v>
      </c>
      <c r="N742" s="141">
        <v>54000</v>
      </c>
      <c r="O742" s="141">
        <v>48000</v>
      </c>
      <c r="P742" s="618"/>
      <c r="Q742" s="178"/>
      <c r="R742" s="178"/>
      <c r="T742" s="140">
        <f>SUM(D742:O742)</f>
        <v>1156000</v>
      </c>
      <c r="U742" s="138" t="s">
        <v>346</v>
      </c>
      <c r="V742" s="139"/>
      <c r="W742" s="137">
        <f>T742</f>
        <v>1156000</v>
      </c>
      <c r="X742" s="138" t="s">
        <v>346</v>
      </c>
      <c r="Y742" s="157"/>
      <c r="Z742" s="157"/>
    </row>
    <row r="743" spans="1:26" s="125" customFormat="1" x14ac:dyDescent="0.25">
      <c r="A743" s="461"/>
      <c r="B743" s="135" t="s">
        <v>324</v>
      </c>
      <c r="C743" s="606"/>
      <c r="D743" s="142">
        <v>4120.51</v>
      </c>
      <c r="E743" s="142">
        <v>4246.17</v>
      </c>
      <c r="F743" s="142">
        <v>5270.77</v>
      </c>
      <c r="G743" s="142">
        <v>4062.51</v>
      </c>
      <c r="H743" s="142">
        <v>3124.9</v>
      </c>
      <c r="I743" s="142">
        <v>2612.6</v>
      </c>
      <c r="J743" s="142">
        <v>2235.63</v>
      </c>
      <c r="K743" s="142">
        <v>2870.88</v>
      </c>
      <c r="L743" s="142">
        <v>2930.37</v>
      </c>
      <c r="M743" s="142">
        <v>3207.77</v>
      </c>
      <c r="N743" s="142">
        <v>3135.85</v>
      </c>
      <c r="O743" s="142">
        <v>2622.13</v>
      </c>
      <c r="P743" s="1555"/>
      <c r="Q743" s="176"/>
      <c r="R743" s="176"/>
      <c r="T743" s="156">
        <f>SUM(D743:O743)</f>
        <v>40440.089999999997</v>
      </c>
      <c r="U743" s="138"/>
      <c r="V743" s="139"/>
      <c r="W743" s="143">
        <f>T743</f>
        <v>40440.089999999997</v>
      </c>
      <c r="X743" s="138"/>
      <c r="Y743" s="157"/>
      <c r="Z743" s="157"/>
    </row>
    <row r="744" spans="1:26" s="1586" customFormat="1" ht="13.9" customHeight="1" x14ac:dyDescent="0.2">
      <c r="A744" s="1322"/>
      <c r="B744" s="1581" t="s">
        <v>348</v>
      </c>
      <c r="C744" s="1582"/>
      <c r="D744" s="1583">
        <v>700.8</v>
      </c>
      <c r="E744" s="1583">
        <v>823.44</v>
      </c>
      <c r="F744" s="1583">
        <v>1156.32</v>
      </c>
      <c r="G744" s="1583">
        <v>998.64</v>
      </c>
      <c r="H744" s="1583">
        <v>1436.64</v>
      </c>
      <c r="I744" s="1583">
        <v>1909.68</v>
      </c>
      <c r="J744" s="1583">
        <v>2014.8</v>
      </c>
      <c r="K744" s="1583">
        <v>1629.36</v>
      </c>
      <c r="L744" s="1583">
        <v>1979.76</v>
      </c>
      <c r="M744" s="1583">
        <v>1033.68</v>
      </c>
      <c r="N744" s="1583">
        <v>805.92</v>
      </c>
      <c r="O744" s="1583">
        <v>1019.43</v>
      </c>
      <c r="P744" s="1584"/>
      <c r="Q744" s="1585"/>
      <c r="R744" s="1585"/>
      <c r="T744" s="1587">
        <f>SUM(D744:O744)</f>
        <v>15508.470000000001</v>
      </c>
      <c r="U744" s="138"/>
      <c r="V744" s="147"/>
      <c r="W744" s="1588">
        <f>T744</f>
        <v>15508.470000000001</v>
      </c>
      <c r="X744" s="138"/>
      <c r="Y744" s="1589"/>
      <c r="Z744" s="1589"/>
    </row>
    <row r="745" spans="1:26" x14ac:dyDescent="0.25">
      <c r="W745" s="143">
        <f>SUM(W743:W744)</f>
        <v>55948.56</v>
      </c>
      <c r="X745" s="138"/>
    </row>
    <row r="746" spans="1:26" x14ac:dyDescent="0.25">
      <c r="B746" s="666"/>
    </row>
    <row r="747" spans="1:26" x14ac:dyDescent="0.25">
      <c r="A747" s="462">
        <v>77</v>
      </c>
      <c r="B747" s="666" t="s">
        <v>1575</v>
      </c>
      <c r="T747" s="666" t="s">
        <v>1575</v>
      </c>
    </row>
    <row r="748" spans="1:26" s="125" customFormat="1" x14ac:dyDescent="0.25">
      <c r="A748" s="461"/>
      <c r="B748" s="130" t="s">
        <v>337</v>
      </c>
      <c r="C748" s="131">
        <v>42522</v>
      </c>
      <c r="D748" s="131">
        <v>42552</v>
      </c>
      <c r="E748" s="131">
        <v>42583</v>
      </c>
      <c r="F748" s="131">
        <v>42614</v>
      </c>
      <c r="G748" s="131">
        <v>42644</v>
      </c>
      <c r="H748" s="131">
        <v>42675</v>
      </c>
      <c r="I748" s="131">
        <v>42705</v>
      </c>
      <c r="J748" s="131">
        <v>42736</v>
      </c>
      <c r="K748" s="131">
        <v>42767</v>
      </c>
      <c r="L748" s="131">
        <v>42795</v>
      </c>
      <c r="M748" s="131">
        <v>42826</v>
      </c>
      <c r="N748" s="131">
        <v>42856</v>
      </c>
      <c r="O748" s="131">
        <v>42887</v>
      </c>
      <c r="P748" s="131">
        <v>42917</v>
      </c>
      <c r="Q748" s="131">
        <v>42948</v>
      </c>
      <c r="R748" s="131">
        <v>42992</v>
      </c>
      <c r="S748" s="132"/>
      <c r="T748" s="133" t="s">
        <v>338</v>
      </c>
      <c r="U748" s="134" t="s">
        <v>339</v>
      </c>
      <c r="V748" s="132"/>
      <c r="W748" s="133" t="s">
        <v>338</v>
      </c>
      <c r="X748" s="134" t="s">
        <v>339</v>
      </c>
      <c r="Y748" s="157"/>
      <c r="Z748" s="157"/>
    </row>
    <row r="749" spans="1:26" s="125" customFormat="1" x14ac:dyDescent="0.25">
      <c r="A749" s="461"/>
      <c r="B749" s="135" t="s">
        <v>340</v>
      </c>
      <c r="C749" s="612"/>
      <c r="D749" s="160">
        <v>54389</v>
      </c>
      <c r="E749" s="160">
        <v>66815</v>
      </c>
      <c r="F749" s="160">
        <v>80130</v>
      </c>
      <c r="G749" s="160">
        <v>61939</v>
      </c>
      <c r="H749" s="160">
        <v>75690</v>
      </c>
      <c r="I749" s="160">
        <v>55369</v>
      </c>
      <c r="J749" s="160">
        <v>77533</v>
      </c>
      <c r="K749" s="160">
        <v>55539</v>
      </c>
      <c r="L749" s="160">
        <v>75659</v>
      </c>
      <c r="M749" s="160">
        <v>62896</v>
      </c>
      <c r="N749" s="160">
        <v>63463</v>
      </c>
      <c r="O749" s="160">
        <v>74539</v>
      </c>
      <c r="P749" s="456"/>
      <c r="T749" s="137">
        <f>SUM(D749:O749)</f>
        <v>803961</v>
      </c>
      <c r="U749" s="138" t="s">
        <v>341</v>
      </c>
      <c r="V749" s="139"/>
      <c r="W749" s="140">
        <f>T749*3413/1000000</f>
        <v>2743.918893</v>
      </c>
      <c r="X749" s="138" t="s">
        <v>342</v>
      </c>
      <c r="Y749" s="157"/>
      <c r="Z749" s="157"/>
    </row>
    <row r="750" spans="1:26" s="125" customFormat="1" x14ac:dyDescent="0.25">
      <c r="A750" s="461"/>
      <c r="B750" s="135" t="s">
        <v>821</v>
      </c>
      <c r="C750" s="612"/>
      <c r="D750" s="153">
        <v>264</v>
      </c>
      <c r="E750" s="160">
        <v>327</v>
      </c>
      <c r="F750" s="160">
        <v>405</v>
      </c>
      <c r="G750" s="160">
        <v>348</v>
      </c>
      <c r="H750" s="160">
        <v>466</v>
      </c>
      <c r="I750" s="160">
        <v>360</v>
      </c>
      <c r="J750" s="160">
        <v>523</v>
      </c>
      <c r="K750" s="160">
        <v>333</v>
      </c>
      <c r="L750" s="160">
        <v>499</v>
      </c>
      <c r="M750" s="160">
        <v>340</v>
      </c>
      <c r="N750" s="160">
        <v>358</v>
      </c>
      <c r="O750" s="160">
        <v>408</v>
      </c>
      <c r="P750" s="456"/>
      <c r="T750" s="137">
        <f>SUM(D750:O750)</f>
        <v>4631</v>
      </c>
      <c r="U750" s="138" t="s">
        <v>822</v>
      </c>
      <c r="V750" s="139"/>
      <c r="W750" s="140">
        <f>T750*1000*1027/1000000</f>
        <v>4756.0370000000003</v>
      </c>
      <c r="X750" s="138" t="s">
        <v>342</v>
      </c>
      <c r="Y750" s="765"/>
      <c r="Z750" s="150"/>
    </row>
    <row r="751" spans="1:26" s="157" customFormat="1" x14ac:dyDescent="0.25">
      <c r="A751" s="461"/>
      <c r="B751" s="135" t="s">
        <v>1207</v>
      </c>
      <c r="C751" s="599" t="s">
        <v>352</v>
      </c>
      <c r="D751" s="557"/>
      <c r="E751" s="557"/>
      <c r="F751" s="557"/>
      <c r="G751" s="557"/>
      <c r="H751" s="557"/>
      <c r="I751" s="557"/>
      <c r="J751" s="557"/>
      <c r="K751" s="557"/>
      <c r="L751" s="557"/>
      <c r="M751" s="557"/>
      <c r="N751" s="557"/>
      <c r="O751" s="557"/>
      <c r="P751" s="174"/>
      <c r="Q751" s="174"/>
      <c r="T751" s="141">
        <f>SUM(D751:O751)</f>
        <v>0</v>
      </c>
      <c r="U751" s="138" t="s">
        <v>497</v>
      </c>
      <c r="W751" s="160">
        <f>T751/1000</f>
        <v>0</v>
      </c>
      <c r="X751" s="138" t="s">
        <v>342</v>
      </c>
    </row>
    <row r="752" spans="1:26" s="157" customFormat="1" x14ac:dyDescent="0.25">
      <c r="A752" s="461"/>
      <c r="B752" s="192" t="s">
        <v>323</v>
      </c>
      <c r="C752" s="599" t="s">
        <v>352</v>
      </c>
      <c r="D752" s="557"/>
      <c r="E752" s="557"/>
      <c r="F752" s="557"/>
      <c r="G752" s="557"/>
      <c r="H752" s="557"/>
      <c r="I752" s="557"/>
      <c r="J752" s="557"/>
      <c r="K752" s="557"/>
      <c r="L752" s="557"/>
      <c r="M752" s="557"/>
      <c r="N752" s="557"/>
      <c r="O752" s="557"/>
      <c r="P752" s="178"/>
      <c r="Q752" s="178"/>
      <c r="T752" s="141">
        <f>SUM(D752:O752)</f>
        <v>0</v>
      </c>
      <c r="U752" s="188" t="s">
        <v>397</v>
      </c>
      <c r="W752" s="160">
        <f>T752*0.012</f>
        <v>0</v>
      </c>
      <c r="X752" s="138" t="s">
        <v>342</v>
      </c>
      <c r="Y752" s="495">
        <f>W749+W750+W751+W752</f>
        <v>7499.9558930000003</v>
      </c>
      <c r="Z752" s="138" t="s">
        <v>342</v>
      </c>
    </row>
    <row r="753" spans="1:26" s="125" customFormat="1" x14ac:dyDescent="0.25">
      <c r="A753" s="461"/>
      <c r="B753" s="135" t="s">
        <v>322</v>
      </c>
      <c r="C753" s="201"/>
      <c r="D753" s="160">
        <v>3238</v>
      </c>
      <c r="E753" s="160">
        <v>10823</v>
      </c>
      <c r="F753" s="160">
        <v>22310</v>
      </c>
      <c r="G753" s="160">
        <v>18243</v>
      </c>
      <c r="H753" s="160">
        <v>22218</v>
      </c>
      <c r="I753" s="160">
        <v>3499</v>
      </c>
      <c r="J753" s="160">
        <v>17207</v>
      </c>
      <c r="K753" s="160">
        <v>16199</v>
      </c>
      <c r="L753" s="160">
        <v>18834</v>
      </c>
      <c r="M753" s="160">
        <v>14669</v>
      </c>
      <c r="N753" s="160">
        <v>6696</v>
      </c>
      <c r="O753" s="160">
        <v>7792</v>
      </c>
      <c r="P753" s="456"/>
      <c r="T753" s="137">
        <f>SUM(D753:O753)</f>
        <v>161728</v>
      </c>
      <c r="U753" s="138" t="s">
        <v>346</v>
      </c>
      <c r="V753" s="139"/>
      <c r="W753" s="137">
        <f>T753</f>
        <v>161728</v>
      </c>
      <c r="X753" s="138" t="s">
        <v>346</v>
      </c>
      <c r="Y753" s="157"/>
      <c r="Z753" s="157"/>
    </row>
    <row r="754" spans="1:26" s="125" customFormat="1" x14ac:dyDescent="0.25">
      <c r="A754" s="461"/>
      <c r="B754" s="135" t="s">
        <v>324</v>
      </c>
      <c r="C754" s="613"/>
      <c r="D754" s="171">
        <v>4383.75</v>
      </c>
      <c r="E754" s="142">
        <v>5418.7</v>
      </c>
      <c r="F754" s="142">
        <v>6274.18</v>
      </c>
      <c r="G754" s="142">
        <v>4732.1400000000003</v>
      </c>
      <c r="H754" s="142">
        <v>5532.94</v>
      </c>
      <c r="I754" s="142">
        <v>3864.76</v>
      </c>
      <c r="J754" s="142">
        <v>5303.26</v>
      </c>
      <c r="K754" s="142">
        <v>3754.44</v>
      </c>
      <c r="L754" s="142">
        <v>5122.1099999999997</v>
      </c>
      <c r="M754" s="142">
        <v>4283.22</v>
      </c>
      <c r="N754" s="142">
        <v>4499.53</v>
      </c>
      <c r="O754" s="142">
        <v>5381.72</v>
      </c>
      <c r="P754" s="176"/>
      <c r="T754" s="143">
        <f>SUM(D754:Q754)</f>
        <v>58550.750000000007</v>
      </c>
      <c r="U754" s="138"/>
      <c r="V754" s="139"/>
      <c r="W754" s="143">
        <f>T754</f>
        <v>58550.750000000007</v>
      </c>
      <c r="X754" s="138"/>
      <c r="Y754" s="157"/>
      <c r="Z754" s="157"/>
    </row>
    <row r="755" spans="1:26" s="125" customFormat="1" x14ac:dyDescent="0.25">
      <c r="A755" s="461"/>
      <c r="B755" s="144" t="s">
        <v>374</v>
      </c>
      <c r="C755" s="611"/>
      <c r="D755" s="171">
        <v>1354.32</v>
      </c>
      <c r="E755" s="145">
        <v>1599.03</v>
      </c>
      <c r="F755" s="145">
        <v>1980.45</v>
      </c>
      <c r="G755" s="145">
        <v>1743.48</v>
      </c>
      <c r="H755" s="145">
        <v>2353.3000000000002</v>
      </c>
      <c r="I755" s="145">
        <v>2084.4</v>
      </c>
      <c r="J755" s="145">
        <v>3378.58</v>
      </c>
      <c r="K755" s="145">
        <v>2004.66</v>
      </c>
      <c r="L755" s="145">
        <v>2579.83</v>
      </c>
      <c r="M755" s="145">
        <v>1870</v>
      </c>
      <c r="N755" s="145">
        <v>1976.16</v>
      </c>
      <c r="O755" s="145">
        <v>2329.6799999999998</v>
      </c>
      <c r="P755" s="179"/>
      <c r="T755" s="143">
        <f>SUM(D755:Q755)</f>
        <v>25253.890000000003</v>
      </c>
      <c r="U755" s="138"/>
      <c r="V755" s="139"/>
      <c r="W755" s="143">
        <f>T755</f>
        <v>25253.890000000003</v>
      </c>
      <c r="X755" s="138"/>
      <c r="Y755" s="157"/>
      <c r="Z755" s="157" t="s">
        <v>824</v>
      </c>
    </row>
    <row r="756" spans="1:26" s="157" customFormat="1" x14ac:dyDescent="0.25">
      <c r="A756" s="461"/>
      <c r="B756" s="204" t="s">
        <v>819</v>
      </c>
      <c r="C756" s="599" t="s">
        <v>352</v>
      </c>
      <c r="D756" s="145"/>
      <c r="E756" s="145"/>
      <c r="F756" s="145"/>
      <c r="G756" s="145"/>
      <c r="H756" s="145"/>
      <c r="I756" s="145"/>
      <c r="J756" s="145"/>
      <c r="K756" s="145"/>
      <c r="L756" s="145"/>
      <c r="M756" s="145"/>
      <c r="N756" s="145"/>
      <c r="O756" s="145"/>
      <c r="P756" s="184"/>
      <c r="Q756" s="184"/>
      <c r="T756" s="171">
        <f>SUM(D756:O756)</f>
        <v>0</v>
      </c>
      <c r="U756" s="188"/>
      <c r="W756" s="190">
        <f>T756</f>
        <v>0</v>
      </c>
      <c r="X756" s="188"/>
    </row>
    <row r="757" spans="1:26" s="157" customFormat="1" ht="16.5" x14ac:dyDescent="0.35">
      <c r="A757" s="461"/>
      <c r="B757" s="195" t="s">
        <v>398</v>
      </c>
      <c r="C757" s="599" t="s">
        <v>352</v>
      </c>
      <c r="D757" s="145"/>
      <c r="E757" s="145"/>
      <c r="F757" s="145"/>
      <c r="G757" s="145"/>
      <c r="H757" s="145"/>
      <c r="I757" s="145"/>
      <c r="J757" s="145"/>
      <c r="K757" s="145"/>
      <c r="L757" s="145"/>
      <c r="M757" s="145"/>
      <c r="N757" s="145"/>
      <c r="O757" s="145"/>
      <c r="P757" s="446"/>
      <c r="Q757" s="446"/>
      <c r="T757" s="171">
        <f>SUM(D757:O757)</f>
        <v>0</v>
      </c>
      <c r="U757" s="188"/>
      <c r="W757" s="197">
        <f>T757</f>
        <v>0</v>
      </c>
      <c r="X757" s="188"/>
    </row>
    <row r="758" spans="1:26" s="157" customFormat="1" x14ac:dyDescent="0.25">
      <c r="A758" s="461"/>
      <c r="B758" s="200"/>
      <c r="C758" s="345" t="s">
        <v>1597</v>
      </c>
      <c r="D758" s="179"/>
      <c r="E758" s="179"/>
      <c r="F758" s="179"/>
      <c r="G758" s="179"/>
      <c r="H758" s="179"/>
      <c r="I758" s="179"/>
      <c r="J758" s="179"/>
      <c r="K758" s="179"/>
      <c r="L758" s="179"/>
      <c r="M758" s="179"/>
      <c r="N758" s="179"/>
      <c r="O758" s="179"/>
      <c r="P758" s="446"/>
      <c r="Q758" s="446"/>
      <c r="T758" s="184"/>
      <c r="U758" s="199"/>
      <c r="W758" s="143">
        <f>SUM(W754:W757)</f>
        <v>83804.640000000014</v>
      </c>
      <c r="X758" s="138"/>
    </row>
    <row r="759" spans="1:26" x14ac:dyDescent="0.25">
      <c r="B759" s="666"/>
    </row>
    <row r="760" spans="1:26" x14ac:dyDescent="0.25">
      <c r="A760" s="462">
        <v>78</v>
      </c>
      <c r="B760" s="666" t="s">
        <v>1292</v>
      </c>
      <c r="T760" s="666" t="s">
        <v>1292</v>
      </c>
    </row>
    <row r="761" spans="1:26" s="125" customFormat="1" x14ac:dyDescent="0.25">
      <c r="A761" s="461"/>
      <c r="B761" s="130" t="s">
        <v>337</v>
      </c>
      <c r="C761" s="131">
        <v>42522</v>
      </c>
      <c r="D761" s="131">
        <v>42552</v>
      </c>
      <c r="E761" s="131">
        <v>42583</v>
      </c>
      <c r="F761" s="131">
        <v>42614</v>
      </c>
      <c r="G761" s="131">
        <v>42644</v>
      </c>
      <c r="H761" s="131">
        <v>42675</v>
      </c>
      <c r="I761" s="131">
        <v>42705</v>
      </c>
      <c r="J761" s="131">
        <v>42736</v>
      </c>
      <c r="K761" s="131">
        <v>42767</v>
      </c>
      <c r="L761" s="131">
        <v>42795</v>
      </c>
      <c r="M761" s="131">
        <v>42826</v>
      </c>
      <c r="N761" s="131">
        <v>42856</v>
      </c>
      <c r="O761" s="131">
        <v>42887</v>
      </c>
      <c r="P761" s="131">
        <v>42917</v>
      </c>
      <c r="Q761" s="131">
        <v>42948</v>
      </c>
      <c r="R761" s="131">
        <v>42992</v>
      </c>
      <c r="S761" s="132"/>
      <c r="T761" s="133" t="s">
        <v>338</v>
      </c>
      <c r="U761" s="134" t="s">
        <v>339</v>
      </c>
      <c r="V761" s="132"/>
      <c r="W761" s="133" t="s">
        <v>338</v>
      </c>
      <c r="X761" s="134" t="s">
        <v>339</v>
      </c>
      <c r="Y761" s="157"/>
      <c r="Z761" s="157"/>
    </row>
    <row r="762" spans="1:26" s="125" customFormat="1" x14ac:dyDescent="0.25">
      <c r="A762" s="461"/>
      <c r="B762" s="135" t="s">
        <v>340</v>
      </c>
      <c r="C762" s="606"/>
      <c r="D762" s="174"/>
      <c r="E762" s="136"/>
      <c r="F762" s="136"/>
      <c r="G762" s="136"/>
      <c r="H762" s="136"/>
      <c r="I762" s="136"/>
      <c r="J762" s="136"/>
      <c r="K762" s="136"/>
      <c r="L762" s="136"/>
      <c r="M762" s="136"/>
      <c r="N762" s="136"/>
      <c r="O762" s="136"/>
      <c r="P762" s="136"/>
      <c r="R762" s="174"/>
      <c r="T762" s="140">
        <f>SUM(C762:S762)</f>
        <v>0</v>
      </c>
      <c r="U762" s="138" t="s">
        <v>341</v>
      </c>
      <c r="V762" s="139"/>
      <c r="W762" s="140">
        <f>T762*3413/1000000</f>
        <v>0</v>
      </c>
      <c r="X762" s="138" t="s">
        <v>342</v>
      </c>
      <c r="Y762" s="157"/>
      <c r="Z762" s="157"/>
    </row>
    <row r="763" spans="1:26" s="125" customFormat="1" x14ac:dyDescent="0.25">
      <c r="A763" s="461"/>
      <c r="B763" s="135" t="s">
        <v>343</v>
      </c>
      <c r="C763" s="1595" t="s">
        <v>1393</v>
      </c>
      <c r="D763" s="174"/>
      <c r="E763" s="136"/>
      <c r="F763" s="136"/>
      <c r="G763" s="136"/>
      <c r="H763" s="136"/>
      <c r="I763" s="136"/>
      <c r="J763" s="136"/>
      <c r="K763" s="136"/>
      <c r="L763" s="136"/>
      <c r="M763" s="136"/>
      <c r="N763" s="136"/>
      <c r="O763" s="136"/>
      <c r="P763" s="136"/>
      <c r="R763" s="174"/>
      <c r="T763" s="140">
        <f>SUM(C763:S763)</f>
        <v>0</v>
      </c>
      <c r="U763" s="138" t="s">
        <v>344</v>
      </c>
      <c r="V763" s="139"/>
      <c r="W763" s="140">
        <f>T763/1000</f>
        <v>0</v>
      </c>
      <c r="X763" s="138" t="s">
        <v>342</v>
      </c>
      <c r="Y763" s="495">
        <f>W762+W763</f>
        <v>0</v>
      </c>
      <c r="Z763" s="153" t="s">
        <v>342</v>
      </c>
    </row>
    <row r="764" spans="1:26" s="125" customFormat="1" x14ac:dyDescent="0.25">
      <c r="A764" s="461"/>
      <c r="B764" s="135" t="s">
        <v>1392</v>
      </c>
      <c r="C764" s="606"/>
      <c r="D764" s="178"/>
      <c r="E764" s="141"/>
      <c r="F764" s="141"/>
      <c r="G764" s="141"/>
      <c r="H764" s="141"/>
      <c r="I764" s="141"/>
      <c r="J764" s="141"/>
      <c r="K764" s="141"/>
      <c r="L764" s="141"/>
      <c r="M764" s="141"/>
      <c r="N764" s="141"/>
      <c r="O764" s="141"/>
      <c r="P764" s="141"/>
      <c r="R764" s="178"/>
      <c r="T764" s="140">
        <f>SUM(C764:S764)</f>
        <v>0</v>
      </c>
      <c r="U764" s="138" t="s">
        <v>863</v>
      </c>
      <c r="V764" s="139"/>
      <c r="W764" s="137">
        <f>T764*1000</f>
        <v>0</v>
      </c>
      <c r="X764" s="138" t="s">
        <v>346</v>
      </c>
      <c r="Y764" s="157"/>
      <c r="Z764" s="157"/>
    </row>
    <row r="765" spans="1:26" s="125" customFormat="1" x14ac:dyDescent="0.25">
      <c r="A765" s="461"/>
      <c r="B765" s="135" t="s">
        <v>324</v>
      </c>
      <c r="C765" s="606"/>
      <c r="D765" s="176"/>
      <c r="E765" s="142"/>
      <c r="F765" s="142"/>
      <c r="G765" s="142"/>
      <c r="H765" s="142"/>
      <c r="I765" s="142"/>
      <c r="J765" s="142"/>
      <c r="K765" s="142"/>
      <c r="L765" s="142"/>
      <c r="M765" s="142"/>
      <c r="N765" s="142"/>
      <c r="O765" s="142"/>
      <c r="P765" s="142"/>
      <c r="R765" s="176"/>
      <c r="T765" s="143">
        <f>SUM(C765:S765)</f>
        <v>0</v>
      </c>
      <c r="U765" s="138"/>
      <c r="V765" s="139"/>
      <c r="W765" s="143">
        <f>T765</f>
        <v>0</v>
      </c>
      <c r="X765" s="138"/>
      <c r="Y765" s="157"/>
      <c r="Z765" s="157"/>
    </row>
    <row r="766" spans="1:26" s="125" customFormat="1" ht="16.5" x14ac:dyDescent="0.35">
      <c r="A766" s="461"/>
      <c r="B766" s="144" t="s">
        <v>348</v>
      </c>
      <c r="C766" s="1595" t="s">
        <v>1393</v>
      </c>
      <c r="D766" s="179"/>
      <c r="E766" s="145"/>
      <c r="F766" s="145"/>
      <c r="G766" s="145"/>
      <c r="H766" s="145"/>
      <c r="I766" s="145"/>
      <c r="J766" s="145"/>
      <c r="K766" s="145"/>
      <c r="L766" s="145"/>
      <c r="M766" s="145"/>
      <c r="N766" s="145"/>
      <c r="O766" s="145"/>
      <c r="P766" s="145"/>
      <c r="R766" s="179"/>
      <c r="T766" s="143">
        <f>SUM(C766:S766)</f>
        <v>0</v>
      </c>
      <c r="U766" s="138"/>
      <c r="V766" s="139"/>
      <c r="W766" s="146">
        <f>T766</f>
        <v>0</v>
      </c>
      <c r="X766" s="138"/>
      <c r="Y766" s="157"/>
      <c r="Z766" s="157"/>
    </row>
    <row r="767" spans="1:26" x14ac:dyDescent="0.25">
      <c r="W767" s="143">
        <f>SUM(W765:W766)</f>
        <v>0</v>
      </c>
      <c r="X767" s="138"/>
    </row>
    <row r="768" spans="1:26" x14ac:dyDescent="0.25">
      <c r="B768" s="666"/>
    </row>
    <row r="769" spans="1:26" x14ac:dyDescent="0.25">
      <c r="A769" s="462">
        <v>79</v>
      </c>
      <c r="B769" s="666" t="s">
        <v>1293</v>
      </c>
      <c r="T769" s="666" t="s">
        <v>1293</v>
      </c>
    </row>
    <row r="770" spans="1:26" s="125" customFormat="1" x14ac:dyDescent="0.25">
      <c r="A770" s="461"/>
      <c r="B770" s="130" t="s">
        <v>337</v>
      </c>
      <c r="C770" s="131">
        <v>42522</v>
      </c>
      <c r="D770" s="131">
        <v>42552</v>
      </c>
      <c r="E770" s="131">
        <v>42583</v>
      </c>
      <c r="F770" s="131">
        <v>42614</v>
      </c>
      <c r="G770" s="131">
        <v>42644</v>
      </c>
      <c r="H770" s="131">
        <v>42675</v>
      </c>
      <c r="I770" s="131">
        <v>42705</v>
      </c>
      <c r="J770" s="131">
        <v>42736</v>
      </c>
      <c r="K770" s="131">
        <v>42767</v>
      </c>
      <c r="L770" s="131">
        <v>42795</v>
      </c>
      <c r="M770" s="131">
        <v>42826</v>
      </c>
      <c r="N770" s="131">
        <v>42856</v>
      </c>
      <c r="O770" s="131">
        <v>42887</v>
      </c>
      <c r="P770" s="131">
        <v>42917</v>
      </c>
      <c r="Q770" s="131">
        <v>42948</v>
      </c>
      <c r="R770" s="131">
        <v>42992</v>
      </c>
      <c r="S770" s="132"/>
      <c r="T770" s="133" t="s">
        <v>338</v>
      </c>
      <c r="U770" s="134" t="s">
        <v>339</v>
      </c>
      <c r="V770" s="132"/>
      <c r="W770" s="133" t="s">
        <v>338</v>
      </c>
      <c r="X770" s="134" t="s">
        <v>339</v>
      </c>
      <c r="Y770" s="157"/>
      <c r="Z770" s="157"/>
    </row>
    <row r="771" spans="1:26" s="125" customFormat="1" x14ac:dyDescent="0.25">
      <c r="A771" s="461"/>
      <c r="B771" s="135" t="s">
        <v>340</v>
      </c>
      <c r="C771" s="606"/>
      <c r="D771" s="454"/>
      <c r="E771" s="454"/>
      <c r="F771" s="454"/>
      <c r="G771" s="454"/>
      <c r="H771" s="454"/>
      <c r="I771" s="454"/>
      <c r="J771" s="454"/>
      <c r="K771" s="454"/>
      <c r="L771" s="454"/>
      <c r="M771" s="454"/>
      <c r="N771" s="454"/>
      <c r="O771" s="454"/>
      <c r="P771" s="174"/>
      <c r="Q771" s="174"/>
      <c r="R771" s="174"/>
      <c r="T771" s="140">
        <f t="shared" ref="T771:T779" si="37">SUM(C771:S771)</f>
        <v>0</v>
      </c>
      <c r="U771" s="138" t="s">
        <v>341</v>
      </c>
      <c r="V771" s="139"/>
      <c r="W771" s="140">
        <f>T771*3413/1000000</f>
        <v>0</v>
      </c>
      <c r="X771" s="138" t="s">
        <v>342</v>
      </c>
      <c r="Y771" s="157"/>
      <c r="Z771" s="157"/>
    </row>
    <row r="772" spans="1:26" s="125" customFormat="1" x14ac:dyDescent="0.25">
      <c r="A772" s="461"/>
      <c r="B772" s="135" t="s">
        <v>372</v>
      </c>
      <c r="C772" s="606"/>
      <c r="D772" s="454"/>
      <c r="E772" s="454"/>
      <c r="F772" s="454"/>
      <c r="G772" s="454"/>
      <c r="H772" s="454"/>
      <c r="I772" s="454"/>
      <c r="J772" s="454"/>
      <c r="K772" s="454"/>
      <c r="L772" s="454"/>
      <c r="M772" s="454"/>
      <c r="N772" s="454"/>
      <c r="O772" s="454"/>
      <c r="P772" s="174"/>
      <c r="Q772" s="174"/>
      <c r="R772" s="174"/>
      <c r="T772" s="140">
        <f t="shared" si="37"/>
        <v>0</v>
      </c>
      <c r="U772" s="138" t="s">
        <v>354</v>
      </c>
      <c r="V772" s="139"/>
      <c r="W772" s="140">
        <f>T772*99976.124488/1000000</f>
        <v>0</v>
      </c>
      <c r="X772" s="138" t="s">
        <v>342</v>
      </c>
      <c r="Y772" s="765"/>
      <c r="Z772" s="554"/>
    </row>
    <row r="773" spans="1:26" s="125" customFormat="1" x14ac:dyDescent="0.25">
      <c r="A773" s="461"/>
      <c r="B773" s="135" t="s">
        <v>1059</v>
      </c>
      <c r="C773" s="606"/>
      <c r="D773" s="454"/>
      <c r="E773" s="454"/>
      <c r="F773" s="454"/>
      <c r="G773" s="454"/>
      <c r="H773" s="454"/>
      <c r="I773" s="454"/>
      <c r="J773" s="454"/>
      <c r="K773" s="454"/>
      <c r="L773" s="454"/>
      <c r="M773" s="454"/>
      <c r="N773" s="454"/>
      <c r="O773" s="454"/>
      <c r="P773" s="174"/>
      <c r="Q773" s="174"/>
      <c r="R773" s="174"/>
      <c r="T773" s="140">
        <f t="shared" si="37"/>
        <v>0</v>
      </c>
      <c r="U773" s="138" t="s">
        <v>342</v>
      </c>
      <c r="V773" s="139"/>
      <c r="W773" s="140">
        <f>T773</f>
        <v>0</v>
      </c>
      <c r="X773" s="138" t="s">
        <v>342</v>
      </c>
    </row>
    <row r="774" spans="1:26" s="125" customFormat="1" x14ac:dyDescent="0.25">
      <c r="A774" s="461"/>
      <c r="B774" s="135" t="s">
        <v>1060</v>
      </c>
      <c r="C774" s="606"/>
      <c r="D774" s="454"/>
      <c r="E774" s="454"/>
      <c r="F774" s="454"/>
      <c r="G774" s="454"/>
      <c r="H774" s="454"/>
      <c r="I774" s="454"/>
      <c r="J774" s="454"/>
      <c r="K774" s="454"/>
      <c r="L774" s="454"/>
      <c r="M774" s="454"/>
      <c r="N774" s="454"/>
      <c r="O774" s="454"/>
      <c r="P774" s="174"/>
      <c r="Q774" s="174"/>
      <c r="R774" s="174"/>
      <c r="T774" s="140">
        <f t="shared" si="37"/>
        <v>0</v>
      </c>
      <c r="U774" s="138" t="s">
        <v>342</v>
      </c>
      <c r="V774" s="139"/>
      <c r="W774" s="140">
        <f>T774</f>
        <v>0</v>
      </c>
      <c r="X774" s="138" t="s">
        <v>342</v>
      </c>
      <c r="Y774" s="495">
        <f>W771+W772+W773+W774</f>
        <v>0</v>
      </c>
      <c r="Z774" s="153" t="s">
        <v>342</v>
      </c>
    </row>
    <row r="775" spans="1:26" s="125" customFormat="1" x14ac:dyDescent="0.25">
      <c r="A775" s="461"/>
      <c r="B775" s="135" t="s">
        <v>366</v>
      </c>
      <c r="C775" s="606"/>
      <c r="D775" s="454"/>
      <c r="E775" s="454"/>
      <c r="F775" s="454"/>
      <c r="G775" s="454"/>
      <c r="H775" s="454"/>
      <c r="I775" s="454"/>
      <c r="J775" s="454"/>
      <c r="K775" s="454"/>
      <c r="L775" s="454"/>
      <c r="M775" s="454"/>
      <c r="N775" s="454"/>
      <c r="O775" s="454"/>
      <c r="P775" s="178"/>
      <c r="Q775" s="178"/>
      <c r="R775" s="178"/>
      <c r="T775" s="140">
        <f t="shared" si="37"/>
        <v>0</v>
      </c>
      <c r="U775" s="138" t="s">
        <v>367</v>
      </c>
      <c r="V775" s="139"/>
      <c r="W775" s="137">
        <f>T775*7.48</f>
        <v>0</v>
      </c>
      <c r="X775" s="138" t="s">
        <v>346</v>
      </c>
      <c r="Y775" s="157"/>
      <c r="Z775" s="157"/>
    </row>
    <row r="776" spans="1:26" s="125" customFormat="1" x14ac:dyDescent="0.25">
      <c r="A776" s="461"/>
      <c r="B776" s="135" t="s">
        <v>324</v>
      </c>
      <c r="C776" s="606"/>
      <c r="D776" s="455"/>
      <c r="E776" s="455"/>
      <c r="F776" s="455"/>
      <c r="G776" s="455"/>
      <c r="H776" s="455"/>
      <c r="I776" s="455"/>
      <c r="J776" s="455"/>
      <c r="K776" s="455"/>
      <c r="L776" s="455"/>
      <c r="M776" s="455"/>
      <c r="N776" s="455"/>
      <c r="O776" s="455"/>
      <c r="P776" s="176"/>
      <c r="Q776" s="176"/>
      <c r="R776" s="176"/>
      <c r="T776" s="143">
        <f t="shared" si="37"/>
        <v>0</v>
      </c>
      <c r="U776" s="138"/>
      <c r="V776" s="139"/>
      <c r="W776" s="143">
        <f>T776</f>
        <v>0</v>
      </c>
      <c r="X776" s="138"/>
      <c r="Y776" s="157"/>
      <c r="Z776" s="157"/>
    </row>
    <row r="777" spans="1:26" s="125" customFormat="1" x14ac:dyDescent="0.25">
      <c r="A777" s="461"/>
      <c r="B777" s="144" t="s">
        <v>374</v>
      </c>
      <c r="C777" s="607"/>
      <c r="D777" s="455"/>
      <c r="E777" s="455"/>
      <c r="F777" s="455"/>
      <c r="G777" s="455"/>
      <c r="H777" s="455"/>
      <c r="I777" s="455"/>
      <c r="J777" s="455"/>
      <c r="K777" s="455"/>
      <c r="L777" s="455"/>
      <c r="M777" s="455"/>
      <c r="N777" s="455"/>
      <c r="O777" s="455"/>
      <c r="P777" s="179"/>
      <c r="Q777" s="179"/>
      <c r="R777" s="179"/>
      <c r="T777" s="143">
        <f t="shared" si="37"/>
        <v>0</v>
      </c>
      <c r="U777" s="138"/>
      <c r="V777" s="139"/>
      <c r="W777" s="143">
        <f>T777</f>
        <v>0</v>
      </c>
      <c r="X777" s="138"/>
      <c r="Y777" s="157"/>
      <c r="Z777" s="157"/>
    </row>
    <row r="778" spans="1:26" s="125" customFormat="1" x14ac:dyDescent="0.25">
      <c r="A778" s="461"/>
      <c r="B778" s="204" t="s">
        <v>398</v>
      </c>
      <c r="C778" s="607"/>
      <c r="D778" s="455"/>
      <c r="E778" s="455"/>
      <c r="F778" s="455"/>
      <c r="G778" s="455"/>
      <c r="H778" s="455"/>
      <c r="I778" s="455"/>
      <c r="J778" s="455"/>
      <c r="K778" s="455"/>
      <c r="L778" s="455"/>
      <c r="M778" s="455"/>
      <c r="N778" s="455"/>
      <c r="O778" s="455"/>
      <c r="P778" s="179"/>
      <c r="Q778" s="179"/>
      <c r="R778" s="179"/>
      <c r="T778" s="143">
        <f t="shared" si="37"/>
        <v>0</v>
      </c>
      <c r="U778" s="138"/>
      <c r="V778" s="139"/>
      <c r="W778" s="143">
        <f>T778</f>
        <v>0</v>
      </c>
      <c r="X778" s="138"/>
      <c r="Y778" s="157"/>
      <c r="Z778" s="157"/>
    </row>
    <row r="779" spans="1:26" s="125" customFormat="1" ht="16.5" x14ac:dyDescent="0.35">
      <c r="A779" s="461"/>
      <c r="B779" s="204" t="s">
        <v>1058</v>
      </c>
      <c r="C779" s="607"/>
      <c r="D779" s="455"/>
      <c r="E779" s="455"/>
      <c r="F779" s="455"/>
      <c r="G779" s="455"/>
      <c r="H779" s="455"/>
      <c r="I779" s="455"/>
      <c r="J779" s="455"/>
      <c r="K779" s="455"/>
      <c r="L779" s="455"/>
      <c r="M779" s="455"/>
      <c r="N779" s="455"/>
      <c r="O779" s="455"/>
      <c r="P779" s="179"/>
      <c r="Q779" s="179"/>
      <c r="R779" s="179"/>
      <c r="T779" s="143">
        <f t="shared" si="37"/>
        <v>0</v>
      </c>
      <c r="U779" s="138"/>
      <c r="V779" s="139"/>
      <c r="W779" s="597">
        <f>T779</f>
        <v>0</v>
      </c>
      <c r="X779" s="138"/>
      <c r="Y779" s="157"/>
      <c r="Z779" s="157"/>
    </row>
    <row r="780" spans="1:26" x14ac:dyDescent="0.25">
      <c r="W780" s="143">
        <f>SUM(W776:W779)</f>
        <v>0</v>
      </c>
      <c r="X780" s="138"/>
    </row>
    <row r="781" spans="1:26" x14ac:dyDescent="0.25">
      <c r="W781" s="149"/>
      <c r="X781" s="150"/>
    </row>
    <row r="782" spans="1:26" x14ac:dyDescent="0.25">
      <c r="A782" s="462">
        <v>80</v>
      </c>
      <c r="B782" s="1910" t="s">
        <v>1473</v>
      </c>
      <c r="T782" s="1910" t="s">
        <v>1473</v>
      </c>
    </row>
    <row r="783" spans="1:26" s="125" customFormat="1" x14ac:dyDescent="0.25">
      <c r="A783" s="461"/>
      <c r="B783" s="130" t="s">
        <v>337</v>
      </c>
      <c r="C783" s="131">
        <v>42522</v>
      </c>
      <c r="D783" s="131">
        <v>42552</v>
      </c>
      <c r="E783" s="131">
        <v>42583</v>
      </c>
      <c r="F783" s="131">
        <v>42614</v>
      </c>
      <c r="G783" s="131">
        <v>42644</v>
      </c>
      <c r="H783" s="131">
        <v>42675</v>
      </c>
      <c r="I783" s="131">
        <v>42705</v>
      </c>
      <c r="J783" s="131">
        <v>42736</v>
      </c>
      <c r="K783" s="131">
        <v>42767</v>
      </c>
      <c r="L783" s="131">
        <v>42795</v>
      </c>
      <c r="M783" s="131">
        <v>42826</v>
      </c>
      <c r="N783" s="131">
        <v>42856</v>
      </c>
      <c r="O783" s="131">
        <v>42887</v>
      </c>
      <c r="P783" s="131">
        <v>42917</v>
      </c>
      <c r="Q783" s="131">
        <v>42948</v>
      </c>
      <c r="R783" s="131">
        <v>42992</v>
      </c>
      <c r="S783" s="132"/>
      <c r="T783" s="133" t="s">
        <v>338</v>
      </c>
      <c r="U783" s="134" t="s">
        <v>339</v>
      </c>
      <c r="V783" s="132"/>
      <c r="W783" s="133" t="s">
        <v>338</v>
      </c>
      <c r="X783" s="134" t="s">
        <v>339</v>
      </c>
      <c r="Y783" s="157"/>
      <c r="Z783" s="157"/>
    </row>
    <row r="784" spans="1:26" s="125" customFormat="1" x14ac:dyDescent="0.25">
      <c r="A784" s="461"/>
      <c r="B784" s="135" t="s">
        <v>340</v>
      </c>
      <c r="C784" s="606"/>
      <c r="D784" s="174"/>
      <c r="E784" s="136">
        <v>62500</v>
      </c>
      <c r="F784" s="136">
        <v>63700</v>
      </c>
      <c r="G784" s="136">
        <v>49900</v>
      </c>
      <c r="H784" s="136">
        <v>39700</v>
      </c>
      <c r="I784" s="136">
        <v>36500</v>
      </c>
      <c r="J784" s="136">
        <v>36100</v>
      </c>
      <c r="K784" s="136">
        <v>38300</v>
      </c>
      <c r="L784" s="136">
        <v>41900</v>
      </c>
      <c r="M784" s="136">
        <v>46500</v>
      </c>
      <c r="N784" s="136">
        <v>45200</v>
      </c>
      <c r="O784" s="136">
        <v>59000</v>
      </c>
      <c r="P784" s="136">
        <v>61800</v>
      </c>
      <c r="Q784" s="174"/>
      <c r="R784" s="174"/>
      <c r="T784" s="140">
        <f>SUM(D784:Q784)</f>
        <v>581100</v>
      </c>
      <c r="U784" s="138" t="s">
        <v>341</v>
      </c>
      <c r="V784" s="139"/>
      <c r="W784" s="140">
        <f>T784*3413/1000000</f>
        <v>1983.2943</v>
      </c>
      <c r="X784" s="138" t="s">
        <v>342</v>
      </c>
      <c r="Y784" s="157"/>
      <c r="Z784" s="157"/>
    </row>
    <row r="785" spans="1:26" s="125" customFormat="1" x14ac:dyDescent="0.25">
      <c r="A785" s="461"/>
      <c r="B785" s="135" t="s">
        <v>1505</v>
      </c>
      <c r="C785" s="606"/>
      <c r="D785" s="174"/>
      <c r="E785" s="136">
        <v>0</v>
      </c>
      <c r="F785" s="136">
        <v>706.9</v>
      </c>
      <c r="G785" s="136">
        <v>667.3</v>
      </c>
      <c r="H785" s="136">
        <v>0</v>
      </c>
      <c r="I785" s="136">
        <v>0</v>
      </c>
      <c r="J785" s="136">
        <v>0</v>
      </c>
      <c r="K785" s="136">
        <v>0</v>
      </c>
      <c r="L785" s="136">
        <v>0</v>
      </c>
      <c r="M785" s="136">
        <v>0</v>
      </c>
      <c r="N785" s="136">
        <v>0</v>
      </c>
      <c r="O785" s="136">
        <v>0</v>
      </c>
      <c r="P785" s="136">
        <v>0</v>
      </c>
      <c r="Q785" s="174"/>
      <c r="R785" s="174"/>
      <c r="T785" s="140">
        <f>SUM(D785:Q785)</f>
        <v>1374.1999999999998</v>
      </c>
      <c r="U785" s="138" t="s">
        <v>346</v>
      </c>
      <c r="V785" s="139"/>
      <c r="W785" s="140">
        <f>T785*0.138874</f>
        <v>190.84065079999996</v>
      </c>
      <c r="X785" s="138" t="s">
        <v>342</v>
      </c>
      <c r="Y785" s="157"/>
      <c r="Z785" s="157"/>
    </row>
    <row r="786" spans="1:26" s="125" customFormat="1" x14ac:dyDescent="0.25">
      <c r="A786" s="461"/>
      <c r="B786" s="135" t="s">
        <v>372</v>
      </c>
      <c r="C786" s="606"/>
      <c r="D786" s="554"/>
      <c r="E786" s="153">
        <v>0</v>
      </c>
      <c r="F786" s="141">
        <v>0</v>
      </c>
      <c r="G786" s="141">
        <v>0</v>
      </c>
      <c r="H786" s="141">
        <v>1231</v>
      </c>
      <c r="I786" s="141">
        <v>2199</v>
      </c>
      <c r="J786" s="141">
        <v>2302</v>
      </c>
      <c r="K786" s="141">
        <v>1665</v>
      </c>
      <c r="L786" s="141">
        <v>1932</v>
      </c>
      <c r="M786" s="141">
        <v>1240</v>
      </c>
      <c r="N786" s="141">
        <v>1224</v>
      </c>
      <c r="O786" s="141">
        <v>712</v>
      </c>
      <c r="P786" s="136">
        <v>422</v>
      </c>
      <c r="Q786" s="174"/>
      <c r="R786" s="174"/>
      <c r="T786" s="140">
        <f t="shared" ref="T786:T789" si="38">SUM(D786:Q786)</f>
        <v>12927</v>
      </c>
      <c r="U786" s="138" t="s">
        <v>354</v>
      </c>
      <c r="V786" s="139"/>
      <c r="W786" s="140">
        <f>T786*99976.124488/1000000</f>
        <v>1292.3913612563761</v>
      </c>
      <c r="X786" s="138" t="s">
        <v>342</v>
      </c>
      <c r="Y786" s="495">
        <f>W784+W785+W786</f>
        <v>3466.5263120563759</v>
      </c>
      <c r="Z786" s="1323" t="s">
        <v>342</v>
      </c>
    </row>
    <row r="787" spans="1:26" s="125" customFormat="1" x14ac:dyDescent="0.25">
      <c r="A787" s="461"/>
      <c r="B787" s="135" t="s">
        <v>864</v>
      </c>
      <c r="C787" s="606"/>
      <c r="D787" s="178"/>
      <c r="E787" s="141">
        <v>56.179893511569581</v>
      </c>
      <c r="F787" s="141">
        <v>54.01144818655969</v>
      </c>
      <c r="G787" s="141">
        <v>40.163677241060547</v>
      </c>
      <c r="H787" s="141">
        <v>38.752510167931831</v>
      </c>
      <c r="I787" s="141">
        <v>32.25656823280999</v>
      </c>
      <c r="J787" s="141">
        <v>53.257738592673995</v>
      </c>
      <c r="K787" s="141">
        <v>48.393845250047796</v>
      </c>
      <c r="L787" s="141">
        <v>43.818454431119171</v>
      </c>
      <c r="M787" s="141">
        <v>34.369986490115707</v>
      </c>
      <c r="N787" s="141">
        <v>29.201213889034594</v>
      </c>
      <c r="O787" s="141">
        <v>23.486431132923428</v>
      </c>
      <c r="P787" s="141">
        <v>28.190391640299861</v>
      </c>
      <c r="Q787" s="178"/>
      <c r="R787" s="178"/>
      <c r="T787" s="140">
        <f t="shared" si="38"/>
        <v>482.08215876614616</v>
      </c>
      <c r="U787" s="138" t="s">
        <v>379</v>
      </c>
      <c r="V787" s="139"/>
      <c r="W787" s="137">
        <f>T787*748</f>
        <v>360597.45475707733</v>
      </c>
      <c r="X787" s="138" t="s">
        <v>346</v>
      </c>
      <c r="Z787" s="157"/>
    </row>
    <row r="788" spans="1:26" s="125" customFormat="1" x14ac:dyDescent="0.25">
      <c r="A788" s="461"/>
      <c r="B788" s="135" t="s">
        <v>324</v>
      </c>
      <c r="C788" s="606"/>
      <c r="D788" s="176"/>
      <c r="E788" s="142">
        <v>5394.84</v>
      </c>
      <c r="F788" s="142">
        <v>5494.94</v>
      </c>
      <c r="G788" s="142">
        <v>4229.05</v>
      </c>
      <c r="H788" s="142">
        <v>3420.85</v>
      </c>
      <c r="I788" s="142">
        <v>3064.7</v>
      </c>
      <c r="J788" s="142">
        <v>2725.59</v>
      </c>
      <c r="K788" s="142">
        <v>2857.64</v>
      </c>
      <c r="L788" s="142">
        <v>3201.74</v>
      </c>
      <c r="M788" s="142">
        <v>3457.29</v>
      </c>
      <c r="N788" s="142">
        <v>3566.12</v>
      </c>
      <c r="O788" s="142">
        <v>4277.33</v>
      </c>
      <c r="P788" s="142">
        <v>4636.3500000000004</v>
      </c>
      <c r="Q788" s="176"/>
      <c r="R788" s="176"/>
      <c r="T788" s="156">
        <f t="shared" si="38"/>
        <v>46326.44</v>
      </c>
      <c r="U788" s="138"/>
      <c r="V788" s="139"/>
      <c r="W788" s="143">
        <f>T788</f>
        <v>46326.44</v>
      </c>
      <c r="X788" s="138"/>
      <c r="Y788" s="157"/>
      <c r="Z788" s="157"/>
    </row>
    <row r="789" spans="1:26" s="125" customFormat="1" x14ac:dyDescent="0.25">
      <c r="A789" s="461"/>
      <c r="B789" s="135" t="s">
        <v>1514</v>
      </c>
      <c r="C789" s="606"/>
      <c r="D789" s="176"/>
      <c r="E789" s="142">
        <v>0</v>
      </c>
      <c r="F789" s="142">
        <v>1322.26</v>
      </c>
      <c r="G789" s="142">
        <v>1357.56</v>
      </c>
      <c r="H789" s="142">
        <v>0</v>
      </c>
      <c r="I789" s="142">
        <v>0</v>
      </c>
      <c r="J789" s="142">
        <v>0</v>
      </c>
      <c r="K789" s="142">
        <v>0</v>
      </c>
      <c r="L789" s="142">
        <v>0</v>
      </c>
      <c r="M789" s="142">
        <v>0</v>
      </c>
      <c r="N789" s="142">
        <v>0</v>
      </c>
      <c r="O789" s="142">
        <v>0</v>
      </c>
      <c r="P789" s="142">
        <v>0</v>
      </c>
      <c r="Q789" s="176"/>
      <c r="R789" s="176"/>
      <c r="T789" s="156">
        <f t="shared" si="38"/>
        <v>2679.8199999999997</v>
      </c>
      <c r="U789" s="138"/>
      <c r="V789" s="139"/>
      <c r="W789" s="143">
        <f>T789</f>
        <v>2679.8199999999997</v>
      </c>
      <c r="X789" s="138"/>
      <c r="Y789" s="157"/>
      <c r="Z789" s="157"/>
    </row>
    <row r="790" spans="1:26" s="125" customFormat="1" ht="16.5" x14ac:dyDescent="0.35">
      <c r="A790" s="461"/>
      <c r="B790" s="144" t="s">
        <v>374</v>
      </c>
      <c r="C790" s="607"/>
      <c r="D790" s="179"/>
      <c r="E790" s="145"/>
      <c r="F790" s="145"/>
      <c r="G790" s="145">
        <v>18.73</v>
      </c>
      <c r="H790" s="145">
        <v>877.19</v>
      </c>
      <c r="I790" s="145">
        <v>1540.48</v>
      </c>
      <c r="J790" s="145">
        <v>1784.24</v>
      </c>
      <c r="K790" s="145">
        <v>1311.47</v>
      </c>
      <c r="L790" s="145">
        <v>1519.33</v>
      </c>
      <c r="M790" s="145">
        <v>1008.31</v>
      </c>
      <c r="N790" s="145">
        <v>997.11</v>
      </c>
      <c r="O790" s="145">
        <v>599.04</v>
      </c>
      <c r="P790" s="145">
        <v>369.4</v>
      </c>
      <c r="Q790" s="179"/>
      <c r="R790" s="179"/>
      <c r="T790" s="156">
        <f>SUM(D790:Q790)</f>
        <v>10025.300000000001</v>
      </c>
      <c r="U790" s="138"/>
      <c r="V790" s="139"/>
      <c r="W790" s="146">
        <f>T790</f>
        <v>10025.300000000001</v>
      </c>
      <c r="X790" s="138"/>
      <c r="Y790" s="157"/>
      <c r="Z790" s="157"/>
    </row>
    <row r="791" spans="1:26" x14ac:dyDescent="0.25">
      <c r="W791" s="143">
        <f>SUM(W788:W790)</f>
        <v>59031.560000000005</v>
      </c>
      <c r="X791" s="138"/>
    </row>
    <row r="793" spans="1:26" x14ac:dyDescent="0.25">
      <c r="A793" s="462">
        <v>81</v>
      </c>
      <c r="B793" s="1911" t="s">
        <v>1512</v>
      </c>
      <c r="T793" s="1911" t="s">
        <v>1512</v>
      </c>
    </row>
    <row r="794" spans="1:26" s="125" customFormat="1" x14ac:dyDescent="0.25">
      <c r="A794" s="461"/>
      <c r="B794" s="130" t="s">
        <v>337</v>
      </c>
      <c r="C794" s="1152">
        <v>42522</v>
      </c>
      <c r="D794" s="131">
        <v>42552</v>
      </c>
      <c r="E794" s="131">
        <v>42583</v>
      </c>
      <c r="F794" s="131">
        <v>42614</v>
      </c>
      <c r="G794" s="131">
        <v>42644</v>
      </c>
      <c r="H794" s="131">
        <v>42675</v>
      </c>
      <c r="I794" s="131">
        <v>42705</v>
      </c>
      <c r="J794" s="131">
        <v>42736</v>
      </c>
      <c r="K794" s="131">
        <v>42767</v>
      </c>
      <c r="L794" s="131">
        <v>42795</v>
      </c>
      <c r="M794" s="131">
        <v>42826</v>
      </c>
      <c r="N794" s="131">
        <v>42856</v>
      </c>
      <c r="O794" s="131">
        <v>42887</v>
      </c>
      <c r="P794" s="131">
        <v>42917</v>
      </c>
      <c r="Q794" s="131">
        <v>42948</v>
      </c>
      <c r="R794" s="131">
        <v>42992</v>
      </c>
      <c r="S794" s="132"/>
      <c r="T794" s="133" t="s">
        <v>338</v>
      </c>
      <c r="U794" s="134" t="s">
        <v>339</v>
      </c>
      <c r="V794" s="132"/>
      <c r="W794" s="133" t="s">
        <v>338</v>
      </c>
      <c r="X794" s="134" t="s">
        <v>339</v>
      </c>
      <c r="Y794" s="157"/>
      <c r="Z794" s="157"/>
    </row>
    <row r="795" spans="1:26" s="157" customFormat="1" x14ac:dyDescent="0.25">
      <c r="A795" s="461"/>
      <c r="B795" s="135" t="s">
        <v>319</v>
      </c>
      <c r="C795" s="599"/>
      <c r="E795" s="1346">
        <v>93200</v>
      </c>
      <c r="F795" s="1346">
        <v>136470</v>
      </c>
      <c r="G795" s="1346">
        <v>96678</v>
      </c>
      <c r="H795" s="1346">
        <v>96014</v>
      </c>
      <c r="I795" s="1346">
        <v>83407</v>
      </c>
      <c r="J795" s="1346">
        <v>112233</v>
      </c>
      <c r="K795" s="1346">
        <v>102692</v>
      </c>
      <c r="L795" s="1346">
        <v>89845</v>
      </c>
      <c r="M795" s="1346">
        <v>101172</v>
      </c>
      <c r="N795" s="1346">
        <v>84080</v>
      </c>
      <c r="O795" s="1346">
        <v>117029</v>
      </c>
      <c r="P795" s="1346">
        <v>111222</v>
      </c>
      <c r="Q795" s="174"/>
      <c r="T795" s="141">
        <f t="shared" ref="T795:T799" si="39">SUM(C795:Q795)</f>
        <v>1224042</v>
      </c>
      <c r="U795" s="188" t="s">
        <v>341</v>
      </c>
      <c r="W795" s="160">
        <f>T795*3413/1000000</f>
        <v>4177.6553459999996</v>
      </c>
      <c r="X795" s="138" t="s">
        <v>342</v>
      </c>
    </row>
    <row r="796" spans="1:26" s="157" customFormat="1" x14ac:dyDescent="0.25">
      <c r="A796" s="461"/>
      <c r="B796" s="192" t="s">
        <v>861</v>
      </c>
      <c r="C796" s="599"/>
      <c r="E796" s="1346">
        <v>2429</v>
      </c>
      <c r="F796" s="1346">
        <v>2515</v>
      </c>
      <c r="G796" s="1346">
        <v>2700</v>
      </c>
      <c r="H796" s="1346">
        <v>3660.5</v>
      </c>
      <c r="I796" s="1346">
        <v>4521</v>
      </c>
      <c r="J796" s="1346">
        <v>5598.5</v>
      </c>
      <c r="K796" s="1346">
        <v>5927</v>
      </c>
      <c r="L796" s="1346">
        <v>4813</v>
      </c>
      <c r="M796" s="1346">
        <v>5189</v>
      </c>
      <c r="N796" s="1346">
        <v>3761</v>
      </c>
      <c r="O796" s="1346">
        <v>3507</v>
      </c>
      <c r="P796" s="1346">
        <v>2819.5</v>
      </c>
      <c r="Q796" s="178"/>
      <c r="T796" s="141">
        <f t="shared" si="39"/>
        <v>47440.5</v>
      </c>
      <c r="U796" s="188" t="s">
        <v>354</v>
      </c>
      <c r="W796" s="140">
        <f>T796*99976.124488/1000000</f>
        <v>4742.9173337729644</v>
      </c>
      <c r="X796" s="138" t="s">
        <v>342</v>
      </c>
      <c r="Y796" s="495">
        <f>W795+W796</f>
        <v>8920.572679772964</v>
      </c>
      <c r="Z796" s="153" t="s">
        <v>677</v>
      </c>
    </row>
    <row r="797" spans="1:26" s="157" customFormat="1" x14ac:dyDescent="0.25">
      <c r="A797" s="461"/>
      <c r="B797" s="135" t="s">
        <v>862</v>
      </c>
      <c r="C797" s="599"/>
      <c r="E797" s="1346">
        <v>77</v>
      </c>
      <c r="F797" s="1346">
        <v>60</v>
      </c>
      <c r="G797" s="1346">
        <v>110</v>
      </c>
      <c r="H797" s="1346">
        <v>148</v>
      </c>
      <c r="I797" s="1346">
        <v>86</v>
      </c>
      <c r="J797" s="1346">
        <v>98</v>
      </c>
      <c r="K797" s="1346">
        <v>99</v>
      </c>
      <c r="L797" s="1346">
        <v>105</v>
      </c>
      <c r="M797" s="1346">
        <v>98</v>
      </c>
      <c r="N797" s="1346">
        <v>126</v>
      </c>
      <c r="O797" s="1346">
        <v>113</v>
      </c>
      <c r="P797" s="1346">
        <v>128</v>
      </c>
      <c r="Q797" s="178"/>
      <c r="T797" s="141">
        <f t="shared" si="39"/>
        <v>1248</v>
      </c>
      <c r="U797" s="188" t="s">
        <v>863</v>
      </c>
      <c r="W797" s="141">
        <f>T797*1000</f>
        <v>1248000</v>
      </c>
      <c r="X797" s="188" t="s">
        <v>346</v>
      </c>
    </row>
    <row r="798" spans="1:26" s="157" customFormat="1" x14ac:dyDescent="0.25">
      <c r="A798" s="461"/>
      <c r="B798" s="135" t="s">
        <v>324</v>
      </c>
      <c r="C798" s="599"/>
      <c r="E798" s="171">
        <v>6682.44</v>
      </c>
      <c r="F798" s="171">
        <v>7478.56</v>
      </c>
      <c r="G798" s="171">
        <v>6409.75</v>
      </c>
      <c r="H798" s="171">
        <v>4551.0600000000004</v>
      </c>
      <c r="I798" s="171">
        <v>4812.58</v>
      </c>
      <c r="J798" s="171">
        <v>5634.1</v>
      </c>
      <c r="K798" s="171">
        <v>5524.83</v>
      </c>
      <c r="L798" s="171">
        <v>4842.6499999999996</v>
      </c>
      <c r="M798" s="171">
        <v>5837.62</v>
      </c>
      <c r="N798" s="171">
        <v>4658.03</v>
      </c>
      <c r="O798" s="171">
        <v>5570.58</v>
      </c>
      <c r="P798" s="171">
        <v>7926.16</v>
      </c>
      <c r="Q798" s="176"/>
      <c r="T798" s="171">
        <f t="shared" si="39"/>
        <v>69928.36</v>
      </c>
      <c r="U798" s="188"/>
      <c r="W798" s="439">
        <f>T798</f>
        <v>69928.36</v>
      </c>
      <c r="X798" s="188"/>
    </row>
    <row r="799" spans="1:26" s="157" customFormat="1" ht="16.5" x14ac:dyDescent="0.35">
      <c r="A799" s="461"/>
      <c r="B799" s="195" t="s">
        <v>829</v>
      </c>
      <c r="C799" s="599"/>
      <c r="E799" s="171">
        <v>1018.19</v>
      </c>
      <c r="F799" s="171">
        <v>1054.28</v>
      </c>
      <c r="G799" s="171">
        <v>1131.72</v>
      </c>
      <c r="H799" s="171">
        <v>1534.32</v>
      </c>
      <c r="I799" s="171">
        <v>1925.16</v>
      </c>
      <c r="J799" s="171">
        <v>2362.79</v>
      </c>
      <c r="K799" s="171">
        <v>2943.99</v>
      </c>
      <c r="L799" s="171">
        <v>2407.27</v>
      </c>
      <c r="M799" s="171">
        <v>2591.9850000000001</v>
      </c>
      <c r="N799" s="171">
        <v>1899.125</v>
      </c>
      <c r="O799" s="171">
        <v>1770.7149999999999</v>
      </c>
      <c r="P799" s="171">
        <v>1423.645</v>
      </c>
      <c r="Q799" s="446"/>
      <c r="T799" s="171">
        <f t="shared" si="39"/>
        <v>22063.19</v>
      </c>
      <c r="U799" s="188"/>
      <c r="W799" s="197">
        <f>T799</f>
        <v>22063.19</v>
      </c>
      <c r="X799" s="188"/>
    </row>
    <row r="800" spans="1:26" s="125" customFormat="1" x14ac:dyDescent="0.25">
      <c r="A800" s="461"/>
      <c r="B800" s="200"/>
      <c r="C800" s="152"/>
      <c r="E800" s="201"/>
      <c r="F800" s="202"/>
      <c r="G800" s="202"/>
      <c r="H800" s="203"/>
      <c r="I800" s="203"/>
      <c r="J800" s="203"/>
      <c r="K800" s="203"/>
      <c r="L800" s="203"/>
      <c r="M800" s="203"/>
      <c r="N800" s="203"/>
      <c r="O800" s="203"/>
      <c r="P800" s="203"/>
      <c r="S800" s="126"/>
      <c r="V800" s="126"/>
      <c r="W800" s="190">
        <f>SUM(W798:W799)</f>
        <v>91991.55</v>
      </c>
      <c r="X800" s="440"/>
      <c r="Y800" s="157"/>
      <c r="Z800" s="157"/>
    </row>
    <row r="802" spans="1:26" x14ac:dyDescent="0.25">
      <c r="A802" s="462">
        <v>82</v>
      </c>
      <c r="B802" s="1910" t="s">
        <v>1598</v>
      </c>
      <c r="T802" s="1910" t="s">
        <v>1598</v>
      </c>
    </row>
    <row r="803" spans="1:26" s="125" customFormat="1" x14ac:dyDescent="0.25">
      <c r="A803" s="461"/>
      <c r="B803" s="130" t="s">
        <v>337</v>
      </c>
      <c r="C803" s="131">
        <v>42522</v>
      </c>
      <c r="D803" s="131">
        <v>42552</v>
      </c>
      <c r="E803" s="131">
        <v>42583</v>
      </c>
      <c r="F803" s="131">
        <v>42614</v>
      </c>
      <c r="G803" s="131">
        <v>42644</v>
      </c>
      <c r="H803" s="131">
        <v>42675</v>
      </c>
      <c r="I803" s="131">
        <v>42705</v>
      </c>
      <c r="J803" s="131">
        <v>42736</v>
      </c>
      <c r="K803" s="131">
        <v>42767</v>
      </c>
      <c r="L803" s="131">
        <v>42795</v>
      </c>
      <c r="M803" s="131">
        <v>42826</v>
      </c>
      <c r="N803" s="131">
        <v>42856</v>
      </c>
      <c r="O803" s="131">
        <v>42887</v>
      </c>
      <c r="P803" s="131">
        <v>42917</v>
      </c>
      <c r="Q803" s="131">
        <v>42948</v>
      </c>
      <c r="R803" s="131">
        <v>42992</v>
      </c>
      <c r="S803" s="132"/>
      <c r="T803" s="133" t="s">
        <v>338</v>
      </c>
      <c r="U803" s="134" t="s">
        <v>339</v>
      </c>
      <c r="V803" s="132"/>
      <c r="W803" s="133" t="s">
        <v>338</v>
      </c>
      <c r="X803" s="134" t="s">
        <v>339</v>
      </c>
      <c r="Y803" s="157"/>
      <c r="Z803" s="157"/>
    </row>
    <row r="804" spans="1:26" s="125" customFormat="1" x14ac:dyDescent="0.25">
      <c r="A804" s="461"/>
      <c r="B804" s="135" t="s">
        <v>340</v>
      </c>
      <c r="C804" s="606"/>
      <c r="D804" s="454"/>
      <c r="E804" s="454"/>
      <c r="F804" s="454"/>
      <c r="G804" s="454"/>
      <c r="H804" s="454"/>
      <c r="I804" s="454"/>
      <c r="J804" s="454"/>
      <c r="K804" s="454"/>
      <c r="L804" s="454"/>
      <c r="M804" s="454"/>
      <c r="N804" s="454"/>
      <c r="O804" s="454"/>
      <c r="P804" s="174"/>
      <c r="Q804" s="174"/>
      <c r="R804" s="174"/>
      <c r="T804" s="140">
        <f t="shared" ref="T804:T812" si="40">SUM(C804:S804)</f>
        <v>0</v>
      </c>
      <c r="U804" s="138" t="s">
        <v>341</v>
      </c>
      <c r="V804" s="139"/>
      <c r="W804" s="140">
        <f>T804*3413/1000000</f>
        <v>0</v>
      </c>
      <c r="X804" s="138" t="s">
        <v>342</v>
      </c>
      <c r="Y804" s="157"/>
      <c r="Z804" s="157"/>
    </row>
    <row r="805" spans="1:26" s="125" customFormat="1" x14ac:dyDescent="0.25">
      <c r="A805" s="461"/>
      <c r="B805" s="135" t="s">
        <v>372</v>
      </c>
      <c r="C805" s="606"/>
      <c r="D805" s="454"/>
      <c r="E805" s="454"/>
      <c r="F805" s="454"/>
      <c r="G805" s="454"/>
      <c r="H805" s="454"/>
      <c r="I805" s="454"/>
      <c r="J805" s="454"/>
      <c r="K805" s="454"/>
      <c r="L805" s="454"/>
      <c r="M805" s="454"/>
      <c r="N805" s="454"/>
      <c r="O805" s="454"/>
      <c r="P805" s="174"/>
      <c r="Q805" s="174"/>
      <c r="R805" s="174"/>
      <c r="T805" s="140">
        <f t="shared" si="40"/>
        <v>0</v>
      </c>
      <c r="U805" s="138" t="s">
        <v>354</v>
      </c>
      <c r="V805" s="139"/>
      <c r="W805" s="140">
        <f>T805*99976.124488/1000000</f>
        <v>0</v>
      </c>
      <c r="X805" s="138" t="s">
        <v>342</v>
      </c>
      <c r="Y805" s="765"/>
      <c r="Z805" s="554"/>
    </row>
    <row r="806" spans="1:26" s="125" customFormat="1" x14ac:dyDescent="0.25">
      <c r="A806" s="461"/>
      <c r="B806" s="135" t="s">
        <v>1059</v>
      </c>
      <c r="C806" s="606"/>
      <c r="D806" s="454"/>
      <c r="E806" s="454"/>
      <c r="F806" s="454"/>
      <c r="G806" s="454"/>
      <c r="H806" s="454"/>
      <c r="I806" s="454"/>
      <c r="J806" s="454"/>
      <c r="K806" s="454"/>
      <c r="L806" s="454"/>
      <c r="M806" s="454"/>
      <c r="N806" s="454"/>
      <c r="O806" s="454"/>
      <c r="P806" s="174"/>
      <c r="Q806" s="174"/>
      <c r="R806" s="174"/>
      <c r="T806" s="140">
        <f t="shared" si="40"/>
        <v>0</v>
      </c>
      <c r="U806" s="138" t="s">
        <v>342</v>
      </c>
      <c r="V806" s="139"/>
      <c r="W806" s="140">
        <f>T806</f>
        <v>0</v>
      </c>
      <c r="X806" s="138" t="s">
        <v>342</v>
      </c>
    </row>
    <row r="807" spans="1:26" s="125" customFormat="1" x14ac:dyDescent="0.25">
      <c r="A807" s="461"/>
      <c r="B807" s="135" t="s">
        <v>1060</v>
      </c>
      <c r="C807" s="606"/>
      <c r="D807" s="454"/>
      <c r="E807" s="454"/>
      <c r="F807" s="454"/>
      <c r="G807" s="454"/>
      <c r="H807" s="454"/>
      <c r="I807" s="454"/>
      <c r="J807" s="454"/>
      <c r="K807" s="454"/>
      <c r="L807" s="454"/>
      <c r="M807" s="454"/>
      <c r="N807" s="454"/>
      <c r="O807" s="454"/>
      <c r="P807" s="174"/>
      <c r="Q807" s="174"/>
      <c r="R807" s="174"/>
      <c r="T807" s="140">
        <f t="shared" si="40"/>
        <v>0</v>
      </c>
      <c r="U807" s="138" t="s">
        <v>342</v>
      </c>
      <c r="V807" s="139"/>
      <c r="W807" s="140">
        <f>T807</f>
        <v>0</v>
      </c>
      <c r="X807" s="138" t="s">
        <v>342</v>
      </c>
      <c r="Y807" s="495">
        <f>W804+W805+W806+W807</f>
        <v>0</v>
      </c>
      <c r="Z807" s="153" t="s">
        <v>342</v>
      </c>
    </row>
    <row r="808" spans="1:26" s="125" customFormat="1" x14ac:dyDescent="0.25">
      <c r="A808" s="461"/>
      <c r="B808" s="135" t="s">
        <v>366</v>
      </c>
      <c r="C808" s="606"/>
      <c r="D808" s="454"/>
      <c r="E808" s="454"/>
      <c r="F808" s="454"/>
      <c r="G808" s="454"/>
      <c r="H808" s="454"/>
      <c r="I808" s="454"/>
      <c r="J808" s="454"/>
      <c r="K808" s="454"/>
      <c r="L808" s="454"/>
      <c r="M808" s="454"/>
      <c r="N808" s="454"/>
      <c r="O808" s="454"/>
      <c r="P808" s="178"/>
      <c r="Q808" s="178"/>
      <c r="R808" s="178"/>
      <c r="T808" s="140">
        <f t="shared" si="40"/>
        <v>0</v>
      </c>
      <c r="U808" s="138" t="s">
        <v>367</v>
      </c>
      <c r="V808" s="139"/>
      <c r="W808" s="137">
        <f>T808*7.48</f>
        <v>0</v>
      </c>
      <c r="X808" s="138" t="s">
        <v>346</v>
      </c>
      <c r="Y808" s="157"/>
      <c r="Z808" s="157"/>
    </row>
    <row r="809" spans="1:26" s="125" customFormat="1" x14ac:dyDescent="0.25">
      <c r="A809" s="461"/>
      <c r="B809" s="135" t="s">
        <v>324</v>
      </c>
      <c r="C809" s="606"/>
      <c r="D809" s="455"/>
      <c r="E809" s="455"/>
      <c r="F809" s="455"/>
      <c r="G809" s="455"/>
      <c r="H809" s="455"/>
      <c r="I809" s="455"/>
      <c r="J809" s="455"/>
      <c r="K809" s="455"/>
      <c r="L809" s="455"/>
      <c r="M809" s="455"/>
      <c r="N809" s="455"/>
      <c r="O809" s="455"/>
      <c r="P809" s="176"/>
      <c r="Q809" s="176"/>
      <c r="R809" s="176"/>
      <c r="T809" s="143">
        <f t="shared" si="40"/>
        <v>0</v>
      </c>
      <c r="U809" s="138"/>
      <c r="V809" s="139"/>
      <c r="W809" s="143">
        <f>T809</f>
        <v>0</v>
      </c>
      <c r="X809" s="138"/>
      <c r="Y809" s="157"/>
      <c r="Z809" s="157"/>
    </row>
    <row r="810" spans="1:26" s="125" customFormat="1" x14ac:dyDescent="0.25">
      <c r="A810" s="461"/>
      <c r="B810" s="144" t="s">
        <v>374</v>
      </c>
      <c r="C810" s="607"/>
      <c r="D810" s="455"/>
      <c r="E810" s="455"/>
      <c r="F810" s="455"/>
      <c r="G810" s="455"/>
      <c r="H810" s="455"/>
      <c r="I810" s="455"/>
      <c r="J810" s="455"/>
      <c r="K810" s="455"/>
      <c r="L810" s="455"/>
      <c r="M810" s="455"/>
      <c r="N810" s="455"/>
      <c r="O810" s="455"/>
      <c r="P810" s="179"/>
      <c r="Q810" s="179"/>
      <c r="R810" s="179"/>
      <c r="T810" s="143">
        <f t="shared" si="40"/>
        <v>0</v>
      </c>
      <c r="U810" s="138"/>
      <c r="V810" s="139"/>
      <c r="W810" s="143">
        <f>T810</f>
        <v>0</v>
      </c>
      <c r="X810" s="138"/>
      <c r="Y810" s="157"/>
      <c r="Z810" s="157"/>
    </row>
    <row r="811" spans="1:26" s="125" customFormat="1" x14ac:dyDescent="0.25">
      <c r="A811" s="461"/>
      <c r="B811" s="204" t="s">
        <v>398</v>
      </c>
      <c r="C811" s="607"/>
      <c r="D811" s="455"/>
      <c r="E811" s="455"/>
      <c r="F811" s="455"/>
      <c r="G811" s="455"/>
      <c r="H811" s="455"/>
      <c r="I811" s="455"/>
      <c r="J811" s="455"/>
      <c r="K811" s="455"/>
      <c r="L811" s="455"/>
      <c r="M811" s="455"/>
      <c r="N811" s="455"/>
      <c r="O811" s="455"/>
      <c r="P811" s="179"/>
      <c r="Q811" s="179"/>
      <c r="R811" s="179"/>
      <c r="T811" s="143">
        <f t="shared" si="40"/>
        <v>0</v>
      </c>
      <c r="U811" s="138"/>
      <c r="V811" s="139"/>
      <c r="W811" s="143">
        <f>T811</f>
        <v>0</v>
      </c>
      <c r="X811" s="138"/>
      <c r="Y811" s="157"/>
      <c r="Z811" s="157"/>
    </row>
    <row r="812" spans="1:26" s="125" customFormat="1" ht="16.5" x14ac:dyDescent="0.35">
      <c r="A812" s="461"/>
      <c r="B812" s="204" t="s">
        <v>1058</v>
      </c>
      <c r="C812" s="607"/>
      <c r="D812" s="455"/>
      <c r="E812" s="455"/>
      <c r="F812" s="455"/>
      <c r="G812" s="455"/>
      <c r="H812" s="455"/>
      <c r="I812" s="455"/>
      <c r="J812" s="455"/>
      <c r="K812" s="455"/>
      <c r="L812" s="455"/>
      <c r="M812" s="455"/>
      <c r="N812" s="455"/>
      <c r="O812" s="455"/>
      <c r="P812" s="179"/>
      <c r="Q812" s="179"/>
      <c r="R812" s="179"/>
      <c r="T812" s="143">
        <f t="shared" si="40"/>
        <v>0</v>
      </c>
      <c r="U812" s="138"/>
      <c r="V812" s="139"/>
      <c r="W812" s="597">
        <f>T812</f>
        <v>0</v>
      </c>
      <c r="X812" s="138"/>
      <c r="Y812" s="157"/>
      <c r="Z812" s="157"/>
    </row>
    <row r="813" spans="1:26" x14ac:dyDescent="0.25">
      <c r="W813" s="143">
        <f>SUM(W809:W812)</f>
        <v>0</v>
      </c>
      <c r="X813" s="138"/>
    </row>
    <row r="815" spans="1:26" x14ac:dyDescent="0.25">
      <c r="A815" s="462">
        <v>83</v>
      </c>
      <c r="B815" s="1910" t="s">
        <v>1477</v>
      </c>
      <c r="T815" s="1910" t="s">
        <v>1477</v>
      </c>
    </row>
    <row r="816" spans="1:26" s="125" customFormat="1" x14ac:dyDescent="0.25">
      <c r="A816" s="461"/>
      <c r="B816" s="130" t="s">
        <v>337</v>
      </c>
      <c r="C816" s="131">
        <v>42522</v>
      </c>
      <c r="D816" s="131">
        <v>42552</v>
      </c>
      <c r="E816" s="131">
        <v>42583</v>
      </c>
      <c r="F816" s="131">
        <v>42614</v>
      </c>
      <c r="G816" s="131">
        <v>42644</v>
      </c>
      <c r="H816" s="131">
        <v>42675</v>
      </c>
      <c r="I816" s="131">
        <v>42705</v>
      </c>
      <c r="J816" s="131">
        <v>42736</v>
      </c>
      <c r="K816" s="131">
        <v>42767</v>
      </c>
      <c r="L816" s="131">
        <v>42795</v>
      </c>
      <c r="M816" s="131">
        <v>42826</v>
      </c>
      <c r="N816" s="131">
        <v>42856</v>
      </c>
      <c r="O816" s="131">
        <v>42887</v>
      </c>
      <c r="P816" s="131">
        <v>42917</v>
      </c>
      <c r="Q816" s="131">
        <v>42948</v>
      </c>
      <c r="R816" s="131">
        <v>42992</v>
      </c>
      <c r="S816" s="132"/>
      <c r="T816" s="133" t="s">
        <v>338</v>
      </c>
      <c r="U816" s="134" t="s">
        <v>339</v>
      </c>
      <c r="V816" s="132"/>
      <c r="W816" s="133" t="s">
        <v>338</v>
      </c>
      <c r="X816" s="134" t="s">
        <v>339</v>
      </c>
      <c r="Y816" s="157"/>
      <c r="Z816" s="157"/>
    </row>
    <row r="817" spans="1:26" s="125" customFormat="1" x14ac:dyDescent="0.25">
      <c r="A817" s="461"/>
      <c r="B817" s="135" t="s">
        <v>340</v>
      </c>
      <c r="C817" s="606"/>
      <c r="D817" s="454">
        <v>472979</v>
      </c>
      <c r="E817" s="454">
        <v>545332</v>
      </c>
      <c r="F817" s="454">
        <v>503876</v>
      </c>
      <c r="G817" s="454">
        <v>342687</v>
      </c>
      <c r="H817" s="454">
        <v>323860</v>
      </c>
      <c r="I817" s="454">
        <v>292633</v>
      </c>
      <c r="J817" s="454">
        <v>295932</v>
      </c>
      <c r="K817" s="454">
        <v>275150</v>
      </c>
      <c r="L817" s="454">
        <v>333061</v>
      </c>
      <c r="M817" s="454">
        <v>341723</v>
      </c>
      <c r="N817" s="454">
        <v>370179</v>
      </c>
      <c r="O817" s="454">
        <v>463630</v>
      </c>
      <c r="P817" s="174"/>
      <c r="Q817" s="174"/>
      <c r="R817" s="174"/>
      <c r="T817" s="140">
        <f t="shared" ref="T817:T821" si="41">SUM(C817:S817)</f>
        <v>4561042</v>
      </c>
      <c r="U817" s="138" t="s">
        <v>341</v>
      </c>
      <c r="V817" s="139"/>
      <c r="W817" s="140">
        <f>T817*3413/1000000</f>
        <v>15566.836346</v>
      </c>
      <c r="X817" s="138" t="s">
        <v>342</v>
      </c>
      <c r="Y817" s="157"/>
      <c r="Z817" s="157"/>
    </row>
    <row r="818" spans="1:26" s="125" customFormat="1" x14ac:dyDescent="0.25">
      <c r="A818" s="461"/>
      <c r="B818" s="135" t="s">
        <v>372</v>
      </c>
      <c r="C818" s="606"/>
      <c r="D818" s="454">
        <v>8075</v>
      </c>
      <c r="E818" s="454">
        <v>7697</v>
      </c>
      <c r="F818" s="454">
        <v>9092</v>
      </c>
      <c r="G818" s="454">
        <v>9912</v>
      </c>
      <c r="H818" s="454">
        <v>14428</v>
      </c>
      <c r="I818" s="454">
        <v>22001</v>
      </c>
      <c r="J818" s="454">
        <v>24984</v>
      </c>
      <c r="K818" s="454">
        <v>17582</v>
      </c>
      <c r="L818" s="454">
        <v>16177</v>
      </c>
      <c r="M818" s="454">
        <v>17143</v>
      </c>
      <c r="N818" s="454">
        <v>11528</v>
      </c>
      <c r="O818" s="454">
        <v>9437</v>
      </c>
      <c r="P818" s="174"/>
      <c r="Q818" s="174"/>
      <c r="R818" s="174"/>
      <c r="T818" s="140">
        <f t="shared" si="41"/>
        <v>168056</v>
      </c>
      <c r="U818" s="138" t="s">
        <v>354</v>
      </c>
      <c r="V818" s="139"/>
      <c r="W818" s="140">
        <f>T818*99976.124488/1000000</f>
        <v>16801.587576955328</v>
      </c>
      <c r="X818" s="138" t="s">
        <v>342</v>
      </c>
      <c r="Y818" s="495">
        <f>W817+W818</f>
        <v>32368.423922955328</v>
      </c>
      <c r="Z818" s="153" t="s">
        <v>342</v>
      </c>
    </row>
    <row r="819" spans="1:26" s="125" customFormat="1" x14ac:dyDescent="0.25">
      <c r="A819" s="461"/>
      <c r="B819" s="135" t="s">
        <v>345</v>
      </c>
      <c r="C819" s="606"/>
      <c r="D819" s="1708" t="s">
        <v>1419</v>
      </c>
      <c r="E819" s="454">
        <v>136136</v>
      </c>
      <c r="F819" s="454">
        <v>846736</v>
      </c>
      <c r="G819" s="454">
        <v>731544</v>
      </c>
      <c r="H819" s="454">
        <v>425612</v>
      </c>
      <c r="I819" s="454">
        <v>348568</v>
      </c>
      <c r="J819" s="454">
        <v>232628</v>
      </c>
      <c r="K819" s="454">
        <v>184756</v>
      </c>
      <c r="L819" s="454">
        <v>267784</v>
      </c>
      <c r="M819" s="454">
        <v>228140</v>
      </c>
      <c r="N819" s="454">
        <v>303688</v>
      </c>
      <c r="O819" s="454">
        <v>365772</v>
      </c>
      <c r="P819" s="178"/>
      <c r="Q819" s="178"/>
      <c r="R819" s="178"/>
      <c r="T819" s="140">
        <f t="shared" si="41"/>
        <v>4071364</v>
      </c>
      <c r="U819" s="138" t="s">
        <v>346</v>
      </c>
      <c r="V819" s="139"/>
      <c r="W819" s="137">
        <f t="shared" ref="W819:W821" si="42">T819</f>
        <v>4071364</v>
      </c>
      <c r="X819" s="138" t="s">
        <v>346</v>
      </c>
      <c r="Y819" s="157"/>
      <c r="Z819" s="157"/>
    </row>
    <row r="820" spans="1:26" s="125" customFormat="1" x14ac:dyDescent="0.25">
      <c r="A820" s="461"/>
      <c r="B820" s="135" t="s">
        <v>324</v>
      </c>
      <c r="C820" s="606"/>
      <c r="D820" s="455">
        <v>35972.839999999997</v>
      </c>
      <c r="E820" s="455">
        <v>41213.339999999997</v>
      </c>
      <c r="F820" s="455">
        <v>35924</v>
      </c>
      <c r="G820" s="455">
        <v>25630.78</v>
      </c>
      <c r="H820" s="455">
        <v>23219.21</v>
      </c>
      <c r="I820" s="455">
        <v>19651.36</v>
      </c>
      <c r="J820" s="455">
        <v>16405.96</v>
      </c>
      <c r="K820" s="455">
        <v>16179.25</v>
      </c>
      <c r="L820" s="455">
        <v>19083.310000000001</v>
      </c>
      <c r="M820" s="455">
        <v>20252.48</v>
      </c>
      <c r="N820" s="455">
        <v>21826.62</v>
      </c>
      <c r="O820" s="455">
        <v>34676.43</v>
      </c>
      <c r="P820" s="176"/>
      <c r="Q820" s="176"/>
      <c r="R820" s="176"/>
      <c r="T820" s="143">
        <f t="shared" si="41"/>
        <v>310035.57999999996</v>
      </c>
      <c r="U820" s="138"/>
      <c r="V820" s="139"/>
      <c r="W820" s="143">
        <f t="shared" si="42"/>
        <v>310035.57999999996</v>
      </c>
      <c r="X820" s="138"/>
      <c r="Y820" s="157"/>
      <c r="Z820" s="157"/>
    </row>
    <row r="821" spans="1:26" s="125" customFormat="1" ht="16.5" x14ac:dyDescent="0.35">
      <c r="A821" s="461"/>
      <c r="B821" s="144" t="s">
        <v>374</v>
      </c>
      <c r="C821" s="607"/>
      <c r="D821" s="455">
        <v>5954.12</v>
      </c>
      <c r="E821" s="455">
        <v>5676.5</v>
      </c>
      <c r="F821" s="455">
        <v>6701.05</v>
      </c>
      <c r="G821" s="455">
        <v>7370.3</v>
      </c>
      <c r="H821" s="455">
        <v>10877.119999999999</v>
      </c>
      <c r="I821" s="455">
        <v>19284.79</v>
      </c>
      <c r="J821" s="455">
        <v>22601.42</v>
      </c>
      <c r="K821" s="455">
        <v>15760.77</v>
      </c>
      <c r="L821" s="455">
        <v>14503.19</v>
      </c>
      <c r="M821" s="455">
        <v>14739.4</v>
      </c>
      <c r="N821" s="455">
        <v>10008.57</v>
      </c>
      <c r="O821" s="455">
        <v>7528.26</v>
      </c>
      <c r="P821" s="179"/>
      <c r="Q821" s="179"/>
      <c r="R821" s="179"/>
      <c r="T821" s="143">
        <f t="shared" si="41"/>
        <v>141005.49</v>
      </c>
      <c r="U821" s="138"/>
      <c r="V821" s="139"/>
      <c r="W821" s="146">
        <f t="shared" si="42"/>
        <v>141005.49</v>
      </c>
      <c r="X821" s="138"/>
      <c r="Y821" s="157"/>
      <c r="Z821" s="157"/>
    </row>
    <row r="822" spans="1:26" x14ac:dyDescent="0.25">
      <c r="C822" s="1182" t="s">
        <v>1401</v>
      </c>
      <c r="W822" s="143">
        <f>SUM(W820:W821)</f>
        <v>451041.06999999995</v>
      </c>
      <c r="X822" s="138"/>
    </row>
    <row r="824" spans="1:26" x14ac:dyDescent="0.25">
      <c r="A824" s="462">
        <v>84</v>
      </c>
      <c r="B824" s="1910" t="s">
        <v>1476</v>
      </c>
      <c r="T824" s="1910" t="s">
        <v>1476</v>
      </c>
    </row>
    <row r="825" spans="1:26" s="125" customFormat="1" x14ac:dyDescent="0.25">
      <c r="A825" s="461"/>
      <c r="B825" s="130" t="s">
        <v>337</v>
      </c>
      <c r="C825" s="131">
        <v>42522</v>
      </c>
      <c r="D825" s="131">
        <v>42552</v>
      </c>
      <c r="E825" s="131">
        <v>42583</v>
      </c>
      <c r="F825" s="131">
        <v>42614</v>
      </c>
      <c r="G825" s="131">
        <v>42644</v>
      </c>
      <c r="H825" s="131">
        <v>42675</v>
      </c>
      <c r="I825" s="131">
        <v>42705</v>
      </c>
      <c r="J825" s="131">
        <v>42736</v>
      </c>
      <c r="K825" s="131">
        <v>42767</v>
      </c>
      <c r="L825" s="131">
        <v>42795</v>
      </c>
      <c r="M825" s="131">
        <v>42826</v>
      </c>
      <c r="N825" s="131">
        <v>42856</v>
      </c>
      <c r="O825" s="131">
        <v>42887</v>
      </c>
      <c r="P825" s="131">
        <v>42917</v>
      </c>
      <c r="Q825" s="131">
        <v>42948</v>
      </c>
      <c r="R825" s="131">
        <v>42992</v>
      </c>
      <c r="S825" s="132"/>
      <c r="T825" s="133" t="s">
        <v>338</v>
      </c>
      <c r="U825" s="134" t="s">
        <v>339</v>
      </c>
      <c r="V825" s="132"/>
      <c r="W825" s="133" t="s">
        <v>338</v>
      </c>
      <c r="X825" s="134" t="s">
        <v>339</v>
      </c>
      <c r="Y825" s="157"/>
      <c r="Z825" s="157"/>
    </row>
    <row r="826" spans="1:26" s="157" customFormat="1" x14ac:dyDescent="0.25">
      <c r="A826" s="461"/>
      <c r="B826" s="135" t="s">
        <v>319</v>
      </c>
      <c r="C826" s="599"/>
      <c r="E826" s="38"/>
      <c r="F826" s="1170">
        <v>120312.98828125</v>
      </c>
      <c r="G826" s="1170">
        <v>156106.01806640698</v>
      </c>
      <c r="H826" s="1202">
        <v>150607.97119140602</v>
      </c>
      <c r="I826" s="1186">
        <v>145809.02099609398</v>
      </c>
      <c r="J826" s="1186">
        <v>144721.98486328102</v>
      </c>
      <c r="K826" s="1186">
        <v>138762.02392577397</v>
      </c>
      <c r="L826" s="1186">
        <v>143576.04980469</v>
      </c>
      <c r="M826" s="1186">
        <v>148554.93164063001</v>
      </c>
      <c r="N826" s="1186">
        <v>150557.98339842999</v>
      </c>
      <c r="O826" s="1186">
        <v>152450.07324219</v>
      </c>
      <c r="P826" s="756">
        <v>169554.93164063001</v>
      </c>
      <c r="Q826" s="136">
        <v>171994.01855467999</v>
      </c>
      <c r="T826" s="141">
        <f>SUM(E826:Q826)</f>
        <v>1793007.9956054622</v>
      </c>
      <c r="U826" s="188" t="s">
        <v>341</v>
      </c>
      <c r="W826" s="140">
        <f>T826*3413/1000000</f>
        <v>6119.536289001443</v>
      </c>
      <c r="X826" s="138" t="s">
        <v>342</v>
      </c>
    </row>
    <row r="827" spans="1:26" s="157" customFormat="1" x14ac:dyDescent="0.25">
      <c r="A827" s="461"/>
      <c r="B827" s="135" t="s">
        <v>1137</v>
      </c>
      <c r="C827" s="599"/>
      <c r="E827" s="2208"/>
      <c r="F827" s="1188">
        <v>421.72514343261679</v>
      </c>
      <c r="G827" s="1188">
        <v>564.12953948974598</v>
      </c>
      <c r="H827" s="1188">
        <v>527.92210388183105</v>
      </c>
      <c r="I827" s="1188">
        <v>550.06434631348202</v>
      </c>
      <c r="J827" s="1188">
        <v>550.37728881835892</v>
      </c>
      <c r="K827" s="1188">
        <v>235.47232055664102</v>
      </c>
      <c r="L827" s="1188">
        <v>277.65777587890602</v>
      </c>
      <c r="M827" s="1188">
        <v>147.12463378906193</v>
      </c>
      <c r="N827" s="1188">
        <v>161.37237548828205</v>
      </c>
      <c r="O827" s="1189">
        <v>45.361389160156023</v>
      </c>
      <c r="P827" s="1188">
        <v>43.837280273436932</v>
      </c>
      <c r="Q827" s="136">
        <v>77.87890625</v>
      </c>
      <c r="T827" s="141">
        <f>SUM(E827:Q827)</f>
        <v>3602.9231033325191</v>
      </c>
      <c r="U827" s="188" t="s">
        <v>1138</v>
      </c>
      <c r="W827" s="160">
        <f>T827</f>
        <v>3602.9231033325191</v>
      </c>
      <c r="X827" s="138" t="s">
        <v>342</v>
      </c>
    </row>
    <row r="828" spans="1:26" s="157" customFormat="1" x14ac:dyDescent="0.25">
      <c r="A828" s="461"/>
      <c r="B828" s="153" t="s">
        <v>362</v>
      </c>
      <c r="C828" s="599"/>
      <c r="E828" s="38"/>
      <c r="F828" s="1170">
        <v>1185.791015625</v>
      </c>
      <c r="G828" s="1170">
        <v>675.2421875</v>
      </c>
      <c r="H828" s="1170">
        <v>265.5712890625</v>
      </c>
      <c r="I828" s="1170">
        <v>182.5390625</v>
      </c>
      <c r="J828" s="1170">
        <v>195.41796875</v>
      </c>
      <c r="K828" s="1170">
        <v>210.9013671875</v>
      </c>
      <c r="L828" s="1170">
        <v>225.212890625</v>
      </c>
      <c r="M828" s="1170">
        <v>575.5078125</v>
      </c>
      <c r="N828" s="1170">
        <v>768.9306640625</v>
      </c>
      <c r="O828" s="756">
        <v>828.759765625</v>
      </c>
      <c r="P828" s="756">
        <v>1027.7900390625</v>
      </c>
      <c r="Q828" s="141">
        <v>979.4296875</v>
      </c>
      <c r="T828" s="141">
        <f>SUM(E828:Q828)</f>
        <v>7121.09375</v>
      </c>
      <c r="U828" s="188" t="s">
        <v>870</v>
      </c>
      <c r="W828" s="140">
        <f>T828*99976.124488/100000</f>
        <v>7119.3935524071876</v>
      </c>
      <c r="X828" s="138" t="s">
        <v>342</v>
      </c>
      <c r="Y828" s="495">
        <f>W826+W827+W828</f>
        <v>16841.852944741149</v>
      </c>
      <c r="Z828" s="153" t="s">
        <v>677</v>
      </c>
    </row>
    <row r="829" spans="1:26" s="157" customFormat="1" x14ac:dyDescent="0.25">
      <c r="A829" s="461"/>
      <c r="B829" s="135" t="s">
        <v>864</v>
      </c>
      <c r="C829" s="599"/>
      <c r="E829" s="2209"/>
      <c r="F829" s="1193">
        <v>402.25949709999998</v>
      </c>
      <c r="G829" s="1194">
        <v>382.55491769999998</v>
      </c>
      <c r="H829" s="1194">
        <v>379.72088049999996</v>
      </c>
      <c r="I829" s="1194">
        <v>123.22714579999999</v>
      </c>
      <c r="J829" s="1194">
        <v>100.16717329999999</v>
      </c>
      <c r="K829" s="1194">
        <v>104.75243159999999</v>
      </c>
      <c r="L829" s="1200">
        <v>140.9799826</v>
      </c>
      <c r="M829" s="750">
        <v>94.084687799999998</v>
      </c>
      <c r="N829" s="750">
        <v>123.56134829999999</v>
      </c>
      <c r="O829" s="750">
        <v>38.526864199999999</v>
      </c>
      <c r="P829" s="750">
        <v>117.41202229999999</v>
      </c>
      <c r="Q829" s="1172">
        <v>111.890997</v>
      </c>
      <c r="T829" s="141">
        <f t="shared" ref="T829:T832" si="43">SUM(E829:Q829)</f>
        <v>2119.1379482000002</v>
      </c>
      <c r="U829" s="188" t="s">
        <v>379</v>
      </c>
      <c r="W829" s="141">
        <f>T829*748</f>
        <v>1585115.1852536001</v>
      </c>
      <c r="X829" s="188" t="s">
        <v>346</v>
      </c>
    </row>
    <row r="830" spans="1:26" s="157" customFormat="1" x14ac:dyDescent="0.25">
      <c r="A830" s="461"/>
      <c r="B830" s="135" t="s">
        <v>324</v>
      </c>
      <c r="C830" s="599"/>
      <c r="E830" s="1162"/>
      <c r="F830" s="731">
        <v>10467.22998046875</v>
      </c>
      <c r="G830" s="731">
        <v>13581.223571777406</v>
      </c>
      <c r="H830" s="731">
        <v>13102.893493652322</v>
      </c>
      <c r="I830" s="731">
        <v>12685.384826660176</v>
      </c>
      <c r="J830" s="731">
        <v>12590.812683105447</v>
      </c>
      <c r="K830" s="731">
        <v>12072.296081542336</v>
      </c>
      <c r="L830" s="731">
        <v>12491.116333008029</v>
      </c>
      <c r="M830" s="731">
        <v>12924.27905273481</v>
      </c>
      <c r="N830" s="731">
        <v>13098.544555663408</v>
      </c>
      <c r="O830" s="731">
        <v>13263.156372070529</v>
      </c>
      <c r="P830" s="731">
        <v>14751.27905273481</v>
      </c>
      <c r="Q830" s="731">
        <v>14275.50354003844</v>
      </c>
      <c r="T830" s="171">
        <f t="shared" si="43"/>
        <v>155303.71954345648</v>
      </c>
      <c r="U830" s="188"/>
      <c r="W830" s="190">
        <f>T830</f>
        <v>155303.71954345648</v>
      </c>
      <c r="X830" s="188"/>
    </row>
    <row r="831" spans="1:26" s="157" customFormat="1" x14ac:dyDescent="0.25">
      <c r="A831" s="461"/>
      <c r="B831" s="144" t="s">
        <v>348</v>
      </c>
      <c r="C831" s="599"/>
      <c r="E831" s="1162"/>
      <c r="F831" s="731">
        <v>5069.1362240600538</v>
      </c>
      <c r="G831" s="731">
        <v>6780.8370646667463</v>
      </c>
      <c r="H831" s="731">
        <v>6345.6236886596089</v>
      </c>
      <c r="I831" s="731">
        <v>6611.7734426880534</v>
      </c>
      <c r="J831" s="731">
        <v>6615.5350115966739</v>
      </c>
      <c r="K831" s="731">
        <v>2830.3772930908249</v>
      </c>
      <c r="L831" s="731">
        <v>3337.4464660644503</v>
      </c>
      <c r="M831" s="731">
        <v>1768.4380981445242</v>
      </c>
      <c r="N831" s="731">
        <v>1939.6959533691502</v>
      </c>
      <c r="O831" s="731">
        <v>545.24389770507537</v>
      </c>
      <c r="P831" s="731">
        <v>526.92410888671191</v>
      </c>
      <c r="Q831" s="731">
        <v>1075.5076953125001</v>
      </c>
      <c r="T831" s="171">
        <f t="shared" si="43"/>
        <v>43446.53894424437</v>
      </c>
      <c r="U831" s="188"/>
      <c r="W831" s="190">
        <f>T831</f>
        <v>43446.53894424437</v>
      </c>
      <c r="X831" s="188"/>
    </row>
    <row r="832" spans="1:26" s="157" customFormat="1" ht="16.5" x14ac:dyDescent="0.35">
      <c r="A832" s="461"/>
      <c r="B832" s="195" t="s">
        <v>398</v>
      </c>
      <c r="C832" s="599"/>
      <c r="E832" s="1162"/>
      <c r="F832" s="731">
        <v>15355.99365234375</v>
      </c>
      <c r="G832" s="731">
        <v>8744.3863281249996</v>
      </c>
      <c r="H832" s="731">
        <v>3439.148193359375</v>
      </c>
      <c r="I832" s="731">
        <v>2363.880859375</v>
      </c>
      <c r="J832" s="731">
        <v>2530.6626953124996</v>
      </c>
      <c r="K832" s="731">
        <v>2731.1727050781246</v>
      </c>
      <c r="L832" s="731">
        <v>2916.5069335937496</v>
      </c>
      <c r="M832" s="731">
        <v>7452.826171875</v>
      </c>
      <c r="N832" s="731">
        <v>9957.652099609375</v>
      </c>
      <c r="O832" s="731">
        <v>10732.43896484375</v>
      </c>
      <c r="P832" s="731">
        <v>13309.881005859374</v>
      </c>
      <c r="Q832" s="731">
        <v>12497.522812499999</v>
      </c>
      <c r="T832" s="171">
        <f t="shared" si="43"/>
        <v>92032.072421875011</v>
      </c>
      <c r="U832" s="188"/>
      <c r="W832" s="197">
        <f>T832</f>
        <v>92032.072421875011</v>
      </c>
      <c r="X832" s="188"/>
    </row>
    <row r="833" spans="1:26" s="125" customFormat="1" x14ac:dyDescent="0.25">
      <c r="A833" s="461"/>
      <c r="B833" s="205"/>
      <c r="C833" s="152"/>
      <c r="E833" s="201"/>
      <c r="F833" s="206"/>
      <c r="G833" s="202"/>
      <c r="H833" s="203"/>
      <c r="I833" s="203"/>
      <c r="J833" s="203"/>
      <c r="K833" s="203"/>
      <c r="L833" s="203"/>
      <c r="M833" s="203"/>
      <c r="N833" s="203"/>
      <c r="O833" s="203"/>
      <c r="P833" s="203"/>
      <c r="U833" s="126"/>
      <c r="W833" s="190">
        <f>SUM(W830:W832)</f>
        <v>290782.33090957586</v>
      </c>
      <c r="X833" s="450"/>
      <c r="Y833" s="157"/>
      <c r="Z833" s="157"/>
    </row>
  </sheetData>
  <pageMargins left="0.7" right="0.7" top="0.75" bottom="0.75" header="0.3" footer="0.3"/>
  <pageSetup orientation="portrait" r:id="rId1"/>
  <ignoredErrors>
    <ignoredError sqref="W379:W380 W558 W81 W290" formula="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269"/>
  <sheetViews>
    <sheetView topLeftCell="A1211" zoomScaleNormal="100" workbookViewId="0">
      <selection activeCell="M1239" sqref="M1239"/>
    </sheetView>
  </sheetViews>
  <sheetFormatPr defaultRowHeight="15" x14ac:dyDescent="0.25"/>
  <cols>
    <col min="1" max="1" width="8.85546875" style="462"/>
    <col min="2" max="2" width="17.5703125" customWidth="1"/>
    <col min="3" max="3" width="11.7109375" style="497" customWidth="1"/>
    <col min="4" max="5" width="12.5703125" bestFit="1" customWidth="1"/>
    <col min="6" max="6" width="11.85546875" bestFit="1" customWidth="1"/>
    <col min="7" max="8" width="12.28515625" bestFit="1" customWidth="1"/>
    <col min="9" max="9" width="11.85546875" bestFit="1" customWidth="1"/>
    <col min="10" max="10" width="14.28515625" bestFit="1" customWidth="1"/>
    <col min="11" max="13" width="12.28515625" bestFit="1" customWidth="1"/>
    <col min="14" max="14" width="11.85546875" bestFit="1" customWidth="1"/>
    <col min="15" max="15" width="12.28515625" bestFit="1" customWidth="1"/>
    <col min="16" max="16" width="11.5703125" bestFit="1" customWidth="1"/>
    <col min="17" max="17" width="12.7109375" bestFit="1" customWidth="1"/>
    <col min="18" max="18" width="11.42578125" bestFit="1" customWidth="1"/>
    <col min="20" max="20" width="14.28515625" bestFit="1" customWidth="1"/>
    <col min="23" max="23" width="14.140625" bestFit="1" customWidth="1"/>
    <col min="25" max="25" width="9.85546875" style="345" bestFit="1" customWidth="1"/>
    <col min="26" max="26" width="8.85546875" style="345"/>
    <col min="62" max="74" width="10.42578125" bestFit="1" customWidth="1"/>
  </cols>
  <sheetData>
    <row r="1" spans="1:74" s="125" customFormat="1" ht="18" x14ac:dyDescent="0.25">
      <c r="A1" s="461"/>
      <c r="B1" s="124" t="s">
        <v>1275</v>
      </c>
      <c r="C1" s="601"/>
      <c r="U1" s="126"/>
      <c r="X1" s="126"/>
      <c r="Y1" s="157"/>
      <c r="Z1" s="157"/>
    </row>
    <row r="2" spans="1:74" s="125" customFormat="1" x14ac:dyDescent="0.25">
      <c r="A2" s="461"/>
      <c r="C2" s="152"/>
      <c r="U2" s="126"/>
      <c r="X2" s="126"/>
      <c r="Y2" s="157"/>
      <c r="Z2" s="157"/>
    </row>
    <row r="3" spans="1:74" s="128" customFormat="1" x14ac:dyDescent="0.25">
      <c r="A3" s="459">
        <v>1</v>
      </c>
      <c r="B3" s="127" t="s">
        <v>336</v>
      </c>
      <c r="C3" s="602"/>
      <c r="T3" s="127" t="s">
        <v>336</v>
      </c>
      <c r="U3" s="129"/>
      <c r="X3" s="129"/>
      <c r="Y3" s="166"/>
      <c r="Z3" s="166"/>
    </row>
    <row r="4" spans="1:74" s="1837" customFormat="1" ht="12.75" x14ac:dyDescent="0.2">
      <c r="A4" s="1836"/>
      <c r="B4" s="1946" t="s">
        <v>888</v>
      </c>
      <c r="C4" s="1573"/>
      <c r="D4"/>
      <c r="E4"/>
      <c r="F4"/>
      <c r="G4"/>
      <c r="H4"/>
      <c r="I4"/>
      <c r="J4"/>
      <c r="K4"/>
      <c r="L4"/>
      <c r="M4"/>
      <c r="N4"/>
      <c r="O4"/>
      <c r="P4" s="1838"/>
      <c r="Q4" s="1838"/>
      <c r="R4" s="1838"/>
      <c r="S4" s="1838"/>
      <c r="T4" s="1838"/>
      <c r="U4" s="1838"/>
      <c r="V4" s="1838"/>
      <c r="W4" s="1838"/>
      <c r="X4" s="1838"/>
      <c r="Y4" s="1838"/>
      <c r="Z4" s="1838"/>
      <c r="AA4" s="1838"/>
      <c r="AB4" s="1838"/>
      <c r="AC4" s="1838"/>
      <c r="AD4" s="1838"/>
      <c r="AE4" s="1838"/>
      <c r="AF4" s="1838"/>
      <c r="AG4" s="1838"/>
      <c r="AH4" s="1838"/>
      <c r="AI4" s="1838"/>
      <c r="AJ4" s="1838"/>
      <c r="AK4" s="1838"/>
      <c r="AL4" s="1838"/>
      <c r="AM4" s="1838"/>
      <c r="AN4" s="1838"/>
      <c r="AO4" s="1838"/>
      <c r="AP4" s="1838"/>
      <c r="AQ4" s="1838"/>
      <c r="AR4" s="1838"/>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c r="BP4" s="1838"/>
      <c r="BQ4" s="1838"/>
      <c r="BR4" s="1838"/>
      <c r="BS4" s="1838"/>
      <c r="BT4" s="1838"/>
      <c r="BU4" s="1838"/>
      <c r="BV4" s="1838"/>
    </row>
    <row r="5" spans="1:74" s="1837" customFormat="1" ht="12.75" x14ac:dyDescent="0.2">
      <c r="A5" s="1836"/>
      <c r="B5" s="1564" t="s">
        <v>654</v>
      </c>
      <c r="C5" s="1565" t="s">
        <v>655</v>
      </c>
      <c r="D5" s="826">
        <v>42552</v>
      </c>
      <c r="E5" s="826">
        <v>42583</v>
      </c>
      <c r="F5" s="826">
        <v>42614</v>
      </c>
      <c r="G5" s="826">
        <v>42644</v>
      </c>
      <c r="H5" s="826">
        <v>42675</v>
      </c>
      <c r="I5" s="826">
        <v>42705</v>
      </c>
      <c r="J5" s="826">
        <v>42736</v>
      </c>
      <c r="K5" s="826">
        <v>42767</v>
      </c>
      <c r="L5" s="826">
        <v>42795</v>
      </c>
      <c r="M5" s="826">
        <v>42826</v>
      </c>
      <c r="N5" s="826">
        <v>42856</v>
      </c>
      <c r="O5" s="826">
        <v>42887</v>
      </c>
      <c r="P5" s="1838"/>
      <c r="Q5" s="1838"/>
      <c r="R5" s="1838"/>
      <c r="S5" s="1838"/>
      <c r="T5" s="1838"/>
      <c r="U5" s="1838"/>
      <c r="V5" s="1838"/>
      <c r="W5" s="1838"/>
      <c r="X5" s="1838"/>
      <c r="Y5" s="1838"/>
      <c r="Z5" s="1838"/>
      <c r="AA5" s="1838"/>
      <c r="AB5" s="1838"/>
      <c r="AC5" s="1838"/>
      <c r="AD5" s="1838"/>
      <c r="AE5" s="1838"/>
      <c r="AF5" s="1838"/>
      <c r="AG5" s="1838"/>
      <c r="AH5" s="1838"/>
      <c r="AI5" s="1838"/>
      <c r="AJ5" s="1838"/>
      <c r="AK5" s="1838"/>
      <c r="AL5" s="1838"/>
      <c r="AM5" s="1838"/>
      <c r="AN5" s="1838"/>
      <c r="AO5" s="1838"/>
      <c r="AP5" s="1838"/>
      <c r="AQ5" s="1838"/>
      <c r="AR5" s="1838"/>
      <c r="AS5" s="1838"/>
      <c r="AT5" s="1838"/>
      <c r="AU5" s="1838"/>
      <c r="AV5" s="1838"/>
      <c r="AW5" s="1838"/>
      <c r="AX5" s="1838"/>
      <c r="AY5" s="1838"/>
      <c r="AZ5" s="1838"/>
      <c r="BA5" s="1838"/>
      <c r="BB5" s="1838"/>
      <c r="BC5" s="1838"/>
      <c r="BD5" s="1838"/>
      <c r="BE5" s="1838"/>
      <c r="BF5" s="1838"/>
      <c r="BG5" s="1838"/>
      <c r="BH5" s="1838"/>
      <c r="BI5" s="1838"/>
      <c r="BJ5" s="1838"/>
      <c r="BK5" s="1838"/>
      <c r="BL5" s="1838"/>
      <c r="BM5" s="1838"/>
      <c r="BN5" s="1838"/>
      <c r="BO5" s="1838"/>
      <c r="BP5" s="1838"/>
      <c r="BQ5" s="1838"/>
      <c r="BR5" s="1838"/>
      <c r="BS5" s="1838"/>
      <c r="BT5" s="1838"/>
      <c r="BU5" s="1838"/>
      <c r="BV5" s="1838"/>
    </row>
    <row r="6" spans="1:74" s="1837" customFormat="1" ht="12.75" x14ac:dyDescent="0.2">
      <c r="A6" s="1836"/>
      <c r="B6" s="2006" t="s">
        <v>889</v>
      </c>
      <c r="C6" s="2007" t="s">
        <v>890</v>
      </c>
      <c r="D6" s="2008">
        <v>124302.36</v>
      </c>
      <c r="E6" s="2008">
        <v>136673.47995410001</v>
      </c>
      <c r="F6" s="2008">
        <v>154241.20000000001</v>
      </c>
      <c r="G6" s="2008">
        <v>154193.12</v>
      </c>
      <c r="H6" s="2008">
        <v>150620.96</v>
      </c>
      <c r="I6" s="2008">
        <v>124908</v>
      </c>
      <c r="J6" s="2008">
        <v>100757.2000459</v>
      </c>
      <c r="K6" s="2008">
        <v>142079.84</v>
      </c>
      <c r="L6" s="2008">
        <v>126422.8</v>
      </c>
      <c r="M6" s="2008">
        <v>146194.96</v>
      </c>
      <c r="N6" s="2008">
        <v>153701.5600459</v>
      </c>
      <c r="O6" s="2008">
        <v>92243</v>
      </c>
      <c r="P6" s="1838"/>
      <c r="Q6" s="1838"/>
      <c r="R6" s="1838"/>
      <c r="S6" s="1838"/>
      <c r="T6" s="1838"/>
      <c r="U6" s="1838"/>
      <c r="V6" s="1838"/>
      <c r="W6" s="1838"/>
      <c r="X6" s="1838"/>
      <c r="Y6" s="1838"/>
      <c r="Z6" s="1838"/>
      <c r="AA6" s="1838"/>
      <c r="AB6" s="1838"/>
      <c r="AC6" s="1838"/>
      <c r="AD6" s="1838"/>
      <c r="AE6" s="1838"/>
      <c r="AF6" s="1838"/>
      <c r="AG6" s="1838"/>
      <c r="AH6" s="1838"/>
      <c r="AI6" s="1838"/>
      <c r="AJ6" s="1838"/>
      <c r="AK6" s="1838"/>
      <c r="AL6" s="1838"/>
      <c r="AM6" s="1838"/>
      <c r="AN6" s="1838"/>
      <c r="AO6" s="1838"/>
      <c r="AP6" s="1838"/>
      <c r="AQ6" s="1838"/>
      <c r="AR6" s="1838"/>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c r="BP6" s="1838"/>
      <c r="BQ6" s="1838"/>
      <c r="BR6" s="1838"/>
      <c r="BS6" s="1838"/>
      <c r="BT6" s="1838"/>
      <c r="BU6" s="1838"/>
      <c r="BV6" s="1838"/>
    </row>
    <row r="7" spans="1:74" s="500" customFormat="1" ht="12.75" x14ac:dyDescent="0.2">
      <c r="A7" s="107"/>
      <c r="B7" s="2009">
        <v>315</v>
      </c>
      <c r="C7" s="2010" t="s">
        <v>891</v>
      </c>
      <c r="D7" s="2011">
        <v>90183.92</v>
      </c>
      <c r="E7" s="2011">
        <v>75576.559982699997</v>
      </c>
      <c r="F7" s="2011">
        <v>97576.4</v>
      </c>
      <c r="G7" s="2011">
        <v>83684.639999999999</v>
      </c>
      <c r="H7" s="2011">
        <v>70809.119999999995</v>
      </c>
      <c r="I7" s="2011">
        <v>57196</v>
      </c>
      <c r="J7" s="2011">
        <v>34628.400017300002</v>
      </c>
      <c r="K7" s="2011">
        <v>60848.480000000003</v>
      </c>
      <c r="L7" s="2011">
        <v>55911.6</v>
      </c>
      <c r="M7" s="2011">
        <v>67107.12</v>
      </c>
      <c r="N7" s="2011">
        <v>74650.320017299993</v>
      </c>
      <c r="O7" s="2011">
        <v>51248</v>
      </c>
      <c r="P7" s="499"/>
      <c r="Q7" s="499"/>
      <c r="R7" s="499"/>
      <c r="S7" s="499"/>
      <c r="T7" s="499"/>
      <c r="U7" s="499"/>
      <c r="V7" s="499"/>
      <c r="W7" s="499"/>
      <c r="X7" s="499"/>
      <c r="Y7" s="499"/>
      <c r="Z7" s="499"/>
      <c r="AA7" s="499"/>
      <c r="AB7" s="499"/>
      <c r="AC7" s="499"/>
      <c r="AD7" s="499"/>
      <c r="AE7" s="499"/>
      <c r="AF7" s="499"/>
      <c r="AG7" s="499"/>
      <c r="AH7" s="499"/>
      <c r="AI7" s="499"/>
      <c r="AJ7" s="499"/>
      <c r="AK7" s="499"/>
      <c r="AL7" s="499"/>
      <c r="AM7" s="499"/>
      <c r="AN7" s="499"/>
      <c r="AO7" s="499"/>
      <c r="AP7" s="499"/>
      <c r="AQ7" s="499"/>
      <c r="AR7" s="499"/>
      <c r="AS7" s="499"/>
      <c r="AT7" s="499"/>
      <c r="AU7" s="499"/>
      <c r="AV7" s="499"/>
      <c r="AW7" s="499"/>
      <c r="AX7" s="499"/>
      <c r="AY7" s="499"/>
      <c r="AZ7" s="499"/>
      <c r="BA7" s="499"/>
      <c r="BB7" s="499"/>
      <c r="BC7" s="499"/>
      <c r="BD7" s="499"/>
      <c r="BE7" s="499"/>
      <c r="BF7" s="499"/>
      <c r="BG7" s="499"/>
      <c r="BH7" s="499"/>
      <c r="BI7" s="499"/>
      <c r="BJ7" s="499"/>
      <c r="BK7" s="499"/>
      <c r="BL7" s="499"/>
      <c r="BM7" s="499"/>
      <c r="BN7" s="499"/>
      <c r="BO7" s="499"/>
      <c r="BP7" s="499"/>
      <c r="BQ7" s="499"/>
      <c r="BR7" s="499"/>
      <c r="BS7" s="499"/>
      <c r="BT7" s="499"/>
      <c r="BU7" s="499"/>
      <c r="BV7" s="499"/>
    </row>
    <row r="8" spans="1:74" s="500" customFormat="1" ht="12.75" x14ac:dyDescent="0.2">
      <c r="A8" s="107"/>
      <c r="B8" s="2009" t="s">
        <v>892</v>
      </c>
      <c r="C8" s="2012" t="s">
        <v>893</v>
      </c>
      <c r="D8" s="2013">
        <v>86886.720000000001</v>
      </c>
      <c r="E8" s="2013">
        <v>100976.9599632</v>
      </c>
      <c r="F8" s="2013">
        <v>121742.40000000001</v>
      </c>
      <c r="G8" s="2013">
        <v>106562.23999999999</v>
      </c>
      <c r="H8" s="2013">
        <v>94529.919999999984</v>
      </c>
      <c r="I8" s="2013">
        <v>77896</v>
      </c>
      <c r="J8" s="2013">
        <v>67854.400036799998</v>
      </c>
      <c r="K8" s="2013">
        <v>83151.680000000008</v>
      </c>
      <c r="L8" s="2013">
        <v>77425.599999999991</v>
      </c>
      <c r="M8" s="2013">
        <v>91417.919999999998</v>
      </c>
      <c r="N8" s="2013">
        <v>88109.120036799999</v>
      </c>
      <c r="O8" s="2013">
        <v>79328</v>
      </c>
      <c r="P8" s="499"/>
      <c r="Q8" s="499"/>
      <c r="R8" s="499"/>
      <c r="S8" s="499"/>
      <c r="T8" s="499"/>
      <c r="U8" s="499"/>
      <c r="V8" s="499"/>
      <c r="W8" s="499"/>
      <c r="X8" s="499"/>
      <c r="Y8" s="499"/>
      <c r="Z8" s="499"/>
      <c r="AA8" s="499"/>
      <c r="AB8" s="499"/>
      <c r="AC8" s="499"/>
      <c r="AD8" s="499"/>
      <c r="AE8" s="499"/>
      <c r="AF8" s="499"/>
      <c r="AG8" s="499"/>
      <c r="AH8" s="499"/>
      <c r="AI8" s="499"/>
      <c r="AJ8" s="499"/>
      <c r="AK8" s="499"/>
      <c r="AL8" s="499"/>
      <c r="AM8" s="499"/>
      <c r="AN8" s="499"/>
      <c r="AO8" s="499"/>
      <c r="AP8" s="499"/>
      <c r="AQ8" s="499"/>
      <c r="AR8" s="499"/>
      <c r="AS8" s="499"/>
      <c r="AT8" s="499"/>
      <c r="AU8" s="499"/>
      <c r="AV8" s="499"/>
      <c r="AW8" s="499"/>
      <c r="AX8" s="499"/>
      <c r="AY8" s="499"/>
      <c r="AZ8" s="499"/>
      <c r="BA8" s="499"/>
      <c r="BB8" s="499"/>
      <c r="BC8" s="499"/>
      <c r="BD8" s="499"/>
      <c r="BE8" s="499"/>
      <c r="BF8" s="499"/>
      <c r="BG8" s="499"/>
      <c r="BH8" s="499"/>
      <c r="BI8" s="499"/>
      <c r="BJ8" s="499"/>
      <c r="BK8" s="499"/>
      <c r="BL8" s="499"/>
      <c r="BM8" s="499"/>
      <c r="BN8" s="499"/>
      <c r="BO8" s="499"/>
      <c r="BP8" s="499"/>
      <c r="BQ8" s="499"/>
      <c r="BR8" s="499"/>
      <c r="BS8" s="499"/>
      <c r="BT8" s="499"/>
      <c r="BU8" s="499"/>
      <c r="BV8" s="499"/>
    </row>
    <row r="9" spans="1:74" s="500" customFormat="1" ht="12.75" x14ac:dyDescent="0.2">
      <c r="A9" s="107"/>
      <c r="B9" s="2014">
        <v>239</v>
      </c>
      <c r="C9" s="2015" t="s">
        <v>1378</v>
      </c>
      <c r="D9" s="2016">
        <v>51000</v>
      </c>
      <c r="E9" s="2016">
        <v>52560</v>
      </c>
      <c r="F9" s="2016">
        <v>65280</v>
      </c>
      <c r="G9" s="2016">
        <v>50280</v>
      </c>
      <c r="H9" s="2016">
        <v>38640</v>
      </c>
      <c r="I9" s="2016">
        <v>32280</v>
      </c>
      <c r="J9" s="2016">
        <v>27600</v>
      </c>
      <c r="K9" s="2016">
        <v>34440</v>
      </c>
      <c r="L9" s="2016">
        <v>34080</v>
      </c>
      <c r="M9" s="2016">
        <v>37320</v>
      </c>
      <c r="N9" s="2016">
        <v>36480</v>
      </c>
      <c r="O9" s="2016">
        <v>30480</v>
      </c>
      <c r="P9" s="499"/>
      <c r="Q9" s="499"/>
      <c r="R9" s="499"/>
      <c r="S9" s="499"/>
      <c r="T9" s="499"/>
      <c r="U9" s="499"/>
      <c r="V9" s="499"/>
      <c r="W9" s="499"/>
      <c r="X9" s="499"/>
      <c r="Y9" s="499"/>
      <c r="Z9" s="499"/>
      <c r="AA9" s="499"/>
      <c r="AB9" s="499"/>
      <c r="AC9" s="499"/>
      <c r="AD9" s="499"/>
      <c r="AE9" s="499"/>
      <c r="AF9" s="499"/>
      <c r="AG9" s="499"/>
      <c r="AH9" s="499"/>
      <c r="AI9" s="499"/>
      <c r="AJ9" s="499"/>
      <c r="AK9" s="499"/>
      <c r="AL9" s="499"/>
      <c r="AM9" s="499"/>
      <c r="AN9" s="499"/>
      <c r="AO9" s="499"/>
      <c r="AP9" s="499"/>
      <c r="AQ9" s="499"/>
      <c r="AR9" s="499"/>
      <c r="AS9" s="499"/>
      <c r="AT9" s="499"/>
      <c r="AU9" s="499"/>
      <c r="AV9" s="499"/>
      <c r="AW9" s="499"/>
      <c r="AX9" s="499"/>
      <c r="AY9" s="499"/>
      <c r="AZ9" s="499"/>
      <c r="BA9" s="499"/>
      <c r="BB9" s="499"/>
      <c r="BC9" s="499"/>
      <c r="BD9" s="499"/>
      <c r="BE9" s="499"/>
      <c r="BF9" s="499"/>
      <c r="BG9" s="499"/>
      <c r="BH9" s="499"/>
      <c r="BI9" s="499"/>
      <c r="BJ9" s="499"/>
      <c r="BK9" s="499"/>
      <c r="BL9" s="499"/>
      <c r="BM9" s="499"/>
      <c r="BN9" s="499"/>
      <c r="BO9" s="499"/>
      <c r="BP9" s="499"/>
      <c r="BQ9" s="499"/>
      <c r="BR9" s="499"/>
      <c r="BS9" s="499"/>
      <c r="BT9" s="499"/>
      <c r="BU9" s="499"/>
      <c r="BV9" s="499"/>
    </row>
    <row r="10" spans="1:74" s="501" customFormat="1" ht="12.75" x14ac:dyDescent="0.2">
      <c r="A10" s="107"/>
      <c r="B10" s="2017" t="s">
        <v>889</v>
      </c>
      <c r="C10" s="834" t="s">
        <v>894</v>
      </c>
      <c r="D10" s="835">
        <v>10055.600760000001</v>
      </c>
      <c r="E10" s="835">
        <v>11052.116120000001</v>
      </c>
      <c r="F10" s="835">
        <v>12467.196980000001</v>
      </c>
      <c r="G10" s="835">
        <v>12463.33771</v>
      </c>
      <c r="H10" s="835">
        <v>12175.59196</v>
      </c>
      <c r="I10" s="835">
        <v>10104.394770000001</v>
      </c>
      <c r="J10" s="835">
        <v>8159.0232400000004</v>
      </c>
      <c r="K10" s="835">
        <v>11847.90847</v>
      </c>
      <c r="L10" s="835">
        <v>10867.325080000001</v>
      </c>
      <c r="M10" s="835">
        <v>12560.214559999999</v>
      </c>
      <c r="N10" s="835">
        <v>13202.94234</v>
      </c>
      <c r="O10" s="835">
        <v>7940.8564399999996</v>
      </c>
      <c r="P10" s="1572"/>
      <c r="Q10" s="1572"/>
      <c r="R10" s="1572"/>
      <c r="S10" s="1572"/>
      <c r="T10" s="1572"/>
      <c r="U10" s="1572"/>
      <c r="V10" s="1572"/>
      <c r="W10" s="1572"/>
      <c r="X10" s="1572"/>
      <c r="Y10" s="1572"/>
      <c r="Z10" s="1572"/>
      <c r="AA10" s="1572"/>
      <c r="AB10" s="1572"/>
      <c r="AC10" s="1572"/>
      <c r="AD10" s="1572"/>
      <c r="AE10" s="1572"/>
      <c r="AF10" s="1572"/>
      <c r="AG10" s="1572"/>
      <c r="AH10" s="1572"/>
      <c r="AI10" s="1572"/>
      <c r="AJ10" s="1572"/>
      <c r="AK10" s="1572"/>
      <c r="AL10" s="1572"/>
      <c r="AM10" s="1572"/>
      <c r="AN10" s="1572"/>
      <c r="AO10" s="1572"/>
      <c r="AP10" s="1572"/>
      <c r="AQ10" s="1572"/>
      <c r="AR10" s="1572"/>
      <c r="AS10" s="1572"/>
      <c r="AT10" s="1572"/>
      <c r="AU10" s="1572"/>
      <c r="AV10" s="1572"/>
      <c r="AW10" s="1572"/>
      <c r="AX10" s="1572"/>
      <c r="AY10" s="1572"/>
      <c r="AZ10" s="1572"/>
      <c r="BA10" s="1572"/>
      <c r="BB10" s="1572"/>
      <c r="BC10" s="1572"/>
      <c r="BD10" s="1572"/>
      <c r="BE10" s="1572"/>
      <c r="BF10" s="1572"/>
      <c r="BG10" s="1572"/>
      <c r="BH10" s="1572"/>
      <c r="BI10" s="1572"/>
      <c r="BJ10" s="1572"/>
      <c r="BK10" s="1572"/>
      <c r="BL10" s="1572"/>
      <c r="BM10" s="1572"/>
      <c r="BN10" s="1572"/>
      <c r="BO10" s="1572"/>
      <c r="BP10" s="1572"/>
      <c r="BQ10" s="1572"/>
      <c r="BR10" s="1572"/>
      <c r="BS10" s="1572"/>
      <c r="BT10" s="1572"/>
      <c r="BU10" s="1572"/>
      <c r="BV10" s="1572"/>
    </row>
    <row r="11" spans="1:74" s="500" customFormat="1" ht="12.75" x14ac:dyDescent="0.2">
      <c r="A11" s="107"/>
      <c r="B11" s="2017">
        <v>315</v>
      </c>
      <c r="C11" s="834" t="s">
        <v>895</v>
      </c>
      <c r="D11" s="835">
        <v>7278.9497200000005</v>
      </c>
      <c r="E11" s="835">
        <v>6102.3156399999998</v>
      </c>
      <c r="F11" s="835">
        <v>7874.4200599999995</v>
      </c>
      <c r="G11" s="835">
        <v>6755.4263700000001</v>
      </c>
      <c r="H11" s="835">
        <v>5718.2861199999998</v>
      </c>
      <c r="I11" s="835">
        <v>4621.7521900000002</v>
      </c>
      <c r="J11" s="835">
        <v>2803.9182799999999</v>
      </c>
      <c r="K11" s="835">
        <v>5070.1960900000004</v>
      </c>
      <c r="L11" s="835">
        <v>4801.7407599999997</v>
      </c>
      <c r="M11" s="835">
        <v>5760.2983199999999</v>
      </c>
      <c r="N11" s="835">
        <v>6406.1559800000005</v>
      </c>
      <c r="O11" s="835">
        <v>4402.4386800000002</v>
      </c>
      <c r="P11" s="1572"/>
      <c r="Q11" s="1572"/>
      <c r="R11" s="1572"/>
      <c r="S11" s="1572"/>
      <c r="T11" s="1572"/>
      <c r="U11" s="1572"/>
      <c r="V11" s="1572"/>
      <c r="W11" s="1572"/>
      <c r="X11" s="1572"/>
      <c r="Y11" s="1572"/>
      <c r="Z11" s="1572"/>
      <c r="AA11" s="1572"/>
      <c r="AB11" s="1572"/>
      <c r="AC11" s="1572"/>
      <c r="AD11" s="1572"/>
      <c r="AE11" s="1572"/>
      <c r="AF11" s="1572"/>
      <c r="AG11" s="1572"/>
      <c r="AH11" s="1572"/>
      <c r="AI11" s="1572"/>
      <c r="AJ11" s="1572"/>
      <c r="AK11" s="1572"/>
      <c r="AL11" s="1572"/>
      <c r="AM11" s="1572"/>
      <c r="AN11" s="1572"/>
      <c r="AO11" s="1572"/>
      <c r="AP11" s="1572"/>
      <c r="AQ11" s="1572"/>
      <c r="AR11" s="1572"/>
      <c r="AS11" s="1572"/>
      <c r="AT11" s="1572"/>
      <c r="AU11" s="1572"/>
      <c r="AV11" s="1572"/>
      <c r="AW11" s="1572"/>
      <c r="AX11" s="1572"/>
      <c r="AY11" s="1572"/>
      <c r="AZ11" s="1572"/>
      <c r="BA11" s="1572"/>
      <c r="BB11" s="1572"/>
      <c r="BC11" s="1572"/>
      <c r="BD11" s="1572"/>
      <c r="BE11" s="1572"/>
      <c r="BF11" s="1572"/>
      <c r="BG11" s="1572"/>
      <c r="BH11" s="1572"/>
      <c r="BI11" s="1572"/>
      <c r="BJ11" s="1572"/>
      <c r="BK11" s="1572"/>
      <c r="BL11" s="1572"/>
      <c r="BM11" s="1572"/>
      <c r="BN11" s="1572"/>
      <c r="BO11" s="1572"/>
      <c r="BP11" s="1572"/>
      <c r="BQ11" s="1572"/>
      <c r="BR11" s="1572"/>
      <c r="BS11" s="1572"/>
      <c r="BT11" s="1572"/>
      <c r="BU11" s="1572"/>
      <c r="BV11" s="1572"/>
    </row>
    <row r="12" spans="1:74" s="500" customFormat="1" ht="12.75" x14ac:dyDescent="0.2">
      <c r="A12" s="107"/>
      <c r="B12" s="2017" t="s">
        <v>892</v>
      </c>
      <c r="C12" s="834" t="s">
        <v>896</v>
      </c>
      <c r="D12" s="835">
        <v>7028.1895200000008</v>
      </c>
      <c r="E12" s="835">
        <v>8163.1882400000004</v>
      </c>
      <c r="F12" s="835">
        <v>9835.8529600000002</v>
      </c>
      <c r="G12" s="835">
        <v>8613.0759199999993</v>
      </c>
      <c r="H12" s="835">
        <v>7643.8719199999996</v>
      </c>
      <c r="I12" s="835">
        <v>6303.9930400000003</v>
      </c>
      <c r="J12" s="835">
        <v>5495.1384800000005</v>
      </c>
      <c r="K12" s="835">
        <v>6938.1154399999996</v>
      </c>
      <c r="L12" s="835">
        <v>6658.6141600000001</v>
      </c>
      <c r="M12" s="835">
        <v>7856.6571200000008</v>
      </c>
      <c r="N12" s="835">
        <v>7573.36168</v>
      </c>
      <c r="O12" s="835">
        <v>6821.5048799999995</v>
      </c>
      <c r="P12" s="1572"/>
      <c r="Q12" s="1572"/>
      <c r="R12" s="1572"/>
      <c r="S12" s="1572"/>
      <c r="T12" s="1572"/>
      <c r="U12" s="1572"/>
      <c r="V12" s="1572"/>
      <c r="W12" s="1572"/>
      <c r="X12" s="1572"/>
      <c r="Y12" s="1572"/>
      <c r="Z12" s="1572"/>
      <c r="AA12" s="1572"/>
      <c r="AB12" s="1572"/>
      <c r="AC12" s="1572"/>
      <c r="AD12" s="1572"/>
      <c r="AE12" s="1572"/>
      <c r="AF12" s="1572"/>
      <c r="AG12" s="1572"/>
      <c r="AH12" s="1572"/>
      <c r="AI12" s="1572"/>
      <c r="AJ12" s="1572"/>
      <c r="AK12" s="1572"/>
      <c r="AL12" s="1572"/>
      <c r="AM12" s="1572"/>
      <c r="AN12" s="1572"/>
      <c r="AO12" s="1572"/>
      <c r="AP12" s="1572"/>
      <c r="AQ12" s="1572"/>
      <c r="AR12" s="1572"/>
      <c r="AS12" s="1572"/>
      <c r="AT12" s="1572"/>
      <c r="AU12" s="1572"/>
      <c r="AV12" s="1572"/>
      <c r="AW12" s="1572"/>
      <c r="AX12" s="1572"/>
      <c r="AY12" s="1572"/>
      <c r="AZ12" s="1572"/>
      <c r="BA12" s="1572"/>
      <c r="BB12" s="1572"/>
      <c r="BC12" s="1572"/>
      <c r="BD12" s="1572"/>
      <c r="BE12" s="1572"/>
      <c r="BF12" s="1572"/>
      <c r="BG12" s="1572"/>
      <c r="BH12" s="1572"/>
      <c r="BI12" s="1572"/>
      <c r="BJ12" s="1572"/>
      <c r="BK12" s="1572"/>
      <c r="BL12" s="1572"/>
      <c r="BM12" s="1572"/>
      <c r="BN12" s="1572"/>
      <c r="BO12" s="1572"/>
      <c r="BP12" s="1572"/>
      <c r="BQ12" s="1572"/>
      <c r="BR12" s="1572"/>
      <c r="BS12" s="1572"/>
      <c r="BT12" s="1572"/>
      <c r="BU12" s="1572"/>
      <c r="BV12" s="1572"/>
    </row>
    <row r="13" spans="1:74" s="26" customFormat="1" ht="12.75" x14ac:dyDescent="0.2">
      <c r="A13" s="107"/>
      <c r="B13" s="2018">
        <v>239</v>
      </c>
      <c r="C13" s="2019" t="s">
        <v>1379</v>
      </c>
      <c r="D13" s="2020">
        <v>4120.51</v>
      </c>
      <c r="E13" s="2020">
        <v>4246.17</v>
      </c>
      <c r="F13" s="2020">
        <v>5270.77</v>
      </c>
      <c r="G13" s="2020">
        <v>4062.51</v>
      </c>
      <c r="H13" s="2020">
        <v>3124.9</v>
      </c>
      <c r="I13" s="2020">
        <v>2612.6</v>
      </c>
      <c r="J13" s="2020">
        <v>2235.63</v>
      </c>
      <c r="K13" s="2020">
        <v>2870.88</v>
      </c>
      <c r="L13" s="2020">
        <v>2930.37</v>
      </c>
      <c r="M13" s="2020">
        <v>3207.77</v>
      </c>
      <c r="N13" s="2020">
        <v>3135.85</v>
      </c>
      <c r="O13" s="2020">
        <v>2622.13</v>
      </c>
      <c r="P13" s="836"/>
      <c r="Q13" s="836"/>
      <c r="R13" s="836"/>
      <c r="S13" s="836"/>
      <c r="T13" s="836"/>
      <c r="U13" s="836"/>
      <c r="V13" s="836"/>
      <c r="W13" s="836"/>
      <c r="X13" s="836"/>
      <c r="Y13" s="836"/>
      <c r="Z13" s="836"/>
      <c r="AA13" s="836"/>
      <c r="AB13" s="836"/>
      <c r="AC13" s="836"/>
      <c r="AD13" s="836"/>
      <c r="AE13" s="836"/>
      <c r="AF13" s="836"/>
      <c r="AG13" s="836"/>
      <c r="AH13" s="836"/>
      <c r="AI13" s="836"/>
      <c r="AJ13" s="836"/>
      <c r="AK13" s="836"/>
      <c r="AL13" s="836"/>
      <c r="AM13" s="836"/>
      <c r="AN13" s="836"/>
      <c r="AO13" s="836"/>
      <c r="AP13" s="836"/>
      <c r="AQ13" s="836"/>
      <c r="AR13" s="836"/>
      <c r="AS13" s="836"/>
      <c r="AT13" s="836"/>
      <c r="AU13" s="836"/>
      <c r="AV13" s="836"/>
      <c r="AW13" s="836"/>
      <c r="AX13" s="836"/>
      <c r="AY13" s="836"/>
    </row>
    <row r="14" spans="1:74" s="26" customFormat="1" ht="12.75" x14ac:dyDescent="0.2">
      <c r="A14" s="107"/>
      <c r="B14" s="1571"/>
      <c r="C14" s="500"/>
      <c r="D14"/>
      <c r="E14"/>
      <c r="F14"/>
      <c r="G14"/>
      <c r="H14"/>
      <c r="I14"/>
      <c r="J14"/>
      <c r="K14"/>
      <c r="L14"/>
      <c r="M14"/>
      <c r="N14"/>
      <c r="O14"/>
      <c r="P14" s="836"/>
      <c r="Q14" s="836"/>
      <c r="R14" s="836"/>
      <c r="S14" s="836"/>
      <c r="T14" s="836"/>
      <c r="U14" s="836"/>
      <c r="V14" s="836"/>
      <c r="W14" s="836"/>
      <c r="X14" s="836"/>
      <c r="Y14" s="836"/>
      <c r="Z14" s="836"/>
      <c r="AA14" s="836"/>
      <c r="AB14" s="836"/>
      <c r="AC14" s="836"/>
      <c r="AD14" s="836"/>
      <c r="AE14" s="836"/>
      <c r="AF14" s="836"/>
      <c r="AG14" s="836"/>
      <c r="AH14" s="836"/>
      <c r="AI14" s="836"/>
      <c r="AJ14" s="836"/>
      <c r="AK14" s="836"/>
      <c r="AL14" s="836"/>
      <c r="AM14" s="836"/>
      <c r="AN14" s="836"/>
      <c r="AO14" s="836"/>
      <c r="AP14" s="836"/>
      <c r="AQ14" s="836"/>
      <c r="AR14" s="836"/>
      <c r="AS14" s="836"/>
      <c r="AT14" s="836"/>
      <c r="AU14" s="836"/>
      <c r="AV14" s="836"/>
      <c r="AW14" s="836"/>
      <c r="AX14" s="836"/>
      <c r="AY14" s="836"/>
    </row>
    <row r="15" spans="1:74" s="26" customFormat="1" ht="12.75" x14ac:dyDescent="0.2">
      <c r="A15" s="1836"/>
      <c r="B15" s="1946" t="s">
        <v>897</v>
      </c>
      <c r="C15" s="1947"/>
      <c r="D15"/>
      <c r="E15"/>
      <c r="F15"/>
      <c r="G15"/>
      <c r="H15"/>
      <c r="I15"/>
      <c r="J15"/>
      <c r="K15"/>
      <c r="L15"/>
      <c r="M15"/>
      <c r="N15"/>
      <c r="O15"/>
      <c r="P15" s="1838"/>
      <c r="Q15" s="1838"/>
      <c r="R15" s="1838"/>
      <c r="S15" s="1838"/>
      <c r="T15" s="1838"/>
      <c r="U15" s="1838"/>
      <c r="V15" s="1838"/>
      <c r="W15" s="1838"/>
      <c r="X15" s="1838"/>
      <c r="Y15" s="1838"/>
      <c r="Z15" s="1838"/>
      <c r="AA15" s="1838"/>
      <c r="AB15" s="1838"/>
      <c r="AC15" s="1838"/>
      <c r="AD15" s="1838"/>
      <c r="AE15" s="1838"/>
      <c r="AF15" s="1838"/>
      <c r="AG15" s="1838"/>
      <c r="AH15" s="1838"/>
      <c r="AI15" s="1838"/>
      <c r="AJ15" s="1838"/>
      <c r="AK15" s="1838"/>
      <c r="AL15" s="1838"/>
      <c r="AM15" s="1838"/>
      <c r="AN15" s="1838"/>
      <c r="AO15" s="1838"/>
      <c r="AP15" s="1838"/>
      <c r="AQ15" s="1838"/>
      <c r="AR15" s="1838"/>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c r="BP15" s="1838"/>
      <c r="BQ15" s="1838"/>
      <c r="BR15" s="1838"/>
      <c r="BS15" s="1838"/>
      <c r="BT15" s="1838"/>
      <c r="BU15" s="1838"/>
      <c r="BV15" s="1838"/>
    </row>
    <row r="16" spans="1:74" s="500" customFormat="1" ht="12.75" x14ac:dyDescent="0.2">
      <c r="A16" s="107"/>
      <c r="B16" s="1564" t="s">
        <v>654</v>
      </c>
      <c r="C16" s="825" t="s">
        <v>655</v>
      </c>
      <c r="D16" s="826">
        <v>42552</v>
      </c>
      <c r="E16" s="826">
        <v>42583</v>
      </c>
      <c r="F16" s="826">
        <v>42614</v>
      </c>
      <c r="G16" s="826">
        <v>42644</v>
      </c>
      <c r="H16" s="826">
        <v>42675</v>
      </c>
      <c r="I16" s="826">
        <v>42705</v>
      </c>
      <c r="J16" s="826">
        <v>42736</v>
      </c>
      <c r="K16" s="826">
        <v>42767</v>
      </c>
      <c r="L16" s="826">
        <v>42795</v>
      </c>
      <c r="M16" s="826">
        <v>42826</v>
      </c>
      <c r="N16" s="826">
        <v>42856</v>
      </c>
      <c r="O16" s="826">
        <v>42887</v>
      </c>
      <c r="P16" s="499"/>
      <c r="Q16" s="499"/>
      <c r="R16" s="499"/>
      <c r="S16" s="499"/>
      <c r="T16" s="499"/>
      <c r="U16" s="499"/>
      <c r="V16" s="499"/>
      <c r="W16" s="499"/>
      <c r="X16" s="499"/>
      <c r="Y16" s="499"/>
      <c r="Z16" s="499"/>
      <c r="AA16" s="499"/>
      <c r="AB16" s="499"/>
      <c r="AC16" s="499"/>
      <c r="AD16" s="499"/>
      <c r="AE16" s="499"/>
      <c r="AF16" s="499"/>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499"/>
      <c r="BN16" s="499"/>
      <c r="BO16" s="499"/>
      <c r="BP16" s="499"/>
      <c r="BQ16" s="499"/>
      <c r="BR16" s="499"/>
      <c r="BS16" s="499"/>
      <c r="BT16" s="499"/>
      <c r="BU16" s="499"/>
      <c r="BV16" s="499"/>
    </row>
    <row r="17" spans="1:74" s="500" customFormat="1" ht="12.75" x14ac:dyDescent="0.2">
      <c r="A17" s="107"/>
      <c r="B17" s="2021" t="s">
        <v>889</v>
      </c>
      <c r="C17" s="2022" t="s">
        <v>898</v>
      </c>
      <c r="D17" s="2023">
        <v>292804.2</v>
      </c>
      <c r="E17" s="2023">
        <v>311990.80000000005</v>
      </c>
      <c r="F17" s="2023">
        <v>263607.2</v>
      </c>
      <c r="G17" s="2023">
        <v>227736.5991658</v>
      </c>
      <c r="H17" s="2023">
        <v>376224.2</v>
      </c>
      <c r="I17" s="2023">
        <v>459644.2</v>
      </c>
      <c r="J17" s="2023">
        <v>623981.60000000009</v>
      </c>
      <c r="K17" s="2023">
        <v>372887.4</v>
      </c>
      <c r="L17" s="2023">
        <v>511364.60000000003</v>
      </c>
      <c r="M17" s="2023">
        <v>386234.60000000003</v>
      </c>
      <c r="N17" s="2023">
        <v>488007.00000000006</v>
      </c>
      <c r="O17" s="2023">
        <v>330343.19916580006</v>
      </c>
      <c r="P17" s="499"/>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499"/>
      <c r="AS17" s="499"/>
      <c r="AT17" s="499"/>
      <c r="AU17" s="499"/>
      <c r="AV17" s="499"/>
      <c r="AW17" s="499"/>
      <c r="AX17" s="499"/>
      <c r="AY17" s="499"/>
      <c r="AZ17" s="499"/>
      <c r="BA17" s="499"/>
      <c r="BB17" s="499"/>
      <c r="BC17" s="499"/>
      <c r="BD17" s="499"/>
      <c r="BE17" s="499"/>
      <c r="BF17" s="499"/>
      <c r="BG17" s="499"/>
      <c r="BH17" s="499"/>
      <c r="BI17" s="499"/>
      <c r="BJ17" s="499"/>
      <c r="BK17" s="499"/>
      <c r="BL17" s="499"/>
      <c r="BM17" s="499"/>
      <c r="BN17" s="499"/>
      <c r="BO17" s="499"/>
      <c r="BP17" s="499"/>
      <c r="BQ17" s="499"/>
      <c r="BR17" s="499"/>
      <c r="BS17" s="499"/>
      <c r="BT17" s="499"/>
      <c r="BU17" s="499"/>
      <c r="BV17" s="499"/>
    </row>
    <row r="18" spans="1:74" s="500" customFormat="1" ht="12.75" x14ac:dyDescent="0.2">
      <c r="A18" s="107"/>
      <c r="B18" s="2024">
        <v>315</v>
      </c>
      <c r="C18" s="2025" t="s">
        <v>899</v>
      </c>
      <c r="D18" s="2026">
        <v>70907</v>
      </c>
      <c r="E18" s="2026">
        <v>87591</v>
      </c>
      <c r="F18" s="2026">
        <v>136808.80000000002</v>
      </c>
      <c r="G18" s="2026">
        <v>139311.40000000002</v>
      </c>
      <c r="H18" s="2026">
        <v>241918.00000000003</v>
      </c>
      <c r="I18" s="2026">
        <v>150990.20000000001</v>
      </c>
      <c r="J18" s="2026">
        <v>226902.40000000002</v>
      </c>
      <c r="K18" s="2026">
        <v>146819.20000000001</v>
      </c>
      <c r="L18" s="2026">
        <v>222731.40000000002</v>
      </c>
      <c r="M18" s="2026">
        <v>121793.20000000001</v>
      </c>
      <c r="N18" s="2026">
        <v>102606.6</v>
      </c>
      <c r="O18" s="2026">
        <v>73409.600000000006</v>
      </c>
      <c r="P18" s="499"/>
      <c r="Q18" s="499"/>
      <c r="R18" s="499"/>
      <c r="S18" s="499"/>
      <c r="T18" s="499"/>
      <c r="U18" s="499"/>
      <c r="V18" s="499"/>
      <c r="W18" s="499"/>
      <c r="X18" s="499"/>
      <c r="Y18" s="499"/>
      <c r="Z18" s="499"/>
      <c r="AA18" s="499"/>
      <c r="AB18" s="499"/>
      <c r="AC18" s="499"/>
      <c r="AD18" s="499"/>
      <c r="AE18" s="499"/>
      <c r="AF18" s="499"/>
      <c r="AG18" s="499"/>
      <c r="AH18" s="499"/>
      <c r="AI18" s="499"/>
      <c r="AJ18" s="499"/>
      <c r="AK18" s="499"/>
      <c r="AL18" s="499"/>
      <c r="AM18" s="499"/>
      <c r="AN18" s="499"/>
      <c r="AO18" s="499"/>
      <c r="AP18" s="499"/>
      <c r="AQ18" s="499"/>
      <c r="AR18" s="499"/>
      <c r="AS18" s="499"/>
      <c r="AT18" s="499"/>
      <c r="AU18" s="499"/>
      <c r="AV18" s="499"/>
      <c r="AW18" s="499"/>
      <c r="AX18" s="499"/>
      <c r="AY18" s="499"/>
      <c r="AZ18" s="499"/>
      <c r="BA18" s="499"/>
      <c r="BB18" s="499"/>
      <c r="BC18" s="499"/>
      <c r="BD18" s="499"/>
      <c r="BE18" s="499"/>
      <c r="BF18" s="499"/>
      <c r="BG18" s="499"/>
      <c r="BH18" s="499"/>
      <c r="BI18" s="499"/>
      <c r="BJ18" s="499"/>
      <c r="BK18" s="499"/>
      <c r="BL18" s="499"/>
      <c r="BM18" s="499"/>
      <c r="BN18" s="499"/>
      <c r="BO18" s="499"/>
      <c r="BP18" s="499"/>
      <c r="BQ18" s="499"/>
      <c r="BR18" s="499"/>
      <c r="BS18" s="499"/>
      <c r="BT18" s="499"/>
      <c r="BU18" s="499"/>
      <c r="BV18" s="499"/>
    </row>
    <row r="19" spans="1:74" s="501" customFormat="1" ht="12.75" x14ac:dyDescent="0.2">
      <c r="A19" s="107"/>
      <c r="B19" s="2024" t="s">
        <v>892</v>
      </c>
      <c r="C19" s="2025" t="s">
        <v>900</v>
      </c>
      <c r="D19" s="2026">
        <v>221897.2</v>
      </c>
      <c r="E19" s="2026">
        <v>250260</v>
      </c>
      <c r="F19" s="2026">
        <v>302814.59999999998</v>
      </c>
      <c r="G19" s="2026">
        <v>260270.40000000002</v>
      </c>
      <c r="H19" s="2026">
        <v>444628.6</v>
      </c>
      <c r="I19" s="2026">
        <v>537224.80000000005</v>
      </c>
      <c r="J19" s="2026">
        <v>506359.4</v>
      </c>
      <c r="K19" s="2026">
        <v>471323.00000000006</v>
      </c>
      <c r="L19" s="2026">
        <v>412929</v>
      </c>
      <c r="M19" s="2026">
        <v>266944</v>
      </c>
      <c r="N19" s="2026">
        <v>260270.40000000002</v>
      </c>
      <c r="O19" s="2026">
        <v>253596.80000000005</v>
      </c>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c r="AN19" s="1572"/>
      <c r="AO19" s="1572"/>
      <c r="AP19" s="1572"/>
      <c r="AQ19" s="1572"/>
      <c r="AR19" s="1572"/>
      <c r="AS19" s="1572"/>
      <c r="AT19" s="1572"/>
      <c r="AU19" s="1572"/>
      <c r="AV19" s="1572"/>
      <c r="AW19" s="1572"/>
      <c r="AX19" s="1572"/>
      <c r="AY19" s="1572"/>
      <c r="AZ19" s="1572"/>
      <c r="BA19" s="1572"/>
      <c r="BB19" s="1572"/>
      <c r="BC19" s="1572"/>
      <c r="BD19" s="1572"/>
      <c r="BE19" s="1572"/>
      <c r="BF19" s="1572"/>
      <c r="BG19" s="1572"/>
      <c r="BH19" s="1572"/>
      <c r="BI19" s="1572"/>
      <c r="BJ19" s="1572"/>
      <c r="BK19" s="1572"/>
      <c r="BL19" s="1572"/>
      <c r="BM19" s="1572"/>
      <c r="BN19" s="1572"/>
      <c r="BO19" s="1572"/>
      <c r="BP19" s="1572"/>
      <c r="BQ19" s="1572"/>
      <c r="BR19" s="1572"/>
      <c r="BS19" s="1572"/>
      <c r="BT19" s="1572"/>
      <c r="BU19" s="1572"/>
      <c r="BV19" s="1572"/>
    </row>
    <row r="20" spans="1:74" s="500" customFormat="1" ht="12.75" x14ac:dyDescent="0.2">
      <c r="A20" s="107"/>
      <c r="B20" s="2027">
        <v>239</v>
      </c>
      <c r="C20" s="2028" t="s">
        <v>1380</v>
      </c>
      <c r="D20" s="2029">
        <v>33368</v>
      </c>
      <c r="E20" s="2029">
        <v>39207.4</v>
      </c>
      <c r="F20" s="2029">
        <v>55057.200000000004</v>
      </c>
      <c r="G20" s="2029">
        <v>47549.4</v>
      </c>
      <c r="H20" s="2029">
        <v>68404.400000000009</v>
      </c>
      <c r="I20" s="2029">
        <v>90927.8</v>
      </c>
      <c r="J20" s="2029">
        <v>95933</v>
      </c>
      <c r="K20" s="2029">
        <v>77580.600000000006</v>
      </c>
      <c r="L20" s="2029">
        <v>94264.6</v>
      </c>
      <c r="M20" s="2029">
        <v>49217.8</v>
      </c>
      <c r="N20" s="2029">
        <v>38373.200000000004</v>
      </c>
      <c r="O20" s="2029">
        <v>39207.4</v>
      </c>
      <c r="P20" s="499"/>
      <c r="Q20" s="499"/>
      <c r="R20" s="499"/>
      <c r="S20" s="499"/>
      <c r="T20" s="499"/>
      <c r="U20" s="499"/>
      <c r="V20" s="499"/>
      <c r="W20" s="499"/>
      <c r="X20" s="499"/>
      <c r="Y20" s="499"/>
      <c r="Z20" s="499"/>
      <c r="AA20" s="499"/>
      <c r="AB20" s="499"/>
      <c r="AC20" s="499"/>
      <c r="AD20" s="499"/>
      <c r="AE20" s="499"/>
      <c r="AF20" s="499"/>
      <c r="AG20" s="499"/>
      <c r="AH20" s="499"/>
      <c r="AI20" s="499"/>
      <c r="AJ20" s="499"/>
      <c r="AK20" s="499"/>
      <c r="AL20" s="499"/>
      <c r="AM20" s="499"/>
      <c r="AN20" s="499"/>
      <c r="AO20" s="499"/>
      <c r="AP20" s="499"/>
      <c r="AQ20" s="499"/>
      <c r="AR20" s="499"/>
      <c r="AS20" s="499"/>
      <c r="AT20" s="499"/>
      <c r="AU20" s="499"/>
      <c r="AV20" s="499"/>
      <c r="AW20" s="499"/>
      <c r="AX20" s="499"/>
      <c r="AY20" s="499"/>
      <c r="AZ20" s="499"/>
      <c r="BA20" s="499"/>
      <c r="BB20" s="499"/>
      <c r="BC20" s="499"/>
      <c r="BD20" s="499"/>
      <c r="BE20" s="499"/>
      <c r="BF20" s="499"/>
      <c r="BG20" s="499"/>
      <c r="BH20" s="499"/>
      <c r="BI20" s="499"/>
      <c r="BJ20" s="499"/>
      <c r="BK20" s="499"/>
      <c r="BL20" s="499"/>
      <c r="BM20" s="499"/>
      <c r="BN20" s="499"/>
      <c r="BO20" s="499"/>
      <c r="BP20" s="499"/>
      <c r="BQ20" s="499"/>
      <c r="BR20" s="499"/>
      <c r="BS20" s="499"/>
      <c r="BT20" s="499"/>
      <c r="BU20" s="499"/>
      <c r="BV20" s="499"/>
    </row>
    <row r="21" spans="1:74" s="500" customFormat="1" ht="12.75" x14ac:dyDescent="0.2">
      <c r="A21" s="107"/>
      <c r="B21" s="2017" t="s">
        <v>889</v>
      </c>
      <c r="C21" s="834" t="s">
        <v>901</v>
      </c>
      <c r="D21" s="835">
        <v>6149.52</v>
      </c>
      <c r="E21" s="835">
        <v>6552.48</v>
      </c>
      <c r="F21" s="835">
        <v>5536.32</v>
      </c>
      <c r="G21" s="835">
        <v>4782.96</v>
      </c>
      <c r="H21" s="835">
        <v>7901.52</v>
      </c>
      <c r="I21" s="835">
        <v>9653.52</v>
      </c>
      <c r="J21" s="835">
        <v>13104.96</v>
      </c>
      <c r="K21" s="835">
        <v>7831.44</v>
      </c>
      <c r="L21" s="835">
        <v>10739.76</v>
      </c>
      <c r="M21" s="835">
        <v>8111.76</v>
      </c>
      <c r="N21" s="835">
        <v>10249.200000000001</v>
      </c>
      <c r="O21" s="835">
        <v>8589.24</v>
      </c>
      <c r="P21" s="499"/>
      <c r="Q21" s="499"/>
      <c r="R21" s="499"/>
      <c r="S21" s="499"/>
      <c r="T21" s="499"/>
      <c r="U21" s="499"/>
      <c r="V21" s="499"/>
      <c r="W21" s="499"/>
      <c r="X21" s="499"/>
      <c r="Y21" s="499"/>
      <c r="Z21" s="499"/>
      <c r="AA21" s="499"/>
      <c r="AB21" s="499"/>
      <c r="AC21" s="499"/>
      <c r="AD21" s="499"/>
      <c r="AE21" s="499"/>
      <c r="AF21" s="499"/>
      <c r="AG21" s="499"/>
      <c r="AH21" s="499"/>
      <c r="AI21" s="499"/>
      <c r="AJ21" s="499"/>
      <c r="AK21" s="499"/>
      <c r="AL21" s="499"/>
      <c r="AM21" s="499"/>
      <c r="AN21" s="499"/>
      <c r="AO21" s="499"/>
      <c r="AP21" s="499"/>
      <c r="AQ21" s="499"/>
      <c r="AR21" s="499"/>
      <c r="AS21" s="499"/>
      <c r="AT21" s="499"/>
      <c r="AU21" s="499"/>
      <c r="AV21" s="499"/>
      <c r="AW21" s="499"/>
      <c r="AX21" s="499"/>
      <c r="AY21" s="499"/>
      <c r="AZ21" s="499"/>
      <c r="BA21" s="499"/>
      <c r="BB21" s="499"/>
      <c r="BC21" s="499"/>
      <c r="BD21" s="499"/>
      <c r="BE21" s="499"/>
      <c r="BF21" s="499"/>
      <c r="BG21" s="499"/>
      <c r="BH21" s="499"/>
      <c r="BI21" s="499"/>
      <c r="BJ21" s="499"/>
      <c r="BK21" s="499"/>
      <c r="BL21" s="499"/>
      <c r="BM21" s="499"/>
      <c r="BN21" s="499"/>
      <c r="BO21" s="499"/>
      <c r="BP21" s="499"/>
      <c r="BQ21" s="499"/>
      <c r="BR21" s="499"/>
      <c r="BS21" s="499"/>
      <c r="BT21" s="499"/>
      <c r="BU21" s="499"/>
      <c r="BV21" s="499"/>
    </row>
    <row r="22" spans="1:74" s="500" customFormat="1" ht="12.75" x14ac:dyDescent="0.2">
      <c r="A22" s="107"/>
      <c r="B22" s="2017">
        <v>315</v>
      </c>
      <c r="C22" s="834" t="s">
        <v>902</v>
      </c>
      <c r="D22" s="835">
        <v>1489.2</v>
      </c>
      <c r="E22" s="835">
        <v>1839.6</v>
      </c>
      <c r="F22" s="835">
        <v>2873.28</v>
      </c>
      <c r="G22" s="835">
        <v>2925.84</v>
      </c>
      <c r="H22" s="835">
        <v>5080.8</v>
      </c>
      <c r="I22" s="835">
        <v>3171.12</v>
      </c>
      <c r="J22" s="835">
        <v>4765.4399999999996</v>
      </c>
      <c r="K22" s="835">
        <v>3083.52</v>
      </c>
      <c r="L22" s="835">
        <v>4677.84</v>
      </c>
      <c r="M22" s="835">
        <v>2557.92</v>
      </c>
      <c r="N22" s="835">
        <v>2154.96</v>
      </c>
      <c r="O22" s="835">
        <v>1908.72</v>
      </c>
      <c r="P22" s="499"/>
      <c r="Q22" s="499"/>
      <c r="R22" s="499"/>
      <c r="S22" s="499"/>
      <c r="T22" s="499"/>
      <c r="U22" s="499"/>
      <c r="V22" s="499"/>
      <c r="W22" s="499"/>
      <c r="X22" s="499"/>
      <c r="Y22" s="499"/>
      <c r="Z22" s="499"/>
      <c r="AA22" s="499"/>
      <c r="AB22" s="499"/>
      <c r="AC22" s="499"/>
      <c r="AD22" s="499"/>
      <c r="AE22" s="499"/>
      <c r="AF22" s="499"/>
      <c r="AG22" s="499"/>
      <c r="AH22" s="499"/>
      <c r="AI22" s="499"/>
      <c r="AJ22" s="499"/>
      <c r="AK22" s="499"/>
      <c r="AL22" s="499"/>
      <c r="AM22" s="499"/>
      <c r="AN22" s="499"/>
      <c r="AO22" s="499"/>
      <c r="AP22" s="499"/>
      <c r="AQ22" s="499"/>
      <c r="AR22" s="499"/>
      <c r="AS22" s="499"/>
      <c r="AT22" s="499"/>
      <c r="AU22" s="499"/>
      <c r="AV22" s="499"/>
      <c r="AW22" s="499"/>
      <c r="AX22" s="499"/>
      <c r="AY22" s="499"/>
      <c r="AZ22" s="499"/>
      <c r="BA22" s="499"/>
      <c r="BB22" s="499"/>
      <c r="BC22" s="499"/>
      <c r="BD22" s="499"/>
      <c r="BE22" s="499"/>
      <c r="BF22" s="499"/>
      <c r="BG22" s="499"/>
      <c r="BH22" s="499"/>
      <c r="BI22" s="499"/>
      <c r="BJ22" s="499"/>
      <c r="BK22" s="499"/>
      <c r="BL22" s="499"/>
      <c r="BM22" s="499"/>
      <c r="BN22" s="499"/>
      <c r="BO22" s="499"/>
      <c r="BP22" s="499"/>
      <c r="BQ22" s="499"/>
      <c r="BR22" s="499"/>
      <c r="BS22" s="499"/>
      <c r="BT22" s="499"/>
      <c r="BU22" s="499"/>
      <c r="BV22" s="499"/>
    </row>
    <row r="23" spans="1:74" s="501" customFormat="1" ht="12.75" x14ac:dyDescent="0.2">
      <c r="A23" s="107"/>
      <c r="B23" s="2017" t="s">
        <v>892</v>
      </c>
      <c r="C23" s="834" t="s">
        <v>903</v>
      </c>
      <c r="D23" s="835">
        <v>5426</v>
      </c>
      <c r="E23" s="835">
        <v>6119.55</v>
      </c>
      <c r="F23" s="835">
        <v>7404.66</v>
      </c>
      <c r="G23" s="835">
        <v>6364.33</v>
      </c>
      <c r="H23" s="835">
        <v>10872.4</v>
      </c>
      <c r="I23" s="835">
        <v>13136.640000000001</v>
      </c>
      <c r="J23" s="835">
        <v>12381.89</v>
      </c>
      <c r="K23" s="835">
        <v>11525.15</v>
      </c>
      <c r="L23" s="835">
        <v>10097.26</v>
      </c>
      <c r="M23" s="835">
        <v>6527.5199999999995</v>
      </c>
      <c r="N23" s="835">
        <v>6364.33</v>
      </c>
      <c r="O23" s="835">
        <v>7278.68</v>
      </c>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c r="AN23" s="1572"/>
      <c r="AO23" s="1572"/>
      <c r="AP23" s="1572"/>
      <c r="AQ23" s="1572"/>
      <c r="AR23" s="1572"/>
      <c r="AS23" s="1572"/>
      <c r="AT23" s="1572"/>
      <c r="AU23" s="1572"/>
      <c r="AV23" s="1572"/>
      <c r="AW23" s="1572"/>
      <c r="AX23" s="1572"/>
      <c r="AY23" s="1572"/>
      <c r="AZ23" s="1572"/>
      <c r="BA23" s="1572"/>
      <c r="BB23" s="1572"/>
      <c r="BC23" s="1572"/>
      <c r="BD23" s="1572"/>
      <c r="BE23" s="1572"/>
      <c r="BF23" s="1572"/>
      <c r="BG23" s="1572"/>
      <c r="BH23" s="1572"/>
      <c r="BI23" s="1572"/>
      <c r="BJ23" s="1572"/>
      <c r="BK23" s="1572"/>
      <c r="BL23" s="1572"/>
      <c r="BM23" s="1572"/>
      <c r="BN23" s="1572"/>
      <c r="BO23" s="1572"/>
      <c r="BP23" s="1572"/>
      <c r="BQ23" s="1572"/>
      <c r="BR23" s="1572"/>
      <c r="BS23" s="1572"/>
      <c r="BT23" s="1572"/>
      <c r="BU23" s="1572"/>
      <c r="BV23" s="1572"/>
    </row>
    <row r="24" spans="1:74" s="500" customFormat="1" ht="12.75" x14ac:dyDescent="0.2">
      <c r="A24" s="107"/>
      <c r="B24" s="2018">
        <v>239</v>
      </c>
      <c r="C24" s="2019" t="s">
        <v>1381</v>
      </c>
      <c r="D24" s="2020">
        <v>700.8</v>
      </c>
      <c r="E24" s="2020">
        <v>823.44</v>
      </c>
      <c r="F24" s="2020">
        <v>1156.32</v>
      </c>
      <c r="G24" s="2020">
        <v>998.64</v>
      </c>
      <c r="H24" s="2020">
        <v>1436.64</v>
      </c>
      <c r="I24" s="2020">
        <v>1909.68</v>
      </c>
      <c r="J24" s="2020">
        <v>2014.8</v>
      </c>
      <c r="K24" s="2020">
        <v>1629.36</v>
      </c>
      <c r="L24" s="2020">
        <v>1979.76</v>
      </c>
      <c r="M24" s="2020">
        <v>1033.68</v>
      </c>
      <c r="N24" s="2020">
        <v>805.92</v>
      </c>
      <c r="O24" s="2020">
        <v>1019.43</v>
      </c>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c r="AN24" s="1572"/>
      <c r="AO24" s="1572"/>
      <c r="AP24" s="1572"/>
      <c r="AQ24" s="1572"/>
      <c r="AR24" s="1572"/>
      <c r="AS24" s="1572"/>
      <c r="AT24" s="1572"/>
      <c r="AU24" s="1572"/>
      <c r="AV24" s="1572"/>
      <c r="AW24" s="1572"/>
      <c r="AX24" s="1572"/>
      <c r="AY24" s="1572"/>
      <c r="AZ24" s="1572"/>
      <c r="BA24" s="1572"/>
      <c r="BB24" s="1572"/>
      <c r="BC24" s="1572"/>
      <c r="BD24" s="1572"/>
      <c r="BE24" s="1572"/>
      <c r="BF24" s="1572"/>
      <c r="BG24" s="1572"/>
      <c r="BH24" s="1572"/>
      <c r="BI24" s="1572"/>
      <c r="BJ24" s="1572"/>
      <c r="BK24" s="1572"/>
      <c r="BL24" s="1572"/>
      <c r="BM24" s="1572"/>
      <c r="BN24" s="1572"/>
      <c r="BO24" s="1572"/>
      <c r="BP24" s="1572"/>
      <c r="BQ24" s="1572"/>
      <c r="BR24" s="1572"/>
      <c r="BS24" s="1572"/>
      <c r="BT24" s="1572"/>
      <c r="BU24" s="1572"/>
      <c r="BV24" s="1572"/>
    </row>
    <row r="25" spans="1:74" s="500" customFormat="1" ht="12.75" x14ac:dyDescent="0.2">
      <c r="A25" s="107"/>
      <c r="B25" s="2030"/>
      <c r="C25" s="26"/>
      <c r="D25"/>
      <c r="E25"/>
      <c r="F25"/>
      <c r="G25"/>
      <c r="H25"/>
      <c r="I25"/>
      <c r="J25"/>
      <c r="K25"/>
      <c r="L25"/>
      <c r="M25"/>
      <c r="N25"/>
      <c r="O25"/>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c r="AN25" s="1572"/>
      <c r="AO25" s="1572"/>
      <c r="AP25" s="1572"/>
      <c r="AQ25" s="1572"/>
      <c r="AR25" s="1572"/>
      <c r="AS25" s="1572"/>
      <c r="AT25" s="1572"/>
      <c r="AU25" s="1572"/>
      <c r="AV25" s="1572"/>
      <c r="AW25" s="1572"/>
      <c r="AX25" s="1572"/>
      <c r="AY25" s="1572"/>
      <c r="AZ25" s="1572"/>
      <c r="BA25" s="1572"/>
      <c r="BB25" s="1572"/>
      <c r="BC25" s="1572"/>
      <c r="BD25" s="1572"/>
      <c r="BE25" s="1572"/>
      <c r="BF25" s="1572"/>
      <c r="BG25" s="1572"/>
      <c r="BH25" s="1572"/>
      <c r="BI25" s="1572"/>
      <c r="BJ25" s="1572"/>
      <c r="BK25" s="1572"/>
      <c r="BL25" s="1572"/>
      <c r="BM25" s="1572"/>
      <c r="BN25" s="1572"/>
      <c r="BO25" s="1572"/>
      <c r="BP25" s="1572"/>
      <c r="BQ25" s="1572"/>
      <c r="BR25" s="1572"/>
      <c r="BS25" s="1572"/>
      <c r="BT25" s="1572"/>
      <c r="BU25" s="1572"/>
      <c r="BV25" s="1572"/>
    </row>
    <row r="26" spans="1:74" s="26" customFormat="1" ht="12.75" x14ac:dyDescent="0.2">
      <c r="B26" s="1946" t="s">
        <v>904</v>
      </c>
      <c r="C26" s="1947"/>
      <c r="D26"/>
      <c r="E26"/>
      <c r="F26"/>
      <c r="G26"/>
      <c r="H26"/>
      <c r="I26"/>
      <c r="J26"/>
      <c r="K26"/>
      <c r="L26"/>
      <c r="M26"/>
      <c r="N26"/>
      <c r="O26"/>
    </row>
    <row r="27" spans="1:74" s="26" customFormat="1" ht="12.75" x14ac:dyDescent="0.2">
      <c r="A27" s="107"/>
      <c r="B27" s="1564" t="s">
        <v>654</v>
      </c>
      <c r="C27" s="825" t="s">
        <v>655</v>
      </c>
      <c r="D27" s="826">
        <v>42552</v>
      </c>
      <c r="E27" s="826">
        <v>42583</v>
      </c>
      <c r="F27" s="826">
        <v>42614</v>
      </c>
      <c r="G27" s="826">
        <v>42644</v>
      </c>
      <c r="H27" s="826">
        <v>42675</v>
      </c>
      <c r="I27" s="826">
        <v>42705</v>
      </c>
      <c r="J27" s="826">
        <v>42736</v>
      </c>
      <c r="K27" s="826">
        <v>42767</v>
      </c>
      <c r="L27" s="826">
        <v>42795</v>
      </c>
      <c r="M27" s="826">
        <v>42826</v>
      </c>
      <c r="N27" s="826">
        <v>42856</v>
      </c>
      <c r="O27" s="826">
        <v>42887</v>
      </c>
      <c r="P27" s="836"/>
      <c r="Q27" s="836"/>
      <c r="R27" s="836"/>
      <c r="S27" s="836"/>
      <c r="T27" s="836"/>
      <c r="U27" s="836"/>
      <c r="V27" s="836"/>
      <c r="W27" s="836"/>
      <c r="X27" s="836"/>
      <c r="Y27" s="836"/>
      <c r="Z27" s="836"/>
      <c r="AA27" s="836"/>
      <c r="AB27" s="836"/>
      <c r="AC27" s="836"/>
      <c r="AD27" s="836"/>
      <c r="AE27" s="836"/>
      <c r="AF27" s="836"/>
      <c r="AG27" s="836"/>
      <c r="AH27" s="836"/>
      <c r="AI27" s="836"/>
      <c r="AJ27" s="836"/>
      <c r="AK27" s="836"/>
      <c r="AL27" s="836"/>
      <c r="AM27" s="836"/>
      <c r="AN27" s="836"/>
      <c r="AO27" s="836"/>
      <c r="AP27" s="836"/>
      <c r="AQ27" s="836"/>
      <c r="AR27" s="836"/>
      <c r="AS27" s="836"/>
      <c r="AT27" s="836"/>
      <c r="AU27" s="836"/>
      <c r="AV27" s="836"/>
      <c r="AW27" s="836"/>
      <c r="AX27" s="836"/>
      <c r="AY27" s="836"/>
    </row>
    <row r="28" spans="1:74" s="26" customFormat="1" ht="12.75" x14ac:dyDescent="0.2">
      <c r="A28" s="1836"/>
      <c r="B28" s="2031" t="s">
        <v>889</v>
      </c>
      <c r="C28" s="2032" t="s">
        <v>905</v>
      </c>
      <c r="D28" s="2033">
        <v>347964.0001</v>
      </c>
      <c r="E28" s="2033">
        <v>386276</v>
      </c>
      <c r="F28" s="2033">
        <v>446391.0000459</v>
      </c>
      <c r="G28" s="2033">
        <v>292376</v>
      </c>
      <c r="H28" s="2033">
        <v>228639</v>
      </c>
      <c r="I28" s="2033">
        <v>69000</v>
      </c>
      <c r="J28" s="2033">
        <v>128000</v>
      </c>
      <c r="K28" s="2033">
        <v>213000</v>
      </c>
      <c r="L28" s="2033">
        <v>208295.0000459</v>
      </c>
      <c r="M28" s="2033">
        <v>298425.00014590001</v>
      </c>
      <c r="N28" s="2033">
        <v>287539.0000459</v>
      </c>
      <c r="O28" s="2033">
        <v>287916</v>
      </c>
      <c r="P28" s="1838"/>
      <c r="Q28" s="1838"/>
      <c r="R28" s="1838"/>
      <c r="S28" s="1838"/>
      <c r="T28" s="1838"/>
      <c r="U28" s="1838"/>
      <c r="V28" s="1838"/>
      <c r="W28" s="1838"/>
      <c r="X28" s="1838"/>
      <c r="Y28" s="1838"/>
      <c r="Z28" s="1838"/>
      <c r="AA28" s="1838"/>
      <c r="AB28" s="1838"/>
      <c r="AC28" s="1838"/>
      <c r="AD28" s="1838"/>
      <c r="AE28" s="1838"/>
      <c r="AF28" s="1838"/>
      <c r="AG28" s="1838"/>
      <c r="AH28" s="1838"/>
      <c r="AI28" s="1838"/>
      <c r="AJ28" s="1838"/>
      <c r="AK28" s="1838"/>
      <c r="AL28" s="1838"/>
      <c r="AM28" s="1838"/>
      <c r="AN28" s="1838"/>
      <c r="AO28" s="1838"/>
      <c r="AP28" s="1838"/>
      <c r="AQ28" s="1838"/>
      <c r="AR28" s="1838"/>
      <c r="AS28" s="1838"/>
      <c r="AT28" s="1838"/>
      <c r="AU28" s="1838"/>
      <c r="AV28" s="1838"/>
      <c r="AW28" s="1838"/>
      <c r="AX28" s="1838"/>
      <c r="AY28" s="1838"/>
      <c r="AZ28" s="1838"/>
      <c r="BA28" s="1838"/>
      <c r="BB28" s="1838"/>
      <c r="BC28" s="1838"/>
      <c r="BD28" s="1838"/>
      <c r="BE28" s="1838"/>
      <c r="BF28" s="1838"/>
      <c r="BG28" s="1838"/>
      <c r="BH28" s="1838"/>
      <c r="BI28" s="1838"/>
      <c r="BJ28" s="1838"/>
      <c r="BK28" s="1838"/>
      <c r="BL28" s="1838"/>
      <c r="BM28" s="1838"/>
      <c r="BN28" s="1838"/>
      <c r="BO28" s="1838"/>
      <c r="BP28" s="1838"/>
      <c r="BQ28" s="1838"/>
      <c r="BR28" s="1838"/>
      <c r="BS28" s="1838"/>
      <c r="BT28" s="1838"/>
      <c r="BU28" s="1838"/>
      <c r="BV28" s="1838"/>
    </row>
    <row r="29" spans="1:74" s="500" customFormat="1" ht="12.75" x14ac:dyDescent="0.2">
      <c r="A29" s="107"/>
      <c r="B29" s="2034">
        <v>315</v>
      </c>
      <c r="C29" s="2035" t="s">
        <v>906</v>
      </c>
      <c r="D29" s="2036">
        <v>146908</v>
      </c>
      <c r="E29" s="2036">
        <v>171372</v>
      </c>
      <c r="F29" s="2036">
        <v>218777.00001729999</v>
      </c>
      <c r="G29" s="2036">
        <v>168072</v>
      </c>
      <c r="H29" s="2036">
        <v>159633</v>
      </c>
      <c r="I29" s="2036">
        <v>50000</v>
      </c>
      <c r="J29" s="2036">
        <v>112000</v>
      </c>
      <c r="K29" s="2036">
        <v>174000</v>
      </c>
      <c r="L29" s="2036">
        <v>155865.00001729999</v>
      </c>
      <c r="M29" s="2036">
        <v>155975.00001730002</v>
      </c>
      <c r="N29" s="2036">
        <v>94933.000017300001</v>
      </c>
      <c r="O29" s="2036">
        <v>57452</v>
      </c>
      <c r="P29" s="499"/>
      <c r="Q29" s="499"/>
      <c r="R29" s="499"/>
      <c r="S29" s="499"/>
      <c r="T29" s="499"/>
      <c r="U29" s="499"/>
      <c r="V29" s="499"/>
      <c r="W29" s="499"/>
      <c r="X29" s="499"/>
      <c r="Y29" s="499"/>
      <c r="Z29" s="499"/>
      <c r="AA29" s="499"/>
      <c r="AB29" s="499"/>
      <c r="AC29" s="499"/>
      <c r="AD29" s="499"/>
      <c r="AE29" s="499"/>
      <c r="AF29" s="499"/>
      <c r="AG29" s="499"/>
      <c r="AH29" s="499"/>
      <c r="AI29" s="499"/>
      <c r="AJ29" s="499"/>
      <c r="AK29" s="499"/>
      <c r="AL29" s="499"/>
      <c r="AM29" s="499"/>
      <c r="AN29" s="499"/>
      <c r="AO29" s="499"/>
      <c r="AP29" s="499"/>
      <c r="AQ29" s="499"/>
      <c r="AR29" s="499"/>
      <c r="AS29" s="499"/>
      <c r="AT29" s="499"/>
      <c r="AU29" s="499"/>
      <c r="AV29" s="499"/>
      <c r="AW29" s="499"/>
      <c r="AX29" s="499"/>
      <c r="AY29" s="499"/>
      <c r="AZ29" s="499"/>
      <c r="BA29" s="499"/>
      <c r="BB29" s="499"/>
      <c r="BC29" s="499"/>
      <c r="BD29" s="499"/>
      <c r="BE29" s="499"/>
      <c r="BF29" s="499"/>
      <c r="BG29" s="499"/>
      <c r="BH29" s="499"/>
      <c r="BI29" s="499"/>
      <c r="BJ29" s="499"/>
      <c r="BK29" s="499"/>
      <c r="BL29" s="499"/>
      <c r="BM29" s="499"/>
      <c r="BN29" s="499"/>
      <c r="BO29" s="499"/>
      <c r="BP29" s="499"/>
      <c r="BQ29" s="499"/>
      <c r="BR29" s="499"/>
      <c r="BS29" s="499"/>
      <c r="BT29" s="499"/>
      <c r="BU29" s="499"/>
      <c r="BV29" s="499"/>
    </row>
    <row r="30" spans="1:74" s="500" customFormat="1" ht="12.75" x14ac:dyDescent="0.2">
      <c r="A30" s="107"/>
      <c r="B30" s="2034" t="s">
        <v>892</v>
      </c>
      <c r="C30" s="2035" t="s">
        <v>907</v>
      </c>
      <c r="D30" s="2036">
        <v>117128</v>
      </c>
      <c r="E30" s="2036">
        <v>239352</v>
      </c>
      <c r="F30" s="2036">
        <v>362832.00003679999</v>
      </c>
      <c r="G30" s="2036">
        <v>265552</v>
      </c>
      <c r="H30" s="2036">
        <v>246728</v>
      </c>
      <c r="I30" s="2036">
        <v>75000</v>
      </c>
      <c r="J30" s="2036">
        <v>173000</v>
      </c>
      <c r="K30" s="2036">
        <v>270000</v>
      </c>
      <c r="L30" s="2036">
        <v>245840.00003679999</v>
      </c>
      <c r="M30" s="2036">
        <v>263600.00003679999</v>
      </c>
      <c r="N30" s="2036">
        <v>157528.00003679999</v>
      </c>
      <c r="O30" s="2036">
        <v>90632</v>
      </c>
      <c r="P30" s="499"/>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M30" s="499"/>
      <c r="AN30" s="499"/>
      <c r="AO30" s="499"/>
      <c r="AP30" s="499"/>
      <c r="AQ30" s="499"/>
      <c r="AR30" s="499"/>
      <c r="AS30" s="499"/>
      <c r="AT30" s="499"/>
      <c r="AU30" s="499"/>
      <c r="AV30" s="499"/>
      <c r="AW30" s="499"/>
      <c r="AX30" s="499"/>
      <c r="AY30" s="499"/>
      <c r="AZ30" s="499"/>
      <c r="BA30" s="499"/>
      <c r="BB30" s="499"/>
      <c r="BC30" s="499"/>
      <c r="BD30" s="499"/>
      <c r="BE30" s="499"/>
      <c r="BF30" s="499"/>
      <c r="BG30" s="499"/>
      <c r="BH30" s="499"/>
      <c r="BI30" s="499"/>
      <c r="BJ30" s="499"/>
      <c r="BK30" s="499"/>
      <c r="BL30" s="499"/>
      <c r="BM30" s="499"/>
      <c r="BN30" s="499"/>
      <c r="BO30" s="499"/>
      <c r="BP30" s="499"/>
      <c r="BQ30" s="499"/>
      <c r="BR30" s="499"/>
      <c r="BS30" s="499"/>
      <c r="BT30" s="499"/>
      <c r="BU30" s="499"/>
      <c r="BV30" s="499"/>
    </row>
    <row r="31" spans="1:74" s="500" customFormat="1" ht="12.75" x14ac:dyDescent="0.2">
      <c r="A31" s="107"/>
      <c r="B31" s="2037">
        <v>239</v>
      </c>
      <c r="C31" s="2038" t="s">
        <v>1382</v>
      </c>
      <c r="D31" s="2039">
        <v>57000</v>
      </c>
      <c r="E31" s="2039">
        <v>113000</v>
      </c>
      <c r="F31" s="2039">
        <v>230000</v>
      </c>
      <c r="G31" s="2039">
        <v>126000</v>
      </c>
      <c r="H31" s="2039">
        <v>97000</v>
      </c>
      <c r="I31" s="2039">
        <v>32000</v>
      </c>
      <c r="J31" s="2039">
        <v>76000</v>
      </c>
      <c r="K31" s="2039">
        <v>108000</v>
      </c>
      <c r="L31" s="2039">
        <v>104000</v>
      </c>
      <c r="M31" s="2039">
        <v>111000</v>
      </c>
      <c r="N31" s="2039">
        <v>54000</v>
      </c>
      <c r="O31" s="2039">
        <v>48000</v>
      </c>
      <c r="P31" s="499"/>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499"/>
      <c r="AO31" s="499"/>
      <c r="AP31" s="499"/>
      <c r="AQ31" s="499"/>
      <c r="AR31" s="499"/>
      <c r="AS31" s="499"/>
      <c r="AT31" s="499"/>
      <c r="AU31" s="499"/>
      <c r="AV31" s="499"/>
      <c r="AW31" s="499"/>
      <c r="AX31" s="499"/>
      <c r="AY31" s="499"/>
      <c r="AZ31" s="499"/>
      <c r="BA31" s="499"/>
      <c r="BB31" s="499"/>
      <c r="BC31" s="499"/>
      <c r="BD31" s="499"/>
      <c r="BE31" s="499"/>
      <c r="BF31" s="499"/>
      <c r="BG31" s="499"/>
      <c r="BH31" s="499"/>
      <c r="BI31" s="499"/>
      <c r="BJ31" s="499"/>
      <c r="BK31" s="499"/>
      <c r="BL31" s="499"/>
      <c r="BM31" s="499"/>
      <c r="BN31" s="499"/>
      <c r="BO31" s="499"/>
      <c r="BP31" s="499"/>
      <c r="BQ31" s="499"/>
      <c r="BR31" s="499"/>
      <c r="BS31" s="499"/>
      <c r="BT31" s="499"/>
      <c r="BU31" s="499"/>
      <c r="BV31" s="499"/>
    </row>
    <row r="32" spans="1:74" s="501" customFormat="1" ht="12.75" x14ac:dyDescent="0.2">
      <c r="A32" s="107"/>
      <c r="B32" s="2017" t="s">
        <v>889</v>
      </c>
      <c r="C32" s="834" t="s">
        <v>908</v>
      </c>
      <c r="D32" s="835">
        <v>3726.0803999999998</v>
      </c>
      <c r="E32" s="835">
        <v>2995.2107999999998</v>
      </c>
      <c r="F32" s="835">
        <v>3627.3685</v>
      </c>
      <c r="G32" s="835">
        <v>3822.692</v>
      </c>
      <c r="H32" s="835">
        <v>2974.6505999999999</v>
      </c>
      <c r="I32" s="835">
        <v>1984.5</v>
      </c>
      <c r="J32" s="835">
        <v>1298.2</v>
      </c>
      <c r="K32" s="835">
        <v>2999</v>
      </c>
      <c r="L32" s="835">
        <v>2198.6914999999999</v>
      </c>
      <c r="M32" s="835">
        <v>2480.1724999999997</v>
      </c>
      <c r="N32" s="835">
        <v>4088.5659000000001</v>
      </c>
      <c r="O32" s="835">
        <v>3343.0792000000001</v>
      </c>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1572"/>
      <c r="AO32" s="1572"/>
      <c r="AP32" s="1572"/>
      <c r="AQ32" s="1572"/>
      <c r="AR32" s="1572"/>
      <c r="AS32" s="1572"/>
      <c r="AT32" s="1572"/>
      <c r="AU32" s="1572"/>
      <c r="AV32" s="1572"/>
      <c r="AW32" s="1572"/>
      <c r="AX32" s="1572"/>
      <c r="AY32" s="1572"/>
      <c r="AZ32" s="1572"/>
      <c r="BA32" s="1572"/>
      <c r="BB32" s="1572"/>
      <c r="BC32" s="1572"/>
      <c r="BD32" s="1572"/>
      <c r="BE32" s="1572"/>
      <c r="BF32" s="1572"/>
      <c r="BG32" s="1572"/>
      <c r="BH32" s="1572"/>
      <c r="BI32" s="1572"/>
      <c r="BJ32" s="1572"/>
      <c r="BK32" s="1572"/>
      <c r="BL32" s="1572"/>
      <c r="BM32" s="1572"/>
      <c r="BN32" s="1572"/>
      <c r="BO32" s="1572"/>
      <c r="BP32" s="1572"/>
      <c r="BQ32" s="1572"/>
      <c r="BR32" s="1572"/>
      <c r="BS32" s="1572"/>
      <c r="BT32" s="1572"/>
      <c r="BU32" s="1572"/>
      <c r="BV32" s="1572"/>
    </row>
    <row r="33" spans="1:74" s="500" customFormat="1" ht="12.75" x14ac:dyDescent="0.2">
      <c r="A33" s="107"/>
      <c r="B33" s="2017">
        <v>315</v>
      </c>
      <c r="C33" s="834" t="s">
        <v>909</v>
      </c>
      <c r="D33" s="835">
        <v>1530.6387999999999</v>
      </c>
      <c r="E33" s="835">
        <v>1330.0275999999999</v>
      </c>
      <c r="F33" s="835">
        <v>1725.2195000000002</v>
      </c>
      <c r="G33" s="835">
        <v>2040.8240000000001</v>
      </c>
      <c r="H33" s="835">
        <v>1912.5182</v>
      </c>
      <c r="I33" s="835">
        <v>1419</v>
      </c>
      <c r="J33" s="835">
        <v>1071.8</v>
      </c>
      <c r="K33" s="835">
        <v>2498</v>
      </c>
      <c r="L33" s="835">
        <v>1737.7004999999999</v>
      </c>
      <c r="M33" s="835">
        <v>1614.6075000000001</v>
      </c>
      <c r="N33" s="835">
        <v>1728.4573</v>
      </c>
      <c r="O33" s="835">
        <v>867.20240000000001</v>
      </c>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1572"/>
      <c r="AO33" s="1572"/>
      <c r="AP33" s="1572"/>
      <c r="AQ33" s="1572"/>
      <c r="AR33" s="1572"/>
      <c r="AS33" s="1572"/>
      <c r="AT33" s="1572"/>
      <c r="AU33" s="1572"/>
      <c r="AV33" s="1572"/>
      <c r="AW33" s="1572"/>
      <c r="AX33" s="1572"/>
      <c r="AY33" s="1572"/>
      <c r="AZ33" s="1572"/>
      <c r="BA33" s="1572"/>
      <c r="BB33" s="1572"/>
      <c r="BC33" s="1572"/>
      <c r="BD33" s="1572"/>
      <c r="BE33" s="1572"/>
      <c r="BF33" s="1572"/>
      <c r="BG33" s="1572"/>
      <c r="BH33" s="1572"/>
      <c r="BI33" s="1572"/>
      <c r="BJ33" s="1572"/>
      <c r="BK33" s="1572"/>
      <c r="BL33" s="1572"/>
      <c r="BM33" s="1572"/>
      <c r="BN33" s="1572"/>
      <c r="BO33" s="1572"/>
      <c r="BP33" s="1572"/>
      <c r="BQ33" s="1572"/>
      <c r="BR33" s="1572"/>
      <c r="BS33" s="1572"/>
      <c r="BT33" s="1572"/>
      <c r="BU33" s="1572"/>
      <c r="BV33" s="1572"/>
    </row>
    <row r="34" spans="1:74" s="500" customFormat="1" ht="12.75" x14ac:dyDescent="0.2">
      <c r="A34" s="107"/>
      <c r="B34" s="2017" t="s">
        <v>892</v>
      </c>
      <c r="C34" s="834" t="s">
        <v>910</v>
      </c>
      <c r="D34" s="835">
        <v>942.98079999999993</v>
      </c>
      <c r="E34" s="835">
        <v>1122.3616</v>
      </c>
      <c r="F34" s="835">
        <v>2603.4119999999998</v>
      </c>
      <c r="G34" s="835">
        <v>3106.9839999999999</v>
      </c>
      <c r="H34" s="835">
        <v>2945.3312000000001</v>
      </c>
      <c r="I34" s="835">
        <v>2156</v>
      </c>
      <c r="J34" s="835">
        <v>1634.6999999999998</v>
      </c>
      <c r="K34" s="835">
        <v>3864.5</v>
      </c>
      <c r="L34" s="835">
        <v>2704.6080000000002</v>
      </c>
      <c r="M34" s="835">
        <v>2601.3199999999997</v>
      </c>
      <c r="N34" s="835">
        <v>2849.9767999999995</v>
      </c>
      <c r="O34" s="835">
        <v>1336.4183999999998</v>
      </c>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1572"/>
      <c r="AO34" s="1572"/>
      <c r="AP34" s="1572"/>
      <c r="AQ34" s="1572"/>
      <c r="AR34" s="1572"/>
      <c r="AS34" s="1572"/>
      <c r="AT34" s="1572"/>
      <c r="AU34" s="1572"/>
      <c r="AV34" s="1572"/>
      <c r="AW34" s="1572"/>
      <c r="AX34" s="1572"/>
      <c r="AY34" s="1572"/>
      <c r="AZ34" s="1572"/>
      <c r="BA34" s="1572"/>
      <c r="BB34" s="1572"/>
      <c r="BC34" s="1572"/>
      <c r="BD34" s="1572"/>
      <c r="BE34" s="1572"/>
      <c r="BF34" s="1572"/>
      <c r="BG34" s="1572"/>
      <c r="BH34" s="1572"/>
      <c r="BI34" s="1572"/>
      <c r="BJ34" s="1572"/>
      <c r="BK34" s="1572"/>
      <c r="BL34" s="1572"/>
      <c r="BM34" s="1572"/>
      <c r="BN34" s="1572"/>
      <c r="BO34" s="1572"/>
      <c r="BP34" s="1572"/>
      <c r="BQ34" s="1572"/>
      <c r="BR34" s="1572"/>
      <c r="BS34" s="1572"/>
      <c r="BT34" s="1572"/>
      <c r="BU34" s="1572"/>
      <c r="BV34" s="1572"/>
    </row>
    <row r="35" spans="1:74" s="1833" customFormat="1" x14ac:dyDescent="0.25">
      <c r="A35" s="1831"/>
      <c r="B35" s="2018">
        <v>239</v>
      </c>
      <c r="C35" s="2019" t="s">
        <v>1383</v>
      </c>
      <c r="D35" s="2020">
        <v>347.7</v>
      </c>
      <c r="E35" s="2020">
        <v>372.9</v>
      </c>
      <c r="F35" s="2020">
        <v>805</v>
      </c>
      <c r="G35" s="2020">
        <v>567</v>
      </c>
      <c r="H35" s="2020">
        <v>523.79999999999995</v>
      </c>
      <c r="I35" s="2020">
        <v>240</v>
      </c>
      <c r="J35" s="2020">
        <v>486.4</v>
      </c>
      <c r="K35" s="2020">
        <v>1080</v>
      </c>
      <c r="L35" s="2020">
        <v>384.8</v>
      </c>
      <c r="M35" s="2020">
        <v>410.7</v>
      </c>
      <c r="N35" s="2020">
        <v>437.4</v>
      </c>
      <c r="O35" s="2020">
        <v>297.60000000000002</v>
      </c>
      <c r="T35" s="1832"/>
      <c r="U35" s="1834"/>
      <c r="X35" s="1834"/>
      <c r="Y35" s="1835"/>
      <c r="Z35" s="1835"/>
    </row>
    <row r="36" spans="1:74" s="1833" customFormat="1" x14ac:dyDescent="0.25">
      <c r="A36" s="1831"/>
      <c r="B36" s="1571"/>
      <c r="C36" s="500"/>
      <c r="D36" s="1572"/>
      <c r="E36" s="1572"/>
      <c r="F36" s="1572"/>
      <c r="G36" s="1572"/>
      <c r="H36" s="1572"/>
      <c r="I36" s="1572"/>
      <c r="J36" s="1572"/>
      <c r="K36" s="1572"/>
      <c r="L36" s="1572"/>
      <c r="M36" s="1572"/>
      <c r="N36" s="1572"/>
      <c r="O36" s="1572"/>
      <c r="T36" s="1832"/>
      <c r="U36" s="1834"/>
      <c r="X36" s="1834"/>
      <c r="Y36" s="1835"/>
      <c r="Z36" s="1835"/>
    </row>
    <row r="37" spans="1:74" s="128" customFormat="1" x14ac:dyDescent="0.25">
      <c r="A37" s="459">
        <v>2</v>
      </c>
      <c r="B37" s="172" t="s">
        <v>371</v>
      </c>
      <c r="C37" s="173"/>
      <c r="S37" s="173"/>
      <c r="T37" s="172" t="s">
        <v>371</v>
      </c>
      <c r="W37" s="129"/>
      <c r="Y37" s="166"/>
      <c r="Z37" s="764"/>
    </row>
    <row r="38" spans="1:74" s="128" customFormat="1" ht="14.45" customHeight="1" x14ac:dyDescent="0.25">
      <c r="A38" s="459"/>
      <c r="B38" s="2237" t="s">
        <v>352</v>
      </c>
      <c r="C38" s="173"/>
      <c r="D38" s="172"/>
      <c r="S38" s="173"/>
      <c r="T38" s="172"/>
      <c r="W38" s="129"/>
      <c r="Y38" s="166"/>
      <c r="Z38" s="764"/>
    </row>
    <row r="39" spans="1:74" s="128" customFormat="1" x14ac:dyDescent="0.25">
      <c r="A39" s="459"/>
      <c r="S39" s="173"/>
      <c r="T39" s="172"/>
      <c r="W39" s="129"/>
      <c r="Y39" s="166"/>
      <c r="Z39" s="764"/>
    </row>
    <row r="40" spans="1:74" s="128" customFormat="1" x14ac:dyDescent="0.25">
      <c r="A40" s="459">
        <v>3</v>
      </c>
      <c r="B40" s="127" t="s">
        <v>375</v>
      </c>
      <c r="C40" s="173"/>
      <c r="S40" s="173"/>
      <c r="T40" s="127" t="s">
        <v>375</v>
      </c>
      <c r="W40" s="129"/>
      <c r="Y40" s="166"/>
      <c r="Z40" s="166"/>
    </row>
    <row r="41" spans="1:74" s="128" customFormat="1" x14ac:dyDescent="0.25">
      <c r="A41" s="459"/>
      <c r="B41" s="2237" t="s">
        <v>352</v>
      </c>
      <c r="C41" s="173"/>
      <c r="D41" s="172"/>
      <c r="S41" s="173"/>
      <c r="T41" s="172"/>
      <c r="W41" s="129"/>
      <c r="Y41" s="166"/>
      <c r="Z41" s="764"/>
    </row>
    <row r="42" spans="1:74" s="128" customFormat="1" x14ac:dyDescent="0.25">
      <c r="A42" s="459"/>
      <c r="B42" s="172"/>
      <c r="C42" s="173"/>
      <c r="S42" s="173"/>
      <c r="T42" s="172"/>
      <c r="W42" s="129"/>
      <c r="Y42" s="166"/>
      <c r="Z42" s="764"/>
    </row>
    <row r="43" spans="1:74" s="125" customFormat="1" x14ac:dyDescent="0.25">
      <c r="A43" s="461">
        <v>4</v>
      </c>
      <c r="B43" s="148" t="s">
        <v>553</v>
      </c>
      <c r="C43" s="152"/>
      <c r="S43" s="139"/>
      <c r="T43" s="148" t="s">
        <v>553</v>
      </c>
      <c r="U43" s="139"/>
      <c r="V43" s="149"/>
      <c r="W43" s="150"/>
      <c r="Y43" s="157"/>
      <c r="Z43" s="157"/>
    </row>
    <row r="44" spans="1:74" s="125" customFormat="1" x14ac:dyDescent="0.25">
      <c r="A44" s="462"/>
      <c r="B44" s="666" t="s">
        <v>1385</v>
      </c>
      <c r="C44" s="497"/>
      <c r="D44"/>
      <c r="E44"/>
      <c r="F44"/>
      <c r="G44"/>
      <c r="H44"/>
      <c r="I44"/>
      <c r="J44"/>
      <c r="K44"/>
      <c r="L44"/>
      <c r="M44"/>
      <c r="N44"/>
      <c r="O44"/>
      <c r="P44"/>
      <c r="Q44"/>
      <c r="R44"/>
      <c r="S44" s="139"/>
      <c r="T44" s="148"/>
      <c r="U44" s="139"/>
      <c r="V44" s="149"/>
      <c r="W44" s="150"/>
      <c r="Y44" s="157"/>
      <c r="Z44" s="157"/>
    </row>
    <row r="45" spans="1:74" s="125" customFormat="1" x14ac:dyDescent="0.25">
      <c r="A45" s="461"/>
      <c r="B45" s="130" t="s">
        <v>337</v>
      </c>
      <c r="C45" s="186" t="s">
        <v>1532</v>
      </c>
      <c r="D45" s="131">
        <v>42552</v>
      </c>
      <c r="E45" s="131">
        <v>42583</v>
      </c>
      <c r="F45" s="131">
        <v>42614</v>
      </c>
      <c r="G45" s="131">
        <v>42644</v>
      </c>
      <c r="H45" s="131">
        <v>42675</v>
      </c>
      <c r="I45" s="131">
        <v>42705</v>
      </c>
      <c r="J45" s="131">
        <v>42736</v>
      </c>
      <c r="K45" s="131">
        <v>42767</v>
      </c>
      <c r="L45" s="131">
        <v>42795</v>
      </c>
      <c r="M45" s="131">
        <v>42826</v>
      </c>
      <c r="N45" s="131">
        <v>42856</v>
      </c>
      <c r="O45" s="131">
        <v>42887</v>
      </c>
      <c r="P45" s="131">
        <v>42917</v>
      </c>
      <c r="Q45" s="151">
        <v>42948</v>
      </c>
      <c r="R45" s="131">
        <v>42992</v>
      </c>
      <c r="S45" s="139"/>
      <c r="T45" s="148"/>
      <c r="U45" s="139"/>
      <c r="V45" s="149"/>
      <c r="W45" s="150"/>
      <c r="Y45" s="157"/>
      <c r="Z45" s="157"/>
    </row>
    <row r="46" spans="1:74" s="125" customFormat="1" x14ac:dyDescent="0.25">
      <c r="A46" s="461"/>
      <c r="B46" s="135" t="s">
        <v>319</v>
      </c>
      <c r="C46" s="136">
        <v>85576</v>
      </c>
      <c r="D46" s="136">
        <v>101534</v>
      </c>
      <c r="E46" s="136">
        <v>104360</v>
      </c>
      <c r="F46" s="136">
        <v>88955</v>
      </c>
      <c r="G46" s="136">
        <v>79901</v>
      </c>
      <c r="H46" s="136">
        <v>57473</v>
      </c>
      <c r="I46" s="136">
        <v>51047</v>
      </c>
      <c r="J46" s="136">
        <v>53957</v>
      </c>
      <c r="K46" s="136">
        <v>57291</v>
      </c>
      <c r="L46" s="136">
        <v>60217</v>
      </c>
      <c r="M46" s="136">
        <v>65740</v>
      </c>
      <c r="N46" s="136">
        <v>68099</v>
      </c>
      <c r="O46" s="136">
        <v>70935</v>
      </c>
      <c r="P46" s="136">
        <v>82428</v>
      </c>
      <c r="Q46" s="136">
        <v>65420</v>
      </c>
      <c r="R46" s="153"/>
      <c r="S46" s="139"/>
      <c r="T46" s="148"/>
      <c r="U46" s="139"/>
      <c r="V46" s="149"/>
      <c r="W46" s="150"/>
      <c r="Y46" s="157"/>
      <c r="Z46" s="157"/>
    </row>
    <row r="47" spans="1:74" s="125" customFormat="1" x14ac:dyDescent="0.25">
      <c r="A47" s="461"/>
      <c r="B47" s="135" t="s">
        <v>343</v>
      </c>
      <c r="C47" s="1092"/>
      <c r="D47" s="153"/>
      <c r="E47" s="153"/>
      <c r="F47" s="137"/>
      <c r="G47" s="137"/>
      <c r="H47" s="137"/>
      <c r="I47" s="136"/>
      <c r="J47" s="136"/>
      <c r="K47" s="136"/>
      <c r="L47" s="136"/>
      <c r="M47" s="136"/>
      <c r="N47" s="136"/>
      <c r="O47" s="136"/>
      <c r="P47" s="136"/>
      <c r="Q47" s="136"/>
      <c r="R47" s="153"/>
      <c r="S47" s="139"/>
      <c r="T47" s="148"/>
      <c r="U47" s="139"/>
      <c r="V47" s="149"/>
      <c r="W47" s="150"/>
      <c r="Y47" s="157"/>
      <c r="Z47" s="157"/>
    </row>
    <row r="48" spans="1:74" s="125" customFormat="1" x14ac:dyDescent="0.25">
      <c r="A48" s="461"/>
      <c r="B48" s="153" t="s">
        <v>362</v>
      </c>
      <c r="C48" s="1092"/>
      <c r="D48" s="153"/>
      <c r="E48" s="153"/>
      <c r="F48" s="141"/>
      <c r="G48" s="141"/>
      <c r="H48" s="141"/>
      <c r="I48" s="141"/>
      <c r="J48" s="141"/>
      <c r="K48" s="141"/>
      <c r="L48" s="141"/>
      <c r="M48" s="141"/>
      <c r="N48" s="141"/>
      <c r="O48" s="141"/>
      <c r="P48" s="141"/>
      <c r="Q48" s="141"/>
      <c r="R48" s="153"/>
      <c r="S48" s="139"/>
      <c r="T48" s="148"/>
      <c r="U48" s="139"/>
      <c r="V48" s="149"/>
      <c r="W48" s="150"/>
      <c r="Y48" s="157"/>
      <c r="Z48" s="157"/>
    </row>
    <row r="49" spans="1:26" s="125" customFormat="1" x14ac:dyDescent="0.25">
      <c r="A49" s="461"/>
      <c r="B49" s="153" t="s">
        <v>641</v>
      </c>
      <c r="C49" s="141">
        <v>51</v>
      </c>
      <c r="D49" s="141">
        <v>39</v>
      </c>
      <c r="E49" s="153">
        <v>41</v>
      </c>
      <c r="F49" s="141">
        <v>47</v>
      </c>
      <c r="G49" s="141">
        <v>39</v>
      </c>
      <c r="H49" s="141">
        <v>40</v>
      </c>
      <c r="I49" s="141">
        <v>47</v>
      </c>
      <c r="J49" s="141">
        <v>51</v>
      </c>
      <c r="K49" s="141">
        <v>48</v>
      </c>
      <c r="L49" s="141">
        <v>51</v>
      </c>
      <c r="M49" s="141">
        <v>44</v>
      </c>
      <c r="N49" s="141">
        <v>46</v>
      </c>
      <c r="O49" s="141">
        <v>50</v>
      </c>
      <c r="P49" s="141">
        <v>42</v>
      </c>
      <c r="Q49" s="141">
        <v>39</v>
      </c>
      <c r="R49" s="153"/>
      <c r="S49" s="139"/>
      <c r="T49" s="148"/>
      <c r="U49" s="139"/>
      <c r="V49" s="149"/>
      <c r="W49" s="150"/>
      <c r="Y49" s="157"/>
      <c r="Z49" s="157"/>
    </row>
    <row r="50" spans="1:26" s="125" customFormat="1" x14ac:dyDescent="0.25">
      <c r="A50" s="461"/>
      <c r="B50" s="135" t="s">
        <v>864</v>
      </c>
      <c r="C50" s="750">
        <v>30042</v>
      </c>
      <c r="D50" s="750">
        <v>29190</v>
      </c>
      <c r="E50" s="760">
        <v>36174</v>
      </c>
      <c r="F50" s="760">
        <v>26967</v>
      </c>
      <c r="G50" s="760">
        <v>22047</v>
      </c>
      <c r="H50" s="760">
        <v>20331</v>
      </c>
      <c r="I50" s="760">
        <v>16553</v>
      </c>
      <c r="J50" s="760">
        <v>16038</v>
      </c>
      <c r="K50" s="750">
        <v>8982</v>
      </c>
      <c r="L50" s="750">
        <v>5104</v>
      </c>
      <c r="M50" s="750">
        <v>8580</v>
      </c>
      <c r="N50" s="750">
        <v>8836</v>
      </c>
      <c r="O50" s="750">
        <v>8359</v>
      </c>
      <c r="P50" s="750">
        <v>14279</v>
      </c>
      <c r="Q50" s="728"/>
      <c r="R50" s="153"/>
      <c r="S50" s="139"/>
      <c r="T50" s="148"/>
      <c r="U50" s="139"/>
      <c r="V50" s="149"/>
      <c r="W50" s="150"/>
      <c r="Y50" s="157"/>
      <c r="Z50" s="157"/>
    </row>
    <row r="51" spans="1:26" s="125" customFormat="1" x14ac:dyDescent="0.25">
      <c r="A51" s="461"/>
      <c r="B51" s="135" t="s">
        <v>324</v>
      </c>
      <c r="C51" s="731">
        <v>5323.04</v>
      </c>
      <c r="D51" s="731">
        <v>6315.67</v>
      </c>
      <c r="E51" s="731">
        <v>6491.45</v>
      </c>
      <c r="F51" s="731">
        <v>5533.22</v>
      </c>
      <c r="G51" s="731">
        <v>4970.04</v>
      </c>
      <c r="H51" s="731">
        <v>3637.17</v>
      </c>
      <c r="I51" s="731">
        <v>3175.25</v>
      </c>
      <c r="J51" s="731">
        <v>3356.26</v>
      </c>
      <c r="K51" s="731">
        <v>3563.64</v>
      </c>
      <c r="L51" s="731">
        <v>3745.65</v>
      </c>
      <c r="M51" s="731">
        <v>4089.19</v>
      </c>
      <c r="N51" s="731">
        <v>4235.93</v>
      </c>
      <c r="O51" s="731">
        <v>4412.33</v>
      </c>
      <c r="P51" s="731">
        <v>5127.2299999999996</v>
      </c>
      <c r="Q51" s="731">
        <v>4069.29</v>
      </c>
      <c r="R51" s="153"/>
      <c r="S51" s="139"/>
      <c r="T51" s="148"/>
      <c r="U51" s="139"/>
      <c r="V51" s="149"/>
      <c r="W51" s="150"/>
      <c r="Y51" s="157"/>
      <c r="Z51" s="157"/>
    </row>
    <row r="52" spans="1:26" s="125" customFormat="1" x14ac:dyDescent="0.25">
      <c r="A52" s="461"/>
      <c r="B52" s="144" t="s">
        <v>348</v>
      </c>
      <c r="C52" s="1092"/>
      <c r="D52" s="153"/>
      <c r="E52" s="153"/>
      <c r="F52" s="736"/>
      <c r="G52" s="736"/>
      <c r="H52" s="736"/>
      <c r="I52" s="736"/>
      <c r="J52" s="731"/>
      <c r="K52" s="731"/>
      <c r="L52" s="731"/>
      <c r="M52" s="731"/>
      <c r="N52" s="731"/>
      <c r="O52" s="731"/>
      <c r="P52" s="731"/>
      <c r="Q52" s="731"/>
      <c r="R52" s="153"/>
      <c r="S52" s="139"/>
      <c r="T52" s="148"/>
      <c r="U52" s="139"/>
      <c r="V52" s="149"/>
      <c r="W52" s="150"/>
      <c r="Y52" s="157"/>
      <c r="Z52" s="157"/>
    </row>
    <row r="53" spans="1:26" s="125" customFormat="1" x14ac:dyDescent="0.25">
      <c r="A53" s="461"/>
      <c r="B53" s="195" t="s">
        <v>1087</v>
      </c>
      <c r="C53" s="1092"/>
      <c r="D53" s="153"/>
      <c r="E53" s="153"/>
      <c r="F53" s="731"/>
      <c r="G53" s="731"/>
      <c r="H53" s="731"/>
      <c r="I53" s="731"/>
      <c r="J53" s="731"/>
      <c r="K53" s="731"/>
      <c r="L53" s="731"/>
      <c r="M53" s="731"/>
      <c r="N53" s="731"/>
      <c r="O53" s="731"/>
      <c r="P53" s="731"/>
      <c r="Q53" s="731"/>
      <c r="R53" s="153"/>
      <c r="S53" s="139"/>
      <c r="T53" s="148"/>
      <c r="U53" s="139"/>
      <c r="V53" s="149"/>
      <c r="W53" s="150"/>
      <c r="Y53" s="157"/>
      <c r="Z53" s="157"/>
    </row>
    <row r="54" spans="1:26" s="125" customFormat="1" x14ac:dyDescent="0.25">
      <c r="A54" s="461"/>
      <c r="B54" s="144" t="s">
        <v>883</v>
      </c>
      <c r="C54" s="145">
        <v>53.61</v>
      </c>
      <c r="D54" s="145">
        <v>45.4</v>
      </c>
      <c r="E54" s="145">
        <v>46.77</v>
      </c>
      <c r="F54" s="145">
        <v>50.87</v>
      </c>
      <c r="G54" s="145">
        <v>45.48</v>
      </c>
      <c r="H54" s="145">
        <v>46.63</v>
      </c>
      <c r="I54" s="145">
        <v>53.19</v>
      </c>
      <c r="J54" s="145">
        <v>56.61</v>
      </c>
      <c r="K54" s="145">
        <v>57.79</v>
      </c>
      <c r="L54" s="145">
        <v>60.26</v>
      </c>
      <c r="M54" s="145">
        <v>54.71</v>
      </c>
      <c r="N54" s="145">
        <v>56.95</v>
      </c>
      <c r="O54" s="145">
        <v>60.27</v>
      </c>
      <c r="P54" s="145">
        <v>53.63</v>
      </c>
      <c r="Q54" s="145">
        <v>51.14</v>
      </c>
      <c r="R54" s="145"/>
      <c r="S54" s="139"/>
      <c r="T54" s="148"/>
      <c r="U54" s="139"/>
      <c r="V54" s="149"/>
      <c r="W54" s="150"/>
      <c r="Y54" s="157"/>
      <c r="Z54" s="157"/>
    </row>
    <row r="55" spans="1:26" s="125" customFormat="1" x14ac:dyDescent="0.25">
      <c r="A55" s="461"/>
      <c r="B55" s="180"/>
      <c r="C55" s="179"/>
      <c r="D55" s="179"/>
      <c r="E55" s="179"/>
      <c r="F55" s="179"/>
      <c r="G55" s="179"/>
      <c r="H55" s="179"/>
      <c r="I55" s="179"/>
      <c r="J55" s="179"/>
      <c r="K55" s="179"/>
      <c r="L55" s="179"/>
      <c r="M55" s="179"/>
      <c r="N55" s="179"/>
      <c r="O55" s="179"/>
      <c r="P55" s="179"/>
      <c r="Q55" s="179"/>
      <c r="R55" s="179"/>
      <c r="S55" s="139"/>
      <c r="T55" s="148"/>
      <c r="U55" s="139"/>
      <c r="V55" s="149"/>
      <c r="W55" s="150"/>
      <c r="Y55" s="157"/>
      <c r="Z55" s="157"/>
    </row>
    <row r="56" spans="1:26" s="125" customFormat="1" x14ac:dyDescent="0.25">
      <c r="A56" s="461"/>
      <c r="B56" s="452" t="s">
        <v>1533</v>
      </c>
      <c r="C56" s="2097"/>
      <c r="D56" s="2097"/>
      <c r="E56" s="179"/>
      <c r="F56" s="179"/>
      <c r="G56" s="179"/>
      <c r="H56" s="179"/>
      <c r="I56" s="179"/>
      <c r="J56" s="179"/>
      <c r="K56" s="179"/>
      <c r="L56" s="179"/>
      <c r="M56" s="179"/>
      <c r="N56" s="179"/>
      <c r="O56" s="179"/>
      <c r="P56" s="179"/>
      <c r="Q56" s="179"/>
      <c r="R56" s="179"/>
      <c r="S56" s="139"/>
      <c r="T56" s="148"/>
      <c r="U56" s="139"/>
      <c r="V56" s="149"/>
      <c r="W56" s="150"/>
      <c r="Y56" s="157"/>
      <c r="Z56" s="157"/>
    </row>
    <row r="57" spans="1:26" s="125" customFormat="1" x14ac:dyDescent="0.25">
      <c r="A57" s="461"/>
      <c r="B57" s="452" t="s">
        <v>1534</v>
      </c>
      <c r="C57" s="452"/>
      <c r="D57" s="452"/>
      <c r="E57" s="452"/>
      <c r="F57" s="452"/>
      <c r="G57" s="452"/>
      <c r="H57" s="452"/>
      <c r="I57" s="452"/>
      <c r="J57"/>
      <c r="K57"/>
      <c r="L57"/>
      <c r="M57"/>
      <c r="N57"/>
      <c r="O57"/>
      <c r="P57"/>
      <c r="Q57"/>
      <c r="R57"/>
      <c r="S57" s="139"/>
      <c r="T57" s="148"/>
      <c r="U57" s="139"/>
      <c r="V57" s="149"/>
      <c r="W57" s="150"/>
      <c r="Y57" s="157"/>
      <c r="Z57" s="157"/>
    </row>
    <row r="58" spans="1:26" s="125" customFormat="1" x14ac:dyDescent="0.25">
      <c r="A58"/>
      <c r="B58" s="452" t="s">
        <v>1535</v>
      </c>
      <c r="C58" s="452"/>
      <c r="D58" s="452"/>
      <c r="E58" s="452"/>
      <c r="F58" s="452"/>
      <c r="G58" s="452"/>
      <c r="H58"/>
      <c r="I58"/>
      <c r="J58"/>
      <c r="K58"/>
      <c r="L58"/>
      <c r="M58"/>
      <c r="N58"/>
      <c r="O58"/>
      <c r="P58"/>
      <c r="Q58"/>
      <c r="R58"/>
      <c r="S58" s="139"/>
      <c r="T58" s="148"/>
      <c r="U58" s="139"/>
      <c r="V58" s="149"/>
      <c r="W58" s="150"/>
      <c r="Y58" s="157"/>
      <c r="Z58" s="157"/>
    </row>
    <row r="59" spans="1:26" s="125" customFormat="1" x14ac:dyDescent="0.25">
      <c r="S59" s="139"/>
      <c r="T59" s="148"/>
      <c r="U59" s="139"/>
      <c r="V59" s="149"/>
      <c r="W59" s="150"/>
      <c r="Y59" s="157"/>
      <c r="Z59" s="157"/>
    </row>
    <row r="60" spans="1:26" s="125" customFormat="1" x14ac:dyDescent="0.25">
      <c r="A60" s="461">
        <v>5</v>
      </c>
      <c r="B60" s="148" t="s">
        <v>555</v>
      </c>
      <c r="C60" s="152"/>
      <c r="S60" s="139"/>
      <c r="T60" s="148" t="s">
        <v>555</v>
      </c>
      <c r="U60" s="139"/>
      <c r="V60" s="149"/>
      <c r="W60" s="150"/>
      <c r="Y60" s="157"/>
      <c r="Z60" s="157"/>
    </row>
    <row r="61" spans="1:26" s="125" customFormat="1" x14ac:dyDescent="0.25">
      <c r="A61" s="462"/>
      <c r="B61" s="666" t="s">
        <v>1384</v>
      </c>
      <c r="C61" s="497"/>
      <c r="D61"/>
      <c r="E61"/>
      <c r="F61"/>
      <c r="G61"/>
      <c r="H61"/>
      <c r="I61"/>
      <c r="J61"/>
      <c r="K61"/>
      <c r="L61"/>
      <c r="M61"/>
      <c r="N61"/>
      <c r="O61"/>
      <c r="P61"/>
      <c r="Q61"/>
      <c r="R61"/>
      <c r="S61" s="139"/>
      <c r="T61" s="148"/>
      <c r="U61" s="139"/>
      <c r="V61" s="149"/>
      <c r="W61" s="150"/>
      <c r="Y61" s="157"/>
      <c r="Z61" s="157"/>
    </row>
    <row r="62" spans="1:26" s="125" customFormat="1" x14ac:dyDescent="0.25">
      <c r="A62" s="461"/>
      <c r="B62" s="130" t="s">
        <v>337</v>
      </c>
      <c r="C62" s="186" t="s">
        <v>1532</v>
      </c>
      <c r="D62" s="131">
        <v>42552</v>
      </c>
      <c r="E62" s="131">
        <v>42583</v>
      </c>
      <c r="F62" s="131">
        <v>42614</v>
      </c>
      <c r="G62" s="131">
        <v>42644</v>
      </c>
      <c r="H62" s="131">
        <v>42675</v>
      </c>
      <c r="I62" s="131">
        <v>42705</v>
      </c>
      <c r="J62" s="131">
        <v>42736</v>
      </c>
      <c r="K62" s="131">
        <v>42767</v>
      </c>
      <c r="L62" s="131">
        <v>42795</v>
      </c>
      <c r="M62" s="131">
        <v>42826</v>
      </c>
      <c r="N62" s="131">
        <v>42856</v>
      </c>
      <c r="O62" s="131">
        <v>42887</v>
      </c>
      <c r="P62" s="131">
        <v>42917</v>
      </c>
      <c r="Q62" s="151">
        <v>42948</v>
      </c>
      <c r="R62" s="131">
        <v>42992</v>
      </c>
      <c r="S62" s="139"/>
      <c r="T62" s="148"/>
      <c r="U62" s="139"/>
      <c r="V62" s="149"/>
      <c r="W62" s="150"/>
      <c r="Y62" s="157"/>
      <c r="Z62" s="157"/>
    </row>
    <row r="63" spans="1:26" s="125" customFormat="1" x14ac:dyDescent="0.25">
      <c r="A63" s="461"/>
      <c r="B63" s="135" t="s">
        <v>319</v>
      </c>
      <c r="C63" s="136">
        <v>53704</v>
      </c>
      <c r="D63" s="136">
        <v>147744</v>
      </c>
      <c r="E63" s="136">
        <v>165784</v>
      </c>
      <c r="F63" s="136">
        <v>358416</v>
      </c>
      <c r="G63" s="136">
        <v>114416</v>
      </c>
      <c r="H63" s="136">
        <v>80848</v>
      </c>
      <c r="I63" s="136">
        <v>81512</v>
      </c>
      <c r="J63" s="136">
        <v>115584</v>
      </c>
      <c r="K63" s="136">
        <v>105168</v>
      </c>
      <c r="L63" s="136">
        <v>109536</v>
      </c>
      <c r="M63" s="136">
        <v>142384</v>
      </c>
      <c r="N63" s="136">
        <v>133160</v>
      </c>
      <c r="O63" s="2095">
        <v>130944</v>
      </c>
      <c r="P63" s="2095">
        <v>145640</v>
      </c>
      <c r="Q63" s="136">
        <v>117416</v>
      </c>
      <c r="R63" s="153"/>
      <c r="S63" s="139"/>
      <c r="T63" s="148"/>
      <c r="U63" s="139"/>
      <c r="V63" s="149"/>
      <c r="W63" s="150"/>
      <c r="Y63" s="157"/>
      <c r="Z63" s="157"/>
    </row>
    <row r="64" spans="1:26" s="125" customFormat="1" x14ac:dyDescent="0.25">
      <c r="A64" s="461"/>
      <c r="B64" s="135" t="s">
        <v>343</v>
      </c>
      <c r="C64" s="1092"/>
      <c r="D64" s="153"/>
      <c r="E64" s="153"/>
      <c r="F64" s="137"/>
      <c r="G64" s="137"/>
      <c r="H64" s="137"/>
      <c r="I64" s="136"/>
      <c r="J64" s="136"/>
      <c r="K64" s="136"/>
      <c r="L64" s="136"/>
      <c r="M64" s="136"/>
      <c r="N64" s="136"/>
      <c r="O64" s="136"/>
      <c r="P64" s="136"/>
      <c r="Q64" s="136"/>
      <c r="R64" s="153"/>
      <c r="S64" s="139"/>
      <c r="T64" s="148"/>
      <c r="U64" s="139"/>
      <c r="V64" s="149"/>
      <c r="W64" s="150"/>
      <c r="Y64" s="157"/>
      <c r="Z64" s="157"/>
    </row>
    <row r="65" spans="1:26" s="125" customFormat="1" x14ac:dyDescent="0.25">
      <c r="A65" s="461"/>
      <c r="B65" s="153" t="s">
        <v>362</v>
      </c>
      <c r="C65" s="1092"/>
      <c r="D65" s="153"/>
      <c r="E65" s="153"/>
      <c r="F65" s="141"/>
      <c r="G65" s="141"/>
      <c r="H65" s="141"/>
      <c r="I65" s="141"/>
      <c r="J65" s="141"/>
      <c r="K65" s="141"/>
      <c r="L65" s="141"/>
      <c r="M65" s="141"/>
      <c r="N65" s="141"/>
      <c r="O65" s="141"/>
      <c r="P65" s="141"/>
      <c r="Q65" s="141"/>
      <c r="R65" s="153"/>
      <c r="S65" s="139"/>
      <c r="T65" s="148"/>
      <c r="U65" s="139"/>
      <c r="V65" s="149"/>
      <c r="W65" s="150"/>
      <c r="Y65" s="157"/>
      <c r="Z65" s="157"/>
    </row>
    <row r="66" spans="1:26" s="125" customFormat="1" x14ac:dyDescent="0.25">
      <c r="A66" s="461"/>
      <c r="B66" s="153" t="s">
        <v>641</v>
      </c>
      <c r="C66" s="141">
        <v>277</v>
      </c>
      <c r="D66" s="141">
        <v>289</v>
      </c>
      <c r="E66" s="153">
        <v>404</v>
      </c>
      <c r="F66" s="141">
        <v>594</v>
      </c>
      <c r="G66" s="141">
        <v>878</v>
      </c>
      <c r="H66" s="141">
        <v>1277</v>
      </c>
      <c r="I66" s="141">
        <v>1383</v>
      </c>
      <c r="J66" s="141">
        <v>685</v>
      </c>
      <c r="K66" s="141">
        <v>2155</v>
      </c>
      <c r="L66" s="141">
        <v>2118</v>
      </c>
      <c r="M66" s="141">
        <v>1658</v>
      </c>
      <c r="N66" s="141">
        <v>1977</v>
      </c>
      <c r="O66" s="2096">
        <v>48</v>
      </c>
      <c r="P66" s="2096">
        <v>0</v>
      </c>
      <c r="Q66" s="141">
        <v>0</v>
      </c>
      <c r="R66" s="153"/>
      <c r="S66" s="139"/>
      <c r="T66" s="148"/>
      <c r="U66" s="139"/>
      <c r="V66" s="149"/>
      <c r="W66" s="150"/>
      <c r="Y66" s="157"/>
      <c r="Z66" s="157"/>
    </row>
    <row r="67" spans="1:26" s="125" customFormat="1" x14ac:dyDescent="0.25">
      <c r="A67" s="461"/>
      <c r="B67" s="135" t="s">
        <v>864</v>
      </c>
      <c r="C67" s="750">
        <v>23436</v>
      </c>
      <c r="D67" s="750">
        <v>36393</v>
      </c>
      <c r="E67" s="760">
        <v>89259</v>
      </c>
      <c r="F67" s="760">
        <v>91028</v>
      </c>
      <c r="G67" s="760">
        <v>83333</v>
      </c>
      <c r="H67" s="760">
        <v>77392</v>
      </c>
      <c r="I67" s="760">
        <v>28849</v>
      </c>
      <c r="J67" s="760">
        <v>86983</v>
      </c>
      <c r="K67" s="750">
        <v>135056</v>
      </c>
      <c r="L67" s="750">
        <v>119848</v>
      </c>
      <c r="M67" s="750">
        <v>109228</v>
      </c>
      <c r="N67" s="750">
        <v>78193</v>
      </c>
      <c r="O67" s="1191">
        <v>73540</v>
      </c>
      <c r="P67" s="1191">
        <v>78193</v>
      </c>
      <c r="Q67" s="728"/>
      <c r="R67" s="153"/>
      <c r="S67" s="139"/>
      <c r="T67" s="148"/>
      <c r="U67" s="139"/>
      <c r="V67" s="149"/>
      <c r="W67" s="150"/>
      <c r="Y67" s="157"/>
      <c r="Z67" s="157"/>
    </row>
    <row r="68" spans="1:26" s="125" customFormat="1" x14ac:dyDescent="0.25">
      <c r="A68" s="461"/>
      <c r="B68" s="135" t="s">
        <v>324</v>
      </c>
      <c r="C68" s="731">
        <v>3340.52</v>
      </c>
      <c r="D68" s="731">
        <v>9190.0400000000009</v>
      </c>
      <c r="E68" s="731">
        <v>10312.18</v>
      </c>
      <c r="F68" s="731">
        <v>22294.36</v>
      </c>
      <c r="G68" s="731">
        <v>7179.16</v>
      </c>
      <c r="H68" s="731">
        <v>5028.95</v>
      </c>
      <c r="I68" s="731">
        <v>5070.25</v>
      </c>
      <c r="J68" s="731">
        <v>7189.61</v>
      </c>
      <c r="K68" s="731">
        <v>6541.71</v>
      </c>
      <c r="L68" s="731">
        <v>6813.41</v>
      </c>
      <c r="M68" s="731">
        <v>8856.64</v>
      </c>
      <c r="N68" s="731">
        <v>8282.8799999999992</v>
      </c>
      <c r="O68" s="745">
        <v>8145.04</v>
      </c>
      <c r="P68" s="745">
        <v>9059.17</v>
      </c>
      <c r="Q68" s="731">
        <v>7303.57</v>
      </c>
      <c r="R68" s="153"/>
      <c r="S68" s="139"/>
      <c r="T68" s="148"/>
      <c r="U68" s="139"/>
      <c r="V68" s="149"/>
      <c r="W68" s="150"/>
      <c r="Y68" s="157"/>
      <c r="Z68" s="157"/>
    </row>
    <row r="69" spans="1:26" s="125" customFormat="1" x14ac:dyDescent="0.25">
      <c r="A69" s="461"/>
      <c r="B69" s="144" t="s">
        <v>348</v>
      </c>
      <c r="C69" s="1092"/>
      <c r="D69" s="153"/>
      <c r="E69" s="153"/>
      <c r="F69" s="736"/>
      <c r="G69" s="736"/>
      <c r="H69" s="736"/>
      <c r="I69" s="736"/>
      <c r="J69" s="731"/>
      <c r="K69" s="731"/>
      <c r="L69" s="731"/>
      <c r="M69" s="731"/>
      <c r="N69" s="731"/>
      <c r="O69" s="731"/>
      <c r="P69" s="731"/>
      <c r="Q69" s="731"/>
      <c r="R69" s="153"/>
      <c r="S69" s="139"/>
      <c r="T69" s="148"/>
      <c r="U69" s="139"/>
      <c r="V69" s="149"/>
      <c r="W69" s="150"/>
      <c r="Y69" s="157"/>
      <c r="Z69" s="157"/>
    </row>
    <row r="70" spans="1:26" s="125" customFormat="1" x14ac:dyDescent="0.25">
      <c r="A70" s="461"/>
      <c r="B70" s="195" t="s">
        <v>1087</v>
      </c>
      <c r="C70" s="1092"/>
      <c r="D70" s="153"/>
      <c r="E70" s="153"/>
      <c r="F70" s="731"/>
      <c r="G70" s="731"/>
      <c r="H70" s="731"/>
      <c r="I70" s="731"/>
      <c r="J70" s="731"/>
      <c r="K70" s="731"/>
      <c r="L70" s="731"/>
      <c r="M70" s="731"/>
      <c r="N70" s="731"/>
      <c r="O70" s="731"/>
      <c r="P70" s="731"/>
      <c r="Q70" s="731"/>
      <c r="R70" s="153"/>
      <c r="S70" s="139"/>
      <c r="T70" s="148"/>
      <c r="U70" s="139"/>
      <c r="V70" s="149"/>
      <c r="W70" s="150"/>
      <c r="Y70" s="157"/>
      <c r="Z70" s="157"/>
    </row>
    <row r="71" spans="1:26" s="125" customFormat="1" x14ac:dyDescent="0.25">
      <c r="A71" s="461"/>
      <c r="B71" s="144" t="s">
        <v>883</v>
      </c>
      <c r="C71" s="145">
        <v>208.18</v>
      </c>
      <c r="D71" s="145">
        <v>216.39</v>
      </c>
      <c r="E71" s="145">
        <v>295.02999999999997</v>
      </c>
      <c r="F71" s="145">
        <v>418.92</v>
      </c>
      <c r="G71" s="145">
        <v>597.94000000000005</v>
      </c>
      <c r="H71" s="145">
        <v>870.45</v>
      </c>
      <c r="I71" s="145">
        <v>985.72</v>
      </c>
      <c r="J71" s="145">
        <v>522.20000000000005</v>
      </c>
      <c r="K71" s="145">
        <v>1684.04</v>
      </c>
      <c r="L71" s="145">
        <v>1657.57</v>
      </c>
      <c r="M71" s="145">
        <v>1315.61</v>
      </c>
      <c r="N71" s="145">
        <v>1582.56</v>
      </c>
      <c r="O71" s="145">
        <v>58.61</v>
      </c>
      <c r="P71" s="145">
        <v>18.73</v>
      </c>
      <c r="Q71" s="145">
        <v>18.73</v>
      </c>
      <c r="R71" s="145"/>
      <c r="S71" s="139"/>
      <c r="T71" s="148"/>
      <c r="U71" s="139"/>
      <c r="V71" s="149"/>
      <c r="W71" s="150"/>
      <c r="Y71" s="157"/>
      <c r="Z71" s="157"/>
    </row>
    <row r="72" spans="1:26" s="125" customFormat="1" x14ac:dyDescent="0.25">
      <c r="A72" s="461"/>
      <c r="B72" s="180"/>
      <c r="C72" s="179"/>
      <c r="D72" s="179"/>
      <c r="E72" s="179"/>
      <c r="F72" s="179"/>
      <c r="G72" s="179"/>
      <c r="H72" s="179"/>
      <c r="I72" s="179"/>
      <c r="J72" s="179"/>
      <c r="K72" s="179"/>
      <c r="L72" s="179"/>
      <c r="M72" s="179"/>
      <c r="N72" s="179"/>
      <c r="O72" s="179"/>
      <c r="P72" s="179"/>
      <c r="Q72" s="179"/>
      <c r="R72" s="179"/>
      <c r="S72" s="139"/>
      <c r="T72" s="148"/>
      <c r="U72" s="139"/>
      <c r="V72" s="149"/>
      <c r="W72" s="150"/>
      <c r="Y72" s="157"/>
      <c r="Z72" s="157"/>
    </row>
    <row r="73" spans="1:26" s="125" customFormat="1" x14ac:dyDescent="0.25">
      <c r="A73" s="461"/>
      <c r="B73" s="452" t="s">
        <v>1533</v>
      </c>
      <c r="C73" s="2097"/>
      <c r="D73" s="2097"/>
      <c r="E73" s="179"/>
      <c r="F73" s="179"/>
      <c r="G73" s="179"/>
      <c r="H73" s="179"/>
      <c r="I73" s="179"/>
      <c r="J73" s="179"/>
      <c r="K73" s="179"/>
      <c r="L73" s="179"/>
      <c r="M73" s="179"/>
      <c r="N73" s="179"/>
      <c r="O73" s="179"/>
      <c r="P73" s="179"/>
      <c r="Q73" s="179"/>
      <c r="R73" s="179"/>
      <c r="S73" s="139"/>
      <c r="T73" s="148"/>
      <c r="U73" s="139"/>
      <c r="V73" s="149"/>
      <c r="W73" s="150"/>
      <c r="Y73" s="157"/>
      <c r="Z73" s="157"/>
    </row>
    <row r="74" spans="1:26" s="125" customFormat="1" x14ac:dyDescent="0.25">
      <c r="A74"/>
      <c r="B74" s="452" t="s">
        <v>1534</v>
      </c>
      <c r="C74" s="2097"/>
      <c r="D74" s="2097"/>
      <c r="E74" s="2097"/>
      <c r="F74" s="2097"/>
      <c r="G74" s="2097"/>
      <c r="H74" s="2097"/>
      <c r="I74" s="2097"/>
      <c r="J74" s="179"/>
      <c r="K74" s="179"/>
      <c r="L74" s="179"/>
      <c r="M74" s="179"/>
      <c r="N74" s="179"/>
      <c r="O74" s="179"/>
      <c r="P74" s="179"/>
      <c r="Q74" s="179"/>
      <c r="R74" s="179"/>
      <c r="S74" s="139"/>
      <c r="T74" s="148"/>
      <c r="U74" s="139"/>
      <c r="V74" s="149"/>
      <c r="W74" s="150"/>
      <c r="Y74" s="157"/>
      <c r="Z74" s="157"/>
    </row>
    <row r="75" spans="1:26" s="125" customFormat="1" x14ac:dyDescent="0.25">
      <c r="A75"/>
      <c r="B75" s="452" t="s">
        <v>1535</v>
      </c>
      <c r="C75" s="452"/>
      <c r="D75" s="452"/>
      <c r="E75" s="452"/>
      <c r="F75" s="452"/>
      <c r="G75" s="452"/>
      <c r="H75"/>
      <c r="I75"/>
      <c r="J75"/>
      <c r="K75"/>
      <c r="L75"/>
      <c r="M75"/>
      <c r="N75"/>
      <c r="O75"/>
      <c r="P75"/>
      <c r="Q75"/>
      <c r="R75"/>
      <c r="S75" s="139"/>
      <c r="T75" s="148"/>
      <c r="U75" s="139"/>
      <c r="V75" s="149"/>
      <c r="W75" s="150"/>
      <c r="Y75" s="157"/>
      <c r="Z75" s="157"/>
    </row>
    <row r="76" spans="1:26" x14ac:dyDescent="0.25">
      <c r="W76" s="149"/>
      <c r="X76" s="150"/>
    </row>
    <row r="77" spans="1:26" s="125" customFormat="1" x14ac:dyDescent="0.25">
      <c r="A77" s="461">
        <v>6</v>
      </c>
      <c r="B77" s="148" t="s">
        <v>556</v>
      </c>
      <c r="C77" s="152"/>
      <c r="D77" s="157"/>
      <c r="S77" s="126"/>
      <c r="T77" s="569" t="s">
        <v>556</v>
      </c>
      <c r="V77" s="126"/>
      <c r="Y77" s="157"/>
      <c r="Z77" s="157"/>
    </row>
    <row r="78" spans="1:26" s="1833" customFormat="1" ht="18.75" x14ac:dyDescent="0.3">
      <c r="A78" s="1831"/>
      <c r="B78" s="2005" t="s">
        <v>831</v>
      </c>
      <c r="C78" s="497"/>
      <c r="D78"/>
      <c r="E78"/>
      <c r="F78"/>
      <c r="G78"/>
      <c r="H78"/>
      <c r="I78"/>
      <c r="J78"/>
      <c r="K78"/>
      <c r="L78"/>
      <c r="M78"/>
      <c r="N78"/>
      <c r="S78" s="1834"/>
      <c r="T78" s="1839"/>
      <c r="V78" s="1834"/>
      <c r="Y78" s="1835"/>
      <c r="Z78" s="1835"/>
    </row>
    <row r="79" spans="1:26" s="1833" customFormat="1" ht="18.75" x14ac:dyDescent="0.3">
      <c r="A79" s="1831"/>
      <c r="B79" s="2005"/>
      <c r="C79" s="497"/>
      <c r="D79"/>
      <c r="E79"/>
      <c r="F79"/>
      <c r="G79"/>
      <c r="H79"/>
      <c r="I79"/>
      <c r="J79"/>
      <c r="K79"/>
      <c r="L79"/>
      <c r="M79"/>
      <c r="N79"/>
      <c r="S79" s="1834"/>
      <c r="T79" s="1839"/>
      <c r="V79" s="1834"/>
      <c r="Y79" s="1835"/>
      <c r="Z79" s="1835"/>
    </row>
    <row r="80" spans="1:26" s="1833" customFormat="1" ht="18.75" x14ac:dyDescent="0.3">
      <c r="A80" s="1831"/>
      <c r="B80" s="2254" t="s">
        <v>832</v>
      </c>
      <c r="C80" s="2254"/>
      <c r="D80" s="2254"/>
      <c r="E80" s="2254"/>
      <c r="F80" s="2254"/>
      <c r="G80" s="2254"/>
      <c r="H80" s="2254"/>
      <c r="I80" s="2254"/>
      <c r="J80" s="2254"/>
      <c r="K80" s="2254"/>
      <c r="L80" s="2254"/>
      <c r="M80" s="2254"/>
      <c r="N80"/>
      <c r="S80" s="1834"/>
      <c r="T80" s="1839"/>
      <c r="V80" s="1834"/>
      <c r="Y80" s="1835"/>
      <c r="Z80" s="1835"/>
    </row>
    <row r="81" spans="1:26" s="1833" customFormat="1" ht="47.25" x14ac:dyDescent="0.25">
      <c r="A81" s="1831"/>
      <c r="B81" s="679" t="s">
        <v>833</v>
      </c>
      <c r="C81" s="679" t="s">
        <v>834</v>
      </c>
      <c r="D81" s="679" t="s">
        <v>835</v>
      </c>
      <c r="E81" s="680" t="s">
        <v>836</v>
      </c>
      <c r="F81" s="679" t="s">
        <v>837</v>
      </c>
      <c r="G81" s="679" t="s">
        <v>838</v>
      </c>
      <c r="H81" s="681" t="s">
        <v>839</v>
      </c>
      <c r="I81" s="681" t="s">
        <v>840</v>
      </c>
      <c r="J81" s="681" t="s">
        <v>841</v>
      </c>
      <c r="K81" s="679" t="s">
        <v>842</v>
      </c>
      <c r="L81" s="681" t="s">
        <v>843</v>
      </c>
      <c r="M81" s="681" t="s">
        <v>844</v>
      </c>
      <c r="N81" s="682"/>
      <c r="S81" s="1834"/>
      <c r="T81" s="1839"/>
      <c r="V81" s="1834"/>
      <c r="Y81" s="1835"/>
      <c r="Z81" s="1835"/>
    </row>
    <row r="82" spans="1:26" s="1833" customFormat="1" x14ac:dyDescent="0.25">
      <c r="A82" s="1831"/>
      <c r="B82" s="683" t="s">
        <v>845</v>
      </c>
      <c r="C82" s="684" t="s">
        <v>1510</v>
      </c>
      <c r="D82" s="685" t="s">
        <v>847</v>
      </c>
      <c r="E82" s="686">
        <f>SUM(F82:I82)</f>
        <v>17573308120</v>
      </c>
      <c r="F82" s="687">
        <f>SUM(C89:N89)*3412</f>
        <v>6795502976</v>
      </c>
      <c r="G82" s="686">
        <f>SUM(C95:N95)*100000</f>
        <v>400200000</v>
      </c>
      <c r="H82" s="686">
        <f>SUM(C91:N91)*1194000</f>
        <v>7331160000</v>
      </c>
      <c r="I82" s="686">
        <f>SUM(C93:N93)*3412</f>
        <v>3046445144</v>
      </c>
      <c r="J82" s="686">
        <f>SUM(C97:N97)</f>
        <v>1916</v>
      </c>
      <c r="K82" s="686">
        <v>195165</v>
      </c>
      <c r="L82" s="688">
        <v>0</v>
      </c>
      <c r="M82" s="689">
        <f>E82/K82</f>
        <v>90043.338303486787</v>
      </c>
      <c r="N82" s="690"/>
      <c r="S82" s="1834"/>
      <c r="T82" s="1839"/>
      <c r="V82" s="1834"/>
      <c r="Y82" s="1835"/>
      <c r="Z82" s="1835"/>
    </row>
    <row r="83" spans="1:26" s="1833" customFormat="1" x14ac:dyDescent="0.25">
      <c r="A83" s="1831"/>
      <c r="B83" s="683" t="s">
        <v>848</v>
      </c>
      <c r="C83" s="2052" t="s">
        <v>13</v>
      </c>
      <c r="D83" s="685" t="s">
        <v>847</v>
      </c>
      <c r="E83" s="686">
        <f>SUM(F83:I83)</f>
        <v>7001059000</v>
      </c>
      <c r="F83" s="695">
        <v>3177664000</v>
      </c>
      <c r="G83" s="686">
        <v>99432000</v>
      </c>
      <c r="H83" s="686">
        <v>1747534000</v>
      </c>
      <c r="I83" s="686">
        <v>1976429000</v>
      </c>
      <c r="J83" s="2052" t="s">
        <v>13</v>
      </c>
      <c r="K83" s="686">
        <v>170189</v>
      </c>
      <c r="L83" s="2052" t="s">
        <v>13</v>
      </c>
      <c r="M83" s="689">
        <f>E83/K83</f>
        <v>41136.965373790314</v>
      </c>
      <c r="N83" s="696"/>
      <c r="S83" s="1834"/>
      <c r="T83" s="1839"/>
      <c r="V83" s="1834"/>
      <c r="Y83" s="1835"/>
      <c r="Z83" s="1835"/>
    </row>
    <row r="84" spans="1:26" s="1833" customFormat="1" x14ac:dyDescent="0.25">
      <c r="A84" s="1831"/>
      <c r="B84" s="497"/>
      <c r="C84" s="698"/>
      <c r="D84" s="697"/>
      <c r="E84" s="699"/>
      <c r="F84" s="699"/>
      <c r="G84" s="699"/>
      <c r="H84" s="699"/>
      <c r="I84" s="699"/>
      <c r="J84" s="699"/>
      <c r="K84" s="699"/>
      <c r="L84" s="697"/>
      <c r="M84" s="697"/>
      <c r="N84" s="697"/>
      <c r="S84" s="1834"/>
      <c r="T84" s="1839"/>
      <c r="V84" s="1834"/>
      <c r="Y84" s="1835"/>
      <c r="Z84" s="1835"/>
    </row>
    <row r="85" spans="1:26" s="1833" customFormat="1" ht="18.75" x14ac:dyDescent="0.3">
      <c r="A85" s="1831"/>
      <c r="B85" s="2255" t="s">
        <v>849</v>
      </c>
      <c r="C85" s="2255"/>
      <c r="D85" s="2255"/>
      <c r="E85" s="2255"/>
      <c r="F85" s="2255"/>
      <c r="G85" s="2255"/>
      <c r="H85" s="2255"/>
      <c r="I85" s="2255"/>
      <c r="J85" s="2255"/>
      <c r="K85" s="2255"/>
      <c r="L85" s="2255"/>
      <c r="M85" s="2255"/>
      <c r="N85" s="2255"/>
      <c r="S85" s="1834"/>
      <c r="T85" s="1839"/>
      <c r="V85" s="1834"/>
      <c r="Y85" s="1835"/>
      <c r="Z85" s="1835"/>
    </row>
    <row r="86" spans="1:26" s="1833" customFormat="1" ht="15.75" x14ac:dyDescent="0.25">
      <c r="A86" s="1831"/>
      <c r="B86" s="700" t="s">
        <v>850</v>
      </c>
      <c r="C86" s="701">
        <v>42583</v>
      </c>
      <c r="D86" s="701">
        <v>42614</v>
      </c>
      <c r="E86" s="701">
        <v>42644</v>
      </c>
      <c r="F86" s="701">
        <v>42675</v>
      </c>
      <c r="G86" s="701">
        <v>42705</v>
      </c>
      <c r="H86" s="701">
        <v>42736</v>
      </c>
      <c r="I86" s="701">
        <v>42767</v>
      </c>
      <c r="J86" s="701">
        <v>42795</v>
      </c>
      <c r="K86" s="701">
        <v>42826</v>
      </c>
      <c r="L86" s="701">
        <v>42856</v>
      </c>
      <c r="M86" s="701">
        <v>42887</v>
      </c>
      <c r="N86" s="701">
        <v>42917</v>
      </c>
      <c r="S86" s="1834"/>
      <c r="T86" s="1839"/>
      <c r="V86" s="1834"/>
      <c r="Y86" s="1835"/>
      <c r="Z86" s="1835"/>
    </row>
    <row r="87" spans="1:26" s="1833" customFormat="1" x14ac:dyDescent="0.25">
      <c r="A87" s="1831"/>
      <c r="B87" s="703" t="s">
        <v>851</v>
      </c>
      <c r="C87" s="2053"/>
      <c r="D87" s="2053"/>
      <c r="E87" s="2053"/>
      <c r="F87" s="2053"/>
      <c r="G87" s="2053"/>
      <c r="H87" s="2053"/>
      <c r="I87" s="2053"/>
      <c r="J87" s="2053"/>
      <c r="K87" s="2053"/>
      <c r="L87" s="2053"/>
      <c r="M87" s="2053"/>
      <c r="N87" s="2054"/>
      <c r="S87" s="1834"/>
      <c r="T87" s="1839"/>
      <c r="V87" s="1834"/>
      <c r="Y87" s="1835"/>
      <c r="Z87" s="1835"/>
    </row>
    <row r="88" spans="1:26" s="1833" customFormat="1" x14ac:dyDescent="0.25">
      <c r="A88" s="1831"/>
      <c r="B88" s="2055"/>
      <c r="C88" s="2056"/>
      <c r="D88" s="2056"/>
      <c r="E88" s="2056"/>
      <c r="F88" s="2056"/>
      <c r="G88" s="2056"/>
      <c r="H88" s="2056"/>
      <c r="I88" s="2056"/>
      <c r="J88" s="2056"/>
      <c r="K88" s="2056"/>
      <c r="L88" s="2056"/>
      <c r="M88" s="2056"/>
      <c r="N88" s="2057"/>
      <c r="S88" s="1834"/>
      <c r="T88" s="1839"/>
      <c r="V88" s="1834"/>
      <c r="Y88" s="1835"/>
      <c r="Z88" s="1835"/>
    </row>
    <row r="89" spans="1:26" s="1833" customFormat="1" x14ac:dyDescent="0.25">
      <c r="A89" s="1831"/>
      <c r="B89" s="2058" t="s">
        <v>852</v>
      </c>
      <c r="C89" s="2059">
        <v>132497</v>
      </c>
      <c r="D89" s="2059">
        <v>190080</v>
      </c>
      <c r="E89" s="2059">
        <v>173794</v>
      </c>
      <c r="F89" s="2059">
        <v>197784</v>
      </c>
      <c r="G89" s="2059">
        <v>172425</v>
      </c>
      <c r="H89" s="2059">
        <v>169010</v>
      </c>
      <c r="I89" s="2059">
        <v>163677</v>
      </c>
      <c r="J89" s="2059">
        <v>151891</v>
      </c>
      <c r="K89" s="2059">
        <v>156752</v>
      </c>
      <c r="L89" s="2059">
        <v>144391</v>
      </c>
      <c r="M89" s="2059">
        <v>192321</v>
      </c>
      <c r="N89" s="2060">
        <v>147026</v>
      </c>
      <c r="S89" s="1834"/>
      <c r="T89" s="1839"/>
      <c r="V89" s="1834"/>
      <c r="Y89" s="1835"/>
      <c r="Z89" s="1835"/>
    </row>
    <row r="90" spans="1:26" s="1833" customFormat="1" x14ac:dyDescent="0.25">
      <c r="A90" s="1831"/>
      <c r="B90" s="2061"/>
      <c r="C90" s="2062"/>
      <c r="D90" s="2062"/>
      <c r="E90" s="2062"/>
      <c r="F90" s="2062"/>
      <c r="G90" s="2062"/>
      <c r="H90" s="2062"/>
      <c r="I90" s="2062"/>
      <c r="J90" s="2062"/>
      <c r="K90" s="2062"/>
      <c r="L90" s="2062"/>
      <c r="M90" s="2062"/>
      <c r="N90" s="2063"/>
      <c r="S90" s="1834"/>
      <c r="T90" s="1839"/>
      <c r="V90" s="1834"/>
      <c r="Y90" s="1835"/>
      <c r="Z90" s="1835"/>
    </row>
    <row r="91" spans="1:26" s="1833" customFormat="1" x14ac:dyDescent="0.25">
      <c r="A91" s="1831"/>
      <c r="B91" s="2058" t="s">
        <v>853</v>
      </c>
      <c r="C91" s="2064">
        <v>638</v>
      </c>
      <c r="D91" s="2064">
        <v>567</v>
      </c>
      <c r="E91" s="2064">
        <v>660</v>
      </c>
      <c r="F91" s="2064">
        <v>408</v>
      </c>
      <c r="G91" s="2064">
        <v>407</v>
      </c>
      <c r="H91" s="2064">
        <v>721</v>
      </c>
      <c r="I91" s="2059">
        <v>581</v>
      </c>
      <c r="J91" s="2064">
        <v>356</v>
      </c>
      <c r="K91" s="2064">
        <v>474</v>
      </c>
      <c r="L91" s="2064">
        <v>383</v>
      </c>
      <c r="M91" s="2064">
        <v>468</v>
      </c>
      <c r="N91" s="2060">
        <v>477</v>
      </c>
      <c r="S91" s="1834"/>
      <c r="T91" s="1839"/>
      <c r="V91" s="1834"/>
      <c r="Y91" s="1835"/>
      <c r="Z91" s="1835"/>
    </row>
    <row r="92" spans="1:26" s="1833" customFormat="1" x14ac:dyDescent="0.25">
      <c r="A92" s="1831"/>
      <c r="B92" s="2061"/>
      <c r="C92" s="2062"/>
      <c r="D92" s="2062"/>
      <c r="E92" s="2062"/>
      <c r="F92" s="2062"/>
      <c r="G92" s="2062"/>
      <c r="H92" s="2062"/>
      <c r="I92" s="2062"/>
      <c r="J92" s="2062"/>
      <c r="K92" s="2062"/>
      <c r="L92" s="2062"/>
      <c r="M92" s="2062"/>
      <c r="N92" s="2063"/>
      <c r="S92" s="1834"/>
      <c r="T92" s="1839"/>
      <c r="V92" s="1834"/>
      <c r="Y92" s="1835"/>
      <c r="Z92" s="1835"/>
    </row>
    <row r="93" spans="1:26" s="1833" customFormat="1" x14ac:dyDescent="0.25">
      <c r="A93" s="1831"/>
      <c r="B93" s="2058" t="s">
        <v>854</v>
      </c>
      <c r="C93" s="2059">
        <v>181905</v>
      </c>
      <c r="D93" s="2059">
        <v>184835</v>
      </c>
      <c r="E93" s="2059">
        <v>155343</v>
      </c>
      <c r="F93" s="2059">
        <v>64925</v>
      </c>
      <c r="G93" s="2059">
        <v>14135</v>
      </c>
      <c r="H93" s="2059">
        <v>2139</v>
      </c>
      <c r="I93" s="2064">
        <v>2227</v>
      </c>
      <c r="J93" s="2059">
        <v>9867</v>
      </c>
      <c r="K93" s="2059">
        <v>14159</v>
      </c>
      <c r="L93" s="2059">
        <v>54300</v>
      </c>
      <c r="M93" s="2059">
        <v>87151</v>
      </c>
      <c r="N93" s="2060">
        <v>121876</v>
      </c>
      <c r="S93" s="1834"/>
      <c r="T93" s="1839"/>
      <c r="V93" s="1834"/>
      <c r="Y93" s="1835"/>
      <c r="Z93" s="1835"/>
    </row>
    <row r="94" spans="1:26" s="1833" customFormat="1" x14ac:dyDescent="0.25">
      <c r="A94" s="1831"/>
      <c r="B94" s="2061"/>
      <c r="C94" s="2062"/>
      <c r="D94" s="2062"/>
      <c r="E94" s="2062"/>
      <c r="F94" s="2062"/>
      <c r="G94" s="2062"/>
      <c r="H94" s="2062"/>
      <c r="I94" s="2062"/>
      <c r="J94" s="2062"/>
      <c r="K94" s="2062"/>
      <c r="L94" s="2062"/>
      <c r="M94" s="2062"/>
      <c r="N94" s="2063"/>
      <c r="S94" s="1834"/>
      <c r="T94" s="1839"/>
      <c r="V94" s="1834"/>
      <c r="Y94" s="1835"/>
      <c r="Z94" s="1835"/>
    </row>
    <row r="95" spans="1:26" s="1833" customFormat="1" x14ac:dyDescent="0.25">
      <c r="A95" s="1831"/>
      <c r="B95" s="2058" t="s">
        <v>855</v>
      </c>
      <c r="C95" s="2064">
        <v>109</v>
      </c>
      <c r="D95" s="2064">
        <v>162</v>
      </c>
      <c r="E95" s="2064">
        <v>379</v>
      </c>
      <c r="F95" s="2064">
        <v>599</v>
      </c>
      <c r="G95" s="2064">
        <v>380</v>
      </c>
      <c r="H95" s="2064">
        <v>486</v>
      </c>
      <c r="I95" s="2064">
        <v>282</v>
      </c>
      <c r="J95" s="2064">
        <v>303</v>
      </c>
      <c r="K95" s="2064">
        <v>335</v>
      </c>
      <c r="L95" s="2064">
        <v>293</v>
      </c>
      <c r="M95" s="2064">
        <v>381</v>
      </c>
      <c r="N95" s="2060">
        <v>293</v>
      </c>
      <c r="S95" s="1834"/>
      <c r="T95" s="1839"/>
      <c r="V95" s="1834"/>
      <c r="Y95" s="1835"/>
      <c r="Z95" s="1835"/>
    </row>
    <row r="96" spans="1:26" s="1833" customFormat="1" x14ac:dyDescent="0.25">
      <c r="A96" s="1831"/>
      <c r="B96" s="2065"/>
      <c r="C96" s="2062"/>
      <c r="D96" s="2062"/>
      <c r="E96" s="2062"/>
      <c r="F96" s="2062"/>
      <c r="G96" s="2062"/>
      <c r="H96" s="2062"/>
      <c r="I96" s="2062"/>
      <c r="J96" s="2062"/>
      <c r="K96" s="2062"/>
      <c r="L96" s="2062"/>
      <c r="M96" s="2062"/>
      <c r="N96" s="2063"/>
      <c r="S96" s="1834"/>
      <c r="T96" s="1839"/>
      <c r="V96" s="1834"/>
      <c r="Y96" s="1835"/>
      <c r="Z96" s="1835"/>
    </row>
    <row r="97" spans="1:26" s="1833" customFormat="1" x14ac:dyDescent="0.25">
      <c r="A97" s="1831"/>
      <c r="B97" s="2058" t="s">
        <v>856</v>
      </c>
      <c r="C97" s="2064">
        <v>107</v>
      </c>
      <c r="D97" s="2064">
        <v>201</v>
      </c>
      <c r="E97" s="2064">
        <v>278</v>
      </c>
      <c r="F97" s="2064">
        <v>234</v>
      </c>
      <c r="G97" s="2064">
        <v>215</v>
      </c>
      <c r="H97" s="2064">
        <v>140</v>
      </c>
      <c r="I97" s="2064">
        <v>161</v>
      </c>
      <c r="J97" s="2064">
        <v>131</v>
      </c>
      <c r="K97" s="2064">
        <v>151</v>
      </c>
      <c r="L97" s="2064">
        <v>107</v>
      </c>
      <c r="M97" s="2064">
        <v>122</v>
      </c>
      <c r="N97" s="2060">
        <v>69</v>
      </c>
      <c r="S97" s="1834"/>
      <c r="T97" s="1839"/>
      <c r="V97" s="1834"/>
      <c r="Y97" s="1835"/>
      <c r="Z97" s="1835"/>
    </row>
    <row r="98" spans="1:26" s="1833" customFormat="1" x14ac:dyDescent="0.25">
      <c r="A98" s="1831"/>
      <c r="B98" s="2061"/>
      <c r="C98" s="2062"/>
      <c r="D98" s="2062"/>
      <c r="E98" s="2062"/>
      <c r="F98" s="2062"/>
      <c r="G98" s="2062"/>
      <c r="H98" s="2062"/>
      <c r="I98" s="2062"/>
      <c r="J98" s="2062"/>
      <c r="K98" s="2062"/>
      <c r="L98" s="2062"/>
      <c r="M98" s="2062"/>
      <c r="N98" s="2063"/>
      <c r="S98" s="1834"/>
      <c r="T98" s="1839"/>
      <c r="V98" s="1834"/>
      <c r="Y98" s="1835"/>
      <c r="Z98" s="1835"/>
    </row>
    <row r="99" spans="1:26" s="1833" customFormat="1" x14ac:dyDescent="0.25">
      <c r="A99" s="1831"/>
      <c r="B99" s="2058" t="s">
        <v>857</v>
      </c>
      <c r="C99" s="2066">
        <v>107</v>
      </c>
      <c r="D99" s="2066">
        <v>201</v>
      </c>
      <c r="E99" s="2066">
        <v>278</v>
      </c>
      <c r="F99" s="2066">
        <v>234</v>
      </c>
      <c r="G99" s="2066">
        <v>215</v>
      </c>
      <c r="H99" s="2066">
        <v>140</v>
      </c>
      <c r="I99" s="2066">
        <v>161</v>
      </c>
      <c r="J99" s="2066">
        <v>131</v>
      </c>
      <c r="K99" s="2066">
        <v>151</v>
      </c>
      <c r="L99" s="2066">
        <v>174</v>
      </c>
      <c r="M99" s="2066">
        <v>122</v>
      </c>
      <c r="N99" s="2060">
        <v>69</v>
      </c>
      <c r="S99" s="1834"/>
      <c r="T99" s="1839"/>
      <c r="V99" s="1834"/>
      <c r="Y99" s="1835"/>
      <c r="Z99" s="1835"/>
    </row>
    <row r="100" spans="1:26" s="1833" customFormat="1" x14ac:dyDescent="0.25">
      <c r="A100" s="1831"/>
      <c r="B100" s="2067"/>
      <c r="C100" s="2068"/>
      <c r="D100" s="2068"/>
      <c r="E100" s="2068"/>
      <c r="F100" s="2068"/>
      <c r="G100" s="2068"/>
      <c r="H100" s="2068"/>
      <c r="I100" s="2068"/>
      <c r="J100" s="2068"/>
      <c r="K100" s="2068"/>
      <c r="L100" s="2068"/>
      <c r="M100" s="2068"/>
      <c r="N100" s="2069"/>
      <c r="S100" s="1834"/>
      <c r="T100" s="1839"/>
      <c r="V100" s="1834"/>
      <c r="Y100" s="1835"/>
      <c r="Z100" s="1835"/>
    </row>
    <row r="101" spans="1:26" s="1833" customFormat="1" ht="15.75" thickBot="1" x14ac:dyDescent="0.3">
      <c r="A101" s="1831"/>
      <c r="B101" s="2070" t="s">
        <v>858</v>
      </c>
      <c r="C101" s="2071">
        <v>135</v>
      </c>
      <c r="D101" s="2071">
        <v>135</v>
      </c>
      <c r="E101" s="2071">
        <v>135</v>
      </c>
      <c r="F101" s="2071">
        <v>135</v>
      </c>
      <c r="G101" s="2071">
        <v>135</v>
      </c>
      <c r="H101" s="2071">
        <v>135</v>
      </c>
      <c r="I101" s="2071">
        <v>135</v>
      </c>
      <c r="J101" s="2071">
        <v>135</v>
      </c>
      <c r="K101" s="2071">
        <v>135</v>
      </c>
      <c r="L101" s="2071">
        <v>135</v>
      </c>
      <c r="M101" s="2071">
        <v>135</v>
      </c>
      <c r="N101" s="2072">
        <v>135</v>
      </c>
      <c r="S101" s="1834"/>
      <c r="T101" s="1839"/>
      <c r="V101" s="1834"/>
      <c r="Y101" s="1835"/>
      <c r="Z101" s="1835"/>
    </row>
    <row r="102" spans="1:26" s="1833" customFormat="1" ht="15.75" thickTop="1" x14ac:dyDescent="0.25">
      <c r="A102" s="1831"/>
      <c r="B102" s="703" t="s">
        <v>913</v>
      </c>
      <c r="C102" s="2053"/>
      <c r="D102" s="2053"/>
      <c r="E102" s="2053"/>
      <c r="F102" s="2053"/>
      <c r="G102" s="2053"/>
      <c r="H102" s="2053"/>
      <c r="I102" s="2053"/>
      <c r="J102" s="2053"/>
      <c r="K102" s="2053"/>
      <c r="L102" s="2053"/>
      <c r="M102" s="2053"/>
      <c r="N102" s="2054"/>
      <c r="S102" s="1834"/>
      <c r="T102" s="1839"/>
      <c r="V102" s="1834"/>
      <c r="Y102" s="1835"/>
      <c r="Z102" s="1835"/>
    </row>
    <row r="103" spans="1:26" s="1833" customFormat="1" x14ac:dyDescent="0.25">
      <c r="A103" s="1831"/>
      <c r="B103" s="2055"/>
      <c r="C103" s="2056"/>
      <c r="D103" s="2056"/>
      <c r="E103" s="2056"/>
      <c r="F103" s="2056"/>
      <c r="G103" s="2056"/>
      <c r="H103" s="2056"/>
      <c r="I103" s="2056"/>
      <c r="J103" s="2056"/>
      <c r="K103" s="2056"/>
      <c r="L103" s="2056"/>
      <c r="M103" s="2056"/>
      <c r="N103" s="2057"/>
      <c r="S103" s="1834"/>
      <c r="T103" s="1839"/>
      <c r="V103" s="1834"/>
      <c r="Y103" s="1835"/>
      <c r="Z103" s="1835"/>
    </row>
    <row r="104" spans="1:26" s="1833" customFormat="1" x14ac:dyDescent="0.25">
      <c r="A104" s="1831"/>
      <c r="B104" s="2058" t="s">
        <v>914</v>
      </c>
      <c r="C104" s="2073">
        <v>9500.0300000000007</v>
      </c>
      <c r="D104" s="2073">
        <v>10416.379999999999</v>
      </c>
      <c r="E104" s="2073">
        <v>11522.54</v>
      </c>
      <c r="F104" s="2073">
        <v>9374.9599999999991</v>
      </c>
      <c r="G104" s="2073">
        <v>9948.92</v>
      </c>
      <c r="H104" s="2073">
        <v>8484.2999999999993</v>
      </c>
      <c r="I104" s="2073">
        <v>8805.82</v>
      </c>
      <c r="J104" s="2073">
        <v>8186.92</v>
      </c>
      <c r="K104" s="2073">
        <v>9044.59</v>
      </c>
      <c r="L104" s="2073">
        <v>7999.26</v>
      </c>
      <c r="M104" s="2073">
        <v>9154.48</v>
      </c>
      <c r="N104" s="2074">
        <v>9644.91</v>
      </c>
      <c r="S104" s="1834"/>
      <c r="T104" s="1839"/>
      <c r="V104" s="1834"/>
      <c r="Y104" s="1835"/>
      <c r="Z104" s="1835"/>
    </row>
    <row r="105" spans="1:26" s="1833" customFormat="1" x14ac:dyDescent="0.25">
      <c r="A105" s="1831"/>
      <c r="B105" s="2061"/>
      <c r="C105" s="2075"/>
      <c r="D105" s="2075"/>
      <c r="E105" s="2075"/>
      <c r="F105" s="2075"/>
      <c r="G105" s="2075"/>
      <c r="H105" s="2075"/>
      <c r="I105" s="2075"/>
      <c r="J105" s="2075"/>
      <c r="K105" s="2075"/>
      <c r="L105" s="2075"/>
      <c r="M105" s="2075"/>
      <c r="N105" s="2076"/>
      <c r="S105" s="1834"/>
      <c r="T105" s="1839"/>
      <c r="V105" s="1834"/>
      <c r="Y105" s="1835"/>
      <c r="Z105" s="1835"/>
    </row>
    <row r="106" spans="1:26" s="1833" customFormat="1" x14ac:dyDescent="0.25">
      <c r="A106" s="1831"/>
      <c r="B106" s="2058" t="s">
        <v>915</v>
      </c>
      <c r="C106" s="2073">
        <v>7017.87</v>
      </c>
      <c r="D106" s="2073">
        <v>6236.89</v>
      </c>
      <c r="E106" s="2073">
        <v>7259.87</v>
      </c>
      <c r="F106" s="2073">
        <v>4487.92</v>
      </c>
      <c r="G106" s="2073">
        <v>4476.92</v>
      </c>
      <c r="H106" s="2073">
        <v>7930.86</v>
      </c>
      <c r="I106" s="2073">
        <v>6390.88</v>
      </c>
      <c r="J106" s="2073">
        <v>3915.93</v>
      </c>
      <c r="K106" s="2073">
        <v>5213.91</v>
      </c>
      <c r="L106" s="2073">
        <v>4212.92</v>
      </c>
      <c r="M106" s="2073">
        <v>5147.91</v>
      </c>
      <c r="N106" s="2074">
        <v>5245.04</v>
      </c>
      <c r="S106" s="1834"/>
      <c r="T106" s="1839"/>
      <c r="V106" s="1834"/>
      <c r="Y106" s="1835"/>
      <c r="Z106" s="1835"/>
    </row>
    <row r="107" spans="1:26" s="1833" customFormat="1" x14ac:dyDescent="0.25">
      <c r="A107" s="1831"/>
      <c r="B107" s="2061"/>
      <c r="C107" s="2075"/>
      <c r="D107" s="2075"/>
      <c r="E107" s="2075"/>
      <c r="F107" s="2075"/>
      <c r="G107" s="2075"/>
      <c r="H107" s="2075"/>
      <c r="I107" s="2075"/>
      <c r="J107" s="2075"/>
      <c r="K107" s="2075"/>
      <c r="L107" s="2075"/>
      <c r="M107" s="2075"/>
      <c r="N107" s="2076"/>
      <c r="S107" s="1834"/>
      <c r="T107" s="1839"/>
      <c r="V107" s="1834"/>
      <c r="Y107" s="1835"/>
      <c r="Z107" s="1835"/>
    </row>
    <row r="108" spans="1:26" s="1833" customFormat="1" x14ac:dyDescent="0.25">
      <c r="A108" s="1831"/>
      <c r="B108" s="2058" t="s">
        <v>916</v>
      </c>
      <c r="C108" s="2073">
        <v>16644.310000000001</v>
      </c>
      <c r="D108" s="2073">
        <v>16912.400000000001</v>
      </c>
      <c r="E108" s="2073">
        <v>14213.88</v>
      </c>
      <c r="F108" s="2073">
        <v>5940.64</v>
      </c>
      <c r="G108" s="2073">
        <v>1293.3499999999999</v>
      </c>
      <c r="H108" s="2073">
        <v>195.72</v>
      </c>
      <c r="I108" s="2073">
        <v>203.77</v>
      </c>
      <c r="J108" s="2073">
        <v>902.83</v>
      </c>
      <c r="K108" s="2073">
        <v>1295.55</v>
      </c>
      <c r="L108" s="2073">
        <v>4968.45</v>
      </c>
      <c r="M108" s="2073">
        <v>7974.32</v>
      </c>
      <c r="N108" s="2074">
        <v>11395.41</v>
      </c>
      <c r="S108" s="1834"/>
      <c r="T108" s="1839"/>
      <c r="V108" s="1834"/>
      <c r="Y108" s="1835"/>
      <c r="Z108" s="1835"/>
    </row>
    <row r="109" spans="1:26" s="1833" customFormat="1" x14ac:dyDescent="0.25">
      <c r="A109" s="1831"/>
      <c r="B109" s="2061"/>
      <c r="C109" s="2075"/>
      <c r="D109" s="2075"/>
      <c r="E109" s="2075"/>
      <c r="F109" s="2075"/>
      <c r="G109" s="2075"/>
      <c r="H109" s="2075"/>
      <c r="I109" s="2075"/>
      <c r="J109" s="2075"/>
      <c r="K109" s="2075"/>
      <c r="L109" s="2075"/>
      <c r="M109" s="2075"/>
      <c r="N109" s="2076"/>
      <c r="S109" s="1834"/>
      <c r="T109" s="1839"/>
      <c r="V109" s="1834"/>
      <c r="Y109" s="1835"/>
      <c r="Z109" s="1835"/>
    </row>
    <row r="110" spans="1:26" s="1833" customFormat="1" x14ac:dyDescent="0.25">
      <c r="A110" s="1831"/>
      <c r="B110" s="2058" t="s">
        <v>917</v>
      </c>
      <c r="C110" s="2073">
        <f>139.34*0.5</f>
        <v>69.67</v>
      </c>
      <c r="D110" s="2073">
        <f>207.1*0.5</f>
        <v>103.55</v>
      </c>
      <c r="E110" s="2073">
        <f>484.5*0.5</f>
        <v>242.25</v>
      </c>
      <c r="F110" s="2073">
        <f>760.58*0.5</f>
        <v>380.29</v>
      </c>
      <c r="G110" s="2073">
        <f>507.26*0.5</f>
        <v>253.63</v>
      </c>
      <c r="H110" s="2073">
        <f>666.18*0.5</f>
        <v>333.09</v>
      </c>
      <c r="I110" s="2073">
        <f>407.78*0.5</f>
        <v>203.89</v>
      </c>
      <c r="J110" s="2073">
        <f>460.92*0.5</f>
        <v>230.46</v>
      </c>
      <c r="K110" s="2073">
        <f>510.48*0.5</f>
        <v>255.24</v>
      </c>
      <c r="L110" s="2073">
        <f>450.84*0.5</f>
        <v>225.42</v>
      </c>
      <c r="M110" s="2073">
        <f>591.78*0.5</f>
        <v>295.89</v>
      </c>
      <c r="N110" s="2074">
        <f>455.1*0.5</f>
        <v>227.55</v>
      </c>
      <c r="S110" s="1834"/>
      <c r="T110" s="1839"/>
      <c r="V110" s="1834"/>
      <c r="Y110" s="1835"/>
      <c r="Z110" s="1835"/>
    </row>
    <row r="111" spans="1:26" s="1833" customFormat="1" x14ac:dyDescent="0.25">
      <c r="A111" s="1831"/>
      <c r="B111" s="2065"/>
      <c r="C111" s="2075"/>
      <c r="D111" s="2075"/>
      <c r="E111" s="2075"/>
      <c r="F111" s="2075"/>
      <c r="G111" s="2075"/>
      <c r="H111" s="2075"/>
      <c r="I111" s="2075"/>
      <c r="J111" s="2075"/>
      <c r="K111" s="2075"/>
      <c r="L111" s="2075"/>
      <c r="M111" s="2075"/>
      <c r="N111" s="2076"/>
      <c r="S111" s="1834"/>
      <c r="T111" s="1839"/>
      <c r="V111" s="1834"/>
      <c r="Y111" s="1835"/>
      <c r="Z111" s="1835"/>
    </row>
    <row r="112" spans="1:26" s="1833" customFormat="1" x14ac:dyDescent="0.25">
      <c r="A112" s="1831"/>
      <c r="B112" s="2058" t="s">
        <v>918</v>
      </c>
      <c r="C112" s="2073">
        <v>889.17</v>
      </c>
      <c r="D112" s="2073">
        <v>1670.31</v>
      </c>
      <c r="E112" s="2073">
        <v>1856.96</v>
      </c>
      <c r="F112" s="2073">
        <v>1022.58</v>
      </c>
      <c r="G112" s="2073">
        <v>939.55</v>
      </c>
      <c r="H112" s="2073">
        <v>611.79999999999995</v>
      </c>
      <c r="I112" s="2073">
        <v>703.57</v>
      </c>
      <c r="J112" s="2073">
        <v>572.47</v>
      </c>
      <c r="K112" s="2073">
        <v>659.87</v>
      </c>
      <c r="L112" s="2073">
        <v>1025.78</v>
      </c>
      <c r="M112" s="2073">
        <v>1013.82</v>
      </c>
      <c r="N112" s="2074">
        <v>573.39</v>
      </c>
      <c r="S112" s="1834"/>
      <c r="T112" s="1839"/>
      <c r="V112" s="1834"/>
      <c r="Y112" s="1835"/>
      <c r="Z112" s="1835"/>
    </row>
    <row r="113" spans="1:26" s="1833" customFormat="1" x14ac:dyDescent="0.25">
      <c r="A113" s="1831"/>
      <c r="B113" s="2061"/>
      <c r="C113" s="2075"/>
      <c r="D113" s="2075"/>
      <c r="E113" s="2075"/>
      <c r="F113" s="2075"/>
      <c r="G113" s="2075"/>
      <c r="H113" s="2075"/>
      <c r="I113" s="2075"/>
      <c r="J113" s="2075"/>
      <c r="K113" s="2075"/>
      <c r="L113" s="2075"/>
      <c r="M113" s="2075"/>
      <c r="N113" s="2076"/>
      <c r="S113" s="1834"/>
      <c r="T113" s="1839"/>
      <c r="V113" s="1834"/>
      <c r="Y113" s="1835"/>
      <c r="Z113" s="1835"/>
    </row>
    <row r="114" spans="1:26" s="1833" customFormat="1" x14ac:dyDescent="0.25">
      <c r="A114" s="1831"/>
      <c r="B114" s="2058" t="s">
        <v>919</v>
      </c>
      <c r="C114" s="2077">
        <v>727.6</v>
      </c>
      <c r="D114" s="2077">
        <v>1366.8</v>
      </c>
      <c r="E114" s="2077">
        <v>1890.4</v>
      </c>
      <c r="F114" s="2077">
        <v>1591.2</v>
      </c>
      <c r="G114" s="2077">
        <v>1462</v>
      </c>
      <c r="H114" s="2077">
        <v>952</v>
      </c>
      <c r="I114" s="2077">
        <v>1094.8</v>
      </c>
      <c r="J114" s="2077">
        <v>890.8</v>
      </c>
      <c r="K114" s="2077">
        <v>1026.8</v>
      </c>
      <c r="L114" s="2077">
        <v>1183.2</v>
      </c>
      <c r="M114" s="2077">
        <v>829.6</v>
      </c>
      <c r="N114" s="2074">
        <v>469.2</v>
      </c>
      <c r="S114" s="1834"/>
      <c r="T114" s="1839"/>
      <c r="V114" s="1834"/>
      <c r="Y114" s="1835"/>
      <c r="Z114" s="1835"/>
    </row>
    <row r="115" spans="1:26" s="1833" customFormat="1" x14ac:dyDescent="0.25">
      <c r="A115" s="1831"/>
      <c r="B115" s="2067"/>
      <c r="C115" s="2068"/>
      <c r="D115" s="2068"/>
      <c r="E115" s="2068"/>
      <c r="F115" s="2068"/>
      <c r="G115" s="2068"/>
      <c r="H115" s="2068"/>
      <c r="I115" s="2068"/>
      <c r="J115" s="2068"/>
      <c r="K115" s="2068"/>
      <c r="L115" s="2068"/>
      <c r="M115" s="2068"/>
      <c r="N115" s="2078"/>
      <c r="S115" s="1834"/>
      <c r="T115" s="1839"/>
      <c r="V115" s="1834"/>
      <c r="Y115" s="1835"/>
      <c r="Z115" s="1835"/>
    </row>
    <row r="116" spans="1:26" s="1833" customFormat="1" ht="15.75" thickBot="1" x14ac:dyDescent="0.3">
      <c r="A116" s="1831"/>
      <c r="B116" s="2070" t="s">
        <v>920</v>
      </c>
      <c r="C116" s="2079">
        <v>340.2</v>
      </c>
      <c r="D116" s="2079">
        <v>340.2</v>
      </c>
      <c r="E116" s="2079">
        <v>340.2</v>
      </c>
      <c r="F116" s="2079">
        <v>340.2</v>
      </c>
      <c r="G116" s="2079">
        <v>340.2</v>
      </c>
      <c r="H116" s="2079">
        <v>340.2</v>
      </c>
      <c r="I116" s="2079">
        <v>340.2</v>
      </c>
      <c r="J116" s="2079">
        <v>340.2</v>
      </c>
      <c r="K116" s="2079">
        <v>340.2</v>
      </c>
      <c r="L116" s="2079">
        <v>340.2</v>
      </c>
      <c r="M116" s="2079">
        <v>340.2</v>
      </c>
      <c r="N116" s="2080">
        <v>357.75</v>
      </c>
      <c r="S116" s="1834"/>
      <c r="T116" s="1839"/>
      <c r="V116" s="1834"/>
      <c r="Y116" s="1835"/>
      <c r="Z116" s="1835"/>
    </row>
    <row r="117" spans="1:26" s="125" customFormat="1" ht="15.75" thickTop="1" x14ac:dyDescent="0.25">
      <c r="A117" s="461"/>
      <c r="B117" s="200"/>
      <c r="C117" s="152"/>
      <c r="E117" s="201"/>
      <c r="F117" s="202"/>
      <c r="G117" s="202"/>
      <c r="H117" s="203"/>
      <c r="I117" s="203"/>
      <c r="J117" s="203"/>
      <c r="K117" s="203"/>
      <c r="L117" s="203"/>
      <c r="M117" s="203"/>
      <c r="N117" s="203"/>
      <c r="O117" s="203"/>
      <c r="P117" s="203"/>
      <c r="S117" s="126"/>
      <c r="V117" s="126"/>
      <c r="W117" s="443"/>
      <c r="X117" s="444"/>
      <c r="Y117" s="157"/>
      <c r="Z117" s="157"/>
    </row>
    <row r="118" spans="1:26" s="128" customFormat="1" x14ac:dyDescent="0.25">
      <c r="A118" s="459">
        <v>7</v>
      </c>
      <c r="B118" s="172" t="s">
        <v>981</v>
      </c>
      <c r="C118" s="173"/>
      <c r="S118" s="173"/>
      <c r="T118" s="598" t="s">
        <v>557</v>
      </c>
      <c r="W118" s="129"/>
      <c r="Y118" s="166"/>
      <c r="Z118" s="764"/>
    </row>
    <row r="119" spans="1:26" s="128" customFormat="1" x14ac:dyDescent="0.25">
      <c r="A119" s="459"/>
      <c r="B119" s="464" t="s">
        <v>932</v>
      </c>
      <c r="C119" s="173"/>
      <c r="S119" s="173"/>
      <c r="T119" s="598"/>
      <c r="W119" s="129"/>
      <c r="Y119" s="166"/>
      <c r="Z119" s="764"/>
    </row>
    <row r="120" spans="1:26" s="41" customFormat="1" ht="14.25" x14ac:dyDescent="0.2">
      <c r="A120" s="1"/>
      <c r="B120" s="465" t="s">
        <v>337</v>
      </c>
      <c r="C120" s="91">
        <v>42552</v>
      </c>
      <c r="D120" s="91">
        <v>42583</v>
      </c>
      <c r="E120" s="91">
        <v>42614</v>
      </c>
      <c r="F120" s="91">
        <v>42644</v>
      </c>
      <c r="G120" s="91">
        <v>42675</v>
      </c>
      <c r="H120" s="91">
        <v>42705</v>
      </c>
      <c r="I120" s="91">
        <v>42736</v>
      </c>
      <c r="J120" s="91">
        <v>42767</v>
      </c>
      <c r="K120" s="91">
        <v>42795</v>
      </c>
      <c r="L120" s="91">
        <v>42826</v>
      </c>
      <c r="M120" s="91">
        <v>42856</v>
      </c>
      <c r="N120" s="91">
        <v>42887</v>
      </c>
      <c r="O120" s="91" t="s">
        <v>923</v>
      </c>
    </row>
    <row r="121" spans="1:26" s="1833" customFormat="1" ht="14.25" x14ac:dyDescent="0.2">
      <c r="A121" s="1840"/>
      <c r="B121" s="95" t="s">
        <v>409</v>
      </c>
      <c r="C121" s="96">
        <v>46440</v>
      </c>
      <c r="D121" s="96">
        <v>59080</v>
      </c>
      <c r="E121" s="96">
        <v>67880</v>
      </c>
      <c r="F121" s="820">
        <v>46840</v>
      </c>
      <c r="G121" s="820">
        <v>36040</v>
      </c>
      <c r="H121" s="820">
        <v>30840</v>
      </c>
      <c r="I121" s="820">
        <v>33440</v>
      </c>
      <c r="J121" s="820">
        <v>40120</v>
      </c>
      <c r="K121" s="820">
        <v>41440</v>
      </c>
      <c r="L121" s="820">
        <v>23400</v>
      </c>
      <c r="M121" s="820">
        <v>50960</v>
      </c>
      <c r="N121" s="820">
        <v>37800</v>
      </c>
      <c r="O121" s="875">
        <f>SUM(C121:N121)</f>
        <v>514280</v>
      </c>
      <c r="S121" s="1840"/>
      <c r="T121" s="1841"/>
      <c r="W121" s="1834"/>
      <c r="Y121" s="1835"/>
      <c r="Z121" s="1842"/>
    </row>
    <row r="122" spans="1:26" s="1833" customFormat="1" ht="14.25" x14ac:dyDescent="0.2">
      <c r="A122" s="1840"/>
      <c r="B122" s="95" t="s">
        <v>322</v>
      </c>
      <c r="C122" s="893">
        <v>21693.5</v>
      </c>
      <c r="D122" s="893">
        <v>55355.8</v>
      </c>
      <c r="E122" s="96">
        <v>87522.1</v>
      </c>
      <c r="F122" s="820">
        <v>38898.698799999998</v>
      </c>
      <c r="G122" s="820">
        <v>32914.283600000002</v>
      </c>
      <c r="H122" s="820">
        <v>29174.024099999999</v>
      </c>
      <c r="I122" s="820">
        <v>71064.930500000002</v>
      </c>
      <c r="J122" s="820">
        <v>54607.788699999997</v>
      </c>
      <c r="K122" s="820">
        <v>62088.307699999998</v>
      </c>
      <c r="L122" s="820">
        <v>30670.127899999999</v>
      </c>
      <c r="M122" s="820">
        <v>45631.1659</v>
      </c>
      <c r="N122" s="820">
        <v>26181.816500000001</v>
      </c>
      <c r="O122" s="877">
        <f>SUM(C122:N122)</f>
        <v>555802.54370000004</v>
      </c>
      <c r="S122" s="1840"/>
      <c r="T122" s="1841"/>
      <c r="W122" s="1834"/>
      <c r="Y122" s="1835"/>
      <c r="Z122" s="1842"/>
    </row>
    <row r="123" spans="1:26" s="1833" customFormat="1" ht="14.25" x14ac:dyDescent="0.2">
      <c r="A123" s="1840"/>
      <c r="B123" s="104" t="s">
        <v>924</v>
      </c>
      <c r="C123" s="104">
        <v>113</v>
      </c>
      <c r="D123" s="104">
        <v>91</v>
      </c>
      <c r="E123" s="104">
        <v>305</v>
      </c>
      <c r="F123" s="820">
        <v>177</v>
      </c>
      <c r="G123" s="820">
        <v>2117</v>
      </c>
      <c r="H123" s="820">
        <v>1910</v>
      </c>
      <c r="I123" s="820">
        <v>2421</v>
      </c>
      <c r="J123" s="820">
        <v>3187</v>
      </c>
      <c r="K123" s="820">
        <v>2779</v>
      </c>
      <c r="L123" s="820">
        <v>174</v>
      </c>
      <c r="M123" s="820">
        <v>197</v>
      </c>
      <c r="N123" s="820">
        <v>142</v>
      </c>
      <c r="O123" s="880">
        <f>SUM(C123:N123)</f>
        <v>13613</v>
      </c>
      <c r="S123" s="1840"/>
      <c r="T123" s="1841"/>
      <c r="W123" s="1834"/>
      <c r="Y123" s="1835"/>
      <c r="Z123" s="1842"/>
    </row>
    <row r="124" spans="1:26" s="1833" customFormat="1" x14ac:dyDescent="0.25">
      <c r="A124" s="1840"/>
      <c r="B124"/>
      <c r="C124"/>
      <c r="D124"/>
      <c r="E124"/>
      <c r="F124"/>
      <c r="G124"/>
      <c r="H124"/>
      <c r="I124"/>
      <c r="J124"/>
      <c r="K124"/>
      <c r="L124"/>
      <c r="M124"/>
      <c r="N124" s="890"/>
      <c r="O124" s="477"/>
      <c r="S124" s="1840"/>
      <c r="T124" s="1841"/>
      <c r="W124" s="1834"/>
      <c r="Y124" s="1835"/>
      <c r="Z124" s="1842"/>
    </row>
    <row r="125" spans="1:26" s="1833" customFormat="1" ht="14.25" x14ac:dyDescent="0.2">
      <c r="A125" s="1840"/>
      <c r="B125" s="95" t="s">
        <v>347</v>
      </c>
      <c r="C125" s="866">
        <v>5015.84</v>
      </c>
      <c r="D125" s="866">
        <v>5949.32</v>
      </c>
      <c r="E125" s="2173">
        <v>6783.01</v>
      </c>
      <c r="F125" s="2172">
        <v>4970.32</v>
      </c>
      <c r="G125" s="2172">
        <v>4030.41</v>
      </c>
      <c r="H125" s="2172">
        <v>3472.82</v>
      </c>
      <c r="I125" s="2172">
        <v>3666.52</v>
      </c>
      <c r="J125" s="2172">
        <v>4120.6099999999997</v>
      </c>
      <c r="K125" s="2172">
        <v>4210.38</v>
      </c>
      <c r="L125" s="2172">
        <v>3056.1</v>
      </c>
      <c r="M125" s="2172">
        <v>5015.3500000000004</v>
      </c>
      <c r="N125" s="2172">
        <v>4179.66</v>
      </c>
      <c r="O125" s="883">
        <f>SUM(C125:N125)</f>
        <v>54470.34</v>
      </c>
      <c r="S125" s="1840"/>
      <c r="T125" s="1841"/>
      <c r="W125" s="1834"/>
      <c r="Y125" s="1835"/>
      <c r="Z125" s="1842"/>
    </row>
    <row r="126" spans="1:26" s="1833" customFormat="1" ht="14.25" x14ac:dyDescent="0.2">
      <c r="A126" s="1840"/>
      <c r="B126" s="112" t="s">
        <v>410</v>
      </c>
      <c r="C126" s="885">
        <v>1012.34</v>
      </c>
      <c r="D126" s="885">
        <v>1338.38</v>
      </c>
      <c r="E126" s="885">
        <v>1665.14</v>
      </c>
      <c r="F126" s="2172">
        <v>1190.8</v>
      </c>
      <c r="G126" s="2172">
        <v>1128.72</v>
      </c>
      <c r="H126" s="2172">
        <v>1089.92</v>
      </c>
      <c r="I126" s="2172">
        <v>1524.48</v>
      </c>
      <c r="J126" s="2172">
        <v>1353.76</v>
      </c>
      <c r="K126" s="2172">
        <v>1431.36</v>
      </c>
      <c r="L126" s="2172">
        <v>1105.44</v>
      </c>
      <c r="M126" s="2172">
        <v>1260.6400000000001</v>
      </c>
      <c r="N126" s="2172">
        <v>1058.8800000000001</v>
      </c>
      <c r="O126" s="886">
        <f>SUM(C126:N126)</f>
        <v>15159.86</v>
      </c>
      <c r="S126" s="1840"/>
      <c r="T126" s="1841"/>
      <c r="W126" s="1834"/>
      <c r="Y126" s="1835"/>
      <c r="Z126" s="1842"/>
    </row>
    <row r="127" spans="1:26" s="1833" customFormat="1" ht="14.25" x14ac:dyDescent="0.2">
      <c r="A127" s="1840"/>
      <c r="B127" s="885" t="s">
        <v>925</v>
      </c>
      <c r="C127" s="885">
        <v>89.73</v>
      </c>
      <c r="D127" s="885">
        <v>75.67</v>
      </c>
      <c r="E127" s="885">
        <v>212.99</v>
      </c>
      <c r="F127" s="2172">
        <v>132.91999999999999</v>
      </c>
      <c r="G127" s="2172">
        <v>1387.6</v>
      </c>
      <c r="H127" s="2172">
        <v>1273.49</v>
      </c>
      <c r="I127" s="2172">
        <v>1762.89</v>
      </c>
      <c r="J127" s="2172">
        <v>2308.67</v>
      </c>
      <c r="K127" s="2172">
        <v>2028.08</v>
      </c>
      <c r="L127" s="2172">
        <v>152.63</v>
      </c>
      <c r="M127" s="2172">
        <v>170.49</v>
      </c>
      <c r="N127" s="2172">
        <v>127.78</v>
      </c>
      <c r="O127" s="886">
        <f>SUM(C127:N127)</f>
        <v>9722.94</v>
      </c>
      <c r="S127" s="1840"/>
      <c r="T127" s="1841"/>
      <c r="W127" s="1834"/>
      <c r="Y127" s="1835"/>
      <c r="Z127" s="1842"/>
    </row>
    <row r="128" spans="1:26" s="1833" customFormat="1" ht="14.25" x14ac:dyDescent="0.2">
      <c r="A128" s="1840"/>
      <c r="B128" s="1617"/>
      <c r="C128" s="1618"/>
      <c r="D128" s="1618"/>
      <c r="E128" s="1618"/>
      <c r="F128" s="1618"/>
      <c r="G128" s="1618"/>
      <c r="H128" s="1618"/>
      <c r="I128" s="1618"/>
      <c r="J128" s="1618"/>
      <c r="K128" s="1618"/>
      <c r="L128" s="1618"/>
      <c r="M128" s="1618"/>
      <c r="N128" s="1618"/>
      <c r="O128" s="1619"/>
      <c r="S128" s="1840"/>
      <c r="T128" s="1841"/>
      <c r="W128" s="1834"/>
      <c r="Y128" s="1835"/>
      <c r="Z128" s="1842"/>
    </row>
    <row r="129" spans="1:26" s="1833" customFormat="1" x14ac:dyDescent="0.25">
      <c r="A129" s="1840"/>
      <c r="B129" t="s">
        <v>1589</v>
      </c>
      <c r="C129" s="485"/>
      <c r="D129"/>
      <c r="E129"/>
      <c r="F129"/>
      <c r="G129"/>
      <c r="H129"/>
      <c r="I129"/>
      <c r="J129" s="485"/>
      <c r="K129"/>
      <c r="L129"/>
      <c r="M129"/>
      <c r="N129"/>
      <c r="O129" s="477"/>
      <c r="S129" s="1840"/>
      <c r="T129" s="1841"/>
      <c r="W129" s="1834"/>
      <c r="Y129" s="1835"/>
      <c r="Z129" s="1842"/>
    </row>
    <row r="130" spans="1:26" x14ac:dyDescent="0.25">
      <c r="B130" s="1843"/>
      <c r="W130" s="445"/>
      <c r="X130" s="116"/>
    </row>
    <row r="131" spans="1:26" s="125" customFormat="1" x14ac:dyDescent="0.25">
      <c r="A131" s="461">
        <v>8</v>
      </c>
      <c r="B131" s="148" t="s">
        <v>359</v>
      </c>
      <c r="C131" s="152"/>
      <c r="R131" s="139"/>
      <c r="S131" s="147"/>
      <c r="T131" s="569" t="s">
        <v>359</v>
      </c>
      <c r="U131" s="149"/>
      <c r="V131" s="150"/>
      <c r="Y131" s="157"/>
      <c r="Z131" s="157"/>
    </row>
    <row r="132" spans="1:26" s="1833" customFormat="1" x14ac:dyDescent="0.25">
      <c r="A132" s="1831"/>
      <c r="B132" s="712" t="s">
        <v>359</v>
      </c>
      <c r="C132" s="1646"/>
      <c r="D132" s="713"/>
      <c r="E132" s="713"/>
      <c r="F132" s="713"/>
      <c r="G132" s="713"/>
      <c r="H132" s="713"/>
      <c r="I132" s="713"/>
      <c r="J132" s="713"/>
      <c r="K132" s="713"/>
      <c r="L132" s="713"/>
      <c r="M132" s="713"/>
      <c r="N132" s="713"/>
      <c r="O132" s="713"/>
      <c r="P132" s="714"/>
      <c r="Q132" s="715"/>
      <c r="R132" s="716"/>
      <c r="S132" s="1647"/>
      <c r="T132" s="1150"/>
      <c r="U132" s="1847"/>
      <c r="V132" s="1262"/>
      <c r="Y132" s="1835"/>
      <c r="Z132" s="1835"/>
    </row>
    <row r="133" spans="1:26" s="1833" customFormat="1" x14ac:dyDescent="0.25">
      <c r="A133" s="1831"/>
      <c r="B133" s="717" t="s">
        <v>337</v>
      </c>
      <c r="C133" s="1648"/>
      <c r="D133" s="719">
        <v>42583</v>
      </c>
      <c r="E133" s="719">
        <v>42614</v>
      </c>
      <c r="F133" s="719">
        <v>42644</v>
      </c>
      <c r="G133" s="719">
        <v>42675</v>
      </c>
      <c r="H133" s="719">
        <v>42705</v>
      </c>
      <c r="I133" s="719">
        <v>42736</v>
      </c>
      <c r="J133" s="719">
        <v>42767</v>
      </c>
      <c r="K133" s="719">
        <v>42795</v>
      </c>
      <c r="L133" s="719">
        <v>42826</v>
      </c>
      <c r="M133" s="719">
        <v>42856</v>
      </c>
      <c r="N133" s="719">
        <v>42887</v>
      </c>
      <c r="O133" s="719">
        <v>42917</v>
      </c>
      <c r="P133" s="720" t="s">
        <v>338</v>
      </c>
      <c r="Q133" s="721" t="s">
        <v>339</v>
      </c>
      <c r="R133"/>
      <c r="S133" s="720" t="s">
        <v>338</v>
      </c>
      <c r="T133" s="721" t="s">
        <v>339</v>
      </c>
      <c r="U133" s="1850"/>
      <c r="V133" s="1262"/>
      <c r="Y133" s="1835"/>
      <c r="Z133" s="1835"/>
    </row>
    <row r="134" spans="1:26" s="1833" customFormat="1" x14ac:dyDescent="0.25">
      <c r="A134" s="1831"/>
      <c r="B134" s="722" t="s">
        <v>360</v>
      </c>
      <c r="C134" s="730"/>
      <c r="D134" s="454">
        <v>56779.999999999971</v>
      </c>
      <c r="E134" s="454">
        <v>55389.000000000124</v>
      </c>
      <c r="F134" s="454">
        <v>56067.000000000007</v>
      </c>
      <c r="G134" s="454">
        <v>57166.999999999913</v>
      </c>
      <c r="H134" s="454">
        <v>56608.999999999927</v>
      </c>
      <c r="I134" s="454">
        <v>61875</v>
      </c>
      <c r="J134" s="454">
        <v>56873.000000000044</v>
      </c>
      <c r="K134" s="454">
        <v>61004.000000000131</v>
      </c>
      <c r="L134" s="454">
        <v>57213.999999999942</v>
      </c>
      <c r="M134" s="454">
        <v>58425.999999999927</v>
      </c>
      <c r="N134" s="454">
        <v>56375.999999999978</v>
      </c>
      <c r="O134" s="454">
        <v>58950.000000000044</v>
      </c>
      <c r="P134" s="724">
        <f t="shared" ref="P134:P141" si="0">SUM(D134:O134)</f>
        <v>692730</v>
      </c>
      <c r="Q134" s="1145" t="s">
        <v>361</v>
      </c>
      <c r="R134"/>
      <c r="S134" s="734">
        <f>P134*0.003409512</f>
        <v>2361.8712477600002</v>
      </c>
      <c r="T134" s="1145" t="s">
        <v>342</v>
      </c>
      <c r="U134" s="1847"/>
      <c r="V134" s="1262"/>
      <c r="Y134" s="1835"/>
      <c r="Z134" s="1835"/>
    </row>
    <row r="135" spans="1:26" s="1833" customFormat="1" x14ac:dyDescent="0.25">
      <c r="A135" s="1831"/>
      <c r="B135" s="722" t="s">
        <v>362</v>
      </c>
      <c r="C135" s="730"/>
      <c r="D135" s="454">
        <v>701.02</v>
      </c>
      <c r="E135" s="454">
        <v>535.34</v>
      </c>
      <c r="F135" s="454">
        <v>279.11</v>
      </c>
      <c r="G135" s="454">
        <v>144.63</v>
      </c>
      <c r="H135" s="454">
        <v>74.75</v>
      </c>
      <c r="I135" s="454">
        <v>88.38</v>
      </c>
      <c r="J135" s="454">
        <v>138.6</v>
      </c>
      <c r="K135" s="454">
        <v>228.58</v>
      </c>
      <c r="L135" s="454">
        <v>332.16</v>
      </c>
      <c r="M135" s="454">
        <v>452.57</v>
      </c>
      <c r="N135" s="454">
        <v>585.29999999999995</v>
      </c>
      <c r="O135" s="454">
        <v>752.22</v>
      </c>
      <c r="P135" s="724">
        <f t="shared" si="0"/>
        <v>4312.6600000000008</v>
      </c>
      <c r="Q135" s="1145" t="s">
        <v>363</v>
      </c>
      <c r="R135"/>
      <c r="S135" s="1649">
        <f>P135</f>
        <v>4312.6600000000008</v>
      </c>
      <c r="T135" s="1145" t="s">
        <v>342</v>
      </c>
      <c r="U135" s="1847"/>
      <c r="V135" s="1262"/>
      <c r="Y135" s="1835"/>
      <c r="Z135" s="1835"/>
    </row>
    <row r="136" spans="1:26" s="1833" customFormat="1" x14ac:dyDescent="0.25">
      <c r="A136" s="1831"/>
      <c r="B136" s="722" t="s">
        <v>364</v>
      </c>
      <c r="C136" s="730"/>
      <c r="D136" s="454">
        <v>248</v>
      </c>
      <c r="E136" s="454">
        <v>433</v>
      </c>
      <c r="F136" s="454">
        <v>477</v>
      </c>
      <c r="G136" s="454">
        <v>516</v>
      </c>
      <c r="H136" s="454">
        <v>420</v>
      </c>
      <c r="I136" s="454">
        <v>432</v>
      </c>
      <c r="J136" s="454">
        <v>566</v>
      </c>
      <c r="K136" s="454">
        <v>570</v>
      </c>
      <c r="L136" s="454">
        <v>499</v>
      </c>
      <c r="M136" s="454">
        <v>502</v>
      </c>
      <c r="N136" s="454">
        <v>484</v>
      </c>
      <c r="O136" s="454">
        <v>483</v>
      </c>
      <c r="P136" s="724">
        <f t="shared" si="0"/>
        <v>5630</v>
      </c>
      <c r="Q136" s="1146" t="s">
        <v>365</v>
      </c>
      <c r="R136"/>
      <c r="S136" s="756">
        <f>P136</f>
        <v>5630</v>
      </c>
      <c r="T136" s="1145" t="s">
        <v>342</v>
      </c>
      <c r="U136" s="1847"/>
      <c r="V136" s="1262"/>
      <c r="Y136" s="1835"/>
      <c r="Z136" s="1835"/>
    </row>
    <row r="137" spans="1:26" s="1833" customFormat="1" x14ac:dyDescent="0.25">
      <c r="A137" s="1831"/>
      <c r="B137" s="728" t="s">
        <v>864</v>
      </c>
      <c r="C137" s="730"/>
      <c r="D137" s="454">
        <v>49.476033653846159</v>
      </c>
      <c r="E137" s="454">
        <v>53.163526785714289</v>
      </c>
      <c r="F137" s="454">
        <v>57.087619047619057</v>
      </c>
      <c r="G137" s="454">
        <v>51.171494252873565</v>
      </c>
      <c r="H137" s="454">
        <v>36.769234913793106</v>
      </c>
      <c r="I137" s="454">
        <v>41.314062499999999</v>
      </c>
      <c r="J137" s="454">
        <v>52.677092391304349</v>
      </c>
      <c r="K137" s="454">
        <v>61.201345108695662</v>
      </c>
      <c r="L137" s="454">
        <v>57.503437500000004</v>
      </c>
      <c r="M137" s="454">
        <v>45.050000000000004</v>
      </c>
      <c r="N137" s="454">
        <v>37.595333333333336</v>
      </c>
      <c r="O137" s="454">
        <v>40.126602150537636</v>
      </c>
      <c r="P137" s="724">
        <f t="shared" si="0"/>
        <v>583.13578163771729</v>
      </c>
      <c r="Q137" s="1146" t="s">
        <v>379</v>
      </c>
      <c r="R137"/>
      <c r="S137" s="756">
        <f>P137*748</f>
        <v>436185.56466501253</v>
      </c>
      <c r="T137" s="1146" t="s">
        <v>346</v>
      </c>
      <c r="U137" s="1847"/>
      <c r="V137" s="1262"/>
      <c r="Y137" s="1835"/>
      <c r="Z137" s="1835"/>
    </row>
    <row r="138" spans="1:26" s="1833" customFormat="1" x14ac:dyDescent="0.25">
      <c r="A138" s="1831"/>
      <c r="B138" s="722" t="s">
        <v>368</v>
      </c>
      <c r="C138" s="730"/>
      <c r="D138" s="731">
        <f>D134*0.087</f>
        <v>4939.8599999999969</v>
      </c>
      <c r="E138" s="731">
        <f t="shared" ref="E138:N138" si="1">E134*0.087</f>
        <v>4818.8430000000108</v>
      </c>
      <c r="F138" s="731">
        <f t="shared" si="1"/>
        <v>4877.8290000000006</v>
      </c>
      <c r="G138" s="731">
        <f t="shared" si="1"/>
        <v>4973.5289999999923</v>
      </c>
      <c r="H138" s="731">
        <f t="shared" si="1"/>
        <v>4924.9829999999929</v>
      </c>
      <c r="I138" s="731">
        <f t="shared" si="1"/>
        <v>5383.125</v>
      </c>
      <c r="J138" s="731">
        <f t="shared" si="1"/>
        <v>4947.9510000000037</v>
      </c>
      <c r="K138" s="731">
        <f t="shared" si="1"/>
        <v>5307.3480000000109</v>
      </c>
      <c r="L138" s="731">
        <f t="shared" si="1"/>
        <v>4977.6179999999949</v>
      </c>
      <c r="M138" s="731">
        <f t="shared" si="1"/>
        <v>5083.0619999999935</v>
      </c>
      <c r="N138" s="731">
        <f t="shared" si="1"/>
        <v>4904.7119999999977</v>
      </c>
      <c r="O138" s="731">
        <f>O134*0.083</f>
        <v>4892.850000000004</v>
      </c>
      <c r="P138" s="724">
        <f t="shared" si="0"/>
        <v>60031.71</v>
      </c>
      <c r="Q138" s="1145" t="s">
        <v>865</v>
      </c>
      <c r="R138"/>
      <c r="S138" s="1651"/>
      <c r="T138" s="1652"/>
      <c r="U138" s="1847"/>
      <c r="V138" s="1262"/>
      <c r="Y138" s="1835"/>
      <c r="Z138" s="1835"/>
    </row>
    <row r="139" spans="1:26" s="1833" customFormat="1" x14ac:dyDescent="0.25">
      <c r="A139" s="1831"/>
      <c r="B139" s="722" t="s">
        <v>369</v>
      </c>
      <c r="C139" s="730"/>
      <c r="D139" s="731">
        <f>D135*12.95</f>
        <v>9078.2089999999989</v>
      </c>
      <c r="E139" s="731">
        <f t="shared" ref="E139:N139" si="2">E135*12.95</f>
        <v>6932.6530000000002</v>
      </c>
      <c r="F139" s="731">
        <f t="shared" si="2"/>
        <v>3614.4744999999998</v>
      </c>
      <c r="G139" s="731">
        <f t="shared" si="2"/>
        <v>1872.9584999999997</v>
      </c>
      <c r="H139" s="731">
        <f t="shared" si="2"/>
        <v>968.01249999999993</v>
      </c>
      <c r="I139" s="731">
        <f t="shared" si="2"/>
        <v>1144.521</v>
      </c>
      <c r="J139" s="731">
        <f t="shared" si="2"/>
        <v>1794.87</v>
      </c>
      <c r="K139" s="731">
        <f t="shared" si="2"/>
        <v>2960.1109999999999</v>
      </c>
      <c r="L139" s="731">
        <f t="shared" si="2"/>
        <v>4301.4719999999998</v>
      </c>
      <c r="M139" s="731">
        <f t="shared" si="2"/>
        <v>5860.7814999999991</v>
      </c>
      <c r="N139" s="731">
        <f t="shared" si="2"/>
        <v>7579.6349999999993</v>
      </c>
      <c r="O139" s="731">
        <f>O135*12.76</f>
        <v>9598.3271999999997</v>
      </c>
      <c r="P139" s="724">
        <f t="shared" si="0"/>
        <v>55706.025199999996</v>
      </c>
      <c r="Q139" s="1145" t="s">
        <v>865</v>
      </c>
      <c r="R139"/>
      <c r="S139" s="1647"/>
      <c r="T139" s="1150"/>
      <c r="U139" s="1847"/>
      <c r="V139" s="1262"/>
      <c r="Y139" s="1835"/>
      <c r="Z139" s="1835"/>
    </row>
    <row r="140" spans="1:26" s="1833" customFormat="1" ht="16.5" x14ac:dyDescent="0.35">
      <c r="A140" s="1831"/>
      <c r="B140" s="722" t="s">
        <v>326</v>
      </c>
      <c r="C140" s="730"/>
      <c r="D140" s="1208">
        <f>D136*12.02</f>
        <v>2980.96</v>
      </c>
      <c r="E140" s="1208">
        <f t="shared" ref="E140:N140" si="3">E136*12.02</f>
        <v>5204.66</v>
      </c>
      <c r="F140" s="1208">
        <f t="shared" si="3"/>
        <v>5733.54</v>
      </c>
      <c r="G140" s="1208">
        <f t="shared" si="3"/>
        <v>6202.32</v>
      </c>
      <c r="H140" s="1208">
        <f t="shared" si="3"/>
        <v>5048.3999999999996</v>
      </c>
      <c r="I140" s="1208">
        <f t="shared" si="3"/>
        <v>5192.6399999999994</v>
      </c>
      <c r="J140" s="1208">
        <f t="shared" si="3"/>
        <v>6803.32</v>
      </c>
      <c r="K140" s="1208">
        <f t="shared" si="3"/>
        <v>6851.4</v>
      </c>
      <c r="L140" s="1208">
        <f t="shared" si="3"/>
        <v>5997.98</v>
      </c>
      <c r="M140" s="1208">
        <f t="shared" si="3"/>
        <v>6034.04</v>
      </c>
      <c r="N140" s="1208">
        <f t="shared" si="3"/>
        <v>5817.6799999999994</v>
      </c>
      <c r="O140" s="1208">
        <f>O136*13.81</f>
        <v>6670.2300000000005</v>
      </c>
      <c r="P140" s="724">
        <f t="shared" si="0"/>
        <v>68537.17</v>
      </c>
      <c r="Q140" s="1145" t="s">
        <v>865</v>
      </c>
      <c r="R140"/>
      <c r="S140" s="1653"/>
      <c r="T140" s="1150"/>
      <c r="U140" s="1847"/>
      <c r="V140" s="1262"/>
      <c r="Y140" s="1835"/>
      <c r="Z140" s="1835"/>
    </row>
    <row r="141" spans="1:26" s="1833" customFormat="1" x14ac:dyDescent="0.25">
      <c r="A141" s="1831"/>
      <c r="B141" s="732" t="s">
        <v>325</v>
      </c>
      <c r="C141" s="714"/>
      <c r="D141" s="1147">
        <f>D137*9.33</f>
        <v>461.61139399038467</v>
      </c>
      <c r="E141" s="1147">
        <f t="shared" ref="E141:N141" si="4">E137*9.33</f>
        <v>496.01570491071431</v>
      </c>
      <c r="F141" s="1147">
        <f t="shared" si="4"/>
        <v>532.62748571428585</v>
      </c>
      <c r="G141" s="1147">
        <f t="shared" si="4"/>
        <v>477.43004137931035</v>
      </c>
      <c r="H141" s="1147">
        <f t="shared" si="4"/>
        <v>343.0569617456897</v>
      </c>
      <c r="I141" s="1147">
        <f t="shared" si="4"/>
        <v>385.46020312499996</v>
      </c>
      <c r="J141" s="1147">
        <f t="shared" si="4"/>
        <v>491.47727201086957</v>
      </c>
      <c r="K141" s="1147">
        <f t="shared" si="4"/>
        <v>571.00854986413049</v>
      </c>
      <c r="L141" s="1147">
        <f t="shared" si="4"/>
        <v>536.50707187500007</v>
      </c>
      <c r="M141" s="1147">
        <f t="shared" si="4"/>
        <v>420.31650000000002</v>
      </c>
      <c r="N141" s="1147">
        <f t="shared" si="4"/>
        <v>350.76446000000004</v>
      </c>
      <c r="O141" s="1147">
        <f>O137*9.39</f>
        <v>376.78879419354843</v>
      </c>
      <c r="P141" s="724">
        <f t="shared" si="0"/>
        <v>5443.064438808934</v>
      </c>
      <c r="Q141" s="1145" t="s">
        <v>865</v>
      </c>
      <c r="R141"/>
      <c r="S141" s="1647"/>
      <c r="T141" s="1150"/>
      <c r="U141" s="1847"/>
      <c r="V141" s="1262"/>
      <c r="Y141" s="1835"/>
      <c r="Z141" s="1835"/>
    </row>
    <row r="142" spans="1:26" s="125" customFormat="1" x14ac:dyDescent="0.25">
      <c r="A142" s="461"/>
      <c r="C142" s="152"/>
      <c r="T142" s="139"/>
      <c r="U142" s="147"/>
      <c r="V142" s="139"/>
      <c r="W142" s="149"/>
      <c r="X142" s="150"/>
      <c r="Y142" s="157"/>
      <c r="Z142" s="157"/>
    </row>
    <row r="143" spans="1:26" s="125" customFormat="1" x14ac:dyDescent="0.25">
      <c r="A143" s="461">
        <v>9</v>
      </c>
      <c r="B143" s="148" t="s">
        <v>413</v>
      </c>
      <c r="C143" s="152"/>
      <c r="S143" s="126"/>
      <c r="T143" s="569" t="s">
        <v>413</v>
      </c>
      <c r="V143" s="126"/>
      <c r="Y143" s="157"/>
      <c r="Z143" s="157"/>
    </row>
    <row r="144" spans="1:26" s="1833" customFormat="1" ht="23.25" x14ac:dyDescent="0.35">
      <c r="A144" s="1855"/>
      <c r="B144" s="1245" t="s">
        <v>1190</v>
      </c>
      <c r="C144" s="477"/>
      <c r="D144" s="477"/>
      <c r="E144" s="477"/>
      <c r="F144" s="477"/>
      <c r="G144" s="477"/>
      <c r="H144"/>
      <c r="I144"/>
      <c r="J144"/>
      <c r="K144"/>
      <c r="L144"/>
      <c r="M144"/>
      <c r="N144"/>
      <c r="O144"/>
      <c r="P144"/>
      <c r="Q144"/>
      <c r="R144"/>
      <c r="S144" s="1834"/>
      <c r="T144" s="1839"/>
      <c r="V144" s="1834"/>
      <c r="Y144" s="1835"/>
      <c r="Z144" s="1835"/>
    </row>
    <row r="145" spans="1:26" s="1833" customFormat="1" x14ac:dyDescent="0.25">
      <c r="A145" s="26"/>
      <c r="B145" s="130" t="s">
        <v>337</v>
      </c>
      <c r="C145" s="186" t="s">
        <v>1532</v>
      </c>
      <c r="D145" s="131">
        <v>42566</v>
      </c>
      <c r="E145" s="131">
        <v>42597</v>
      </c>
      <c r="F145" s="131">
        <v>42628</v>
      </c>
      <c r="G145" s="131">
        <v>42658</v>
      </c>
      <c r="H145" s="131">
        <v>42689</v>
      </c>
      <c r="I145" s="131">
        <v>42719</v>
      </c>
      <c r="J145" s="131">
        <v>42751</v>
      </c>
      <c r="K145" s="131">
        <v>42782</v>
      </c>
      <c r="L145" s="131">
        <v>42810</v>
      </c>
      <c r="M145" s="131">
        <v>42841</v>
      </c>
      <c r="N145" s="131">
        <v>42871</v>
      </c>
      <c r="O145" s="131">
        <v>42902</v>
      </c>
      <c r="P145" s="131">
        <v>42932</v>
      </c>
      <c r="Q145" s="151">
        <v>42963</v>
      </c>
      <c r="R145" s="131">
        <v>42992</v>
      </c>
      <c r="S145" s="1834"/>
      <c r="T145" s="1839"/>
      <c r="V145" s="1834"/>
      <c r="Y145" s="1835"/>
      <c r="Z145" s="1835"/>
    </row>
    <row r="146" spans="1:26" s="1833" customFormat="1" x14ac:dyDescent="0.25">
      <c r="A146" s="26"/>
      <c r="B146" s="135" t="s">
        <v>319</v>
      </c>
      <c r="C146" s="136"/>
      <c r="D146" s="136">
        <v>105600</v>
      </c>
      <c r="E146" s="136">
        <v>103488</v>
      </c>
      <c r="F146" s="136">
        <v>101952</v>
      </c>
      <c r="G146" s="136">
        <v>76416</v>
      </c>
      <c r="H146" s="136">
        <v>56064</v>
      </c>
      <c r="I146" s="136">
        <v>53952</v>
      </c>
      <c r="J146" s="136">
        <v>53760</v>
      </c>
      <c r="K146" s="136">
        <v>57600</v>
      </c>
      <c r="L146" s="136">
        <v>53951</v>
      </c>
      <c r="M146" s="136">
        <v>63936</v>
      </c>
      <c r="N146" s="136">
        <v>56832</v>
      </c>
      <c r="O146" s="136">
        <v>76872</v>
      </c>
      <c r="P146" s="136"/>
      <c r="Q146" s="136"/>
      <c r="R146" s="157"/>
      <c r="S146" s="1834"/>
      <c r="T146" s="1839"/>
      <c r="V146" s="1834"/>
      <c r="Y146" s="1835"/>
      <c r="Z146" s="1835"/>
    </row>
    <row r="147" spans="1:26" s="1833" customFormat="1" x14ac:dyDescent="0.25">
      <c r="A147" s="26"/>
      <c r="B147" s="135" t="s">
        <v>343</v>
      </c>
      <c r="C147" s="137"/>
      <c r="D147" s="137">
        <v>0</v>
      </c>
      <c r="E147" s="137">
        <v>0</v>
      </c>
      <c r="F147" s="137">
        <v>0</v>
      </c>
      <c r="G147" s="137">
        <v>0</v>
      </c>
      <c r="H147" s="137">
        <v>0</v>
      </c>
      <c r="I147" s="136">
        <v>0</v>
      </c>
      <c r="J147" s="136">
        <v>0</v>
      </c>
      <c r="K147" s="136">
        <v>0</v>
      </c>
      <c r="L147" s="136">
        <v>0</v>
      </c>
      <c r="M147" s="136">
        <v>0</v>
      </c>
      <c r="N147" s="136">
        <v>0</v>
      </c>
      <c r="O147" s="136">
        <v>0</v>
      </c>
      <c r="P147" s="136">
        <v>0</v>
      </c>
      <c r="Q147" s="136"/>
      <c r="R147" s="157"/>
      <c r="S147" s="1834"/>
      <c r="T147" s="1839"/>
      <c r="V147" s="1834"/>
      <c r="Y147" s="1835"/>
      <c r="Z147" s="1835"/>
    </row>
    <row r="148" spans="1:26" s="1833" customFormat="1" x14ac:dyDescent="0.25">
      <c r="A148" s="26"/>
      <c r="B148" s="153" t="s">
        <v>362</v>
      </c>
      <c r="C148" s="141"/>
      <c r="D148" s="141">
        <v>0</v>
      </c>
      <c r="E148" s="141">
        <v>0</v>
      </c>
      <c r="F148" s="141">
        <v>0</v>
      </c>
      <c r="G148" s="141">
        <v>0</v>
      </c>
      <c r="H148" s="141">
        <v>0</v>
      </c>
      <c r="I148" s="141">
        <v>0</v>
      </c>
      <c r="J148" s="141">
        <v>0</v>
      </c>
      <c r="K148" s="141">
        <v>0</v>
      </c>
      <c r="L148" s="141">
        <v>0</v>
      </c>
      <c r="M148" s="141">
        <v>0</v>
      </c>
      <c r="N148" s="141">
        <v>0</v>
      </c>
      <c r="O148" s="141">
        <v>0</v>
      </c>
      <c r="P148" s="141">
        <v>0</v>
      </c>
      <c r="Q148" s="141"/>
      <c r="R148" s="157"/>
      <c r="S148" s="1834"/>
      <c r="T148" s="1839"/>
      <c r="V148" s="1834"/>
      <c r="Y148" s="1835"/>
      <c r="Z148" s="1835"/>
    </row>
    <row r="149" spans="1:26" s="1833" customFormat="1" x14ac:dyDescent="0.25">
      <c r="A149" s="26"/>
      <c r="B149" s="153" t="s">
        <v>641</v>
      </c>
      <c r="C149" s="141"/>
      <c r="D149" s="141">
        <v>0</v>
      </c>
      <c r="E149" s="141">
        <v>0</v>
      </c>
      <c r="F149" s="141">
        <v>0</v>
      </c>
      <c r="G149" s="141">
        <v>0</v>
      </c>
      <c r="H149" s="141">
        <v>0</v>
      </c>
      <c r="I149" s="141">
        <v>0</v>
      </c>
      <c r="J149" s="141">
        <v>0</v>
      </c>
      <c r="K149" s="141">
        <v>0</v>
      </c>
      <c r="L149" s="141">
        <v>0</v>
      </c>
      <c r="M149" s="141">
        <v>0</v>
      </c>
      <c r="N149" s="141">
        <v>0</v>
      </c>
      <c r="O149" s="141">
        <v>0</v>
      </c>
      <c r="P149" s="141">
        <v>0</v>
      </c>
      <c r="Q149" s="141"/>
      <c r="R149" s="157"/>
      <c r="S149" s="1834"/>
      <c r="T149" s="1839"/>
      <c r="V149" s="1834"/>
      <c r="Y149" s="1835"/>
      <c r="Z149" s="1835"/>
    </row>
    <row r="150" spans="1:26" s="1833" customFormat="1" x14ac:dyDescent="0.25">
      <c r="A150" s="26"/>
      <c r="B150" s="135" t="s">
        <v>864</v>
      </c>
      <c r="C150" s="760"/>
      <c r="D150" s="760">
        <v>4236.25</v>
      </c>
      <c r="E150" s="760">
        <v>4271</v>
      </c>
      <c r="F150" s="760">
        <v>7092.43</v>
      </c>
      <c r="G150" s="760">
        <v>9192.19</v>
      </c>
      <c r="H150" s="760">
        <v>5542</v>
      </c>
      <c r="I150" s="760">
        <v>2443.31</v>
      </c>
      <c r="J150" s="760">
        <v>10161.6</v>
      </c>
      <c r="K150" s="750">
        <v>6178.68</v>
      </c>
      <c r="L150" s="750">
        <v>5091.22</v>
      </c>
      <c r="M150" s="750">
        <v>6424.63</v>
      </c>
      <c r="N150" s="750">
        <v>7074.19</v>
      </c>
      <c r="O150" s="750">
        <v>5182.18</v>
      </c>
      <c r="P150" s="750"/>
      <c r="Q150" s="728"/>
      <c r="R150" s="157"/>
      <c r="S150" s="1834"/>
      <c r="T150" s="1839"/>
      <c r="V150" s="1834"/>
      <c r="Y150" s="1835"/>
      <c r="Z150" s="1835"/>
    </row>
    <row r="151" spans="1:26" s="1833" customFormat="1" x14ac:dyDescent="0.25">
      <c r="A151" s="26"/>
      <c r="B151" s="135" t="s">
        <v>324</v>
      </c>
      <c r="C151" s="731"/>
      <c r="D151" s="731">
        <v>9189.16</v>
      </c>
      <c r="E151" s="731">
        <v>8991.0499999999993</v>
      </c>
      <c r="F151" s="731">
        <v>8993.77</v>
      </c>
      <c r="G151" s="731">
        <v>7428.3</v>
      </c>
      <c r="H151" s="731">
        <v>5775.37</v>
      </c>
      <c r="I151" s="731">
        <v>5379.52</v>
      </c>
      <c r="J151" s="731">
        <v>5367.51</v>
      </c>
      <c r="K151" s="731">
        <v>5574.91</v>
      </c>
      <c r="L151" s="731">
        <v>5379.52</v>
      </c>
      <c r="M151" s="731">
        <v>5971.52</v>
      </c>
      <c r="N151" s="731">
        <v>5658.66</v>
      </c>
      <c r="O151" s="731">
        <v>7274.25</v>
      </c>
      <c r="P151" s="731"/>
      <c r="Q151" s="731"/>
      <c r="R151" s="157"/>
      <c r="S151" s="1834"/>
      <c r="T151" s="1839"/>
      <c r="V151" s="1834"/>
      <c r="Y151" s="1835"/>
      <c r="Z151" s="1835"/>
    </row>
    <row r="152" spans="1:26" s="1833" customFormat="1" x14ac:dyDescent="0.25">
      <c r="A152" s="26"/>
      <c r="B152" s="144" t="s">
        <v>348</v>
      </c>
      <c r="C152" s="736"/>
      <c r="D152" s="736">
        <v>0</v>
      </c>
      <c r="E152" s="736">
        <v>0</v>
      </c>
      <c r="F152" s="736">
        <v>0</v>
      </c>
      <c r="G152" s="736">
        <v>0</v>
      </c>
      <c r="H152" s="736">
        <v>0</v>
      </c>
      <c r="I152" s="736">
        <v>0</v>
      </c>
      <c r="J152" s="731">
        <v>0</v>
      </c>
      <c r="K152" s="731">
        <v>0</v>
      </c>
      <c r="L152" s="731">
        <v>0</v>
      </c>
      <c r="M152" s="731">
        <v>0</v>
      </c>
      <c r="N152" s="731">
        <v>0</v>
      </c>
      <c r="O152" s="731">
        <v>0</v>
      </c>
      <c r="P152" s="731">
        <v>0</v>
      </c>
      <c r="Q152" s="731"/>
      <c r="R152" s="157"/>
      <c r="S152" s="1834"/>
      <c r="T152" s="1839"/>
      <c r="V152" s="1834"/>
      <c r="Y152" s="1835"/>
      <c r="Z152" s="1835"/>
    </row>
    <row r="153" spans="1:26" s="1833" customFormat="1" x14ac:dyDescent="0.25">
      <c r="A153" s="26"/>
      <c r="B153" s="195" t="s">
        <v>1087</v>
      </c>
      <c r="C153" s="731"/>
      <c r="D153" s="731">
        <v>0</v>
      </c>
      <c r="E153" s="731">
        <v>0</v>
      </c>
      <c r="F153" s="731">
        <v>0</v>
      </c>
      <c r="G153" s="731">
        <v>0</v>
      </c>
      <c r="H153" s="731">
        <v>0</v>
      </c>
      <c r="I153" s="731">
        <v>0</v>
      </c>
      <c r="J153" s="731">
        <v>0</v>
      </c>
      <c r="K153" s="731">
        <v>0</v>
      </c>
      <c r="L153" s="731">
        <v>0</v>
      </c>
      <c r="M153" s="731">
        <v>0</v>
      </c>
      <c r="N153" s="731">
        <v>0</v>
      </c>
      <c r="O153" s="731">
        <v>0</v>
      </c>
      <c r="P153" s="731">
        <v>0</v>
      </c>
      <c r="Q153" s="731"/>
      <c r="R153" s="157"/>
      <c r="S153" s="1834"/>
      <c r="T153" s="1839"/>
      <c r="V153" s="1834"/>
      <c r="Y153" s="1835"/>
      <c r="Z153" s="1835"/>
    </row>
    <row r="154" spans="1:26" s="1833" customFormat="1" x14ac:dyDescent="0.25">
      <c r="A154" s="26"/>
      <c r="B154" s="144" t="s">
        <v>883</v>
      </c>
      <c r="C154" s="145"/>
      <c r="D154" s="145">
        <v>0</v>
      </c>
      <c r="E154" s="145">
        <v>0</v>
      </c>
      <c r="F154" s="145">
        <v>0</v>
      </c>
      <c r="G154" s="145">
        <v>0</v>
      </c>
      <c r="H154" s="145">
        <v>0</v>
      </c>
      <c r="I154" s="145">
        <v>0</v>
      </c>
      <c r="J154" s="145">
        <v>0</v>
      </c>
      <c r="K154" s="145">
        <v>0</v>
      </c>
      <c r="L154" s="145">
        <v>0</v>
      </c>
      <c r="M154" s="145">
        <v>0</v>
      </c>
      <c r="N154" s="145">
        <v>0</v>
      </c>
      <c r="O154" s="145">
        <v>0</v>
      </c>
      <c r="P154" s="145">
        <v>0</v>
      </c>
      <c r="Q154" s="145"/>
      <c r="R154" s="179"/>
      <c r="S154" s="1834"/>
      <c r="T154" s="1839"/>
      <c r="V154" s="1834"/>
      <c r="Y154" s="1835"/>
      <c r="Z154" s="1835"/>
    </row>
    <row r="155" spans="1:26" s="1833" customFormat="1" x14ac:dyDescent="0.25">
      <c r="A155" s="26"/>
      <c r="B155"/>
      <c r="C155"/>
      <c r="D155"/>
      <c r="E155"/>
      <c r="F155"/>
      <c r="G155"/>
      <c r="H155"/>
      <c r="I155"/>
      <c r="J155"/>
      <c r="K155"/>
      <c r="L155"/>
      <c r="M155"/>
      <c r="N155"/>
      <c r="O155"/>
      <c r="P155"/>
      <c r="Q155"/>
      <c r="R155"/>
      <c r="S155" s="1834"/>
      <c r="T155" s="1839"/>
      <c r="V155" s="1834"/>
      <c r="Y155" s="1835"/>
      <c r="Z155" s="1835"/>
    </row>
    <row r="156" spans="1:26" s="1833" customFormat="1" x14ac:dyDescent="0.25">
      <c r="A156" s="26"/>
      <c r="B156"/>
      <c r="C156"/>
      <c r="D156"/>
      <c r="E156"/>
      <c r="F156"/>
      <c r="G156"/>
      <c r="H156"/>
      <c r="I156"/>
      <c r="J156"/>
      <c r="K156"/>
      <c r="L156"/>
      <c r="M156"/>
      <c r="N156"/>
      <c r="O156"/>
      <c r="P156"/>
      <c r="Q156"/>
      <c r="R156"/>
      <c r="S156" s="1834"/>
      <c r="T156" s="1839"/>
      <c r="V156" s="1834"/>
      <c r="Y156" s="1835"/>
      <c r="Z156" s="1835"/>
    </row>
    <row r="157" spans="1:26" s="1833" customFormat="1" x14ac:dyDescent="0.25">
      <c r="A157" s="26"/>
      <c r="B157" t="s">
        <v>1538</v>
      </c>
      <c r="C157"/>
      <c r="D157"/>
      <c r="E157"/>
      <c r="F157"/>
      <c r="G157"/>
      <c r="H157"/>
      <c r="I157"/>
      <c r="J157"/>
      <c r="K157"/>
      <c r="L157"/>
      <c r="M157"/>
      <c r="N157"/>
      <c r="O157"/>
      <c r="P157"/>
      <c r="Q157"/>
      <c r="R157"/>
      <c r="S157" s="1834"/>
      <c r="T157" s="1839"/>
      <c r="V157" s="1834"/>
      <c r="Y157" s="1835"/>
      <c r="Z157" s="1835"/>
    </row>
    <row r="158" spans="1:26" s="1833" customFormat="1" x14ac:dyDescent="0.25">
      <c r="A158" s="26"/>
      <c r="B158" t="s">
        <v>1539</v>
      </c>
      <c r="C158"/>
      <c r="D158"/>
      <c r="E158"/>
      <c r="F158"/>
      <c r="G158"/>
      <c r="H158"/>
      <c r="I158"/>
      <c r="J158"/>
      <c r="K158"/>
      <c r="L158"/>
      <c r="M158"/>
      <c r="N158"/>
      <c r="O158"/>
      <c r="P158"/>
      <c r="Q158"/>
      <c r="R158"/>
      <c r="S158" s="1834"/>
      <c r="T158" s="1839"/>
      <c r="V158" s="1834"/>
      <c r="Y158" s="1835"/>
      <c r="Z158" s="1835"/>
    </row>
    <row r="159" spans="1:26" s="1833" customFormat="1" x14ac:dyDescent="0.25">
      <c r="A159" s="26"/>
      <c r="B159" s="200"/>
      <c r="C159" s="746"/>
      <c r="D159" s="746"/>
      <c r="E159" s="746"/>
      <c r="F159" s="746"/>
      <c r="G159" s="746"/>
      <c r="H159" s="746"/>
      <c r="I159" s="746"/>
      <c r="J159" s="746"/>
      <c r="K159" s="746"/>
      <c r="L159" s="746"/>
      <c r="M159" s="746"/>
      <c r="N159" s="746"/>
      <c r="O159" s="746"/>
      <c r="P159" s="746"/>
      <c r="Q159" s="746"/>
      <c r="R159" s="1835"/>
      <c r="S159" s="1834"/>
      <c r="T159" s="1839"/>
      <c r="V159" s="1834"/>
      <c r="Y159" s="1835"/>
      <c r="Z159" s="1835"/>
    </row>
    <row r="160" spans="1:26" s="125" customFormat="1" ht="16.5" x14ac:dyDescent="0.35">
      <c r="A160" s="461">
        <v>10</v>
      </c>
      <c r="B160" s="127" t="s">
        <v>376</v>
      </c>
      <c r="C160" s="611"/>
      <c r="D160" s="179"/>
      <c r="E160" s="179"/>
      <c r="F160" s="179"/>
      <c r="G160" s="179"/>
      <c r="H160" s="179"/>
      <c r="I160" s="179"/>
      <c r="J160" s="179"/>
      <c r="K160" s="179"/>
      <c r="L160" s="179"/>
      <c r="M160" s="179"/>
      <c r="N160" s="179"/>
      <c r="O160" s="179"/>
      <c r="R160" s="149"/>
      <c r="S160" s="150"/>
      <c r="T160" s="569" t="s">
        <v>376</v>
      </c>
      <c r="U160" s="181"/>
      <c r="V160" s="150"/>
      <c r="Y160" s="157"/>
      <c r="Z160" s="157"/>
    </row>
    <row r="161" spans="1:26" s="128" customFormat="1" x14ac:dyDescent="0.25">
      <c r="A161" s="459"/>
      <c r="B161" s="2237" t="s">
        <v>352</v>
      </c>
      <c r="C161" s="173"/>
      <c r="D161" s="172"/>
      <c r="S161" s="173"/>
      <c r="T161" s="172"/>
      <c r="W161" s="129"/>
      <c r="Y161" s="166"/>
      <c r="Z161" s="764"/>
    </row>
    <row r="162" spans="1:26" s="128" customFormat="1" x14ac:dyDescent="0.25">
      <c r="A162" s="459"/>
      <c r="B162" s="2240"/>
      <c r="C162" s="173"/>
      <c r="D162" s="172"/>
      <c r="S162" s="173"/>
      <c r="T162" s="172"/>
      <c r="W162" s="129"/>
      <c r="Y162" s="166"/>
      <c r="Z162" s="764"/>
    </row>
    <row r="163" spans="1:26" s="128" customFormat="1" x14ac:dyDescent="0.25">
      <c r="A163" s="459">
        <v>11</v>
      </c>
      <c r="B163" s="172" t="s">
        <v>558</v>
      </c>
      <c r="C163" s="173"/>
      <c r="S163" s="173"/>
      <c r="T163" s="598" t="s">
        <v>558</v>
      </c>
      <c r="W163" s="129"/>
      <c r="Y163" s="166"/>
      <c r="Z163" s="764"/>
    </row>
    <row r="164" spans="1:26" s="128" customFormat="1" x14ac:dyDescent="0.25">
      <c r="A164" s="459"/>
      <c r="B164" s="464" t="s">
        <v>934</v>
      </c>
      <c r="C164" s="173"/>
      <c r="S164" s="173"/>
      <c r="T164" s="598"/>
      <c r="W164" s="129"/>
      <c r="Y164" s="166"/>
      <c r="Z164" s="764"/>
    </row>
    <row r="165" spans="1:26" s="1833" customFormat="1" x14ac:dyDescent="0.25">
      <c r="A165" s="1831"/>
      <c r="B165" s="465" t="s">
        <v>337</v>
      </c>
      <c r="C165" s="91">
        <v>42552</v>
      </c>
      <c r="D165" s="91">
        <v>42583</v>
      </c>
      <c r="E165" s="91">
        <v>42614</v>
      </c>
      <c r="F165" s="91">
        <v>42644</v>
      </c>
      <c r="G165" s="91">
        <v>42675</v>
      </c>
      <c r="H165" s="91">
        <v>42705</v>
      </c>
      <c r="I165" s="91">
        <v>42370</v>
      </c>
      <c r="J165" s="91">
        <v>42767</v>
      </c>
      <c r="K165" s="91">
        <v>42795</v>
      </c>
      <c r="L165" s="91">
        <v>42826</v>
      </c>
      <c r="M165" s="91">
        <v>42856</v>
      </c>
      <c r="N165" s="91">
        <v>42887</v>
      </c>
      <c r="O165" s="91" t="s">
        <v>923</v>
      </c>
      <c r="S165" s="1840"/>
      <c r="T165" s="1856"/>
      <c r="W165" s="1834"/>
      <c r="Y165" s="1835"/>
      <c r="Z165" s="1842"/>
    </row>
    <row r="166" spans="1:26" s="1833" customFormat="1" x14ac:dyDescent="0.25">
      <c r="A166" s="1831"/>
      <c r="B166" s="95" t="s">
        <v>409</v>
      </c>
      <c r="C166" s="587">
        <v>13600</v>
      </c>
      <c r="D166" s="587">
        <v>16280</v>
      </c>
      <c r="E166" s="587">
        <v>22560</v>
      </c>
      <c r="F166" s="587">
        <v>11971</v>
      </c>
      <c r="G166" s="587">
        <v>24720</v>
      </c>
      <c r="H166" s="587">
        <v>22080</v>
      </c>
      <c r="I166" s="587">
        <v>11060</v>
      </c>
      <c r="J166" s="587">
        <v>16880</v>
      </c>
      <c r="K166" s="587">
        <v>20140</v>
      </c>
      <c r="L166" s="101">
        <v>1900</v>
      </c>
      <c r="M166" s="101">
        <v>35420</v>
      </c>
      <c r="N166" s="101">
        <v>21220</v>
      </c>
      <c r="O166" s="861">
        <f>SUM(C166:N166)</f>
        <v>217831</v>
      </c>
      <c r="S166" s="1840"/>
      <c r="T166" s="1856"/>
      <c r="W166" s="1834"/>
      <c r="Y166" s="1835"/>
      <c r="Z166" s="1842"/>
    </row>
    <row r="167" spans="1:26" s="1833" customFormat="1" x14ac:dyDescent="0.25">
      <c r="A167" s="1831"/>
      <c r="B167" s="95" t="s">
        <v>322</v>
      </c>
      <c r="C167" s="1620">
        <v>4790</v>
      </c>
      <c r="D167" s="1620">
        <v>2360</v>
      </c>
      <c r="E167" s="1620">
        <v>10000</v>
      </c>
      <c r="F167" s="1620">
        <v>10260</v>
      </c>
      <c r="G167" s="2169">
        <v>2930</v>
      </c>
      <c r="H167" s="100">
        <v>9600</v>
      </c>
      <c r="I167" s="100">
        <v>12330</v>
      </c>
      <c r="J167" s="1620">
        <v>1740</v>
      </c>
      <c r="K167" s="100">
        <v>370</v>
      </c>
      <c r="L167" s="100">
        <v>7420</v>
      </c>
      <c r="M167" s="100">
        <v>4090</v>
      </c>
      <c r="N167" s="100">
        <v>5100</v>
      </c>
      <c r="O167" s="861">
        <f>SUM(C167:N167)</f>
        <v>70990</v>
      </c>
      <c r="S167" s="1840"/>
      <c r="T167" s="1856"/>
      <c r="W167" s="1834"/>
      <c r="Y167" s="1835"/>
      <c r="Z167" s="1842"/>
    </row>
    <row r="168" spans="1:26" s="1833" customFormat="1" x14ac:dyDescent="0.25">
      <c r="A168" s="1831"/>
      <c r="B168" s="863" t="s">
        <v>924</v>
      </c>
      <c r="C168" s="2170">
        <v>25</v>
      </c>
      <c r="D168" s="2170">
        <v>27</v>
      </c>
      <c r="E168" s="2170">
        <v>34</v>
      </c>
      <c r="F168" s="2170">
        <v>27</v>
      </c>
      <c r="G168" s="1621">
        <v>515</v>
      </c>
      <c r="H168" s="1621">
        <v>1125</v>
      </c>
      <c r="I168" s="100">
        <v>1093</v>
      </c>
      <c r="J168" s="1621">
        <v>919</v>
      </c>
      <c r="K168" s="1621">
        <v>762</v>
      </c>
      <c r="L168" s="1621">
        <v>69</v>
      </c>
      <c r="M168" s="1621">
        <v>33</v>
      </c>
      <c r="N168" s="1621">
        <v>26</v>
      </c>
      <c r="O168" s="877">
        <f t="shared" ref="O168" si="5">SUM(C168:N168)</f>
        <v>4655</v>
      </c>
      <c r="S168" s="1840"/>
      <c r="T168" s="1856"/>
      <c r="W168" s="1834"/>
      <c r="Y168" s="1835"/>
      <c r="Z168" s="1842"/>
    </row>
    <row r="169" spans="1:26" s="1833" customFormat="1" x14ac:dyDescent="0.25">
      <c r="A169" s="1831"/>
      <c r="B169" s="865"/>
      <c r="C169"/>
      <c r="D169"/>
      <c r="E169"/>
      <c r="F169"/>
      <c r="G169"/>
      <c r="H169"/>
      <c r="I169"/>
      <c r="J169"/>
      <c r="K169"/>
      <c r="L169"/>
      <c r="M169"/>
      <c r="N169"/>
      <c r="O169" s="477"/>
      <c r="S169" s="1840"/>
      <c r="T169" s="1856"/>
      <c r="W169" s="1834"/>
      <c r="Y169" s="1835"/>
      <c r="Z169" s="1842"/>
    </row>
    <row r="170" spans="1:26" s="1833" customFormat="1" x14ac:dyDescent="0.25">
      <c r="A170" s="1831"/>
      <c r="B170" s="95" t="s">
        <v>347</v>
      </c>
      <c r="C170" s="866">
        <v>2388.0700000000002</v>
      </c>
      <c r="D170" s="866">
        <v>2637.87</v>
      </c>
      <c r="E170" s="866">
        <v>3326.85</v>
      </c>
      <c r="F170" s="2171">
        <v>1624.82</v>
      </c>
      <c r="G170" s="2172">
        <v>3310.01</v>
      </c>
      <c r="H170" s="2172">
        <v>3086.48</v>
      </c>
      <c r="I170" s="2172">
        <v>1832.56</v>
      </c>
      <c r="J170" s="2172">
        <v>2524.59</v>
      </c>
      <c r="K170" s="2172">
        <v>2245.63</v>
      </c>
      <c r="L170" s="2172">
        <v>929.42</v>
      </c>
      <c r="M170" s="2172">
        <v>4356.75</v>
      </c>
      <c r="N170" s="2172">
        <v>3047.37</v>
      </c>
      <c r="O170" s="868">
        <f>SUM(C170:N170)</f>
        <v>31310.42</v>
      </c>
      <c r="S170" s="1840"/>
      <c r="T170" s="1856"/>
      <c r="W170" s="1834"/>
      <c r="Y170" s="1835"/>
      <c r="Z170" s="1842"/>
    </row>
    <row r="171" spans="1:26" s="1833" customFormat="1" x14ac:dyDescent="0.25">
      <c r="A171" s="1831"/>
      <c r="B171" s="112" t="s">
        <v>410</v>
      </c>
      <c r="C171" s="1623">
        <v>115.01</v>
      </c>
      <c r="D171" s="1623">
        <v>74.680000000000007</v>
      </c>
      <c r="E171" s="1623">
        <v>201.5</v>
      </c>
      <c r="F171" s="1623">
        <v>205.82</v>
      </c>
      <c r="G171" s="1622">
        <v>40.36</v>
      </c>
      <c r="H171" s="1622">
        <v>51.44</v>
      </c>
      <c r="I171" s="1622">
        <v>55.97</v>
      </c>
      <c r="J171" s="1623">
        <v>38.39</v>
      </c>
      <c r="K171" s="1623">
        <v>36.11</v>
      </c>
      <c r="L171" s="1622">
        <v>47.82</v>
      </c>
      <c r="M171" s="1622">
        <v>42.29</v>
      </c>
      <c r="N171" s="1622">
        <v>55.17</v>
      </c>
      <c r="O171" s="1624">
        <f t="shared" ref="O171:O172" si="6">SUM(C171:N171)</f>
        <v>964.56</v>
      </c>
      <c r="S171" s="1840"/>
      <c r="T171" s="1856"/>
      <c r="W171" s="1834"/>
      <c r="Y171" s="1835"/>
      <c r="Z171" s="1842"/>
    </row>
    <row r="172" spans="1:26" s="1833" customFormat="1" x14ac:dyDescent="0.25">
      <c r="A172" s="1831"/>
      <c r="B172" s="121" t="s">
        <v>925</v>
      </c>
      <c r="C172" s="1625">
        <v>40</v>
      </c>
      <c r="D172" s="1625">
        <v>41</v>
      </c>
      <c r="E172" s="1625">
        <v>46</v>
      </c>
      <c r="F172" s="1625">
        <v>41.31</v>
      </c>
      <c r="G172" s="1625">
        <v>429.89</v>
      </c>
      <c r="H172" s="1625">
        <v>965</v>
      </c>
      <c r="I172" s="1625">
        <v>936.43</v>
      </c>
      <c r="J172" s="1625">
        <v>790.76</v>
      </c>
      <c r="K172" s="1625">
        <v>627.80999999999995</v>
      </c>
      <c r="L172" s="1625">
        <v>77.849999999999994</v>
      </c>
      <c r="M172" s="1625">
        <v>48.75</v>
      </c>
      <c r="N172" s="1625">
        <v>43.29</v>
      </c>
      <c r="O172" s="1626">
        <f t="shared" si="6"/>
        <v>4088.09</v>
      </c>
      <c r="S172" s="1840"/>
      <c r="T172" s="1856"/>
      <c r="W172" s="1834"/>
      <c r="Y172" s="1835"/>
      <c r="Z172" s="1842"/>
    </row>
    <row r="173" spans="1:26" s="1833" customFormat="1" x14ac:dyDescent="0.25">
      <c r="A173" s="1831"/>
      <c r="B173" s="107"/>
      <c r="C173" s="1857"/>
      <c r="D173" s="1857"/>
      <c r="E173" s="1857"/>
      <c r="F173" s="1857"/>
      <c r="G173" s="1857"/>
      <c r="H173" s="1857"/>
      <c r="I173" s="1857"/>
      <c r="J173" s="1857"/>
      <c r="K173" s="1857"/>
      <c r="L173" s="1857"/>
      <c r="M173" s="1857"/>
      <c r="N173" s="1857"/>
      <c r="O173" s="1858"/>
      <c r="S173" s="1840"/>
      <c r="T173" s="1856"/>
      <c r="W173" s="1834"/>
      <c r="Y173" s="1835"/>
      <c r="Z173" s="1842"/>
    </row>
    <row r="174" spans="1:26" s="1833" customFormat="1" x14ac:dyDescent="0.25">
      <c r="A174" s="1831"/>
      <c r="B174" s="477" t="s">
        <v>926</v>
      </c>
      <c r="C174"/>
      <c r="D174"/>
      <c r="E174"/>
      <c r="F174"/>
      <c r="G174"/>
      <c r="H174"/>
      <c r="I174"/>
      <c r="J174"/>
      <c r="K174"/>
      <c r="L174"/>
      <c r="M174"/>
      <c r="N174"/>
      <c r="O174" s="477"/>
      <c r="S174" s="1840"/>
      <c r="T174" s="1856"/>
      <c r="W174" s="1834"/>
      <c r="Y174" s="1835"/>
      <c r="Z174" s="1842"/>
    </row>
    <row r="175" spans="1:26" s="1833" customFormat="1" x14ac:dyDescent="0.25">
      <c r="A175" s="1831"/>
      <c r="B175" t="s">
        <v>927</v>
      </c>
      <c r="C175"/>
      <c r="D175"/>
      <c r="E175"/>
      <c r="F175"/>
      <c r="G175"/>
      <c r="H175"/>
      <c r="I175"/>
      <c r="J175"/>
      <c r="K175"/>
      <c r="L175"/>
      <c r="M175"/>
      <c r="N175"/>
      <c r="O175" s="477"/>
      <c r="S175" s="1840"/>
      <c r="T175" s="1856"/>
      <c r="W175" s="1834"/>
      <c r="Y175" s="1835"/>
      <c r="Z175" s="1842"/>
    </row>
    <row r="176" spans="1:26" s="1833" customFormat="1" x14ac:dyDescent="0.25">
      <c r="A176" s="1831"/>
      <c r="B176" t="s">
        <v>1588</v>
      </c>
      <c r="C176"/>
      <c r="D176"/>
      <c r="E176"/>
      <c r="F176"/>
      <c r="G176"/>
      <c r="H176"/>
      <c r="I176"/>
      <c r="J176"/>
      <c r="K176"/>
      <c r="L176"/>
      <c r="M176"/>
      <c r="N176"/>
      <c r="O176" s="477"/>
      <c r="S176" s="1840"/>
      <c r="T176" s="1856"/>
      <c r="W176" s="1834"/>
      <c r="Y176" s="1835"/>
      <c r="Z176" s="1842"/>
    </row>
    <row r="177" spans="1:26" s="128" customFormat="1" x14ac:dyDescent="0.25">
      <c r="A177" s="459"/>
      <c r="B177" s="172"/>
      <c r="C177" s="173"/>
      <c r="S177" s="173"/>
      <c r="T177" s="172"/>
      <c r="W177" s="129"/>
      <c r="Y177" s="166"/>
      <c r="Z177" s="764"/>
    </row>
    <row r="178" spans="1:26" s="125" customFormat="1" ht="16.5" x14ac:dyDescent="0.35">
      <c r="A178" s="461">
        <v>12</v>
      </c>
      <c r="B178" s="1412" t="s">
        <v>1497</v>
      </c>
      <c r="C178" s="611"/>
      <c r="D178" s="179"/>
      <c r="E178" s="179"/>
      <c r="F178" s="179"/>
      <c r="G178" s="179"/>
      <c r="H178" s="179"/>
      <c r="I178" s="179"/>
      <c r="J178" s="179"/>
      <c r="K178" s="179"/>
      <c r="L178" s="179"/>
      <c r="M178" s="179"/>
      <c r="N178" s="179"/>
      <c r="O178" s="179"/>
      <c r="R178" s="149"/>
      <c r="S178" s="150"/>
      <c r="T178" s="569" t="s">
        <v>559</v>
      </c>
      <c r="U178" s="181"/>
      <c r="V178" s="150"/>
      <c r="Y178" s="157"/>
      <c r="Z178" s="157"/>
    </row>
    <row r="179" spans="1:26" s="1833" customFormat="1" ht="16.5" x14ac:dyDescent="0.35">
      <c r="A179" s="1831"/>
      <c r="B179" s="130" t="s">
        <v>337</v>
      </c>
      <c r="C179" s="186" t="s">
        <v>1493</v>
      </c>
      <c r="D179" s="131">
        <v>42552</v>
      </c>
      <c r="E179" s="131">
        <v>42598</v>
      </c>
      <c r="F179" s="131">
        <v>42629</v>
      </c>
      <c r="G179" s="131">
        <v>42659</v>
      </c>
      <c r="H179" s="131">
        <v>42690</v>
      </c>
      <c r="I179" s="131">
        <v>42720</v>
      </c>
      <c r="J179" s="131">
        <v>42752</v>
      </c>
      <c r="K179" s="131">
        <v>42783</v>
      </c>
      <c r="L179" s="131">
        <v>42811</v>
      </c>
      <c r="M179" s="131">
        <v>42842</v>
      </c>
      <c r="N179" s="131">
        <v>42872</v>
      </c>
      <c r="O179" s="131">
        <v>42903</v>
      </c>
      <c r="P179" s="131">
        <v>42933</v>
      </c>
      <c r="Q179" s="151">
        <v>42964</v>
      </c>
      <c r="R179" s="131">
        <v>42995</v>
      </c>
      <c r="S179" s="1262"/>
      <c r="T179" s="1839"/>
      <c r="U179" s="1263"/>
      <c r="V179" s="1262"/>
      <c r="Y179" s="1835"/>
      <c r="Z179" s="1835"/>
    </row>
    <row r="180" spans="1:26" s="1833" customFormat="1" ht="16.5" x14ac:dyDescent="0.35">
      <c r="A180" s="1831"/>
      <c r="B180" s="135" t="s">
        <v>319</v>
      </c>
      <c r="C180" s="1092">
        <v>177422</v>
      </c>
      <c r="D180" s="153">
        <v>177800</v>
      </c>
      <c r="E180" s="153">
        <v>186200</v>
      </c>
      <c r="F180" s="136">
        <v>185800</v>
      </c>
      <c r="G180" s="136">
        <v>177600</v>
      </c>
      <c r="H180" s="136">
        <v>143747</v>
      </c>
      <c r="I180" s="136">
        <v>153470</v>
      </c>
      <c r="J180" s="136">
        <v>177613</v>
      </c>
      <c r="K180" s="136">
        <v>148146</v>
      </c>
      <c r="L180" s="136">
        <v>161500</v>
      </c>
      <c r="M180" s="136">
        <v>149500</v>
      </c>
      <c r="N180" s="136">
        <v>153253</v>
      </c>
      <c r="O180" s="136">
        <v>193904</v>
      </c>
      <c r="P180" s="136"/>
      <c r="Q180" s="136"/>
      <c r="R180" s="153"/>
      <c r="S180" s="1262"/>
      <c r="T180" s="1839"/>
      <c r="U180" s="1263"/>
      <c r="V180" s="1262"/>
      <c r="Y180" s="1835"/>
      <c r="Z180" s="1835"/>
    </row>
    <row r="181" spans="1:26" s="1833" customFormat="1" ht="16.5" x14ac:dyDescent="0.35">
      <c r="A181" s="1831"/>
      <c r="B181" s="135" t="s">
        <v>343</v>
      </c>
      <c r="C181" s="1092"/>
      <c r="D181" s="153"/>
      <c r="E181" s="153"/>
      <c r="F181" s="137"/>
      <c r="G181" s="137"/>
      <c r="H181" s="137"/>
      <c r="I181" s="136"/>
      <c r="J181" s="136"/>
      <c r="K181" s="136"/>
      <c r="L181" s="136"/>
      <c r="M181" s="136"/>
      <c r="N181" s="136"/>
      <c r="O181" s="136"/>
      <c r="P181" s="136"/>
      <c r="Q181" s="136"/>
      <c r="R181" s="153"/>
      <c r="S181" s="1262"/>
      <c r="T181" s="1839"/>
      <c r="U181" s="1263"/>
      <c r="V181" s="1262"/>
      <c r="Y181" s="1835"/>
      <c r="Z181" s="1835"/>
    </row>
    <row r="182" spans="1:26" s="1833" customFormat="1" ht="16.5" x14ac:dyDescent="0.35">
      <c r="A182" s="1831"/>
      <c r="B182" s="153" t="s">
        <v>362</v>
      </c>
      <c r="C182" s="1092"/>
      <c r="D182" s="153"/>
      <c r="E182" s="153"/>
      <c r="F182" s="141"/>
      <c r="G182" s="141"/>
      <c r="H182" s="141"/>
      <c r="I182" s="141"/>
      <c r="J182" s="141"/>
      <c r="K182" s="141"/>
      <c r="L182" s="141"/>
      <c r="M182" s="141"/>
      <c r="N182" s="141"/>
      <c r="O182" s="141"/>
      <c r="P182" s="141"/>
      <c r="Q182" s="141"/>
      <c r="R182" s="153"/>
      <c r="S182" s="1262"/>
      <c r="T182" s="1839"/>
      <c r="U182" s="1263"/>
      <c r="V182" s="1262"/>
      <c r="Y182" s="1835"/>
      <c r="Z182" s="1835"/>
    </row>
    <row r="183" spans="1:26" s="1833" customFormat="1" ht="16.5" x14ac:dyDescent="0.35">
      <c r="A183" s="1831"/>
      <c r="B183" s="153" t="s">
        <v>641</v>
      </c>
      <c r="C183" s="1092">
        <v>2482</v>
      </c>
      <c r="D183" s="153">
        <v>1947</v>
      </c>
      <c r="E183" s="153">
        <v>1782</v>
      </c>
      <c r="F183" s="141">
        <v>1852</v>
      </c>
      <c r="G183" s="141">
        <v>1731</v>
      </c>
      <c r="H183" s="141">
        <v>2073</v>
      </c>
      <c r="I183" s="141">
        <v>2101</v>
      </c>
      <c r="J183" s="141">
        <v>2195</v>
      </c>
      <c r="K183" s="141">
        <v>2046</v>
      </c>
      <c r="L183" s="141">
        <v>2170</v>
      </c>
      <c r="M183" s="141">
        <v>2045</v>
      </c>
      <c r="N183" s="141">
        <v>2199</v>
      </c>
      <c r="O183" s="141">
        <v>1891</v>
      </c>
      <c r="P183" s="141"/>
      <c r="Q183" s="141"/>
      <c r="R183" s="153"/>
      <c r="S183" s="1262"/>
      <c r="T183" s="1839"/>
      <c r="U183" s="1263"/>
      <c r="V183" s="1262"/>
      <c r="Y183" s="1835"/>
      <c r="Z183" s="1835"/>
    </row>
    <row r="184" spans="1:26" s="1833" customFormat="1" ht="16.5" x14ac:dyDescent="0.35">
      <c r="A184" s="1831"/>
      <c r="B184" s="135" t="s">
        <v>864</v>
      </c>
      <c r="C184" s="1092">
        <v>575</v>
      </c>
      <c r="D184" s="153">
        <v>394</v>
      </c>
      <c r="E184" s="153">
        <v>394</v>
      </c>
      <c r="F184" s="760">
        <v>419</v>
      </c>
      <c r="G184" s="760">
        <v>419</v>
      </c>
      <c r="H184" s="760">
        <v>419</v>
      </c>
      <c r="I184" s="760">
        <v>500</v>
      </c>
      <c r="J184" s="760">
        <v>504</v>
      </c>
      <c r="K184" s="750">
        <v>428</v>
      </c>
      <c r="L184" s="750">
        <v>438</v>
      </c>
      <c r="M184" s="750">
        <v>422</v>
      </c>
      <c r="N184" s="750">
        <v>358</v>
      </c>
      <c r="O184" s="750">
        <v>435</v>
      </c>
      <c r="P184" s="750">
        <v>430</v>
      </c>
      <c r="Q184" s="728"/>
      <c r="R184" s="153"/>
      <c r="S184" s="1262"/>
      <c r="T184" s="1839"/>
      <c r="U184" s="1263"/>
      <c r="V184" s="1262"/>
      <c r="Y184" s="1835"/>
      <c r="Z184" s="1835"/>
    </row>
    <row r="185" spans="1:26" s="1833" customFormat="1" ht="16.5" x14ac:dyDescent="0.35">
      <c r="A185" s="1831"/>
      <c r="B185" s="135" t="s">
        <v>324</v>
      </c>
      <c r="C185" s="187">
        <v>13873</v>
      </c>
      <c r="D185" s="141">
        <v>14147</v>
      </c>
      <c r="E185" s="1427">
        <v>14604</v>
      </c>
      <c r="F185" s="731">
        <v>14512</v>
      </c>
      <c r="G185" s="731">
        <v>13905.45</v>
      </c>
      <c r="H185" s="731">
        <v>11441</v>
      </c>
      <c r="I185" s="731">
        <v>11792</v>
      </c>
      <c r="J185" s="731">
        <v>12827</v>
      </c>
      <c r="K185" s="731">
        <v>10859.76</v>
      </c>
      <c r="L185" s="731">
        <v>11848</v>
      </c>
      <c r="M185" s="731">
        <v>10888</v>
      </c>
      <c r="N185" s="731">
        <v>11228.29</v>
      </c>
      <c r="O185" s="731">
        <v>13775</v>
      </c>
      <c r="P185" s="731"/>
      <c r="Q185" s="731"/>
      <c r="R185" s="153"/>
      <c r="S185" s="1262"/>
      <c r="T185" s="1839"/>
      <c r="U185" s="1263"/>
      <c r="V185" s="1262"/>
      <c r="Y185" s="1835"/>
      <c r="Z185" s="1835"/>
    </row>
    <row r="186" spans="1:26" s="1833" customFormat="1" ht="16.5" x14ac:dyDescent="0.35">
      <c r="A186" s="1831"/>
      <c r="B186" s="144" t="s">
        <v>348</v>
      </c>
      <c r="C186" s="1092"/>
      <c r="D186" s="153"/>
      <c r="E186" s="153"/>
      <c r="F186" s="736"/>
      <c r="G186" s="736"/>
      <c r="H186" s="736"/>
      <c r="I186" s="736"/>
      <c r="J186" s="731"/>
      <c r="K186" s="731"/>
      <c r="L186" s="731"/>
      <c r="M186" s="731"/>
      <c r="N186" s="731"/>
      <c r="O186" s="731"/>
      <c r="P186" s="731"/>
      <c r="Q186" s="731"/>
      <c r="R186" s="153"/>
      <c r="S186" s="1262"/>
      <c r="T186" s="1839"/>
      <c r="U186" s="1263"/>
      <c r="V186" s="1262"/>
      <c r="Y186" s="1835"/>
      <c r="Z186" s="1835"/>
    </row>
    <row r="187" spans="1:26" s="1833" customFormat="1" ht="16.5" x14ac:dyDescent="0.35">
      <c r="A187" s="1831"/>
      <c r="B187" s="195" t="s">
        <v>325</v>
      </c>
      <c r="C187" s="1092">
        <v>5209.17</v>
      </c>
      <c r="D187" s="153">
        <v>3790.55</v>
      </c>
      <c r="E187" s="153">
        <v>3790.55</v>
      </c>
      <c r="F187" s="731">
        <v>3920</v>
      </c>
      <c r="G187" s="731">
        <v>3906.17</v>
      </c>
      <c r="H187" s="731">
        <v>3984.55</v>
      </c>
      <c r="I187" s="731">
        <v>4627</v>
      </c>
      <c r="J187" s="731">
        <v>4644.5</v>
      </c>
      <c r="K187" s="731">
        <v>4054.39</v>
      </c>
      <c r="L187" s="731">
        <v>4139.75</v>
      </c>
      <c r="M187" s="731">
        <v>4007.03</v>
      </c>
      <c r="N187" s="731">
        <v>3511.19</v>
      </c>
      <c r="O187" s="731">
        <v>4108.71</v>
      </c>
      <c r="P187" s="731">
        <v>4069.91</v>
      </c>
      <c r="Q187" s="731"/>
      <c r="R187" s="153"/>
      <c r="S187" s="1262"/>
      <c r="T187" s="1839"/>
      <c r="U187" s="1263"/>
      <c r="V187" s="1262"/>
      <c r="Y187" s="1835"/>
      <c r="Z187" s="1835"/>
    </row>
    <row r="188" spans="1:26" s="1833" customFormat="1" ht="16.5" x14ac:dyDescent="0.35">
      <c r="A188" s="1831"/>
      <c r="B188" s="144" t="s">
        <v>883</v>
      </c>
      <c r="C188" s="1922">
        <v>1588.24</v>
      </c>
      <c r="D188" s="145">
        <v>1256.9000000000001</v>
      </c>
      <c r="E188" s="145">
        <v>1154.7</v>
      </c>
      <c r="F188" s="145">
        <v>1198</v>
      </c>
      <c r="G188" s="145">
        <v>1142</v>
      </c>
      <c r="H188" s="145">
        <v>1354</v>
      </c>
      <c r="I188" s="145">
        <v>1356.71</v>
      </c>
      <c r="J188" s="145">
        <v>1576</v>
      </c>
      <c r="K188" s="145">
        <v>1490</v>
      </c>
      <c r="L188" s="145">
        <v>1591</v>
      </c>
      <c r="M188" s="145">
        <v>1523</v>
      </c>
      <c r="N188" s="145">
        <v>1625</v>
      </c>
      <c r="O188" s="145">
        <v>1407</v>
      </c>
      <c r="P188" s="145"/>
      <c r="Q188" s="145"/>
      <c r="R188" s="145"/>
      <c r="S188" s="1262"/>
      <c r="T188" s="1839"/>
      <c r="U188" s="1263"/>
      <c r="V188" s="1262"/>
      <c r="Y188" s="1835"/>
      <c r="Z188" s="1835"/>
    </row>
    <row r="189" spans="1:26" s="125" customFormat="1" ht="16.5" x14ac:dyDescent="0.35">
      <c r="A189" s="461"/>
      <c r="B189" s="127"/>
      <c r="C189" s="611"/>
      <c r="D189" s="179"/>
      <c r="E189" s="179"/>
      <c r="F189" s="179"/>
      <c r="G189" s="179"/>
      <c r="H189" s="179"/>
      <c r="I189" s="179"/>
      <c r="J189" s="179"/>
      <c r="K189" s="179"/>
      <c r="L189" s="179"/>
      <c r="M189" s="179"/>
      <c r="N189" s="179"/>
      <c r="O189" s="179"/>
      <c r="R189" s="149"/>
      <c r="S189" s="150"/>
      <c r="T189" s="569"/>
      <c r="U189" s="181"/>
      <c r="V189" s="150"/>
      <c r="Y189" s="157"/>
      <c r="Z189" s="157"/>
    </row>
    <row r="190" spans="1:26" s="128" customFormat="1" x14ac:dyDescent="0.25">
      <c r="A190" s="459">
        <v>13</v>
      </c>
      <c r="B190" s="127" t="s">
        <v>377</v>
      </c>
      <c r="C190" s="173"/>
      <c r="Q190" s="173"/>
      <c r="R190" s="129"/>
      <c r="T190" s="598" t="s">
        <v>377</v>
      </c>
      <c r="U190" s="129"/>
      <c r="Y190" s="166"/>
      <c r="Z190" s="166"/>
    </row>
    <row r="191" spans="1:26" s="128" customFormat="1" x14ac:dyDescent="0.25">
      <c r="A191" s="459"/>
      <c r="B191" s="2238" t="s">
        <v>352</v>
      </c>
      <c r="C191" s="173"/>
      <c r="Q191" s="173"/>
      <c r="R191" s="129"/>
      <c r="T191" s="598"/>
      <c r="U191" s="129"/>
      <c r="Y191" s="166"/>
      <c r="Z191" s="166"/>
    </row>
    <row r="192" spans="1:26" s="157" customFormat="1" x14ac:dyDescent="0.25">
      <c r="A192" s="461"/>
      <c r="C192" s="599"/>
      <c r="R192" s="182"/>
      <c r="U192" s="182"/>
    </row>
    <row r="193" spans="1:26" s="125" customFormat="1" x14ac:dyDescent="0.25">
      <c r="A193" s="461">
        <v>14</v>
      </c>
      <c r="B193" s="148" t="s">
        <v>396</v>
      </c>
      <c r="C193" s="152"/>
      <c r="D193" s="157"/>
      <c r="S193" s="126"/>
      <c r="T193" s="148" t="s">
        <v>396</v>
      </c>
      <c r="V193" s="126"/>
      <c r="Y193" s="157"/>
      <c r="Z193" s="157"/>
    </row>
    <row r="194" spans="1:26" s="1833" customFormat="1" ht="15.75" x14ac:dyDescent="0.25">
      <c r="A194" s="1840"/>
      <c r="B194" s="472" t="s">
        <v>725</v>
      </c>
      <c r="C194" s="473" t="s">
        <v>1540</v>
      </c>
      <c r="D194" s="473">
        <v>42583</v>
      </c>
      <c r="E194" s="473">
        <v>42614</v>
      </c>
      <c r="F194" s="473">
        <v>42644</v>
      </c>
      <c r="G194" s="473">
        <v>42675</v>
      </c>
      <c r="H194" s="473">
        <v>42705</v>
      </c>
      <c r="I194" s="473">
        <v>42736</v>
      </c>
      <c r="J194" s="473">
        <v>42767</v>
      </c>
      <c r="K194" s="473">
        <v>42795</v>
      </c>
      <c r="L194" s="473">
        <v>42826</v>
      </c>
      <c r="M194" s="473">
        <v>42856</v>
      </c>
      <c r="N194" s="473">
        <v>42887</v>
      </c>
      <c r="S194" s="1834"/>
      <c r="V194" s="1834"/>
      <c r="Y194" s="1835"/>
      <c r="Z194" s="1835"/>
    </row>
    <row r="195" spans="1:26" s="1833" customFormat="1" ht="15.75" x14ac:dyDescent="0.25">
      <c r="A195" s="1840"/>
      <c r="B195" s="1629" t="s">
        <v>1399</v>
      </c>
      <c r="C195" s="2142"/>
      <c r="D195" s="2142"/>
      <c r="E195" s="2142"/>
      <c r="F195" s="2142"/>
      <c r="G195" s="2142"/>
      <c r="H195" s="2142"/>
      <c r="I195" s="2142"/>
      <c r="J195" s="2142"/>
      <c r="K195" s="2142"/>
      <c r="L195" s="2142"/>
      <c r="M195" s="2142"/>
      <c r="N195" s="2142"/>
      <c r="S195" s="1834"/>
      <c r="V195" s="1834"/>
      <c r="Y195" s="1835"/>
      <c r="Z195" s="1835"/>
    </row>
    <row r="196" spans="1:26" s="1833" customFormat="1" ht="15.75" x14ac:dyDescent="0.25">
      <c r="A196" s="1840"/>
      <c r="B196" s="1629" t="s">
        <v>1093</v>
      </c>
      <c r="C196" s="1631">
        <v>19077</v>
      </c>
      <c r="D196" s="1631">
        <v>24682</v>
      </c>
      <c r="E196" s="1631">
        <v>25006</v>
      </c>
      <c r="F196" s="1631">
        <v>21386</v>
      </c>
      <c r="G196" s="1631">
        <v>24873</v>
      </c>
      <c r="H196" s="1631">
        <v>22911</v>
      </c>
      <c r="I196" s="1631">
        <v>21122</v>
      </c>
      <c r="J196" s="1631">
        <v>22868</v>
      </c>
      <c r="K196" s="1631">
        <v>26101</v>
      </c>
      <c r="L196" s="1631">
        <v>22533</v>
      </c>
      <c r="M196" s="1631">
        <v>22646</v>
      </c>
      <c r="N196" s="1631">
        <v>18070</v>
      </c>
      <c r="S196" s="1834"/>
      <c r="V196" s="1834"/>
      <c r="Y196" s="1835"/>
      <c r="Z196" s="1835"/>
    </row>
    <row r="197" spans="1:26" s="1833" customFormat="1" ht="15.75" x14ac:dyDescent="0.25">
      <c r="A197" s="1840"/>
      <c r="B197" s="1629" t="s">
        <v>1094</v>
      </c>
      <c r="C197" s="1631">
        <v>4052.3400000000256</v>
      </c>
      <c r="D197" s="1631">
        <v>5926.1500000000233</v>
      </c>
      <c r="E197" s="1631">
        <v>5597.2699999999604</v>
      </c>
      <c r="F197" s="1631">
        <v>6371.3699999999953</v>
      </c>
      <c r="G197" s="1631">
        <v>6332.0900000000256</v>
      </c>
      <c r="H197" s="1631">
        <v>5330.1699999999837</v>
      </c>
      <c r="I197" s="1631">
        <v>5361.2299999999814</v>
      </c>
      <c r="J197" s="1631">
        <v>5823.2600000000093</v>
      </c>
      <c r="K197" s="1631">
        <v>6571.5900000000256</v>
      </c>
      <c r="L197" s="1631">
        <v>5750.7000000000116</v>
      </c>
      <c r="M197" s="1631">
        <v>6078.8099999999977</v>
      </c>
      <c r="N197" s="1631">
        <v>3943.8699999999953</v>
      </c>
      <c r="S197" s="1834"/>
      <c r="V197" s="1834"/>
      <c r="Y197" s="1835"/>
      <c r="Z197" s="1835"/>
    </row>
    <row r="198" spans="1:26" s="1833" customFormat="1" ht="15.75" x14ac:dyDescent="0.25">
      <c r="A198" s="1840"/>
      <c r="B198" s="1629" t="s">
        <v>1095</v>
      </c>
      <c r="C198" s="1631">
        <v>12973.640000000014</v>
      </c>
      <c r="D198" s="1631">
        <v>13978.599999999977</v>
      </c>
      <c r="E198" s="1631">
        <v>10678.959999999963</v>
      </c>
      <c r="F198" s="1631">
        <v>12712.910000000033</v>
      </c>
      <c r="G198" s="1631">
        <v>12751.670000000042</v>
      </c>
      <c r="H198" s="1631">
        <v>13141.699999999953</v>
      </c>
      <c r="I198" s="1631">
        <v>11071.830000000075</v>
      </c>
      <c r="J198" s="1631">
        <v>11467.439999999944</v>
      </c>
      <c r="K198" s="1631">
        <v>13492.960000000079</v>
      </c>
      <c r="L198" s="1631">
        <v>11486.309999999939</v>
      </c>
      <c r="M198" s="1631">
        <v>13792.619999999995</v>
      </c>
      <c r="N198" s="1631">
        <v>11893.410000000033</v>
      </c>
      <c r="S198" s="1834"/>
      <c r="V198" s="1834"/>
      <c r="Y198" s="1835"/>
      <c r="Z198" s="1835"/>
    </row>
    <row r="199" spans="1:26" s="1833" customFormat="1" ht="15.75" x14ac:dyDescent="0.25">
      <c r="A199" s="1840"/>
      <c r="B199" s="1629" t="s">
        <v>1096</v>
      </c>
      <c r="C199" s="1631">
        <v>2051.0199999999604</v>
      </c>
      <c r="D199" s="1631">
        <v>4777.25</v>
      </c>
      <c r="E199" s="1631">
        <v>8729.7700000000768</v>
      </c>
      <c r="F199" s="1631">
        <v>2301.7199999999721</v>
      </c>
      <c r="G199" s="1631">
        <v>5789.2399999999325</v>
      </c>
      <c r="H199" s="1631">
        <v>4439.1300000000629</v>
      </c>
      <c r="I199" s="1631">
        <v>4688.9399999999441</v>
      </c>
      <c r="J199" s="1631">
        <v>5577.3000000000466</v>
      </c>
      <c r="K199" s="1631">
        <v>6036.4499999998952</v>
      </c>
      <c r="L199" s="1631">
        <v>5295.9900000000489</v>
      </c>
      <c r="M199" s="1631">
        <v>2774.570000000007</v>
      </c>
      <c r="N199" s="1631">
        <v>2232.7199999999721</v>
      </c>
      <c r="Q199" s="1833" t="s">
        <v>1545</v>
      </c>
      <c r="S199" s="1834"/>
      <c r="V199" s="1834"/>
      <c r="Y199" s="1835"/>
      <c r="Z199" s="1835"/>
    </row>
    <row r="200" spans="1:26" s="1833" customFormat="1" ht="14.25" x14ac:dyDescent="0.2">
      <c r="A200" s="1840"/>
      <c r="B200" s="441"/>
      <c r="C200" s="2143"/>
      <c r="D200" s="2143"/>
      <c r="E200" s="2143"/>
      <c r="F200" s="2143"/>
      <c r="G200" s="2143"/>
      <c r="H200" s="2143"/>
      <c r="I200" s="2143"/>
      <c r="J200" s="2143"/>
      <c r="K200" s="2143"/>
      <c r="L200" s="2143"/>
      <c r="M200" s="2143"/>
      <c r="N200" s="2143"/>
      <c r="Q200" s="1833" t="s">
        <v>1546</v>
      </c>
      <c r="S200" s="1834"/>
      <c r="V200" s="1834"/>
      <c r="Y200" s="1835"/>
      <c r="Z200" s="1835"/>
    </row>
    <row r="201" spans="1:26" s="1833" customFormat="1" ht="15.75" x14ac:dyDescent="0.25">
      <c r="A201" s="1840"/>
      <c r="B201" s="1629" t="s">
        <v>1548</v>
      </c>
      <c r="C201" s="1123">
        <v>5270</v>
      </c>
      <c r="D201" s="1123">
        <v>9860</v>
      </c>
      <c r="E201" s="1123">
        <v>13340</v>
      </c>
      <c r="F201" s="1123">
        <v>17520</v>
      </c>
      <c r="G201" s="1123">
        <v>43220</v>
      </c>
      <c r="H201" s="1123">
        <v>68250</v>
      </c>
      <c r="I201" s="1123">
        <v>74950</v>
      </c>
      <c r="J201" s="1123">
        <v>60780</v>
      </c>
      <c r="K201" s="1123">
        <v>54350</v>
      </c>
      <c r="L201" s="1123">
        <v>17190</v>
      </c>
      <c r="M201" s="1123">
        <v>9090</v>
      </c>
      <c r="N201" s="1123">
        <v>6360</v>
      </c>
      <c r="Q201" s="1833" t="s">
        <v>1547</v>
      </c>
      <c r="S201" s="1834"/>
      <c r="V201" s="1834"/>
      <c r="Y201" s="1835"/>
      <c r="Z201" s="1835"/>
    </row>
    <row r="202" spans="1:26" s="1833" customFormat="1" ht="15.75" x14ac:dyDescent="0.25">
      <c r="A202" s="1840"/>
      <c r="B202" s="1629" t="s">
        <v>322</v>
      </c>
      <c r="C202" s="1631">
        <v>6700.0000000000246</v>
      </c>
      <c r="D202" s="1631">
        <v>51100.000000000182</v>
      </c>
      <c r="E202" s="1631">
        <v>85600.000000000306</v>
      </c>
      <c r="F202" s="1631">
        <v>67400.000000000247</v>
      </c>
      <c r="G202" s="1631">
        <v>83000.000000000306</v>
      </c>
      <c r="H202" s="1631">
        <v>48200.000000000175</v>
      </c>
      <c r="I202" s="1631">
        <v>62200.000000000226</v>
      </c>
      <c r="J202" s="1631">
        <v>86600.00000000032</v>
      </c>
      <c r="K202" s="1631">
        <v>84200.00000000032</v>
      </c>
      <c r="L202" s="1631">
        <v>77400.000000000276</v>
      </c>
      <c r="M202" s="1631">
        <v>33700.000000000124</v>
      </c>
      <c r="N202" s="1631">
        <v>14400.000000000053</v>
      </c>
      <c r="S202" s="1834"/>
      <c r="V202" s="1834"/>
      <c r="Y202" s="1835"/>
      <c r="Z202" s="1835"/>
    </row>
    <row r="203" spans="1:26" s="1833" customFormat="1" ht="15.75" x14ac:dyDescent="0.25">
      <c r="A203" s="1840"/>
      <c r="B203" s="1632" t="s">
        <v>323</v>
      </c>
      <c r="C203" s="1123">
        <v>22276</v>
      </c>
      <c r="D203" s="1123">
        <v>27099.333333333332</v>
      </c>
      <c r="E203" s="1123">
        <v>23967.333333333332</v>
      </c>
      <c r="F203" s="1123">
        <v>11504</v>
      </c>
      <c r="G203" s="1123">
        <v>10664.666666666666</v>
      </c>
      <c r="H203" s="1123">
        <v>7941</v>
      </c>
      <c r="I203" s="1123">
        <v>4767</v>
      </c>
      <c r="J203" s="1123">
        <v>4462</v>
      </c>
      <c r="K203" s="1123">
        <v>6798</v>
      </c>
      <c r="L203" s="1123">
        <v>7812</v>
      </c>
      <c r="M203" s="1123">
        <v>10861</v>
      </c>
      <c r="N203" s="1123">
        <v>12558</v>
      </c>
      <c r="S203" s="1834"/>
      <c r="V203" s="1834"/>
      <c r="Y203" s="1835"/>
      <c r="Z203" s="1835"/>
    </row>
    <row r="204" spans="1:26" s="1833" customFormat="1" ht="15.75" x14ac:dyDescent="0.25">
      <c r="A204" s="1840"/>
      <c r="B204" s="1633"/>
      <c r="C204" s="1631"/>
      <c r="D204" s="1631"/>
      <c r="E204" s="1631"/>
      <c r="F204" s="1631"/>
      <c r="G204" s="1631"/>
      <c r="H204" s="1631"/>
      <c r="I204" s="1631"/>
      <c r="J204" s="1631"/>
      <c r="K204" s="1631"/>
      <c r="L204" s="1631"/>
      <c r="M204" s="1631"/>
      <c r="N204" s="1631"/>
      <c r="S204" s="1834"/>
      <c r="V204" s="1834"/>
      <c r="Y204" s="1835"/>
      <c r="Z204" s="1835"/>
    </row>
    <row r="205" spans="1:26" s="1833" customFormat="1" ht="15.75" x14ac:dyDescent="0.25">
      <c r="A205" s="1840"/>
      <c r="B205" s="1629" t="s">
        <v>324</v>
      </c>
      <c r="C205" s="1631">
        <v>1329.6231285276845</v>
      </c>
      <c r="D205" s="1631">
        <v>1691.6888754966039</v>
      </c>
      <c r="E205" s="1631">
        <v>1663.9910290168045</v>
      </c>
      <c r="F205" s="1631">
        <v>1194.0055254271647</v>
      </c>
      <c r="G205" s="1631">
        <v>1364.5018428393287</v>
      </c>
      <c r="H205" s="1631">
        <v>1308.0225847291943</v>
      </c>
      <c r="I205" s="1631">
        <v>1213.1635263852243</v>
      </c>
      <c r="J205" s="1631">
        <v>1247.7805645607991</v>
      </c>
      <c r="K205" s="1631">
        <v>1501.192280942</v>
      </c>
      <c r="L205" s="1631">
        <v>1220.6932898224668</v>
      </c>
      <c r="M205" s="1631">
        <v>1254.9449675036976</v>
      </c>
      <c r="N205" s="1631">
        <v>1119.7120067264573</v>
      </c>
      <c r="S205" s="1834"/>
      <c r="V205" s="1834"/>
      <c r="Y205" s="1835"/>
      <c r="Z205" s="1835"/>
    </row>
    <row r="206" spans="1:26" s="1833" customFormat="1" ht="15.75" x14ac:dyDescent="0.25">
      <c r="A206" s="1840"/>
      <c r="B206" s="1634" t="s">
        <v>325</v>
      </c>
      <c r="C206" s="1631">
        <v>54.934625668449399</v>
      </c>
      <c r="D206" s="1631">
        <v>429.70454545454697</v>
      </c>
      <c r="E206" s="1631">
        <v>719.81818181818437</v>
      </c>
      <c r="F206" s="1631">
        <v>566.7727272727293</v>
      </c>
      <c r="G206" s="1631">
        <v>697.95454545454788</v>
      </c>
      <c r="H206" s="1631">
        <v>405.31818181818323</v>
      </c>
      <c r="I206" s="1631">
        <v>523.04545454545644</v>
      </c>
      <c r="J206" s="1631">
        <v>728.22727272727536</v>
      </c>
      <c r="K206" s="1631">
        <v>708.04545454545712</v>
      </c>
      <c r="L206" s="1631">
        <v>650.86363636363865</v>
      </c>
      <c r="M206" s="1631">
        <v>283.38636363636465</v>
      </c>
      <c r="N206" s="1631">
        <v>121.09090909090952</v>
      </c>
      <c r="S206" s="1834"/>
      <c r="V206" s="1834"/>
      <c r="Y206" s="1835"/>
      <c r="Z206" s="1835"/>
    </row>
    <row r="207" spans="1:26" s="1833" customFormat="1" ht="15.75" x14ac:dyDescent="0.25">
      <c r="A207" s="1840"/>
      <c r="B207" s="1635" t="s">
        <v>1549</v>
      </c>
      <c r="C207" s="1631">
        <v>41.179253000000003</v>
      </c>
      <c r="D207" s="1631">
        <v>77.045054000000007</v>
      </c>
      <c r="E207" s="1631">
        <v>104.237426</v>
      </c>
      <c r="F207" s="1631">
        <v>136.899528</v>
      </c>
      <c r="G207" s="1631">
        <v>337.71675800000003</v>
      </c>
      <c r="H207" s="1631">
        <v>533.298675</v>
      </c>
      <c r="I207" s="1631">
        <v>585.65180500000008</v>
      </c>
      <c r="J207" s="1631">
        <v>474.92884200000003</v>
      </c>
      <c r="K207" s="1631">
        <v>424.68546500000002</v>
      </c>
      <c r="L207" s="1631">
        <v>134.320941</v>
      </c>
      <c r="M207" s="1631">
        <v>71.028351000000001</v>
      </c>
      <c r="N207" s="1631">
        <v>49.696404000000001</v>
      </c>
      <c r="S207" s="1834"/>
      <c r="V207" s="1834"/>
      <c r="Y207" s="1835"/>
      <c r="Z207" s="1835"/>
    </row>
    <row r="208" spans="1:26" s="1833" customFormat="1" ht="14.25" x14ac:dyDescent="0.2">
      <c r="A208" s="1840"/>
      <c r="B208" s="1833" t="s">
        <v>1550</v>
      </c>
      <c r="C208" s="1840"/>
      <c r="E208" s="1809"/>
      <c r="F208" s="1864"/>
      <c r="G208" s="1864"/>
      <c r="H208" s="1865"/>
      <c r="I208" s="1865"/>
      <c r="J208" s="1865"/>
      <c r="K208" s="1865"/>
      <c r="L208" s="1865"/>
      <c r="M208" s="1865"/>
      <c r="N208" s="1865"/>
      <c r="O208" s="1865"/>
      <c r="P208" s="1865"/>
      <c r="S208" s="1834"/>
      <c r="V208" s="1834"/>
      <c r="Y208" s="1835"/>
      <c r="Z208" s="1835"/>
    </row>
    <row r="209" spans="1:26" s="1833" customFormat="1" ht="15.75" x14ac:dyDescent="0.25">
      <c r="A209" s="1840"/>
      <c r="B209" s="1109"/>
      <c r="C209" s="1840"/>
      <c r="E209" s="1809"/>
      <c r="F209" s="1864"/>
      <c r="G209" s="1864"/>
      <c r="H209" s="1865"/>
      <c r="I209" s="1865"/>
      <c r="J209" s="1865"/>
      <c r="K209" s="1865"/>
      <c r="L209" s="1865"/>
      <c r="M209" s="1865"/>
      <c r="N209" s="1865"/>
      <c r="O209" s="1865"/>
      <c r="P209" s="1865"/>
      <c r="S209" s="1834"/>
      <c r="V209" s="1834"/>
      <c r="Y209" s="1835"/>
      <c r="Z209" s="1835"/>
    </row>
    <row r="210" spans="1:26" s="125" customFormat="1" x14ac:dyDescent="0.25">
      <c r="A210" s="461">
        <v>15</v>
      </c>
      <c r="B210" s="148" t="s">
        <v>560</v>
      </c>
      <c r="C210" s="152"/>
      <c r="S210" s="126"/>
      <c r="T210" s="148" t="s">
        <v>560</v>
      </c>
      <c r="V210" s="126"/>
      <c r="Y210" s="157"/>
      <c r="Z210" s="157"/>
    </row>
    <row r="211" spans="1:26" s="1833" customFormat="1" ht="15.75" x14ac:dyDescent="0.25">
      <c r="A211" s="1840"/>
      <c r="B211" s="472" t="s">
        <v>726</v>
      </c>
      <c r="C211" s="473" t="s">
        <v>1540</v>
      </c>
      <c r="D211" s="473">
        <v>42583</v>
      </c>
      <c r="E211" s="473">
        <v>42614</v>
      </c>
      <c r="F211" s="473">
        <v>42644</v>
      </c>
      <c r="G211" s="473">
        <v>42675</v>
      </c>
      <c r="H211" s="473">
        <v>42705</v>
      </c>
      <c r="I211" s="473">
        <v>42736</v>
      </c>
      <c r="J211" s="473">
        <v>42767</v>
      </c>
      <c r="K211" s="473">
        <v>42795</v>
      </c>
      <c r="L211" s="473">
        <v>42826</v>
      </c>
      <c r="M211" s="473">
        <v>42856</v>
      </c>
      <c r="N211" s="473">
        <v>42887</v>
      </c>
      <c r="S211" s="1834"/>
      <c r="V211" s="1834"/>
      <c r="Y211" s="1835"/>
      <c r="Z211" s="1835"/>
    </row>
    <row r="212" spans="1:26" s="1833" customFormat="1" ht="15.75" x14ac:dyDescent="0.25">
      <c r="A212" s="1840"/>
      <c r="B212" s="1100" t="s">
        <v>1403</v>
      </c>
      <c r="C212" s="2142"/>
      <c r="D212" s="2142"/>
      <c r="E212" s="2142"/>
      <c r="F212" s="2142"/>
      <c r="G212" s="2142"/>
      <c r="H212" s="2142"/>
      <c r="I212" s="2142"/>
      <c r="J212" s="2142"/>
      <c r="K212" s="2142"/>
      <c r="L212" s="2142"/>
      <c r="M212" s="2142"/>
      <c r="N212" s="2142"/>
      <c r="S212" s="1834"/>
      <c r="V212" s="1834"/>
      <c r="Y212" s="1835"/>
      <c r="Z212" s="1835"/>
    </row>
    <row r="213" spans="1:26" s="1833" customFormat="1" ht="15.75" x14ac:dyDescent="0.25">
      <c r="A213" s="1840"/>
      <c r="B213" s="1629" t="s">
        <v>1093</v>
      </c>
      <c r="C213" s="1123">
        <v>19440</v>
      </c>
      <c r="D213" s="1123">
        <v>25539.666666666668</v>
      </c>
      <c r="E213" s="1123">
        <v>26717.666666666668</v>
      </c>
      <c r="F213" s="1123">
        <v>20243</v>
      </c>
      <c r="G213" s="1123">
        <v>22933</v>
      </c>
      <c r="H213" s="1123">
        <v>21422</v>
      </c>
      <c r="I213" s="1123">
        <v>20113</v>
      </c>
      <c r="J213" s="1123">
        <v>21952</v>
      </c>
      <c r="K213" s="1123">
        <v>25056</v>
      </c>
      <c r="L213" s="1123">
        <v>21553</v>
      </c>
      <c r="M213" s="1123">
        <v>21798</v>
      </c>
      <c r="N213" s="1123">
        <v>17036</v>
      </c>
      <c r="S213" s="1834"/>
      <c r="V213" s="1834"/>
      <c r="Y213" s="1835"/>
      <c r="Z213" s="1835"/>
    </row>
    <row r="214" spans="1:26" s="1833" customFormat="1" ht="15.75" x14ac:dyDescent="0.25">
      <c r="A214" s="1840"/>
      <c r="B214" s="1629" t="s">
        <v>1094</v>
      </c>
      <c r="C214" s="1123">
        <v>3344.1600000000326</v>
      </c>
      <c r="D214" s="1123">
        <v>5421.9400000000023</v>
      </c>
      <c r="E214" s="1123">
        <v>5461.429999999993</v>
      </c>
      <c r="F214" s="1123">
        <v>6350.6300000000047</v>
      </c>
      <c r="G214" s="1123">
        <v>6081.3300000000163</v>
      </c>
      <c r="H214" s="1123">
        <v>4956.6199999999953</v>
      </c>
      <c r="I214" s="1123">
        <v>4959.109999999986</v>
      </c>
      <c r="J214" s="1123">
        <v>5765.289999999979</v>
      </c>
      <c r="K214" s="1123">
        <v>6236.5900000000256</v>
      </c>
      <c r="L214" s="1123">
        <v>5639.859999999986</v>
      </c>
      <c r="M214" s="1123">
        <v>5632.0100000000093</v>
      </c>
      <c r="N214" s="1123">
        <v>3895.1199999999953</v>
      </c>
      <c r="S214" s="1834"/>
      <c r="V214" s="1834"/>
      <c r="Y214" s="1835"/>
      <c r="Z214" s="1835"/>
    </row>
    <row r="215" spans="1:26" s="1833" customFormat="1" ht="15.75" x14ac:dyDescent="0.25">
      <c r="A215" s="1840"/>
      <c r="B215" s="1629" t="s">
        <v>1095</v>
      </c>
      <c r="C215" s="1123">
        <v>11344.75</v>
      </c>
      <c r="D215" s="1123">
        <v>12557.320000000065</v>
      </c>
      <c r="E215" s="1123">
        <v>9853.1699999999255</v>
      </c>
      <c r="F215" s="1123">
        <v>11779.010000000009</v>
      </c>
      <c r="G215" s="1123">
        <v>11236.349999999977</v>
      </c>
      <c r="H215" s="1123">
        <v>12154.75</v>
      </c>
      <c r="I215" s="1123">
        <v>10516.680000000051</v>
      </c>
      <c r="J215" s="1123">
        <v>10793.170000000042</v>
      </c>
      <c r="K215" s="1123">
        <v>13064.260000000009</v>
      </c>
      <c r="L215" s="1123">
        <v>10778.389999999898</v>
      </c>
      <c r="M215" s="1123">
        <v>13200.850000000093</v>
      </c>
      <c r="N215" s="1123">
        <v>11229.599999999977</v>
      </c>
      <c r="S215" s="1834"/>
      <c r="V215" s="1834"/>
      <c r="Y215" s="1835"/>
      <c r="Z215" s="1835"/>
    </row>
    <row r="216" spans="1:26" s="1833" customFormat="1" ht="15.75" x14ac:dyDescent="0.25">
      <c r="A216" s="1840"/>
      <c r="B216" s="1629" t="s">
        <v>1096</v>
      </c>
      <c r="C216" s="1123">
        <v>4751.0899999999674</v>
      </c>
      <c r="D216" s="1123">
        <v>7560.4066666666004</v>
      </c>
      <c r="E216" s="1123">
        <v>11403.066666666749</v>
      </c>
      <c r="F216" s="1123">
        <v>2113.359999999986</v>
      </c>
      <c r="G216" s="1123">
        <v>5615.320000000007</v>
      </c>
      <c r="H216" s="1123">
        <v>4310.6300000000047</v>
      </c>
      <c r="I216" s="1123">
        <v>4637.2099999999627</v>
      </c>
      <c r="J216" s="1123">
        <v>5393.539999999979</v>
      </c>
      <c r="K216" s="1123">
        <v>5755.1499999999651</v>
      </c>
      <c r="L216" s="1123">
        <v>5134.7500000001164</v>
      </c>
      <c r="M216" s="1123">
        <v>2965.1399999998976</v>
      </c>
      <c r="N216" s="1123">
        <v>1911.2800000000279</v>
      </c>
      <c r="S216" s="1834"/>
      <c r="V216" s="1834"/>
      <c r="Y216" s="1835"/>
      <c r="Z216" s="1835"/>
    </row>
    <row r="217" spans="1:26" s="1833" customFormat="1" ht="15.75" x14ac:dyDescent="0.25">
      <c r="A217" s="1840"/>
      <c r="B217" s="1629"/>
      <c r="C217" s="2143"/>
      <c r="D217" s="2143"/>
      <c r="E217" s="2143"/>
      <c r="F217" s="2143"/>
      <c r="G217" s="2143"/>
      <c r="H217" s="2143"/>
      <c r="I217" s="2143"/>
      <c r="J217" s="2143"/>
      <c r="K217" s="2143"/>
      <c r="L217" s="2143"/>
      <c r="M217" s="2143"/>
      <c r="N217" s="2143"/>
      <c r="S217" s="1834"/>
      <c r="V217" s="1834"/>
      <c r="Y217" s="1835"/>
      <c r="Z217" s="1835"/>
    </row>
    <row r="218" spans="1:26" s="1833" customFormat="1" ht="15.75" x14ac:dyDescent="0.25">
      <c r="A218" s="1840"/>
      <c r="B218" s="1629" t="s">
        <v>1548</v>
      </c>
      <c r="C218" s="1123">
        <v>4500</v>
      </c>
      <c r="D218" s="1123">
        <v>10190</v>
      </c>
      <c r="E218" s="1123">
        <v>10660</v>
      </c>
      <c r="F218" s="1123">
        <v>37200</v>
      </c>
      <c r="G218" s="1123">
        <v>28733.333333333332</v>
      </c>
      <c r="H218" s="1123">
        <v>54006.666666666664</v>
      </c>
      <c r="I218" s="1123">
        <v>63430</v>
      </c>
      <c r="J218" s="1123">
        <v>40763.333333333336</v>
      </c>
      <c r="K218" s="1123">
        <v>40293.333333333336</v>
      </c>
      <c r="L218" s="1123">
        <v>36110</v>
      </c>
      <c r="M218" s="1123">
        <v>6453.333333333333</v>
      </c>
      <c r="N218" s="1123">
        <v>4540</v>
      </c>
      <c r="S218" s="1834"/>
      <c r="V218" s="1834"/>
      <c r="Y218" s="1835"/>
      <c r="Z218" s="1835"/>
    </row>
    <row r="219" spans="1:26" s="1833" customFormat="1" ht="15.75" x14ac:dyDescent="0.25">
      <c r="A219" s="1840"/>
      <c r="B219" s="1629" t="s">
        <v>322</v>
      </c>
      <c r="C219" s="1123">
        <v>49800.000000000182</v>
      </c>
      <c r="D219" s="1123">
        <v>129100.00000000048</v>
      </c>
      <c r="E219" s="1123">
        <v>267500.00000000093</v>
      </c>
      <c r="F219" s="1123">
        <v>229900.00000000084</v>
      </c>
      <c r="G219" s="1123">
        <v>282900.00000000105</v>
      </c>
      <c r="H219" s="1123">
        <v>141700.00000000052</v>
      </c>
      <c r="I219" s="1123">
        <v>44600.00000000016</v>
      </c>
      <c r="J219" s="1123">
        <v>63500.000000000226</v>
      </c>
      <c r="K219" s="1123">
        <v>62800.000000000226</v>
      </c>
      <c r="L219" s="1123">
        <v>59100.000000000211</v>
      </c>
      <c r="M219" s="1123">
        <v>29400.000000000106</v>
      </c>
      <c r="N219" s="1123">
        <v>25200.000000000095</v>
      </c>
      <c r="S219" s="1834"/>
      <c r="V219" s="1834"/>
      <c r="Y219" s="1835"/>
      <c r="Z219" s="1835"/>
    </row>
    <row r="220" spans="1:26" s="1833" customFormat="1" ht="15.75" x14ac:dyDescent="0.25">
      <c r="A220" s="1840"/>
      <c r="B220" s="1632" t="s">
        <v>323</v>
      </c>
      <c r="C220" s="1123">
        <v>22627</v>
      </c>
      <c r="D220" s="1123">
        <v>29638</v>
      </c>
      <c r="E220" s="1123">
        <v>24518</v>
      </c>
      <c r="F220" s="1123">
        <v>15124</v>
      </c>
      <c r="G220" s="1123">
        <v>15778</v>
      </c>
      <c r="H220" s="1123">
        <v>14869</v>
      </c>
      <c r="I220" s="1123">
        <v>12368</v>
      </c>
      <c r="J220" s="1123">
        <v>13340</v>
      </c>
      <c r="K220" s="1123">
        <v>10425</v>
      </c>
      <c r="L220" s="1123">
        <v>11675</v>
      </c>
      <c r="M220" s="1123">
        <v>17875</v>
      </c>
      <c r="N220" s="1123">
        <v>18406</v>
      </c>
      <c r="S220" s="1834"/>
      <c r="V220" s="1834"/>
      <c r="Y220" s="1835"/>
      <c r="Z220" s="1835"/>
    </row>
    <row r="221" spans="1:26" s="1833" customFormat="1" ht="15.75" x14ac:dyDescent="0.25">
      <c r="A221" s="1840"/>
      <c r="B221" s="1633"/>
      <c r="C221" s="1123"/>
      <c r="D221" s="1123"/>
      <c r="E221" s="1123"/>
      <c r="F221" s="1123"/>
      <c r="G221" s="1123"/>
      <c r="H221" s="1123"/>
      <c r="I221" s="1123"/>
      <c r="J221" s="1123"/>
      <c r="K221" s="1123"/>
      <c r="L221" s="1123"/>
      <c r="M221" s="1123"/>
      <c r="N221" s="1123"/>
      <c r="S221" s="1834"/>
      <c r="V221" s="1834"/>
      <c r="Y221" s="1835"/>
      <c r="Z221" s="1835"/>
    </row>
    <row r="222" spans="1:26" s="1833" customFormat="1" ht="15.75" x14ac:dyDescent="0.25">
      <c r="A222" s="1840"/>
      <c r="B222" s="1629" t="s">
        <v>324</v>
      </c>
      <c r="C222" s="1123">
        <v>1354.9233956375838</v>
      </c>
      <c r="D222" s="1123">
        <v>1750.4728135439361</v>
      </c>
      <c r="E222" s="1123">
        <v>1777.8916119969067</v>
      </c>
      <c r="F222" s="1123">
        <v>1130.1904915001448</v>
      </c>
      <c r="G222" s="1123">
        <v>1258.0758558209434</v>
      </c>
      <c r="H222" s="1123">
        <v>1223.0133913870543</v>
      </c>
      <c r="I222" s="1123">
        <v>1155.2105864116095</v>
      </c>
      <c r="J222" s="1123">
        <v>1197.7994994419566</v>
      </c>
      <c r="K222" s="1123">
        <v>1441.0893755520001</v>
      </c>
      <c r="L222" s="1123">
        <v>1167.6031809143756</v>
      </c>
      <c r="M222" s="1123">
        <v>1207.9524155102711</v>
      </c>
      <c r="N222" s="1123">
        <v>1055.6399417040359</v>
      </c>
      <c r="S222" s="1834"/>
      <c r="V222" s="1834"/>
      <c r="Y222" s="1835"/>
      <c r="Z222" s="1835"/>
    </row>
    <row r="223" spans="1:26" s="1833" customFormat="1" ht="15.75" x14ac:dyDescent="0.25">
      <c r="A223" s="1840"/>
      <c r="B223" s="1634" t="s">
        <v>328</v>
      </c>
      <c r="C223" s="1631">
        <v>408.3200534759373</v>
      </c>
      <c r="D223" s="1631">
        <v>1085.6136363636404</v>
      </c>
      <c r="E223" s="1631">
        <v>2249.4318181818262</v>
      </c>
      <c r="F223" s="1631">
        <v>1933.2500000000068</v>
      </c>
      <c r="G223" s="1631">
        <v>2378.9318181818267</v>
      </c>
      <c r="H223" s="1631">
        <v>1191.5681818181861</v>
      </c>
      <c r="I223" s="1631">
        <v>375.04545454545587</v>
      </c>
      <c r="J223" s="1631">
        <v>533.97727272727457</v>
      </c>
      <c r="K223" s="1631">
        <v>528.09090909091094</v>
      </c>
      <c r="L223" s="1631">
        <v>496.97727272727445</v>
      </c>
      <c r="M223" s="1631">
        <v>247.2272727272736</v>
      </c>
      <c r="N223" s="1631">
        <v>211.90909090909167</v>
      </c>
      <c r="S223" s="1834"/>
      <c r="V223" s="1834"/>
      <c r="Y223" s="1835"/>
      <c r="Z223" s="1835"/>
    </row>
    <row r="224" spans="1:26" s="1833" customFormat="1" ht="15.75" x14ac:dyDescent="0.25">
      <c r="A224" s="1840"/>
      <c r="B224" s="1633" t="s">
        <v>1549</v>
      </c>
      <c r="C224" s="1631">
        <v>35.162550000000003</v>
      </c>
      <c r="D224" s="1631" t="s">
        <v>321</v>
      </c>
      <c r="E224" s="1631">
        <v>83.296174000000008</v>
      </c>
      <c r="F224" s="1631">
        <v>290.67707999999999</v>
      </c>
      <c r="G224" s="1631">
        <v>224.51939333333334</v>
      </c>
      <c r="H224" s="1631">
        <v>422.00269266666669</v>
      </c>
      <c r="I224" s="1631">
        <v>495.63567700000004</v>
      </c>
      <c r="J224" s="1631">
        <v>318.52061033333337</v>
      </c>
      <c r="K224" s="1631">
        <v>314.84807733333338</v>
      </c>
      <c r="L224" s="1631">
        <v>282.15992900000003</v>
      </c>
      <c r="M224" s="1631">
        <v>50.425701333333336</v>
      </c>
      <c r="N224" s="1631">
        <v>35.475106000000004</v>
      </c>
      <c r="S224" s="1834"/>
      <c r="V224" s="1834"/>
      <c r="Y224" s="1835"/>
      <c r="Z224" s="1835"/>
    </row>
    <row r="225" spans="1:26" s="1833" customFormat="1" ht="14.25" x14ac:dyDescent="0.2">
      <c r="A225" s="1840"/>
      <c r="B225" s="1833" t="s">
        <v>1550</v>
      </c>
      <c r="C225" s="1840"/>
      <c r="E225" s="1809"/>
      <c r="F225" s="1864"/>
      <c r="G225" s="1864"/>
      <c r="H225" s="1865"/>
      <c r="I225" s="1865"/>
      <c r="J225" s="1865"/>
      <c r="K225" s="1865"/>
      <c r="L225" s="1865"/>
      <c r="M225" s="1865"/>
      <c r="N225" s="1865"/>
      <c r="O225" s="1865"/>
      <c r="P225" s="1865"/>
      <c r="S225" s="1834"/>
      <c r="V225" s="1834"/>
      <c r="Y225" s="1835"/>
      <c r="Z225" s="1835"/>
    </row>
    <row r="226" spans="1:26" s="125" customFormat="1" x14ac:dyDescent="0.25">
      <c r="A226" s="461"/>
      <c r="C226" s="152"/>
      <c r="S226" s="126"/>
      <c r="U226" s="447"/>
      <c r="V226" s="126"/>
      <c r="Y226" s="157"/>
      <c r="Z226" s="157"/>
    </row>
    <row r="227" spans="1:26" s="125" customFormat="1" x14ac:dyDescent="0.25">
      <c r="A227" s="461">
        <v>16</v>
      </c>
      <c r="B227" s="148" t="s">
        <v>561</v>
      </c>
      <c r="C227" s="152"/>
      <c r="S227" s="126"/>
      <c r="T227" s="148" t="s">
        <v>561</v>
      </c>
      <c r="V227" s="126"/>
      <c r="Y227" s="157"/>
      <c r="Z227" s="157"/>
    </row>
    <row r="228" spans="1:26" s="1833" customFormat="1" ht="15.75" x14ac:dyDescent="0.25">
      <c r="A228" s="1840"/>
      <c r="B228" s="472" t="s">
        <v>727</v>
      </c>
      <c r="C228" s="473" t="s">
        <v>1540</v>
      </c>
      <c r="D228" s="473">
        <v>42583</v>
      </c>
      <c r="E228" s="473">
        <v>42614</v>
      </c>
      <c r="F228" s="473">
        <v>42644</v>
      </c>
      <c r="G228" s="473">
        <v>42675</v>
      </c>
      <c r="H228" s="473">
        <v>42705</v>
      </c>
      <c r="I228" s="473">
        <v>42736</v>
      </c>
      <c r="J228" s="473">
        <v>42767</v>
      </c>
      <c r="K228" s="473">
        <v>42795</v>
      </c>
      <c r="L228" s="473">
        <v>42826</v>
      </c>
      <c r="M228" s="473">
        <v>42856</v>
      </c>
      <c r="N228" s="473">
        <v>42887</v>
      </c>
      <c r="S228" s="1834"/>
      <c r="V228" s="1834"/>
      <c r="Y228" s="1835"/>
      <c r="Z228" s="1835"/>
    </row>
    <row r="229" spans="1:26" s="1833" customFormat="1" ht="15.75" x14ac:dyDescent="0.25">
      <c r="A229" s="1840"/>
      <c r="B229" s="1100" t="s">
        <v>1404</v>
      </c>
      <c r="C229" s="2142"/>
      <c r="D229" s="2142"/>
      <c r="E229" s="2142"/>
      <c r="F229" s="2142"/>
      <c r="G229" s="2142"/>
      <c r="H229" s="2142"/>
      <c r="I229" s="2142"/>
      <c r="J229" s="2142"/>
      <c r="K229" s="2142"/>
      <c r="L229" s="2142"/>
      <c r="M229" s="2142"/>
      <c r="N229" s="2142"/>
      <c r="S229" s="1834"/>
      <c r="V229" s="1834"/>
      <c r="Y229" s="1835"/>
      <c r="Z229" s="1835"/>
    </row>
    <row r="230" spans="1:26" s="1833" customFormat="1" ht="15.75" x14ac:dyDescent="0.25">
      <c r="A230" s="1840"/>
      <c r="B230" s="1629" t="s">
        <v>1093</v>
      </c>
      <c r="C230" s="1631">
        <v>19274</v>
      </c>
      <c r="D230" s="1631">
        <v>26563</v>
      </c>
      <c r="E230" s="1631">
        <v>28279</v>
      </c>
      <c r="F230" s="1631">
        <v>21878</v>
      </c>
      <c r="G230" s="1631">
        <v>24768</v>
      </c>
      <c r="H230" s="1631">
        <v>22791</v>
      </c>
      <c r="I230" s="1631">
        <v>20710</v>
      </c>
      <c r="J230" s="1631">
        <v>22501</v>
      </c>
      <c r="K230" s="1631">
        <v>24666</v>
      </c>
      <c r="L230" s="1631">
        <v>23585</v>
      </c>
      <c r="M230" s="1631">
        <v>22578</v>
      </c>
      <c r="N230" s="1631">
        <v>16574</v>
      </c>
      <c r="S230" s="1834"/>
      <c r="V230" s="1834"/>
      <c r="Y230" s="1835"/>
      <c r="Z230" s="1835"/>
    </row>
    <row r="231" spans="1:26" s="1833" customFormat="1" ht="15.75" x14ac:dyDescent="0.25">
      <c r="A231" s="1840"/>
      <c r="B231" s="1629" t="s">
        <v>1094</v>
      </c>
      <c r="C231" s="1631">
        <v>3648.429999999993</v>
      </c>
      <c r="D231" s="1631">
        <v>5497.0200000000186</v>
      </c>
      <c r="E231" s="1631">
        <v>5041.5300000000279</v>
      </c>
      <c r="F231" s="1631">
        <v>6057.2399999999907</v>
      </c>
      <c r="G231" s="1631">
        <v>5741.2399999999907</v>
      </c>
      <c r="H231" s="1631">
        <v>4733.7799999999697</v>
      </c>
      <c r="I231" s="1631">
        <v>4701.4900000000489</v>
      </c>
      <c r="J231" s="1631">
        <v>5475.429999999993</v>
      </c>
      <c r="K231" s="1631">
        <v>6186</v>
      </c>
      <c r="L231" s="1631">
        <v>5403.1999999999534</v>
      </c>
      <c r="M231" s="1631">
        <v>5181.6900000000023</v>
      </c>
      <c r="N231" s="1631">
        <v>3283.3400000000256</v>
      </c>
      <c r="S231" s="1834"/>
      <c r="V231" s="1834"/>
      <c r="Y231" s="1835"/>
      <c r="Z231" s="1835"/>
    </row>
    <row r="232" spans="1:26" s="1833" customFormat="1" ht="15.75" x14ac:dyDescent="0.25">
      <c r="A232" s="1840"/>
      <c r="B232" s="1629" t="s">
        <v>1097</v>
      </c>
      <c r="C232" s="1631">
        <v>13562.419999999925</v>
      </c>
      <c r="D232" s="1631">
        <v>16225.660000000033</v>
      </c>
      <c r="E232" s="1631">
        <v>11823.689999999944</v>
      </c>
      <c r="F232" s="1631">
        <v>16285.820000000065</v>
      </c>
      <c r="G232" s="1631">
        <v>12999.170000000042</v>
      </c>
      <c r="H232" s="1631">
        <v>13335.630000000005</v>
      </c>
      <c r="I232" s="1631">
        <v>11251.929999999935</v>
      </c>
      <c r="J232" s="1631">
        <v>11431.859999999986</v>
      </c>
      <c r="K232" s="1631">
        <v>12325.920000000042</v>
      </c>
      <c r="L232" s="1631">
        <v>12891.25</v>
      </c>
      <c r="M232" s="1631">
        <v>13774.530000000028</v>
      </c>
      <c r="N232" s="1631">
        <v>11479.089999999967</v>
      </c>
      <c r="S232" s="1834"/>
      <c r="V232" s="1834"/>
      <c r="Y232" s="1835"/>
      <c r="Z232" s="1835"/>
    </row>
    <row r="233" spans="1:26" s="1833" customFormat="1" ht="15.75" x14ac:dyDescent="0.25">
      <c r="A233" s="1840"/>
      <c r="B233" s="1629" t="s">
        <v>1096</v>
      </c>
      <c r="C233" s="1123">
        <v>2063.1500000000815</v>
      </c>
      <c r="D233" s="1123">
        <v>4840.3199999999488</v>
      </c>
      <c r="E233" s="1123">
        <v>11413.780000000028</v>
      </c>
      <c r="F233" s="1123">
        <v>-465.06000000005588</v>
      </c>
      <c r="G233" s="1123">
        <v>6027.5899999999674</v>
      </c>
      <c r="H233" s="1123">
        <v>4721.5900000000256</v>
      </c>
      <c r="I233" s="1123">
        <v>4756.5800000000163</v>
      </c>
      <c r="J233" s="1123">
        <v>5593.710000000021</v>
      </c>
      <c r="K233" s="1123">
        <v>6154.0799999999581</v>
      </c>
      <c r="L233" s="1123">
        <v>5290.5500000000466</v>
      </c>
      <c r="M233" s="1123">
        <v>3621.7799999999697</v>
      </c>
      <c r="N233" s="1123">
        <v>1811.570000000007</v>
      </c>
      <c r="S233" s="1834"/>
      <c r="V233" s="1834"/>
      <c r="Y233" s="1835"/>
      <c r="Z233" s="1835"/>
    </row>
    <row r="234" spans="1:26" s="1833" customFormat="1" ht="15.75" x14ac:dyDescent="0.25">
      <c r="A234" s="1840"/>
      <c r="B234" s="1629"/>
      <c r="C234" s="1123"/>
      <c r="D234" s="1123"/>
      <c r="E234" s="1123"/>
      <c r="F234" s="1123"/>
      <c r="G234" s="1123"/>
      <c r="H234" s="1123"/>
      <c r="I234" s="1123"/>
      <c r="J234" s="1123"/>
      <c r="K234" s="1123"/>
      <c r="L234" s="1123"/>
      <c r="M234" s="1123"/>
      <c r="N234" s="1123"/>
      <c r="S234" s="1834"/>
      <c r="V234" s="1834"/>
      <c r="Y234" s="1835"/>
      <c r="Z234" s="1835"/>
    </row>
    <row r="235" spans="1:26" s="1833" customFormat="1" ht="15.75" x14ac:dyDescent="0.25">
      <c r="A235" s="1840"/>
      <c r="B235" s="1629" t="s">
        <v>320</v>
      </c>
      <c r="C235" s="1123">
        <v>6680</v>
      </c>
      <c r="D235" s="1123">
        <v>17870</v>
      </c>
      <c r="E235" s="1123">
        <v>21720</v>
      </c>
      <c r="F235" s="1123">
        <v>15290</v>
      </c>
      <c r="G235" s="1123">
        <v>23904.444444444442</v>
      </c>
      <c r="H235" s="1123">
        <v>49258.888888888883</v>
      </c>
      <c r="I235" s="1123">
        <v>59590</v>
      </c>
      <c r="J235" s="1123">
        <v>34091.111111111117</v>
      </c>
      <c r="K235" s="1123">
        <v>35607.777777777781</v>
      </c>
      <c r="L235" s="1123">
        <v>23290</v>
      </c>
      <c r="M235" s="1123">
        <v>9260</v>
      </c>
      <c r="N235" s="1123">
        <v>6140</v>
      </c>
      <c r="S235" s="1834"/>
      <c r="V235" s="1834"/>
      <c r="Y235" s="1835"/>
      <c r="Z235" s="1835"/>
    </row>
    <row r="236" spans="1:26" s="1833" customFormat="1" ht="15.75" x14ac:dyDescent="0.25">
      <c r="A236" s="1840"/>
      <c r="B236" s="1629" t="s">
        <v>322</v>
      </c>
      <c r="C236" s="1123">
        <v>37100.000000000131</v>
      </c>
      <c r="D236" s="1123">
        <v>117100.00000000042</v>
      </c>
      <c r="E236" s="1123">
        <v>105500.00000000038</v>
      </c>
      <c r="F236" s="1123">
        <v>94900.000000000349</v>
      </c>
      <c r="G236" s="1123">
        <v>137600.00000000049</v>
      </c>
      <c r="H236" s="1123">
        <v>91600.000000000335</v>
      </c>
      <c r="I236" s="1123">
        <v>109100.00000000039</v>
      </c>
      <c r="J236" s="1123">
        <v>93100.000000000335</v>
      </c>
      <c r="K236" s="1123">
        <v>33100.000000000124</v>
      </c>
      <c r="L236" s="1123">
        <v>57000.000000000204</v>
      </c>
      <c r="M236" s="1123">
        <v>29000.000000000106</v>
      </c>
      <c r="N236" s="1123">
        <v>1400.0000000000052</v>
      </c>
      <c r="S236" s="1834"/>
      <c r="V236" s="1834"/>
      <c r="Y236" s="1835"/>
      <c r="Z236" s="1835"/>
    </row>
    <row r="237" spans="1:26" s="1833" customFormat="1" ht="15.75" x14ac:dyDescent="0.25">
      <c r="A237" s="1840"/>
      <c r="B237" s="1632" t="s">
        <v>323</v>
      </c>
      <c r="C237" s="1123">
        <v>21484</v>
      </c>
      <c r="D237" s="1123">
        <v>25899</v>
      </c>
      <c r="E237" s="1123">
        <v>24306</v>
      </c>
      <c r="F237" s="1123">
        <v>12824</v>
      </c>
      <c r="G237" s="1123">
        <v>10780</v>
      </c>
      <c r="H237" s="1123">
        <v>7513</v>
      </c>
      <c r="I237" s="1123">
        <v>24748</v>
      </c>
      <c r="J237" s="1123" t="s">
        <v>321</v>
      </c>
      <c r="K237" s="1123">
        <v>10087</v>
      </c>
      <c r="L237" s="1123">
        <v>14413</v>
      </c>
      <c r="M237" s="1123">
        <v>14228</v>
      </c>
      <c r="N237" s="1123">
        <v>15570</v>
      </c>
      <c r="S237" s="1834"/>
      <c r="V237" s="1834"/>
      <c r="Y237" s="1835"/>
      <c r="Z237" s="1835"/>
    </row>
    <row r="238" spans="1:26" s="1833" customFormat="1" ht="15.75" x14ac:dyDescent="0.25">
      <c r="A238" s="1840"/>
      <c r="B238" s="1633"/>
      <c r="C238" s="1123"/>
      <c r="D238" s="1123"/>
      <c r="E238" s="1123"/>
      <c r="F238" s="1123"/>
      <c r="G238" s="1123"/>
      <c r="H238" s="1123"/>
      <c r="I238" s="1123"/>
      <c r="J238" s="1123"/>
      <c r="K238" s="1123"/>
      <c r="L238" s="1123"/>
      <c r="M238" s="1123"/>
      <c r="N238" s="1123"/>
      <c r="S238" s="1834"/>
      <c r="V238" s="1834"/>
      <c r="Y238" s="1835"/>
      <c r="Z238" s="1835"/>
    </row>
    <row r="239" spans="1:26" s="1833" customFormat="1" ht="15.75" x14ac:dyDescent="0.25">
      <c r="A239" s="1840"/>
      <c r="B239" s="1629" t="s">
        <v>324</v>
      </c>
      <c r="C239" s="1123">
        <v>1343.3535765184563</v>
      </c>
      <c r="D239" s="1123">
        <v>1820.6114415288991</v>
      </c>
      <c r="E239" s="1123">
        <v>1881.7884631514924</v>
      </c>
      <c r="F239" s="1123">
        <v>1221.4744639154358</v>
      </c>
      <c r="G239" s="1123">
        <v>1358.7416734388489</v>
      </c>
      <c r="H239" s="1123">
        <v>1301.1716087714663</v>
      </c>
      <c r="I239" s="1123">
        <v>1189.4998878627969</v>
      </c>
      <c r="J239" s="1123">
        <v>1227.7553998243197</v>
      </c>
      <c r="K239" s="1123">
        <v>1418.6586261719999</v>
      </c>
      <c r="L239" s="1123">
        <v>1277.6838965278871</v>
      </c>
      <c r="M239" s="1123">
        <v>1251.1766968249794</v>
      </c>
      <c r="N239" s="1123">
        <v>1027.0119977578474</v>
      </c>
      <c r="S239" s="1834"/>
      <c r="V239" s="1834"/>
      <c r="Y239" s="1835"/>
      <c r="Z239" s="1835"/>
    </row>
    <row r="240" spans="1:26" s="1833" customFormat="1" ht="15.75" x14ac:dyDescent="0.25">
      <c r="A240" s="1840"/>
      <c r="B240" s="1634" t="s">
        <v>328</v>
      </c>
      <c r="C240" s="1631">
        <v>304.19024064171231</v>
      </c>
      <c r="D240" s="1631">
        <v>984.70454545454891</v>
      </c>
      <c r="E240" s="1631">
        <v>887.15909090909406</v>
      </c>
      <c r="F240" s="1631">
        <v>798.02272727273009</v>
      </c>
      <c r="G240" s="1631">
        <v>1157.0909090909131</v>
      </c>
      <c r="H240" s="1631">
        <v>770.27272727272998</v>
      </c>
      <c r="I240" s="1631">
        <v>917.43181818182143</v>
      </c>
      <c r="J240" s="1631">
        <v>782.88636363636647</v>
      </c>
      <c r="K240" s="1631">
        <v>278.34090909091009</v>
      </c>
      <c r="L240" s="1631">
        <v>479.31818181818352</v>
      </c>
      <c r="M240" s="1631">
        <v>243.86363636363723</v>
      </c>
      <c r="N240" s="1631">
        <v>11.772727272727314</v>
      </c>
      <c r="S240" s="1834"/>
      <c r="V240" s="1834"/>
      <c r="Y240" s="1835"/>
      <c r="Z240" s="1835"/>
    </row>
    <row r="241" spans="1:26" s="1833" customFormat="1" ht="15.75" x14ac:dyDescent="0.25">
      <c r="A241" s="1840"/>
      <c r="B241" s="1633" t="s">
        <v>326</v>
      </c>
      <c r="C241" s="1631">
        <v>52.196852</v>
      </c>
      <c r="D241" s="1631">
        <v>139.63439300000002</v>
      </c>
      <c r="E241" s="1631">
        <v>169.71790799999999</v>
      </c>
      <c r="F241" s="1631">
        <v>119.474531</v>
      </c>
      <c r="G241" s="1631">
        <v>186.78693844444444</v>
      </c>
      <c r="H241" s="1631">
        <v>384.90403188888888</v>
      </c>
      <c r="I241" s="1631">
        <v>465.63030100000003</v>
      </c>
      <c r="J241" s="1631">
        <v>266.38453311111118</v>
      </c>
      <c r="K241" s="1631">
        <v>278.23561477777781</v>
      </c>
      <c r="L241" s="1631">
        <v>181.98573100000002</v>
      </c>
      <c r="M241" s="1631">
        <v>72.356713999999997</v>
      </c>
      <c r="N241" s="1631">
        <v>47.977346000000004</v>
      </c>
      <c r="S241" s="1834"/>
      <c r="V241" s="1834"/>
      <c r="Y241" s="1835"/>
      <c r="Z241" s="1835"/>
    </row>
    <row r="242" spans="1:26" s="1833" customFormat="1" ht="14.25" x14ac:dyDescent="0.2">
      <c r="A242" s="1840"/>
      <c r="B242" s="1833" t="s">
        <v>1550</v>
      </c>
      <c r="C242" s="1840"/>
      <c r="E242" s="1809"/>
      <c r="F242" s="1864"/>
      <c r="G242" s="1864"/>
      <c r="H242" s="1865"/>
      <c r="I242" s="1865"/>
      <c r="J242" s="1865"/>
      <c r="K242" s="1865"/>
      <c r="L242" s="1865"/>
      <c r="M242" s="1865"/>
      <c r="N242" s="1865"/>
      <c r="O242" s="1865"/>
      <c r="P242" s="1865"/>
      <c r="S242" s="1834"/>
      <c r="V242" s="1834"/>
      <c r="Y242" s="1835"/>
      <c r="Z242" s="1835"/>
    </row>
    <row r="243" spans="1:26" s="1833" customFormat="1" ht="15.75" x14ac:dyDescent="0.25">
      <c r="A243" s="1840"/>
      <c r="B243" s="1109"/>
      <c r="C243" s="1840"/>
      <c r="D243" s="1835"/>
      <c r="S243" s="1834"/>
      <c r="V243" s="1834"/>
      <c r="Y243" s="1835"/>
      <c r="Z243" s="1835"/>
    </row>
    <row r="244" spans="1:26" s="125" customFormat="1" x14ac:dyDescent="0.25">
      <c r="A244" s="461">
        <v>17</v>
      </c>
      <c r="B244" s="148" t="s">
        <v>562</v>
      </c>
      <c r="C244" s="152"/>
      <c r="S244" s="126"/>
      <c r="T244" s="148" t="s">
        <v>562</v>
      </c>
      <c r="V244" s="126"/>
      <c r="Y244" s="157"/>
      <c r="Z244" s="157"/>
    </row>
    <row r="245" spans="1:26" s="1833" customFormat="1" ht="15.75" x14ac:dyDescent="0.25">
      <c r="A245" s="1840"/>
      <c r="B245" s="472" t="s">
        <v>728</v>
      </c>
      <c r="C245" s="473" t="s">
        <v>1540</v>
      </c>
      <c r="D245" s="473">
        <v>42583</v>
      </c>
      <c r="E245" s="473">
        <v>42614</v>
      </c>
      <c r="F245" s="473">
        <v>42644</v>
      </c>
      <c r="G245" s="473">
        <v>42675</v>
      </c>
      <c r="H245" s="473">
        <v>42705</v>
      </c>
      <c r="I245" s="473">
        <v>42736</v>
      </c>
      <c r="J245" s="473">
        <v>42767</v>
      </c>
      <c r="K245" s="473">
        <v>42795</v>
      </c>
      <c r="L245" s="473">
        <v>42826</v>
      </c>
      <c r="M245" s="473">
        <v>42856</v>
      </c>
      <c r="N245" s="473">
        <v>42887</v>
      </c>
      <c r="S245" s="1834"/>
      <c r="V245" s="1834"/>
      <c r="Y245" s="1835"/>
      <c r="Z245" s="1835"/>
    </row>
    <row r="246" spans="1:26" s="1833" customFormat="1" ht="15.75" x14ac:dyDescent="0.25">
      <c r="A246" s="1840"/>
      <c r="B246" s="1100" t="s">
        <v>1405</v>
      </c>
      <c r="C246" s="2144"/>
      <c r="D246" s="2144"/>
      <c r="E246" s="2144"/>
      <c r="F246" s="2144"/>
      <c r="G246" s="2144"/>
      <c r="H246" s="2144"/>
      <c r="I246" s="2144"/>
      <c r="J246" s="2144"/>
      <c r="K246" s="2144"/>
      <c r="L246" s="2144"/>
      <c r="M246" s="2144"/>
      <c r="N246" s="2144"/>
      <c r="S246" s="1834"/>
      <c r="V246" s="1834"/>
      <c r="Y246" s="1835"/>
      <c r="Z246" s="1835"/>
    </row>
    <row r="247" spans="1:26" s="1833" customFormat="1" ht="15.75" x14ac:dyDescent="0.25">
      <c r="A247" s="1840"/>
      <c r="B247" s="1629" t="s">
        <v>1093</v>
      </c>
      <c r="C247" s="1123">
        <v>19969</v>
      </c>
      <c r="D247" s="1123">
        <v>25374</v>
      </c>
      <c r="E247" s="1123">
        <v>26868</v>
      </c>
      <c r="F247" s="1123">
        <v>22056</v>
      </c>
      <c r="G247" s="1123">
        <v>25355</v>
      </c>
      <c r="H247" s="1123">
        <v>23119</v>
      </c>
      <c r="I247" s="1123">
        <v>21134</v>
      </c>
      <c r="J247" s="1123">
        <v>23134</v>
      </c>
      <c r="K247" s="1123">
        <v>26601</v>
      </c>
      <c r="L247" s="1123">
        <v>23753</v>
      </c>
      <c r="M247" s="1123">
        <v>24223</v>
      </c>
      <c r="N247" s="1123">
        <v>18849</v>
      </c>
      <c r="S247" s="1834"/>
      <c r="V247" s="1834"/>
      <c r="Y247" s="1835"/>
      <c r="Z247" s="1835"/>
    </row>
    <row r="248" spans="1:26" s="1833" customFormat="1" ht="15.75" x14ac:dyDescent="0.25">
      <c r="A248" s="1840"/>
      <c r="B248" s="1629" t="s">
        <v>1094</v>
      </c>
      <c r="C248" s="1123">
        <v>4487</v>
      </c>
      <c r="D248" s="1123">
        <v>5379</v>
      </c>
      <c r="E248" s="1123">
        <v>5447</v>
      </c>
      <c r="F248" s="1123">
        <v>6027</v>
      </c>
      <c r="G248" s="1123">
        <v>6218</v>
      </c>
      <c r="H248" s="1123">
        <v>5327</v>
      </c>
      <c r="I248" s="1123">
        <v>5279</v>
      </c>
      <c r="J248" s="1123">
        <v>5704</v>
      </c>
      <c r="K248" s="1123">
        <v>6431</v>
      </c>
      <c r="L248" s="1123">
        <v>5443</v>
      </c>
      <c r="M248" s="1123">
        <v>6129</v>
      </c>
      <c r="N248" s="1123">
        <v>4483</v>
      </c>
      <c r="S248" s="1834"/>
      <c r="V248" s="1834"/>
      <c r="Y248" s="1835"/>
      <c r="Z248" s="1835"/>
    </row>
    <row r="249" spans="1:26" s="1833" customFormat="1" ht="15.75" x14ac:dyDescent="0.25">
      <c r="A249" s="1840"/>
      <c r="B249" s="1629" t="s">
        <v>1095</v>
      </c>
      <c r="C249" s="1123">
        <v>13237.29999999993</v>
      </c>
      <c r="D249" s="1123">
        <v>15304.5</v>
      </c>
      <c r="E249" s="1123">
        <v>11581.180000000051</v>
      </c>
      <c r="F249" s="1123">
        <v>14806.260000000009</v>
      </c>
      <c r="G249" s="1123">
        <v>13110.680000000051</v>
      </c>
      <c r="H249" s="1123">
        <v>13217.679999999935</v>
      </c>
      <c r="I249" s="1123">
        <v>11106.849999999977</v>
      </c>
      <c r="J249" s="1123">
        <v>11772.989999999991</v>
      </c>
      <c r="K249" s="1123">
        <v>13969.920000000042</v>
      </c>
      <c r="L249" s="1123">
        <v>12864.229999999981</v>
      </c>
      <c r="M249" s="1123">
        <v>14610.570000000065</v>
      </c>
      <c r="N249" s="1123">
        <v>12152.5</v>
      </c>
      <c r="S249" s="1834"/>
      <c r="V249" s="1834"/>
      <c r="Y249" s="1835"/>
      <c r="Z249" s="1835"/>
    </row>
    <row r="250" spans="1:26" s="1833" customFormat="1" ht="15.75" x14ac:dyDescent="0.25">
      <c r="A250" s="1840"/>
      <c r="B250" s="1629" t="s">
        <v>1096</v>
      </c>
      <c r="C250" s="1123">
        <f>C247-(C248+C249)</f>
        <v>2244.7000000000698</v>
      </c>
      <c r="D250" s="1123">
        <f t="shared" ref="D250:N250" si="7">D247-(D248+D249)</f>
        <v>4690.5</v>
      </c>
      <c r="E250" s="1123">
        <f t="shared" si="7"/>
        <v>9839.8199999999488</v>
      </c>
      <c r="F250" s="1123">
        <f t="shared" si="7"/>
        <v>1222.7399999999907</v>
      </c>
      <c r="G250" s="1123">
        <f t="shared" si="7"/>
        <v>6026.3199999999488</v>
      </c>
      <c r="H250" s="1123">
        <f t="shared" si="7"/>
        <v>4574.3200000000652</v>
      </c>
      <c r="I250" s="1123">
        <f t="shared" si="7"/>
        <v>4748.1500000000233</v>
      </c>
      <c r="J250" s="1123">
        <f t="shared" si="7"/>
        <v>5657.0100000000093</v>
      </c>
      <c r="K250" s="1123">
        <f t="shared" si="7"/>
        <v>6200.0799999999581</v>
      </c>
      <c r="L250" s="1123">
        <f t="shared" si="7"/>
        <v>5445.7700000000186</v>
      </c>
      <c r="M250" s="1123">
        <f t="shared" si="7"/>
        <v>3483.4299999999348</v>
      </c>
      <c r="N250" s="1123">
        <f t="shared" si="7"/>
        <v>2213.5</v>
      </c>
      <c r="S250" s="1834"/>
      <c r="V250" s="1834"/>
      <c r="Y250" s="1835"/>
      <c r="Z250" s="1835"/>
    </row>
    <row r="251" spans="1:26" s="1833" customFormat="1" ht="15.75" x14ac:dyDescent="0.25">
      <c r="A251" s="1840"/>
      <c r="B251" s="1629"/>
      <c r="C251" s="1123"/>
      <c r="D251" s="1123"/>
      <c r="E251" s="1123"/>
      <c r="F251" s="1123"/>
      <c r="G251" s="1123"/>
      <c r="H251" s="1123"/>
      <c r="I251" s="1123"/>
      <c r="J251" s="1123"/>
      <c r="K251" s="1123"/>
      <c r="L251" s="1123"/>
      <c r="M251" s="1123"/>
      <c r="N251" s="1123"/>
      <c r="S251" s="1834"/>
      <c r="V251" s="1834"/>
      <c r="Y251" s="1835"/>
      <c r="Z251" s="1835"/>
    </row>
    <row r="252" spans="1:26" s="1833" customFormat="1" ht="15.75" x14ac:dyDescent="0.25">
      <c r="A252" s="1840"/>
      <c r="B252" s="1629" t="s">
        <v>320</v>
      </c>
      <c r="C252" s="1123">
        <v>2930</v>
      </c>
      <c r="D252" s="1123">
        <v>2840</v>
      </c>
      <c r="E252" s="1123">
        <v>10570</v>
      </c>
      <c r="F252" s="1123">
        <v>9710</v>
      </c>
      <c r="G252" s="1123">
        <v>25390</v>
      </c>
      <c r="H252" s="1123">
        <v>72570</v>
      </c>
      <c r="I252" s="1123">
        <v>75300</v>
      </c>
      <c r="J252" s="1123">
        <v>40940</v>
      </c>
      <c r="K252" s="1123">
        <v>49300</v>
      </c>
      <c r="L252" s="1123">
        <v>5340</v>
      </c>
      <c r="M252" s="1123">
        <v>1010</v>
      </c>
      <c r="N252" s="1123">
        <v>1120</v>
      </c>
      <c r="S252" s="1834"/>
      <c r="V252" s="1834"/>
      <c r="Y252" s="1835"/>
      <c r="Z252" s="1835"/>
    </row>
    <row r="253" spans="1:26" s="1833" customFormat="1" ht="15.75" x14ac:dyDescent="0.25">
      <c r="A253" s="1840"/>
      <c r="B253" s="1633" t="s">
        <v>322</v>
      </c>
      <c r="C253" s="1123">
        <v>39400.000000000146</v>
      </c>
      <c r="D253" s="1123">
        <v>75400.000000000276</v>
      </c>
      <c r="E253" s="1123">
        <v>120000.00000000044</v>
      </c>
      <c r="F253" s="1123">
        <v>112000.00000000041</v>
      </c>
      <c r="G253" s="1123">
        <v>143900.00000000052</v>
      </c>
      <c r="H253" s="1123">
        <v>129900.00000000048</v>
      </c>
      <c r="I253" s="1123">
        <v>66800.000000000247</v>
      </c>
      <c r="J253" s="1123">
        <v>57200.000000000204</v>
      </c>
      <c r="K253" s="1123">
        <v>55400.000000000204</v>
      </c>
      <c r="L253" s="1123">
        <v>53900.000000000196</v>
      </c>
      <c r="M253" s="1123">
        <v>24100.000000000087</v>
      </c>
      <c r="N253" s="1123">
        <v>9400.0000000000346</v>
      </c>
      <c r="S253" s="1834"/>
      <c r="V253" s="1834"/>
      <c r="Y253" s="1835"/>
      <c r="Z253" s="1835"/>
    </row>
    <row r="254" spans="1:26" s="1833" customFormat="1" ht="15.75" x14ac:dyDescent="0.25">
      <c r="A254" s="1840"/>
      <c r="B254" s="1632" t="s">
        <v>323</v>
      </c>
      <c r="C254" s="1123">
        <v>22717</v>
      </c>
      <c r="D254" s="1123">
        <v>25761</v>
      </c>
      <c r="E254" s="1123">
        <v>23078</v>
      </c>
      <c r="F254" s="1123">
        <v>6564</v>
      </c>
      <c r="G254" s="1123">
        <v>5436</v>
      </c>
      <c r="H254" s="1123">
        <v>4947</v>
      </c>
      <c r="I254" s="1123">
        <v>5318</v>
      </c>
      <c r="J254" s="1123">
        <v>7817</v>
      </c>
      <c r="K254" s="1123">
        <v>9341</v>
      </c>
      <c r="L254" s="1123">
        <v>14442</v>
      </c>
      <c r="M254" s="1123">
        <v>16173</v>
      </c>
      <c r="N254" s="1123">
        <v>18973</v>
      </c>
      <c r="S254" s="1834"/>
      <c r="V254" s="1834"/>
      <c r="Y254" s="1835"/>
      <c r="Z254" s="1835"/>
    </row>
    <row r="255" spans="1:26" s="1833" customFormat="1" ht="15.75" x14ac:dyDescent="0.25">
      <c r="A255" s="1840"/>
      <c r="B255" s="1633"/>
      <c r="C255" s="1123"/>
      <c r="D255" s="1123"/>
      <c r="E255" s="1123"/>
      <c r="F255" s="1123"/>
      <c r="G255" s="1123"/>
      <c r="H255" s="1123"/>
      <c r="I255" s="1123"/>
      <c r="J255" s="1123"/>
      <c r="K255" s="1123"/>
      <c r="L255" s="1123"/>
      <c r="M255" s="1123"/>
      <c r="N255" s="1123"/>
      <c r="S255" s="1834"/>
      <c r="V255" s="1834"/>
      <c r="Y255" s="1835"/>
      <c r="Z255" s="1835"/>
    </row>
    <row r="256" spans="1:26" s="1833" customFormat="1" ht="15.75" x14ac:dyDescent="0.25">
      <c r="A256" s="1840"/>
      <c r="B256" s="1629" t="s">
        <v>324</v>
      </c>
      <c r="C256" s="1123">
        <v>1391.7934818666106</v>
      </c>
      <c r="D256" s="1123">
        <v>1739.1181236063053</v>
      </c>
      <c r="E256" s="1123">
        <v>1787.8953438224228</v>
      </c>
      <c r="F256" s="1123">
        <v>1231.4124132059078</v>
      </c>
      <c r="G256" s="1123">
        <v>1390.9437633253399</v>
      </c>
      <c r="H256" s="1123">
        <v>1319.8976097225891</v>
      </c>
      <c r="I256" s="1123">
        <v>1213.8527585751979</v>
      </c>
      <c r="J256" s="1123">
        <v>1262.2947166586289</v>
      </c>
      <c r="K256" s="1123">
        <v>1529.9496519419999</v>
      </c>
      <c r="L256" s="1123">
        <v>1286.7850580549884</v>
      </c>
      <c r="M256" s="1123">
        <v>1342.3355978027937</v>
      </c>
      <c r="N256" s="1123">
        <v>1167.9829338565021</v>
      </c>
      <c r="S256" s="1834"/>
      <c r="V256" s="1834"/>
      <c r="Y256" s="1835"/>
      <c r="Z256" s="1835"/>
    </row>
    <row r="257" spans="1:26" s="1833" customFormat="1" ht="15.75" x14ac:dyDescent="0.25">
      <c r="A257" s="1840"/>
      <c r="B257" s="1634" t="s">
        <v>328</v>
      </c>
      <c r="C257" s="1631">
        <v>323.04839572192628</v>
      </c>
      <c r="D257" s="1631">
        <v>634.04545454545678</v>
      </c>
      <c r="E257" s="1631">
        <v>1009.0909090909126</v>
      </c>
      <c r="F257" s="1631">
        <v>941.81818181818517</v>
      </c>
      <c r="G257" s="1631">
        <v>1210.0681818181861</v>
      </c>
      <c r="H257" s="1631">
        <v>1092.3409090909131</v>
      </c>
      <c r="I257" s="1631">
        <v>561.72727272727479</v>
      </c>
      <c r="J257" s="1631">
        <v>481.00000000000171</v>
      </c>
      <c r="K257" s="1631">
        <v>465.86363636363802</v>
      </c>
      <c r="L257" s="1631">
        <v>453.25000000000159</v>
      </c>
      <c r="M257" s="1631">
        <v>202.65909090909162</v>
      </c>
      <c r="N257" s="1631">
        <v>79.045454545454831</v>
      </c>
      <c r="S257" s="1834"/>
      <c r="V257" s="1834"/>
      <c r="Y257" s="1835"/>
      <c r="Z257" s="1835"/>
    </row>
    <row r="258" spans="1:26" s="1833" customFormat="1" ht="15.75" x14ac:dyDescent="0.25">
      <c r="A258" s="1840"/>
      <c r="B258" s="1633" t="s">
        <v>326</v>
      </c>
      <c r="C258" s="1631">
        <f>0.0078139*C252</f>
        <v>22.894727</v>
      </c>
      <c r="D258" s="1631">
        <f t="shared" ref="D258:N258" si="8">0.0078139*D252</f>
        <v>22.191476000000002</v>
      </c>
      <c r="E258" s="1631">
        <f t="shared" si="8"/>
        <v>82.592922999999999</v>
      </c>
      <c r="F258" s="1631">
        <f t="shared" si="8"/>
        <v>75.872968999999998</v>
      </c>
      <c r="G258" s="1631">
        <f t="shared" si="8"/>
        <v>198.39492100000001</v>
      </c>
      <c r="H258" s="1631">
        <f t="shared" si="8"/>
        <v>567.05472300000008</v>
      </c>
      <c r="I258" s="1631">
        <f t="shared" si="8"/>
        <v>588.38666999999998</v>
      </c>
      <c r="J258" s="1631">
        <f t="shared" si="8"/>
        <v>319.90106600000001</v>
      </c>
      <c r="K258" s="1631">
        <f t="shared" si="8"/>
        <v>385.22527000000002</v>
      </c>
      <c r="L258" s="1631">
        <f t="shared" si="8"/>
        <v>41.726226000000004</v>
      </c>
      <c r="M258" s="1631">
        <f t="shared" si="8"/>
        <v>7.8920390000000005</v>
      </c>
      <c r="N258" s="1631">
        <f t="shared" si="8"/>
        <v>8.7515680000000007</v>
      </c>
      <c r="S258" s="1834"/>
      <c r="V258" s="1834"/>
      <c r="Y258" s="1835"/>
      <c r="Z258" s="1835"/>
    </row>
    <row r="259" spans="1:26" s="125" customFormat="1" x14ac:dyDescent="0.25">
      <c r="A259" s="461"/>
      <c r="B259" s="205"/>
      <c r="C259" s="152"/>
      <c r="E259" s="201"/>
      <c r="F259" s="202"/>
      <c r="G259" s="202"/>
      <c r="H259" s="203"/>
      <c r="I259" s="203"/>
      <c r="J259" s="203"/>
      <c r="K259" s="203"/>
      <c r="L259" s="203"/>
      <c r="M259" s="203"/>
      <c r="N259" s="203"/>
      <c r="O259" s="203"/>
      <c r="P259" s="203"/>
      <c r="S259" s="126"/>
      <c r="U259" s="447"/>
      <c r="V259" s="126"/>
      <c r="Y259" s="157"/>
      <c r="Z259" s="157"/>
    </row>
    <row r="260" spans="1:26" s="125" customFormat="1" x14ac:dyDescent="0.25">
      <c r="A260" s="461">
        <v>18</v>
      </c>
      <c r="B260" s="148" t="s">
        <v>563</v>
      </c>
      <c r="C260" s="152"/>
      <c r="E260" s="157"/>
      <c r="F260" s="157"/>
      <c r="G260" s="157"/>
      <c r="H260" s="157"/>
      <c r="I260" s="157"/>
      <c r="J260" s="157"/>
      <c r="K260" s="157"/>
      <c r="L260" s="157"/>
      <c r="M260" s="157"/>
      <c r="N260" s="157"/>
      <c r="O260" s="157"/>
      <c r="P260" s="157"/>
      <c r="S260" s="126"/>
      <c r="T260" s="148" t="s">
        <v>563</v>
      </c>
      <c r="V260" s="126"/>
      <c r="Y260" s="157"/>
      <c r="Z260" s="157"/>
    </row>
    <row r="261" spans="1:26" s="1833" customFormat="1" ht="15.75" x14ac:dyDescent="0.25">
      <c r="A261" s="1840"/>
      <c r="B261" s="472" t="s">
        <v>729</v>
      </c>
      <c r="C261" s="473" t="s">
        <v>1540</v>
      </c>
      <c r="D261" s="473">
        <v>42583</v>
      </c>
      <c r="E261" s="473">
        <v>42614</v>
      </c>
      <c r="F261" s="473">
        <v>42644</v>
      </c>
      <c r="G261" s="473">
        <v>42675</v>
      </c>
      <c r="H261" s="473">
        <v>42705</v>
      </c>
      <c r="I261" s="473">
        <v>42736</v>
      </c>
      <c r="J261" s="473">
        <v>42767</v>
      </c>
      <c r="K261" s="473">
        <v>42795</v>
      </c>
      <c r="L261" s="473">
        <v>42826</v>
      </c>
      <c r="M261" s="473">
        <v>42856</v>
      </c>
      <c r="N261" s="473">
        <v>42887</v>
      </c>
      <c r="S261" s="1834"/>
      <c r="V261" s="1834"/>
      <c r="Y261" s="1835"/>
      <c r="Z261" s="1835"/>
    </row>
    <row r="262" spans="1:26" s="1833" customFormat="1" ht="15.75" x14ac:dyDescent="0.25">
      <c r="A262" s="1840"/>
      <c r="B262" s="1100" t="s">
        <v>1406</v>
      </c>
      <c r="C262" s="2142"/>
      <c r="D262" s="2142"/>
      <c r="E262" s="2142"/>
      <c r="F262" s="2142"/>
      <c r="G262" s="2142"/>
      <c r="H262" s="2142"/>
      <c r="I262" s="2142"/>
      <c r="J262" s="2142"/>
      <c r="K262" s="2142"/>
      <c r="L262" s="2142"/>
      <c r="M262" s="2142"/>
      <c r="N262" s="2142"/>
      <c r="S262" s="1834"/>
      <c r="V262" s="1834"/>
      <c r="Y262" s="1835"/>
      <c r="Z262" s="1835"/>
    </row>
    <row r="263" spans="1:26" s="1833" customFormat="1" ht="15.75" x14ac:dyDescent="0.25">
      <c r="A263" s="1840"/>
      <c r="B263" s="1629" t="s">
        <v>1093</v>
      </c>
      <c r="C263" s="1631">
        <v>23243</v>
      </c>
      <c r="D263" s="1631">
        <v>31723</v>
      </c>
      <c r="E263" s="1631">
        <v>33831</v>
      </c>
      <c r="F263" s="1631">
        <v>26694</v>
      </c>
      <c r="G263" s="1631">
        <v>28058</v>
      </c>
      <c r="H263" s="1631">
        <v>28507</v>
      </c>
      <c r="I263" s="1631">
        <v>25550</v>
      </c>
      <c r="J263" s="1631">
        <v>27252</v>
      </c>
      <c r="K263" s="1631">
        <v>31964</v>
      </c>
      <c r="L263" s="1631">
        <v>28723</v>
      </c>
      <c r="M263" s="1631">
        <v>28894</v>
      </c>
      <c r="N263" s="1631">
        <v>23949</v>
      </c>
      <c r="S263" s="1834"/>
      <c r="V263" s="1834"/>
      <c r="Y263" s="1835"/>
      <c r="Z263" s="1835"/>
    </row>
    <row r="264" spans="1:26" s="1833" customFormat="1" ht="15.75" x14ac:dyDescent="0.25">
      <c r="A264" s="1840"/>
      <c r="B264" s="1633" t="s">
        <v>1094</v>
      </c>
      <c r="C264" s="1123">
        <v>3840.7199999999721</v>
      </c>
      <c r="D264" s="1123">
        <v>6013.0100000000093</v>
      </c>
      <c r="E264" s="1123">
        <v>5468.25</v>
      </c>
      <c r="F264" s="1123">
        <v>6469.640000000014</v>
      </c>
      <c r="G264" s="1123">
        <v>5978.9400000000023</v>
      </c>
      <c r="H264" s="1123">
        <v>4970.1699999999837</v>
      </c>
      <c r="I264" s="1123">
        <v>5017.0499999999884</v>
      </c>
      <c r="J264" s="1123">
        <v>5637.5100000000093</v>
      </c>
      <c r="K264" s="1123">
        <v>6394.1500000000233</v>
      </c>
      <c r="L264" s="1123">
        <v>5574.429999999993</v>
      </c>
      <c r="M264" s="1123">
        <v>5883.2299999999814</v>
      </c>
      <c r="N264" s="1123">
        <v>4784.2000000000116</v>
      </c>
      <c r="S264" s="1834"/>
      <c r="V264" s="1834"/>
      <c r="Y264" s="1835"/>
      <c r="Z264" s="1835"/>
    </row>
    <row r="265" spans="1:26" s="1833" customFormat="1" ht="15.75" x14ac:dyDescent="0.25">
      <c r="A265" s="1840"/>
      <c r="B265" s="1633" t="s">
        <v>1095</v>
      </c>
      <c r="C265" s="1123" t="s">
        <v>1541</v>
      </c>
      <c r="D265" s="1123">
        <v>17442.919999999925</v>
      </c>
      <c r="E265" s="1123">
        <v>13235.829999999958</v>
      </c>
      <c r="F265" s="1123">
        <v>14294.919999999978</v>
      </c>
      <c r="G265" s="1123">
        <v>12206.010000000009</v>
      </c>
      <c r="H265" s="1123">
        <v>14374.719999999972</v>
      </c>
      <c r="I265" s="1123">
        <v>12221</v>
      </c>
      <c r="J265" s="1123">
        <v>12727.70000000007</v>
      </c>
      <c r="K265" s="1123">
        <v>15828.539999999921</v>
      </c>
      <c r="L265" s="1123">
        <v>14486.190000000061</v>
      </c>
      <c r="M265" s="1123">
        <v>16114.179999999935</v>
      </c>
      <c r="N265" s="1123">
        <v>14080.680000000051</v>
      </c>
      <c r="S265" s="1834"/>
      <c r="V265" s="1834"/>
      <c r="Y265" s="1835"/>
      <c r="Z265" s="1835"/>
    </row>
    <row r="266" spans="1:26" s="1833" customFormat="1" ht="15.75" x14ac:dyDescent="0.25">
      <c r="A266" s="1840"/>
      <c r="B266" s="1633" t="s">
        <v>1407</v>
      </c>
      <c r="C266" s="1123">
        <v>2841</v>
      </c>
      <c r="D266" s="1123">
        <v>2732</v>
      </c>
      <c r="E266" s="1123">
        <v>3101</v>
      </c>
      <c r="F266" s="1123">
        <v>3253</v>
      </c>
      <c r="G266" s="1123">
        <v>3928</v>
      </c>
      <c r="H266" s="1123">
        <v>3929</v>
      </c>
      <c r="I266" s="1123">
        <v>3878</v>
      </c>
      <c r="J266" s="1123">
        <v>3480</v>
      </c>
      <c r="K266" s="1123">
        <v>3040</v>
      </c>
      <c r="L266" s="1123">
        <v>2912</v>
      </c>
      <c r="M266" s="1123">
        <v>2644</v>
      </c>
      <c r="N266" s="1123">
        <v>2330</v>
      </c>
      <c r="S266" s="1834"/>
      <c r="V266" s="1834"/>
      <c r="Y266" s="1835"/>
      <c r="Z266" s="1835"/>
    </row>
    <row r="267" spans="1:26" s="1833" customFormat="1" ht="15.75" x14ac:dyDescent="0.25">
      <c r="A267" s="1840"/>
      <c r="B267" s="1629" t="s">
        <v>1096</v>
      </c>
      <c r="C267" s="1123" t="s">
        <v>1541</v>
      </c>
      <c r="D267" s="1631">
        <f t="shared" ref="D267:N267" si="9">D263-(D264+D265)</f>
        <v>8267.0700000000652</v>
      </c>
      <c r="E267" s="1631">
        <f t="shared" si="9"/>
        <v>15126.920000000042</v>
      </c>
      <c r="F267" s="1631">
        <f t="shared" si="9"/>
        <v>5929.4400000000096</v>
      </c>
      <c r="G267" s="1631">
        <f t="shared" si="9"/>
        <v>9873.0499999999884</v>
      </c>
      <c r="H267" s="1631">
        <f t="shared" si="9"/>
        <v>9162.1100000000442</v>
      </c>
      <c r="I267" s="1631">
        <f t="shared" si="9"/>
        <v>8311.9500000000116</v>
      </c>
      <c r="J267" s="1631">
        <f t="shared" si="9"/>
        <v>8886.7899999999208</v>
      </c>
      <c r="K267" s="1631">
        <f t="shared" si="9"/>
        <v>9741.3100000000559</v>
      </c>
      <c r="L267" s="1631">
        <f t="shared" si="9"/>
        <v>8662.3799999999464</v>
      </c>
      <c r="M267" s="1631">
        <f t="shared" si="9"/>
        <v>6896.5900000000838</v>
      </c>
      <c r="N267" s="1631">
        <f t="shared" si="9"/>
        <v>5084.1199999999371</v>
      </c>
      <c r="S267" s="1834"/>
      <c r="V267" s="1834"/>
      <c r="Y267" s="1835"/>
      <c r="Z267" s="1835"/>
    </row>
    <row r="268" spans="1:26" s="1833" customFormat="1" ht="15.75" x14ac:dyDescent="0.25">
      <c r="A268" s="1840"/>
      <c r="B268" s="1629"/>
      <c r="C268" s="1631"/>
      <c r="D268" s="1631"/>
      <c r="E268" s="1631"/>
      <c r="F268" s="1631"/>
      <c r="G268" s="1631"/>
      <c r="H268" s="1631"/>
      <c r="I268" s="1631"/>
      <c r="J268" s="1631"/>
      <c r="K268" s="1631"/>
      <c r="L268" s="1631"/>
      <c r="M268" s="1631"/>
      <c r="N268" s="1631"/>
      <c r="S268" s="1834"/>
      <c r="V268" s="1834"/>
      <c r="Y268" s="1835"/>
      <c r="Z268" s="1835"/>
    </row>
    <row r="269" spans="1:26" s="1833" customFormat="1" ht="15.75" x14ac:dyDescent="0.25">
      <c r="A269" s="1840"/>
      <c r="B269" s="1629" t="s">
        <v>320</v>
      </c>
      <c r="C269" s="1123">
        <v>4960</v>
      </c>
      <c r="D269" s="1123">
        <v>5800</v>
      </c>
      <c r="E269" s="1123">
        <v>12680</v>
      </c>
      <c r="F269" s="1123">
        <v>15600</v>
      </c>
      <c r="G269" s="1123">
        <v>17590</v>
      </c>
      <c r="H269" s="1123">
        <v>21200</v>
      </c>
      <c r="I269" s="1123">
        <v>40040</v>
      </c>
      <c r="J269" s="1123">
        <v>20570</v>
      </c>
      <c r="K269" s="1123">
        <v>17230</v>
      </c>
      <c r="L269" s="1123">
        <v>13660</v>
      </c>
      <c r="M269" s="1123">
        <v>8500</v>
      </c>
      <c r="N269" s="1123">
        <v>2820</v>
      </c>
      <c r="S269" s="1834"/>
      <c r="V269" s="1834"/>
      <c r="Y269" s="1835"/>
      <c r="Z269" s="1835"/>
    </row>
    <row r="270" spans="1:26" s="1833" customFormat="1" ht="15.75" x14ac:dyDescent="0.25">
      <c r="A270" s="1840"/>
      <c r="B270" s="1629" t="s">
        <v>322</v>
      </c>
      <c r="C270" s="1631">
        <v>16600.000000000062</v>
      </c>
      <c r="D270" s="1631">
        <v>73500.000000000262</v>
      </c>
      <c r="E270" s="1631">
        <v>104600.00000000039</v>
      </c>
      <c r="F270" s="1631">
        <v>82700.000000000306</v>
      </c>
      <c r="G270" s="1631">
        <v>122500.00000000045</v>
      </c>
      <c r="H270" s="1631">
        <v>79200.000000000291</v>
      </c>
      <c r="I270" s="1631">
        <v>57700.000000000211</v>
      </c>
      <c r="J270" s="1631">
        <v>57400.000000000211</v>
      </c>
      <c r="K270" s="1631">
        <v>56500.000000000204</v>
      </c>
      <c r="L270" s="1631">
        <v>57300.000000000211</v>
      </c>
      <c r="M270" s="1631">
        <v>41400.000000000153</v>
      </c>
      <c r="N270" s="1631">
        <v>45500.000000000167</v>
      </c>
      <c r="S270" s="1834"/>
      <c r="V270" s="1834"/>
      <c r="Y270" s="1835"/>
      <c r="Z270" s="1835"/>
    </row>
    <row r="271" spans="1:26" s="1833" customFormat="1" ht="15.75" x14ac:dyDescent="0.25">
      <c r="A271" s="1840"/>
      <c r="B271" s="1632" t="s">
        <v>323</v>
      </c>
      <c r="C271" s="1123">
        <v>20598</v>
      </c>
      <c r="D271" s="1123">
        <v>26776</v>
      </c>
      <c r="E271" s="1123">
        <v>23608</v>
      </c>
      <c r="F271" s="1123">
        <v>11831</v>
      </c>
      <c r="G271" s="1123">
        <v>7988</v>
      </c>
      <c r="H271" s="1123">
        <v>5522</v>
      </c>
      <c r="I271" s="1123">
        <v>5299</v>
      </c>
      <c r="J271" s="1123">
        <v>7236</v>
      </c>
      <c r="K271" s="1123">
        <v>9076</v>
      </c>
      <c r="L271" s="1123">
        <v>14531</v>
      </c>
      <c r="M271" s="1123">
        <v>15171</v>
      </c>
      <c r="N271" s="1123">
        <v>18926</v>
      </c>
      <c r="S271" s="1834"/>
      <c r="V271" s="1834"/>
      <c r="Y271" s="1835"/>
      <c r="Z271" s="1835"/>
    </row>
    <row r="272" spans="1:26" s="1833" customFormat="1" ht="15.75" x14ac:dyDescent="0.25">
      <c r="A272" s="1840"/>
      <c r="B272" s="1633"/>
      <c r="C272" s="1123"/>
      <c r="D272" s="1123"/>
      <c r="E272" s="1123"/>
      <c r="F272" s="1123"/>
      <c r="G272" s="1123"/>
      <c r="H272" s="1123"/>
      <c r="I272" s="1123"/>
      <c r="J272" s="1123"/>
      <c r="K272" s="1123"/>
      <c r="L272" s="1123"/>
      <c r="M272" s="1123"/>
      <c r="N272" s="1123"/>
      <c r="S272" s="1834"/>
      <c r="V272" s="1834"/>
      <c r="Y272" s="1835"/>
      <c r="Z272" s="1835"/>
    </row>
    <row r="273" spans="1:26" s="1833" customFormat="1" ht="15.75" x14ac:dyDescent="0.25">
      <c r="A273" s="1840"/>
      <c r="B273" s="1629" t="s">
        <v>324</v>
      </c>
      <c r="C273" s="1631">
        <v>1619.9837697944631</v>
      </c>
      <c r="D273" s="1631">
        <v>2174.2746210752275</v>
      </c>
      <c r="E273" s="1631">
        <v>2251.238922765237</v>
      </c>
      <c r="F273" s="1631">
        <v>1490.3574065160731</v>
      </c>
      <c r="G273" s="1631">
        <v>1539.2269813205437</v>
      </c>
      <c r="H273" s="1631">
        <v>1627.5064302245707</v>
      </c>
      <c r="I273" s="1631">
        <v>1467.4902044854882</v>
      </c>
      <c r="J273" s="1631">
        <v>1486.9912517671373</v>
      </c>
      <c r="K273" s="1631">
        <v>1838.401213288</v>
      </c>
      <c r="L273" s="1631">
        <v>1556.0277532317361</v>
      </c>
      <c r="M273" s="1631">
        <v>1601.1825439835661</v>
      </c>
      <c r="N273" s="1631">
        <v>1484.0056917040358</v>
      </c>
      <c r="S273" s="1834"/>
      <c r="V273" s="1834"/>
      <c r="Y273" s="1835"/>
      <c r="Z273" s="1835"/>
    </row>
    <row r="274" spans="1:26" s="1833" customFormat="1" ht="15.75" x14ac:dyDescent="0.25">
      <c r="A274" s="1840"/>
      <c r="B274" s="1634" t="s">
        <v>328</v>
      </c>
      <c r="C274" s="1631">
        <v>136.10668449197911</v>
      </c>
      <c r="D274" s="1631">
        <v>618.06818181818392</v>
      </c>
      <c r="E274" s="1631">
        <v>879.59090909091231</v>
      </c>
      <c r="F274" s="1631">
        <v>695.43181818182063</v>
      </c>
      <c r="G274" s="1631">
        <v>1030.1136363636401</v>
      </c>
      <c r="H274" s="1631">
        <v>666.00000000000239</v>
      </c>
      <c r="I274" s="1631">
        <v>485.20454545454714</v>
      </c>
      <c r="J274" s="1631">
        <v>482.68181818181989</v>
      </c>
      <c r="K274" s="1631">
        <v>475.11363636363802</v>
      </c>
      <c r="L274" s="1631">
        <v>481.84090909091083</v>
      </c>
      <c r="M274" s="1631">
        <v>348.13636363636488</v>
      </c>
      <c r="N274" s="1631">
        <v>382.61363636363774</v>
      </c>
      <c r="S274" s="1834"/>
      <c r="V274" s="1834"/>
      <c r="Y274" s="1835"/>
      <c r="Z274" s="1835"/>
    </row>
    <row r="275" spans="1:26" s="1833" customFormat="1" ht="15.75" x14ac:dyDescent="0.25">
      <c r="A275" s="1840"/>
      <c r="B275" s="1633" t="s">
        <v>326</v>
      </c>
      <c r="C275" s="1631">
        <f t="shared" ref="C275:N275" si="10">0.0078139*C269</f>
        <v>38.756944000000004</v>
      </c>
      <c r="D275" s="1631">
        <f t="shared" si="10"/>
        <v>45.320620000000005</v>
      </c>
      <c r="E275" s="1631">
        <f t="shared" si="10"/>
        <v>99.080252000000002</v>
      </c>
      <c r="F275" s="1631">
        <f t="shared" si="10"/>
        <v>121.89684000000001</v>
      </c>
      <c r="G275" s="1631">
        <f t="shared" si="10"/>
        <v>137.44650100000001</v>
      </c>
      <c r="H275" s="1631">
        <f t="shared" si="10"/>
        <v>165.65468000000001</v>
      </c>
      <c r="I275" s="1631">
        <f t="shared" si="10"/>
        <v>312.86855600000001</v>
      </c>
      <c r="J275" s="1631">
        <f t="shared" si="10"/>
        <v>160.73192299999999</v>
      </c>
      <c r="K275" s="1631">
        <f t="shared" si="10"/>
        <v>134.63349700000001</v>
      </c>
      <c r="L275" s="1631">
        <f t="shared" si="10"/>
        <v>106.73787400000001</v>
      </c>
      <c r="M275" s="1631">
        <f t="shared" si="10"/>
        <v>66.418149999999997</v>
      </c>
      <c r="N275" s="1631">
        <f t="shared" si="10"/>
        <v>22.035198000000001</v>
      </c>
      <c r="S275" s="1834"/>
      <c r="V275" s="1834"/>
      <c r="Y275" s="1835"/>
      <c r="Z275" s="1835"/>
    </row>
    <row r="276" spans="1:26" s="125" customFormat="1" ht="15.75" x14ac:dyDescent="0.25">
      <c r="A276" s="461"/>
      <c r="B276" s="1124" t="s">
        <v>1401</v>
      </c>
      <c r="C276" s="152"/>
      <c r="E276" s="201"/>
      <c r="F276" s="206"/>
      <c r="G276" s="202"/>
      <c r="H276" s="203"/>
      <c r="I276" s="203"/>
      <c r="J276" s="203"/>
      <c r="K276" s="203"/>
      <c r="L276" s="203"/>
      <c r="M276" s="203"/>
      <c r="N276" s="203"/>
      <c r="O276" s="203"/>
      <c r="P276" s="203"/>
      <c r="S276" s="126"/>
      <c r="U276" s="447"/>
      <c r="V276" s="126"/>
      <c r="Y276" s="157"/>
      <c r="Z276" s="157"/>
    </row>
    <row r="277" spans="1:26" s="125" customFormat="1" x14ac:dyDescent="0.25">
      <c r="A277" s="461"/>
      <c r="B277" s="205"/>
      <c r="C277" s="152"/>
      <c r="E277" s="201"/>
      <c r="F277" s="206"/>
      <c r="G277" s="202"/>
      <c r="H277" s="203"/>
      <c r="I277" s="203"/>
      <c r="J277" s="203"/>
      <c r="K277" s="203"/>
      <c r="L277" s="203"/>
      <c r="M277" s="203"/>
      <c r="N277" s="203"/>
      <c r="O277" s="203"/>
      <c r="P277" s="203"/>
      <c r="S277" s="126"/>
      <c r="U277" s="447"/>
      <c r="V277" s="126"/>
      <c r="Y277" s="157"/>
      <c r="Z277" s="157"/>
    </row>
    <row r="278" spans="1:26" s="125" customFormat="1" x14ac:dyDescent="0.25">
      <c r="A278" s="461">
        <v>19</v>
      </c>
      <c r="B278" s="148" t="s">
        <v>564</v>
      </c>
      <c r="C278" s="152"/>
      <c r="E278" s="157"/>
      <c r="F278" s="157"/>
      <c r="G278" s="157"/>
      <c r="H278" s="157"/>
      <c r="I278" s="157"/>
      <c r="J278" s="157"/>
      <c r="K278" s="157"/>
      <c r="L278" s="157"/>
      <c r="M278" s="157"/>
      <c r="N278" s="157"/>
      <c r="O278" s="157"/>
      <c r="P278" s="157"/>
      <c r="S278" s="126"/>
      <c r="T278" s="148" t="s">
        <v>564</v>
      </c>
      <c r="V278" s="126"/>
      <c r="Y278" s="157"/>
      <c r="Z278" s="157"/>
    </row>
    <row r="279" spans="1:26" s="1833" customFormat="1" ht="15.75" x14ac:dyDescent="0.25">
      <c r="A279" s="1840"/>
      <c r="B279" s="472" t="s">
        <v>730</v>
      </c>
      <c r="C279" s="473" t="s">
        <v>1540</v>
      </c>
      <c r="D279" s="473">
        <v>42583</v>
      </c>
      <c r="E279" s="473">
        <v>42614</v>
      </c>
      <c r="F279" s="473">
        <v>42644</v>
      </c>
      <c r="G279" s="473">
        <v>42675</v>
      </c>
      <c r="H279" s="473">
        <v>42705</v>
      </c>
      <c r="I279" s="473">
        <v>42736</v>
      </c>
      <c r="J279" s="473">
        <v>42767</v>
      </c>
      <c r="K279" s="473">
        <v>42795</v>
      </c>
      <c r="L279" s="473">
        <v>42826</v>
      </c>
      <c r="M279" s="473">
        <v>42856</v>
      </c>
      <c r="N279" s="473">
        <v>42887</v>
      </c>
      <c r="S279" s="1834"/>
      <c r="V279" s="1834"/>
      <c r="Y279" s="1835"/>
      <c r="Z279" s="1835"/>
    </row>
    <row r="280" spans="1:26" s="1833" customFormat="1" ht="15.75" x14ac:dyDescent="0.25">
      <c r="A280" s="1840"/>
      <c r="B280" s="1100" t="s">
        <v>1408</v>
      </c>
      <c r="C280" s="2142"/>
      <c r="D280" s="2142"/>
      <c r="E280" s="2142"/>
      <c r="F280" s="2142"/>
      <c r="G280" s="2142"/>
      <c r="H280" s="2142"/>
      <c r="I280" s="2142"/>
      <c r="J280" s="2142"/>
      <c r="K280" s="2142"/>
      <c r="L280" s="2142"/>
      <c r="M280" s="2142"/>
      <c r="N280" s="2142"/>
      <c r="S280" s="1834"/>
      <c r="V280" s="1834"/>
      <c r="Y280" s="1835"/>
      <c r="Z280" s="1835"/>
    </row>
    <row r="281" spans="1:26" s="1833" customFormat="1" ht="15.75" x14ac:dyDescent="0.25">
      <c r="A281" s="1840"/>
      <c r="B281" s="1633" t="s">
        <v>1093</v>
      </c>
      <c r="C281" s="1123">
        <v>17705</v>
      </c>
      <c r="D281" s="1123">
        <v>24833</v>
      </c>
      <c r="E281" s="1123">
        <v>26199</v>
      </c>
      <c r="F281" s="1123">
        <v>21474</v>
      </c>
      <c r="G281" s="1123">
        <v>25185</v>
      </c>
      <c r="H281" s="1123">
        <v>23084</v>
      </c>
      <c r="I281" s="1123">
        <v>21405</v>
      </c>
      <c r="J281" s="1123">
        <v>23213</v>
      </c>
      <c r="K281" s="1123">
        <v>26551</v>
      </c>
      <c r="L281" s="1123">
        <v>23018</v>
      </c>
      <c r="M281" s="1123">
        <v>23962</v>
      </c>
      <c r="N281" s="1123">
        <v>17281</v>
      </c>
      <c r="S281" s="1834"/>
      <c r="V281" s="1834"/>
      <c r="Y281" s="1835"/>
      <c r="Z281" s="1835"/>
    </row>
    <row r="282" spans="1:26" s="1833" customFormat="1" ht="15.75" x14ac:dyDescent="0.25">
      <c r="A282" s="1840"/>
      <c r="B282" s="1633" t="s">
        <v>1094</v>
      </c>
      <c r="C282" s="1123">
        <v>2301.140000000014</v>
      </c>
      <c r="D282" s="1123">
        <v>5514.0100000000093</v>
      </c>
      <c r="E282" s="1123">
        <v>5241.4500000000116</v>
      </c>
      <c r="F282" s="1123">
        <v>6356.570000000007</v>
      </c>
      <c r="G282" s="1123">
        <v>6031.789999999979</v>
      </c>
      <c r="H282" s="1123">
        <v>4790.25</v>
      </c>
      <c r="I282" s="1123">
        <v>5013.2600000000093</v>
      </c>
      <c r="J282" s="1123">
        <v>5542.359999999986</v>
      </c>
      <c r="K282" s="1123">
        <v>6087.3300000000163</v>
      </c>
      <c r="L282" s="1123">
        <v>5367.390000000014</v>
      </c>
      <c r="M282" s="1123">
        <v>5797.7299999999814</v>
      </c>
      <c r="N282" s="1123">
        <v>3450.9799999999814</v>
      </c>
      <c r="S282" s="1834"/>
      <c r="V282" s="1834"/>
      <c r="Y282" s="1835"/>
      <c r="Z282" s="1835"/>
    </row>
    <row r="283" spans="1:26" s="1833" customFormat="1" ht="15.75" x14ac:dyDescent="0.25">
      <c r="A283" s="1840"/>
      <c r="B283" s="1633" t="s">
        <v>1095</v>
      </c>
      <c r="C283" s="1123">
        <v>13349.829999999958</v>
      </c>
      <c r="D283" s="1123">
        <v>14490.830000000075</v>
      </c>
      <c r="E283" s="1123">
        <v>11137.579999999958</v>
      </c>
      <c r="F283" s="1123">
        <v>13468.900000000023</v>
      </c>
      <c r="G283" s="1123">
        <v>13067.829999999958</v>
      </c>
      <c r="H283" s="1123">
        <v>13486.790000000037</v>
      </c>
      <c r="I283" s="1123">
        <v>11566.089999999967</v>
      </c>
      <c r="J283" s="1123">
        <v>11918.810000000056</v>
      </c>
      <c r="K283" s="1123">
        <v>14256.079999999958</v>
      </c>
      <c r="L283" s="1123">
        <v>12309.270000000019</v>
      </c>
      <c r="M283" s="1123">
        <v>14274.5</v>
      </c>
      <c r="N283" s="1123">
        <v>12085.829999999958</v>
      </c>
      <c r="S283" s="1834"/>
      <c r="V283" s="1834"/>
      <c r="Y283" s="1835"/>
      <c r="Z283" s="1835"/>
    </row>
    <row r="284" spans="1:26" s="1833" customFormat="1" ht="15.75" x14ac:dyDescent="0.25">
      <c r="A284" s="1840"/>
      <c r="B284" s="1633" t="s">
        <v>1096</v>
      </c>
      <c r="C284" s="1123">
        <f>C281-(C282+C283)</f>
        <v>2054.0300000000279</v>
      </c>
      <c r="D284" s="1123">
        <f t="shared" ref="D284:N284" si="11">D281-(D282+D283)</f>
        <v>4828.1599999999162</v>
      </c>
      <c r="E284" s="1123">
        <f t="shared" si="11"/>
        <v>9819.9700000000303</v>
      </c>
      <c r="F284" s="1123">
        <f t="shared" si="11"/>
        <v>1648.5299999999697</v>
      </c>
      <c r="G284" s="1123">
        <f t="shared" si="11"/>
        <v>6085.3800000000629</v>
      </c>
      <c r="H284" s="1123">
        <f t="shared" si="11"/>
        <v>4806.9599999999627</v>
      </c>
      <c r="I284" s="1123">
        <f t="shared" si="11"/>
        <v>4825.6500000000233</v>
      </c>
      <c r="J284" s="1123">
        <f t="shared" si="11"/>
        <v>5751.8299999999581</v>
      </c>
      <c r="K284" s="1123">
        <f t="shared" si="11"/>
        <v>6207.5900000000256</v>
      </c>
      <c r="L284" s="1123">
        <f t="shared" si="11"/>
        <v>5341.3399999999674</v>
      </c>
      <c r="M284" s="1123">
        <f t="shared" si="11"/>
        <v>3889.7700000000186</v>
      </c>
      <c r="N284" s="1123">
        <f t="shared" si="11"/>
        <v>1744.1900000000605</v>
      </c>
      <c r="S284" s="1834"/>
      <c r="V284" s="1834"/>
      <c r="Y284" s="1835"/>
      <c r="Z284" s="1835"/>
    </row>
    <row r="285" spans="1:26" s="1833" customFormat="1" ht="15.75" x14ac:dyDescent="0.25">
      <c r="A285" s="1840"/>
      <c r="B285" s="1633"/>
      <c r="C285" s="1123"/>
      <c r="D285" s="1123"/>
      <c r="E285" s="1123"/>
      <c r="F285" s="1123"/>
      <c r="G285" s="1123"/>
      <c r="H285" s="1123"/>
      <c r="I285" s="1123"/>
      <c r="J285" s="1123"/>
      <c r="K285" s="1123"/>
      <c r="L285" s="1123"/>
      <c r="M285" s="1123"/>
      <c r="N285" s="1123"/>
      <c r="S285" s="1834"/>
      <c r="V285" s="1834"/>
      <c r="Y285" s="1835"/>
      <c r="Z285" s="1835"/>
    </row>
    <row r="286" spans="1:26" s="1833" customFormat="1" ht="15.75" x14ac:dyDescent="0.25">
      <c r="A286" s="1840"/>
      <c r="B286" s="1633" t="s">
        <v>320</v>
      </c>
      <c r="C286" s="1123">
        <f>(+C254+C270+C238)/3</f>
        <v>13105.666666666686</v>
      </c>
      <c r="D286" s="1123">
        <f>(+D254+D270+D238)/3</f>
        <v>33087.000000000087</v>
      </c>
      <c r="E286" s="1123">
        <f>(+E254+E270+E238)/3</f>
        <v>42559.333333333467</v>
      </c>
      <c r="F286" s="1123">
        <f>(+F254+F270+F238)/3</f>
        <v>29754.66666666677</v>
      </c>
      <c r="G286" s="1123">
        <f>(+G254+G270+G238)/3</f>
        <v>42645.333333333481</v>
      </c>
      <c r="H286" s="1123">
        <v>12760</v>
      </c>
      <c r="I286" s="1123">
        <v>10570</v>
      </c>
      <c r="J286" s="1123">
        <v>10270</v>
      </c>
      <c r="K286" s="1123">
        <v>6060</v>
      </c>
      <c r="L286" s="1123">
        <f>(+L254+L270+L238)/3</f>
        <v>23914.000000000069</v>
      </c>
      <c r="M286" s="1123">
        <f t="shared" ref="M286:N286" si="12">(+M254+M270+M238)/3</f>
        <v>19191.000000000051</v>
      </c>
      <c r="N286" s="1123">
        <f t="shared" si="12"/>
        <v>21491.000000000055</v>
      </c>
      <c r="S286" s="1834"/>
      <c r="V286" s="1834"/>
      <c r="Y286" s="1835"/>
      <c r="Z286" s="1835"/>
    </row>
    <row r="287" spans="1:26" s="1833" customFormat="1" ht="15.75" x14ac:dyDescent="0.25">
      <c r="A287" s="1840"/>
      <c r="B287" s="1633" t="s">
        <v>322</v>
      </c>
      <c r="C287" s="1123">
        <v>29000.000000000106</v>
      </c>
      <c r="D287" s="1123">
        <v>78100.000000000276</v>
      </c>
      <c r="E287" s="1123">
        <v>127200.00000000047</v>
      </c>
      <c r="F287" s="1123">
        <v>94000.000000000335</v>
      </c>
      <c r="G287" s="1123">
        <v>115200.00000000042</v>
      </c>
      <c r="H287" s="1123">
        <v>101600.00000000036</v>
      </c>
      <c r="I287" s="1123">
        <v>104200.00000000038</v>
      </c>
      <c r="J287" s="1123">
        <v>105300.00000000038</v>
      </c>
      <c r="K287" s="1123">
        <v>87900.00000000032</v>
      </c>
      <c r="L287" s="1123">
        <v>59100.000000000211</v>
      </c>
      <c r="M287" s="1123">
        <v>24900.000000000091</v>
      </c>
      <c r="N287" s="1123">
        <v>2600.0000000000091</v>
      </c>
      <c r="S287" s="1834"/>
      <c r="V287" s="1834"/>
      <c r="Y287" s="1835"/>
      <c r="Z287" s="1835"/>
    </row>
    <row r="288" spans="1:26" s="1833" customFormat="1" ht="15.75" x14ac:dyDescent="0.25">
      <c r="A288" s="1840"/>
      <c r="B288" s="1632" t="s">
        <v>323</v>
      </c>
      <c r="C288" s="1123">
        <v>20598</v>
      </c>
      <c r="D288" s="1123">
        <v>26776</v>
      </c>
      <c r="E288" s="1123">
        <v>23608</v>
      </c>
      <c r="F288" s="1123">
        <v>11831</v>
      </c>
      <c r="G288" s="1123">
        <v>7988</v>
      </c>
      <c r="H288" s="1123">
        <v>5522</v>
      </c>
      <c r="I288" s="1123">
        <v>5299</v>
      </c>
      <c r="J288" s="1123">
        <v>7236</v>
      </c>
      <c r="K288" s="1123">
        <v>9076</v>
      </c>
      <c r="L288" s="1123">
        <v>14531</v>
      </c>
      <c r="M288" s="1123">
        <v>15171</v>
      </c>
      <c r="N288" s="1123">
        <v>18926</v>
      </c>
      <c r="S288" s="1834"/>
      <c r="V288" s="1834"/>
      <c r="Y288" s="1835"/>
      <c r="Z288" s="1835"/>
    </row>
    <row r="289" spans="1:26" s="1833" customFormat="1" ht="15.75" x14ac:dyDescent="0.25">
      <c r="A289" s="1840"/>
      <c r="B289" s="1633"/>
      <c r="C289" s="1123"/>
      <c r="D289" s="1123"/>
      <c r="E289" s="1123"/>
      <c r="F289" s="1123"/>
      <c r="G289" s="1123"/>
      <c r="H289" s="1123"/>
      <c r="I289" s="1123"/>
      <c r="J289" s="1123"/>
      <c r="K289" s="1123"/>
      <c r="L289" s="1123"/>
      <c r="M289" s="1123"/>
      <c r="N289" s="1123"/>
      <c r="S289" s="1834"/>
      <c r="V289" s="1834"/>
      <c r="Y289" s="1835"/>
      <c r="Z289" s="1835"/>
    </row>
    <row r="290" spans="1:26" s="1833" customFormat="1" ht="15.75" x14ac:dyDescent="0.25">
      <c r="A290" s="1840"/>
      <c r="B290" s="1633" t="s">
        <v>324</v>
      </c>
      <c r="C290" s="1123">
        <v>1233.9978765310402</v>
      </c>
      <c r="D290" s="1123">
        <v>1702.0383212546456</v>
      </c>
      <c r="E290" s="1123">
        <v>1743.3776281376975</v>
      </c>
      <c r="F290" s="1123">
        <v>1198.9186688966117</v>
      </c>
      <c r="G290" s="1123">
        <v>1381.6177747721824</v>
      </c>
      <c r="H290" s="1123">
        <v>1317.8994084015853</v>
      </c>
      <c r="I290" s="1123">
        <v>1229.4179188654352</v>
      </c>
      <c r="J290" s="1123">
        <v>1266.6053107027212</v>
      </c>
      <c r="K290" s="1123">
        <v>1527.073914842</v>
      </c>
      <c r="L290" s="1123">
        <v>1246.9674763739199</v>
      </c>
      <c r="M290" s="1123">
        <v>1327.8720882859491</v>
      </c>
      <c r="N290" s="1123">
        <v>1070.8214271300449</v>
      </c>
      <c r="S290" s="1834"/>
      <c r="V290" s="1834"/>
      <c r="Y290" s="1835"/>
      <c r="Z290" s="1835"/>
    </row>
    <row r="291" spans="1:26" s="1833" customFormat="1" ht="15.75" x14ac:dyDescent="0.25">
      <c r="A291" s="1840"/>
      <c r="B291" s="1707" t="s">
        <v>328</v>
      </c>
      <c r="C291" s="1123">
        <v>237.77673796791532</v>
      </c>
      <c r="D291" s="1123">
        <v>656.75000000000227</v>
      </c>
      <c r="E291" s="1123">
        <v>1069.6363636363674</v>
      </c>
      <c r="F291" s="1123">
        <v>790.45454545454822</v>
      </c>
      <c r="G291" s="1123">
        <v>968.72727272727616</v>
      </c>
      <c r="H291" s="1123">
        <v>854.36363636363933</v>
      </c>
      <c r="I291" s="1123">
        <v>876.22727272727582</v>
      </c>
      <c r="J291" s="1123">
        <v>885.47727272727582</v>
      </c>
      <c r="K291" s="1123">
        <v>739.15909090909361</v>
      </c>
      <c r="L291" s="1123">
        <v>496.97727272727445</v>
      </c>
      <c r="M291" s="1123">
        <v>209.38636363636436</v>
      </c>
      <c r="N291" s="1123">
        <v>21.863636363636438</v>
      </c>
      <c r="S291" s="1834"/>
      <c r="V291" s="1834"/>
      <c r="Y291" s="1835"/>
      <c r="Z291" s="1835"/>
    </row>
    <row r="292" spans="1:26" s="1833" customFormat="1" ht="15.75" x14ac:dyDescent="0.25">
      <c r="A292" s="1840"/>
      <c r="B292" s="1633" t="s">
        <v>326</v>
      </c>
      <c r="C292" s="1631">
        <f t="shared" ref="C292:N292" si="13">0.0078139*C286</f>
        <v>102.40636876666683</v>
      </c>
      <c r="D292" s="1631">
        <f t="shared" si="13"/>
        <v>258.53850930000067</v>
      </c>
      <c r="E292" s="1631">
        <f t="shared" si="13"/>
        <v>332.55437473333438</v>
      </c>
      <c r="F292" s="1631">
        <f t="shared" si="13"/>
        <v>232.49998986666748</v>
      </c>
      <c r="G292" s="1631">
        <f t="shared" si="13"/>
        <v>333.22637013333451</v>
      </c>
      <c r="H292" s="1631">
        <f t="shared" si="13"/>
        <v>99.705364000000003</v>
      </c>
      <c r="I292" s="1631">
        <f t="shared" si="13"/>
        <v>82.592922999999999</v>
      </c>
      <c r="J292" s="1631">
        <f t="shared" si="13"/>
        <v>80.248753000000008</v>
      </c>
      <c r="K292" s="1631">
        <f t="shared" si="13"/>
        <v>47.352234000000003</v>
      </c>
      <c r="L292" s="1631">
        <f t="shared" si="13"/>
        <v>186.86160460000056</v>
      </c>
      <c r="M292" s="1631">
        <f t="shared" si="13"/>
        <v>149.95655490000041</v>
      </c>
      <c r="N292" s="1631">
        <f t="shared" si="13"/>
        <v>167.92852490000044</v>
      </c>
      <c r="S292" s="1834"/>
      <c r="V292" s="1834"/>
      <c r="Y292" s="1835"/>
      <c r="Z292" s="1835"/>
    </row>
    <row r="293" spans="1:26" s="125" customFormat="1" x14ac:dyDescent="0.25">
      <c r="A293" s="461"/>
      <c r="B293" s="205"/>
      <c r="C293" s="152"/>
      <c r="E293" s="201"/>
      <c r="F293" s="206"/>
      <c r="G293" s="202"/>
      <c r="H293" s="203"/>
      <c r="I293" s="203"/>
      <c r="J293" s="203"/>
      <c r="K293" s="203"/>
      <c r="L293" s="203"/>
      <c r="M293" s="203"/>
      <c r="N293" s="203"/>
      <c r="O293" s="203"/>
      <c r="P293" s="203"/>
      <c r="S293" s="126"/>
      <c r="U293" s="447"/>
      <c r="V293" s="126"/>
      <c r="Y293" s="157"/>
      <c r="Z293" s="157"/>
    </row>
    <row r="294" spans="1:26" s="125" customFormat="1" x14ac:dyDescent="0.25">
      <c r="A294" s="461">
        <v>20</v>
      </c>
      <c r="B294" s="148" t="s">
        <v>565</v>
      </c>
      <c r="C294" s="152"/>
      <c r="E294" s="157"/>
      <c r="F294" s="157"/>
      <c r="G294" s="157"/>
      <c r="H294" s="157"/>
      <c r="I294" s="157"/>
      <c r="J294" s="157"/>
      <c r="K294" s="157"/>
      <c r="L294" s="157"/>
      <c r="M294" s="157"/>
      <c r="N294" s="157"/>
      <c r="O294" s="157"/>
      <c r="P294" s="157"/>
      <c r="S294" s="126"/>
      <c r="T294" s="148" t="s">
        <v>565</v>
      </c>
      <c r="V294" s="126"/>
      <c r="Y294" s="157"/>
      <c r="Z294" s="157"/>
    </row>
    <row r="295" spans="1:26" s="1833" customFormat="1" ht="15.75" x14ac:dyDescent="0.25">
      <c r="A295" s="1840"/>
      <c r="B295" s="472" t="s">
        <v>731</v>
      </c>
      <c r="C295" s="473" t="s">
        <v>1540</v>
      </c>
      <c r="D295" s="473">
        <v>42583</v>
      </c>
      <c r="E295" s="473">
        <v>42614</v>
      </c>
      <c r="F295" s="473">
        <v>42644</v>
      </c>
      <c r="G295" s="473">
        <v>42675</v>
      </c>
      <c r="H295" s="473">
        <v>42705</v>
      </c>
      <c r="I295" s="473">
        <v>42736</v>
      </c>
      <c r="J295" s="473">
        <v>42767</v>
      </c>
      <c r="K295" s="473">
        <v>42795</v>
      </c>
      <c r="L295" s="473">
        <v>42826</v>
      </c>
      <c r="M295" s="473">
        <v>42856</v>
      </c>
      <c r="N295" s="473">
        <v>42887</v>
      </c>
      <c r="S295" s="1834"/>
      <c r="V295" s="1834"/>
      <c r="Y295" s="1835"/>
      <c r="Z295" s="1835"/>
    </row>
    <row r="296" spans="1:26" s="1833" customFormat="1" ht="15.75" x14ac:dyDescent="0.25">
      <c r="A296" s="1840"/>
      <c r="B296" s="1100" t="s">
        <v>1409</v>
      </c>
      <c r="C296" s="2142"/>
      <c r="D296" s="2142"/>
      <c r="E296" s="2142"/>
      <c r="F296" s="2142"/>
      <c r="G296" s="2142"/>
      <c r="H296" s="2142"/>
      <c r="I296" s="2142"/>
      <c r="J296" s="2142"/>
      <c r="K296" s="2142"/>
      <c r="L296" s="2142"/>
      <c r="M296" s="2142"/>
      <c r="N296" s="2142"/>
      <c r="S296" s="1834"/>
      <c r="V296" s="1834"/>
      <c r="Y296" s="1835"/>
      <c r="Z296" s="1835"/>
    </row>
    <row r="297" spans="1:26" s="1833" customFormat="1" ht="15.75" x14ac:dyDescent="0.25">
      <c r="A297" s="1840"/>
      <c r="B297" s="1629" t="s">
        <v>1093</v>
      </c>
      <c r="C297" s="1123">
        <v>39688</v>
      </c>
      <c r="D297" s="1123">
        <v>48238</v>
      </c>
      <c r="E297" s="1123">
        <v>48931</v>
      </c>
      <c r="F297" s="1123">
        <v>41121</v>
      </c>
      <c r="G297" s="1123">
        <v>47838</v>
      </c>
      <c r="H297" s="1123">
        <v>45675</v>
      </c>
      <c r="I297" s="1123">
        <v>41273</v>
      </c>
      <c r="J297" s="1123">
        <v>43974</v>
      </c>
      <c r="K297" s="1123">
        <v>50831</v>
      </c>
      <c r="L297" s="1123">
        <v>43055</v>
      </c>
      <c r="M297" s="1123">
        <v>45402</v>
      </c>
      <c r="N297" s="1123">
        <v>37916</v>
      </c>
      <c r="S297" s="1834"/>
      <c r="V297" s="1834"/>
      <c r="Y297" s="1835"/>
      <c r="Z297" s="1835"/>
    </row>
    <row r="298" spans="1:26" s="1833" customFormat="1" ht="15.75" x14ac:dyDescent="0.25">
      <c r="A298" s="1840"/>
      <c r="B298" s="1629" t="s">
        <v>1094</v>
      </c>
      <c r="C298" s="1123">
        <v>10148.569999999949</v>
      </c>
      <c r="D298" s="1123">
        <v>12423.210000000079</v>
      </c>
      <c r="E298" s="1123">
        <v>10785.869999999995</v>
      </c>
      <c r="F298" s="1123">
        <v>13184.439999999944</v>
      </c>
      <c r="G298" s="1123">
        <v>12540.959999999963</v>
      </c>
      <c r="H298" s="1123">
        <v>11514.5</v>
      </c>
      <c r="I298" s="1123">
        <v>10662.330000000075</v>
      </c>
      <c r="J298" s="1123">
        <v>11258.650000000023</v>
      </c>
      <c r="K298" s="1123">
        <v>12883.769999999902</v>
      </c>
      <c r="L298" s="1123">
        <v>10929.020000000019</v>
      </c>
      <c r="M298" s="1123">
        <v>11606.979999999981</v>
      </c>
      <c r="N298" s="1123">
        <v>9210.3200000000652</v>
      </c>
      <c r="S298" s="1834"/>
      <c r="V298" s="1834"/>
      <c r="Y298" s="1835"/>
      <c r="Z298" s="1835"/>
    </row>
    <row r="299" spans="1:26" s="1833" customFormat="1" ht="15.75" x14ac:dyDescent="0.25">
      <c r="A299" s="1840"/>
      <c r="B299" s="1629" t="s">
        <v>1095</v>
      </c>
      <c r="C299" s="1123">
        <v>17296.300000000047</v>
      </c>
      <c r="D299" s="1123">
        <v>18974.929999999935</v>
      </c>
      <c r="E299" s="1123">
        <v>15096.580000000075</v>
      </c>
      <c r="F299" s="1123">
        <v>17613.369999999995</v>
      </c>
      <c r="G299" s="1123">
        <v>17491.390000000014</v>
      </c>
      <c r="H299" s="1123">
        <v>18167.149999999907</v>
      </c>
      <c r="I299" s="1123">
        <v>15383.390000000014</v>
      </c>
      <c r="J299" s="1123">
        <v>15797.080000000075</v>
      </c>
      <c r="K299" s="1123">
        <v>18786.219999999972</v>
      </c>
      <c r="L299" s="1123">
        <v>15771.689999999944</v>
      </c>
      <c r="M299" s="1123">
        <v>18378</v>
      </c>
      <c r="N299" s="1123">
        <v>16654.660000000033</v>
      </c>
      <c r="S299" s="1834"/>
      <c r="V299" s="1834"/>
      <c r="Y299" s="1835"/>
      <c r="Z299" s="1835"/>
    </row>
    <row r="300" spans="1:26" s="1833" customFormat="1" ht="15.75" x14ac:dyDescent="0.25">
      <c r="A300" s="1840"/>
      <c r="B300" s="1629" t="s">
        <v>1096</v>
      </c>
      <c r="C300" s="1123">
        <f>C297-(C298+C299)</f>
        <v>12243.130000000005</v>
      </c>
      <c r="D300" s="1123">
        <f t="shared" ref="D300:N300" si="14">D297-(D298+D299)</f>
        <v>16839.859999999986</v>
      </c>
      <c r="E300" s="1123">
        <f t="shared" si="14"/>
        <v>23048.54999999993</v>
      </c>
      <c r="F300" s="1123">
        <f t="shared" si="14"/>
        <v>10323.190000000061</v>
      </c>
      <c r="G300" s="1123">
        <f t="shared" si="14"/>
        <v>17805.650000000023</v>
      </c>
      <c r="H300" s="1123">
        <f t="shared" si="14"/>
        <v>15993.350000000093</v>
      </c>
      <c r="I300" s="1123">
        <f t="shared" si="14"/>
        <v>15227.279999999912</v>
      </c>
      <c r="J300" s="1123">
        <f t="shared" si="14"/>
        <v>16918.269999999902</v>
      </c>
      <c r="K300" s="1123">
        <f t="shared" si="14"/>
        <v>19161.010000000126</v>
      </c>
      <c r="L300" s="1123">
        <f t="shared" si="14"/>
        <v>16354.290000000037</v>
      </c>
      <c r="M300" s="1123">
        <f t="shared" si="14"/>
        <v>15417.020000000019</v>
      </c>
      <c r="N300" s="1123">
        <f t="shared" si="14"/>
        <v>12051.019999999902</v>
      </c>
      <c r="S300" s="1834"/>
      <c r="V300" s="1834"/>
      <c r="Y300" s="1835"/>
      <c r="Z300" s="1835"/>
    </row>
    <row r="301" spans="1:26" s="1833" customFormat="1" ht="15.75" x14ac:dyDescent="0.25">
      <c r="A301" s="1840"/>
      <c r="B301" s="1629"/>
      <c r="C301" s="1123"/>
      <c r="D301" s="1123"/>
      <c r="E301" s="1123"/>
      <c r="F301" s="1123"/>
      <c r="G301" s="1123"/>
      <c r="H301" s="1123"/>
      <c r="I301" s="1123"/>
      <c r="J301" s="1123"/>
      <c r="K301" s="1123"/>
      <c r="L301" s="1123"/>
      <c r="M301" s="1123"/>
      <c r="N301" s="1123"/>
      <c r="S301" s="1834"/>
      <c r="V301" s="1834"/>
      <c r="Y301" s="1835"/>
      <c r="Z301" s="1835"/>
    </row>
    <row r="302" spans="1:26" s="1833" customFormat="1" ht="15.75" x14ac:dyDescent="0.25">
      <c r="A302" s="1840"/>
      <c r="B302" s="1633" t="s">
        <v>320</v>
      </c>
      <c r="C302" s="1123">
        <v>13120</v>
      </c>
      <c r="D302" s="1123">
        <v>19970</v>
      </c>
      <c r="E302" s="1123">
        <v>25310</v>
      </c>
      <c r="F302" s="1123" t="s">
        <v>1410</v>
      </c>
      <c r="G302" s="1123" t="s">
        <v>1410</v>
      </c>
      <c r="H302" s="1123" t="s">
        <v>1410</v>
      </c>
      <c r="I302" s="1123" t="s">
        <v>1410</v>
      </c>
      <c r="J302" s="1123" t="s">
        <v>1410</v>
      </c>
      <c r="K302" s="1123" t="s">
        <v>1410</v>
      </c>
      <c r="L302" s="1123" t="s">
        <v>1410</v>
      </c>
      <c r="M302" s="1123">
        <v>28310</v>
      </c>
      <c r="N302" s="1123" t="s">
        <v>1410</v>
      </c>
      <c r="S302" s="1834"/>
      <c r="V302" s="1834"/>
      <c r="Y302" s="1835"/>
      <c r="Z302" s="1835"/>
    </row>
    <row r="303" spans="1:26" s="1833" customFormat="1" ht="15.75" x14ac:dyDescent="0.25">
      <c r="A303" s="1840"/>
      <c r="B303" s="1629" t="s">
        <v>322</v>
      </c>
      <c r="C303" s="1123">
        <v>40600.000000000146</v>
      </c>
      <c r="D303" s="1123">
        <v>119600.00000000044</v>
      </c>
      <c r="E303" s="1123">
        <v>211600.00000000076</v>
      </c>
      <c r="F303" s="1123">
        <v>214000.00000000079</v>
      </c>
      <c r="G303" s="1123">
        <v>207500.00000000076</v>
      </c>
      <c r="H303" s="1123">
        <v>111700.00000000041</v>
      </c>
      <c r="I303" s="1123">
        <v>78300.000000000291</v>
      </c>
      <c r="J303" s="1123">
        <v>80500.000000000291</v>
      </c>
      <c r="K303" s="1123">
        <v>77500.000000000276</v>
      </c>
      <c r="L303" s="1123">
        <v>75900.000000000276</v>
      </c>
      <c r="M303" s="1123">
        <v>33900.000000000124</v>
      </c>
      <c r="N303" s="1123">
        <v>18500.000000000065</v>
      </c>
      <c r="S303" s="1834"/>
      <c r="V303" s="1834"/>
      <c r="Y303" s="1835"/>
      <c r="Z303" s="1835"/>
    </row>
    <row r="304" spans="1:26" s="1833" customFormat="1" ht="15.75" x14ac:dyDescent="0.25">
      <c r="A304" s="1840"/>
      <c r="B304" s="1632" t="s">
        <v>323</v>
      </c>
      <c r="C304" s="1123">
        <v>63820</v>
      </c>
      <c r="D304" s="1123">
        <v>69292</v>
      </c>
      <c r="E304" s="1123">
        <v>53151</v>
      </c>
      <c r="F304" s="1123">
        <v>31771</v>
      </c>
      <c r="G304" s="1123">
        <v>33290</v>
      </c>
      <c r="H304" s="1123">
        <v>32079</v>
      </c>
      <c r="I304" s="1123">
        <v>26360</v>
      </c>
      <c r="J304" s="1123">
        <v>28987</v>
      </c>
      <c r="K304" s="1123">
        <v>34651</v>
      </c>
      <c r="L304" s="1123">
        <v>34799</v>
      </c>
      <c r="M304" s="1123">
        <v>38465</v>
      </c>
      <c r="N304" s="1123">
        <v>43457</v>
      </c>
      <c r="S304" s="1834"/>
      <c r="V304" s="1834"/>
      <c r="Y304" s="1835"/>
      <c r="Z304" s="1835"/>
    </row>
    <row r="305" spans="1:26" s="1833" customFormat="1" ht="15.75" x14ac:dyDescent="0.25">
      <c r="A305" s="1840"/>
      <c r="B305" s="1633"/>
      <c r="C305" s="2145"/>
      <c r="D305" s="2145"/>
      <c r="E305" s="2145"/>
      <c r="F305" s="2145"/>
      <c r="G305" s="2145"/>
      <c r="H305" s="2145"/>
      <c r="I305" s="2145"/>
      <c r="J305" s="2145"/>
      <c r="K305" s="2145"/>
      <c r="L305" s="2145"/>
      <c r="M305" s="2145"/>
      <c r="N305" s="2145"/>
      <c r="S305" s="1834"/>
      <c r="V305" s="1834"/>
      <c r="Y305" s="1835"/>
      <c r="Z305" s="1835"/>
    </row>
    <row r="306" spans="1:26" s="1833" customFormat="1" ht="15.75" x14ac:dyDescent="0.25">
      <c r="A306" s="1840"/>
      <c r="B306" s="1629" t="s">
        <v>324</v>
      </c>
      <c r="C306" s="1123">
        <v>2766.1625373489933</v>
      </c>
      <c r="D306" s="1123">
        <v>3306.2024137511212</v>
      </c>
      <c r="E306" s="1123">
        <v>3256.0483500288437</v>
      </c>
      <c r="F306" s="1123">
        <v>2295.8337796264118</v>
      </c>
      <c r="G306" s="1123">
        <v>2624.3331788585133</v>
      </c>
      <c r="H306" s="1123">
        <v>2607.652723910172</v>
      </c>
      <c r="I306" s="1123">
        <v>2370.5566813984169</v>
      </c>
      <c r="J306" s="1123">
        <v>2399.4185125938684</v>
      </c>
      <c r="K306" s="1123">
        <v>2923.5318506019998</v>
      </c>
      <c r="L306" s="1123">
        <v>2332.4435092223098</v>
      </c>
      <c r="M306" s="1123">
        <v>2515.9856669876744</v>
      </c>
      <c r="N306" s="1123">
        <v>2349.4742914798203</v>
      </c>
      <c r="S306" s="1834"/>
      <c r="V306" s="1834"/>
      <c r="Y306" s="1835"/>
      <c r="Z306" s="1835"/>
    </row>
    <row r="307" spans="1:26" s="1833" customFormat="1" ht="15.75" x14ac:dyDescent="0.25">
      <c r="A307" s="1840"/>
      <c r="B307" s="1634" t="s">
        <v>328</v>
      </c>
      <c r="C307" s="1123">
        <v>332.8874331550814</v>
      </c>
      <c r="D307" s="1123">
        <v>1005.7272727272763</v>
      </c>
      <c r="E307" s="1123">
        <v>1779.3636363636426</v>
      </c>
      <c r="F307" s="1123">
        <v>1799.5454545454611</v>
      </c>
      <c r="G307" s="1123">
        <v>1744.8863636363697</v>
      </c>
      <c r="H307" s="1123">
        <v>939.29545454545791</v>
      </c>
      <c r="I307" s="1123">
        <v>658.43181818182052</v>
      </c>
      <c r="J307" s="1123">
        <v>676.93181818182052</v>
      </c>
      <c r="K307" s="1123">
        <v>651.70454545454777</v>
      </c>
      <c r="L307" s="1123">
        <v>638.25000000000227</v>
      </c>
      <c r="M307" s="1123">
        <v>285.06818181818284</v>
      </c>
      <c r="N307" s="1123">
        <v>155.56818181818238</v>
      </c>
      <c r="S307" s="1834"/>
      <c r="V307" s="1834"/>
      <c r="Y307" s="1835"/>
      <c r="Z307" s="1835"/>
    </row>
    <row r="308" spans="1:26" s="1833" customFormat="1" ht="15.75" x14ac:dyDescent="0.25">
      <c r="A308" s="1840"/>
      <c r="B308" s="1633" t="s">
        <v>326</v>
      </c>
      <c r="C308" s="1123">
        <f>0.0078139*C302</f>
        <v>102.51836800000001</v>
      </c>
      <c r="D308" s="1123">
        <f t="shared" ref="D308:M308" si="15">0.0078139*D302</f>
        <v>156.04358300000001</v>
      </c>
      <c r="E308" s="1123">
        <f t="shared" si="15"/>
        <v>197.76980900000001</v>
      </c>
      <c r="F308" s="1123" t="s">
        <v>1410</v>
      </c>
      <c r="G308" s="1123" t="s">
        <v>1410</v>
      </c>
      <c r="H308" s="1123" t="s">
        <v>1410</v>
      </c>
      <c r="I308" s="1123" t="s">
        <v>1410</v>
      </c>
      <c r="J308" s="1123" t="s">
        <v>1410</v>
      </c>
      <c r="K308" s="1123" t="s">
        <v>1410</v>
      </c>
      <c r="L308" s="1123" t="s">
        <v>1410</v>
      </c>
      <c r="M308" s="1123">
        <f t="shared" si="15"/>
        <v>221.21150900000001</v>
      </c>
      <c r="N308" s="1123" t="s">
        <v>1410</v>
      </c>
      <c r="S308" s="1834"/>
      <c r="V308" s="1834"/>
      <c r="Y308" s="1835"/>
      <c r="Z308" s="1835"/>
    </row>
    <row r="309" spans="1:26" ht="15.75" x14ac:dyDescent="0.25">
      <c r="B309" s="1124" t="s">
        <v>1400</v>
      </c>
    </row>
    <row r="311" spans="1:26" s="128" customFormat="1" x14ac:dyDescent="0.25">
      <c r="A311" s="459">
        <v>21</v>
      </c>
      <c r="B311" s="127" t="s">
        <v>384</v>
      </c>
      <c r="C311" s="173"/>
      <c r="S311" s="129"/>
      <c r="T311" s="127" t="s">
        <v>384</v>
      </c>
      <c r="V311" s="129"/>
      <c r="Y311" s="166"/>
      <c r="Z311" s="166"/>
    </row>
    <row r="312" spans="1:26" s="1833" customFormat="1" x14ac:dyDescent="0.25">
      <c r="A312" s="461"/>
      <c r="B312" s="130" t="s">
        <v>337</v>
      </c>
      <c r="C312" s="131">
        <v>42522</v>
      </c>
      <c r="D312" s="131">
        <v>42552</v>
      </c>
      <c r="E312" s="131">
        <v>42583</v>
      </c>
      <c r="F312" s="131">
        <v>42614</v>
      </c>
      <c r="G312" s="131">
        <v>42644</v>
      </c>
      <c r="H312" s="131">
        <v>42675</v>
      </c>
      <c r="I312" s="131">
        <v>42705</v>
      </c>
      <c r="J312" s="131">
        <v>42736</v>
      </c>
      <c r="K312" s="131">
        <v>42767</v>
      </c>
      <c r="L312" s="131">
        <v>42795</v>
      </c>
      <c r="M312" s="131">
        <v>42826</v>
      </c>
      <c r="N312" s="131">
        <v>42856</v>
      </c>
      <c r="O312" s="131">
        <v>42887</v>
      </c>
      <c r="P312" s="131">
        <v>42917</v>
      </c>
      <c r="Q312" s="131">
        <v>42948</v>
      </c>
      <c r="R312" s="131">
        <v>42992</v>
      </c>
      <c r="S312" s="1834"/>
      <c r="T312" s="1866"/>
      <c r="V312" s="1834"/>
      <c r="Y312" s="1835"/>
      <c r="Z312" s="1835"/>
    </row>
    <row r="313" spans="1:26" s="1833" customFormat="1" x14ac:dyDescent="0.25">
      <c r="A313" s="461"/>
      <c r="B313" s="135" t="s">
        <v>319</v>
      </c>
      <c r="C313">
        <v>52885</v>
      </c>
      <c r="D313">
        <v>61294</v>
      </c>
      <c r="E313">
        <v>78216</v>
      </c>
      <c r="F313">
        <v>83548</v>
      </c>
      <c r="G313">
        <v>74633</v>
      </c>
      <c r="H313">
        <v>72643</v>
      </c>
      <c r="I313">
        <v>58499</v>
      </c>
      <c r="J313">
        <v>73775</v>
      </c>
      <c r="K313">
        <v>69477</v>
      </c>
      <c r="L313">
        <v>73343</v>
      </c>
      <c r="M313">
        <v>68334</v>
      </c>
      <c r="N313">
        <v>52440</v>
      </c>
      <c r="O313">
        <v>48997</v>
      </c>
      <c r="P313" s="136"/>
      <c r="Q313" s="136"/>
      <c r="R313" s="153"/>
      <c r="S313" s="1834"/>
      <c r="T313" s="1866"/>
      <c r="V313" s="1834"/>
      <c r="Y313" s="1835"/>
      <c r="Z313" s="1835"/>
    </row>
    <row r="314" spans="1:26" s="1833" customFormat="1" x14ac:dyDescent="0.25">
      <c r="A314" s="461"/>
      <c r="B314" s="1914" t="s">
        <v>343</v>
      </c>
      <c r="C314" s="1092"/>
      <c r="D314" s="153"/>
      <c r="E314" s="153"/>
      <c r="F314" s="137"/>
      <c r="G314" s="137"/>
      <c r="H314" s="137"/>
      <c r="I314" s="136"/>
      <c r="J314" s="136"/>
      <c r="K314" s="136"/>
      <c r="L314" s="136"/>
      <c r="M314" s="136"/>
      <c r="N314" s="136"/>
      <c r="O314" s="136"/>
      <c r="P314" s="136"/>
      <c r="Q314" s="136"/>
      <c r="R314" s="153"/>
      <c r="S314" s="1834"/>
      <c r="T314" s="1866"/>
      <c r="V314" s="1834"/>
      <c r="Y314" s="1835"/>
      <c r="Z314" s="1835"/>
    </row>
    <row r="315" spans="1:26" s="1833" customFormat="1" x14ac:dyDescent="0.25">
      <c r="A315" s="461"/>
      <c r="B315" s="1915" t="s">
        <v>362</v>
      </c>
      <c r="C315" s="1092"/>
      <c r="D315" s="153"/>
      <c r="E315" s="153"/>
      <c r="F315" s="141"/>
      <c r="G315" s="141"/>
      <c r="H315" s="141"/>
      <c r="I315" s="141"/>
      <c r="J315" s="141"/>
      <c r="K315" s="141"/>
      <c r="L315" s="141"/>
      <c r="M315" s="141"/>
      <c r="N315" s="141"/>
      <c r="O315" s="141"/>
      <c r="P315" s="141"/>
      <c r="Q315" s="141"/>
      <c r="R315" s="153"/>
      <c r="S315" s="1834"/>
      <c r="T315" s="1866"/>
      <c r="V315" s="1834"/>
      <c r="Y315" s="1835"/>
      <c r="Z315" s="1835"/>
    </row>
    <row r="316" spans="1:26" s="1833" customFormat="1" x14ac:dyDescent="0.25">
      <c r="A316" s="461"/>
      <c r="B316" s="1915" t="s">
        <v>641</v>
      </c>
      <c r="C316" s="1092"/>
      <c r="D316" s="153"/>
      <c r="E316" s="153"/>
      <c r="F316" s="141"/>
      <c r="G316" s="141"/>
      <c r="H316" s="141"/>
      <c r="I316" s="141"/>
      <c r="J316" s="141"/>
      <c r="K316" s="141"/>
      <c r="L316" s="141"/>
      <c r="M316" s="141"/>
      <c r="N316" s="141"/>
      <c r="O316" s="141"/>
      <c r="P316" s="141"/>
      <c r="Q316" s="141"/>
      <c r="R316" s="153"/>
      <c r="S316" s="1834"/>
      <c r="T316" s="1866"/>
      <c r="V316" s="1834"/>
      <c r="Y316" s="1835"/>
      <c r="Z316" s="1835"/>
    </row>
    <row r="317" spans="1:26" s="1833" customFormat="1" x14ac:dyDescent="0.25">
      <c r="A317" s="461"/>
      <c r="B317" s="135" t="s">
        <v>864</v>
      </c>
      <c r="C317" s="1403">
        <v>12.124857964039837</v>
      </c>
      <c r="D317" s="1403">
        <v>40.478577635184813</v>
      </c>
      <c r="E317" s="1403">
        <v>148.54622017244839</v>
      </c>
      <c r="F317" s="1403">
        <v>276.73283871398974</v>
      </c>
      <c r="G317" s="1403">
        <v>233.08602366151996</v>
      </c>
      <c r="H317" s="1403">
        <v>236.01363545217566</v>
      </c>
      <c r="I317" s="1403">
        <v>172.91624891384268</v>
      </c>
      <c r="J317" s="1403">
        <v>219.77140565470225</v>
      </c>
      <c r="K317" s="1403">
        <v>245.9461265958158</v>
      </c>
      <c r="L317" s="1403">
        <v>211.87086424704233</v>
      </c>
      <c r="M317" s="1403">
        <v>194.33192968384466</v>
      </c>
      <c r="N317" s="1403">
        <v>62.910233273176928</v>
      </c>
      <c r="O317" s="1403">
        <v>9.4111356192767861</v>
      </c>
      <c r="P317" s="750"/>
      <c r="Q317" s="728"/>
      <c r="R317" s="153"/>
      <c r="S317" s="1834"/>
      <c r="T317" s="1866"/>
      <c r="V317" s="1834"/>
      <c r="Y317" s="1835"/>
      <c r="Z317" s="1835"/>
    </row>
    <row r="318" spans="1:26" s="1833" customFormat="1" x14ac:dyDescent="0.25">
      <c r="A318" s="461"/>
      <c r="B318" s="135" t="s">
        <v>324</v>
      </c>
      <c r="C318" s="1916">
        <f>C313*C324</f>
        <v>4009.5291599999996</v>
      </c>
      <c r="D318" s="1916">
        <f t="shared" ref="D318:O318" si="16">D313*D324</f>
        <v>4433.6401959999994</v>
      </c>
      <c r="E318" s="1916">
        <f t="shared" si="16"/>
        <v>5719.9360800000004</v>
      </c>
      <c r="F318" s="1916">
        <f t="shared" si="16"/>
        <v>5815.2749919999997</v>
      </c>
      <c r="G318" s="1916">
        <f t="shared" si="16"/>
        <v>4091.903491</v>
      </c>
      <c r="H318" s="1916">
        <f t="shared" si="16"/>
        <v>4017.0852570000002</v>
      </c>
      <c r="I318" s="1916">
        <f t="shared" si="16"/>
        <v>3308.001452</v>
      </c>
      <c r="J318" s="1916">
        <f t="shared" si="16"/>
        <v>4097.9061499999998</v>
      </c>
      <c r="K318" s="1916">
        <f t="shared" si="16"/>
        <v>3944.3482440000002</v>
      </c>
      <c r="L318" s="1916">
        <f t="shared" si="16"/>
        <v>4127.0839530000003</v>
      </c>
      <c r="M318" s="1916">
        <f t="shared" si="16"/>
        <v>3802.8554340000001</v>
      </c>
      <c r="N318" s="1916">
        <f t="shared" si="16"/>
        <v>3112.0518000000002</v>
      </c>
      <c r="O318" s="1916">
        <f t="shared" si="16"/>
        <v>3561.4939360000003</v>
      </c>
      <c r="P318" s="731"/>
      <c r="Q318" s="731"/>
      <c r="R318" s="153"/>
      <c r="S318" s="1834"/>
      <c r="T318" s="1866"/>
      <c r="V318" s="1834"/>
      <c r="Y318" s="1835"/>
      <c r="Z318" s="1835"/>
    </row>
    <row r="319" spans="1:26" s="1833" customFormat="1" x14ac:dyDescent="0.25">
      <c r="A319" s="461"/>
      <c r="B319" s="1915" t="s">
        <v>348</v>
      </c>
      <c r="C319" s="1092"/>
      <c r="D319" s="153"/>
      <c r="E319" s="153"/>
      <c r="F319" s="736"/>
      <c r="G319" s="736"/>
      <c r="H319" s="736"/>
      <c r="I319" s="736"/>
      <c r="J319" s="731"/>
      <c r="K319" s="731"/>
      <c r="L319" s="731"/>
      <c r="M319" s="731"/>
      <c r="N319" s="731"/>
      <c r="O319" s="731"/>
      <c r="P319" s="731"/>
      <c r="Q319" s="731"/>
      <c r="R319" s="153"/>
      <c r="S319" s="1867"/>
      <c r="T319" s="1866"/>
      <c r="V319" s="1834"/>
      <c r="Y319" s="1835"/>
      <c r="Z319" s="1835"/>
    </row>
    <row r="320" spans="1:26" s="1833" customFormat="1" x14ac:dyDescent="0.25">
      <c r="A320" s="461"/>
      <c r="B320" s="1917" t="s">
        <v>1087</v>
      </c>
      <c r="C320" s="1092"/>
      <c r="D320" s="153"/>
      <c r="E320" s="153"/>
      <c r="F320" s="731"/>
      <c r="G320" s="731"/>
      <c r="H320" s="731"/>
      <c r="I320" s="731"/>
      <c r="J320" s="731"/>
      <c r="K320" s="731"/>
      <c r="L320" s="731"/>
      <c r="M320" s="731"/>
      <c r="N320" s="731"/>
      <c r="O320" s="731"/>
      <c r="P320" s="731"/>
      <c r="Q320" s="731"/>
      <c r="R320" s="153"/>
      <c r="S320" s="1834"/>
      <c r="T320" s="1866"/>
      <c r="V320" s="1834"/>
      <c r="Y320" s="1835"/>
      <c r="Z320" s="1835"/>
    </row>
    <row r="321" spans="1:26" s="1833" customFormat="1" x14ac:dyDescent="0.25">
      <c r="A321" s="461"/>
      <c r="B321" s="1915" t="s">
        <v>883</v>
      </c>
      <c r="C321" s="604"/>
      <c r="D321" s="145"/>
      <c r="E321" s="145"/>
      <c r="F321" s="145"/>
      <c r="G321" s="145"/>
      <c r="H321" s="145"/>
      <c r="I321" s="145"/>
      <c r="J321" s="145"/>
      <c r="K321" s="145"/>
      <c r="L321" s="145"/>
      <c r="M321" s="145"/>
      <c r="N321" s="145"/>
      <c r="O321" s="145"/>
      <c r="P321" s="145"/>
      <c r="Q321" s="145"/>
      <c r="R321" s="145"/>
      <c r="S321" s="1834"/>
      <c r="T321" s="1866"/>
      <c r="V321" s="1834"/>
      <c r="Y321" s="1835"/>
      <c r="Z321" s="1835"/>
    </row>
    <row r="322" spans="1:26" s="1833" customFormat="1" ht="14.25" x14ac:dyDescent="0.2">
      <c r="A322"/>
      <c r="B322"/>
      <c r="C322"/>
      <c r="D322"/>
      <c r="E322"/>
      <c r="F322"/>
      <c r="G322"/>
      <c r="H322"/>
      <c r="I322"/>
      <c r="J322"/>
      <c r="K322"/>
      <c r="L322"/>
      <c r="M322"/>
      <c r="N322"/>
      <c r="O322"/>
      <c r="P322"/>
      <c r="Q322"/>
      <c r="R322"/>
      <c r="S322" s="1834"/>
      <c r="T322" s="1866"/>
      <c r="V322" s="1834"/>
      <c r="Y322" s="1835"/>
      <c r="Z322" s="1835"/>
    </row>
    <row r="323" spans="1:26" s="1833" customFormat="1" ht="14.25" x14ac:dyDescent="0.2">
      <c r="A323"/>
      <c r="B323"/>
      <c r="C323"/>
      <c r="D323"/>
      <c r="E323"/>
      <c r="F323"/>
      <c r="G323"/>
      <c r="H323"/>
      <c r="I323"/>
      <c r="J323"/>
      <c r="K323"/>
      <c r="L323"/>
      <c r="M323"/>
      <c r="N323"/>
      <c r="O323"/>
      <c r="P323"/>
      <c r="Q323"/>
      <c r="R323"/>
      <c r="S323" s="1834"/>
      <c r="T323" s="1866"/>
      <c r="V323" s="1834"/>
      <c r="Y323" s="1835"/>
      <c r="Z323" s="1835"/>
    </row>
    <row r="324" spans="1:26" s="1833" customFormat="1" ht="14.25" x14ac:dyDescent="0.2">
      <c r="A324"/>
      <c r="B324" t="s">
        <v>1487</v>
      </c>
      <c r="C324" s="1918">
        <v>7.5815999999999995E-2</v>
      </c>
      <c r="D324" s="1918">
        <v>7.2333999999999996E-2</v>
      </c>
      <c r="E324" s="1918">
        <v>7.3130000000000001E-2</v>
      </c>
      <c r="F324" s="1918">
        <v>6.9603999999999999E-2</v>
      </c>
      <c r="G324" s="1918">
        <v>5.4827000000000001E-2</v>
      </c>
      <c r="H324" s="1918">
        <v>5.5299000000000001E-2</v>
      </c>
      <c r="I324" s="1918">
        <v>5.6548000000000001E-2</v>
      </c>
      <c r="J324" s="1918">
        <v>5.5545999999999998E-2</v>
      </c>
      <c r="K324" s="1918">
        <v>5.6772000000000003E-2</v>
      </c>
      <c r="L324" s="1918">
        <v>5.6271000000000002E-2</v>
      </c>
      <c r="M324" s="1918">
        <v>5.5650999999999999E-2</v>
      </c>
      <c r="N324" s="1918">
        <v>5.9345000000000002E-2</v>
      </c>
      <c r="O324" s="1918">
        <v>7.2688000000000003E-2</v>
      </c>
      <c r="P324"/>
      <c r="Q324"/>
      <c r="R324"/>
      <c r="S324" s="1834"/>
      <c r="T324" s="1866"/>
      <c r="V324" s="1834"/>
      <c r="Y324" s="1835"/>
      <c r="Z324" s="1835"/>
    </row>
    <row r="325" spans="1:26" s="1833" customFormat="1" ht="14.25" x14ac:dyDescent="0.2">
      <c r="A325" s="1840"/>
      <c r="B325" s="41"/>
      <c r="C325" s="41"/>
      <c r="D325" s="41"/>
      <c r="E325" s="41"/>
      <c r="F325" s="41"/>
      <c r="G325" s="41"/>
      <c r="H325" s="41"/>
      <c r="I325" s="41"/>
      <c r="J325" s="41"/>
      <c r="K325" s="41"/>
      <c r="L325" s="41"/>
      <c r="M325" s="41"/>
      <c r="N325" s="41"/>
      <c r="O325" s="41"/>
      <c r="P325" s="41"/>
      <c r="Q325" s="41"/>
      <c r="R325" s="41"/>
      <c r="S325" s="1834"/>
      <c r="T325" s="1866"/>
      <c r="V325" s="1834"/>
      <c r="Y325" s="1835"/>
      <c r="Z325" s="1835"/>
    </row>
    <row r="326" spans="1:26" s="128" customFormat="1" x14ac:dyDescent="0.25">
      <c r="A326" s="459">
        <v>22</v>
      </c>
      <c r="B326" s="127" t="s">
        <v>566</v>
      </c>
      <c r="C326" s="173"/>
      <c r="S326" s="129"/>
      <c r="T326" s="127" t="s">
        <v>566</v>
      </c>
      <c r="V326" s="129"/>
      <c r="Y326" s="166"/>
      <c r="Z326" s="166"/>
    </row>
    <row r="327" spans="1:26" s="128" customFormat="1" x14ac:dyDescent="0.25">
      <c r="A327" s="459"/>
      <c r="B327" s="2238" t="s">
        <v>352</v>
      </c>
      <c r="C327" s="173"/>
      <c r="S327" s="129"/>
      <c r="T327" s="127"/>
      <c r="V327" s="129"/>
      <c r="Y327" s="166"/>
      <c r="Z327" s="166"/>
    </row>
    <row r="328" spans="1:26" s="128" customFormat="1" x14ac:dyDescent="0.25">
      <c r="A328" s="459"/>
      <c r="B328" s="2242"/>
      <c r="C328" s="173"/>
      <c r="S328" s="129"/>
      <c r="T328" s="127"/>
      <c r="V328" s="129"/>
      <c r="Y328" s="166"/>
      <c r="Z328" s="166"/>
    </row>
    <row r="329" spans="1:26" s="125" customFormat="1" x14ac:dyDescent="0.25">
      <c r="A329" s="461">
        <v>23</v>
      </c>
      <c r="B329" s="148" t="s">
        <v>406</v>
      </c>
      <c r="C329" s="152"/>
      <c r="S329" s="126"/>
      <c r="T329" s="148" t="s">
        <v>406</v>
      </c>
      <c r="V329" s="126"/>
      <c r="Y329" s="157"/>
      <c r="Z329" s="157"/>
    </row>
    <row r="330" spans="1:26" s="1833" customFormat="1" ht="15.75" x14ac:dyDescent="0.25">
      <c r="A330" s="1840"/>
      <c r="B330" s="2241" t="s">
        <v>352</v>
      </c>
      <c r="C330" s="1862"/>
      <c r="D330" s="1862"/>
      <c r="E330" s="1862"/>
      <c r="F330" s="1862"/>
      <c r="G330" s="1862"/>
      <c r="H330" s="1862"/>
      <c r="I330" s="1862"/>
      <c r="J330" s="1862"/>
      <c r="K330" s="1862"/>
      <c r="L330" s="1862"/>
      <c r="M330" s="1862"/>
      <c r="N330" s="1862"/>
      <c r="O330" s="1861"/>
      <c r="P330" s="1860"/>
      <c r="S330" s="1834"/>
      <c r="V330" s="1834"/>
      <c r="Y330" s="1835"/>
      <c r="Z330" s="1835"/>
    </row>
    <row r="332" spans="1:26" s="125" customFormat="1" x14ac:dyDescent="0.25">
      <c r="A332" s="461">
        <v>24</v>
      </c>
      <c r="B332" s="207" t="s">
        <v>405</v>
      </c>
      <c r="C332" s="152"/>
      <c r="E332" s="1345"/>
      <c r="S332" s="126"/>
      <c r="T332" s="207" t="s">
        <v>405</v>
      </c>
      <c r="V332" s="126"/>
      <c r="Y332" s="157"/>
      <c r="Z332" s="157"/>
    </row>
    <row r="333" spans="1:26" s="1833" customFormat="1" x14ac:dyDescent="0.25">
      <c r="A333" s="1840"/>
      <c r="B333" s="462"/>
      <c r="C333" s="666" t="s">
        <v>1431</v>
      </c>
      <c r="D333" s="497"/>
      <c r="E333"/>
      <c r="F333"/>
      <c r="G333"/>
      <c r="H333"/>
      <c r="I333"/>
      <c r="J333"/>
      <c r="K333"/>
      <c r="L333"/>
      <c r="M333"/>
      <c r="N333"/>
      <c r="O333"/>
      <c r="P333"/>
      <c r="Q333"/>
      <c r="R333"/>
      <c r="S333"/>
      <c r="T333"/>
      <c r="V333" s="1834"/>
      <c r="Y333" s="1835"/>
      <c r="Z333" s="1835"/>
    </row>
    <row r="334" spans="1:26" s="1833" customFormat="1" x14ac:dyDescent="0.25">
      <c r="A334" s="1840"/>
      <c r="B334" s="462"/>
      <c r="C334" s="666"/>
      <c r="D334" s="497">
        <v>1</v>
      </c>
      <c r="E334" s="497">
        <v>2</v>
      </c>
      <c r="F334" s="497">
        <v>3</v>
      </c>
      <c r="G334" s="497">
        <v>4</v>
      </c>
      <c r="H334" s="497">
        <v>5</v>
      </c>
      <c r="I334" s="497">
        <v>6</v>
      </c>
      <c r="J334" s="497">
        <v>7</v>
      </c>
      <c r="K334" s="497">
        <v>8</v>
      </c>
      <c r="L334" s="497">
        <v>9</v>
      </c>
      <c r="M334" s="497">
        <v>10</v>
      </c>
      <c r="N334" s="497">
        <v>11</v>
      </c>
      <c r="O334" s="497">
        <v>12</v>
      </c>
      <c r="P334"/>
      <c r="Q334"/>
      <c r="R334"/>
      <c r="S334"/>
      <c r="T334"/>
      <c r="V334" s="1834"/>
      <c r="Y334" s="1835"/>
      <c r="Z334" s="1835"/>
    </row>
    <row r="335" spans="1:26" s="1833" customFormat="1" x14ac:dyDescent="0.25">
      <c r="A335" s="1840"/>
      <c r="B335" s="461"/>
      <c r="C335" s="130" t="s">
        <v>337</v>
      </c>
      <c r="D335" s="186" t="s">
        <v>1532</v>
      </c>
      <c r="E335" s="131">
        <v>42567</v>
      </c>
      <c r="F335" s="131">
        <v>42583</v>
      </c>
      <c r="G335" s="131">
        <v>42614</v>
      </c>
      <c r="H335" s="131">
        <v>42644</v>
      </c>
      <c r="I335" s="131">
        <v>42675</v>
      </c>
      <c r="J335" s="131">
        <v>42705</v>
      </c>
      <c r="K335" s="131">
        <v>42736</v>
      </c>
      <c r="L335" s="131">
        <v>42767</v>
      </c>
      <c r="M335" s="131">
        <v>42795</v>
      </c>
      <c r="N335" s="131">
        <v>42826</v>
      </c>
      <c r="O335" s="131">
        <v>42856</v>
      </c>
      <c r="P335" s="131">
        <v>42522</v>
      </c>
      <c r="Q335" s="131">
        <v>42552</v>
      </c>
      <c r="R335" s="151">
        <v>42583</v>
      </c>
      <c r="S335" s="131">
        <v>42627</v>
      </c>
      <c r="T335" s="2159" t="s">
        <v>1432</v>
      </c>
      <c r="V335" s="1834"/>
      <c r="Y335" s="1835"/>
      <c r="Z335" s="1835"/>
    </row>
    <row r="336" spans="1:26" s="1833" customFormat="1" ht="14.25" x14ac:dyDescent="0.2">
      <c r="A336" s="1840"/>
      <c r="B336" s="152" t="s">
        <v>1433</v>
      </c>
      <c r="C336" s="135" t="s">
        <v>319</v>
      </c>
      <c r="D336" s="2160" t="s">
        <v>1585</v>
      </c>
      <c r="E336" s="2160" t="s">
        <v>1585</v>
      </c>
      <c r="F336" s="2160" t="s">
        <v>1585</v>
      </c>
      <c r="G336" s="2160" t="s">
        <v>1585</v>
      </c>
      <c r="H336" s="2160" t="s">
        <v>1585</v>
      </c>
      <c r="I336" s="2160" t="s">
        <v>1585</v>
      </c>
      <c r="J336" s="2160" t="s">
        <v>1585</v>
      </c>
      <c r="K336" s="2160" t="s">
        <v>1585</v>
      </c>
      <c r="L336" s="2160" t="s">
        <v>1585</v>
      </c>
      <c r="M336" s="2160" t="s">
        <v>1585</v>
      </c>
      <c r="N336" s="2160" t="s">
        <v>1585</v>
      </c>
      <c r="O336" s="2160" t="s">
        <v>1585</v>
      </c>
      <c r="P336" s="136"/>
      <c r="Q336" s="136"/>
      <c r="R336" s="136"/>
      <c r="S336" s="153"/>
      <c r="T336" s="2161">
        <v>1535525</v>
      </c>
      <c r="V336" s="1834"/>
      <c r="Y336" s="1835"/>
      <c r="Z336" s="1835"/>
    </row>
    <row r="337" spans="1:26" s="1833" customFormat="1" ht="14.25" x14ac:dyDescent="0.2">
      <c r="A337" s="1840"/>
      <c r="B337" s="152"/>
      <c r="C337" s="135" t="s">
        <v>343</v>
      </c>
      <c r="D337" s="1092"/>
      <c r="E337" s="153"/>
      <c r="F337" s="153"/>
      <c r="G337" s="137"/>
      <c r="H337" s="137"/>
      <c r="I337" s="137"/>
      <c r="J337" s="136"/>
      <c r="K337" s="136"/>
      <c r="L337" s="136"/>
      <c r="M337" s="136"/>
      <c r="N337" s="136"/>
      <c r="O337" s="136"/>
      <c r="P337" s="136"/>
      <c r="Q337" s="136"/>
      <c r="R337" s="136"/>
      <c r="S337" s="153"/>
      <c r="T337" s="954"/>
      <c r="V337" s="1834"/>
      <c r="Y337" s="1835"/>
      <c r="Z337" s="1835"/>
    </row>
    <row r="338" spans="1:26" s="1833" customFormat="1" ht="14.25" x14ac:dyDescent="0.2">
      <c r="A338" s="1840"/>
      <c r="B338" s="152"/>
      <c r="C338" s="153" t="s">
        <v>362</v>
      </c>
      <c r="D338" s="1092"/>
      <c r="E338" s="153"/>
      <c r="F338" s="153"/>
      <c r="G338" s="141"/>
      <c r="H338" s="141"/>
      <c r="I338" s="141"/>
      <c r="J338" s="141"/>
      <c r="K338" s="141"/>
      <c r="L338" s="141"/>
      <c r="M338" s="141"/>
      <c r="N338" s="141"/>
      <c r="O338" s="141"/>
      <c r="P338" s="141"/>
      <c r="Q338" s="141"/>
      <c r="R338" s="141"/>
      <c r="S338" s="153"/>
      <c r="T338" s="959"/>
      <c r="V338" s="1834"/>
      <c r="Y338" s="1835"/>
      <c r="Z338" s="1835"/>
    </row>
    <row r="339" spans="1:26" s="1833" customFormat="1" ht="14.25" x14ac:dyDescent="0.2">
      <c r="A339" s="1840"/>
      <c r="B339" s="152"/>
      <c r="C339" s="153" t="s">
        <v>641</v>
      </c>
      <c r="D339" s="1092"/>
      <c r="E339" s="153"/>
      <c r="F339" s="153"/>
      <c r="G339" s="141"/>
      <c r="H339" s="141"/>
      <c r="I339" s="141"/>
      <c r="J339" s="141"/>
      <c r="K339" s="141"/>
      <c r="L339" s="141"/>
      <c r="M339" s="141"/>
      <c r="N339" s="141"/>
      <c r="O339" s="141"/>
      <c r="P339" s="141"/>
      <c r="Q339" s="141"/>
      <c r="R339" s="141"/>
      <c r="S339" s="153"/>
      <c r="T339" s="959"/>
      <c r="V339" s="1834"/>
      <c r="Y339" s="1835"/>
      <c r="Z339" s="1835"/>
    </row>
    <row r="340" spans="1:26" s="1833" customFormat="1" ht="14.25" x14ac:dyDescent="0.2">
      <c r="A340" s="1840"/>
      <c r="B340" s="152" t="s">
        <v>1435</v>
      </c>
      <c r="C340" s="135" t="s">
        <v>864</v>
      </c>
      <c r="D340" s="153">
        <v>138</v>
      </c>
      <c r="E340" s="153">
        <v>121</v>
      </c>
      <c r="F340" s="760">
        <v>352</v>
      </c>
      <c r="G340" s="760">
        <v>398</v>
      </c>
      <c r="H340" s="760">
        <f>426+14</f>
        <v>440</v>
      </c>
      <c r="I340" s="760">
        <v>424</v>
      </c>
      <c r="J340" s="760">
        <v>115</v>
      </c>
      <c r="K340" s="750">
        <v>401</v>
      </c>
      <c r="L340" s="750">
        <f>424+8</f>
        <v>432</v>
      </c>
      <c r="M340" s="750">
        <v>499</v>
      </c>
      <c r="N340" s="750">
        <v>631</v>
      </c>
      <c r="O340" s="731"/>
      <c r="P340" s="750"/>
      <c r="Q340" s="750"/>
      <c r="R340" s="728"/>
      <c r="S340" s="153"/>
      <c r="T340" s="2162">
        <f>SUM(D340:S340)</f>
        <v>3951</v>
      </c>
      <c r="V340" s="1834"/>
      <c r="Y340" s="1835"/>
      <c r="Z340" s="1835"/>
    </row>
    <row r="341" spans="1:26" s="1833" customFormat="1" x14ac:dyDescent="0.25">
      <c r="A341" s="1840"/>
      <c r="B341" s="461"/>
      <c r="C341" s="135" t="s">
        <v>324</v>
      </c>
      <c r="D341" s="2160" t="s">
        <v>1585</v>
      </c>
      <c r="E341" s="2160" t="s">
        <v>1585</v>
      </c>
      <c r="F341" s="2160" t="s">
        <v>1585</v>
      </c>
      <c r="G341" s="2160" t="s">
        <v>1585</v>
      </c>
      <c r="H341" s="2160" t="s">
        <v>1585</v>
      </c>
      <c r="I341" s="2160" t="s">
        <v>1585</v>
      </c>
      <c r="J341" s="2160" t="s">
        <v>1585</v>
      </c>
      <c r="K341" s="2160" t="s">
        <v>1585</v>
      </c>
      <c r="L341" s="2160" t="s">
        <v>1585</v>
      </c>
      <c r="M341" s="2160" t="s">
        <v>1585</v>
      </c>
      <c r="N341" s="2160" t="s">
        <v>1585</v>
      </c>
      <c r="O341" s="2160" t="s">
        <v>1585</v>
      </c>
      <c r="P341" s="731"/>
      <c r="Q341" s="731"/>
      <c r="R341" s="731"/>
      <c r="S341" s="153"/>
      <c r="T341" s="2161">
        <v>118312</v>
      </c>
      <c r="V341" s="1834"/>
      <c r="Y341" s="1835"/>
      <c r="Z341" s="1835"/>
    </row>
    <row r="342" spans="1:26" s="1833" customFormat="1" x14ac:dyDescent="0.25">
      <c r="A342" s="1840"/>
      <c r="B342" s="461"/>
      <c r="C342" s="144" t="s">
        <v>348</v>
      </c>
      <c r="D342" s="1092"/>
      <c r="E342" s="153"/>
      <c r="F342" s="153"/>
      <c r="G342" s="736"/>
      <c r="H342" s="736"/>
      <c r="I342" s="736"/>
      <c r="J342" s="736"/>
      <c r="K342" s="731"/>
      <c r="L342" s="731"/>
      <c r="M342" s="731"/>
      <c r="N342" s="731"/>
      <c r="O342" s="731"/>
      <c r="P342" s="731"/>
      <c r="Q342" s="731"/>
      <c r="R342" s="731"/>
      <c r="S342" s="153"/>
      <c r="T342" s="2163"/>
      <c r="V342" s="1834"/>
      <c r="Y342" s="1835"/>
      <c r="Z342" s="1835"/>
    </row>
    <row r="343" spans="1:26" s="1833" customFormat="1" x14ac:dyDescent="0.25">
      <c r="A343" s="1840"/>
      <c r="B343" s="461"/>
      <c r="C343" s="195" t="s">
        <v>328</v>
      </c>
      <c r="D343" s="1688">
        <f>765.06+1038.93</f>
        <v>1803.99</v>
      </c>
      <c r="E343" s="1688">
        <f>690.43+981.64</f>
        <v>1672.07</v>
      </c>
      <c r="F343" s="1688">
        <v>3396.97</v>
      </c>
      <c r="G343" s="1688">
        <f>1887.73+1858.84</f>
        <v>3746.5699999999997</v>
      </c>
      <c r="H343" s="1688">
        <f>2009.49+2029.38+128.92+77.31</f>
        <v>4245.1000000000004</v>
      </c>
      <c r="I343" s="1688">
        <f>2020.6+2002.75</f>
        <v>4023.35</v>
      </c>
      <c r="J343" s="1688">
        <f>961.42+664.09</f>
        <v>1625.51</v>
      </c>
      <c r="K343" s="1688">
        <f>1925.24+1919.63</f>
        <v>3844.87</v>
      </c>
      <c r="L343" s="1688">
        <f>2020.6+2002.75+49.98</f>
        <v>4073.33</v>
      </c>
      <c r="M343" s="1688">
        <f>2349.85+2255.5</f>
        <v>4605.3500000000004</v>
      </c>
      <c r="N343" s="1688">
        <f>2700.34+2929.33</f>
        <v>5629.67</v>
      </c>
      <c r="O343" s="731"/>
      <c r="P343" s="1688"/>
      <c r="Q343" s="1688"/>
      <c r="R343" s="731"/>
      <c r="S343" s="153"/>
      <c r="T343" s="2161">
        <f>SUM(D343:S343)</f>
        <v>38666.779999999992</v>
      </c>
      <c r="V343" s="1834"/>
      <c r="Y343" s="1835"/>
      <c r="Z343" s="1835"/>
    </row>
    <row r="344" spans="1:26" s="1833" customFormat="1" x14ac:dyDescent="0.25">
      <c r="A344" s="1840"/>
      <c r="B344" s="461"/>
      <c r="C344" s="144" t="s">
        <v>883</v>
      </c>
      <c r="D344" s="604"/>
      <c r="E344" s="145"/>
      <c r="F344" s="145"/>
      <c r="G344" s="145"/>
      <c r="H344" s="145"/>
      <c r="I344" s="145"/>
      <c r="J344" s="145"/>
      <c r="K344" s="145"/>
      <c r="L344" s="145"/>
      <c r="M344" s="145"/>
      <c r="N344" s="145"/>
      <c r="O344" s="145"/>
      <c r="P344" s="145"/>
      <c r="Q344" s="145"/>
      <c r="R344" s="145"/>
      <c r="S344" s="145"/>
      <c r="T344" s="2164"/>
      <c r="V344" s="1834"/>
      <c r="Y344" s="1835"/>
      <c r="Z344" s="1835"/>
    </row>
    <row r="345" spans="1:26" s="1833" customFormat="1" ht="14.25" x14ac:dyDescent="0.2">
      <c r="A345" s="1840"/>
      <c r="B345"/>
      <c r="C345"/>
      <c r="D345"/>
      <c r="E345"/>
      <c r="F345"/>
      <c r="G345"/>
      <c r="H345"/>
      <c r="I345"/>
      <c r="J345"/>
      <c r="K345"/>
      <c r="L345"/>
      <c r="M345"/>
      <c r="N345"/>
      <c r="O345"/>
      <c r="P345"/>
      <c r="Q345"/>
      <c r="R345"/>
      <c r="S345"/>
      <c r="T345" s="116"/>
      <c r="V345" s="1834"/>
      <c r="Y345" s="1835"/>
      <c r="Z345" s="1835"/>
    </row>
    <row r="346" spans="1:26" s="1833" customFormat="1" ht="14.25" x14ac:dyDescent="0.2">
      <c r="A346" s="1840"/>
      <c r="B346"/>
      <c r="C346" t="s">
        <v>1586</v>
      </c>
      <c r="D346"/>
      <c r="E346"/>
      <c r="F346"/>
      <c r="G346"/>
      <c r="H346"/>
      <c r="I346"/>
      <c r="J346"/>
      <c r="K346"/>
      <c r="L346"/>
      <c r="M346"/>
      <c r="N346"/>
      <c r="O346"/>
      <c r="P346"/>
      <c r="Q346"/>
      <c r="R346"/>
      <c r="S346"/>
      <c r="T346"/>
      <c r="V346" s="1834"/>
      <c r="Y346" s="1835"/>
      <c r="Z346" s="1835"/>
    </row>
    <row r="347" spans="1:26" s="1833" customFormat="1" ht="14.25" x14ac:dyDescent="0.2">
      <c r="A347" s="1840"/>
      <c r="B347" s="1840"/>
      <c r="C347" s="200"/>
      <c r="D347" s="1875"/>
      <c r="E347" s="1874"/>
      <c r="F347" s="1874"/>
      <c r="G347" s="1874"/>
      <c r="H347" s="1874"/>
      <c r="I347" s="1874"/>
      <c r="J347" s="1874"/>
      <c r="K347" s="1874"/>
      <c r="L347" s="1874"/>
      <c r="M347" s="1874"/>
      <c r="N347" s="1874"/>
      <c r="O347" s="1874"/>
      <c r="P347" s="1874"/>
      <c r="Q347" s="1874"/>
      <c r="R347" s="746"/>
      <c r="S347" s="1835"/>
      <c r="T347" s="1874"/>
      <c r="V347" s="1834"/>
      <c r="Y347" s="1835"/>
      <c r="Z347" s="1835"/>
    </row>
    <row r="348" spans="1:26" s="125" customFormat="1" x14ac:dyDescent="0.25">
      <c r="A348" s="461">
        <v>25</v>
      </c>
      <c r="B348" s="148" t="s">
        <v>633</v>
      </c>
      <c r="C348" s="152"/>
      <c r="S348" s="126"/>
      <c r="T348" s="148" t="s">
        <v>633</v>
      </c>
      <c r="V348" s="126"/>
      <c r="Y348" s="157"/>
      <c r="Z348" s="157"/>
    </row>
    <row r="349" spans="1:26" s="1833" customFormat="1" ht="14.25" x14ac:dyDescent="0.2">
      <c r="A349" s="1"/>
      <c r="B349" s="130" t="s">
        <v>337</v>
      </c>
      <c r="C349" s="186" t="s">
        <v>1532</v>
      </c>
      <c r="D349" s="131">
        <v>42566</v>
      </c>
      <c r="E349" s="131">
        <v>42597</v>
      </c>
      <c r="F349" s="131">
        <v>42628</v>
      </c>
      <c r="G349" s="131">
        <v>42658</v>
      </c>
      <c r="H349" s="131">
        <v>42689</v>
      </c>
      <c r="I349" s="131">
        <v>42719</v>
      </c>
      <c r="J349" s="131">
        <v>42751</v>
      </c>
      <c r="K349" s="131">
        <v>42782</v>
      </c>
      <c r="L349" s="131">
        <v>42810</v>
      </c>
      <c r="M349" s="131">
        <v>42841</v>
      </c>
      <c r="N349" s="131">
        <v>42871</v>
      </c>
      <c r="O349" s="131">
        <v>42902</v>
      </c>
      <c r="P349" s="131">
        <v>42932</v>
      </c>
      <c r="Q349" s="151">
        <v>42963</v>
      </c>
      <c r="R349" s="131">
        <v>42992</v>
      </c>
      <c r="S349" s="1834"/>
      <c r="V349" s="1834"/>
      <c r="Y349" s="1835"/>
      <c r="Z349" s="1835"/>
    </row>
    <row r="350" spans="1:26" s="1833" customFormat="1" ht="14.25" x14ac:dyDescent="0.2">
      <c r="A350" s="1"/>
      <c r="B350" s="135" t="s">
        <v>319</v>
      </c>
      <c r="C350" s="136"/>
      <c r="D350" s="136">
        <v>40760</v>
      </c>
      <c r="E350" s="136">
        <v>28119</v>
      </c>
      <c r="F350" s="136">
        <v>58731</v>
      </c>
      <c r="G350" s="136">
        <v>58222</v>
      </c>
      <c r="H350" s="136">
        <v>56170</v>
      </c>
      <c r="I350" s="136">
        <v>49151</v>
      </c>
      <c r="J350" s="136">
        <v>53036</v>
      </c>
      <c r="K350" s="136">
        <v>49265</v>
      </c>
      <c r="L350" s="136">
        <v>52527</v>
      </c>
      <c r="M350" s="136">
        <v>54793</v>
      </c>
      <c r="N350" s="136">
        <v>48155</v>
      </c>
      <c r="O350" s="136">
        <v>46501</v>
      </c>
      <c r="P350" s="136">
        <v>46224</v>
      </c>
      <c r="Q350" s="136"/>
      <c r="R350" s="157"/>
      <c r="S350" s="1834"/>
      <c r="V350" s="1834"/>
      <c r="Y350" s="1835"/>
      <c r="Z350" s="1835"/>
    </row>
    <row r="351" spans="1:26" s="1833" customFormat="1" ht="14.25" x14ac:dyDescent="0.2">
      <c r="A351" s="1"/>
      <c r="B351" s="135" t="s">
        <v>343</v>
      </c>
      <c r="C351" s="137"/>
      <c r="D351" s="137">
        <v>0</v>
      </c>
      <c r="E351" s="137">
        <v>0</v>
      </c>
      <c r="F351" s="137">
        <v>0</v>
      </c>
      <c r="G351" s="137">
        <v>0</v>
      </c>
      <c r="H351" s="137">
        <v>0</v>
      </c>
      <c r="I351" s="136">
        <v>0</v>
      </c>
      <c r="J351" s="136">
        <v>0</v>
      </c>
      <c r="K351" s="136">
        <v>0</v>
      </c>
      <c r="L351" s="136">
        <v>0</v>
      </c>
      <c r="M351" s="136">
        <v>0</v>
      </c>
      <c r="N351" s="136">
        <v>0</v>
      </c>
      <c r="O351" s="136">
        <v>0</v>
      </c>
      <c r="P351" s="136">
        <v>0</v>
      </c>
      <c r="Q351" s="136"/>
      <c r="R351" s="157"/>
      <c r="S351" s="1834"/>
      <c r="V351" s="1834"/>
      <c r="Y351" s="1835"/>
      <c r="Z351" s="1835"/>
    </row>
    <row r="352" spans="1:26" s="1833" customFormat="1" ht="14.25" x14ac:dyDescent="0.2">
      <c r="A352" s="1"/>
      <c r="B352" s="153" t="s">
        <v>362</v>
      </c>
      <c r="C352" s="141"/>
      <c r="D352" s="141">
        <v>0</v>
      </c>
      <c r="E352" s="141">
        <v>0</v>
      </c>
      <c r="F352" s="141">
        <v>0</v>
      </c>
      <c r="G352" s="141">
        <v>0</v>
      </c>
      <c r="H352" s="141">
        <v>0</v>
      </c>
      <c r="I352" s="141">
        <v>0</v>
      </c>
      <c r="J352" s="141">
        <v>0</v>
      </c>
      <c r="K352" s="141">
        <v>0</v>
      </c>
      <c r="L352" s="141">
        <v>0</v>
      </c>
      <c r="M352" s="141">
        <v>0</v>
      </c>
      <c r="N352" s="141">
        <v>0</v>
      </c>
      <c r="O352" s="141">
        <v>0</v>
      </c>
      <c r="P352" s="141">
        <v>0</v>
      </c>
      <c r="Q352" s="141"/>
      <c r="R352" s="157"/>
      <c r="S352" s="1834"/>
      <c r="V352" s="1834"/>
      <c r="Y352" s="1835"/>
      <c r="Z352" s="1835"/>
    </row>
    <row r="353" spans="1:26" s="1833" customFormat="1" ht="14.25" x14ac:dyDescent="0.2">
      <c r="A353" s="1"/>
      <c r="B353" s="153" t="s">
        <v>641</v>
      </c>
      <c r="C353" s="141"/>
      <c r="D353" s="141">
        <v>0</v>
      </c>
      <c r="E353" s="141">
        <v>0</v>
      </c>
      <c r="F353" s="141">
        <v>0</v>
      </c>
      <c r="G353" s="141">
        <v>0</v>
      </c>
      <c r="H353" s="141">
        <v>0</v>
      </c>
      <c r="I353" s="141">
        <v>0</v>
      </c>
      <c r="J353" s="141">
        <v>0</v>
      </c>
      <c r="K353" s="141">
        <v>0</v>
      </c>
      <c r="L353" s="141">
        <v>0</v>
      </c>
      <c r="M353" s="141">
        <v>0</v>
      </c>
      <c r="N353" s="141">
        <v>0</v>
      </c>
      <c r="O353" s="141">
        <v>0</v>
      </c>
      <c r="P353" s="141">
        <v>0</v>
      </c>
      <c r="Q353" s="141"/>
      <c r="R353" s="157"/>
      <c r="S353" s="1834"/>
      <c r="V353" s="1834"/>
      <c r="Y353" s="1835"/>
      <c r="Z353" s="1835"/>
    </row>
    <row r="354" spans="1:26" s="1833" customFormat="1" ht="14.25" x14ac:dyDescent="0.2">
      <c r="A354" s="1"/>
      <c r="B354" s="135" t="s">
        <v>864</v>
      </c>
      <c r="C354" s="760"/>
      <c r="D354" s="760">
        <v>251089</v>
      </c>
      <c r="E354" s="760">
        <v>496833</v>
      </c>
      <c r="F354" s="760">
        <v>713301</v>
      </c>
      <c r="G354" s="760">
        <v>156426</v>
      </c>
      <c r="H354" s="760">
        <v>156426</v>
      </c>
      <c r="I354" s="760">
        <v>332819</v>
      </c>
      <c r="J354" s="760">
        <v>310871</v>
      </c>
      <c r="K354" s="750">
        <v>332819</v>
      </c>
      <c r="L354" s="750">
        <v>310871</v>
      </c>
      <c r="M354" s="750">
        <v>316938</v>
      </c>
      <c r="N354" s="750">
        <v>265914</v>
      </c>
      <c r="O354" s="750">
        <v>229491</v>
      </c>
      <c r="P354" s="750">
        <v>229491</v>
      </c>
      <c r="Q354" s="728"/>
      <c r="R354" s="157"/>
      <c r="S354" s="1834"/>
      <c r="V354" s="1834"/>
      <c r="Y354" s="1835"/>
      <c r="Z354" s="1835"/>
    </row>
    <row r="355" spans="1:26" s="1833" customFormat="1" ht="14.25" x14ac:dyDescent="0.2">
      <c r="A355" s="1"/>
      <c r="B355" s="135" t="s">
        <v>324</v>
      </c>
      <c r="C355" s="731"/>
      <c r="D355" s="731">
        <v>3680.63</v>
      </c>
      <c r="E355" s="731">
        <v>2539.11</v>
      </c>
      <c r="F355" s="731">
        <v>6025.8</v>
      </c>
      <c r="G355" s="731">
        <v>5315.67</v>
      </c>
      <c r="H355" s="731">
        <v>5178.8599999999997</v>
      </c>
      <c r="I355" s="731">
        <v>4482.53</v>
      </c>
      <c r="J355" s="731">
        <v>4815.6899999999996</v>
      </c>
      <c r="K355" s="731">
        <v>4675.21</v>
      </c>
      <c r="L355" s="731">
        <v>4795.72</v>
      </c>
      <c r="M355" s="731">
        <v>4597.1000000000004</v>
      </c>
      <c r="N355" s="731">
        <v>4468.76</v>
      </c>
      <c r="O355" s="731">
        <v>4106</v>
      </c>
      <c r="P355" s="731">
        <v>4072.33</v>
      </c>
      <c r="Q355" s="731"/>
      <c r="R355" s="157"/>
      <c r="S355" s="1834"/>
      <c r="V355" s="1834"/>
      <c r="Y355" s="1835"/>
      <c r="Z355" s="1835"/>
    </row>
    <row r="356" spans="1:26" s="1833" customFormat="1" ht="14.25" x14ac:dyDescent="0.2">
      <c r="A356" s="1"/>
      <c r="B356" s="144" t="s">
        <v>348</v>
      </c>
      <c r="C356" s="736"/>
      <c r="D356" s="736">
        <v>0</v>
      </c>
      <c r="E356" s="736">
        <v>0</v>
      </c>
      <c r="F356" s="736">
        <v>0</v>
      </c>
      <c r="G356" s="736">
        <v>0</v>
      </c>
      <c r="H356" s="736">
        <v>0</v>
      </c>
      <c r="I356" s="736">
        <v>0</v>
      </c>
      <c r="J356" s="731">
        <v>0</v>
      </c>
      <c r="K356" s="731">
        <v>0</v>
      </c>
      <c r="L356" s="731">
        <v>0</v>
      </c>
      <c r="M356" s="731">
        <v>0</v>
      </c>
      <c r="N356" s="731">
        <v>0</v>
      </c>
      <c r="O356" s="731">
        <v>0</v>
      </c>
      <c r="P356" s="731">
        <v>0</v>
      </c>
      <c r="Q356" s="731"/>
      <c r="R356" s="157"/>
      <c r="S356" s="1834"/>
      <c r="V356" s="1834"/>
      <c r="Y356" s="1835"/>
      <c r="Z356" s="1835"/>
    </row>
    <row r="357" spans="1:26" s="1833" customFormat="1" ht="14.25" x14ac:dyDescent="0.2">
      <c r="A357" s="1"/>
      <c r="B357" s="195" t="s">
        <v>1087</v>
      </c>
      <c r="C357" s="731"/>
      <c r="D357" s="731">
        <v>0</v>
      </c>
      <c r="E357" s="731">
        <v>0</v>
      </c>
      <c r="F357" s="731">
        <v>0</v>
      </c>
      <c r="G357" s="731">
        <v>0</v>
      </c>
      <c r="H357" s="731">
        <v>0</v>
      </c>
      <c r="I357" s="731">
        <v>0</v>
      </c>
      <c r="J357" s="731">
        <v>0</v>
      </c>
      <c r="K357" s="731">
        <v>0</v>
      </c>
      <c r="L357" s="731">
        <v>0</v>
      </c>
      <c r="M357" s="731">
        <v>0</v>
      </c>
      <c r="N357" s="731">
        <v>0</v>
      </c>
      <c r="O357" s="731">
        <v>0</v>
      </c>
      <c r="P357" s="731">
        <v>0</v>
      </c>
      <c r="Q357" s="731"/>
      <c r="R357" s="157"/>
      <c r="S357" s="1834"/>
      <c r="V357" s="1834"/>
      <c r="Y357" s="1835"/>
      <c r="Z357" s="1835"/>
    </row>
    <row r="358" spans="1:26" s="1833" customFormat="1" ht="14.25" x14ac:dyDescent="0.2">
      <c r="A358" s="1"/>
      <c r="B358" s="144" t="s">
        <v>883</v>
      </c>
      <c r="C358" s="145"/>
      <c r="D358" s="145">
        <v>0</v>
      </c>
      <c r="E358" s="145">
        <v>0</v>
      </c>
      <c r="F358" s="145">
        <v>0</v>
      </c>
      <c r="G358" s="145">
        <v>0</v>
      </c>
      <c r="H358" s="145">
        <v>0</v>
      </c>
      <c r="I358" s="145">
        <v>0</v>
      </c>
      <c r="J358" s="145">
        <v>0</v>
      </c>
      <c r="K358" s="145">
        <v>0</v>
      </c>
      <c r="L358" s="145">
        <v>0</v>
      </c>
      <c r="M358" s="145">
        <v>0</v>
      </c>
      <c r="N358" s="145">
        <v>0</v>
      </c>
      <c r="O358" s="145">
        <v>0</v>
      </c>
      <c r="P358" s="145">
        <v>0</v>
      </c>
      <c r="Q358" s="145"/>
      <c r="R358" s="179"/>
      <c r="S358" s="1834"/>
      <c r="V358" s="1834"/>
      <c r="Y358" s="1835"/>
      <c r="Z358" s="1835"/>
    </row>
    <row r="359" spans="1:26" s="1833" customFormat="1" ht="14.25" x14ac:dyDescent="0.2">
      <c r="A359" s="1"/>
      <c r="B359"/>
      <c r="C359" s="262"/>
      <c r="D359" s="41"/>
      <c r="E359" s="41"/>
      <c r="F359" s="41"/>
      <c r="G359" s="41"/>
      <c r="H359" s="41"/>
      <c r="I359" s="41"/>
      <c r="J359" s="41"/>
      <c r="K359" s="41"/>
      <c r="L359" s="41"/>
      <c r="M359" s="41"/>
      <c r="N359" s="41"/>
      <c r="O359" s="41"/>
      <c r="P359" s="41"/>
      <c r="Q359" s="41"/>
      <c r="R359" s="41"/>
      <c r="S359" s="1834"/>
      <c r="V359" s="1834"/>
      <c r="Y359" s="1835"/>
      <c r="Z359" s="1835"/>
    </row>
    <row r="360" spans="1:26" s="1833" customFormat="1" ht="14.25" x14ac:dyDescent="0.2">
      <c r="A360" s="1840"/>
      <c r="B360"/>
      <c r="C360" s="1869"/>
      <c r="D360" s="1870"/>
      <c r="E360" s="1870"/>
      <c r="F360" s="1870"/>
      <c r="G360" s="1870"/>
      <c r="H360" s="1870"/>
      <c r="I360" s="1870"/>
      <c r="J360" s="1870"/>
      <c r="K360" s="1870"/>
      <c r="L360" s="1870"/>
      <c r="M360" s="1870"/>
      <c r="N360" s="1870"/>
      <c r="O360" s="1870"/>
      <c r="P360" s="1870"/>
      <c r="Q360" s="1870"/>
      <c r="R360" s="1870"/>
      <c r="S360" s="1834"/>
      <c r="V360" s="1834"/>
      <c r="Y360" s="1835"/>
      <c r="Z360" s="1835"/>
    </row>
    <row r="361" spans="1:26" s="1833" customFormat="1" ht="14.25" x14ac:dyDescent="0.2">
      <c r="A361" s="1840"/>
      <c r="B361" t="s">
        <v>1538</v>
      </c>
      <c r="C361" s="174"/>
      <c r="D361" s="174"/>
      <c r="E361" s="174"/>
      <c r="F361" s="174"/>
      <c r="G361" s="174"/>
      <c r="H361" s="174"/>
      <c r="I361" s="174"/>
      <c r="J361" s="174"/>
      <c r="K361" s="174"/>
      <c r="L361" s="174"/>
      <c r="M361" s="174"/>
      <c r="N361" s="174"/>
      <c r="O361" s="174"/>
      <c r="P361" s="174"/>
      <c r="Q361" s="174"/>
      <c r="R361" s="1835"/>
      <c r="S361" s="1834"/>
      <c r="V361" s="1834"/>
      <c r="Y361" s="1835"/>
      <c r="Z361" s="1835"/>
    </row>
    <row r="362" spans="1:26" s="1833" customFormat="1" ht="14.25" x14ac:dyDescent="0.2">
      <c r="A362" s="1840"/>
      <c r="B362" t="s">
        <v>1539</v>
      </c>
      <c r="C362" s="1695"/>
      <c r="D362" s="1695"/>
      <c r="E362" s="1695"/>
      <c r="F362" s="1695"/>
      <c r="G362" s="1695"/>
      <c r="H362" s="1695"/>
      <c r="I362" s="174"/>
      <c r="J362" s="174"/>
      <c r="K362" s="174"/>
      <c r="L362" s="174"/>
      <c r="M362" s="174"/>
      <c r="N362" s="174"/>
      <c r="O362" s="174"/>
      <c r="P362" s="174"/>
      <c r="Q362" s="174"/>
      <c r="R362" s="1835"/>
      <c r="S362" s="1834"/>
      <c r="V362" s="1834"/>
      <c r="Y362" s="1835"/>
      <c r="Z362" s="1835"/>
    </row>
    <row r="363" spans="1:26" s="125" customFormat="1" x14ac:dyDescent="0.25">
      <c r="A363" s="461"/>
      <c r="B363" s="148"/>
      <c r="C363" s="152"/>
      <c r="S363" s="126"/>
      <c r="T363" s="148"/>
      <c r="V363" s="126"/>
      <c r="Y363" s="157"/>
      <c r="Z363" s="157"/>
    </row>
    <row r="364" spans="1:26" s="128" customFormat="1" x14ac:dyDescent="0.25">
      <c r="A364" s="459">
        <v>26</v>
      </c>
      <c r="B364" s="172" t="s">
        <v>1218</v>
      </c>
      <c r="C364" s="173"/>
      <c r="E364" s="166"/>
      <c r="F364" s="166"/>
      <c r="G364" s="166"/>
      <c r="H364" s="166"/>
      <c r="I364" s="166"/>
      <c r="J364" s="166"/>
      <c r="K364" s="166"/>
      <c r="L364" s="166"/>
      <c r="M364" s="166"/>
      <c r="N364" s="166"/>
      <c r="O364" s="166"/>
      <c r="P364" s="166"/>
      <c r="S364" s="129"/>
      <c r="T364" s="172" t="s">
        <v>567</v>
      </c>
      <c r="V364" s="129"/>
      <c r="Y364" s="166"/>
      <c r="Z364" s="166"/>
    </row>
    <row r="365" spans="1:26" s="128" customFormat="1" x14ac:dyDescent="0.25">
      <c r="A365" s="459"/>
      <c r="B365" s="646" t="s">
        <v>797</v>
      </c>
      <c r="C365" s="625">
        <v>42560</v>
      </c>
      <c r="D365" s="625">
        <v>42591</v>
      </c>
      <c r="E365" s="625">
        <v>42622</v>
      </c>
      <c r="F365" s="625">
        <v>42652</v>
      </c>
      <c r="G365" s="625">
        <v>42683</v>
      </c>
      <c r="H365" s="625">
        <v>42713</v>
      </c>
      <c r="I365" s="625">
        <v>42744</v>
      </c>
      <c r="J365" s="625">
        <v>42775</v>
      </c>
      <c r="K365" s="625">
        <v>42803</v>
      </c>
      <c r="L365" s="625">
        <v>42834</v>
      </c>
      <c r="M365" s="625">
        <v>42864</v>
      </c>
      <c r="N365" s="625">
        <v>42895</v>
      </c>
      <c r="O365" s="626" t="s">
        <v>752</v>
      </c>
      <c r="P365" s="166"/>
      <c r="S365" s="129"/>
      <c r="T365" s="172"/>
      <c r="V365" s="129"/>
      <c r="Y365" s="166"/>
      <c r="Z365" s="166"/>
    </row>
    <row r="366" spans="1:26" s="128" customFormat="1" x14ac:dyDescent="0.25">
      <c r="A366" s="459"/>
      <c r="B366" s="345" t="s">
        <v>753</v>
      </c>
      <c r="C366" s="345"/>
      <c r="D366" s="345"/>
      <c r="E366" s="345"/>
      <c r="F366" s="345"/>
      <c r="G366" s="345"/>
      <c r="H366" s="345"/>
      <c r="I366" s="345"/>
      <c r="J366" s="345"/>
      <c r="K366" s="345"/>
      <c r="L366" s="345"/>
      <c r="M366" s="345"/>
      <c r="N366" s="345"/>
      <c r="O366" s="345"/>
      <c r="P366" s="166"/>
      <c r="S366" s="129"/>
      <c r="T366" s="172"/>
      <c r="V366" s="129"/>
      <c r="Y366" s="166"/>
      <c r="Z366" s="166"/>
    </row>
    <row r="367" spans="1:26" s="128" customFormat="1" x14ac:dyDescent="0.25">
      <c r="A367" s="459"/>
      <c r="B367" s="345" t="s">
        <v>754</v>
      </c>
      <c r="C367" s="647">
        <v>4780556</v>
      </c>
      <c r="D367" s="647">
        <v>4862214</v>
      </c>
      <c r="E367" s="647">
        <v>4952957</v>
      </c>
      <c r="F367" s="647">
        <v>5025962</v>
      </c>
      <c r="G367" s="647">
        <v>5127279</v>
      </c>
      <c r="H367" s="647">
        <v>5208837</v>
      </c>
      <c r="I367" s="647">
        <v>5314921</v>
      </c>
      <c r="J367" s="647">
        <v>5386179</v>
      </c>
      <c r="K367" s="647">
        <v>5494034</v>
      </c>
      <c r="L367" s="647">
        <v>5567737</v>
      </c>
      <c r="M367" s="647">
        <v>5643312</v>
      </c>
      <c r="N367" s="647">
        <v>5728982</v>
      </c>
      <c r="O367" s="648" t="s">
        <v>798</v>
      </c>
      <c r="P367" s="166"/>
      <c r="S367" s="129"/>
      <c r="T367" s="172"/>
      <c r="V367" s="129"/>
      <c r="Y367" s="166"/>
      <c r="Z367" s="166"/>
    </row>
    <row r="368" spans="1:26" s="128" customFormat="1" x14ac:dyDescent="0.25">
      <c r="A368" s="459"/>
      <c r="B368" s="345" t="s">
        <v>755</v>
      </c>
      <c r="C368" s="647">
        <v>4711130</v>
      </c>
      <c r="D368" s="647">
        <v>4780556</v>
      </c>
      <c r="E368" s="647">
        <v>4862214</v>
      </c>
      <c r="F368" s="647">
        <v>4952957</v>
      </c>
      <c r="G368" s="647">
        <v>5025962</v>
      </c>
      <c r="H368" s="647">
        <v>5127279</v>
      </c>
      <c r="I368" s="647">
        <v>5208837</v>
      </c>
      <c r="J368" s="647">
        <v>5314921</v>
      </c>
      <c r="K368" s="647">
        <v>5386179</v>
      </c>
      <c r="L368" s="647">
        <v>5494034</v>
      </c>
      <c r="M368" s="647">
        <v>5567737</v>
      </c>
      <c r="N368" s="647">
        <v>5643312</v>
      </c>
      <c r="O368" s="648" t="s">
        <v>798</v>
      </c>
      <c r="P368" s="166"/>
      <c r="S368" s="129"/>
      <c r="T368" s="172"/>
      <c r="V368" s="129"/>
      <c r="Y368" s="166"/>
      <c r="Z368" s="166"/>
    </row>
    <row r="369" spans="1:26" s="128" customFormat="1" x14ac:dyDescent="0.25">
      <c r="A369" s="459"/>
      <c r="B369" s="345" t="s">
        <v>756</v>
      </c>
      <c r="C369" s="647">
        <v>69426</v>
      </c>
      <c r="D369" s="647">
        <v>81658</v>
      </c>
      <c r="E369" s="647">
        <v>90743</v>
      </c>
      <c r="F369" s="647">
        <v>73005</v>
      </c>
      <c r="G369" s="647">
        <v>101317</v>
      </c>
      <c r="H369" s="647">
        <v>81558</v>
      </c>
      <c r="I369" s="647">
        <v>106084</v>
      </c>
      <c r="J369" s="647">
        <v>71258</v>
      </c>
      <c r="K369" s="647">
        <v>107855</v>
      </c>
      <c r="L369" s="647">
        <v>73703</v>
      </c>
      <c r="M369" s="647">
        <v>75575</v>
      </c>
      <c r="N369" s="647">
        <v>85670</v>
      </c>
      <c r="O369" s="648" t="s">
        <v>798</v>
      </c>
      <c r="P369" s="166"/>
      <c r="S369" s="129"/>
      <c r="T369" s="172"/>
      <c r="V369" s="129"/>
      <c r="Y369" s="166"/>
      <c r="Z369" s="166"/>
    </row>
    <row r="370" spans="1:26" s="128" customFormat="1" x14ac:dyDescent="0.25">
      <c r="A370" s="459"/>
      <c r="B370" s="345" t="s">
        <v>799</v>
      </c>
      <c r="C370" s="647">
        <v>69426</v>
      </c>
      <c r="D370" s="647">
        <v>81658</v>
      </c>
      <c r="E370" s="647">
        <v>90743</v>
      </c>
      <c r="F370" s="647">
        <v>73005</v>
      </c>
      <c r="G370" s="647">
        <v>101317</v>
      </c>
      <c r="H370" s="647">
        <v>81558</v>
      </c>
      <c r="I370" s="647">
        <v>106084</v>
      </c>
      <c r="J370" s="647">
        <v>71258</v>
      </c>
      <c r="K370" s="647">
        <v>107855</v>
      </c>
      <c r="L370" s="647">
        <v>73703</v>
      </c>
      <c r="M370" s="647">
        <v>75575</v>
      </c>
      <c r="N370" s="647">
        <v>85670</v>
      </c>
      <c r="O370" s="649">
        <f>SUM(C370:N370)</f>
        <v>1017852</v>
      </c>
      <c r="P370" s="166"/>
      <c r="S370" s="129"/>
      <c r="T370" s="172"/>
      <c r="V370" s="129"/>
      <c r="Y370" s="166"/>
      <c r="Z370" s="166"/>
    </row>
    <row r="371" spans="1:26" s="128" customFormat="1" x14ac:dyDescent="0.25">
      <c r="A371" s="459"/>
      <c r="B371" s="345" t="s">
        <v>758</v>
      </c>
      <c r="C371" s="631">
        <v>8.0600000000000005E-2</v>
      </c>
      <c r="D371" s="631">
        <v>8.1100000000000005E-2</v>
      </c>
      <c r="E371" s="631">
        <v>7.8299999999999995E-2</v>
      </c>
      <c r="F371" s="631">
        <v>7.6399999999999996E-2</v>
      </c>
      <c r="G371" s="631">
        <v>7.3099999999999998E-2</v>
      </c>
      <c r="H371" s="631">
        <v>6.9800000000000001E-2</v>
      </c>
      <c r="I371" s="631">
        <v>6.8400000000000002E-2</v>
      </c>
      <c r="J371" s="631">
        <v>6.7599999999999993E-2</v>
      </c>
      <c r="K371" s="631">
        <v>6.7699999999999996E-2</v>
      </c>
      <c r="L371" s="631">
        <v>6.8099999999999994E-2</v>
      </c>
      <c r="M371" s="631">
        <v>7.0900000000000005E-2</v>
      </c>
      <c r="N371" s="631">
        <v>7.22E-2</v>
      </c>
      <c r="O371" s="650">
        <f>ROUND(+O372/O370,4)</f>
        <v>7.2599999999999998E-2</v>
      </c>
      <c r="P371" s="166"/>
      <c r="S371" s="129"/>
      <c r="T371" s="172"/>
      <c r="V371" s="129"/>
      <c r="Y371" s="166"/>
      <c r="Z371" s="166"/>
    </row>
    <row r="372" spans="1:26" s="128" customFormat="1" x14ac:dyDescent="0.25">
      <c r="A372" s="459"/>
      <c r="B372" s="345" t="s">
        <v>759</v>
      </c>
      <c r="C372" s="651">
        <v>5595.74</v>
      </c>
      <c r="D372" s="651">
        <v>6622.46</v>
      </c>
      <c r="E372" s="651">
        <v>7105.18</v>
      </c>
      <c r="F372" s="651">
        <v>5577.58</v>
      </c>
      <c r="G372" s="651">
        <v>7406.27</v>
      </c>
      <c r="H372" s="651">
        <v>5692.75</v>
      </c>
      <c r="I372" s="651">
        <v>7256.15</v>
      </c>
      <c r="J372" s="651">
        <v>4817.04</v>
      </c>
      <c r="K372" s="651">
        <v>7301.78</v>
      </c>
      <c r="L372" s="651">
        <v>5019.17</v>
      </c>
      <c r="M372" s="651">
        <v>5358.27</v>
      </c>
      <c r="N372" s="651">
        <v>6185.37</v>
      </c>
      <c r="O372" s="652">
        <f>SUM(C372:N372)</f>
        <v>73937.759999999995</v>
      </c>
      <c r="P372" s="166"/>
      <c r="S372" s="129"/>
      <c r="T372" s="172"/>
      <c r="V372" s="129"/>
      <c r="Y372" s="166"/>
      <c r="Z372" s="166"/>
    </row>
    <row r="373" spans="1:26" s="128" customFormat="1" x14ac:dyDescent="0.25">
      <c r="A373" s="459"/>
      <c r="B373" s="345"/>
      <c r="C373" s="345"/>
      <c r="D373" s="345"/>
      <c r="E373" s="345"/>
      <c r="F373" s="345"/>
      <c r="G373" s="345"/>
      <c r="H373" s="345"/>
      <c r="I373" s="345"/>
      <c r="J373" s="345"/>
      <c r="K373" s="345"/>
      <c r="L373" s="345"/>
      <c r="M373" s="345"/>
      <c r="N373" s="345"/>
      <c r="O373" s="345"/>
      <c r="P373" s="166"/>
      <c r="S373" s="129"/>
      <c r="T373" s="172"/>
      <c r="V373" s="129"/>
      <c r="Y373" s="166"/>
      <c r="Z373" s="166"/>
    </row>
    <row r="374" spans="1:26" s="128" customFormat="1" x14ac:dyDescent="0.25">
      <c r="A374" s="459"/>
      <c r="B374" s="345" t="s">
        <v>763</v>
      </c>
      <c r="C374" s="345"/>
      <c r="D374" s="345"/>
      <c r="E374" s="345"/>
      <c r="F374" s="345"/>
      <c r="G374" s="345"/>
      <c r="H374" s="345"/>
      <c r="I374" s="345"/>
      <c r="J374" s="345"/>
      <c r="K374" s="345"/>
      <c r="L374" s="345"/>
      <c r="M374" s="345"/>
      <c r="N374" s="345"/>
      <c r="O374" s="653"/>
      <c r="P374" s="166"/>
      <c r="S374" s="129"/>
      <c r="T374" s="172"/>
      <c r="V374" s="129"/>
      <c r="Y374" s="166"/>
      <c r="Z374" s="166"/>
    </row>
    <row r="375" spans="1:26" s="128" customFormat="1" x14ac:dyDescent="0.25">
      <c r="A375" s="459"/>
      <c r="B375" s="345" t="s">
        <v>800</v>
      </c>
      <c r="C375" s="647">
        <v>1354956</v>
      </c>
      <c r="D375" s="647">
        <v>1373867</v>
      </c>
      <c r="E375" s="647">
        <v>1400970</v>
      </c>
      <c r="F375" s="647">
        <v>1420283</v>
      </c>
      <c r="G375" s="647">
        <v>1443915</v>
      </c>
      <c r="H375" s="647">
        <v>1450409</v>
      </c>
      <c r="I375" s="647">
        <v>1472909</v>
      </c>
      <c r="J375" s="647">
        <v>1491142</v>
      </c>
      <c r="K375" s="647">
        <v>1513468</v>
      </c>
      <c r="L375" s="647">
        <v>1531355</v>
      </c>
      <c r="M375" s="647">
        <v>1541723</v>
      </c>
      <c r="N375" s="647">
        <v>1547258</v>
      </c>
      <c r="O375" s="654"/>
      <c r="P375" s="166"/>
      <c r="S375" s="129"/>
      <c r="T375" s="172"/>
      <c r="V375" s="129"/>
      <c r="Y375" s="166"/>
      <c r="Z375" s="166"/>
    </row>
    <row r="376" spans="1:26" s="128" customFormat="1" x14ac:dyDescent="0.25">
      <c r="A376" s="459"/>
      <c r="B376" s="345" t="s">
        <v>755</v>
      </c>
      <c r="C376" s="647">
        <v>1345346</v>
      </c>
      <c r="D376" s="647">
        <v>1354956</v>
      </c>
      <c r="E376" s="647">
        <v>1373867</v>
      </c>
      <c r="F376" s="647">
        <v>1400970</v>
      </c>
      <c r="G376" s="647">
        <v>1420283</v>
      </c>
      <c r="H376" s="647">
        <v>1443915</v>
      </c>
      <c r="I376" s="647">
        <v>1450409</v>
      </c>
      <c r="J376" s="647">
        <v>1472909</v>
      </c>
      <c r="K376" s="647">
        <v>1491142</v>
      </c>
      <c r="L376" s="647">
        <v>1513468</v>
      </c>
      <c r="M376" s="647">
        <v>1531355</v>
      </c>
      <c r="N376" s="647">
        <v>1541723</v>
      </c>
      <c r="O376" s="655"/>
      <c r="P376" s="166"/>
      <c r="S376" s="129"/>
      <c r="T376" s="172"/>
      <c r="V376" s="129"/>
      <c r="Y376" s="166"/>
      <c r="Z376" s="166"/>
    </row>
    <row r="377" spans="1:26" s="128" customFormat="1" x14ac:dyDescent="0.25">
      <c r="A377" s="459"/>
      <c r="B377" s="345" t="s">
        <v>801</v>
      </c>
      <c r="C377" s="647">
        <v>9610</v>
      </c>
      <c r="D377" s="647">
        <v>18911</v>
      </c>
      <c r="E377" s="647">
        <v>27103</v>
      </c>
      <c r="F377" s="647">
        <v>19313</v>
      </c>
      <c r="G377" s="647">
        <v>23632</v>
      </c>
      <c r="H377" s="647">
        <v>6494</v>
      </c>
      <c r="I377" s="647">
        <v>22500</v>
      </c>
      <c r="J377" s="647">
        <v>18233</v>
      </c>
      <c r="K377" s="647">
        <v>22326</v>
      </c>
      <c r="L377" s="647">
        <v>17887</v>
      </c>
      <c r="M377" s="647">
        <v>10368</v>
      </c>
      <c r="N377" s="647">
        <v>5535</v>
      </c>
      <c r="O377" s="345"/>
      <c r="P377" s="166"/>
      <c r="S377" s="129"/>
      <c r="T377" s="172"/>
      <c r="V377" s="129"/>
      <c r="Y377" s="166"/>
      <c r="Z377" s="166"/>
    </row>
    <row r="378" spans="1:26" s="128" customFormat="1" x14ac:dyDescent="0.25">
      <c r="A378" s="459"/>
      <c r="B378" s="345" t="s">
        <v>802</v>
      </c>
      <c r="C378" s="647">
        <v>1292530</v>
      </c>
      <c r="D378" s="647">
        <v>1319210</v>
      </c>
      <c r="E378" s="647">
        <v>1359671</v>
      </c>
      <c r="F378" s="647">
        <v>1390844</v>
      </c>
      <c r="G378" s="647">
        <v>1433996</v>
      </c>
      <c r="H378" s="647">
        <v>1450957</v>
      </c>
      <c r="I378" s="647">
        <v>1493176</v>
      </c>
      <c r="J378" s="647">
        <v>1526838</v>
      </c>
      <c r="K378" s="647">
        <v>1581052</v>
      </c>
      <c r="L378" s="647">
        <v>1639267</v>
      </c>
      <c r="M378" s="647">
        <v>1702397</v>
      </c>
      <c r="N378" s="647">
        <v>1746678</v>
      </c>
      <c r="O378" s="345"/>
      <c r="P378" s="166"/>
      <c r="S378" s="129"/>
      <c r="T378" s="172"/>
      <c r="V378" s="129"/>
      <c r="Y378" s="166"/>
      <c r="Z378" s="166"/>
    </row>
    <row r="379" spans="1:26" s="128" customFormat="1" x14ac:dyDescent="0.25">
      <c r="A379" s="459"/>
      <c r="B379" s="345" t="s">
        <v>755</v>
      </c>
      <c r="C379" s="647">
        <v>1277300</v>
      </c>
      <c r="D379" s="647">
        <v>1292530</v>
      </c>
      <c r="E379" s="647">
        <v>1319210</v>
      </c>
      <c r="F379" s="647">
        <v>1359671</v>
      </c>
      <c r="G379" s="647">
        <v>1390844</v>
      </c>
      <c r="H379" s="647">
        <v>1433996</v>
      </c>
      <c r="I379" s="647">
        <v>1450957</v>
      </c>
      <c r="J379" s="647">
        <v>1493176</v>
      </c>
      <c r="K379" s="647">
        <v>1526838</v>
      </c>
      <c r="L379" s="647">
        <v>1581052</v>
      </c>
      <c r="M379" s="647">
        <v>1639267</v>
      </c>
      <c r="N379" s="647">
        <v>1702397</v>
      </c>
      <c r="O379" s="345"/>
      <c r="P379" s="166"/>
      <c r="S379" s="129"/>
      <c r="T379" s="172"/>
      <c r="V379" s="129"/>
      <c r="Y379" s="166"/>
      <c r="Z379" s="166"/>
    </row>
    <row r="380" spans="1:26" s="128" customFormat="1" x14ac:dyDescent="0.25">
      <c r="A380" s="459"/>
      <c r="B380" s="345" t="s">
        <v>801</v>
      </c>
      <c r="C380" s="647">
        <v>15230</v>
      </c>
      <c r="D380" s="647">
        <v>26680</v>
      </c>
      <c r="E380" s="647">
        <v>40461</v>
      </c>
      <c r="F380" s="647">
        <v>31173</v>
      </c>
      <c r="G380" s="647">
        <v>43152</v>
      </c>
      <c r="H380" s="647">
        <v>16961</v>
      </c>
      <c r="I380" s="647">
        <v>42219</v>
      </c>
      <c r="J380" s="647">
        <v>33662</v>
      </c>
      <c r="K380" s="647">
        <v>54214</v>
      </c>
      <c r="L380" s="647">
        <v>58215</v>
      </c>
      <c r="M380" s="647">
        <v>63130</v>
      </c>
      <c r="N380" s="647">
        <v>44281</v>
      </c>
      <c r="O380" s="651"/>
      <c r="P380" s="166"/>
      <c r="S380" s="129"/>
      <c r="T380" s="172"/>
      <c r="V380" s="129"/>
      <c r="Y380" s="166"/>
      <c r="Z380" s="166"/>
    </row>
    <row r="381" spans="1:26" s="128" customFormat="1" x14ac:dyDescent="0.25">
      <c r="A381" s="459"/>
      <c r="B381" s="345" t="s">
        <v>803</v>
      </c>
      <c r="C381" s="647">
        <v>24840</v>
      </c>
      <c r="D381" s="647">
        <v>45591</v>
      </c>
      <c r="E381" s="647">
        <v>67564</v>
      </c>
      <c r="F381" s="647">
        <v>50486</v>
      </c>
      <c r="G381" s="647">
        <v>66784</v>
      </c>
      <c r="H381" s="647">
        <v>23455</v>
      </c>
      <c r="I381" s="647">
        <v>64719</v>
      </c>
      <c r="J381" s="647">
        <v>51895</v>
      </c>
      <c r="K381" s="647">
        <v>76540</v>
      </c>
      <c r="L381" s="647">
        <v>76102</v>
      </c>
      <c r="M381" s="647">
        <v>73498</v>
      </c>
      <c r="N381" s="647">
        <v>49816</v>
      </c>
      <c r="O381" s="656">
        <f>SUM(C381:N381)</f>
        <v>671290</v>
      </c>
      <c r="P381" s="166"/>
      <c r="S381" s="129"/>
      <c r="T381" s="172"/>
      <c r="V381" s="129"/>
      <c r="Y381" s="166"/>
      <c r="Z381" s="166"/>
    </row>
    <row r="382" spans="1:26" s="128" customFormat="1" x14ac:dyDescent="0.25">
      <c r="A382" s="459"/>
      <c r="B382" s="345" t="s">
        <v>765</v>
      </c>
      <c r="C382" s="636">
        <v>4.0000000000000001E-3</v>
      </c>
      <c r="D382" s="636">
        <v>4.0000000000000001E-3</v>
      </c>
      <c r="E382" s="636">
        <v>4.0000000000000001E-3</v>
      </c>
      <c r="F382" s="636">
        <v>4.0000000000000001E-3</v>
      </c>
      <c r="G382" s="636">
        <v>4.0000000000000001E-3</v>
      </c>
      <c r="H382" s="636">
        <v>4.1999999999999997E-3</v>
      </c>
      <c r="I382" s="636">
        <v>4.1999999999999997E-3</v>
      </c>
      <c r="J382" s="636">
        <v>4.1999999999999997E-3</v>
      </c>
      <c r="K382" s="636">
        <v>4.1999999999999997E-3</v>
      </c>
      <c r="L382" s="636">
        <v>4.1000000000000003E-3</v>
      </c>
      <c r="M382" s="636">
        <v>4.1000000000000003E-3</v>
      </c>
      <c r="N382" s="636">
        <v>4.0000000000000001E-3</v>
      </c>
      <c r="O382" s="657">
        <f>ROUND(+O383/O381,4)</f>
        <v>4.1000000000000003E-3</v>
      </c>
      <c r="P382" s="166"/>
      <c r="S382" s="129"/>
      <c r="T382" s="172"/>
      <c r="V382" s="129"/>
      <c r="Y382" s="166"/>
      <c r="Z382" s="166"/>
    </row>
    <row r="383" spans="1:26" s="128" customFormat="1" x14ac:dyDescent="0.25">
      <c r="A383" s="459"/>
      <c r="B383" s="345" t="s">
        <v>759</v>
      </c>
      <c r="C383" s="651">
        <v>99.36</v>
      </c>
      <c r="D383" s="651">
        <v>182.36</v>
      </c>
      <c r="E383" s="651">
        <v>270.26</v>
      </c>
      <c r="F383" s="651">
        <v>201.94</v>
      </c>
      <c r="G383" s="651">
        <v>267.14</v>
      </c>
      <c r="H383" s="651">
        <v>98.51</v>
      </c>
      <c r="I383" s="651">
        <v>271.82</v>
      </c>
      <c r="J383" s="651">
        <v>217.96</v>
      </c>
      <c r="K383" s="651">
        <v>321.47000000000003</v>
      </c>
      <c r="L383" s="651">
        <v>312.02</v>
      </c>
      <c r="M383" s="651">
        <v>301.33999999999997</v>
      </c>
      <c r="N383" s="651">
        <v>199.26</v>
      </c>
      <c r="O383" s="652">
        <f>SUM(C383:N383)</f>
        <v>2743.4400000000005</v>
      </c>
      <c r="P383" s="166"/>
      <c r="S383" s="129"/>
      <c r="T383" s="172"/>
      <c r="V383" s="129"/>
      <c r="Y383" s="166"/>
      <c r="Z383" s="166"/>
    </row>
    <row r="384" spans="1:26" s="128" customFormat="1" x14ac:dyDescent="0.25">
      <c r="A384" s="459"/>
      <c r="B384" s="345"/>
      <c r="C384" s="658"/>
      <c r="D384" s="658"/>
      <c r="E384" s="658"/>
      <c r="F384" s="658"/>
      <c r="G384" s="658"/>
      <c r="H384" s="658"/>
      <c r="I384" s="658"/>
      <c r="J384" s="658"/>
      <c r="K384" s="658"/>
      <c r="L384" s="658"/>
      <c r="M384" s="658"/>
      <c r="N384" s="658"/>
      <c r="O384" s="656"/>
      <c r="P384" s="166"/>
      <c r="S384" s="129"/>
      <c r="T384" s="172"/>
      <c r="V384" s="129"/>
      <c r="Y384" s="166"/>
      <c r="Z384" s="166"/>
    </row>
    <row r="385" spans="1:26" s="128" customFormat="1" x14ac:dyDescent="0.25">
      <c r="A385" s="459"/>
      <c r="B385" s="345" t="s">
        <v>766</v>
      </c>
      <c r="C385" s="345"/>
      <c r="D385" s="345"/>
      <c r="E385" s="345"/>
      <c r="F385" s="345"/>
      <c r="G385" s="345"/>
      <c r="H385" s="345"/>
      <c r="I385" s="345"/>
      <c r="J385" s="345"/>
      <c r="K385" s="345"/>
      <c r="L385" s="345"/>
      <c r="M385" s="345"/>
      <c r="N385" s="345"/>
      <c r="O385" s="650"/>
      <c r="P385" s="166"/>
      <c r="S385" s="129"/>
      <c r="T385" s="172"/>
      <c r="V385" s="129"/>
      <c r="Y385" s="166"/>
      <c r="Z385" s="166"/>
    </row>
    <row r="386" spans="1:26" s="128" customFormat="1" x14ac:dyDescent="0.25">
      <c r="A386" s="459"/>
      <c r="B386" s="345" t="s">
        <v>765</v>
      </c>
      <c r="C386" s="636">
        <v>5.5999999999999999E-3</v>
      </c>
      <c r="D386" s="636">
        <v>4.7000000000000002E-3</v>
      </c>
      <c r="E386" s="636">
        <v>4.7000000000000002E-3</v>
      </c>
      <c r="F386" s="636">
        <v>4.1000000000000003E-3</v>
      </c>
      <c r="G386" s="636">
        <v>4.1000000000000003E-3</v>
      </c>
      <c r="H386" s="636">
        <v>4.4000000000000003E-3</v>
      </c>
      <c r="I386" s="636">
        <v>4.4000000000000003E-3</v>
      </c>
      <c r="J386" s="636">
        <v>4.0000000000000001E-3</v>
      </c>
      <c r="K386" s="636">
        <v>4.0000000000000001E-3</v>
      </c>
      <c r="L386" s="636">
        <v>3.8999999999999998E-3</v>
      </c>
      <c r="M386" s="636">
        <v>3.8999999999999998E-3</v>
      </c>
      <c r="N386" s="636">
        <v>3.0999999999999999E-3</v>
      </c>
      <c r="O386" s="659">
        <f>ROUND(O387/O381,4)</f>
        <v>4.1999999999999997E-3</v>
      </c>
      <c r="P386" s="166"/>
      <c r="S386" s="129"/>
      <c r="T386" s="172"/>
      <c r="V386" s="129"/>
      <c r="Y386" s="166"/>
      <c r="Z386" s="166"/>
    </row>
    <row r="387" spans="1:26" s="128" customFormat="1" x14ac:dyDescent="0.25">
      <c r="A387" s="459"/>
      <c r="B387" s="345" t="s">
        <v>759</v>
      </c>
      <c r="C387" s="651">
        <v>139.1</v>
      </c>
      <c r="D387" s="651">
        <v>214.28</v>
      </c>
      <c r="E387" s="651">
        <v>317.55</v>
      </c>
      <c r="F387" s="651">
        <v>206.99</v>
      </c>
      <c r="G387" s="651">
        <v>273.81</v>
      </c>
      <c r="H387" s="651">
        <v>103.2</v>
      </c>
      <c r="I387" s="651">
        <v>284.76</v>
      </c>
      <c r="J387" s="651">
        <v>207.58</v>
      </c>
      <c r="K387" s="651">
        <v>306.16000000000003</v>
      </c>
      <c r="L387" s="651">
        <v>296.8</v>
      </c>
      <c r="M387" s="651">
        <v>286.64</v>
      </c>
      <c r="N387" s="651">
        <v>154.43</v>
      </c>
      <c r="O387" s="660">
        <f>SUM(C387:N387)</f>
        <v>2791.2999999999997</v>
      </c>
      <c r="P387" s="166"/>
      <c r="S387" s="129"/>
      <c r="T387" s="172"/>
      <c r="V387" s="129"/>
      <c r="Y387" s="166"/>
      <c r="Z387" s="166"/>
    </row>
    <row r="388" spans="1:26" s="128" customFormat="1" x14ac:dyDescent="0.25">
      <c r="A388" s="459"/>
      <c r="B388" s="345"/>
      <c r="C388" s="651"/>
      <c r="D388" s="651"/>
      <c r="E388" s="651"/>
      <c r="F388" s="651"/>
      <c r="G388" s="651"/>
      <c r="H388" s="651"/>
      <c r="I388" s="651"/>
      <c r="J388" s="651"/>
      <c r="K388" s="651"/>
      <c r="L388" s="651"/>
      <c r="M388" s="651"/>
      <c r="N388" s="651"/>
      <c r="O388" s="628"/>
      <c r="P388" s="166"/>
      <c r="S388" s="129"/>
      <c r="T388" s="172"/>
      <c r="V388" s="129"/>
      <c r="Y388" s="166"/>
      <c r="Z388" s="166"/>
    </row>
    <row r="389" spans="1:26" s="128" customFormat="1" x14ac:dyDescent="0.25">
      <c r="A389" s="459"/>
      <c r="B389" s="345" t="s">
        <v>767</v>
      </c>
      <c r="C389" s="651"/>
      <c r="D389" s="651"/>
      <c r="E389" s="651"/>
      <c r="F389" s="651"/>
      <c r="G389" s="651"/>
      <c r="H389" s="651"/>
      <c r="I389" s="651"/>
      <c r="J389" s="651"/>
      <c r="K389" s="651"/>
      <c r="L389" s="651"/>
      <c r="M389" s="651"/>
      <c r="N389" s="651"/>
      <c r="O389" s="628"/>
      <c r="P389" s="166"/>
      <c r="S389" s="129"/>
      <c r="T389" s="172"/>
      <c r="V389" s="129"/>
      <c r="Y389" s="166"/>
      <c r="Z389" s="166"/>
    </row>
    <row r="390" spans="1:26" s="128" customFormat="1" x14ac:dyDescent="0.25">
      <c r="A390" s="459"/>
      <c r="B390" s="345" t="s">
        <v>804</v>
      </c>
      <c r="C390" s="637">
        <v>0</v>
      </c>
      <c r="D390" s="637">
        <v>81.099999999999994</v>
      </c>
      <c r="E390" s="637">
        <v>0</v>
      </c>
      <c r="F390" s="637">
        <v>0</v>
      </c>
      <c r="G390" s="637">
        <v>0</v>
      </c>
      <c r="H390" s="637">
        <v>0</v>
      </c>
      <c r="I390" s="637">
        <v>0</v>
      </c>
      <c r="J390" s="637">
        <v>0</v>
      </c>
      <c r="K390" s="637">
        <v>0</v>
      </c>
      <c r="L390" s="637">
        <v>0</v>
      </c>
      <c r="M390" s="637">
        <v>0</v>
      </c>
      <c r="N390" s="637">
        <v>0</v>
      </c>
      <c r="O390" s="660">
        <f>SUM(C390:N390)</f>
        <v>81.099999999999994</v>
      </c>
      <c r="P390" s="166"/>
      <c r="S390" s="129"/>
      <c r="T390" s="172"/>
      <c r="V390" s="129"/>
      <c r="Y390" s="166"/>
      <c r="Z390" s="166"/>
    </row>
    <row r="391" spans="1:26" s="128" customFormat="1" x14ac:dyDescent="0.25">
      <c r="A391" s="459"/>
      <c r="B391" s="345" t="s">
        <v>759</v>
      </c>
      <c r="C391" s="635">
        <v>0</v>
      </c>
      <c r="D391" s="635">
        <v>141.05000000000001</v>
      </c>
      <c r="E391" s="635">
        <v>0</v>
      </c>
      <c r="F391" s="635">
        <v>0</v>
      </c>
      <c r="G391" s="635">
        <v>0</v>
      </c>
      <c r="H391" s="635">
        <v>0</v>
      </c>
      <c r="I391" s="635">
        <v>0</v>
      </c>
      <c r="J391" s="635">
        <v>0</v>
      </c>
      <c r="K391" s="635">
        <v>0</v>
      </c>
      <c r="L391" s="635">
        <v>0</v>
      </c>
      <c r="M391" s="635">
        <v>0</v>
      </c>
      <c r="N391" s="635">
        <v>0</v>
      </c>
      <c r="O391" s="660">
        <f>SUM(C391:N391)</f>
        <v>141.05000000000001</v>
      </c>
      <c r="P391" s="166"/>
      <c r="S391" s="129"/>
      <c r="T391" s="172"/>
      <c r="V391" s="129"/>
      <c r="Y391" s="166"/>
      <c r="Z391" s="166"/>
    </row>
    <row r="392" spans="1:26" s="128" customFormat="1" x14ac:dyDescent="0.25">
      <c r="A392" s="459"/>
      <c r="B392" s="345"/>
      <c r="C392" s="651"/>
      <c r="D392" s="651"/>
      <c r="E392" s="651"/>
      <c r="F392" s="651"/>
      <c r="G392" s="651"/>
      <c r="H392" s="651"/>
      <c r="I392" s="651"/>
      <c r="J392" s="651"/>
      <c r="K392" s="651"/>
      <c r="L392" s="651"/>
      <c r="M392" s="651"/>
      <c r="N392" s="651"/>
      <c r="O392" s="628"/>
      <c r="P392" s="166"/>
      <c r="S392" s="129"/>
      <c r="T392" s="172"/>
      <c r="V392" s="129"/>
      <c r="Y392" s="166"/>
      <c r="Z392" s="166"/>
    </row>
    <row r="393" spans="1:26" s="128" customFormat="1" x14ac:dyDescent="0.25">
      <c r="A393" s="459"/>
      <c r="B393" s="646" t="s">
        <v>1552</v>
      </c>
      <c r="C393" s="345"/>
      <c r="D393" s="345"/>
      <c r="E393" s="345"/>
      <c r="F393" s="345"/>
      <c r="G393" s="345"/>
      <c r="H393" s="345"/>
      <c r="I393" s="345"/>
      <c r="J393" s="345"/>
      <c r="K393" s="345"/>
      <c r="L393" s="345"/>
      <c r="M393" s="345"/>
      <c r="N393" s="345"/>
      <c r="O393" s="628"/>
      <c r="P393" s="166"/>
      <c r="S393" s="129"/>
      <c r="T393" s="172"/>
      <c r="V393" s="129"/>
      <c r="Y393" s="166"/>
      <c r="Z393" s="166"/>
    </row>
    <row r="394" spans="1:26" s="128" customFormat="1" x14ac:dyDescent="0.25">
      <c r="A394" s="459"/>
      <c r="B394" s="345" t="s">
        <v>753</v>
      </c>
      <c r="C394" s="673">
        <v>3320.36</v>
      </c>
      <c r="D394" s="673">
        <v>3523.53</v>
      </c>
      <c r="E394" s="673">
        <v>2983.44</v>
      </c>
      <c r="F394" s="673">
        <v>2862.49</v>
      </c>
      <c r="G394" s="673">
        <v>2378.34</v>
      </c>
      <c r="H394" s="673">
        <v>1460.77</v>
      </c>
      <c r="I394" s="673">
        <v>1968.23</v>
      </c>
      <c r="J394" s="673">
        <v>1587.55</v>
      </c>
      <c r="K394" s="673">
        <v>1831.34</v>
      </c>
      <c r="L394" s="673">
        <v>2778.89</v>
      </c>
      <c r="M394" s="673">
        <v>3555.53</v>
      </c>
      <c r="N394" s="673">
        <v>5591.35</v>
      </c>
      <c r="O394" s="660">
        <f>SUM(C394:N394)</f>
        <v>33841.82</v>
      </c>
      <c r="P394" s="166"/>
      <c r="S394" s="129"/>
      <c r="T394" s="172"/>
      <c r="V394" s="129"/>
      <c r="Y394" s="166"/>
      <c r="Z394" s="166"/>
    </row>
    <row r="395" spans="1:26" s="128" customFormat="1" x14ac:dyDescent="0.25">
      <c r="A395" s="459"/>
      <c r="B395" s="345" t="s">
        <v>760</v>
      </c>
      <c r="C395" s="673">
        <v>2029.02</v>
      </c>
      <c r="D395" s="673">
        <v>2046.76</v>
      </c>
      <c r="E395" s="673">
        <v>2466.12</v>
      </c>
      <c r="F395" s="673">
        <v>2550.69</v>
      </c>
      <c r="G395" s="673">
        <v>3619.84</v>
      </c>
      <c r="H395" s="673">
        <v>3622.22</v>
      </c>
      <c r="I395" s="673">
        <v>4729.75</v>
      </c>
      <c r="J395" s="673">
        <v>2381.0300000000002</v>
      </c>
      <c r="K395" s="673">
        <v>3262.48</v>
      </c>
      <c r="L395" s="673">
        <v>2140.16</v>
      </c>
      <c r="M395" s="673">
        <v>2557.75</v>
      </c>
      <c r="N395" s="673">
        <v>2890.63</v>
      </c>
      <c r="O395" s="660">
        <f>SUM(C395:N395)</f>
        <v>34296.449999999997</v>
      </c>
      <c r="P395" s="166"/>
      <c r="S395" s="129"/>
      <c r="T395" s="172"/>
      <c r="V395" s="129"/>
      <c r="Y395" s="166"/>
      <c r="Z395" s="166"/>
    </row>
    <row r="396" spans="1:26" s="128" customFormat="1" x14ac:dyDescent="0.25">
      <c r="A396" s="459"/>
      <c r="B396" s="345" t="s">
        <v>763</v>
      </c>
      <c r="C396" s="673">
        <v>1130.1099999999999</v>
      </c>
      <c r="D396" s="673">
        <v>1324.42</v>
      </c>
      <c r="E396" s="673">
        <v>1110.1400000000001</v>
      </c>
      <c r="F396" s="673">
        <v>545.02</v>
      </c>
      <c r="G396" s="673">
        <v>402.43</v>
      </c>
      <c r="H396" s="673">
        <v>135.74</v>
      </c>
      <c r="I396" s="673">
        <v>239.1</v>
      </c>
      <c r="J396" s="673">
        <v>220.01</v>
      </c>
      <c r="K396" s="673">
        <v>222.03</v>
      </c>
      <c r="L396" s="673">
        <v>575.17999999999995</v>
      </c>
      <c r="M396" s="673">
        <v>752.83</v>
      </c>
      <c r="N396" s="673">
        <v>1363.07</v>
      </c>
      <c r="O396" s="660">
        <f>SUM(C396:N396)</f>
        <v>8020.0800000000008</v>
      </c>
      <c r="P396" s="166"/>
      <c r="S396" s="129"/>
      <c r="T396" s="172"/>
      <c r="V396" s="129"/>
      <c r="Y396" s="166"/>
      <c r="Z396" s="166"/>
    </row>
    <row r="397" spans="1:26" s="128" customFormat="1" x14ac:dyDescent="0.25">
      <c r="A397" s="459"/>
      <c r="B397" s="345"/>
      <c r="C397" s="651"/>
      <c r="D397" s="651"/>
      <c r="E397" s="651"/>
      <c r="F397" s="651"/>
      <c r="G397" s="651"/>
      <c r="H397" s="651"/>
      <c r="I397" s="651"/>
      <c r="J397" s="651"/>
      <c r="K397" s="651"/>
      <c r="L397" s="651"/>
      <c r="M397" s="651"/>
      <c r="N397" s="651"/>
      <c r="O397" s="628"/>
      <c r="P397" s="166"/>
      <c r="S397" s="129"/>
      <c r="T397" s="172"/>
      <c r="V397" s="129"/>
      <c r="Y397" s="166"/>
      <c r="Z397" s="166"/>
    </row>
    <row r="398" spans="1:26" s="128" customFormat="1" x14ac:dyDescent="0.25">
      <c r="A398" s="459"/>
      <c r="B398" s="345" t="s">
        <v>805</v>
      </c>
      <c r="C398" s="653" t="s">
        <v>769</v>
      </c>
      <c r="D398" s="653" t="s">
        <v>769</v>
      </c>
      <c r="E398" s="653" t="s">
        <v>769</v>
      </c>
      <c r="F398" s="653" t="s">
        <v>769</v>
      </c>
      <c r="G398" s="653" t="s">
        <v>769</v>
      </c>
      <c r="H398" s="653" t="s">
        <v>769</v>
      </c>
      <c r="I398" s="653" t="s">
        <v>769</v>
      </c>
      <c r="J398" s="653" t="s">
        <v>769</v>
      </c>
      <c r="K398" s="653" t="s">
        <v>769</v>
      </c>
      <c r="L398" s="653" t="s">
        <v>769</v>
      </c>
      <c r="M398" s="653" t="s">
        <v>769</v>
      </c>
      <c r="N398" s="653" t="s">
        <v>769</v>
      </c>
      <c r="O398" s="653" t="s">
        <v>769</v>
      </c>
      <c r="P398" s="166"/>
      <c r="S398" s="129"/>
      <c r="T398" s="172"/>
      <c r="V398" s="129"/>
      <c r="Y398" s="166"/>
      <c r="Z398" s="166"/>
    </row>
    <row r="399" spans="1:26" s="128" customFormat="1" x14ac:dyDescent="0.25">
      <c r="A399" s="459"/>
      <c r="B399" s="345" t="s">
        <v>775</v>
      </c>
      <c r="C399" s="651">
        <f t="shared" ref="C399:M399" si="17">SUM(C396,C395,C394,C391,C387,C383,C372)</f>
        <v>12313.689999999999</v>
      </c>
      <c r="D399" s="651">
        <f t="shared" si="17"/>
        <v>14054.86</v>
      </c>
      <c r="E399" s="651">
        <f t="shared" si="17"/>
        <v>14252.690000000002</v>
      </c>
      <c r="F399" s="651">
        <f t="shared" si="17"/>
        <v>11944.71</v>
      </c>
      <c r="G399" s="651">
        <f t="shared" si="17"/>
        <v>14347.830000000002</v>
      </c>
      <c r="H399" s="651">
        <f t="shared" si="17"/>
        <v>11113.189999999999</v>
      </c>
      <c r="I399" s="651">
        <f t="shared" si="17"/>
        <v>14749.81</v>
      </c>
      <c r="J399" s="651">
        <f t="shared" si="17"/>
        <v>9431.17</v>
      </c>
      <c r="K399" s="651">
        <f t="shared" si="17"/>
        <v>13245.26</v>
      </c>
      <c r="L399" s="651">
        <f t="shared" si="17"/>
        <v>11122.22</v>
      </c>
      <c r="M399" s="651">
        <f t="shared" si="17"/>
        <v>12812.36</v>
      </c>
      <c r="N399" s="651">
        <f>SUM(N396,N395,N394,N391,N387,N383,N372)</f>
        <v>16384.11</v>
      </c>
      <c r="O399" s="660">
        <f>SUM(C399:N399)</f>
        <v>155771.89999999997</v>
      </c>
      <c r="P399" s="166"/>
      <c r="S399" s="129"/>
      <c r="T399" s="172"/>
      <c r="V399" s="129"/>
      <c r="Y399" s="166"/>
      <c r="Z399" s="166"/>
    </row>
    <row r="400" spans="1:26" s="128" customFormat="1" x14ac:dyDescent="0.25">
      <c r="A400" s="459"/>
      <c r="B400" s="345"/>
      <c r="C400" s="653" t="s">
        <v>776</v>
      </c>
      <c r="D400" s="653" t="s">
        <v>776</v>
      </c>
      <c r="E400" s="653" t="s">
        <v>776</v>
      </c>
      <c r="F400" s="653" t="s">
        <v>776</v>
      </c>
      <c r="G400" s="653" t="s">
        <v>776</v>
      </c>
      <c r="H400" s="653" t="s">
        <v>776</v>
      </c>
      <c r="I400" s="653" t="s">
        <v>776</v>
      </c>
      <c r="J400" s="653" t="s">
        <v>776</v>
      </c>
      <c r="K400" s="653" t="s">
        <v>776</v>
      </c>
      <c r="L400" s="653" t="s">
        <v>776</v>
      </c>
      <c r="M400" s="653" t="s">
        <v>776</v>
      </c>
      <c r="N400" s="653" t="s">
        <v>776</v>
      </c>
      <c r="O400" s="653" t="s">
        <v>776</v>
      </c>
      <c r="P400" s="166"/>
      <c r="S400" s="129"/>
      <c r="T400" s="172"/>
      <c r="V400" s="129"/>
      <c r="Y400" s="166"/>
      <c r="Z400" s="166"/>
    </row>
    <row r="401" spans="1:26" s="128" customFormat="1" x14ac:dyDescent="0.25">
      <c r="A401" s="459"/>
      <c r="B401" s="345"/>
      <c r="C401" s="345"/>
      <c r="D401" s="345"/>
      <c r="E401" s="345"/>
      <c r="F401" s="345"/>
      <c r="G401" s="345"/>
      <c r="H401" s="345"/>
      <c r="I401" s="345"/>
      <c r="J401" s="345"/>
      <c r="K401" s="345"/>
      <c r="L401" s="345"/>
      <c r="M401" s="345"/>
      <c r="N401" s="345"/>
      <c r="O401" s="628"/>
      <c r="P401" s="166"/>
      <c r="S401" s="129"/>
      <c r="T401" s="172"/>
      <c r="V401" s="129"/>
      <c r="Y401" s="166"/>
      <c r="Z401" s="166"/>
    </row>
    <row r="402" spans="1:26" s="128" customFormat="1" x14ac:dyDescent="0.25">
      <c r="A402" s="459"/>
      <c r="B402" s="345" t="s">
        <v>777</v>
      </c>
      <c r="C402" s="345">
        <v>157.84</v>
      </c>
      <c r="D402" s="345">
        <v>177.57</v>
      </c>
      <c r="E402" s="345">
        <v>177.57</v>
      </c>
      <c r="F402" s="345">
        <v>177.57</v>
      </c>
      <c r="G402" s="345">
        <v>157.84</v>
      </c>
      <c r="H402" s="345">
        <v>118.38</v>
      </c>
      <c r="I402" s="345">
        <v>157.84</v>
      </c>
      <c r="J402" s="345">
        <v>157.84</v>
      </c>
      <c r="K402" s="345">
        <v>177.57</v>
      </c>
      <c r="L402" s="345">
        <v>157.84</v>
      </c>
      <c r="M402" s="345">
        <v>157.84</v>
      </c>
      <c r="N402" s="345">
        <v>78.92</v>
      </c>
      <c r="O402" s="660">
        <f>SUM(C402:N402)</f>
        <v>1854.6199999999997</v>
      </c>
      <c r="P402" s="166"/>
      <c r="S402" s="129"/>
      <c r="T402" s="172"/>
      <c r="V402" s="129"/>
      <c r="Y402" s="166"/>
      <c r="Z402" s="166"/>
    </row>
    <row r="403" spans="1:26" s="128" customFormat="1" x14ac:dyDescent="0.25">
      <c r="A403" s="459"/>
      <c r="B403" s="345"/>
      <c r="C403" s="651"/>
      <c r="D403" s="651"/>
      <c r="E403" s="651"/>
      <c r="F403" s="651"/>
      <c r="G403" s="651"/>
      <c r="H403" s="651"/>
      <c r="I403" s="651"/>
      <c r="J403" s="651"/>
      <c r="K403" s="651"/>
      <c r="L403" s="651"/>
      <c r="M403" s="651"/>
      <c r="N403" s="651"/>
      <c r="O403" s="628"/>
      <c r="P403" s="166"/>
      <c r="S403" s="129"/>
      <c r="T403" s="172"/>
      <c r="V403" s="129"/>
      <c r="Y403" s="166"/>
      <c r="Z403" s="166"/>
    </row>
    <row r="404" spans="1:26" s="128" customFormat="1" x14ac:dyDescent="0.25">
      <c r="A404" s="459"/>
      <c r="B404" s="345"/>
      <c r="C404" s="651"/>
      <c r="D404" s="651"/>
      <c r="E404" s="651"/>
      <c r="F404" s="651"/>
      <c r="G404" s="651"/>
      <c r="H404" s="651"/>
      <c r="I404" s="651"/>
      <c r="J404" s="651"/>
      <c r="K404" s="651"/>
      <c r="L404" s="651"/>
      <c r="M404" s="651"/>
      <c r="N404" s="651"/>
      <c r="O404" s="628"/>
      <c r="P404" s="166"/>
      <c r="S404" s="129"/>
      <c r="T404" s="172"/>
      <c r="V404" s="129"/>
      <c r="Y404" s="166"/>
      <c r="Z404" s="166"/>
    </row>
    <row r="405" spans="1:26" s="128" customFormat="1" x14ac:dyDescent="0.25">
      <c r="A405" s="459"/>
      <c r="B405" s="345" t="s">
        <v>1553</v>
      </c>
      <c r="C405" s="345" t="s">
        <v>1554</v>
      </c>
      <c r="D405" s="664"/>
      <c r="E405" s="345" t="s">
        <v>1555</v>
      </c>
      <c r="F405" s="664"/>
      <c r="G405" s="345" t="s">
        <v>1556</v>
      </c>
      <c r="H405" s="664"/>
      <c r="I405" s="345" t="s">
        <v>1557</v>
      </c>
      <c r="J405" s="664"/>
      <c r="K405" s="345" t="s">
        <v>1558</v>
      </c>
      <c r="L405" s="664"/>
      <c r="M405" s="664"/>
      <c r="N405" s="664"/>
      <c r="O405" s="345"/>
      <c r="P405" s="166"/>
      <c r="S405" s="129"/>
      <c r="T405" s="172"/>
      <c r="V405" s="129"/>
      <c r="Y405" s="166"/>
      <c r="Z405" s="166"/>
    </row>
    <row r="406" spans="1:26" s="128" customFormat="1" x14ac:dyDescent="0.25">
      <c r="A406" s="459"/>
      <c r="B406" s="345" t="s">
        <v>1559</v>
      </c>
      <c r="C406" s="345" t="s">
        <v>1560</v>
      </c>
      <c r="D406" s="651"/>
      <c r="E406" s="345" t="s">
        <v>1561</v>
      </c>
      <c r="F406" s="651"/>
      <c r="G406" s="345" t="s">
        <v>1562</v>
      </c>
      <c r="H406" s="651"/>
      <c r="I406" s="345" t="s">
        <v>1563</v>
      </c>
      <c r="J406" s="651"/>
      <c r="K406" s="345" t="s">
        <v>1564</v>
      </c>
      <c r="L406" s="651"/>
      <c r="M406" s="651"/>
      <c r="N406" s="651"/>
      <c r="O406" s="345"/>
      <c r="P406" s="166"/>
      <c r="S406" s="129"/>
      <c r="T406" s="172"/>
      <c r="V406" s="129"/>
      <c r="Y406" s="166"/>
      <c r="Z406" s="166"/>
    </row>
    <row r="407" spans="1:26" s="128" customFormat="1" x14ac:dyDescent="0.25">
      <c r="A407" s="459"/>
      <c r="B407" s="172"/>
      <c r="C407" s="173"/>
      <c r="E407" s="166"/>
      <c r="F407" s="166"/>
      <c r="G407" s="166"/>
      <c r="H407" s="166"/>
      <c r="I407" s="166"/>
      <c r="J407" s="166"/>
      <c r="K407" s="166"/>
      <c r="L407" s="166"/>
      <c r="M407" s="166"/>
      <c r="N407" s="166"/>
      <c r="O407" s="166"/>
      <c r="P407" s="166"/>
      <c r="S407" s="129"/>
      <c r="T407" s="172"/>
      <c r="V407" s="129"/>
      <c r="Y407" s="166"/>
      <c r="Z407" s="166"/>
    </row>
    <row r="408" spans="1:26" s="125" customFormat="1" x14ac:dyDescent="0.25">
      <c r="A408" s="461">
        <v>27</v>
      </c>
      <c r="B408" s="207" t="s">
        <v>568</v>
      </c>
      <c r="C408" s="152"/>
      <c r="E408" s="1345"/>
      <c r="S408" s="126"/>
      <c r="T408" s="207" t="s">
        <v>568</v>
      </c>
      <c r="V408" s="126"/>
      <c r="Y408" s="157"/>
      <c r="Z408" s="157"/>
    </row>
    <row r="409" spans="1:26" s="1833" customFormat="1" ht="14.25" x14ac:dyDescent="0.2">
      <c r="A409" s="1840"/>
      <c r="B409"/>
      <c r="C409" s="666" t="s">
        <v>1437</v>
      </c>
      <c r="D409" s="497"/>
      <c r="E409"/>
      <c r="F409"/>
      <c r="G409"/>
      <c r="H409"/>
      <c r="I409"/>
      <c r="J409"/>
      <c r="K409"/>
      <c r="L409"/>
      <c r="M409"/>
      <c r="N409"/>
      <c r="O409"/>
      <c r="P409"/>
      <c r="Q409"/>
      <c r="R409"/>
      <c r="S409"/>
      <c r="T409"/>
      <c r="V409" s="1834"/>
      <c r="Y409" s="1835"/>
      <c r="Z409" s="1835"/>
    </row>
    <row r="410" spans="1:26" s="1833" customFormat="1" ht="14.25" x14ac:dyDescent="0.2">
      <c r="A410" s="1840"/>
      <c r="B410"/>
      <c r="C410" s="666"/>
      <c r="D410" s="497">
        <v>1</v>
      </c>
      <c r="E410" s="497">
        <v>2</v>
      </c>
      <c r="F410" s="497">
        <v>3</v>
      </c>
      <c r="G410" s="497">
        <v>4</v>
      </c>
      <c r="H410" s="497">
        <v>5</v>
      </c>
      <c r="I410" s="497">
        <v>6</v>
      </c>
      <c r="J410" s="497">
        <v>7</v>
      </c>
      <c r="K410" s="497">
        <v>8</v>
      </c>
      <c r="L410" s="497">
        <v>9</v>
      </c>
      <c r="M410" s="497">
        <v>10</v>
      </c>
      <c r="N410" s="497">
        <v>11</v>
      </c>
      <c r="O410" s="497">
        <v>12</v>
      </c>
      <c r="P410"/>
      <c r="Q410"/>
      <c r="R410"/>
      <c r="S410"/>
      <c r="T410"/>
      <c r="V410" s="1834"/>
      <c r="Y410" s="1835"/>
      <c r="Z410" s="1835"/>
    </row>
    <row r="411" spans="1:26" s="1833" customFormat="1" ht="14.25" x14ac:dyDescent="0.2">
      <c r="A411" s="1840"/>
      <c r="B411"/>
      <c r="C411" s="130" t="s">
        <v>337</v>
      </c>
      <c r="D411" s="186" t="s">
        <v>1532</v>
      </c>
      <c r="E411" s="131">
        <v>42567</v>
      </c>
      <c r="F411" s="131">
        <v>42583</v>
      </c>
      <c r="G411" s="131">
        <v>42614</v>
      </c>
      <c r="H411" s="131">
        <v>42644</v>
      </c>
      <c r="I411" s="131">
        <v>42675</v>
      </c>
      <c r="J411" s="131">
        <v>42705</v>
      </c>
      <c r="K411" s="131">
        <v>42736</v>
      </c>
      <c r="L411" s="131">
        <v>42767</v>
      </c>
      <c r="M411" s="131">
        <v>42795</v>
      </c>
      <c r="N411" s="131">
        <v>42826</v>
      </c>
      <c r="O411" s="131">
        <v>42856</v>
      </c>
      <c r="P411" s="131">
        <v>42887</v>
      </c>
      <c r="Q411" s="131">
        <v>42552</v>
      </c>
      <c r="R411" s="151">
        <v>42583</v>
      </c>
      <c r="S411" s="131">
        <v>42627</v>
      </c>
      <c r="T411" s="2159" t="s">
        <v>1432</v>
      </c>
      <c r="V411" s="1834"/>
      <c r="Y411" s="1835"/>
      <c r="Z411" s="1835"/>
    </row>
    <row r="412" spans="1:26" s="1833" customFormat="1" ht="14.25" x14ac:dyDescent="0.2">
      <c r="A412" s="1840"/>
      <c r="B412" t="s">
        <v>1433</v>
      </c>
      <c r="C412" s="135" t="s">
        <v>319</v>
      </c>
      <c r="D412" s="2160" t="s">
        <v>1585</v>
      </c>
      <c r="E412" s="2160" t="s">
        <v>1585</v>
      </c>
      <c r="F412" s="2160" t="s">
        <v>1585</v>
      </c>
      <c r="G412" s="2160" t="s">
        <v>1585</v>
      </c>
      <c r="H412" s="2160" t="s">
        <v>1585</v>
      </c>
      <c r="I412" s="2160" t="s">
        <v>1585</v>
      </c>
      <c r="J412" s="2160" t="s">
        <v>1585</v>
      </c>
      <c r="K412" s="2160" t="s">
        <v>1585</v>
      </c>
      <c r="L412" s="2160" t="s">
        <v>1585</v>
      </c>
      <c r="M412" s="2160" t="s">
        <v>1585</v>
      </c>
      <c r="N412" s="2160" t="s">
        <v>1585</v>
      </c>
      <c r="O412" s="2160" t="s">
        <v>1585</v>
      </c>
      <c r="P412" s="136"/>
      <c r="Q412" s="136"/>
      <c r="R412" s="136"/>
      <c r="S412" s="153"/>
      <c r="T412" s="2165">
        <v>343680</v>
      </c>
      <c r="V412" s="1834"/>
      <c r="Y412" s="1835"/>
      <c r="Z412" s="1835"/>
    </row>
    <row r="413" spans="1:26" s="1833" customFormat="1" ht="14.25" x14ac:dyDescent="0.2">
      <c r="A413" s="1840"/>
      <c r="B413"/>
      <c r="C413" s="135" t="s">
        <v>343</v>
      </c>
      <c r="D413" s="1092"/>
      <c r="E413" s="153"/>
      <c r="F413" s="153"/>
      <c r="G413" s="137"/>
      <c r="H413" s="137"/>
      <c r="I413" s="137"/>
      <c r="J413" s="136"/>
      <c r="K413" s="136"/>
      <c r="L413" s="136"/>
      <c r="M413" s="136"/>
      <c r="N413" s="136"/>
      <c r="O413" s="136"/>
      <c r="P413" s="136"/>
      <c r="Q413" s="136"/>
      <c r="R413" s="136"/>
      <c r="S413" s="153"/>
      <c r="T413" s="954"/>
      <c r="V413" s="1834"/>
      <c r="Y413" s="1835"/>
      <c r="Z413" s="1835"/>
    </row>
    <row r="414" spans="1:26" s="1833" customFormat="1" ht="14.25" x14ac:dyDescent="0.2">
      <c r="A414" s="1840"/>
      <c r="B414"/>
      <c r="C414" s="153" t="s">
        <v>362</v>
      </c>
      <c r="D414" s="1092"/>
      <c r="E414" s="153"/>
      <c r="F414" s="153"/>
      <c r="G414" s="141"/>
      <c r="H414" s="141"/>
      <c r="I414" s="141"/>
      <c r="J414" s="141"/>
      <c r="K414" s="141"/>
      <c r="L414" s="141"/>
      <c r="M414" s="141"/>
      <c r="N414" s="141"/>
      <c r="O414" s="141"/>
      <c r="P414" s="141"/>
      <c r="Q414" s="141"/>
      <c r="R414" s="141"/>
      <c r="S414" s="153"/>
      <c r="T414" s="959"/>
      <c r="V414" s="1834"/>
      <c r="Y414" s="1835"/>
      <c r="Z414" s="1835"/>
    </row>
    <row r="415" spans="1:26" s="1833" customFormat="1" ht="14.25" x14ac:dyDescent="0.2">
      <c r="A415" s="1840"/>
      <c r="B415"/>
      <c r="C415" s="153" t="s">
        <v>641</v>
      </c>
      <c r="D415" s="153"/>
      <c r="E415" s="153"/>
      <c r="F415" s="141"/>
      <c r="G415" s="141"/>
      <c r="H415" s="141"/>
      <c r="I415" s="141"/>
      <c r="J415"/>
      <c r="K415" s="141"/>
      <c r="L415" s="141"/>
      <c r="M415" s="141"/>
      <c r="N415" s="141"/>
      <c r="O415" s="136"/>
      <c r="P415" s="141"/>
      <c r="Q415" s="141"/>
      <c r="R415" s="141"/>
      <c r="S415" s="153"/>
      <c r="T415" s="959"/>
      <c r="V415" s="1834"/>
      <c r="Y415" s="1835"/>
      <c r="Z415" s="1835"/>
    </row>
    <row r="416" spans="1:26" s="1833" customFormat="1" ht="14.25" x14ac:dyDescent="0.2">
      <c r="A416" s="1840"/>
      <c r="B416" t="s">
        <v>1435</v>
      </c>
      <c r="C416" s="135" t="s">
        <v>864</v>
      </c>
      <c r="D416" s="2156"/>
      <c r="E416" s="153">
        <f>26+296</f>
        <v>322</v>
      </c>
      <c r="F416" s="153"/>
      <c r="G416" s="760">
        <f>12+43+417</f>
        <v>472</v>
      </c>
      <c r="H416" s="760"/>
      <c r="I416" s="760">
        <f>42</f>
        <v>42</v>
      </c>
      <c r="J416" s="760">
        <v>6</v>
      </c>
      <c r="K416" s="750">
        <f>113+33</f>
        <v>146</v>
      </c>
      <c r="L416"/>
      <c r="M416" s="750">
        <f>150+37</f>
        <v>187</v>
      </c>
      <c r="N416" s="750"/>
      <c r="O416" s="750">
        <f>24+210</f>
        <v>234</v>
      </c>
      <c r="P416" s="750"/>
      <c r="Q416" s="750"/>
      <c r="R416" s="728"/>
      <c r="S416" s="153"/>
      <c r="T416" s="2162">
        <f>SUM(D416:S416)</f>
        <v>1409</v>
      </c>
      <c r="V416" s="1834"/>
      <c r="Y416" s="1835"/>
      <c r="Z416" s="1835"/>
    </row>
    <row r="417" spans="1:26" s="1833" customFormat="1" ht="14.25" x14ac:dyDescent="0.2">
      <c r="A417" s="1840"/>
      <c r="B417"/>
      <c r="C417" s="135" t="s">
        <v>324</v>
      </c>
      <c r="D417" s="2160" t="s">
        <v>1585</v>
      </c>
      <c r="E417" s="2160" t="s">
        <v>1585</v>
      </c>
      <c r="F417" s="2160" t="s">
        <v>1585</v>
      </c>
      <c r="G417" s="2160" t="s">
        <v>1585</v>
      </c>
      <c r="H417" s="2160" t="s">
        <v>1585</v>
      </c>
      <c r="I417" s="2160" t="s">
        <v>1585</v>
      </c>
      <c r="J417" s="2160" t="s">
        <v>1585</v>
      </c>
      <c r="K417" s="2160" t="s">
        <v>1585</v>
      </c>
      <c r="L417" s="2160" t="s">
        <v>1585</v>
      </c>
      <c r="M417" s="2160" t="s">
        <v>1585</v>
      </c>
      <c r="N417" s="2160" t="s">
        <v>1585</v>
      </c>
      <c r="O417" s="2160" t="s">
        <v>1585</v>
      </c>
      <c r="P417" s="731"/>
      <c r="Q417" s="731"/>
      <c r="R417" s="731"/>
      <c r="S417" s="153"/>
      <c r="T417" s="2165">
        <v>26480</v>
      </c>
      <c r="V417" s="1834"/>
      <c r="Y417" s="1835"/>
      <c r="Z417" s="1835"/>
    </row>
    <row r="418" spans="1:26" s="1833" customFormat="1" x14ac:dyDescent="0.25">
      <c r="A418" s="1840"/>
      <c r="B418"/>
      <c r="C418" s="144" t="s">
        <v>348</v>
      </c>
      <c r="D418" s="2156"/>
      <c r="E418" s="153"/>
      <c r="F418" s="153"/>
      <c r="G418" s="736"/>
      <c r="H418" s="736"/>
      <c r="I418" s="736"/>
      <c r="J418" s="736"/>
      <c r="K418" s="731"/>
      <c r="L418" s="731"/>
      <c r="M418" s="731"/>
      <c r="N418" s="731"/>
      <c r="O418" s="731"/>
      <c r="P418" s="731"/>
      <c r="Q418" s="731"/>
      <c r="R418" s="731"/>
      <c r="S418" s="153"/>
      <c r="T418" s="2166"/>
      <c r="V418" s="1834"/>
      <c r="Y418" s="1835"/>
      <c r="Z418" s="1835"/>
    </row>
    <row r="419" spans="1:26" s="1833" customFormat="1" ht="14.25" x14ac:dyDescent="0.2">
      <c r="A419" s="1840"/>
      <c r="B419"/>
      <c r="C419" s="195" t="s">
        <v>328</v>
      </c>
      <c r="D419" s="2167">
        <f>71.33+880.83</f>
        <v>952.16000000000008</v>
      </c>
      <c r="E419" s="1688">
        <f>204.34+419.69+1326.44+82.33+151.41+73.07</f>
        <v>2257.2800000000002</v>
      </c>
      <c r="F419" s="1688">
        <v>1350.53</v>
      </c>
      <c r="G419" s="760">
        <f>154.92+257.84+416.97+1708.6+80.36+87.76+220.44</f>
        <v>2926.8900000000003</v>
      </c>
      <c r="H419" s="1688">
        <v>73.069999999999993</v>
      </c>
      <c r="I419" s="1688">
        <f>1815.9+258.26+419.69+82.33+221.65</f>
        <v>2797.83</v>
      </c>
      <c r="J419" s="1688">
        <f>73.07+349.14</f>
        <v>422.21</v>
      </c>
      <c r="K419" s="1688">
        <f>227.93+419.69+82.33+182.14+709.73</f>
        <v>1621.8200000000002</v>
      </c>
      <c r="L419" s="1688">
        <f>147.24+1570.06</f>
        <v>1717.3</v>
      </c>
      <c r="M419" s="1688">
        <f>241.41+419.69+834.42+82.33+199.7+71.97</f>
        <v>1849.52</v>
      </c>
      <c r="N419" s="1688">
        <v>577.91999999999996</v>
      </c>
      <c r="O419" s="750">
        <f>197.6+419.69+1036.62+82.33+142.63+73.07</f>
        <v>1951.9399999999998</v>
      </c>
      <c r="P419" s="1688"/>
      <c r="Q419" s="1688"/>
      <c r="R419" s="731"/>
      <c r="S419" s="153"/>
      <c r="T419" s="2162">
        <f>SUM(D419:S419)</f>
        <v>18498.469999999998</v>
      </c>
      <c r="V419" s="1834"/>
      <c r="Y419" s="1835"/>
      <c r="Z419" s="1835"/>
    </row>
    <row r="420" spans="1:26" s="1833" customFormat="1" ht="14.25" x14ac:dyDescent="0.2">
      <c r="A420" s="1840"/>
      <c r="B420"/>
      <c r="C420" s="144" t="s">
        <v>883</v>
      </c>
      <c r="D420" s="1690"/>
      <c r="E420" s="1690"/>
      <c r="F420" s="1690"/>
      <c r="G420" s="1690"/>
      <c r="H420" s="1690"/>
      <c r="I420" s="1690"/>
      <c r="J420" s="136"/>
      <c r="K420" s="1690"/>
      <c r="L420" s="1688"/>
      <c r="M420" s="1690"/>
      <c r="N420" s="1690"/>
      <c r="O420" s="731"/>
      <c r="P420" s="557"/>
      <c r="Q420" s="557"/>
      <c r="R420" s="557"/>
      <c r="S420" s="145"/>
      <c r="T420" s="2168"/>
      <c r="V420" s="1834"/>
      <c r="Y420" s="1835"/>
      <c r="Z420" s="1835"/>
    </row>
    <row r="421" spans="1:26" s="1833" customFormat="1" ht="14.25" x14ac:dyDescent="0.2">
      <c r="A421" s="1840"/>
      <c r="B421"/>
      <c r="C421"/>
      <c r="D421"/>
      <c r="E421"/>
      <c r="F421"/>
      <c r="G421"/>
      <c r="H421"/>
      <c r="I421"/>
      <c r="J421"/>
      <c r="K421"/>
      <c r="L421"/>
      <c r="M421"/>
      <c r="N421"/>
      <c r="O421"/>
      <c r="P421"/>
      <c r="Q421"/>
      <c r="R421"/>
      <c r="S421"/>
      <c r="T421"/>
      <c r="V421" s="1834"/>
      <c r="Y421" s="1835"/>
      <c r="Z421" s="1835"/>
    </row>
    <row r="422" spans="1:26" s="1833" customFormat="1" ht="14.25" x14ac:dyDescent="0.2">
      <c r="A422" s="1840"/>
      <c r="B422"/>
      <c r="C422" t="s">
        <v>1587</v>
      </c>
      <c r="D422"/>
      <c r="E422"/>
      <c r="F422"/>
      <c r="G422"/>
      <c r="H422"/>
      <c r="I422"/>
      <c r="J422"/>
      <c r="K422"/>
      <c r="L422"/>
      <c r="M422"/>
      <c r="N422"/>
      <c r="O422"/>
      <c r="P422"/>
      <c r="Q422"/>
      <c r="R422"/>
      <c r="S422"/>
      <c r="T422"/>
      <c r="V422" s="1834"/>
      <c r="Y422" s="1835"/>
      <c r="Z422" s="1835"/>
    </row>
    <row r="423" spans="1:26" s="1833" customFormat="1" ht="15.75" x14ac:dyDescent="0.25">
      <c r="A423" s="1840"/>
      <c r="B423" s="1876"/>
      <c r="C423" s="1840"/>
      <c r="E423" s="1240"/>
      <c r="S423" s="1834"/>
      <c r="T423" s="1866"/>
      <c r="V423" s="1834"/>
      <c r="Y423" s="1835"/>
      <c r="Z423" s="1835"/>
    </row>
    <row r="424" spans="1:26" s="125" customFormat="1" x14ac:dyDescent="0.25">
      <c r="A424" s="461">
        <v>28</v>
      </c>
      <c r="B424" s="148" t="s">
        <v>569</v>
      </c>
      <c r="C424" s="152"/>
      <c r="E424" s="157"/>
      <c r="F424" s="157"/>
      <c r="G424" s="157"/>
      <c r="H424" s="157"/>
      <c r="I424" s="157"/>
      <c r="J424" s="157"/>
      <c r="K424" s="157"/>
      <c r="L424" s="157"/>
      <c r="M424" s="157"/>
      <c r="N424" s="157"/>
      <c r="O424" s="157"/>
      <c r="P424" s="157"/>
      <c r="S424" s="126"/>
      <c r="T424" s="148" t="s">
        <v>569</v>
      </c>
      <c r="V424" s="126"/>
      <c r="Y424" s="157"/>
      <c r="Z424" s="157"/>
    </row>
    <row r="425" spans="1:26" s="1833" customFormat="1" x14ac:dyDescent="0.25">
      <c r="A425" s="461"/>
      <c r="B425" s="130" t="s">
        <v>337</v>
      </c>
      <c r="C425" s="131">
        <v>42522</v>
      </c>
      <c r="D425" s="131">
        <v>42552</v>
      </c>
      <c r="E425" s="131">
        <v>42583</v>
      </c>
      <c r="F425" s="131">
        <v>42614</v>
      </c>
      <c r="G425" s="131">
        <v>42644</v>
      </c>
      <c r="H425" s="131">
        <v>42675</v>
      </c>
      <c r="I425" s="131">
        <v>42705</v>
      </c>
      <c r="J425" s="131">
        <v>42736</v>
      </c>
      <c r="K425" s="131">
        <v>42767</v>
      </c>
      <c r="L425" s="131">
        <v>42795</v>
      </c>
      <c r="M425" s="131">
        <v>42826</v>
      </c>
      <c r="N425" s="131">
        <v>42856</v>
      </c>
      <c r="O425" s="131">
        <v>42887</v>
      </c>
      <c r="P425" s="131">
        <v>42917</v>
      </c>
      <c r="Q425" s="131">
        <v>42948</v>
      </c>
      <c r="R425" s="131">
        <v>42992</v>
      </c>
      <c r="S425" s="1834"/>
      <c r="V425" s="1834"/>
      <c r="Y425" s="1835"/>
      <c r="Z425" s="1835"/>
    </row>
    <row r="426" spans="1:26" s="1833" customFormat="1" x14ac:dyDescent="0.25">
      <c r="A426" s="461"/>
      <c r="B426" s="135" t="s">
        <v>319</v>
      </c>
      <c r="C426" s="187">
        <v>200415.37</v>
      </c>
      <c r="D426" s="187">
        <v>227631.31</v>
      </c>
      <c r="E426" s="187">
        <v>231203.8</v>
      </c>
      <c r="F426" s="187">
        <v>225802.7</v>
      </c>
      <c r="G426" s="187">
        <v>224452.68</v>
      </c>
      <c r="H426" s="187">
        <v>212062.71</v>
      </c>
      <c r="I426" s="187">
        <v>201626.22</v>
      </c>
      <c r="J426" s="187">
        <v>204314.04</v>
      </c>
      <c r="K426" s="187">
        <v>189981.17</v>
      </c>
      <c r="L426" s="187">
        <v>221699.66</v>
      </c>
      <c r="M426" s="187">
        <v>206590.89</v>
      </c>
      <c r="N426" s="187">
        <v>218031.41</v>
      </c>
      <c r="O426" s="187">
        <v>215938.68</v>
      </c>
      <c r="P426" s="136"/>
      <c r="Q426" s="136"/>
      <c r="R426" s="141"/>
      <c r="S426" s="1834"/>
      <c r="V426" s="1834"/>
      <c r="Y426" s="1835"/>
      <c r="Z426" s="1835"/>
    </row>
    <row r="427" spans="1:26" s="1833" customFormat="1" x14ac:dyDescent="0.25">
      <c r="A427" s="461"/>
      <c r="B427" s="135" t="s">
        <v>1486</v>
      </c>
      <c r="C427" s="187">
        <v>12148</v>
      </c>
      <c r="D427" s="187">
        <v>9716</v>
      </c>
      <c r="E427" s="187">
        <v>9972</v>
      </c>
      <c r="F427" s="187">
        <v>9564</v>
      </c>
      <c r="G427" s="187">
        <v>11500</v>
      </c>
      <c r="H427" s="187">
        <v>9976</v>
      </c>
      <c r="I427" s="187">
        <v>11536</v>
      </c>
      <c r="J427" s="187">
        <v>12440</v>
      </c>
      <c r="K427" s="187">
        <v>9168</v>
      </c>
      <c r="L427" s="187">
        <v>9696</v>
      </c>
      <c r="M427" s="187">
        <v>9124</v>
      </c>
      <c r="N427" s="187">
        <v>9256</v>
      </c>
      <c r="O427" s="187">
        <v>9036</v>
      </c>
      <c r="P427" s="136"/>
      <c r="Q427" s="136"/>
      <c r="R427" s="153"/>
      <c r="S427" s="1834"/>
      <c r="V427" s="1834"/>
      <c r="Y427" s="1835"/>
      <c r="Z427" s="1835"/>
    </row>
    <row r="428" spans="1:26" s="1833" customFormat="1" x14ac:dyDescent="0.25">
      <c r="A428" s="461"/>
      <c r="B428" s="153" t="s">
        <v>1372</v>
      </c>
      <c r="C428" s="187">
        <v>117328</v>
      </c>
      <c r="D428" s="187">
        <v>170787</v>
      </c>
      <c r="E428" s="187">
        <v>190439</v>
      </c>
      <c r="F428" s="187">
        <v>154143</v>
      </c>
      <c r="G428" s="187">
        <v>91735</v>
      </c>
      <c r="H428" s="187">
        <v>44754</v>
      </c>
      <c r="I428" s="187">
        <v>27373</v>
      </c>
      <c r="J428" s="187">
        <v>25083</v>
      </c>
      <c r="K428" s="187">
        <v>33364</v>
      </c>
      <c r="L428" s="187">
        <v>44943</v>
      </c>
      <c r="M428" s="187">
        <v>80069</v>
      </c>
      <c r="N428" s="187">
        <v>109605</v>
      </c>
      <c r="O428" s="187">
        <v>140893</v>
      </c>
      <c r="P428" s="187"/>
      <c r="Q428" s="187"/>
      <c r="R428" s="187"/>
      <c r="S428" s="1834"/>
      <c r="V428" s="1834"/>
      <c r="Y428" s="1835"/>
      <c r="Z428" s="1835"/>
    </row>
    <row r="429" spans="1:26" s="1833" customFormat="1" x14ac:dyDescent="0.25">
      <c r="A429" s="461"/>
      <c r="B429" s="153" t="s">
        <v>1373</v>
      </c>
      <c r="C429" s="187">
        <v>1420</v>
      </c>
      <c r="D429" s="187">
        <v>1619</v>
      </c>
      <c r="E429" s="187">
        <v>2286</v>
      </c>
      <c r="F429" s="187">
        <v>2495</v>
      </c>
      <c r="G429" s="187">
        <v>6096</v>
      </c>
      <c r="H429" s="187">
        <v>5052</v>
      </c>
      <c r="I429" s="187">
        <v>6423</v>
      </c>
      <c r="J429" s="187">
        <v>7157</v>
      </c>
      <c r="K429" s="187">
        <v>5764</v>
      </c>
      <c r="L429" s="187">
        <v>7718</v>
      </c>
      <c r="M429" s="187">
        <v>4029</v>
      </c>
      <c r="N429" s="187">
        <v>3545</v>
      </c>
      <c r="O429" s="187">
        <v>2500</v>
      </c>
      <c r="P429" s="141"/>
      <c r="Q429" s="141"/>
      <c r="R429" s="153"/>
      <c r="S429" s="1834"/>
      <c r="V429" s="1834"/>
      <c r="Y429" s="1835"/>
      <c r="Z429" s="1835"/>
    </row>
    <row r="430" spans="1:26" s="1833" customFormat="1" x14ac:dyDescent="0.25">
      <c r="A430" s="461"/>
      <c r="B430" s="135" t="s">
        <v>1376</v>
      </c>
      <c r="C430" s="1092"/>
      <c r="D430" s="153"/>
      <c r="E430" s="153"/>
      <c r="F430" s="760"/>
      <c r="G430" s="760"/>
      <c r="H430" s="760"/>
      <c r="I430" s="760"/>
      <c r="J430" s="760"/>
      <c r="K430" s="750"/>
      <c r="L430" s="750"/>
      <c r="M430" s="750"/>
      <c r="N430" s="750"/>
      <c r="O430" s="750"/>
      <c r="P430" s="750"/>
      <c r="Q430" s="728"/>
      <c r="R430" s="153"/>
      <c r="S430" s="1834"/>
      <c r="V430" s="1834"/>
      <c r="Y430" s="1835"/>
      <c r="Z430" s="1835"/>
    </row>
    <row r="431" spans="1:26" s="1833" customFormat="1" x14ac:dyDescent="0.25">
      <c r="A431" s="461"/>
      <c r="B431" s="135" t="s">
        <v>324</v>
      </c>
      <c r="C431" s="1602">
        <f>0.08775*C426</f>
        <v>17586.448717499999</v>
      </c>
      <c r="D431" s="1602">
        <f t="shared" ref="D431:O431" si="18">0.08775*D426</f>
        <v>19974.647452499998</v>
      </c>
      <c r="E431" s="1602">
        <f t="shared" si="18"/>
        <v>20288.133449999998</v>
      </c>
      <c r="F431" s="1602">
        <f t="shared" si="18"/>
        <v>19814.186924999998</v>
      </c>
      <c r="G431" s="1602">
        <f t="shared" si="18"/>
        <v>19695.722669999999</v>
      </c>
      <c r="H431" s="1602">
        <f t="shared" si="18"/>
        <v>18608.502802499999</v>
      </c>
      <c r="I431" s="1602">
        <f t="shared" si="18"/>
        <v>17692.700805</v>
      </c>
      <c r="J431" s="1602">
        <f t="shared" si="18"/>
        <v>17928.55701</v>
      </c>
      <c r="K431" s="1602">
        <f t="shared" si="18"/>
        <v>16670.847667499998</v>
      </c>
      <c r="L431" s="1602">
        <f t="shared" si="18"/>
        <v>19454.145164999998</v>
      </c>
      <c r="M431" s="1602">
        <f t="shared" si="18"/>
        <v>18128.350597500001</v>
      </c>
      <c r="N431" s="1602">
        <f t="shared" si="18"/>
        <v>19132.256227499998</v>
      </c>
      <c r="O431" s="1602">
        <f t="shared" si="18"/>
        <v>18948.619169999998</v>
      </c>
      <c r="P431" s="731"/>
      <c r="Q431" s="731"/>
      <c r="R431" s="153"/>
      <c r="S431" s="1834"/>
      <c r="V431" s="1834"/>
      <c r="Y431" s="1835"/>
      <c r="Z431" s="1835"/>
    </row>
    <row r="432" spans="1:26" s="1833" customFormat="1" x14ac:dyDescent="0.25">
      <c r="A432" s="461"/>
      <c r="B432" s="144" t="s">
        <v>348</v>
      </c>
      <c r="C432" s="1092"/>
      <c r="D432" s="153"/>
      <c r="E432" s="153"/>
      <c r="F432" s="736"/>
      <c r="G432" s="736"/>
      <c r="H432" s="736"/>
      <c r="I432" s="736"/>
      <c r="J432" s="731"/>
      <c r="K432" s="731"/>
      <c r="L432" s="731"/>
      <c r="M432" s="731"/>
      <c r="N432" s="731"/>
      <c r="O432" s="731"/>
      <c r="P432" s="731"/>
      <c r="Q432" s="731"/>
      <c r="R432" s="153"/>
      <c r="S432" s="1834"/>
      <c r="V432" s="1834"/>
      <c r="Y432" s="1835"/>
      <c r="Z432" s="1835"/>
    </row>
    <row r="433" spans="1:26" s="1833" customFormat="1" x14ac:dyDescent="0.25">
      <c r="A433" s="461"/>
      <c r="B433" s="195" t="s">
        <v>1087</v>
      </c>
      <c r="C433" s="1602">
        <f>(C428/1000)*55.13</f>
        <v>6468.2926400000006</v>
      </c>
      <c r="D433" s="1602">
        <f t="shared" ref="D433:O433" si="19">(D428/1000)*55.13</f>
        <v>9415.4873100000004</v>
      </c>
      <c r="E433" s="1602">
        <f t="shared" si="19"/>
        <v>10498.90207</v>
      </c>
      <c r="F433" s="1602">
        <f t="shared" si="19"/>
        <v>8497.9035899999999</v>
      </c>
      <c r="G433" s="1602">
        <f t="shared" si="19"/>
        <v>5057.3505500000001</v>
      </c>
      <c r="H433" s="1602">
        <f t="shared" si="19"/>
        <v>2467.28802</v>
      </c>
      <c r="I433" s="1602">
        <f t="shared" si="19"/>
        <v>1509.0734900000002</v>
      </c>
      <c r="J433" s="1602">
        <f t="shared" si="19"/>
        <v>1382.8257899999999</v>
      </c>
      <c r="K433" s="1602">
        <f t="shared" si="19"/>
        <v>1839.3573199999998</v>
      </c>
      <c r="L433" s="1602">
        <f t="shared" si="19"/>
        <v>2477.70759</v>
      </c>
      <c r="M433" s="1602">
        <f t="shared" si="19"/>
        <v>4414.2039700000005</v>
      </c>
      <c r="N433" s="1602">
        <f t="shared" si="19"/>
        <v>6042.5236500000001</v>
      </c>
      <c r="O433" s="1602">
        <f t="shared" si="19"/>
        <v>7767.43109</v>
      </c>
      <c r="P433" s="731"/>
      <c r="Q433" s="731"/>
      <c r="R433" s="153"/>
      <c r="S433" s="1834"/>
      <c r="V433" s="1834"/>
      <c r="Y433" s="1835"/>
      <c r="Z433" s="1835"/>
    </row>
    <row r="434" spans="1:26" s="1833" customFormat="1" x14ac:dyDescent="0.25">
      <c r="A434" s="461"/>
      <c r="B434" s="144" t="s">
        <v>883</v>
      </c>
      <c r="C434" s="1602">
        <v>1267.24</v>
      </c>
      <c r="D434" s="1602">
        <v>1433.45</v>
      </c>
      <c r="E434" s="1602">
        <v>1915.36</v>
      </c>
      <c r="F434" s="1602">
        <v>2079.61</v>
      </c>
      <c r="G434" s="1602">
        <v>4922.8999999999996</v>
      </c>
      <c r="H434" s="1602">
        <v>4408.4399999999996</v>
      </c>
      <c r="I434" s="1602">
        <v>5572.56</v>
      </c>
      <c r="J434" s="1602">
        <v>6206.22</v>
      </c>
      <c r="K434" s="1602">
        <v>5256.81</v>
      </c>
      <c r="L434" s="1602">
        <v>6998.61</v>
      </c>
      <c r="M434" s="1602">
        <v>3710.23</v>
      </c>
      <c r="N434" s="1602">
        <v>3278.79</v>
      </c>
      <c r="O434" s="1602">
        <f>(N434/N429)*O429</f>
        <v>2312.2637517630465</v>
      </c>
      <c r="P434" s="145"/>
      <c r="Q434" s="145"/>
      <c r="R434" s="145"/>
      <c r="S434" s="1834"/>
      <c r="V434" s="1834"/>
      <c r="Y434" s="1835"/>
      <c r="Z434" s="1835"/>
    </row>
    <row r="436" spans="1:26" s="125" customFormat="1" x14ac:dyDescent="0.25">
      <c r="A436" s="461">
        <v>29</v>
      </c>
      <c r="B436" s="148" t="s">
        <v>571</v>
      </c>
      <c r="C436" s="152"/>
      <c r="E436" s="157"/>
      <c r="F436" s="157"/>
      <c r="G436" s="157"/>
      <c r="H436" s="157"/>
      <c r="I436" s="157"/>
      <c r="J436" s="157"/>
      <c r="K436" s="157"/>
      <c r="L436" s="157"/>
      <c r="M436" s="157"/>
      <c r="N436" s="157"/>
      <c r="O436" s="157"/>
      <c r="P436" s="157"/>
      <c r="S436" s="126"/>
      <c r="T436" s="148" t="s">
        <v>571</v>
      </c>
      <c r="V436" s="126"/>
      <c r="Y436" s="157"/>
      <c r="Z436" s="157"/>
    </row>
    <row r="437" spans="1:26" s="41" customFormat="1" x14ac:dyDescent="0.25">
      <c r="A437" s="462"/>
      <c r="B437" s="666" t="s">
        <v>1421</v>
      </c>
      <c r="C437" s="497"/>
      <c r="D437"/>
      <c r="E437"/>
      <c r="F437"/>
      <c r="G437"/>
      <c r="H437"/>
      <c r="I437"/>
      <c r="J437"/>
      <c r="K437"/>
      <c r="L437"/>
      <c r="M437"/>
      <c r="N437"/>
      <c r="O437"/>
      <c r="P437"/>
      <c r="Q437"/>
      <c r="R437"/>
    </row>
    <row r="438" spans="1:26" s="41" customFormat="1" x14ac:dyDescent="0.25">
      <c r="A438" s="461"/>
      <c r="B438" s="130" t="s">
        <v>337</v>
      </c>
      <c r="C438" s="186" t="s">
        <v>1515</v>
      </c>
      <c r="D438" s="186" t="s">
        <v>1516</v>
      </c>
      <c r="E438" s="186" t="s">
        <v>1517</v>
      </c>
      <c r="F438" s="186" t="s">
        <v>1518</v>
      </c>
      <c r="G438" s="186" t="s">
        <v>1519</v>
      </c>
      <c r="H438" s="186" t="s">
        <v>1520</v>
      </c>
      <c r="I438" s="186" t="s">
        <v>1521</v>
      </c>
      <c r="J438" s="186" t="s">
        <v>1522</v>
      </c>
      <c r="K438" s="186" t="s">
        <v>1523</v>
      </c>
      <c r="L438" s="186" t="s">
        <v>1524</v>
      </c>
      <c r="M438" s="186" t="s">
        <v>1525</v>
      </c>
      <c r="N438" s="186" t="s">
        <v>1526</v>
      </c>
      <c r="O438" s="131"/>
      <c r="P438" s="131"/>
      <c r="Q438" s="151"/>
      <c r="R438" s="131"/>
    </row>
    <row r="439" spans="1:26" s="41" customFormat="1" x14ac:dyDescent="0.25">
      <c r="A439" s="461"/>
      <c r="B439" s="135" t="s">
        <v>319</v>
      </c>
      <c r="C439" s="1258">
        <v>23240</v>
      </c>
      <c r="D439" s="160">
        <v>26680</v>
      </c>
      <c r="E439" s="160">
        <v>28640</v>
      </c>
      <c r="F439" s="136">
        <v>24480</v>
      </c>
      <c r="G439" s="136">
        <v>24600</v>
      </c>
      <c r="H439" s="136">
        <v>23400</v>
      </c>
      <c r="I439" s="136">
        <v>19920</v>
      </c>
      <c r="J439" s="136">
        <v>22720</v>
      </c>
      <c r="K439" s="136">
        <v>21640</v>
      </c>
      <c r="L439" s="136">
        <v>30880</v>
      </c>
      <c r="M439" s="136">
        <v>28080</v>
      </c>
      <c r="N439" s="136">
        <v>23160</v>
      </c>
      <c r="O439" s="136"/>
      <c r="P439" s="136"/>
      <c r="Q439" s="136"/>
      <c r="R439" s="153"/>
    </row>
    <row r="440" spans="1:26" s="41" customFormat="1" x14ac:dyDescent="0.25">
      <c r="A440" s="461"/>
      <c r="B440" s="204" t="s">
        <v>343</v>
      </c>
      <c r="C440" s="1092">
        <v>0</v>
      </c>
      <c r="D440" s="153">
        <v>0</v>
      </c>
      <c r="E440" s="153">
        <v>0</v>
      </c>
      <c r="F440" s="137">
        <v>146300</v>
      </c>
      <c r="G440" s="137">
        <v>251550</v>
      </c>
      <c r="H440" s="137">
        <v>130650</v>
      </c>
      <c r="I440" s="136">
        <v>117700</v>
      </c>
      <c r="J440" s="136">
        <v>86750</v>
      </c>
      <c r="K440" s="136">
        <v>30100</v>
      </c>
      <c r="L440" s="136">
        <v>1550</v>
      </c>
      <c r="M440" s="136">
        <v>500</v>
      </c>
      <c r="N440" s="136">
        <v>0</v>
      </c>
      <c r="O440" s="136"/>
      <c r="P440" s="136"/>
      <c r="Q440" s="136"/>
      <c r="R440" s="153"/>
    </row>
    <row r="441" spans="1:26" s="41" customFormat="1" x14ac:dyDescent="0.25">
      <c r="A441" s="461"/>
      <c r="B441" s="2093" t="s">
        <v>362</v>
      </c>
      <c r="C441" s="1092">
        <v>107</v>
      </c>
      <c r="D441" s="153">
        <v>87</v>
      </c>
      <c r="E441" s="153">
        <v>129</v>
      </c>
      <c r="F441" s="141">
        <v>170</v>
      </c>
      <c r="G441" s="141">
        <v>34</v>
      </c>
      <c r="H441" s="141">
        <v>88</v>
      </c>
      <c r="I441" s="141">
        <v>56</v>
      </c>
      <c r="J441" s="141">
        <v>91</v>
      </c>
      <c r="K441" s="141">
        <v>103</v>
      </c>
      <c r="L441" s="141">
        <v>207</v>
      </c>
      <c r="M441" s="141">
        <v>221</v>
      </c>
      <c r="N441" s="141">
        <v>333</v>
      </c>
      <c r="O441" s="141"/>
      <c r="P441" s="141"/>
      <c r="Q441" s="141"/>
      <c r="R441" s="153"/>
    </row>
    <row r="442" spans="1:26" s="41" customFormat="1" x14ac:dyDescent="0.25">
      <c r="A442" s="461"/>
      <c r="B442" s="153" t="s">
        <v>641</v>
      </c>
      <c r="C442" s="1092">
        <v>0</v>
      </c>
      <c r="D442" s="153">
        <v>0</v>
      </c>
      <c r="E442" s="153">
        <v>0</v>
      </c>
      <c r="F442" s="141">
        <v>0</v>
      </c>
      <c r="G442" s="141">
        <v>0</v>
      </c>
      <c r="H442" s="141">
        <v>0</v>
      </c>
      <c r="I442" s="141">
        <v>0</v>
      </c>
      <c r="J442" s="141">
        <v>0</v>
      </c>
      <c r="K442" s="141">
        <v>0</v>
      </c>
      <c r="L442" s="141">
        <v>0</v>
      </c>
      <c r="M442" s="141">
        <v>0</v>
      </c>
      <c r="N442" s="141">
        <v>0</v>
      </c>
      <c r="O442" s="141"/>
      <c r="P442" s="141"/>
      <c r="Q442" s="141"/>
      <c r="R442" s="153"/>
    </row>
    <row r="443" spans="1:26" s="41" customFormat="1" x14ac:dyDescent="0.25">
      <c r="A443" s="461"/>
      <c r="B443" s="135" t="s">
        <v>864</v>
      </c>
      <c r="C443" s="1258">
        <v>19775</v>
      </c>
      <c r="D443" s="160">
        <v>12756</v>
      </c>
      <c r="E443" s="160">
        <v>11815</v>
      </c>
      <c r="F443" s="768">
        <v>10801</v>
      </c>
      <c r="G443" s="760">
        <v>6589</v>
      </c>
      <c r="H443" s="760">
        <v>8199</v>
      </c>
      <c r="I443" s="760">
        <v>5742</v>
      </c>
      <c r="J443" s="760">
        <v>6154</v>
      </c>
      <c r="K443" s="750">
        <v>9329</v>
      </c>
      <c r="L443" s="750">
        <v>10700</v>
      </c>
      <c r="M443" s="750">
        <v>2737</v>
      </c>
      <c r="N443" s="750">
        <v>1726</v>
      </c>
      <c r="O443" s="750"/>
      <c r="P443" s="750"/>
      <c r="Q443" s="728"/>
      <c r="R443" s="153"/>
    </row>
    <row r="444" spans="1:26" s="41" customFormat="1" x14ac:dyDescent="0.25">
      <c r="A444" s="461"/>
      <c r="B444" s="135" t="s">
        <v>324</v>
      </c>
      <c r="C444" s="1642">
        <f>C439*C450</f>
        <v>1998.673832584029</v>
      </c>
      <c r="D444" s="1642">
        <f t="shared" ref="D444:O444" si="20">D439*D450</f>
        <v>2139.2878614614615</v>
      </c>
      <c r="E444" s="1642">
        <f t="shared" si="20"/>
        <v>1932.5044673129505</v>
      </c>
      <c r="F444" s="1642">
        <f t="shared" si="20"/>
        <v>1804.0006315789476</v>
      </c>
      <c r="G444" s="1642">
        <f t="shared" si="20"/>
        <v>1787.8580230642506</v>
      </c>
      <c r="H444" s="1642">
        <f t="shared" si="20"/>
        <v>1590.327542600897</v>
      </c>
      <c r="I444" s="1642">
        <f t="shared" si="20"/>
        <v>1531.0811791044773</v>
      </c>
      <c r="J444" s="1642">
        <f t="shared" si="20"/>
        <v>1568.6143009192065</v>
      </c>
      <c r="K444" s="1642">
        <f t="shared" si="20"/>
        <v>1505.1000313176744</v>
      </c>
      <c r="L444" s="1642">
        <f t="shared" si="20"/>
        <v>3952.5862126703191</v>
      </c>
      <c r="M444" s="1642">
        <f t="shared" si="20"/>
        <v>2235.7870371155882</v>
      </c>
      <c r="N444" s="1642">
        <f t="shared" si="20"/>
        <v>2061.0835367483296</v>
      </c>
      <c r="O444" s="1642">
        <f t="shared" si="20"/>
        <v>0</v>
      </c>
      <c r="P444" s="1643">
        <f>P439*P450</f>
        <v>0</v>
      </c>
      <c r="Q444" s="1643"/>
      <c r="R444" s="1643"/>
    </row>
    <row r="445" spans="1:26" s="41" customFormat="1" x14ac:dyDescent="0.25">
      <c r="A445" s="461"/>
      <c r="B445" s="694" t="s">
        <v>348</v>
      </c>
      <c r="C445" s="1642">
        <v>0</v>
      </c>
      <c r="D445" s="1643">
        <v>0</v>
      </c>
      <c r="E445" s="1643">
        <v>0</v>
      </c>
      <c r="F445" s="442">
        <v>1461.07</v>
      </c>
      <c r="G445" s="442">
        <v>2527.86</v>
      </c>
      <c r="H445" s="442">
        <v>1487.07</v>
      </c>
      <c r="I445" s="442">
        <v>1354.42</v>
      </c>
      <c r="J445" s="1643">
        <v>1037.45</v>
      </c>
      <c r="K445" s="1643">
        <v>428.85</v>
      </c>
      <c r="L445" s="1643">
        <v>103.28</v>
      </c>
      <c r="M445" s="1643">
        <v>91.3</v>
      </c>
      <c r="N445" s="731">
        <v>0</v>
      </c>
      <c r="O445" s="731">
        <v>0</v>
      </c>
      <c r="P445" s="731">
        <v>0</v>
      </c>
      <c r="Q445" s="731"/>
      <c r="R445" s="153"/>
    </row>
    <row r="446" spans="1:26" s="41" customFormat="1" x14ac:dyDescent="0.25">
      <c r="A446" s="461"/>
      <c r="B446" s="2094" t="s">
        <v>1087</v>
      </c>
      <c r="C446" s="198">
        <f>C441*8.03</f>
        <v>859.20999999999992</v>
      </c>
      <c r="D446" s="198">
        <f t="shared" ref="D446:N446" si="21">D441*8.03</f>
        <v>698.6099999999999</v>
      </c>
      <c r="E446" s="198">
        <f t="shared" si="21"/>
        <v>1035.8699999999999</v>
      </c>
      <c r="F446" s="198">
        <f t="shared" si="21"/>
        <v>1365.1</v>
      </c>
      <c r="G446" s="198">
        <f t="shared" si="21"/>
        <v>273.02</v>
      </c>
      <c r="H446" s="198">
        <f t="shared" si="21"/>
        <v>706.64</v>
      </c>
      <c r="I446" s="198">
        <f t="shared" si="21"/>
        <v>449.67999999999995</v>
      </c>
      <c r="J446" s="198">
        <f t="shared" si="21"/>
        <v>730.7299999999999</v>
      </c>
      <c r="K446" s="198">
        <f t="shared" si="21"/>
        <v>827.08999999999992</v>
      </c>
      <c r="L446" s="198">
        <f t="shared" si="21"/>
        <v>1662.2099999999998</v>
      </c>
      <c r="M446" s="198">
        <f t="shared" si="21"/>
        <v>1774.6299999999999</v>
      </c>
      <c r="N446" s="198">
        <f t="shared" si="21"/>
        <v>2673.99</v>
      </c>
      <c r="O446" s="731"/>
      <c r="P446" s="731"/>
      <c r="Q446" s="731"/>
      <c r="R446" s="153"/>
    </row>
    <row r="447" spans="1:26" s="1833" customFormat="1" x14ac:dyDescent="0.25">
      <c r="A447" s="461"/>
      <c r="B447" s="144" t="s">
        <v>883</v>
      </c>
      <c r="C447" s="1644">
        <f>C442*C454</f>
        <v>0</v>
      </c>
      <c r="D447" s="1644">
        <f t="shared" ref="D447:N447" si="22">D442*D454</f>
        <v>0</v>
      </c>
      <c r="E447" s="1644">
        <f t="shared" si="22"/>
        <v>0</v>
      </c>
      <c r="F447" s="1644">
        <f t="shared" si="22"/>
        <v>0</v>
      </c>
      <c r="G447" s="1644">
        <f t="shared" si="22"/>
        <v>0</v>
      </c>
      <c r="H447" s="1644">
        <f t="shared" si="22"/>
        <v>0</v>
      </c>
      <c r="I447" s="1644">
        <f t="shared" si="22"/>
        <v>0</v>
      </c>
      <c r="J447" s="1644">
        <f t="shared" si="22"/>
        <v>0</v>
      </c>
      <c r="K447" s="1644">
        <f t="shared" si="22"/>
        <v>0</v>
      </c>
      <c r="L447" s="1644">
        <f t="shared" si="22"/>
        <v>0</v>
      </c>
      <c r="M447" s="1644">
        <f t="shared" si="22"/>
        <v>0</v>
      </c>
      <c r="N447" s="1644">
        <f t="shared" si="22"/>
        <v>0</v>
      </c>
      <c r="O447" s="145">
        <v>0</v>
      </c>
      <c r="P447" s="145">
        <v>0</v>
      </c>
      <c r="Q447" s="145"/>
      <c r="R447" s="145"/>
      <c r="T447" s="1261"/>
      <c r="U447" s="1262"/>
      <c r="V447" s="1877"/>
      <c r="W447" s="1261"/>
      <c r="X447" s="1262"/>
      <c r="Y447" s="1835"/>
      <c r="Z447" s="1835"/>
    </row>
    <row r="448" spans="1:26" s="41" customFormat="1" ht="12.75" x14ac:dyDescent="0.2">
      <c r="A448"/>
      <c r="B448"/>
      <c r="C448"/>
      <c r="D448"/>
      <c r="E448"/>
      <c r="F448"/>
      <c r="G448"/>
      <c r="H448"/>
      <c r="I448"/>
      <c r="J448"/>
      <c r="K448"/>
      <c r="L448"/>
      <c r="M448"/>
      <c r="N448"/>
      <c r="O448"/>
      <c r="P448"/>
      <c r="Q448"/>
      <c r="R448"/>
    </row>
    <row r="449" spans="1:26" s="41" customFormat="1" ht="12.75" x14ac:dyDescent="0.2">
      <c r="A449"/>
      <c r="B449"/>
      <c r="C449"/>
      <c r="D449"/>
      <c r="E449"/>
      <c r="F449"/>
      <c r="G449"/>
      <c r="H449"/>
      <c r="I449"/>
      <c r="J449"/>
      <c r="K449"/>
      <c r="L449"/>
      <c r="M449"/>
      <c r="N449"/>
      <c r="O449"/>
      <c r="P449"/>
      <c r="Q449"/>
      <c r="R449"/>
    </row>
    <row r="450" spans="1:26" s="41" customFormat="1" ht="12.75" x14ac:dyDescent="0.2">
      <c r="A450"/>
      <c r="B450" t="s">
        <v>1422</v>
      </c>
      <c r="C450">
        <f>80342.56/934200</f>
        <v>8.600145579105116E-2</v>
      </c>
      <c r="D450" s="697">
        <f>80103.02/999000</f>
        <v>8.0183203203203213E-2</v>
      </c>
      <c r="E450" s="697">
        <f>54290.96/804600</f>
        <v>6.747571464081531E-2</v>
      </c>
      <c r="F450" s="697">
        <f>40324.72/547200</f>
        <v>7.3692836257309949E-2</v>
      </c>
      <c r="G450">
        <f>39703.53/546300</f>
        <v>7.2677155409115873E-2</v>
      </c>
      <c r="H450">
        <f>40920.351/602100</f>
        <v>6.7962715495764825E-2</v>
      </c>
      <c r="I450" s="697">
        <f>37077.99/482400</f>
        <v>7.6861504975124367E-2</v>
      </c>
      <c r="J450">
        <f>42812.4/620100</f>
        <v>6.9041122399612964E-2</v>
      </c>
      <c r="K450">
        <f>41751.92/600300</f>
        <v>6.9551757454606025E-2</v>
      </c>
      <c r="L450">
        <f>91121.96/711900</f>
        <v>0.12799825818232899</v>
      </c>
      <c r="M450">
        <f>67575.23/848700</f>
        <v>7.9622045481324372E-2</v>
      </c>
      <c r="N450">
        <f>71924.34/808200</f>
        <v>8.8993244246473646E-2</v>
      </c>
      <c r="O450">
        <v>0</v>
      </c>
      <c r="P450">
        <v>0</v>
      </c>
      <c r="Q450"/>
      <c r="R450"/>
    </row>
    <row r="451" spans="1:26" s="41" customFormat="1" ht="12.75" x14ac:dyDescent="0.2">
      <c r="A451"/>
      <c r="B451"/>
      <c r="C451"/>
      <c r="D451"/>
      <c r="E451"/>
      <c r="F451"/>
      <c r="G451"/>
      <c r="H451"/>
      <c r="I451"/>
      <c r="J451"/>
      <c r="K451"/>
      <c r="L451"/>
      <c r="M451"/>
      <c r="N451"/>
      <c r="O451"/>
      <c r="P451"/>
      <c r="Q451"/>
      <c r="R451"/>
    </row>
    <row r="452" spans="1:26" s="41" customFormat="1" ht="12.75" x14ac:dyDescent="0.2">
      <c r="A452"/>
      <c r="B452" t="s">
        <v>1527</v>
      </c>
      <c r="C452">
        <f>5379.75/(242000+158360)</f>
        <v>1.3437281446697973E-2</v>
      </c>
      <c r="D452">
        <f>8123.3/(406000+198190)</f>
        <v>1.3444942816001589E-2</v>
      </c>
      <c r="E452">
        <f>5561.05/(153830+260000)</f>
        <v>1.3438005944469951E-2</v>
      </c>
      <c r="F452">
        <f>5797.54/(149400+282000)</f>
        <v>1.3438896615669911E-2</v>
      </c>
      <c r="G452">
        <f>4919.55/(126170+240000)</f>
        <v>1.3435153070977961E-2</v>
      </c>
      <c r="H452">
        <f>3392.51/(130000+122720)</f>
        <v>1.3423987021209245E-2</v>
      </c>
      <c r="I452" s="697">
        <f>4572.15/(219000+121360)</f>
        <v>1.3433276530732164E-2</v>
      </c>
      <c r="J452">
        <f>5051.59/(251000+124980)</f>
        <v>1.3435794457151977E-2</v>
      </c>
      <c r="K452">
        <f>4837.17/(232000+128050)</f>
        <v>1.3434717400361061E-2</v>
      </c>
      <c r="L452">
        <f>4441.99/(197000+133690)</f>
        <v>1.3432489642867942E-2</v>
      </c>
      <c r="M452">
        <f>4104.81/(155640+150000)</f>
        <v>1.3430212014134277E-2</v>
      </c>
      <c r="N452">
        <f>6842.15/(213650+245000)</f>
        <v>1.4918020276899596E-2</v>
      </c>
      <c r="O452"/>
      <c r="P452"/>
      <c r="Q452"/>
      <c r="R452"/>
    </row>
    <row r="453" spans="1:26" s="41" customFormat="1" ht="12.75" x14ac:dyDescent="0.2">
      <c r="A453"/>
      <c r="B453"/>
      <c r="C453"/>
      <c r="D453"/>
      <c r="E453"/>
      <c r="F453"/>
      <c r="G453"/>
      <c r="H453"/>
      <c r="I453"/>
      <c r="J453"/>
      <c r="K453"/>
      <c r="L453"/>
      <c r="M453"/>
      <c r="N453"/>
      <c r="O453"/>
      <c r="P453"/>
      <c r="Q453"/>
      <c r="R453"/>
    </row>
    <row r="454" spans="1:26" ht="12.75" x14ac:dyDescent="0.2">
      <c r="A454"/>
      <c r="B454" t="s">
        <v>1528</v>
      </c>
      <c r="C454">
        <v>0</v>
      </c>
      <c r="D454">
        <v>0</v>
      </c>
      <c r="E454">
        <f>345.21/54</f>
        <v>6.392777777777777</v>
      </c>
      <c r="F454">
        <f>4752.08/9659</f>
        <v>0.49198467750284708</v>
      </c>
      <c r="G454">
        <f>9985.74/21404</f>
        <v>0.4665361614651467</v>
      </c>
      <c r="H454">
        <f>10537.96/19120</f>
        <v>0.55114853556485355</v>
      </c>
      <c r="I454">
        <f>6241.99/10974</f>
        <v>0.56879806816110801</v>
      </c>
      <c r="J454">
        <f>6774.04/11944</f>
        <v>0.56715003348961823</v>
      </c>
      <c r="K454">
        <f>2384.31/3819</f>
        <v>0.62432835820895516</v>
      </c>
      <c r="L454">
        <f>2530.72/4090</f>
        <v>0.61875794621026892</v>
      </c>
      <c r="M454">
        <v>0</v>
      </c>
      <c r="N454">
        <v>0</v>
      </c>
      <c r="Y454"/>
      <c r="Z454"/>
    </row>
    <row r="455" spans="1:26" ht="12.75" x14ac:dyDescent="0.2">
      <c r="A455"/>
      <c r="C455"/>
      <c r="Y455"/>
      <c r="Z455"/>
    </row>
    <row r="456" spans="1:26" s="125" customFormat="1" x14ac:dyDescent="0.25">
      <c r="A456" s="461">
        <v>30</v>
      </c>
      <c r="B456" s="148" t="s">
        <v>574</v>
      </c>
      <c r="C456" s="152"/>
      <c r="R456" s="139"/>
      <c r="S456" s="147"/>
      <c r="T456" s="148" t="s">
        <v>574</v>
      </c>
      <c r="U456" s="149"/>
      <c r="V456" s="150"/>
      <c r="Y456" s="157"/>
      <c r="Z456" s="157"/>
    </row>
    <row r="457" spans="1:26" s="1833" customFormat="1" x14ac:dyDescent="0.25">
      <c r="A457" s="1840"/>
      <c r="B457" s="712" t="s">
        <v>574</v>
      </c>
      <c r="C457" s="1646"/>
      <c r="D457" s="713"/>
      <c r="E457" s="713"/>
      <c r="F457" s="713"/>
      <c r="G457" s="713"/>
      <c r="H457" s="713"/>
      <c r="I457" s="713"/>
      <c r="J457" s="713"/>
      <c r="K457" s="713"/>
      <c r="L457" s="713"/>
      <c r="M457" s="713"/>
      <c r="N457" s="713"/>
      <c r="O457" s="713"/>
      <c r="P457" s="714"/>
      <c r="Q457" s="715"/>
      <c r="R457" s="716"/>
      <c r="S457" s="1647"/>
      <c r="T457" s="1150"/>
      <c r="U457"/>
      <c r="V457" s="1262"/>
      <c r="Y457" s="1835"/>
      <c r="Z457" s="1835"/>
    </row>
    <row r="458" spans="1:26" s="1833" customFormat="1" x14ac:dyDescent="0.25">
      <c r="A458" s="1840"/>
      <c r="B458" s="717" t="s">
        <v>337</v>
      </c>
      <c r="C458" s="1648"/>
      <c r="D458" s="719">
        <v>42583</v>
      </c>
      <c r="E458" s="719">
        <v>42614</v>
      </c>
      <c r="F458" s="719">
        <v>42644</v>
      </c>
      <c r="G458" s="719">
        <v>42675</v>
      </c>
      <c r="H458" s="719">
        <v>42705</v>
      </c>
      <c r="I458" s="719">
        <v>42736</v>
      </c>
      <c r="J458" s="719">
        <v>42767</v>
      </c>
      <c r="K458" s="719">
        <v>42795</v>
      </c>
      <c r="L458" s="719">
        <v>42826</v>
      </c>
      <c r="M458" s="719">
        <v>42856</v>
      </c>
      <c r="N458" s="719">
        <v>42887</v>
      </c>
      <c r="O458" s="719">
        <v>42917</v>
      </c>
      <c r="P458" s="720" t="s">
        <v>338</v>
      </c>
      <c r="Q458" s="721" t="s">
        <v>339</v>
      </c>
      <c r="R458"/>
      <c r="S458" s="720" t="s">
        <v>338</v>
      </c>
      <c r="T458" s="721" t="s">
        <v>339</v>
      </c>
      <c r="U458"/>
      <c r="V458" s="1262"/>
      <c r="Y458" s="1835"/>
      <c r="Z458" s="1835"/>
    </row>
    <row r="459" spans="1:26" s="1833" customFormat="1" ht="14.25" x14ac:dyDescent="0.2">
      <c r="A459" s="1840"/>
      <c r="B459" s="722" t="s">
        <v>360</v>
      </c>
      <c r="C459" s="730"/>
      <c r="D459" s="454">
        <v>389879.8828125</v>
      </c>
      <c r="E459" s="454">
        <v>371120.1171875</v>
      </c>
      <c r="F459" s="454">
        <v>376119.140625</v>
      </c>
      <c r="G459" s="454">
        <v>355480.46875</v>
      </c>
      <c r="H459" s="454">
        <v>348480.46875</v>
      </c>
      <c r="I459" s="454">
        <v>351609.375</v>
      </c>
      <c r="J459" s="454">
        <v>321339.84375</v>
      </c>
      <c r="K459" s="454">
        <v>359160.15625</v>
      </c>
      <c r="L459" s="454">
        <v>351919.921875</v>
      </c>
      <c r="M459" s="454">
        <v>363299.8046875</v>
      </c>
      <c r="N459" s="454">
        <v>345959.9609375</v>
      </c>
      <c r="O459" s="454">
        <v>358800.78125</v>
      </c>
      <c r="P459" s="724">
        <f t="shared" ref="P459:P468" si="23">SUM(D459:O459)</f>
        <v>4293169.921875</v>
      </c>
      <c r="Q459" s="1145" t="s">
        <v>361</v>
      </c>
      <c r="R459"/>
      <c r="S459" s="734">
        <f>P459*0.003409512</f>
        <v>14637.614366671874</v>
      </c>
      <c r="T459" s="1145" t="s">
        <v>342</v>
      </c>
      <c r="U459"/>
      <c r="V459" s="1262"/>
      <c r="Y459" s="1835"/>
      <c r="Z459" s="1835"/>
    </row>
    <row r="460" spans="1:26" s="1833" customFormat="1" ht="14.25" x14ac:dyDescent="0.2">
      <c r="A460" s="1840"/>
      <c r="B460" s="722" t="s">
        <v>362</v>
      </c>
      <c r="C460" s="730"/>
      <c r="D460" s="454">
        <v>1498.92</v>
      </c>
      <c r="E460" s="454">
        <v>1163.152</v>
      </c>
      <c r="F460" s="454">
        <v>647.62400000000002</v>
      </c>
      <c r="G460" s="454">
        <v>311.99200000000002</v>
      </c>
      <c r="H460" s="454">
        <v>148.49600000000001</v>
      </c>
      <c r="I460" s="454">
        <v>192.608</v>
      </c>
      <c r="J460" s="454">
        <v>278.59199999999998</v>
      </c>
      <c r="K460" s="454">
        <v>313.10399999999998</v>
      </c>
      <c r="L460" s="454">
        <v>650.4</v>
      </c>
      <c r="M460" s="454">
        <v>814.8</v>
      </c>
      <c r="N460" s="454">
        <v>1041.6959999999999</v>
      </c>
      <c r="O460" s="454">
        <v>1385.104</v>
      </c>
      <c r="P460" s="724">
        <f t="shared" si="23"/>
        <v>8446.4879999999994</v>
      </c>
      <c r="Q460" s="1145" t="s">
        <v>363</v>
      </c>
      <c r="R460"/>
      <c r="S460" s="1649">
        <f>P460</f>
        <v>8446.4879999999994</v>
      </c>
      <c r="T460" s="1145" t="s">
        <v>342</v>
      </c>
      <c r="U460"/>
      <c r="V460" s="1262"/>
      <c r="Y460" s="1835"/>
      <c r="Z460" s="1835"/>
    </row>
    <row r="461" spans="1:26" s="1833" customFormat="1" ht="14.25" x14ac:dyDescent="0.2">
      <c r="A461" s="1840"/>
      <c r="B461" s="722" t="s">
        <v>364</v>
      </c>
      <c r="C461" s="730"/>
      <c r="D461" s="454">
        <v>273.38018750000003</v>
      </c>
      <c r="E461" s="454">
        <v>277.063609375</v>
      </c>
      <c r="F461" s="454">
        <v>316.54000000000002</v>
      </c>
      <c r="G461" s="454">
        <v>465.30859375000006</v>
      </c>
      <c r="H461" s="454">
        <v>697.39020312500008</v>
      </c>
      <c r="I461" s="454">
        <v>723.38240625000003</v>
      </c>
      <c r="J461" s="454">
        <v>436.32279687500005</v>
      </c>
      <c r="K461" s="454">
        <v>168.80745000000002</v>
      </c>
      <c r="L461" s="454">
        <v>325.20320000000004</v>
      </c>
      <c r="M461" s="454">
        <v>302.7122</v>
      </c>
      <c r="N461" s="454">
        <v>274.89000000000004</v>
      </c>
      <c r="O461" s="454">
        <v>279.63810000000001</v>
      </c>
      <c r="P461" s="724">
        <f t="shared" si="23"/>
        <v>4540.6387468750008</v>
      </c>
      <c r="Q461" s="1146" t="s">
        <v>365</v>
      </c>
      <c r="R461"/>
      <c r="S461" s="756">
        <f>P461</f>
        <v>4540.6387468750008</v>
      </c>
      <c r="T461" s="1145" t="s">
        <v>342</v>
      </c>
      <c r="U461"/>
      <c r="V461" s="1262"/>
      <c r="Y461" s="1835"/>
      <c r="Z461" s="1835"/>
    </row>
    <row r="462" spans="1:26" s="1833" customFormat="1" ht="14.25" x14ac:dyDescent="0.2">
      <c r="A462" s="1840"/>
      <c r="B462" s="728" t="s">
        <v>864</v>
      </c>
      <c r="C462" s="730"/>
      <c r="D462" s="723">
        <v>41</v>
      </c>
      <c r="E462" s="723">
        <v>137</v>
      </c>
      <c r="F462" s="723">
        <v>171</v>
      </c>
      <c r="G462" s="723">
        <v>150</v>
      </c>
      <c r="H462" s="723">
        <v>123</v>
      </c>
      <c r="I462" s="723">
        <v>61</v>
      </c>
      <c r="J462" s="723">
        <v>42</v>
      </c>
      <c r="K462" s="723">
        <v>39</v>
      </c>
      <c r="L462" s="723">
        <v>38</v>
      </c>
      <c r="M462" s="723">
        <v>30</v>
      </c>
      <c r="N462" s="723">
        <v>29</v>
      </c>
      <c r="O462" s="723">
        <v>39</v>
      </c>
      <c r="P462" s="724">
        <f t="shared" si="23"/>
        <v>900</v>
      </c>
      <c r="Q462" s="1146" t="s">
        <v>379</v>
      </c>
      <c r="R462"/>
      <c r="S462" s="2198">
        <f>(P462+P463)*748</f>
        <v>1401632.3199999998</v>
      </c>
      <c r="T462" s="1146" t="s">
        <v>346</v>
      </c>
      <c r="U462" s="452" t="s">
        <v>1594</v>
      </c>
      <c r="V462" s="1262"/>
      <c r="Y462" s="1835"/>
      <c r="Z462" s="1835"/>
    </row>
    <row r="463" spans="1:26" s="1833" customFormat="1" ht="14.25" x14ac:dyDescent="0.2">
      <c r="A463" s="1840"/>
      <c r="B463" s="728" t="s">
        <v>1595</v>
      </c>
      <c r="C463" s="730"/>
      <c r="D463" s="723">
        <v>93.72</v>
      </c>
      <c r="E463" s="723">
        <v>92.24</v>
      </c>
      <c r="F463" s="723">
        <v>92.24</v>
      </c>
      <c r="G463" s="723">
        <v>0</v>
      </c>
      <c r="H463" s="723">
        <v>0</v>
      </c>
      <c r="I463" s="723">
        <v>0.01</v>
      </c>
      <c r="J463" s="723">
        <v>147.31</v>
      </c>
      <c r="K463" s="723">
        <v>149.56</v>
      </c>
      <c r="L463" s="723">
        <v>144.06</v>
      </c>
      <c r="M463" s="723">
        <v>123.94</v>
      </c>
      <c r="N463" s="723">
        <v>73.400000000000006</v>
      </c>
      <c r="O463" s="723">
        <v>57.36</v>
      </c>
      <c r="P463" s="724">
        <f t="shared" si="23"/>
        <v>973.83999999999992</v>
      </c>
      <c r="Q463" s="1146" t="s">
        <v>379</v>
      </c>
      <c r="R463"/>
      <c r="S463" s="2196"/>
      <c r="T463" s="2197"/>
      <c r="U463"/>
      <c r="V463" s="1262"/>
      <c r="Y463" s="1835"/>
      <c r="Z463" s="1835"/>
    </row>
    <row r="464" spans="1:26" s="1833" customFormat="1" ht="14.25" x14ac:dyDescent="0.2">
      <c r="A464" s="1840"/>
      <c r="B464" s="722" t="s">
        <v>368</v>
      </c>
      <c r="C464" s="730"/>
      <c r="D464" s="731">
        <f>D459*0.087</f>
        <v>33919.5498046875</v>
      </c>
      <c r="E464" s="731">
        <f t="shared" ref="E464:N464" si="24">E459*0.087</f>
        <v>32287.450195312496</v>
      </c>
      <c r="F464" s="731">
        <f t="shared" si="24"/>
        <v>32722.365234374996</v>
      </c>
      <c r="G464" s="731">
        <f t="shared" si="24"/>
        <v>30926.800781249996</v>
      </c>
      <c r="H464" s="731">
        <f t="shared" si="24"/>
        <v>30317.800781249996</v>
      </c>
      <c r="I464" s="731">
        <f t="shared" si="24"/>
        <v>30590.015624999996</v>
      </c>
      <c r="J464" s="731">
        <f t="shared" si="24"/>
        <v>27956.566406249996</v>
      </c>
      <c r="K464" s="731">
        <f t="shared" si="24"/>
        <v>31246.933593749996</v>
      </c>
      <c r="L464" s="731">
        <f t="shared" si="24"/>
        <v>30617.033203124996</v>
      </c>
      <c r="M464" s="731">
        <f t="shared" si="24"/>
        <v>31607.083007812496</v>
      </c>
      <c r="N464" s="731">
        <f t="shared" si="24"/>
        <v>30098.516601562496</v>
      </c>
      <c r="O464" s="731">
        <f>O459*0.083</f>
        <v>29780.46484375</v>
      </c>
      <c r="P464" s="724">
        <f t="shared" si="23"/>
        <v>372070.580078125</v>
      </c>
      <c r="Q464" s="1145" t="s">
        <v>865</v>
      </c>
      <c r="R464"/>
      <c r="S464" s="1647"/>
      <c r="T464" s="1150"/>
      <c r="U464"/>
      <c r="V464" s="1262"/>
      <c r="Y464" s="1835"/>
      <c r="Z464" s="1835"/>
    </row>
    <row r="465" spans="1:26" s="1833" customFormat="1" ht="14.25" x14ac:dyDescent="0.2">
      <c r="A465" s="1840"/>
      <c r="B465" s="722" t="s">
        <v>369</v>
      </c>
      <c r="C465" s="730"/>
      <c r="D465" s="731">
        <f>D460*12.95</f>
        <v>19411.013999999999</v>
      </c>
      <c r="E465" s="731">
        <f t="shared" ref="E465:N465" si="25">E460*12.95</f>
        <v>15062.8184</v>
      </c>
      <c r="F465" s="731">
        <f t="shared" si="25"/>
        <v>8386.7307999999994</v>
      </c>
      <c r="G465" s="731">
        <f t="shared" si="25"/>
        <v>4040.2964000000002</v>
      </c>
      <c r="H465" s="731">
        <f t="shared" si="25"/>
        <v>1923.0232000000001</v>
      </c>
      <c r="I465" s="731">
        <f t="shared" si="25"/>
        <v>2494.2736</v>
      </c>
      <c r="J465" s="731">
        <f t="shared" si="25"/>
        <v>3607.7663999999995</v>
      </c>
      <c r="K465" s="731">
        <f t="shared" si="25"/>
        <v>4054.6967999999997</v>
      </c>
      <c r="L465" s="731">
        <f t="shared" si="25"/>
        <v>8422.6799999999985</v>
      </c>
      <c r="M465" s="731">
        <f t="shared" si="25"/>
        <v>10551.659999999998</v>
      </c>
      <c r="N465" s="731">
        <f t="shared" si="25"/>
        <v>13489.963199999998</v>
      </c>
      <c r="O465" s="731">
        <f>O460*12.76</f>
        <v>17673.927039999999</v>
      </c>
      <c r="P465" s="724">
        <f t="shared" si="23"/>
        <v>109118.84984</v>
      </c>
      <c r="Q465" s="1145" t="s">
        <v>865</v>
      </c>
      <c r="R465"/>
      <c r="S465" s="1647"/>
      <c r="T465" s="1150"/>
      <c r="U465"/>
      <c r="V465" s="1262"/>
      <c r="Y465" s="1835"/>
      <c r="Z465" s="1835"/>
    </row>
    <row r="466" spans="1:26" s="1833" customFormat="1" ht="16.5" x14ac:dyDescent="0.35">
      <c r="A466" s="1840"/>
      <c r="B466" s="722" t="s">
        <v>326</v>
      </c>
      <c r="C466" s="730"/>
      <c r="D466" s="1208">
        <f>D461*12.02</f>
        <v>3286.0298537500003</v>
      </c>
      <c r="E466" s="1208">
        <f t="shared" ref="E466:N466" si="26">E461*12.02</f>
        <v>3330.3045846874998</v>
      </c>
      <c r="F466" s="1208">
        <f t="shared" si="26"/>
        <v>3804.8108000000002</v>
      </c>
      <c r="G466" s="1208">
        <f t="shared" si="26"/>
        <v>5593.0092968750005</v>
      </c>
      <c r="H466" s="1208">
        <f t="shared" si="26"/>
        <v>8382.6302415625014</v>
      </c>
      <c r="I466" s="1208">
        <f t="shared" si="26"/>
        <v>8695.0565231250002</v>
      </c>
      <c r="J466" s="1208">
        <f t="shared" si="26"/>
        <v>5244.6000184375007</v>
      </c>
      <c r="K466" s="1208">
        <f t="shared" si="26"/>
        <v>2029.0655490000001</v>
      </c>
      <c r="L466" s="1208">
        <f t="shared" si="26"/>
        <v>3908.9424640000002</v>
      </c>
      <c r="M466" s="1208">
        <f t="shared" si="26"/>
        <v>3638.6006439999996</v>
      </c>
      <c r="N466" s="1208">
        <f t="shared" si="26"/>
        <v>3304.1778000000004</v>
      </c>
      <c r="O466" s="1208">
        <f>O461*13.81</f>
        <v>3861.8021610000001</v>
      </c>
      <c r="P466" s="724">
        <f t="shared" si="23"/>
        <v>55079.029936437495</v>
      </c>
      <c r="Q466" s="1145" t="s">
        <v>865</v>
      </c>
      <c r="R466"/>
      <c r="S466" s="1653"/>
      <c r="T466" s="1150"/>
      <c r="U466"/>
      <c r="V466" s="1262"/>
      <c r="Y466" s="1835"/>
      <c r="Z466" s="1835"/>
    </row>
    <row r="467" spans="1:26" s="1833" customFormat="1" ht="16.5" x14ac:dyDescent="0.35">
      <c r="A467" s="1840"/>
      <c r="B467" s="732" t="s">
        <v>325</v>
      </c>
      <c r="C467" s="714"/>
      <c r="D467" s="1147">
        <f>D462*9.33</f>
        <v>382.53000000000003</v>
      </c>
      <c r="E467" s="1147">
        <f t="shared" ref="E467:N467" si="27">E462*9.33</f>
        <v>1278.21</v>
      </c>
      <c r="F467" s="1147">
        <f t="shared" si="27"/>
        <v>1595.43</v>
      </c>
      <c r="G467" s="1147">
        <f t="shared" si="27"/>
        <v>1399.5</v>
      </c>
      <c r="H467" s="1147">
        <f t="shared" si="27"/>
        <v>1147.5899999999999</v>
      </c>
      <c r="I467" s="1147">
        <f t="shared" si="27"/>
        <v>569.13</v>
      </c>
      <c r="J467" s="1147">
        <f t="shared" si="27"/>
        <v>391.86</v>
      </c>
      <c r="K467" s="1147">
        <f t="shared" si="27"/>
        <v>363.87</v>
      </c>
      <c r="L467" s="1147">
        <f t="shared" si="27"/>
        <v>354.54</v>
      </c>
      <c r="M467" s="1147">
        <f t="shared" si="27"/>
        <v>279.89999999999998</v>
      </c>
      <c r="N467" s="1147">
        <f t="shared" si="27"/>
        <v>270.57</v>
      </c>
      <c r="O467" s="1147">
        <f>O462*9.39</f>
        <v>366.21000000000004</v>
      </c>
      <c r="P467" s="1219">
        <f t="shared" si="23"/>
        <v>8399.34</v>
      </c>
      <c r="Q467" s="1145" t="s">
        <v>865</v>
      </c>
      <c r="R467"/>
      <c r="S467" s="1653"/>
      <c r="T467" s="1150"/>
      <c r="U467"/>
      <c r="V467" s="1262"/>
      <c r="Y467" s="1835"/>
      <c r="Z467" s="1835"/>
    </row>
    <row r="468" spans="1:26" s="1833" customFormat="1" x14ac:dyDescent="0.25">
      <c r="A468" s="1840"/>
      <c r="B468" s="732" t="s">
        <v>1596</v>
      </c>
      <c r="C468" s="1210"/>
      <c r="D468" s="171">
        <f>D463*2.69</f>
        <v>252.10679999999999</v>
      </c>
      <c r="E468" s="171">
        <f t="shared" ref="E468:O468" si="28">E463*2.69</f>
        <v>248.12559999999999</v>
      </c>
      <c r="F468" s="171">
        <f t="shared" si="28"/>
        <v>248.12559999999999</v>
      </c>
      <c r="G468" s="171">
        <f t="shared" si="28"/>
        <v>0</v>
      </c>
      <c r="H468" s="171">
        <f t="shared" si="28"/>
        <v>0</v>
      </c>
      <c r="I468" s="171">
        <f t="shared" si="28"/>
        <v>2.69E-2</v>
      </c>
      <c r="J468" s="171">
        <f t="shared" si="28"/>
        <v>396.26389999999998</v>
      </c>
      <c r="K468" s="171">
        <f t="shared" si="28"/>
        <v>402.31639999999999</v>
      </c>
      <c r="L468" s="171">
        <f t="shared" si="28"/>
        <v>387.52139999999997</v>
      </c>
      <c r="M468" s="171">
        <f t="shared" si="28"/>
        <v>333.39859999999999</v>
      </c>
      <c r="N468" s="171">
        <f t="shared" si="28"/>
        <v>197.446</v>
      </c>
      <c r="O468" s="171">
        <f t="shared" si="28"/>
        <v>154.29839999999999</v>
      </c>
      <c r="P468" s="1219">
        <f t="shared" si="23"/>
        <v>2619.6295999999998</v>
      </c>
      <c r="Q468" s="1145" t="s">
        <v>865</v>
      </c>
      <c r="R468"/>
      <c r="S468" s="1647"/>
      <c r="T468" s="1150"/>
      <c r="U468"/>
      <c r="V468" s="1262"/>
      <c r="Y468" s="1835"/>
      <c r="Z468" s="1835"/>
    </row>
    <row r="469" spans="1:26" s="1833" customFormat="1" ht="14.25" x14ac:dyDescent="0.2">
      <c r="A469" s="1840"/>
      <c r="B469" s="730"/>
      <c r="C469" s="730"/>
      <c r="D469" s="261"/>
      <c r="E469" s="261"/>
      <c r="F469" s="261"/>
      <c r="G469" s="261"/>
      <c r="H469" s="261"/>
      <c r="I469" s="261"/>
      <c r="J469" s="261"/>
      <c r="K469" s="261"/>
      <c r="L469" s="261"/>
      <c r="M469" s="261"/>
      <c r="N469" s="261"/>
      <c r="O469" s="261"/>
      <c r="P469" s="261"/>
      <c r="Q469" s="1851"/>
      <c r="R469" s="1847"/>
      <c r="S469" s="1846"/>
      <c r="T469" s="1848"/>
      <c r="U469" s="1847"/>
      <c r="V469" s="1262"/>
      <c r="Y469" s="1835"/>
      <c r="Z469" s="1835"/>
    </row>
    <row r="470" spans="1:26" s="125" customFormat="1" ht="16.5" x14ac:dyDescent="0.35">
      <c r="A470" s="461">
        <v>31</v>
      </c>
      <c r="B470" s="1412" t="s">
        <v>1482</v>
      </c>
      <c r="C470" s="611"/>
      <c r="D470" s="179"/>
      <c r="E470" s="179"/>
      <c r="F470" s="179"/>
      <c r="G470" s="179"/>
      <c r="H470" s="179"/>
      <c r="I470" s="179"/>
      <c r="J470" s="179"/>
      <c r="K470" s="179"/>
      <c r="L470" s="179"/>
      <c r="M470" s="179"/>
      <c r="N470" s="179"/>
      <c r="O470" s="179"/>
      <c r="R470" s="149"/>
      <c r="S470" s="150"/>
      <c r="T470" s="1412" t="s">
        <v>1482</v>
      </c>
      <c r="U470" s="181"/>
      <c r="V470" s="150"/>
      <c r="Y470" s="157"/>
      <c r="Z470" s="157"/>
    </row>
    <row r="471" spans="1:26" s="1833" customFormat="1" ht="16.5" x14ac:dyDescent="0.35">
      <c r="A471" s="1"/>
      <c r="B471" s="186" t="s">
        <v>337</v>
      </c>
      <c r="C471" s="131">
        <v>42522</v>
      </c>
      <c r="D471" s="131">
        <v>42552</v>
      </c>
      <c r="E471" s="131">
        <v>42583</v>
      </c>
      <c r="F471" s="131">
        <v>42614</v>
      </c>
      <c r="G471" s="131">
        <v>42644</v>
      </c>
      <c r="H471" s="131">
        <v>42675</v>
      </c>
      <c r="I471" s="131">
        <v>42705</v>
      </c>
      <c r="J471" s="131">
        <v>42736</v>
      </c>
      <c r="K471" s="131">
        <v>42767</v>
      </c>
      <c r="L471" s="131">
        <v>42795</v>
      </c>
      <c r="M471" s="131">
        <v>42826</v>
      </c>
      <c r="N471" s="131">
        <v>42856</v>
      </c>
      <c r="O471" s="131">
        <v>42887</v>
      </c>
      <c r="P471" s="131">
        <v>42917</v>
      </c>
      <c r="Q471" s="131">
        <v>42948</v>
      </c>
      <c r="R471" s="131" t="s">
        <v>1494</v>
      </c>
      <c r="S471" s="1262"/>
      <c r="T471" s="1866"/>
      <c r="U471" s="1263"/>
      <c r="V471" s="1262"/>
      <c r="Y471" s="1835"/>
      <c r="Z471" s="1835"/>
    </row>
    <row r="472" spans="1:26" s="1833" customFormat="1" ht="16.5" x14ac:dyDescent="0.35">
      <c r="A472" s="1840"/>
      <c r="B472" s="135" t="s">
        <v>319</v>
      </c>
      <c r="C472" s="1923">
        <v>186400</v>
      </c>
      <c r="D472" s="1924">
        <v>228400</v>
      </c>
      <c r="E472" s="1924">
        <v>267200</v>
      </c>
      <c r="F472" s="1925">
        <v>259600</v>
      </c>
      <c r="G472" s="1925">
        <v>238600</v>
      </c>
      <c r="H472" s="1925">
        <v>185782</v>
      </c>
      <c r="I472" s="1925">
        <v>192800</v>
      </c>
      <c r="J472" s="1925">
        <v>164800</v>
      </c>
      <c r="K472" s="1925">
        <v>154000</v>
      </c>
      <c r="L472" s="1925">
        <v>187200</v>
      </c>
      <c r="M472" s="1925">
        <v>197200</v>
      </c>
      <c r="N472" s="1925">
        <v>205800</v>
      </c>
      <c r="O472" s="1925">
        <v>245400</v>
      </c>
      <c r="P472" s="136"/>
      <c r="Q472" s="136"/>
      <c r="R472" s="153"/>
      <c r="S472" s="1262"/>
      <c r="T472" s="1866"/>
      <c r="U472" s="1263"/>
      <c r="V472" s="1262"/>
      <c r="Y472" s="1835"/>
      <c r="Z472" s="1835"/>
    </row>
    <row r="473" spans="1:26" s="1833" customFormat="1" ht="16.5" x14ac:dyDescent="0.35">
      <c r="A473" s="1840"/>
      <c r="B473" s="135" t="s">
        <v>343</v>
      </c>
      <c r="C473" s="1926"/>
      <c r="D473" s="1927"/>
      <c r="E473" s="1927"/>
      <c r="F473" s="1928"/>
      <c r="G473" s="1928"/>
      <c r="H473" s="1928"/>
      <c r="I473" s="1929"/>
      <c r="J473" s="1929"/>
      <c r="K473" s="1929"/>
      <c r="L473" s="1929"/>
      <c r="M473" s="1929"/>
      <c r="N473" s="1929"/>
      <c r="O473" s="1929"/>
      <c r="P473" s="136"/>
      <c r="Q473" s="136"/>
      <c r="R473" s="153"/>
      <c r="S473" s="1262"/>
      <c r="T473" s="1866"/>
      <c r="U473" s="1263"/>
      <c r="V473" s="1262"/>
      <c r="Y473" s="1835"/>
      <c r="Z473" s="1835"/>
    </row>
    <row r="474" spans="1:26" s="1833" customFormat="1" ht="16.5" x14ac:dyDescent="0.35">
      <c r="A474" s="1840"/>
      <c r="B474" s="153" t="s">
        <v>362</v>
      </c>
      <c r="C474" s="1926"/>
      <c r="D474" s="1927"/>
      <c r="E474" s="1927"/>
      <c r="F474" s="1927"/>
      <c r="G474" s="1927"/>
      <c r="H474" s="1927"/>
      <c r="I474" s="1927"/>
      <c r="J474" s="1927"/>
      <c r="K474" s="1927"/>
      <c r="L474" s="1927"/>
      <c r="M474" s="1927"/>
      <c r="N474" s="1927"/>
      <c r="O474" s="1927"/>
      <c r="P474" s="141"/>
      <c r="Q474" s="141"/>
      <c r="R474" s="153"/>
      <c r="S474" s="1262"/>
      <c r="T474" s="1866"/>
      <c r="U474" s="1263"/>
      <c r="V474" s="1262"/>
      <c r="Y474" s="1835"/>
      <c r="Z474" s="1835"/>
    </row>
    <row r="475" spans="1:26" s="1833" customFormat="1" ht="16.5" x14ac:dyDescent="0.35">
      <c r="A475" s="1840"/>
      <c r="B475" s="153" t="s">
        <v>641</v>
      </c>
      <c r="C475" s="1930">
        <v>1881</v>
      </c>
      <c r="D475" s="1931">
        <v>1541</v>
      </c>
      <c r="E475" s="1931">
        <v>1580</v>
      </c>
      <c r="F475" s="1931">
        <v>1726</v>
      </c>
      <c r="G475" s="1931">
        <v>1589</v>
      </c>
      <c r="H475" s="1931">
        <v>1727</v>
      </c>
      <c r="I475" s="1931">
        <v>1956</v>
      </c>
      <c r="J475" s="1931">
        <v>1816</v>
      </c>
      <c r="K475" s="1931">
        <v>1896</v>
      </c>
      <c r="L475" s="1931">
        <v>1771</v>
      </c>
      <c r="M475" s="1931">
        <v>1800</v>
      </c>
      <c r="N475" s="1931">
        <v>1664</v>
      </c>
      <c r="O475" s="1931"/>
      <c r="P475" s="141"/>
      <c r="Q475" s="141"/>
      <c r="R475" s="153"/>
      <c r="S475" s="1262"/>
      <c r="T475" s="1866"/>
      <c r="U475" s="1263"/>
      <c r="V475" s="1262"/>
      <c r="Y475" s="1835"/>
      <c r="Z475" s="1835"/>
    </row>
    <row r="476" spans="1:26" s="1833" customFormat="1" ht="16.5" x14ac:dyDescent="0.35">
      <c r="A476" s="1840"/>
      <c r="B476" s="135" t="s">
        <v>864</v>
      </c>
      <c r="C476" s="1930">
        <v>318000</v>
      </c>
      <c r="D476" s="1931">
        <v>313300</v>
      </c>
      <c r="E476" s="1931">
        <v>287700</v>
      </c>
      <c r="F476" s="1932">
        <v>256200</v>
      </c>
      <c r="G476" s="1932">
        <v>271400</v>
      </c>
      <c r="H476" s="1932">
        <v>237900</v>
      </c>
      <c r="I476" s="1932">
        <v>264900</v>
      </c>
      <c r="J476" s="1932">
        <v>287500</v>
      </c>
      <c r="K476" s="1933">
        <v>243600</v>
      </c>
      <c r="L476" s="1933">
        <v>257300</v>
      </c>
      <c r="M476" s="1933">
        <v>253100</v>
      </c>
      <c r="N476" s="1933">
        <v>298800</v>
      </c>
      <c r="O476" s="1933">
        <v>339600</v>
      </c>
      <c r="P476" s="750"/>
      <c r="Q476" s="728"/>
      <c r="R476" s="153"/>
      <c r="S476" s="1262"/>
      <c r="T476" s="1866"/>
      <c r="U476" s="1263"/>
      <c r="V476" s="1262"/>
      <c r="Y476" s="1835"/>
      <c r="Z476" s="1835"/>
    </row>
    <row r="477" spans="1:26" s="1833" customFormat="1" ht="16.5" x14ac:dyDescent="0.35">
      <c r="A477" s="1840"/>
      <c r="B477" s="135" t="s">
        <v>324</v>
      </c>
      <c r="C477" s="1926">
        <v>16067.44</v>
      </c>
      <c r="D477" s="1927">
        <v>19309.93</v>
      </c>
      <c r="E477" s="1927">
        <v>22503.72</v>
      </c>
      <c r="F477" s="1927">
        <v>21965.9</v>
      </c>
      <c r="G477" s="1927">
        <v>20274.3</v>
      </c>
      <c r="H477" s="1927">
        <v>15431.87</v>
      </c>
      <c r="I477" s="1927">
        <v>15300.75</v>
      </c>
      <c r="J477" s="1927">
        <v>13473.58</v>
      </c>
      <c r="K477" s="1927">
        <v>12739.07</v>
      </c>
      <c r="L477" s="1927">
        <v>15124.01</v>
      </c>
      <c r="M477" s="1927">
        <v>16073.57</v>
      </c>
      <c r="N477" s="1927">
        <v>16367.9</v>
      </c>
      <c r="O477" s="1927">
        <v>19484.669999999998</v>
      </c>
      <c r="P477" s="731"/>
      <c r="Q477" s="731"/>
      <c r="R477" s="1934">
        <f>SUM(C477:Q477)</f>
        <v>224116.71000000002</v>
      </c>
      <c r="S477" s="1262"/>
      <c r="T477" s="1866"/>
      <c r="U477" s="1263"/>
      <c r="V477" s="1262"/>
      <c r="Y477" s="1835"/>
      <c r="Z477" s="1835"/>
    </row>
    <row r="478" spans="1:26" s="1833" customFormat="1" ht="16.5" x14ac:dyDescent="0.35">
      <c r="A478" s="1840"/>
      <c r="B478" s="144" t="s">
        <v>348</v>
      </c>
      <c r="C478" s="1926"/>
      <c r="D478" s="1927"/>
      <c r="E478" s="1927"/>
      <c r="F478" s="1927"/>
      <c r="G478" s="1927"/>
      <c r="H478" s="1927"/>
      <c r="I478" s="1927"/>
      <c r="J478" s="1927"/>
      <c r="K478" s="1927"/>
      <c r="L478" s="1927"/>
      <c r="M478" s="1927"/>
      <c r="N478" s="1927"/>
      <c r="O478" s="1927"/>
      <c r="P478" s="731"/>
      <c r="Q478" s="731"/>
      <c r="R478" s="153"/>
      <c r="S478" s="1262"/>
      <c r="T478" s="1866"/>
      <c r="U478" s="1263"/>
      <c r="V478" s="1262"/>
      <c r="Y478" s="1835"/>
      <c r="Z478" s="1835"/>
    </row>
    <row r="479" spans="1:26" s="1833" customFormat="1" ht="16.5" x14ac:dyDescent="0.35">
      <c r="A479" s="1840"/>
      <c r="B479" s="195" t="s">
        <v>1087</v>
      </c>
      <c r="C479" s="1926"/>
      <c r="D479" s="1927"/>
      <c r="E479" s="1927"/>
      <c r="F479" s="1927"/>
      <c r="G479" s="1927"/>
      <c r="H479" s="1927"/>
      <c r="I479" s="1927"/>
      <c r="J479" s="1927"/>
      <c r="K479" s="1927"/>
      <c r="L479" s="1927"/>
      <c r="M479" s="1927"/>
      <c r="N479" s="1927"/>
      <c r="O479" s="1927"/>
      <c r="P479" s="731"/>
      <c r="Q479" s="731"/>
      <c r="R479" s="153"/>
      <c r="S479" s="1262"/>
      <c r="T479" s="1866"/>
      <c r="U479" s="1263"/>
      <c r="V479" s="1262"/>
      <c r="Y479" s="1835"/>
      <c r="Z479" s="1835"/>
    </row>
    <row r="480" spans="1:26" s="1833" customFormat="1" ht="16.5" x14ac:dyDescent="0.35">
      <c r="A480" s="1840"/>
      <c r="B480" s="144" t="s">
        <v>883</v>
      </c>
      <c r="C480" s="1935">
        <v>1402.88</v>
      </c>
      <c r="D480" s="1936">
        <v>1155.31</v>
      </c>
      <c r="E480" s="1936">
        <v>1183.96</v>
      </c>
      <c r="F480" s="1936">
        <v>1291.18</v>
      </c>
      <c r="G480" s="1936">
        <v>1190.55</v>
      </c>
      <c r="H480" s="1936">
        <v>1158.24</v>
      </c>
      <c r="I480" s="1936">
        <v>1741.61</v>
      </c>
      <c r="J480" s="1936">
        <v>1650.18</v>
      </c>
      <c r="K480" s="1936">
        <v>1720.6</v>
      </c>
      <c r="L480" s="1936">
        <v>1608.72</v>
      </c>
      <c r="M480" s="1936">
        <v>1573.33</v>
      </c>
      <c r="N480" s="1936">
        <v>1464.82</v>
      </c>
      <c r="O480" s="1936"/>
      <c r="P480" s="145"/>
      <c r="Q480" s="145"/>
      <c r="R480" s="145">
        <f>SUM(C480:Q480)</f>
        <v>17141.38</v>
      </c>
      <c r="S480" s="1262"/>
      <c r="T480" s="1866"/>
      <c r="U480" s="1263"/>
      <c r="V480" s="1262"/>
      <c r="Y480" s="1835"/>
      <c r="Z480" s="1835"/>
    </row>
    <row r="481" spans="1:26" s="1833" customFormat="1" ht="16.5" x14ac:dyDescent="0.35">
      <c r="A481" s="1840"/>
      <c r="B481" s="144" t="s">
        <v>1495</v>
      </c>
      <c r="C481" s="1937">
        <v>2014.97</v>
      </c>
      <c r="D481" s="1927">
        <v>2053.1999999999998</v>
      </c>
      <c r="E481" s="1927">
        <v>1855.26</v>
      </c>
      <c r="F481" s="1927">
        <v>1682.99</v>
      </c>
      <c r="G481" s="1927">
        <v>1764.62</v>
      </c>
      <c r="H481" s="1927">
        <v>1652.86</v>
      </c>
      <c r="I481" s="1927">
        <v>1729.71</v>
      </c>
      <c r="J481" s="1927">
        <v>1851.08</v>
      </c>
      <c r="K481" s="1927">
        <v>1643.1</v>
      </c>
      <c r="L481" s="1927">
        <v>1688.9</v>
      </c>
      <c r="M481" s="1927">
        <v>1666.35</v>
      </c>
      <c r="N481" s="1927">
        <v>1911.76</v>
      </c>
      <c r="O481" s="1927">
        <v>2159.5300000000002</v>
      </c>
      <c r="P481" s="579"/>
      <c r="Q481" s="579"/>
      <c r="R481" s="1035">
        <f>SUM(C481:Q481)</f>
        <v>23674.329999999998</v>
      </c>
      <c r="S481" s="1262"/>
      <c r="T481" s="1866"/>
      <c r="U481" s="1263"/>
      <c r="V481" s="1262"/>
      <c r="Y481" s="1835"/>
      <c r="Z481" s="1835"/>
    </row>
    <row r="482" spans="1:26" s="1833" customFormat="1" ht="17.25" thickBot="1" x14ac:dyDescent="0.4">
      <c r="A482" s="41"/>
      <c r="B482" s="1938" t="s">
        <v>1496</v>
      </c>
      <c r="C482" s="1939">
        <f t="shared" ref="C482:O482" si="29">SUM(C477:C481)</f>
        <v>19485.29</v>
      </c>
      <c r="D482" s="1939">
        <f t="shared" si="29"/>
        <v>22518.440000000002</v>
      </c>
      <c r="E482" s="1939">
        <f t="shared" si="29"/>
        <v>25542.94</v>
      </c>
      <c r="F482" s="1939">
        <f t="shared" si="29"/>
        <v>24940.070000000003</v>
      </c>
      <c r="G482" s="1939">
        <f t="shared" si="29"/>
        <v>23229.469999999998</v>
      </c>
      <c r="H482" s="1939">
        <f t="shared" si="29"/>
        <v>18242.97</v>
      </c>
      <c r="I482" s="1939">
        <f t="shared" si="29"/>
        <v>18772.07</v>
      </c>
      <c r="J482" s="1939">
        <f t="shared" si="29"/>
        <v>16974.84</v>
      </c>
      <c r="K482" s="1939">
        <f t="shared" si="29"/>
        <v>16102.77</v>
      </c>
      <c r="L482" s="1939">
        <f t="shared" si="29"/>
        <v>18421.63</v>
      </c>
      <c r="M482" s="1939">
        <f t="shared" si="29"/>
        <v>19313.25</v>
      </c>
      <c r="N482" s="1939">
        <f t="shared" si="29"/>
        <v>19744.48</v>
      </c>
      <c r="O482" s="1939">
        <f t="shared" si="29"/>
        <v>21644.199999999997</v>
      </c>
      <c r="P482" s="1940"/>
      <c r="Q482" s="1940"/>
      <c r="R482" s="1939">
        <f>SUM(C482:Q482)</f>
        <v>264932.42</v>
      </c>
      <c r="S482" s="1262"/>
      <c r="T482" s="1866"/>
      <c r="U482" s="1263"/>
      <c r="V482" s="1262"/>
      <c r="Y482" s="1835"/>
      <c r="Z482" s="1835"/>
    </row>
    <row r="483" spans="1:26" ht="15.75" thickTop="1" x14ac:dyDescent="0.25"/>
    <row r="484" spans="1:26" s="125" customFormat="1" ht="16.5" x14ac:dyDescent="0.35">
      <c r="A484" s="461">
        <v>32</v>
      </c>
      <c r="B484" s="127" t="s">
        <v>611</v>
      </c>
      <c r="C484" s="611"/>
      <c r="D484" s="179"/>
      <c r="E484" s="179"/>
      <c r="F484" s="179"/>
      <c r="G484" s="179"/>
      <c r="H484" s="179"/>
      <c r="I484" s="179"/>
      <c r="J484" s="179"/>
      <c r="K484" s="179"/>
      <c r="L484" s="179"/>
      <c r="M484" s="179"/>
      <c r="N484" s="179"/>
      <c r="O484" s="179"/>
      <c r="R484" s="149"/>
      <c r="S484" s="150"/>
      <c r="T484" s="127" t="s">
        <v>611</v>
      </c>
      <c r="U484" s="181"/>
      <c r="V484" s="150"/>
      <c r="Y484" s="157"/>
      <c r="Z484" s="157"/>
    </row>
    <row r="485" spans="1:26" s="1833" customFormat="1" ht="16.5" x14ac:dyDescent="0.35">
      <c r="A485" s="1840"/>
      <c r="B485" s="2246" t="s">
        <v>352</v>
      </c>
      <c r="C485" s="613"/>
      <c r="D485" s="177"/>
      <c r="E485" s="177"/>
      <c r="F485" s="177"/>
      <c r="G485" s="177"/>
      <c r="H485" s="177"/>
      <c r="I485" s="177"/>
      <c r="J485" s="177"/>
      <c r="K485" s="177"/>
      <c r="L485" s="177"/>
      <c r="M485" s="177"/>
      <c r="N485" s="177"/>
      <c r="O485" s="177"/>
      <c r="R485" s="1261"/>
      <c r="S485" s="1262"/>
      <c r="T485" s="1866"/>
      <c r="U485" s="1263"/>
      <c r="V485" s="1262"/>
      <c r="Y485" s="1835"/>
      <c r="Z485" s="1835"/>
    </row>
    <row r="486" spans="1:26" s="125" customFormat="1" ht="16.5" x14ac:dyDescent="0.35">
      <c r="A486" s="461"/>
      <c r="B486" s="127"/>
      <c r="C486" s="611"/>
      <c r="D486" s="179"/>
      <c r="E486" s="179"/>
      <c r="F486" s="179"/>
      <c r="G486" s="179"/>
      <c r="H486" s="179"/>
      <c r="I486" s="179"/>
      <c r="J486" s="179"/>
      <c r="K486" s="179"/>
      <c r="L486" s="179"/>
      <c r="M486" s="179"/>
      <c r="N486" s="179"/>
      <c r="O486" s="179"/>
      <c r="R486" s="149"/>
      <c r="S486" s="150"/>
      <c r="T486" s="127"/>
      <c r="U486" s="181"/>
      <c r="V486" s="150"/>
      <c r="Y486" s="157"/>
      <c r="Z486" s="157"/>
    </row>
    <row r="487" spans="1:26" s="125" customFormat="1" ht="16.5" x14ac:dyDescent="0.35">
      <c r="A487" s="461">
        <v>33</v>
      </c>
      <c r="B487" s="127" t="s">
        <v>1501</v>
      </c>
      <c r="C487" s="611"/>
      <c r="D487" s="179"/>
      <c r="E487" s="179"/>
      <c r="F487" s="179"/>
      <c r="G487" s="179"/>
      <c r="H487" s="179"/>
      <c r="I487" s="179"/>
      <c r="J487" s="179"/>
      <c r="K487" s="179"/>
      <c r="L487" s="179"/>
      <c r="M487" s="179"/>
      <c r="N487" s="179"/>
      <c r="O487" s="179"/>
      <c r="R487" s="149"/>
      <c r="S487" s="150"/>
      <c r="T487" s="127" t="s">
        <v>613</v>
      </c>
      <c r="U487" s="181"/>
      <c r="V487" s="150"/>
      <c r="Y487" s="157"/>
      <c r="Z487" s="157"/>
    </row>
    <row r="488" spans="1:26" s="1833" customFormat="1" ht="16.5" x14ac:dyDescent="0.35">
      <c r="A488" s="1831"/>
      <c r="B488" s="1948" t="s">
        <v>999</v>
      </c>
      <c r="C488" s="1949" t="s">
        <v>1068</v>
      </c>
      <c r="D488" s="1950" t="s">
        <v>1069</v>
      </c>
      <c r="E488" s="1951"/>
      <c r="F488" s="1949" t="s">
        <v>1502</v>
      </c>
      <c r="G488" s="1949"/>
      <c r="H488" s="1949" t="s">
        <v>1071</v>
      </c>
      <c r="I488" s="1949" t="s">
        <v>1072</v>
      </c>
      <c r="J488" s="1949" t="s">
        <v>1073</v>
      </c>
      <c r="K488" s="1949" t="s">
        <v>1074</v>
      </c>
      <c r="L488" s="1951"/>
      <c r="M488" s="1951"/>
      <c r="N488" s="1951"/>
      <c r="O488" s="1951"/>
      <c r="P488" s="26"/>
      <c r="R488" s="1261"/>
      <c r="S488" s="1262"/>
      <c r="T488" s="1832"/>
      <c r="U488" s="1263"/>
      <c r="V488" s="1262"/>
      <c r="Y488" s="1835"/>
      <c r="Z488" s="1835"/>
    </row>
    <row r="489" spans="1:26" s="1833" customFormat="1" ht="16.5" x14ac:dyDescent="0.35">
      <c r="A489" s="1831"/>
      <c r="B489" s="1952"/>
      <c r="C489" s="1952"/>
      <c r="D489" s="1952"/>
      <c r="E489" s="1952"/>
      <c r="F489" s="1952"/>
      <c r="G489" s="1952"/>
      <c r="H489" s="1952"/>
      <c r="I489" s="1952"/>
      <c r="J489" s="1952"/>
      <c r="K489" s="1952"/>
      <c r="L489" s="1952"/>
      <c r="M489" s="1952"/>
      <c r="N489" s="1952"/>
      <c r="O489" s="1952"/>
      <c r="P489" s="26"/>
      <c r="R489" s="1261"/>
      <c r="S489" s="1262"/>
      <c r="T489" s="1832"/>
      <c r="U489" s="1263"/>
      <c r="V489" s="1262"/>
      <c r="Y489" s="1835"/>
      <c r="Z489" s="1835"/>
    </row>
    <row r="490" spans="1:26" s="1833" customFormat="1" ht="16.5" x14ac:dyDescent="0.35">
      <c r="A490" s="1831"/>
      <c r="B490" s="1953"/>
      <c r="C490" s="1954" t="s">
        <v>477</v>
      </c>
      <c r="D490" s="1954" t="s">
        <v>478</v>
      </c>
      <c r="E490" s="1954" t="s">
        <v>479</v>
      </c>
      <c r="F490" s="1954" t="s">
        <v>480</v>
      </c>
      <c r="G490" s="1954" t="s">
        <v>481</v>
      </c>
      <c r="H490" s="1954" t="s">
        <v>482</v>
      </c>
      <c r="I490" s="1954" t="s">
        <v>483</v>
      </c>
      <c r="J490" s="1954" t="s">
        <v>484</v>
      </c>
      <c r="K490" s="1954" t="s">
        <v>579</v>
      </c>
      <c r="L490" s="1954" t="s">
        <v>580</v>
      </c>
      <c r="M490" s="1954" t="s">
        <v>581</v>
      </c>
      <c r="N490" s="1954" t="s">
        <v>476</v>
      </c>
      <c r="O490" s="1954" t="s">
        <v>658</v>
      </c>
      <c r="P490" s="26"/>
      <c r="R490" s="1261"/>
      <c r="S490" s="1262"/>
      <c r="T490" s="1832"/>
      <c r="U490" s="1263"/>
      <c r="V490" s="1262"/>
      <c r="Y490" s="1835"/>
      <c r="Z490" s="1835"/>
    </row>
    <row r="491" spans="1:26" s="1833" customFormat="1" ht="36" x14ac:dyDescent="0.35">
      <c r="A491" s="1831"/>
      <c r="B491" s="1955" t="s">
        <v>582</v>
      </c>
      <c r="C491" s="1956"/>
      <c r="D491" s="1956"/>
      <c r="E491" s="1956"/>
      <c r="F491" s="1956"/>
      <c r="G491" s="1956"/>
      <c r="H491" s="1957" t="s">
        <v>1076</v>
      </c>
      <c r="I491" s="1958"/>
      <c r="J491" s="1959"/>
      <c r="K491" s="1959"/>
      <c r="L491" s="1959"/>
      <c r="M491" s="1959"/>
      <c r="N491" s="1959"/>
      <c r="O491" s="1959"/>
      <c r="P491" s="1883"/>
      <c r="R491" s="1261"/>
      <c r="S491" s="1262"/>
      <c r="T491" s="1832"/>
      <c r="U491" s="1263"/>
      <c r="V491" s="1262"/>
      <c r="Y491" s="1835"/>
      <c r="Z491" s="1835"/>
    </row>
    <row r="492" spans="1:26" s="1833" customFormat="1" ht="16.5" x14ac:dyDescent="0.35">
      <c r="A492" s="1831"/>
      <c r="B492" s="1960" t="s">
        <v>583</v>
      </c>
      <c r="C492" s="1961">
        <v>86300</v>
      </c>
      <c r="D492" s="1961">
        <v>76900</v>
      </c>
      <c r="E492" s="1961">
        <v>84500</v>
      </c>
      <c r="F492" s="1961">
        <v>70100</v>
      </c>
      <c r="G492" s="1961">
        <v>57800</v>
      </c>
      <c r="H492" s="1961">
        <v>52900</v>
      </c>
      <c r="I492" s="1961">
        <v>53100</v>
      </c>
      <c r="J492" s="1961">
        <v>53300</v>
      </c>
      <c r="K492" s="1961">
        <v>54700</v>
      </c>
      <c r="L492" s="1961">
        <v>70500</v>
      </c>
      <c r="M492" s="1961">
        <v>62000</v>
      </c>
      <c r="N492" s="1961">
        <v>72100</v>
      </c>
      <c r="O492" s="1962">
        <v>794200</v>
      </c>
      <c r="P492" s="1883"/>
      <c r="R492" s="1261"/>
      <c r="S492" s="1262"/>
      <c r="T492" s="1832"/>
      <c r="U492" s="1263"/>
      <c r="V492" s="1262"/>
      <c r="Y492" s="1835"/>
      <c r="Z492" s="1835"/>
    </row>
    <row r="493" spans="1:26" s="1833" customFormat="1" ht="16.5" x14ac:dyDescent="0.35">
      <c r="A493" s="1831"/>
      <c r="B493" s="1955" t="s">
        <v>584</v>
      </c>
      <c r="C493" s="1963">
        <v>175</v>
      </c>
      <c r="D493" s="1963">
        <v>164</v>
      </c>
      <c r="E493" s="1963">
        <v>165</v>
      </c>
      <c r="F493" s="1963">
        <v>161</v>
      </c>
      <c r="G493" s="1963">
        <v>131</v>
      </c>
      <c r="H493" s="1963">
        <v>140</v>
      </c>
      <c r="I493" s="1963">
        <v>170</v>
      </c>
      <c r="J493" s="1963">
        <v>175</v>
      </c>
      <c r="K493" s="1963">
        <v>185</v>
      </c>
      <c r="L493" s="1963">
        <v>216</v>
      </c>
      <c r="M493" s="1963">
        <v>164</v>
      </c>
      <c r="N493" s="1963">
        <v>180</v>
      </c>
      <c r="O493" s="1964">
        <v>168.83333333333334</v>
      </c>
      <c r="P493" s="1883"/>
      <c r="R493" s="1261"/>
      <c r="S493" s="1262"/>
      <c r="T493" s="1832"/>
      <c r="U493" s="1263"/>
      <c r="V493" s="1262"/>
      <c r="Y493" s="1835"/>
      <c r="Z493" s="1835"/>
    </row>
    <row r="494" spans="1:26" s="1833" customFormat="1" ht="16.5" x14ac:dyDescent="0.35">
      <c r="A494" s="1831"/>
      <c r="B494" s="1955" t="s">
        <v>585</v>
      </c>
      <c r="C494" s="1961">
        <v>32</v>
      </c>
      <c r="D494" s="1961">
        <v>28</v>
      </c>
      <c r="E494" s="1961">
        <v>30</v>
      </c>
      <c r="F494" s="1961">
        <v>29</v>
      </c>
      <c r="G494" s="1961">
        <v>29</v>
      </c>
      <c r="H494" s="1961">
        <v>32</v>
      </c>
      <c r="I494" s="1961">
        <v>35</v>
      </c>
      <c r="J494" s="1961">
        <v>29</v>
      </c>
      <c r="K494" s="1961">
        <v>29</v>
      </c>
      <c r="L494" s="1961">
        <v>32</v>
      </c>
      <c r="M494" s="1961">
        <v>29</v>
      </c>
      <c r="N494" s="1961">
        <v>30</v>
      </c>
      <c r="O494" s="1965"/>
      <c r="P494" s="1883"/>
      <c r="R494" s="1261"/>
      <c r="S494" s="1262"/>
      <c r="T494" s="1832"/>
      <c r="U494" s="1263"/>
      <c r="V494" s="1262"/>
      <c r="Y494" s="1835"/>
      <c r="Z494" s="1835"/>
    </row>
    <row r="495" spans="1:26" s="1833" customFormat="1" ht="16.5" x14ac:dyDescent="0.35">
      <c r="A495" s="1831"/>
      <c r="B495" s="1955" t="s">
        <v>586</v>
      </c>
      <c r="C495" s="1959">
        <v>6354.08</v>
      </c>
      <c r="D495" s="1959">
        <v>5738.98</v>
      </c>
      <c r="E495" s="1959">
        <v>6286.45</v>
      </c>
      <c r="F495" s="1966">
        <v>5094.58</v>
      </c>
      <c r="G495" s="1966">
        <v>4189.74</v>
      </c>
      <c r="H495" s="1966">
        <v>3801.62</v>
      </c>
      <c r="I495" s="1966">
        <v>3418.71</v>
      </c>
      <c r="J495" s="1966">
        <v>3534.2</v>
      </c>
      <c r="K495" s="1966">
        <v>3589.32</v>
      </c>
      <c r="L495" s="1966">
        <v>4478.32</v>
      </c>
      <c r="M495" s="1966">
        <v>4345.68</v>
      </c>
      <c r="N495" s="1966">
        <v>5151.78</v>
      </c>
      <c r="O495" s="1967">
        <v>55983.459999999992</v>
      </c>
      <c r="P495" s="1883"/>
      <c r="R495" s="1261"/>
      <c r="S495" s="1262"/>
      <c r="T495" s="1832"/>
      <c r="U495" s="1263"/>
      <c r="V495" s="1262"/>
      <c r="Y495" s="1835"/>
      <c r="Z495" s="1835"/>
    </row>
    <row r="496" spans="1:26" s="1833" customFormat="1" ht="16.5" x14ac:dyDescent="0.35">
      <c r="A496" s="1831"/>
      <c r="B496" s="1955" t="s">
        <v>587</v>
      </c>
      <c r="C496" s="1959">
        <v>743</v>
      </c>
      <c r="D496" s="1959">
        <v>767.33</v>
      </c>
      <c r="E496" s="1959">
        <v>767.06</v>
      </c>
      <c r="F496" s="1966">
        <v>767.03</v>
      </c>
      <c r="G496" s="1966">
        <v>767.03</v>
      </c>
      <c r="H496" s="1966">
        <v>726.04</v>
      </c>
      <c r="I496" s="1966">
        <v>697.62</v>
      </c>
      <c r="J496" s="1966">
        <v>697.43</v>
      </c>
      <c r="K496" s="1966">
        <v>697.43</v>
      </c>
      <c r="L496" s="1966">
        <v>697.43</v>
      </c>
      <c r="M496" s="1966">
        <v>697.43</v>
      </c>
      <c r="N496" s="1966">
        <v>697.43</v>
      </c>
      <c r="O496" s="1967">
        <v>8722.26</v>
      </c>
      <c r="P496" s="1883"/>
      <c r="R496" s="1261"/>
      <c r="S496" s="1262"/>
      <c r="T496" s="1832"/>
      <c r="U496" s="1263"/>
      <c r="V496" s="1262"/>
      <c r="Y496" s="1835"/>
      <c r="Z496" s="1835"/>
    </row>
    <row r="497" spans="1:26" s="1833" customFormat="1" ht="16.5" x14ac:dyDescent="0.35">
      <c r="A497" s="1831"/>
      <c r="B497" s="1955" t="s">
        <v>1077</v>
      </c>
      <c r="C497" s="1959">
        <v>496.8</v>
      </c>
      <c r="D497" s="1959">
        <v>455.44</v>
      </c>
      <c r="E497" s="1959">
        <v>488.87</v>
      </c>
      <c r="F497" s="1966">
        <v>410.31</v>
      </c>
      <c r="G497" s="1966">
        <v>346.99</v>
      </c>
      <c r="H497" s="1966">
        <v>316.94</v>
      </c>
      <c r="I497" s="1966">
        <v>288.14</v>
      </c>
      <c r="J497" s="1966">
        <v>296.20999999999998</v>
      </c>
      <c r="K497" s="1966">
        <v>300.07</v>
      </c>
      <c r="L497" s="1966">
        <v>362.3</v>
      </c>
      <c r="M497" s="1966">
        <v>349.14</v>
      </c>
      <c r="N497" s="1966">
        <v>409.44</v>
      </c>
      <c r="O497" s="1967">
        <v>4520.6499999999996</v>
      </c>
      <c r="P497" s="1883"/>
      <c r="R497" s="1261"/>
      <c r="S497" s="1262"/>
      <c r="T497" s="1832"/>
      <c r="U497" s="1263"/>
      <c r="V497" s="1262"/>
      <c r="Y497" s="1835"/>
      <c r="Z497" s="1835"/>
    </row>
    <row r="498" spans="1:26" s="1833" customFormat="1" ht="16.5" x14ac:dyDescent="0.35">
      <c r="A498" s="1831"/>
      <c r="B498" s="1960" t="s">
        <v>589</v>
      </c>
      <c r="C498" s="1968">
        <v>7593.88</v>
      </c>
      <c r="D498" s="1968">
        <v>6961.7499999999991</v>
      </c>
      <c r="E498" s="1968">
        <v>7542.38</v>
      </c>
      <c r="F498" s="1968">
        <v>6271.92</v>
      </c>
      <c r="G498" s="1969">
        <v>5303.7599999999993</v>
      </c>
      <c r="H498" s="1969">
        <v>4844.5999999999995</v>
      </c>
      <c r="I498" s="1968">
        <v>4404.47</v>
      </c>
      <c r="J498" s="1969">
        <v>4527.84</v>
      </c>
      <c r="K498" s="1969">
        <v>4586.82</v>
      </c>
      <c r="L498" s="1969">
        <v>5538.05</v>
      </c>
      <c r="M498" s="1969">
        <v>5392.2500000000009</v>
      </c>
      <c r="N498" s="1969">
        <v>6258.65</v>
      </c>
      <c r="O498" s="1970">
        <v>69226.37000000001</v>
      </c>
      <c r="P498" s="1883"/>
      <c r="R498" s="1261"/>
      <c r="S498" s="1262"/>
      <c r="T498" s="1832"/>
      <c r="U498" s="1263"/>
      <c r="V498" s="1262"/>
      <c r="Y498" s="1835"/>
      <c r="Z498" s="1835"/>
    </row>
    <row r="499" spans="1:26" s="1833" customFormat="1" ht="16.5" x14ac:dyDescent="0.35">
      <c r="A499" s="1831"/>
      <c r="B499" s="1953"/>
      <c r="C499" s="1953"/>
      <c r="D499" s="1953"/>
      <c r="E499" s="1953"/>
      <c r="F499" s="1953"/>
      <c r="G499" s="1953"/>
      <c r="H499" s="1953"/>
      <c r="I499" s="1953"/>
      <c r="J499" s="1953"/>
      <c r="K499" s="1953"/>
      <c r="L499" s="1953"/>
      <c r="M499" s="1953"/>
      <c r="N499" s="1953"/>
      <c r="O499" s="1953"/>
      <c r="P499" s="1883"/>
      <c r="R499" s="1261"/>
      <c r="S499" s="1262"/>
      <c r="T499" s="1832"/>
      <c r="U499" s="1263"/>
      <c r="V499" s="1262"/>
      <c r="Y499" s="1835"/>
      <c r="Z499" s="1835"/>
    </row>
    <row r="500" spans="1:26" s="1833" customFormat="1" ht="16.5" x14ac:dyDescent="0.35">
      <c r="A500" s="1831"/>
      <c r="B500" s="1953"/>
      <c r="C500" s="1953"/>
      <c r="D500" s="1953"/>
      <c r="E500" s="1953"/>
      <c r="F500" s="1953"/>
      <c r="G500" s="1953"/>
      <c r="H500" s="1953"/>
      <c r="I500" s="1953"/>
      <c r="J500" s="1953"/>
      <c r="K500" s="1953"/>
      <c r="L500" s="1953"/>
      <c r="M500" s="1953"/>
      <c r="N500" s="1953"/>
      <c r="O500" s="1953"/>
      <c r="P500" s="1883"/>
      <c r="R500" s="1261"/>
      <c r="S500" s="1262"/>
      <c r="T500" s="1832"/>
      <c r="U500" s="1263"/>
      <c r="V500" s="1262"/>
      <c r="Y500" s="1835"/>
      <c r="Z500" s="1835"/>
    </row>
    <row r="501" spans="1:26" s="1833" customFormat="1" ht="36" x14ac:dyDescent="0.35">
      <c r="A501" s="1831"/>
      <c r="B501" s="1971" t="s">
        <v>1078</v>
      </c>
      <c r="C501" s="1953"/>
      <c r="D501" s="1953"/>
      <c r="E501" s="1953"/>
      <c r="F501" s="1953"/>
      <c r="G501" s="1953"/>
      <c r="H501" s="1972" t="s">
        <v>664</v>
      </c>
      <c r="I501" s="1953"/>
      <c r="J501" s="1953"/>
      <c r="K501" s="1953"/>
      <c r="L501" s="1954"/>
      <c r="M501" s="1954"/>
      <c r="N501" s="1973"/>
      <c r="O501" s="1973"/>
      <c r="P501" s="1883"/>
      <c r="R501" s="1261"/>
      <c r="S501" s="1262"/>
      <c r="T501" s="1832"/>
      <c r="U501" s="1263"/>
      <c r="V501" s="1262"/>
      <c r="Y501" s="1835"/>
      <c r="Z501" s="1835"/>
    </row>
    <row r="502" spans="1:26" s="1833" customFormat="1" ht="16.5" x14ac:dyDescent="0.35">
      <c r="A502" s="1831"/>
      <c r="B502" s="1974" t="s">
        <v>591</v>
      </c>
      <c r="C502" s="1975">
        <v>465</v>
      </c>
      <c r="D502" s="1975">
        <v>577</v>
      </c>
      <c r="E502" s="1975">
        <v>513</v>
      </c>
      <c r="F502" s="1975">
        <v>695</v>
      </c>
      <c r="G502" s="1975">
        <v>1109</v>
      </c>
      <c r="H502" s="1975">
        <v>1311</v>
      </c>
      <c r="I502" s="1975">
        <v>1615</v>
      </c>
      <c r="J502" s="1975">
        <v>1156</v>
      </c>
      <c r="K502" s="1975">
        <v>1435</v>
      </c>
      <c r="L502" s="1975">
        <v>874</v>
      </c>
      <c r="M502" s="1976">
        <v>569</v>
      </c>
      <c r="N502" s="1975">
        <v>389</v>
      </c>
      <c r="O502" s="1977">
        <v>10708</v>
      </c>
      <c r="P502" s="1883"/>
      <c r="R502" s="1261"/>
      <c r="S502" s="1262"/>
      <c r="T502" s="1832"/>
      <c r="U502" s="1263"/>
      <c r="V502" s="1262"/>
      <c r="Y502" s="1835"/>
      <c r="Z502" s="1835"/>
    </row>
    <row r="503" spans="1:26" s="1833" customFormat="1" ht="16.5" x14ac:dyDescent="0.35">
      <c r="A503" s="1831"/>
      <c r="B503" s="1978" t="s">
        <v>586</v>
      </c>
      <c r="C503" s="1979">
        <v>341.17</v>
      </c>
      <c r="D503" s="1979">
        <v>418.05</v>
      </c>
      <c r="E503" s="1979">
        <v>374.12</v>
      </c>
      <c r="F503" s="1979">
        <v>524.64</v>
      </c>
      <c r="G503" s="1979">
        <v>909.66</v>
      </c>
      <c r="H503" s="1979">
        <v>1120.54</v>
      </c>
      <c r="I503" s="1979">
        <v>1372.98</v>
      </c>
      <c r="J503" s="1979">
        <v>989.02</v>
      </c>
      <c r="K503" s="1979">
        <v>1166.33</v>
      </c>
      <c r="L503" s="1979">
        <v>729.49</v>
      </c>
      <c r="M503" s="1980">
        <v>483.53</v>
      </c>
      <c r="N503" s="1979">
        <v>340.5</v>
      </c>
      <c r="O503" s="1981">
        <v>8770.0300000000007</v>
      </c>
      <c r="P503" s="1883"/>
      <c r="R503" s="1261"/>
      <c r="S503" s="1262"/>
      <c r="T503" s="1832"/>
      <c r="U503" s="1263"/>
      <c r="V503" s="1262"/>
      <c r="Y503" s="1835"/>
      <c r="Z503" s="1835"/>
    </row>
    <row r="504" spans="1:26" s="1833" customFormat="1" ht="16.5" x14ac:dyDescent="0.35">
      <c r="A504" s="1831"/>
      <c r="B504" s="1978" t="s">
        <v>1082</v>
      </c>
      <c r="C504" s="1979">
        <v>23.88</v>
      </c>
      <c r="D504" s="1979">
        <v>29.26</v>
      </c>
      <c r="E504" s="1979">
        <v>26.19</v>
      </c>
      <c r="F504" s="1979">
        <v>36.72</v>
      </c>
      <c r="G504" s="1979">
        <v>63.68</v>
      </c>
      <c r="H504" s="1979">
        <v>78.44</v>
      </c>
      <c r="I504" s="1979">
        <v>96.11</v>
      </c>
      <c r="J504" s="1979">
        <v>69.23</v>
      </c>
      <c r="K504" s="1979">
        <v>81.64</v>
      </c>
      <c r="L504" s="1979">
        <v>51.06</v>
      </c>
      <c r="M504" s="1980">
        <v>33.85</v>
      </c>
      <c r="N504" s="1979">
        <v>23.84</v>
      </c>
      <c r="O504" s="1981">
        <v>613.90000000000009</v>
      </c>
      <c r="P504" s="1883"/>
      <c r="R504" s="1261"/>
      <c r="S504" s="1262"/>
      <c r="T504" s="1832"/>
      <c r="U504" s="1263"/>
      <c r="V504" s="1262"/>
      <c r="Y504" s="1835"/>
      <c r="Z504" s="1835"/>
    </row>
    <row r="505" spans="1:26" s="1833" customFormat="1" ht="16.5" x14ac:dyDescent="0.35">
      <c r="A505" s="1831"/>
      <c r="B505" s="1974" t="s">
        <v>589</v>
      </c>
      <c r="C505" s="1982">
        <v>365.05</v>
      </c>
      <c r="D505" s="1982">
        <v>447.31</v>
      </c>
      <c r="E505" s="1982">
        <v>400.31</v>
      </c>
      <c r="F505" s="1982">
        <v>561.36</v>
      </c>
      <c r="G505" s="1982">
        <v>973.33999999999992</v>
      </c>
      <c r="H505" s="1982">
        <v>1198.98</v>
      </c>
      <c r="I505" s="1982">
        <v>1469.09</v>
      </c>
      <c r="J505" s="1982">
        <v>1058.25</v>
      </c>
      <c r="K505" s="1982">
        <v>1247.97</v>
      </c>
      <c r="L505" s="1982">
        <v>780.55</v>
      </c>
      <c r="M505" s="1982">
        <v>517.38</v>
      </c>
      <c r="N505" s="1982">
        <v>364.34</v>
      </c>
      <c r="O505" s="1983">
        <v>9383.9299999999985</v>
      </c>
      <c r="P505" s="1883"/>
      <c r="R505" s="1261"/>
      <c r="S505" s="1262"/>
      <c r="T505" s="1832"/>
      <c r="U505" s="1263"/>
      <c r="V505" s="1262"/>
      <c r="Y505" s="1835"/>
      <c r="Z505" s="1835"/>
    </row>
    <row r="506" spans="1:26" s="1833" customFormat="1" ht="16.5" x14ac:dyDescent="0.35">
      <c r="A506" s="1831"/>
      <c r="B506" s="1974"/>
      <c r="C506" s="1982"/>
      <c r="D506" s="1982"/>
      <c r="E506" s="1982"/>
      <c r="F506" s="1982"/>
      <c r="G506" s="1982"/>
      <c r="H506" s="1982"/>
      <c r="I506" s="1982"/>
      <c r="J506" s="1982"/>
      <c r="K506" s="1982"/>
      <c r="L506" s="1982"/>
      <c r="M506" s="1982"/>
      <c r="N506" s="1982"/>
      <c r="O506" s="1983"/>
      <c r="P506" s="1883"/>
      <c r="R506" s="1261"/>
      <c r="S506" s="1262"/>
      <c r="T506" s="1832"/>
      <c r="U506" s="1263"/>
      <c r="V506" s="1262"/>
      <c r="Y506" s="1835"/>
      <c r="Z506" s="1835"/>
    </row>
    <row r="507" spans="1:26" s="1833" customFormat="1" ht="16.5" x14ac:dyDescent="0.35">
      <c r="A507" s="1831"/>
      <c r="B507" s="1953"/>
      <c r="C507" s="1953"/>
      <c r="D507" s="1953"/>
      <c r="E507" s="1953"/>
      <c r="F507" s="1953"/>
      <c r="G507" s="1953"/>
      <c r="H507" s="1953"/>
      <c r="I507" s="1953"/>
      <c r="J507" s="1953"/>
      <c r="K507" s="1953"/>
      <c r="L507" s="1953"/>
      <c r="M507" s="1953"/>
      <c r="N507" s="1953"/>
      <c r="O507" s="1953"/>
      <c r="P507" s="1883"/>
      <c r="R507" s="1261"/>
      <c r="S507" s="1262"/>
      <c r="T507" s="1832"/>
      <c r="U507" s="1263"/>
      <c r="V507" s="1262"/>
      <c r="Y507" s="1835"/>
      <c r="Z507" s="1835"/>
    </row>
    <row r="508" spans="1:26" s="1833" customFormat="1" ht="36" x14ac:dyDescent="0.35">
      <c r="A508" s="1831"/>
      <c r="B508" s="1971" t="s">
        <v>593</v>
      </c>
      <c r="C508" s="1984"/>
      <c r="D508" s="1985"/>
      <c r="E508" s="1986"/>
      <c r="F508" s="1986"/>
      <c r="G508" s="1987"/>
      <c r="H508" s="1988" t="s">
        <v>1334</v>
      </c>
      <c r="I508" s="1986"/>
      <c r="J508" s="1986"/>
      <c r="K508" s="1986"/>
      <c r="L508" s="1986"/>
      <c r="M508" s="1986"/>
      <c r="N508" s="1989"/>
      <c r="O508" s="1990"/>
      <c r="P508" s="1883"/>
      <c r="R508" s="1261"/>
      <c r="S508" s="1262"/>
      <c r="T508" s="1832"/>
      <c r="U508" s="1263"/>
      <c r="V508" s="1262"/>
      <c r="Y508" s="1835"/>
      <c r="Z508" s="1835"/>
    </row>
    <row r="509" spans="1:26" s="1833" customFormat="1" ht="16.5" x14ac:dyDescent="0.35">
      <c r="A509" s="1831"/>
      <c r="B509" s="1991" t="s">
        <v>1075</v>
      </c>
      <c r="C509" s="1992">
        <v>184</v>
      </c>
      <c r="D509" s="1993">
        <v>27</v>
      </c>
      <c r="E509" s="1993">
        <v>3</v>
      </c>
      <c r="F509" s="1993">
        <v>146</v>
      </c>
      <c r="G509" s="1993">
        <v>10</v>
      </c>
      <c r="H509" s="1993">
        <v>0</v>
      </c>
      <c r="I509" s="1993">
        <v>0</v>
      </c>
      <c r="J509" s="1993">
        <v>150</v>
      </c>
      <c r="K509" s="1993">
        <v>215</v>
      </c>
      <c r="L509" s="1993">
        <v>209</v>
      </c>
      <c r="M509" s="1993">
        <v>142</v>
      </c>
      <c r="N509" s="1976">
        <v>152</v>
      </c>
      <c r="O509" s="1994">
        <v>1238</v>
      </c>
      <c r="P509" s="1883"/>
      <c r="R509" s="1261"/>
      <c r="S509" s="1262"/>
      <c r="T509" s="1832"/>
      <c r="U509" s="1263"/>
      <c r="V509" s="1262"/>
      <c r="Y509" s="1835"/>
      <c r="Z509" s="1835"/>
    </row>
    <row r="510" spans="1:26" s="1833" customFormat="1" ht="16.5" x14ac:dyDescent="0.35">
      <c r="A510" s="1831"/>
      <c r="B510" s="1993" t="s">
        <v>606</v>
      </c>
      <c r="C510" s="1995">
        <v>29</v>
      </c>
      <c r="D510" s="1995">
        <v>33</v>
      </c>
      <c r="E510" s="1995">
        <v>29</v>
      </c>
      <c r="F510" s="1995">
        <v>30</v>
      </c>
      <c r="G510" s="1995">
        <v>32</v>
      </c>
      <c r="H510" s="1995">
        <v>28</v>
      </c>
      <c r="I510" s="1995">
        <v>35</v>
      </c>
      <c r="J510" s="1995">
        <v>27</v>
      </c>
      <c r="K510" s="1995">
        <v>30</v>
      </c>
      <c r="L510" s="1995">
        <v>27</v>
      </c>
      <c r="M510" s="1995">
        <v>28</v>
      </c>
      <c r="N510" s="1996">
        <v>35</v>
      </c>
      <c r="O510" s="1997"/>
      <c r="P510" s="1883"/>
      <c r="R510" s="1261"/>
      <c r="S510" s="1262"/>
      <c r="T510" s="1832"/>
      <c r="U510" s="1263"/>
      <c r="V510" s="1262"/>
      <c r="Y510" s="1835"/>
      <c r="Z510" s="1835"/>
    </row>
    <row r="511" spans="1:26" s="1833" customFormat="1" ht="16.5" x14ac:dyDescent="0.35">
      <c r="A511" s="1831"/>
      <c r="B511" s="1993" t="s">
        <v>607</v>
      </c>
      <c r="C511" s="1998">
        <v>14.84</v>
      </c>
      <c r="D511" s="1998">
        <v>13.91</v>
      </c>
      <c r="E511" s="1998">
        <v>13.91</v>
      </c>
      <c r="F511" s="1998">
        <v>13.91</v>
      </c>
      <c r="G511" s="1998">
        <v>13.91</v>
      </c>
      <c r="H511" s="1998">
        <v>13.91</v>
      </c>
      <c r="I511" s="1998">
        <v>13.91</v>
      </c>
      <c r="J511" s="1998">
        <v>13.91</v>
      </c>
      <c r="K511" s="1998">
        <v>15.69</v>
      </c>
      <c r="L511" s="1998">
        <v>15.53</v>
      </c>
      <c r="M511" s="1998">
        <v>13.91</v>
      </c>
      <c r="N511" s="1980">
        <v>13.96</v>
      </c>
      <c r="O511" s="1999">
        <v>171.29999999999998</v>
      </c>
      <c r="P511" s="1884"/>
      <c r="R511" s="1261"/>
      <c r="S511" s="1262"/>
      <c r="T511" s="1832"/>
      <c r="U511" s="1263"/>
      <c r="V511" s="1262"/>
      <c r="Y511" s="1835"/>
      <c r="Z511" s="1835"/>
    </row>
    <row r="512" spans="1:26" s="1833" customFormat="1" ht="16.5" x14ac:dyDescent="0.35">
      <c r="A512" s="1831"/>
      <c r="B512" s="1993" t="s">
        <v>608</v>
      </c>
      <c r="C512" s="1998">
        <v>18.14</v>
      </c>
      <c r="D512" s="1998">
        <v>17.18</v>
      </c>
      <c r="E512" s="1998">
        <v>17.18</v>
      </c>
      <c r="F512" s="1998">
        <v>17.18</v>
      </c>
      <c r="G512" s="1998">
        <v>17.18</v>
      </c>
      <c r="H512" s="1998">
        <v>17.18</v>
      </c>
      <c r="I512" s="1998">
        <v>17.18</v>
      </c>
      <c r="J512" s="1998">
        <v>17.18</v>
      </c>
      <c r="K512" s="1998">
        <v>19.010000000000002</v>
      </c>
      <c r="L512" s="1998">
        <v>18.84</v>
      </c>
      <c r="M512" s="1998">
        <v>17.18</v>
      </c>
      <c r="N512" s="1980">
        <v>17.239999999999998</v>
      </c>
      <c r="O512" s="1999">
        <v>210.67000000000004</v>
      </c>
      <c r="P512" s="1885"/>
      <c r="R512" s="1261"/>
      <c r="S512" s="1262"/>
      <c r="T512" s="1832"/>
      <c r="U512" s="1263"/>
      <c r="V512" s="1262"/>
      <c r="Y512" s="1835"/>
      <c r="Z512" s="1835"/>
    </row>
    <row r="513" spans="1:74" s="1833" customFormat="1" ht="16.5" x14ac:dyDescent="0.35">
      <c r="A513" s="1831"/>
      <c r="B513" s="2000" t="s">
        <v>338</v>
      </c>
      <c r="C513" s="2001">
        <v>32.980000000000004</v>
      </c>
      <c r="D513" s="2001">
        <v>31.09</v>
      </c>
      <c r="E513" s="2001">
        <v>31.09</v>
      </c>
      <c r="F513" s="2001">
        <v>31.09</v>
      </c>
      <c r="G513" s="2002">
        <v>31.09</v>
      </c>
      <c r="H513" s="2001">
        <v>31.09</v>
      </c>
      <c r="I513" s="2001">
        <v>31.09</v>
      </c>
      <c r="J513" s="2001">
        <v>31.09</v>
      </c>
      <c r="K513" s="2001">
        <v>34.700000000000003</v>
      </c>
      <c r="L513" s="2001">
        <v>34.369999999999997</v>
      </c>
      <c r="M513" s="2001">
        <v>31.09</v>
      </c>
      <c r="N513" s="2003">
        <v>31.2</v>
      </c>
      <c r="O513" s="2004">
        <v>381.96999999999997</v>
      </c>
      <c r="P513" s="1886"/>
      <c r="R513" s="1261"/>
      <c r="S513" s="1262"/>
      <c r="T513" s="1832"/>
      <c r="U513" s="1263"/>
      <c r="V513" s="1262"/>
      <c r="Y513" s="1835"/>
      <c r="Z513" s="1835"/>
    </row>
    <row r="514" spans="1:74" s="1833" customFormat="1" ht="16.5" x14ac:dyDescent="0.35">
      <c r="A514" s="1831"/>
      <c r="B514" s="1953"/>
      <c r="C514" s="1953"/>
      <c r="D514" s="1953"/>
      <c r="E514" s="1953"/>
      <c r="F514" s="1953"/>
      <c r="G514" s="1953"/>
      <c r="H514" s="1953"/>
      <c r="I514" s="1953"/>
      <c r="J514" s="1953"/>
      <c r="K514" s="1953"/>
      <c r="L514" s="1953"/>
      <c r="M514" s="1953"/>
      <c r="N514" s="1953"/>
      <c r="O514" s="1953"/>
      <c r="P514" s="1886"/>
      <c r="R514" s="1261"/>
      <c r="S514" s="1262"/>
      <c r="T514" s="1832"/>
      <c r="U514" s="1263"/>
      <c r="V514" s="1262"/>
      <c r="Y514" s="1835"/>
      <c r="Z514" s="1835"/>
    </row>
    <row r="515" spans="1:74" s="1833" customFormat="1" ht="16.5" x14ac:dyDescent="0.35">
      <c r="A515" s="1831"/>
      <c r="B515" s="1953"/>
      <c r="C515" s="1953"/>
      <c r="D515" s="1953"/>
      <c r="E515" s="1953"/>
      <c r="F515" s="1953"/>
      <c r="G515" s="1953"/>
      <c r="H515" s="1953"/>
      <c r="I515" s="1953"/>
      <c r="J515" s="1953"/>
      <c r="K515" s="1953"/>
      <c r="L515" s="1953"/>
      <c r="M515" s="1953"/>
      <c r="N515" s="1953"/>
      <c r="O515" s="1953"/>
      <c r="P515" s="1886"/>
      <c r="R515" s="1261"/>
      <c r="S515" s="1262"/>
      <c r="T515" s="1832"/>
      <c r="U515" s="1263"/>
      <c r="V515" s="1262"/>
      <c r="Y515" s="1835"/>
      <c r="Z515" s="1835"/>
    </row>
    <row r="516" spans="1:74" s="1833" customFormat="1" ht="16.5" x14ac:dyDescent="0.35">
      <c r="A516" s="1831"/>
      <c r="B516" s="1883"/>
      <c r="C516" s="1883"/>
      <c r="D516" s="1883"/>
      <c r="E516" s="1883"/>
      <c r="F516" s="1883"/>
      <c r="G516" s="1883"/>
      <c r="H516" s="1883"/>
      <c r="I516" s="1883"/>
      <c r="J516" s="1883"/>
      <c r="K516" s="1883"/>
      <c r="L516" s="1883"/>
      <c r="M516" s="1883"/>
      <c r="N516" s="1883"/>
      <c r="O516" s="1883"/>
      <c r="P516" s="1883"/>
      <c r="R516" s="1261"/>
      <c r="S516" s="1262"/>
      <c r="T516" s="1832"/>
      <c r="U516" s="1263"/>
      <c r="V516" s="1262"/>
      <c r="Y516" s="1835"/>
      <c r="Z516" s="1835"/>
    </row>
    <row r="517" spans="1:74" s="128" customFormat="1" x14ac:dyDescent="0.25">
      <c r="A517" s="459">
        <v>34</v>
      </c>
      <c r="B517" s="127" t="s">
        <v>615</v>
      </c>
      <c r="C517" s="602"/>
      <c r="T517" s="127" t="s">
        <v>615</v>
      </c>
      <c r="U517" s="129"/>
      <c r="X517" s="129"/>
      <c r="Y517" s="166"/>
      <c r="Z517" s="166"/>
    </row>
    <row r="518" spans="1:74" s="500" customFormat="1" ht="12.75" x14ac:dyDescent="0.2">
      <c r="A518" s="107"/>
      <c r="B518" s="1946" t="s">
        <v>888</v>
      </c>
      <c r="C518" s="1573"/>
      <c r="D518"/>
      <c r="E518"/>
      <c r="F518"/>
      <c r="G518"/>
      <c r="H518"/>
      <c r="I518"/>
      <c r="J518"/>
      <c r="K518"/>
      <c r="L518"/>
      <c r="M518"/>
      <c r="N518"/>
      <c r="O518"/>
      <c r="P518" s="499"/>
      <c r="Q518" s="499"/>
      <c r="R518" s="499"/>
      <c r="S518" s="499"/>
      <c r="T518" s="499"/>
      <c r="U518" s="499"/>
      <c r="V518" s="499"/>
      <c r="W518" s="499"/>
      <c r="X518" s="499"/>
      <c r="Y518" s="499"/>
      <c r="Z518" s="499"/>
      <c r="AA518" s="499"/>
      <c r="AB518" s="499"/>
      <c r="AC518" s="499"/>
      <c r="AD518" s="499"/>
      <c r="AE518" s="499"/>
      <c r="AF518" s="499"/>
      <c r="AG518" s="499"/>
      <c r="AH518" s="499"/>
      <c r="AI518" s="499"/>
      <c r="AJ518" s="499"/>
      <c r="AK518" s="499"/>
      <c r="AL518" s="499"/>
      <c r="AM518" s="499"/>
      <c r="AN518" s="499"/>
      <c r="AO518" s="499"/>
      <c r="AP518" s="499"/>
      <c r="AQ518" s="499"/>
      <c r="AR518" s="499"/>
      <c r="AS518" s="499"/>
      <c r="AT518" s="499"/>
      <c r="AU518" s="499"/>
      <c r="AV518" s="499"/>
      <c r="AW518" s="499"/>
      <c r="AX518" s="499"/>
      <c r="AY518" s="499"/>
      <c r="AZ518" s="499"/>
      <c r="BA518" s="499"/>
      <c r="BB518" s="499"/>
      <c r="BC518" s="499"/>
      <c r="BD518" s="499"/>
      <c r="BE518" s="499"/>
      <c r="BF518" s="499"/>
      <c r="BG518" s="499"/>
      <c r="BH518" s="499"/>
      <c r="BI518" s="499"/>
      <c r="BJ518" s="499"/>
      <c r="BK518" s="499"/>
      <c r="BL518" s="499"/>
      <c r="BM518" s="499"/>
      <c r="BN518" s="499"/>
      <c r="BO518" s="499"/>
      <c r="BP518" s="499"/>
      <c r="BQ518" s="499"/>
      <c r="BR518" s="499"/>
      <c r="BS518" s="499"/>
      <c r="BT518" s="499"/>
      <c r="BU518" s="499"/>
      <c r="BV518" s="499"/>
    </row>
    <row r="519" spans="1:74" s="500" customFormat="1" ht="12.75" x14ac:dyDescent="0.2">
      <c r="A519" s="107"/>
      <c r="B519" s="1564" t="s">
        <v>654</v>
      </c>
      <c r="C519" s="1565" t="s">
        <v>655</v>
      </c>
      <c r="D519" s="826">
        <v>42552</v>
      </c>
      <c r="E519" s="826">
        <v>42583</v>
      </c>
      <c r="F519" s="826">
        <v>42614</v>
      </c>
      <c r="G519" s="826">
        <v>42644</v>
      </c>
      <c r="H519" s="826">
        <v>42675</v>
      </c>
      <c r="I519" s="826">
        <v>42705</v>
      </c>
      <c r="J519" s="826">
        <v>42736</v>
      </c>
      <c r="K519" s="826">
        <v>42767</v>
      </c>
      <c r="L519" s="826">
        <v>42795</v>
      </c>
      <c r="M519" s="826">
        <v>42826</v>
      </c>
      <c r="N519" s="826">
        <v>42856</v>
      </c>
      <c r="O519" s="826">
        <v>42887</v>
      </c>
      <c r="P519" s="499"/>
      <c r="Q519" s="499"/>
      <c r="R519" s="499"/>
      <c r="S519" s="499"/>
      <c r="T519" s="499"/>
      <c r="U519" s="499"/>
      <c r="V519" s="499"/>
      <c r="W519" s="499"/>
      <c r="X519" s="499"/>
      <c r="Y519" s="499"/>
      <c r="Z519" s="499"/>
      <c r="AA519" s="499"/>
      <c r="AB519" s="499"/>
      <c r="AC519" s="499"/>
      <c r="AD519" s="499"/>
      <c r="AE519" s="499"/>
      <c r="AF519" s="499"/>
      <c r="AG519" s="499"/>
      <c r="AH519" s="499"/>
      <c r="AI519" s="499"/>
      <c r="AJ519" s="499"/>
      <c r="AK519" s="499"/>
      <c r="AL519" s="499"/>
      <c r="AM519" s="499"/>
      <c r="AN519" s="499"/>
      <c r="AO519" s="499"/>
      <c r="AP519" s="499"/>
      <c r="AQ519" s="499"/>
      <c r="AR519" s="499"/>
      <c r="AS519" s="499"/>
      <c r="AT519" s="499"/>
      <c r="AU519" s="499"/>
      <c r="AV519" s="499"/>
      <c r="AW519" s="499"/>
      <c r="AX519" s="499"/>
      <c r="AY519" s="499"/>
      <c r="AZ519" s="499"/>
      <c r="BA519" s="499"/>
      <c r="BB519" s="499"/>
      <c r="BC519" s="499"/>
      <c r="BD519" s="499"/>
      <c r="BE519" s="499"/>
      <c r="BF519" s="499"/>
      <c r="BG519" s="499"/>
      <c r="BH519" s="499"/>
      <c r="BI519" s="499"/>
      <c r="BJ519" s="499"/>
      <c r="BK519" s="499"/>
      <c r="BL519" s="499"/>
      <c r="BM519" s="499"/>
      <c r="BN519" s="499"/>
      <c r="BO519" s="499"/>
      <c r="BP519" s="499"/>
      <c r="BQ519" s="499"/>
      <c r="BR519" s="499"/>
      <c r="BS519" s="499"/>
      <c r="BT519" s="499"/>
      <c r="BU519" s="499"/>
      <c r="BV519" s="499"/>
    </row>
    <row r="520" spans="1:74" s="500" customFormat="1" ht="12.75" x14ac:dyDescent="0.2">
      <c r="A520" s="107"/>
      <c r="B520" s="2006" t="s">
        <v>889</v>
      </c>
      <c r="C520" s="2007" t="s">
        <v>890</v>
      </c>
      <c r="D520" s="2008">
        <v>124302.36</v>
      </c>
      <c r="E520" s="2008">
        <v>136673.47995410001</v>
      </c>
      <c r="F520" s="2008">
        <v>154241.20000000001</v>
      </c>
      <c r="G520" s="2008">
        <v>154193.12</v>
      </c>
      <c r="H520" s="2008">
        <v>150620.96</v>
      </c>
      <c r="I520" s="2008">
        <v>124908</v>
      </c>
      <c r="J520" s="2008">
        <v>100757.2000459</v>
      </c>
      <c r="K520" s="2008">
        <v>142079.84</v>
      </c>
      <c r="L520" s="2008">
        <v>126422.8</v>
      </c>
      <c r="M520" s="2008">
        <v>146194.96</v>
      </c>
      <c r="N520" s="2008">
        <v>153701.5600459</v>
      </c>
      <c r="O520" s="2008">
        <v>92243</v>
      </c>
      <c r="P520" s="499"/>
      <c r="Q520" s="499"/>
      <c r="R520" s="499"/>
      <c r="S520" s="499"/>
      <c r="T520" s="499"/>
      <c r="U520" s="499"/>
      <c r="V520" s="499"/>
      <c r="W520" s="499"/>
      <c r="X520" s="499"/>
      <c r="Y520" s="499"/>
      <c r="Z520" s="499"/>
      <c r="AA520" s="499"/>
      <c r="AB520" s="499"/>
      <c r="AC520" s="499"/>
      <c r="AD520" s="499"/>
      <c r="AE520" s="499"/>
      <c r="AF520" s="499"/>
      <c r="AG520" s="499"/>
      <c r="AH520" s="499"/>
      <c r="AI520" s="499"/>
      <c r="AJ520" s="499"/>
      <c r="AK520" s="499"/>
      <c r="AL520" s="499"/>
      <c r="AM520" s="499"/>
      <c r="AN520" s="499"/>
      <c r="AO520" s="499"/>
      <c r="AP520" s="499"/>
      <c r="AQ520" s="499"/>
      <c r="AR520" s="499"/>
      <c r="AS520" s="499"/>
      <c r="AT520" s="499"/>
      <c r="AU520" s="499"/>
      <c r="AV520" s="499"/>
      <c r="AW520" s="499"/>
      <c r="AX520" s="499"/>
      <c r="AY520" s="499"/>
      <c r="AZ520" s="499"/>
      <c r="BA520" s="499"/>
      <c r="BB520" s="499"/>
      <c r="BC520" s="499"/>
      <c r="BD520" s="499"/>
      <c r="BE520" s="499"/>
      <c r="BF520" s="499"/>
      <c r="BG520" s="499"/>
      <c r="BH520" s="499"/>
      <c r="BI520" s="499"/>
      <c r="BJ520" s="499"/>
      <c r="BK520" s="499"/>
      <c r="BL520" s="499"/>
      <c r="BM520" s="499"/>
      <c r="BN520" s="499"/>
      <c r="BO520" s="499"/>
      <c r="BP520" s="499"/>
      <c r="BQ520" s="499"/>
      <c r="BR520" s="499"/>
      <c r="BS520" s="499"/>
      <c r="BT520" s="499"/>
      <c r="BU520" s="499"/>
      <c r="BV520" s="499"/>
    </row>
    <row r="521" spans="1:74" s="500" customFormat="1" ht="12.75" x14ac:dyDescent="0.2">
      <c r="A521" s="107"/>
      <c r="B521" s="2009">
        <v>315</v>
      </c>
      <c r="C521" s="2010" t="s">
        <v>891</v>
      </c>
      <c r="D521" s="2011">
        <v>90183.92</v>
      </c>
      <c r="E521" s="2011">
        <v>75576.559982699997</v>
      </c>
      <c r="F521" s="2011">
        <v>97576.4</v>
      </c>
      <c r="G521" s="2011">
        <v>83684.639999999999</v>
      </c>
      <c r="H521" s="2011">
        <v>70809.119999999995</v>
      </c>
      <c r="I521" s="2011">
        <v>57196</v>
      </c>
      <c r="J521" s="2011">
        <v>34628.400017300002</v>
      </c>
      <c r="K521" s="2011">
        <v>60848.480000000003</v>
      </c>
      <c r="L521" s="2011">
        <v>55911.6</v>
      </c>
      <c r="M521" s="2011">
        <v>67107.12</v>
      </c>
      <c r="N521" s="2011">
        <v>74650.320017299993</v>
      </c>
      <c r="O521" s="2011">
        <v>51248</v>
      </c>
      <c r="P521" s="499"/>
      <c r="Q521" s="499"/>
      <c r="R521" s="499"/>
      <c r="S521" s="499"/>
      <c r="T521" s="499"/>
      <c r="U521" s="499"/>
      <c r="V521" s="499"/>
      <c r="W521" s="499"/>
      <c r="X521" s="499"/>
      <c r="Y521" s="499"/>
      <c r="Z521" s="499"/>
      <c r="AA521" s="499"/>
      <c r="AB521" s="499"/>
      <c r="AC521" s="499"/>
      <c r="AD521" s="499"/>
      <c r="AE521" s="499"/>
      <c r="AF521" s="499"/>
      <c r="AG521" s="499"/>
      <c r="AH521" s="499"/>
      <c r="AI521" s="499"/>
      <c r="AJ521" s="499"/>
      <c r="AK521" s="499"/>
      <c r="AL521" s="499"/>
      <c r="AM521" s="499"/>
      <c r="AN521" s="499"/>
      <c r="AO521" s="499"/>
      <c r="AP521" s="499"/>
      <c r="AQ521" s="499"/>
      <c r="AR521" s="499"/>
      <c r="AS521" s="499"/>
      <c r="AT521" s="499"/>
      <c r="AU521" s="499"/>
      <c r="AV521" s="499"/>
      <c r="AW521" s="499"/>
      <c r="AX521" s="499"/>
      <c r="AY521" s="499"/>
      <c r="AZ521" s="499"/>
      <c r="BA521" s="499"/>
      <c r="BB521" s="499"/>
      <c r="BC521" s="499"/>
      <c r="BD521" s="499"/>
      <c r="BE521" s="499"/>
      <c r="BF521" s="499"/>
      <c r="BG521" s="499"/>
      <c r="BH521" s="499"/>
      <c r="BI521" s="499"/>
      <c r="BJ521" s="499"/>
      <c r="BK521" s="499"/>
      <c r="BL521" s="499"/>
      <c r="BM521" s="499"/>
      <c r="BN521" s="499"/>
      <c r="BO521" s="499"/>
      <c r="BP521" s="499"/>
      <c r="BQ521" s="499"/>
      <c r="BR521" s="499"/>
      <c r="BS521" s="499"/>
      <c r="BT521" s="499"/>
      <c r="BU521" s="499"/>
      <c r="BV521" s="499"/>
    </row>
    <row r="522" spans="1:74" s="500" customFormat="1" ht="12.75" customHeight="1" x14ac:dyDescent="0.2">
      <c r="A522" s="107"/>
      <c r="B522" s="2009" t="s">
        <v>892</v>
      </c>
      <c r="C522" s="2012" t="s">
        <v>893</v>
      </c>
      <c r="D522" s="2013">
        <v>86886.720000000001</v>
      </c>
      <c r="E522" s="2013">
        <v>100976.9599632</v>
      </c>
      <c r="F522" s="2013">
        <v>121742.40000000001</v>
      </c>
      <c r="G522" s="2013">
        <v>106562.23999999999</v>
      </c>
      <c r="H522" s="2013">
        <v>94529.919999999984</v>
      </c>
      <c r="I522" s="2013">
        <v>77896</v>
      </c>
      <c r="J522" s="2013">
        <v>67854.400036799998</v>
      </c>
      <c r="K522" s="2013">
        <v>83151.680000000008</v>
      </c>
      <c r="L522" s="2013">
        <v>77425.599999999991</v>
      </c>
      <c r="M522" s="2013">
        <v>91417.919999999998</v>
      </c>
      <c r="N522" s="2013">
        <v>88109.120036799999</v>
      </c>
      <c r="O522" s="2013">
        <v>79328</v>
      </c>
      <c r="P522" s="499"/>
      <c r="Q522" s="499"/>
      <c r="R522" s="499"/>
      <c r="S522" s="499"/>
      <c r="T522" s="499"/>
      <c r="U522" s="499"/>
      <c r="V522" s="499"/>
      <c r="W522" s="499"/>
      <c r="X522" s="499"/>
      <c r="Y522" s="499"/>
      <c r="Z522" s="499"/>
      <c r="AA522" s="499"/>
      <c r="AB522" s="499"/>
      <c r="AC522" s="499"/>
      <c r="AD522" s="499"/>
      <c r="AE522" s="499"/>
      <c r="AF522" s="499"/>
      <c r="AG522" s="499"/>
      <c r="AH522" s="499"/>
      <c r="AI522" s="499"/>
      <c r="AJ522" s="499"/>
      <c r="AK522" s="499"/>
      <c r="AL522" s="499"/>
      <c r="AM522" s="499"/>
      <c r="AN522" s="499"/>
      <c r="AO522" s="499"/>
      <c r="AP522" s="499"/>
      <c r="AQ522" s="499"/>
      <c r="AR522" s="499"/>
      <c r="AS522" s="499"/>
      <c r="AT522" s="499"/>
      <c r="AU522" s="499"/>
      <c r="AV522" s="499"/>
      <c r="AW522" s="499"/>
      <c r="AX522" s="499"/>
      <c r="AY522" s="499"/>
      <c r="AZ522" s="499"/>
      <c r="BA522" s="499"/>
      <c r="BB522" s="499"/>
      <c r="BC522" s="499"/>
      <c r="BD522" s="499"/>
      <c r="BE522" s="499"/>
      <c r="BF522" s="499"/>
      <c r="BG522" s="499"/>
      <c r="BH522" s="499"/>
      <c r="BI522" s="499"/>
      <c r="BJ522" s="499"/>
      <c r="BK522" s="499"/>
      <c r="BL522" s="499"/>
      <c r="BM522" s="499"/>
      <c r="BN522" s="499"/>
      <c r="BO522" s="499"/>
      <c r="BP522" s="499"/>
      <c r="BQ522" s="499"/>
      <c r="BR522" s="499"/>
      <c r="BS522" s="499"/>
      <c r="BT522" s="499"/>
      <c r="BU522" s="499"/>
      <c r="BV522" s="499"/>
    </row>
    <row r="523" spans="1:74" s="500" customFormat="1" ht="12.75" customHeight="1" x14ac:dyDescent="0.2">
      <c r="A523" s="107"/>
      <c r="B523" s="2014">
        <v>239</v>
      </c>
      <c r="C523" s="2015" t="s">
        <v>1378</v>
      </c>
      <c r="D523" s="2016">
        <v>51000</v>
      </c>
      <c r="E523" s="2016">
        <v>52560</v>
      </c>
      <c r="F523" s="2016">
        <v>65280</v>
      </c>
      <c r="G523" s="2016">
        <v>50280</v>
      </c>
      <c r="H523" s="2016">
        <v>38640</v>
      </c>
      <c r="I523" s="2016">
        <v>32280</v>
      </c>
      <c r="J523" s="2016">
        <v>27600</v>
      </c>
      <c r="K523" s="2016">
        <v>34440</v>
      </c>
      <c r="L523" s="2016">
        <v>34080</v>
      </c>
      <c r="M523" s="2016">
        <v>37320</v>
      </c>
      <c r="N523" s="2016">
        <v>36480</v>
      </c>
      <c r="O523" s="2016">
        <v>30480</v>
      </c>
      <c r="P523" s="499"/>
      <c r="Q523" s="499"/>
      <c r="R523" s="499"/>
      <c r="S523" s="499"/>
      <c r="T523" s="499"/>
      <c r="U523" s="499"/>
      <c r="V523" s="499"/>
      <c r="W523" s="499"/>
      <c r="X523" s="499"/>
      <c r="Y523" s="499"/>
      <c r="Z523" s="499"/>
      <c r="AA523" s="499"/>
      <c r="AB523" s="499"/>
      <c r="AC523" s="499"/>
      <c r="AD523" s="499"/>
      <c r="AE523" s="499"/>
      <c r="AF523" s="499"/>
      <c r="AG523" s="499"/>
      <c r="AH523" s="499"/>
      <c r="AI523" s="499"/>
      <c r="AJ523" s="499"/>
      <c r="AK523" s="499"/>
      <c r="AL523" s="499"/>
      <c r="AM523" s="499"/>
      <c r="AN523" s="499"/>
      <c r="AO523" s="499"/>
      <c r="AP523" s="499"/>
      <c r="AQ523" s="499"/>
      <c r="AR523" s="499"/>
      <c r="AS523" s="499"/>
      <c r="AT523" s="499"/>
      <c r="AU523" s="499"/>
      <c r="AV523" s="499"/>
      <c r="AW523" s="499"/>
      <c r="AX523" s="499"/>
      <c r="AY523" s="499"/>
      <c r="AZ523" s="499"/>
      <c r="BA523" s="499"/>
      <c r="BB523" s="499"/>
      <c r="BC523" s="499"/>
      <c r="BD523" s="499"/>
      <c r="BE523" s="499"/>
      <c r="BF523" s="499"/>
      <c r="BG523" s="499"/>
      <c r="BH523" s="499"/>
      <c r="BI523" s="499"/>
      <c r="BJ523" s="499"/>
      <c r="BK523" s="499"/>
      <c r="BL523" s="499"/>
      <c r="BM523" s="499"/>
      <c r="BN523" s="499"/>
      <c r="BO523" s="499"/>
      <c r="BP523" s="499"/>
      <c r="BQ523" s="499"/>
      <c r="BR523" s="499"/>
      <c r="BS523" s="499"/>
      <c r="BT523" s="499"/>
      <c r="BU523" s="499"/>
      <c r="BV523" s="499"/>
    </row>
    <row r="524" spans="1:74" s="501" customFormat="1" ht="12.75" x14ac:dyDescent="0.2">
      <c r="A524" s="107"/>
      <c r="B524" s="2017" t="s">
        <v>889</v>
      </c>
      <c r="C524" s="834" t="s">
        <v>894</v>
      </c>
      <c r="D524" s="835">
        <v>10055.600760000001</v>
      </c>
      <c r="E524" s="835">
        <v>11052.116120000001</v>
      </c>
      <c r="F524" s="835">
        <v>12467.196980000001</v>
      </c>
      <c r="G524" s="835">
        <v>12463.33771</v>
      </c>
      <c r="H524" s="835">
        <v>12175.59196</v>
      </c>
      <c r="I524" s="835">
        <v>10104.394770000001</v>
      </c>
      <c r="J524" s="835">
        <v>8159.0232400000004</v>
      </c>
      <c r="K524" s="835">
        <v>11847.90847</v>
      </c>
      <c r="L524" s="835">
        <v>10867.325080000001</v>
      </c>
      <c r="M524" s="835">
        <v>12560.214559999999</v>
      </c>
      <c r="N524" s="835">
        <v>13202.94234</v>
      </c>
      <c r="O524" s="835">
        <v>7940.8564399999996</v>
      </c>
      <c r="P524" s="1572"/>
      <c r="Q524" s="1572"/>
      <c r="R524" s="1572"/>
      <c r="S524" s="1572"/>
      <c r="T524" s="1572"/>
      <c r="U524" s="1572"/>
      <c r="V524" s="1572"/>
      <c r="W524" s="1572"/>
      <c r="X524" s="1572"/>
      <c r="Y524" s="1572"/>
      <c r="Z524" s="1572"/>
      <c r="AA524" s="1572"/>
      <c r="AB524" s="1572"/>
      <c r="AC524" s="1572"/>
      <c r="AD524" s="1572"/>
      <c r="AE524" s="1572"/>
      <c r="AF524" s="1572"/>
      <c r="AG524" s="1572"/>
      <c r="AH524" s="1572"/>
      <c r="AI524" s="1572"/>
      <c r="AJ524" s="1572"/>
      <c r="AK524" s="1572"/>
      <c r="AL524" s="1572"/>
      <c r="AM524" s="1572"/>
      <c r="AN524" s="1572"/>
      <c r="AO524" s="1572"/>
      <c r="AP524" s="1572"/>
      <c r="AQ524" s="1572"/>
      <c r="AR524" s="1572"/>
      <c r="AS524" s="1572"/>
      <c r="AT524" s="1572"/>
      <c r="AU524" s="1572"/>
      <c r="AV524" s="1572"/>
      <c r="AW524" s="1572"/>
      <c r="AX524" s="1572"/>
      <c r="AY524" s="1572"/>
      <c r="AZ524" s="1572"/>
      <c r="BA524" s="1572"/>
      <c r="BB524" s="1572"/>
      <c r="BC524" s="1572"/>
      <c r="BD524" s="1572"/>
      <c r="BE524" s="1572"/>
      <c r="BF524" s="1572"/>
      <c r="BG524" s="1572"/>
      <c r="BH524" s="1572"/>
      <c r="BI524" s="1572"/>
      <c r="BJ524" s="1572"/>
      <c r="BK524" s="1572"/>
      <c r="BL524" s="1572"/>
      <c r="BM524" s="1572"/>
      <c r="BN524" s="1572"/>
      <c r="BO524" s="1572"/>
      <c r="BP524" s="1572"/>
      <c r="BQ524" s="1572"/>
      <c r="BR524" s="1572"/>
      <c r="BS524" s="1572"/>
      <c r="BT524" s="1572"/>
      <c r="BU524" s="1572"/>
      <c r="BV524" s="1572"/>
    </row>
    <row r="525" spans="1:74" s="500" customFormat="1" ht="12.75" x14ac:dyDescent="0.2">
      <c r="A525" s="107"/>
      <c r="B525" s="2017">
        <v>315</v>
      </c>
      <c r="C525" s="834" t="s">
        <v>895</v>
      </c>
      <c r="D525" s="835">
        <v>7278.9497200000005</v>
      </c>
      <c r="E525" s="835">
        <v>6102.3156399999998</v>
      </c>
      <c r="F525" s="835">
        <v>7874.4200599999995</v>
      </c>
      <c r="G525" s="835">
        <v>6755.4263700000001</v>
      </c>
      <c r="H525" s="835">
        <v>5718.2861199999998</v>
      </c>
      <c r="I525" s="835">
        <v>4621.7521900000002</v>
      </c>
      <c r="J525" s="835">
        <v>2803.9182799999999</v>
      </c>
      <c r="K525" s="835">
        <v>5070.1960900000004</v>
      </c>
      <c r="L525" s="835">
        <v>4801.7407599999997</v>
      </c>
      <c r="M525" s="835">
        <v>5760.2983199999999</v>
      </c>
      <c r="N525" s="835">
        <v>6406.1559800000005</v>
      </c>
      <c r="O525" s="835">
        <v>4402.4386800000002</v>
      </c>
      <c r="P525" s="1572"/>
      <c r="Q525" s="1572"/>
      <c r="R525" s="1572"/>
      <c r="S525" s="1572"/>
      <c r="T525" s="1572"/>
      <c r="U525" s="1572"/>
      <c r="V525" s="1572"/>
      <c r="W525" s="1572"/>
      <c r="X525" s="1572"/>
      <c r="Y525" s="1572"/>
      <c r="Z525" s="1572"/>
      <c r="AA525" s="1572"/>
      <c r="AB525" s="1572"/>
      <c r="AC525" s="1572"/>
      <c r="AD525" s="1572"/>
      <c r="AE525" s="1572"/>
      <c r="AF525" s="1572"/>
      <c r="AG525" s="1572"/>
      <c r="AH525" s="1572"/>
      <c r="AI525" s="1572"/>
      <c r="AJ525" s="1572"/>
      <c r="AK525" s="1572"/>
      <c r="AL525" s="1572"/>
      <c r="AM525" s="1572"/>
      <c r="AN525" s="1572"/>
      <c r="AO525" s="1572"/>
      <c r="AP525" s="1572"/>
      <c r="AQ525" s="1572"/>
      <c r="AR525" s="1572"/>
      <c r="AS525" s="1572"/>
      <c r="AT525" s="1572"/>
      <c r="AU525" s="1572"/>
      <c r="AV525" s="1572"/>
      <c r="AW525" s="1572"/>
      <c r="AX525" s="1572"/>
      <c r="AY525" s="1572"/>
      <c r="AZ525" s="1572"/>
      <c r="BA525" s="1572"/>
      <c r="BB525" s="1572"/>
      <c r="BC525" s="1572"/>
      <c r="BD525" s="1572"/>
      <c r="BE525" s="1572"/>
      <c r="BF525" s="1572"/>
      <c r="BG525" s="1572"/>
      <c r="BH525" s="1572"/>
      <c r="BI525" s="1572"/>
      <c r="BJ525" s="1572"/>
      <c r="BK525" s="1572"/>
      <c r="BL525" s="1572"/>
      <c r="BM525" s="1572"/>
      <c r="BN525" s="1572"/>
      <c r="BO525" s="1572"/>
      <c r="BP525" s="1572"/>
      <c r="BQ525" s="1572"/>
      <c r="BR525" s="1572"/>
      <c r="BS525" s="1572"/>
      <c r="BT525" s="1572"/>
      <c r="BU525" s="1572"/>
      <c r="BV525" s="1572"/>
    </row>
    <row r="526" spans="1:74" s="500" customFormat="1" ht="12.75" x14ac:dyDescent="0.2">
      <c r="A526" s="107"/>
      <c r="B526" s="2017" t="s">
        <v>892</v>
      </c>
      <c r="C526" s="834" t="s">
        <v>896</v>
      </c>
      <c r="D526" s="835">
        <v>7028.1895200000008</v>
      </c>
      <c r="E526" s="835">
        <v>8163.1882400000004</v>
      </c>
      <c r="F526" s="835">
        <v>9835.8529600000002</v>
      </c>
      <c r="G526" s="835">
        <v>8613.0759199999993</v>
      </c>
      <c r="H526" s="835">
        <v>7643.8719199999996</v>
      </c>
      <c r="I526" s="835">
        <v>6303.9930400000003</v>
      </c>
      <c r="J526" s="835">
        <v>5495.1384800000005</v>
      </c>
      <c r="K526" s="835">
        <v>6938.1154399999996</v>
      </c>
      <c r="L526" s="835">
        <v>6658.6141600000001</v>
      </c>
      <c r="M526" s="835">
        <v>7856.6571200000008</v>
      </c>
      <c r="N526" s="835">
        <v>7573.36168</v>
      </c>
      <c r="O526" s="835">
        <v>6821.5048799999995</v>
      </c>
      <c r="P526" s="1572"/>
      <c r="Q526" s="1572"/>
      <c r="R526" s="1572"/>
      <c r="S526" s="1572"/>
      <c r="T526" s="1572"/>
      <c r="U526" s="1572"/>
      <c r="V526" s="1572"/>
      <c r="W526" s="1572"/>
      <c r="X526" s="1572"/>
      <c r="Y526" s="1572"/>
      <c r="Z526" s="1572"/>
      <c r="AA526" s="1572"/>
      <c r="AB526" s="1572"/>
      <c r="AC526" s="1572"/>
      <c r="AD526" s="1572"/>
      <c r="AE526" s="1572"/>
      <c r="AF526" s="1572"/>
      <c r="AG526" s="1572"/>
      <c r="AH526" s="1572"/>
      <c r="AI526" s="1572"/>
      <c r="AJ526" s="1572"/>
      <c r="AK526" s="1572"/>
      <c r="AL526" s="1572"/>
      <c r="AM526" s="1572"/>
      <c r="AN526" s="1572"/>
      <c r="AO526" s="1572"/>
      <c r="AP526" s="1572"/>
      <c r="AQ526" s="1572"/>
      <c r="AR526" s="1572"/>
      <c r="AS526" s="1572"/>
      <c r="AT526" s="1572"/>
      <c r="AU526" s="1572"/>
      <c r="AV526" s="1572"/>
      <c r="AW526" s="1572"/>
      <c r="AX526" s="1572"/>
      <c r="AY526" s="1572"/>
      <c r="AZ526" s="1572"/>
      <c r="BA526" s="1572"/>
      <c r="BB526" s="1572"/>
      <c r="BC526" s="1572"/>
      <c r="BD526" s="1572"/>
      <c r="BE526" s="1572"/>
      <c r="BF526" s="1572"/>
      <c r="BG526" s="1572"/>
      <c r="BH526" s="1572"/>
      <c r="BI526" s="1572"/>
      <c r="BJ526" s="1572"/>
      <c r="BK526" s="1572"/>
      <c r="BL526" s="1572"/>
      <c r="BM526" s="1572"/>
      <c r="BN526" s="1572"/>
      <c r="BO526" s="1572"/>
      <c r="BP526" s="1572"/>
      <c r="BQ526" s="1572"/>
      <c r="BR526" s="1572"/>
      <c r="BS526" s="1572"/>
      <c r="BT526" s="1572"/>
      <c r="BU526" s="1572"/>
      <c r="BV526" s="1572"/>
    </row>
    <row r="527" spans="1:74" s="26" customFormat="1" ht="12.75" x14ac:dyDescent="0.2">
      <c r="A527" s="107"/>
      <c r="B527" s="2018">
        <v>239</v>
      </c>
      <c r="C527" s="2019" t="s">
        <v>1379</v>
      </c>
      <c r="D527" s="2020">
        <v>4120.51</v>
      </c>
      <c r="E527" s="2020">
        <v>4246.17</v>
      </c>
      <c r="F527" s="2020">
        <v>5270.77</v>
      </c>
      <c r="G527" s="2020">
        <v>4062.51</v>
      </c>
      <c r="H527" s="2020">
        <v>3124.9</v>
      </c>
      <c r="I527" s="2020">
        <v>2612.6</v>
      </c>
      <c r="J527" s="2020">
        <v>2235.63</v>
      </c>
      <c r="K527" s="2020">
        <v>2870.88</v>
      </c>
      <c r="L527" s="2020">
        <v>2930.37</v>
      </c>
      <c r="M527" s="2020">
        <v>3207.77</v>
      </c>
      <c r="N527" s="2020">
        <v>3135.85</v>
      </c>
      <c r="O527" s="2020">
        <v>2622.13</v>
      </c>
      <c r="P527" s="836"/>
      <c r="Q527" s="836"/>
      <c r="R527" s="836"/>
      <c r="S527" s="836"/>
      <c r="T527" s="836"/>
      <c r="U527" s="836"/>
      <c r="V527" s="836"/>
      <c r="W527" s="836"/>
      <c r="X527" s="836"/>
      <c r="Y527" s="836"/>
      <c r="Z527" s="836"/>
      <c r="AA527" s="836"/>
      <c r="AB527" s="836"/>
      <c r="AC527" s="836"/>
      <c r="AD527" s="836"/>
      <c r="AE527" s="836"/>
      <c r="AF527" s="836"/>
      <c r="AG527" s="836"/>
      <c r="AH527" s="836"/>
      <c r="AI527" s="836"/>
      <c r="AJ527" s="836"/>
      <c r="AK527" s="836"/>
      <c r="AL527" s="836"/>
      <c r="AM527" s="836"/>
      <c r="AN527" s="836"/>
      <c r="AO527" s="836"/>
      <c r="AP527" s="836"/>
      <c r="AQ527" s="836"/>
      <c r="AR527" s="836"/>
      <c r="AS527" s="836"/>
      <c r="AT527" s="836"/>
      <c r="AU527" s="836"/>
      <c r="AV527" s="836"/>
      <c r="AW527" s="836"/>
      <c r="AX527" s="836"/>
      <c r="AY527" s="836"/>
    </row>
    <row r="528" spans="1:74" s="500" customFormat="1" ht="12.75" x14ac:dyDescent="0.2">
      <c r="A528" s="107"/>
      <c r="B528" s="1571"/>
      <c r="D528"/>
      <c r="E528"/>
      <c r="F528"/>
      <c r="G528"/>
      <c r="H528"/>
      <c r="I528"/>
      <c r="J528"/>
      <c r="K528"/>
      <c r="L528"/>
      <c r="M528"/>
      <c r="N528"/>
      <c r="O528"/>
      <c r="P528" s="499"/>
      <c r="Q528" s="499"/>
      <c r="R528" s="499"/>
      <c r="S528" s="499"/>
      <c r="T528" s="499"/>
      <c r="U528" s="499"/>
      <c r="V528" s="499"/>
      <c r="W528" s="499"/>
      <c r="X528" s="499"/>
      <c r="Y528" s="499"/>
      <c r="Z528" s="499"/>
      <c r="AA528" s="499"/>
      <c r="AB528" s="499"/>
      <c r="AC528" s="499"/>
      <c r="AD528" s="499"/>
      <c r="AE528" s="499"/>
      <c r="AF528" s="499"/>
      <c r="AG528" s="499"/>
      <c r="AH528" s="499"/>
      <c r="AI528" s="499"/>
      <c r="AJ528" s="499"/>
      <c r="AK528" s="499"/>
      <c r="AL528" s="499"/>
      <c r="AM528" s="499"/>
      <c r="AN528" s="499"/>
      <c r="AO528" s="499"/>
      <c r="AP528" s="499"/>
      <c r="AQ528" s="499"/>
      <c r="AR528" s="499"/>
      <c r="AS528" s="499"/>
      <c r="AT528" s="499"/>
      <c r="AU528" s="499"/>
      <c r="AV528" s="499"/>
      <c r="AW528" s="499"/>
      <c r="AX528" s="499"/>
      <c r="AY528" s="499"/>
      <c r="AZ528" s="499"/>
      <c r="BA528" s="499"/>
      <c r="BB528" s="499"/>
      <c r="BC528" s="499"/>
      <c r="BD528" s="499"/>
      <c r="BE528" s="499"/>
      <c r="BF528" s="499"/>
      <c r="BG528" s="499"/>
      <c r="BH528" s="499"/>
      <c r="BI528" s="499"/>
      <c r="BJ528" s="499"/>
      <c r="BK528" s="499"/>
      <c r="BL528" s="499"/>
      <c r="BM528" s="499"/>
      <c r="BN528" s="499"/>
      <c r="BO528" s="499"/>
      <c r="BP528" s="499"/>
      <c r="BQ528" s="499"/>
      <c r="BR528" s="499"/>
      <c r="BS528" s="499"/>
      <c r="BT528" s="499"/>
      <c r="BU528" s="499"/>
      <c r="BV528" s="499"/>
    </row>
    <row r="529" spans="1:74" s="26" customFormat="1" ht="12.75" x14ac:dyDescent="0.2">
      <c r="A529" s="1836"/>
      <c r="B529" s="1946" t="s">
        <v>897</v>
      </c>
      <c r="C529" s="1947"/>
      <c r="D529"/>
      <c r="E529"/>
      <c r="F529"/>
      <c r="G529"/>
      <c r="H529"/>
      <c r="I529"/>
      <c r="J529"/>
      <c r="K529"/>
      <c r="L529"/>
      <c r="M529"/>
      <c r="N529"/>
      <c r="O529"/>
      <c r="P529" s="1838"/>
      <c r="Q529" s="1838"/>
      <c r="R529" s="1838"/>
      <c r="S529" s="1838"/>
      <c r="T529" s="1838"/>
      <c r="U529" s="1838"/>
      <c r="V529" s="1838"/>
      <c r="W529" s="1838"/>
      <c r="X529" s="1838"/>
      <c r="Y529" s="1838"/>
      <c r="Z529" s="1838"/>
      <c r="AA529" s="1838"/>
      <c r="AB529" s="1838"/>
      <c r="AC529" s="1838"/>
      <c r="AD529" s="1838"/>
      <c r="AE529" s="1838"/>
      <c r="AF529" s="1838"/>
      <c r="AG529" s="1838"/>
      <c r="AH529" s="1838"/>
      <c r="AI529" s="1838"/>
      <c r="AJ529" s="1838"/>
      <c r="AK529" s="1838"/>
      <c r="AL529" s="1838"/>
      <c r="AM529" s="1838"/>
      <c r="AN529" s="1838"/>
      <c r="AO529" s="1838"/>
      <c r="AP529" s="1838"/>
      <c r="AQ529" s="1838"/>
      <c r="AR529" s="1838"/>
      <c r="AS529" s="1838"/>
      <c r="AT529" s="1838"/>
      <c r="AU529" s="1838"/>
      <c r="AV529" s="1838"/>
      <c r="AW529" s="1838"/>
      <c r="AX529" s="1838"/>
      <c r="AY529" s="1838"/>
      <c r="AZ529" s="1838"/>
      <c r="BA529" s="1838"/>
      <c r="BB529" s="1838"/>
      <c r="BC529" s="1838"/>
      <c r="BD529" s="1838"/>
      <c r="BE529" s="1838"/>
      <c r="BF529" s="1838"/>
      <c r="BG529" s="1838"/>
      <c r="BH529" s="1838"/>
      <c r="BI529" s="1838"/>
      <c r="BJ529" s="1838"/>
      <c r="BK529" s="1838"/>
      <c r="BL529" s="1838"/>
      <c r="BM529" s="1838"/>
      <c r="BN529" s="1838"/>
      <c r="BO529" s="1838"/>
      <c r="BP529" s="1838"/>
      <c r="BQ529" s="1838"/>
      <c r="BR529" s="1838"/>
      <c r="BS529" s="1838"/>
      <c r="BT529" s="1838"/>
      <c r="BU529" s="1838"/>
      <c r="BV529" s="1838"/>
    </row>
    <row r="530" spans="1:74" s="500" customFormat="1" ht="12.75" x14ac:dyDescent="0.2">
      <c r="A530" s="107"/>
      <c r="B530" s="1564" t="s">
        <v>654</v>
      </c>
      <c r="C530" s="825" t="s">
        <v>655</v>
      </c>
      <c r="D530" s="826">
        <v>42552</v>
      </c>
      <c r="E530" s="826">
        <v>42583</v>
      </c>
      <c r="F530" s="826">
        <v>42614</v>
      </c>
      <c r="G530" s="826">
        <v>42644</v>
      </c>
      <c r="H530" s="826">
        <v>42675</v>
      </c>
      <c r="I530" s="826">
        <v>42705</v>
      </c>
      <c r="J530" s="826">
        <v>42736</v>
      </c>
      <c r="K530" s="826">
        <v>42767</v>
      </c>
      <c r="L530" s="826">
        <v>42795</v>
      </c>
      <c r="M530" s="826">
        <v>42826</v>
      </c>
      <c r="N530" s="826">
        <v>42856</v>
      </c>
      <c r="O530" s="826">
        <v>42887</v>
      </c>
      <c r="P530" s="499"/>
      <c r="Q530" s="499"/>
      <c r="R530" s="499"/>
      <c r="S530" s="499"/>
      <c r="T530" s="499"/>
      <c r="U530" s="499"/>
      <c r="V530" s="499"/>
      <c r="W530" s="499"/>
      <c r="X530" s="499"/>
      <c r="Y530" s="499"/>
      <c r="Z530" s="499"/>
      <c r="AA530" s="499"/>
      <c r="AB530" s="499"/>
      <c r="AC530" s="499"/>
      <c r="AD530" s="499"/>
      <c r="AE530" s="499"/>
      <c r="AF530" s="499"/>
      <c r="AG530" s="499"/>
      <c r="AH530" s="499"/>
      <c r="AI530" s="499"/>
      <c r="AJ530" s="499"/>
      <c r="AK530" s="499"/>
      <c r="AL530" s="499"/>
      <c r="AM530" s="499"/>
      <c r="AN530" s="499"/>
      <c r="AO530" s="499"/>
      <c r="AP530" s="499"/>
      <c r="AQ530" s="499"/>
      <c r="AR530" s="499"/>
      <c r="AS530" s="499"/>
      <c r="AT530" s="499"/>
      <c r="AU530" s="499"/>
      <c r="AV530" s="499"/>
      <c r="AW530" s="499"/>
      <c r="AX530" s="499"/>
      <c r="AY530" s="499"/>
      <c r="AZ530" s="499"/>
      <c r="BA530" s="499"/>
      <c r="BB530" s="499"/>
      <c r="BC530" s="499"/>
      <c r="BD530" s="499"/>
      <c r="BE530" s="499"/>
      <c r="BF530" s="499"/>
      <c r="BG530" s="499"/>
      <c r="BH530" s="499"/>
      <c r="BI530" s="499"/>
      <c r="BJ530" s="499"/>
      <c r="BK530" s="499"/>
      <c r="BL530" s="499"/>
      <c r="BM530" s="499"/>
      <c r="BN530" s="499"/>
      <c r="BO530" s="499"/>
      <c r="BP530" s="499"/>
      <c r="BQ530" s="499"/>
      <c r="BR530" s="499"/>
      <c r="BS530" s="499"/>
      <c r="BT530" s="499"/>
      <c r="BU530" s="499"/>
      <c r="BV530" s="499"/>
    </row>
    <row r="531" spans="1:74" s="500" customFormat="1" ht="12.75" customHeight="1" x14ac:dyDescent="0.2">
      <c r="A531" s="107"/>
      <c r="B531" s="2021" t="s">
        <v>889</v>
      </c>
      <c r="C531" s="2022" t="s">
        <v>898</v>
      </c>
      <c r="D531" s="2023">
        <v>292804.2</v>
      </c>
      <c r="E531" s="2023">
        <v>311990.80000000005</v>
      </c>
      <c r="F531" s="2023">
        <v>263607.2</v>
      </c>
      <c r="G531" s="2023">
        <v>227736.5991658</v>
      </c>
      <c r="H531" s="2023">
        <v>376224.2</v>
      </c>
      <c r="I531" s="2023">
        <v>459644.2</v>
      </c>
      <c r="J531" s="2023">
        <v>623981.60000000009</v>
      </c>
      <c r="K531" s="2023">
        <v>372887.4</v>
      </c>
      <c r="L531" s="2023">
        <v>511364.60000000003</v>
      </c>
      <c r="M531" s="2023">
        <v>386234.60000000003</v>
      </c>
      <c r="N531" s="2023">
        <v>488007.00000000006</v>
      </c>
      <c r="O531" s="2023">
        <v>330343.19916580006</v>
      </c>
      <c r="P531" s="499"/>
      <c r="Q531" s="499"/>
      <c r="R531" s="499"/>
      <c r="S531" s="499"/>
      <c r="T531" s="499"/>
      <c r="U531" s="499"/>
      <c r="V531" s="499"/>
      <c r="W531" s="499"/>
      <c r="X531" s="499"/>
      <c r="Y531" s="499"/>
      <c r="Z531" s="499"/>
      <c r="AA531" s="499"/>
      <c r="AB531" s="499"/>
      <c r="AC531" s="499"/>
      <c r="AD531" s="499"/>
      <c r="AE531" s="499"/>
      <c r="AF531" s="499"/>
      <c r="AG531" s="499"/>
      <c r="AH531" s="499"/>
      <c r="AI531" s="499"/>
      <c r="AJ531" s="499"/>
      <c r="AK531" s="499"/>
      <c r="AL531" s="499"/>
      <c r="AM531" s="499"/>
      <c r="AN531" s="499"/>
      <c r="AO531" s="499"/>
      <c r="AP531" s="499"/>
      <c r="AQ531" s="499"/>
      <c r="AR531" s="499"/>
      <c r="AS531" s="499"/>
      <c r="AT531" s="499"/>
      <c r="AU531" s="499"/>
      <c r="AV531" s="499"/>
      <c r="AW531" s="499"/>
      <c r="AX531" s="499"/>
      <c r="AY531" s="499"/>
      <c r="AZ531" s="499"/>
      <c r="BA531" s="499"/>
      <c r="BB531" s="499"/>
      <c r="BC531" s="499"/>
      <c r="BD531" s="499"/>
      <c r="BE531" s="499"/>
      <c r="BF531" s="499"/>
      <c r="BG531" s="499"/>
      <c r="BH531" s="499"/>
      <c r="BI531" s="499"/>
      <c r="BJ531" s="499"/>
      <c r="BK531" s="499"/>
      <c r="BL531" s="499"/>
      <c r="BM531" s="499"/>
      <c r="BN531" s="499"/>
      <c r="BO531" s="499"/>
      <c r="BP531" s="499"/>
      <c r="BQ531" s="499"/>
      <c r="BR531" s="499"/>
      <c r="BS531" s="499"/>
      <c r="BT531" s="499"/>
      <c r="BU531" s="499"/>
      <c r="BV531" s="499"/>
    </row>
    <row r="532" spans="1:74" s="500" customFormat="1" ht="12.75" customHeight="1" x14ac:dyDescent="0.2">
      <c r="A532" s="107"/>
      <c r="B532" s="2024">
        <v>315</v>
      </c>
      <c r="C532" s="2025" t="s">
        <v>899</v>
      </c>
      <c r="D532" s="2026">
        <v>70907</v>
      </c>
      <c r="E532" s="2026">
        <v>87591</v>
      </c>
      <c r="F532" s="2026">
        <v>136808.80000000002</v>
      </c>
      <c r="G532" s="2026">
        <v>139311.40000000002</v>
      </c>
      <c r="H532" s="2026">
        <v>241918.00000000003</v>
      </c>
      <c r="I532" s="2026">
        <v>150990.20000000001</v>
      </c>
      <c r="J532" s="2026">
        <v>226902.40000000002</v>
      </c>
      <c r="K532" s="2026">
        <v>146819.20000000001</v>
      </c>
      <c r="L532" s="2026">
        <v>222731.40000000002</v>
      </c>
      <c r="M532" s="2026">
        <v>121793.20000000001</v>
      </c>
      <c r="N532" s="2026">
        <v>102606.6</v>
      </c>
      <c r="O532" s="2026">
        <v>73409.600000000006</v>
      </c>
      <c r="P532" s="499"/>
      <c r="Q532" s="499"/>
      <c r="R532" s="499"/>
      <c r="S532" s="499"/>
      <c r="T532" s="499"/>
      <c r="U532" s="499"/>
      <c r="V532" s="499"/>
      <c r="W532" s="499"/>
      <c r="X532" s="499"/>
      <c r="Y532" s="499"/>
      <c r="Z532" s="499"/>
      <c r="AA532" s="499"/>
      <c r="AB532" s="499"/>
      <c r="AC532" s="499"/>
      <c r="AD532" s="499"/>
      <c r="AE532" s="499"/>
      <c r="AF532" s="499"/>
      <c r="AG532" s="499"/>
      <c r="AH532" s="499"/>
      <c r="AI532" s="499"/>
      <c r="AJ532" s="499"/>
      <c r="AK532" s="499"/>
      <c r="AL532" s="499"/>
      <c r="AM532" s="499"/>
      <c r="AN532" s="499"/>
      <c r="AO532" s="499"/>
      <c r="AP532" s="499"/>
      <c r="AQ532" s="499"/>
      <c r="AR532" s="499"/>
      <c r="AS532" s="499"/>
      <c r="AT532" s="499"/>
      <c r="AU532" s="499"/>
      <c r="AV532" s="499"/>
      <c r="AW532" s="499"/>
      <c r="AX532" s="499"/>
      <c r="AY532" s="499"/>
      <c r="AZ532" s="499"/>
      <c r="BA532" s="499"/>
      <c r="BB532" s="499"/>
      <c r="BC532" s="499"/>
      <c r="BD532" s="499"/>
      <c r="BE532" s="499"/>
      <c r="BF532" s="499"/>
      <c r="BG532" s="499"/>
      <c r="BH532" s="499"/>
      <c r="BI532" s="499"/>
      <c r="BJ532" s="499"/>
      <c r="BK532" s="499"/>
      <c r="BL532" s="499"/>
      <c r="BM532" s="499"/>
      <c r="BN532" s="499"/>
      <c r="BO532" s="499"/>
      <c r="BP532" s="499"/>
      <c r="BQ532" s="499"/>
      <c r="BR532" s="499"/>
      <c r="BS532" s="499"/>
      <c r="BT532" s="499"/>
      <c r="BU532" s="499"/>
      <c r="BV532" s="499"/>
    </row>
    <row r="533" spans="1:74" s="501" customFormat="1" ht="12.75" x14ac:dyDescent="0.2">
      <c r="A533" s="107"/>
      <c r="B533" s="2024" t="s">
        <v>892</v>
      </c>
      <c r="C533" s="2025" t="s">
        <v>900</v>
      </c>
      <c r="D533" s="2026">
        <v>221897.2</v>
      </c>
      <c r="E533" s="2026">
        <v>250260</v>
      </c>
      <c r="F533" s="2026">
        <v>302814.59999999998</v>
      </c>
      <c r="G533" s="2026">
        <v>260270.40000000002</v>
      </c>
      <c r="H533" s="2026">
        <v>444628.6</v>
      </c>
      <c r="I533" s="2026">
        <v>537224.80000000005</v>
      </c>
      <c r="J533" s="2026">
        <v>506359.4</v>
      </c>
      <c r="K533" s="2026">
        <v>471323.00000000006</v>
      </c>
      <c r="L533" s="2026">
        <v>412929</v>
      </c>
      <c r="M533" s="2026">
        <v>266944</v>
      </c>
      <c r="N533" s="2026">
        <v>260270.40000000002</v>
      </c>
      <c r="O533" s="2026">
        <v>253596.80000000005</v>
      </c>
      <c r="P533" s="1572"/>
      <c r="Q533" s="1572"/>
      <c r="R533" s="1572"/>
      <c r="S533" s="1572"/>
      <c r="T533" s="1572"/>
      <c r="U533" s="1572"/>
      <c r="V533" s="1572"/>
      <c r="W533" s="1572"/>
      <c r="X533" s="1572"/>
      <c r="Y533" s="1572"/>
      <c r="Z533" s="1572"/>
      <c r="AA533" s="1572"/>
      <c r="AB533" s="1572"/>
      <c r="AC533" s="1572"/>
      <c r="AD533" s="1572"/>
      <c r="AE533" s="1572"/>
      <c r="AF533" s="1572"/>
      <c r="AG533" s="1572"/>
      <c r="AH533" s="1572"/>
      <c r="AI533" s="1572"/>
      <c r="AJ533" s="1572"/>
      <c r="AK533" s="1572"/>
      <c r="AL533" s="1572"/>
      <c r="AM533" s="1572"/>
      <c r="AN533" s="1572"/>
      <c r="AO533" s="1572"/>
      <c r="AP533" s="1572"/>
      <c r="AQ533" s="1572"/>
      <c r="AR533" s="1572"/>
      <c r="AS533" s="1572"/>
      <c r="AT533" s="1572"/>
      <c r="AU533" s="1572"/>
      <c r="AV533" s="1572"/>
      <c r="AW533" s="1572"/>
      <c r="AX533" s="1572"/>
      <c r="AY533" s="1572"/>
      <c r="AZ533" s="1572"/>
      <c r="BA533" s="1572"/>
      <c r="BB533" s="1572"/>
      <c r="BC533" s="1572"/>
      <c r="BD533" s="1572"/>
      <c r="BE533" s="1572"/>
      <c r="BF533" s="1572"/>
      <c r="BG533" s="1572"/>
      <c r="BH533" s="1572"/>
      <c r="BI533" s="1572"/>
      <c r="BJ533" s="1572"/>
      <c r="BK533" s="1572"/>
      <c r="BL533" s="1572"/>
      <c r="BM533" s="1572"/>
      <c r="BN533" s="1572"/>
      <c r="BO533" s="1572"/>
      <c r="BP533" s="1572"/>
      <c r="BQ533" s="1572"/>
      <c r="BR533" s="1572"/>
      <c r="BS533" s="1572"/>
      <c r="BT533" s="1572"/>
      <c r="BU533" s="1572"/>
      <c r="BV533" s="1572"/>
    </row>
    <row r="534" spans="1:74" s="500" customFormat="1" ht="12.75" x14ac:dyDescent="0.2">
      <c r="A534" s="107"/>
      <c r="B534" s="2027">
        <v>239</v>
      </c>
      <c r="C534" s="2028" t="s">
        <v>1380</v>
      </c>
      <c r="D534" s="2029">
        <v>33368</v>
      </c>
      <c r="E534" s="2029">
        <v>39207.4</v>
      </c>
      <c r="F534" s="2029">
        <v>55057.200000000004</v>
      </c>
      <c r="G534" s="2029">
        <v>47549.4</v>
      </c>
      <c r="H534" s="2029">
        <v>68404.400000000009</v>
      </c>
      <c r="I534" s="2029">
        <v>90927.8</v>
      </c>
      <c r="J534" s="2029">
        <v>95933</v>
      </c>
      <c r="K534" s="2029">
        <v>77580.600000000006</v>
      </c>
      <c r="L534" s="2029">
        <v>94264.6</v>
      </c>
      <c r="M534" s="2029">
        <v>49217.8</v>
      </c>
      <c r="N534" s="2029">
        <v>38373.200000000004</v>
      </c>
      <c r="O534" s="2029">
        <v>39207.4</v>
      </c>
      <c r="P534" s="1572"/>
      <c r="Q534" s="1572"/>
      <c r="R534" s="1572"/>
      <c r="S534" s="1572"/>
      <c r="T534" s="1572"/>
      <c r="U534" s="1572"/>
      <c r="V534" s="1572"/>
      <c r="W534" s="1572"/>
      <c r="X534" s="1572"/>
      <c r="Y534" s="1572"/>
      <c r="Z534" s="1572"/>
      <c r="AA534" s="1572"/>
      <c r="AB534" s="1572"/>
      <c r="AC534" s="1572"/>
      <c r="AD534" s="1572"/>
      <c r="AE534" s="1572"/>
      <c r="AF534" s="1572"/>
      <c r="AG534" s="1572"/>
      <c r="AH534" s="1572"/>
      <c r="AI534" s="1572"/>
      <c r="AJ534" s="1572"/>
      <c r="AK534" s="1572"/>
      <c r="AL534" s="1572"/>
      <c r="AM534" s="1572"/>
      <c r="AN534" s="1572"/>
      <c r="AO534" s="1572"/>
      <c r="AP534" s="1572"/>
      <c r="AQ534" s="1572"/>
      <c r="AR534" s="1572"/>
      <c r="AS534" s="1572"/>
      <c r="AT534" s="1572"/>
      <c r="AU534" s="1572"/>
      <c r="AV534" s="1572"/>
      <c r="AW534" s="1572"/>
      <c r="AX534" s="1572"/>
      <c r="AY534" s="1572"/>
      <c r="AZ534" s="1572"/>
      <c r="BA534" s="1572"/>
      <c r="BB534" s="1572"/>
      <c r="BC534" s="1572"/>
      <c r="BD534" s="1572"/>
      <c r="BE534" s="1572"/>
      <c r="BF534" s="1572"/>
      <c r="BG534" s="1572"/>
      <c r="BH534" s="1572"/>
      <c r="BI534" s="1572"/>
      <c r="BJ534" s="1572"/>
      <c r="BK534" s="1572"/>
      <c r="BL534" s="1572"/>
      <c r="BM534" s="1572"/>
      <c r="BN534" s="1572"/>
      <c r="BO534" s="1572"/>
      <c r="BP534" s="1572"/>
      <c r="BQ534" s="1572"/>
      <c r="BR534" s="1572"/>
      <c r="BS534" s="1572"/>
      <c r="BT534" s="1572"/>
      <c r="BU534" s="1572"/>
      <c r="BV534" s="1572"/>
    </row>
    <row r="535" spans="1:74" s="500" customFormat="1" ht="12.75" x14ac:dyDescent="0.2">
      <c r="A535" s="107"/>
      <c r="B535" s="2017" t="s">
        <v>889</v>
      </c>
      <c r="C535" s="834" t="s">
        <v>901</v>
      </c>
      <c r="D535" s="835">
        <v>6149.52</v>
      </c>
      <c r="E535" s="835">
        <v>6552.48</v>
      </c>
      <c r="F535" s="835">
        <v>5536.32</v>
      </c>
      <c r="G535" s="835">
        <v>4782.96</v>
      </c>
      <c r="H535" s="835">
        <v>7901.52</v>
      </c>
      <c r="I535" s="835">
        <v>9653.52</v>
      </c>
      <c r="J535" s="835">
        <v>13104.96</v>
      </c>
      <c r="K535" s="835">
        <v>7831.44</v>
      </c>
      <c r="L535" s="835">
        <v>10739.76</v>
      </c>
      <c r="M535" s="835">
        <v>8111.76</v>
      </c>
      <c r="N535" s="835">
        <v>10249.200000000001</v>
      </c>
      <c r="O535" s="835">
        <v>8589.24</v>
      </c>
      <c r="P535" s="499"/>
      <c r="Q535" s="499"/>
      <c r="R535" s="499"/>
      <c r="S535" s="499"/>
      <c r="T535" s="499"/>
      <c r="U535" s="499"/>
      <c r="V535" s="499"/>
      <c r="W535" s="499"/>
      <c r="X535" s="499"/>
      <c r="Y535" s="499"/>
      <c r="Z535" s="499"/>
      <c r="AA535" s="499"/>
      <c r="AB535" s="499"/>
      <c r="AC535" s="499"/>
      <c r="AD535" s="499"/>
      <c r="AE535" s="499"/>
      <c r="AF535" s="499"/>
      <c r="AG535" s="499"/>
      <c r="AH535" s="499"/>
      <c r="AI535" s="499"/>
      <c r="AJ535" s="499"/>
      <c r="AK535" s="499"/>
      <c r="AL535" s="499"/>
      <c r="AM535" s="499"/>
      <c r="AN535" s="499"/>
      <c r="AO535" s="499"/>
      <c r="AP535" s="499"/>
      <c r="AQ535" s="499"/>
      <c r="AR535" s="499"/>
      <c r="AS535" s="499"/>
      <c r="AT535" s="499"/>
      <c r="AU535" s="499"/>
      <c r="AV535" s="499"/>
      <c r="AW535" s="499"/>
      <c r="AX535" s="499"/>
      <c r="AY535" s="499"/>
      <c r="AZ535" s="499"/>
      <c r="BA535" s="499"/>
      <c r="BB535" s="499"/>
      <c r="BC535" s="499"/>
      <c r="BD535" s="499"/>
      <c r="BE535" s="499"/>
      <c r="BF535" s="499"/>
      <c r="BG535" s="499"/>
      <c r="BH535" s="499"/>
      <c r="BI535" s="499"/>
      <c r="BJ535" s="499"/>
      <c r="BK535" s="499"/>
      <c r="BL535" s="499"/>
      <c r="BM535" s="499"/>
      <c r="BN535" s="499"/>
      <c r="BO535" s="499"/>
      <c r="BP535" s="499"/>
      <c r="BQ535" s="499"/>
      <c r="BR535" s="499"/>
      <c r="BS535" s="499"/>
      <c r="BT535" s="499"/>
      <c r="BU535" s="499"/>
      <c r="BV535" s="499"/>
    </row>
    <row r="536" spans="1:74" s="26" customFormat="1" ht="12.75" x14ac:dyDescent="0.2">
      <c r="A536" s="1836"/>
      <c r="B536" s="2017">
        <v>315</v>
      </c>
      <c r="C536" s="834" t="s">
        <v>902</v>
      </c>
      <c r="D536" s="835">
        <v>1489.2</v>
      </c>
      <c r="E536" s="835">
        <v>1839.6</v>
      </c>
      <c r="F536" s="835">
        <v>2873.28</v>
      </c>
      <c r="G536" s="835">
        <v>2925.84</v>
      </c>
      <c r="H536" s="835">
        <v>5080.8</v>
      </c>
      <c r="I536" s="835">
        <v>3171.12</v>
      </c>
      <c r="J536" s="835">
        <v>4765.4399999999996</v>
      </c>
      <c r="K536" s="835">
        <v>3083.52</v>
      </c>
      <c r="L536" s="835">
        <v>4677.84</v>
      </c>
      <c r="M536" s="835">
        <v>2557.92</v>
      </c>
      <c r="N536" s="835">
        <v>2154.96</v>
      </c>
      <c r="O536" s="835">
        <v>1908.72</v>
      </c>
      <c r="P536" s="1838"/>
      <c r="Q536" s="1838"/>
      <c r="R536" s="1838"/>
      <c r="S536" s="1838"/>
      <c r="T536" s="1838"/>
      <c r="U536" s="1838"/>
      <c r="V536" s="1838"/>
      <c r="W536" s="1838"/>
      <c r="X536" s="1838"/>
      <c r="Y536" s="1838"/>
      <c r="Z536" s="1838"/>
      <c r="AA536" s="1838"/>
      <c r="AB536" s="1838"/>
      <c r="AC536" s="1838"/>
      <c r="AD536" s="1838"/>
      <c r="AE536" s="1838"/>
      <c r="AF536" s="1838"/>
      <c r="AG536" s="1838"/>
      <c r="AH536" s="1838"/>
      <c r="AI536" s="1838"/>
      <c r="AJ536" s="1838"/>
      <c r="AK536" s="1838"/>
      <c r="AL536" s="1838"/>
      <c r="AM536" s="1838"/>
      <c r="AN536" s="1838"/>
      <c r="AO536" s="1838"/>
      <c r="AP536" s="1838"/>
      <c r="AQ536" s="1838"/>
      <c r="AR536" s="1838"/>
      <c r="AS536" s="1838"/>
      <c r="AT536" s="1838"/>
      <c r="AU536" s="1838"/>
      <c r="AV536" s="1838"/>
      <c r="AW536" s="1838"/>
      <c r="AX536" s="1838"/>
      <c r="AY536" s="1838"/>
      <c r="AZ536" s="1838"/>
      <c r="BA536" s="1838"/>
      <c r="BB536" s="1838"/>
      <c r="BC536" s="1838"/>
      <c r="BD536" s="1838"/>
      <c r="BE536" s="1838"/>
      <c r="BF536" s="1838"/>
      <c r="BG536" s="1838"/>
      <c r="BH536" s="1838"/>
      <c r="BI536" s="1838"/>
      <c r="BJ536" s="1838"/>
      <c r="BK536" s="1838"/>
      <c r="BL536" s="1838"/>
      <c r="BM536" s="1838"/>
      <c r="BN536" s="1838"/>
      <c r="BO536" s="1838"/>
      <c r="BP536" s="1838"/>
      <c r="BQ536" s="1838"/>
      <c r="BR536" s="1838"/>
      <c r="BS536" s="1838"/>
      <c r="BT536" s="1838"/>
      <c r="BU536" s="1838"/>
      <c r="BV536" s="1838"/>
    </row>
    <row r="537" spans="1:74" s="500" customFormat="1" ht="12.75" x14ac:dyDescent="0.2">
      <c r="A537" s="107"/>
      <c r="B537" s="2017" t="s">
        <v>892</v>
      </c>
      <c r="C537" s="834" t="s">
        <v>903</v>
      </c>
      <c r="D537" s="835">
        <v>5426</v>
      </c>
      <c r="E537" s="835">
        <v>6119.55</v>
      </c>
      <c r="F537" s="835">
        <v>7404.66</v>
      </c>
      <c r="G537" s="835">
        <v>6364.33</v>
      </c>
      <c r="H537" s="835">
        <v>10872.4</v>
      </c>
      <c r="I537" s="835">
        <v>13136.640000000001</v>
      </c>
      <c r="J537" s="835">
        <v>12381.89</v>
      </c>
      <c r="K537" s="835">
        <v>11525.15</v>
      </c>
      <c r="L537" s="835">
        <v>10097.26</v>
      </c>
      <c r="M537" s="835">
        <v>6527.5199999999995</v>
      </c>
      <c r="N537" s="835">
        <v>6364.33</v>
      </c>
      <c r="O537" s="835">
        <v>7278.68</v>
      </c>
      <c r="P537" s="499"/>
      <c r="Q537" s="499"/>
      <c r="R537" s="499"/>
      <c r="S537" s="499"/>
      <c r="T537" s="499"/>
      <c r="U537" s="499"/>
      <c r="V537" s="499"/>
      <c r="W537" s="499"/>
      <c r="X537" s="499"/>
      <c r="Y537" s="499"/>
      <c r="Z537" s="499"/>
      <c r="AA537" s="499"/>
      <c r="AB537" s="499"/>
      <c r="AC537" s="499"/>
      <c r="AD537" s="499"/>
      <c r="AE537" s="499"/>
      <c r="AF537" s="499"/>
      <c r="AG537" s="499"/>
      <c r="AH537" s="499"/>
      <c r="AI537" s="499"/>
      <c r="AJ537" s="499"/>
      <c r="AK537" s="499"/>
      <c r="AL537" s="499"/>
      <c r="AM537" s="499"/>
      <c r="AN537" s="499"/>
      <c r="AO537" s="499"/>
      <c r="AP537" s="499"/>
      <c r="AQ537" s="499"/>
      <c r="AR537" s="499"/>
      <c r="AS537" s="499"/>
      <c r="AT537" s="499"/>
      <c r="AU537" s="499"/>
      <c r="AV537" s="499"/>
      <c r="AW537" s="499"/>
      <c r="AX537" s="499"/>
      <c r="AY537" s="499"/>
      <c r="AZ537" s="499"/>
      <c r="BA537" s="499"/>
      <c r="BB537" s="499"/>
      <c r="BC537" s="499"/>
      <c r="BD537" s="499"/>
      <c r="BE537" s="499"/>
      <c r="BF537" s="499"/>
      <c r="BG537" s="499"/>
      <c r="BH537" s="499"/>
      <c r="BI537" s="499"/>
      <c r="BJ537" s="499"/>
      <c r="BK537" s="499"/>
      <c r="BL537" s="499"/>
      <c r="BM537" s="499"/>
      <c r="BN537" s="499"/>
      <c r="BO537" s="499"/>
      <c r="BP537" s="499"/>
      <c r="BQ537" s="499"/>
      <c r="BR537" s="499"/>
      <c r="BS537" s="499"/>
      <c r="BT537" s="499"/>
      <c r="BU537" s="499"/>
      <c r="BV537" s="499"/>
    </row>
    <row r="538" spans="1:74" s="500" customFormat="1" ht="12.75" customHeight="1" x14ac:dyDescent="0.2">
      <c r="A538" s="107"/>
      <c r="B538" s="2018">
        <v>239</v>
      </c>
      <c r="C538" s="2019" t="s">
        <v>1381</v>
      </c>
      <c r="D538" s="2020">
        <v>700.8</v>
      </c>
      <c r="E538" s="2020">
        <v>823.44</v>
      </c>
      <c r="F538" s="2020">
        <v>1156.32</v>
      </c>
      <c r="G538" s="2020">
        <v>998.64</v>
      </c>
      <c r="H538" s="2020">
        <v>1436.64</v>
      </c>
      <c r="I538" s="2020">
        <v>1909.68</v>
      </c>
      <c r="J538" s="2020">
        <v>2014.8</v>
      </c>
      <c r="K538" s="2020">
        <v>1629.36</v>
      </c>
      <c r="L538" s="2020">
        <v>1979.76</v>
      </c>
      <c r="M538" s="2020">
        <v>1033.68</v>
      </c>
      <c r="N538" s="2020">
        <v>805.92</v>
      </c>
      <c r="O538" s="2020">
        <v>1019.43</v>
      </c>
      <c r="P538" s="499"/>
      <c r="Q538" s="499"/>
      <c r="R538" s="499"/>
      <c r="S538" s="499"/>
      <c r="T538" s="499"/>
      <c r="U538" s="499"/>
      <c r="V538" s="499"/>
      <c r="W538" s="499"/>
      <c r="X538" s="499"/>
      <c r="Y538" s="499"/>
      <c r="Z538" s="499"/>
      <c r="AA538" s="499"/>
      <c r="AB538" s="499"/>
      <c r="AC538" s="499"/>
      <c r="AD538" s="499"/>
      <c r="AE538" s="499"/>
      <c r="AF538" s="499"/>
      <c r="AG538" s="499"/>
      <c r="AH538" s="499"/>
      <c r="AI538" s="499"/>
      <c r="AJ538" s="499"/>
      <c r="AK538" s="499"/>
      <c r="AL538" s="499"/>
      <c r="AM538" s="499"/>
      <c r="AN538" s="499"/>
      <c r="AO538" s="499"/>
      <c r="AP538" s="499"/>
      <c r="AQ538" s="499"/>
      <c r="AR538" s="499"/>
      <c r="AS538" s="499"/>
      <c r="AT538" s="499"/>
      <c r="AU538" s="499"/>
      <c r="AV538" s="499"/>
      <c r="AW538" s="499"/>
      <c r="AX538" s="499"/>
      <c r="AY538" s="499"/>
      <c r="AZ538" s="499"/>
      <c r="BA538" s="499"/>
      <c r="BB538" s="499"/>
      <c r="BC538" s="499"/>
      <c r="BD538" s="499"/>
      <c r="BE538" s="499"/>
      <c r="BF538" s="499"/>
      <c r="BG538" s="499"/>
      <c r="BH538" s="499"/>
      <c r="BI538" s="499"/>
      <c r="BJ538" s="499"/>
      <c r="BK538" s="499"/>
      <c r="BL538" s="499"/>
      <c r="BM538" s="499"/>
      <c r="BN538" s="499"/>
      <c r="BO538" s="499"/>
      <c r="BP538" s="499"/>
      <c r="BQ538" s="499"/>
      <c r="BR538" s="499"/>
      <c r="BS538" s="499"/>
      <c r="BT538" s="499"/>
      <c r="BU538" s="499"/>
      <c r="BV538" s="499"/>
    </row>
    <row r="539" spans="1:74" s="500" customFormat="1" ht="12.75" customHeight="1" x14ac:dyDescent="0.2">
      <c r="A539" s="107"/>
      <c r="B539" s="2030"/>
      <c r="C539" s="26"/>
      <c r="D539"/>
      <c r="E539"/>
      <c r="F539"/>
      <c r="G539"/>
      <c r="H539"/>
      <c r="I539"/>
      <c r="J539"/>
      <c r="K539"/>
      <c r="L539"/>
      <c r="M539"/>
      <c r="N539"/>
      <c r="O539"/>
      <c r="P539" s="499"/>
      <c r="Q539" s="499"/>
      <c r="R539" s="499"/>
      <c r="S539" s="499"/>
      <c r="T539" s="499"/>
      <c r="U539" s="499"/>
      <c r="V539" s="499"/>
      <c r="W539" s="499"/>
      <c r="X539" s="499"/>
      <c r="Y539" s="499"/>
      <c r="Z539" s="499"/>
      <c r="AA539" s="499"/>
      <c r="AB539" s="499"/>
      <c r="AC539" s="499"/>
      <c r="AD539" s="499"/>
      <c r="AE539" s="499"/>
      <c r="AF539" s="499"/>
      <c r="AG539" s="499"/>
      <c r="AH539" s="499"/>
      <c r="AI539" s="499"/>
      <c r="AJ539" s="499"/>
      <c r="AK539" s="499"/>
      <c r="AL539" s="499"/>
      <c r="AM539" s="499"/>
      <c r="AN539" s="499"/>
      <c r="AO539" s="499"/>
      <c r="AP539" s="499"/>
      <c r="AQ539" s="499"/>
      <c r="AR539" s="499"/>
      <c r="AS539" s="499"/>
      <c r="AT539" s="499"/>
      <c r="AU539" s="499"/>
      <c r="AV539" s="499"/>
      <c r="AW539" s="499"/>
      <c r="AX539" s="499"/>
      <c r="AY539" s="499"/>
      <c r="AZ539" s="499"/>
      <c r="BA539" s="499"/>
      <c r="BB539" s="499"/>
      <c r="BC539" s="499"/>
      <c r="BD539" s="499"/>
      <c r="BE539" s="499"/>
      <c r="BF539" s="499"/>
      <c r="BG539" s="499"/>
      <c r="BH539" s="499"/>
      <c r="BI539" s="499"/>
      <c r="BJ539" s="499"/>
      <c r="BK539" s="499"/>
      <c r="BL539" s="499"/>
      <c r="BM539" s="499"/>
      <c r="BN539" s="499"/>
      <c r="BO539" s="499"/>
      <c r="BP539" s="499"/>
      <c r="BQ539" s="499"/>
      <c r="BR539" s="499"/>
      <c r="BS539" s="499"/>
      <c r="BT539" s="499"/>
      <c r="BU539" s="499"/>
      <c r="BV539" s="499"/>
    </row>
    <row r="540" spans="1:74" s="501" customFormat="1" ht="12.75" x14ac:dyDescent="0.2">
      <c r="A540" s="107"/>
      <c r="B540" s="1946" t="s">
        <v>904</v>
      </c>
      <c r="C540" s="1947"/>
      <c r="D540"/>
      <c r="E540"/>
      <c r="F540"/>
      <c r="G540"/>
      <c r="H540"/>
      <c r="I540"/>
      <c r="J540"/>
      <c r="K540"/>
      <c r="L540"/>
      <c r="M540"/>
      <c r="N540"/>
      <c r="O540"/>
      <c r="P540" s="1572"/>
      <c r="Q540" s="1572"/>
      <c r="R540" s="1572"/>
      <c r="S540" s="1572"/>
      <c r="T540" s="1572"/>
      <c r="U540" s="1572"/>
      <c r="V540" s="1572"/>
      <c r="W540" s="1572"/>
      <c r="X540" s="1572"/>
      <c r="Y540" s="1572"/>
      <c r="Z540" s="1572"/>
      <c r="AA540" s="1572"/>
      <c r="AB540" s="1572"/>
      <c r="AC540" s="1572"/>
      <c r="AD540" s="1572"/>
      <c r="AE540" s="1572"/>
      <c r="AF540" s="1572"/>
      <c r="AG540" s="1572"/>
      <c r="AH540" s="1572"/>
      <c r="AI540" s="1572"/>
      <c r="AJ540" s="1572"/>
      <c r="AK540" s="1572"/>
      <c r="AL540" s="1572"/>
      <c r="AM540" s="1572"/>
      <c r="AN540" s="1572"/>
      <c r="AO540" s="1572"/>
      <c r="AP540" s="1572"/>
      <c r="AQ540" s="1572"/>
      <c r="AR540" s="1572"/>
      <c r="AS540" s="1572"/>
      <c r="AT540" s="1572"/>
      <c r="AU540" s="1572"/>
      <c r="AV540" s="1572"/>
      <c r="AW540" s="1572"/>
      <c r="AX540" s="1572"/>
      <c r="AY540" s="1572"/>
      <c r="AZ540" s="1572"/>
      <c r="BA540" s="1572"/>
      <c r="BB540" s="1572"/>
      <c r="BC540" s="1572"/>
      <c r="BD540" s="1572"/>
      <c r="BE540" s="1572"/>
      <c r="BF540" s="1572"/>
      <c r="BG540" s="1572"/>
      <c r="BH540" s="1572"/>
      <c r="BI540" s="1572"/>
      <c r="BJ540" s="1572"/>
      <c r="BK540" s="1572"/>
      <c r="BL540" s="1572"/>
      <c r="BM540" s="1572"/>
      <c r="BN540" s="1572"/>
      <c r="BO540" s="1572"/>
      <c r="BP540" s="1572"/>
      <c r="BQ540" s="1572"/>
      <c r="BR540" s="1572"/>
      <c r="BS540" s="1572"/>
      <c r="BT540" s="1572"/>
      <c r="BU540" s="1572"/>
      <c r="BV540" s="1572"/>
    </row>
    <row r="541" spans="1:74" s="500" customFormat="1" ht="12.75" x14ac:dyDescent="0.2">
      <c r="A541" s="107"/>
      <c r="B541" s="1564" t="s">
        <v>654</v>
      </c>
      <c r="C541" s="825" t="s">
        <v>655</v>
      </c>
      <c r="D541" s="826">
        <v>42552</v>
      </c>
      <c r="E541" s="826">
        <v>42583</v>
      </c>
      <c r="F541" s="826">
        <v>42614</v>
      </c>
      <c r="G541" s="826">
        <v>42644</v>
      </c>
      <c r="H541" s="826">
        <v>42675</v>
      </c>
      <c r="I541" s="826">
        <v>42705</v>
      </c>
      <c r="J541" s="826">
        <v>42736</v>
      </c>
      <c r="K541" s="826">
        <v>42767</v>
      </c>
      <c r="L541" s="826">
        <v>42795</v>
      </c>
      <c r="M541" s="826">
        <v>42826</v>
      </c>
      <c r="N541" s="826">
        <v>42856</v>
      </c>
      <c r="O541" s="826">
        <v>42887</v>
      </c>
      <c r="P541" s="1572"/>
      <c r="Q541" s="1572"/>
      <c r="R541" s="1572"/>
      <c r="S541" s="1572"/>
      <c r="T541" s="1572"/>
      <c r="U541" s="1572"/>
      <c r="V541" s="1572"/>
      <c r="W541" s="1572"/>
      <c r="X541" s="1572"/>
      <c r="Y541" s="1572"/>
      <c r="Z541" s="1572"/>
      <c r="AA541" s="1572"/>
      <c r="AB541" s="1572"/>
      <c r="AC541" s="1572"/>
      <c r="AD541" s="1572"/>
      <c r="AE541" s="1572"/>
      <c r="AF541" s="1572"/>
      <c r="AG541" s="1572"/>
      <c r="AH541" s="1572"/>
      <c r="AI541" s="1572"/>
      <c r="AJ541" s="1572"/>
      <c r="AK541" s="1572"/>
      <c r="AL541" s="1572"/>
      <c r="AM541" s="1572"/>
      <c r="AN541" s="1572"/>
      <c r="AO541" s="1572"/>
      <c r="AP541" s="1572"/>
      <c r="AQ541" s="1572"/>
      <c r="AR541" s="1572"/>
      <c r="AS541" s="1572"/>
      <c r="AT541" s="1572"/>
      <c r="AU541" s="1572"/>
      <c r="AV541" s="1572"/>
      <c r="AW541" s="1572"/>
      <c r="AX541" s="1572"/>
      <c r="AY541" s="1572"/>
      <c r="AZ541" s="1572"/>
      <c r="BA541" s="1572"/>
      <c r="BB541" s="1572"/>
      <c r="BC541" s="1572"/>
      <c r="BD541" s="1572"/>
      <c r="BE541" s="1572"/>
      <c r="BF541" s="1572"/>
      <c r="BG541" s="1572"/>
      <c r="BH541" s="1572"/>
      <c r="BI541" s="1572"/>
      <c r="BJ541" s="1572"/>
      <c r="BK541" s="1572"/>
      <c r="BL541" s="1572"/>
      <c r="BM541" s="1572"/>
      <c r="BN541" s="1572"/>
      <c r="BO541" s="1572"/>
      <c r="BP541" s="1572"/>
      <c r="BQ541" s="1572"/>
      <c r="BR541" s="1572"/>
      <c r="BS541" s="1572"/>
      <c r="BT541" s="1572"/>
      <c r="BU541" s="1572"/>
      <c r="BV541" s="1572"/>
    </row>
    <row r="542" spans="1:74" s="500" customFormat="1" ht="12.75" x14ac:dyDescent="0.2">
      <c r="A542" s="107"/>
      <c r="B542" s="2031" t="s">
        <v>889</v>
      </c>
      <c r="C542" s="2032" t="s">
        <v>905</v>
      </c>
      <c r="D542" s="2033">
        <v>347964.0001</v>
      </c>
      <c r="E542" s="2033">
        <v>386276</v>
      </c>
      <c r="F542" s="2033">
        <v>446391.0000459</v>
      </c>
      <c r="G542" s="2033">
        <v>292376</v>
      </c>
      <c r="H542" s="2033">
        <v>228639</v>
      </c>
      <c r="I542" s="2033">
        <v>69000</v>
      </c>
      <c r="J542" s="2033">
        <v>128000</v>
      </c>
      <c r="K542" s="2033">
        <v>213000</v>
      </c>
      <c r="L542" s="2033">
        <v>208295.0000459</v>
      </c>
      <c r="M542" s="2033">
        <v>298425.00014590001</v>
      </c>
      <c r="N542" s="2033">
        <v>287539.0000459</v>
      </c>
      <c r="O542" s="2033">
        <v>287916</v>
      </c>
      <c r="P542" s="1572"/>
      <c r="Q542" s="1572"/>
      <c r="R542" s="1572"/>
      <c r="S542" s="1572"/>
      <c r="T542" s="1572"/>
      <c r="U542" s="1572"/>
      <c r="V542" s="1572"/>
      <c r="W542" s="1572"/>
      <c r="X542" s="1572"/>
      <c r="Y542" s="1572"/>
      <c r="Z542" s="1572"/>
      <c r="AA542" s="1572"/>
      <c r="AB542" s="1572"/>
      <c r="AC542" s="1572"/>
      <c r="AD542" s="1572"/>
      <c r="AE542" s="1572"/>
      <c r="AF542" s="1572"/>
      <c r="AG542" s="1572"/>
      <c r="AH542" s="1572"/>
      <c r="AI542" s="1572"/>
      <c r="AJ542" s="1572"/>
      <c r="AK542" s="1572"/>
      <c r="AL542" s="1572"/>
      <c r="AM542" s="1572"/>
      <c r="AN542" s="1572"/>
      <c r="AO542" s="1572"/>
      <c r="AP542" s="1572"/>
      <c r="AQ542" s="1572"/>
      <c r="AR542" s="1572"/>
      <c r="AS542" s="1572"/>
      <c r="AT542" s="1572"/>
      <c r="AU542" s="1572"/>
      <c r="AV542" s="1572"/>
      <c r="AW542" s="1572"/>
      <c r="AX542" s="1572"/>
      <c r="AY542" s="1572"/>
      <c r="AZ542" s="1572"/>
      <c r="BA542" s="1572"/>
      <c r="BB542" s="1572"/>
      <c r="BC542" s="1572"/>
      <c r="BD542" s="1572"/>
      <c r="BE542" s="1572"/>
      <c r="BF542" s="1572"/>
      <c r="BG542" s="1572"/>
      <c r="BH542" s="1572"/>
      <c r="BI542" s="1572"/>
      <c r="BJ542" s="1572"/>
      <c r="BK542" s="1572"/>
      <c r="BL542" s="1572"/>
      <c r="BM542" s="1572"/>
      <c r="BN542" s="1572"/>
      <c r="BO542" s="1572"/>
      <c r="BP542" s="1572"/>
      <c r="BQ542" s="1572"/>
      <c r="BR542" s="1572"/>
      <c r="BS542" s="1572"/>
      <c r="BT542" s="1572"/>
      <c r="BU542" s="1572"/>
      <c r="BV542" s="1572"/>
    </row>
    <row r="543" spans="1:74" s="26" customFormat="1" ht="12.75" x14ac:dyDescent="0.2">
      <c r="B543" s="2034">
        <v>315</v>
      </c>
      <c r="C543" s="2035" t="s">
        <v>906</v>
      </c>
      <c r="D543" s="2036">
        <v>146908</v>
      </c>
      <c r="E543" s="2036">
        <v>171372</v>
      </c>
      <c r="F543" s="2036">
        <v>218777.00001729999</v>
      </c>
      <c r="G543" s="2036">
        <v>168072</v>
      </c>
      <c r="H543" s="2036">
        <v>159633</v>
      </c>
      <c r="I543" s="2036">
        <v>50000</v>
      </c>
      <c r="J543" s="2036">
        <v>112000</v>
      </c>
      <c r="K543" s="2036">
        <v>174000</v>
      </c>
      <c r="L543" s="2036">
        <v>155865.00001729999</v>
      </c>
      <c r="M543" s="2036">
        <v>155975.00001730002</v>
      </c>
      <c r="N543" s="2036">
        <v>94933.000017300001</v>
      </c>
      <c r="O543" s="2036">
        <v>57452</v>
      </c>
    </row>
    <row r="544" spans="1:74" s="500" customFormat="1" ht="12.75" x14ac:dyDescent="0.2">
      <c r="A544" s="107"/>
      <c r="B544" s="2034" t="s">
        <v>892</v>
      </c>
      <c r="C544" s="2035" t="s">
        <v>907</v>
      </c>
      <c r="D544" s="2036">
        <v>117128</v>
      </c>
      <c r="E544" s="2036">
        <v>239352</v>
      </c>
      <c r="F544" s="2036">
        <v>362832.00003679999</v>
      </c>
      <c r="G544" s="2036">
        <v>265552</v>
      </c>
      <c r="H544" s="2036">
        <v>246728</v>
      </c>
      <c r="I544" s="2036">
        <v>75000</v>
      </c>
      <c r="J544" s="2036">
        <v>173000</v>
      </c>
      <c r="K544" s="2036">
        <v>270000</v>
      </c>
      <c r="L544" s="2036">
        <v>245840.00003679999</v>
      </c>
      <c r="M544" s="2036">
        <v>263600.00003679999</v>
      </c>
      <c r="N544" s="2036">
        <v>157528.00003679999</v>
      </c>
      <c r="O544" s="2036">
        <v>90632</v>
      </c>
      <c r="P544" s="499"/>
      <c r="Q544" s="499"/>
      <c r="R544" s="499"/>
      <c r="S544" s="499"/>
      <c r="T544" s="499"/>
      <c r="U544" s="499"/>
      <c r="V544" s="499"/>
      <c r="W544" s="499"/>
      <c r="X544" s="499"/>
      <c r="Y544" s="499"/>
      <c r="Z544" s="499"/>
      <c r="AA544" s="499"/>
      <c r="AB544" s="499"/>
      <c r="AC544" s="499"/>
      <c r="AD544" s="499"/>
      <c r="AE544" s="499"/>
      <c r="AF544" s="499"/>
      <c r="AG544" s="499"/>
      <c r="AH544" s="499"/>
      <c r="AI544" s="499"/>
      <c r="AJ544" s="499"/>
      <c r="AK544" s="499"/>
      <c r="AL544" s="499"/>
      <c r="AM544" s="499"/>
      <c r="AN544" s="499"/>
      <c r="AO544" s="499"/>
      <c r="AP544" s="499"/>
      <c r="AQ544" s="499"/>
      <c r="AR544" s="499"/>
      <c r="AS544" s="499"/>
      <c r="AT544" s="499"/>
      <c r="AU544" s="499"/>
      <c r="AV544" s="499"/>
      <c r="AW544" s="499"/>
      <c r="AX544" s="499"/>
      <c r="AY544" s="499"/>
      <c r="AZ544" s="499"/>
      <c r="BA544" s="499"/>
      <c r="BB544" s="499"/>
      <c r="BC544" s="499"/>
      <c r="BD544" s="499"/>
      <c r="BE544" s="499"/>
      <c r="BF544" s="499"/>
      <c r="BG544" s="499"/>
      <c r="BH544" s="499"/>
      <c r="BI544" s="499"/>
      <c r="BJ544" s="499"/>
      <c r="BK544" s="499"/>
      <c r="BL544" s="499"/>
      <c r="BM544" s="499"/>
      <c r="BN544" s="499"/>
      <c r="BO544" s="499"/>
      <c r="BP544" s="499"/>
      <c r="BQ544" s="499"/>
      <c r="BR544" s="499"/>
      <c r="BS544" s="499"/>
      <c r="BT544" s="499"/>
      <c r="BU544" s="499"/>
      <c r="BV544" s="499"/>
    </row>
    <row r="545" spans="1:74" s="26" customFormat="1" ht="12.75" x14ac:dyDescent="0.2">
      <c r="A545" s="1836"/>
      <c r="B545" s="2037">
        <v>239</v>
      </c>
      <c r="C545" s="2038" t="s">
        <v>1382</v>
      </c>
      <c r="D545" s="2039">
        <v>57000</v>
      </c>
      <c r="E545" s="2039">
        <v>113000</v>
      </c>
      <c r="F545" s="2039">
        <v>230000</v>
      </c>
      <c r="G545" s="2039">
        <v>126000</v>
      </c>
      <c r="H545" s="2039">
        <v>97000</v>
      </c>
      <c r="I545" s="2039">
        <v>32000</v>
      </c>
      <c r="J545" s="2039">
        <v>76000</v>
      </c>
      <c r="K545" s="2039">
        <v>108000</v>
      </c>
      <c r="L545" s="2039">
        <v>104000</v>
      </c>
      <c r="M545" s="2039">
        <v>111000</v>
      </c>
      <c r="N545" s="2039">
        <v>54000</v>
      </c>
      <c r="O545" s="2039">
        <v>48000</v>
      </c>
      <c r="P545" s="1838"/>
      <c r="Q545" s="1838"/>
      <c r="R545" s="1838"/>
      <c r="S545" s="1838"/>
      <c r="T545" s="1838"/>
      <c r="U545" s="1838"/>
      <c r="V545" s="1838"/>
      <c r="W545" s="1838"/>
      <c r="X545" s="1838"/>
      <c r="Y545" s="1838"/>
      <c r="Z545" s="1838"/>
      <c r="AA545" s="1838"/>
      <c r="AB545" s="1838"/>
      <c r="AC545" s="1838"/>
      <c r="AD545" s="1838"/>
      <c r="AE545" s="1838"/>
      <c r="AF545" s="1838"/>
      <c r="AG545" s="1838"/>
      <c r="AH545" s="1838"/>
      <c r="AI545" s="1838"/>
      <c r="AJ545" s="1838"/>
      <c r="AK545" s="1838"/>
      <c r="AL545" s="1838"/>
      <c r="AM545" s="1838"/>
      <c r="AN545" s="1838"/>
      <c r="AO545" s="1838"/>
      <c r="AP545" s="1838"/>
      <c r="AQ545" s="1838"/>
      <c r="AR545" s="1838"/>
      <c r="AS545" s="1838"/>
      <c r="AT545" s="1838"/>
      <c r="AU545" s="1838"/>
      <c r="AV545" s="1838"/>
      <c r="AW545" s="1838"/>
      <c r="AX545" s="1838"/>
      <c r="AY545" s="1838"/>
      <c r="AZ545" s="1838"/>
      <c r="BA545" s="1838"/>
      <c r="BB545" s="1838"/>
      <c r="BC545" s="1838"/>
      <c r="BD545" s="1838"/>
      <c r="BE545" s="1838"/>
      <c r="BF545" s="1838"/>
      <c r="BG545" s="1838"/>
      <c r="BH545" s="1838"/>
      <c r="BI545" s="1838"/>
      <c r="BJ545" s="1838"/>
      <c r="BK545" s="1838"/>
      <c r="BL545" s="1838"/>
      <c r="BM545" s="1838"/>
      <c r="BN545" s="1838"/>
      <c r="BO545" s="1838"/>
      <c r="BP545" s="1838"/>
      <c r="BQ545" s="1838"/>
      <c r="BR545" s="1838"/>
      <c r="BS545" s="1838"/>
      <c r="BT545" s="1838"/>
      <c r="BU545" s="1838"/>
      <c r="BV545" s="1838"/>
    </row>
    <row r="546" spans="1:74" s="500" customFormat="1" ht="12.75" x14ac:dyDescent="0.2">
      <c r="A546" s="107"/>
      <c r="B546" s="2017" t="s">
        <v>889</v>
      </c>
      <c r="C546" s="834" t="s">
        <v>908</v>
      </c>
      <c r="D546" s="835">
        <v>3726.0803999999998</v>
      </c>
      <c r="E546" s="835">
        <v>2995.2107999999998</v>
      </c>
      <c r="F546" s="835">
        <v>3627.3685</v>
      </c>
      <c r="G546" s="835">
        <v>3822.692</v>
      </c>
      <c r="H546" s="835">
        <v>2974.6505999999999</v>
      </c>
      <c r="I546" s="835">
        <v>1984.5</v>
      </c>
      <c r="J546" s="835">
        <v>1298.2</v>
      </c>
      <c r="K546" s="835">
        <v>2999</v>
      </c>
      <c r="L546" s="835">
        <v>2198.6914999999999</v>
      </c>
      <c r="M546" s="835">
        <v>2480.1724999999997</v>
      </c>
      <c r="N546" s="835">
        <v>4088.5659000000001</v>
      </c>
      <c r="O546" s="835">
        <v>3343.0792000000001</v>
      </c>
      <c r="P546" s="499"/>
      <c r="Q546" s="499"/>
      <c r="R546" s="499"/>
      <c r="S546" s="499"/>
      <c r="T546" s="499"/>
      <c r="U546" s="499"/>
      <c r="V546" s="499"/>
      <c r="W546" s="499"/>
      <c r="X546" s="499"/>
      <c r="Y546" s="499"/>
      <c r="Z546" s="499"/>
      <c r="AA546" s="499"/>
      <c r="AB546" s="499"/>
      <c r="AC546" s="499"/>
      <c r="AD546" s="499"/>
      <c r="AE546" s="499"/>
      <c r="AF546" s="499"/>
      <c r="AG546" s="499"/>
      <c r="AH546" s="499"/>
      <c r="AI546" s="499"/>
      <c r="AJ546" s="499"/>
      <c r="AK546" s="499"/>
      <c r="AL546" s="499"/>
      <c r="AM546" s="499"/>
      <c r="AN546" s="499"/>
      <c r="AO546" s="499"/>
      <c r="AP546" s="499"/>
      <c r="AQ546" s="499"/>
      <c r="AR546" s="499"/>
      <c r="AS546" s="499"/>
      <c r="AT546" s="499"/>
      <c r="AU546" s="499"/>
      <c r="AV546" s="499"/>
      <c r="AW546" s="499"/>
      <c r="AX546" s="499"/>
      <c r="AY546" s="499"/>
      <c r="AZ546" s="499"/>
      <c r="BA546" s="499"/>
      <c r="BB546" s="499"/>
      <c r="BC546" s="499"/>
      <c r="BD546" s="499"/>
      <c r="BE546" s="499"/>
      <c r="BF546" s="499"/>
      <c r="BG546" s="499"/>
      <c r="BH546" s="499"/>
      <c r="BI546" s="499"/>
      <c r="BJ546" s="499"/>
      <c r="BK546" s="499"/>
      <c r="BL546" s="499"/>
      <c r="BM546" s="499"/>
      <c r="BN546" s="499"/>
      <c r="BO546" s="499"/>
      <c r="BP546" s="499"/>
      <c r="BQ546" s="499"/>
      <c r="BR546" s="499"/>
      <c r="BS546" s="499"/>
      <c r="BT546" s="499"/>
      <c r="BU546" s="499"/>
      <c r="BV546" s="499"/>
    </row>
    <row r="547" spans="1:74" s="500" customFormat="1" ht="12.75" customHeight="1" x14ac:dyDescent="0.2">
      <c r="A547" s="107"/>
      <c r="B547" s="2017">
        <v>315</v>
      </c>
      <c r="C547" s="834" t="s">
        <v>909</v>
      </c>
      <c r="D547" s="835">
        <v>1530.6387999999999</v>
      </c>
      <c r="E547" s="835">
        <v>1330.0275999999999</v>
      </c>
      <c r="F547" s="835">
        <v>1725.2195000000002</v>
      </c>
      <c r="G547" s="835">
        <v>2040.8240000000001</v>
      </c>
      <c r="H547" s="835">
        <v>1912.5182</v>
      </c>
      <c r="I547" s="835">
        <v>1419</v>
      </c>
      <c r="J547" s="835">
        <v>1071.8</v>
      </c>
      <c r="K547" s="835">
        <v>2498</v>
      </c>
      <c r="L547" s="835">
        <v>1737.7004999999999</v>
      </c>
      <c r="M547" s="835">
        <v>1614.6075000000001</v>
      </c>
      <c r="N547" s="835">
        <v>1728.4573</v>
      </c>
      <c r="O547" s="835">
        <v>867.20240000000001</v>
      </c>
      <c r="P547" s="499"/>
      <c r="Q547" s="499"/>
      <c r="R547" s="499"/>
      <c r="S547" s="499"/>
      <c r="T547" s="499"/>
      <c r="U547" s="499"/>
      <c r="V547" s="499"/>
      <c r="W547" s="499"/>
      <c r="X547" s="499"/>
      <c r="Y547" s="499"/>
      <c r="Z547" s="499"/>
      <c r="AA547" s="499"/>
      <c r="AB547" s="499"/>
      <c r="AC547" s="499"/>
      <c r="AD547" s="499"/>
      <c r="AE547" s="499"/>
      <c r="AF547" s="499"/>
      <c r="AG547" s="499"/>
      <c r="AH547" s="499"/>
      <c r="AI547" s="499"/>
      <c r="AJ547" s="499"/>
      <c r="AK547" s="499"/>
      <c r="AL547" s="499"/>
      <c r="AM547" s="499"/>
      <c r="AN547" s="499"/>
      <c r="AO547" s="499"/>
      <c r="AP547" s="499"/>
      <c r="AQ547" s="499"/>
      <c r="AR547" s="499"/>
      <c r="AS547" s="499"/>
      <c r="AT547" s="499"/>
      <c r="AU547" s="499"/>
      <c r="AV547" s="499"/>
      <c r="AW547" s="499"/>
      <c r="AX547" s="499"/>
      <c r="AY547" s="499"/>
      <c r="AZ547" s="499"/>
      <c r="BA547" s="499"/>
      <c r="BB547" s="499"/>
      <c r="BC547" s="499"/>
      <c r="BD547" s="499"/>
      <c r="BE547" s="499"/>
      <c r="BF547" s="499"/>
      <c r="BG547" s="499"/>
      <c r="BH547" s="499"/>
      <c r="BI547" s="499"/>
      <c r="BJ547" s="499"/>
      <c r="BK547" s="499"/>
      <c r="BL547" s="499"/>
      <c r="BM547" s="499"/>
      <c r="BN547" s="499"/>
      <c r="BO547" s="499"/>
      <c r="BP547" s="499"/>
      <c r="BQ547" s="499"/>
      <c r="BR547" s="499"/>
      <c r="BS547" s="499"/>
      <c r="BT547" s="499"/>
      <c r="BU547" s="499"/>
      <c r="BV547" s="499"/>
    </row>
    <row r="548" spans="1:74" s="500" customFormat="1" ht="12.75" customHeight="1" x14ac:dyDescent="0.2">
      <c r="A548" s="107"/>
      <c r="B548" s="2017" t="s">
        <v>892</v>
      </c>
      <c r="C548" s="834" t="s">
        <v>910</v>
      </c>
      <c r="D548" s="835">
        <v>942.98079999999993</v>
      </c>
      <c r="E548" s="835">
        <v>1122.3616</v>
      </c>
      <c r="F548" s="835">
        <v>2603.4119999999998</v>
      </c>
      <c r="G548" s="835">
        <v>3106.9839999999999</v>
      </c>
      <c r="H548" s="835">
        <v>2945.3312000000001</v>
      </c>
      <c r="I548" s="835">
        <v>2156</v>
      </c>
      <c r="J548" s="835">
        <v>1634.6999999999998</v>
      </c>
      <c r="K548" s="835">
        <v>3864.5</v>
      </c>
      <c r="L548" s="835">
        <v>2704.6080000000002</v>
      </c>
      <c r="M548" s="835">
        <v>2601.3199999999997</v>
      </c>
      <c r="N548" s="835">
        <v>2849.9767999999995</v>
      </c>
      <c r="O548" s="835">
        <v>1336.4183999999998</v>
      </c>
      <c r="P548" s="499"/>
      <c r="Q548" s="499"/>
      <c r="R548" s="499"/>
      <c r="S548" s="499"/>
      <c r="T548" s="499"/>
      <c r="U548" s="499"/>
      <c r="V548" s="499"/>
      <c r="W548" s="499"/>
      <c r="X548" s="499"/>
      <c r="Y548" s="499"/>
      <c r="Z548" s="499"/>
      <c r="AA548" s="499"/>
      <c r="AB548" s="499"/>
      <c r="AC548" s="499"/>
      <c r="AD548" s="499"/>
      <c r="AE548" s="499"/>
      <c r="AF548" s="499"/>
      <c r="AG548" s="499"/>
      <c r="AH548" s="499"/>
      <c r="AI548" s="499"/>
      <c r="AJ548" s="499"/>
      <c r="AK548" s="499"/>
      <c r="AL548" s="499"/>
      <c r="AM548" s="499"/>
      <c r="AN548" s="499"/>
      <c r="AO548" s="499"/>
      <c r="AP548" s="499"/>
      <c r="AQ548" s="499"/>
      <c r="AR548" s="499"/>
      <c r="AS548" s="499"/>
      <c r="AT548" s="499"/>
      <c r="AU548" s="499"/>
      <c r="AV548" s="499"/>
      <c r="AW548" s="499"/>
      <c r="AX548" s="499"/>
      <c r="AY548" s="499"/>
      <c r="AZ548" s="499"/>
      <c r="BA548" s="499"/>
      <c r="BB548" s="499"/>
      <c r="BC548" s="499"/>
      <c r="BD548" s="499"/>
      <c r="BE548" s="499"/>
      <c r="BF548" s="499"/>
      <c r="BG548" s="499"/>
      <c r="BH548" s="499"/>
      <c r="BI548" s="499"/>
      <c r="BJ548" s="499"/>
      <c r="BK548" s="499"/>
      <c r="BL548" s="499"/>
      <c r="BM548" s="499"/>
      <c r="BN548" s="499"/>
      <c r="BO548" s="499"/>
      <c r="BP548" s="499"/>
      <c r="BQ548" s="499"/>
      <c r="BR548" s="499"/>
      <c r="BS548" s="499"/>
      <c r="BT548" s="499"/>
      <c r="BU548" s="499"/>
      <c r="BV548" s="499"/>
    </row>
    <row r="549" spans="1:74" s="501" customFormat="1" ht="12.75" x14ac:dyDescent="0.2">
      <c r="A549" s="107"/>
      <c r="B549" s="2018">
        <v>239</v>
      </c>
      <c r="C549" s="2019" t="s">
        <v>1383</v>
      </c>
      <c r="D549" s="2020">
        <v>347.7</v>
      </c>
      <c r="E549" s="2020">
        <v>372.9</v>
      </c>
      <c r="F549" s="2020">
        <v>805</v>
      </c>
      <c r="G549" s="2020">
        <v>567</v>
      </c>
      <c r="H549" s="2020">
        <v>523.79999999999995</v>
      </c>
      <c r="I549" s="2020">
        <v>240</v>
      </c>
      <c r="J549" s="2020">
        <v>486.4</v>
      </c>
      <c r="K549" s="2020">
        <v>1080</v>
      </c>
      <c r="L549" s="2020">
        <v>384.8</v>
      </c>
      <c r="M549" s="2020">
        <v>410.7</v>
      </c>
      <c r="N549" s="2020">
        <v>437.4</v>
      </c>
      <c r="O549" s="2020">
        <v>297.60000000000002</v>
      </c>
      <c r="P549" s="1572"/>
      <c r="Q549" s="1572"/>
      <c r="R549" s="1572"/>
      <c r="S549" s="1572"/>
      <c r="T549" s="1572"/>
      <c r="U549" s="1572"/>
      <c r="V549" s="1572"/>
      <c r="W549" s="1572"/>
      <c r="X549" s="1572"/>
      <c r="Y549" s="1572"/>
      <c r="Z549" s="1572"/>
      <c r="AA549" s="1572"/>
      <c r="AB549" s="1572"/>
      <c r="AC549" s="1572"/>
      <c r="AD549" s="1572"/>
      <c r="AE549" s="1572"/>
      <c r="AF549" s="1572"/>
      <c r="AG549" s="1572"/>
      <c r="AH549" s="1572"/>
      <c r="AI549" s="1572"/>
      <c r="AJ549" s="1572"/>
      <c r="AK549" s="1572"/>
      <c r="AL549" s="1572"/>
      <c r="AM549" s="1572"/>
      <c r="AN549" s="1572"/>
      <c r="AO549" s="1572"/>
      <c r="AP549" s="1572"/>
      <c r="AQ549" s="1572"/>
      <c r="AR549" s="1572"/>
      <c r="AS549" s="1572"/>
      <c r="AT549" s="1572"/>
      <c r="AU549" s="1572"/>
      <c r="AV549" s="1572"/>
      <c r="AW549" s="1572"/>
      <c r="AX549" s="1572"/>
      <c r="AY549" s="1572"/>
      <c r="AZ549" s="1572"/>
      <c r="BA549" s="1572"/>
      <c r="BB549" s="1572"/>
      <c r="BC549" s="1572"/>
      <c r="BD549" s="1572"/>
      <c r="BE549" s="1572"/>
      <c r="BF549" s="1572"/>
      <c r="BG549" s="1572"/>
      <c r="BH549" s="1572"/>
      <c r="BI549" s="1572"/>
      <c r="BJ549" s="1572"/>
      <c r="BK549" s="1572"/>
      <c r="BL549" s="1572"/>
      <c r="BM549" s="1572"/>
      <c r="BN549" s="1572"/>
      <c r="BO549" s="1572"/>
      <c r="BP549" s="1572"/>
      <c r="BQ549" s="1572"/>
      <c r="BR549" s="1572"/>
      <c r="BS549" s="1572"/>
      <c r="BT549" s="1572"/>
      <c r="BU549" s="1572"/>
      <c r="BV549" s="1572"/>
    </row>
    <row r="550" spans="1:74" s="500" customFormat="1" ht="12.75" x14ac:dyDescent="0.2">
      <c r="A550" s="107"/>
      <c r="C550" s="1572"/>
      <c r="D550" s="1572"/>
      <c r="E550" s="1572"/>
      <c r="F550" s="1572"/>
      <c r="G550" s="1572"/>
      <c r="H550" s="1572"/>
      <c r="I550" s="1572"/>
      <c r="J550" s="1572"/>
      <c r="K550" s="1572"/>
      <c r="L550" s="1572"/>
      <c r="M550" s="1572"/>
      <c r="N550" s="1572"/>
      <c r="O550" s="1572"/>
      <c r="P550" s="1572"/>
      <c r="Q550" s="1572"/>
      <c r="R550" s="1572"/>
      <c r="S550" s="1572"/>
      <c r="T550" s="1572"/>
      <c r="U550" s="1572"/>
      <c r="V550" s="1572"/>
      <c r="W550" s="1572"/>
      <c r="X550" s="1572"/>
      <c r="Y550" s="1572"/>
      <c r="Z550" s="1572"/>
      <c r="AA550" s="1572"/>
      <c r="AB550" s="1572"/>
      <c r="AC550" s="1572"/>
      <c r="AD550" s="1572"/>
      <c r="AE550" s="1572"/>
      <c r="AF550" s="1572"/>
      <c r="AG550" s="1572"/>
      <c r="AH550" s="1572"/>
      <c r="AI550" s="1572"/>
      <c r="AJ550" s="1572"/>
      <c r="AK550" s="1572"/>
      <c r="AL550" s="1572"/>
      <c r="AM550" s="1572"/>
      <c r="AN550" s="1572"/>
      <c r="AO550" s="1572"/>
      <c r="AP550" s="1572"/>
      <c r="AQ550" s="1572"/>
      <c r="AR550" s="1572"/>
      <c r="AS550" s="1572"/>
      <c r="AT550" s="1572"/>
      <c r="AU550" s="1572"/>
      <c r="AV550" s="1572"/>
      <c r="AW550" s="1572"/>
      <c r="AX550" s="1572"/>
      <c r="AY550" s="1572"/>
      <c r="AZ550" s="1572"/>
      <c r="BA550" s="1572"/>
      <c r="BB550" s="1572"/>
      <c r="BC550" s="1572"/>
      <c r="BD550" s="1572"/>
      <c r="BE550" s="1572"/>
      <c r="BF550" s="1572"/>
      <c r="BG550" s="1572"/>
      <c r="BH550" s="1572"/>
      <c r="BI550" s="1572"/>
      <c r="BJ550" s="1572"/>
      <c r="BK550" s="1572"/>
      <c r="BL550" s="1572"/>
      <c r="BM550" s="1572"/>
      <c r="BN550" s="1572"/>
      <c r="BO550" s="1572"/>
      <c r="BP550" s="1572"/>
      <c r="BQ550" s="1572"/>
      <c r="BR550" s="1572"/>
      <c r="BS550" s="1572"/>
      <c r="BT550" s="1572"/>
      <c r="BU550" s="1572"/>
      <c r="BV550" s="1572"/>
    </row>
    <row r="551" spans="1:74" s="128" customFormat="1" x14ac:dyDescent="0.25">
      <c r="A551" s="459">
        <v>35</v>
      </c>
      <c r="B551" s="127" t="s">
        <v>912</v>
      </c>
      <c r="C551" s="602"/>
      <c r="T551" s="127" t="s">
        <v>912</v>
      </c>
      <c r="U551" s="129"/>
      <c r="X551" s="129"/>
      <c r="Y551" s="166"/>
      <c r="Z551" s="166"/>
    </row>
    <row r="552" spans="1:74" s="500" customFormat="1" ht="12.75" x14ac:dyDescent="0.2">
      <c r="A552" s="107"/>
      <c r="B552" s="1946" t="s">
        <v>888</v>
      </c>
      <c r="C552" s="1573"/>
      <c r="D552"/>
      <c r="E552"/>
      <c r="F552"/>
      <c r="G552"/>
      <c r="H552"/>
      <c r="I552"/>
      <c r="J552"/>
      <c r="K552"/>
      <c r="L552"/>
      <c r="M552"/>
      <c r="N552"/>
      <c r="O552"/>
      <c r="P552" s="499"/>
      <c r="Q552" s="499"/>
      <c r="R552" s="499"/>
      <c r="S552" s="499"/>
      <c r="T552" s="499"/>
      <c r="U552" s="499"/>
      <c r="V552" s="499"/>
      <c r="W552" s="499"/>
      <c r="X552" s="499"/>
      <c r="Y552" s="499"/>
      <c r="Z552" s="499"/>
      <c r="AA552" s="499"/>
      <c r="AB552" s="499"/>
      <c r="AC552" s="499"/>
      <c r="AD552" s="499"/>
      <c r="AE552" s="499"/>
      <c r="AF552" s="499"/>
      <c r="AG552" s="499"/>
      <c r="AH552" s="499"/>
      <c r="AI552" s="499"/>
      <c r="AJ552" s="499"/>
      <c r="AK552" s="499"/>
      <c r="AL552" s="499"/>
      <c r="AM552" s="499"/>
      <c r="AN552" s="499"/>
      <c r="AO552" s="499"/>
      <c r="AP552" s="499"/>
      <c r="AQ552" s="499"/>
      <c r="AR552" s="499"/>
      <c r="AS552" s="499"/>
      <c r="AT552" s="499"/>
      <c r="AU552" s="499"/>
      <c r="AV552" s="499"/>
      <c r="AW552" s="499"/>
      <c r="AX552" s="499"/>
      <c r="AY552" s="499"/>
      <c r="AZ552" s="499"/>
      <c r="BA552" s="499"/>
      <c r="BB552" s="499"/>
      <c r="BC552" s="499"/>
      <c r="BD552" s="499"/>
      <c r="BE552" s="499"/>
      <c r="BF552" s="499"/>
      <c r="BG552" s="499"/>
      <c r="BH552" s="499"/>
      <c r="BI552" s="499"/>
      <c r="BJ552" s="499"/>
      <c r="BK552" s="499"/>
      <c r="BL552" s="499"/>
      <c r="BM552" s="499"/>
      <c r="BN552" s="499"/>
      <c r="BO552" s="499"/>
      <c r="BP552" s="499"/>
      <c r="BQ552" s="499"/>
      <c r="BR552" s="499"/>
      <c r="BS552" s="499"/>
      <c r="BT552" s="499"/>
      <c r="BU552" s="499"/>
      <c r="BV552" s="499"/>
    </row>
    <row r="553" spans="1:74" s="500" customFormat="1" ht="12.75" x14ac:dyDescent="0.2">
      <c r="A553" s="107"/>
      <c r="B553" s="1564" t="s">
        <v>654</v>
      </c>
      <c r="C553" s="1565" t="s">
        <v>655</v>
      </c>
      <c r="D553" s="826">
        <v>42552</v>
      </c>
      <c r="E553" s="826">
        <v>42583</v>
      </c>
      <c r="F553" s="826">
        <v>42614</v>
      </c>
      <c r="G553" s="826">
        <v>42644</v>
      </c>
      <c r="H553" s="826">
        <v>42675</v>
      </c>
      <c r="I553" s="826">
        <v>42705</v>
      </c>
      <c r="J553" s="826">
        <v>42736</v>
      </c>
      <c r="K553" s="826">
        <v>42767</v>
      </c>
      <c r="L553" s="826">
        <v>42795</v>
      </c>
      <c r="M553" s="826">
        <v>42826</v>
      </c>
      <c r="N553" s="826">
        <v>42856</v>
      </c>
      <c r="O553" s="826">
        <v>42887</v>
      </c>
      <c r="P553" s="499"/>
      <c r="Q553" s="499"/>
      <c r="R553" s="499"/>
      <c r="S553" s="499"/>
      <c r="T553" s="499"/>
      <c r="U553" s="499"/>
      <c r="V553" s="499"/>
      <c r="W553" s="499"/>
      <c r="X553" s="499"/>
      <c r="Y553" s="499"/>
      <c r="Z553" s="499"/>
      <c r="AA553" s="499"/>
      <c r="AB553" s="499"/>
      <c r="AC553" s="499"/>
      <c r="AD553" s="499"/>
      <c r="AE553" s="499"/>
      <c r="AF553" s="499"/>
      <c r="AG553" s="499"/>
      <c r="AH553" s="499"/>
      <c r="AI553" s="499"/>
      <c r="AJ553" s="499"/>
      <c r="AK553" s="499"/>
      <c r="AL553" s="499"/>
      <c r="AM553" s="499"/>
      <c r="AN553" s="499"/>
      <c r="AO553" s="499"/>
      <c r="AP553" s="499"/>
      <c r="AQ553" s="499"/>
      <c r="AR553" s="499"/>
      <c r="AS553" s="499"/>
      <c r="AT553" s="499"/>
      <c r="AU553" s="499"/>
      <c r="AV553" s="499"/>
      <c r="AW553" s="499"/>
      <c r="AX553" s="499"/>
      <c r="AY553" s="499"/>
      <c r="AZ553" s="499"/>
      <c r="BA553" s="499"/>
      <c r="BB553" s="499"/>
      <c r="BC553" s="499"/>
      <c r="BD553" s="499"/>
      <c r="BE553" s="499"/>
      <c r="BF553" s="499"/>
      <c r="BG553" s="499"/>
      <c r="BH553" s="499"/>
      <c r="BI553" s="499"/>
      <c r="BJ553" s="499"/>
      <c r="BK553" s="499"/>
      <c r="BL553" s="499"/>
      <c r="BM553" s="499"/>
      <c r="BN553" s="499"/>
      <c r="BO553" s="499"/>
      <c r="BP553" s="499"/>
      <c r="BQ553" s="499"/>
      <c r="BR553" s="499"/>
      <c r="BS553" s="499"/>
      <c r="BT553" s="499"/>
      <c r="BU553" s="499"/>
      <c r="BV553" s="499"/>
    </row>
    <row r="554" spans="1:74" s="1837" customFormat="1" ht="12.75" x14ac:dyDescent="0.2">
      <c r="A554" s="1836"/>
      <c r="B554" s="2006" t="s">
        <v>889</v>
      </c>
      <c r="C554" s="2007" t="s">
        <v>890</v>
      </c>
      <c r="D554" s="2008">
        <v>124302.36</v>
      </c>
      <c r="E554" s="2008">
        <v>136673.47995410001</v>
      </c>
      <c r="F554" s="2008">
        <v>154241.20000000001</v>
      </c>
      <c r="G554" s="2008">
        <v>154193.12</v>
      </c>
      <c r="H554" s="2008">
        <v>150620.96</v>
      </c>
      <c r="I554" s="2008">
        <v>124908</v>
      </c>
      <c r="J554" s="2008">
        <v>100757.2000459</v>
      </c>
      <c r="K554" s="2008">
        <v>142079.84</v>
      </c>
      <c r="L554" s="2008">
        <v>126422.8</v>
      </c>
      <c r="M554" s="2008">
        <v>146194.96</v>
      </c>
      <c r="N554" s="2008">
        <v>153701.5600459</v>
      </c>
      <c r="O554" s="2008">
        <v>92243</v>
      </c>
      <c r="P554" s="1838"/>
      <c r="Q554" s="1838"/>
      <c r="R554" s="1838"/>
      <c r="S554" s="1838"/>
      <c r="T554" s="1838"/>
      <c r="U554" s="1838"/>
      <c r="V554" s="1838"/>
      <c r="W554" s="1838"/>
      <c r="X554" s="1838"/>
      <c r="Y554" s="1838"/>
      <c r="Z554" s="1838"/>
      <c r="AA554" s="1838"/>
      <c r="AB554" s="1838"/>
      <c r="AC554" s="1838"/>
      <c r="AD554" s="1838"/>
      <c r="AE554" s="1838"/>
      <c r="AF554" s="1838"/>
      <c r="AG554" s="1838"/>
      <c r="AH554" s="1838"/>
      <c r="AI554" s="1838"/>
      <c r="AJ554" s="1838"/>
      <c r="AK554" s="1838"/>
      <c r="AL554" s="1838"/>
      <c r="AM554" s="1838"/>
      <c r="AN554" s="1838"/>
      <c r="AO554" s="1838"/>
      <c r="AP554" s="1838"/>
      <c r="AQ554" s="1838"/>
      <c r="AR554" s="1838"/>
      <c r="AS554" s="1838"/>
      <c r="AT554" s="1838"/>
      <c r="AU554" s="1838"/>
      <c r="AV554" s="1838"/>
      <c r="AW554" s="1838"/>
      <c r="AX554" s="1838"/>
      <c r="AY554" s="1838"/>
      <c r="AZ554" s="1838"/>
      <c r="BA554" s="1838"/>
      <c r="BB554" s="1838"/>
      <c r="BC554" s="1838"/>
      <c r="BD554" s="1838"/>
      <c r="BE554" s="1838"/>
      <c r="BF554" s="1838"/>
      <c r="BG554" s="1838"/>
      <c r="BH554" s="1838"/>
      <c r="BI554" s="1838"/>
      <c r="BJ554" s="1838"/>
      <c r="BK554" s="1838"/>
      <c r="BL554" s="1838"/>
      <c r="BM554" s="1838"/>
      <c r="BN554" s="1838"/>
      <c r="BO554" s="1838"/>
      <c r="BP554" s="1838"/>
      <c r="BQ554" s="1838"/>
      <c r="BR554" s="1838"/>
      <c r="BS554" s="1838"/>
      <c r="BT554" s="1838"/>
      <c r="BU554" s="1838"/>
      <c r="BV554" s="1838"/>
    </row>
    <row r="555" spans="1:74" s="500" customFormat="1" ht="12.75" x14ac:dyDescent="0.2">
      <c r="A555" s="107"/>
      <c r="B555" s="2009">
        <v>315</v>
      </c>
      <c r="C555" s="2010" t="s">
        <v>891</v>
      </c>
      <c r="D555" s="2011">
        <v>90183.92</v>
      </c>
      <c r="E555" s="2011">
        <v>75576.559982699997</v>
      </c>
      <c r="F555" s="2011">
        <v>97576.4</v>
      </c>
      <c r="G555" s="2011">
        <v>83684.639999999999</v>
      </c>
      <c r="H555" s="2011">
        <v>70809.119999999995</v>
      </c>
      <c r="I555" s="2011">
        <v>57196</v>
      </c>
      <c r="J555" s="2011">
        <v>34628.400017300002</v>
      </c>
      <c r="K555" s="2011">
        <v>60848.480000000003</v>
      </c>
      <c r="L555" s="2011">
        <v>55911.6</v>
      </c>
      <c r="M555" s="2011">
        <v>67107.12</v>
      </c>
      <c r="N555" s="2011">
        <v>74650.320017299993</v>
      </c>
      <c r="O555" s="2011">
        <v>51248</v>
      </c>
      <c r="P555" s="499"/>
      <c r="Q555" s="499"/>
      <c r="R555" s="499"/>
      <c r="S555" s="499"/>
      <c r="T555" s="499"/>
      <c r="U555" s="499"/>
      <c r="V555" s="499"/>
      <c r="W555" s="499"/>
      <c r="X555" s="499"/>
      <c r="Y555" s="499"/>
      <c r="Z555" s="499"/>
      <c r="AA555" s="499"/>
      <c r="AB555" s="499"/>
      <c r="AC555" s="499"/>
      <c r="AD555" s="499"/>
      <c r="AE555" s="499"/>
      <c r="AF555" s="499"/>
      <c r="AG555" s="499"/>
      <c r="AH555" s="499"/>
      <c r="AI555" s="499"/>
      <c r="AJ555" s="499"/>
      <c r="AK555" s="499"/>
      <c r="AL555" s="499"/>
      <c r="AM555" s="499"/>
      <c r="AN555" s="499"/>
      <c r="AO555" s="499"/>
      <c r="AP555" s="499"/>
      <c r="AQ555" s="499"/>
      <c r="AR555" s="499"/>
      <c r="AS555" s="499"/>
      <c r="AT555" s="499"/>
      <c r="AU555" s="499"/>
      <c r="AV555" s="499"/>
      <c r="AW555" s="499"/>
      <c r="AX555" s="499"/>
      <c r="AY555" s="499"/>
      <c r="AZ555" s="499"/>
      <c r="BA555" s="499"/>
      <c r="BB555" s="499"/>
      <c r="BC555" s="499"/>
      <c r="BD555" s="499"/>
      <c r="BE555" s="499"/>
      <c r="BF555" s="499"/>
      <c r="BG555" s="499"/>
      <c r="BH555" s="499"/>
      <c r="BI555" s="499"/>
      <c r="BJ555" s="499"/>
      <c r="BK555" s="499"/>
      <c r="BL555" s="499"/>
      <c r="BM555" s="499"/>
      <c r="BN555" s="499"/>
      <c r="BO555" s="499"/>
      <c r="BP555" s="499"/>
      <c r="BQ555" s="499"/>
      <c r="BR555" s="499"/>
      <c r="BS555" s="499"/>
      <c r="BT555" s="499"/>
      <c r="BU555" s="499"/>
      <c r="BV555" s="499"/>
    </row>
    <row r="556" spans="1:74" s="500" customFormat="1" ht="12.75" customHeight="1" x14ac:dyDescent="0.2">
      <c r="A556" s="107"/>
      <c r="B556" s="2009" t="s">
        <v>892</v>
      </c>
      <c r="C556" s="2012" t="s">
        <v>893</v>
      </c>
      <c r="D556" s="2013">
        <v>86886.720000000001</v>
      </c>
      <c r="E556" s="2013">
        <v>100976.9599632</v>
      </c>
      <c r="F556" s="2013">
        <v>121742.40000000001</v>
      </c>
      <c r="G556" s="2013">
        <v>106562.23999999999</v>
      </c>
      <c r="H556" s="2013">
        <v>94529.919999999984</v>
      </c>
      <c r="I556" s="2013">
        <v>77896</v>
      </c>
      <c r="J556" s="2013">
        <v>67854.400036799998</v>
      </c>
      <c r="K556" s="2013">
        <v>83151.680000000008</v>
      </c>
      <c r="L556" s="2013">
        <v>77425.599999999991</v>
      </c>
      <c r="M556" s="2013">
        <v>91417.919999999998</v>
      </c>
      <c r="N556" s="2013">
        <v>88109.120036799999</v>
      </c>
      <c r="O556" s="2013">
        <v>79328</v>
      </c>
      <c r="P556" s="499"/>
      <c r="Q556" s="499"/>
      <c r="R556" s="499"/>
      <c r="S556" s="499"/>
      <c r="T556" s="499"/>
      <c r="U556" s="499"/>
      <c r="V556" s="499"/>
      <c r="W556" s="499"/>
      <c r="X556" s="499"/>
      <c r="Y556" s="499"/>
      <c r="Z556" s="499"/>
      <c r="AA556" s="499"/>
      <c r="AB556" s="499"/>
      <c r="AC556" s="499"/>
      <c r="AD556" s="499"/>
      <c r="AE556" s="499"/>
      <c r="AF556" s="499"/>
      <c r="AG556" s="499"/>
      <c r="AH556" s="499"/>
      <c r="AI556" s="499"/>
      <c r="AJ556" s="499"/>
      <c r="AK556" s="499"/>
      <c r="AL556" s="499"/>
      <c r="AM556" s="499"/>
      <c r="AN556" s="499"/>
      <c r="AO556" s="499"/>
      <c r="AP556" s="499"/>
      <c r="AQ556" s="499"/>
      <c r="AR556" s="499"/>
      <c r="AS556" s="499"/>
      <c r="AT556" s="499"/>
      <c r="AU556" s="499"/>
      <c r="AV556" s="499"/>
      <c r="AW556" s="499"/>
      <c r="AX556" s="499"/>
      <c r="AY556" s="499"/>
      <c r="AZ556" s="499"/>
      <c r="BA556" s="499"/>
      <c r="BB556" s="499"/>
      <c r="BC556" s="499"/>
      <c r="BD556" s="499"/>
      <c r="BE556" s="499"/>
      <c r="BF556" s="499"/>
      <c r="BG556" s="499"/>
      <c r="BH556" s="499"/>
      <c r="BI556" s="499"/>
      <c r="BJ556" s="499"/>
      <c r="BK556" s="499"/>
      <c r="BL556" s="499"/>
      <c r="BM556" s="499"/>
      <c r="BN556" s="499"/>
      <c r="BO556" s="499"/>
      <c r="BP556" s="499"/>
      <c r="BQ556" s="499"/>
      <c r="BR556" s="499"/>
      <c r="BS556" s="499"/>
      <c r="BT556" s="499"/>
      <c r="BU556" s="499"/>
      <c r="BV556" s="499"/>
    </row>
    <row r="557" spans="1:74" s="500" customFormat="1" ht="12.75" customHeight="1" x14ac:dyDescent="0.2">
      <c r="A557" s="107"/>
      <c r="B557" s="2014">
        <v>239</v>
      </c>
      <c r="C557" s="2015" t="s">
        <v>1378</v>
      </c>
      <c r="D557" s="2016">
        <v>51000</v>
      </c>
      <c r="E557" s="2016">
        <v>52560</v>
      </c>
      <c r="F557" s="2016">
        <v>65280</v>
      </c>
      <c r="G557" s="2016">
        <v>50280</v>
      </c>
      <c r="H557" s="2016">
        <v>38640</v>
      </c>
      <c r="I557" s="2016">
        <v>32280</v>
      </c>
      <c r="J557" s="2016">
        <v>27600</v>
      </c>
      <c r="K557" s="2016">
        <v>34440</v>
      </c>
      <c r="L557" s="2016">
        <v>34080</v>
      </c>
      <c r="M557" s="2016">
        <v>37320</v>
      </c>
      <c r="N557" s="2016">
        <v>36480</v>
      </c>
      <c r="O557" s="2016">
        <v>30480</v>
      </c>
      <c r="P557" s="499"/>
      <c r="Q557" s="499"/>
      <c r="R557" s="499"/>
      <c r="S557" s="499"/>
      <c r="T557" s="499"/>
      <c r="U557" s="499"/>
      <c r="V557" s="499"/>
      <c r="W557" s="499"/>
      <c r="X557" s="499"/>
      <c r="Y557" s="499"/>
      <c r="Z557" s="499"/>
      <c r="AA557" s="499"/>
      <c r="AB557" s="499"/>
      <c r="AC557" s="499"/>
      <c r="AD557" s="499"/>
      <c r="AE557" s="499"/>
      <c r="AF557" s="499"/>
      <c r="AG557" s="499"/>
      <c r="AH557" s="499"/>
      <c r="AI557" s="499"/>
      <c r="AJ557" s="499"/>
      <c r="AK557" s="499"/>
      <c r="AL557" s="499"/>
      <c r="AM557" s="499"/>
      <c r="AN557" s="499"/>
      <c r="AO557" s="499"/>
      <c r="AP557" s="499"/>
      <c r="AQ557" s="499"/>
      <c r="AR557" s="499"/>
      <c r="AS557" s="499"/>
      <c r="AT557" s="499"/>
      <c r="AU557" s="499"/>
      <c r="AV557" s="499"/>
      <c r="AW557" s="499"/>
      <c r="AX557" s="499"/>
      <c r="AY557" s="499"/>
      <c r="AZ557" s="499"/>
      <c r="BA557" s="499"/>
      <c r="BB557" s="499"/>
      <c r="BC557" s="499"/>
      <c r="BD557" s="499"/>
      <c r="BE557" s="499"/>
      <c r="BF557" s="499"/>
      <c r="BG557" s="499"/>
      <c r="BH557" s="499"/>
      <c r="BI557" s="499"/>
      <c r="BJ557" s="499"/>
      <c r="BK557" s="499"/>
      <c r="BL557" s="499"/>
      <c r="BM557" s="499"/>
      <c r="BN557" s="499"/>
      <c r="BO557" s="499"/>
      <c r="BP557" s="499"/>
      <c r="BQ557" s="499"/>
      <c r="BR557" s="499"/>
      <c r="BS557" s="499"/>
      <c r="BT557" s="499"/>
      <c r="BU557" s="499"/>
      <c r="BV557" s="499"/>
    </row>
    <row r="558" spans="1:74" s="500" customFormat="1" ht="12.75" customHeight="1" x14ac:dyDescent="0.2">
      <c r="A558" s="107"/>
      <c r="B558" s="2017" t="s">
        <v>889</v>
      </c>
      <c r="C558" s="834" t="s">
        <v>894</v>
      </c>
      <c r="D558" s="835">
        <v>10055.600760000001</v>
      </c>
      <c r="E558" s="835">
        <v>11052.116120000001</v>
      </c>
      <c r="F558" s="835">
        <v>12467.196980000001</v>
      </c>
      <c r="G558" s="835">
        <v>12463.33771</v>
      </c>
      <c r="H558" s="835">
        <v>12175.59196</v>
      </c>
      <c r="I558" s="835">
        <v>10104.394770000001</v>
      </c>
      <c r="J558" s="835">
        <v>8159.0232400000004</v>
      </c>
      <c r="K558" s="835">
        <v>11847.90847</v>
      </c>
      <c r="L558" s="835">
        <v>10867.325080000001</v>
      </c>
      <c r="M558" s="835">
        <v>12560.214559999999</v>
      </c>
      <c r="N558" s="835">
        <v>13202.94234</v>
      </c>
      <c r="O558" s="835">
        <v>7940.8564399999996</v>
      </c>
      <c r="P558" s="499"/>
      <c r="Q558" s="499"/>
      <c r="R558" s="499"/>
      <c r="S558" s="499"/>
      <c r="T558" s="499"/>
      <c r="U558" s="499"/>
      <c r="V558" s="499"/>
      <c r="W558" s="499"/>
      <c r="X558" s="499"/>
      <c r="Y558" s="499"/>
      <c r="Z558" s="499"/>
      <c r="AA558" s="499"/>
      <c r="AB558" s="499"/>
      <c r="AC558" s="499"/>
      <c r="AD558" s="499"/>
      <c r="AE558" s="499"/>
      <c r="AF558" s="499"/>
      <c r="AG558" s="499"/>
      <c r="AH558" s="499"/>
      <c r="AI558" s="499"/>
      <c r="AJ558" s="499"/>
      <c r="AK558" s="499"/>
      <c r="AL558" s="499"/>
      <c r="AM558" s="499"/>
      <c r="AN558" s="499"/>
      <c r="AO558" s="499"/>
      <c r="AP558" s="499"/>
      <c r="AQ558" s="499"/>
      <c r="AR558" s="499"/>
      <c r="AS558" s="499"/>
      <c r="AT558" s="499"/>
      <c r="AU558" s="499"/>
      <c r="AV558" s="499"/>
      <c r="AW558" s="499"/>
      <c r="AX558" s="499"/>
      <c r="AY558" s="499"/>
      <c r="AZ558" s="499"/>
      <c r="BA558" s="499"/>
      <c r="BB558" s="499"/>
      <c r="BC558" s="499"/>
      <c r="BD558" s="499"/>
      <c r="BE558" s="499"/>
      <c r="BF558" s="499"/>
      <c r="BG558" s="499"/>
      <c r="BH558" s="499"/>
      <c r="BI558" s="499"/>
      <c r="BJ558" s="499"/>
      <c r="BK558" s="499"/>
      <c r="BL558" s="499"/>
      <c r="BM558" s="499"/>
      <c r="BN558" s="499"/>
      <c r="BO558" s="499"/>
      <c r="BP558" s="499"/>
      <c r="BQ558" s="499"/>
      <c r="BR558" s="499"/>
      <c r="BS558" s="499"/>
      <c r="BT558" s="499"/>
      <c r="BU558" s="499"/>
      <c r="BV558" s="499"/>
    </row>
    <row r="559" spans="1:74" s="501" customFormat="1" ht="12.75" x14ac:dyDescent="0.2">
      <c r="A559" s="107"/>
      <c r="B559" s="2017">
        <v>315</v>
      </c>
      <c r="C559" s="834" t="s">
        <v>895</v>
      </c>
      <c r="D559" s="835">
        <v>7278.9497200000005</v>
      </c>
      <c r="E559" s="835">
        <v>6102.3156399999998</v>
      </c>
      <c r="F559" s="835">
        <v>7874.4200599999995</v>
      </c>
      <c r="G559" s="835">
        <v>6755.4263700000001</v>
      </c>
      <c r="H559" s="835">
        <v>5718.2861199999998</v>
      </c>
      <c r="I559" s="835">
        <v>4621.7521900000002</v>
      </c>
      <c r="J559" s="835">
        <v>2803.9182799999999</v>
      </c>
      <c r="K559" s="835">
        <v>5070.1960900000004</v>
      </c>
      <c r="L559" s="835">
        <v>4801.7407599999997</v>
      </c>
      <c r="M559" s="835">
        <v>5760.2983199999999</v>
      </c>
      <c r="N559" s="835">
        <v>6406.1559800000005</v>
      </c>
      <c r="O559" s="835">
        <v>4402.4386800000002</v>
      </c>
      <c r="P559" s="1572"/>
      <c r="Q559" s="1572"/>
      <c r="R559" s="1572"/>
      <c r="S559" s="1572"/>
      <c r="T559" s="1572"/>
      <c r="U559" s="1572"/>
      <c r="V559" s="1572"/>
      <c r="W559" s="1572"/>
      <c r="X559" s="1572"/>
      <c r="Y559" s="1572"/>
      <c r="Z559" s="1572"/>
      <c r="AA559" s="1572"/>
      <c r="AB559" s="1572"/>
      <c r="AC559" s="1572"/>
      <c r="AD559" s="1572"/>
      <c r="AE559" s="1572"/>
      <c r="AF559" s="1572"/>
      <c r="AG559" s="1572"/>
      <c r="AH559" s="1572"/>
      <c r="AI559" s="1572"/>
      <c r="AJ559" s="1572"/>
      <c r="AK559" s="1572"/>
      <c r="AL559" s="1572"/>
      <c r="AM559" s="1572"/>
      <c r="AN559" s="1572"/>
      <c r="AO559" s="1572"/>
      <c r="AP559" s="1572"/>
      <c r="AQ559" s="1572"/>
      <c r="AR559" s="1572"/>
      <c r="AS559" s="1572"/>
      <c r="AT559" s="1572"/>
      <c r="AU559" s="1572"/>
      <c r="AV559" s="1572"/>
      <c r="AW559" s="1572"/>
      <c r="AX559" s="1572"/>
      <c r="AY559" s="1572"/>
      <c r="AZ559" s="1572"/>
      <c r="BA559" s="1572"/>
      <c r="BB559" s="1572"/>
      <c r="BC559" s="1572"/>
      <c r="BD559" s="1572"/>
      <c r="BE559" s="1572"/>
      <c r="BF559" s="1572"/>
      <c r="BG559" s="1572"/>
      <c r="BH559" s="1572"/>
      <c r="BI559" s="1572"/>
      <c r="BJ559" s="1572"/>
      <c r="BK559" s="1572"/>
      <c r="BL559" s="1572"/>
      <c r="BM559" s="1572"/>
      <c r="BN559" s="1572"/>
      <c r="BO559" s="1572"/>
      <c r="BP559" s="1572"/>
      <c r="BQ559" s="1572"/>
      <c r="BR559" s="1572"/>
      <c r="BS559" s="1572"/>
      <c r="BT559" s="1572"/>
      <c r="BU559" s="1572"/>
      <c r="BV559" s="1572"/>
    </row>
    <row r="560" spans="1:74" s="500" customFormat="1" ht="12.75" x14ac:dyDescent="0.2">
      <c r="A560" s="107"/>
      <c r="B560" s="2017" t="s">
        <v>892</v>
      </c>
      <c r="C560" s="834" t="s">
        <v>896</v>
      </c>
      <c r="D560" s="835">
        <v>7028.1895200000008</v>
      </c>
      <c r="E560" s="835">
        <v>8163.1882400000004</v>
      </c>
      <c r="F560" s="835">
        <v>9835.8529600000002</v>
      </c>
      <c r="G560" s="835">
        <v>8613.0759199999993</v>
      </c>
      <c r="H560" s="835">
        <v>7643.8719199999996</v>
      </c>
      <c r="I560" s="835">
        <v>6303.9930400000003</v>
      </c>
      <c r="J560" s="835">
        <v>5495.1384800000005</v>
      </c>
      <c r="K560" s="835">
        <v>6938.1154399999996</v>
      </c>
      <c r="L560" s="835">
        <v>6658.6141600000001</v>
      </c>
      <c r="M560" s="835">
        <v>7856.6571200000008</v>
      </c>
      <c r="N560" s="835">
        <v>7573.36168</v>
      </c>
      <c r="O560" s="835">
        <v>6821.5048799999995</v>
      </c>
      <c r="P560" s="1572"/>
      <c r="Q560" s="1572"/>
      <c r="R560" s="1572"/>
      <c r="S560" s="1572"/>
      <c r="T560" s="1572"/>
      <c r="U560" s="1572"/>
      <c r="V560" s="1572"/>
      <c r="W560" s="1572"/>
      <c r="X560" s="1572"/>
      <c r="Y560" s="1572"/>
      <c r="Z560" s="1572"/>
      <c r="AA560" s="1572"/>
      <c r="AB560" s="1572"/>
      <c r="AC560" s="1572"/>
      <c r="AD560" s="1572"/>
      <c r="AE560" s="1572"/>
      <c r="AF560" s="1572"/>
      <c r="AG560" s="1572"/>
      <c r="AH560" s="1572"/>
      <c r="AI560" s="1572"/>
      <c r="AJ560" s="1572"/>
      <c r="AK560" s="1572"/>
      <c r="AL560" s="1572"/>
      <c r="AM560" s="1572"/>
      <c r="AN560" s="1572"/>
      <c r="AO560" s="1572"/>
      <c r="AP560" s="1572"/>
      <c r="AQ560" s="1572"/>
      <c r="AR560" s="1572"/>
      <c r="AS560" s="1572"/>
      <c r="AT560" s="1572"/>
      <c r="AU560" s="1572"/>
      <c r="AV560" s="1572"/>
      <c r="AW560" s="1572"/>
      <c r="AX560" s="1572"/>
      <c r="AY560" s="1572"/>
      <c r="AZ560" s="1572"/>
      <c r="BA560" s="1572"/>
      <c r="BB560" s="1572"/>
      <c r="BC560" s="1572"/>
      <c r="BD560" s="1572"/>
      <c r="BE560" s="1572"/>
      <c r="BF560" s="1572"/>
      <c r="BG560" s="1572"/>
      <c r="BH560" s="1572"/>
      <c r="BI560" s="1572"/>
      <c r="BJ560" s="1572"/>
      <c r="BK560" s="1572"/>
      <c r="BL560" s="1572"/>
      <c r="BM560" s="1572"/>
      <c r="BN560" s="1572"/>
      <c r="BO560" s="1572"/>
      <c r="BP560" s="1572"/>
      <c r="BQ560" s="1572"/>
      <c r="BR560" s="1572"/>
      <c r="BS560" s="1572"/>
      <c r="BT560" s="1572"/>
      <c r="BU560" s="1572"/>
      <c r="BV560" s="1572"/>
    </row>
    <row r="561" spans="1:74" s="500" customFormat="1" ht="12.75" x14ac:dyDescent="0.2">
      <c r="A561" s="107"/>
      <c r="B561" s="2018">
        <v>239</v>
      </c>
      <c r="C561" s="2019" t="s">
        <v>1379</v>
      </c>
      <c r="D561" s="2020">
        <v>4120.51</v>
      </c>
      <c r="E561" s="2020">
        <v>4246.17</v>
      </c>
      <c r="F561" s="2020">
        <v>5270.77</v>
      </c>
      <c r="G561" s="2020">
        <v>4062.51</v>
      </c>
      <c r="H561" s="2020">
        <v>3124.9</v>
      </c>
      <c r="I561" s="2020">
        <v>2612.6</v>
      </c>
      <c r="J561" s="2020">
        <v>2235.63</v>
      </c>
      <c r="K561" s="2020">
        <v>2870.88</v>
      </c>
      <c r="L561" s="2020">
        <v>2930.37</v>
      </c>
      <c r="M561" s="2020">
        <v>3207.77</v>
      </c>
      <c r="N561" s="2020">
        <v>3135.85</v>
      </c>
      <c r="O561" s="2020">
        <v>2622.13</v>
      </c>
      <c r="P561" s="1572"/>
      <c r="Q561" s="1572"/>
      <c r="R561" s="1572"/>
      <c r="S561" s="1572"/>
      <c r="T561" s="1572"/>
      <c r="U561" s="1572"/>
      <c r="V561" s="1572"/>
      <c r="W561" s="1572"/>
      <c r="X561" s="1572"/>
      <c r="Y561" s="1572"/>
      <c r="Z561" s="1572"/>
      <c r="AA561" s="1572"/>
      <c r="AB561" s="1572"/>
      <c r="AC561" s="1572"/>
      <c r="AD561" s="1572"/>
      <c r="AE561" s="1572"/>
      <c r="AF561" s="1572"/>
      <c r="AG561" s="1572"/>
      <c r="AH561" s="1572"/>
      <c r="AI561" s="1572"/>
      <c r="AJ561" s="1572"/>
      <c r="AK561" s="1572"/>
      <c r="AL561" s="1572"/>
      <c r="AM561" s="1572"/>
      <c r="AN561" s="1572"/>
      <c r="AO561" s="1572"/>
      <c r="AP561" s="1572"/>
      <c r="AQ561" s="1572"/>
      <c r="AR561" s="1572"/>
      <c r="AS561" s="1572"/>
      <c r="AT561" s="1572"/>
      <c r="AU561" s="1572"/>
      <c r="AV561" s="1572"/>
      <c r="AW561" s="1572"/>
      <c r="AX561" s="1572"/>
      <c r="AY561" s="1572"/>
      <c r="AZ561" s="1572"/>
      <c r="BA561" s="1572"/>
      <c r="BB561" s="1572"/>
      <c r="BC561" s="1572"/>
      <c r="BD561" s="1572"/>
      <c r="BE561" s="1572"/>
      <c r="BF561" s="1572"/>
      <c r="BG561" s="1572"/>
      <c r="BH561" s="1572"/>
      <c r="BI561" s="1572"/>
      <c r="BJ561" s="1572"/>
      <c r="BK561" s="1572"/>
      <c r="BL561" s="1572"/>
      <c r="BM561" s="1572"/>
      <c r="BN561" s="1572"/>
      <c r="BO561" s="1572"/>
      <c r="BP561" s="1572"/>
      <c r="BQ561" s="1572"/>
      <c r="BR561" s="1572"/>
      <c r="BS561" s="1572"/>
      <c r="BT561" s="1572"/>
      <c r="BU561" s="1572"/>
      <c r="BV561" s="1572"/>
    </row>
    <row r="562" spans="1:74" s="26" customFormat="1" ht="12.75" x14ac:dyDescent="0.2">
      <c r="A562" s="107"/>
      <c r="B562" s="1571"/>
      <c r="C562" s="500"/>
      <c r="D562"/>
      <c r="E562"/>
      <c r="F562"/>
      <c r="G562"/>
      <c r="H562"/>
      <c r="I562"/>
      <c r="J562"/>
      <c r="K562"/>
      <c r="L562"/>
      <c r="M562"/>
      <c r="N562"/>
      <c r="O562"/>
      <c r="P562" s="836"/>
      <c r="Q562" s="836"/>
      <c r="R562" s="836"/>
      <c r="S562" s="836"/>
      <c r="T562" s="836"/>
      <c r="U562" s="836"/>
      <c r="V562" s="836"/>
      <c r="W562" s="836"/>
      <c r="X562" s="836"/>
      <c r="Y562" s="836"/>
      <c r="Z562" s="836"/>
      <c r="AA562" s="836"/>
      <c r="AB562" s="836"/>
      <c r="AC562" s="836"/>
      <c r="AD562" s="836"/>
      <c r="AE562" s="836"/>
      <c r="AF562" s="836"/>
      <c r="AG562" s="836"/>
      <c r="AH562" s="836"/>
      <c r="AI562" s="836"/>
      <c r="AJ562" s="836"/>
      <c r="AK562" s="836"/>
      <c r="AL562" s="836"/>
      <c r="AM562" s="836"/>
      <c r="AN562" s="836"/>
      <c r="AO562" s="836"/>
      <c r="AP562" s="836"/>
      <c r="AQ562" s="836"/>
      <c r="AR562" s="836"/>
      <c r="AS562" s="836"/>
      <c r="AT562" s="836"/>
      <c r="AU562" s="836"/>
      <c r="AV562" s="836"/>
      <c r="AW562" s="836"/>
      <c r="AX562" s="836"/>
      <c r="AY562" s="836"/>
    </row>
    <row r="563" spans="1:74" s="500" customFormat="1" ht="12.75" x14ac:dyDescent="0.2">
      <c r="A563" s="107"/>
      <c r="B563" s="1946" t="s">
        <v>897</v>
      </c>
      <c r="C563" s="1947"/>
      <c r="D563"/>
      <c r="E563"/>
      <c r="F563"/>
      <c r="G563"/>
      <c r="H563"/>
      <c r="I563"/>
      <c r="J563"/>
      <c r="K563"/>
      <c r="L563"/>
      <c r="M563"/>
      <c r="N563"/>
      <c r="O563"/>
      <c r="P563" s="499"/>
      <c r="Q563" s="499"/>
      <c r="R563" s="499"/>
      <c r="S563" s="499"/>
      <c r="T563" s="499"/>
      <c r="U563" s="499"/>
      <c r="V563" s="499"/>
      <c r="W563" s="499"/>
      <c r="X563" s="499"/>
      <c r="Y563" s="499"/>
      <c r="Z563" s="499"/>
      <c r="AA563" s="499"/>
      <c r="AB563" s="499"/>
      <c r="AC563" s="499"/>
      <c r="AD563" s="499"/>
      <c r="AE563" s="499"/>
      <c r="AF563" s="499"/>
      <c r="AG563" s="499"/>
      <c r="AH563" s="499"/>
      <c r="AI563" s="499"/>
      <c r="AJ563" s="499"/>
      <c r="AK563" s="499"/>
      <c r="AL563" s="499"/>
      <c r="AM563" s="499"/>
      <c r="AN563" s="499"/>
      <c r="AO563" s="499"/>
      <c r="AP563" s="499"/>
      <c r="AQ563" s="499"/>
      <c r="AR563" s="499"/>
      <c r="AS563" s="499"/>
      <c r="AT563" s="499"/>
      <c r="AU563" s="499"/>
      <c r="AV563" s="499"/>
      <c r="AW563" s="499"/>
      <c r="AX563" s="499"/>
      <c r="AY563" s="499"/>
      <c r="AZ563" s="499"/>
      <c r="BA563" s="499"/>
      <c r="BB563" s="499"/>
      <c r="BC563" s="499"/>
      <c r="BD563" s="499"/>
      <c r="BE563" s="499"/>
      <c r="BF563" s="499"/>
      <c r="BG563" s="499"/>
      <c r="BH563" s="499"/>
      <c r="BI563" s="499"/>
      <c r="BJ563" s="499"/>
      <c r="BK563" s="499"/>
      <c r="BL563" s="499"/>
      <c r="BM563" s="499"/>
      <c r="BN563" s="499"/>
      <c r="BO563" s="499"/>
      <c r="BP563" s="499"/>
      <c r="BQ563" s="499"/>
      <c r="BR563" s="499"/>
      <c r="BS563" s="499"/>
      <c r="BT563" s="499"/>
      <c r="BU563" s="499"/>
      <c r="BV563" s="499"/>
    </row>
    <row r="564" spans="1:74" s="26" customFormat="1" ht="12.75" x14ac:dyDescent="0.2">
      <c r="A564" s="1836"/>
      <c r="B564" s="1564" t="s">
        <v>654</v>
      </c>
      <c r="C564" s="825" t="s">
        <v>655</v>
      </c>
      <c r="D564" s="826">
        <v>42552</v>
      </c>
      <c r="E564" s="826">
        <v>42583</v>
      </c>
      <c r="F564" s="826">
        <v>42614</v>
      </c>
      <c r="G564" s="826">
        <v>42644</v>
      </c>
      <c r="H564" s="826">
        <v>42675</v>
      </c>
      <c r="I564" s="826">
        <v>42705</v>
      </c>
      <c r="J564" s="826">
        <v>42736</v>
      </c>
      <c r="K564" s="826">
        <v>42767</v>
      </c>
      <c r="L564" s="826">
        <v>42795</v>
      </c>
      <c r="M564" s="826">
        <v>42826</v>
      </c>
      <c r="N564" s="826">
        <v>42856</v>
      </c>
      <c r="O564" s="826">
        <v>42887</v>
      </c>
      <c r="P564" s="1838"/>
      <c r="Q564" s="1838"/>
      <c r="R564" s="1838"/>
      <c r="S564" s="1838"/>
      <c r="T564" s="1838"/>
      <c r="U564" s="1838"/>
      <c r="V564" s="1838"/>
      <c r="W564" s="1838"/>
      <c r="X564" s="1838"/>
      <c r="Y564" s="1838"/>
      <c r="Z564" s="1838"/>
      <c r="AA564" s="1838"/>
      <c r="AB564" s="1838"/>
      <c r="AC564" s="1838"/>
      <c r="AD564" s="1838"/>
      <c r="AE564" s="1838"/>
      <c r="AF564" s="1838"/>
      <c r="AG564" s="1838"/>
      <c r="AH564" s="1838"/>
      <c r="AI564" s="1838"/>
      <c r="AJ564" s="1838"/>
      <c r="AK564" s="1838"/>
      <c r="AL564" s="1838"/>
      <c r="AM564" s="1838"/>
      <c r="AN564" s="1838"/>
      <c r="AO564" s="1838"/>
      <c r="AP564" s="1838"/>
      <c r="AQ564" s="1838"/>
      <c r="AR564" s="1838"/>
      <c r="AS564" s="1838"/>
      <c r="AT564" s="1838"/>
      <c r="AU564" s="1838"/>
      <c r="AV564" s="1838"/>
      <c r="AW564" s="1838"/>
      <c r="AX564" s="1838"/>
      <c r="AY564" s="1838"/>
      <c r="AZ564" s="1838"/>
      <c r="BA564" s="1838"/>
      <c r="BB564" s="1838"/>
      <c r="BC564" s="1838"/>
      <c r="BD564" s="1838"/>
      <c r="BE564" s="1838"/>
      <c r="BF564" s="1838"/>
      <c r="BG564" s="1838"/>
      <c r="BH564" s="1838"/>
      <c r="BI564" s="1838"/>
      <c r="BJ564" s="1838"/>
      <c r="BK564" s="1838"/>
      <c r="BL564" s="1838"/>
      <c r="BM564" s="1838"/>
      <c r="BN564" s="1838"/>
      <c r="BO564" s="1838"/>
      <c r="BP564" s="1838"/>
      <c r="BQ564" s="1838"/>
      <c r="BR564" s="1838"/>
      <c r="BS564" s="1838"/>
      <c r="BT564" s="1838"/>
      <c r="BU564" s="1838"/>
      <c r="BV564" s="1838"/>
    </row>
    <row r="565" spans="1:74" s="500" customFormat="1" ht="12.75" x14ac:dyDescent="0.2">
      <c r="A565" s="107"/>
      <c r="B565" s="2021" t="s">
        <v>889</v>
      </c>
      <c r="C565" s="2022" t="s">
        <v>898</v>
      </c>
      <c r="D565" s="2023">
        <v>292804.2</v>
      </c>
      <c r="E565" s="2023">
        <v>311990.80000000005</v>
      </c>
      <c r="F565" s="2023">
        <v>263607.2</v>
      </c>
      <c r="G565" s="2023">
        <v>227736.5991658</v>
      </c>
      <c r="H565" s="2023">
        <v>376224.2</v>
      </c>
      <c r="I565" s="2023">
        <v>459644.2</v>
      </c>
      <c r="J565" s="2023">
        <v>623981.60000000009</v>
      </c>
      <c r="K565" s="2023">
        <v>372887.4</v>
      </c>
      <c r="L565" s="2023">
        <v>511364.60000000003</v>
      </c>
      <c r="M565" s="2023">
        <v>386234.60000000003</v>
      </c>
      <c r="N565" s="2023">
        <v>488007.00000000006</v>
      </c>
      <c r="O565" s="2023">
        <v>330343.19916580006</v>
      </c>
      <c r="P565" s="499"/>
      <c r="Q565" s="499"/>
      <c r="R565" s="499"/>
      <c r="S565" s="499"/>
      <c r="T565" s="499"/>
      <c r="U565" s="499"/>
      <c r="V565" s="499"/>
      <c r="W565" s="499"/>
      <c r="X565" s="499"/>
      <c r="Y565" s="499"/>
      <c r="Z565" s="499"/>
      <c r="AA565" s="499"/>
      <c r="AB565" s="499"/>
      <c r="AC565" s="499"/>
      <c r="AD565" s="499"/>
      <c r="AE565" s="499"/>
      <c r="AF565" s="499"/>
      <c r="AG565" s="499"/>
      <c r="AH565" s="499"/>
      <c r="AI565" s="499"/>
      <c r="AJ565" s="499"/>
      <c r="AK565" s="499"/>
      <c r="AL565" s="499"/>
      <c r="AM565" s="499"/>
      <c r="AN565" s="499"/>
      <c r="AO565" s="499"/>
      <c r="AP565" s="499"/>
      <c r="AQ565" s="499"/>
      <c r="AR565" s="499"/>
      <c r="AS565" s="499"/>
      <c r="AT565" s="499"/>
      <c r="AU565" s="499"/>
      <c r="AV565" s="499"/>
      <c r="AW565" s="499"/>
      <c r="AX565" s="499"/>
      <c r="AY565" s="499"/>
      <c r="AZ565" s="499"/>
      <c r="BA565" s="499"/>
      <c r="BB565" s="499"/>
      <c r="BC565" s="499"/>
      <c r="BD565" s="499"/>
      <c r="BE565" s="499"/>
      <c r="BF565" s="499"/>
      <c r="BG565" s="499"/>
      <c r="BH565" s="499"/>
      <c r="BI565" s="499"/>
      <c r="BJ565" s="499"/>
      <c r="BK565" s="499"/>
      <c r="BL565" s="499"/>
      <c r="BM565" s="499"/>
      <c r="BN565" s="499"/>
      <c r="BO565" s="499"/>
      <c r="BP565" s="499"/>
      <c r="BQ565" s="499"/>
      <c r="BR565" s="499"/>
      <c r="BS565" s="499"/>
      <c r="BT565" s="499"/>
      <c r="BU565" s="499"/>
      <c r="BV565" s="499"/>
    </row>
    <row r="566" spans="1:74" s="500" customFormat="1" ht="12.75" customHeight="1" x14ac:dyDescent="0.2">
      <c r="A566" s="107"/>
      <c r="B566" s="2024">
        <v>315</v>
      </c>
      <c r="C566" s="2025" t="s">
        <v>899</v>
      </c>
      <c r="D566" s="2026">
        <v>70907</v>
      </c>
      <c r="E566" s="2026">
        <v>87591</v>
      </c>
      <c r="F566" s="2026">
        <v>136808.80000000002</v>
      </c>
      <c r="G566" s="2026">
        <v>139311.40000000002</v>
      </c>
      <c r="H566" s="2026">
        <v>241918.00000000003</v>
      </c>
      <c r="I566" s="2026">
        <v>150990.20000000001</v>
      </c>
      <c r="J566" s="2026">
        <v>226902.40000000002</v>
      </c>
      <c r="K566" s="2026">
        <v>146819.20000000001</v>
      </c>
      <c r="L566" s="2026">
        <v>222731.40000000002</v>
      </c>
      <c r="M566" s="2026">
        <v>121793.20000000001</v>
      </c>
      <c r="N566" s="2026">
        <v>102606.6</v>
      </c>
      <c r="O566" s="2026">
        <v>73409.600000000006</v>
      </c>
      <c r="P566" s="499"/>
      <c r="Q566" s="499"/>
      <c r="R566" s="499"/>
      <c r="S566" s="499"/>
      <c r="T566" s="499"/>
      <c r="U566" s="499"/>
      <c r="V566" s="499"/>
      <c r="W566" s="499"/>
      <c r="X566" s="499"/>
      <c r="Y566" s="499"/>
      <c r="Z566" s="499"/>
      <c r="AA566" s="499"/>
      <c r="AB566" s="499"/>
      <c r="AC566" s="499"/>
      <c r="AD566" s="499"/>
      <c r="AE566" s="499"/>
      <c r="AF566" s="499"/>
      <c r="AG566" s="499"/>
      <c r="AH566" s="499"/>
      <c r="AI566" s="499"/>
      <c r="AJ566" s="499"/>
      <c r="AK566" s="499"/>
      <c r="AL566" s="499"/>
      <c r="AM566" s="499"/>
      <c r="AN566" s="499"/>
      <c r="AO566" s="499"/>
      <c r="AP566" s="499"/>
      <c r="AQ566" s="499"/>
      <c r="AR566" s="499"/>
      <c r="AS566" s="499"/>
      <c r="AT566" s="499"/>
      <c r="AU566" s="499"/>
      <c r="AV566" s="499"/>
      <c r="AW566" s="499"/>
      <c r="AX566" s="499"/>
      <c r="AY566" s="499"/>
      <c r="AZ566" s="499"/>
      <c r="BA566" s="499"/>
      <c r="BB566" s="499"/>
      <c r="BC566" s="499"/>
      <c r="BD566" s="499"/>
      <c r="BE566" s="499"/>
      <c r="BF566" s="499"/>
      <c r="BG566" s="499"/>
      <c r="BH566" s="499"/>
      <c r="BI566" s="499"/>
      <c r="BJ566" s="499"/>
      <c r="BK566" s="499"/>
      <c r="BL566" s="499"/>
      <c r="BM566" s="499"/>
      <c r="BN566" s="499"/>
      <c r="BO566" s="499"/>
      <c r="BP566" s="499"/>
      <c r="BQ566" s="499"/>
      <c r="BR566" s="499"/>
      <c r="BS566" s="499"/>
      <c r="BT566" s="499"/>
      <c r="BU566" s="499"/>
      <c r="BV566" s="499"/>
    </row>
    <row r="567" spans="1:74" s="500" customFormat="1" ht="12.75" customHeight="1" x14ac:dyDescent="0.2">
      <c r="A567" s="107"/>
      <c r="B567" s="2024" t="s">
        <v>892</v>
      </c>
      <c r="C567" s="2025" t="s">
        <v>900</v>
      </c>
      <c r="D567" s="2026">
        <v>221897.2</v>
      </c>
      <c r="E567" s="2026">
        <v>250260</v>
      </c>
      <c r="F567" s="2026">
        <v>302814.59999999998</v>
      </c>
      <c r="G567" s="2026">
        <v>260270.40000000002</v>
      </c>
      <c r="H567" s="2026">
        <v>444628.6</v>
      </c>
      <c r="I567" s="2026">
        <v>537224.80000000005</v>
      </c>
      <c r="J567" s="2026">
        <v>506359.4</v>
      </c>
      <c r="K567" s="2026">
        <v>471323.00000000006</v>
      </c>
      <c r="L567" s="2026">
        <v>412929</v>
      </c>
      <c r="M567" s="2026">
        <v>266944</v>
      </c>
      <c r="N567" s="2026">
        <v>260270.40000000002</v>
      </c>
      <c r="O567" s="2026">
        <v>253596.80000000005</v>
      </c>
      <c r="P567" s="499"/>
      <c r="Q567" s="499"/>
      <c r="R567" s="499"/>
      <c r="S567" s="499"/>
      <c r="T567" s="499"/>
      <c r="U567" s="499"/>
      <c r="V567" s="499"/>
      <c r="W567" s="499"/>
      <c r="X567" s="499"/>
      <c r="Y567" s="499"/>
      <c r="Z567" s="499"/>
      <c r="AA567" s="499"/>
      <c r="AB567" s="499"/>
      <c r="AC567" s="499"/>
      <c r="AD567" s="499"/>
      <c r="AE567" s="499"/>
      <c r="AF567" s="499"/>
      <c r="AG567" s="499"/>
      <c r="AH567" s="499"/>
      <c r="AI567" s="499"/>
      <c r="AJ567" s="499"/>
      <c r="AK567" s="499"/>
      <c r="AL567" s="499"/>
      <c r="AM567" s="499"/>
      <c r="AN567" s="499"/>
      <c r="AO567" s="499"/>
      <c r="AP567" s="499"/>
      <c r="AQ567" s="499"/>
      <c r="AR567" s="499"/>
      <c r="AS567" s="499"/>
      <c r="AT567" s="499"/>
      <c r="AU567" s="499"/>
      <c r="AV567" s="499"/>
      <c r="AW567" s="499"/>
      <c r="AX567" s="499"/>
      <c r="AY567" s="499"/>
      <c r="AZ567" s="499"/>
      <c r="BA567" s="499"/>
      <c r="BB567" s="499"/>
      <c r="BC567" s="499"/>
      <c r="BD567" s="499"/>
      <c r="BE567" s="499"/>
      <c r="BF567" s="499"/>
      <c r="BG567" s="499"/>
      <c r="BH567" s="499"/>
      <c r="BI567" s="499"/>
      <c r="BJ567" s="499"/>
      <c r="BK567" s="499"/>
      <c r="BL567" s="499"/>
      <c r="BM567" s="499"/>
      <c r="BN567" s="499"/>
      <c r="BO567" s="499"/>
      <c r="BP567" s="499"/>
      <c r="BQ567" s="499"/>
      <c r="BR567" s="499"/>
      <c r="BS567" s="499"/>
      <c r="BT567" s="499"/>
      <c r="BU567" s="499"/>
      <c r="BV567" s="499"/>
    </row>
    <row r="568" spans="1:74" s="501" customFormat="1" ht="12.75" x14ac:dyDescent="0.2">
      <c r="A568" s="107"/>
      <c r="B568" s="2027">
        <v>239</v>
      </c>
      <c r="C568" s="2028" t="s">
        <v>1380</v>
      </c>
      <c r="D568" s="2029">
        <v>33368</v>
      </c>
      <c r="E568" s="2029">
        <v>39207.4</v>
      </c>
      <c r="F568" s="2029">
        <v>55057.200000000004</v>
      </c>
      <c r="G568" s="2029">
        <v>47549.4</v>
      </c>
      <c r="H568" s="2029">
        <v>68404.400000000009</v>
      </c>
      <c r="I568" s="2029">
        <v>90927.8</v>
      </c>
      <c r="J568" s="2029">
        <v>95933</v>
      </c>
      <c r="K568" s="2029">
        <v>77580.600000000006</v>
      </c>
      <c r="L568" s="2029">
        <v>94264.6</v>
      </c>
      <c r="M568" s="2029">
        <v>49217.8</v>
      </c>
      <c r="N568" s="2029">
        <v>38373.200000000004</v>
      </c>
      <c r="O568" s="2029">
        <v>39207.4</v>
      </c>
      <c r="P568" s="1572"/>
      <c r="Q568" s="1572"/>
      <c r="R568" s="1572"/>
      <c r="S568" s="1572"/>
      <c r="T568" s="1572"/>
      <c r="U568" s="1572"/>
      <c r="V568" s="1572"/>
      <c r="W568" s="1572"/>
      <c r="X568" s="1572"/>
      <c r="Y568" s="1572"/>
      <c r="Z568" s="1572"/>
      <c r="AA568" s="1572"/>
      <c r="AB568" s="1572"/>
      <c r="AC568" s="1572"/>
      <c r="AD568" s="1572"/>
      <c r="AE568" s="1572"/>
      <c r="AF568" s="1572"/>
      <c r="AG568" s="1572"/>
      <c r="AH568" s="1572"/>
      <c r="AI568" s="1572"/>
      <c r="AJ568" s="1572"/>
      <c r="AK568" s="1572"/>
      <c r="AL568" s="1572"/>
      <c r="AM568" s="1572"/>
      <c r="AN568" s="1572"/>
      <c r="AO568" s="1572"/>
      <c r="AP568" s="1572"/>
      <c r="AQ568" s="1572"/>
      <c r="AR568" s="1572"/>
      <c r="AS568" s="1572"/>
      <c r="AT568" s="1572"/>
      <c r="AU568" s="1572"/>
      <c r="AV568" s="1572"/>
      <c r="AW568" s="1572"/>
      <c r="AX568" s="1572"/>
      <c r="AY568" s="1572"/>
      <c r="AZ568" s="1572"/>
      <c r="BA568" s="1572"/>
      <c r="BB568" s="1572"/>
      <c r="BC568" s="1572"/>
      <c r="BD568" s="1572"/>
      <c r="BE568" s="1572"/>
      <c r="BF568" s="1572"/>
      <c r="BG568" s="1572"/>
      <c r="BH568" s="1572"/>
      <c r="BI568" s="1572"/>
      <c r="BJ568" s="1572"/>
      <c r="BK568" s="1572"/>
      <c r="BL568" s="1572"/>
      <c r="BM568" s="1572"/>
      <c r="BN568" s="1572"/>
      <c r="BO568" s="1572"/>
      <c r="BP568" s="1572"/>
      <c r="BQ568" s="1572"/>
      <c r="BR568" s="1572"/>
      <c r="BS568" s="1572"/>
      <c r="BT568" s="1572"/>
      <c r="BU568" s="1572"/>
      <c r="BV568" s="1572"/>
    </row>
    <row r="569" spans="1:74" s="500" customFormat="1" ht="12.75" x14ac:dyDescent="0.2">
      <c r="A569" s="107"/>
      <c r="B569" s="2017" t="s">
        <v>889</v>
      </c>
      <c r="C569" s="834" t="s">
        <v>901</v>
      </c>
      <c r="D569" s="835">
        <v>6149.52</v>
      </c>
      <c r="E569" s="835">
        <v>6552.48</v>
      </c>
      <c r="F569" s="835">
        <v>5536.32</v>
      </c>
      <c r="G569" s="835">
        <v>4782.96</v>
      </c>
      <c r="H569" s="835">
        <v>7901.52</v>
      </c>
      <c r="I569" s="835">
        <v>9653.52</v>
      </c>
      <c r="J569" s="835">
        <v>13104.96</v>
      </c>
      <c r="K569" s="835">
        <v>7831.44</v>
      </c>
      <c r="L569" s="835">
        <v>10739.76</v>
      </c>
      <c r="M569" s="835">
        <v>8111.76</v>
      </c>
      <c r="N569" s="835">
        <v>10249.200000000001</v>
      </c>
      <c r="O569" s="835">
        <v>8589.24</v>
      </c>
      <c r="P569" s="1572"/>
      <c r="Q569" s="1572"/>
      <c r="R569" s="1572"/>
      <c r="S569" s="1572"/>
      <c r="T569" s="1572"/>
      <c r="U569" s="1572"/>
      <c r="V569" s="1572"/>
      <c r="W569" s="1572"/>
      <c r="X569" s="1572"/>
      <c r="Y569" s="1572"/>
      <c r="Z569" s="1572"/>
      <c r="AA569" s="1572"/>
      <c r="AB569" s="1572"/>
      <c r="AC569" s="1572"/>
      <c r="AD569" s="1572"/>
      <c r="AE569" s="1572"/>
      <c r="AF569" s="1572"/>
      <c r="AG569" s="1572"/>
      <c r="AH569" s="1572"/>
      <c r="AI569" s="1572"/>
      <c r="AJ569" s="1572"/>
      <c r="AK569" s="1572"/>
      <c r="AL569" s="1572"/>
      <c r="AM569" s="1572"/>
      <c r="AN569" s="1572"/>
      <c r="AO569" s="1572"/>
      <c r="AP569" s="1572"/>
      <c r="AQ569" s="1572"/>
      <c r="AR569" s="1572"/>
      <c r="AS569" s="1572"/>
      <c r="AT569" s="1572"/>
      <c r="AU569" s="1572"/>
      <c r="AV569" s="1572"/>
      <c r="AW569" s="1572"/>
      <c r="AX569" s="1572"/>
      <c r="AY569" s="1572"/>
      <c r="AZ569" s="1572"/>
      <c r="BA569" s="1572"/>
      <c r="BB569" s="1572"/>
      <c r="BC569" s="1572"/>
      <c r="BD569" s="1572"/>
      <c r="BE569" s="1572"/>
      <c r="BF569" s="1572"/>
      <c r="BG569" s="1572"/>
      <c r="BH569" s="1572"/>
      <c r="BI569" s="1572"/>
      <c r="BJ569" s="1572"/>
      <c r="BK569" s="1572"/>
      <c r="BL569" s="1572"/>
      <c r="BM569" s="1572"/>
      <c r="BN569" s="1572"/>
      <c r="BO569" s="1572"/>
      <c r="BP569" s="1572"/>
      <c r="BQ569" s="1572"/>
      <c r="BR569" s="1572"/>
      <c r="BS569" s="1572"/>
      <c r="BT569" s="1572"/>
      <c r="BU569" s="1572"/>
      <c r="BV569" s="1572"/>
    </row>
    <row r="570" spans="1:74" s="501" customFormat="1" ht="12.75" x14ac:dyDescent="0.2">
      <c r="A570" s="107"/>
      <c r="B570" s="2017">
        <v>315</v>
      </c>
      <c r="C570" s="834" t="s">
        <v>902</v>
      </c>
      <c r="D570" s="835">
        <v>1489.2</v>
      </c>
      <c r="E570" s="835">
        <v>1839.6</v>
      </c>
      <c r="F570" s="835">
        <v>2873.28</v>
      </c>
      <c r="G570" s="835">
        <v>2925.84</v>
      </c>
      <c r="H570" s="835">
        <v>5080.8</v>
      </c>
      <c r="I570" s="835">
        <v>3171.12</v>
      </c>
      <c r="J570" s="835">
        <v>4765.4399999999996</v>
      </c>
      <c r="K570" s="835">
        <v>3083.52</v>
      </c>
      <c r="L570" s="835">
        <v>4677.84</v>
      </c>
      <c r="M570" s="835">
        <v>2557.92</v>
      </c>
      <c r="N570" s="835">
        <v>2154.96</v>
      </c>
      <c r="O570" s="835">
        <v>1908.72</v>
      </c>
      <c r="P570" s="1572"/>
      <c r="Q570" s="1572"/>
      <c r="R570" s="1572"/>
      <c r="S570" s="1572"/>
      <c r="T570" s="1572"/>
      <c r="U570" s="1572"/>
      <c r="V570" s="1572"/>
      <c r="W570" s="1572"/>
      <c r="X570" s="1572"/>
      <c r="Y570" s="1572"/>
      <c r="Z570" s="1572"/>
      <c r="AA570" s="1572"/>
      <c r="AB570" s="1572"/>
      <c r="AC570" s="1572"/>
      <c r="AD570" s="1572"/>
      <c r="AE570" s="1572"/>
      <c r="AF570" s="1572"/>
      <c r="AG570" s="1572"/>
      <c r="AH570" s="1572"/>
      <c r="AI570" s="1572"/>
      <c r="AJ570" s="1572"/>
      <c r="AK570" s="1572"/>
      <c r="AL570" s="1572"/>
      <c r="AM570" s="1572"/>
      <c r="AN570" s="1572"/>
      <c r="AO570" s="1572"/>
      <c r="AP570" s="1572"/>
      <c r="AQ570" s="1572"/>
      <c r="AR570" s="1572"/>
      <c r="AS570" s="1572"/>
      <c r="AT570" s="1572"/>
      <c r="AU570" s="1572"/>
      <c r="AV570" s="1572"/>
      <c r="AW570" s="1572"/>
      <c r="AX570" s="1572"/>
      <c r="AY570" s="1572"/>
      <c r="AZ570" s="1572"/>
      <c r="BA570" s="1572"/>
      <c r="BB570" s="1572"/>
      <c r="BC570" s="1572"/>
      <c r="BD570" s="1572"/>
      <c r="BE570" s="1572"/>
      <c r="BF570" s="1572"/>
      <c r="BG570" s="1572"/>
      <c r="BH570" s="1572"/>
      <c r="BI570" s="1572"/>
      <c r="BJ570" s="1572"/>
      <c r="BK570" s="1572"/>
      <c r="BL570" s="1572"/>
      <c r="BM570" s="1572"/>
      <c r="BN570" s="1572"/>
      <c r="BO570" s="1572"/>
      <c r="BP570" s="1572"/>
      <c r="BQ570" s="1572"/>
      <c r="BR570" s="1572"/>
      <c r="BS570" s="1572"/>
      <c r="BT570" s="1572"/>
      <c r="BU570" s="1572"/>
      <c r="BV570" s="1572"/>
    </row>
    <row r="571" spans="1:74" s="500" customFormat="1" ht="12.75" x14ac:dyDescent="0.2">
      <c r="A571" s="107"/>
      <c r="B571" s="2017" t="s">
        <v>892</v>
      </c>
      <c r="C571" s="834" t="s">
        <v>903</v>
      </c>
      <c r="D571" s="835">
        <v>5426</v>
      </c>
      <c r="E571" s="835">
        <v>6119.55</v>
      </c>
      <c r="F571" s="835">
        <v>7404.66</v>
      </c>
      <c r="G571" s="835">
        <v>6364.33</v>
      </c>
      <c r="H571" s="835">
        <v>10872.4</v>
      </c>
      <c r="I571" s="835">
        <v>13136.640000000001</v>
      </c>
      <c r="J571" s="835">
        <v>12381.89</v>
      </c>
      <c r="K571" s="835">
        <v>11525.15</v>
      </c>
      <c r="L571" s="835">
        <v>10097.26</v>
      </c>
      <c r="M571" s="835">
        <v>6527.5199999999995</v>
      </c>
      <c r="N571" s="835">
        <v>6364.33</v>
      </c>
      <c r="O571" s="835">
        <v>7278.68</v>
      </c>
      <c r="P571" s="1572"/>
      <c r="Q571" s="1572"/>
      <c r="R571" s="1572"/>
      <c r="S571" s="1572"/>
      <c r="T571" s="1572"/>
      <c r="U571" s="1572"/>
      <c r="V571" s="1572"/>
      <c r="W571" s="1572"/>
      <c r="X571" s="1572"/>
      <c r="Y571" s="1572"/>
      <c r="Z571" s="1572"/>
      <c r="AA571" s="1572"/>
      <c r="AB571" s="1572"/>
      <c r="AC571" s="1572"/>
      <c r="AD571" s="1572"/>
      <c r="AE571" s="1572"/>
      <c r="AF571" s="1572"/>
      <c r="AG571" s="1572"/>
      <c r="AH571" s="1572"/>
      <c r="AI571" s="1572"/>
      <c r="AJ571" s="1572"/>
      <c r="AK571" s="1572"/>
      <c r="AL571" s="1572"/>
      <c r="AM571" s="1572"/>
      <c r="AN571" s="1572"/>
      <c r="AO571" s="1572"/>
      <c r="AP571" s="1572"/>
      <c r="AQ571" s="1572"/>
      <c r="AR571" s="1572"/>
      <c r="AS571" s="1572"/>
      <c r="AT571" s="1572"/>
      <c r="AU571" s="1572"/>
      <c r="AV571" s="1572"/>
      <c r="AW571" s="1572"/>
      <c r="AX571" s="1572"/>
      <c r="AY571" s="1572"/>
      <c r="AZ571" s="1572"/>
      <c r="BA571" s="1572"/>
      <c r="BB571" s="1572"/>
      <c r="BC571" s="1572"/>
      <c r="BD571" s="1572"/>
      <c r="BE571" s="1572"/>
      <c r="BF571" s="1572"/>
      <c r="BG571" s="1572"/>
      <c r="BH571" s="1572"/>
      <c r="BI571" s="1572"/>
      <c r="BJ571" s="1572"/>
      <c r="BK571" s="1572"/>
      <c r="BL571" s="1572"/>
      <c r="BM571" s="1572"/>
      <c r="BN571" s="1572"/>
      <c r="BO571" s="1572"/>
      <c r="BP571" s="1572"/>
      <c r="BQ571" s="1572"/>
      <c r="BR571" s="1572"/>
      <c r="BS571" s="1572"/>
      <c r="BT571" s="1572"/>
      <c r="BU571" s="1572"/>
      <c r="BV571" s="1572"/>
    </row>
    <row r="572" spans="1:74" s="500" customFormat="1" ht="12.75" x14ac:dyDescent="0.2">
      <c r="A572" s="107"/>
      <c r="B572" s="2018">
        <v>239</v>
      </c>
      <c r="C572" s="2019" t="s">
        <v>1381</v>
      </c>
      <c r="D572" s="2020">
        <v>700.8</v>
      </c>
      <c r="E572" s="2020">
        <v>823.44</v>
      </c>
      <c r="F572" s="2020">
        <v>1156.32</v>
      </c>
      <c r="G572" s="2020">
        <v>998.64</v>
      </c>
      <c r="H572" s="2020">
        <v>1436.64</v>
      </c>
      <c r="I572" s="2020">
        <v>1909.68</v>
      </c>
      <c r="J572" s="2020">
        <v>2014.8</v>
      </c>
      <c r="K572" s="2020">
        <v>1629.36</v>
      </c>
      <c r="L572" s="2020">
        <v>1979.76</v>
      </c>
      <c r="M572" s="2020">
        <v>1033.68</v>
      </c>
      <c r="N572" s="2020">
        <v>805.92</v>
      </c>
      <c r="O572" s="2020">
        <v>1019.43</v>
      </c>
      <c r="P572" s="1572"/>
      <c r="Q572" s="1572"/>
      <c r="R572" s="1572"/>
      <c r="S572" s="1572"/>
      <c r="T572" s="1572"/>
      <c r="U572" s="1572"/>
      <c r="V572" s="1572"/>
      <c r="W572" s="1572"/>
      <c r="X572" s="1572"/>
      <c r="Y572" s="1572"/>
      <c r="Z572" s="1572"/>
      <c r="AA572" s="1572"/>
      <c r="AB572" s="1572"/>
      <c r="AC572" s="1572"/>
      <c r="AD572" s="1572"/>
      <c r="AE572" s="1572"/>
      <c r="AF572" s="1572"/>
      <c r="AG572" s="1572"/>
      <c r="AH572" s="1572"/>
      <c r="AI572" s="1572"/>
      <c r="AJ572" s="1572"/>
      <c r="AK572" s="1572"/>
      <c r="AL572" s="1572"/>
      <c r="AM572" s="1572"/>
      <c r="AN572" s="1572"/>
      <c r="AO572" s="1572"/>
      <c r="AP572" s="1572"/>
      <c r="AQ572" s="1572"/>
      <c r="AR572" s="1572"/>
      <c r="AS572" s="1572"/>
      <c r="AT572" s="1572"/>
      <c r="AU572" s="1572"/>
      <c r="AV572" s="1572"/>
      <c r="AW572" s="1572"/>
      <c r="AX572" s="1572"/>
      <c r="AY572" s="1572"/>
      <c r="AZ572" s="1572"/>
      <c r="BA572" s="1572"/>
      <c r="BB572" s="1572"/>
      <c r="BC572" s="1572"/>
      <c r="BD572" s="1572"/>
      <c r="BE572" s="1572"/>
      <c r="BF572" s="1572"/>
      <c r="BG572" s="1572"/>
      <c r="BH572" s="1572"/>
      <c r="BI572" s="1572"/>
      <c r="BJ572" s="1572"/>
      <c r="BK572" s="1572"/>
      <c r="BL572" s="1572"/>
      <c r="BM572" s="1572"/>
      <c r="BN572" s="1572"/>
      <c r="BO572" s="1572"/>
      <c r="BP572" s="1572"/>
      <c r="BQ572" s="1572"/>
      <c r="BR572" s="1572"/>
      <c r="BS572" s="1572"/>
      <c r="BT572" s="1572"/>
      <c r="BU572" s="1572"/>
      <c r="BV572" s="1572"/>
    </row>
    <row r="573" spans="1:74" s="26" customFormat="1" ht="12.75" x14ac:dyDescent="0.2">
      <c r="A573" s="107"/>
      <c r="B573" s="2030"/>
      <c r="D573"/>
      <c r="E573"/>
      <c r="F573"/>
      <c r="G573"/>
      <c r="H573"/>
      <c r="I573"/>
      <c r="J573"/>
      <c r="K573"/>
      <c r="L573"/>
      <c r="M573"/>
      <c r="N573"/>
      <c r="O573"/>
      <c r="P573" s="836"/>
      <c r="Q573" s="836"/>
      <c r="R573" s="836"/>
      <c r="S573" s="836"/>
      <c r="T573" s="836"/>
      <c r="U573" s="836"/>
      <c r="V573" s="836"/>
      <c r="W573" s="836"/>
      <c r="X573" s="836"/>
      <c r="Y573" s="836"/>
      <c r="Z573" s="836"/>
      <c r="AA573" s="836"/>
      <c r="AB573" s="836"/>
      <c r="AC573" s="836"/>
      <c r="AD573" s="836"/>
      <c r="AE573" s="836"/>
      <c r="AF573" s="836"/>
      <c r="AG573" s="836"/>
      <c r="AH573" s="836"/>
      <c r="AI573" s="836"/>
      <c r="AJ573" s="836"/>
      <c r="AK573" s="836"/>
      <c r="AL573" s="836"/>
      <c r="AM573" s="836"/>
      <c r="AN573" s="836"/>
      <c r="AO573" s="836"/>
      <c r="AP573" s="836"/>
      <c r="AQ573" s="836"/>
      <c r="AR573" s="836"/>
      <c r="AS573" s="836"/>
      <c r="AT573" s="836"/>
      <c r="AU573" s="836"/>
      <c r="AV573" s="836"/>
      <c r="AW573" s="836"/>
      <c r="AX573" s="836"/>
      <c r="AY573" s="836"/>
    </row>
    <row r="574" spans="1:74" s="500" customFormat="1" ht="12.75" x14ac:dyDescent="0.2">
      <c r="A574" s="107"/>
      <c r="B574" s="1946" t="s">
        <v>904</v>
      </c>
      <c r="C574" s="1947"/>
      <c r="D574"/>
      <c r="E574"/>
      <c r="F574"/>
      <c r="G574"/>
      <c r="H574"/>
      <c r="I574"/>
      <c r="J574"/>
      <c r="K574"/>
      <c r="L574"/>
      <c r="M574"/>
      <c r="N574"/>
      <c r="O574"/>
      <c r="P574" s="499"/>
      <c r="Q574" s="499"/>
      <c r="R574" s="499"/>
      <c r="S574" s="499"/>
      <c r="T574" s="499"/>
      <c r="U574" s="499"/>
      <c r="V574" s="499"/>
      <c r="W574" s="499"/>
      <c r="X574" s="499"/>
      <c r="Y574" s="499"/>
      <c r="Z574" s="499"/>
      <c r="AA574" s="499"/>
      <c r="AB574" s="499"/>
      <c r="AC574" s="499"/>
      <c r="AD574" s="499"/>
      <c r="AE574" s="499"/>
      <c r="AF574" s="499"/>
      <c r="AG574" s="499"/>
      <c r="AH574" s="499"/>
      <c r="AI574" s="499"/>
      <c r="AJ574" s="499"/>
      <c r="AK574" s="499"/>
      <c r="AL574" s="499"/>
      <c r="AM574" s="499"/>
      <c r="AN574" s="499"/>
      <c r="AO574" s="499"/>
      <c r="AP574" s="499"/>
      <c r="AQ574" s="499"/>
      <c r="AR574" s="499"/>
      <c r="AS574" s="499"/>
      <c r="AT574" s="499"/>
      <c r="AU574" s="499"/>
      <c r="AV574" s="499"/>
      <c r="AW574" s="499"/>
      <c r="AX574" s="499"/>
      <c r="AY574" s="499"/>
      <c r="AZ574" s="499"/>
      <c r="BA574" s="499"/>
      <c r="BB574" s="499"/>
      <c r="BC574" s="499"/>
      <c r="BD574" s="499"/>
      <c r="BE574" s="499"/>
      <c r="BF574" s="499"/>
      <c r="BG574" s="499"/>
      <c r="BH574" s="499"/>
      <c r="BI574" s="499"/>
      <c r="BJ574" s="499"/>
      <c r="BK574" s="499"/>
      <c r="BL574" s="499"/>
      <c r="BM574" s="499"/>
      <c r="BN574" s="499"/>
      <c r="BO574" s="499"/>
      <c r="BP574" s="499"/>
      <c r="BQ574" s="499"/>
      <c r="BR574" s="499"/>
      <c r="BS574" s="499"/>
      <c r="BT574" s="499"/>
      <c r="BU574" s="499"/>
      <c r="BV574" s="499"/>
    </row>
    <row r="575" spans="1:74" s="26" customFormat="1" ht="12.75" x14ac:dyDescent="0.2">
      <c r="A575" s="1836"/>
      <c r="B575" s="1564" t="s">
        <v>654</v>
      </c>
      <c r="C575" s="825" t="s">
        <v>655</v>
      </c>
      <c r="D575" s="826">
        <v>42552</v>
      </c>
      <c r="E575" s="826">
        <v>42583</v>
      </c>
      <c r="F575" s="826">
        <v>42614</v>
      </c>
      <c r="G575" s="826">
        <v>42644</v>
      </c>
      <c r="H575" s="826">
        <v>42675</v>
      </c>
      <c r="I575" s="826">
        <v>42705</v>
      </c>
      <c r="J575" s="826">
        <v>42736</v>
      </c>
      <c r="K575" s="826">
        <v>42767</v>
      </c>
      <c r="L575" s="826">
        <v>42795</v>
      </c>
      <c r="M575" s="826">
        <v>42826</v>
      </c>
      <c r="N575" s="826">
        <v>42856</v>
      </c>
      <c r="O575" s="826">
        <v>42887</v>
      </c>
      <c r="P575" s="1838"/>
      <c r="Q575" s="1838"/>
      <c r="R575" s="1838"/>
      <c r="S575" s="1838"/>
      <c r="T575" s="1838"/>
      <c r="U575" s="1838"/>
      <c r="V575" s="1838"/>
      <c r="W575" s="1838"/>
      <c r="X575" s="1838"/>
      <c r="Y575" s="1838"/>
      <c r="Z575" s="1838"/>
      <c r="AA575" s="1838"/>
      <c r="AB575" s="1838"/>
      <c r="AC575" s="1838"/>
      <c r="AD575" s="1838"/>
      <c r="AE575" s="1838"/>
      <c r="AF575" s="1838"/>
      <c r="AG575" s="1838"/>
      <c r="AH575" s="1838"/>
      <c r="AI575" s="1838"/>
      <c r="AJ575" s="1838"/>
      <c r="AK575" s="1838"/>
      <c r="AL575" s="1838"/>
      <c r="AM575" s="1838"/>
      <c r="AN575" s="1838"/>
      <c r="AO575" s="1838"/>
      <c r="AP575" s="1838"/>
      <c r="AQ575" s="1838"/>
      <c r="AR575" s="1838"/>
      <c r="AS575" s="1838"/>
      <c r="AT575" s="1838"/>
      <c r="AU575" s="1838"/>
      <c r="AV575" s="1838"/>
      <c r="AW575" s="1838"/>
      <c r="AX575" s="1838"/>
      <c r="AY575" s="1838"/>
      <c r="AZ575" s="1838"/>
      <c r="BA575" s="1838"/>
      <c r="BB575" s="1838"/>
      <c r="BC575" s="1838"/>
      <c r="BD575" s="1838"/>
      <c r="BE575" s="1838"/>
      <c r="BF575" s="1838"/>
      <c r="BG575" s="1838"/>
      <c r="BH575" s="1838"/>
      <c r="BI575" s="1838"/>
      <c r="BJ575" s="1838"/>
      <c r="BK575" s="1838"/>
      <c r="BL575" s="1838"/>
      <c r="BM575" s="1838"/>
      <c r="BN575" s="1838"/>
      <c r="BO575" s="1838"/>
      <c r="BP575" s="1838"/>
      <c r="BQ575" s="1838"/>
      <c r="BR575" s="1838"/>
      <c r="BS575" s="1838"/>
      <c r="BT575" s="1838"/>
      <c r="BU575" s="1838"/>
      <c r="BV575" s="1838"/>
    </row>
    <row r="576" spans="1:74" s="500" customFormat="1" ht="12.75" x14ac:dyDescent="0.2">
      <c r="A576" s="107"/>
      <c r="B576" s="2031" t="s">
        <v>889</v>
      </c>
      <c r="C576" s="2032" t="s">
        <v>905</v>
      </c>
      <c r="D576" s="2033">
        <v>347964.0001</v>
      </c>
      <c r="E576" s="2033">
        <v>386276</v>
      </c>
      <c r="F576" s="2033">
        <v>446391.0000459</v>
      </c>
      <c r="G576" s="2033">
        <v>292376</v>
      </c>
      <c r="H576" s="2033">
        <v>228639</v>
      </c>
      <c r="I576" s="2033">
        <v>69000</v>
      </c>
      <c r="J576" s="2033">
        <v>128000</v>
      </c>
      <c r="K576" s="2033">
        <v>213000</v>
      </c>
      <c r="L576" s="2033">
        <v>208295.0000459</v>
      </c>
      <c r="M576" s="2033">
        <v>298425.00014590001</v>
      </c>
      <c r="N576" s="2033">
        <v>287539.0000459</v>
      </c>
      <c r="O576" s="2033">
        <v>287916</v>
      </c>
      <c r="P576" s="499"/>
      <c r="Q576" s="499"/>
      <c r="R576" s="499"/>
      <c r="S576" s="499"/>
      <c r="T576" s="499"/>
      <c r="U576" s="499"/>
      <c r="V576" s="499"/>
      <c r="W576" s="499"/>
      <c r="X576" s="499"/>
      <c r="Y576" s="499"/>
      <c r="Z576" s="499"/>
      <c r="AA576" s="499"/>
      <c r="AB576" s="499"/>
      <c r="AC576" s="499"/>
      <c r="AD576" s="499"/>
      <c r="AE576" s="499"/>
      <c r="AF576" s="499"/>
      <c r="AG576" s="499"/>
      <c r="AH576" s="499"/>
      <c r="AI576" s="499"/>
      <c r="AJ576" s="499"/>
      <c r="AK576" s="499"/>
      <c r="AL576" s="499"/>
      <c r="AM576" s="499"/>
      <c r="AN576" s="499"/>
      <c r="AO576" s="499"/>
      <c r="AP576" s="499"/>
      <c r="AQ576" s="499"/>
      <c r="AR576" s="499"/>
      <c r="AS576" s="499"/>
      <c r="AT576" s="499"/>
      <c r="AU576" s="499"/>
      <c r="AV576" s="499"/>
      <c r="AW576" s="499"/>
      <c r="AX576" s="499"/>
      <c r="AY576" s="499"/>
      <c r="AZ576" s="499"/>
      <c r="BA576" s="499"/>
      <c r="BB576" s="499"/>
      <c r="BC576" s="499"/>
      <c r="BD576" s="499"/>
      <c r="BE576" s="499"/>
      <c r="BF576" s="499"/>
      <c r="BG576" s="499"/>
      <c r="BH576" s="499"/>
      <c r="BI576" s="499"/>
      <c r="BJ576" s="499"/>
      <c r="BK576" s="499"/>
      <c r="BL576" s="499"/>
      <c r="BM576" s="499"/>
      <c r="BN576" s="499"/>
      <c r="BO576" s="499"/>
      <c r="BP576" s="499"/>
      <c r="BQ576" s="499"/>
      <c r="BR576" s="499"/>
      <c r="BS576" s="499"/>
      <c r="BT576" s="499"/>
      <c r="BU576" s="499"/>
      <c r="BV576" s="499"/>
    </row>
    <row r="577" spans="1:74" s="500" customFormat="1" ht="12.75" customHeight="1" x14ac:dyDescent="0.2">
      <c r="A577" s="107"/>
      <c r="B577" s="2034">
        <v>315</v>
      </c>
      <c r="C577" s="2035" t="s">
        <v>906</v>
      </c>
      <c r="D577" s="2036">
        <v>146908</v>
      </c>
      <c r="E577" s="2036">
        <v>171372</v>
      </c>
      <c r="F577" s="2036">
        <v>218777.00001729999</v>
      </c>
      <c r="G577" s="2036">
        <v>168072</v>
      </c>
      <c r="H577" s="2036">
        <v>159633</v>
      </c>
      <c r="I577" s="2036">
        <v>50000</v>
      </c>
      <c r="J577" s="2036">
        <v>112000</v>
      </c>
      <c r="K577" s="2036">
        <v>174000</v>
      </c>
      <c r="L577" s="2036">
        <v>155865.00001729999</v>
      </c>
      <c r="M577" s="2036">
        <v>155975.00001730002</v>
      </c>
      <c r="N577" s="2036">
        <v>94933.000017300001</v>
      </c>
      <c r="O577" s="2036">
        <v>57452</v>
      </c>
      <c r="P577" s="499"/>
      <c r="Q577" s="499"/>
      <c r="R577" s="499"/>
      <c r="S577" s="499"/>
      <c r="T577" s="499"/>
      <c r="U577" s="499"/>
      <c r="V577" s="499"/>
      <c r="W577" s="499"/>
      <c r="X577" s="499"/>
      <c r="Y577" s="499"/>
      <c r="Z577" s="499"/>
      <c r="AA577" s="499"/>
      <c r="AB577" s="499"/>
      <c r="AC577" s="499"/>
      <c r="AD577" s="499"/>
      <c r="AE577" s="499"/>
      <c r="AF577" s="499"/>
      <c r="AG577" s="499"/>
      <c r="AH577" s="499"/>
      <c r="AI577" s="499"/>
      <c r="AJ577" s="499"/>
      <c r="AK577" s="499"/>
      <c r="AL577" s="499"/>
      <c r="AM577" s="499"/>
      <c r="AN577" s="499"/>
      <c r="AO577" s="499"/>
      <c r="AP577" s="499"/>
      <c r="AQ577" s="499"/>
      <c r="AR577" s="499"/>
      <c r="AS577" s="499"/>
      <c r="AT577" s="499"/>
      <c r="AU577" s="499"/>
      <c r="AV577" s="499"/>
      <c r="AW577" s="499"/>
      <c r="AX577" s="499"/>
      <c r="AY577" s="499"/>
      <c r="AZ577" s="499"/>
      <c r="BA577" s="499"/>
      <c r="BB577" s="499"/>
      <c r="BC577" s="499"/>
      <c r="BD577" s="499"/>
      <c r="BE577" s="499"/>
      <c r="BF577" s="499"/>
      <c r="BG577" s="499"/>
      <c r="BH577" s="499"/>
      <c r="BI577" s="499"/>
      <c r="BJ577" s="499"/>
      <c r="BK577" s="499"/>
      <c r="BL577" s="499"/>
      <c r="BM577" s="499"/>
      <c r="BN577" s="499"/>
      <c r="BO577" s="499"/>
      <c r="BP577" s="499"/>
      <c r="BQ577" s="499"/>
      <c r="BR577" s="499"/>
      <c r="BS577" s="499"/>
      <c r="BT577" s="499"/>
      <c r="BU577" s="499"/>
      <c r="BV577" s="499"/>
    </row>
    <row r="578" spans="1:74" s="500" customFormat="1" ht="12.75" x14ac:dyDescent="0.2">
      <c r="A578" s="107"/>
      <c r="B578" s="2034" t="s">
        <v>892</v>
      </c>
      <c r="C578" s="2035" t="s">
        <v>907</v>
      </c>
      <c r="D578" s="2036">
        <v>117128</v>
      </c>
      <c r="E578" s="2036">
        <v>239352</v>
      </c>
      <c r="F578" s="2036">
        <v>362832.00003679999</v>
      </c>
      <c r="G578" s="2036">
        <v>265552</v>
      </c>
      <c r="H578" s="2036">
        <v>246728</v>
      </c>
      <c r="I578" s="2036">
        <v>75000</v>
      </c>
      <c r="J578" s="2036">
        <v>173000</v>
      </c>
      <c r="K578" s="2036">
        <v>270000</v>
      </c>
      <c r="L578" s="2036">
        <v>245840.00003679999</v>
      </c>
      <c r="M578" s="2036">
        <v>263600.00003679999</v>
      </c>
      <c r="N578" s="2036">
        <v>157528.00003679999</v>
      </c>
      <c r="O578" s="2036">
        <v>90632</v>
      </c>
      <c r="P578" s="1572"/>
      <c r="Q578" s="1572"/>
      <c r="R578" s="1572"/>
      <c r="S578" s="1572"/>
      <c r="T578" s="1572"/>
      <c r="U578" s="1572"/>
      <c r="V578" s="1572"/>
      <c r="W578" s="1572"/>
      <c r="X578" s="1572"/>
      <c r="Y578" s="1572"/>
      <c r="Z578" s="1572"/>
      <c r="AA578" s="1572"/>
      <c r="AB578" s="1572"/>
      <c r="AC578" s="1572"/>
      <c r="AD578" s="1572"/>
      <c r="AE578" s="1572"/>
      <c r="AF578" s="1572"/>
      <c r="AG578" s="1572"/>
      <c r="AH578" s="1572"/>
      <c r="AI578" s="1572"/>
      <c r="AJ578" s="1572"/>
      <c r="AK578" s="1572"/>
      <c r="AL578" s="1572"/>
      <c r="AM578" s="1572"/>
      <c r="AN578" s="1572"/>
      <c r="AO578" s="1572"/>
      <c r="AP578" s="1572"/>
      <c r="AQ578" s="1572"/>
      <c r="AR578" s="1572"/>
      <c r="AS578" s="1572"/>
      <c r="AT578" s="1572"/>
      <c r="AU578" s="1572"/>
      <c r="AV578" s="1572"/>
      <c r="AW578" s="1572"/>
      <c r="AX578" s="1572"/>
      <c r="AY578" s="1572"/>
      <c r="AZ578" s="1572"/>
      <c r="BA578" s="1572"/>
      <c r="BB578" s="1572"/>
      <c r="BC578" s="1572"/>
      <c r="BD578" s="1572"/>
      <c r="BE578" s="1572"/>
      <c r="BF578" s="1572"/>
      <c r="BG578" s="1572"/>
      <c r="BH578" s="1572"/>
      <c r="BI578" s="1572"/>
      <c r="BJ578" s="1572"/>
      <c r="BK578" s="1572"/>
      <c r="BL578" s="1572"/>
      <c r="BM578" s="1572"/>
      <c r="BN578" s="1572"/>
      <c r="BO578" s="1572"/>
      <c r="BP578" s="1572"/>
      <c r="BQ578" s="1572"/>
      <c r="BR578" s="1572"/>
      <c r="BS578" s="1572"/>
      <c r="BT578" s="1572"/>
      <c r="BU578" s="1572"/>
      <c r="BV578" s="1572"/>
    </row>
    <row r="579" spans="1:74" s="26" customFormat="1" ht="12.75" x14ac:dyDescent="0.2">
      <c r="B579" s="2037">
        <v>239</v>
      </c>
      <c r="C579" s="2038" t="s">
        <v>1382</v>
      </c>
      <c r="D579" s="2039">
        <v>57000</v>
      </c>
      <c r="E579" s="2039">
        <v>113000</v>
      </c>
      <c r="F579" s="2039">
        <v>230000</v>
      </c>
      <c r="G579" s="2039">
        <v>126000</v>
      </c>
      <c r="H579" s="2039">
        <v>97000</v>
      </c>
      <c r="I579" s="2039">
        <v>32000</v>
      </c>
      <c r="J579" s="2039">
        <v>76000</v>
      </c>
      <c r="K579" s="2039">
        <v>108000</v>
      </c>
      <c r="L579" s="2039">
        <v>104000</v>
      </c>
      <c r="M579" s="2039">
        <v>111000</v>
      </c>
      <c r="N579" s="2039">
        <v>54000</v>
      </c>
      <c r="O579" s="2039">
        <v>48000</v>
      </c>
    </row>
    <row r="580" spans="1:74" s="500" customFormat="1" ht="12.75" x14ac:dyDescent="0.2">
      <c r="A580" s="107"/>
      <c r="B580" s="2017" t="s">
        <v>889</v>
      </c>
      <c r="C580" s="834" t="s">
        <v>908</v>
      </c>
      <c r="D580" s="835">
        <v>3726.0803999999998</v>
      </c>
      <c r="E580" s="835">
        <v>2995.2107999999998</v>
      </c>
      <c r="F580" s="835">
        <v>3627.3685</v>
      </c>
      <c r="G580" s="835">
        <v>3822.692</v>
      </c>
      <c r="H580" s="835">
        <v>2974.6505999999999</v>
      </c>
      <c r="I580" s="835">
        <v>1984.5</v>
      </c>
      <c r="J580" s="835">
        <v>1298.2</v>
      </c>
      <c r="K580" s="835">
        <v>2999</v>
      </c>
      <c r="L580" s="835">
        <v>2198.6914999999999</v>
      </c>
      <c r="M580" s="835">
        <v>2480.1724999999997</v>
      </c>
      <c r="N580" s="835">
        <v>4088.5659000000001</v>
      </c>
      <c r="O580" s="835">
        <v>3343.0792000000001</v>
      </c>
      <c r="P580" s="499"/>
      <c r="Q580" s="499"/>
      <c r="R580" s="499"/>
      <c r="S580" s="499"/>
      <c r="T580" s="499"/>
      <c r="U580" s="499"/>
      <c r="V580" s="499"/>
      <c r="W580" s="499"/>
      <c r="X580" s="499"/>
      <c r="Y580" s="499"/>
      <c r="Z580" s="499"/>
      <c r="AA580" s="499"/>
      <c r="AB580" s="499"/>
      <c r="AC580" s="499"/>
      <c r="AD580" s="499"/>
      <c r="AE580" s="499"/>
      <c r="AF580" s="499"/>
      <c r="AG580" s="499"/>
      <c r="AH580" s="499"/>
      <c r="AI580" s="499"/>
      <c r="AJ580" s="499"/>
      <c r="AK580" s="499"/>
      <c r="AL580" s="499"/>
      <c r="AM580" s="499"/>
      <c r="AN580" s="499"/>
      <c r="AO580" s="499"/>
      <c r="AP580" s="499"/>
      <c r="AQ580" s="499"/>
      <c r="AR580" s="499"/>
      <c r="AS580" s="499"/>
      <c r="AT580" s="499"/>
      <c r="AU580" s="499"/>
      <c r="AV580" s="499"/>
      <c r="AW580" s="499"/>
      <c r="AX580" s="499"/>
      <c r="AY580" s="499"/>
      <c r="AZ580" s="499"/>
      <c r="BA580" s="499"/>
      <c r="BB580" s="499"/>
      <c r="BC580" s="499"/>
      <c r="BD580" s="499"/>
      <c r="BE580" s="499"/>
      <c r="BF580" s="499"/>
      <c r="BG580" s="499"/>
      <c r="BH580" s="499"/>
      <c r="BI580" s="499"/>
      <c r="BJ580" s="499"/>
      <c r="BK580" s="499"/>
      <c r="BL580" s="499"/>
      <c r="BM580" s="499"/>
      <c r="BN580" s="499"/>
      <c r="BO580" s="499"/>
      <c r="BP580" s="499"/>
      <c r="BQ580" s="499"/>
      <c r="BR580" s="499"/>
      <c r="BS580" s="499"/>
      <c r="BT580" s="499"/>
      <c r="BU580" s="499"/>
      <c r="BV580" s="499"/>
    </row>
    <row r="581" spans="1:74" s="26" customFormat="1" ht="12.75" x14ac:dyDescent="0.2">
      <c r="A581" s="1836"/>
      <c r="B581" s="2017">
        <v>315</v>
      </c>
      <c r="C581" s="834" t="s">
        <v>909</v>
      </c>
      <c r="D581" s="835">
        <v>1530.6387999999999</v>
      </c>
      <c r="E581" s="835">
        <v>1330.0275999999999</v>
      </c>
      <c r="F581" s="835">
        <v>1725.2195000000002</v>
      </c>
      <c r="G581" s="835">
        <v>2040.8240000000001</v>
      </c>
      <c r="H581" s="835">
        <v>1912.5182</v>
      </c>
      <c r="I581" s="835">
        <v>1419</v>
      </c>
      <c r="J581" s="835">
        <v>1071.8</v>
      </c>
      <c r="K581" s="835">
        <v>2498</v>
      </c>
      <c r="L581" s="835">
        <v>1737.7004999999999</v>
      </c>
      <c r="M581" s="835">
        <v>1614.6075000000001</v>
      </c>
      <c r="N581" s="835">
        <v>1728.4573</v>
      </c>
      <c r="O581" s="835">
        <v>867.20240000000001</v>
      </c>
      <c r="P581" s="1838"/>
      <c r="Q581" s="1838"/>
      <c r="R581" s="1838"/>
      <c r="S581" s="1838"/>
      <c r="T581" s="1838"/>
      <c r="U581" s="1838"/>
      <c r="V581" s="1838"/>
      <c r="W581" s="1838"/>
      <c r="X581" s="1838"/>
      <c r="Y581" s="1838"/>
      <c r="Z581" s="1838"/>
      <c r="AA581" s="1838"/>
      <c r="AB581" s="1838"/>
      <c r="AC581" s="1838"/>
      <c r="AD581" s="1838"/>
      <c r="AE581" s="1838"/>
      <c r="AF581" s="1838"/>
      <c r="AG581" s="1838"/>
      <c r="AH581" s="1838"/>
      <c r="AI581" s="1838"/>
      <c r="AJ581" s="1838"/>
      <c r="AK581" s="1838"/>
      <c r="AL581" s="1838"/>
      <c r="AM581" s="1838"/>
      <c r="AN581" s="1838"/>
      <c r="AO581" s="1838"/>
      <c r="AP581" s="1838"/>
      <c r="AQ581" s="1838"/>
      <c r="AR581" s="1838"/>
      <c r="AS581" s="1838"/>
      <c r="AT581" s="1838"/>
      <c r="AU581" s="1838"/>
      <c r="AV581" s="1838"/>
      <c r="AW581" s="1838"/>
      <c r="AX581" s="1838"/>
      <c r="AY581" s="1838"/>
      <c r="AZ581" s="1838"/>
      <c r="BA581" s="1838"/>
      <c r="BB581" s="1838"/>
      <c r="BC581" s="1838"/>
      <c r="BD581" s="1838"/>
      <c r="BE581" s="1838"/>
      <c r="BF581" s="1838"/>
      <c r="BG581" s="1838"/>
      <c r="BH581" s="1838"/>
      <c r="BI581" s="1838"/>
      <c r="BJ581" s="1838"/>
      <c r="BK581" s="1838"/>
      <c r="BL581" s="1838"/>
      <c r="BM581" s="1838"/>
      <c r="BN581" s="1838"/>
      <c r="BO581" s="1838"/>
      <c r="BP581" s="1838"/>
      <c r="BQ581" s="1838"/>
      <c r="BR581" s="1838"/>
      <c r="BS581" s="1838"/>
      <c r="BT581" s="1838"/>
      <c r="BU581" s="1838"/>
      <c r="BV581" s="1838"/>
    </row>
    <row r="582" spans="1:74" s="500" customFormat="1" ht="12.75" x14ac:dyDescent="0.2">
      <c r="A582" s="107"/>
      <c r="B582" s="2017" t="s">
        <v>892</v>
      </c>
      <c r="C582" s="834" t="s">
        <v>910</v>
      </c>
      <c r="D582" s="835">
        <v>942.98079999999993</v>
      </c>
      <c r="E582" s="835">
        <v>1122.3616</v>
      </c>
      <c r="F582" s="835">
        <v>2603.4119999999998</v>
      </c>
      <c r="G582" s="835">
        <v>3106.9839999999999</v>
      </c>
      <c r="H582" s="835">
        <v>2945.3312000000001</v>
      </c>
      <c r="I582" s="835">
        <v>2156</v>
      </c>
      <c r="J582" s="835">
        <v>1634.6999999999998</v>
      </c>
      <c r="K582" s="835">
        <v>3864.5</v>
      </c>
      <c r="L582" s="835">
        <v>2704.6080000000002</v>
      </c>
      <c r="M582" s="835">
        <v>2601.3199999999997</v>
      </c>
      <c r="N582" s="835">
        <v>2849.9767999999995</v>
      </c>
      <c r="O582" s="835">
        <v>1336.4183999999998</v>
      </c>
      <c r="P582" s="499"/>
      <c r="Q582" s="499"/>
      <c r="R582" s="499"/>
      <c r="S582" s="499"/>
      <c r="T582" s="499"/>
      <c r="U582" s="499"/>
      <c r="V582" s="499"/>
      <c r="W582" s="499"/>
      <c r="X582" s="499"/>
      <c r="Y582" s="499"/>
      <c r="Z582" s="499"/>
      <c r="AA582" s="499"/>
      <c r="AB582" s="499"/>
      <c r="AC582" s="499"/>
      <c r="AD582" s="499"/>
      <c r="AE582" s="499"/>
      <c r="AF582" s="499"/>
      <c r="AG582" s="499"/>
      <c r="AH582" s="499"/>
      <c r="AI582" s="499"/>
      <c r="AJ582" s="499"/>
      <c r="AK582" s="499"/>
      <c r="AL582" s="499"/>
      <c r="AM582" s="499"/>
      <c r="AN582" s="499"/>
      <c r="AO582" s="499"/>
      <c r="AP582" s="499"/>
      <c r="AQ582" s="499"/>
      <c r="AR582" s="499"/>
      <c r="AS582" s="499"/>
      <c r="AT582" s="499"/>
      <c r="AU582" s="499"/>
      <c r="AV582" s="499"/>
      <c r="AW582" s="499"/>
      <c r="AX582" s="499"/>
      <c r="AY582" s="499"/>
      <c r="AZ582" s="499"/>
      <c r="BA582" s="499"/>
      <c r="BB582" s="499"/>
      <c r="BC582" s="499"/>
      <c r="BD582" s="499"/>
      <c r="BE582" s="499"/>
      <c r="BF582" s="499"/>
      <c r="BG582" s="499"/>
      <c r="BH582" s="499"/>
      <c r="BI582" s="499"/>
      <c r="BJ582" s="499"/>
      <c r="BK582" s="499"/>
      <c r="BL582" s="499"/>
      <c r="BM582" s="499"/>
      <c r="BN582" s="499"/>
      <c r="BO582" s="499"/>
      <c r="BP582" s="499"/>
      <c r="BQ582" s="499"/>
      <c r="BR582" s="499"/>
      <c r="BS582" s="499"/>
      <c r="BT582" s="499"/>
      <c r="BU582" s="499"/>
      <c r="BV582" s="499"/>
    </row>
    <row r="583" spans="1:74" s="500" customFormat="1" ht="12.75" customHeight="1" x14ac:dyDescent="0.2">
      <c r="A583" s="107"/>
      <c r="B583" s="2018">
        <v>239</v>
      </c>
      <c r="C583" s="2019" t="s">
        <v>1383</v>
      </c>
      <c r="D583" s="2020">
        <v>347.7</v>
      </c>
      <c r="E583" s="2020">
        <v>372.9</v>
      </c>
      <c r="F583" s="2020">
        <v>805</v>
      </c>
      <c r="G583" s="2020">
        <v>567</v>
      </c>
      <c r="H583" s="2020">
        <v>523.79999999999995</v>
      </c>
      <c r="I583" s="2020">
        <v>240</v>
      </c>
      <c r="J583" s="2020">
        <v>486.4</v>
      </c>
      <c r="K583" s="2020">
        <v>1080</v>
      </c>
      <c r="L583" s="2020">
        <v>384.8</v>
      </c>
      <c r="M583" s="2020">
        <v>410.7</v>
      </c>
      <c r="N583" s="2020">
        <v>437.4</v>
      </c>
      <c r="O583" s="2020">
        <v>297.60000000000002</v>
      </c>
      <c r="P583" s="499"/>
      <c r="Q583" s="499"/>
      <c r="R583" s="499"/>
      <c r="S583" s="499"/>
      <c r="T583" s="499"/>
      <c r="U583" s="499"/>
      <c r="V583" s="499"/>
      <c r="W583" s="499"/>
      <c r="X583" s="499"/>
      <c r="Y583" s="499"/>
      <c r="Z583" s="499"/>
      <c r="AA583" s="499"/>
      <c r="AB583" s="499"/>
      <c r="AC583" s="499"/>
      <c r="AD583" s="499"/>
      <c r="AE583" s="499"/>
      <c r="AF583" s="499"/>
      <c r="AG583" s="499"/>
      <c r="AH583" s="499"/>
      <c r="AI583" s="499"/>
      <c r="AJ583" s="499"/>
      <c r="AK583" s="499"/>
      <c r="AL583" s="499"/>
      <c r="AM583" s="499"/>
      <c r="AN583" s="499"/>
      <c r="AO583" s="499"/>
      <c r="AP583" s="499"/>
      <c r="AQ583" s="499"/>
      <c r="AR583" s="499"/>
      <c r="AS583" s="499"/>
      <c r="AT583" s="499"/>
      <c r="AU583" s="499"/>
      <c r="AV583" s="499"/>
      <c r="AW583" s="499"/>
      <c r="AX583" s="499"/>
      <c r="AY583" s="499"/>
      <c r="AZ583" s="499"/>
      <c r="BA583" s="499"/>
      <c r="BB583" s="499"/>
      <c r="BC583" s="499"/>
      <c r="BD583" s="499"/>
      <c r="BE583" s="499"/>
      <c r="BF583" s="499"/>
      <c r="BG583" s="499"/>
      <c r="BH583" s="499"/>
      <c r="BI583" s="499"/>
      <c r="BJ583" s="499"/>
      <c r="BK583" s="499"/>
      <c r="BL583" s="499"/>
      <c r="BM583" s="499"/>
      <c r="BN583" s="499"/>
      <c r="BO583" s="499"/>
      <c r="BP583" s="499"/>
      <c r="BQ583" s="499"/>
      <c r="BR583" s="499"/>
      <c r="BS583" s="499"/>
      <c r="BT583" s="499"/>
      <c r="BU583" s="499"/>
      <c r="BV583" s="499"/>
    </row>
    <row r="584" spans="1:74" s="500" customFormat="1" ht="12.75" customHeight="1" x14ac:dyDescent="0.2">
      <c r="A584" s="107"/>
      <c r="C584" s="499"/>
      <c r="D584" s="499"/>
      <c r="E584" s="499"/>
      <c r="F584" s="499"/>
      <c r="G584" s="499"/>
      <c r="H584" s="499"/>
      <c r="I584" s="499"/>
      <c r="J584" s="499"/>
      <c r="K584" s="499"/>
      <c r="L584" s="499"/>
      <c r="M584" s="499"/>
      <c r="N584" s="499"/>
      <c r="O584" s="499"/>
      <c r="P584" s="499"/>
      <c r="Q584" s="499"/>
      <c r="R584" s="499"/>
      <c r="S584" s="499"/>
      <c r="T584" s="499"/>
      <c r="U584" s="499"/>
      <c r="V584" s="499"/>
      <c r="W584" s="499"/>
      <c r="X584" s="499"/>
      <c r="Y584" s="499"/>
      <c r="Z584" s="499"/>
      <c r="AA584" s="499"/>
      <c r="AB584" s="499"/>
      <c r="AC584" s="499"/>
      <c r="AD584" s="499"/>
      <c r="AE584" s="499"/>
      <c r="AF584" s="499"/>
      <c r="AG584" s="499"/>
      <c r="AH584" s="499"/>
      <c r="AI584" s="499"/>
      <c r="AJ584" s="499"/>
      <c r="AK584" s="499"/>
      <c r="AL584" s="499"/>
      <c r="AM584" s="499"/>
      <c r="AN584" s="499"/>
      <c r="AO584" s="499"/>
      <c r="AP584" s="499"/>
      <c r="AQ584" s="499"/>
      <c r="AR584" s="499"/>
      <c r="AS584" s="499"/>
      <c r="AT584" s="499"/>
      <c r="AU584" s="499"/>
      <c r="AV584" s="499"/>
      <c r="AW584" s="499"/>
      <c r="AX584" s="499"/>
      <c r="AY584" s="499"/>
      <c r="AZ584" s="499"/>
      <c r="BA584" s="499"/>
      <c r="BB584" s="499"/>
      <c r="BC584" s="499"/>
      <c r="BD584" s="499"/>
      <c r="BE584" s="499"/>
      <c r="BF584" s="499"/>
      <c r="BG584" s="499"/>
      <c r="BH584" s="499"/>
      <c r="BI584" s="499"/>
      <c r="BJ584" s="499"/>
      <c r="BK584" s="499"/>
      <c r="BL584" s="499"/>
      <c r="BM584" s="499"/>
      <c r="BN584" s="499"/>
      <c r="BO584" s="499"/>
      <c r="BP584" s="499"/>
      <c r="BQ584" s="499"/>
      <c r="BR584" s="499"/>
      <c r="BS584" s="499"/>
      <c r="BT584" s="499"/>
      <c r="BU584" s="499"/>
      <c r="BV584" s="499"/>
    </row>
    <row r="585" spans="1:74" s="128" customFormat="1" ht="16.149999999999999" customHeight="1" x14ac:dyDescent="0.35">
      <c r="A585" s="459">
        <v>36</v>
      </c>
      <c r="B585" s="127" t="s">
        <v>617</v>
      </c>
      <c r="C585" s="613"/>
      <c r="D585" s="177"/>
      <c r="E585" s="177"/>
      <c r="F585" s="177"/>
      <c r="G585" s="177"/>
      <c r="H585" s="177"/>
      <c r="I585" s="177"/>
      <c r="J585" s="177"/>
      <c r="K585" s="177"/>
      <c r="L585" s="177"/>
      <c r="M585" s="177"/>
      <c r="N585" s="177"/>
      <c r="O585" s="177"/>
      <c r="R585" s="1261"/>
      <c r="S585" s="1262"/>
      <c r="T585" s="127" t="s">
        <v>617</v>
      </c>
      <c r="U585" s="1263"/>
      <c r="V585" s="1262"/>
      <c r="Y585" s="166"/>
      <c r="Z585" s="166"/>
    </row>
    <row r="586" spans="1:74" s="128" customFormat="1" ht="16.149999999999999" customHeight="1" x14ac:dyDescent="0.35">
      <c r="A586" s="459"/>
      <c r="B586" s="646" t="s">
        <v>1569</v>
      </c>
      <c r="C586" s="625">
        <v>42560</v>
      </c>
      <c r="D586" s="625">
        <v>42591</v>
      </c>
      <c r="E586" s="625">
        <v>42622</v>
      </c>
      <c r="F586" s="625">
        <v>42652</v>
      </c>
      <c r="G586" s="625">
        <v>42683</v>
      </c>
      <c r="H586" s="625">
        <v>42713</v>
      </c>
      <c r="I586" s="625">
        <v>42744</v>
      </c>
      <c r="J586" s="625">
        <v>42775</v>
      </c>
      <c r="K586" s="625">
        <v>42803</v>
      </c>
      <c r="L586" s="625">
        <v>42834</v>
      </c>
      <c r="M586" s="625">
        <v>42864</v>
      </c>
      <c r="N586" s="625">
        <v>42895</v>
      </c>
      <c r="O586" s="666" t="s">
        <v>752</v>
      </c>
      <c r="R586" s="1261"/>
      <c r="S586" s="1262"/>
      <c r="T586" s="127"/>
      <c r="U586" s="1263"/>
      <c r="V586" s="1262"/>
      <c r="Y586" s="166"/>
      <c r="Z586" s="166"/>
    </row>
    <row r="587" spans="1:74" s="128" customFormat="1" ht="16.149999999999999" customHeight="1" x14ac:dyDescent="0.35">
      <c r="A587" s="459"/>
      <c r="B587" s="345" t="s">
        <v>753</v>
      </c>
      <c r="C587" s="345"/>
      <c r="D587" s="345"/>
      <c r="E587" s="345"/>
      <c r="F587" s="345"/>
      <c r="G587" s="345"/>
      <c r="H587" s="345"/>
      <c r="I587" s="345"/>
      <c r="J587" s="345"/>
      <c r="K587" s="345"/>
      <c r="L587" s="345"/>
      <c r="M587" s="345"/>
      <c r="N587" s="345"/>
      <c r="O587" s="345"/>
      <c r="R587" s="1261"/>
      <c r="S587" s="1262"/>
      <c r="T587" s="127"/>
      <c r="U587" s="1263"/>
      <c r="V587" s="1262"/>
      <c r="Y587" s="166"/>
      <c r="Z587" s="166"/>
    </row>
    <row r="588" spans="1:74" s="128" customFormat="1" ht="16.149999999999999" customHeight="1" x14ac:dyDescent="0.35">
      <c r="A588" s="459"/>
      <c r="B588" s="345" t="s">
        <v>1570</v>
      </c>
      <c r="C588" s="668">
        <v>150000</v>
      </c>
      <c r="D588" s="668">
        <v>154400</v>
      </c>
      <c r="E588" s="668">
        <v>134200</v>
      </c>
      <c r="F588" s="668">
        <v>103000</v>
      </c>
      <c r="G588" s="668">
        <v>77800</v>
      </c>
      <c r="H588" s="668">
        <v>82600</v>
      </c>
      <c r="I588" s="668">
        <v>82600</v>
      </c>
      <c r="J588" s="668">
        <v>81000</v>
      </c>
      <c r="K588" s="668">
        <v>84000</v>
      </c>
      <c r="L588" s="668">
        <v>102400</v>
      </c>
      <c r="M588" s="668">
        <v>106000</v>
      </c>
      <c r="N588" s="668">
        <v>133800</v>
      </c>
      <c r="O588" s="628">
        <f>SUM(C588:N588)</f>
        <v>1291800</v>
      </c>
      <c r="R588" s="1261"/>
      <c r="S588" s="1262"/>
      <c r="T588" s="127"/>
      <c r="U588" s="1263"/>
      <c r="V588" s="1262"/>
      <c r="Y588" s="166"/>
      <c r="Z588" s="166"/>
    </row>
    <row r="589" spans="1:74" s="128" customFormat="1" ht="16.149999999999999" customHeight="1" x14ac:dyDescent="0.35">
      <c r="A589" s="459"/>
      <c r="B589" s="345" t="s">
        <v>1571</v>
      </c>
      <c r="C589" s="668">
        <v>292200</v>
      </c>
      <c r="D589" s="668">
        <v>243400</v>
      </c>
      <c r="E589" s="668">
        <v>221600</v>
      </c>
      <c r="F589" s="668">
        <v>172600</v>
      </c>
      <c r="G589" s="668">
        <v>146800</v>
      </c>
      <c r="H589" s="668">
        <v>164200</v>
      </c>
      <c r="I589" s="668">
        <v>164200</v>
      </c>
      <c r="J589" s="668">
        <v>133800</v>
      </c>
      <c r="K589" s="668">
        <v>150600</v>
      </c>
      <c r="L589" s="668">
        <v>173800</v>
      </c>
      <c r="M589" s="668">
        <v>184200</v>
      </c>
      <c r="N589" s="668">
        <v>250200</v>
      </c>
      <c r="O589" s="628">
        <f>SUM(C589:N589)</f>
        <v>2297600</v>
      </c>
      <c r="R589" s="1261"/>
      <c r="S589" s="1262"/>
      <c r="T589" s="127"/>
      <c r="U589" s="1263"/>
      <c r="V589" s="1262"/>
      <c r="Y589" s="166"/>
      <c r="Z589" s="166"/>
    </row>
    <row r="590" spans="1:74" s="128" customFormat="1" ht="16.149999999999999" customHeight="1" x14ac:dyDescent="0.35">
      <c r="A590" s="459"/>
      <c r="B590" s="667" t="s">
        <v>1572</v>
      </c>
      <c r="C590" s="2150">
        <v>442200</v>
      </c>
      <c r="D590" s="2150">
        <v>397800</v>
      </c>
      <c r="E590" s="2150">
        <v>355800</v>
      </c>
      <c r="F590" s="2150">
        <v>275600</v>
      </c>
      <c r="G590" s="2150">
        <v>224600</v>
      </c>
      <c r="H590" s="2150">
        <v>246800</v>
      </c>
      <c r="I590" s="2150">
        <v>246800</v>
      </c>
      <c r="J590" s="2150">
        <v>214800</v>
      </c>
      <c r="K590" s="2150">
        <v>234600</v>
      </c>
      <c r="L590" s="2150">
        <v>276200</v>
      </c>
      <c r="M590" s="2150">
        <v>290200</v>
      </c>
      <c r="N590" s="668">
        <v>384000</v>
      </c>
      <c r="O590" s="2151">
        <f>SUM(C590:N590)</f>
        <v>3589400</v>
      </c>
      <c r="R590" s="1261"/>
      <c r="S590" s="1262"/>
      <c r="T590" s="127"/>
      <c r="U590" s="1263"/>
      <c r="V590" s="1262"/>
      <c r="Y590" s="166"/>
      <c r="Z590" s="166"/>
    </row>
    <row r="591" spans="1:74" s="128" customFormat="1" ht="16.149999999999999" customHeight="1" x14ac:dyDescent="0.35">
      <c r="A591" s="459"/>
      <c r="B591" s="667" t="s">
        <v>810</v>
      </c>
      <c r="C591" s="2152">
        <v>774</v>
      </c>
      <c r="D591" s="2152">
        <v>752</v>
      </c>
      <c r="E591" s="2152">
        <v>686</v>
      </c>
      <c r="F591" s="2152">
        <v>599</v>
      </c>
      <c r="G591" s="2152">
        <v>458</v>
      </c>
      <c r="H591" s="2152">
        <v>488</v>
      </c>
      <c r="I591" s="2152">
        <v>488</v>
      </c>
      <c r="J591" s="2152">
        <v>502</v>
      </c>
      <c r="K591" s="2152">
        <v>460</v>
      </c>
      <c r="L591" s="2152">
        <v>606</v>
      </c>
      <c r="M591" s="2152">
        <v>630</v>
      </c>
      <c r="N591" s="2152">
        <v>712</v>
      </c>
      <c r="O591" s="671">
        <f>SUM(C591:N591)</f>
        <v>7155</v>
      </c>
      <c r="R591" s="1261"/>
      <c r="S591" s="1262"/>
      <c r="T591" s="127"/>
      <c r="U591" s="1263"/>
      <c r="V591" s="1262"/>
      <c r="Y591" s="166"/>
      <c r="Z591" s="166"/>
    </row>
    <row r="592" spans="1:74" s="128" customFormat="1" ht="16.149999999999999" customHeight="1" x14ac:dyDescent="0.35">
      <c r="A592" s="459"/>
      <c r="B592" s="667" t="s">
        <v>759</v>
      </c>
      <c r="C592" s="633">
        <v>30515.3</v>
      </c>
      <c r="D592" s="633">
        <v>28286.59</v>
      </c>
      <c r="E592" s="633">
        <v>25406.57</v>
      </c>
      <c r="F592" s="633">
        <v>19075.830000000002</v>
      </c>
      <c r="G592" s="633">
        <v>15034.82</v>
      </c>
      <c r="H592" s="633">
        <v>14797.45</v>
      </c>
      <c r="I592" s="633">
        <v>14797.45</v>
      </c>
      <c r="J592" s="633">
        <v>13593.9</v>
      </c>
      <c r="K592" s="633">
        <v>14025.56</v>
      </c>
      <c r="L592" s="633">
        <v>17104.86</v>
      </c>
      <c r="M592" s="633">
        <v>18062.830000000002</v>
      </c>
      <c r="N592" s="633">
        <v>24481.15</v>
      </c>
      <c r="O592" s="671">
        <f>SUM(C592:N592)</f>
        <v>235182.31000000003</v>
      </c>
      <c r="R592" s="1261"/>
      <c r="S592" s="1262"/>
      <c r="T592" s="127"/>
      <c r="U592" s="1263"/>
      <c r="V592" s="1262"/>
      <c r="Y592" s="166"/>
      <c r="Z592" s="166"/>
    </row>
    <row r="593" spans="1:26" s="128" customFormat="1" ht="16.149999999999999" customHeight="1" x14ac:dyDescent="0.35">
      <c r="A593" s="459"/>
      <c r="B593" s="345"/>
      <c r="C593" s="637"/>
      <c r="D593" s="637"/>
      <c r="E593" s="637"/>
      <c r="F593" s="637"/>
      <c r="G593" s="637"/>
      <c r="H593" s="637"/>
      <c r="I593" s="637"/>
      <c r="J593" s="637"/>
      <c r="K593" s="637"/>
      <c r="L593" s="637"/>
      <c r="M593" s="637"/>
      <c r="N593" s="637"/>
      <c r="O593" s="345"/>
      <c r="R593" s="1261"/>
      <c r="S593" s="1262"/>
      <c r="T593" s="127"/>
      <c r="U593" s="1263"/>
      <c r="V593" s="1262"/>
      <c r="Y593" s="166"/>
      <c r="Z593" s="166"/>
    </row>
    <row r="594" spans="1:26" s="128" customFormat="1" ht="16.149999999999999" customHeight="1" x14ac:dyDescent="0.35">
      <c r="A594" s="459"/>
      <c r="B594" s="345" t="s">
        <v>760</v>
      </c>
      <c r="C594" s="632"/>
      <c r="D594" s="632"/>
      <c r="E594" s="632"/>
      <c r="F594" s="632"/>
      <c r="G594" s="632"/>
      <c r="H594" s="632"/>
      <c r="I594" s="632"/>
      <c r="J594" s="632"/>
      <c r="K594" s="632"/>
      <c r="L594" s="632"/>
      <c r="M594" s="632"/>
      <c r="N594" s="632"/>
      <c r="O594" s="345"/>
      <c r="R594" s="1261"/>
      <c r="S594" s="1262"/>
      <c r="T594" s="127"/>
      <c r="U594" s="1263"/>
      <c r="V594" s="1262"/>
      <c r="Y594" s="166"/>
      <c r="Z594" s="166"/>
    </row>
    <row r="595" spans="1:26" s="128" customFormat="1" ht="16.149999999999999" customHeight="1" x14ac:dyDescent="0.35">
      <c r="A595" s="459"/>
      <c r="B595" s="345" t="s">
        <v>811</v>
      </c>
      <c r="C595" s="637">
        <v>585.5</v>
      </c>
      <c r="D595" s="637">
        <v>702.6</v>
      </c>
      <c r="E595" s="637">
        <v>604.29999999999995</v>
      </c>
      <c r="F595" s="637">
        <v>821.2</v>
      </c>
      <c r="G595" s="637">
        <v>906</v>
      </c>
      <c r="H595" s="637">
        <v>1117.0999999999999</v>
      </c>
      <c r="I595" s="637">
        <v>1192.9000000000001</v>
      </c>
      <c r="J595" s="637">
        <v>870.2</v>
      </c>
      <c r="K595" s="637">
        <v>972</v>
      </c>
      <c r="L595" s="637">
        <v>686.9</v>
      </c>
      <c r="M595" s="637">
        <v>817.9</v>
      </c>
      <c r="N595" s="637">
        <v>399</v>
      </c>
      <c r="O595" s="632">
        <f>SUM(C595:N595)</f>
        <v>9675.6</v>
      </c>
      <c r="R595" s="1261"/>
      <c r="S595" s="1262"/>
      <c r="T595" s="127"/>
      <c r="U595" s="1263"/>
      <c r="V595" s="1262"/>
      <c r="Y595" s="166"/>
      <c r="Z595" s="166"/>
    </row>
    <row r="596" spans="1:26" s="128" customFormat="1" ht="16.149999999999999" customHeight="1" x14ac:dyDescent="0.35">
      <c r="A596" s="459"/>
      <c r="B596" s="345" t="s">
        <v>759</v>
      </c>
      <c r="C596" s="671">
        <v>4061.98</v>
      </c>
      <c r="D596" s="671">
        <v>4838.99</v>
      </c>
      <c r="E596" s="671">
        <v>4197.25</v>
      </c>
      <c r="F596" s="671">
        <v>5492.28</v>
      </c>
      <c r="G596" s="671">
        <v>7641.91</v>
      </c>
      <c r="H596" s="671">
        <v>9725.2800000000007</v>
      </c>
      <c r="I596" s="671">
        <v>10328.959999999999</v>
      </c>
      <c r="J596" s="671">
        <v>7613.44</v>
      </c>
      <c r="K596" s="671">
        <v>7878.41</v>
      </c>
      <c r="L596" s="671">
        <v>5752.69</v>
      </c>
      <c r="M596" s="671">
        <v>6796.48</v>
      </c>
      <c r="N596" s="671">
        <v>3443.57</v>
      </c>
      <c r="O596" s="671">
        <f>SUM(C596:N596)</f>
        <v>77771.240000000005</v>
      </c>
      <c r="R596" s="1261"/>
      <c r="S596" s="1262"/>
      <c r="T596" s="127"/>
      <c r="U596" s="1263"/>
      <c r="V596" s="1262"/>
      <c r="Y596" s="166"/>
      <c r="Z596" s="166"/>
    </row>
    <row r="597" spans="1:26" s="128" customFormat="1" ht="16.149999999999999" customHeight="1" x14ac:dyDescent="0.35">
      <c r="A597" s="459"/>
      <c r="B597" s="345"/>
      <c r="C597" s="345"/>
      <c r="D597" s="345"/>
      <c r="E597" s="345"/>
      <c r="F597" s="345"/>
      <c r="G597" s="345"/>
      <c r="H597" s="345"/>
      <c r="I597" s="345"/>
      <c r="J597" s="345"/>
      <c r="K597" s="345"/>
      <c r="L597" s="345"/>
      <c r="M597" s="345"/>
      <c r="N597" s="345"/>
      <c r="O597" s="345"/>
      <c r="R597" s="1261"/>
      <c r="S597" s="1262"/>
      <c r="T597" s="127"/>
      <c r="U597" s="1263"/>
      <c r="V597" s="1262"/>
      <c r="Y597" s="166"/>
      <c r="Z597" s="166"/>
    </row>
    <row r="598" spans="1:26" s="128" customFormat="1" ht="16.149999999999999" customHeight="1" x14ac:dyDescent="0.35">
      <c r="A598" s="459"/>
      <c r="B598" s="345" t="s">
        <v>763</v>
      </c>
      <c r="C598" s="345"/>
      <c r="D598" s="345"/>
      <c r="E598" s="345"/>
      <c r="F598" s="345"/>
      <c r="G598" s="345"/>
      <c r="H598" s="345"/>
      <c r="I598" s="345"/>
      <c r="J598" s="345"/>
      <c r="K598" s="345"/>
      <c r="L598" s="345"/>
      <c r="M598" s="345"/>
      <c r="N598" s="345"/>
      <c r="O598" s="345"/>
      <c r="R598" s="1261"/>
      <c r="S598" s="1262"/>
      <c r="T598" s="127"/>
      <c r="U598" s="1263"/>
      <c r="V598" s="1262"/>
      <c r="Y598" s="166"/>
      <c r="Z598" s="166"/>
    </row>
    <row r="599" spans="1:26" s="128" customFormat="1" ht="16.149999999999999" customHeight="1" x14ac:dyDescent="0.35">
      <c r="A599" s="459"/>
      <c r="B599" s="345" t="s">
        <v>754</v>
      </c>
      <c r="C599" s="627">
        <v>0</v>
      </c>
      <c r="D599" s="627">
        <v>0</v>
      </c>
      <c r="E599" s="627">
        <v>0</v>
      </c>
      <c r="F599" s="627">
        <v>0</v>
      </c>
      <c r="G599" s="627">
        <v>0</v>
      </c>
      <c r="H599" s="627">
        <v>0</v>
      </c>
      <c r="I599" s="627">
        <v>0</v>
      </c>
      <c r="J599" s="627">
        <v>0</v>
      </c>
      <c r="K599" s="627">
        <v>0</v>
      </c>
      <c r="L599" s="627">
        <v>0</v>
      </c>
      <c r="M599" s="627">
        <v>0</v>
      </c>
      <c r="N599" s="627">
        <v>0</v>
      </c>
      <c r="O599" s="345"/>
      <c r="R599" s="1261"/>
      <c r="S599" s="1262"/>
      <c r="T599" s="127"/>
      <c r="U599" s="1263"/>
      <c r="V599" s="1262"/>
      <c r="Y599" s="166"/>
      <c r="Z599" s="166"/>
    </row>
    <row r="600" spans="1:26" s="128" customFormat="1" ht="16.149999999999999" customHeight="1" x14ac:dyDescent="0.35">
      <c r="A600" s="459"/>
      <c r="B600" s="345" t="s">
        <v>755</v>
      </c>
      <c r="C600" s="2153">
        <v>0</v>
      </c>
      <c r="D600" s="2153">
        <v>0</v>
      </c>
      <c r="E600" s="2153">
        <v>0</v>
      </c>
      <c r="F600" s="2153">
        <v>0</v>
      </c>
      <c r="G600" s="2153">
        <v>0</v>
      </c>
      <c r="H600" s="2153">
        <v>0</v>
      </c>
      <c r="I600" s="2153">
        <v>0</v>
      </c>
      <c r="J600" s="2153">
        <v>0</v>
      </c>
      <c r="K600" s="2153">
        <v>0</v>
      </c>
      <c r="L600" s="2153">
        <v>0</v>
      </c>
      <c r="M600" s="2153">
        <v>0</v>
      </c>
      <c r="N600" s="2153">
        <v>0</v>
      </c>
      <c r="O600" s="345"/>
      <c r="R600" s="1261"/>
      <c r="S600" s="1262"/>
      <c r="T600" s="127"/>
      <c r="U600" s="1263"/>
      <c r="V600" s="1262"/>
      <c r="Y600" s="166"/>
      <c r="Z600" s="166"/>
    </row>
    <row r="601" spans="1:26" s="128" customFormat="1" ht="16.149999999999999" customHeight="1" x14ac:dyDescent="0.35">
      <c r="A601" s="459"/>
      <c r="B601" s="345" t="s">
        <v>812</v>
      </c>
      <c r="C601" s="627">
        <v>0</v>
      </c>
      <c r="D601" s="627">
        <v>0</v>
      </c>
      <c r="E601" s="627">
        <v>0</v>
      </c>
      <c r="F601" s="627">
        <v>0</v>
      </c>
      <c r="G601" s="627">
        <v>0</v>
      </c>
      <c r="H601" s="627">
        <v>0</v>
      </c>
      <c r="I601" s="627">
        <v>0</v>
      </c>
      <c r="J601" s="627">
        <v>0</v>
      </c>
      <c r="K601" s="627">
        <v>0</v>
      </c>
      <c r="L601" s="627">
        <v>0</v>
      </c>
      <c r="M601" s="627">
        <v>0</v>
      </c>
      <c r="N601" s="627">
        <v>0</v>
      </c>
      <c r="O601" s="632">
        <f>SUM(C601:N601)</f>
        <v>0</v>
      </c>
      <c r="R601" s="1261"/>
      <c r="S601" s="1262"/>
      <c r="T601" s="127"/>
      <c r="U601" s="1263"/>
      <c r="V601" s="1262"/>
      <c r="Y601" s="166"/>
      <c r="Z601" s="166"/>
    </row>
    <row r="602" spans="1:26" s="128" customFormat="1" ht="16.149999999999999" customHeight="1" x14ac:dyDescent="0.35">
      <c r="A602" s="459"/>
      <c r="B602" s="345" t="s">
        <v>765</v>
      </c>
      <c r="C602" s="636">
        <v>4.0000000000000001E-3</v>
      </c>
      <c r="D602" s="636">
        <v>4.0000000000000001E-3</v>
      </c>
      <c r="E602" s="636">
        <v>4.0000000000000001E-3</v>
      </c>
      <c r="F602" s="636">
        <v>4.0000000000000001E-3</v>
      </c>
      <c r="G602" s="636">
        <v>4.0000000000000001E-3</v>
      </c>
      <c r="H602" s="636">
        <v>4.1999999999999997E-3</v>
      </c>
      <c r="I602" s="636">
        <v>4.1999999999999997E-3</v>
      </c>
      <c r="J602" s="636">
        <v>4.1999999999999997E-3</v>
      </c>
      <c r="K602" s="636">
        <v>4.1999999999999997E-3</v>
      </c>
      <c r="L602" s="636">
        <v>4.1000000000000003E-3</v>
      </c>
      <c r="M602" s="636">
        <v>4.1000000000000003E-3</v>
      </c>
      <c r="N602" s="636">
        <v>4.0000000000000001E-3</v>
      </c>
      <c r="O602" s="345" t="e">
        <f>ROUND(O603/O601,4)</f>
        <v>#DIV/0!</v>
      </c>
      <c r="R602" s="1261"/>
      <c r="S602" s="1262"/>
      <c r="T602" s="127"/>
      <c r="U602" s="1263"/>
      <c r="V602" s="1262"/>
      <c r="Y602" s="166"/>
      <c r="Z602" s="166"/>
    </row>
    <row r="603" spans="1:26" s="128" customFormat="1" ht="16.149999999999999" customHeight="1" x14ac:dyDescent="0.35">
      <c r="A603" s="459"/>
      <c r="B603" s="345" t="s">
        <v>759</v>
      </c>
      <c r="C603" s="652">
        <v>0</v>
      </c>
      <c r="D603" s="652">
        <v>0</v>
      </c>
      <c r="E603" s="652">
        <v>0</v>
      </c>
      <c r="F603" s="652">
        <v>0</v>
      </c>
      <c r="G603" s="652">
        <v>0</v>
      </c>
      <c r="H603" s="652">
        <v>0</v>
      </c>
      <c r="I603" s="652">
        <v>0</v>
      </c>
      <c r="J603" s="652">
        <v>0</v>
      </c>
      <c r="K603" s="652">
        <v>0</v>
      </c>
      <c r="L603" s="652">
        <v>0</v>
      </c>
      <c r="M603" s="652">
        <v>0</v>
      </c>
      <c r="N603" s="652">
        <v>0</v>
      </c>
      <c r="O603" s="671">
        <f>SUM(C603:N603)</f>
        <v>0</v>
      </c>
      <c r="R603" s="1261"/>
      <c r="S603" s="1262"/>
      <c r="T603" s="127"/>
      <c r="U603" s="1263"/>
      <c r="V603" s="1262"/>
      <c r="Y603" s="166"/>
      <c r="Z603" s="166"/>
    </row>
    <row r="604" spans="1:26" s="128" customFormat="1" ht="16.149999999999999" customHeight="1" x14ac:dyDescent="0.35">
      <c r="A604" s="459"/>
      <c r="B604" s="345"/>
      <c r="C604" s="636"/>
      <c r="D604" s="636"/>
      <c r="E604" s="636"/>
      <c r="F604" s="636"/>
      <c r="G604" s="636"/>
      <c r="H604" s="636"/>
      <c r="I604" s="636"/>
      <c r="J604" s="636"/>
      <c r="K604" s="636"/>
      <c r="L604" s="636"/>
      <c r="M604" s="636"/>
      <c r="N604" s="636"/>
      <c r="O604" s="345"/>
      <c r="R604" s="1261"/>
      <c r="S604" s="1262"/>
      <c r="T604" s="127"/>
      <c r="U604" s="1263"/>
      <c r="V604" s="1262"/>
      <c r="Y604" s="166"/>
      <c r="Z604" s="166"/>
    </row>
    <row r="605" spans="1:26" s="128" customFormat="1" ht="16.149999999999999" customHeight="1" x14ac:dyDescent="0.35">
      <c r="A605" s="459"/>
      <c r="B605" s="345" t="s">
        <v>766</v>
      </c>
      <c r="C605" s="345"/>
      <c r="D605" s="345"/>
      <c r="E605" s="345"/>
      <c r="F605" s="345"/>
      <c r="G605" s="345"/>
      <c r="H605" s="345"/>
      <c r="I605" s="345"/>
      <c r="J605" s="345"/>
      <c r="K605" s="345"/>
      <c r="L605" s="345"/>
      <c r="M605" s="345"/>
      <c r="N605" s="345"/>
      <c r="O605" s="345"/>
      <c r="R605" s="1261"/>
      <c r="S605" s="1262"/>
      <c r="T605" s="127"/>
      <c r="U605" s="1263"/>
      <c r="V605" s="1262"/>
      <c r="Y605" s="166"/>
      <c r="Z605" s="166"/>
    </row>
    <row r="606" spans="1:26" s="128" customFormat="1" ht="16.149999999999999" customHeight="1" x14ac:dyDescent="0.35">
      <c r="A606" s="459"/>
      <c r="B606" s="345" t="s">
        <v>765</v>
      </c>
      <c r="C606" s="636">
        <v>5.5999999999999999E-3</v>
      </c>
      <c r="D606" s="636">
        <v>4.7000000000000002E-3</v>
      </c>
      <c r="E606" s="636">
        <v>4.7000000000000002E-3</v>
      </c>
      <c r="F606" s="636">
        <v>4.1000000000000003E-3</v>
      </c>
      <c r="G606" s="636">
        <v>4.1000000000000003E-3</v>
      </c>
      <c r="H606" s="636">
        <v>4.4000000000000003E-3</v>
      </c>
      <c r="I606" s="636">
        <v>4.4000000000000003E-3</v>
      </c>
      <c r="J606" s="636">
        <v>4.0000000000000001E-3</v>
      </c>
      <c r="K606" s="636">
        <v>4.0000000000000001E-3</v>
      </c>
      <c r="L606" s="636">
        <v>3.8999999999999998E-3</v>
      </c>
      <c r="M606" s="636">
        <v>3.8999999999999998E-3</v>
      </c>
      <c r="N606" s="636">
        <v>3.0999999999999999E-3</v>
      </c>
      <c r="O606" s="631" t="e">
        <f>O607/O601</f>
        <v>#DIV/0!</v>
      </c>
      <c r="R606" s="1261"/>
      <c r="S606" s="1262"/>
      <c r="T606" s="127"/>
      <c r="U606" s="1263"/>
      <c r="V606" s="1262"/>
      <c r="Y606" s="166"/>
      <c r="Z606" s="166"/>
    </row>
    <row r="607" spans="1:26" s="128" customFormat="1" ht="16.149999999999999" customHeight="1" x14ac:dyDescent="0.35">
      <c r="A607" s="459"/>
      <c r="B607" s="345" t="s">
        <v>759</v>
      </c>
      <c r="C607" s="652">
        <v>0</v>
      </c>
      <c r="D607" s="652">
        <v>0</v>
      </c>
      <c r="E607" s="652">
        <v>0</v>
      </c>
      <c r="F607" s="652">
        <v>0</v>
      </c>
      <c r="G607" s="652">
        <v>0</v>
      </c>
      <c r="H607" s="652">
        <v>0</v>
      </c>
      <c r="I607" s="652">
        <v>0</v>
      </c>
      <c r="J607" s="652">
        <v>0</v>
      </c>
      <c r="K607" s="652">
        <v>0</v>
      </c>
      <c r="L607" s="652">
        <v>0</v>
      </c>
      <c r="M607" s="652">
        <v>0</v>
      </c>
      <c r="N607" s="652">
        <v>0</v>
      </c>
      <c r="O607" s="671">
        <f>SUM(C607:N607)</f>
        <v>0</v>
      </c>
      <c r="R607" s="1261"/>
      <c r="S607" s="1262"/>
      <c r="T607" s="127"/>
      <c r="U607" s="1263"/>
      <c r="V607" s="1262"/>
      <c r="Y607" s="166"/>
      <c r="Z607" s="166"/>
    </row>
    <row r="608" spans="1:26" s="128" customFormat="1" ht="16.149999999999999" customHeight="1" x14ac:dyDescent="0.35">
      <c r="A608" s="459"/>
      <c r="B608" s="345"/>
      <c r="C608" s="345"/>
      <c r="D608" s="345"/>
      <c r="E608" s="345"/>
      <c r="F608" s="345"/>
      <c r="G608" s="345"/>
      <c r="H608" s="345"/>
      <c r="I608" s="345"/>
      <c r="J608" s="345"/>
      <c r="K608" s="345"/>
      <c r="L608" s="345"/>
      <c r="M608" s="345"/>
      <c r="N608" s="345"/>
      <c r="O608" s="345"/>
      <c r="R608" s="1261"/>
      <c r="S608" s="1262"/>
      <c r="T608" s="127"/>
      <c r="U608" s="1263"/>
      <c r="V608" s="1262"/>
      <c r="Y608" s="166"/>
      <c r="Z608" s="166"/>
    </row>
    <row r="609" spans="1:26" s="128" customFormat="1" ht="16.149999999999999" customHeight="1" x14ac:dyDescent="0.35">
      <c r="A609" s="459"/>
      <c r="B609" s="345"/>
      <c r="C609" s="653" t="s">
        <v>769</v>
      </c>
      <c r="D609" s="653" t="s">
        <v>769</v>
      </c>
      <c r="E609" s="653" t="s">
        <v>769</v>
      </c>
      <c r="F609" s="653" t="s">
        <v>769</v>
      </c>
      <c r="G609" s="653" t="s">
        <v>769</v>
      </c>
      <c r="H609" s="653" t="s">
        <v>769</v>
      </c>
      <c r="I609" s="653" t="s">
        <v>769</v>
      </c>
      <c r="J609" s="653" t="s">
        <v>769</v>
      </c>
      <c r="K609" s="653" t="s">
        <v>769</v>
      </c>
      <c r="L609" s="653" t="s">
        <v>769</v>
      </c>
      <c r="M609" s="653" t="s">
        <v>769</v>
      </c>
      <c r="N609" s="653" t="s">
        <v>769</v>
      </c>
      <c r="O609" s="653" t="s">
        <v>769</v>
      </c>
      <c r="R609" s="1261"/>
      <c r="S609" s="1262"/>
      <c r="T609" s="127"/>
      <c r="U609" s="1263"/>
      <c r="V609" s="1262"/>
      <c r="Y609" s="166"/>
      <c r="Z609" s="166"/>
    </row>
    <row r="610" spans="1:26" s="128" customFormat="1" ht="16.149999999999999" customHeight="1" x14ac:dyDescent="0.35">
      <c r="A610" s="459"/>
      <c r="B610" s="345" t="s">
        <v>775</v>
      </c>
      <c r="C610" s="651">
        <v>34577.279999999999</v>
      </c>
      <c r="D610" s="651">
        <v>33125.58</v>
      </c>
      <c r="E610" s="651">
        <v>29603.82</v>
      </c>
      <c r="F610" s="651">
        <v>24568.11</v>
      </c>
      <c r="G610" s="651">
        <v>22676.73</v>
      </c>
      <c r="H610" s="651">
        <v>24522.730000000003</v>
      </c>
      <c r="I610" s="651">
        <v>25126.41</v>
      </c>
      <c r="J610" s="651">
        <v>21207.34</v>
      </c>
      <c r="K610" s="651">
        <v>21903.97</v>
      </c>
      <c r="L610" s="651">
        <v>22857.55</v>
      </c>
      <c r="M610" s="651">
        <v>24859.31</v>
      </c>
      <c r="N610" s="651">
        <v>27924.720000000001</v>
      </c>
      <c r="O610" s="632">
        <f>SUM(C610:N610)</f>
        <v>312953.55000000005</v>
      </c>
      <c r="R610" s="1261"/>
      <c r="S610" s="1262"/>
      <c r="T610" s="127"/>
      <c r="U610" s="1263"/>
      <c r="V610" s="1262"/>
      <c r="Y610" s="166"/>
      <c r="Z610" s="166"/>
    </row>
    <row r="611" spans="1:26" s="128" customFormat="1" ht="16.149999999999999" customHeight="1" x14ac:dyDescent="0.35">
      <c r="A611" s="459"/>
      <c r="B611" s="345"/>
      <c r="C611" s="655" t="s">
        <v>776</v>
      </c>
      <c r="D611" s="655" t="s">
        <v>776</v>
      </c>
      <c r="E611" s="655" t="s">
        <v>776</v>
      </c>
      <c r="F611" s="655" t="s">
        <v>776</v>
      </c>
      <c r="G611" s="655" t="s">
        <v>776</v>
      </c>
      <c r="H611" s="655" t="s">
        <v>776</v>
      </c>
      <c r="I611" s="655" t="s">
        <v>776</v>
      </c>
      <c r="J611" s="655" t="s">
        <v>776</v>
      </c>
      <c r="K611" s="655" t="s">
        <v>776</v>
      </c>
      <c r="L611" s="655" t="s">
        <v>776</v>
      </c>
      <c r="M611" s="655" t="s">
        <v>776</v>
      </c>
      <c r="N611" s="655" t="s">
        <v>776</v>
      </c>
      <c r="O611" s="655" t="s">
        <v>776</v>
      </c>
      <c r="R611" s="1261"/>
      <c r="S611" s="1262"/>
      <c r="T611" s="127"/>
      <c r="U611" s="1263"/>
      <c r="V611" s="1262"/>
      <c r="Y611" s="166"/>
      <c r="Z611" s="166"/>
    </row>
    <row r="612" spans="1:26" s="128" customFormat="1" ht="16.149999999999999" customHeight="1" x14ac:dyDescent="0.35">
      <c r="A612" s="459"/>
      <c r="B612" s="345"/>
      <c r="C612" s="345"/>
      <c r="D612" s="345"/>
      <c r="E612" s="345"/>
      <c r="F612" s="345"/>
      <c r="G612" s="345"/>
      <c r="H612" s="345"/>
      <c r="I612" s="345"/>
      <c r="J612" s="345"/>
      <c r="K612" s="345"/>
      <c r="L612" s="345"/>
      <c r="M612" s="345"/>
      <c r="N612" s="345"/>
      <c r="O612" s="345"/>
      <c r="R612" s="1261"/>
      <c r="S612" s="1262"/>
      <c r="T612" s="127"/>
      <c r="U612" s="1263"/>
      <c r="V612" s="1262"/>
      <c r="Y612" s="166"/>
      <c r="Z612" s="166"/>
    </row>
    <row r="613" spans="1:26" s="128" customFormat="1" ht="16.149999999999999" customHeight="1" x14ac:dyDescent="0.35">
      <c r="A613" s="459"/>
      <c r="B613" s="345" t="s">
        <v>813</v>
      </c>
      <c r="C613" s="672">
        <v>256.49</v>
      </c>
      <c r="D613" s="672">
        <v>276.22000000000003</v>
      </c>
      <c r="E613" s="672">
        <v>256.49</v>
      </c>
      <c r="F613" s="672">
        <v>256.49</v>
      </c>
      <c r="G613" s="672">
        <v>256.49</v>
      </c>
      <c r="H613" s="672">
        <v>256.49</v>
      </c>
      <c r="I613" s="672">
        <v>256.49</v>
      </c>
      <c r="J613" s="672">
        <v>236.76</v>
      </c>
      <c r="K613" s="672">
        <v>276.22000000000003</v>
      </c>
      <c r="L613" s="672">
        <v>236.76</v>
      </c>
      <c r="M613" s="672">
        <v>256.49</v>
      </c>
      <c r="N613" s="672">
        <v>256.49</v>
      </c>
      <c r="O613" s="671">
        <f>SUM(C613:N613)</f>
        <v>3077.88</v>
      </c>
      <c r="R613" s="1261"/>
      <c r="S613" s="1262"/>
      <c r="T613" s="127"/>
      <c r="U613" s="1263"/>
      <c r="V613" s="1262"/>
      <c r="Y613" s="166"/>
      <c r="Z613" s="166"/>
    </row>
    <row r="614" spans="1:26" s="128" customFormat="1" ht="16.149999999999999" customHeight="1" x14ac:dyDescent="0.35">
      <c r="A614" s="459"/>
      <c r="B614" s="345"/>
      <c r="C614" s="345"/>
      <c r="D614" s="345"/>
      <c r="E614" s="345"/>
      <c r="F614" s="345"/>
      <c r="G614" s="345"/>
      <c r="H614" s="345"/>
      <c r="I614" s="345"/>
      <c r="J614" s="345"/>
      <c r="K614" s="345"/>
      <c r="L614" s="345"/>
      <c r="M614" s="345"/>
      <c r="N614" s="345"/>
      <c r="O614" s="345"/>
      <c r="R614" s="1261"/>
      <c r="S614" s="1262"/>
      <c r="T614" s="127"/>
      <c r="U614" s="1263"/>
      <c r="V614" s="1262"/>
      <c r="Y614" s="166"/>
      <c r="Z614" s="166"/>
    </row>
    <row r="615" spans="1:26" s="128" customFormat="1" ht="16.149999999999999" customHeight="1" x14ac:dyDescent="0.35">
      <c r="A615" s="459"/>
      <c r="B615" s="646" t="s">
        <v>1573</v>
      </c>
      <c r="C615" s="345"/>
      <c r="D615" s="345"/>
      <c r="E615" s="345"/>
      <c r="F615" s="345"/>
      <c r="G615" s="345"/>
      <c r="H615" s="345"/>
      <c r="I615" s="345"/>
      <c r="J615" s="345"/>
      <c r="K615" s="345"/>
      <c r="L615" s="345"/>
      <c r="M615" s="345"/>
      <c r="N615" s="345"/>
      <c r="O615" s="345"/>
      <c r="R615" s="1261"/>
      <c r="S615" s="1262"/>
      <c r="T615" s="127"/>
      <c r="U615" s="1263"/>
      <c r="V615" s="1262"/>
      <c r="Y615" s="166"/>
      <c r="Z615" s="166"/>
    </row>
    <row r="616" spans="1:26" s="128" customFormat="1" ht="16.149999999999999" customHeight="1" x14ac:dyDescent="0.35">
      <c r="A616" s="459"/>
      <c r="B616" s="345" t="s">
        <v>753</v>
      </c>
      <c r="C616" s="673">
        <v>7628.83</v>
      </c>
      <c r="D616" s="673">
        <v>7071.65</v>
      </c>
      <c r="E616" s="673">
        <v>6351.64</v>
      </c>
      <c r="F616" s="673">
        <v>4768.96</v>
      </c>
      <c r="G616" s="673">
        <v>3758.71</v>
      </c>
      <c r="H616" s="673">
        <v>3699.36</v>
      </c>
      <c r="I616" s="673">
        <v>3699.36</v>
      </c>
      <c r="J616" s="673">
        <v>3398.48</v>
      </c>
      <c r="K616" s="673">
        <v>3506.39</v>
      </c>
      <c r="L616" s="673">
        <v>4276.22</v>
      </c>
      <c r="M616" s="673">
        <v>4515.71</v>
      </c>
      <c r="N616" s="673">
        <v>6120.29</v>
      </c>
      <c r="O616" s="632">
        <f>SUM(C616:N616)</f>
        <v>58795.6</v>
      </c>
      <c r="R616" s="1261"/>
      <c r="S616" s="1262"/>
      <c r="T616" s="127"/>
      <c r="U616" s="1263"/>
      <c r="V616" s="1262"/>
      <c r="Y616" s="166"/>
      <c r="Z616" s="166"/>
    </row>
    <row r="617" spans="1:26" s="128" customFormat="1" ht="16.149999999999999" customHeight="1" x14ac:dyDescent="0.35">
      <c r="A617" s="459"/>
      <c r="B617" s="345" t="s">
        <v>760</v>
      </c>
      <c r="C617" s="673">
        <v>1015.5</v>
      </c>
      <c r="D617" s="673">
        <v>1209.75</v>
      </c>
      <c r="E617" s="673">
        <v>1049.31</v>
      </c>
      <c r="F617" s="673">
        <v>1373.07</v>
      </c>
      <c r="G617" s="673">
        <v>1910.48</v>
      </c>
      <c r="H617" s="673">
        <v>2431.3200000000002</v>
      </c>
      <c r="I617" s="673">
        <v>2582.2399999999998</v>
      </c>
      <c r="J617" s="673">
        <v>1903.36</v>
      </c>
      <c r="K617" s="673">
        <v>1969.6</v>
      </c>
      <c r="L617" s="673">
        <v>1438.17</v>
      </c>
      <c r="M617" s="673">
        <v>1699.12</v>
      </c>
      <c r="N617" s="673">
        <v>860.89</v>
      </c>
      <c r="O617" s="632">
        <f>SUM(C617:N617)</f>
        <v>19442.810000000001</v>
      </c>
      <c r="R617" s="1261"/>
      <c r="S617" s="1262"/>
      <c r="T617" s="127"/>
      <c r="U617" s="1263"/>
      <c r="V617" s="1262"/>
      <c r="Y617" s="166"/>
      <c r="Z617" s="166"/>
    </row>
    <row r="618" spans="1:26" s="128" customFormat="1" ht="16.149999999999999" customHeight="1" x14ac:dyDescent="0.35">
      <c r="A618" s="459"/>
      <c r="B618" s="345" t="s">
        <v>763</v>
      </c>
      <c r="C618" s="673">
        <v>0</v>
      </c>
      <c r="D618" s="673">
        <v>0</v>
      </c>
      <c r="E618" s="673">
        <v>0</v>
      </c>
      <c r="F618" s="673">
        <v>0</v>
      </c>
      <c r="G618" s="673">
        <v>0</v>
      </c>
      <c r="H618" s="673">
        <v>0</v>
      </c>
      <c r="I618" s="673">
        <v>0</v>
      </c>
      <c r="J618" s="673">
        <v>0</v>
      </c>
      <c r="K618" s="673">
        <v>0</v>
      </c>
      <c r="L618" s="673">
        <v>0</v>
      </c>
      <c r="M618" s="673">
        <v>0</v>
      </c>
      <c r="N618" s="673">
        <v>0</v>
      </c>
      <c r="O618" s="632">
        <f>SUM(C618:N618)</f>
        <v>0</v>
      </c>
      <c r="R618" s="1261"/>
      <c r="S618" s="1262"/>
      <c r="T618" s="127"/>
      <c r="U618" s="1263"/>
      <c r="V618" s="1262"/>
      <c r="Y618" s="166"/>
      <c r="Z618" s="166"/>
    </row>
    <row r="619" spans="1:26" s="128" customFormat="1" ht="16.149999999999999" customHeight="1" x14ac:dyDescent="0.35">
      <c r="A619" s="459"/>
      <c r="B619" s="345" t="s">
        <v>815</v>
      </c>
      <c r="C619" s="673">
        <v>0</v>
      </c>
      <c r="D619" s="673">
        <v>0</v>
      </c>
      <c r="E619" s="673">
        <v>0</v>
      </c>
      <c r="F619" s="673">
        <v>0</v>
      </c>
      <c r="G619" s="673">
        <v>0</v>
      </c>
      <c r="H619" s="673">
        <v>0</v>
      </c>
      <c r="I619" s="673">
        <v>0</v>
      </c>
      <c r="J619" s="673">
        <v>0</v>
      </c>
      <c r="K619" s="673">
        <v>0</v>
      </c>
      <c r="L619" s="673">
        <v>0</v>
      </c>
      <c r="M619" s="673">
        <v>0</v>
      </c>
      <c r="N619" s="673">
        <v>0</v>
      </c>
      <c r="O619" s="632">
        <f>SUM(C619:N619)</f>
        <v>0</v>
      </c>
      <c r="R619" s="1261"/>
      <c r="S619" s="1262"/>
      <c r="T619" s="127"/>
      <c r="U619" s="1263"/>
      <c r="V619" s="1262"/>
      <c r="Y619" s="166"/>
      <c r="Z619" s="166"/>
    </row>
    <row r="620" spans="1:26" s="128" customFormat="1" ht="16.149999999999999" customHeight="1" x14ac:dyDescent="0.35">
      <c r="A620" s="459"/>
      <c r="B620" s="345"/>
      <c r="C620" s="653" t="s">
        <v>769</v>
      </c>
      <c r="D620" s="653" t="s">
        <v>769</v>
      </c>
      <c r="E620" s="653" t="s">
        <v>769</v>
      </c>
      <c r="F620" s="653" t="s">
        <v>769</v>
      </c>
      <c r="G620" s="653" t="s">
        <v>769</v>
      </c>
      <c r="H620" s="653" t="s">
        <v>769</v>
      </c>
      <c r="I620" s="653" t="s">
        <v>769</v>
      </c>
      <c r="J620" s="653" t="s">
        <v>769</v>
      </c>
      <c r="K620" s="653" t="s">
        <v>769</v>
      </c>
      <c r="L620" s="653" t="s">
        <v>769</v>
      </c>
      <c r="M620" s="653" t="s">
        <v>769</v>
      </c>
      <c r="N620" s="653" t="s">
        <v>769</v>
      </c>
      <c r="O620" s="665" t="s">
        <v>769</v>
      </c>
      <c r="R620" s="1261"/>
      <c r="S620" s="1262"/>
      <c r="T620" s="127"/>
      <c r="U620" s="1263"/>
      <c r="V620" s="1262"/>
      <c r="Y620" s="166"/>
      <c r="Z620" s="166"/>
    </row>
    <row r="621" spans="1:26" s="128" customFormat="1" ht="16.149999999999999" customHeight="1" x14ac:dyDescent="0.35">
      <c r="A621" s="459"/>
      <c r="B621" s="345" t="s">
        <v>775</v>
      </c>
      <c r="C621" s="673">
        <v>8644.33</v>
      </c>
      <c r="D621" s="673">
        <v>8281.4</v>
      </c>
      <c r="E621" s="673">
        <v>7400.9500000000007</v>
      </c>
      <c r="F621" s="673">
        <v>6142.03</v>
      </c>
      <c r="G621" s="673">
        <v>5669.1900000000005</v>
      </c>
      <c r="H621" s="673">
        <v>6130.68</v>
      </c>
      <c r="I621" s="673">
        <v>6281.6</v>
      </c>
      <c r="J621" s="673">
        <v>5301.84</v>
      </c>
      <c r="K621" s="673">
        <v>5475.99</v>
      </c>
      <c r="L621" s="673">
        <v>5714.39</v>
      </c>
      <c r="M621" s="673">
        <v>6214.83</v>
      </c>
      <c r="N621" s="673">
        <v>6981.18</v>
      </c>
      <c r="O621" s="632">
        <f>SUM(C621:N621)</f>
        <v>78238.41</v>
      </c>
      <c r="R621" s="1261"/>
      <c r="S621" s="1262"/>
      <c r="T621" s="127"/>
      <c r="U621" s="1263"/>
      <c r="V621" s="1262"/>
      <c r="Y621" s="166"/>
      <c r="Z621" s="166"/>
    </row>
    <row r="622" spans="1:26" s="128" customFormat="1" ht="16.149999999999999" customHeight="1" x14ac:dyDescent="0.35">
      <c r="A622" s="459"/>
      <c r="B622" s="345"/>
      <c r="C622" s="655" t="s">
        <v>776</v>
      </c>
      <c r="D622" s="655" t="s">
        <v>776</v>
      </c>
      <c r="E622" s="655" t="s">
        <v>776</v>
      </c>
      <c r="F622" s="655" t="s">
        <v>776</v>
      </c>
      <c r="G622" s="655" t="s">
        <v>776</v>
      </c>
      <c r="H622" s="655" t="s">
        <v>776</v>
      </c>
      <c r="I622" s="655" t="s">
        <v>776</v>
      </c>
      <c r="J622" s="655" t="s">
        <v>776</v>
      </c>
      <c r="K622" s="655" t="s">
        <v>776</v>
      </c>
      <c r="L622" s="655" t="s">
        <v>776</v>
      </c>
      <c r="M622" s="655" t="s">
        <v>776</v>
      </c>
      <c r="N622" s="655" t="s">
        <v>776</v>
      </c>
      <c r="O622" s="655" t="s">
        <v>776</v>
      </c>
      <c r="R622" s="1261"/>
      <c r="S622" s="1262"/>
      <c r="T622" s="127"/>
      <c r="U622" s="1263"/>
      <c r="V622" s="1262"/>
      <c r="Y622" s="166"/>
      <c r="Z622" s="166"/>
    </row>
    <row r="623" spans="1:26" s="128" customFormat="1" ht="16.149999999999999" customHeight="1" x14ac:dyDescent="0.35">
      <c r="A623" s="459"/>
      <c r="B623" s="345"/>
      <c r="C623" s="345"/>
      <c r="D623" s="345"/>
      <c r="E623" s="345"/>
      <c r="F623" s="345"/>
      <c r="G623" s="345"/>
      <c r="H623" s="345"/>
      <c r="I623" s="345"/>
      <c r="J623" s="345"/>
      <c r="K623" s="345"/>
      <c r="L623" s="345"/>
      <c r="M623" s="345"/>
      <c r="N623" s="345"/>
      <c r="O623" s="345"/>
      <c r="R623" s="1261"/>
      <c r="S623" s="1262"/>
      <c r="T623" s="127"/>
      <c r="U623" s="1263"/>
      <c r="V623" s="1262"/>
      <c r="Y623" s="166"/>
      <c r="Z623" s="166"/>
    </row>
    <row r="624" spans="1:26" s="128" customFormat="1" ht="16.149999999999999" customHeight="1" x14ac:dyDescent="0.35">
      <c r="A624" s="459"/>
      <c r="B624" s="345" t="s">
        <v>777</v>
      </c>
      <c r="C624" s="672">
        <v>64.12</v>
      </c>
      <c r="D624" s="672">
        <v>69.06</v>
      </c>
      <c r="E624" s="672">
        <v>64.12</v>
      </c>
      <c r="F624" s="672">
        <v>64.12</v>
      </c>
      <c r="G624" s="672">
        <v>64.12</v>
      </c>
      <c r="H624" s="672">
        <v>64.12</v>
      </c>
      <c r="I624" s="672">
        <v>64.12</v>
      </c>
      <c r="J624" s="672">
        <v>59.19</v>
      </c>
      <c r="K624" s="672">
        <v>69.06</v>
      </c>
      <c r="L624" s="672">
        <v>59.19</v>
      </c>
      <c r="M624" s="672">
        <v>64.12</v>
      </c>
      <c r="N624" s="672">
        <v>64.12</v>
      </c>
      <c r="O624" s="671">
        <f>SUM(C624:N624)</f>
        <v>769.46</v>
      </c>
      <c r="R624" s="1261"/>
      <c r="S624" s="1262"/>
      <c r="T624" s="127"/>
      <c r="U624" s="1263"/>
      <c r="V624" s="1262"/>
      <c r="Y624" s="166"/>
      <c r="Z624" s="166"/>
    </row>
    <row r="625" spans="1:26" s="128" customFormat="1" ht="16.149999999999999" customHeight="1" x14ac:dyDescent="0.35">
      <c r="A625" s="459"/>
      <c r="B625" s="345"/>
      <c r="C625" s="345"/>
      <c r="D625" s="345"/>
      <c r="E625" s="345"/>
      <c r="F625" s="345"/>
      <c r="G625" s="345"/>
      <c r="H625" s="345"/>
      <c r="I625" s="345"/>
      <c r="J625" s="345"/>
      <c r="K625" s="345"/>
      <c r="L625" s="345"/>
      <c r="M625" s="345"/>
      <c r="N625" s="345"/>
      <c r="O625" s="345"/>
      <c r="R625" s="1261"/>
      <c r="S625" s="1262"/>
      <c r="T625" s="127"/>
      <c r="U625" s="1263"/>
      <c r="V625" s="1262"/>
      <c r="Y625" s="166"/>
      <c r="Z625" s="166"/>
    </row>
    <row r="626" spans="1:26" s="128" customFormat="1" ht="16.149999999999999" customHeight="1" x14ac:dyDescent="0.35">
      <c r="A626" s="459"/>
      <c r="B626" s="646" t="s">
        <v>816</v>
      </c>
      <c r="C626" s="345"/>
      <c r="D626" s="345"/>
      <c r="E626" s="345"/>
      <c r="F626" s="345"/>
      <c r="G626" s="345"/>
      <c r="H626" s="345"/>
      <c r="I626" s="345"/>
      <c r="J626" s="345"/>
      <c r="K626" s="345"/>
      <c r="L626" s="345"/>
      <c r="M626" s="345"/>
      <c r="N626" s="345"/>
      <c r="O626" s="345"/>
      <c r="R626" s="1261"/>
      <c r="S626" s="1262"/>
      <c r="T626" s="127"/>
      <c r="U626" s="1263"/>
      <c r="V626" s="1262"/>
      <c r="Y626" s="166"/>
      <c r="Z626" s="166"/>
    </row>
    <row r="627" spans="1:26" s="128" customFormat="1" ht="16.149999999999999" customHeight="1" x14ac:dyDescent="0.35">
      <c r="A627" s="459"/>
      <c r="B627" s="345" t="s">
        <v>753</v>
      </c>
      <c r="C627" s="673">
        <v>22886.48</v>
      </c>
      <c r="D627" s="673">
        <v>21214.94</v>
      </c>
      <c r="E627" s="673">
        <v>19054.93</v>
      </c>
      <c r="F627" s="673">
        <v>14306.87</v>
      </c>
      <c r="G627" s="673">
        <v>11276.12</v>
      </c>
      <c r="H627" s="673">
        <v>11098.09</v>
      </c>
      <c r="I627" s="673">
        <v>11098.09</v>
      </c>
      <c r="J627" s="673">
        <v>10195.43</v>
      </c>
      <c r="K627" s="673">
        <v>10519.17</v>
      </c>
      <c r="L627" s="673">
        <v>12828.65</v>
      </c>
      <c r="M627" s="673">
        <v>13547.12</v>
      </c>
      <c r="N627" s="673">
        <v>18360.86</v>
      </c>
      <c r="O627" s="632">
        <f>SUM(C627:N627)</f>
        <v>176386.75</v>
      </c>
      <c r="R627" s="1261"/>
      <c r="S627" s="1262"/>
      <c r="T627" s="127"/>
      <c r="U627" s="1263"/>
      <c r="V627" s="1262"/>
      <c r="Y627" s="166"/>
      <c r="Z627" s="166"/>
    </row>
    <row r="628" spans="1:26" s="128" customFormat="1" ht="16.149999999999999" customHeight="1" x14ac:dyDescent="0.35">
      <c r="A628" s="459"/>
      <c r="B628" s="345" t="s">
        <v>760</v>
      </c>
      <c r="C628" s="673">
        <v>3046.49</v>
      </c>
      <c r="D628" s="673">
        <v>3629.24</v>
      </c>
      <c r="E628" s="673">
        <v>3147.94</v>
      </c>
      <c r="F628" s="673">
        <v>4119.21</v>
      </c>
      <c r="G628" s="673">
        <v>5731.43</v>
      </c>
      <c r="H628" s="673">
        <v>7293.96</v>
      </c>
      <c r="I628" s="673">
        <v>7746.72</v>
      </c>
      <c r="J628" s="673">
        <v>5710.08</v>
      </c>
      <c r="K628" s="673">
        <v>5908.81</v>
      </c>
      <c r="L628" s="673">
        <v>4314.5200000000004</v>
      </c>
      <c r="M628" s="673">
        <v>5097.3599999999997</v>
      </c>
      <c r="N628" s="673">
        <v>2582.6799999999998</v>
      </c>
      <c r="O628" s="632">
        <f>SUM(C628:N628)</f>
        <v>58328.439999999995</v>
      </c>
      <c r="R628" s="1261"/>
      <c r="S628" s="1262"/>
      <c r="T628" s="127"/>
      <c r="U628" s="1263"/>
      <c r="V628" s="1262"/>
      <c r="Y628" s="166"/>
      <c r="Z628" s="166"/>
    </row>
    <row r="629" spans="1:26" s="128" customFormat="1" ht="16.149999999999999" customHeight="1" x14ac:dyDescent="0.35">
      <c r="A629" s="459"/>
      <c r="B629" s="345" t="s">
        <v>763</v>
      </c>
      <c r="C629" s="673">
        <v>0</v>
      </c>
      <c r="D629" s="673">
        <v>0</v>
      </c>
      <c r="E629" s="673">
        <v>0</v>
      </c>
      <c r="F629" s="673">
        <v>0</v>
      </c>
      <c r="G629" s="673">
        <v>0</v>
      </c>
      <c r="H629" s="673">
        <v>0</v>
      </c>
      <c r="I629" s="673">
        <v>0</v>
      </c>
      <c r="J629" s="673">
        <v>0</v>
      </c>
      <c r="K629" s="673">
        <v>0</v>
      </c>
      <c r="L629" s="673">
        <v>0</v>
      </c>
      <c r="M629" s="673">
        <v>0</v>
      </c>
      <c r="N629" s="673">
        <v>0</v>
      </c>
      <c r="O629" s="632">
        <f>SUM(C629:N629)</f>
        <v>0</v>
      </c>
      <c r="R629" s="1261"/>
      <c r="S629" s="1262"/>
      <c r="T629" s="127"/>
      <c r="U629" s="1263"/>
      <c r="V629" s="1262"/>
      <c r="Y629" s="166"/>
      <c r="Z629" s="166"/>
    </row>
    <row r="630" spans="1:26" s="128" customFormat="1" ht="16.149999999999999" customHeight="1" x14ac:dyDescent="0.35">
      <c r="A630" s="459"/>
      <c r="B630" s="345" t="s">
        <v>815</v>
      </c>
      <c r="C630" s="673">
        <v>0</v>
      </c>
      <c r="D630" s="673">
        <v>0</v>
      </c>
      <c r="E630" s="673">
        <v>0</v>
      </c>
      <c r="F630" s="673">
        <v>0</v>
      </c>
      <c r="G630" s="673">
        <v>0</v>
      </c>
      <c r="H630" s="673">
        <v>0</v>
      </c>
      <c r="I630" s="673">
        <v>0</v>
      </c>
      <c r="J630" s="673">
        <v>0</v>
      </c>
      <c r="K630" s="673">
        <v>0</v>
      </c>
      <c r="L630" s="673">
        <v>0</v>
      </c>
      <c r="M630" s="673">
        <v>0</v>
      </c>
      <c r="N630" s="673">
        <v>0</v>
      </c>
      <c r="O630" s="632">
        <f>SUM(C630:N630)</f>
        <v>0</v>
      </c>
      <c r="R630" s="1261"/>
      <c r="S630" s="1262"/>
      <c r="T630" s="127"/>
      <c r="U630" s="1263"/>
      <c r="V630" s="1262"/>
      <c r="Y630" s="166"/>
      <c r="Z630" s="166"/>
    </row>
    <row r="631" spans="1:26" s="128" customFormat="1" ht="16.149999999999999" customHeight="1" x14ac:dyDescent="0.35">
      <c r="A631" s="459"/>
      <c r="B631" s="345"/>
      <c r="C631" s="653" t="s">
        <v>769</v>
      </c>
      <c r="D631" s="653" t="s">
        <v>769</v>
      </c>
      <c r="E631" s="653" t="s">
        <v>769</v>
      </c>
      <c r="F631" s="653" t="s">
        <v>769</v>
      </c>
      <c r="G631" s="653" t="s">
        <v>769</v>
      </c>
      <c r="H631" s="653" t="s">
        <v>769</v>
      </c>
      <c r="I631" s="653" t="s">
        <v>769</v>
      </c>
      <c r="J631" s="653" t="s">
        <v>769</v>
      </c>
      <c r="K631" s="653" t="s">
        <v>769</v>
      </c>
      <c r="L631" s="653" t="s">
        <v>769</v>
      </c>
      <c r="M631" s="653" t="s">
        <v>769</v>
      </c>
      <c r="N631" s="653" t="s">
        <v>769</v>
      </c>
      <c r="O631" s="665" t="s">
        <v>769</v>
      </c>
      <c r="R631" s="1261"/>
      <c r="S631" s="1262"/>
      <c r="T631" s="127"/>
      <c r="U631" s="1263"/>
      <c r="V631" s="1262"/>
      <c r="Y631" s="166"/>
      <c r="Z631" s="166"/>
    </row>
    <row r="632" spans="1:26" s="128" customFormat="1" ht="16.149999999999999" customHeight="1" x14ac:dyDescent="0.35">
      <c r="A632" s="459"/>
      <c r="B632" s="345" t="s">
        <v>775</v>
      </c>
      <c r="C632" s="673">
        <v>25932.97</v>
      </c>
      <c r="D632" s="673">
        <v>24844.18</v>
      </c>
      <c r="E632" s="673">
        <v>22202.87</v>
      </c>
      <c r="F632" s="673">
        <v>18426.080000000002</v>
      </c>
      <c r="G632" s="673">
        <v>17007.550000000003</v>
      </c>
      <c r="H632" s="673">
        <v>18392.05</v>
      </c>
      <c r="I632" s="673">
        <v>18844.810000000001</v>
      </c>
      <c r="J632" s="673">
        <v>15905.51</v>
      </c>
      <c r="K632" s="673">
        <v>16427.98</v>
      </c>
      <c r="L632" s="673">
        <v>17143.169999999998</v>
      </c>
      <c r="M632" s="673">
        <v>18644.48</v>
      </c>
      <c r="N632" s="673">
        <v>20943.54</v>
      </c>
      <c r="O632" s="632">
        <f>SUM(C632:N632)</f>
        <v>234715.19000000006</v>
      </c>
      <c r="R632" s="1261"/>
      <c r="S632" s="1262"/>
      <c r="T632" s="127"/>
      <c r="U632" s="1263"/>
      <c r="V632" s="1262"/>
      <c r="Y632" s="166"/>
      <c r="Z632" s="166"/>
    </row>
    <row r="633" spans="1:26" s="128" customFormat="1" ht="16.149999999999999" customHeight="1" x14ac:dyDescent="0.35">
      <c r="A633" s="459"/>
      <c r="B633" s="345"/>
      <c r="C633" s="655" t="s">
        <v>776</v>
      </c>
      <c r="D633" s="655" t="s">
        <v>776</v>
      </c>
      <c r="E633" s="655" t="s">
        <v>776</v>
      </c>
      <c r="F633" s="655" t="s">
        <v>776</v>
      </c>
      <c r="G633" s="655" t="s">
        <v>776</v>
      </c>
      <c r="H633" s="655" t="s">
        <v>776</v>
      </c>
      <c r="I633" s="655" t="s">
        <v>776</v>
      </c>
      <c r="J633" s="655" t="s">
        <v>776</v>
      </c>
      <c r="K633" s="655" t="s">
        <v>776</v>
      </c>
      <c r="L633" s="655" t="s">
        <v>776</v>
      </c>
      <c r="M633" s="655" t="s">
        <v>776</v>
      </c>
      <c r="N633" s="655" t="s">
        <v>776</v>
      </c>
      <c r="O633" s="655" t="s">
        <v>776</v>
      </c>
      <c r="R633" s="1261"/>
      <c r="S633" s="1262"/>
      <c r="T633" s="127"/>
      <c r="U633" s="1263"/>
      <c r="V633" s="1262"/>
      <c r="Y633" s="166"/>
      <c r="Z633" s="166"/>
    </row>
    <row r="634" spans="1:26" s="128" customFormat="1" ht="16.149999999999999" customHeight="1" x14ac:dyDescent="0.35">
      <c r="A634" s="459"/>
      <c r="B634" s="345"/>
      <c r="C634" s="651"/>
      <c r="D634" s="651"/>
      <c r="E634" s="651"/>
      <c r="F634" s="651"/>
      <c r="G634" s="651"/>
      <c r="H634" s="651"/>
      <c r="I634" s="651"/>
      <c r="J634" s="651"/>
      <c r="K634" s="651"/>
      <c r="L634" s="651"/>
      <c r="M634" s="651"/>
      <c r="N634" s="651"/>
      <c r="O634" s="345"/>
      <c r="R634" s="1261"/>
      <c r="S634" s="1262"/>
      <c r="T634" s="127"/>
      <c r="U634" s="1263"/>
      <c r="V634" s="1262"/>
      <c r="Y634" s="166"/>
      <c r="Z634" s="166"/>
    </row>
    <row r="635" spans="1:26" s="128" customFormat="1" ht="16.149999999999999" customHeight="1" x14ac:dyDescent="0.35">
      <c r="A635" s="459"/>
      <c r="B635" s="345" t="s">
        <v>777</v>
      </c>
      <c r="C635" s="672">
        <v>192.37</v>
      </c>
      <c r="D635" s="672">
        <v>207.17</v>
      </c>
      <c r="E635" s="672">
        <v>192.37</v>
      </c>
      <c r="F635" s="672">
        <v>192.37</v>
      </c>
      <c r="G635" s="672">
        <v>192.37</v>
      </c>
      <c r="H635" s="672">
        <v>192.37</v>
      </c>
      <c r="I635" s="672">
        <v>192.37</v>
      </c>
      <c r="J635" s="672">
        <v>177.57</v>
      </c>
      <c r="K635" s="672">
        <v>207.17</v>
      </c>
      <c r="L635" s="672">
        <v>177.57</v>
      </c>
      <c r="M635" s="672">
        <v>192.37</v>
      </c>
      <c r="N635" s="672">
        <v>192.37</v>
      </c>
      <c r="O635" s="671">
        <f>SUM(C635:N635)</f>
        <v>2308.4399999999996</v>
      </c>
      <c r="R635" s="1261"/>
      <c r="S635" s="1262"/>
      <c r="T635" s="127"/>
      <c r="U635" s="1263"/>
      <c r="V635" s="1262"/>
      <c r="Y635" s="166"/>
      <c r="Z635" s="166"/>
    </row>
    <row r="636" spans="1:26" s="128" customFormat="1" ht="16.149999999999999" customHeight="1" x14ac:dyDescent="0.35">
      <c r="A636" s="459"/>
      <c r="B636" s="345"/>
      <c r="C636" s="345"/>
      <c r="D636" s="345"/>
      <c r="E636" s="345"/>
      <c r="F636" s="345"/>
      <c r="G636" s="345"/>
      <c r="H636" s="345"/>
      <c r="I636" s="345"/>
      <c r="J636" s="345"/>
      <c r="K636" s="345"/>
      <c r="L636" s="345"/>
      <c r="M636" s="345"/>
      <c r="N636" s="345"/>
      <c r="O636" s="345"/>
      <c r="R636" s="1261"/>
      <c r="S636" s="1262"/>
      <c r="T636" s="127"/>
      <c r="U636" s="1263"/>
      <c r="V636" s="1262"/>
      <c r="Y636" s="166"/>
      <c r="Z636" s="166"/>
    </row>
    <row r="637" spans="1:26" s="128" customFormat="1" ht="16.149999999999999" customHeight="1" x14ac:dyDescent="0.35">
      <c r="A637" s="459"/>
      <c r="B637" s="345" t="s">
        <v>818</v>
      </c>
      <c r="C637" s="345"/>
      <c r="D637" s="345"/>
      <c r="E637" s="345"/>
      <c r="F637" s="345"/>
      <c r="G637" s="345"/>
      <c r="H637" s="345"/>
      <c r="I637" s="345"/>
      <c r="J637" s="345"/>
      <c r="K637" s="345"/>
      <c r="L637" s="345"/>
      <c r="M637" s="345"/>
      <c r="N637" s="345"/>
      <c r="O637" s="345"/>
      <c r="R637" s="1261"/>
      <c r="S637" s="1262"/>
      <c r="T637" s="127"/>
      <c r="U637" s="1263"/>
      <c r="V637" s="1262"/>
      <c r="Y637" s="166"/>
      <c r="Z637" s="166"/>
    </row>
    <row r="639" spans="1:26" s="125" customFormat="1" ht="16.5" x14ac:dyDescent="0.35">
      <c r="A639" s="461">
        <v>37</v>
      </c>
      <c r="B639" s="127" t="s">
        <v>618</v>
      </c>
      <c r="C639" s="611"/>
      <c r="D639" s="179"/>
      <c r="E639" s="179"/>
      <c r="F639" s="179"/>
      <c r="G639" s="179"/>
      <c r="H639" s="179"/>
      <c r="I639" s="179"/>
      <c r="J639" s="179"/>
      <c r="K639" s="179"/>
      <c r="L639" s="179"/>
      <c r="M639" s="179"/>
      <c r="N639" s="179"/>
      <c r="O639" s="179"/>
      <c r="R639" s="149"/>
      <c r="S639" s="150"/>
      <c r="T639" s="127" t="s">
        <v>618</v>
      </c>
      <c r="U639" s="181"/>
      <c r="V639" s="150"/>
      <c r="Y639" s="157"/>
      <c r="Z639" s="157"/>
    </row>
    <row r="640" spans="1:26" s="1833" customFormat="1" ht="12.75" customHeight="1" x14ac:dyDescent="0.35">
      <c r="A640" s="1840"/>
      <c r="B640" s="464" t="s">
        <v>1483</v>
      </c>
      <c r="C640"/>
      <c r="D640"/>
      <c r="E640"/>
      <c r="F640"/>
      <c r="G640"/>
      <c r="H640"/>
      <c r="I640"/>
      <c r="J640"/>
      <c r="K640"/>
      <c r="L640"/>
      <c r="M640"/>
      <c r="N640"/>
      <c r="O640"/>
      <c r="P640"/>
      <c r="Q640"/>
      <c r="R640" s="1261"/>
      <c r="S640" s="1262"/>
      <c r="T640" s="1866"/>
      <c r="U640" s="1263"/>
      <c r="V640" s="1262"/>
      <c r="Y640" s="1835"/>
      <c r="Z640" s="1835"/>
    </row>
    <row r="641" spans="1:26" s="1833" customFormat="1" ht="12.75" customHeight="1" x14ac:dyDescent="0.35">
      <c r="A641" s="1840"/>
      <c r="B641" s="465" t="s">
        <v>337</v>
      </c>
      <c r="C641" s="91">
        <v>42522</v>
      </c>
      <c r="D641" s="91">
        <v>42552</v>
      </c>
      <c r="E641" s="91">
        <v>42583</v>
      </c>
      <c r="F641" s="91">
        <v>42614</v>
      </c>
      <c r="G641" s="91">
        <v>42644</v>
      </c>
      <c r="H641" s="91">
        <v>42675</v>
      </c>
      <c r="I641" s="91">
        <v>42705</v>
      </c>
      <c r="J641" s="91">
        <v>42736</v>
      </c>
      <c r="K641" s="91">
        <v>42767</v>
      </c>
      <c r="L641" s="91">
        <v>42795</v>
      </c>
      <c r="M641" s="91">
        <v>42826</v>
      </c>
      <c r="N641" s="91">
        <v>42856</v>
      </c>
      <c r="O641" s="91">
        <v>42887</v>
      </c>
      <c r="P641" s="91">
        <v>42917</v>
      </c>
      <c r="Q641" s="91">
        <v>42948</v>
      </c>
      <c r="R641" s="1261"/>
      <c r="S641" s="1262"/>
      <c r="T641" s="1866"/>
      <c r="U641" s="1263"/>
      <c r="V641" s="1262"/>
      <c r="Y641" s="1835"/>
      <c r="Z641" s="1835"/>
    </row>
    <row r="642" spans="1:26" s="1833" customFormat="1" ht="16.5" x14ac:dyDescent="0.35">
      <c r="A642" s="1840"/>
      <c r="B642"/>
      <c r="C642"/>
      <c r="D642"/>
      <c r="E642"/>
      <c r="F642"/>
      <c r="G642"/>
      <c r="H642"/>
      <c r="I642"/>
      <c r="J642"/>
      <c r="K642"/>
      <c r="L642"/>
      <c r="M642"/>
      <c r="N642"/>
      <c r="O642"/>
      <c r="P642"/>
      <c r="Q642"/>
      <c r="R642" s="1261"/>
      <c r="S642" s="1262"/>
      <c r="T642" s="1866"/>
      <c r="U642" s="1263"/>
      <c r="V642" s="1262"/>
      <c r="Y642" s="1835"/>
      <c r="Z642" s="1835"/>
    </row>
    <row r="643" spans="1:26" s="1833" customFormat="1" ht="16.5" x14ac:dyDescent="0.35">
      <c r="A643" s="1840"/>
      <c r="B643" s="95" t="s">
        <v>409</v>
      </c>
      <c r="C643" s="96">
        <v>74800</v>
      </c>
      <c r="D643" s="96">
        <v>69600</v>
      </c>
      <c r="E643" s="96">
        <v>69200</v>
      </c>
      <c r="F643" s="96">
        <v>71200</v>
      </c>
      <c r="G643" s="96">
        <v>69400</v>
      </c>
      <c r="H643" s="96">
        <v>79000</v>
      </c>
      <c r="I643" s="96">
        <v>68200</v>
      </c>
      <c r="J643" s="96">
        <v>94200</v>
      </c>
      <c r="K643" s="96">
        <v>73400</v>
      </c>
      <c r="L643" s="96">
        <v>81800</v>
      </c>
      <c r="M643" s="96">
        <v>75000</v>
      </c>
      <c r="N643" s="96">
        <v>72000</v>
      </c>
      <c r="O643" s="96">
        <v>39200</v>
      </c>
      <c r="P643" s="96">
        <v>102800</v>
      </c>
      <c r="Q643" s="1407">
        <v>0</v>
      </c>
      <c r="R643" s="1261"/>
      <c r="S643" s="1262"/>
      <c r="T643" s="1866"/>
      <c r="U643" s="1263"/>
      <c r="V643" s="1262"/>
      <c r="Y643" s="1835"/>
      <c r="Z643" s="1835"/>
    </row>
    <row r="644" spans="1:26" s="1833" customFormat="1" ht="16.5" x14ac:dyDescent="0.35">
      <c r="A644" s="1840"/>
      <c r="B644" s="95" t="s">
        <v>614</v>
      </c>
      <c r="C644" s="101">
        <v>32</v>
      </c>
      <c r="D644" s="101">
        <v>28</v>
      </c>
      <c r="E644" s="101">
        <v>22</v>
      </c>
      <c r="F644" s="101">
        <v>18</v>
      </c>
      <c r="G644" s="101">
        <v>19</v>
      </c>
      <c r="H644" s="101">
        <v>18</v>
      </c>
      <c r="I644" s="101">
        <v>18</v>
      </c>
      <c r="J644" s="101">
        <v>13</v>
      </c>
      <c r="K644" s="101">
        <v>19</v>
      </c>
      <c r="L644" s="101">
        <v>27</v>
      </c>
      <c r="M644" s="101">
        <v>18</v>
      </c>
      <c r="N644" s="101">
        <v>19</v>
      </c>
      <c r="O644" s="101">
        <v>18</v>
      </c>
      <c r="P644" s="101">
        <v>21</v>
      </c>
      <c r="Q644" s="1407">
        <v>0</v>
      </c>
      <c r="R644" s="1261"/>
      <c r="S644" s="1262"/>
      <c r="T644" s="1866"/>
      <c r="U644" s="1263"/>
      <c r="V644" s="1262"/>
      <c r="Y644" s="1835"/>
      <c r="Z644" s="1835"/>
    </row>
    <row r="645" spans="1:26" s="1833" customFormat="1" ht="16.5" x14ac:dyDescent="0.35">
      <c r="A645" s="1840"/>
      <c r="B645"/>
      <c r="C645"/>
      <c r="D645"/>
      <c r="E645"/>
      <c r="F645"/>
      <c r="G645"/>
      <c r="H645"/>
      <c r="I645"/>
      <c r="J645"/>
      <c r="K645"/>
      <c r="L645"/>
      <c r="M645"/>
      <c r="N645"/>
      <c r="O645"/>
      <c r="P645"/>
      <c r="Q645" s="1408">
        <v>0</v>
      </c>
      <c r="R645" s="1261"/>
      <c r="S645" s="1262"/>
      <c r="T645" s="1866"/>
      <c r="U645" s="1263"/>
      <c r="V645" s="1262"/>
      <c r="Y645" s="1835"/>
      <c r="Z645" s="1835"/>
    </row>
    <row r="646" spans="1:26" s="1833" customFormat="1" ht="16.5" x14ac:dyDescent="0.35">
      <c r="A646" s="1840"/>
      <c r="B646" s="95" t="s">
        <v>347</v>
      </c>
      <c r="C646" s="109">
        <v>6664.63</v>
      </c>
      <c r="D646" s="109">
        <v>6292.33</v>
      </c>
      <c r="E646" s="109">
        <v>6227.6</v>
      </c>
      <c r="F646" s="109">
        <v>6398.76</v>
      </c>
      <c r="G646" s="109">
        <v>6359.65</v>
      </c>
      <c r="H646" s="109">
        <v>6998.26</v>
      </c>
      <c r="I646" s="109">
        <v>6082.92</v>
      </c>
      <c r="J646" s="109">
        <v>7699.57</v>
      </c>
      <c r="K646" s="109">
        <v>6181.56</v>
      </c>
      <c r="L646" s="109">
        <v>6752.66</v>
      </c>
      <c r="M646" s="109">
        <v>6325.78</v>
      </c>
      <c r="N646" s="109">
        <v>6050.78</v>
      </c>
      <c r="O646" s="109">
        <v>3773.09</v>
      </c>
      <c r="P646" s="109">
        <v>8097.79</v>
      </c>
      <c r="Q646" s="1409">
        <v>0</v>
      </c>
      <c r="R646" s="1261"/>
      <c r="S646" s="1262"/>
      <c r="T646" s="1866"/>
      <c r="U646" s="1263"/>
      <c r="V646" s="1262"/>
      <c r="Y646" s="1835"/>
      <c r="Z646" s="1835"/>
    </row>
    <row r="647" spans="1:26" s="1833" customFormat="1" ht="16.5" x14ac:dyDescent="0.35">
      <c r="A647" s="1840"/>
      <c r="B647" s="112" t="s">
        <v>410</v>
      </c>
      <c r="C647" s="113">
        <v>513.21</v>
      </c>
      <c r="D647" s="113">
        <v>535.54999999999995</v>
      </c>
      <c r="E647" s="113">
        <v>489.76</v>
      </c>
      <c r="F647" s="113">
        <v>459.23</v>
      </c>
      <c r="G647" s="113">
        <v>540.86</v>
      </c>
      <c r="H647" s="113">
        <v>533.23</v>
      </c>
      <c r="I647" s="113">
        <v>533.23</v>
      </c>
      <c r="J647" s="113">
        <v>495.07</v>
      </c>
      <c r="K647" s="113">
        <v>540.86</v>
      </c>
      <c r="L647" s="113">
        <v>601.91999999999996</v>
      </c>
      <c r="M647" s="113">
        <v>533.23</v>
      </c>
      <c r="N647" s="113">
        <v>540.86</v>
      </c>
      <c r="O647" s="113">
        <v>533.23</v>
      </c>
      <c r="P647" s="113">
        <v>569.38</v>
      </c>
      <c r="Q647" s="1407">
        <v>0</v>
      </c>
      <c r="R647" s="1261"/>
      <c r="S647" s="1262"/>
      <c r="T647" s="1866"/>
      <c r="U647" s="1263"/>
      <c r="V647" s="1262"/>
      <c r="Y647" s="1835"/>
      <c r="Z647" s="1835"/>
    </row>
    <row r="648" spans="1:26" s="41" customFormat="1" ht="14.25" x14ac:dyDescent="0.2">
      <c r="A648" s="1"/>
      <c r="C648" s="262"/>
    </row>
    <row r="649" spans="1:26" s="128" customFormat="1" ht="12.75" customHeight="1" x14ac:dyDescent="0.25">
      <c r="A649" s="459">
        <v>38</v>
      </c>
      <c r="B649" s="127" t="s">
        <v>621</v>
      </c>
      <c r="C649" s="173"/>
      <c r="S649" s="129"/>
      <c r="T649" s="127" t="s">
        <v>621</v>
      </c>
      <c r="V649" s="129"/>
      <c r="Y649" s="166"/>
      <c r="Z649" s="166"/>
    </row>
    <row r="650" spans="1:26" s="128" customFormat="1" ht="12.75" customHeight="1" x14ac:dyDescent="0.25">
      <c r="A650" s="459"/>
      <c r="B650" s="2238" t="s">
        <v>352</v>
      </c>
      <c r="C650" s="173"/>
      <c r="S650" s="129"/>
      <c r="T650" s="127"/>
      <c r="V650" s="129"/>
      <c r="Y650" s="166"/>
      <c r="Z650" s="166"/>
    </row>
    <row r="651" spans="1:26" ht="12.75" customHeight="1" x14ac:dyDescent="0.25"/>
    <row r="652" spans="1:26" s="125" customFormat="1" ht="16.5" x14ac:dyDescent="0.35">
      <c r="A652" s="461">
        <v>39</v>
      </c>
      <c r="B652" s="127" t="s">
        <v>622</v>
      </c>
      <c r="C652" s="611"/>
      <c r="D652" s="179"/>
      <c r="E652" s="179"/>
      <c r="F652" s="179"/>
      <c r="G652" s="179"/>
      <c r="H652" s="179"/>
      <c r="I652" s="179"/>
      <c r="J652" s="179"/>
      <c r="K652" s="179"/>
      <c r="L652" s="179"/>
      <c r="M652" s="179"/>
      <c r="N652" s="179"/>
      <c r="O652" s="179"/>
      <c r="R652" s="149"/>
      <c r="S652" s="150"/>
      <c r="T652" s="127" t="s">
        <v>622</v>
      </c>
      <c r="U652" s="181"/>
      <c r="V652" s="150"/>
      <c r="Y652" s="157"/>
      <c r="Z652" s="157"/>
    </row>
    <row r="653" spans="1:26" s="125" customFormat="1" ht="16.5" x14ac:dyDescent="0.35">
      <c r="A653" s="461"/>
      <c r="B653" s="624" t="s">
        <v>751</v>
      </c>
      <c r="C653" s="625">
        <v>42560</v>
      </c>
      <c r="D653" s="625">
        <v>42591</v>
      </c>
      <c r="E653" s="625">
        <v>42622</v>
      </c>
      <c r="F653" s="625">
        <v>42652</v>
      </c>
      <c r="G653" s="625">
        <v>42683</v>
      </c>
      <c r="H653" s="625">
        <v>42713</v>
      </c>
      <c r="I653" s="625">
        <v>42744</v>
      </c>
      <c r="J653" s="625">
        <v>42775</v>
      </c>
      <c r="K653" s="625">
        <v>42803</v>
      </c>
      <c r="L653" s="625">
        <v>42834</v>
      </c>
      <c r="M653" s="625">
        <v>42864</v>
      </c>
      <c r="N653" s="625">
        <v>42895</v>
      </c>
      <c r="O653" s="626" t="s">
        <v>752</v>
      </c>
      <c r="R653" s="149"/>
      <c r="S653" s="150"/>
      <c r="T653" s="127"/>
      <c r="U653" s="181"/>
      <c r="V653" s="150"/>
      <c r="Y653" s="157"/>
      <c r="Z653" s="157"/>
    </row>
    <row r="654" spans="1:26" s="125" customFormat="1" ht="16.5" x14ac:dyDescent="0.35">
      <c r="A654" s="461"/>
      <c r="B654" s="345" t="s">
        <v>753</v>
      </c>
      <c r="C654" s="627"/>
      <c r="D654" s="627"/>
      <c r="E654" s="627"/>
      <c r="F654" s="627"/>
      <c r="G654" s="627"/>
      <c r="H654" s="627"/>
      <c r="I654" s="627"/>
      <c r="J654" s="627"/>
      <c r="K654" s="627"/>
      <c r="L654" s="627"/>
      <c r="M654" s="627"/>
      <c r="N654" s="627"/>
      <c r="O654" s="345"/>
      <c r="R654" s="149"/>
      <c r="S654" s="150"/>
      <c r="T654" s="127"/>
      <c r="U654" s="181"/>
      <c r="V654" s="150"/>
      <c r="Y654" s="157"/>
      <c r="Z654" s="157"/>
    </row>
    <row r="655" spans="1:26" s="125" customFormat="1" ht="16.5" x14ac:dyDescent="0.35">
      <c r="A655" s="461"/>
      <c r="B655" s="345" t="s">
        <v>754</v>
      </c>
      <c r="C655" s="627">
        <v>29710</v>
      </c>
      <c r="D655" s="627">
        <v>29875</v>
      </c>
      <c r="E655" s="627">
        <v>30054</v>
      </c>
      <c r="F655" s="627">
        <v>30185</v>
      </c>
      <c r="G655" s="627">
        <v>30343</v>
      </c>
      <c r="H655" s="627">
        <v>30453</v>
      </c>
      <c r="I655" s="627">
        <v>30606</v>
      </c>
      <c r="J655" s="627">
        <v>30715</v>
      </c>
      <c r="K655" s="627">
        <v>30869</v>
      </c>
      <c r="L655" s="627">
        <v>30996</v>
      </c>
      <c r="M655" s="627">
        <v>31130</v>
      </c>
      <c r="N655" s="627">
        <v>31295</v>
      </c>
      <c r="O655" s="628"/>
      <c r="R655" s="149"/>
      <c r="S655" s="150"/>
      <c r="T655" s="127"/>
      <c r="U655" s="181"/>
      <c r="V655" s="150"/>
      <c r="Y655" s="157"/>
      <c r="Z655" s="157"/>
    </row>
    <row r="656" spans="1:26" s="125" customFormat="1" ht="16.5" x14ac:dyDescent="0.35">
      <c r="A656" s="461"/>
      <c r="B656" s="345" t="s">
        <v>755</v>
      </c>
      <c r="C656" s="627">
        <v>29575</v>
      </c>
      <c r="D656" s="627">
        <v>29710</v>
      </c>
      <c r="E656" s="627">
        <v>29875</v>
      </c>
      <c r="F656" s="627">
        <v>30054</v>
      </c>
      <c r="G656" s="627">
        <v>30185</v>
      </c>
      <c r="H656" s="627">
        <v>30343</v>
      </c>
      <c r="I656" s="627">
        <v>30453</v>
      </c>
      <c r="J656" s="627">
        <v>30606</v>
      </c>
      <c r="K656" s="627">
        <v>30715</v>
      </c>
      <c r="L656" s="627">
        <v>30869</v>
      </c>
      <c r="M656" s="627">
        <v>30996</v>
      </c>
      <c r="N656" s="627">
        <v>31130</v>
      </c>
      <c r="O656" s="628"/>
      <c r="R656" s="149"/>
      <c r="S656" s="150"/>
      <c r="T656" s="127"/>
      <c r="U656" s="181"/>
      <c r="V656" s="150"/>
      <c r="Y656" s="157"/>
      <c r="Z656" s="157"/>
    </row>
    <row r="657" spans="1:26" s="125" customFormat="1" ht="16.5" x14ac:dyDescent="0.35">
      <c r="A657" s="461"/>
      <c r="B657" s="629" t="s">
        <v>756</v>
      </c>
      <c r="C657" s="627">
        <v>135</v>
      </c>
      <c r="D657" s="627">
        <v>165</v>
      </c>
      <c r="E657" s="627">
        <v>179</v>
      </c>
      <c r="F657" s="627">
        <v>131</v>
      </c>
      <c r="G657" s="627">
        <v>158</v>
      </c>
      <c r="H657" s="627">
        <v>110</v>
      </c>
      <c r="I657" s="627">
        <v>153</v>
      </c>
      <c r="J657" s="627">
        <v>109</v>
      </c>
      <c r="K657" s="627">
        <v>154</v>
      </c>
      <c r="L657" s="627">
        <v>127</v>
      </c>
      <c r="M657" s="627">
        <v>134</v>
      </c>
      <c r="N657" s="627">
        <v>165</v>
      </c>
      <c r="O657" s="628"/>
      <c r="R657" s="149"/>
      <c r="S657" s="150"/>
      <c r="T657" s="127"/>
      <c r="U657" s="181"/>
      <c r="V657" s="150"/>
      <c r="Y657" s="157"/>
      <c r="Z657" s="157"/>
    </row>
    <row r="658" spans="1:26" s="125" customFormat="1" ht="16.5" x14ac:dyDescent="0.35">
      <c r="A658" s="461"/>
      <c r="B658" s="630" t="s">
        <v>757</v>
      </c>
      <c r="C658" s="628">
        <v>135000</v>
      </c>
      <c r="D658" s="628">
        <v>165000</v>
      </c>
      <c r="E658" s="628">
        <v>179000</v>
      </c>
      <c r="F658" s="628">
        <v>131000</v>
      </c>
      <c r="G658" s="628">
        <v>158000</v>
      </c>
      <c r="H658" s="628">
        <v>110000</v>
      </c>
      <c r="I658" s="628">
        <v>153000</v>
      </c>
      <c r="J658" s="628">
        <v>109000</v>
      </c>
      <c r="K658" s="628">
        <v>154000</v>
      </c>
      <c r="L658" s="628">
        <v>127000</v>
      </c>
      <c r="M658" s="628">
        <v>134000</v>
      </c>
      <c r="N658" s="628">
        <v>165000</v>
      </c>
      <c r="O658" s="628">
        <f>SUM(C658:N658)</f>
        <v>1720000</v>
      </c>
      <c r="R658" s="149"/>
      <c r="S658" s="150"/>
      <c r="T658" s="127"/>
      <c r="U658" s="181"/>
      <c r="V658" s="150"/>
      <c r="Y658" s="157"/>
      <c r="Z658" s="157"/>
    </row>
    <row r="659" spans="1:26" s="125" customFormat="1" ht="16.5" x14ac:dyDescent="0.35">
      <c r="A659" s="461"/>
      <c r="B659" s="345" t="s">
        <v>758</v>
      </c>
      <c r="C659" s="631">
        <v>8.0600000000000005E-2</v>
      </c>
      <c r="D659" s="631">
        <v>8.1100000000000005E-2</v>
      </c>
      <c r="E659" s="631">
        <v>7.8299999999999995E-2</v>
      </c>
      <c r="F659" s="631">
        <v>7.6399999999999996E-2</v>
      </c>
      <c r="G659" s="631">
        <v>7.3099999999999998E-2</v>
      </c>
      <c r="H659" s="631">
        <v>6.9800000000000001E-2</v>
      </c>
      <c r="I659" s="631">
        <v>6.8400000000000002E-2</v>
      </c>
      <c r="J659" s="631">
        <v>6.7599999999999993E-2</v>
      </c>
      <c r="K659" s="631">
        <v>6.7699999999999996E-2</v>
      </c>
      <c r="L659" s="631">
        <v>6.8099999999999994E-2</v>
      </c>
      <c r="M659" s="631">
        <v>7.0900000000000005E-2</v>
      </c>
      <c r="N659" s="631">
        <v>7.22E-2</v>
      </c>
      <c r="O659" s="631">
        <f>ROUND(O660/O658,4)</f>
        <v>7.3200000000000001E-2</v>
      </c>
      <c r="R659" s="149"/>
      <c r="S659" s="150"/>
      <c r="T659" s="127"/>
      <c r="U659" s="181"/>
      <c r="V659" s="150"/>
      <c r="Y659" s="157"/>
      <c r="Z659" s="157"/>
    </row>
    <row r="660" spans="1:26" s="125" customFormat="1" ht="16.5" x14ac:dyDescent="0.35">
      <c r="A660" s="461"/>
      <c r="B660" s="632" t="s">
        <v>759</v>
      </c>
      <c r="C660" s="633">
        <v>10881</v>
      </c>
      <c r="D660" s="633">
        <v>13381.5</v>
      </c>
      <c r="E660" s="633">
        <v>14015.7</v>
      </c>
      <c r="F660" s="633">
        <v>10008.4</v>
      </c>
      <c r="G660" s="633">
        <v>11549.8</v>
      </c>
      <c r="H660" s="633">
        <v>7678</v>
      </c>
      <c r="I660" s="633">
        <v>10465.200000000001</v>
      </c>
      <c r="J660" s="633">
        <v>7368.4</v>
      </c>
      <c r="K660" s="633">
        <v>10425.799999999999</v>
      </c>
      <c r="L660" s="633">
        <v>8648.7000000000007</v>
      </c>
      <c r="M660" s="633">
        <v>9500.6</v>
      </c>
      <c r="N660" s="633">
        <v>11913</v>
      </c>
      <c r="O660" s="632">
        <f>SUM(C660:N660)</f>
        <v>125836.09999999999</v>
      </c>
      <c r="R660" s="149"/>
      <c r="S660" s="150"/>
      <c r="T660" s="127"/>
      <c r="U660" s="181"/>
      <c r="V660" s="150"/>
      <c r="Y660" s="157"/>
      <c r="Z660" s="157"/>
    </row>
    <row r="661" spans="1:26" s="125" customFormat="1" ht="16.5" x14ac:dyDescent="0.35">
      <c r="A661" s="461"/>
      <c r="B661" s="345"/>
      <c r="C661" s="627"/>
      <c r="D661" s="627"/>
      <c r="E661" s="627"/>
      <c r="F661" s="627"/>
      <c r="G661" s="627"/>
      <c r="H661" s="627"/>
      <c r="I661" s="627"/>
      <c r="J661" s="627"/>
      <c r="K661" s="627"/>
      <c r="L661" s="627"/>
      <c r="M661" s="627"/>
      <c r="N661" s="627"/>
      <c r="O661" s="345"/>
      <c r="R661" s="149"/>
      <c r="S661" s="150"/>
      <c r="T661" s="127"/>
      <c r="U661" s="181"/>
      <c r="V661" s="150"/>
      <c r="Y661" s="157"/>
      <c r="Z661" s="157"/>
    </row>
    <row r="662" spans="1:26" s="125" customFormat="1" ht="16.5" x14ac:dyDescent="0.35">
      <c r="A662" s="461"/>
      <c r="B662" s="345" t="s">
        <v>760</v>
      </c>
      <c r="C662" s="627"/>
      <c r="D662" s="627"/>
      <c r="E662" s="627"/>
      <c r="F662" s="627"/>
      <c r="G662" s="627"/>
      <c r="H662" s="627"/>
      <c r="I662" s="627"/>
      <c r="J662" s="627"/>
      <c r="K662" s="627"/>
      <c r="L662" s="627"/>
      <c r="M662" s="627"/>
      <c r="N662" s="627"/>
      <c r="O662" s="345"/>
      <c r="R662" s="149"/>
      <c r="S662" s="150"/>
      <c r="T662" s="127"/>
      <c r="U662" s="181"/>
      <c r="V662" s="150"/>
      <c r="Y662" s="157"/>
      <c r="Z662" s="157"/>
    </row>
    <row r="663" spans="1:26" s="125" customFormat="1" ht="16.5" x14ac:dyDescent="0.35">
      <c r="A663" s="461"/>
      <c r="B663" s="345" t="s">
        <v>754</v>
      </c>
      <c r="C663" s="627">
        <v>12209</v>
      </c>
      <c r="D663" s="627">
        <v>12225</v>
      </c>
      <c r="E663" s="627">
        <v>12246</v>
      </c>
      <c r="F663" s="627">
        <v>12265</v>
      </c>
      <c r="G663" s="627">
        <v>12285</v>
      </c>
      <c r="H663" s="627">
        <v>12297</v>
      </c>
      <c r="I663" s="627">
        <v>12321</v>
      </c>
      <c r="J663" s="627">
        <v>12340</v>
      </c>
      <c r="K663" s="627">
        <v>12364</v>
      </c>
      <c r="L663" s="627">
        <v>12384</v>
      </c>
      <c r="M663" s="627">
        <v>12399</v>
      </c>
      <c r="N663" s="627">
        <v>12417</v>
      </c>
      <c r="O663" s="627"/>
      <c r="R663" s="149"/>
      <c r="S663" s="150"/>
      <c r="T663" s="127"/>
      <c r="U663" s="181"/>
      <c r="V663" s="150"/>
      <c r="Y663" s="157"/>
      <c r="Z663" s="157"/>
    </row>
    <row r="664" spans="1:26" s="125" customFormat="1" ht="16.5" x14ac:dyDescent="0.35">
      <c r="A664" s="461"/>
      <c r="B664" s="345" t="s">
        <v>755</v>
      </c>
      <c r="C664" s="627">
        <v>12196</v>
      </c>
      <c r="D664" s="627">
        <v>12209</v>
      </c>
      <c r="E664" s="627">
        <v>12225</v>
      </c>
      <c r="F664" s="627">
        <v>12246</v>
      </c>
      <c r="G664" s="627">
        <v>12265</v>
      </c>
      <c r="H664" s="627">
        <v>12285</v>
      </c>
      <c r="I664" s="627">
        <v>12297</v>
      </c>
      <c r="J664" s="627">
        <v>12321</v>
      </c>
      <c r="K664" s="627">
        <v>12340</v>
      </c>
      <c r="L664" s="627">
        <v>12364</v>
      </c>
      <c r="M664" s="627">
        <v>12384</v>
      </c>
      <c r="N664" s="627">
        <v>12399</v>
      </c>
      <c r="O664" s="627"/>
      <c r="R664" s="149"/>
      <c r="S664" s="150"/>
      <c r="T664" s="127"/>
      <c r="U664" s="181"/>
      <c r="V664" s="150"/>
      <c r="Y664" s="157"/>
      <c r="Z664" s="157"/>
    </row>
    <row r="665" spans="1:26" s="125" customFormat="1" ht="16.5" x14ac:dyDescent="0.35">
      <c r="A665" s="461"/>
      <c r="B665" s="345" t="s">
        <v>761</v>
      </c>
      <c r="C665" s="628">
        <v>13</v>
      </c>
      <c r="D665" s="628">
        <v>16</v>
      </c>
      <c r="E665" s="628">
        <v>21</v>
      </c>
      <c r="F665" s="628">
        <v>19</v>
      </c>
      <c r="G665" s="628">
        <v>20</v>
      </c>
      <c r="H665" s="628">
        <v>12</v>
      </c>
      <c r="I665" s="628">
        <v>24</v>
      </c>
      <c r="J665" s="628">
        <v>19</v>
      </c>
      <c r="K665" s="628">
        <v>24</v>
      </c>
      <c r="L665" s="628">
        <v>20</v>
      </c>
      <c r="M665" s="628">
        <v>15</v>
      </c>
      <c r="N665" s="628">
        <v>18</v>
      </c>
      <c r="O665" s="628">
        <f>SUM(C665:N665)</f>
        <v>221</v>
      </c>
      <c r="R665" s="149"/>
      <c r="S665" s="150"/>
      <c r="T665" s="127"/>
      <c r="U665" s="181"/>
      <c r="V665" s="150"/>
      <c r="Y665" s="157"/>
      <c r="Z665" s="157"/>
    </row>
    <row r="666" spans="1:26" s="125" customFormat="1" ht="16.5" x14ac:dyDescent="0.35">
      <c r="A666" s="461"/>
      <c r="B666" s="345" t="s">
        <v>762</v>
      </c>
      <c r="C666" s="634">
        <v>5.13</v>
      </c>
      <c r="D666" s="634">
        <v>4.8899999999999997</v>
      </c>
      <c r="E666" s="634">
        <v>4.8899999999999997</v>
      </c>
      <c r="F666" s="634">
        <v>5.01</v>
      </c>
      <c r="G666" s="634">
        <v>5.05</v>
      </c>
      <c r="H666" s="634">
        <v>5.79</v>
      </c>
      <c r="I666" s="634">
        <v>6.46</v>
      </c>
      <c r="J666" s="634">
        <v>6.02</v>
      </c>
      <c r="K666" s="634">
        <v>5.17</v>
      </c>
      <c r="L666" s="634">
        <v>5.5</v>
      </c>
      <c r="M666" s="634">
        <v>5.52</v>
      </c>
      <c r="N666" s="634">
        <v>5.71</v>
      </c>
      <c r="O666" s="635">
        <f>ROUND(O667/O665,2)</f>
        <v>5.44</v>
      </c>
      <c r="R666" s="149"/>
      <c r="S666" s="150"/>
      <c r="T666" s="127"/>
      <c r="U666" s="181"/>
      <c r="V666" s="150"/>
      <c r="Y666" s="157"/>
      <c r="Z666" s="157"/>
    </row>
    <row r="667" spans="1:26" s="125" customFormat="1" ht="16.5" x14ac:dyDescent="0.35">
      <c r="A667" s="461"/>
      <c r="B667" s="632" t="s">
        <v>759</v>
      </c>
      <c r="C667" s="633">
        <v>66.69</v>
      </c>
      <c r="D667" s="633">
        <v>78.239999999999995</v>
      </c>
      <c r="E667" s="633">
        <v>102.69</v>
      </c>
      <c r="F667" s="633">
        <v>95.19</v>
      </c>
      <c r="G667" s="633">
        <v>101</v>
      </c>
      <c r="H667" s="633">
        <v>69.48</v>
      </c>
      <c r="I667" s="633">
        <v>155.04</v>
      </c>
      <c r="J667" s="633">
        <v>114.38</v>
      </c>
      <c r="K667" s="633">
        <v>124.08</v>
      </c>
      <c r="L667" s="633">
        <v>110</v>
      </c>
      <c r="M667" s="633">
        <v>82.8</v>
      </c>
      <c r="N667" s="633">
        <v>102.78</v>
      </c>
      <c r="O667" s="632">
        <f>SUM(C667:N667)</f>
        <v>1202.3699999999999</v>
      </c>
      <c r="R667" s="149"/>
      <c r="S667" s="150"/>
      <c r="T667" s="127"/>
      <c r="U667" s="181"/>
      <c r="V667" s="150"/>
      <c r="Y667" s="157"/>
      <c r="Z667" s="157"/>
    </row>
    <row r="668" spans="1:26" s="125" customFormat="1" ht="16.5" x14ac:dyDescent="0.35">
      <c r="A668" s="461"/>
      <c r="B668" s="345"/>
      <c r="C668" s="627"/>
      <c r="D668" s="627"/>
      <c r="E668" s="627"/>
      <c r="F668" s="627"/>
      <c r="G668" s="627"/>
      <c r="H668" s="627"/>
      <c r="I668" s="627"/>
      <c r="J668" s="627"/>
      <c r="K668" s="627"/>
      <c r="L668" s="627"/>
      <c r="M668" s="627"/>
      <c r="N668" s="627"/>
      <c r="O668" s="345"/>
      <c r="R668" s="149"/>
      <c r="S668" s="150"/>
      <c r="T668" s="127"/>
      <c r="U668" s="181"/>
      <c r="V668" s="150"/>
      <c r="Y668" s="157"/>
      <c r="Z668" s="157"/>
    </row>
    <row r="669" spans="1:26" s="125" customFormat="1" ht="16.5" x14ac:dyDescent="0.35">
      <c r="A669" s="461"/>
      <c r="B669" s="345" t="s">
        <v>763</v>
      </c>
      <c r="C669" s="627"/>
      <c r="D669" s="627"/>
      <c r="E669" s="627"/>
      <c r="F669" s="627"/>
      <c r="G669" s="627"/>
      <c r="H669" s="627"/>
      <c r="I669" s="627"/>
      <c r="J669" s="627"/>
      <c r="K669" s="627"/>
      <c r="L669" s="627"/>
      <c r="M669" s="627"/>
      <c r="N669" s="627"/>
      <c r="O669" s="345"/>
      <c r="R669" s="149"/>
      <c r="S669" s="150"/>
      <c r="T669" s="127"/>
      <c r="U669" s="181"/>
      <c r="V669" s="150"/>
      <c r="Y669" s="157"/>
      <c r="Z669" s="157"/>
    </row>
    <row r="670" spans="1:26" s="125" customFormat="1" ht="16.5" x14ac:dyDescent="0.35">
      <c r="A670" s="461"/>
      <c r="B670" s="345" t="s">
        <v>754</v>
      </c>
      <c r="C670" s="627">
        <v>35689000</v>
      </c>
      <c r="D670" s="627">
        <v>35689000</v>
      </c>
      <c r="E670" s="627">
        <v>35689000</v>
      </c>
      <c r="F670" s="627">
        <v>35899600</v>
      </c>
      <c r="G670" s="627">
        <v>35993000</v>
      </c>
      <c r="H670" s="627">
        <v>36027100</v>
      </c>
      <c r="I670" s="627">
        <v>36158500</v>
      </c>
      <c r="J670" s="627">
        <v>36274500</v>
      </c>
      <c r="K670" s="627">
        <v>36422810</v>
      </c>
      <c r="L670" s="627">
        <v>36508100</v>
      </c>
      <c r="M670" s="627">
        <v>36580000</v>
      </c>
      <c r="N670" s="627">
        <v>36664900</v>
      </c>
      <c r="O670" s="628"/>
      <c r="R670" s="149"/>
      <c r="S670" s="150"/>
      <c r="T670" s="127"/>
      <c r="U670" s="181"/>
      <c r="V670" s="150"/>
      <c r="Y670" s="157"/>
      <c r="Z670" s="157"/>
    </row>
    <row r="671" spans="1:26" s="125" customFormat="1" ht="16.5" x14ac:dyDescent="0.35">
      <c r="A671" s="461"/>
      <c r="B671" s="345" t="s">
        <v>755</v>
      </c>
      <c r="C671" s="627">
        <v>35689000</v>
      </c>
      <c r="D671" s="627">
        <v>35689000</v>
      </c>
      <c r="E671" s="627">
        <v>35689000</v>
      </c>
      <c r="F671" s="627">
        <v>35689000</v>
      </c>
      <c r="G671" s="627">
        <v>35899600</v>
      </c>
      <c r="H671" s="627">
        <v>35993000</v>
      </c>
      <c r="I671" s="627">
        <v>36027100</v>
      </c>
      <c r="J671" s="627">
        <v>36158500</v>
      </c>
      <c r="K671" s="627">
        <v>36274500</v>
      </c>
      <c r="L671" s="627">
        <v>36422810</v>
      </c>
      <c r="M671" s="627">
        <v>36508100</v>
      </c>
      <c r="N671" s="627">
        <v>36580000</v>
      </c>
      <c r="O671" s="628"/>
      <c r="R671" s="149"/>
      <c r="S671" s="150"/>
      <c r="T671" s="127"/>
      <c r="U671" s="181"/>
      <c r="V671" s="150"/>
      <c r="Y671" s="157"/>
      <c r="Z671" s="157"/>
    </row>
    <row r="672" spans="1:26" s="125" customFormat="1" ht="16.5" x14ac:dyDescent="0.35">
      <c r="A672" s="461"/>
      <c r="B672" s="630" t="s">
        <v>764</v>
      </c>
      <c r="C672" s="628">
        <v>0</v>
      </c>
      <c r="D672" s="628">
        <v>0</v>
      </c>
      <c r="E672" s="628">
        <v>0</v>
      </c>
      <c r="F672" s="628">
        <v>210600</v>
      </c>
      <c r="G672" s="628">
        <v>93400</v>
      </c>
      <c r="H672" s="628">
        <v>34100</v>
      </c>
      <c r="I672" s="628">
        <v>131400</v>
      </c>
      <c r="J672" s="628">
        <v>116000</v>
      </c>
      <c r="K672" s="628">
        <v>148310</v>
      </c>
      <c r="L672" s="628">
        <v>85290</v>
      </c>
      <c r="M672" s="628">
        <v>71900</v>
      </c>
      <c r="N672" s="628">
        <v>84900</v>
      </c>
      <c r="O672" s="628">
        <v>975900</v>
      </c>
      <c r="R672" s="149"/>
      <c r="S672" s="150"/>
      <c r="T672" s="127"/>
      <c r="U672" s="181"/>
      <c r="V672" s="150"/>
      <c r="Y672" s="157"/>
      <c r="Z672" s="157"/>
    </row>
    <row r="673" spans="1:26" s="125" customFormat="1" ht="16.5" x14ac:dyDescent="0.35">
      <c r="A673" s="461"/>
      <c r="B673" s="345" t="s">
        <v>765</v>
      </c>
      <c r="C673" s="636">
        <v>4.0000000000000001E-3</v>
      </c>
      <c r="D673" s="636">
        <v>4.0000000000000001E-3</v>
      </c>
      <c r="E673" s="636">
        <v>4.0000000000000001E-3</v>
      </c>
      <c r="F673" s="636">
        <v>4.0000000000000001E-3</v>
      </c>
      <c r="G673" s="636">
        <v>4.0000000000000001E-3</v>
      </c>
      <c r="H673" s="636">
        <v>4.1999999999999997E-3</v>
      </c>
      <c r="I673" s="636">
        <v>4.1999999999999997E-3</v>
      </c>
      <c r="J673" s="636">
        <v>4.1999999999999997E-3</v>
      </c>
      <c r="K673" s="636">
        <v>4.1999999999999997E-3</v>
      </c>
      <c r="L673" s="636">
        <v>4.1000000000000003E-3</v>
      </c>
      <c r="M673" s="636">
        <v>4.1000000000000003E-3</v>
      </c>
      <c r="N673" s="636">
        <v>4.0000000000000001E-3</v>
      </c>
      <c r="O673" s="631">
        <f>ROUND(O674/O672,4)</f>
        <v>4.1000000000000003E-3</v>
      </c>
      <c r="R673" s="149"/>
      <c r="S673" s="150"/>
      <c r="T673" s="127"/>
      <c r="U673" s="181"/>
      <c r="V673" s="150"/>
      <c r="Y673" s="157"/>
      <c r="Z673" s="157"/>
    </row>
    <row r="674" spans="1:26" s="125" customFormat="1" ht="16.5" x14ac:dyDescent="0.35">
      <c r="A674" s="461"/>
      <c r="B674" s="632" t="s">
        <v>759</v>
      </c>
      <c r="C674" s="635">
        <v>0</v>
      </c>
      <c r="D674" s="635">
        <v>0</v>
      </c>
      <c r="E674" s="635">
        <v>0</v>
      </c>
      <c r="F674" s="635">
        <v>842.4</v>
      </c>
      <c r="G674" s="635">
        <v>373.6</v>
      </c>
      <c r="H674" s="635">
        <v>143.22</v>
      </c>
      <c r="I674" s="635">
        <v>551.88</v>
      </c>
      <c r="J674" s="635">
        <v>487.2</v>
      </c>
      <c r="K674" s="635">
        <v>622.9</v>
      </c>
      <c r="L674" s="635">
        <v>349.69</v>
      </c>
      <c r="M674" s="635">
        <v>294.79000000000002</v>
      </c>
      <c r="N674" s="635">
        <v>339.6</v>
      </c>
      <c r="O674" s="632">
        <f>SUM(C674:N674)</f>
        <v>4005.2799999999997</v>
      </c>
      <c r="R674" s="149"/>
      <c r="S674" s="150"/>
      <c r="T674" s="127"/>
      <c r="U674" s="181"/>
      <c r="V674" s="150"/>
      <c r="Y674" s="157"/>
      <c r="Z674" s="157"/>
    </row>
    <row r="675" spans="1:26" s="125" customFormat="1" ht="16.5" x14ac:dyDescent="0.35">
      <c r="A675" s="461"/>
      <c r="B675" s="345"/>
      <c r="C675" s="627"/>
      <c r="D675" s="627"/>
      <c r="E675" s="627"/>
      <c r="F675" s="627"/>
      <c r="G675" s="627"/>
      <c r="H675" s="627"/>
      <c r="I675" s="627"/>
      <c r="J675" s="627"/>
      <c r="K675" s="627"/>
      <c r="L675" s="627"/>
      <c r="M675" s="627"/>
      <c r="N675" s="627"/>
      <c r="O675" s="345"/>
      <c r="R675" s="149"/>
      <c r="S675" s="150"/>
      <c r="T675" s="127"/>
      <c r="U675" s="181"/>
      <c r="V675" s="150"/>
      <c r="Y675" s="157"/>
      <c r="Z675" s="157"/>
    </row>
    <row r="676" spans="1:26" s="125" customFormat="1" ht="16.5" x14ac:dyDescent="0.35">
      <c r="A676" s="461"/>
      <c r="B676" s="345" t="s">
        <v>766</v>
      </c>
      <c r="C676" s="627"/>
      <c r="D676" s="627"/>
      <c r="E676" s="627"/>
      <c r="F676" s="627"/>
      <c r="G676" s="627"/>
      <c r="H676" s="627"/>
      <c r="I676" s="627"/>
      <c r="J676" s="627"/>
      <c r="K676" s="627"/>
      <c r="L676" s="627"/>
      <c r="M676" s="627"/>
      <c r="N676" s="627"/>
      <c r="O676" s="345"/>
      <c r="R676" s="149"/>
      <c r="S676" s="150"/>
      <c r="T676" s="127"/>
      <c r="U676" s="181"/>
      <c r="V676" s="150"/>
      <c r="Y676" s="157"/>
      <c r="Z676" s="157"/>
    </row>
    <row r="677" spans="1:26" s="125" customFormat="1" ht="16.5" x14ac:dyDescent="0.35">
      <c r="A677" s="461"/>
      <c r="B677" s="345" t="s">
        <v>765</v>
      </c>
      <c r="C677" s="636">
        <v>5.5999999999999999E-3</v>
      </c>
      <c r="D677" s="636">
        <v>4.7000000000000002E-3</v>
      </c>
      <c r="E677" s="636">
        <v>4.7000000000000002E-3</v>
      </c>
      <c r="F677" s="636">
        <v>4.1000000000000003E-3</v>
      </c>
      <c r="G677" s="636">
        <v>4.1000000000000003E-3</v>
      </c>
      <c r="H677" s="636">
        <v>4.4000000000000003E-3</v>
      </c>
      <c r="I677" s="636">
        <v>4.4000000000000003E-3</v>
      </c>
      <c r="J677" s="636">
        <v>4.0000000000000001E-3</v>
      </c>
      <c r="K677" s="636">
        <v>4.0000000000000001E-3</v>
      </c>
      <c r="L677" s="636">
        <v>3.8999999999999998E-3</v>
      </c>
      <c r="M677" s="636">
        <v>3.8999999999999998E-3</v>
      </c>
      <c r="N677" s="636">
        <v>3.0999999999999999E-3</v>
      </c>
      <c r="O677" s="631">
        <f>ROUND(O678/O672,4)</f>
        <v>4.0000000000000001E-3</v>
      </c>
      <c r="R677" s="149"/>
      <c r="S677" s="150"/>
      <c r="T677" s="127"/>
      <c r="U677" s="181"/>
      <c r="V677" s="150"/>
      <c r="Y677" s="157"/>
      <c r="Z677" s="157"/>
    </row>
    <row r="678" spans="1:26" s="125" customFormat="1" ht="16.5" x14ac:dyDescent="0.35">
      <c r="A678" s="461"/>
      <c r="B678" s="632" t="s">
        <v>759</v>
      </c>
      <c r="C678" s="632">
        <v>0</v>
      </c>
      <c r="D678" s="632">
        <v>0</v>
      </c>
      <c r="E678" s="632">
        <v>0</v>
      </c>
      <c r="F678" s="632">
        <v>863.46</v>
      </c>
      <c r="G678" s="632">
        <v>382.94</v>
      </c>
      <c r="H678" s="632">
        <v>150.04</v>
      </c>
      <c r="I678" s="632">
        <v>578.16</v>
      </c>
      <c r="J678" s="632">
        <v>464</v>
      </c>
      <c r="K678" s="632">
        <v>593.24</v>
      </c>
      <c r="L678" s="632">
        <v>332.63</v>
      </c>
      <c r="M678" s="632">
        <v>280.41000000000003</v>
      </c>
      <c r="N678" s="632">
        <v>263.19</v>
      </c>
      <c r="O678" s="632">
        <f>SUM(C678:N678)</f>
        <v>3908.07</v>
      </c>
      <c r="R678" s="149"/>
      <c r="S678" s="150"/>
      <c r="T678" s="127"/>
      <c r="U678" s="181"/>
      <c r="V678" s="150"/>
      <c r="Y678" s="157"/>
      <c r="Z678" s="157"/>
    </row>
    <row r="679" spans="1:26" s="125" customFormat="1" ht="16.5" x14ac:dyDescent="0.35">
      <c r="A679" s="461"/>
      <c r="B679" s="345"/>
      <c r="C679" s="632"/>
      <c r="D679" s="632"/>
      <c r="E679" s="632"/>
      <c r="F679" s="632"/>
      <c r="G679" s="632"/>
      <c r="H679" s="632"/>
      <c r="I679" s="632"/>
      <c r="J679" s="632"/>
      <c r="K679" s="632"/>
      <c r="L679" s="632"/>
      <c r="M679" s="632"/>
      <c r="N679" s="632"/>
      <c r="O679" s="632"/>
      <c r="R679" s="149"/>
      <c r="S679" s="150"/>
      <c r="T679" s="127"/>
      <c r="U679" s="181"/>
      <c r="V679" s="150"/>
      <c r="Y679" s="157"/>
      <c r="Z679" s="157"/>
    </row>
    <row r="680" spans="1:26" s="125" customFormat="1" ht="16.5" x14ac:dyDescent="0.35">
      <c r="A680" s="461"/>
      <c r="B680" s="629" t="s">
        <v>767</v>
      </c>
      <c r="C680" s="632"/>
      <c r="D680" s="632"/>
      <c r="E680" s="632"/>
      <c r="F680" s="632"/>
      <c r="G680" s="632"/>
      <c r="H680" s="632"/>
      <c r="I680" s="632"/>
      <c r="J680" s="632"/>
      <c r="K680" s="632"/>
      <c r="L680" s="632"/>
      <c r="M680" s="632"/>
      <c r="N680" s="632"/>
      <c r="O680" s="632"/>
      <c r="R680" s="149"/>
      <c r="S680" s="150"/>
      <c r="T680" s="127"/>
      <c r="U680" s="181"/>
      <c r="V680" s="150"/>
      <c r="Y680" s="157"/>
      <c r="Z680" s="157"/>
    </row>
    <row r="681" spans="1:26" s="125" customFormat="1" ht="16.5" x14ac:dyDescent="0.35">
      <c r="A681" s="461"/>
      <c r="B681" s="345" t="s">
        <v>768</v>
      </c>
      <c r="C681" s="637">
        <v>0</v>
      </c>
      <c r="D681" s="637">
        <v>81.099999999999994</v>
      </c>
      <c r="E681" s="637">
        <v>0</v>
      </c>
      <c r="F681" s="637">
        <v>0</v>
      </c>
      <c r="G681" s="637">
        <v>0</v>
      </c>
      <c r="H681" s="637">
        <v>0</v>
      </c>
      <c r="I681" s="637">
        <v>0</v>
      </c>
      <c r="J681" s="637">
        <v>0</v>
      </c>
      <c r="K681" s="637">
        <v>0</v>
      </c>
      <c r="L681" s="637">
        <v>0</v>
      </c>
      <c r="M681" s="2148">
        <v>0</v>
      </c>
      <c r="N681" s="637">
        <v>0</v>
      </c>
      <c r="O681" s="632">
        <f>SUM(C681:N681)</f>
        <v>81.099999999999994</v>
      </c>
      <c r="R681" s="149"/>
      <c r="S681" s="150"/>
      <c r="T681" s="127"/>
      <c r="U681" s="181"/>
      <c r="V681" s="150"/>
      <c r="Y681" s="157"/>
      <c r="Z681" s="157"/>
    </row>
    <row r="682" spans="1:26" s="125" customFormat="1" ht="16.5" x14ac:dyDescent="0.35">
      <c r="A682" s="461"/>
      <c r="B682" s="345" t="s">
        <v>759</v>
      </c>
      <c r="C682" s="635">
        <v>0</v>
      </c>
      <c r="D682" s="635">
        <v>141.05000000000001</v>
      </c>
      <c r="E682" s="635">
        <v>0</v>
      </c>
      <c r="F682" s="635">
        <v>0</v>
      </c>
      <c r="G682" s="635">
        <v>0</v>
      </c>
      <c r="H682" s="635">
        <v>0</v>
      </c>
      <c r="I682" s="635">
        <v>0</v>
      </c>
      <c r="J682" s="635">
        <v>0</v>
      </c>
      <c r="K682" s="635">
        <v>0</v>
      </c>
      <c r="L682" s="635">
        <v>0</v>
      </c>
      <c r="M682" s="1403">
        <v>0</v>
      </c>
      <c r="N682" s="635">
        <v>0</v>
      </c>
      <c r="O682" s="632">
        <f>SUM(C682:N682)</f>
        <v>141.05000000000001</v>
      </c>
      <c r="R682" s="149"/>
      <c r="S682" s="150"/>
      <c r="T682" s="127"/>
      <c r="U682" s="181"/>
      <c r="V682" s="150"/>
      <c r="Y682" s="157"/>
      <c r="Z682" s="157"/>
    </row>
    <row r="683" spans="1:26" s="125" customFormat="1" ht="16.5" x14ac:dyDescent="0.35">
      <c r="A683" s="461"/>
      <c r="B683" s="345"/>
      <c r="C683" s="640" t="s">
        <v>769</v>
      </c>
      <c r="D683" s="640" t="s">
        <v>769</v>
      </c>
      <c r="E683" s="640" t="s">
        <v>769</v>
      </c>
      <c r="F683" s="640" t="s">
        <v>769</v>
      </c>
      <c r="G683" s="640" t="s">
        <v>769</v>
      </c>
      <c r="H683" s="640" t="s">
        <v>769</v>
      </c>
      <c r="I683" s="640" t="s">
        <v>769</v>
      </c>
      <c r="J683" s="640" t="s">
        <v>769</v>
      </c>
      <c r="K683" s="640" t="s">
        <v>769</v>
      </c>
      <c r="L683" s="640" t="s">
        <v>769</v>
      </c>
      <c r="M683" s="640" t="s">
        <v>769</v>
      </c>
      <c r="N683" s="640" t="s">
        <v>769</v>
      </c>
      <c r="O683" s="641" t="s">
        <v>769</v>
      </c>
      <c r="R683" s="149"/>
      <c r="S683" s="150"/>
      <c r="T683" s="127"/>
      <c r="U683" s="181"/>
      <c r="V683" s="150"/>
      <c r="Y683" s="157"/>
      <c r="Z683" s="157"/>
    </row>
    <row r="684" spans="1:26" s="125" customFormat="1" ht="16.5" x14ac:dyDescent="0.35">
      <c r="A684" s="461"/>
      <c r="B684" s="345"/>
      <c r="C684" s="627"/>
      <c r="D684" s="627"/>
      <c r="E684" s="627"/>
      <c r="F684" s="627"/>
      <c r="G684" s="627"/>
      <c r="H684" s="627"/>
      <c r="I684" s="627"/>
      <c r="J684" s="627"/>
      <c r="K684" s="627"/>
      <c r="L684" s="627"/>
      <c r="M684" s="627"/>
      <c r="N684" s="627"/>
      <c r="O684" s="345"/>
      <c r="R684" s="149"/>
      <c r="S684" s="150"/>
      <c r="T684" s="127"/>
      <c r="U684" s="181"/>
      <c r="V684" s="150"/>
      <c r="Y684" s="157"/>
      <c r="Z684" s="157"/>
    </row>
    <row r="685" spans="1:26" s="125" customFormat="1" ht="16.5" x14ac:dyDescent="0.35">
      <c r="A685" s="461"/>
      <c r="B685" s="646" t="s">
        <v>1565</v>
      </c>
      <c r="C685" s="345"/>
      <c r="D685" s="345"/>
      <c r="E685" s="345"/>
      <c r="F685" s="345"/>
      <c r="G685" s="345"/>
      <c r="H685" s="345"/>
      <c r="I685" s="345"/>
      <c r="J685" s="345"/>
      <c r="K685" s="345"/>
      <c r="L685" s="345"/>
      <c r="M685" s="345"/>
      <c r="N685" s="345"/>
      <c r="O685" s="345"/>
      <c r="R685" s="149"/>
      <c r="S685" s="150"/>
      <c r="T685" s="127"/>
      <c r="U685" s="181"/>
      <c r="V685" s="150"/>
      <c r="Y685" s="157"/>
      <c r="Z685" s="157"/>
    </row>
    <row r="686" spans="1:26" s="125" customFormat="1" ht="16.5" x14ac:dyDescent="0.35">
      <c r="A686" s="461"/>
      <c r="B686" s="345" t="s">
        <v>753</v>
      </c>
      <c r="C686" s="673">
        <v>2697.79</v>
      </c>
      <c r="D686" s="673">
        <v>2862.87</v>
      </c>
      <c r="E686" s="673">
        <v>2424.0500000000002</v>
      </c>
      <c r="F686" s="673">
        <v>2325.7800000000002</v>
      </c>
      <c r="G686" s="673">
        <v>1932.4</v>
      </c>
      <c r="H686" s="673">
        <v>1186.8800000000001</v>
      </c>
      <c r="I686" s="673">
        <v>1599.19</v>
      </c>
      <c r="J686" s="673">
        <v>1289.8900000000001</v>
      </c>
      <c r="K686" s="673">
        <v>1487.97</v>
      </c>
      <c r="L686" s="673">
        <v>2257.85</v>
      </c>
      <c r="M686" s="673">
        <v>2888.87</v>
      </c>
      <c r="N686" s="673">
        <v>4542.97</v>
      </c>
      <c r="O686" s="345"/>
      <c r="R686" s="149"/>
      <c r="S686" s="150"/>
      <c r="T686" s="127"/>
      <c r="U686" s="181"/>
      <c r="V686" s="150"/>
      <c r="Y686" s="157"/>
      <c r="Z686" s="157"/>
    </row>
    <row r="687" spans="1:26" s="125" customFormat="1" ht="16.5" x14ac:dyDescent="0.35">
      <c r="A687" s="461"/>
      <c r="B687" s="345" t="s">
        <v>760</v>
      </c>
      <c r="C687" s="673">
        <v>1648.58</v>
      </c>
      <c r="D687" s="673">
        <v>1662.99</v>
      </c>
      <c r="E687" s="673">
        <v>2003.73</v>
      </c>
      <c r="F687" s="673">
        <v>2072.44</v>
      </c>
      <c r="G687" s="673">
        <v>2941.12</v>
      </c>
      <c r="H687" s="673">
        <v>2943.06</v>
      </c>
      <c r="I687" s="673">
        <v>3842.92</v>
      </c>
      <c r="J687" s="673">
        <v>1934.59</v>
      </c>
      <c r="K687" s="673">
        <v>2650.76</v>
      </c>
      <c r="L687" s="673">
        <v>1738.88</v>
      </c>
      <c r="M687" s="673">
        <v>2078.17</v>
      </c>
      <c r="N687" s="673">
        <v>2348.64</v>
      </c>
      <c r="O687" s="345"/>
      <c r="R687" s="149"/>
      <c r="S687" s="150"/>
      <c r="T687" s="127"/>
      <c r="U687" s="181"/>
      <c r="V687" s="150"/>
      <c r="Y687" s="157"/>
      <c r="Z687" s="157"/>
    </row>
    <row r="688" spans="1:26" s="125" customFormat="1" ht="16.5" x14ac:dyDescent="0.35">
      <c r="A688" s="461"/>
      <c r="B688" s="345" t="s">
        <v>763</v>
      </c>
      <c r="C688" s="673">
        <v>918.22</v>
      </c>
      <c r="D688" s="673">
        <v>1076.0899999999999</v>
      </c>
      <c r="E688" s="673">
        <v>901.99</v>
      </c>
      <c r="F688" s="673">
        <v>442.83</v>
      </c>
      <c r="G688" s="673">
        <v>326.98</v>
      </c>
      <c r="H688" s="673">
        <v>110.29</v>
      </c>
      <c r="I688" s="673">
        <v>194.27</v>
      </c>
      <c r="J688" s="673">
        <v>178.76</v>
      </c>
      <c r="K688" s="673">
        <v>180.4</v>
      </c>
      <c r="L688" s="673">
        <v>467.33</v>
      </c>
      <c r="M688" s="673">
        <v>611.66999999999996</v>
      </c>
      <c r="N688" s="673">
        <v>1107.5</v>
      </c>
      <c r="O688" s="345"/>
      <c r="R688" s="149"/>
      <c r="S688" s="150"/>
      <c r="T688" s="127"/>
      <c r="U688" s="181"/>
      <c r="V688" s="150"/>
      <c r="Y688" s="157"/>
      <c r="Z688" s="157"/>
    </row>
    <row r="689" spans="1:26" s="125" customFormat="1" ht="16.5" x14ac:dyDescent="0.35">
      <c r="A689" s="461"/>
      <c r="B689" s="345"/>
      <c r="C689" s="627"/>
      <c r="D689" s="627"/>
      <c r="E689" s="627"/>
      <c r="F689" s="627"/>
      <c r="G689" s="627"/>
      <c r="H689" s="627"/>
      <c r="I689" s="627"/>
      <c r="J689" s="627"/>
      <c r="K689" s="627"/>
      <c r="L689" s="627"/>
      <c r="M689" s="627"/>
      <c r="N689" s="627"/>
      <c r="O689" s="345"/>
      <c r="R689" s="149"/>
      <c r="S689" s="150"/>
      <c r="T689" s="127"/>
      <c r="U689" s="181"/>
      <c r="V689" s="150"/>
      <c r="Y689" s="157"/>
      <c r="Z689" s="157"/>
    </row>
    <row r="690" spans="1:26" s="125" customFormat="1" ht="16.5" x14ac:dyDescent="0.35">
      <c r="A690" s="461"/>
      <c r="B690" s="345"/>
      <c r="C690" s="627"/>
      <c r="D690" s="627"/>
      <c r="E690" s="627"/>
      <c r="F690" s="627"/>
      <c r="G690" s="627"/>
      <c r="H690" s="627"/>
      <c r="I690" s="627"/>
      <c r="J690" s="627"/>
      <c r="K690" s="627"/>
      <c r="L690" s="627"/>
      <c r="M690" s="627"/>
      <c r="N690" s="627"/>
      <c r="O690" s="345"/>
      <c r="R690" s="149"/>
      <c r="S690" s="150"/>
      <c r="T690" s="127"/>
      <c r="U690" s="181"/>
      <c r="V690" s="150"/>
      <c r="Y690" s="157"/>
      <c r="Z690" s="157"/>
    </row>
    <row r="691" spans="1:26" s="125" customFormat="1" ht="16.5" x14ac:dyDescent="0.35">
      <c r="A691" s="461"/>
      <c r="B691" s="632" t="s">
        <v>775</v>
      </c>
      <c r="C691" s="644">
        <v>10947.69</v>
      </c>
      <c r="D691" s="644">
        <f t="shared" ref="D691:M691" si="30">SUM(D688,D687,D686,D682,D678,D674,D667,D660)</f>
        <v>19202.739999999998</v>
      </c>
      <c r="E691" s="644">
        <f t="shared" si="30"/>
        <v>19448.16</v>
      </c>
      <c r="F691" s="644">
        <f t="shared" si="30"/>
        <v>16650.5</v>
      </c>
      <c r="G691" s="644">
        <f t="shared" si="30"/>
        <v>17607.84</v>
      </c>
      <c r="H691" s="644">
        <f t="shared" si="30"/>
        <v>12280.97</v>
      </c>
      <c r="I691" s="644">
        <f t="shared" si="30"/>
        <v>17386.66</v>
      </c>
      <c r="J691" s="644">
        <f t="shared" si="30"/>
        <v>11837.22</v>
      </c>
      <c r="K691" s="644">
        <f t="shared" si="30"/>
        <v>16085.149999999998</v>
      </c>
      <c r="L691" s="644">
        <f t="shared" si="30"/>
        <v>13905.08</v>
      </c>
      <c r="M691" s="644">
        <f t="shared" si="30"/>
        <v>15737.310000000001</v>
      </c>
      <c r="N691" s="644">
        <f>SUM(N688,N687,N686,N682,N678,N674,N667,N660)</f>
        <v>20617.68</v>
      </c>
      <c r="O691" s="632">
        <f>SUM(C691:N691)</f>
        <v>191706.99999999997</v>
      </c>
      <c r="R691" s="149"/>
      <c r="S691" s="150"/>
      <c r="T691" s="127"/>
      <c r="U691" s="181"/>
      <c r="V691" s="150"/>
      <c r="Y691" s="157"/>
      <c r="Z691" s="157"/>
    </row>
    <row r="692" spans="1:26" s="125" customFormat="1" ht="16.5" x14ac:dyDescent="0.35">
      <c r="A692" s="461"/>
      <c r="B692" s="345"/>
      <c r="C692" s="640" t="s">
        <v>776</v>
      </c>
      <c r="D692" s="640" t="s">
        <v>776</v>
      </c>
      <c r="E692" s="640" t="s">
        <v>776</v>
      </c>
      <c r="F692" s="640" t="s">
        <v>776</v>
      </c>
      <c r="G692" s="640" t="s">
        <v>776</v>
      </c>
      <c r="H692" s="640" t="s">
        <v>776</v>
      </c>
      <c r="I692" s="640" t="s">
        <v>776</v>
      </c>
      <c r="J692" s="640" t="s">
        <v>776</v>
      </c>
      <c r="K692" s="640" t="s">
        <v>776</v>
      </c>
      <c r="L692" s="640" t="s">
        <v>776</v>
      </c>
      <c r="M692" s="640" t="s">
        <v>776</v>
      </c>
      <c r="N692" s="640" t="s">
        <v>776</v>
      </c>
      <c r="O692" s="641" t="s">
        <v>776</v>
      </c>
      <c r="R692" s="149"/>
      <c r="S692" s="150"/>
      <c r="T692" s="127"/>
      <c r="U692" s="181"/>
      <c r="V692" s="150"/>
      <c r="Y692" s="157"/>
      <c r="Z692" s="157"/>
    </row>
    <row r="693" spans="1:26" s="125" customFormat="1" ht="16.5" x14ac:dyDescent="0.35">
      <c r="A693" s="461"/>
      <c r="B693" s="345"/>
      <c r="C693" s="627"/>
      <c r="D693" s="627"/>
      <c r="E693" s="627"/>
      <c r="F693" s="627"/>
      <c r="G693" s="627"/>
      <c r="H693" s="627"/>
      <c r="I693" s="627"/>
      <c r="J693" s="627"/>
      <c r="K693" s="627"/>
      <c r="L693" s="627"/>
      <c r="M693" s="627"/>
      <c r="N693" s="627"/>
      <c r="O693" s="345"/>
      <c r="R693" s="149"/>
      <c r="S693" s="150"/>
      <c r="T693" s="127"/>
      <c r="U693" s="181"/>
      <c r="V693" s="150"/>
      <c r="Y693" s="157"/>
      <c r="Z693" s="157"/>
    </row>
    <row r="694" spans="1:26" s="125" customFormat="1" ht="16.5" x14ac:dyDescent="0.35">
      <c r="A694" s="461"/>
      <c r="B694" s="345" t="s">
        <v>777</v>
      </c>
      <c r="C694" s="627"/>
      <c r="D694" s="627"/>
      <c r="E694" s="627"/>
      <c r="F694" s="627"/>
      <c r="G694" s="627"/>
      <c r="H694" s="627"/>
      <c r="I694" s="627"/>
      <c r="J694" s="627"/>
      <c r="K694" s="627"/>
      <c r="L694" s="627"/>
      <c r="M694" s="627"/>
      <c r="N694" s="627"/>
      <c r="O694" s="345"/>
      <c r="R694" s="149"/>
      <c r="S694" s="150"/>
      <c r="T694" s="127"/>
      <c r="U694" s="181"/>
      <c r="V694" s="150"/>
      <c r="Y694" s="157"/>
      <c r="Z694" s="157"/>
    </row>
    <row r="695" spans="1:26" s="125" customFormat="1" ht="16.5" x14ac:dyDescent="0.35">
      <c r="A695" s="461"/>
      <c r="B695" s="345" t="s">
        <v>778</v>
      </c>
      <c r="C695" s="635">
        <v>39.46</v>
      </c>
      <c r="D695" s="635">
        <v>59.19</v>
      </c>
      <c r="E695" s="635">
        <v>39.46</v>
      </c>
      <c r="F695" s="635">
        <v>39.46</v>
      </c>
      <c r="G695" s="635">
        <v>39.46</v>
      </c>
      <c r="H695" s="635">
        <v>39.46</v>
      </c>
      <c r="I695" s="635">
        <v>59.19</v>
      </c>
      <c r="J695" s="635">
        <v>39.46</v>
      </c>
      <c r="K695" s="635">
        <v>39.46</v>
      </c>
      <c r="L695" s="635">
        <v>39.46</v>
      </c>
      <c r="M695" s="635">
        <v>39.46</v>
      </c>
      <c r="N695" s="635">
        <v>39.46</v>
      </c>
      <c r="O695" s="644">
        <f>SUM(C695:N695)</f>
        <v>512.9799999999999</v>
      </c>
      <c r="R695" s="149"/>
      <c r="S695" s="150"/>
      <c r="T695" s="127"/>
      <c r="U695" s="181"/>
      <c r="V695" s="150"/>
      <c r="Y695" s="157"/>
      <c r="Z695" s="157"/>
    </row>
    <row r="696" spans="1:26" s="125" customFormat="1" ht="16.5" x14ac:dyDescent="0.35">
      <c r="A696" s="461"/>
      <c r="B696" s="345" t="s">
        <v>779</v>
      </c>
      <c r="C696" s="635">
        <v>0</v>
      </c>
      <c r="D696" s="635">
        <v>0</v>
      </c>
      <c r="E696" s="635">
        <v>0</v>
      </c>
      <c r="F696" s="635">
        <v>19.73</v>
      </c>
      <c r="G696" s="635">
        <v>0</v>
      </c>
      <c r="H696" s="635">
        <v>0</v>
      </c>
      <c r="I696" s="635">
        <v>0</v>
      </c>
      <c r="J696" s="635">
        <v>0</v>
      </c>
      <c r="K696" s="635">
        <v>0</v>
      </c>
      <c r="L696" s="635">
        <v>0</v>
      </c>
      <c r="M696" s="635">
        <v>0</v>
      </c>
      <c r="N696" s="635">
        <v>0</v>
      </c>
      <c r="O696" s="644">
        <f>SUM(C696:N696)</f>
        <v>19.73</v>
      </c>
      <c r="R696" s="149"/>
      <c r="S696" s="150"/>
      <c r="T696" s="127"/>
      <c r="U696" s="181"/>
      <c r="V696" s="150"/>
      <c r="Y696" s="157"/>
      <c r="Z696" s="157"/>
    </row>
    <row r="697" spans="1:26" s="125" customFormat="1" ht="16.5" x14ac:dyDescent="0.35">
      <c r="A697" s="461"/>
      <c r="B697" s="345"/>
      <c r="C697" s="645" t="s">
        <v>769</v>
      </c>
      <c r="D697" s="645" t="s">
        <v>769</v>
      </c>
      <c r="E697" s="645" t="s">
        <v>769</v>
      </c>
      <c r="F697" s="645" t="s">
        <v>769</v>
      </c>
      <c r="G697" s="645" t="s">
        <v>769</v>
      </c>
      <c r="H697" s="645" t="s">
        <v>769</v>
      </c>
      <c r="I697" s="645" t="s">
        <v>769</v>
      </c>
      <c r="J697" s="645" t="s">
        <v>769</v>
      </c>
      <c r="K697" s="645" t="s">
        <v>769</v>
      </c>
      <c r="L697" s="645" t="s">
        <v>769</v>
      </c>
      <c r="M697" s="645" t="s">
        <v>769</v>
      </c>
      <c r="N697" s="645" t="s">
        <v>769</v>
      </c>
      <c r="O697" s="641" t="s">
        <v>769</v>
      </c>
      <c r="R697" s="149"/>
      <c r="S697" s="150"/>
      <c r="T697" s="127"/>
      <c r="U697" s="181"/>
      <c r="V697" s="150"/>
      <c r="Y697" s="157"/>
      <c r="Z697" s="157"/>
    </row>
    <row r="698" spans="1:26" s="125" customFormat="1" ht="16.5" x14ac:dyDescent="0.35">
      <c r="A698" s="461"/>
      <c r="B698" s="629" t="s">
        <v>780</v>
      </c>
      <c r="C698" s="635">
        <v>39.46</v>
      </c>
      <c r="D698" s="635">
        <v>59.19</v>
      </c>
      <c r="E698" s="635">
        <v>39.46</v>
      </c>
      <c r="F698" s="635">
        <v>59.19</v>
      </c>
      <c r="G698" s="635">
        <v>39.46</v>
      </c>
      <c r="H698" s="635">
        <v>39.46</v>
      </c>
      <c r="I698" s="635">
        <v>59.19</v>
      </c>
      <c r="J698" s="635">
        <v>39.46</v>
      </c>
      <c r="K698" s="635">
        <v>39.46</v>
      </c>
      <c r="L698" s="635">
        <v>39.46</v>
      </c>
      <c r="M698" s="635">
        <v>39.46</v>
      </c>
      <c r="N698" s="635">
        <v>39.46</v>
      </c>
      <c r="O698" s="635">
        <f>O695+O696</f>
        <v>532.70999999999992</v>
      </c>
      <c r="R698" s="149"/>
      <c r="S698" s="150"/>
      <c r="T698" s="127"/>
      <c r="U698" s="181"/>
      <c r="V698" s="150"/>
      <c r="Y698" s="157"/>
      <c r="Z698" s="157"/>
    </row>
    <row r="699" spans="1:26" s="125" customFormat="1" ht="16.5" x14ac:dyDescent="0.35">
      <c r="A699" s="461"/>
      <c r="B699" s="345"/>
      <c r="C699" s="640" t="s">
        <v>776</v>
      </c>
      <c r="D699" s="640" t="s">
        <v>776</v>
      </c>
      <c r="E699" s="640" t="s">
        <v>776</v>
      </c>
      <c r="F699" s="640" t="s">
        <v>776</v>
      </c>
      <c r="G699" s="640" t="s">
        <v>776</v>
      </c>
      <c r="H699" s="640" t="s">
        <v>776</v>
      </c>
      <c r="I699" s="640" t="s">
        <v>776</v>
      </c>
      <c r="J699" s="640" t="s">
        <v>776</v>
      </c>
      <c r="K699" s="640" t="s">
        <v>776</v>
      </c>
      <c r="L699" s="640" t="s">
        <v>776</v>
      </c>
      <c r="M699" s="640" t="s">
        <v>776</v>
      </c>
      <c r="N699" s="640" t="s">
        <v>776</v>
      </c>
      <c r="O699" s="641" t="s">
        <v>776</v>
      </c>
      <c r="R699" s="149"/>
      <c r="S699" s="150"/>
      <c r="T699" s="127"/>
      <c r="U699" s="181"/>
      <c r="V699" s="150"/>
      <c r="Y699" s="157"/>
      <c r="Z699" s="157"/>
    </row>
    <row r="700" spans="1:26" s="125" customFormat="1" ht="16.5" x14ac:dyDescent="0.35">
      <c r="A700" s="461"/>
      <c r="B700" s="345" t="s">
        <v>781</v>
      </c>
      <c r="C700" s="627"/>
      <c r="D700" s="627"/>
      <c r="E700" s="627"/>
      <c r="F700" s="627"/>
      <c r="G700" s="627"/>
      <c r="H700" s="627"/>
      <c r="I700" s="627"/>
      <c r="J700" s="627"/>
      <c r="K700" s="627"/>
      <c r="L700" s="627"/>
      <c r="M700" s="627"/>
      <c r="N700" s="627"/>
      <c r="O700" s="345"/>
      <c r="R700" s="149"/>
      <c r="S700" s="150"/>
      <c r="T700" s="127"/>
      <c r="U700" s="181"/>
      <c r="V700" s="150"/>
      <c r="Y700" s="157"/>
      <c r="Z700" s="157"/>
    </row>
    <row r="701" spans="1:26" s="125" customFormat="1" ht="16.5" x14ac:dyDescent="0.35">
      <c r="A701" s="461"/>
      <c r="B701" s="345" t="s">
        <v>782</v>
      </c>
      <c r="C701" s="627"/>
      <c r="D701" s="627"/>
      <c r="E701" s="627"/>
      <c r="F701" s="627"/>
      <c r="G701" s="627"/>
      <c r="H701" s="627"/>
      <c r="I701" s="627"/>
      <c r="J701" s="627"/>
      <c r="K701" s="627"/>
      <c r="L701" s="627"/>
      <c r="M701" s="627"/>
      <c r="N701" s="627"/>
      <c r="O701" s="345"/>
      <c r="R701" s="149"/>
      <c r="S701" s="150"/>
      <c r="T701" s="127"/>
      <c r="U701" s="181"/>
      <c r="V701" s="150"/>
      <c r="Y701" s="157"/>
      <c r="Z701" s="157"/>
    </row>
    <row r="702" spans="1:26" s="125" customFormat="1" ht="16.5" x14ac:dyDescent="0.35">
      <c r="A702" s="461"/>
      <c r="B702" s="345"/>
      <c r="C702" s="627"/>
      <c r="D702" s="627"/>
      <c r="E702" s="627"/>
      <c r="F702" s="627"/>
      <c r="G702" s="627"/>
      <c r="H702" s="627"/>
      <c r="I702" s="627"/>
      <c r="J702" s="627"/>
      <c r="K702" s="627"/>
      <c r="L702" s="627"/>
      <c r="M702" s="627"/>
      <c r="N702" s="627"/>
      <c r="O702" s="345"/>
      <c r="R702" s="149"/>
      <c r="S702" s="150"/>
      <c r="T702" s="127"/>
      <c r="U702" s="181"/>
      <c r="V702" s="150"/>
      <c r="Y702" s="157"/>
      <c r="Z702" s="157"/>
    </row>
    <row r="703" spans="1:26" s="125" customFormat="1" ht="16.5" x14ac:dyDescent="0.35">
      <c r="A703" s="461"/>
      <c r="B703" s="345" t="s">
        <v>1566</v>
      </c>
      <c r="C703" s="627"/>
      <c r="D703" s="627"/>
      <c r="E703" s="627"/>
      <c r="F703" s="627"/>
      <c r="G703" s="627"/>
      <c r="H703" s="627"/>
      <c r="I703" s="627"/>
      <c r="J703" s="627"/>
      <c r="K703" s="627"/>
      <c r="L703" s="627"/>
      <c r="M703" s="627"/>
      <c r="N703" s="627"/>
      <c r="O703" s="345"/>
      <c r="R703" s="149"/>
      <c r="S703" s="150"/>
      <c r="T703" s="127"/>
      <c r="U703" s="181"/>
      <c r="V703" s="150"/>
      <c r="Y703" s="157"/>
      <c r="Z703" s="157"/>
    </row>
    <row r="704" spans="1:26" s="125" customFormat="1" ht="16.5" x14ac:dyDescent="0.35">
      <c r="A704" s="461"/>
      <c r="B704" s="2149" t="s">
        <v>1567</v>
      </c>
      <c r="C704" s="345"/>
      <c r="D704" s="345"/>
      <c r="E704" s="627"/>
      <c r="F704" s="627"/>
      <c r="G704" s="627"/>
      <c r="H704" s="627"/>
      <c r="I704" s="627"/>
      <c r="J704" s="627"/>
      <c r="K704" s="627"/>
      <c r="L704" s="627"/>
      <c r="M704" s="627"/>
      <c r="N704" s="627"/>
      <c r="O704" s="345"/>
      <c r="R704" s="149"/>
      <c r="S704" s="150"/>
      <c r="T704" s="127"/>
      <c r="U704" s="181"/>
      <c r="V704" s="150"/>
      <c r="Y704" s="157"/>
      <c r="Z704" s="157"/>
    </row>
    <row r="705" spans="1:26" s="125" customFormat="1" ht="16.5" x14ac:dyDescent="0.35">
      <c r="A705" s="461"/>
      <c r="B705" s="345" t="s">
        <v>1568</v>
      </c>
      <c r="C705" s="627"/>
      <c r="D705" s="627"/>
      <c r="E705" s="627"/>
      <c r="F705" s="627"/>
      <c r="G705" s="627"/>
      <c r="H705" s="627"/>
      <c r="I705" s="627"/>
      <c r="J705" s="627"/>
      <c r="K705" s="627"/>
      <c r="L705" s="627"/>
      <c r="M705" s="627"/>
      <c r="N705" s="627"/>
      <c r="O705" s="345"/>
      <c r="R705" s="149"/>
      <c r="S705" s="150"/>
      <c r="T705" s="127"/>
      <c r="U705" s="181"/>
      <c r="V705" s="150"/>
      <c r="Y705" s="157"/>
      <c r="Z705" s="157"/>
    </row>
    <row r="706" spans="1:26" s="128" customFormat="1" ht="12.75" customHeight="1" x14ac:dyDescent="0.25">
      <c r="A706" s="459"/>
      <c r="B706" s="345"/>
      <c r="C706" s="627"/>
      <c r="D706" s="627"/>
      <c r="E706" s="627"/>
      <c r="F706" s="627"/>
      <c r="G706" s="627"/>
      <c r="H706" s="627"/>
      <c r="I706" s="627"/>
      <c r="J706" s="627"/>
      <c r="K706" s="627"/>
      <c r="L706" s="627"/>
      <c r="M706" s="627"/>
      <c r="N706" s="627"/>
      <c r="O706" s="345"/>
      <c r="S706" s="129"/>
      <c r="T706" s="127"/>
      <c r="V706" s="129"/>
      <c r="Y706" s="166"/>
      <c r="Z706" s="166"/>
    </row>
    <row r="707" spans="1:26" s="128" customFormat="1" ht="12.75" customHeight="1" x14ac:dyDescent="0.25">
      <c r="A707" s="459"/>
      <c r="B707" s="345" t="s">
        <v>1553</v>
      </c>
      <c r="C707" s="345" t="s">
        <v>1554</v>
      </c>
      <c r="D707" s="627"/>
      <c r="E707" s="345" t="s">
        <v>1555</v>
      </c>
      <c r="F707" s="627"/>
      <c r="G707" s="345" t="s">
        <v>1556</v>
      </c>
      <c r="H707" s="627"/>
      <c r="I707" s="345" t="s">
        <v>1557</v>
      </c>
      <c r="J707" s="627"/>
      <c r="K707" s="345" t="s">
        <v>1558</v>
      </c>
      <c r="L707" s="627"/>
      <c r="M707" s="627"/>
      <c r="N707" s="627"/>
      <c r="O707" s="345"/>
      <c r="S707" s="129"/>
      <c r="T707" s="127"/>
      <c r="V707" s="129"/>
      <c r="Y707" s="166"/>
      <c r="Z707" s="166"/>
    </row>
    <row r="708" spans="1:26" s="128" customFormat="1" ht="12.75" customHeight="1" x14ac:dyDescent="0.25">
      <c r="A708" s="459"/>
      <c r="B708" s="345" t="s">
        <v>1559</v>
      </c>
      <c r="C708" s="345" t="s">
        <v>1560</v>
      </c>
      <c r="D708" s="627"/>
      <c r="E708" s="345" t="s">
        <v>1561</v>
      </c>
      <c r="F708" s="627"/>
      <c r="G708" s="345" t="s">
        <v>1562</v>
      </c>
      <c r="H708" s="627"/>
      <c r="I708" s="345" t="s">
        <v>1563</v>
      </c>
      <c r="J708" s="627"/>
      <c r="K708" s="345" t="s">
        <v>1564</v>
      </c>
      <c r="L708" s="627"/>
      <c r="M708" s="627"/>
      <c r="N708" s="627"/>
      <c r="O708" s="345"/>
      <c r="S708" s="129"/>
      <c r="T708" s="127"/>
      <c r="V708" s="129"/>
      <c r="Y708" s="166"/>
      <c r="Z708" s="166"/>
    </row>
    <row r="710" spans="1:26" s="128" customFormat="1" x14ac:dyDescent="0.25">
      <c r="A710" s="459">
        <v>40</v>
      </c>
      <c r="B710" s="127" t="s">
        <v>623</v>
      </c>
      <c r="C710" s="602"/>
      <c r="T710" s="127" t="s">
        <v>623</v>
      </c>
      <c r="U710" s="129"/>
      <c r="X710" s="129"/>
      <c r="Y710" s="166"/>
      <c r="Z710" s="166"/>
    </row>
    <row r="711" spans="1:26" s="1833" customFormat="1" ht="14.25" x14ac:dyDescent="0.2">
      <c r="A711" s="1"/>
      <c r="B711" s="666" t="s">
        <v>1536</v>
      </c>
      <c r="C711"/>
      <c r="D711"/>
      <c r="E711"/>
      <c r="F711"/>
      <c r="G711"/>
      <c r="H711"/>
      <c r="I711"/>
      <c r="J711"/>
      <c r="K711"/>
      <c r="L711"/>
      <c r="M711"/>
      <c r="N711"/>
      <c r="O711" s="41"/>
      <c r="P711" s="41"/>
      <c r="T711" s="1866"/>
      <c r="U711" s="1834"/>
      <c r="X711" s="1834"/>
      <c r="Y711" s="1835"/>
      <c r="Z711" s="1835"/>
    </row>
    <row r="712" spans="1:26" s="1833" customFormat="1" ht="14.25" x14ac:dyDescent="0.2">
      <c r="A712" s="1840"/>
      <c r="B712" s="666" t="s">
        <v>1537</v>
      </c>
      <c r="C712"/>
      <c r="D712"/>
      <c r="E712"/>
      <c r="F712"/>
      <c r="G712"/>
      <c r="H712"/>
      <c r="I712"/>
      <c r="J712"/>
      <c r="K712"/>
      <c r="L712"/>
      <c r="M712"/>
      <c r="N712"/>
      <c r="O712" s="1870"/>
      <c r="P712" s="1870"/>
      <c r="T712" s="1866"/>
      <c r="U712" s="1834"/>
      <c r="X712" s="1834"/>
      <c r="Y712" s="1835"/>
      <c r="Z712" s="1835"/>
    </row>
    <row r="713" spans="1:26" s="1833" customFormat="1" ht="14.25" x14ac:dyDescent="0.2">
      <c r="A713" s="1840"/>
      <c r="B713" s="130" t="s">
        <v>337</v>
      </c>
      <c r="C713" s="131">
        <v>42552</v>
      </c>
      <c r="D713" s="131">
        <v>42583</v>
      </c>
      <c r="E713" s="131">
        <v>42614</v>
      </c>
      <c r="F713" s="131">
        <v>42644</v>
      </c>
      <c r="G713" s="131">
        <v>42675</v>
      </c>
      <c r="H713" s="131">
        <v>42705</v>
      </c>
      <c r="I713" s="131">
        <v>42736</v>
      </c>
      <c r="J713" s="131">
        <v>42767</v>
      </c>
      <c r="K713" s="131">
        <v>42795</v>
      </c>
      <c r="L713" s="131">
        <v>42826</v>
      </c>
      <c r="M713" s="131">
        <v>42856</v>
      </c>
      <c r="N713" s="131">
        <v>42887</v>
      </c>
      <c r="O713" s="1592"/>
      <c r="P713" s="174"/>
      <c r="T713" s="1866"/>
      <c r="U713" s="1834"/>
      <c r="X713" s="1834"/>
      <c r="Y713" s="1835"/>
      <c r="Z713" s="1835"/>
    </row>
    <row r="714" spans="1:26" s="1833" customFormat="1" ht="25.5" x14ac:dyDescent="0.2">
      <c r="A714" s="1840"/>
      <c r="B714" s="1271" t="s">
        <v>1362</v>
      </c>
      <c r="C714" s="2099">
        <v>70789</v>
      </c>
      <c r="D714" s="2100">
        <v>90642</v>
      </c>
      <c r="E714" s="2099">
        <v>103653</v>
      </c>
      <c r="F714" s="2099">
        <v>106555</v>
      </c>
      <c r="G714" s="2099">
        <v>107163</v>
      </c>
      <c r="H714" s="2099">
        <v>90691</v>
      </c>
      <c r="I714" s="2099">
        <v>126671</v>
      </c>
      <c r="J714" s="2099">
        <v>75986</v>
      </c>
      <c r="K714" s="2099">
        <v>102972</v>
      </c>
      <c r="L714" s="2099">
        <v>100858</v>
      </c>
      <c r="M714" s="2099">
        <v>66790</v>
      </c>
      <c r="N714" s="2099">
        <v>61469</v>
      </c>
      <c r="O714" s="1888"/>
      <c r="P714" s="1161"/>
      <c r="T714" s="1866"/>
      <c r="U714" s="1834"/>
      <c r="X714" s="1834"/>
      <c r="Y714" s="1835"/>
      <c r="Z714" s="1835"/>
    </row>
    <row r="715" spans="1:26" s="1833" customFormat="1" ht="12.75" customHeight="1" x14ac:dyDescent="0.2">
      <c r="A715" s="1840"/>
      <c r="B715" s="1276" t="s">
        <v>1224</v>
      </c>
      <c r="C715" s="2101">
        <v>0</v>
      </c>
      <c r="D715" s="2101">
        <v>0</v>
      </c>
      <c r="E715" s="2101">
        <v>0</v>
      </c>
      <c r="F715" s="2101">
        <v>0</v>
      </c>
      <c r="G715" s="2101">
        <v>0</v>
      </c>
      <c r="H715" s="2101">
        <v>9691.6796044097391</v>
      </c>
      <c r="I715" s="2101">
        <v>9112.5576134864768</v>
      </c>
      <c r="J715" s="2101">
        <v>7083.3684499780165</v>
      </c>
      <c r="K715" s="2101">
        <v>7814.0575244632255</v>
      </c>
      <c r="L715" s="2101">
        <v>5964.9739080117288</v>
      </c>
      <c r="M715" s="2101">
        <v>0</v>
      </c>
      <c r="N715" s="2101">
        <v>0</v>
      </c>
      <c r="O715" s="1161"/>
      <c r="P715" s="1161"/>
      <c r="T715" s="1866"/>
      <c r="U715" s="1834"/>
      <c r="X715" s="1834"/>
      <c r="Y715" s="1835"/>
      <c r="Z715" s="1835"/>
    </row>
    <row r="716" spans="1:26" s="1833" customFormat="1" ht="12.75" customHeight="1" x14ac:dyDescent="0.2">
      <c r="A716" s="1840"/>
      <c r="B716" s="1280" t="s">
        <v>1225</v>
      </c>
      <c r="C716" s="2102">
        <v>133783.61850085694</v>
      </c>
      <c r="D716" s="2103">
        <v>147811.33776306125</v>
      </c>
      <c r="E716" s="2103">
        <v>119652.93653417901</v>
      </c>
      <c r="F716" s="2103">
        <v>67415.109937156783</v>
      </c>
      <c r="G716" s="2103">
        <v>57316.947773671141</v>
      </c>
      <c r="H716" s="2103">
        <v>53033.163236134271</v>
      </c>
      <c r="I716" s="2103">
        <v>64641.817309284241</v>
      </c>
      <c r="J716" s="2103">
        <v>43003.345080390354</v>
      </c>
      <c r="K716" s="2103">
        <v>88241.494544649002</v>
      </c>
      <c r="L716" s="2103">
        <v>143721.86462008418</v>
      </c>
      <c r="M716" s="2103">
        <v>93238.200888432882</v>
      </c>
      <c r="N716" s="2103">
        <v>77154.577733213635</v>
      </c>
      <c r="O716" s="1161"/>
      <c r="P716" s="1161"/>
      <c r="T716" s="1866"/>
      <c r="U716" s="1834"/>
      <c r="X716" s="1834"/>
      <c r="Y716" s="1835"/>
      <c r="Z716" s="1835"/>
    </row>
    <row r="717" spans="1:26" s="1833" customFormat="1" ht="12.75" customHeight="1" x14ac:dyDescent="0.2">
      <c r="A717" s="1840"/>
      <c r="B717" s="2104" t="s">
        <v>1226</v>
      </c>
      <c r="C717" s="2105">
        <v>1344</v>
      </c>
      <c r="D717" s="2105">
        <v>2163</v>
      </c>
      <c r="E717" s="2105">
        <v>2692</v>
      </c>
      <c r="F717" s="2105">
        <v>2679</v>
      </c>
      <c r="G717" s="2105">
        <v>3195</v>
      </c>
      <c r="H717" s="2105">
        <v>1314</v>
      </c>
      <c r="I717" s="2105">
        <v>874</v>
      </c>
      <c r="J717" s="2105">
        <v>827</v>
      </c>
      <c r="K717" s="2105">
        <v>783</v>
      </c>
      <c r="L717" s="2105">
        <v>2276</v>
      </c>
      <c r="M717" s="2105">
        <v>1834</v>
      </c>
      <c r="N717" s="2105">
        <v>1135</v>
      </c>
      <c r="O717" s="1161"/>
      <c r="P717" s="1161"/>
      <c r="T717" s="1866"/>
      <c r="U717" s="1834"/>
      <c r="X717" s="1834"/>
      <c r="Y717" s="1835"/>
      <c r="Z717" s="1835"/>
    </row>
    <row r="718" spans="1:26" s="1833" customFormat="1" ht="12.75" customHeight="1" x14ac:dyDescent="0.2">
      <c r="A718" s="1840"/>
      <c r="B718" s="1289" t="s">
        <v>864</v>
      </c>
      <c r="C718" s="2187">
        <v>19.02</v>
      </c>
      <c r="D718" s="2187">
        <v>328.73</v>
      </c>
      <c r="E718" s="2187">
        <v>328.73</v>
      </c>
      <c r="F718" s="2187">
        <v>364.26</v>
      </c>
      <c r="G718" s="2187">
        <v>19.39</v>
      </c>
      <c r="H718" s="2187">
        <v>689.84</v>
      </c>
      <c r="I718" s="2187">
        <v>353.88</v>
      </c>
      <c r="J718" s="2187">
        <v>411.87</v>
      </c>
      <c r="K718" s="2187">
        <v>284.27</v>
      </c>
      <c r="L718" s="2187">
        <v>193.1</v>
      </c>
      <c r="M718" s="2187">
        <v>207.25</v>
      </c>
      <c r="N718" s="2187">
        <v>180.96</v>
      </c>
      <c r="O718" s="1592"/>
      <c r="P718" s="1161"/>
      <c r="T718" s="1866"/>
      <c r="U718" s="1834"/>
      <c r="X718" s="1834"/>
      <c r="Y718" s="1835"/>
      <c r="Z718" s="1835"/>
    </row>
    <row r="719" spans="1:26" s="1833" customFormat="1" ht="51" x14ac:dyDescent="0.2">
      <c r="A719" s="1840"/>
      <c r="B719" s="1271" t="s">
        <v>1363</v>
      </c>
      <c r="C719" s="2106">
        <v>5037.6169740866717</v>
      </c>
      <c r="D719" s="2106">
        <v>6450.4326627747832</v>
      </c>
      <c r="E719" s="2106">
        <v>7376.3453674300499</v>
      </c>
      <c r="F719" s="2106">
        <v>7582.8628271879152</v>
      </c>
      <c r="G719" s="2106">
        <v>7626.1304410861858</v>
      </c>
      <c r="H719" s="2106">
        <v>6453.9196908685581</v>
      </c>
      <c r="I719" s="2106">
        <v>9014.3946054405751</v>
      </c>
      <c r="J719" s="2106">
        <v>5407.4554435427799</v>
      </c>
      <c r="K719" s="2106">
        <v>7327.8827933104403</v>
      </c>
      <c r="L719" s="2106">
        <v>7177.442438407571</v>
      </c>
      <c r="M719" s="2106">
        <v>4753.0327833314332</v>
      </c>
      <c r="N719" s="2106">
        <v>4374.3699978829145</v>
      </c>
      <c r="O719" s="1873"/>
      <c r="P719" s="1887"/>
      <c r="T719" s="1866"/>
      <c r="U719" s="1834"/>
      <c r="X719" s="1834"/>
      <c r="Y719" s="1835"/>
      <c r="Z719" s="1835"/>
    </row>
    <row r="720" spans="1:26" s="1833" customFormat="1" ht="38.25" x14ac:dyDescent="0.2">
      <c r="A720" s="1840"/>
      <c r="B720" s="1293" t="s">
        <v>1228</v>
      </c>
      <c r="C720" s="2101">
        <v>0</v>
      </c>
      <c r="D720" s="2101">
        <v>0</v>
      </c>
      <c r="E720" s="2101">
        <v>0</v>
      </c>
      <c r="F720" s="2101">
        <v>0</v>
      </c>
      <c r="G720" s="2101">
        <v>0</v>
      </c>
      <c r="H720" s="2107">
        <v>5540.622617192751</v>
      </c>
      <c r="I720" s="2107">
        <v>3951.6975481270592</v>
      </c>
      <c r="J720" s="2107">
        <v>3750.1011459381775</v>
      </c>
      <c r="K720" s="2107">
        <v>3182.6599133204218</v>
      </c>
      <c r="L720" s="2107">
        <v>1587.1031317925649</v>
      </c>
      <c r="M720" s="2101">
        <v>0</v>
      </c>
      <c r="N720" s="2101">
        <v>0</v>
      </c>
      <c r="O720" s="1890"/>
      <c r="P720" s="1880"/>
      <c r="T720" s="1866"/>
      <c r="U720" s="1834"/>
      <c r="X720" s="1834"/>
      <c r="Y720" s="1835"/>
      <c r="Z720" s="1835"/>
    </row>
    <row r="721" spans="1:26" s="1833" customFormat="1" ht="51" x14ac:dyDescent="0.2">
      <c r="A721" s="1840"/>
      <c r="B721" s="1295" t="s">
        <v>1364</v>
      </c>
      <c r="C721" s="2108">
        <v>9520.5558408036941</v>
      </c>
      <c r="D721" s="2108">
        <v>10518.822190985262</v>
      </c>
      <c r="E721" s="2108">
        <v>8514.9622693341553</v>
      </c>
      <c r="F721" s="2108">
        <v>4797.5180060368148</v>
      </c>
      <c r="G721" s="2108">
        <v>4078.8940231884194</v>
      </c>
      <c r="H721" s="2108">
        <v>3774.043471554327</v>
      </c>
      <c r="I721" s="2108">
        <v>4600.1598569418966</v>
      </c>
      <c r="J721" s="2108">
        <v>3060.2831106454537</v>
      </c>
      <c r="K721" s="2108">
        <v>6279.6034798754081</v>
      </c>
      <c r="L721" s="2108">
        <v>10227.799584081182</v>
      </c>
      <c r="M721" s="2108">
        <v>6635.1882838982401</v>
      </c>
      <c r="N721" s="2108">
        <v>5490.6159207973924</v>
      </c>
      <c r="O721" s="1888"/>
      <c r="P721" s="1880"/>
      <c r="T721" s="1866"/>
      <c r="U721" s="1834"/>
      <c r="X721" s="1834"/>
      <c r="Y721" s="1835"/>
      <c r="Z721" s="1835"/>
    </row>
    <row r="722" spans="1:26" s="1833" customFormat="1" ht="38.25" x14ac:dyDescent="0.2">
      <c r="A722" s="1840"/>
      <c r="B722" s="1297" t="s">
        <v>1230</v>
      </c>
      <c r="C722" s="2109">
        <v>944.51</v>
      </c>
      <c r="D722" s="2110">
        <v>1506.66</v>
      </c>
      <c r="E722" s="2110">
        <v>1869.76</v>
      </c>
      <c r="F722" s="2110">
        <v>1945.33</v>
      </c>
      <c r="G722" s="2110">
        <v>2557.42</v>
      </c>
      <c r="H722" s="2110">
        <v>1123.22</v>
      </c>
      <c r="I722" s="2110">
        <v>753.12</v>
      </c>
      <c r="J722" s="2110">
        <v>713.8</v>
      </c>
      <c r="K722" s="2111">
        <v>644.51</v>
      </c>
      <c r="L722" s="2111">
        <v>1864.4</v>
      </c>
      <c r="M722" s="2111">
        <v>1506.6</v>
      </c>
      <c r="N722" s="2111">
        <v>951.29</v>
      </c>
      <c r="O722" s="1880"/>
      <c r="P722" s="1880"/>
      <c r="T722" s="1866"/>
      <c r="U722" s="1834"/>
      <c r="X722" s="1834"/>
      <c r="Y722" s="1835"/>
      <c r="Z722" s="1835"/>
    </row>
    <row r="723" spans="1:26" s="1833" customFormat="1" ht="14.25" x14ac:dyDescent="0.2">
      <c r="A723" s="1840"/>
      <c r="B723" s="1302" t="s">
        <v>328</v>
      </c>
      <c r="C723" s="2112">
        <v>258.36</v>
      </c>
      <c r="D723" s="2112">
        <f>3833.01/2</f>
        <v>1916.5050000000001</v>
      </c>
      <c r="E723" s="2112">
        <f>3833.01/2</f>
        <v>1916.5050000000001</v>
      </c>
      <c r="F723" s="2112">
        <v>2275.34</v>
      </c>
      <c r="G723" s="2112">
        <v>289.8</v>
      </c>
      <c r="H723" s="2112">
        <v>3954.02</v>
      </c>
      <c r="I723" s="2112">
        <v>2216.94</v>
      </c>
      <c r="J723" s="2112">
        <v>2540.29</v>
      </c>
      <c r="K723" s="2112">
        <v>1858.04</v>
      </c>
      <c r="L723" s="2112">
        <v>1378.92</v>
      </c>
      <c r="M723" s="2112">
        <v>1490.14</v>
      </c>
      <c r="N723" s="2112">
        <v>1300.43</v>
      </c>
      <c r="O723" s="1871"/>
      <c r="P723" s="1871"/>
      <c r="T723" s="1866"/>
      <c r="U723" s="1834"/>
      <c r="X723" s="1834"/>
      <c r="Y723" s="1835"/>
      <c r="Z723" s="1835"/>
    </row>
    <row r="724" spans="1:26" s="1833" customFormat="1" ht="14.25" x14ac:dyDescent="0.2">
      <c r="A724" s="41"/>
      <c r="B724" s="1889"/>
      <c r="C724" s="41"/>
      <c r="D724" s="1871"/>
      <c r="E724" s="1871"/>
      <c r="F724" s="1871"/>
      <c r="G724" s="1871"/>
      <c r="H724" s="1871"/>
      <c r="I724" s="1871"/>
      <c r="J724" s="1871"/>
      <c r="K724" s="1871"/>
      <c r="L724" s="1871"/>
      <c r="M724" s="1871"/>
      <c r="N724" s="1871"/>
      <c r="O724" s="1871"/>
      <c r="P724" s="1871"/>
      <c r="T724" s="1866"/>
      <c r="U724" s="1834"/>
      <c r="X724" s="1834"/>
      <c r="Y724" s="1835"/>
      <c r="Z724" s="1835"/>
    </row>
    <row r="725" spans="1:26" x14ac:dyDescent="0.25">
      <c r="A725" s="462">
        <v>41</v>
      </c>
      <c r="B725" s="460" t="s">
        <v>1008</v>
      </c>
      <c r="T725" s="666" t="s">
        <v>1008</v>
      </c>
      <c r="W725" s="149"/>
      <c r="X725" s="150"/>
    </row>
    <row r="726" spans="1:26" s="41" customFormat="1" ht="14.25" x14ac:dyDescent="0.2">
      <c r="A726" s="1"/>
      <c r="B726" s="666" t="s">
        <v>1008</v>
      </c>
      <c r="C726" s="497"/>
      <c r="D726"/>
      <c r="E726"/>
      <c r="F726"/>
      <c r="G726"/>
      <c r="H726"/>
      <c r="I726"/>
      <c r="J726"/>
      <c r="K726"/>
      <c r="L726"/>
      <c r="M726"/>
      <c r="N726"/>
      <c r="O726"/>
      <c r="P726"/>
      <c r="W726" s="1261"/>
      <c r="X726" s="1262"/>
    </row>
    <row r="727" spans="1:26" s="41" customFormat="1" ht="14.25" x14ac:dyDescent="0.2">
      <c r="A727" s="1"/>
      <c r="B727" s="130" t="s">
        <v>337</v>
      </c>
      <c r="C727" s="131">
        <v>42522</v>
      </c>
      <c r="D727" s="131">
        <v>42552</v>
      </c>
      <c r="E727" s="131">
        <v>42583</v>
      </c>
      <c r="F727" s="131">
        <v>42614</v>
      </c>
      <c r="G727" s="131">
        <v>42644</v>
      </c>
      <c r="H727" s="131">
        <v>42675</v>
      </c>
      <c r="I727" s="131">
        <v>42705</v>
      </c>
      <c r="J727" s="131">
        <v>42736</v>
      </c>
      <c r="K727" s="131">
        <v>42767</v>
      </c>
      <c r="L727" s="131">
        <v>42795</v>
      </c>
      <c r="M727" s="131">
        <v>42826</v>
      </c>
      <c r="N727" s="131">
        <v>42856</v>
      </c>
      <c r="O727" s="131">
        <v>42887</v>
      </c>
      <c r="P727" s="131">
        <v>42917</v>
      </c>
      <c r="W727" s="1261"/>
      <c r="X727" s="1262"/>
    </row>
    <row r="728" spans="1:26" s="41" customFormat="1" ht="14.25" x14ac:dyDescent="0.2">
      <c r="A728" s="1"/>
      <c r="B728" s="135" t="s">
        <v>319</v>
      </c>
      <c r="C728" s="1092"/>
      <c r="D728" s="153"/>
      <c r="E728" s="141">
        <v>27521</v>
      </c>
      <c r="F728" s="136">
        <v>27735.53</v>
      </c>
      <c r="G728" s="136">
        <v>20205</v>
      </c>
      <c r="H728" s="136">
        <v>19726.830000000002</v>
      </c>
      <c r="I728" s="136">
        <v>16030.75</v>
      </c>
      <c r="J728" s="136">
        <v>16441.895</v>
      </c>
      <c r="K728" s="136">
        <v>18656.95</v>
      </c>
      <c r="L728" s="136">
        <v>20884.187999999998</v>
      </c>
      <c r="M728" s="136">
        <v>22695.627</v>
      </c>
      <c r="N728" s="136">
        <v>22662.143</v>
      </c>
      <c r="O728" s="136">
        <v>21777.506000000001</v>
      </c>
      <c r="P728" s="136">
        <v>25951.063999999998</v>
      </c>
      <c r="W728" s="1261"/>
      <c r="X728" s="1262"/>
    </row>
    <row r="729" spans="1:26" s="41" customFormat="1" ht="14.25" x14ac:dyDescent="0.2">
      <c r="A729" s="1"/>
      <c r="B729" s="135" t="s">
        <v>343</v>
      </c>
      <c r="C729" s="1092"/>
      <c r="D729" s="153"/>
      <c r="E729" s="153"/>
      <c r="F729" s="137"/>
      <c r="G729" s="137"/>
      <c r="H729" s="137"/>
      <c r="I729" s="136"/>
      <c r="J729" s="136"/>
      <c r="K729" s="136"/>
      <c r="L729" s="136"/>
      <c r="M729" s="136"/>
      <c r="N729" s="136"/>
      <c r="O729" s="136"/>
      <c r="P729" s="136"/>
      <c r="W729" s="1261"/>
      <c r="X729" s="1262"/>
    </row>
    <row r="730" spans="1:26" s="41" customFormat="1" ht="14.25" x14ac:dyDescent="0.2">
      <c r="A730" s="1"/>
      <c r="B730" s="153" t="s">
        <v>362</v>
      </c>
      <c r="C730" s="1092"/>
      <c r="D730" s="153"/>
      <c r="E730" s="153"/>
      <c r="F730" s="141"/>
      <c r="G730" s="141"/>
      <c r="H730" s="141"/>
      <c r="I730" s="141"/>
      <c r="J730" s="141"/>
      <c r="K730" s="141"/>
      <c r="L730" s="141"/>
      <c r="M730" s="141"/>
      <c r="N730" s="141"/>
      <c r="O730" s="141"/>
      <c r="P730" s="141"/>
      <c r="W730" s="1261"/>
      <c r="X730" s="1262"/>
    </row>
    <row r="731" spans="1:26" s="41" customFormat="1" ht="14.25" x14ac:dyDescent="0.2">
      <c r="A731" s="1"/>
      <c r="B731" s="153" t="s">
        <v>641</v>
      </c>
      <c r="C731" s="1092"/>
      <c r="D731" s="153"/>
      <c r="E731" s="153">
        <v>39</v>
      </c>
      <c r="F731" s="141">
        <v>3</v>
      </c>
      <c r="G731" s="141">
        <v>231</v>
      </c>
      <c r="H731" s="141">
        <v>443</v>
      </c>
      <c r="I731" s="141">
        <v>1612</v>
      </c>
      <c r="J731" s="141">
        <v>1890</v>
      </c>
      <c r="K731" s="141">
        <v>1376</v>
      </c>
      <c r="L731" s="141">
        <v>1616</v>
      </c>
      <c r="M731" s="141">
        <v>862</v>
      </c>
      <c r="N731" s="141">
        <v>668</v>
      </c>
      <c r="O731" s="141">
        <v>136</v>
      </c>
      <c r="P731" s="141">
        <v>73</v>
      </c>
      <c r="W731" s="1261"/>
      <c r="X731" s="1262"/>
    </row>
    <row r="732" spans="1:26" s="41" customFormat="1" ht="14.25" x14ac:dyDescent="0.2">
      <c r="A732" s="1"/>
      <c r="B732" s="135" t="s">
        <v>864</v>
      </c>
      <c r="C732" s="1092"/>
      <c r="D732" s="153"/>
      <c r="E732" s="141">
        <v>2851</v>
      </c>
      <c r="F732" s="760">
        <v>3109.74</v>
      </c>
      <c r="G732" s="760">
        <v>1253.96</v>
      </c>
      <c r="H732" s="760">
        <v>1083.29</v>
      </c>
      <c r="I732" s="760">
        <v>373</v>
      </c>
      <c r="J732" s="760">
        <v>567</v>
      </c>
      <c r="K732" s="750">
        <v>3979</v>
      </c>
      <c r="L732" s="750">
        <v>1159.79</v>
      </c>
      <c r="M732" s="750">
        <v>1353.27</v>
      </c>
      <c r="N732" s="750">
        <v>1630.825</v>
      </c>
      <c r="O732" s="750">
        <v>1490.8579999999999</v>
      </c>
      <c r="P732" s="750">
        <v>1881.7473</v>
      </c>
      <c r="W732" s="1261"/>
      <c r="X732" s="1262"/>
    </row>
    <row r="733" spans="1:26" s="41" customFormat="1" ht="14.25" x14ac:dyDescent="0.2">
      <c r="A733" s="1"/>
      <c r="B733" s="135" t="s">
        <v>324</v>
      </c>
      <c r="C733" s="1092"/>
      <c r="D733" s="153"/>
      <c r="E733" s="1557">
        <v>2752</v>
      </c>
      <c r="F733" s="731">
        <v>2773.5529999999999</v>
      </c>
      <c r="G733" s="731">
        <v>2020.5</v>
      </c>
      <c r="H733" s="731">
        <v>1972.68</v>
      </c>
      <c r="I733" s="731">
        <v>1603.075</v>
      </c>
      <c r="J733" s="731">
        <v>1644</v>
      </c>
      <c r="K733" s="731">
        <v>1865.6949999999999</v>
      </c>
      <c r="L733" s="731">
        <v>2088.4187999999999</v>
      </c>
      <c r="M733" s="731">
        <v>2269.56</v>
      </c>
      <c r="N733" s="731">
        <v>2266.2143000000001</v>
      </c>
      <c r="O733" s="731">
        <v>2177.75</v>
      </c>
      <c r="P733" s="731">
        <v>2595.11</v>
      </c>
      <c r="W733" s="1261"/>
      <c r="X733" s="1262"/>
    </row>
    <row r="734" spans="1:26" s="41" customFormat="1" ht="14.25" x14ac:dyDescent="0.2">
      <c r="A734" s="1"/>
      <c r="B734" s="144" t="s">
        <v>348</v>
      </c>
      <c r="C734" s="1092"/>
      <c r="D734" s="153"/>
      <c r="E734" s="153"/>
      <c r="F734" s="736"/>
      <c r="G734" s="736"/>
      <c r="H734" s="736"/>
      <c r="I734" s="736"/>
      <c r="J734" s="731"/>
      <c r="K734" s="731"/>
      <c r="L734" s="731"/>
      <c r="M734" s="731"/>
      <c r="N734" s="731"/>
      <c r="O734" s="731"/>
      <c r="P734" s="731"/>
      <c r="W734" s="1261"/>
      <c r="X734" s="1262"/>
    </row>
    <row r="735" spans="1:26" s="41" customFormat="1" ht="14.25" x14ac:dyDescent="0.2">
      <c r="A735" s="1"/>
      <c r="B735" s="195" t="s">
        <v>1087</v>
      </c>
      <c r="C735" s="1092"/>
      <c r="D735" s="153"/>
      <c r="E735" s="153"/>
      <c r="F735" s="731"/>
      <c r="G735" s="731"/>
      <c r="H735" s="731"/>
      <c r="I735" s="731"/>
      <c r="J735" s="731"/>
      <c r="K735" s="731"/>
      <c r="L735" s="731"/>
      <c r="M735" s="731"/>
      <c r="N735" s="731"/>
      <c r="O735" s="731"/>
      <c r="P735" s="731"/>
      <c r="W735" s="1261"/>
      <c r="X735" s="1262"/>
    </row>
    <row r="736" spans="1:26" s="41" customFormat="1" ht="14.25" x14ac:dyDescent="0.2">
      <c r="A736" s="1"/>
      <c r="B736" s="144" t="s">
        <v>883</v>
      </c>
      <c r="C736" s="604"/>
      <c r="D736" s="145"/>
      <c r="E736" s="145">
        <v>45.4</v>
      </c>
      <c r="F736" s="145">
        <v>20.78</v>
      </c>
      <c r="G736" s="145">
        <v>177.94</v>
      </c>
      <c r="H736" s="145">
        <v>333.27</v>
      </c>
      <c r="I736" s="145">
        <v>1141.4000000000001</v>
      </c>
      <c r="J736" s="145">
        <v>1394</v>
      </c>
      <c r="K736" s="145">
        <v>1091.72</v>
      </c>
      <c r="L736" s="145">
        <v>1276.32</v>
      </c>
      <c r="M736" s="145">
        <v>708.51</v>
      </c>
      <c r="N736" s="145">
        <v>564.83000000000004</v>
      </c>
      <c r="O736" s="145">
        <v>131.74</v>
      </c>
      <c r="P736" s="145">
        <v>79.38</v>
      </c>
      <c r="W736" s="1261"/>
      <c r="X736" s="1262"/>
    </row>
    <row r="737" spans="1:26" x14ac:dyDescent="0.25">
      <c r="B737" s="460"/>
      <c r="T737" s="666"/>
      <c r="W737" s="149"/>
      <c r="X737" s="150"/>
    </row>
    <row r="738" spans="1:26" s="128" customFormat="1" x14ac:dyDescent="0.25">
      <c r="A738" s="459">
        <v>42</v>
      </c>
      <c r="B738" s="127" t="s">
        <v>624</v>
      </c>
      <c r="C738" s="173"/>
      <c r="S738" s="173"/>
      <c r="T738" s="127" t="s">
        <v>624</v>
      </c>
      <c r="W738" s="129"/>
      <c r="Y738" s="166"/>
      <c r="Z738" s="166"/>
    </row>
    <row r="739" spans="1:26" s="128" customFormat="1" x14ac:dyDescent="0.25">
      <c r="A739" s="459"/>
      <c r="B739" s="2238" t="s">
        <v>352</v>
      </c>
      <c r="C739" s="173"/>
      <c r="D739" s="172"/>
      <c r="S739" s="173"/>
      <c r="T739" s="127"/>
      <c r="W739" s="129"/>
      <c r="Y739" s="166"/>
      <c r="Z739" s="166"/>
    </row>
    <row r="740" spans="1:26" s="128" customFormat="1" x14ac:dyDescent="0.25">
      <c r="A740" s="459"/>
      <c r="B740" s="127"/>
      <c r="C740" s="173"/>
      <c r="S740" s="173"/>
      <c r="T740" s="127"/>
      <c r="W740" s="129"/>
      <c r="Y740" s="166"/>
      <c r="Z740" s="166"/>
    </row>
    <row r="741" spans="1:26" s="128" customFormat="1" x14ac:dyDescent="0.25">
      <c r="A741" s="459">
        <v>43</v>
      </c>
      <c r="B741" s="127" t="s">
        <v>1425</v>
      </c>
      <c r="C741" s="173"/>
      <c r="S741" s="173"/>
      <c r="T741" s="127" t="s">
        <v>1425</v>
      </c>
      <c r="W741" s="129"/>
      <c r="Y741" s="166"/>
      <c r="Z741" s="166"/>
    </row>
    <row r="742" spans="1:26" s="1833" customFormat="1" x14ac:dyDescent="0.25">
      <c r="A742" s="1840"/>
      <c r="B742" s="712" t="s">
        <v>866</v>
      </c>
      <c r="C742" s="1646"/>
      <c r="D742" s="713"/>
      <c r="E742" s="713"/>
      <c r="F742" s="713"/>
      <c r="G742" s="713"/>
      <c r="H742" s="713"/>
      <c r="I742" s="713"/>
      <c r="J742" s="713"/>
      <c r="K742" s="713"/>
      <c r="L742" s="713"/>
      <c r="M742" s="713"/>
      <c r="N742" s="713"/>
      <c r="O742" s="713"/>
      <c r="P742" s="714"/>
      <c r="Q742" s="715"/>
      <c r="R742" s="716"/>
      <c r="S742" s="1647"/>
      <c r="T742" s="1150"/>
      <c r="U742" s="1847"/>
      <c r="W742" s="1834"/>
      <c r="Y742" s="1835"/>
      <c r="Z742" s="1835"/>
    </row>
    <row r="743" spans="1:26" s="1833" customFormat="1" x14ac:dyDescent="0.25">
      <c r="A743" s="1840"/>
      <c r="B743" s="717" t="s">
        <v>337</v>
      </c>
      <c r="C743" s="1648"/>
      <c r="D743" s="719">
        <v>42583</v>
      </c>
      <c r="E743" s="719">
        <v>42614</v>
      </c>
      <c r="F743" s="719">
        <v>42644</v>
      </c>
      <c r="G743" s="719">
        <v>42675</v>
      </c>
      <c r="H743" s="719">
        <v>42705</v>
      </c>
      <c r="I743" s="719">
        <v>42736</v>
      </c>
      <c r="J743" s="719">
        <v>42767</v>
      </c>
      <c r="K743" s="719">
        <v>42795</v>
      </c>
      <c r="L743" s="719">
        <v>42826</v>
      </c>
      <c r="M743" s="719">
        <v>42856</v>
      </c>
      <c r="N743" s="719">
        <v>42887</v>
      </c>
      <c r="O743" s="719">
        <v>42917</v>
      </c>
      <c r="P743" s="720" t="s">
        <v>338</v>
      </c>
      <c r="Q743" s="721" t="s">
        <v>339</v>
      </c>
      <c r="R743"/>
      <c r="S743" s="720" t="s">
        <v>338</v>
      </c>
      <c r="T743" s="721" t="s">
        <v>339</v>
      </c>
      <c r="U743" s="1882"/>
      <c r="W743" s="1834"/>
      <c r="Y743" s="1835"/>
      <c r="Z743" s="1835"/>
    </row>
    <row r="744" spans="1:26" s="1833" customFormat="1" ht="14.25" x14ac:dyDescent="0.2">
      <c r="A744" s="1840"/>
      <c r="B744" s="722" t="s">
        <v>360</v>
      </c>
      <c r="C744" s="730"/>
      <c r="D744" s="454">
        <v>38320.007324213977</v>
      </c>
      <c r="E744" s="454">
        <v>31811.03515625</v>
      </c>
      <c r="F744" s="454">
        <v>26853.02734375</v>
      </c>
      <c r="G744" s="454">
        <v>25903.930664059997</v>
      </c>
      <c r="H744" s="454">
        <v>25402.954101570002</v>
      </c>
      <c r="I744" s="454">
        <v>26928.100585929998</v>
      </c>
      <c r="J744" s="454">
        <v>23670.8984375</v>
      </c>
      <c r="K744" s="454">
        <v>26217.041015630002</v>
      </c>
      <c r="L744" s="454">
        <v>25682.983398440003</v>
      </c>
      <c r="M744" s="454">
        <v>28046.020507809997</v>
      </c>
      <c r="N744" s="454">
        <v>26443.969726559997</v>
      </c>
      <c r="O744" s="454">
        <v>30530.029296880002</v>
      </c>
      <c r="P744" s="724">
        <f t="shared" ref="P744:P749" si="31">SUM(D744:O744)</f>
        <v>335809.99755859398</v>
      </c>
      <c r="Q744" s="1145" t="s">
        <v>361</v>
      </c>
      <c r="R744"/>
      <c r="S744" s="734">
        <f>P744*0.003409512</f>
        <v>1144.948216395997</v>
      </c>
      <c r="T744" s="1145" t="s">
        <v>342</v>
      </c>
      <c r="U744" s="1847"/>
      <c r="W744" s="1834"/>
      <c r="Y744" s="1835"/>
      <c r="Z744" s="1835"/>
    </row>
    <row r="745" spans="1:26" s="1833" customFormat="1" ht="14.25" x14ac:dyDescent="0.2">
      <c r="A745" s="1840"/>
      <c r="B745" s="728" t="s">
        <v>864</v>
      </c>
      <c r="C745" s="730"/>
      <c r="D745" s="454">
        <v>3.2</v>
      </c>
      <c r="E745" s="454">
        <v>10.9</v>
      </c>
      <c r="F745" s="454">
        <v>10.3</v>
      </c>
      <c r="G745" s="454">
        <v>11</v>
      </c>
      <c r="H745" s="454">
        <v>6.9</v>
      </c>
      <c r="I745" s="454">
        <v>6.1</v>
      </c>
      <c r="J745" s="454">
        <v>9.3000000000000007</v>
      </c>
      <c r="K745" s="454">
        <v>31.2</v>
      </c>
      <c r="L745" s="454">
        <v>9.5</v>
      </c>
      <c r="M745" s="454">
        <v>9.5</v>
      </c>
      <c r="N745" s="454">
        <v>2.5</v>
      </c>
      <c r="O745" s="1656">
        <v>1.2</v>
      </c>
      <c r="P745" s="724">
        <f t="shared" si="31"/>
        <v>111.60000000000001</v>
      </c>
      <c r="Q745" s="1146" t="s">
        <v>379</v>
      </c>
      <c r="R745"/>
      <c r="S745" s="756">
        <f>P745*748</f>
        <v>83476.800000000003</v>
      </c>
      <c r="T745" s="1146" t="s">
        <v>346</v>
      </c>
      <c r="U745" s="1847"/>
      <c r="W745" s="1834"/>
      <c r="Y745" s="1835"/>
      <c r="Z745" s="1835"/>
    </row>
    <row r="746" spans="1:26" s="1833" customFormat="1" ht="14.25" x14ac:dyDescent="0.2">
      <c r="A746" s="1840"/>
      <c r="B746" s="728" t="s">
        <v>861</v>
      </c>
      <c r="C746" s="730"/>
      <c r="D746" s="454">
        <v>99</v>
      </c>
      <c r="E746" s="454">
        <v>181</v>
      </c>
      <c r="F746" s="454">
        <v>264</v>
      </c>
      <c r="G746" s="454">
        <v>731</v>
      </c>
      <c r="H746" s="454">
        <v>1648</v>
      </c>
      <c r="I746" s="454">
        <v>740</v>
      </c>
      <c r="J746" s="454">
        <v>592</v>
      </c>
      <c r="K746" s="454">
        <v>530</v>
      </c>
      <c r="L746" s="454">
        <v>228</v>
      </c>
      <c r="M746" s="454">
        <v>231</v>
      </c>
      <c r="N746" s="454">
        <v>143</v>
      </c>
      <c r="O746" s="454">
        <v>120</v>
      </c>
      <c r="P746" s="724">
        <f t="shared" si="31"/>
        <v>5507</v>
      </c>
      <c r="Q746" s="1146" t="s">
        <v>354</v>
      </c>
      <c r="R746"/>
      <c r="S746" s="756">
        <f>P746</f>
        <v>5507</v>
      </c>
      <c r="T746" s="1146" t="s">
        <v>1426</v>
      </c>
      <c r="U746" s="1847"/>
      <c r="W746" s="1834"/>
      <c r="Y746" s="1835"/>
      <c r="Z746" s="1835"/>
    </row>
    <row r="747" spans="1:26" s="1833" customFormat="1" ht="14.25" x14ac:dyDescent="0.2">
      <c r="A747" s="1840"/>
      <c r="B747" s="722" t="s">
        <v>368</v>
      </c>
      <c r="C747" s="730"/>
      <c r="D747" s="731">
        <f>D744*0.087</f>
        <v>3333.8406372066156</v>
      </c>
      <c r="E747" s="731">
        <f t="shared" ref="E747:N747" si="32">E744*0.087</f>
        <v>2767.56005859375</v>
      </c>
      <c r="F747" s="731">
        <f t="shared" si="32"/>
        <v>2336.21337890625</v>
      </c>
      <c r="G747" s="731">
        <f t="shared" si="32"/>
        <v>2253.6419677732197</v>
      </c>
      <c r="H747" s="731">
        <f t="shared" si="32"/>
        <v>2210.0570068365901</v>
      </c>
      <c r="I747" s="731">
        <f t="shared" si="32"/>
        <v>2342.7447509759095</v>
      </c>
      <c r="J747" s="731">
        <f t="shared" si="32"/>
        <v>2059.3681640625</v>
      </c>
      <c r="K747" s="731">
        <f t="shared" si="32"/>
        <v>2280.8825683598102</v>
      </c>
      <c r="L747" s="731">
        <f t="shared" si="32"/>
        <v>2234.4195556642803</v>
      </c>
      <c r="M747" s="731">
        <f t="shared" si="32"/>
        <v>2440.0037841794697</v>
      </c>
      <c r="N747" s="731">
        <f t="shared" si="32"/>
        <v>2300.6253662107197</v>
      </c>
      <c r="O747" s="731">
        <f>O744*0.083</f>
        <v>2533.9924316410402</v>
      </c>
      <c r="P747" s="724">
        <f t="shared" si="31"/>
        <v>29093.349670410156</v>
      </c>
      <c r="Q747" s="1145" t="s">
        <v>865</v>
      </c>
      <c r="R747"/>
      <c r="S747" s="1651"/>
      <c r="T747" s="1652"/>
      <c r="U747" s="1847"/>
      <c r="W747" s="1834"/>
      <c r="Y747" s="1835"/>
      <c r="Z747" s="1835"/>
    </row>
    <row r="748" spans="1:26" s="1833" customFormat="1" x14ac:dyDescent="0.25">
      <c r="A748" s="1840"/>
      <c r="B748" s="732" t="s">
        <v>325</v>
      </c>
      <c r="C748" s="714"/>
      <c r="D748" s="455">
        <f>D745*9.33</f>
        <v>29.856000000000002</v>
      </c>
      <c r="E748" s="455">
        <f t="shared" ref="E748:N748" si="33">E745*9.33</f>
        <v>101.697</v>
      </c>
      <c r="F748" s="455">
        <f t="shared" si="33"/>
        <v>96.099000000000004</v>
      </c>
      <c r="G748" s="455">
        <f t="shared" si="33"/>
        <v>102.63</v>
      </c>
      <c r="H748" s="455">
        <f t="shared" si="33"/>
        <v>64.37700000000001</v>
      </c>
      <c r="I748" s="455">
        <f t="shared" si="33"/>
        <v>56.912999999999997</v>
      </c>
      <c r="J748" s="455">
        <f t="shared" si="33"/>
        <v>86.769000000000005</v>
      </c>
      <c r="K748" s="455">
        <f t="shared" si="33"/>
        <v>291.096</v>
      </c>
      <c r="L748" s="455">
        <f t="shared" si="33"/>
        <v>88.635000000000005</v>
      </c>
      <c r="M748" s="455">
        <f t="shared" si="33"/>
        <v>88.635000000000005</v>
      </c>
      <c r="N748" s="455">
        <f t="shared" si="33"/>
        <v>23.324999999999999</v>
      </c>
      <c r="O748" s="455">
        <f>O745*9.39</f>
        <v>11.268000000000001</v>
      </c>
      <c r="P748" s="724">
        <f t="shared" si="31"/>
        <v>1041.3</v>
      </c>
      <c r="Q748" s="1145" t="s">
        <v>865</v>
      </c>
      <c r="R748"/>
      <c r="S748" s="1647"/>
      <c r="T748" s="1150"/>
      <c r="U748" s="1847"/>
      <c r="W748" s="1834"/>
      <c r="Y748" s="1835"/>
      <c r="Z748" s="1835"/>
    </row>
    <row r="749" spans="1:26" s="1833" customFormat="1" x14ac:dyDescent="0.25">
      <c r="A749" s="1840"/>
      <c r="B749" s="732" t="s">
        <v>829</v>
      </c>
      <c r="C749" s="714"/>
      <c r="D749" s="455">
        <v>86.43</v>
      </c>
      <c r="E749" s="455">
        <v>143.35</v>
      </c>
      <c r="F749" s="455">
        <v>205.45</v>
      </c>
      <c r="G749" s="455">
        <v>542.45000000000005</v>
      </c>
      <c r="H749" s="455">
        <v>1210.0999999999999</v>
      </c>
      <c r="I749" s="455">
        <v>608.15</v>
      </c>
      <c r="J749" s="455">
        <v>496.23</v>
      </c>
      <c r="K749" s="455">
        <v>452.59</v>
      </c>
      <c r="L749" s="455">
        <v>208.19</v>
      </c>
      <c r="M749" s="455">
        <v>210.68</v>
      </c>
      <c r="N749" s="455">
        <v>137.56</v>
      </c>
      <c r="O749" s="455">
        <v>118.44</v>
      </c>
      <c r="P749" s="724">
        <f t="shared" si="31"/>
        <v>4419.62</v>
      </c>
      <c r="Q749" s="1145" t="s">
        <v>865</v>
      </c>
      <c r="R749"/>
      <c r="S749" s="1647"/>
      <c r="T749" s="1150"/>
      <c r="U749" s="1847"/>
      <c r="W749" s="1834"/>
      <c r="Y749" s="1835"/>
      <c r="Z749" s="1835"/>
    </row>
    <row r="751" spans="1:26" s="128" customFormat="1" x14ac:dyDescent="0.25">
      <c r="A751" s="459">
        <v>44</v>
      </c>
      <c r="B751" s="127" t="s">
        <v>626</v>
      </c>
      <c r="C751" s="173"/>
      <c r="S751" s="173"/>
      <c r="T751" s="127" t="s">
        <v>626</v>
      </c>
      <c r="W751" s="129"/>
      <c r="Y751" s="166"/>
      <c r="Z751" s="166"/>
    </row>
    <row r="752" spans="1:26" s="128" customFormat="1" x14ac:dyDescent="0.25">
      <c r="A752" s="459"/>
      <c r="B752" s="2238" t="s">
        <v>352</v>
      </c>
      <c r="C752" s="173"/>
      <c r="D752" s="172"/>
      <c r="S752" s="173"/>
      <c r="T752" s="127"/>
      <c r="W752" s="129"/>
      <c r="Y752" s="166"/>
      <c r="Z752" s="166"/>
    </row>
    <row r="753" spans="1:26" s="128" customFormat="1" x14ac:dyDescent="0.25">
      <c r="A753" s="459"/>
      <c r="B753" s="127"/>
      <c r="C753" s="173"/>
      <c r="S753" s="173"/>
      <c r="T753" s="127"/>
      <c r="W753" s="129"/>
      <c r="Y753" s="166"/>
      <c r="Z753" s="166"/>
    </row>
    <row r="754" spans="1:26" s="125" customFormat="1" x14ac:dyDescent="0.25">
      <c r="A754" s="461">
        <v>45</v>
      </c>
      <c r="B754" s="148" t="s">
        <v>976</v>
      </c>
      <c r="C754" s="152"/>
      <c r="E754" s="157"/>
      <c r="F754" s="157"/>
      <c r="G754" s="157"/>
      <c r="H754" s="157"/>
      <c r="I754" s="157"/>
      <c r="J754" s="157"/>
      <c r="K754" s="157"/>
      <c r="L754" s="157"/>
      <c r="M754" s="157"/>
      <c r="N754" s="157"/>
      <c r="O754" s="157"/>
      <c r="P754" s="157"/>
      <c r="S754" s="126"/>
      <c r="T754" s="148" t="s">
        <v>627</v>
      </c>
      <c r="V754" s="126"/>
      <c r="Y754" s="157"/>
      <c r="Z754" s="157"/>
    </row>
    <row r="755" spans="1:26" s="1833" customFormat="1" x14ac:dyDescent="0.25">
      <c r="A755" s="1840"/>
      <c r="B755" s="1646" t="s">
        <v>869</v>
      </c>
      <c r="C755" s="1646"/>
      <c r="D755" s="729"/>
      <c r="E755" s="729"/>
      <c r="F755" s="729"/>
      <c r="G755" s="729"/>
      <c r="H755" s="729"/>
      <c r="I755" s="729"/>
      <c r="J755" s="729"/>
      <c r="K755" s="1210"/>
      <c r="L755" s="1210"/>
      <c r="M755" s="1210"/>
      <c r="N755" s="1210"/>
      <c r="O755" s="1210"/>
      <c r="P755" s="714"/>
      <c r="Q755" s="1211"/>
      <c r="R755" s="1212"/>
      <c r="S755" s="1849"/>
      <c r="T755" s="1847"/>
      <c r="U755" s="1847"/>
      <c r="V755" s="1834"/>
      <c r="Y755" s="1835"/>
      <c r="Z755" s="1835"/>
    </row>
    <row r="756" spans="1:26" s="1833" customFormat="1" x14ac:dyDescent="0.25">
      <c r="A756" s="1840"/>
      <c r="B756" s="1213" t="s">
        <v>337</v>
      </c>
      <c r="C756" s="1648"/>
      <c r="D756" s="1215">
        <v>42583</v>
      </c>
      <c r="E756" s="1215">
        <v>42614</v>
      </c>
      <c r="F756" s="1215">
        <v>42644</v>
      </c>
      <c r="G756" s="1215">
        <v>42675</v>
      </c>
      <c r="H756" s="1215">
        <v>42705</v>
      </c>
      <c r="I756" s="1215">
        <v>42736</v>
      </c>
      <c r="J756" s="1215">
        <v>42767</v>
      </c>
      <c r="K756" s="1215">
        <v>42795</v>
      </c>
      <c r="L756" s="1215">
        <v>42826</v>
      </c>
      <c r="M756" s="1215">
        <v>42856</v>
      </c>
      <c r="N756" s="1215">
        <v>42887</v>
      </c>
      <c r="O756" s="1215">
        <v>42917</v>
      </c>
      <c r="P756" s="1216" t="s">
        <v>338</v>
      </c>
      <c r="Q756" s="1217" t="s">
        <v>339</v>
      </c>
      <c r="R756" s="697"/>
      <c r="S756" s="1216" t="s">
        <v>338</v>
      </c>
      <c r="T756" s="1217" t="s">
        <v>339</v>
      </c>
      <c r="U756" s="1882"/>
      <c r="V756" s="1834"/>
      <c r="Y756" s="1835"/>
      <c r="Z756" s="1835"/>
    </row>
    <row r="757" spans="1:26" s="1833" customFormat="1" ht="14.25" x14ac:dyDescent="0.2">
      <c r="A757" s="1840"/>
      <c r="B757" s="728" t="s">
        <v>360</v>
      </c>
      <c r="C757" s="730"/>
      <c r="D757" s="1170">
        <v>36934.020996093976</v>
      </c>
      <c r="E757" s="1170">
        <v>37820.983886718976</v>
      </c>
      <c r="F757" s="1170">
        <v>37377.990722656024</v>
      </c>
      <c r="G757" s="1170">
        <v>34983.032226561932</v>
      </c>
      <c r="H757" s="1170">
        <v>33385.009765625</v>
      </c>
      <c r="I757" s="1170">
        <v>35828.002929688068</v>
      </c>
      <c r="J757" s="1170">
        <v>33076.96533202898</v>
      </c>
      <c r="K757" s="1170">
        <v>34573.974609369994</v>
      </c>
      <c r="L757" s="1170">
        <v>34918.090820320002</v>
      </c>
      <c r="M757" s="1170">
        <v>30459.9609375</v>
      </c>
      <c r="N757" s="1170">
        <v>27027.954101559997</v>
      </c>
      <c r="O757" s="1170">
        <v>28284.057617190003</v>
      </c>
      <c r="P757" s="1219">
        <f t="shared" ref="P757:P764" si="34">SUM(D757:O757)</f>
        <v>404670.04394531297</v>
      </c>
      <c r="Q757" s="1146" t="s">
        <v>361</v>
      </c>
      <c r="R757" s="697"/>
      <c r="S757" s="756">
        <f>P757*0.003409512</f>
        <v>1379.7273708720718</v>
      </c>
      <c r="T757" s="1146" t="s">
        <v>342</v>
      </c>
      <c r="U757" s="1847"/>
      <c r="V757" s="1834"/>
      <c r="Y757" s="1835"/>
      <c r="Z757" s="1835"/>
    </row>
    <row r="758" spans="1:26" s="1833" customFormat="1" ht="14.25" x14ac:dyDescent="0.2">
      <c r="A758" s="1840"/>
      <c r="B758" s="728" t="s">
        <v>362</v>
      </c>
      <c r="C758" s="730"/>
      <c r="D758" s="1170">
        <v>444</v>
      </c>
      <c r="E758" s="1170">
        <v>391</v>
      </c>
      <c r="F758" s="1170">
        <v>291</v>
      </c>
      <c r="G758" s="1170">
        <v>226</v>
      </c>
      <c r="H758" s="1170">
        <v>202</v>
      </c>
      <c r="I758" s="1170">
        <v>196</v>
      </c>
      <c r="J758" s="1170">
        <v>196</v>
      </c>
      <c r="K758" s="1170">
        <v>218</v>
      </c>
      <c r="L758" s="1170">
        <v>281</v>
      </c>
      <c r="M758" s="1170">
        <v>291</v>
      </c>
      <c r="N758" s="1170">
        <v>320</v>
      </c>
      <c r="O758" s="1170">
        <v>386</v>
      </c>
      <c r="P758" s="1219">
        <f t="shared" si="34"/>
        <v>3442</v>
      </c>
      <c r="Q758" s="1146" t="s">
        <v>363</v>
      </c>
      <c r="R758" s="697"/>
      <c r="S758" s="2200">
        <f>P758</f>
        <v>3442</v>
      </c>
      <c r="T758" s="1146" t="s">
        <v>342</v>
      </c>
      <c r="U758" s="1847"/>
      <c r="V758" s="1834"/>
      <c r="Y758" s="1835"/>
      <c r="Z758" s="1835"/>
    </row>
    <row r="759" spans="1:26" s="1833" customFormat="1" ht="14.25" x14ac:dyDescent="0.2">
      <c r="A759" s="1840"/>
      <c r="B759" s="728" t="s">
        <v>364</v>
      </c>
      <c r="C759" s="730"/>
      <c r="D759" s="1170">
        <v>108.10009600000012</v>
      </c>
      <c r="E759" s="1170">
        <v>121.63020799999993</v>
      </c>
      <c r="F759" s="1170">
        <v>165.39007999999978</v>
      </c>
      <c r="G759" s="1170">
        <v>222.85977600000035</v>
      </c>
      <c r="H759" s="1170">
        <v>285.80991999999986</v>
      </c>
      <c r="I759" s="1170">
        <v>275.3095679999999</v>
      </c>
      <c r="J759" s="1170">
        <v>266.20032000000009</v>
      </c>
      <c r="K759" s="1170">
        <v>253.69004799999993</v>
      </c>
      <c r="L759" s="1170">
        <v>190.56972800000045</v>
      </c>
      <c r="M759" s="1170">
        <v>158.22028799999998</v>
      </c>
      <c r="N759" s="1170">
        <v>130.35014399999929</v>
      </c>
      <c r="O759" s="1170">
        <v>129.50995200000003</v>
      </c>
      <c r="P759" s="1219">
        <f t="shared" si="34"/>
        <v>2307.6401279999995</v>
      </c>
      <c r="Q759" s="1146" t="s">
        <v>365</v>
      </c>
      <c r="R759" s="697"/>
      <c r="S759" s="756">
        <f>P759</f>
        <v>2307.6401279999995</v>
      </c>
      <c r="T759" s="1146" t="s">
        <v>342</v>
      </c>
      <c r="U759" s="1847"/>
      <c r="V759" s="1834"/>
      <c r="Y759" s="1835"/>
      <c r="Z759" s="1835"/>
    </row>
    <row r="760" spans="1:26" s="1833" customFormat="1" ht="14.25" x14ac:dyDescent="0.2">
      <c r="A760" s="1840"/>
      <c r="B760" s="728" t="s">
        <v>864</v>
      </c>
      <c r="C760" s="730"/>
      <c r="D760" s="759">
        <v>56</v>
      </c>
      <c r="E760" s="760">
        <v>97</v>
      </c>
      <c r="F760" s="760">
        <v>90</v>
      </c>
      <c r="G760" s="760">
        <v>89</v>
      </c>
      <c r="H760" s="760">
        <v>59</v>
      </c>
      <c r="I760" s="760">
        <v>66</v>
      </c>
      <c r="J760" s="750">
        <v>87</v>
      </c>
      <c r="K760" s="750">
        <v>79</v>
      </c>
      <c r="L760" s="750">
        <v>85</v>
      </c>
      <c r="M760" s="750">
        <v>51</v>
      </c>
      <c r="N760" s="750">
        <v>20</v>
      </c>
      <c r="O760" s="750">
        <v>22</v>
      </c>
      <c r="P760" s="1219">
        <f t="shared" si="34"/>
        <v>801</v>
      </c>
      <c r="Q760" s="1146" t="s">
        <v>379</v>
      </c>
      <c r="R760" s="697"/>
      <c r="S760" s="756">
        <f>P760*748</f>
        <v>599148</v>
      </c>
      <c r="T760" s="1146" t="s">
        <v>346</v>
      </c>
      <c r="U760" s="1847"/>
      <c r="V760" s="1834"/>
      <c r="Y760" s="1835"/>
      <c r="Z760" s="1835"/>
    </row>
    <row r="761" spans="1:26" s="1833" customFormat="1" ht="14.25" x14ac:dyDescent="0.2">
      <c r="A761" s="1840"/>
      <c r="B761" s="728" t="s">
        <v>368</v>
      </c>
      <c r="C761" s="730"/>
      <c r="D761" s="1208">
        <f>D757*0.087</f>
        <v>3213.2598266601758</v>
      </c>
      <c r="E761" s="1208">
        <f t="shared" ref="E761:N761" si="35">E757*0.087</f>
        <v>3290.4255981445508</v>
      </c>
      <c r="F761" s="1208">
        <f t="shared" si="35"/>
        <v>3251.8851928710737</v>
      </c>
      <c r="G761" s="1208">
        <f t="shared" si="35"/>
        <v>3043.5238037108879</v>
      </c>
      <c r="H761" s="1208">
        <f t="shared" si="35"/>
        <v>2904.495849609375</v>
      </c>
      <c r="I761" s="1208">
        <f t="shared" si="35"/>
        <v>3117.0362548828616</v>
      </c>
      <c r="J761" s="1208">
        <f t="shared" si="35"/>
        <v>2877.6959838865209</v>
      </c>
      <c r="K761" s="1208">
        <f t="shared" si="35"/>
        <v>3007.9357910151894</v>
      </c>
      <c r="L761" s="1208">
        <f t="shared" si="35"/>
        <v>3037.8739013678401</v>
      </c>
      <c r="M761" s="1208">
        <f t="shared" si="35"/>
        <v>2650.0166015625</v>
      </c>
      <c r="N761" s="1208">
        <f t="shared" si="35"/>
        <v>2351.4320068357197</v>
      </c>
      <c r="O761" s="1208">
        <f>O757*0.083</f>
        <v>2347.5767822267703</v>
      </c>
      <c r="P761" s="1219">
        <f t="shared" si="34"/>
        <v>35093.157592773467</v>
      </c>
      <c r="Q761" s="1146" t="s">
        <v>865</v>
      </c>
      <c r="R761" s="697"/>
      <c r="S761" s="2201"/>
      <c r="T761" s="2197"/>
      <c r="U761" s="1847"/>
      <c r="V761" s="1834"/>
      <c r="Y761" s="1835"/>
      <c r="Z761" s="1835"/>
    </row>
    <row r="762" spans="1:26" s="1833" customFormat="1" ht="14.25" x14ac:dyDescent="0.2">
      <c r="A762" s="1840"/>
      <c r="B762" s="728" t="s">
        <v>369</v>
      </c>
      <c r="C762" s="730"/>
      <c r="D762" s="1208">
        <f>D758*12.95</f>
        <v>5749.7999999999993</v>
      </c>
      <c r="E762" s="1208">
        <f t="shared" ref="E762:N762" si="36">E758*12.95</f>
        <v>5063.45</v>
      </c>
      <c r="F762" s="1208">
        <f t="shared" si="36"/>
        <v>3768.45</v>
      </c>
      <c r="G762" s="1208">
        <f t="shared" si="36"/>
        <v>2926.7</v>
      </c>
      <c r="H762" s="1208">
        <f t="shared" si="36"/>
        <v>2615.8999999999996</v>
      </c>
      <c r="I762" s="1208">
        <f t="shared" si="36"/>
        <v>2538.1999999999998</v>
      </c>
      <c r="J762" s="1208">
        <f t="shared" si="36"/>
        <v>2538.1999999999998</v>
      </c>
      <c r="K762" s="1208">
        <f t="shared" si="36"/>
        <v>2823.1</v>
      </c>
      <c r="L762" s="1208">
        <f t="shared" si="36"/>
        <v>3638.95</v>
      </c>
      <c r="M762" s="1208">
        <f t="shared" si="36"/>
        <v>3768.45</v>
      </c>
      <c r="N762" s="1208">
        <f t="shared" si="36"/>
        <v>4144</v>
      </c>
      <c r="O762" s="1208">
        <f>O758*12.76</f>
        <v>4925.3599999999997</v>
      </c>
      <c r="P762" s="1219">
        <f t="shared" si="34"/>
        <v>44500.560000000005</v>
      </c>
      <c r="Q762" s="1146" t="s">
        <v>865</v>
      </c>
      <c r="R762" s="697"/>
      <c r="S762" s="1849"/>
      <c r="T762" s="1847"/>
      <c r="U762" s="1847"/>
      <c r="V762" s="1834"/>
      <c r="Y762" s="1835"/>
      <c r="Z762" s="1835"/>
    </row>
    <row r="763" spans="1:26" s="1833" customFormat="1" ht="16.5" x14ac:dyDescent="0.35">
      <c r="A763" s="1840"/>
      <c r="B763" s="728" t="s">
        <v>326</v>
      </c>
      <c r="C763" s="730"/>
      <c r="D763" s="1208">
        <f>D759*12.02</f>
        <v>1299.3631539200014</v>
      </c>
      <c r="E763" s="1208">
        <f t="shared" ref="E763:N763" si="37">E759*12.02</f>
        <v>1461.9951001599991</v>
      </c>
      <c r="F763" s="1208">
        <f t="shared" si="37"/>
        <v>1987.9887615999974</v>
      </c>
      <c r="G763" s="1208">
        <f t="shared" si="37"/>
        <v>2678.7745075200041</v>
      </c>
      <c r="H763" s="1208">
        <f t="shared" si="37"/>
        <v>3435.4352383999981</v>
      </c>
      <c r="I763" s="1208">
        <f t="shared" si="37"/>
        <v>3309.2210073599986</v>
      </c>
      <c r="J763" s="1208">
        <f t="shared" si="37"/>
        <v>3199.727846400001</v>
      </c>
      <c r="K763" s="1208">
        <f t="shared" si="37"/>
        <v>3049.3543769599992</v>
      </c>
      <c r="L763" s="1208">
        <f t="shared" si="37"/>
        <v>2290.6481305600055</v>
      </c>
      <c r="M763" s="1208">
        <f t="shared" si="37"/>
        <v>1901.8078617599997</v>
      </c>
      <c r="N763" s="1208">
        <f t="shared" si="37"/>
        <v>1566.8087308799913</v>
      </c>
      <c r="O763" s="1208">
        <f>O759*13.81</f>
        <v>1788.5324371200004</v>
      </c>
      <c r="P763" s="1219">
        <f t="shared" si="34"/>
        <v>27969.657152639997</v>
      </c>
      <c r="Q763" s="1146" t="s">
        <v>865</v>
      </c>
      <c r="R763" s="697"/>
      <c r="S763" s="1852"/>
      <c r="T763" s="1847"/>
      <c r="U763" s="1847"/>
      <c r="V763" s="1834"/>
      <c r="Y763" s="1835"/>
      <c r="Z763" s="1835"/>
    </row>
    <row r="764" spans="1:26" s="1833" customFormat="1" ht="16.5" x14ac:dyDescent="0.35">
      <c r="A764" s="1840"/>
      <c r="B764" s="1221" t="s">
        <v>325</v>
      </c>
      <c r="C764" s="714"/>
      <c r="D764" s="1147">
        <f>D760*9.33</f>
        <v>522.48</v>
      </c>
      <c r="E764" s="1147">
        <f t="shared" ref="E764:N764" si="38">E760*9.33</f>
        <v>905.01</v>
      </c>
      <c r="F764" s="1147">
        <f t="shared" si="38"/>
        <v>839.7</v>
      </c>
      <c r="G764" s="1147">
        <f t="shared" si="38"/>
        <v>830.37</v>
      </c>
      <c r="H764" s="1147">
        <f t="shared" si="38"/>
        <v>550.47</v>
      </c>
      <c r="I764" s="1147">
        <f t="shared" si="38"/>
        <v>615.78</v>
      </c>
      <c r="J764" s="1147">
        <f t="shared" si="38"/>
        <v>811.71</v>
      </c>
      <c r="K764" s="1147">
        <f t="shared" si="38"/>
        <v>737.07</v>
      </c>
      <c r="L764" s="1147">
        <f t="shared" si="38"/>
        <v>793.05</v>
      </c>
      <c r="M764" s="1147">
        <f t="shared" si="38"/>
        <v>475.83</v>
      </c>
      <c r="N764" s="1147">
        <f t="shared" si="38"/>
        <v>186.6</v>
      </c>
      <c r="O764" s="1147">
        <f>O760*9.39</f>
        <v>206.58</v>
      </c>
      <c r="P764" s="1219">
        <f t="shared" si="34"/>
        <v>7474.65</v>
      </c>
      <c r="Q764" s="1146" t="s">
        <v>865</v>
      </c>
      <c r="R764" s="697"/>
      <c r="S764" s="1852"/>
      <c r="T764" s="1847"/>
      <c r="U764" s="1847"/>
      <c r="V764" s="1834"/>
      <c r="Y764" s="1835"/>
      <c r="Z764" s="1835"/>
    </row>
    <row r="766" spans="1:26" s="125" customFormat="1" x14ac:dyDescent="0.25">
      <c r="A766" s="461">
        <v>46</v>
      </c>
      <c r="B766" s="148" t="s">
        <v>975</v>
      </c>
      <c r="C766" s="152"/>
      <c r="E766" s="157"/>
      <c r="F766" s="157"/>
      <c r="G766" s="157"/>
      <c r="H766" s="157"/>
      <c r="I766" s="157"/>
      <c r="J766" s="157"/>
      <c r="K766" s="157"/>
      <c r="L766" s="157"/>
      <c r="M766" s="157"/>
      <c r="N766" s="157"/>
      <c r="O766" s="157"/>
      <c r="P766" s="157"/>
      <c r="S766" s="126"/>
      <c r="T766" s="148" t="s">
        <v>628</v>
      </c>
      <c r="V766" s="126"/>
      <c r="Y766" s="157"/>
      <c r="Z766" s="157"/>
    </row>
    <row r="767" spans="1:26" s="1833" customFormat="1" x14ac:dyDescent="0.25">
      <c r="A767" s="1840"/>
      <c r="B767" s="712" t="s">
        <v>867</v>
      </c>
      <c r="C767" s="1646"/>
      <c r="D767" s="713"/>
      <c r="E767" s="713"/>
      <c r="F767" s="713"/>
      <c r="G767" s="713"/>
      <c r="H767" s="713"/>
      <c r="I767" s="713"/>
      <c r="J767" s="713"/>
      <c r="K767" s="713"/>
      <c r="L767" s="713"/>
      <c r="M767" s="713"/>
      <c r="N767" s="713"/>
      <c r="O767" s="713"/>
      <c r="P767" s="714"/>
      <c r="Q767" s="715"/>
      <c r="R767" s="716"/>
      <c r="S767" s="1647"/>
      <c r="T767" s="1150"/>
      <c r="U767" s="1847"/>
      <c r="V767" s="1834"/>
      <c r="Y767" s="1835"/>
      <c r="Z767" s="1835"/>
    </row>
    <row r="768" spans="1:26" s="1833" customFormat="1" x14ac:dyDescent="0.25">
      <c r="A768" s="1840"/>
      <c r="B768" s="717" t="s">
        <v>337</v>
      </c>
      <c r="C768" s="1648"/>
      <c r="D768" s="719">
        <v>42583</v>
      </c>
      <c r="E768" s="719">
        <v>42614</v>
      </c>
      <c r="F768" s="719">
        <v>42644</v>
      </c>
      <c r="G768" s="719">
        <v>42675</v>
      </c>
      <c r="H768" s="719">
        <v>42705</v>
      </c>
      <c r="I768" s="719">
        <v>42736</v>
      </c>
      <c r="J768" s="719">
        <v>42767</v>
      </c>
      <c r="K768" s="719">
        <v>42795</v>
      </c>
      <c r="L768" s="719">
        <v>42826</v>
      </c>
      <c r="M768" s="719">
        <v>42856</v>
      </c>
      <c r="N768" s="719">
        <v>42887</v>
      </c>
      <c r="O768" s="719">
        <v>42917</v>
      </c>
      <c r="P768" s="720" t="s">
        <v>338</v>
      </c>
      <c r="Q768" s="721" t="s">
        <v>339</v>
      </c>
      <c r="R768"/>
      <c r="S768" s="720" t="s">
        <v>338</v>
      </c>
      <c r="T768" s="721" t="s">
        <v>339</v>
      </c>
      <c r="U768" s="1882"/>
      <c r="V768" s="1834"/>
      <c r="Y768" s="1835"/>
      <c r="Z768" s="1835"/>
    </row>
    <row r="769" spans="1:26" s="1833" customFormat="1" ht="14.25" x14ac:dyDescent="0.2">
      <c r="A769" s="1840"/>
      <c r="B769" s="722" t="s">
        <v>360</v>
      </c>
      <c r="C769" s="730"/>
      <c r="D769" s="454">
        <v>142992.91992188001</v>
      </c>
      <c r="E769" s="454">
        <v>143932.00683593797</v>
      </c>
      <c r="F769" s="454">
        <v>142215.02685546296</v>
      </c>
      <c r="G769" s="454">
        <v>134521.11816406809</v>
      </c>
      <c r="H769" s="454">
        <v>124160.03417968693</v>
      </c>
      <c r="I769" s="454">
        <v>137486.81640624499</v>
      </c>
      <c r="J769" s="454">
        <v>128972.04589844307</v>
      </c>
      <c r="K769" s="454">
        <v>139423.88916015602</v>
      </c>
      <c r="L769" s="454">
        <v>138697.14355468296</v>
      </c>
      <c r="M769" s="454">
        <v>131389.16015625</v>
      </c>
      <c r="N769" s="454">
        <v>121522.82714844</v>
      </c>
      <c r="O769" s="454">
        <v>128257.20214844</v>
      </c>
      <c r="P769" s="724">
        <f t="shared" ref="P769:P778" si="39">SUM(D769:O769)</f>
        <v>1613570.1904296931</v>
      </c>
      <c r="Q769" s="1145" t="s">
        <v>361</v>
      </c>
      <c r="R769"/>
      <c r="S769" s="734">
        <f>P769*0.003409512</f>
        <v>5501.4869271123234</v>
      </c>
      <c r="T769" s="1145" t="s">
        <v>342</v>
      </c>
      <c r="U769" s="1847"/>
      <c r="V769" s="1834"/>
      <c r="Y769" s="1835"/>
      <c r="Z769" s="1835"/>
    </row>
    <row r="770" spans="1:26" s="1833" customFormat="1" ht="14.25" x14ac:dyDescent="0.2">
      <c r="A770" s="1840"/>
      <c r="B770" s="722" t="s">
        <v>362</v>
      </c>
      <c r="C770" s="730"/>
      <c r="D770" s="454">
        <v>1197.9765625</v>
      </c>
      <c r="E770" s="454">
        <v>958.98046875</v>
      </c>
      <c r="F770" s="454">
        <v>490.69921875</v>
      </c>
      <c r="G770" s="454">
        <v>235.076171875</v>
      </c>
      <c r="H770" s="454">
        <v>134.046875</v>
      </c>
      <c r="I770" s="454">
        <v>145.04052734375</v>
      </c>
      <c r="J770" s="454">
        <v>200.841796875</v>
      </c>
      <c r="K770" s="454">
        <v>227.705078125</v>
      </c>
      <c r="L770" s="454">
        <v>513.46923828125</v>
      </c>
      <c r="M770" s="454">
        <v>629.5009765625</v>
      </c>
      <c r="N770" s="454">
        <v>831.2666015625</v>
      </c>
      <c r="O770" s="454">
        <v>1107.564453125</v>
      </c>
      <c r="P770" s="724">
        <f t="shared" si="39"/>
        <v>6672.16796875</v>
      </c>
      <c r="Q770" s="1145" t="s">
        <v>363</v>
      </c>
      <c r="R770"/>
      <c r="S770" s="1649">
        <f>P770</f>
        <v>6672.16796875</v>
      </c>
      <c r="T770" s="1145" t="s">
        <v>342</v>
      </c>
      <c r="U770" s="1847"/>
      <c r="V770" s="1834"/>
      <c r="Y770" s="1835"/>
      <c r="Z770" s="1835"/>
    </row>
    <row r="771" spans="1:26" s="1833" customFormat="1" ht="14.25" x14ac:dyDescent="0.2">
      <c r="A771" s="1840"/>
      <c r="B771" s="722" t="s">
        <v>364</v>
      </c>
      <c r="C771" s="730"/>
      <c r="D771" s="454">
        <v>162.82518257812214</v>
      </c>
      <c r="E771" s="454">
        <v>193.5513896406294</v>
      </c>
      <c r="F771" s="454">
        <v>301.39158957811856</v>
      </c>
      <c r="G771" s="454">
        <v>462.00680620313017</v>
      </c>
      <c r="H771" s="454">
        <v>580.33201128124847</v>
      </c>
      <c r="I771" s="454">
        <v>551.7521467812528</v>
      </c>
      <c r="J771" s="454">
        <v>371.14792196874856</v>
      </c>
      <c r="K771" s="454">
        <v>423.66183990624972</v>
      </c>
      <c r="L771" s="454">
        <v>218.52040165625164</v>
      </c>
      <c r="M771" s="454">
        <v>201.66837306249943</v>
      </c>
      <c r="N771" s="454">
        <v>175.64351518750135</v>
      </c>
      <c r="O771" s="454">
        <v>144.41519618749675</v>
      </c>
      <c r="P771" s="724">
        <f t="shared" si="39"/>
        <v>3786.9163740312488</v>
      </c>
      <c r="Q771" s="1146" t="s">
        <v>365</v>
      </c>
      <c r="R771"/>
      <c r="S771" s="756">
        <f>P771</f>
        <v>3786.9163740312488</v>
      </c>
      <c r="T771" s="1145" t="s">
        <v>342</v>
      </c>
      <c r="U771" s="1847"/>
      <c r="V771" s="1834"/>
      <c r="Y771" s="1835"/>
      <c r="Z771" s="1835"/>
    </row>
    <row r="772" spans="1:26" s="1833" customFormat="1" ht="14.25" x14ac:dyDescent="0.2">
      <c r="A772" s="1840"/>
      <c r="B772" s="728" t="s">
        <v>864</v>
      </c>
      <c r="C772" s="730"/>
      <c r="D772" s="1193">
        <v>250</v>
      </c>
      <c r="E772" s="1194">
        <v>460</v>
      </c>
      <c r="F772" s="1194">
        <v>450</v>
      </c>
      <c r="G772" s="1194">
        <v>455</v>
      </c>
      <c r="H772" s="1194">
        <v>290</v>
      </c>
      <c r="I772" s="1194">
        <v>315</v>
      </c>
      <c r="J772" s="1195">
        <v>480</v>
      </c>
      <c r="K772" s="750">
        <v>420</v>
      </c>
      <c r="L772" s="750">
        <v>455</v>
      </c>
      <c r="M772" s="750">
        <v>235</v>
      </c>
      <c r="N772" s="750">
        <v>75</v>
      </c>
      <c r="O772" s="750">
        <v>80</v>
      </c>
      <c r="P772" s="1219">
        <f t="shared" si="39"/>
        <v>3965</v>
      </c>
      <c r="Q772" s="1146" t="s">
        <v>379</v>
      </c>
      <c r="R772"/>
      <c r="S772" s="2198">
        <f>P772*748</f>
        <v>2965820</v>
      </c>
      <c r="T772" s="1146" t="s">
        <v>346</v>
      </c>
      <c r="U772" s="1847"/>
      <c r="V772" s="1834"/>
      <c r="Y772" s="1835"/>
      <c r="Z772" s="1835"/>
    </row>
    <row r="773" spans="1:26" s="1833" customFormat="1" ht="14.25" x14ac:dyDescent="0.2">
      <c r="A773" s="1840"/>
      <c r="B773" s="728" t="s">
        <v>1130</v>
      </c>
      <c r="C773" s="730"/>
      <c r="D773" s="759">
        <v>956</v>
      </c>
      <c r="E773" s="760">
        <v>1240</v>
      </c>
      <c r="F773" s="760">
        <v>1441</v>
      </c>
      <c r="G773" s="760">
        <v>1149</v>
      </c>
      <c r="H773" s="760">
        <v>1184</v>
      </c>
      <c r="I773" s="760">
        <v>695</v>
      </c>
      <c r="J773" s="750">
        <v>1111</v>
      </c>
      <c r="K773" s="750">
        <v>1251</v>
      </c>
      <c r="L773" s="750">
        <v>1012</v>
      </c>
      <c r="M773" s="750">
        <v>1348</v>
      </c>
      <c r="N773" s="750">
        <v>914</v>
      </c>
      <c r="O773" s="750">
        <v>761</v>
      </c>
      <c r="P773" s="1219">
        <f t="shared" si="39"/>
        <v>13062</v>
      </c>
      <c r="Q773" s="1146" t="s">
        <v>1131</v>
      </c>
      <c r="R773"/>
      <c r="S773" s="756">
        <f>P773</f>
        <v>13062</v>
      </c>
      <c r="T773" s="1146" t="s">
        <v>1131</v>
      </c>
      <c r="U773" s="1847"/>
      <c r="V773" s="1834"/>
      <c r="Y773" s="1835"/>
      <c r="Z773" s="1835"/>
    </row>
    <row r="774" spans="1:26" s="1833" customFormat="1" ht="14.25" x14ac:dyDescent="0.2">
      <c r="A774" s="1840"/>
      <c r="B774" s="722" t="s">
        <v>368</v>
      </c>
      <c r="C774" s="730"/>
      <c r="D774" s="731">
        <f>D769*0.087</f>
        <v>12440.38403320356</v>
      </c>
      <c r="E774" s="731">
        <f t="shared" ref="E774:N774" si="40">E769*0.087</f>
        <v>12522.084594726603</v>
      </c>
      <c r="F774" s="731">
        <f t="shared" si="40"/>
        <v>12372.707336425277</v>
      </c>
      <c r="G774" s="731">
        <f t="shared" si="40"/>
        <v>11703.337280273923</v>
      </c>
      <c r="H774" s="731">
        <f t="shared" si="40"/>
        <v>10801.922973632762</v>
      </c>
      <c r="I774" s="731">
        <f t="shared" si="40"/>
        <v>11961.353027343313</v>
      </c>
      <c r="J774" s="731">
        <f t="shared" si="40"/>
        <v>11220.567993164546</v>
      </c>
      <c r="K774" s="731">
        <f t="shared" si="40"/>
        <v>12129.878356933572</v>
      </c>
      <c r="L774" s="731">
        <f t="shared" si="40"/>
        <v>12066.651489257416</v>
      </c>
      <c r="M774" s="731">
        <f t="shared" si="40"/>
        <v>11430.85693359375</v>
      </c>
      <c r="N774" s="731">
        <f t="shared" si="40"/>
        <v>10572.485961914279</v>
      </c>
      <c r="O774" s="1208">
        <f>O769*0.083</f>
        <v>10645.347778320522</v>
      </c>
      <c r="P774" s="1219">
        <f t="shared" si="39"/>
        <v>139867.57775878953</v>
      </c>
      <c r="Q774" s="1146" t="s">
        <v>865</v>
      </c>
      <c r="R774"/>
      <c r="S774" s="2201"/>
      <c r="T774" s="1652"/>
      <c r="U774" s="1847"/>
      <c r="V774" s="1834"/>
      <c r="Y774" s="1835"/>
      <c r="Z774" s="1835"/>
    </row>
    <row r="775" spans="1:26" s="1833" customFormat="1" ht="14.25" x14ac:dyDescent="0.2">
      <c r="A775" s="1840"/>
      <c r="B775" s="722" t="s">
        <v>369</v>
      </c>
      <c r="C775" s="730"/>
      <c r="D775" s="731">
        <f>D770*12.95</f>
        <v>15513.796484375</v>
      </c>
      <c r="E775" s="731">
        <f t="shared" ref="E775:N775" si="41">E770*12.95</f>
        <v>12418.797070312499</v>
      </c>
      <c r="F775" s="731">
        <f t="shared" si="41"/>
        <v>6354.5548828124993</v>
      </c>
      <c r="G775" s="731">
        <f t="shared" si="41"/>
        <v>3044.2364257812496</v>
      </c>
      <c r="H775" s="731">
        <f t="shared" si="41"/>
        <v>1735.9070312499998</v>
      </c>
      <c r="I775" s="731">
        <f t="shared" si="41"/>
        <v>1878.2748291015623</v>
      </c>
      <c r="J775" s="731">
        <f t="shared" si="41"/>
        <v>2600.9012695312499</v>
      </c>
      <c r="K775" s="731">
        <f t="shared" si="41"/>
        <v>2948.78076171875</v>
      </c>
      <c r="L775" s="731">
        <f t="shared" si="41"/>
        <v>6649.4266357421875</v>
      </c>
      <c r="M775" s="731">
        <f t="shared" si="41"/>
        <v>8152.0376464843748</v>
      </c>
      <c r="N775" s="731">
        <f t="shared" si="41"/>
        <v>10764.902490234374</v>
      </c>
      <c r="O775" s="1208">
        <f>O770*12.76</f>
        <v>14132.522421874999</v>
      </c>
      <c r="P775" s="1219">
        <f t="shared" si="39"/>
        <v>86194.137949218726</v>
      </c>
      <c r="Q775" s="1146" t="s">
        <v>865</v>
      </c>
      <c r="R775"/>
      <c r="S775" s="1849"/>
      <c r="T775" s="1150"/>
      <c r="U775" s="1847"/>
      <c r="V775" s="1834"/>
      <c r="Y775" s="1835"/>
      <c r="Z775" s="1835"/>
    </row>
    <row r="776" spans="1:26" s="1833" customFormat="1" ht="16.5" x14ac:dyDescent="0.35">
      <c r="A776" s="1840"/>
      <c r="B776" s="722" t="s">
        <v>326</v>
      </c>
      <c r="C776" s="730"/>
      <c r="D776" s="1208">
        <f>D771*12.02</f>
        <v>1957.1586945890281</v>
      </c>
      <c r="E776" s="1208">
        <f t="shared" ref="E776:N776" si="42">E771*12.02</f>
        <v>2326.4877034803653</v>
      </c>
      <c r="F776" s="1208">
        <f t="shared" si="42"/>
        <v>3622.7269067289849</v>
      </c>
      <c r="G776" s="1208">
        <f t="shared" si="42"/>
        <v>5553.3218105616243</v>
      </c>
      <c r="H776" s="1208">
        <f t="shared" si="42"/>
        <v>6975.5907756006063</v>
      </c>
      <c r="I776" s="1208">
        <f t="shared" si="42"/>
        <v>6632.0608043106586</v>
      </c>
      <c r="J776" s="1208">
        <f t="shared" si="42"/>
        <v>4461.1980220643572</v>
      </c>
      <c r="K776" s="1208">
        <f t="shared" si="42"/>
        <v>5092.4153156731218</v>
      </c>
      <c r="L776" s="1208">
        <f t="shared" si="42"/>
        <v>2626.6152279081448</v>
      </c>
      <c r="M776" s="1208">
        <f t="shared" si="42"/>
        <v>2424.0538442112429</v>
      </c>
      <c r="N776" s="1208">
        <f t="shared" si="42"/>
        <v>2111.2350525537663</v>
      </c>
      <c r="O776" s="1208">
        <f>O771*13.81</f>
        <v>1994.3738593493301</v>
      </c>
      <c r="P776" s="1219">
        <f t="shared" si="39"/>
        <v>45777.238017031232</v>
      </c>
      <c r="Q776" s="1146" t="s">
        <v>865</v>
      </c>
      <c r="R776"/>
      <c r="S776" s="1852"/>
      <c r="T776" s="1150"/>
      <c r="U776" s="1847"/>
      <c r="V776" s="1834"/>
      <c r="Y776" s="1835"/>
      <c r="Z776" s="1835"/>
    </row>
    <row r="777" spans="1:26" s="1833" customFormat="1" ht="16.5" x14ac:dyDescent="0.35">
      <c r="A777" s="1840"/>
      <c r="B777" s="732" t="s">
        <v>325</v>
      </c>
      <c r="C777" s="714"/>
      <c r="D777" s="1147">
        <f>D772*9.33</f>
        <v>2332.5</v>
      </c>
      <c r="E777" s="1147">
        <f t="shared" ref="E777:N777" si="43">E772*9.33</f>
        <v>4291.8</v>
      </c>
      <c r="F777" s="1147">
        <f t="shared" si="43"/>
        <v>4198.5</v>
      </c>
      <c r="G777" s="1147">
        <f t="shared" si="43"/>
        <v>4245.1499999999996</v>
      </c>
      <c r="H777" s="1147">
        <f t="shared" si="43"/>
        <v>2705.7</v>
      </c>
      <c r="I777" s="1147">
        <f t="shared" si="43"/>
        <v>2938.95</v>
      </c>
      <c r="J777" s="1147">
        <f t="shared" si="43"/>
        <v>4478.3999999999996</v>
      </c>
      <c r="K777" s="1147">
        <f t="shared" si="43"/>
        <v>3918.6</v>
      </c>
      <c r="L777" s="1147">
        <f t="shared" si="43"/>
        <v>4245.1499999999996</v>
      </c>
      <c r="M777" s="1147">
        <f t="shared" si="43"/>
        <v>2192.5500000000002</v>
      </c>
      <c r="N777" s="1147">
        <f t="shared" si="43"/>
        <v>699.75</v>
      </c>
      <c r="O777" s="1147">
        <f>O772*9.39</f>
        <v>751.2</v>
      </c>
      <c r="P777" s="1219">
        <f t="shared" si="39"/>
        <v>36998.25</v>
      </c>
      <c r="Q777" s="1146" t="s">
        <v>865</v>
      </c>
      <c r="R777"/>
      <c r="S777" s="1852"/>
      <c r="T777" s="1150"/>
      <c r="U777" s="1847"/>
      <c r="V777" s="1834"/>
      <c r="Y777" s="1835"/>
      <c r="Z777" s="1835"/>
    </row>
    <row r="778" spans="1:26" s="41" customFormat="1" x14ac:dyDescent="0.25">
      <c r="A778" s="1"/>
      <c r="B778" s="732" t="s">
        <v>829</v>
      </c>
      <c r="C778" s="714"/>
      <c r="D778" s="775">
        <v>643.12</v>
      </c>
      <c r="E778" s="775">
        <v>819.01</v>
      </c>
      <c r="F778" s="775">
        <v>945.49</v>
      </c>
      <c r="G778" s="775">
        <v>777.17</v>
      </c>
      <c r="H778" s="775">
        <v>850.43</v>
      </c>
      <c r="I778" s="1147">
        <v>523.05999999999995</v>
      </c>
      <c r="J778" s="1147">
        <v>890.23</v>
      </c>
      <c r="K778" s="1147">
        <v>997</v>
      </c>
      <c r="L778" s="1147">
        <v>817.59</v>
      </c>
      <c r="M778" s="1147">
        <v>1093.52</v>
      </c>
      <c r="N778" s="1147">
        <v>756.09</v>
      </c>
      <c r="O778" s="1147">
        <v>637.14</v>
      </c>
      <c r="P778" s="1219">
        <f t="shared" si="39"/>
        <v>9749.85</v>
      </c>
      <c r="Q778" s="1146" t="s">
        <v>865</v>
      </c>
      <c r="R778"/>
      <c r="S778" s="1849"/>
      <c r="T778" s="1150"/>
      <c r="U778" s="1847"/>
    </row>
    <row r="779" spans="1:26" x14ac:dyDescent="0.25">
      <c r="B779" s="1149"/>
      <c r="C779" s="714"/>
      <c r="D779" s="1662"/>
      <c r="E779" s="1662"/>
      <c r="F779" s="1662"/>
      <c r="G779" s="1662"/>
      <c r="H779" s="1662"/>
      <c r="I779" s="177"/>
      <c r="J779" s="177"/>
      <c r="K779" s="177"/>
      <c r="L779" s="177"/>
      <c r="M779" s="177"/>
      <c r="N779" s="177"/>
      <c r="O779" s="177"/>
      <c r="P779" s="177"/>
      <c r="Q779" s="1663"/>
      <c r="R779" s="1150"/>
      <c r="S779" s="1211"/>
      <c r="T779" s="1647"/>
      <c r="U779" s="1150"/>
    </row>
    <row r="780" spans="1:26" s="128" customFormat="1" x14ac:dyDescent="0.25">
      <c r="A780" s="459">
        <v>47</v>
      </c>
      <c r="B780" s="127" t="s">
        <v>1009</v>
      </c>
      <c r="C780" s="173"/>
      <c r="S780" s="173"/>
      <c r="T780" s="127" t="s">
        <v>629</v>
      </c>
      <c r="W780" s="129"/>
      <c r="Y780" s="166"/>
      <c r="Z780" s="166"/>
    </row>
    <row r="781" spans="1:26" s="1833" customFormat="1" ht="15.75" x14ac:dyDescent="0.25">
      <c r="A781" s="1840"/>
      <c r="B781" s="1640" t="s">
        <v>1412</v>
      </c>
      <c r="C781" s="2143"/>
      <c r="D781" s="2143"/>
      <c r="E781" s="2143"/>
      <c r="F781" s="2143"/>
      <c r="G781" s="2143"/>
      <c r="H781" s="2143"/>
      <c r="I781" s="2143"/>
      <c r="J781" s="2143"/>
      <c r="K781" s="2143"/>
      <c r="L781" s="2143"/>
      <c r="M781" s="2143"/>
      <c r="N781" s="2143"/>
      <c r="S781" s="1840"/>
      <c r="T781" s="1866"/>
      <c r="W781" s="1834"/>
      <c r="Y781" s="1835"/>
      <c r="Z781" s="1835"/>
    </row>
    <row r="782" spans="1:26" s="1833" customFormat="1" ht="15.75" x14ac:dyDescent="0.25">
      <c r="A782" s="1840"/>
      <c r="B782" s="472" t="s">
        <v>732</v>
      </c>
      <c r="C782" s="473" t="s">
        <v>1540</v>
      </c>
      <c r="D782" s="473">
        <v>42583</v>
      </c>
      <c r="E782" s="473">
        <v>42614</v>
      </c>
      <c r="F782" s="473">
        <v>42644</v>
      </c>
      <c r="G782" s="473">
        <v>42675</v>
      </c>
      <c r="H782" s="473">
        <v>42705</v>
      </c>
      <c r="I782" s="473">
        <v>42736</v>
      </c>
      <c r="J782" s="473">
        <v>42767</v>
      </c>
      <c r="K782" s="473">
        <v>42795</v>
      </c>
      <c r="L782" s="473">
        <v>42826</v>
      </c>
      <c r="M782" s="473">
        <v>42856</v>
      </c>
      <c r="N782" s="473">
        <v>42887</v>
      </c>
      <c r="S782" s="1840"/>
      <c r="T782" s="1866"/>
      <c r="W782" s="1834"/>
      <c r="Y782" s="1835"/>
      <c r="Z782" s="1835"/>
    </row>
    <row r="783" spans="1:26" s="1833" customFormat="1" ht="15.75" x14ac:dyDescent="0.25">
      <c r="A783" s="1840"/>
      <c r="B783" s="1100" t="s">
        <v>1098</v>
      </c>
      <c r="C783" s="2142"/>
      <c r="D783" s="2142"/>
      <c r="E783" s="2142"/>
      <c r="F783" s="2142"/>
      <c r="G783" s="2142"/>
      <c r="H783" s="2142"/>
      <c r="I783" s="2142"/>
      <c r="J783" s="2142"/>
      <c r="K783" s="2142"/>
      <c r="L783" s="2142"/>
      <c r="M783" s="2142"/>
      <c r="N783" s="2142"/>
      <c r="S783" s="1840"/>
      <c r="T783" s="1866"/>
      <c r="W783" s="1834"/>
      <c r="Y783" s="1835"/>
      <c r="Z783" s="1835"/>
    </row>
    <row r="784" spans="1:26" s="1833" customFormat="1" ht="15.75" x14ac:dyDescent="0.25">
      <c r="A784" s="1840"/>
      <c r="B784" s="1629" t="s">
        <v>1093</v>
      </c>
      <c r="C784" s="1631">
        <v>52947</v>
      </c>
      <c r="D784" s="1631">
        <v>62731</v>
      </c>
      <c r="E784" s="1631">
        <v>89755</v>
      </c>
      <c r="F784" s="1631">
        <v>64121</v>
      </c>
      <c r="G784" s="1631">
        <v>61865</v>
      </c>
      <c r="H784" s="1631">
        <v>77423</v>
      </c>
      <c r="I784" s="1631">
        <v>80723</v>
      </c>
      <c r="J784" s="1631">
        <v>67610</v>
      </c>
      <c r="K784" s="1631">
        <v>71297</v>
      </c>
      <c r="L784" s="1631">
        <v>67750</v>
      </c>
      <c r="M784" s="1631">
        <v>54725</v>
      </c>
      <c r="N784" s="1631">
        <v>44235</v>
      </c>
      <c r="S784" s="1840"/>
      <c r="T784" s="1866"/>
      <c r="W784" s="1834"/>
      <c r="Y784" s="1835"/>
      <c r="Z784" s="1835"/>
    </row>
    <row r="785" spans="1:26" s="1833" customFormat="1" ht="15.75" x14ac:dyDescent="0.25">
      <c r="A785" s="1840"/>
      <c r="B785" s="1629" t="s">
        <v>322</v>
      </c>
      <c r="C785" s="1631">
        <v>12716.884</v>
      </c>
      <c r="D785" s="1631">
        <v>65080.524000000005</v>
      </c>
      <c r="E785" s="1631">
        <v>136145.46400000001</v>
      </c>
      <c r="F785" s="1631">
        <v>207210.40400000001</v>
      </c>
      <c r="G785" s="1631">
        <v>162327.28400000001</v>
      </c>
      <c r="H785" s="1631">
        <v>184768.84400000001</v>
      </c>
      <c r="I785" s="1631">
        <v>69568.835999999996</v>
      </c>
      <c r="J785" s="1631">
        <v>181776.636</v>
      </c>
      <c r="K785" s="1631">
        <v>199729.88400000002</v>
      </c>
      <c r="L785" s="1631">
        <v>185516.89600000001</v>
      </c>
      <c r="M785" s="1631">
        <v>184020.79200000002</v>
      </c>
      <c r="N785" s="1631">
        <v>24685.716</v>
      </c>
      <c r="S785" s="1840"/>
      <c r="T785" s="1866"/>
      <c r="W785" s="1834"/>
      <c r="Y785" s="1835"/>
      <c r="Z785" s="1835"/>
    </row>
    <row r="786" spans="1:26" s="1833" customFormat="1" ht="15.75" x14ac:dyDescent="0.25">
      <c r="A786" s="1840"/>
      <c r="B786" s="441"/>
      <c r="C786" s="1631"/>
      <c r="D786" s="1631"/>
      <c r="E786" s="1631"/>
      <c r="F786" s="1631"/>
      <c r="G786" s="1631"/>
      <c r="H786" s="1631"/>
      <c r="I786" s="1631"/>
      <c r="J786" s="1631"/>
      <c r="K786" s="1631"/>
      <c r="L786" s="1631"/>
      <c r="M786" s="1631"/>
      <c r="N786" s="1631"/>
      <c r="S786" s="1840"/>
      <c r="T786" s="1866"/>
      <c r="W786" s="1834"/>
      <c r="Y786" s="1835"/>
      <c r="Z786" s="1835"/>
    </row>
    <row r="787" spans="1:26" s="1833" customFormat="1" ht="15.75" x14ac:dyDescent="0.25">
      <c r="A787" s="1840"/>
      <c r="B787" s="1632" t="s">
        <v>641</v>
      </c>
      <c r="C787" s="1631">
        <v>143</v>
      </c>
      <c r="D787" s="1631">
        <v>166</v>
      </c>
      <c r="E787" s="1631">
        <v>414</v>
      </c>
      <c r="F787" s="1631">
        <v>481</v>
      </c>
      <c r="G787" s="1631">
        <v>582</v>
      </c>
      <c r="H787" s="1631">
        <v>579</v>
      </c>
      <c r="I787" s="1631">
        <v>385</v>
      </c>
      <c r="J787" s="1631">
        <v>693</v>
      </c>
      <c r="K787" s="1631">
        <v>633</v>
      </c>
      <c r="L787" s="1631">
        <v>698</v>
      </c>
      <c r="M787" s="1631">
        <v>522</v>
      </c>
      <c r="N787" s="1631">
        <v>132</v>
      </c>
      <c r="S787" s="1840"/>
      <c r="T787" s="1866"/>
      <c r="W787" s="1834"/>
      <c r="Y787" s="1835"/>
      <c r="Z787" s="1835"/>
    </row>
    <row r="788" spans="1:26" s="1833" customFormat="1" ht="15.75" x14ac:dyDescent="0.25">
      <c r="A788" s="1840"/>
      <c r="B788" s="1633"/>
      <c r="C788" s="1631"/>
      <c r="D788" s="1631"/>
      <c r="E788" s="1631"/>
      <c r="F788" s="1631"/>
      <c r="G788" s="1631"/>
      <c r="H788" s="1631"/>
      <c r="I788" s="1631"/>
      <c r="J788" s="1631"/>
      <c r="K788" s="1631"/>
      <c r="L788" s="1631"/>
      <c r="M788" s="1631"/>
      <c r="N788" s="1631"/>
      <c r="S788" s="1840"/>
      <c r="T788" s="1866"/>
      <c r="W788" s="1834"/>
      <c r="Y788" s="1835"/>
      <c r="Z788" s="1835"/>
    </row>
    <row r="789" spans="1:26" s="1833" customFormat="1" ht="15.75" x14ac:dyDescent="0.25">
      <c r="A789" s="1840"/>
      <c r="B789" s="1629" t="s">
        <v>324</v>
      </c>
      <c r="C789" s="1631">
        <v>4985.53</v>
      </c>
      <c r="D789" s="1631">
        <v>5586.64</v>
      </c>
      <c r="E789" s="1631">
        <v>7013.41</v>
      </c>
      <c r="F789" s="1631">
        <v>5456.15</v>
      </c>
      <c r="G789" s="1631">
        <v>5325.55</v>
      </c>
      <c r="H789" s="1631">
        <v>5849.65</v>
      </c>
      <c r="I789" s="1631">
        <v>6323.85</v>
      </c>
      <c r="J789" s="1631">
        <v>5023</v>
      </c>
      <c r="K789" s="1631">
        <v>5420.92</v>
      </c>
      <c r="L789" s="1631">
        <v>4671.9399999999996</v>
      </c>
      <c r="M789" s="1631">
        <v>4136.38</v>
      </c>
      <c r="N789" s="1631">
        <v>3357.39</v>
      </c>
      <c r="S789" s="1840"/>
      <c r="T789" s="1866"/>
      <c r="W789" s="1834"/>
      <c r="Y789" s="1835"/>
      <c r="Z789" s="1835"/>
    </row>
    <row r="790" spans="1:26" s="1833" customFormat="1" ht="15.75" x14ac:dyDescent="0.25">
      <c r="A790" s="1840"/>
      <c r="B790" s="1634" t="s">
        <v>328</v>
      </c>
      <c r="C790" s="1631">
        <v>871.69</v>
      </c>
      <c r="D790" s="1631">
        <v>1315.23</v>
      </c>
      <c r="E790" s="1631">
        <v>1912.78</v>
      </c>
      <c r="F790" s="1631">
        <v>2510.33</v>
      </c>
      <c r="G790" s="1631">
        <v>2132.9299999999998</v>
      </c>
      <c r="H790" s="1631">
        <v>2321.63</v>
      </c>
      <c r="I790" s="1631">
        <v>1352.97</v>
      </c>
      <c r="J790" s="1631">
        <v>2296.4699999999998</v>
      </c>
      <c r="K790" s="1631">
        <v>2447.4299999999998</v>
      </c>
      <c r="L790" s="1631">
        <v>2327.92</v>
      </c>
      <c r="M790" s="1631">
        <v>2315.34</v>
      </c>
      <c r="N790" s="1631">
        <v>975.57</v>
      </c>
      <c r="S790" s="1840"/>
      <c r="T790" s="1866"/>
      <c r="W790" s="1834"/>
      <c r="Y790" s="1835"/>
      <c r="Z790" s="1835"/>
    </row>
    <row r="791" spans="1:26" s="1833" customFormat="1" ht="15.75" x14ac:dyDescent="0.25">
      <c r="A791" s="1840"/>
      <c r="B791" s="1633" t="s">
        <v>733</v>
      </c>
      <c r="C791" s="1631">
        <v>128.56</v>
      </c>
      <c r="D791" s="1631">
        <v>145.46</v>
      </c>
      <c r="E791" s="1631">
        <v>327.60000000000002</v>
      </c>
      <c r="F791" s="1631">
        <v>380.08</v>
      </c>
      <c r="G791" s="1631">
        <f>489.89-69.48</f>
        <v>420.40999999999997</v>
      </c>
      <c r="H791" s="1631">
        <v>531.77</v>
      </c>
      <c r="I791" s="1631">
        <v>373.82</v>
      </c>
      <c r="J791" s="1631">
        <v>643.83000000000004</v>
      </c>
      <c r="K791" s="1631">
        <v>590.13</v>
      </c>
      <c r="L791" s="1631">
        <v>622.72</v>
      </c>
      <c r="M791" s="1631">
        <v>475.67</v>
      </c>
      <c r="N791" s="1631">
        <v>138.5</v>
      </c>
      <c r="S791" s="1840"/>
      <c r="T791" s="1866"/>
      <c r="W791" s="1834"/>
      <c r="Y791" s="1835"/>
      <c r="Z791" s="1835"/>
    </row>
    <row r="792" spans="1:26" s="1833" customFormat="1" ht="15.75" x14ac:dyDescent="0.25">
      <c r="A792" s="1840"/>
      <c r="B792" s="1109"/>
      <c r="C792" s="1859"/>
      <c r="D792" s="1859"/>
      <c r="E792" s="1859"/>
      <c r="F792" s="1859"/>
      <c r="G792" s="1859"/>
      <c r="H792" s="1859"/>
      <c r="I792" s="1859"/>
      <c r="J792" s="1859"/>
      <c r="K792" s="1859"/>
      <c r="L792" s="1859"/>
      <c r="M792" s="1859"/>
      <c r="N792" s="1859"/>
      <c r="S792" s="1840"/>
      <c r="T792" s="1866"/>
      <c r="W792" s="1834"/>
      <c r="Y792" s="1835"/>
      <c r="Z792" s="1835"/>
    </row>
    <row r="793" spans="1:26" s="128" customFormat="1" x14ac:dyDescent="0.25">
      <c r="A793" s="459">
        <v>48</v>
      </c>
      <c r="B793" s="127" t="s">
        <v>736</v>
      </c>
      <c r="C793" s="173"/>
      <c r="S793" s="173"/>
      <c r="T793" s="127" t="s">
        <v>630</v>
      </c>
      <c r="W793" s="129"/>
      <c r="Y793" s="166"/>
      <c r="Z793" s="166"/>
    </row>
    <row r="794" spans="1:26" s="1833" customFormat="1" ht="15.75" x14ac:dyDescent="0.25">
      <c r="A794" s="1840"/>
      <c r="B794" s="1640" t="s">
        <v>1416</v>
      </c>
      <c r="C794" s="2143"/>
      <c r="D794" s="2143"/>
      <c r="E794" s="2143"/>
      <c r="F794" s="2143"/>
      <c r="G794" s="2143"/>
      <c r="H794" s="2143"/>
      <c r="I794" s="2143"/>
      <c r="J794" s="2143"/>
      <c r="K794" s="2143"/>
      <c r="L794" s="2143"/>
      <c r="M794" s="2143"/>
      <c r="N794" s="2143"/>
      <c r="S794" s="1840"/>
      <c r="T794" s="1866"/>
      <c r="W794" s="1834"/>
      <c r="Y794" s="1835"/>
      <c r="Z794" s="1835"/>
    </row>
    <row r="795" spans="1:26" s="1833" customFormat="1" ht="15.75" x14ac:dyDescent="0.25">
      <c r="A795" s="1840"/>
      <c r="B795" s="472" t="s">
        <v>1099</v>
      </c>
      <c r="C795" s="473" t="s">
        <v>1540</v>
      </c>
      <c r="D795" s="473">
        <v>42583</v>
      </c>
      <c r="E795" s="473">
        <v>42614</v>
      </c>
      <c r="F795" s="473">
        <v>42644</v>
      </c>
      <c r="G795" s="473">
        <v>42675</v>
      </c>
      <c r="H795" s="473">
        <v>42705</v>
      </c>
      <c r="I795" s="473">
        <v>42736</v>
      </c>
      <c r="J795" s="473">
        <v>42767</v>
      </c>
      <c r="K795" s="473">
        <v>42795</v>
      </c>
      <c r="L795" s="473">
        <v>42826</v>
      </c>
      <c r="M795" s="473">
        <v>42856</v>
      </c>
      <c r="N795" s="473">
        <v>42887</v>
      </c>
      <c r="S795" s="1840"/>
      <c r="T795" s="1866"/>
      <c r="W795" s="1834"/>
      <c r="Y795" s="1835"/>
      <c r="Z795" s="1835"/>
    </row>
    <row r="796" spans="1:26" s="1833" customFormat="1" ht="15.75" x14ac:dyDescent="0.25">
      <c r="A796" s="1840"/>
      <c r="B796" s="1100" t="s">
        <v>1100</v>
      </c>
      <c r="C796" s="2142"/>
      <c r="D796" s="2142"/>
      <c r="E796" s="2142"/>
      <c r="F796" s="2142"/>
      <c r="G796" s="2142"/>
      <c r="H796" s="2142"/>
      <c r="I796" s="2142"/>
      <c r="J796" s="2142"/>
      <c r="K796" s="2142"/>
      <c r="L796" s="2142"/>
      <c r="M796" s="2142"/>
      <c r="N796" s="2142"/>
      <c r="S796" s="1840"/>
      <c r="T796" s="1866"/>
      <c r="W796" s="1834"/>
      <c r="Y796" s="1835"/>
      <c r="Z796" s="1835"/>
    </row>
    <row r="797" spans="1:26" s="1833" customFormat="1" ht="15.75" x14ac:dyDescent="0.25">
      <c r="A797" s="1840"/>
      <c r="B797" s="1629" t="s">
        <v>1093</v>
      </c>
      <c r="C797" s="1631">
        <v>78871</v>
      </c>
      <c r="D797" s="1631">
        <v>71264</v>
      </c>
      <c r="E797" s="1631">
        <v>95727</v>
      </c>
      <c r="F797" s="1631">
        <v>68240</v>
      </c>
      <c r="G797" s="1631">
        <v>65326</v>
      </c>
      <c r="H797" s="1631">
        <v>73775</v>
      </c>
      <c r="I797" s="1631">
        <v>78216</v>
      </c>
      <c r="J797" s="1631">
        <v>68943</v>
      </c>
      <c r="K797" s="1631">
        <v>72435</v>
      </c>
      <c r="L797" s="1631">
        <v>70192</v>
      </c>
      <c r="M797" s="1631">
        <v>56867</v>
      </c>
      <c r="N797" s="1631">
        <v>45785</v>
      </c>
      <c r="S797" s="1840"/>
      <c r="T797" s="1866"/>
      <c r="W797" s="1834"/>
      <c r="Y797" s="1835"/>
      <c r="Z797" s="1835"/>
    </row>
    <row r="798" spans="1:26" s="1833" customFormat="1" ht="15.75" x14ac:dyDescent="0.25">
      <c r="A798" s="1840"/>
      <c r="B798" s="1629" t="s">
        <v>322</v>
      </c>
      <c r="C798" s="1631">
        <v>150358.45199999999</v>
      </c>
      <c r="D798" s="1631">
        <v>119688.32000000001</v>
      </c>
      <c r="E798" s="1631">
        <v>150358.45199999999</v>
      </c>
      <c r="F798" s="1631">
        <v>249849.36800000002</v>
      </c>
      <c r="G798" s="1631">
        <v>167563.64800000002</v>
      </c>
      <c r="H798" s="1631">
        <v>185516.89600000001</v>
      </c>
      <c r="I798" s="1631">
        <v>80041.563999999998</v>
      </c>
      <c r="J798" s="1631">
        <v>173548.06400000001</v>
      </c>
      <c r="K798" s="1631">
        <v>188509.10399999999</v>
      </c>
      <c r="L798" s="1631">
        <v>169807.804</v>
      </c>
      <c r="M798" s="1631">
        <v>169059.75200000001</v>
      </c>
      <c r="N798" s="1631">
        <v>18701.3</v>
      </c>
      <c r="S798" s="1840"/>
      <c r="T798" s="1866"/>
      <c r="W798" s="1834"/>
      <c r="Y798" s="1835"/>
      <c r="Z798" s="1835"/>
    </row>
    <row r="799" spans="1:26" s="1833" customFormat="1" ht="15.75" x14ac:dyDescent="0.25">
      <c r="A799" s="1840"/>
      <c r="B799" s="441"/>
      <c r="C799" s="1631"/>
      <c r="D799" s="1631"/>
      <c r="E799" s="1631"/>
      <c r="F799" s="1631"/>
      <c r="G799" s="1631"/>
      <c r="H799" s="1631"/>
      <c r="I799" s="1631"/>
      <c r="J799" s="1631"/>
      <c r="K799" s="1631"/>
      <c r="L799" s="1631"/>
      <c r="M799" s="1631"/>
      <c r="N799" s="1631"/>
      <c r="S799" s="1840"/>
      <c r="T799" s="1866"/>
      <c r="W799" s="1834"/>
      <c r="Y799" s="1835"/>
      <c r="Z799" s="1835"/>
    </row>
    <row r="800" spans="1:26" s="1833" customFormat="1" ht="15.75" x14ac:dyDescent="0.25">
      <c r="A800" s="1840"/>
      <c r="B800" s="1632" t="s">
        <v>641</v>
      </c>
      <c r="C800" s="1631">
        <v>262</v>
      </c>
      <c r="D800" s="1631">
        <v>176</v>
      </c>
      <c r="E800" s="1631">
        <v>298</v>
      </c>
      <c r="F800" s="1631">
        <v>377</v>
      </c>
      <c r="G800" s="1631">
        <v>482</v>
      </c>
      <c r="H800" s="1631">
        <v>504</v>
      </c>
      <c r="I800" s="1631">
        <v>326</v>
      </c>
      <c r="J800" s="1631">
        <v>617</v>
      </c>
      <c r="K800" s="1631">
        <v>563</v>
      </c>
      <c r="L800" s="1631">
        <v>581</v>
      </c>
      <c r="M800" s="1631">
        <v>418</v>
      </c>
      <c r="N800" s="1631">
        <v>67</v>
      </c>
      <c r="S800" s="1840"/>
      <c r="T800" s="1866"/>
      <c r="W800" s="1834"/>
      <c r="Y800" s="1835"/>
      <c r="Z800" s="1835"/>
    </row>
    <row r="801" spans="1:26" s="1833" customFormat="1" ht="15.75" x14ac:dyDescent="0.25">
      <c r="A801" s="1840"/>
      <c r="B801" s="1633"/>
      <c r="C801" s="1631"/>
      <c r="D801" s="1631"/>
      <c r="E801" s="1631"/>
      <c r="F801" s="1631"/>
      <c r="G801" s="1631"/>
      <c r="H801" s="1631"/>
      <c r="I801" s="1631"/>
      <c r="J801" s="1631"/>
      <c r="K801" s="1631"/>
      <c r="L801" s="1631"/>
      <c r="M801" s="1631"/>
      <c r="N801" s="1631"/>
      <c r="S801" s="1840"/>
      <c r="T801" s="1866"/>
      <c r="W801" s="1834"/>
      <c r="Y801" s="1835"/>
      <c r="Z801" s="1835"/>
    </row>
    <row r="802" spans="1:26" s="1833" customFormat="1" ht="15.75" x14ac:dyDescent="0.25">
      <c r="A802" s="1840"/>
      <c r="B802" s="1629" t="s">
        <v>324</v>
      </c>
      <c r="C802" s="1631">
        <v>6609.37</v>
      </c>
      <c r="D802" s="1631">
        <v>6148.93</v>
      </c>
      <c r="E802" s="1631">
        <v>7393.57</v>
      </c>
      <c r="F802" s="1631">
        <v>5735.35</v>
      </c>
      <c r="G802" s="1631">
        <f>5250.74+4.19+367.85</f>
        <v>5622.78</v>
      </c>
      <c r="H802" s="1631">
        <v>6003</v>
      </c>
      <c r="I802" s="1631">
        <v>6301.18</v>
      </c>
      <c r="J802" s="1631">
        <v>5745.8</v>
      </c>
      <c r="K802" s="1631">
        <v>5945.03</v>
      </c>
      <c r="L802" s="1631">
        <v>4837.1899999999996</v>
      </c>
      <c r="M802" s="1631">
        <v>4218.07</v>
      </c>
      <c r="N802" s="1631">
        <v>3500.23</v>
      </c>
      <c r="S802" s="1840"/>
      <c r="T802" s="1866"/>
      <c r="W802" s="1834"/>
      <c r="Y802" s="1835"/>
      <c r="Z802" s="1835"/>
    </row>
    <row r="803" spans="1:26" s="1833" customFormat="1" ht="15.75" x14ac:dyDescent="0.25">
      <c r="A803" s="1840"/>
      <c r="B803" s="1634" t="s">
        <v>328</v>
      </c>
      <c r="C803" s="1631">
        <v>1992.87</v>
      </c>
      <c r="D803" s="1631">
        <v>1774.4</v>
      </c>
      <c r="E803" s="1631">
        <v>2032.29</v>
      </c>
      <c r="F803" s="1631">
        <v>2868.86</v>
      </c>
      <c r="G803" s="1631">
        <v>2176.96</v>
      </c>
      <c r="H803" s="1631">
        <v>2327.92</v>
      </c>
      <c r="I803" s="1631">
        <v>1441.03</v>
      </c>
      <c r="J803" s="1631">
        <v>2227.2800000000002</v>
      </c>
      <c r="K803" s="1631">
        <v>2353.08</v>
      </c>
      <c r="L803" s="1631">
        <v>2195.83</v>
      </c>
      <c r="M803" s="1631">
        <f>2199.54-10</f>
        <v>2189.54</v>
      </c>
      <c r="N803" s="1631">
        <v>925.25</v>
      </c>
      <c r="S803" s="1840"/>
      <c r="T803" s="1866"/>
      <c r="W803" s="1834"/>
      <c r="Y803" s="1835"/>
      <c r="Z803" s="1835"/>
    </row>
    <row r="804" spans="1:26" s="1833" customFormat="1" ht="15.75" x14ac:dyDescent="0.25">
      <c r="A804" s="1840"/>
      <c r="B804" s="1633" t="s">
        <v>733</v>
      </c>
      <c r="C804" s="1631">
        <v>215.96</v>
      </c>
      <c r="D804" s="1631">
        <v>152.80000000000001</v>
      </c>
      <c r="E804" s="1631">
        <v>242.4</v>
      </c>
      <c r="F804" s="1631">
        <v>302.83999999999997</v>
      </c>
      <c r="G804" s="1631">
        <f>409.76-67.1</f>
        <v>342.65999999999997</v>
      </c>
      <c r="H804" s="1631">
        <v>465.71</v>
      </c>
      <c r="I804" s="1631">
        <v>320.29000000000002</v>
      </c>
      <c r="J804" s="1631">
        <v>575.79999999999995</v>
      </c>
      <c r="K804" s="1631">
        <v>527.47</v>
      </c>
      <c r="L804" s="1631">
        <v>522.28</v>
      </c>
      <c r="M804" s="1631">
        <v>385.6</v>
      </c>
      <c r="N804" s="1631">
        <v>81.900000000000006</v>
      </c>
      <c r="S804" s="1840"/>
      <c r="T804" s="1866"/>
      <c r="W804" s="1834"/>
      <c r="Y804" s="1835"/>
      <c r="Z804" s="1835"/>
    </row>
    <row r="806" spans="1:26" s="128" customFormat="1" x14ac:dyDescent="0.25">
      <c r="A806" s="459">
        <v>49</v>
      </c>
      <c r="B806" s="127" t="s">
        <v>1411</v>
      </c>
      <c r="C806" s="173"/>
      <c r="S806" s="173"/>
      <c r="T806" s="127" t="s">
        <v>631</v>
      </c>
      <c r="W806" s="129"/>
      <c r="Y806" s="166"/>
      <c r="Z806" s="166"/>
    </row>
    <row r="807" spans="1:26" s="1833" customFormat="1" ht="15.75" x14ac:dyDescent="0.25">
      <c r="A807" s="1840"/>
      <c r="B807" s="1640" t="s">
        <v>1415</v>
      </c>
      <c r="C807" s="2143"/>
      <c r="D807" s="2143"/>
      <c r="E807" s="2143"/>
      <c r="F807" s="2143"/>
      <c r="G807" s="2143"/>
      <c r="H807" s="2143"/>
      <c r="I807" s="2143"/>
      <c r="J807" s="2143"/>
      <c r="K807" s="2143"/>
      <c r="L807" s="2143"/>
      <c r="M807" s="2143"/>
      <c r="N807" s="2143"/>
      <c r="S807" s="1840"/>
      <c r="T807" s="1866"/>
      <c r="W807" s="1834"/>
      <c r="Y807" s="1835"/>
      <c r="Z807" s="1835"/>
    </row>
    <row r="808" spans="1:26" s="1833" customFormat="1" ht="15.75" x14ac:dyDescent="0.25">
      <c r="A808" s="1840"/>
      <c r="B808" s="472" t="s">
        <v>737</v>
      </c>
      <c r="C808" s="473" t="s">
        <v>1540</v>
      </c>
      <c r="D808" s="473">
        <v>42583</v>
      </c>
      <c r="E808" s="473">
        <v>42614</v>
      </c>
      <c r="F808" s="473">
        <v>42644</v>
      </c>
      <c r="G808" s="473">
        <v>42675</v>
      </c>
      <c r="H808" s="473">
        <v>42705</v>
      </c>
      <c r="I808" s="473">
        <v>42736</v>
      </c>
      <c r="J808" s="473">
        <v>42767</v>
      </c>
      <c r="K808" s="473">
        <v>42795</v>
      </c>
      <c r="L808" s="473">
        <v>42826</v>
      </c>
      <c r="M808" s="473">
        <v>42856</v>
      </c>
      <c r="N808" s="473">
        <v>42887</v>
      </c>
      <c r="S808" s="1840"/>
      <c r="T808" s="1866"/>
      <c r="W808" s="1834"/>
      <c r="Y808" s="1835"/>
      <c r="Z808" s="1835"/>
    </row>
    <row r="809" spans="1:26" s="1833" customFormat="1" ht="15.75" x14ac:dyDescent="0.25">
      <c r="A809" s="1840"/>
      <c r="B809" s="1100" t="s">
        <v>1102</v>
      </c>
      <c r="C809" s="2142"/>
      <c r="D809" s="2142"/>
      <c r="E809" s="2142"/>
      <c r="F809" s="2142"/>
      <c r="G809" s="2142"/>
      <c r="H809" s="2142"/>
      <c r="I809" s="2142"/>
      <c r="J809" s="2142"/>
      <c r="K809" s="2142"/>
      <c r="L809" s="2142"/>
      <c r="M809" s="2142"/>
      <c r="N809" s="2142"/>
      <c r="S809" s="1840"/>
      <c r="T809" s="1866"/>
      <c r="W809" s="1834"/>
      <c r="Y809" s="1835"/>
      <c r="Z809" s="1835"/>
    </row>
    <row r="810" spans="1:26" s="1833" customFormat="1" ht="15.75" x14ac:dyDescent="0.25">
      <c r="A810" s="1840"/>
      <c r="B810" s="1629" t="s">
        <v>1093</v>
      </c>
      <c r="C810" s="1631">
        <v>43939</v>
      </c>
      <c r="D810" s="1631">
        <v>50401</v>
      </c>
      <c r="E810" s="1631">
        <v>73790</v>
      </c>
      <c r="F810" s="1631">
        <v>53290</v>
      </c>
      <c r="G810" s="1631">
        <v>54502</v>
      </c>
      <c r="H810" s="1631">
        <v>59046</v>
      </c>
      <c r="I810" s="1631">
        <v>62444</v>
      </c>
      <c r="J810" s="1631">
        <v>53789</v>
      </c>
      <c r="K810" s="1631">
        <v>54926</v>
      </c>
      <c r="L810" s="1631">
        <v>54353</v>
      </c>
      <c r="M810" s="1631">
        <v>43429</v>
      </c>
      <c r="N810" s="1631">
        <v>35593</v>
      </c>
      <c r="S810" s="1840"/>
      <c r="T810" s="1866"/>
      <c r="W810" s="1834"/>
      <c r="Y810" s="1835"/>
      <c r="Z810" s="1835"/>
    </row>
    <row r="811" spans="1:26" s="1833" customFormat="1" ht="15.75" x14ac:dyDescent="0.25">
      <c r="A811" s="1840"/>
      <c r="B811" s="1629" t="s">
        <v>322</v>
      </c>
      <c r="C811" s="1631">
        <v>13464.936</v>
      </c>
      <c r="D811" s="1631">
        <v>8228.5720000000001</v>
      </c>
      <c r="E811" s="1631">
        <v>176540.272</v>
      </c>
      <c r="F811" s="1631">
        <v>348592.23200000002</v>
      </c>
      <c r="G811" s="1631">
        <v>290244.17600000004</v>
      </c>
      <c r="H811" s="1631">
        <v>293984.43599999999</v>
      </c>
      <c r="I811" s="1631">
        <v>175792.22</v>
      </c>
      <c r="J811" s="1631">
        <v>235636.38</v>
      </c>
      <c r="K811" s="1631">
        <v>200000</v>
      </c>
      <c r="L811" s="1631">
        <v>223667.54800000001</v>
      </c>
      <c r="M811" s="1631">
        <v>308945.47600000002</v>
      </c>
      <c r="N811" s="1631">
        <v>175044.16800000001</v>
      </c>
      <c r="S811" s="1840"/>
      <c r="T811" s="1866"/>
      <c r="W811" s="1834"/>
      <c r="Y811" s="1835"/>
      <c r="Z811" s="1835"/>
    </row>
    <row r="812" spans="1:26" s="1833" customFormat="1" ht="15.75" x14ac:dyDescent="0.25">
      <c r="A812" s="1840"/>
      <c r="B812" s="1631"/>
      <c r="C812" s="1631"/>
      <c r="D812" s="1631"/>
      <c r="E812" s="1631"/>
      <c r="F812" s="1631"/>
      <c r="G812" s="1631"/>
      <c r="H812" s="1631"/>
      <c r="I812" s="1631"/>
      <c r="J812" s="1631"/>
      <c r="K812" s="1631"/>
      <c r="L812" s="1631"/>
      <c r="M812" s="1631"/>
      <c r="N812" s="1631"/>
      <c r="S812" s="1840"/>
      <c r="T812" s="1866"/>
      <c r="W812" s="1834"/>
      <c r="Y812" s="1835"/>
      <c r="Z812" s="1835"/>
    </row>
    <row r="813" spans="1:26" s="1833" customFormat="1" ht="15.75" x14ac:dyDescent="0.25">
      <c r="A813" s="1840"/>
      <c r="B813" s="1632" t="s">
        <v>641</v>
      </c>
      <c r="C813" s="1631">
        <v>127</v>
      </c>
      <c r="D813" s="1631">
        <v>145</v>
      </c>
      <c r="E813" s="1631">
        <v>348</v>
      </c>
      <c r="F813" s="1631">
        <v>421</v>
      </c>
      <c r="G813" s="1631">
        <v>516</v>
      </c>
      <c r="H813" s="1631">
        <v>509</v>
      </c>
      <c r="I813" s="1631">
        <v>358</v>
      </c>
      <c r="J813" s="1631">
        <v>604</v>
      </c>
      <c r="K813" s="1631">
        <v>568</v>
      </c>
      <c r="L813" s="1631">
        <v>609</v>
      </c>
      <c r="M813" s="1631">
        <v>453</v>
      </c>
      <c r="N813" s="1631">
        <v>121</v>
      </c>
      <c r="S813" s="1840"/>
      <c r="T813" s="1866"/>
      <c r="W813" s="1834"/>
      <c r="Y813" s="1835"/>
      <c r="Z813" s="1835"/>
    </row>
    <row r="814" spans="1:26" s="1833" customFormat="1" ht="15.75" x14ac:dyDescent="0.25">
      <c r="A814" s="1840"/>
      <c r="B814" s="1633"/>
      <c r="C814" s="1631"/>
      <c r="D814" s="1631"/>
      <c r="E814" s="1631"/>
      <c r="F814" s="1631"/>
      <c r="G814" s="1631"/>
      <c r="H814" s="1631"/>
      <c r="I814" s="1631"/>
      <c r="J814" s="1631"/>
      <c r="K814" s="1631"/>
      <c r="L814" s="1631"/>
      <c r="M814" s="1631"/>
      <c r="N814" s="1631"/>
      <c r="S814" s="1840"/>
      <c r="T814" s="1866"/>
      <c r="W814" s="1834"/>
      <c r="Y814" s="1835"/>
      <c r="Z814" s="1835"/>
    </row>
    <row r="815" spans="1:26" s="1833" customFormat="1" ht="15.75" x14ac:dyDescent="0.25">
      <c r="A815" s="1840"/>
      <c r="B815" s="1629" t="s">
        <v>324</v>
      </c>
      <c r="C815" s="1631">
        <v>4017.39</v>
      </c>
      <c r="D815" s="1631">
        <v>4414.6899999999996</v>
      </c>
      <c r="E815" s="1631">
        <v>5659.56</v>
      </c>
      <c r="F815" s="1631">
        <v>4412.58</v>
      </c>
      <c r="G815" s="1631">
        <v>4680.93</v>
      </c>
      <c r="H815" s="1631">
        <v>4374.92</v>
      </c>
      <c r="I815" s="1631">
        <v>4645.67</v>
      </c>
      <c r="J815" s="1631">
        <v>3997.57</v>
      </c>
      <c r="K815" s="1631">
        <v>4010.86</v>
      </c>
      <c r="L815" s="1631">
        <v>3744.26</v>
      </c>
      <c r="M815" s="1631">
        <v>3237.39</v>
      </c>
      <c r="N815" s="1631">
        <v>2694.88</v>
      </c>
      <c r="S815" s="1840"/>
      <c r="T815" s="1866"/>
      <c r="W815" s="1834"/>
      <c r="Y815" s="1835"/>
      <c r="Z815" s="1835"/>
    </row>
    <row r="816" spans="1:26" s="1833" customFormat="1" ht="15.75" x14ac:dyDescent="0.25">
      <c r="A816" s="1840"/>
      <c r="B816" s="1634" t="s">
        <v>328</v>
      </c>
      <c r="C816" s="1631">
        <v>877.71</v>
      </c>
      <c r="D816" s="1631">
        <v>837.19</v>
      </c>
      <c r="E816" s="1631">
        <v>2252.44</v>
      </c>
      <c r="F816" s="1631">
        <v>3699.14</v>
      </c>
      <c r="G816" s="1631">
        <v>3208.52</v>
      </c>
      <c r="H816" s="1631">
        <v>3239.97</v>
      </c>
      <c r="I816" s="1631">
        <v>2246.15</v>
      </c>
      <c r="J816" s="1631">
        <v>2749.35</v>
      </c>
      <c r="K816" s="1631">
        <v>2340</v>
      </c>
      <c r="L816" s="1631">
        <v>2648.7</v>
      </c>
      <c r="M816" s="1631">
        <f>3375.77-10</f>
        <v>3365.77</v>
      </c>
      <c r="N816" s="1631">
        <v>2239.86</v>
      </c>
      <c r="S816" s="1840"/>
      <c r="T816" s="1866"/>
      <c r="W816" s="1834"/>
      <c r="Y816" s="1835"/>
      <c r="Z816" s="1835"/>
    </row>
    <row r="817" spans="1:26" s="1833" customFormat="1" ht="15.75" x14ac:dyDescent="0.25">
      <c r="A817" s="1840"/>
      <c r="B817" s="1633" t="s">
        <v>733</v>
      </c>
      <c r="C817" s="1631">
        <v>116.81</v>
      </c>
      <c r="D817" s="1631">
        <v>130.04</v>
      </c>
      <c r="E817" s="1631">
        <v>279.12</v>
      </c>
      <c r="F817" s="1631">
        <v>335.53</v>
      </c>
      <c r="G817" s="1631">
        <f>437-58.4</f>
        <v>378.6</v>
      </c>
      <c r="H817" s="1631">
        <v>470.43</v>
      </c>
      <c r="I817" s="1631">
        <v>349</v>
      </c>
      <c r="J817" s="1631">
        <v>564.16999999999996</v>
      </c>
      <c r="K817" s="1631">
        <v>531.94000000000005</v>
      </c>
      <c r="L817" s="1631">
        <v>546.32000000000005</v>
      </c>
      <c r="M817" s="1631">
        <v>415.91</v>
      </c>
      <c r="N817" s="1631">
        <v>128.91999999999999</v>
      </c>
      <c r="S817" s="1840"/>
      <c r="T817" s="1866"/>
      <c r="W817" s="1834"/>
      <c r="Y817" s="1835"/>
      <c r="Z817" s="1835"/>
    </row>
    <row r="819" spans="1:26" s="128" customFormat="1" x14ac:dyDescent="0.25">
      <c r="A819" s="459">
        <v>50</v>
      </c>
      <c r="B819" s="127" t="s">
        <v>632</v>
      </c>
      <c r="C819" s="602"/>
      <c r="T819" s="127" t="s">
        <v>632</v>
      </c>
      <c r="U819" s="129"/>
      <c r="X819" s="129"/>
      <c r="Y819" s="166"/>
      <c r="Z819" s="166"/>
    </row>
    <row r="820" spans="1:26" s="1833" customFormat="1" ht="14.25" x14ac:dyDescent="0.2">
      <c r="A820" s="1"/>
      <c r="B820" s="666" t="s">
        <v>1536</v>
      </c>
      <c r="C820"/>
      <c r="D820"/>
      <c r="E820"/>
      <c r="F820"/>
      <c r="G820"/>
      <c r="H820"/>
      <c r="I820"/>
      <c r="J820"/>
      <c r="K820"/>
      <c r="L820"/>
      <c r="M820"/>
      <c r="N820"/>
      <c r="O820" s="41"/>
      <c r="P820" s="41"/>
      <c r="T820" s="1866"/>
      <c r="U820" s="1834"/>
      <c r="X820" s="1834"/>
      <c r="Y820" s="1835"/>
      <c r="Z820" s="1835"/>
    </row>
    <row r="821" spans="1:26" s="1833" customFormat="1" ht="14.25" x14ac:dyDescent="0.2">
      <c r="A821" s="1840"/>
      <c r="B821" s="666" t="s">
        <v>284</v>
      </c>
      <c r="C821"/>
      <c r="D821"/>
      <c r="E821"/>
      <c r="F821"/>
      <c r="G821"/>
      <c r="H821"/>
      <c r="I821"/>
      <c r="J821"/>
      <c r="K821"/>
      <c r="L821"/>
      <c r="M821"/>
      <c r="N821"/>
      <c r="O821" s="1870"/>
      <c r="P821" s="1870"/>
      <c r="T821" s="1866"/>
      <c r="U821" s="1834"/>
      <c r="X821" s="1834"/>
      <c r="Y821" s="1835"/>
      <c r="Z821" s="1835"/>
    </row>
    <row r="822" spans="1:26" s="1833" customFormat="1" ht="14.25" x14ac:dyDescent="0.2">
      <c r="A822" s="1840"/>
      <c r="B822" s="130" t="s">
        <v>337</v>
      </c>
      <c r="C822" s="131">
        <v>42552</v>
      </c>
      <c r="D822" s="131">
        <v>42583</v>
      </c>
      <c r="E822" s="131">
        <v>42614</v>
      </c>
      <c r="F822" s="131">
        <v>42644</v>
      </c>
      <c r="G822" s="131">
        <v>42675</v>
      </c>
      <c r="H822" s="131">
        <v>42705</v>
      </c>
      <c r="I822" s="131">
        <v>42736</v>
      </c>
      <c r="J822" s="131">
        <v>42767</v>
      </c>
      <c r="K822" s="131">
        <v>42795</v>
      </c>
      <c r="L822" s="131">
        <v>42826</v>
      </c>
      <c r="M822" s="131">
        <v>42856</v>
      </c>
      <c r="N822" s="131">
        <v>42887</v>
      </c>
      <c r="O822" s="1894"/>
      <c r="P822" s="174"/>
      <c r="T822" s="1866"/>
      <c r="U822" s="1834"/>
      <c r="X822" s="1834"/>
      <c r="Y822" s="1835"/>
      <c r="Z822" s="1835"/>
    </row>
    <row r="823" spans="1:26" s="1833" customFormat="1" ht="25.5" x14ac:dyDescent="0.2">
      <c r="A823" s="1840"/>
      <c r="B823" s="1271" t="s">
        <v>1362</v>
      </c>
      <c r="C823" s="2099">
        <v>22904</v>
      </c>
      <c r="D823" s="2099">
        <v>37807</v>
      </c>
      <c r="E823" s="2099">
        <v>41696</v>
      </c>
      <c r="F823" s="2099">
        <v>40968</v>
      </c>
      <c r="G823" s="2099">
        <v>38386</v>
      </c>
      <c r="H823" s="2099">
        <v>30267</v>
      </c>
      <c r="I823" s="2099">
        <v>46534</v>
      </c>
      <c r="J823" s="2099">
        <v>29068</v>
      </c>
      <c r="K823" s="2099">
        <v>36510</v>
      </c>
      <c r="L823" s="2099">
        <v>39913</v>
      </c>
      <c r="M823" s="2099">
        <v>23149</v>
      </c>
      <c r="N823" s="2099">
        <v>20963</v>
      </c>
      <c r="O823" s="1894"/>
      <c r="P823" s="174"/>
      <c r="T823" s="1866"/>
      <c r="U823" s="1834"/>
      <c r="X823" s="1834"/>
      <c r="Y823" s="1835"/>
      <c r="Z823" s="1835"/>
    </row>
    <row r="824" spans="1:26" s="1833" customFormat="1" ht="38.25" x14ac:dyDescent="0.2">
      <c r="A824" s="1840"/>
      <c r="B824" s="1276" t="s">
        <v>1224</v>
      </c>
      <c r="C824" s="2113">
        <v>2251.6474388555607</v>
      </c>
      <c r="D824" s="2113">
        <v>2144.8255652976468</v>
      </c>
      <c r="E824" s="2113">
        <v>2506.0694508537149</v>
      </c>
      <c r="F824" s="2113">
        <v>4199.5043839409327</v>
      </c>
      <c r="G824" s="2113">
        <v>4670.3493308721736</v>
      </c>
      <c r="H824" s="2113">
        <v>5628.5627595754504</v>
      </c>
      <c r="I824" s="2113">
        <v>5292.2305029995387</v>
      </c>
      <c r="J824" s="2113">
        <v>4113.7538071065992</v>
      </c>
      <c r="K824" s="2113">
        <v>4538.1105214582376</v>
      </c>
      <c r="L824" s="2113">
        <v>3464.2323488694051</v>
      </c>
      <c r="M824" s="2113">
        <v>1683.5309183202585</v>
      </c>
      <c r="N824" s="2113">
        <v>2042.0461467466544</v>
      </c>
      <c r="O824" s="1894"/>
      <c r="P824" s="174"/>
      <c r="T824" s="1866"/>
      <c r="U824" s="1834"/>
      <c r="X824" s="1834"/>
      <c r="Y824" s="1835"/>
      <c r="Z824" s="1835"/>
    </row>
    <row r="825" spans="1:26" s="1833" customFormat="1" ht="38.25" x14ac:dyDescent="0.2">
      <c r="A825" s="1840"/>
      <c r="B825" s="1280" t="s">
        <v>1225</v>
      </c>
      <c r="C825" s="2102">
        <v>77696.490564189851</v>
      </c>
      <c r="D825" s="2102">
        <v>85843.261966444756</v>
      </c>
      <c r="E825" s="2102">
        <v>69489.922298266276</v>
      </c>
      <c r="F825" s="2102">
        <v>39152.15862607702</v>
      </c>
      <c r="G825" s="2102">
        <v>33287.526094509667</v>
      </c>
      <c r="H825" s="2102">
        <v>30799.665259009664</v>
      </c>
      <c r="I825" s="2102">
        <v>37541.534643052852</v>
      </c>
      <c r="J825" s="2102">
        <v>24974.724354953421</v>
      </c>
      <c r="K825" s="2102">
        <v>51247.338987279785</v>
      </c>
      <c r="L825" s="2102">
        <v>83468.249875829264</v>
      </c>
      <c r="M825" s="2102">
        <v>54149.237976425051</v>
      </c>
      <c r="N825" s="2102">
        <v>44808.474968811577</v>
      </c>
      <c r="O825" s="1888"/>
      <c r="P825" s="1161"/>
      <c r="T825" s="1866"/>
      <c r="U825" s="1834"/>
      <c r="X825" s="1834"/>
      <c r="Y825" s="1835"/>
      <c r="Z825" s="1835"/>
    </row>
    <row r="826" spans="1:26" s="1833" customFormat="1" ht="51" x14ac:dyDescent="0.2">
      <c r="A826" s="1840"/>
      <c r="B826" s="1284" t="s">
        <v>1226</v>
      </c>
      <c r="C826" s="2114">
        <v>0</v>
      </c>
      <c r="D826" s="2114">
        <v>0</v>
      </c>
      <c r="E826" s="2114">
        <v>0</v>
      </c>
      <c r="F826" s="2114">
        <v>0</v>
      </c>
      <c r="G826" s="2114">
        <v>0</v>
      </c>
      <c r="H826" s="2114">
        <v>0</v>
      </c>
      <c r="I826" s="2114">
        <v>0</v>
      </c>
      <c r="J826" s="2114">
        <v>0</v>
      </c>
      <c r="K826" s="2114">
        <v>0</v>
      </c>
      <c r="L826" s="2114">
        <v>0</v>
      </c>
      <c r="M826" s="2114">
        <v>0</v>
      </c>
      <c r="N826" s="2114">
        <v>0</v>
      </c>
      <c r="O826" s="1161"/>
      <c r="P826" s="1161"/>
      <c r="T826" s="1866"/>
      <c r="U826" s="1834"/>
      <c r="X826" s="1834"/>
      <c r="Y826" s="1835"/>
      <c r="Z826" s="1835"/>
    </row>
    <row r="827" spans="1:26" s="1833" customFormat="1" ht="14.25" x14ac:dyDescent="0.2">
      <c r="A827" s="1840"/>
      <c r="B827" s="135" t="s">
        <v>864</v>
      </c>
      <c r="C827" s="2188">
        <v>143.47999999999999</v>
      </c>
      <c r="D827" s="2188">
        <v>510.77499999999998</v>
      </c>
      <c r="E827" s="2188">
        <v>510.78</v>
      </c>
      <c r="F827" s="2188">
        <v>604.97</v>
      </c>
      <c r="G827" s="2188">
        <v>787.16</v>
      </c>
      <c r="H827" s="2188">
        <v>296.82</v>
      </c>
      <c r="I827" s="2188">
        <v>642.41</v>
      </c>
      <c r="J827" s="2188">
        <v>1002.16</v>
      </c>
      <c r="K827" s="2188">
        <v>889.53</v>
      </c>
      <c r="L827" s="2188">
        <v>1178.67</v>
      </c>
      <c r="M827" s="2188">
        <v>633.14</v>
      </c>
      <c r="N827" s="2187">
        <v>246.55</v>
      </c>
      <c r="O827" s="1892"/>
      <c r="P827" s="1892"/>
      <c r="T827" s="1866"/>
      <c r="U827" s="1834"/>
      <c r="X827" s="1834"/>
      <c r="Y827" s="1835"/>
      <c r="Z827" s="1835"/>
    </row>
    <row r="828" spans="1:26" s="1833" customFormat="1" ht="51" x14ac:dyDescent="0.2">
      <c r="A828" s="1840"/>
      <c r="B828" s="1271" t="s">
        <v>1363</v>
      </c>
      <c r="C828" s="2106">
        <v>1629.9365604045986</v>
      </c>
      <c r="D828" s="2106">
        <v>2690.4912477827743</v>
      </c>
      <c r="E828" s="2106">
        <v>2967.2474162866811</v>
      </c>
      <c r="F828" s="2106">
        <v>2915.4401417505937</v>
      </c>
      <c r="G828" s="2106">
        <v>2731.6951103602396</v>
      </c>
      <c r="H828" s="2106">
        <v>2153.9159043732966</v>
      </c>
      <c r="I828" s="2106">
        <v>3311.5380676679879</v>
      </c>
      <c r="J828" s="2106">
        <v>2068.590461833779</v>
      </c>
      <c r="K828" s="2106">
        <v>2598.1917490557062</v>
      </c>
      <c r="L828" s="2106">
        <v>2840.3622919764562</v>
      </c>
      <c r="M828" s="2106">
        <v>1647.3717008734743</v>
      </c>
      <c r="N828" s="2106">
        <v>1491.8075495879148</v>
      </c>
      <c r="O828" s="1873"/>
      <c r="P828" s="1893"/>
      <c r="T828" s="1866"/>
      <c r="U828" s="1834"/>
      <c r="X828" s="1834"/>
      <c r="Y828" s="1835"/>
      <c r="Z828" s="1835"/>
    </row>
    <row r="829" spans="1:26" s="1833" customFormat="1" ht="38.25" x14ac:dyDescent="0.2">
      <c r="A829" s="1840"/>
      <c r="B829" s="1293" t="s">
        <v>1228</v>
      </c>
      <c r="C829" s="2115">
        <v>1138.3255168435624</v>
      </c>
      <c r="D829" s="2115">
        <v>1033.5400299953853</v>
      </c>
      <c r="E829" s="2115">
        <v>1244.1054476234426</v>
      </c>
      <c r="F829" s="2115">
        <v>2083.0927295800648</v>
      </c>
      <c r="G829" s="2115">
        <v>2141.6032233502542</v>
      </c>
      <c r="H829" s="2115">
        <v>3025.9493770189201</v>
      </c>
      <c r="I829" s="2115">
        <v>3217.785089986156</v>
      </c>
      <c r="J829" s="2115">
        <v>2294.9972104291646</v>
      </c>
      <c r="K829" s="2115">
        <v>2177.917607291186</v>
      </c>
      <c r="L829" s="2115">
        <v>1848.3690955237657</v>
      </c>
      <c r="M829" s="2115">
        <v>921.72976695892953</v>
      </c>
      <c r="N829" s="2115">
        <v>1130.5023557914167</v>
      </c>
      <c r="O829" s="1880"/>
      <c r="P829" s="1880"/>
      <c r="T829" s="1866"/>
      <c r="U829" s="1834"/>
      <c r="X829" s="1834"/>
      <c r="Y829" s="1835"/>
      <c r="Z829" s="1835"/>
    </row>
    <row r="830" spans="1:26" s="1833" customFormat="1" ht="51" x14ac:dyDescent="0.2">
      <c r="A830" s="1840"/>
      <c r="B830" s="1295" t="s">
        <v>1364</v>
      </c>
      <c r="C830" s="2108">
        <v>5529.1805180625206</v>
      </c>
      <c r="D830" s="2108">
        <v>6108.9360436385732</v>
      </c>
      <c r="E830" s="2108">
        <v>4945.1696181286661</v>
      </c>
      <c r="F830" s="2108">
        <v>2786.2178992055192</v>
      </c>
      <c r="G830" s="2108">
        <v>2368.8681359964812</v>
      </c>
      <c r="H830" s="2108">
        <v>2191.8224089191067</v>
      </c>
      <c r="I830" s="2108">
        <v>2671.5997139542283</v>
      </c>
      <c r="J830" s="2108">
        <v>1777.2972542859648</v>
      </c>
      <c r="K830" s="2108">
        <v>3646.957362854318</v>
      </c>
      <c r="L830" s="2108">
        <v>5939.9210664338425</v>
      </c>
      <c r="M830" s="2108">
        <v>3853.4676342920152</v>
      </c>
      <c r="N830" s="2108">
        <v>3188.7430827645958</v>
      </c>
      <c r="O830" s="1880"/>
      <c r="P830" s="1880"/>
      <c r="T830" s="1866"/>
      <c r="U830" s="1834"/>
      <c r="X830" s="1834"/>
      <c r="Y830" s="1835"/>
      <c r="Z830" s="1835"/>
    </row>
    <row r="831" spans="1:26" s="1833" customFormat="1" ht="38.25" x14ac:dyDescent="0.2">
      <c r="A831" s="1840"/>
      <c r="B831" s="1297" t="s">
        <v>1235</v>
      </c>
      <c r="C831" s="2116">
        <v>0</v>
      </c>
      <c r="D831" s="2116">
        <v>0</v>
      </c>
      <c r="E831" s="2116">
        <v>0</v>
      </c>
      <c r="F831" s="2116">
        <v>0</v>
      </c>
      <c r="G831" s="2116">
        <v>0</v>
      </c>
      <c r="H831" s="2116">
        <v>0</v>
      </c>
      <c r="I831" s="2116">
        <v>0</v>
      </c>
      <c r="J831" s="2116">
        <v>0</v>
      </c>
      <c r="K831" s="2116">
        <v>0</v>
      </c>
      <c r="L831" s="2116">
        <v>0</v>
      </c>
      <c r="M831" s="2116">
        <v>0</v>
      </c>
      <c r="N831" s="2116">
        <v>0</v>
      </c>
      <c r="O831" s="1880"/>
      <c r="P831" s="1880"/>
      <c r="T831" s="1866"/>
      <c r="U831" s="1834"/>
      <c r="X831" s="1834"/>
      <c r="Y831" s="1835"/>
      <c r="Z831" s="1835"/>
    </row>
    <row r="832" spans="1:26" s="1833" customFormat="1" ht="14.25" x14ac:dyDescent="0.2">
      <c r="A832" s="1840"/>
      <c r="B832" s="153" t="s">
        <v>328</v>
      </c>
      <c r="C832" s="2112">
        <v>1045.68</v>
      </c>
      <c r="D832" s="2112">
        <f>5669.05/2</f>
        <v>2834.5250000000001</v>
      </c>
      <c r="E832" s="2112">
        <f>5669.05/2</f>
        <v>2834.5250000000001</v>
      </c>
      <c r="F832" s="2112">
        <v>3516.44</v>
      </c>
      <c r="G832" s="2112">
        <v>4485.03</v>
      </c>
      <c r="H832" s="2112">
        <v>1927.62</v>
      </c>
      <c r="I832" s="2112">
        <v>3704.61</v>
      </c>
      <c r="J832" s="2112">
        <v>5583.83</v>
      </c>
      <c r="K832" s="2112">
        <v>4978.75</v>
      </c>
      <c r="L832" s="2112">
        <v>6469.57</v>
      </c>
      <c r="M832" s="2112">
        <v>3686.03</v>
      </c>
      <c r="N832" s="2112">
        <v>1663.55</v>
      </c>
      <c r="O832" s="1871"/>
      <c r="P832" s="1871"/>
      <c r="T832" s="1866"/>
      <c r="U832" s="1834"/>
      <c r="X832" s="1834"/>
      <c r="Y832" s="1835"/>
      <c r="Z832" s="1835"/>
    </row>
    <row r="833" spans="1:26" s="1833" customFormat="1" ht="14.25" x14ac:dyDescent="0.2">
      <c r="A833" s="41"/>
      <c r="B833" s="1835"/>
      <c r="C833" s="41"/>
      <c r="D833" s="1845"/>
      <c r="E833" s="1845"/>
      <c r="F833" s="1845"/>
      <c r="G833" s="1845"/>
      <c r="H833" s="1845"/>
      <c r="I833" s="1845"/>
      <c r="J833" s="1845"/>
      <c r="K833" s="1845"/>
      <c r="L833" s="1845"/>
      <c r="M833" s="1845"/>
      <c r="N833" s="1845"/>
      <c r="O833" s="1845"/>
      <c r="P833" s="1871"/>
      <c r="T833" s="1866"/>
      <c r="U833" s="1834"/>
      <c r="X833" s="1834"/>
      <c r="Y833" s="1835"/>
      <c r="Z833" s="1835"/>
    </row>
    <row r="834" spans="1:26" s="460" customFormat="1" x14ac:dyDescent="0.25">
      <c r="A834" s="462">
        <v>51</v>
      </c>
      <c r="B834" s="460" t="s">
        <v>634</v>
      </c>
      <c r="C834" s="462"/>
      <c r="T834" s="460" t="s">
        <v>634</v>
      </c>
      <c r="Y834" s="666"/>
      <c r="Z834" s="666"/>
    </row>
    <row r="835" spans="1:26" s="41" customFormat="1" ht="14.25" x14ac:dyDescent="0.2">
      <c r="A835" s="1"/>
      <c r="C835" s="262"/>
      <c r="D835" s="262"/>
      <c r="E835" s="262"/>
      <c r="F835" s="262"/>
      <c r="G835" s="262"/>
      <c r="H835" s="262"/>
      <c r="I835" s="262"/>
      <c r="J835" s="262"/>
    </row>
    <row r="836" spans="1:26" s="41" customFormat="1" ht="14.25" x14ac:dyDescent="0.2">
      <c r="A836" s="1840"/>
      <c r="B836" s="1868"/>
      <c r="C836" s="1869"/>
      <c r="D836" s="1870"/>
      <c r="E836" s="1870"/>
      <c r="F836" s="1870"/>
      <c r="G836" s="1870"/>
      <c r="H836" s="1870"/>
      <c r="I836" s="1870"/>
      <c r="J836" s="1870"/>
      <c r="K836" s="1833"/>
    </row>
    <row r="837" spans="1:26" s="41" customFormat="1" ht="14.25" x14ac:dyDescent="0.2">
      <c r="A837" s="1840"/>
      <c r="B837" s="205"/>
      <c r="C837" s="1878"/>
      <c r="D837" s="1878"/>
      <c r="E837" s="1878"/>
      <c r="F837" s="1591"/>
      <c r="G837" s="1591"/>
      <c r="H837" s="1591"/>
      <c r="I837" s="1591"/>
      <c r="J837" s="1591"/>
      <c r="K837" s="1835"/>
    </row>
    <row r="838" spans="1:26" s="41" customFormat="1" ht="14.25" x14ac:dyDescent="0.2">
      <c r="A838" s="1840"/>
      <c r="B838" s="205"/>
      <c r="C838" s="1808"/>
      <c r="D838" s="1808"/>
      <c r="E838" s="1808"/>
      <c r="F838" s="1808"/>
      <c r="G838" s="1808"/>
      <c r="H838" s="1808"/>
      <c r="I838" s="1808"/>
      <c r="J838" s="1808"/>
      <c r="K838" s="1835"/>
    </row>
    <row r="839" spans="1:26" s="41" customFormat="1" ht="14.25" x14ac:dyDescent="0.2">
      <c r="A839" s="1840"/>
      <c r="B839" s="1835"/>
      <c r="C839" s="1808"/>
      <c r="D839" s="1808"/>
      <c r="E839" s="1808"/>
      <c r="F839" s="1809"/>
      <c r="G839" s="1809"/>
      <c r="H839" s="1809"/>
      <c r="I839" s="1809"/>
      <c r="J839" s="1809"/>
      <c r="K839" s="1835"/>
    </row>
    <row r="840" spans="1:26" s="41" customFormat="1" ht="14.25" x14ac:dyDescent="0.2">
      <c r="A840" s="1840"/>
      <c r="B840" s="1835"/>
      <c r="C840" s="1878"/>
      <c r="D840" s="1878"/>
      <c r="E840" s="1878"/>
      <c r="F840" s="1878"/>
      <c r="G840" s="1878"/>
      <c r="H840" s="1878"/>
      <c r="I840" s="1878"/>
      <c r="J840" s="1878"/>
      <c r="K840" s="1835"/>
    </row>
    <row r="841" spans="1:26" s="41" customFormat="1" ht="14.25" x14ac:dyDescent="0.2">
      <c r="A841" s="1840"/>
      <c r="B841" s="205"/>
      <c r="C841" s="1878"/>
      <c r="D841" s="1878"/>
      <c r="E841" s="1878"/>
      <c r="F841" s="1895"/>
      <c r="G841" s="1895"/>
      <c r="H841" s="1895"/>
      <c r="I841" s="1895"/>
      <c r="J841" s="1895"/>
      <c r="K841" s="1835"/>
    </row>
    <row r="842" spans="1:26" s="41" customFormat="1" ht="14.25" x14ac:dyDescent="0.2">
      <c r="A842" s="1840"/>
      <c r="B842" s="205"/>
      <c r="C842" s="1879"/>
      <c r="D842" s="1879"/>
      <c r="E842" s="1879"/>
      <c r="F842" s="1879"/>
      <c r="G842" s="1879"/>
      <c r="H842" s="1879"/>
      <c r="I842" s="1879"/>
      <c r="J842" s="1879"/>
      <c r="K842" s="1835"/>
    </row>
    <row r="843" spans="1:26" s="41" customFormat="1" ht="14.25" x14ac:dyDescent="0.2">
      <c r="A843" s="1840"/>
      <c r="C843" s="1808"/>
      <c r="D843" s="1808"/>
      <c r="E843" s="1808"/>
      <c r="F843" s="1808"/>
      <c r="G843" s="1808"/>
      <c r="H843" s="1808"/>
      <c r="I843" s="1808"/>
      <c r="J843" s="1808"/>
      <c r="K843" s="1835"/>
    </row>
    <row r="844" spans="1:26" s="41" customFormat="1" ht="14.25" x14ac:dyDescent="0.2">
      <c r="A844" s="1840"/>
      <c r="B844" s="200"/>
      <c r="C844" s="1808"/>
      <c r="D844" s="1808"/>
      <c r="E844" s="1808"/>
      <c r="F844" s="1815"/>
      <c r="G844" s="1815"/>
      <c r="H844" s="1815"/>
      <c r="I844" s="1815"/>
      <c r="J844" s="1815"/>
      <c r="K844" s="1835"/>
    </row>
    <row r="845" spans="1:26" s="1833" customFormat="1" ht="14.25" x14ac:dyDescent="0.2">
      <c r="A845" s="1840"/>
      <c r="B845" s="41"/>
      <c r="C845" s="1881"/>
      <c r="D845" s="1881"/>
      <c r="E845" s="1881"/>
      <c r="F845" s="1881"/>
      <c r="G845" s="1881"/>
      <c r="H845" s="1881"/>
      <c r="I845" s="1881"/>
      <c r="J845" s="1881"/>
      <c r="L845" s="1261"/>
      <c r="M845" s="1262"/>
      <c r="N845" s="1877"/>
      <c r="O845" s="1261"/>
      <c r="P845" s="1262"/>
      <c r="Q845" s="1835"/>
      <c r="R845" s="1835"/>
    </row>
    <row r="846" spans="1:26" s="1833" customFormat="1" ht="14.25" x14ac:dyDescent="0.2">
      <c r="A846" s="1840"/>
      <c r="B846" s="41"/>
      <c r="C846" s="1881"/>
      <c r="D846" s="1881"/>
      <c r="E846" s="1881"/>
      <c r="F846" s="1881"/>
      <c r="G846" s="1881"/>
      <c r="H846" s="1881"/>
      <c r="I846" s="1881"/>
      <c r="J846" s="1881"/>
      <c r="L846" s="1261"/>
      <c r="M846" s="1262"/>
      <c r="N846" s="1877"/>
      <c r="O846" s="1261"/>
      <c r="P846" s="1262"/>
      <c r="Q846" s="1835"/>
      <c r="R846" s="1835"/>
    </row>
    <row r="847" spans="1:26" s="1833" customFormat="1" ht="14.25" x14ac:dyDescent="0.2">
      <c r="A847" s="1840"/>
      <c r="B847" s="41"/>
      <c r="C847" s="262"/>
      <c r="D847" s="613"/>
      <c r="E847" s="613"/>
      <c r="F847" s="613"/>
      <c r="G847" s="613"/>
      <c r="H847" s="613"/>
      <c r="I847" s="613"/>
      <c r="J847" s="613"/>
      <c r="L847" s="1261"/>
      <c r="M847" s="1262"/>
      <c r="N847" s="1877"/>
      <c r="O847" s="1261"/>
      <c r="P847" s="1262"/>
      <c r="Q847" s="1835"/>
      <c r="R847" s="1835"/>
    </row>
    <row r="848" spans="1:26" s="41" customFormat="1" ht="12.75" x14ac:dyDescent="0.2">
      <c r="C848" s="262"/>
      <c r="D848" s="262"/>
      <c r="E848" s="262"/>
      <c r="F848" s="262"/>
      <c r="G848" s="262"/>
      <c r="H848" s="262"/>
      <c r="I848" s="262"/>
      <c r="J848" s="262"/>
    </row>
    <row r="849" spans="1:26" s="41" customFormat="1" ht="12.75" x14ac:dyDescent="0.2">
      <c r="B849" s="1868"/>
      <c r="C849" s="1870"/>
      <c r="D849" s="1870"/>
      <c r="E849" s="1870"/>
      <c r="F849" s="1870"/>
      <c r="G849" s="1870"/>
      <c r="H849" s="1870"/>
      <c r="I849" s="262"/>
      <c r="J849" s="262"/>
    </row>
    <row r="850" spans="1:26" s="41" customFormat="1" ht="12.75" x14ac:dyDescent="0.2">
      <c r="B850" s="205"/>
      <c r="C850" s="1591"/>
      <c r="D850" s="1591"/>
      <c r="E850" s="1591"/>
      <c r="F850" s="1591"/>
      <c r="G850" s="612"/>
      <c r="H850" s="612"/>
      <c r="I850" s="262"/>
      <c r="J850" s="262"/>
    </row>
    <row r="851" spans="1:26" s="41" customFormat="1" ht="12.75" x14ac:dyDescent="0.2">
      <c r="B851" s="205"/>
      <c r="C851" s="1808"/>
      <c r="D851" s="1808"/>
      <c r="E851" s="1808"/>
      <c r="F851" s="1808"/>
      <c r="G851" s="1808"/>
      <c r="H851" s="1808"/>
      <c r="I851" s="262"/>
      <c r="J851" s="262"/>
    </row>
    <row r="852" spans="1:26" s="41" customFormat="1" ht="12.75" x14ac:dyDescent="0.2">
      <c r="B852" s="1835"/>
      <c r="C852" s="1809"/>
      <c r="D852" s="1809"/>
      <c r="E852" s="1809"/>
      <c r="F852" s="1809"/>
      <c r="G852" s="1809"/>
      <c r="H852" s="1809"/>
      <c r="I852" s="262"/>
      <c r="J852" s="262"/>
    </row>
    <row r="853" spans="1:26" s="41" customFormat="1" ht="12.75" x14ac:dyDescent="0.2">
      <c r="B853" s="1835"/>
      <c r="C853" s="1809"/>
      <c r="D853" s="1809"/>
      <c r="E853" s="1809"/>
      <c r="F853" s="1809"/>
      <c r="G853" s="1809"/>
      <c r="H853" s="1809"/>
      <c r="I853" s="262"/>
      <c r="J853" s="262"/>
    </row>
    <row r="854" spans="1:26" s="41" customFormat="1" ht="12.75" x14ac:dyDescent="0.2">
      <c r="B854" s="205"/>
      <c r="C854" s="1814"/>
      <c r="D854" s="1814"/>
      <c r="E854" s="1814"/>
      <c r="F854" s="1814"/>
      <c r="G854" s="1814"/>
      <c r="H854" s="1814"/>
      <c r="I854" s="262"/>
      <c r="J854" s="262"/>
    </row>
    <row r="855" spans="1:26" s="41" customFormat="1" ht="12.75" x14ac:dyDescent="0.2">
      <c r="B855" s="205"/>
      <c r="C855" s="1879"/>
      <c r="D855" s="1879"/>
      <c r="E855" s="1879"/>
      <c r="F855" s="1879"/>
      <c r="G855" s="1815"/>
      <c r="H855" s="1815"/>
      <c r="I855" s="262"/>
      <c r="J855" s="262"/>
    </row>
    <row r="856" spans="1:26" s="41" customFormat="1" ht="12.75" x14ac:dyDescent="0.2">
      <c r="C856" s="1808"/>
      <c r="D856" s="1808"/>
      <c r="E856" s="1808"/>
      <c r="F856" s="1808"/>
      <c r="G856" s="1808"/>
      <c r="H856" s="1808"/>
      <c r="I856" s="262"/>
      <c r="J856" s="262"/>
    </row>
    <row r="857" spans="1:26" s="41" customFormat="1" ht="12.75" x14ac:dyDescent="0.2">
      <c r="B857" s="200"/>
      <c r="C857" s="1815"/>
      <c r="D857" s="1815"/>
      <c r="E857" s="1815"/>
      <c r="F857" s="1815"/>
      <c r="G857" s="1815"/>
      <c r="H857" s="1815"/>
      <c r="I857" s="262"/>
      <c r="J857" s="262"/>
    </row>
    <row r="858" spans="1:26" s="41" customFormat="1" ht="12.75" x14ac:dyDescent="0.2">
      <c r="C858" s="1881"/>
      <c r="D858" s="1881"/>
      <c r="E858" s="1881"/>
      <c r="F858" s="1881"/>
      <c r="G858" s="613"/>
      <c r="H858" s="613"/>
      <c r="I858" s="262"/>
      <c r="J858" s="262"/>
    </row>
    <row r="859" spans="1:26" s="41" customFormat="1" ht="12.75" x14ac:dyDescent="0.2">
      <c r="C859" s="262"/>
      <c r="D859" s="262"/>
      <c r="E859" s="262"/>
      <c r="F859" s="262"/>
      <c r="G859" s="262"/>
      <c r="H859" s="262"/>
      <c r="I859" s="262"/>
      <c r="J859" s="262"/>
    </row>
    <row r="860" spans="1:26" s="128" customFormat="1" x14ac:dyDescent="0.25">
      <c r="A860" s="459">
        <v>52</v>
      </c>
      <c r="B860" s="127" t="s">
        <v>635</v>
      </c>
      <c r="C860" s="602"/>
      <c r="T860" s="1344" t="s">
        <v>635</v>
      </c>
      <c r="U860" s="129"/>
      <c r="X860" s="129"/>
      <c r="Y860" s="166"/>
      <c r="Z860" s="166"/>
    </row>
    <row r="861" spans="1:26" s="1833" customFormat="1" x14ac:dyDescent="0.25">
      <c r="A861" s="461"/>
      <c r="B861" s="130" t="s">
        <v>337</v>
      </c>
      <c r="C861" s="131">
        <v>42522</v>
      </c>
      <c r="D861" s="131">
        <v>42552</v>
      </c>
      <c r="E861" s="131">
        <v>42583</v>
      </c>
      <c r="F861" s="131">
        <v>42614</v>
      </c>
      <c r="G861" s="131">
        <v>42644</v>
      </c>
      <c r="H861" s="131">
        <v>42675</v>
      </c>
      <c r="I861" s="131">
        <v>42705</v>
      </c>
      <c r="J861" s="131">
        <v>42736</v>
      </c>
      <c r="K861" s="131">
        <v>42767</v>
      </c>
      <c r="L861" s="131">
        <v>42795</v>
      </c>
      <c r="M861" s="131">
        <v>42826</v>
      </c>
      <c r="N861" s="131">
        <v>42856</v>
      </c>
      <c r="O861" s="131">
        <v>42887</v>
      </c>
      <c r="P861" s="131">
        <v>42917</v>
      </c>
      <c r="Q861" s="131">
        <v>42948</v>
      </c>
      <c r="R861" s="131">
        <v>42992</v>
      </c>
      <c r="T861" s="1896"/>
      <c r="U861" s="1834"/>
      <c r="X861" s="1834"/>
      <c r="Y861" s="1835"/>
      <c r="Z861" s="1835"/>
    </row>
    <row r="862" spans="1:26" s="1833" customFormat="1" x14ac:dyDescent="0.25">
      <c r="A862" s="461"/>
      <c r="B862" s="135" t="s">
        <v>319</v>
      </c>
      <c r="C862" s="187">
        <v>36781</v>
      </c>
      <c r="D862" s="187">
        <v>38470</v>
      </c>
      <c r="E862" s="187">
        <v>37733</v>
      </c>
      <c r="F862" s="187">
        <v>40115</v>
      </c>
      <c r="G862" s="187">
        <v>34543</v>
      </c>
      <c r="H862" s="187">
        <v>33747</v>
      </c>
      <c r="I862" s="187">
        <v>39909</v>
      </c>
      <c r="J862" s="187">
        <v>39879</v>
      </c>
      <c r="K862" s="187">
        <f>27544+337</f>
        <v>27881</v>
      </c>
      <c r="L862" s="187">
        <v>38890</v>
      </c>
      <c r="M862" s="187">
        <v>35070</v>
      </c>
      <c r="N862" s="187">
        <v>24385</v>
      </c>
      <c r="O862" s="187">
        <v>38838</v>
      </c>
      <c r="P862" s="136"/>
      <c r="Q862" s="136"/>
      <c r="R862" s="141"/>
      <c r="T862" s="1896"/>
      <c r="U862" s="1834"/>
      <c r="X862" s="1834"/>
      <c r="Y862" s="1835"/>
      <c r="Z862" s="1835"/>
    </row>
    <row r="863" spans="1:26" s="1833" customFormat="1" x14ac:dyDescent="0.25">
      <c r="A863" s="461"/>
      <c r="B863" s="135" t="s">
        <v>343</v>
      </c>
      <c r="C863" s="1092"/>
      <c r="D863" s="153"/>
      <c r="E863" s="153"/>
      <c r="F863" s="137"/>
      <c r="G863" s="137"/>
      <c r="H863" s="137"/>
      <c r="I863" s="136"/>
      <c r="J863" s="136"/>
      <c r="K863" s="136"/>
      <c r="L863" s="136"/>
      <c r="M863" s="136"/>
      <c r="N863" s="136"/>
      <c r="O863" s="136"/>
      <c r="P863" s="136"/>
      <c r="Q863" s="136"/>
      <c r="R863" s="153"/>
      <c r="T863" s="1896"/>
      <c r="U863" s="1834"/>
      <c r="X863" s="1834"/>
      <c r="Y863" s="1835"/>
      <c r="Z863" s="1835"/>
    </row>
    <row r="864" spans="1:26" s="1833" customFormat="1" x14ac:dyDescent="0.25">
      <c r="A864" s="461"/>
      <c r="B864" s="153" t="s">
        <v>1372</v>
      </c>
      <c r="C864" s="187">
        <v>22898</v>
      </c>
      <c r="D864" s="187">
        <v>26921</v>
      </c>
      <c r="E864" s="187">
        <v>26100</v>
      </c>
      <c r="F864" s="187">
        <v>20524</v>
      </c>
      <c r="G864" s="187">
        <v>13417</v>
      </c>
      <c r="H864" s="187">
        <v>5214</v>
      </c>
      <c r="I864" s="187">
        <v>5387</v>
      </c>
      <c r="J864" s="187">
        <v>6074</v>
      </c>
      <c r="K864" s="187">
        <v>7813</v>
      </c>
      <c r="L864" s="187">
        <v>6248</v>
      </c>
      <c r="M864" s="187">
        <v>16100</v>
      </c>
      <c r="N864" s="187">
        <v>16920</v>
      </c>
      <c r="O864" s="187">
        <v>14100</v>
      </c>
      <c r="P864" s="187"/>
      <c r="Q864" s="187"/>
      <c r="R864" s="187"/>
      <c r="T864" s="1896"/>
      <c r="U864" s="1834"/>
      <c r="X864" s="1834"/>
      <c r="Y864" s="1835"/>
      <c r="Z864" s="1835"/>
    </row>
    <row r="865" spans="1:26" s="1833" customFormat="1" x14ac:dyDescent="0.25">
      <c r="A865" s="461"/>
      <c r="B865" s="153" t="s">
        <v>1373</v>
      </c>
      <c r="C865" s="187"/>
      <c r="D865" s="187"/>
      <c r="E865" s="187"/>
      <c r="F865" s="187"/>
      <c r="G865" s="187"/>
      <c r="H865" s="187"/>
      <c r="I865" s="187"/>
      <c r="J865" s="187"/>
      <c r="K865" s="187"/>
      <c r="L865" s="187"/>
      <c r="M865" s="187"/>
      <c r="N865" s="187"/>
      <c r="O865" s="187"/>
      <c r="P865" s="141"/>
      <c r="Q865" s="141"/>
      <c r="R865" s="153"/>
      <c r="T865" s="1896"/>
      <c r="U865" s="1834"/>
      <c r="X865" s="1834"/>
      <c r="Y865" s="1835"/>
      <c r="Z865" s="1835"/>
    </row>
    <row r="866" spans="1:26" s="1833" customFormat="1" x14ac:dyDescent="0.25">
      <c r="A866" s="461"/>
      <c r="B866" s="135" t="s">
        <v>864</v>
      </c>
      <c r="C866" s="1092"/>
      <c r="D866" s="153"/>
      <c r="E866" s="153"/>
      <c r="F866" s="760"/>
      <c r="G866" s="760"/>
      <c r="H866" s="760"/>
      <c r="I866" s="760"/>
      <c r="J866" s="760"/>
      <c r="K866" s="750"/>
      <c r="L866" s="750"/>
      <c r="M866" s="750"/>
      <c r="N866" s="750"/>
      <c r="O866" s="750"/>
      <c r="P866" s="750"/>
      <c r="Q866" s="728"/>
      <c r="R866" s="153"/>
      <c r="T866" s="1896"/>
      <c r="U866" s="1834"/>
      <c r="X866" s="1834"/>
      <c r="Y866" s="1835"/>
      <c r="Z866" s="1835"/>
    </row>
    <row r="867" spans="1:26" s="1833" customFormat="1" x14ac:dyDescent="0.25">
      <c r="A867" s="461"/>
      <c r="B867" s="135" t="s">
        <v>324</v>
      </c>
      <c r="C867" s="1602">
        <f>0.08775*C862</f>
        <v>3227.5327499999999</v>
      </c>
      <c r="D867" s="1602">
        <f t="shared" ref="D867:O867" si="44">0.08775*D862</f>
        <v>3375.7424999999998</v>
      </c>
      <c r="E867" s="1602">
        <f t="shared" si="44"/>
        <v>3311.0707499999999</v>
      </c>
      <c r="F867" s="1602">
        <f t="shared" si="44"/>
        <v>3520.0912499999999</v>
      </c>
      <c r="G867" s="1602">
        <f t="shared" si="44"/>
        <v>3031.1482499999997</v>
      </c>
      <c r="H867" s="1602">
        <f t="shared" si="44"/>
        <v>2961.29925</v>
      </c>
      <c r="I867" s="1602">
        <f t="shared" si="44"/>
        <v>3502.0147499999998</v>
      </c>
      <c r="J867" s="1602">
        <f t="shared" si="44"/>
        <v>3499.3822499999997</v>
      </c>
      <c r="K867" s="1602">
        <f t="shared" si="44"/>
        <v>2446.5577499999999</v>
      </c>
      <c r="L867" s="1602">
        <f t="shared" si="44"/>
        <v>3412.5974999999999</v>
      </c>
      <c r="M867" s="1602">
        <f t="shared" si="44"/>
        <v>3077.3924999999999</v>
      </c>
      <c r="N867" s="1602">
        <f t="shared" si="44"/>
        <v>2139.7837500000001</v>
      </c>
      <c r="O867" s="1602">
        <f t="shared" si="44"/>
        <v>3408.0344999999998</v>
      </c>
      <c r="P867" s="731"/>
      <c r="Q867" s="731"/>
      <c r="R867" s="153"/>
      <c r="T867" s="1896"/>
      <c r="U867" s="1834"/>
      <c r="X867" s="1834"/>
      <c r="Y867" s="1835"/>
      <c r="Z867" s="1835"/>
    </row>
    <row r="868" spans="1:26" s="1833" customFormat="1" x14ac:dyDescent="0.25">
      <c r="A868" s="461"/>
      <c r="B868" s="144" t="s">
        <v>348</v>
      </c>
      <c r="C868" s="1092"/>
      <c r="D868" s="153"/>
      <c r="E868" s="153"/>
      <c r="F868" s="736"/>
      <c r="G868" s="736"/>
      <c r="H868" s="736"/>
      <c r="I868" s="736"/>
      <c r="J868" s="731"/>
      <c r="K868" s="731"/>
      <c r="L868" s="731"/>
      <c r="M868" s="731"/>
      <c r="N868" s="731"/>
      <c r="O868" s="731"/>
      <c r="P868" s="731"/>
      <c r="Q868" s="731"/>
      <c r="R868" s="153"/>
      <c r="T868" s="1896"/>
      <c r="U868" s="1834"/>
      <c r="X868" s="1834"/>
      <c r="Y868" s="1835"/>
      <c r="Z868" s="1835"/>
    </row>
    <row r="869" spans="1:26" s="1833" customFormat="1" x14ac:dyDescent="0.25">
      <c r="A869" s="461"/>
      <c r="B869" s="195" t="s">
        <v>1087</v>
      </c>
      <c r="C869" s="1092"/>
      <c r="D869" s="153"/>
      <c r="E869" s="153"/>
      <c r="F869" s="731"/>
      <c r="G869" s="731"/>
      <c r="H869" s="731"/>
      <c r="I869" s="731"/>
      <c r="J869" s="731"/>
      <c r="K869" s="731"/>
      <c r="L869" s="731"/>
      <c r="M869" s="731"/>
      <c r="N869" s="731"/>
      <c r="O869" s="731"/>
      <c r="P869" s="731"/>
      <c r="Q869" s="731"/>
      <c r="R869" s="153"/>
      <c r="T869" s="1896"/>
      <c r="U869" s="1834"/>
      <c r="X869" s="1834"/>
      <c r="Y869" s="1835"/>
      <c r="Z869" s="1835"/>
    </row>
    <row r="870" spans="1:26" s="1833" customFormat="1" x14ac:dyDescent="0.25">
      <c r="A870" s="461"/>
      <c r="B870" s="144" t="s">
        <v>883</v>
      </c>
      <c r="C870" s="1602"/>
      <c r="D870" s="1602"/>
      <c r="E870" s="1602"/>
      <c r="F870" s="1602"/>
      <c r="G870" s="1602"/>
      <c r="H870" s="1602"/>
      <c r="I870" s="1602"/>
      <c r="J870" s="1602"/>
      <c r="K870" s="1602"/>
      <c r="L870" s="1602"/>
      <c r="M870" s="1602"/>
      <c r="N870" s="1602"/>
      <c r="O870" s="145"/>
      <c r="P870" s="145"/>
      <c r="Q870" s="145"/>
      <c r="R870" s="145"/>
      <c r="T870" s="1896"/>
      <c r="U870" s="1834"/>
      <c r="X870" s="1834"/>
      <c r="Y870" s="1835"/>
      <c r="Z870" s="1835"/>
    </row>
    <row r="871" spans="1:26" s="1833" customFormat="1" ht="14.25" x14ac:dyDescent="0.2">
      <c r="A871" s="1840"/>
      <c r="B871" s="41"/>
      <c r="C871" s="262"/>
      <c r="D871" s="177"/>
      <c r="E871" s="177"/>
      <c r="F871" s="177"/>
      <c r="G871" s="177"/>
      <c r="H871" s="177"/>
      <c r="I871" s="177"/>
      <c r="J871" s="177"/>
      <c r="K871" s="177"/>
      <c r="L871" s="177"/>
      <c r="M871" s="177"/>
      <c r="N871" s="177"/>
      <c r="O871" s="177"/>
      <c r="P871" s="177"/>
      <c r="Q871" s="177"/>
      <c r="R871" s="177"/>
      <c r="T871" s="1896"/>
      <c r="U871" s="1834"/>
      <c r="X871" s="1834"/>
      <c r="Y871" s="1835"/>
      <c r="Z871" s="1835"/>
    </row>
    <row r="872" spans="1:26" s="1468" customFormat="1" x14ac:dyDescent="0.25">
      <c r="A872" s="462">
        <v>53</v>
      </c>
      <c r="B872" s="460" t="s">
        <v>974</v>
      </c>
      <c r="C872" s="1467"/>
      <c r="T872" s="460" t="s">
        <v>974</v>
      </c>
    </row>
    <row r="873" spans="1:26" s="3" customFormat="1" x14ac:dyDescent="0.25">
      <c r="A873" s="1"/>
      <c r="B873" s="712" t="s">
        <v>1132</v>
      </c>
      <c r="C873" s="1646"/>
      <c r="D873" s="1210"/>
      <c r="E873" s="1210"/>
      <c r="F873" s="1210"/>
      <c r="G873" s="1210"/>
      <c r="H873" s="1210"/>
      <c r="I873" s="1210"/>
      <c r="J873" s="1210"/>
      <c r="K873" s="1210"/>
      <c r="L873" s="1210"/>
      <c r="M873" s="1210"/>
      <c r="N873" s="1210"/>
      <c r="O873" s="1210"/>
      <c r="P873" s="714"/>
      <c r="Q873" s="715"/>
      <c r="R873" s="716"/>
      <c r="S873" s="1647"/>
      <c r="T873" s="1150"/>
      <c r="U873" s="1847"/>
    </row>
    <row r="874" spans="1:26" s="3" customFormat="1" x14ac:dyDescent="0.25">
      <c r="A874" s="1"/>
      <c r="B874" s="717" t="s">
        <v>337</v>
      </c>
      <c r="C874" s="1648"/>
      <c r="D874" s="719">
        <v>42583</v>
      </c>
      <c r="E874" s="719">
        <v>42614</v>
      </c>
      <c r="F874" s="719">
        <v>42644</v>
      </c>
      <c r="G874" s="719">
        <v>42675</v>
      </c>
      <c r="H874" s="719">
        <v>42705</v>
      </c>
      <c r="I874" s="719">
        <v>42736</v>
      </c>
      <c r="J874" s="719">
        <v>42767</v>
      </c>
      <c r="K874" s="719">
        <v>42795</v>
      </c>
      <c r="L874" s="719">
        <v>42826</v>
      </c>
      <c r="M874" s="719">
        <v>42856</v>
      </c>
      <c r="N874" s="719">
        <v>42887</v>
      </c>
      <c r="O874" s="719">
        <v>42917</v>
      </c>
      <c r="P874" s="720" t="s">
        <v>338</v>
      </c>
      <c r="Q874" s="721" t="s">
        <v>339</v>
      </c>
      <c r="R874"/>
      <c r="S874" s="720" t="s">
        <v>338</v>
      </c>
      <c r="T874" s="721" t="s">
        <v>339</v>
      </c>
      <c r="U874" s="1882"/>
    </row>
    <row r="875" spans="1:26" s="3" customFormat="1" ht="14.25" x14ac:dyDescent="0.2">
      <c r="A875" s="1"/>
      <c r="B875" s="722" t="s">
        <v>360</v>
      </c>
      <c r="C875" s="730"/>
      <c r="D875" s="454">
        <v>44531.982421869994</v>
      </c>
      <c r="E875" s="454">
        <v>51126.953125</v>
      </c>
      <c r="F875" s="454">
        <v>50754.028320309997</v>
      </c>
      <c r="G875" s="454">
        <v>45870.971679690003</v>
      </c>
      <c r="H875" s="454">
        <v>41633.056640630006</v>
      </c>
      <c r="I875" s="454">
        <v>45049.926757809997</v>
      </c>
      <c r="J875" s="454">
        <v>40887.084960940003</v>
      </c>
      <c r="K875" s="454">
        <v>42773.92578125</v>
      </c>
      <c r="L875" s="454">
        <v>46723.999023429998</v>
      </c>
      <c r="M875" s="454">
        <v>38963.989257820002</v>
      </c>
      <c r="N875" s="454">
        <v>33222.045898429998</v>
      </c>
      <c r="O875" s="454">
        <v>35352.05078125</v>
      </c>
      <c r="P875" s="724">
        <f t="shared" ref="P875:P882" si="45">SUM(D875:O875)</f>
        <v>516890.01464842999</v>
      </c>
      <c r="Q875" s="1145" t="s">
        <v>361</v>
      </c>
      <c r="R875"/>
      <c r="S875" s="734">
        <f>P875*0.003409512</f>
        <v>1762.3427076239977</v>
      </c>
      <c r="T875" s="1145" t="s">
        <v>342</v>
      </c>
      <c r="U875" s="1847"/>
    </row>
    <row r="876" spans="1:26" s="3" customFormat="1" ht="14.25" x14ac:dyDescent="0.2">
      <c r="A876" s="1"/>
      <c r="B876" s="722" t="s">
        <v>362</v>
      </c>
      <c r="C876" s="730"/>
      <c r="D876" s="1144">
        <v>615.8251953125</v>
      </c>
      <c r="E876" s="1144">
        <v>475.43994140625</v>
      </c>
      <c r="F876" s="1144">
        <v>325.66015625</v>
      </c>
      <c r="G876" s="1144">
        <v>215.3662109375</v>
      </c>
      <c r="H876" s="1144">
        <v>149.8544921875</v>
      </c>
      <c r="I876" s="1144">
        <v>149.806640625</v>
      </c>
      <c r="J876" s="1144">
        <v>157.9375</v>
      </c>
      <c r="K876" s="1144">
        <v>168.0419921875</v>
      </c>
      <c r="L876" s="1144">
        <v>279.0283203125</v>
      </c>
      <c r="M876" s="1144">
        <v>296.7138671875</v>
      </c>
      <c r="N876" s="1144">
        <v>369.2587890625</v>
      </c>
      <c r="O876" s="454">
        <v>503.978515625</v>
      </c>
      <c r="P876" s="724">
        <f t="shared" si="45"/>
        <v>3706.91162109375</v>
      </c>
      <c r="Q876" s="1145" t="s">
        <v>363</v>
      </c>
      <c r="R876"/>
      <c r="S876" s="1649">
        <f>P876</f>
        <v>3706.91162109375</v>
      </c>
      <c r="T876" s="1145" t="s">
        <v>342</v>
      </c>
      <c r="U876" s="1847"/>
    </row>
    <row r="877" spans="1:26" s="3" customFormat="1" ht="14.25" x14ac:dyDescent="0.2">
      <c r="A877" s="1"/>
      <c r="B877" s="722" t="s">
        <v>364</v>
      </c>
      <c r="C877" s="730"/>
      <c r="D877" s="454">
        <v>75.520000000000152</v>
      </c>
      <c r="E877" s="454">
        <v>74.820352000000113</v>
      </c>
      <c r="F877" s="454">
        <v>133.73951999999991</v>
      </c>
      <c r="G877" s="454">
        <v>191.33055999999954</v>
      </c>
      <c r="H877" s="454">
        <v>259.52972800000043</v>
      </c>
      <c r="I877" s="454">
        <v>255.50028799999922</v>
      </c>
      <c r="J877" s="454">
        <v>175.72966400000081</v>
      </c>
      <c r="K877" s="454">
        <v>187.87993600000019</v>
      </c>
      <c r="L877" s="454">
        <v>101.55980800000003</v>
      </c>
      <c r="M877" s="454">
        <v>77.010431999999412</v>
      </c>
      <c r="N877" s="454">
        <v>60.360192000000836</v>
      </c>
      <c r="O877" s="454">
        <v>64.439807999999601</v>
      </c>
      <c r="P877" s="724">
        <f t="shared" si="45"/>
        <v>1657.4202880000003</v>
      </c>
      <c r="Q877" s="1146" t="s">
        <v>365</v>
      </c>
      <c r="R877"/>
      <c r="S877" s="756">
        <f>P877</f>
        <v>1657.4202880000003</v>
      </c>
      <c r="T877" s="1145" t="s">
        <v>342</v>
      </c>
      <c r="U877" s="1847"/>
    </row>
    <row r="878" spans="1:26" s="3" customFormat="1" ht="14.25" x14ac:dyDescent="0.2">
      <c r="A878" s="1"/>
      <c r="B878" s="728" t="s">
        <v>864</v>
      </c>
      <c r="C878" s="730"/>
      <c r="D878" s="164">
        <v>95</v>
      </c>
      <c r="E878" s="770">
        <v>176</v>
      </c>
      <c r="F878" s="770">
        <v>145</v>
      </c>
      <c r="G878" s="770">
        <v>147</v>
      </c>
      <c r="H878" s="770">
        <v>87</v>
      </c>
      <c r="I878" s="770">
        <v>94</v>
      </c>
      <c r="J878" s="2204">
        <v>122</v>
      </c>
      <c r="K878" s="2204">
        <v>105</v>
      </c>
      <c r="L878" s="2204">
        <v>117</v>
      </c>
      <c r="M878" s="2204">
        <v>65</v>
      </c>
      <c r="N878" s="2204">
        <v>19</v>
      </c>
      <c r="O878" s="2204">
        <v>22</v>
      </c>
      <c r="P878" s="724">
        <f t="shared" si="45"/>
        <v>1194</v>
      </c>
      <c r="Q878" s="1146" t="s">
        <v>379</v>
      </c>
      <c r="R878"/>
      <c r="S878" s="756">
        <f>P878*748</f>
        <v>893112</v>
      </c>
      <c r="T878" s="1146" t="s">
        <v>346</v>
      </c>
      <c r="U878" s="1847"/>
    </row>
    <row r="879" spans="1:26" s="3" customFormat="1" ht="14.25" x14ac:dyDescent="0.2">
      <c r="A879" s="1"/>
      <c r="B879" s="722" t="s">
        <v>368</v>
      </c>
      <c r="C879" s="730"/>
      <c r="D879" s="731">
        <f>D875*0.087</f>
        <v>3874.2824707026894</v>
      </c>
      <c r="E879" s="731">
        <f t="shared" ref="E879:N879" si="46">E875*0.087</f>
        <v>4448.044921875</v>
      </c>
      <c r="F879" s="731">
        <f t="shared" si="46"/>
        <v>4415.6004638669692</v>
      </c>
      <c r="G879" s="731">
        <f t="shared" si="46"/>
        <v>3990.7745361330299</v>
      </c>
      <c r="H879" s="731">
        <f t="shared" si="46"/>
        <v>3622.0759277348102</v>
      </c>
      <c r="I879" s="731">
        <f t="shared" si="46"/>
        <v>3919.3436279294697</v>
      </c>
      <c r="J879" s="731">
        <f t="shared" si="46"/>
        <v>3557.1763916017799</v>
      </c>
      <c r="K879" s="731">
        <f t="shared" si="46"/>
        <v>3721.3315429687495</v>
      </c>
      <c r="L879" s="731">
        <f t="shared" si="46"/>
        <v>4064.9879150384095</v>
      </c>
      <c r="M879" s="731">
        <f t="shared" si="46"/>
        <v>3389.8670654303401</v>
      </c>
      <c r="N879" s="731">
        <f t="shared" si="46"/>
        <v>2890.3179931634095</v>
      </c>
      <c r="O879" s="731">
        <f>O875*0.083</f>
        <v>2934.22021484375</v>
      </c>
      <c r="P879" s="724">
        <f t="shared" si="45"/>
        <v>44828.023071288408</v>
      </c>
      <c r="Q879" s="1145" t="s">
        <v>865</v>
      </c>
      <c r="R879"/>
      <c r="S879" s="1651"/>
      <c r="T879" s="1652"/>
      <c r="U879" s="1847"/>
    </row>
    <row r="880" spans="1:26" s="3" customFormat="1" ht="14.25" x14ac:dyDescent="0.2">
      <c r="A880" s="1"/>
      <c r="B880" s="722" t="s">
        <v>369</v>
      </c>
      <c r="C880" s="730"/>
      <c r="D880" s="731">
        <f>D876*12.95</f>
        <v>7974.936279296875</v>
      </c>
      <c r="E880" s="731">
        <f t="shared" ref="E880:N880" si="47">E876*12.95</f>
        <v>6156.9472412109371</v>
      </c>
      <c r="F880" s="731">
        <f t="shared" si="47"/>
        <v>4217.2990234375002</v>
      </c>
      <c r="G880" s="731">
        <f t="shared" si="47"/>
        <v>2788.992431640625</v>
      </c>
      <c r="H880" s="731">
        <f t="shared" si="47"/>
        <v>1940.615673828125</v>
      </c>
      <c r="I880" s="731">
        <f t="shared" si="47"/>
        <v>1939.9959960937499</v>
      </c>
      <c r="J880" s="731">
        <f t="shared" si="47"/>
        <v>2045.2906249999999</v>
      </c>
      <c r="K880" s="731">
        <f t="shared" si="47"/>
        <v>2176.143798828125</v>
      </c>
      <c r="L880" s="731">
        <f t="shared" si="47"/>
        <v>3613.416748046875</v>
      </c>
      <c r="M880" s="731">
        <f t="shared" si="47"/>
        <v>3842.444580078125</v>
      </c>
      <c r="N880" s="731">
        <f t="shared" si="47"/>
        <v>4781.9013183593752</v>
      </c>
      <c r="O880" s="731">
        <f>O876*12.76</f>
        <v>6430.7658593750002</v>
      </c>
      <c r="P880" s="724">
        <f t="shared" si="45"/>
        <v>47908.749575195317</v>
      </c>
      <c r="Q880" s="1145" t="s">
        <v>865</v>
      </c>
      <c r="R880"/>
      <c r="S880" s="1647"/>
      <c r="T880" s="1150"/>
      <c r="U880" s="1847"/>
    </row>
    <row r="881" spans="1:26" s="3" customFormat="1" ht="16.5" x14ac:dyDescent="0.35">
      <c r="A881" s="1"/>
      <c r="B881" s="722" t="s">
        <v>326</v>
      </c>
      <c r="C881" s="730"/>
      <c r="D881" s="1208">
        <f>D877*12.02</f>
        <v>907.75040000000183</v>
      </c>
      <c r="E881" s="1208">
        <f t="shared" ref="E881:N881" si="48">E877*12.02</f>
        <v>899.34063104000131</v>
      </c>
      <c r="F881" s="1208">
        <f t="shared" si="48"/>
        <v>1607.5490303999989</v>
      </c>
      <c r="G881" s="1208">
        <f t="shared" si="48"/>
        <v>2299.7933311999946</v>
      </c>
      <c r="H881" s="1208">
        <f t="shared" si="48"/>
        <v>3119.5473305600049</v>
      </c>
      <c r="I881" s="1208">
        <f t="shared" si="48"/>
        <v>3071.1134617599905</v>
      </c>
      <c r="J881" s="1208">
        <f t="shared" si="48"/>
        <v>2112.2705612800096</v>
      </c>
      <c r="K881" s="1208">
        <f t="shared" si="48"/>
        <v>2258.3168307200021</v>
      </c>
      <c r="L881" s="1208">
        <f t="shared" si="48"/>
        <v>1220.7488921600004</v>
      </c>
      <c r="M881" s="1208">
        <f t="shared" si="48"/>
        <v>925.66539263999289</v>
      </c>
      <c r="N881" s="1208">
        <f t="shared" si="48"/>
        <v>725.52950784001007</v>
      </c>
      <c r="O881" s="1208">
        <f>O877*13.81</f>
        <v>889.91374847999452</v>
      </c>
      <c r="P881" s="724">
        <f t="shared" si="45"/>
        <v>20037.53911808</v>
      </c>
      <c r="Q881" s="1145" t="s">
        <v>865</v>
      </c>
      <c r="R881"/>
      <c r="S881" s="1653"/>
      <c r="T881" s="1150"/>
      <c r="U881" s="1847"/>
    </row>
    <row r="882" spans="1:26" s="3" customFormat="1" ht="16.5" x14ac:dyDescent="0.35">
      <c r="A882" s="1"/>
      <c r="B882" s="732" t="s">
        <v>325</v>
      </c>
      <c r="C882" s="714"/>
      <c r="D882" s="1147">
        <f>D878*9.33</f>
        <v>886.35</v>
      </c>
      <c r="E882" s="1147">
        <f t="shared" ref="E882:N882" si="49">E878*9.33</f>
        <v>1642.08</v>
      </c>
      <c r="F882" s="1147">
        <f t="shared" si="49"/>
        <v>1352.85</v>
      </c>
      <c r="G882" s="1147">
        <f t="shared" si="49"/>
        <v>1371.51</v>
      </c>
      <c r="H882" s="1147">
        <f t="shared" si="49"/>
        <v>811.71</v>
      </c>
      <c r="I882" s="1147">
        <f t="shared" si="49"/>
        <v>877.02</v>
      </c>
      <c r="J882" s="1147">
        <f t="shared" si="49"/>
        <v>1138.26</v>
      </c>
      <c r="K882" s="1147">
        <f t="shared" si="49"/>
        <v>979.65</v>
      </c>
      <c r="L882" s="1147">
        <f t="shared" si="49"/>
        <v>1091.6099999999999</v>
      </c>
      <c r="M882" s="1147">
        <f t="shared" si="49"/>
        <v>606.45000000000005</v>
      </c>
      <c r="N882" s="1147">
        <f t="shared" si="49"/>
        <v>177.27</v>
      </c>
      <c r="O882" s="1147">
        <f>O878*9.39</f>
        <v>206.58</v>
      </c>
      <c r="P882" s="724">
        <f t="shared" si="45"/>
        <v>11141.340000000002</v>
      </c>
      <c r="Q882" s="1145" t="s">
        <v>865</v>
      </c>
      <c r="R882"/>
      <c r="S882" s="1653"/>
      <c r="T882" s="1150"/>
      <c r="U882" s="1847"/>
    </row>
    <row r="883" spans="1:26" s="1468" customFormat="1" x14ac:dyDescent="0.25">
      <c r="A883" s="462"/>
      <c r="B883" s="460"/>
      <c r="C883" s="1467"/>
      <c r="T883" s="460"/>
    </row>
    <row r="884" spans="1:26" s="460" customFormat="1" x14ac:dyDescent="0.25">
      <c r="A884" s="462">
        <v>54</v>
      </c>
      <c r="B884" s="460" t="s">
        <v>1413</v>
      </c>
      <c r="C884" s="462"/>
      <c r="T884" s="460" t="s">
        <v>978</v>
      </c>
    </row>
    <row r="885" spans="1:26" s="1833" customFormat="1" ht="15.75" x14ac:dyDescent="0.25">
      <c r="A885" s="1840"/>
      <c r="B885" s="1640" t="s">
        <v>1415</v>
      </c>
      <c r="C885" s="2143"/>
      <c r="D885" s="2143"/>
      <c r="E885" s="2143"/>
      <c r="F885" s="2143"/>
      <c r="G885" s="2143"/>
      <c r="H885" s="2143"/>
      <c r="I885" s="2143"/>
      <c r="J885" s="2143"/>
      <c r="K885" s="2143"/>
      <c r="L885" s="2143"/>
      <c r="M885" s="2143"/>
      <c r="N885" s="2143"/>
      <c r="S885" s="1840"/>
      <c r="T885" s="1866"/>
      <c r="W885" s="1834"/>
      <c r="Y885" s="1835"/>
      <c r="Z885" s="1835"/>
    </row>
    <row r="886" spans="1:26" s="1833" customFormat="1" ht="15.75" x14ac:dyDescent="0.25">
      <c r="A886" s="1840"/>
      <c r="B886" s="472" t="s">
        <v>737</v>
      </c>
      <c r="C886" s="473" t="s">
        <v>1540</v>
      </c>
      <c r="D886" s="473">
        <v>42583</v>
      </c>
      <c r="E886" s="473">
        <v>42614</v>
      </c>
      <c r="F886" s="473">
        <v>42644</v>
      </c>
      <c r="G886" s="473">
        <v>42675</v>
      </c>
      <c r="H886" s="473">
        <v>42705</v>
      </c>
      <c r="I886" s="473">
        <v>42736</v>
      </c>
      <c r="J886" s="473">
        <v>42767</v>
      </c>
      <c r="K886" s="473">
        <v>42795</v>
      </c>
      <c r="L886" s="473">
        <v>42826</v>
      </c>
      <c r="M886" s="473">
        <v>42856</v>
      </c>
      <c r="N886" s="473">
        <v>42887</v>
      </c>
      <c r="S886" s="1840"/>
      <c r="T886" s="1866"/>
      <c r="W886" s="1834"/>
      <c r="Y886" s="1835"/>
      <c r="Z886" s="1835"/>
    </row>
    <row r="887" spans="1:26" s="1833" customFormat="1" ht="15.75" x14ac:dyDescent="0.25">
      <c r="A887" s="1840"/>
      <c r="B887" s="1100" t="s">
        <v>1102</v>
      </c>
      <c r="C887" s="2142"/>
      <c r="D887" s="2142"/>
      <c r="E887" s="2142"/>
      <c r="F887" s="2142"/>
      <c r="G887" s="2142"/>
      <c r="H887" s="2142"/>
      <c r="I887" s="2142"/>
      <c r="J887" s="2142"/>
      <c r="K887" s="2142"/>
      <c r="L887" s="2142"/>
      <c r="M887" s="2142"/>
      <c r="N887" s="2142"/>
      <c r="S887" s="1840"/>
      <c r="T887" s="1866"/>
      <c r="W887" s="1834"/>
      <c r="Y887" s="1835"/>
      <c r="Z887" s="1835"/>
    </row>
    <row r="888" spans="1:26" s="1833" customFormat="1" ht="15.75" x14ac:dyDescent="0.25">
      <c r="A888" s="1840"/>
      <c r="B888" s="1629" t="s">
        <v>1093</v>
      </c>
      <c r="C888" s="1631">
        <v>43939</v>
      </c>
      <c r="D888" s="1631">
        <v>50401</v>
      </c>
      <c r="E888" s="1631">
        <v>73790</v>
      </c>
      <c r="F888" s="1631">
        <v>53290</v>
      </c>
      <c r="G888" s="1631">
        <v>54502</v>
      </c>
      <c r="H888" s="1631">
        <v>59046</v>
      </c>
      <c r="I888" s="1631">
        <v>62444</v>
      </c>
      <c r="J888" s="1631">
        <v>53789</v>
      </c>
      <c r="K888" s="1631">
        <v>54926</v>
      </c>
      <c r="L888" s="1631">
        <v>54353</v>
      </c>
      <c r="M888" s="1631">
        <v>43429</v>
      </c>
      <c r="N888" s="1631">
        <v>35593</v>
      </c>
      <c r="S888" s="1840"/>
      <c r="T888" s="1866"/>
      <c r="W888" s="1834"/>
      <c r="Y888" s="1835"/>
      <c r="Z888" s="1835"/>
    </row>
    <row r="889" spans="1:26" s="1833" customFormat="1" ht="15.75" x14ac:dyDescent="0.25">
      <c r="A889" s="1840"/>
      <c r="B889" s="1629" t="s">
        <v>322</v>
      </c>
      <c r="C889" s="1631">
        <v>13464.936</v>
      </c>
      <c r="D889" s="1631">
        <v>8228.5720000000001</v>
      </c>
      <c r="E889" s="1631">
        <v>176540.272</v>
      </c>
      <c r="F889" s="1631">
        <v>348592.23200000002</v>
      </c>
      <c r="G889" s="1631">
        <v>290244.17600000004</v>
      </c>
      <c r="H889" s="1631">
        <v>293984.43599999999</v>
      </c>
      <c r="I889" s="1631">
        <v>175792.22</v>
      </c>
      <c r="J889" s="1631">
        <v>235636.38</v>
      </c>
      <c r="K889" s="1631">
        <v>200000</v>
      </c>
      <c r="L889" s="1631">
        <v>223667.54800000001</v>
      </c>
      <c r="M889" s="1631">
        <v>308945.47600000002</v>
      </c>
      <c r="N889" s="1631">
        <v>175044.16800000001</v>
      </c>
      <c r="S889" s="1840"/>
      <c r="T889" s="1866"/>
      <c r="W889" s="1834"/>
      <c r="Y889" s="1835"/>
      <c r="Z889" s="1835"/>
    </row>
    <row r="890" spans="1:26" s="1833" customFormat="1" ht="15.75" x14ac:dyDescent="0.25">
      <c r="A890" s="1840"/>
      <c r="B890" s="1631"/>
      <c r="C890" s="1631"/>
      <c r="D890" s="1631"/>
      <c r="E890" s="1631"/>
      <c r="F890" s="1631"/>
      <c r="G890" s="1631"/>
      <c r="H890" s="1631"/>
      <c r="I890" s="1631"/>
      <c r="J890" s="1631"/>
      <c r="K890" s="1631"/>
      <c r="L890" s="1631"/>
      <c r="M890" s="1631"/>
      <c r="N890" s="1631"/>
      <c r="S890" s="1840"/>
      <c r="T890" s="1866"/>
      <c r="W890" s="1834"/>
      <c r="Y890" s="1835"/>
      <c r="Z890" s="1835"/>
    </row>
    <row r="891" spans="1:26" s="1833" customFormat="1" ht="15.75" x14ac:dyDescent="0.25">
      <c r="A891" s="1840"/>
      <c r="B891" s="1632" t="s">
        <v>641</v>
      </c>
      <c r="C891" s="1631">
        <v>127</v>
      </c>
      <c r="D891" s="1631">
        <v>145</v>
      </c>
      <c r="E891" s="1631">
        <v>348</v>
      </c>
      <c r="F891" s="1631">
        <v>421</v>
      </c>
      <c r="G891" s="1631">
        <v>516</v>
      </c>
      <c r="H891" s="1631">
        <v>509</v>
      </c>
      <c r="I891" s="1631">
        <v>358</v>
      </c>
      <c r="J891" s="1631">
        <v>604</v>
      </c>
      <c r="K891" s="1631">
        <v>568</v>
      </c>
      <c r="L891" s="1631">
        <v>609</v>
      </c>
      <c r="M891" s="1631">
        <v>453</v>
      </c>
      <c r="N891" s="1631">
        <v>121</v>
      </c>
      <c r="S891" s="1840"/>
      <c r="T891" s="1866"/>
      <c r="W891" s="1834"/>
      <c r="Y891" s="1835"/>
      <c r="Z891" s="1835"/>
    </row>
    <row r="892" spans="1:26" s="1833" customFormat="1" ht="15.75" x14ac:dyDescent="0.25">
      <c r="A892" s="1840"/>
      <c r="B892" s="1633"/>
      <c r="C892" s="1631"/>
      <c r="D892" s="1631"/>
      <c r="E892" s="1631"/>
      <c r="F892" s="1631"/>
      <c r="G892" s="1631"/>
      <c r="H892" s="1631"/>
      <c r="I892" s="1631"/>
      <c r="J892" s="1631"/>
      <c r="K892" s="1631"/>
      <c r="L892" s="1631"/>
      <c r="M892" s="1631"/>
      <c r="N892" s="1631"/>
      <c r="S892" s="1840"/>
      <c r="T892" s="1866"/>
      <c r="W892" s="1834"/>
      <c r="Y892" s="1835"/>
      <c r="Z892" s="1835"/>
    </row>
    <row r="893" spans="1:26" s="1833" customFormat="1" ht="15.75" x14ac:dyDescent="0.25">
      <c r="A893" s="1840"/>
      <c r="B893" s="1629" t="s">
        <v>324</v>
      </c>
      <c r="C893" s="1631">
        <v>4017.39</v>
      </c>
      <c r="D893" s="1631">
        <v>4414.6899999999996</v>
      </c>
      <c r="E893" s="1631">
        <v>5659.56</v>
      </c>
      <c r="F893" s="1631">
        <v>4412.58</v>
      </c>
      <c r="G893" s="1631">
        <v>4680.93</v>
      </c>
      <c r="H893" s="1631">
        <v>4374.92</v>
      </c>
      <c r="I893" s="1631">
        <v>4645.67</v>
      </c>
      <c r="J893" s="1631">
        <v>3997.57</v>
      </c>
      <c r="K893" s="1631">
        <v>4010.86</v>
      </c>
      <c r="L893" s="1631">
        <v>3744.26</v>
      </c>
      <c r="M893" s="1631">
        <v>3237.39</v>
      </c>
      <c r="N893" s="1631">
        <v>2694.88</v>
      </c>
      <c r="S893" s="1840"/>
      <c r="T893" s="1866"/>
      <c r="W893" s="1834"/>
      <c r="Y893" s="1835"/>
      <c r="Z893" s="1835"/>
    </row>
    <row r="894" spans="1:26" s="1833" customFormat="1" ht="15.75" x14ac:dyDescent="0.25">
      <c r="A894" s="1840"/>
      <c r="B894" s="1634" t="s">
        <v>328</v>
      </c>
      <c r="C894" s="1631">
        <v>877.71</v>
      </c>
      <c r="D894" s="1631">
        <v>837.19</v>
      </c>
      <c r="E894" s="1631">
        <v>2252.44</v>
      </c>
      <c r="F894" s="1631">
        <v>3699.14</v>
      </c>
      <c r="G894" s="1631">
        <v>3208.52</v>
      </c>
      <c r="H894" s="1631">
        <v>3239.97</v>
      </c>
      <c r="I894" s="1631">
        <v>2246.15</v>
      </c>
      <c r="J894" s="1631">
        <v>2749.35</v>
      </c>
      <c r="K894" s="1631">
        <v>2340</v>
      </c>
      <c r="L894" s="1631">
        <v>2648.7</v>
      </c>
      <c r="M894" s="1631">
        <f>3375.77-10</f>
        <v>3365.77</v>
      </c>
      <c r="N894" s="1631">
        <v>2239.86</v>
      </c>
      <c r="S894" s="1840"/>
      <c r="T894" s="1866"/>
      <c r="W894" s="1834"/>
      <c r="Y894" s="1835"/>
      <c r="Z894" s="1835"/>
    </row>
    <row r="895" spans="1:26" s="1833" customFormat="1" ht="15.75" x14ac:dyDescent="0.25">
      <c r="A895" s="1840"/>
      <c r="B895" s="1633" t="s">
        <v>733</v>
      </c>
      <c r="C895" s="1631">
        <v>116.81</v>
      </c>
      <c r="D895" s="1631">
        <v>130.04</v>
      </c>
      <c r="E895" s="1631">
        <v>279.12</v>
      </c>
      <c r="F895" s="1631">
        <v>335.53</v>
      </c>
      <c r="G895" s="1631">
        <f>437-58.4</f>
        <v>378.6</v>
      </c>
      <c r="H895" s="1631">
        <v>470.43</v>
      </c>
      <c r="I895" s="1631">
        <v>349</v>
      </c>
      <c r="J895" s="1631">
        <v>564.16999999999996</v>
      </c>
      <c r="K895" s="1631">
        <v>531.94000000000005</v>
      </c>
      <c r="L895" s="1631">
        <v>546.32000000000005</v>
      </c>
      <c r="M895" s="1631">
        <v>415.91</v>
      </c>
      <c r="N895" s="1631">
        <v>128.91999999999999</v>
      </c>
      <c r="S895" s="1840"/>
      <c r="T895" s="1866"/>
      <c r="W895" s="1834"/>
      <c r="Y895" s="1835"/>
      <c r="Z895" s="1835"/>
    </row>
    <row r="896" spans="1:26" s="1833" customFormat="1" ht="15.75" x14ac:dyDescent="0.25">
      <c r="A896" s="1840"/>
      <c r="B896" s="1863"/>
      <c r="C896" s="1859"/>
      <c r="D896" s="1859"/>
      <c r="E896" s="1859"/>
      <c r="F896" s="1859"/>
      <c r="G896" s="1859"/>
      <c r="H896" s="1859"/>
      <c r="I896" s="1859"/>
      <c r="J896" s="1859"/>
      <c r="K896" s="1859"/>
      <c r="L896" s="1859"/>
      <c r="M896" s="1859"/>
      <c r="N896" s="1859"/>
      <c r="S896" s="1840"/>
      <c r="T896" s="1866"/>
      <c r="W896" s="1834"/>
      <c r="Y896" s="1835"/>
      <c r="Z896" s="1835"/>
    </row>
    <row r="897" spans="1:26" s="1468" customFormat="1" x14ac:dyDescent="0.25">
      <c r="A897" s="462">
        <v>55</v>
      </c>
      <c r="B897" s="460" t="s">
        <v>979</v>
      </c>
      <c r="C897" s="1467"/>
      <c r="T897" s="460" t="s">
        <v>979</v>
      </c>
    </row>
    <row r="898" spans="1:26" s="1833" customFormat="1" ht="14.25" x14ac:dyDescent="0.2">
      <c r="A898" s="1840"/>
      <c r="B898" s="2247" t="s">
        <v>352</v>
      </c>
      <c r="C898" s="1840"/>
      <c r="S898" s="1840"/>
      <c r="T898" s="1866"/>
      <c r="W898" s="1834"/>
      <c r="Y898" s="1835"/>
      <c r="Z898" s="1835"/>
    </row>
    <row r="899" spans="1:26" s="128" customFormat="1" x14ac:dyDescent="0.25">
      <c r="A899" s="459"/>
      <c r="B899" s="127"/>
      <c r="C899" s="173"/>
      <c r="S899" s="173"/>
      <c r="T899" s="127"/>
      <c r="W899" s="129"/>
      <c r="Y899" s="166"/>
      <c r="Z899" s="166"/>
    </row>
    <row r="900" spans="1:26" s="1468" customFormat="1" x14ac:dyDescent="0.25">
      <c r="A900" s="462">
        <v>56</v>
      </c>
      <c r="B900" s="460" t="s">
        <v>980</v>
      </c>
      <c r="C900" s="1467"/>
      <c r="T900" s="460" t="s">
        <v>980</v>
      </c>
    </row>
    <row r="901" spans="1:26" s="3" customFormat="1" x14ac:dyDescent="0.25">
      <c r="A901" s="1"/>
      <c r="B901" s="712" t="s">
        <v>1133</v>
      </c>
      <c r="C901" s="1646"/>
      <c r="D901" s="1183"/>
      <c r="E901" s="1183"/>
      <c r="F901" s="1183"/>
      <c r="G901" s="1183"/>
      <c r="H901" s="1183"/>
      <c r="I901" s="1183"/>
      <c r="J901" s="1183"/>
      <c r="K901" s="713"/>
      <c r="L901" s="713"/>
      <c r="M901" s="713"/>
      <c r="N901" s="713"/>
      <c r="O901" s="713"/>
      <c r="P901" s="714"/>
      <c r="Q901" s="715"/>
      <c r="R901" s="716"/>
      <c r="S901" s="1647"/>
      <c r="T901" s="1150"/>
      <c r="U901" s="1847"/>
    </row>
    <row r="902" spans="1:26" s="3" customFormat="1" x14ac:dyDescent="0.25">
      <c r="A902" s="1"/>
      <c r="B902" s="717" t="s">
        <v>337</v>
      </c>
      <c r="C902" s="1648"/>
      <c r="D902" s="719">
        <v>42583</v>
      </c>
      <c r="E902" s="719">
        <v>42614</v>
      </c>
      <c r="F902" s="719">
        <v>42644</v>
      </c>
      <c r="G902" s="719">
        <v>42675</v>
      </c>
      <c r="H902" s="719">
        <v>42705</v>
      </c>
      <c r="I902" s="719">
        <v>42736</v>
      </c>
      <c r="J902" s="719">
        <v>42767</v>
      </c>
      <c r="K902" s="719">
        <v>42795</v>
      </c>
      <c r="L902" s="719">
        <v>42826</v>
      </c>
      <c r="M902" s="719">
        <v>42856</v>
      </c>
      <c r="N902" s="719">
        <v>42887</v>
      </c>
      <c r="O902" s="719">
        <v>42917</v>
      </c>
      <c r="P902" s="720" t="s">
        <v>338</v>
      </c>
      <c r="Q902" s="721" t="s">
        <v>339</v>
      </c>
      <c r="R902"/>
      <c r="S902" s="720" t="s">
        <v>338</v>
      </c>
      <c r="T902" s="721" t="s">
        <v>339</v>
      </c>
      <c r="U902" s="1882"/>
    </row>
    <row r="903" spans="1:26" s="3" customFormat="1" ht="14.25" x14ac:dyDescent="0.2">
      <c r="A903" s="1"/>
      <c r="B903" s="722" t="s">
        <v>360</v>
      </c>
      <c r="C903" s="730"/>
      <c r="D903" s="1170">
        <v>47737.060546880006</v>
      </c>
      <c r="E903" s="1170">
        <v>48851.928710929998</v>
      </c>
      <c r="F903" s="1170">
        <v>48113.037109380006</v>
      </c>
      <c r="G903" s="1170">
        <v>44437.01171875</v>
      </c>
      <c r="H903" s="1170">
        <v>40192.016601559997</v>
      </c>
      <c r="I903" s="1170">
        <v>44413.940429690003</v>
      </c>
      <c r="J903" s="1170">
        <v>41614.013671869994</v>
      </c>
      <c r="K903" s="1170">
        <v>43414.0625</v>
      </c>
      <c r="L903" s="1170">
        <v>45354.00390625</v>
      </c>
      <c r="M903" s="1170">
        <v>38745.971679690003</v>
      </c>
      <c r="N903" s="1170">
        <v>33611.938476559997</v>
      </c>
      <c r="O903" s="1170">
        <v>35868.041992190003</v>
      </c>
      <c r="P903" s="724">
        <f t="shared" ref="P903:P910" si="50">SUM(D903:O903)</f>
        <v>512353.02734375</v>
      </c>
      <c r="Q903" s="1145" t="s">
        <v>361</v>
      </c>
      <c r="R903"/>
      <c r="S903" s="734">
        <f>P903*0.003409512</f>
        <v>1746.8737949648437</v>
      </c>
      <c r="T903" s="1145" t="s">
        <v>342</v>
      </c>
      <c r="U903" s="1847"/>
    </row>
    <row r="904" spans="1:26" s="3" customFormat="1" ht="14.25" x14ac:dyDescent="0.2">
      <c r="A904" s="1"/>
      <c r="B904" s="722" t="s">
        <v>362</v>
      </c>
      <c r="C904" s="730"/>
      <c r="D904" s="1186">
        <v>477.0869140625</v>
      </c>
      <c r="E904" s="1186">
        <v>348.4140625</v>
      </c>
      <c r="F904" s="1186">
        <v>160.10107421875</v>
      </c>
      <c r="G904" s="1186">
        <v>70.73583984375</v>
      </c>
      <c r="H904" s="1186">
        <v>39.17822265625</v>
      </c>
      <c r="I904" s="1186">
        <v>53.26416015625</v>
      </c>
      <c r="J904" s="1186">
        <v>72.927734375</v>
      </c>
      <c r="K904" s="1186">
        <v>82.64697265625</v>
      </c>
      <c r="L904" s="1186">
        <v>188.90625</v>
      </c>
      <c r="M904" s="1186">
        <v>212.52294921875</v>
      </c>
      <c r="N904" s="1186">
        <v>278.1337890625</v>
      </c>
      <c r="O904" s="1170">
        <v>382.1572265625</v>
      </c>
      <c r="P904" s="724">
        <f t="shared" si="50"/>
        <v>2366.0751953125</v>
      </c>
      <c r="Q904" s="1145" t="s">
        <v>363</v>
      </c>
      <c r="R904"/>
      <c r="S904" s="1649">
        <f>P904</f>
        <v>2366.0751953125</v>
      </c>
      <c r="T904" s="1145" t="s">
        <v>342</v>
      </c>
      <c r="U904" s="1847"/>
    </row>
    <row r="905" spans="1:26" s="3" customFormat="1" ht="14.25" x14ac:dyDescent="0.2">
      <c r="A905" s="1"/>
      <c r="B905" s="722" t="s">
        <v>364</v>
      </c>
      <c r="C905" s="730"/>
      <c r="D905" s="1170">
        <v>37.799936000000429</v>
      </c>
      <c r="E905" s="1170">
        <v>43.710207999999426</v>
      </c>
      <c r="F905" s="1170">
        <v>52.669696000000116</v>
      </c>
      <c r="G905" s="1170">
        <v>135.82054399999998</v>
      </c>
      <c r="H905" s="1170">
        <v>225.07980799999976</v>
      </c>
      <c r="I905" s="1170">
        <v>225.26975999999996</v>
      </c>
      <c r="J905" s="1170">
        <v>146.36979199999988</v>
      </c>
      <c r="K905" s="1170">
        <v>157.9397120000009</v>
      </c>
      <c r="L905" s="1170">
        <v>74.50111999999919</v>
      </c>
      <c r="M905" s="1170">
        <v>52.65971200000044</v>
      </c>
      <c r="N905" s="1170">
        <v>36.869631999999669</v>
      </c>
      <c r="O905" s="1170">
        <v>28.00025599999978</v>
      </c>
      <c r="P905" s="724">
        <f t="shared" si="50"/>
        <v>1216.6901759999994</v>
      </c>
      <c r="Q905" s="1146" t="s">
        <v>365</v>
      </c>
      <c r="R905"/>
      <c r="S905" s="756">
        <f>P905</f>
        <v>1216.6901759999994</v>
      </c>
      <c r="T905" s="1145" t="s">
        <v>342</v>
      </c>
      <c r="U905" s="1847"/>
    </row>
    <row r="906" spans="1:26" s="3" customFormat="1" ht="14.25" x14ac:dyDescent="0.2">
      <c r="A906" s="1"/>
      <c r="B906" s="728" t="s">
        <v>864</v>
      </c>
      <c r="C906" s="730"/>
      <c r="D906" s="1193">
        <v>75</v>
      </c>
      <c r="E906" s="1194">
        <v>135</v>
      </c>
      <c r="F906" s="1194">
        <v>127</v>
      </c>
      <c r="G906" s="1194">
        <v>121</v>
      </c>
      <c r="H906" s="1194">
        <v>80</v>
      </c>
      <c r="I906" s="1194">
        <v>81</v>
      </c>
      <c r="J906" s="1200">
        <v>113</v>
      </c>
      <c r="K906" s="1200">
        <v>105</v>
      </c>
      <c r="L906" s="1200">
        <v>117</v>
      </c>
      <c r="M906" s="750">
        <v>70</v>
      </c>
      <c r="N906" s="750">
        <v>25</v>
      </c>
      <c r="O906" s="750">
        <v>28</v>
      </c>
      <c r="P906" s="724">
        <f t="shared" si="50"/>
        <v>1077</v>
      </c>
      <c r="Q906" s="1146" t="s">
        <v>379</v>
      </c>
      <c r="R906"/>
      <c r="S906" s="756">
        <f>P906*748</f>
        <v>805596</v>
      </c>
      <c r="T906" s="1146" t="s">
        <v>346</v>
      </c>
      <c r="U906" s="1847"/>
    </row>
    <row r="907" spans="1:26" s="3" customFormat="1" ht="14.25" x14ac:dyDescent="0.2">
      <c r="A907" s="1"/>
      <c r="B907" s="722" t="s">
        <v>368</v>
      </c>
      <c r="C907" s="730"/>
      <c r="D907" s="1208">
        <f>D903*0.087</f>
        <v>4153.1242675785606</v>
      </c>
      <c r="E907" s="1208">
        <f t="shared" ref="E907:N907" si="51">E903*0.087</f>
        <v>4250.1177978509095</v>
      </c>
      <c r="F907" s="1208">
        <f t="shared" si="51"/>
        <v>4185.8342285160606</v>
      </c>
      <c r="G907" s="1208">
        <f t="shared" si="51"/>
        <v>3866.0200195312495</v>
      </c>
      <c r="H907" s="1208">
        <f t="shared" si="51"/>
        <v>3496.7054443357197</v>
      </c>
      <c r="I907" s="1208">
        <f t="shared" si="51"/>
        <v>3864.0128173830299</v>
      </c>
      <c r="J907" s="1208">
        <f t="shared" si="51"/>
        <v>3620.4191894526894</v>
      </c>
      <c r="K907" s="1208">
        <f t="shared" si="51"/>
        <v>3777.0234374999995</v>
      </c>
      <c r="L907" s="1208">
        <f t="shared" si="51"/>
        <v>3945.7983398437495</v>
      </c>
      <c r="M907" s="1208">
        <f t="shared" si="51"/>
        <v>3370.8995361330299</v>
      </c>
      <c r="N907" s="1208">
        <f t="shared" si="51"/>
        <v>2924.2386474607197</v>
      </c>
      <c r="O907" s="1208">
        <f>O903*0.083</f>
        <v>2977.0474853517703</v>
      </c>
      <c r="P907" s="724">
        <f t="shared" si="50"/>
        <v>44431.241210937493</v>
      </c>
      <c r="Q907" s="1145" t="s">
        <v>865</v>
      </c>
      <c r="R907"/>
      <c r="S907" s="1651"/>
      <c r="T907" s="1652"/>
      <c r="U907" s="1847"/>
    </row>
    <row r="908" spans="1:26" s="3" customFormat="1" ht="14.25" x14ac:dyDescent="0.2">
      <c r="A908" s="1"/>
      <c r="B908" s="722" t="s">
        <v>369</v>
      </c>
      <c r="C908" s="730"/>
      <c r="D908" s="1208">
        <f>D904*12.95</f>
        <v>6178.2755371093745</v>
      </c>
      <c r="E908" s="1208">
        <f t="shared" ref="E908:N908" si="52">E904*12.95</f>
        <v>4511.9621093750002</v>
      </c>
      <c r="F908" s="1208">
        <f t="shared" si="52"/>
        <v>2073.3089111328122</v>
      </c>
      <c r="G908" s="1208">
        <f t="shared" si="52"/>
        <v>916.02912597656245</v>
      </c>
      <c r="H908" s="1208">
        <f t="shared" si="52"/>
        <v>507.35798339843745</v>
      </c>
      <c r="I908" s="1208">
        <f t="shared" si="52"/>
        <v>689.7708740234375</v>
      </c>
      <c r="J908" s="1208">
        <f t="shared" si="52"/>
        <v>944.41416015624998</v>
      </c>
      <c r="K908" s="1208">
        <f t="shared" si="52"/>
        <v>1070.2782958984374</v>
      </c>
      <c r="L908" s="1208">
        <f t="shared" si="52"/>
        <v>2446.3359375</v>
      </c>
      <c r="M908" s="1208">
        <f t="shared" si="52"/>
        <v>2752.1721923828122</v>
      </c>
      <c r="N908" s="1208">
        <f t="shared" si="52"/>
        <v>3601.8325683593748</v>
      </c>
      <c r="O908" s="1208">
        <f>O904*12.76</f>
        <v>4876.3262109375</v>
      </c>
      <c r="P908" s="724">
        <f t="shared" si="50"/>
        <v>30568.063906249998</v>
      </c>
      <c r="Q908" s="1145" t="s">
        <v>865</v>
      </c>
      <c r="R908"/>
      <c r="S908" s="1647"/>
      <c r="T908" s="1150"/>
      <c r="U908" s="1847"/>
    </row>
    <row r="909" spans="1:26" s="3" customFormat="1" ht="16.5" x14ac:dyDescent="0.35">
      <c r="A909" s="1"/>
      <c r="B909" s="722" t="s">
        <v>326</v>
      </c>
      <c r="C909" s="730"/>
      <c r="D909" s="1208">
        <f>D905*12.02</f>
        <v>454.35523072000512</v>
      </c>
      <c r="E909" s="1208">
        <f t="shared" ref="E909:N909" si="53">E905*12.02</f>
        <v>525.39670015999309</v>
      </c>
      <c r="F909" s="1208">
        <f t="shared" si="53"/>
        <v>633.08974592000141</v>
      </c>
      <c r="G909" s="1208">
        <f t="shared" si="53"/>
        <v>1632.5629388799998</v>
      </c>
      <c r="H909" s="1208">
        <f t="shared" si="53"/>
        <v>2705.4592921599969</v>
      </c>
      <c r="I909" s="1208">
        <f t="shared" si="53"/>
        <v>2707.7425151999996</v>
      </c>
      <c r="J909" s="1208">
        <f t="shared" si="53"/>
        <v>1759.3648998399985</v>
      </c>
      <c r="K909" s="1208">
        <f t="shared" si="53"/>
        <v>1898.4353382400107</v>
      </c>
      <c r="L909" s="1208">
        <f t="shared" si="53"/>
        <v>895.50346239999021</v>
      </c>
      <c r="M909" s="1208">
        <f t="shared" si="53"/>
        <v>632.96973824000531</v>
      </c>
      <c r="N909" s="1208">
        <f t="shared" si="53"/>
        <v>443.17297663999602</v>
      </c>
      <c r="O909" s="1208">
        <f>O905*13.81</f>
        <v>386.68353535999699</v>
      </c>
      <c r="P909" s="724">
        <f t="shared" si="50"/>
        <v>14674.736373759995</v>
      </c>
      <c r="Q909" s="1145" t="s">
        <v>865</v>
      </c>
      <c r="R909"/>
      <c r="S909" s="1653"/>
      <c r="T909" s="1150"/>
      <c r="U909" s="1847"/>
    </row>
    <row r="910" spans="1:26" s="3" customFormat="1" ht="16.5" x14ac:dyDescent="0.35">
      <c r="A910" s="1"/>
      <c r="B910" s="732" t="s">
        <v>325</v>
      </c>
      <c r="C910" s="714"/>
      <c r="D910" s="1147">
        <f>D906*9.33</f>
        <v>699.75</v>
      </c>
      <c r="E910" s="1147">
        <f t="shared" ref="E910:N910" si="54">E906*9.33</f>
        <v>1259.55</v>
      </c>
      <c r="F910" s="1147">
        <f t="shared" si="54"/>
        <v>1184.9100000000001</v>
      </c>
      <c r="G910" s="1147">
        <f t="shared" si="54"/>
        <v>1128.93</v>
      </c>
      <c r="H910" s="1147">
        <f t="shared" si="54"/>
        <v>746.4</v>
      </c>
      <c r="I910" s="1147">
        <f t="shared" si="54"/>
        <v>755.73</v>
      </c>
      <c r="J910" s="1147">
        <f t="shared" si="54"/>
        <v>1054.29</v>
      </c>
      <c r="K910" s="1147">
        <f t="shared" si="54"/>
        <v>979.65</v>
      </c>
      <c r="L910" s="1147">
        <f t="shared" si="54"/>
        <v>1091.6099999999999</v>
      </c>
      <c r="M910" s="1147">
        <f t="shared" si="54"/>
        <v>653.1</v>
      </c>
      <c r="N910" s="1147">
        <f t="shared" si="54"/>
        <v>233.25</v>
      </c>
      <c r="O910" s="1147">
        <f>O906*9.39</f>
        <v>262.92</v>
      </c>
      <c r="P910" s="724">
        <f t="shared" si="50"/>
        <v>10050.09</v>
      </c>
      <c r="Q910" s="1145" t="s">
        <v>865</v>
      </c>
      <c r="R910"/>
      <c r="S910" s="1653"/>
      <c r="T910" s="1150"/>
      <c r="U910" s="1847"/>
    </row>
    <row r="911" spans="1:26" s="1468" customFormat="1" x14ac:dyDescent="0.25">
      <c r="A911" s="462"/>
      <c r="B911" s="460"/>
      <c r="C911" s="1467"/>
      <c r="T911" s="460"/>
    </row>
    <row r="912" spans="1:26" s="125" customFormat="1" x14ac:dyDescent="0.25">
      <c r="A912" s="461">
        <v>57</v>
      </c>
      <c r="B912" s="1474" t="s">
        <v>1011</v>
      </c>
      <c r="C912" s="152"/>
      <c r="E912" s="1470"/>
      <c r="F912" s="1471"/>
      <c r="G912" s="1472"/>
      <c r="H912" s="1473"/>
      <c r="I912" s="1473"/>
      <c r="J912" s="1473"/>
      <c r="K912" s="1473"/>
      <c r="L912" s="1473"/>
      <c r="M912" s="1473"/>
      <c r="N912" s="1473"/>
      <c r="O912" s="1473"/>
      <c r="P912" s="1473"/>
      <c r="T912" s="1474" t="s">
        <v>1011</v>
      </c>
      <c r="U912" s="126"/>
      <c r="W912" s="443"/>
      <c r="X912" s="458"/>
    </row>
    <row r="913" spans="1:24" s="1833" customFormat="1" ht="14.25" x14ac:dyDescent="0.2">
      <c r="A913" s="1"/>
      <c r="B913" s="666" t="s">
        <v>1536</v>
      </c>
      <c r="C913"/>
      <c r="D913"/>
      <c r="E913"/>
      <c r="F913"/>
      <c r="G913"/>
      <c r="H913"/>
      <c r="I913"/>
      <c r="J913"/>
      <c r="K913"/>
      <c r="L913"/>
      <c r="M913"/>
      <c r="N913"/>
      <c r="O913" s="41"/>
      <c r="P913" s="41"/>
      <c r="T913" s="1469"/>
      <c r="U913" s="1834"/>
      <c r="W913" s="1898"/>
      <c r="X913" s="1834"/>
    </row>
    <row r="914" spans="1:24" s="1833" customFormat="1" ht="14.25" x14ac:dyDescent="0.2">
      <c r="A914" s="1840"/>
      <c r="B914" s="666" t="s">
        <v>212</v>
      </c>
      <c r="C914"/>
      <c r="D914"/>
      <c r="E914"/>
      <c r="F914"/>
      <c r="G914"/>
      <c r="H914"/>
      <c r="I914"/>
      <c r="J914"/>
      <c r="K914"/>
      <c r="L914"/>
      <c r="M914"/>
      <c r="N914"/>
      <c r="O914" s="1870"/>
      <c r="P914" s="1870"/>
      <c r="T914" s="1469"/>
      <c r="U914" s="1834"/>
      <c r="W914" s="1898"/>
      <c r="X914" s="1834"/>
    </row>
    <row r="915" spans="1:24" s="1833" customFormat="1" ht="14.25" x14ac:dyDescent="0.2">
      <c r="A915" s="1840"/>
      <c r="B915" s="130" t="s">
        <v>337</v>
      </c>
      <c r="C915" s="131">
        <v>42552</v>
      </c>
      <c r="D915" s="131">
        <v>42583</v>
      </c>
      <c r="E915" s="131">
        <v>42614</v>
      </c>
      <c r="F915" s="131">
        <v>42644</v>
      </c>
      <c r="G915" s="131">
        <v>42675</v>
      </c>
      <c r="H915" s="131">
        <v>42705</v>
      </c>
      <c r="I915" s="131">
        <v>42736</v>
      </c>
      <c r="J915" s="131">
        <v>42767</v>
      </c>
      <c r="K915" s="131">
        <v>42795</v>
      </c>
      <c r="L915" s="131">
        <v>42826</v>
      </c>
      <c r="M915" s="131">
        <v>42856</v>
      </c>
      <c r="N915" s="131">
        <v>42887</v>
      </c>
      <c r="O915" s="1592"/>
      <c r="P915" s="174"/>
      <c r="T915" s="1469"/>
      <c r="U915" s="1834"/>
      <c r="W915" s="1898"/>
      <c r="X915" s="1834"/>
    </row>
    <row r="916" spans="1:24" s="1833" customFormat="1" ht="25.5" x14ac:dyDescent="0.2">
      <c r="A916" s="1840"/>
      <c r="B916" s="1271" t="s">
        <v>1223</v>
      </c>
      <c r="C916" s="2117">
        <v>36532</v>
      </c>
      <c r="D916" s="2117">
        <v>44984</v>
      </c>
      <c r="E916" s="2117">
        <v>48514</v>
      </c>
      <c r="F916" s="2117">
        <v>49316</v>
      </c>
      <c r="G916" s="2117">
        <v>43061</v>
      </c>
      <c r="H916" s="2117">
        <v>43530</v>
      </c>
      <c r="I916" s="2117">
        <v>53204</v>
      </c>
      <c r="J916" s="2117">
        <v>34654</v>
      </c>
      <c r="K916" s="2117">
        <v>48669</v>
      </c>
      <c r="L916" s="2117">
        <v>51793</v>
      </c>
      <c r="M916" s="2117">
        <v>17160</v>
      </c>
      <c r="N916" s="2117">
        <v>48868</v>
      </c>
      <c r="O916" s="1888"/>
      <c r="P916" s="1161"/>
      <c r="T916" s="1469"/>
      <c r="U916" s="1834"/>
      <c r="W916" s="1898"/>
      <c r="X916" s="1834"/>
    </row>
    <row r="917" spans="1:24" s="1833" customFormat="1" ht="38.25" x14ac:dyDescent="0.2">
      <c r="A917" s="1840"/>
      <c r="B917" s="1276" t="s">
        <v>1224</v>
      </c>
      <c r="C917" s="2118">
        <v>1534.0476510579233</v>
      </c>
      <c r="D917" s="2118">
        <v>1461.2698966966925</v>
      </c>
      <c r="E917" s="2118">
        <v>1707.3853961898051</v>
      </c>
      <c r="F917" s="2118">
        <v>2861.1228048501325</v>
      </c>
      <c r="G917" s="2118">
        <v>3181.9095196741387</v>
      </c>
      <c r="H917" s="2118">
        <v>3834.7404354508758</v>
      </c>
      <c r="I917" s="2118">
        <v>3605.5972315585614</v>
      </c>
      <c r="J917" s="2118">
        <v>2802.700927295256</v>
      </c>
      <c r="K917" s="2118">
        <v>3091.815204081262</v>
      </c>
      <c r="L917" s="2118">
        <v>2360.1818854034573</v>
      </c>
      <c r="M917" s="2118">
        <v>1146.98980229571</v>
      </c>
      <c r="N917" s="2118">
        <v>1391.2462673822442</v>
      </c>
      <c r="O917" s="1888"/>
      <c r="P917" s="1161"/>
      <c r="T917" s="1469"/>
      <c r="U917" s="1834"/>
      <c r="W917" s="1898"/>
      <c r="X917" s="1834"/>
    </row>
    <row r="918" spans="1:24" s="1833" customFormat="1" ht="38.25" x14ac:dyDescent="0.2">
      <c r="A918" s="1840"/>
      <c r="B918" s="1280" t="s">
        <v>1225</v>
      </c>
      <c r="C918" s="2119">
        <v>52934.627681330086</v>
      </c>
      <c r="D918" s="2119">
        <v>58485.023945714653</v>
      </c>
      <c r="E918" s="2119">
        <v>47343.491807063161</v>
      </c>
      <c r="F918" s="2119">
        <v>26674.370035793821</v>
      </c>
      <c r="G918" s="2119">
        <v>22678.795238372841</v>
      </c>
      <c r="H918" s="2119">
        <v>20983.815373853024</v>
      </c>
      <c r="I918" s="2119">
        <v>25577.051736641446</v>
      </c>
      <c r="J918" s="2119">
        <v>17015.282486679338</v>
      </c>
      <c r="K918" s="2119">
        <v>34914.81776399399</v>
      </c>
      <c r="L918" s="2119">
        <v>56866.927943662631</v>
      </c>
      <c r="M918" s="2119">
        <v>36891.881868740456</v>
      </c>
      <c r="N918" s="2119">
        <v>30528.018990544369</v>
      </c>
      <c r="O918" s="1888"/>
      <c r="P918" s="1161"/>
      <c r="T918" s="1469"/>
      <c r="U918" s="1834"/>
      <c r="W918" s="1898"/>
      <c r="X918" s="1834"/>
    </row>
    <row r="919" spans="1:24" s="1833" customFormat="1" ht="51" x14ac:dyDescent="0.2">
      <c r="A919" s="1840"/>
      <c r="B919" s="1284" t="s">
        <v>1226</v>
      </c>
      <c r="C919" s="1526">
        <v>0</v>
      </c>
      <c r="D919" s="1526">
        <v>0</v>
      </c>
      <c r="E919" s="1526">
        <v>0</v>
      </c>
      <c r="F919" s="1526">
        <v>0</v>
      </c>
      <c r="G919" s="1526">
        <v>0</v>
      </c>
      <c r="H919" s="1526">
        <v>0</v>
      </c>
      <c r="I919" s="1526">
        <v>0</v>
      </c>
      <c r="J919" s="1526">
        <v>0</v>
      </c>
      <c r="K919" s="1526">
        <v>0</v>
      </c>
      <c r="L919" s="1526">
        <v>0</v>
      </c>
      <c r="M919" s="1526">
        <v>0</v>
      </c>
      <c r="N919" s="1526">
        <v>0</v>
      </c>
      <c r="O919" s="1888"/>
      <c r="P919" s="1161"/>
      <c r="T919" s="1469"/>
      <c r="U919" s="1834"/>
      <c r="W919" s="1898"/>
      <c r="X919" s="1834"/>
    </row>
    <row r="920" spans="1:24" s="1833" customFormat="1" ht="14.25" x14ac:dyDescent="0.2">
      <c r="A920" s="1840"/>
      <c r="B920" s="135" t="s">
        <v>864</v>
      </c>
      <c r="C920" s="2187">
        <v>10.9</v>
      </c>
      <c r="D920" s="2187">
        <v>24.05</v>
      </c>
      <c r="E920" s="2187">
        <v>24.05</v>
      </c>
      <c r="F920" s="2187">
        <v>25</v>
      </c>
      <c r="G920" s="2187">
        <v>24.5</v>
      </c>
      <c r="H920" s="2187">
        <v>6.3</v>
      </c>
      <c r="I920" s="2187">
        <v>18.8</v>
      </c>
      <c r="J920" s="2187">
        <v>27.6</v>
      </c>
      <c r="K920" s="2187">
        <v>16.899999999999999</v>
      </c>
      <c r="L920" s="2187">
        <v>18.5</v>
      </c>
      <c r="M920" s="2187">
        <v>9.8000000000000007</v>
      </c>
      <c r="N920" s="2187">
        <v>7.2</v>
      </c>
      <c r="O920" s="1161"/>
      <c r="P920" s="1161"/>
      <c r="T920" s="1469"/>
      <c r="U920" s="1834"/>
      <c r="W920" s="1898"/>
      <c r="X920" s="1834"/>
    </row>
    <row r="921" spans="1:24" s="1833" customFormat="1" ht="51" x14ac:dyDescent="0.2">
      <c r="A921" s="1840"/>
      <c r="B921" s="1271" t="s">
        <v>1363</v>
      </c>
      <c r="C921" s="2120">
        <v>2599.7573535059728</v>
      </c>
      <c r="D921" s="2120">
        <v>3201.2341177628564</v>
      </c>
      <c r="E921" s="2120">
        <v>3452.4424681919622</v>
      </c>
      <c r="F921" s="2120">
        <v>3509.5158667880364</v>
      </c>
      <c r="G921" s="2120">
        <v>3064.3860560418452</v>
      </c>
      <c r="H921" s="2120">
        <v>3097.7618963679784</v>
      </c>
      <c r="I921" s="2120">
        <v>3786.2008714532949</v>
      </c>
      <c r="J921" s="2120">
        <v>2466.1116645241427</v>
      </c>
      <c r="K921" s="2120">
        <v>3463.4728631824751</v>
      </c>
      <c r="L921" s="2120">
        <v>3685.7886951203013</v>
      </c>
      <c r="M921" s="2120">
        <v>1221.1714712077764</v>
      </c>
      <c r="N921" s="2120">
        <v>3477.6344670735211</v>
      </c>
      <c r="O921" s="1892"/>
      <c r="P921" s="1892"/>
      <c r="T921" s="1469"/>
      <c r="U921" s="1834"/>
      <c r="W921" s="1898"/>
      <c r="X921" s="1834"/>
    </row>
    <row r="922" spans="1:24" s="1833" customFormat="1" ht="38.25" x14ac:dyDescent="0.2">
      <c r="A922" s="1840"/>
      <c r="B922" s="1293" t="s">
        <v>1228</v>
      </c>
      <c r="C922" s="2107">
        <v>775.54130150176763</v>
      </c>
      <c r="D922" s="2107">
        <v>704.15093763285358</v>
      </c>
      <c r="E922" s="2107">
        <v>847.60918013219055</v>
      </c>
      <c r="F922" s="2107">
        <v>1419.211308841644</v>
      </c>
      <c r="G922" s="2107">
        <v>1459.074514768776</v>
      </c>
      <c r="H922" s="2107">
        <v>2061.5796478312845</v>
      </c>
      <c r="I922" s="2107">
        <v>2192.277340457616</v>
      </c>
      <c r="J922" s="2107">
        <v>1563.5818552627277</v>
      </c>
      <c r="K922" s="2107">
        <v>1483.8155085952858</v>
      </c>
      <c r="L922" s="2107">
        <v>1259.2940707971034</v>
      </c>
      <c r="M922" s="2107">
        <v>627.97459296389297</v>
      </c>
      <c r="N922" s="2107">
        <v>770.21138100498172</v>
      </c>
      <c r="O922" s="200"/>
      <c r="P922" s="1897"/>
      <c r="T922" s="1469"/>
      <c r="U922" s="1834"/>
      <c r="W922" s="1898"/>
      <c r="X922" s="1834"/>
    </row>
    <row r="923" spans="1:24" s="1833" customFormat="1" ht="51" x14ac:dyDescent="0.2">
      <c r="A923" s="1840"/>
      <c r="B923" s="1295" t="s">
        <v>1364</v>
      </c>
      <c r="C923" s="2108">
        <v>3767.0313032311046</v>
      </c>
      <c r="D923" s="2108">
        <v>4162.0188074248481</v>
      </c>
      <c r="E923" s="2108">
        <v>3369.1446120130904</v>
      </c>
      <c r="F923" s="2108">
        <v>1898.2505652768632</v>
      </c>
      <c r="G923" s="2108">
        <v>1613.9101250852959</v>
      </c>
      <c r="H923" s="2108">
        <v>1493.288851494199</v>
      </c>
      <c r="I923" s="2108">
        <v>1820.1611828899679</v>
      </c>
      <c r="J923" s="2108">
        <v>1210.8728174402167</v>
      </c>
      <c r="K923" s="2108">
        <v>2484.6724577976661</v>
      </c>
      <c r="L923" s="2108">
        <v>4046.8688846170812</v>
      </c>
      <c r="M923" s="2108">
        <v>2625.3679287455288</v>
      </c>
      <c r="N923" s="2108">
        <v>2172.4910177005831</v>
      </c>
      <c r="O923" s="1880"/>
      <c r="P923" s="1880"/>
      <c r="T923" s="1469"/>
      <c r="U923" s="1834"/>
      <c r="W923" s="1898"/>
      <c r="X923" s="1834"/>
    </row>
    <row r="924" spans="1:24" s="1833" customFormat="1" ht="38.25" x14ac:dyDescent="0.2">
      <c r="A924" s="1840"/>
      <c r="B924" s="1297" t="s">
        <v>1235</v>
      </c>
      <c r="C924" s="2121">
        <v>0</v>
      </c>
      <c r="D924" s="2121">
        <v>0</v>
      </c>
      <c r="E924" s="2121">
        <v>0</v>
      </c>
      <c r="F924" s="2121">
        <v>0</v>
      </c>
      <c r="G924" s="2121">
        <v>0</v>
      </c>
      <c r="H924" s="2121">
        <v>0</v>
      </c>
      <c r="I924" s="2121">
        <v>0</v>
      </c>
      <c r="J924" s="2121">
        <v>0</v>
      </c>
      <c r="K924" s="2121">
        <v>0</v>
      </c>
      <c r="L924" s="2121">
        <v>0</v>
      </c>
      <c r="M924" s="2121">
        <v>0</v>
      </c>
      <c r="N924" s="2121">
        <v>0</v>
      </c>
      <c r="O924" s="1880"/>
      <c r="P924" s="1880"/>
      <c r="T924" s="1469"/>
      <c r="U924" s="1834"/>
      <c r="W924" s="1898"/>
      <c r="X924" s="1834"/>
    </row>
    <row r="925" spans="1:24" s="1833" customFormat="1" ht="14.25" x14ac:dyDescent="0.2">
      <c r="A925" s="1840"/>
      <c r="B925" s="153" t="s">
        <v>328</v>
      </c>
      <c r="C925" s="2112">
        <v>95.09</v>
      </c>
      <c r="D925" s="2112">
        <f>357.8/2</f>
        <v>178.9</v>
      </c>
      <c r="E925" s="2112">
        <v>178.9</v>
      </c>
      <c r="F925" s="2112">
        <v>187.09</v>
      </c>
      <c r="G925" s="2112">
        <v>190.37</v>
      </c>
      <c r="H925" s="2112">
        <v>67.62</v>
      </c>
      <c r="I925" s="2112">
        <v>145.91999999999999</v>
      </c>
      <c r="J925" s="2112">
        <v>208.24</v>
      </c>
      <c r="K925" s="2112">
        <v>133.63999999999999</v>
      </c>
      <c r="L925" s="2112">
        <v>143.97999999999999</v>
      </c>
      <c r="M925" s="2112">
        <v>94.24</v>
      </c>
      <c r="N925" s="2112">
        <v>71.52</v>
      </c>
      <c r="O925" s="1880"/>
      <c r="P925" s="1880"/>
      <c r="T925" s="1469"/>
      <c r="U925" s="1834"/>
      <c r="W925" s="1898"/>
      <c r="X925" s="1834"/>
    </row>
    <row r="926" spans="1:24" s="1833" customFormat="1" ht="14.25" x14ac:dyDescent="0.2">
      <c r="A926" s="1840"/>
      <c r="B926" s="1230"/>
      <c r="C926" s="262"/>
      <c r="D926" s="177"/>
      <c r="E926" s="1871"/>
      <c r="F926" s="1871"/>
      <c r="G926" s="1871"/>
      <c r="H926" s="1871"/>
      <c r="I926" s="1871"/>
      <c r="J926" s="1871"/>
      <c r="K926" s="1871"/>
      <c r="L926" s="1871"/>
      <c r="M926" s="1871"/>
      <c r="N926" s="1871"/>
      <c r="O926" s="1871"/>
      <c r="P926" s="1871"/>
      <c r="T926" s="1469"/>
      <c r="U926" s="1834"/>
      <c r="W926" s="1898"/>
      <c r="X926" s="1834"/>
    </row>
    <row r="927" spans="1:24" s="1468" customFormat="1" x14ac:dyDescent="0.25">
      <c r="A927" s="462">
        <v>58</v>
      </c>
      <c r="B927" s="460" t="s">
        <v>1012</v>
      </c>
      <c r="C927" s="1467"/>
      <c r="T927" s="460" t="s">
        <v>1012</v>
      </c>
    </row>
    <row r="928" spans="1:24" s="3" customFormat="1" x14ac:dyDescent="0.25">
      <c r="A928" s="1"/>
      <c r="B928" s="712" t="s">
        <v>1134</v>
      </c>
      <c r="C928" s="1646"/>
      <c r="D928" s="1183"/>
      <c r="E928" s="1183"/>
      <c r="F928" s="1183"/>
      <c r="G928" s="1183"/>
      <c r="H928" s="1183"/>
      <c r="I928" s="1183"/>
      <c r="J928" s="1183"/>
      <c r="K928" s="713"/>
      <c r="L928" s="713"/>
      <c r="M928" s="713"/>
      <c r="N928" s="713"/>
      <c r="O928" s="713"/>
      <c r="P928" s="714"/>
      <c r="Q928" s="715"/>
      <c r="R928" s="716"/>
      <c r="S928" s="1647"/>
      <c r="T928" s="1150"/>
      <c r="U928" s="1847"/>
    </row>
    <row r="929" spans="1:21" s="3" customFormat="1" x14ac:dyDescent="0.25">
      <c r="A929" s="1"/>
      <c r="B929" s="717" t="s">
        <v>337</v>
      </c>
      <c r="C929" s="1648"/>
      <c r="D929" s="719">
        <v>42583</v>
      </c>
      <c r="E929" s="719">
        <v>42614</v>
      </c>
      <c r="F929" s="719">
        <v>42644</v>
      </c>
      <c r="G929" s="719">
        <v>42675</v>
      </c>
      <c r="H929" s="719">
        <v>42705</v>
      </c>
      <c r="I929" s="719">
        <v>42736</v>
      </c>
      <c r="J929" s="719">
        <v>42767</v>
      </c>
      <c r="K929" s="719">
        <v>42795</v>
      </c>
      <c r="L929" s="719">
        <v>42826</v>
      </c>
      <c r="M929" s="719">
        <v>42856</v>
      </c>
      <c r="N929" s="719">
        <v>42887</v>
      </c>
      <c r="O929" s="719">
        <v>42917</v>
      </c>
      <c r="P929" s="720" t="s">
        <v>338</v>
      </c>
      <c r="Q929" s="721" t="s">
        <v>339</v>
      </c>
      <c r="R929"/>
      <c r="S929" s="720" t="s">
        <v>338</v>
      </c>
      <c r="T929" s="721" t="s">
        <v>339</v>
      </c>
      <c r="U929" s="1882"/>
    </row>
    <row r="930" spans="1:21" s="3" customFormat="1" ht="14.25" x14ac:dyDescent="0.2">
      <c r="A930" s="1"/>
      <c r="B930" s="722" t="s">
        <v>360</v>
      </c>
      <c r="C930" s="730"/>
      <c r="D930" s="454">
        <v>33242.004394530908</v>
      </c>
      <c r="E930" s="454">
        <v>37013.000488282043</v>
      </c>
      <c r="F930" s="454">
        <v>37297.973632812049</v>
      </c>
      <c r="G930" s="454">
        <v>35138.000488280908</v>
      </c>
      <c r="H930" s="454">
        <v>31933.044433594092</v>
      </c>
      <c r="I930" s="454">
        <v>32115.966796875</v>
      </c>
      <c r="J930" s="454">
        <v>33400.024414062951</v>
      </c>
      <c r="K930" s="454">
        <v>34113.952636717957</v>
      </c>
      <c r="L930" s="454">
        <v>36401.000976563068</v>
      </c>
      <c r="M930" s="454">
        <v>32186.03515625</v>
      </c>
      <c r="N930" s="454">
        <v>28921.997070311932</v>
      </c>
      <c r="O930" s="454">
        <v>28945.983886719092</v>
      </c>
      <c r="P930" s="724">
        <f t="shared" ref="P930:P937" si="55">SUM(D930:O930)</f>
        <v>400708.984375</v>
      </c>
      <c r="Q930" s="1145" t="s">
        <v>361</v>
      </c>
      <c r="R930"/>
      <c r="S930" s="734">
        <f>P930*0.003409512</f>
        <v>1366.2220907343749</v>
      </c>
      <c r="T930" s="1145" t="s">
        <v>342</v>
      </c>
      <c r="U930" s="1847"/>
    </row>
    <row r="931" spans="1:21" s="3" customFormat="1" ht="14.25" x14ac:dyDescent="0.2">
      <c r="A931" s="1"/>
      <c r="B931" s="722" t="s">
        <v>362</v>
      </c>
      <c r="C931" s="730"/>
      <c r="D931" s="1144">
        <v>312.13623046875</v>
      </c>
      <c r="E931" s="1144">
        <v>271.31005859375</v>
      </c>
      <c r="F931" s="1144">
        <v>131.57958984375</v>
      </c>
      <c r="G931" s="1144">
        <v>62.533203125</v>
      </c>
      <c r="H931" s="1144">
        <v>37.3798828125</v>
      </c>
      <c r="I931" s="1144">
        <v>39.7900390625</v>
      </c>
      <c r="J931" s="1144">
        <v>57.541015625</v>
      </c>
      <c r="K931" s="1144">
        <v>67.498046875</v>
      </c>
      <c r="L931" s="1144">
        <v>151.6181640625</v>
      </c>
      <c r="M931" s="1144">
        <v>177.27587890625</v>
      </c>
      <c r="N931" s="454">
        <v>240.0439453125</v>
      </c>
      <c r="O931" s="454">
        <v>323.90087890625</v>
      </c>
      <c r="P931" s="724">
        <f t="shared" si="55"/>
        <v>1872.60693359375</v>
      </c>
      <c r="Q931" s="1145" t="s">
        <v>363</v>
      </c>
      <c r="R931"/>
      <c r="S931" s="1649">
        <f>P931</f>
        <v>1872.60693359375</v>
      </c>
      <c r="T931" s="1145" t="s">
        <v>342</v>
      </c>
      <c r="U931" s="1847"/>
    </row>
    <row r="932" spans="1:21" s="3" customFormat="1" ht="14.25" x14ac:dyDescent="0.2">
      <c r="A932" s="1"/>
      <c r="B932" s="722" t="s">
        <v>364</v>
      </c>
      <c r="C932" s="730"/>
      <c r="D932" s="454">
        <v>45.590015999999878</v>
      </c>
      <c r="E932" s="454">
        <v>52.259967999999773</v>
      </c>
      <c r="F932" s="454">
        <v>79.470079999999726</v>
      </c>
      <c r="G932" s="454">
        <v>131.40966400000082</v>
      </c>
      <c r="H932" s="454">
        <v>190.99033600000001</v>
      </c>
      <c r="I932" s="454">
        <v>160.57958399999944</v>
      </c>
      <c r="J932" s="454">
        <v>128.24064000000027</v>
      </c>
      <c r="K932" s="454">
        <v>127.83923199999964</v>
      </c>
      <c r="L932" s="454">
        <v>70.040832000000947</v>
      </c>
      <c r="M932" s="454">
        <v>57.279487999999276</v>
      </c>
      <c r="N932" s="454">
        <v>45.490176000000076</v>
      </c>
      <c r="O932" s="454">
        <v>42.550016000000042</v>
      </c>
      <c r="P932" s="724">
        <f t="shared" si="55"/>
        <v>1131.7400319999999</v>
      </c>
      <c r="Q932" s="1146" t="s">
        <v>365</v>
      </c>
      <c r="R932"/>
      <c r="S932" s="756">
        <f>P932</f>
        <v>1131.7400319999999</v>
      </c>
      <c r="T932" s="1145" t="s">
        <v>342</v>
      </c>
      <c r="U932" s="1847"/>
    </row>
    <row r="933" spans="1:21" s="3" customFormat="1" ht="14.25" x14ac:dyDescent="0.2">
      <c r="A933" s="1"/>
      <c r="B933" s="728" t="s">
        <v>864</v>
      </c>
      <c r="C933" s="730"/>
      <c r="D933" s="1193">
        <v>48</v>
      </c>
      <c r="E933" s="1194">
        <v>94</v>
      </c>
      <c r="F933" s="1194">
        <v>87</v>
      </c>
      <c r="G933" s="1194">
        <v>81</v>
      </c>
      <c r="H933" s="1194">
        <v>53</v>
      </c>
      <c r="I933" s="1194">
        <v>58</v>
      </c>
      <c r="J933" s="1200">
        <v>77</v>
      </c>
      <c r="K933" s="750">
        <v>74</v>
      </c>
      <c r="L933" s="750">
        <v>82</v>
      </c>
      <c r="M933" s="750">
        <v>53</v>
      </c>
      <c r="N933" s="750">
        <v>28</v>
      </c>
      <c r="O933" s="750">
        <v>26</v>
      </c>
      <c r="P933" s="724">
        <f t="shared" si="55"/>
        <v>761</v>
      </c>
      <c r="Q933" s="1146" t="s">
        <v>379</v>
      </c>
      <c r="R933"/>
      <c r="S933" s="756">
        <f>P933*748</f>
        <v>569228</v>
      </c>
      <c r="T933" s="1146" t="s">
        <v>346</v>
      </c>
      <c r="U933" s="1847"/>
    </row>
    <row r="934" spans="1:21" s="3" customFormat="1" ht="14.25" x14ac:dyDescent="0.2">
      <c r="A934" s="1"/>
      <c r="B934" s="722" t="s">
        <v>368</v>
      </c>
      <c r="C934" s="730"/>
      <c r="D934" s="731">
        <f>D930*0.087</f>
        <v>2892.0543823241887</v>
      </c>
      <c r="E934" s="731">
        <f t="shared" ref="E934:N934" si="56">E930*0.087</f>
        <v>3220.1310424805374</v>
      </c>
      <c r="F934" s="731">
        <f t="shared" si="56"/>
        <v>3244.9237060546479</v>
      </c>
      <c r="G934" s="731">
        <f t="shared" si="56"/>
        <v>3057.0060424804387</v>
      </c>
      <c r="H934" s="731">
        <f t="shared" si="56"/>
        <v>2778.1748657226858</v>
      </c>
      <c r="I934" s="731">
        <f t="shared" si="56"/>
        <v>2794.089111328125</v>
      </c>
      <c r="J934" s="731">
        <f t="shared" si="56"/>
        <v>2905.8021240234766</v>
      </c>
      <c r="K934" s="731">
        <f t="shared" si="56"/>
        <v>2967.9138793944621</v>
      </c>
      <c r="L934" s="731">
        <f t="shared" si="56"/>
        <v>3166.8870849609866</v>
      </c>
      <c r="M934" s="731">
        <f t="shared" si="56"/>
        <v>2800.18505859375</v>
      </c>
      <c r="N934" s="731">
        <f t="shared" si="56"/>
        <v>2516.2137451171379</v>
      </c>
      <c r="O934" s="731">
        <f>O930*0.083</f>
        <v>2402.5166625976849</v>
      </c>
      <c r="P934" s="724">
        <f t="shared" si="55"/>
        <v>34745.897705078118</v>
      </c>
      <c r="Q934" s="1145" t="s">
        <v>865</v>
      </c>
      <c r="R934"/>
      <c r="S934" s="1651"/>
      <c r="T934" s="1652"/>
      <c r="U934" s="1847"/>
    </row>
    <row r="935" spans="1:21" s="3" customFormat="1" ht="14.25" x14ac:dyDescent="0.2">
      <c r="A935" s="1"/>
      <c r="B935" s="722" t="s">
        <v>369</v>
      </c>
      <c r="C935" s="730"/>
      <c r="D935" s="731">
        <f>D931*12.95</f>
        <v>4042.1641845703125</v>
      </c>
      <c r="E935" s="731">
        <f t="shared" ref="E935:N935" si="57">E931*12.95</f>
        <v>3513.4652587890623</v>
      </c>
      <c r="F935" s="731">
        <f t="shared" si="57"/>
        <v>1703.9556884765625</v>
      </c>
      <c r="G935" s="731">
        <f t="shared" si="57"/>
        <v>809.80498046874993</v>
      </c>
      <c r="H935" s="731">
        <f t="shared" si="57"/>
        <v>484.06948242187497</v>
      </c>
      <c r="I935" s="731">
        <f t="shared" si="57"/>
        <v>515.281005859375</v>
      </c>
      <c r="J935" s="731">
        <f t="shared" si="57"/>
        <v>745.15615234374991</v>
      </c>
      <c r="K935" s="731">
        <f t="shared" si="57"/>
        <v>874.09970703124998</v>
      </c>
      <c r="L935" s="731">
        <f t="shared" si="57"/>
        <v>1963.4552246093749</v>
      </c>
      <c r="M935" s="731">
        <f t="shared" si="57"/>
        <v>2295.7226318359376</v>
      </c>
      <c r="N935" s="731">
        <f t="shared" si="57"/>
        <v>3108.569091796875</v>
      </c>
      <c r="O935" s="731">
        <f>O931*12.76</f>
        <v>4132.9752148437501</v>
      </c>
      <c r="P935" s="724">
        <f t="shared" si="55"/>
        <v>24188.71862304688</v>
      </c>
      <c r="Q935" s="1145" t="s">
        <v>865</v>
      </c>
      <c r="R935"/>
      <c r="S935" s="1647"/>
      <c r="T935" s="1150"/>
      <c r="U935" s="1847"/>
    </row>
    <row r="936" spans="1:21" s="3" customFormat="1" ht="16.5" x14ac:dyDescent="0.35">
      <c r="A936" s="1"/>
      <c r="B936" s="722" t="s">
        <v>326</v>
      </c>
      <c r="C936" s="730"/>
      <c r="D936" s="1208">
        <f>D932*12.02</f>
        <v>547.99199231999853</v>
      </c>
      <c r="E936" s="1208">
        <f t="shared" ref="E936:N936" si="58">E932*12.02</f>
        <v>628.16481535999731</v>
      </c>
      <c r="F936" s="1208">
        <f t="shared" si="58"/>
        <v>955.23036159999663</v>
      </c>
      <c r="G936" s="1208">
        <f t="shared" si="58"/>
        <v>1579.5441612800098</v>
      </c>
      <c r="H936" s="1208">
        <f t="shared" si="58"/>
        <v>2295.70383872</v>
      </c>
      <c r="I936" s="1208">
        <f t="shared" si="58"/>
        <v>1930.1665996799932</v>
      </c>
      <c r="J936" s="1208">
        <f t="shared" si="58"/>
        <v>1541.4524928000033</v>
      </c>
      <c r="K936" s="1208">
        <f t="shared" si="58"/>
        <v>1536.6275686399956</v>
      </c>
      <c r="L936" s="1208">
        <f t="shared" si="58"/>
        <v>841.89080064001132</v>
      </c>
      <c r="M936" s="1208">
        <f t="shared" si="58"/>
        <v>688.49944575999132</v>
      </c>
      <c r="N936" s="1208">
        <f t="shared" si="58"/>
        <v>546.79191552000088</v>
      </c>
      <c r="O936" s="1208">
        <f>O932*13.81</f>
        <v>587.61572096000066</v>
      </c>
      <c r="P936" s="724">
        <f t="shared" si="55"/>
        <v>13679.679713279998</v>
      </c>
      <c r="Q936" s="1145" t="s">
        <v>865</v>
      </c>
      <c r="R936"/>
      <c r="S936" s="1653"/>
      <c r="T936" s="1150"/>
      <c r="U936" s="1847"/>
    </row>
    <row r="937" spans="1:21" s="3" customFormat="1" ht="16.5" x14ac:dyDescent="0.35">
      <c r="A937" s="1"/>
      <c r="B937" s="732" t="s">
        <v>325</v>
      </c>
      <c r="C937" s="714"/>
      <c r="D937" s="1147">
        <f>D933*9.33</f>
        <v>447.84000000000003</v>
      </c>
      <c r="E937" s="1147">
        <f t="shared" ref="E937:N937" si="59">E933*9.33</f>
        <v>877.02</v>
      </c>
      <c r="F937" s="1147">
        <f t="shared" si="59"/>
        <v>811.71</v>
      </c>
      <c r="G937" s="1147">
        <f t="shared" si="59"/>
        <v>755.73</v>
      </c>
      <c r="H937" s="1147">
        <f t="shared" si="59"/>
        <v>494.49</v>
      </c>
      <c r="I937" s="1147">
        <f t="shared" si="59"/>
        <v>541.14</v>
      </c>
      <c r="J937" s="1147">
        <f t="shared" si="59"/>
        <v>718.41</v>
      </c>
      <c r="K937" s="1147">
        <f t="shared" si="59"/>
        <v>690.42</v>
      </c>
      <c r="L937" s="1147">
        <f t="shared" si="59"/>
        <v>765.06000000000006</v>
      </c>
      <c r="M937" s="1147">
        <f t="shared" si="59"/>
        <v>494.49</v>
      </c>
      <c r="N937" s="1147">
        <f t="shared" si="59"/>
        <v>261.24</v>
      </c>
      <c r="O937" s="1147">
        <f>O933*9.39</f>
        <v>244.14000000000001</v>
      </c>
      <c r="P937" s="724">
        <f t="shared" si="55"/>
        <v>7101.6900000000005</v>
      </c>
      <c r="Q937" s="1145" t="s">
        <v>865</v>
      </c>
      <c r="R937"/>
      <c r="S937" s="1653"/>
      <c r="T937" s="1150"/>
      <c r="U937" s="1847"/>
    </row>
    <row r="938" spans="1:21" s="1468" customFormat="1" x14ac:dyDescent="0.25">
      <c r="A938" s="462"/>
      <c r="B938" s="460"/>
      <c r="C938" s="1467"/>
      <c r="T938" s="460"/>
    </row>
    <row r="939" spans="1:21" s="1468" customFormat="1" x14ac:dyDescent="0.25">
      <c r="A939" s="462">
        <v>59</v>
      </c>
      <c r="B939" s="460" t="s">
        <v>1013</v>
      </c>
      <c r="C939" s="1467"/>
      <c r="T939" s="460" t="s">
        <v>1013</v>
      </c>
    </row>
    <row r="940" spans="1:21" s="3" customFormat="1" x14ac:dyDescent="0.25">
      <c r="A940" s="1"/>
      <c r="B940" s="712" t="s">
        <v>1135</v>
      </c>
      <c r="C940" s="1646"/>
      <c r="D940" s="1183"/>
      <c r="E940" s="1183"/>
      <c r="F940" s="1183"/>
      <c r="G940" s="1183"/>
      <c r="H940" s="1183"/>
      <c r="I940" s="1183"/>
      <c r="J940" s="1183"/>
      <c r="K940" s="713"/>
      <c r="L940" s="713"/>
      <c r="M940" s="713"/>
      <c r="N940" s="713"/>
      <c r="O940" s="713"/>
      <c r="P940" s="714"/>
      <c r="Q940" s="715"/>
      <c r="R940" s="716"/>
      <c r="S940" s="1647"/>
      <c r="T940" s="1150"/>
      <c r="U940" s="1847"/>
    </row>
    <row r="941" spans="1:21" s="3" customFormat="1" x14ac:dyDescent="0.25">
      <c r="A941" s="1"/>
      <c r="B941" s="717" t="s">
        <v>337</v>
      </c>
      <c r="C941" s="1648"/>
      <c r="D941" s="719">
        <v>42583</v>
      </c>
      <c r="E941" s="719">
        <v>42614</v>
      </c>
      <c r="F941" s="719">
        <v>42644</v>
      </c>
      <c r="G941" s="719">
        <v>42675</v>
      </c>
      <c r="H941" s="719">
        <v>42705</v>
      </c>
      <c r="I941" s="719">
        <v>42736</v>
      </c>
      <c r="J941" s="719">
        <v>42767</v>
      </c>
      <c r="K941" s="719">
        <v>42795</v>
      </c>
      <c r="L941" s="719">
        <v>42826</v>
      </c>
      <c r="M941" s="719">
        <v>42856</v>
      </c>
      <c r="N941" s="719">
        <v>42887</v>
      </c>
      <c r="O941" s="719">
        <v>42917</v>
      </c>
      <c r="P941" s="720" t="s">
        <v>338</v>
      </c>
      <c r="Q941" s="721" t="s">
        <v>339</v>
      </c>
      <c r="R941"/>
      <c r="S941" s="720" t="s">
        <v>338</v>
      </c>
      <c r="T941" s="721" t="s">
        <v>339</v>
      </c>
      <c r="U941" s="1882"/>
    </row>
    <row r="942" spans="1:21" s="3" customFormat="1" ht="14.25" x14ac:dyDescent="0.2">
      <c r="A942" s="1"/>
      <c r="B942" s="722" t="s">
        <v>360</v>
      </c>
      <c r="C942" s="730"/>
      <c r="D942" s="1170">
        <v>35022.994995116991</v>
      </c>
      <c r="E942" s="1170">
        <v>31261.001586914033</v>
      </c>
      <c r="F942" s="1170">
        <v>31486.999511718976</v>
      </c>
      <c r="G942" s="1170">
        <v>32717.987060546988</v>
      </c>
      <c r="H942" s="1170">
        <v>30886.016845703012</v>
      </c>
      <c r="I942" s="1170">
        <v>31885.986328125</v>
      </c>
      <c r="J942" s="1186">
        <v>27928.009033203012</v>
      </c>
      <c r="K942" s="1186">
        <v>33164.001464843976</v>
      </c>
      <c r="L942" s="1170">
        <v>32671.997070313013</v>
      </c>
      <c r="M942" s="1170">
        <v>35393.005371092957</v>
      </c>
      <c r="N942" s="1170">
        <v>32484.985351563068</v>
      </c>
      <c r="O942" s="1170">
        <v>33314.025878906024</v>
      </c>
      <c r="P942" s="724">
        <f t="shared" ref="P942:P949" si="60">SUM(D942:O942)</f>
        <v>388217.01049804705</v>
      </c>
      <c r="Q942" s="1145" t="s">
        <v>361</v>
      </c>
      <c r="R942"/>
      <c r="S942" s="734">
        <f>P942*0.003409512</f>
        <v>1323.6305558972174</v>
      </c>
      <c r="T942" s="1145" t="s">
        <v>342</v>
      </c>
      <c r="U942" s="1847"/>
    </row>
    <row r="943" spans="1:21" s="3" customFormat="1" ht="14.25" x14ac:dyDescent="0.2">
      <c r="A943" s="1"/>
      <c r="B943" s="722" t="s">
        <v>362</v>
      </c>
      <c r="C943" s="730"/>
      <c r="D943" s="1186">
        <v>383.14208984375</v>
      </c>
      <c r="E943" s="1186">
        <v>244.3330078125</v>
      </c>
      <c r="F943" s="1186">
        <v>101.498046875</v>
      </c>
      <c r="G943" s="1186">
        <v>36.833984375</v>
      </c>
      <c r="H943" s="1186">
        <v>23.39306640625</v>
      </c>
      <c r="I943" s="1186">
        <v>25.931640625</v>
      </c>
      <c r="J943" s="1186">
        <v>42.47216796875</v>
      </c>
      <c r="K943" s="1186">
        <v>56.8818359375</v>
      </c>
      <c r="L943" s="1186">
        <v>118.1630859375</v>
      </c>
      <c r="M943" s="1186">
        <v>178.14111328125</v>
      </c>
      <c r="N943" s="1186">
        <v>251.376953125</v>
      </c>
      <c r="O943" s="1170">
        <v>360.3720703125</v>
      </c>
      <c r="P943" s="724">
        <f t="shared" si="60"/>
        <v>1822.5390625</v>
      </c>
      <c r="Q943" s="1145" t="s">
        <v>363</v>
      </c>
      <c r="R943"/>
      <c r="S943" s="1649">
        <f>P943</f>
        <v>1822.5390625</v>
      </c>
      <c r="T943" s="1145" t="s">
        <v>342</v>
      </c>
      <c r="U943" s="1847"/>
    </row>
    <row r="944" spans="1:21" s="3" customFormat="1" ht="14.25" x14ac:dyDescent="0.2">
      <c r="A944" s="1"/>
      <c r="B944" s="722" t="s">
        <v>364</v>
      </c>
      <c r="C944" s="730"/>
      <c r="D944" s="1170">
        <v>36.169984000000554</v>
      </c>
      <c r="E944" s="1170">
        <v>37.060223999999437</v>
      </c>
      <c r="F944" s="1170">
        <v>63.309568000000709</v>
      </c>
      <c r="G944" s="1170">
        <v>115.83001600000006</v>
      </c>
      <c r="H944" s="1170">
        <v>180.19993599999964</v>
      </c>
      <c r="I944" s="1170">
        <v>141.34988800000019</v>
      </c>
      <c r="J944" s="1170">
        <v>103.36025600000038</v>
      </c>
      <c r="K944" s="1170">
        <v>50.580031999999051</v>
      </c>
      <c r="L944" s="1170">
        <v>66.900224000001202</v>
      </c>
      <c r="M944" s="1170">
        <v>59.569663999998895</v>
      </c>
      <c r="N944" s="1170">
        <v>47.960320000000209</v>
      </c>
      <c r="O944" s="1170">
        <v>44.8898560000016</v>
      </c>
      <c r="P944" s="724">
        <f t="shared" si="60"/>
        <v>947.17996800000196</v>
      </c>
      <c r="Q944" s="1146" t="s">
        <v>365</v>
      </c>
      <c r="R944"/>
      <c r="S944" s="756">
        <f>P944</f>
        <v>947.17996800000196</v>
      </c>
      <c r="T944" s="1145" t="s">
        <v>342</v>
      </c>
      <c r="U944" s="1847"/>
    </row>
    <row r="945" spans="1:21" s="3" customFormat="1" ht="14.25" x14ac:dyDescent="0.2">
      <c r="A945" s="1"/>
      <c r="B945" s="728" t="s">
        <v>864</v>
      </c>
      <c r="C945" s="730"/>
      <c r="D945" s="1193">
        <v>33</v>
      </c>
      <c r="E945" s="1194">
        <v>24</v>
      </c>
      <c r="F945" s="1194">
        <v>15</v>
      </c>
      <c r="G945" s="1194">
        <v>12</v>
      </c>
      <c r="H945" s="1194">
        <v>13</v>
      </c>
      <c r="I945" s="1194">
        <v>15</v>
      </c>
      <c r="J945" s="1200">
        <v>12</v>
      </c>
      <c r="K945" s="750">
        <v>20</v>
      </c>
      <c r="L945" s="750">
        <v>29</v>
      </c>
      <c r="M945" s="750">
        <v>35</v>
      </c>
      <c r="N945" s="750">
        <v>22</v>
      </c>
      <c r="O945" s="750">
        <v>25</v>
      </c>
      <c r="P945" s="724">
        <f t="shared" si="60"/>
        <v>255</v>
      </c>
      <c r="Q945" s="1146" t="s">
        <v>379</v>
      </c>
      <c r="R945"/>
      <c r="S945" s="756">
        <f>P945*748</f>
        <v>190740</v>
      </c>
      <c r="T945" s="1146" t="s">
        <v>346</v>
      </c>
      <c r="U945" s="1847"/>
    </row>
    <row r="946" spans="1:21" s="3" customFormat="1" ht="14.25" x14ac:dyDescent="0.2">
      <c r="A946" s="1"/>
      <c r="B946" s="722" t="s">
        <v>368</v>
      </c>
      <c r="C946" s="730"/>
      <c r="D946" s="1208">
        <f>D942*0.087</f>
        <v>3047.000564575178</v>
      </c>
      <c r="E946" s="1208">
        <f t="shared" ref="E946:N946" si="61">E942*0.087</f>
        <v>2719.7071380615207</v>
      </c>
      <c r="F946" s="1208">
        <f t="shared" si="61"/>
        <v>2739.3689575195508</v>
      </c>
      <c r="G946" s="1208">
        <f t="shared" si="61"/>
        <v>2846.4648742675877</v>
      </c>
      <c r="H946" s="1208">
        <f t="shared" si="61"/>
        <v>2687.0834655761619</v>
      </c>
      <c r="I946" s="1208">
        <f t="shared" si="61"/>
        <v>2774.080810546875</v>
      </c>
      <c r="J946" s="1208">
        <f t="shared" si="61"/>
        <v>2429.7367858886619</v>
      </c>
      <c r="K946" s="1208">
        <f t="shared" si="61"/>
        <v>2885.2681274414258</v>
      </c>
      <c r="L946" s="1208">
        <f t="shared" si="61"/>
        <v>2842.4637451172321</v>
      </c>
      <c r="M946" s="1208">
        <f t="shared" si="61"/>
        <v>3079.1914672850871</v>
      </c>
      <c r="N946" s="1208">
        <f t="shared" si="61"/>
        <v>2826.1937255859866</v>
      </c>
      <c r="O946" s="1208">
        <f>O942*0.083</f>
        <v>2765.0641479492001</v>
      </c>
      <c r="P946" s="724">
        <f t="shared" si="60"/>
        <v>33641.62380981446</v>
      </c>
      <c r="Q946" s="1145" t="s">
        <v>865</v>
      </c>
      <c r="R946"/>
      <c r="S946" s="1651"/>
      <c r="T946" s="1652"/>
      <c r="U946" s="1847"/>
    </row>
    <row r="947" spans="1:21" s="3" customFormat="1" ht="14.25" x14ac:dyDescent="0.2">
      <c r="A947" s="1"/>
      <c r="B947" s="722" t="s">
        <v>369</v>
      </c>
      <c r="C947" s="730"/>
      <c r="D947" s="1208">
        <f>D943*12.95</f>
        <v>4961.6900634765625</v>
      </c>
      <c r="E947" s="1208">
        <f t="shared" ref="E947:N947" si="62">E943*12.95</f>
        <v>3164.1124511718749</v>
      </c>
      <c r="F947" s="1208">
        <f t="shared" si="62"/>
        <v>1314.3997070312498</v>
      </c>
      <c r="G947" s="1208">
        <f t="shared" si="62"/>
        <v>477.00009765624998</v>
      </c>
      <c r="H947" s="1208">
        <f t="shared" si="62"/>
        <v>302.94020996093747</v>
      </c>
      <c r="I947" s="1208">
        <f t="shared" si="62"/>
        <v>335.81474609374999</v>
      </c>
      <c r="J947" s="1208">
        <f t="shared" si="62"/>
        <v>550.01457519531243</v>
      </c>
      <c r="K947" s="1208">
        <f t="shared" si="62"/>
        <v>736.61977539062491</v>
      </c>
      <c r="L947" s="1208">
        <f t="shared" si="62"/>
        <v>1530.2119628906248</v>
      </c>
      <c r="M947" s="1208">
        <f t="shared" si="62"/>
        <v>2306.9274169921873</v>
      </c>
      <c r="N947" s="1208">
        <f t="shared" si="62"/>
        <v>3255.33154296875</v>
      </c>
      <c r="O947" s="1208">
        <f>O943*12.76</f>
        <v>4598.3476171875</v>
      </c>
      <c r="P947" s="724">
        <f t="shared" si="60"/>
        <v>23533.410166015627</v>
      </c>
      <c r="Q947" s="1145" t="s">
        <v>865</v>
      </c>
      <c r="R947"/>
      <c r="S947" s="1647"/>
      <c r="T947" s="1150"/>
      <c r="U947" s="1847"/>
    </row>
    <row r="948" spans="1:21" s="3" customFormat="1" ht="16.5" x14ac:dyDescent="0.35">
      <c r="A948" s="1"/>
      <c r="B948" s="722" t="s">
        <v>326</v>
      </c>
      <c r="C948" s="730"/>
      <c r="D948" s="1208">
        <f>D944*12.02</f>
        <v>434.76320768000664</v>
      </c>
      <c r="E948" s="1208">
        <f t="shared" ref="E948:N948" si="63">E944*12.02</f>
        <v>445.46389247999321</v>
      </c>
      <c r="F948" s="1208">
        <f t="shared" si="63"/>
        <v>760.98100736000845</v>
      </c>
      <c r="G948" s="1208">
        <f t="shared" si="63"/>
        <v>1392.2767923200006</v>
      </c>
      <c r="H948" s="1208">
        <f t="shared" si="63"/>
        <v>2166.0032307199954</v>
      </c>
      <c r="I948" s="1208">
        <f t="shared" si="63"/>
        <v>1699.0256537600023</v>
      </c>
      <c r="J948" s="1208">
        <f t="shared" si="63"/>
        <v>1242.3902771200044</v>
      </c>
      <c r="K948" s="1208">
        <f t="shared" si="63"/>
        <v>607.97198463998859</v>
      </c>
      <c r="L948" s="1208">
        <f t="shared" si="63"/>
        <v>804.14069248001442</v>
      </c>
      <c r="M948" s="1208">
        <f t="shared" si="63"/>
        <v>716.02736127998674</v>
      </c>
      <c r="N948" s="1208">
        <f t="shared" si="63"/>
        <v>576.48304640000254</v>
      </c>
      <c r="O948" s="1208">
        <f>O944*13.81</f>
        <v>619.92891136002208</v>
      </c>
      <c r="P948" s="724">
        <f t="shared" si="60"/>
        <v>11465.456057600026</v>
      </c>
      <c r="Q948" s="1145" t="s">
        <v>865</v>
      </c>
      <c r="R948"/>
      <c r="S948" s="1653"/>
      <c r="T948" s="1150"/>
      <c r="U948" s="1847"/>
    </row>
    <row r="949" spans="1:21" s="3" customFormat="1" ht="16.5" x14ac:dyDescent="0.35">
      <c r="A949" s="1"/>
      <c r="B949" s="732" t="s">
        <v>325</v>
      </c>
      <c r="C949" s="714"/>
      <c r="D949" s="1147">
        <f>D945*9.33</f>
        <v>307.89</v>
      </c>
      <c r="E949" s="1147">
        <f t="shared" ref="E949:N949" si="64">E945*9.33</f>
        <v>223.92000000000002</v>
      </c>
      <c r="F949" s="1147">
        <f t="shared" si="64"/>
        <v>139.94999999999999</v>
      </c>
      <c r="G949" s="1147">
        <f t="shared" si="64"/>
        <v>111.96000000000001</v>
      </c>
      <c r="H949" s="1147">
        <f t="shared" si="64"/>
        <v>121.29</v>
      </c>
      <c r="I949" s="1147">
        <f t="shared" si="64"/>
        <v>139.94999999999999</v>
      </c>
      <c r="J949" s="1147">
        <f t="shared" si="64"/>
        <v>111.96000000000001</v>
      </c>
      <c r="K949" s="1147">
        <f t="shared" si="64"/>
        <v>186.6</v>
      </c>
      <c r="L949" s="1147">
        <f t="shared" si="64"/>
        <v>270.57</v>
      </c>
      <c r="M949" s="1147">
        <f t="shared" si="64"/>
        <v>326.55</v>
      </c>
      <c r="N949" s="1147">
        <f t="shared" si="64"/>
        <v>205.26</v>
      </c>
      <c r="O949" s="1147">
        <f>O945*9.39</f>
        <v>234.75</v>
      </c>
      <c r="P949" s="724">
        <f t="shared" si="60"/>
        <v>2380.6499999999996</v>
      </c>
      <c r="Q949" s="1145" t="s">
        <v>865</v>
      </c>
      <c r="R949"/>
      <c r="S949" s="1653"/>
      <c r="T949" s="1150"/>
      <c r="U949" s="1847"/>
    </row>
    <row r="950" spans="1:21" s="1468" customFormat="1" x14ac:dyDescent="0.25">
      <c r="A950" s="462"/>
      <c r="C950" s="1467"/>
    </row>
    <row r="951" spans="1:21" s="1468" customFormat="1" ht="15.75" thickBot="1" x14ac:dyDescent="0.3">
      <c r="A951" s="462">
        <v>60</v>
      </c>
      <c r="B951" s="460" t="s">
        <v>1014</v>
      </c>
      <c r="C951" s="1467"/>
      <c r="T951" s="460" t="s">
        <v>1014</v>
      </c>
    </row>
    <row r="952" spans="1:21" s="3" customFormat="1" ht="16.5" thickTop="1" x14ac:dyDescent="0.25">
      <c r="A952" s="1"/>
      <c r="B952"/>
      <c r="C952"/>
      <c r="D952" s="1475" t="s">
        <v>1350</v>
      </c>
      <c r="E952" s="1476" t="s">
        <v>1351</v>
      </c>
      <c r="F952" s="1477" t="s">
        <v>1352</v>
      </c>
      <c r="G952" s="1476" t="s">
        <v>1352</v>
      </c>
      <c r="H952" s="1477" t="s">
        <v>667</v>
      </c>
      <c r="I952" s="1478" t="s">
        <v>667</v>
      </c>
    </row>
    <row r="953" spans="1:21" s="3" customFormat="1" ht="16.5" thickBot="1" x14ac:dyDescent="0.3">
      <c r="A953" s="1"/>
      <c r="B953" s="1479"/>
      <c r="C953" s="1479"/>
      <c r="D953" s="1480" t="s">
        <v>1353</v>
      </c>
      <c r="E953" s="1481" t="s">
        <v>1354</v>
      </c>
      <c r="F953" s="1482" t="s">
        <v>665</v>
      </c>
      <c r="G953" s="1481" t="s">
        <v>1354</v>
      </c>
      <c r="H953" s="1482" t="s">
        <v>1324</v>
      </c>
      <c r="I953" s="1483" t="s">
        <v>1354</v>
      </c>
    </row>
    <row r="954" spans="1:21" s="3" customFormat="1" thickTop="1" x14ac:dyDescent="0.2">
      <c r="A954" s="1"/>
      <c r="B954" s="1484"/>
      <c r="C954"/>
      <c r="D954" s="1485"/>
      <c r="E954" s="1486"/>
      <c r="F954" s="1485"/>
      <c r="G954" s="1486"/>
      <c r="H954" s="1485"/>
      <c r="I954" s="1487"/>
    </row>
    <row r="955" spans="1:21" s="3" customFormat="1" ht="14.25" x14ac:dyDescent="0.2">
      <c r="A955" s="1"/>
      <c r="B955" s="1490">
        <v>42552</v>
      </c>
      <c r="C955"/>
      <c r="D955" s="593">
        <v>36789</v>
      </c>
      <c r="E955" s="1489">
        <v>3332.3</v>
      </c>
      <c r="F955" s="593">
        <v>123</v>
      </c>
      <c r="G955" s="1489">
        <v>113.14</v>
      </c>
      <c r="H955" s="593">
        <v>2992</v>
      </c>
      <c r="I955" s="1920">
        <v>269.16000000000003</v>
      </c>
    </row>
    <row r="956" spans="1:21" s="3" customFormat="1" ht="14.25" x14ac:dyDescent="0.2">
      <c r="A956" s="1"/>
      <c r="B956" s="1490">
        <v>42583</v>
      </c>
      <c r="C956"/>
      <c r="D956" s="593">
        <v>48745</v>
      </c>
      <c r="E956" s="1489">
        <v>4151.88</v>
      </c>
      <c r="F956" s="593">
        <v>149</v>
      </c>
      <c r="G956" s="1489">
        <v>132.24</v>
      </c>
      <c r="H956" s="593">
        <v>4488</v>
      </c>
      <c r="I956" s="1920">
        <v>281.74</v>
      </c>
    </row>
    <row r="957" spans="1:21" s="3" customFormat="1" ht="14.25" x14ac:dyDescent="0.2">
      <c r="A957" s="1"/>
      <c r="B957" s="1490">
        <v>42614</v>
      </c>
      <c r="C957"/>
      <c r="D957" s="593">
        <v>49769</v>
      </c>
      <c r="E957" s="1489">
        <v>4104.22</v>
      </c>
      <c r="F957" s="593">
        <v>209</v>
      </c>
      <c r="G957" s="1489">
        <v>177.04</v>
      </c>
      <c r="H957" s="593">
        <v>3740</v>
      </c>
      <c r="I957" s="1920">
        <v>275.45</v>
      </c>
    </row>
    <row r="958" spans="1:21" s="3" customFormat="1" ht="14.25" x14ac:dyDescent="0.2">
      <c r="A958" s="1"/>
      <c r="B958" s="1490">
        <v>42644</v>
      </c>
      <c r="C958"/>
      <c r="D958" s="593">
        <v>36478</v>
      </c>
      <c r="E958" s="1489">
        <v>3048.37</v>
      </c>
      <c r="F958" s="593">
        <v>412</v>
      </c>
      <c r="G958" s="1489">
        <v>244.66</v>
      </c>
      <c r="H958" s="593">
        <v>3740</v>
      </c>
      <c r="I958" s="1920">
        <v>274.45</v>
      </c>
    </row>
    <row r="959" spans="1:21" s="3" customFormat="1" ht="14.25" x14ac:dyDescent="0.2">
      <c r="A959" s="1"/>
      <c r="B959" s="1490">
        <v>42675</v>
      </c>
      <c r="C959"/>
      <c r="D959" s="593">
        <v>27694</v>
      </c>
      <c r="E959" s="1489">
        <v>2434.91</v>
      </c>
      <c r="F959" s="593">
        <v>845</v>
      </c>
      <c r="G959" s="1489">
        <v>745.97</v>
      </c>
      <c r="H959" s="593">
        <v>3740</v>
      </c>
      <c r="I959" s="1920">
        <v>275.45</v>
      </c>
    </row>
    <row r="960" spans="1:21" s="3" customFormat="1" ht="14.25" x14ac:dyDescent="0.2">
      <c r="A960" s="1"/>
      <c r="B960" s="1490">
        <v>42705</v>
      </c>
      <c r="C960"/>
      <c r="D960" s="593">
        <v>29813</v>
      </c>
      <c r="E960" s="1489">
        <v>2545.69</v>
      </c>
      <c r="F960" s="593">
        <v>941</v>
      </c>
      <c r="G960" s="1489">
        <v>866.35</v>
      </c>
      <c r="H960" s="593">
        <v>1496</v>
      </c>
      <c r="I960" s="1920">
        <v>256.58</v>
      </c>
    </row>
    <row r="961" spans="1:26" s="3" customFormat="1" ht="14.25" x14ac:dyDescent="0.2">
      <c r="A961" s="1"/>
      <c r="B961" s="1490">
        <v>42736</v>
      </c>
      <c r="C961"/>
      <c r="D961" s="593">
        <v>24353</v>
      </c>
      <c r="E961" s="1489">
        <v>2091.54</v>
      </c>
      <c r="F961" s="593">
        <v>1367</v>
      </c>
      <c r="G961" s="1489">
        <v>1247.1099999999999</v>
      </c>
      <c r="H961" s="593">
        <v>5236</v>
      </c>
      <c r="I961" s="1920">
        <v>288.02999999999997</v>
      </c>
    </row>
    <row r="962" spans="1:26" s="3" customFormat="1" ht="14.25" x14ac:dyDescent="0.2">
      <c r="A962" s="1"/>
      <c r="B962" s="1490">
        <v>42767</v>
      </c>
      <c r="C962"/>
      <c r="D962" s="593">
        <v>26324</v>
      </c>
      <c r="E962" s="1489">
        <v>2248.39</v>
      </c>
      <c r="F962" s="593">
        <v>683</v>
      </c>
      <c r="G962" s="1489">
        <v>635.77</v>
      </c>
      <c r="H962" s="593">
        <v>3740</v>
      </c>
      <c r="I962" s="1920">
        <v>275.45</v>
      </c>
    </row>
    <row r="963" spans="1:26" s="3" customFormat="1" ht="14.25" x14ac:dyDescent="0.2">
      <c r="A963" s="1"/>
      <c r="B963" s="1490">
        <v>42795</v>
      </c>
      <c r="C963"/>
      <c r="D963" s="593">
        <v>25217</v>
      </c>
      <c r="E963" s="1489">
        <v>2231.02</v>
      </c>
      <c r="F963" s="593">
        <v>944</v>
      </c>
      <c r="G963" s="1489">
        <v>829.16</v>
      </c>
      <c r="H963" s="593">
        <v>5236</v>
      </c>
      <c r="I963" s="1920">
        <v>288.02999999999997</v>
      </c>
    </row>
    <row r="964" spans="1:26" s="3" customFormat="1" ht="14.25" x14ac:dyDescent="0.2">
      <c r="A964" s="1"/>
      <c r="B964" s="1490">
        <v>42826</v>
      </c>
      <c r="C964"/>
      <c r="D964" s="593">
        <v>30467</v>
      </c>
      <c r="E964" s="1489">
        <v>2556.94</v>
      </c>
      <c r="F964" s="593">
        <v>482</v>
      </c>
      <c r="G964" s="1489">
        <v>441.02</v>
      </c>
      <c r="H964" s="593">
        <v>2244</v>
      </c>
      <c r="I964" s="1920">
        <v>262.87</v>
      </c>
    </row>
    <row r="965" spans="1:26" s="3" customFormat="1" ht="14.25" x14ac:dyDescent="0.2">
      <c r="A965" s="1"/>
      <c r="B965" s="1490">
        <v>42856</v>
      </c>
      <c r="C965"/>
      <c r="D965" s="593">
        <v>31050</v>
      </c>
      <c r="E965" s="1489">
        <v>2678.71</v>
      </c>
      <c r="F965" s="593">
        <v>428</v>
      </c>
      <c r="G965" s="1489">
        <v>395.02</v>
      </c>
      <c r="H965" s="593">
        <v>2244</v>
      </c>
      <c r="I965" s="1920">
        <v>262.87</v>
      </c>
    </row>
    <row r="966" spans="1:26" s="3" customFormat="1" thickBot="1" x14ac:dyDescent="0.25">
      <c r="A966" s="1"/>
      <c r="B966" s="1490">
        <v>42887</v>
      </c>
      <c r="C966" s="1491"/>
      <c r="D966" s="1492">
        <v>34929</v>
      </c>
      <c r="E966" s="1493">
        <v>2953.76</v>
      </c>
      <c r="F966" s="1492">
        <v>245</v>
      </c>
      <c r="G966" s="1493">
        <v>238.18</v>
      </c>
      <c r="H966" s="1494">
        <v>2992</v>
      </c>
      <c r="I966" s="1921">
        <v>277.56</v>
      </c>
    </row>
    <row r="967" spans="1:26" s="3" customFormat="1" thickBot="1" x14ac:dyDescent="0.25">
      <c r="A967" s="1"/>
      <c r="B967"/>
      <c r="C967"/>
      <c r="D967" s="1495"/>
      <c r="E967" s="1496"/>
      <c r="F967" s="1497"/>
      <c r="G967" s="1496"/>
      <c r="H967" s="1497"/>
      <c r="I967" s="1507"/>
    </row>
    <row r="968" spans="1:26" s="3" customFormat="1" ht="17.25" thickTop="1" thickBot="1" x14ac:dyDescent="0.3">
      <c r="A968" s="1"/>
      <c r="B968"/>
      <c r="C968" s="1498" t="s">
        <v>658</v>
      </c>
      <c r="D968" s="1480">
        <f>SUM(D955:D966)</f>
        <v>401628</v>
      </c>
      <c r="E968" s="1481">
        <f>SUM(E955:E967)</f>
        <v>34377.729999999996</v>
      </c>
      <c r="F968" s="1482">
        <f>SUM(F955:F967)</f>
        <v>6828</v>
      </c>
      <c r="G968" s="1481">
        <f>SUM(G955:G967)</f>
        <v>6065.6600000000017</v>
      </c>
      <c r="H968" s="1482">
        <f>SUM(H955:H967)</f>
        <v>41888</v>
      </c>
      <c r="I968" s="1483">
        <f>SUM(I955:I967)</f>
        <v>3287.64</v>
      </c>
    </row>
    <row r="969" spans="1:26" s="3" customFormat="1" thickTop="1" x14ac:dyDescent="0.2">
      <c r="A969" s="1"/>
      <c r="B969" s="41"/>
      <c r="C969" s="41"/>
      <c r="D969" s="1872"/>
      <c r="E969" s="1845"/>
      <c r="F969" s="1872"/>
      <c r="G969" s="1845"/>
      <c r="H969" s="1872"/>
      <c r="I969" s="1845"/>
    </row>
    <row r="970" spans="1:26" s="1468" customFormat="1" x14ac:dyDescent="0.25">
      <c r="A970" s="462">
        <v>61</v>
      </c>
      <c r="B970" s="460" t="s">
        <v>1015</v>
      </c>
      <c r="C970" s="1467"/>
      <c r="T970" s="460" t="s">
        <v>1015</v>
      </c>
    </row>
    <row r="971" spans="1:26" s="1833" customFormat="1" x14ac:dyDescent="0.2">
      <c r="A971" s="1840"/>
      <c r="B971" s="2246" t="s">
        <v>352</v>
      </c>
      <c r="C971" s="1840"/>
      <c r="S971" s="1840"/>
      <c r="T971" s="1866"/>
      <c r="W971" s="1834"/>
      <c r="Y971" s="1835"/>
      <c r="Z971" s="1835"/>
    </row>
    <row r="972" spans="1:26" s="128" customFormat="1" x14ac:dyDescent="0.25">
      <c r="A972" s="459"/>
      <c r="B972" s="127"/>
      <c r="C972" s="173"/>
      <c r="S972" s="173"/>
      <c r="T972" s="127"/>
      <c r="W972" s="129"/>
      <c r="Y972" s="166"/>
      <c r="Z972" s="166"/>
    </row>
    <row r="973" spans="1:26" s="1468" customFormat="1" x14ac:dyDescent="0.25">
      <c r="A973" s="462">
        <v>62</v>
      </c>
      <c r="B973" s="460" t="s">
        <v>1278</v>
      </c>
      <c r="C973" s="1467"/>
      <c r="T973" s="460" t="s">
        <v>1278</v>
      </c>
    </row>
    <row r="974" spans="1:26" s="1833" customFormat="1" x14ac:dyDescent="0.2">
      <c r="A974" s="1840"/>
      <c r="B974" s="2246" t="s">
        <v>352</v>
      </c>
      <c r="C974" s="1840"/>
      <c r="S974" s="1840"/>
      <c r="T974" s="1866"/>
      <c r="W974" s="1834"/>
      <c r="Y974" s="1835"/>
      <c r="Z974" s="1835"/>
    </row>
    <row r="975" spans="1:26" s="1468" customFormat="1" x14ac:dyDescent="0.25">
      <c r="A975" s="462"/>
      <c r="B975" s="460"/>
      <c r="C975" s="1467"/>
    </row>
    <row r="976" spans="1:26" s="1468" customFormat="1" x14ac:dyDescent="0.25">
      <c r="A976" s="462">
        <v>63</v>
      </c>
      <c r="B976" s="460" t="s">
        <v>1276</v>
      </c>
      <c r="C976" s="1467"/>
      <c r="T976" s="460" t="s">
        <v>1276</v>
      </c>
    </row>
    <row r="977" spans="1:20" s="3" customFormat="1" ht="14.25" x14ac:dyDescent="0.2">
      <c r="A977" s="1"/>
      <c r="B977" s="130" t="s">
        <v>337</v>
      </c>
      <c r="C977" s="131">
        <v>42522</v>
      </c>
      <c r="D977" s="131">
        <v>42552</v>
      </c>
      <c r="E977" s="131">
        <v>42583</v>
      </c>
      <c r="F977" s="131">
        <v>42614</v>
      </c>
      <c r="G977" s="131">
        <v>42644</v>
      </c>
      <c r="H977" s="131">
        <v>42675</v>
      </c>
      <c r="I977" s="131">
        <v>42705</v>
      </c>
      <c r="J977" s="131">
        <v>42736</v>
      </c>
      <c r="K977" s="131">
        <v>42767</v>
      </c>
      <c r="L977" s="131">
        <v>42795</v>
      </c>
      <c r="M977" s="131">
        <v>42826</v>
      </c>
      <c r="N977" s="131">
        <v>42856</v>
      </c>
      <c r="O977" s="131">
        <v>42887</v>
      </c>
      <c r="P977" s="131">
        <v>42917</v>
      </c>
      <c r="Q977" s="131">
        <v>42948</v>
      </c>
      <c r="R977" s="131">
        <v>42992</v>
      </c>
    </row>
    <row r="978" spans="1:20" s="3" customFormat="1" ht="14.25" x14ac:dyDescent="0.2">
      <c r="A978" s="1840"/>
      <c r="B978" s="135" t="s">
        <v>319</v>
      </c>
      <c r="C978" s="187">
        <v>29474</v>
      </c>
      <c r="D978" s="141">
        <v>38354</v>
      </c>
      <c r="E978" s="141">
        <v>36013</v>
      </c>
      <c r="F978" s="136">
        <v>30552</v>
      </c>
      <c r="G978" s="136">
        <v>24645</v>
      </c>
      <c r="H978" s="136">
        <v>20004</v>
      </c>
      <c r="I978" s="136">
        <v>19960</v>
      </c>
      <c r="J978" s="136">
        <v>17068</v>
      </c>
      <c r="K978" s="136">
        <v>18478</v>
      </c>
      <c r="L978" s="136">
        <v>19754</v>
      </c>
      <c r="M978" s="136">
        <v>24347</v>
      </c>
      <c r="N978" s="136">
        <v>25448</v>
      </c>
      <c r="O978" s="136">
        <v>28029</v>
      </c>
      <c r="P978" s="136">
        <v>32856</v>
      </c>
      <c r="Q978" s="136"/>
      <c r="R978" s="141"/>
    </row>
    <row r="979" spans="1:20" s="3" customFormat="1" ht="14.25" x14ac:dyDescent="0.2">
      <c r="A979" s="41"/>
      <c r="B979" s="135" t="s">
        <v>343</v>
      </c>
      <c r="C979" s="1092"/>
      <c r="D979" s="153"/>
      <c r="E979" s="153"/>
      <c r="F979" s="137"/>
      <c r="G979" s="137"/>
      <c r="H979" s="137"/>
      <c r="I979" s="136"/>
      <c r="J979" s="136"/>
      <c r="K979" s="136"/>
      <c r="L979" s="136"/>
      <c r="M979" s="136"/>
      <c r="N979" s="136"/>
      <c r="O979" s="136"/>
      <c r="P979" s="136"/>
      <c r="Q979" s="136"/>
      <c r="R979" s="153"/>
    </row>
    <row r="980" spans="1:20" s="3" customFormat="1" ht="14.25" x14ac:dyDescent="0.2">
      <c r="A980" s="1840"/>
      <c r="B980" s="153" t="s">
        <v>362</v>
      </c>
      <c r="C980" s="1092"/>
      <c r="D980" s="153"/>
      <c r="E980" s="153"/>
      <c r="F980" s="141"/>
      <c r="G980" s="141"/>
      <c r="H980" s="141"/>
      <c r="I980" s="141"/>
      <c r="J980" s="141"/>
      <c r="K980" s="141"/>
      <c r="L980" s="141"/>
      <c r="M980" s="141"/>
      <c r="N980" s="141"/>
      <c r="O980" s="141"/>
      <c r="P980" s="141"/>
      <c r="Q980" s="141"/>
      <c r="R980" s="153"/>
    </row>
    <row r="981" spans="1:20" s="3" customFormat="1" ht="14.25" x14ac:dyDescent="0.2">
      <c r="A981" s="1840"/>
      <c r="B981" s="153" t="s">
        <v>641</v>
      </c>
      <c r="C981" s="187">
        <v>764</v>
      </c>
      <c r="D981" s="141">
        <v>804</v>
      </c>
      <c r="E981" s="141">
        <v>856</v>
      </c>
      <c r="F981" s="141">
        <v>477</v>
      </c>
      <c r="G981" s="141">
        <v>185</v>
      </c>
      <c r="H981" s="141">
        <v>660</v>
      </c>
      <c r="I981" s="141">
        <v>1335</v>
      </c>
      <c r="J981" s="141">
        <v>1278</v>
      </c>
      <c r="K981" s="141">
        <v>988</v>
      </c>
      <c r="L981" s="141">
        <v>1307</v>
      </c>
      <c r="M981" s="141">
        <v>1195</v>
      </c>
      <c r="N981" s="141">
        <v>1007</v>
      </c>
      <c r="O981" s="141">
        <v>1043</v>
      </c>
      <c r="P981" s="141">
        <v>1263</v>
      </c>
      <c r="Q981" s="141"/>
      <c r="R981" s="141"/>
    </row>
    <row r="982" spans="1:20" s="3" customFormat="1" ht="14.25" x14ac:dyDescent="0.2">
      <c r="A982" s="1840"/>
      <c r="B982" s="135" t="s">
        <v>864</v>
      </c>
      <c r="C982" s="1323">
        <v>13</v>
      </c>
      <c r="D982" s="1323">
        <v>11</v>
      </c>
      <c r="E982" s="153">
        <v>13</v>
      </c>
      <c r="F982" s="760">
        <v>13</v>
      </c>
      <c r="G982" s="760">
        <v>15</v>
      </c>
      <c r="H982" s="760">
        <v>14</v>
      </c>
      <c r="I982" s="760">
        <v>12</v>
      </c>
      <c r="J982" s="760">
        <v>11</v>
      </c>
      <c r="K982" s="750">
        <v>15</v>
      </c>
      <c r="L982" s="750">
        <v>11</v>
      </c>
      <c r="M982" s="750">
        <v>14</v>
      </c>
      <c r="N982" s="750">
        <v>14</v>
      </c>
      <c r="O982" s="750">
        <v>12</v>
      </c>
      <c r="P982" s="750"/>
      <c r="Q982" s="728"/>
      <c r="R982" s="153"/>
    </row>
    <row r="983" spans="1:20" s="3" customFormat="1" ht="14.25" x14ac:dyDescent="0.2">
      <c r="A983" s="1840"/>
      <c r="B983" s="135" t="s">
        <v>324</v>
      </c>
      <c r="C983" s="1941">
        <v>2012.97</v>
      </c>
      <c r="D983" s="1942">
        <v>2763.55</v>
      </c>
      <c r="E983" s="1942">
        <v>2559.5300000000002</v>
      </c>
      <c r="F983" s="1943">
        <v>2113.44</v>
      </c>
      <c r="G983" s="1943">
        <v>1508.53</v>
      </c>
      <c r="H983" s="1943">
        <v>1130.82</v>
      </c>
      <c r="I983" s="1943">
        <v>1165.46</v>
      </c>
      <c r="J983" s="1943">
        <v>996.55</v>
      </c>
      <c r="K983" s="1943">
        <v>1053.79</v>
      </c>
      <c r="L983" s="1943">
        <v>1240.7</v>
      </c>
      <c r="M983" s="1943">
        <v>1412.01</v>
      </c>
      <c r="N983" s="1943">
        <v>1474.84</v>
      </c>
      <c r="O983" s="1943">
        <v>1838.68</v>
      </c>
      <c r="P983" s="1943">
        <v>2319.15</v>
      </c>
      <c r="Q983" s="1943"/>
      <c r="R983" s="1942"/>
    </row>
    <row r="984" spans="1:20" s="3" customFormat="1" ht="14.25" x14ac:dyDescent="0.2">
      <c r="A984" s="1840"/>
      <c r="B984" s="144" t="s">
        <v>348</v>
      </c>
      <c r="C984" s="1092"/>
      <c r="D984" s="153"/>
      <c r="E984" s="153"/>
      <c r="F984" s="736"/>
      <c r="G984" s="736"/>
      <c r="H984" s="736"/>
      <c r="I984" s="736"/>
      <c r="J984" s="731"/>
      <c r="K984" s="731"/>
      <c r="L984" s="731"/>
      <c r="M984" s="731"/>
      <c r="N984" s="731"/>
      <c r="O984" s="731"/>
      <c r="P984" s="731"/>
      <c r="Q984" s="731"/>
      <c r="R984" s="153"/>
    </row>
    <row r="985" spans="1:20" s="3" customFormat="1" ht="14.25" x14ac:dyDescent="0.2">
      <c r="A985" s="1840"/>
      <c r="B985" s="195" t="s">
        <v>1087</v>
      </c>
      <c r="C985" s="1092"/>
      <c r="D985" s="153"/>
      <c r="E985" s="153"/>
      <c r="F985" s="731"/>
      <c r="G985" s="731"/>
      <c r="H985" s="731"/>
      <c r="I985" s="731"/>
      <c r="J985" s="731"/>
      <c r="K985" s="731"/>
      <c r="L985" s="731"/>
      <c r="M985" s="731"/>
      <c r="N985" s="731"/>
      <c r="O985" s="731"/>
      <c r="P985" s="731"/>
      <c r="Q985" s="731"/>
      <c r="R985" s="153"/>
    </row>
    <row r="986" spans="1:20" s="3" customFormat="1" ht="14.25" x14ac:dyDescent="0.2">
      <c r="A986" s="1840"/>
      <c r="B986" s="144" t="s">
        <v>883</v>
      </c>
      <c r="C986" s="1944">
        <v>545.32000000000005</v>
      </c>
      <c r="D986" s="1945">
        <v>573.86</v>
      </c>
      <c r="E986" s="1945">
        <v>609.54999999999995</v>
      </c>
      <c r="F986" s="1945">
        <v>349.41</v>
      </c>
      <c r="G986" s="1945">
        <v>148.97999999999999</v>
      </c>
      <c r="H986" s="1945">
        <v>520.28</v>
      </c>
      <c r="I986" s="1945">
        <v>1110.19</v>
      </c>
      <c r="J986" s="1945">
        <v>1092.1300000000001</v>
      </c>
      <c r="K986" s="1945">
        <v>848.48</v>
      </c>
      <c r="L986" s="1945">
        <v>1115.33</v>
      </c>
      <c r="M986" s="1945">
        <v>980.96</v>
      </c>
      <c r="N986" s="1945">
        <v>857.16</v>
      </c>
      <c r="O986" s="1945">
        <v>871.3</v>
      </c>
      <c r="P986" s="1945">
        <v>1056.0899999999999</v>
      </c>
      <c r="Q986" s="1945"/>
      <c r="R986" s="1945"/>
    </row>
    <row r="987" spans="1:20" s="3" customFormat="1" ht="14.25" x14ac:dyDescent="0.2">
      <c r="A987" s="1840"/>
      <c r="B987" s="41"/>
      <c r="C987" s="1900"/>
      <c r="D987" s="1899"/>
      <c r="E987" s="1899"/>
      <c r="F987" s="1899"/>
      <c r="G987" s="1899"/>
      <c r="H987" s="1899"/>
      <c r="I987" s="1899"/>
      <c r="J987" s="1899"/>
      <c r="K987" s="1899"/>
      <c r="L987" s="1899"/>
      <c r="M987" s="1899"/>
      <c r="N987" s="1899"/>
      <c r="O987" s="1899"/>
      <c r="P987" s="1899"/>
      <c r="Q987" s="1899"/>
      <c r="R987" s="1899"/>
    </row>
    <row r="988" spans="1:20" s="347" customFormat="1" x14ac:dyDescent="0.25">
      <c r="A988" s="1699">
        <v>64</v>
      </c>
      <c r="B988" s="1700" t="s">
        <v>1277</v>
      </c>
      <c r="C988" s="348"/>
      <c r="T988" s="1700" t="s">
        <v>1277</v>
      </c>
    </row>
    <row r="989" spans="1:20" s="3" customFormat="1" ht="15.75" x14ac:dyDescent="0.25">
      <c r="A989" s="1"/>
      <c r="B989" s="472" t="s">
        <v>127</v>
      </c>
      <c r="C989" s="473" t="s">
        <v>1540</v>
      </c>
      <c r="D989" s="473">
        <v>42583</v>
      </c>
      <c r="E989" s="473">
        <v>42614</v>
      </c>
      <c r="F989" s="473">
        <v>42644</v>
      </c>
      <c r="G989" s="473">
        <v>42675</v>
      </c>
      <c r="H989" s="473">
        <v>42705</v>
      </c>
      <c r="I989" s="473">
        <v>42736</v>
      </c>
      <c r="J989" s="473">
        <v>42767</v>
      </c>
      <c r="K989" s="473">
        <v>42795</v>
      </c>
      <c r="L989" s="473">
        <v>42826</v>
      </c>
      <c r="M989" s="473">
        <v>42856</v>
      </c>
      <c r="N989" s="473">
        <v>42887</v>
      </c>
    </row>
    <row r="990" spans="1:20" s="3" customFormat="1" ht="15.75" x14ac:dyDescent="0.25">
      <c r="A990" s="1"/>
      <c r="B990" s="1100" t="s">
        <v>1420</v>
      </c>
      <c r="C990" s="2142"/>
      <c r="D990" s="2142"/>
      <c r="E990" s="2142"/>
      <c r="F990" s="2142"/>
      <c r="G990" s="2142"/>
      <c r="H990" s="2142"/>
      <c r="I990" s="2142"/>
      <c r="J990" s="2142"/>
      <c r="K990" s="2142"/>
      <c r="L990" s="2142"/>
      <c r="M990" s="2142"/>
      <c r="N990" s="2142"/>
    </row>
    <row r="991" spans="1:20" s="3" customFormat="1" ht="15.75" x14ac:dyDescent="0.25">
      <c r="A991" s="1"/>
      <c r="B991" s="1629" t="s">
        <v>1093</v>
      </c>
      <c r="C991" s="1631">
        <v>51957</v>
      </c>
      <c r="D991" s="1631">
        <v>55238</v>
      </c>
      <c r="E991" s="1631">
        <v>53913</v>
      </c>
      <c r="F991" s="1631">
        <v>37459</v>
      </c>
      <c r="G991" s="1631">
        <v>29984</v>
      </c>
      <c r="H991" s="1631">
        <v>28341</v>
      </c>
      <c r="I991" s="1631">
        <v>33966</v>
      </c>
      <c r="J991" s="1631">
        <v>28457</v>
      </c>
      <c r="K991" s="1631">
        <v>31311</v>
      </c>
      <c r="L991" s="1631">
        <v>37191</v>
      </c>
      <c r="M991" s="1631">
        <v>37503</v>
      </c>
      <c r="N991" s="1631">
        <v>45351</v>
      </c>
    </row>
    <row r="992" spans="1:20" s="3" customFormat="1" ht="15.75" x14ac:dyDescent="0.25">
      <c r="A992" s="1"/>
      <c r="B992" s="1629" t="s">
        <v>322</v>
      </c>
      <c r="C992" s="1631">
        <v>9724.6759999999995</v>
      </c>
      <c r="D992" s="1631">
        <v>9724.6759999999995</v>
      </c>
      <c r="E992" s="1631">
        <v>6732.4679999999998</v>
      </c>
      <c r="F992" s="1631">
        <v>8976.6239999999998</v>
      </c>
      <c r="G992" s="1631">
        <v>5984.4160000000002</v>
      </c>
      <c r="H992" s="1631">
        <v>6732.4679999999998</v>
      </c>
      <c r="I992" s="1631">
        <v>6732.4679999999998</v>
      </c>
      <c r="J992" s="1631">
        <v>7480.52</v>
      </c>
      <c r="K992" s="1631">
        <v>8228.5720000000001</v>
      </c>
      <c r="L992" s="1631">
        <v>8228.5720000000001</v>
      </c>
      <c r="M992" s="1631">
        <v>6732.4679999999998</v>
      </c>
      <c r="N992" s="1631">
        <v>6732.4679999999998</v>
      </c>
    </row>
    <row r="993" spans="1:26" s="3" customFormat="1" ht="15.75" x14ac:dyDescent="0.25">
      <c r="A993" s="1"/>
      <c r="B993" s="441"/>
      <c r="C993" s="1631"/>
      <c r="D993" s="1631"/>
      <c r="E993" s="1631"/>
      <c r="F993" s="1631"/>
      <c r="G993" s="1631"/>
      <c r="H993" s="1631"/>
      <c r="I993" s="1631"/>
      <c r="J993" s="1631"/>
      <c r="K993" s="1631"/>
      <c r="L993" s="1631"/>
      <c r="M993" s="1631"/>
      <c r="N993" s="1631"/>
    </row>
    <row r="994" spans="1:26" s="3" customFormat="1" ht="15.75" x14ac:dyDescent="0.25">
      <c r="A994" s="1"/>
      <c r="B994" s="1632" t="s">
        <v>641</v>
      </c>
      <c r="C994" s="1631">
        <v>375</v>
      </c>
      <c r="D994" s="1631">
        <v>298</v>
      </c>
      <c r="E994" s="1631">
        <v>270</v>
      </c>
      <c r="F994" s="1631">
        <v>410</v>
      </c>
      <c r="G994" s="1631">
        <v>736</v>
      </c>
      <c r="H994" s="1631">
        <v>1036</v>
      </c>
      <c r="I994" s="1631">
        <v>1672</v>
      </c>
      <c r="J994" s="1631">
        <v>1057</v>
      </c>
      <c r="K994" s="1631">
        <v>938</v>
      </c>
      <c r="L994" s="1631">
        <v>955</v>
      </c>
      <c r="M994" s="1631">
        <v>563</v>
      </c>
      <c r="N994" s="1631">
        <v>413</v>
      </c>
    </row>
    <row r="995" spans="1:26" s="3" customFormat="1" ht="15.75" x14ac:dyDescent="0.25">
      <c r="A995" s="1"/>
      <c r="B995" s="441"/>
      <c r="C995" s="1631"/>
      <c r="D995" s="1631"/>
      <c r="E995" s="1631"/>
      <c r="F995" s="1631"/>
      <c r="G995" s="1631"/>
      <c r="H995" s="1631"/>
      <c r="I995" s="1631"/>
      <c r="J995" s="1631"/>
      <c r="K995" s="1631"/>
      <c r="L995" s="1631"/>
      <c r="M995" s="1631"/>
      <c r="N995" s="1631"/>
    </row>
    <row r="996" spans="1:26" s="3" customFormat="1" ht="15.75" x14ac:dyDescent="0.25">
      <c r="A996" s="1"/>
      <c r="B996" s="1629" t="s">
        <v>324</v>
      </c>
      <c r="C996" s="1631">
        <v>4065.9718056999068</v>
      </c>
      <c r="D996" s="1631">
        <v>4273.796653791771</v>
      </c>
      <c r="E996" s="1631">
        <v>4045.1559261846951</v>
      </c>
      <c r="F996" s="1631">
        <v>3002.8621662118703</v>
      </c>
      <c r="G996" s="1631">
        <v>2519.4901161077387</v>
      </c>
      <c r="H996" s="1631">
        <v>2026.1696087559735</v>
      </c>
      <c r="I996" s="1631">
        <v>1875.5294642622086</v>
      </c>
      <c r="J996" s="1631">
        <v>1625.9667368780247</v>
      </c>
      <c r="K996" s="1631">
        <v>1821.2210102734771</v>
      </c>
      <c r="L996" s="1631">
        <v>2111.0844949520065</v>
      </c>
      <c r="M996" s="1631">
        <v>2162.2792799701233</v>
      </c>
      <c r="N996" s="1631">
        <v>3292.7663411344024</v>
      </c>
    </row>
    <row r="997" spans="1:26" s="3" customFormat="1" ht="15.75" x14ac:dyDescent="0.25">
      <c r="A997" s="1"/>
      <c r="B997" s="1634" t="s">
        <v>328</v>
      </c>
      <c r="C997" s="1631">
        <v>315.75</v>
      </c>
      <c r="D997" s="1631">
        <v>368.41</v>
      </c>
      <c r="E997" s="1631">
        <v>304.20999999999998</v>
      </c>
      <c r="F997" s="1631">
        <v>323.08</v>
      </c>
      <c r="G997" s="1631">
        <v>297</v>
      </c>
      <c r="H997" s="1631">
        <v>304</v>
      </c>
      <c r="I997" s="1631">
        <v>304.21000000000004</v>
      </c>
      <c r="J997" s="1631">
        <v>310.5</v>
      </c>
      <c r="K997" s="1631">
        <v>316.78999999999996</v>
      </c>
      <c r="L997" s="1631">
        <v>316.78999999999996</v>
      </c>
      <c r="M997" s="1631">
        <v>304.21000000000004</v>
      </c>
      <c r="N997" s="1631">
        <v>304.21000000000004</v>
      </c>
    </row>
    <row r="998" spans="1:26" s="3" customFormat="1" ht="15.75" x14ac:dyDescent="0.25">
      <c r="A998" s="1"/>
      <c r="B998" s="1633" t="s">
        <v>733</v>
      </c>
      <c r="C998" s="1631">
        <v>298.95999999999998</v>
      </c>
      <c r="D998" s="1631">
        <v>242.4</v>
      </c>
      <c r="E998" s="1631">
        <v>221.84</v>
      </c>
      <c r="F998" s="1631">
        <v>326.88</v>
      </c>
      <c r="G998" s="1631">
        <v>479.59</v>
      </c>
      <c r="H998" s="1631">
        <v>930.21</v>
      </c>
      <c r="I998" s="1631">
        <v>1530.93</v>
      </c>
      <c r="J998" s="1631">
        <v>969.63</v>
      </c>
      <c r="K998" s="1631">
        <v>863.13</v>
      </c>
      <c r="L998" s="1631">
        <v>843.33</v>
      </c>
      <c r="M998" s="1631">
        <v>511.18</v>
      </c>
      <c r="N998" s="1631">
        <v>383.24</v>
      </c>
    </row>
    <row r="999" spans="1:26" s="3" customFormat="1" ht="15.75" x14ac:dyDescent="0.25">
      <c r="A999" s="1"/>
      <c r="B999" s="1109"/>
      <c r="C999" s="1859"/>
      <c r="D999" s="1859"/>
      <c r="E999" s="1859"/>
      <c r="F999" s="1859"/>
      <c r="G999" s="1859"/>
      <c r="H999" s="1859"/>
      <c r="I999" s="1859"/>
      <c r="J999" s="1859"/>
      <c r="K999" s="1859"/>
      <c r="L999" s="1859"/>
      <c r="M999" s="1859"/>
      <c r="N999" s="1859"/>
    </row>
    <row r="1000" spans="1:26" s="1468" customFormat="1" x14ac:dyDescent="0.25">
      <c r="A1000" s="462">
        <v>65</v>
      </c>
      <c r="B1000" s="460" t="s">
        <v>1279</v>
      </c>
      <c r="C1000" s="1467"/>
      <c r="T1000" s="460" t="s">
        <v>1279</v>
      </c>
    </row>
    <row r="1001" spans="1:26" s="1833" customFormat="1" x14ac:dyDescent="0.2">
      <c r="A1001" s="1840"/>
      <c r="B1001" s="2246" t="s">
        <v>352</v>
      </c>
      <c r="C1001" s="1840"/>
      <c r="S1001" s="1840"/>
      <c r="T1001" s="1866"/>
      <c r="W1001" s="1834"/>
      <c r="Y1001" s="1835"/>
      <c r="Z1001" s="1835"/>
    </row>
    <row r="1002" spans="1:26" s="128" customFormat="1" x14ac:dyDescent="0.25">
      <c r="A1002" s="459"/>
      <c r="B1002" s="127"/>
      <c r="C1002" s="173"/>
      <c r="S1002" s="173"/>
      <c r="T1002" s="127"/>
      <c r="W1002" s="129"/>
      <c r="Y1002" s="166"/>
      <c r="Z1002" s="166"/>
    </row>
    <row r="1003" spans="1:26" s="1468" customFormat="1" x14ac:dyDescent="0.25">
      <c r="A1003" s="462">
        <v>66</v>
      </c>
      <c r="B1003" s="460" t="s">
        <v>1542</v>
      </c>
      <c r="C1003" s="1467"/>
      <c r="T1003" s="460" t="s">
        <v>1280</v>
      </c>
    </row>
    <row r="1004" spans="1:26" s="3" customFormat="1" ht="15.75" x14ac:dyDescent="0.25">
      <c r="A1004" s="1"/>
      <c r="B1004" s="472" t="s">
        <v>1417</v>
      </c>
      <c r="C1004" s="473" t="s">
        <v>1540</v>
      </c>
      <c r="D1004" s="473">
        <v>42583</v>
      </c>
      <c r="E1004" s="473">
        <v>42614</v>
      </c>
      <c r="F1004" s="473">
        <v>42644</v>
      </c>
      <c r="G1004" s="473">
        <v>42675</v>
      </c>
      <c r="H1004" s="473">
        <v>42705</v>
      </c>
      <c r="I1004" s="473">
        <v>42736</v>
      </c>
      <c r="J1004" s="473">
        <v>42767</v>
      </c>
      <c r="K1004" s="473">
        <v>42795</v>
      </c>
      <c r="L1004" s="473">
        <v>42826</v>
      </c>
      <c r="M1004" s="473">
        <v>42856</v>
      </c>
      <c r="N1004" s="473">
        <v>42887</v>
      </c>
    </row>
    <row r="1005" spans="1:26" s="3" customFormat="1" ht="15.75" x14ac:dyDescent="0.25">
      <c r="A1005" s="1"/>
      <c r="B1005" s="1100" t="s">
        <v>1418</v>
      </c>
      <c r="C1005" s="2142"/>
      <c r="D1005" s="2142"/>
      <c r="E1005" s="2142"/>
      <c r="F1005" s="2142"/>
      <c r="G1005" s="2142"/>
      <c r="H1005" s="2142"/>
      <c r="I1005" s="2142"/>
      <c r="J1005" s="2142"/>
      <c r="K1005" s="2142"/>
      <c r="L1005" s="2142"/>
      <c r="M1005" s="2142"/>
      <c r="N1005" s="2142"/>
    </row>
    <row r="1006" spans="1:26" s="3" customFormat="1" ht="15.75" x14ac:dyDescent="0.25">
      <c r="A1006" s="1"/>
      <c r="B1006" s="1629" t="s">
        <v>1093</v>
      </c>
      <c r="C1006" s="1631">
        <v>216777</v>
      </c>
      <c r="D1006" s="1631">
        <v>319608</v>
      </c>
      <c r="E1006" s="1631">
        <v>258955</v>
      </c>
      <c r="F1006" s="1631">
        <v>251121</v>
      </c>
      <c r="G1006" s="1631">
        <v>280913</v>
      </c>
      <c r="H1006" s="1631">
        <v>242911</v>
      </c>
      <c r="I1006" s="1631">
        <v>234010</v>
      </c>
      <c r="J1006" s="1631">
        <v>224198</v>
      </c>
      <c r="K1006" s="1631">
        <v>268037</v>
      </c>
      <c r="L1006" s="1631">
        <v>250006</v>
      </c>
      <c r="M1006" s="1631">
        <v>231619</v>
      </c>
      <c r="N1006" s="1631">
        <v>239556</v>
      </c>
    </row>
    <row r="1007" spans="1:26" s="3" customFormat="1" ht="15.75" x14ac:dyDescent="0.25">
      <c r="A1007" s="1"/>
      <c r="B1007" s="1629" t="s">
        <v>1094</v>
      </c>
      <c r="C1007" s="1631">
        <v>16598</v>
      </c>
      <c r="D1007" s="1631">
        <v>24158</v>
      </c>
      <c r="E1007" s="1631">
        <v>19298</v>
      </c>
      <c r="F1007" s="1631">
        <v>20093</v>
      </c>
      <c r="G1007" s="1631">
        <v>21248</v>
      </c>
      <c r="H1007" s="1631">
        <v>21118</v>
      </c>
      <c r="I1007" s="1631">
        <v>20335</v>
      </c>
      <c r="J1007" s="1631">
        <v>18934</v>
      </c>
      <c r="K1007" s="1631">
        <v>22383</v>
      </c>
      <c r="L1007" s="1631">
        <v>19692</v>
      </c>
      <c r="M1007" s="1631">
        <v>17875</v>
      </c>
      <c r="N1007" s="1631">
        <v>17429</v>
      </c>
    </row>
    <row r="1008" spans="1:26" s="3" customFormat="1" ht="15.75" x14ac:dyDescent="0.25">
      <c r="A1008" s="1"/>
      <c r="B1008" s="1629" t="s">
        <v>1095</v>
      </c>
      <c r="C1008" s="1631">
        <v>47147</v>
      </c>
      <c r="D1008" s="1631">
        <v>63550</v>
      </c>
      <c r="E1008" s="1631">
        <v>45874</v>
      </c>
      <c r="F1008" s="1631">
        <v>47257</v>
      </c>
      <c r="G1008" s="1631">
        <v>52908</v>
      </c>
      <c r="H1008" s="1631">
        <v>50303</v>
      </c>
      <c r="I1008" s="1631">
        <v>37400</v>
      </c>
      <c r="J1008" s="1631">
        <v>30787</v>
      </c>
      <c r="K1008" s="1631">
        <v>40207</v>
      </c>
      <c r="L1008" s="1631">
        <v>33343</v>
      </c>
      <c r="M1008" s="1631">
        <v>33981</v>
      </c>
      <c r="N1008" s="1631">
        <v>45124</v>
      </c>
    </row>
    <row r="1009" spans="1:20" s="3" customFormat="1" ht="15.75" x14ac:dyDescent="0.25">
      <c r="A1009" s="1"/>
      <c r="B1009" s="1629" t="s">
        <v>323</v>
      </c>
      <c r="C1009" s="1631">
        <v>344459.46979166631</v>
      </c>
      <c r="D1009" s="1631">
        <v>354704.81354166614</v>
      </c>
      <c r="E1009" s="1631">
        <v>276951.17708333459</v>
      </c>
      <c r="F1009" s="1631">
        <v>186594.84270833095</v>
      </c>
      <c r="G1009" s="1631">
        <v>155201.2427083345</v>
      </c>
      <c r="H1009" s="1631">
        <v>103429.10000000052</v>
      </c>
      <c r="I1009" s="1631">
        <v>119861.71250000071</v>
      </c>
      <c r="J1009" s="1631">
        <v>134074.78125000047</v>
      </c>
      <c r="K1009" s="1631">
        <v>157555.99166666684</v>
      </c>
      <c r="L1009" s="1631">
        <v>191209.33854166584</v>
      </c>
      <c r="M1009" s="1631">
        <v>182287.68645833302</v>
      </c>
      <c r="N1009" s="1631">
        <v>216474.71770833503</v>
      </c>
    </row>
    <row r="1010" spans="1:20" s="3" customFormat="1" ht="15.75" x14ac:dyDescent="0.25">
      <c r="A1010" s="1"/>
      <c r="B1010" s="1629" t="s">
        <v>320</v>
      </c>
      <c r="C1010" s="1631">
        <v>1026165</v>
      </c>
      <c r="D1010" s="1631">
        <v>1005300.5</v>
      </c>
      <c r="E1010" s="1631">
        <v>1136883.25</v>
      </c>
      <c r="F1010" s="1631">
        <v>1189969.25</v>
      </c>
      <c r="G1010" s="1631">
        <v>1473502</v>
      </c>
      <c r="H1010" s="1631">
        <v>1629467.5</v>
      </c>
      <c r="I1010" s="1631">
        <v>1795423</v>
      </c>
      <c r="J1010" s="1631">
        <v>1486412.5</v>
      </c>
      <c r="K1010" s="1631">
        <v>1819200.75</v>
      </c>
      <c r="L1010" s="1631">
        <v>1267029.75</v>
      </c>
      <c r="M1010" s="1631">
        <v>853718</v>
      </c>
      <c r="N1010" s="1631">
        <v>821074.5</v>
      </c>
    </row>
    <row r="1011" spans="1:20" s="3" customFormat="1" ht="15.75" x14ac:dyDescent="0.25">
      <c r="A1011" s="1"/>
      <c r="B1011" s="2146"/>
      <c r="C1011" s="1631"/>
      <c r="D1011" s="1631"/>
      <c r="E1011" s="1631"/>
      <c r="F1011" s="1631"/>
      <c r="G1011" s="1631"/>
      <c r="H1011" s="1631"/>
      <c r="I1011" s="1631"/>
      <c r="J1011" s="1631"/>
      <c r="K1011" s="1631"/>
      <c r="L1011" s="1631"/>
      <c r="M1011" s="1631"/>
      <c r="N1011" s="1631"/>
    </row>
    <row r="1012" spans="1:20" s="3" customFormat="1" ht="15.75" x14ac:dyDescent="0.25">
      <c r="A1012" s="1"/>
      <c r="B1012" s="1629" t="s">
        <v>322</v>
      </c>
      <c r="C1012" s="1631">
        <v>280238.19999999902</v>
      </c>
      <c r="D1012" s="1631">
        <v>425357.67999999848</v>
      </c>
      <c r="E1012" s="1631">
        <v>514339.75999999815</v>
      </c>
      <c r="F1012" s="1631">
        <v>472870.63999999833</v>
      </c>
      <c r="G1012" s="1631">
        <v>504264.19999999821</v>
      </c>
      <c r="H1012" s="1631">
        <v>270439.39999999903</v>
      </c>
      <c r="I1012" s="1631">
        <v>382564.59999999864</v>
      </c>
      <c r="J1012" s="1631">
        <v>439988.55999999843</v>
      </c>
      <c r="K1012" s="1631">
        <v>467118.51999999833</v>
      </c>
      <c r="L1012" s="1631">
        <v>486080.31999999826</v>
      </c>
      <c r="M1012" s="1631">
        <v>247722.63999999911</v>
      </c>
      <c r="N1012" s="1631">
        <v>261014.59999999907</v>
      </c>
    </row>
    <row r="1013" spans="1:20" s="3" customFormat="1" ht="15.75" x14ac:dyDescent="0.25">
      <c r="A1013" s="1"/>
      <c r="B1013" s="1632" t="s">
        <v>641</v>
      </c>
      <c r="C1013" s="1631">
        <v>2029</v>
      </c>
      <c r="D1013" s="1631">
        <v>1603</v>
      </c>
      <c r="E1013" s="1631">
        <v>4667</v>
      </c>
      <c r="F1013" s="1631">
        <v>5030</v>
      </c>
      <c r="G1013" s="1631">
        <v>4692</v>
      </c>
      <c r="H1013" s="1631">
        <v>3907</v>
      </c>
      <c r="I1013" s="1631">
        <v>1124</v>
      </c>
      <c r="J1013" s="1631">
        <v>4649</v>
      </c>
      <c r="K1013" s="1631">
        <v>3727</v>
      </c>
      <c r="L1013" s="1631">
        <v>4693</v>
      </c>
      <c r="M1013" s="1631">
        <v>3835</v>
      </c>
      <c r="N1013" s="1631">
        <v>1088</v>
      </c>
    </row>
    <row r="1014" spans="1:20" s="3" customFormat="1" ht="14.25" x14ac:dyDescent="0.2">
      <c r="A1014" s="1"/>
      <c r="B1014" s="441"/>
      <c r="C1014" s="2143"/>
      <c r="D1014" s="2143"/>
      <c r="E1014" s="2143"/>
      <c r="F1014" s="2143"/>
      <c r="G1014" s="2143"/>
      <c r="H1014" s="2143"/>
      <c r="I1014" s="2143"/>
      <c r="J1014" s="2143"/>
      <c r="K1014" s="2143"/>
      <c r="L1014" s="2143"/>
      <c r="M1014" s="2143"/>
      <c r="N1014" s="2143"/>
    </row>
    <row r="1015" spans="1:20" s="3" customFormat="1" ht="15.75" x14ac:dyDescent="0.25">
      <c r="A1015" s="1"/>
      <c r="B1015" s="1629" t="s">
        <v>324</v>
      </c>
      <c r="C1015" s="1631">
        <v>15108.859513175335</v>
      </c>
      <c r="D1015" s="1631">
        <v>21905.732846597461</v>
      </c>
      <c r="E1015" s="1631">
        <v>17231.816240864056</v>
      </c>
      <c r="F1015" s="1631">
        <v>14020.380695351867</v>
      </c>
      <c r="G1015" s="1631">
        <v>15410.537779018387</v>
      </c>
      <c r="H1015" s="1631">
        <v>13868.145173896963</v>
      </c>
      <c r="I1015" s="1631">
        <v>13440.602064643799</v>
      </c>
      <c r="J1015" s="1631">
        <v>12233.247639207715</v>
      </c>
      <c r="K1015" s="1631">
        <v>15416.078901454001</v>
      </c>
      <c r="L1015" s="1631">
        <v>13543.720171098195</v>
      </c>
      <c r="M1015" s="1631">
        <v>12835.339504912079</v>
      </c>
      <c r="N1015" s="1631">
        <v>14844.146623318386</v>
      </c>
    </row>
    <row r="1016" spans="1:20" s="3" customFormat="1" ht="15.75" x14ac:dyDescent="0.25">
      <c r="A1016" s="1"/>
      <c r="B1016" s="1634" t="s">
        <v>328</v>
      </c>
      <c r="C1016" s="1631">
        <v>2297.7284500000001</v>
      </c>
      <c r="D1016" s="1631">
        <v>3576.8714</v>
      </c>
      <c r="E1016" s="1631">
        <v>4325.1297999999997</v>
      </c>
      <c r="F1016" s="1631">
        <v>3976.4121999999998</v>
      </c>
      <c r="G1016" s="1631">
        <v>4240.4034999999994</v>
      </c>
      <c r="H1016" s="1631">
        <v>2274.1495</v>
      </c>
      <c r="I1016" s="1631">
        <v>3217.0205000000001</v>
      </c>
      <c r="J1016" s="1631">
        <v>3699.9038</v>
      </c>
      <c r="K1016" s="1631">
        <v>3928.0420999999997</v>
      </c>
      <c r="L1016" s="1631">
        <v>4087.4935999999998</v>
      </c>
      <c r="M1016" s="1631">
        <v>2083.1221999999998</v>
      </c>
      <c r="N1016" s="1631">
        <v>2194.8955000000001</v>
      </c>
    </row>
    <row r="1017" spans="1:20" s="3" customFormat="1" ht="15.75" x14ac:dyDescent="0.25">
      <c r="A1017" s="1"/>
      <c r="B1017" s="1633" t="s">
        <v>733</v>
      </c>
      <c r="C1017" s="1631">
        <v>1513.72</v>
      </c>
      <c r="D1017" s="1631">
        <v>1200.8399999999999</v>
      </c>
      <c r="E1017" s="1631">
        <v>3451.16</v>
      </c>
      <c r="F1017" s="1631">
        <v>3752.27</v>
      </c>
      <c r="G1017" s="1631">
        <f>3813.84-523.38</f>
        <v>3290.46</v>
      </c>
      <c r="H1017" s="1631">
        <v>3464.04</v>
      </c>
      <c r="I1017" s="1631">
        <v>1065.24</v>
      </c>
      <c r="J1017" s="1631">
        <v>4184.75</v>
      </c>
      <c r="K1017" s="1631">
        <v>3359.49</v>
      </c>
      <c r="L1017" s="1631">
        <v>4053.19</v>
      </c>
      <c r="M1017" s="1631">
        <v>3345.24</v>
      </c>
      <c r="N1017" s="1631">
        <v>971.5</v>
      </c>
    </row>
    <row r="1018" spans="1:20" s="3" customFormat="1" ht="15.75" x14ac:dyDescent="0.25">
      <c r="A1018" s="1"/>
      <c r="B1018" s="1109"/>
      <c r="C1018" s="1859"/>
      <c r="D1018" s="1859"/>
      <c r="E1018" s="1859"/>
      <c r="F1018" s="1859"/>
      <c r="G1018" s="1859"/>
      <c r="H1018" s="1859"/>
      <c r="I1018" s="1859"/>
      <c r="J1018" s="1859"/>
      <c r="K1018" s="1859"/>
      <c r="L1018" s="1859"/>
      <c r="M1018" s="1859"/>
      <c r="N1018" s="1859"/>
    </row>
    <row r="1019" spans="1:20" s="1468" customFormat="1" x14ac:dyDescent="0.25">
      <c r="A1019" s="462">
        <v>67</v>
      </c>
      <c r="B1019" s="460" t="s">
        <v>1281</v>
      </c>
      <c r="C1019" s="1467"/>
      <c r="T1019" s="460" t="s">
        <v>1281</v>
      </c>
    </row>
    <row r="1020" spans="1:20" s="3" customFormat="1" ht="14.25" x14ac:dyDescent="0.2">
      <c r="A1020" s="1"/>
      <c r="B1020" s="666" t="s">
        <v>1536</v>
      </c>
      <c r="C1020"/>
      <c r="D1020"/>
      <c r="E1020"/>
      <c r="F1020"/>
      <c r="G1020"/>
      <c r="H1020"/>
      <c r="I1020"/>
      <c r="J1020"/>
      <c r="K1020"/>
      <c r="L1020"/>
      <c r="M1020"/>
      <c r="N1020"/>
      <c r="O1020" s="41"/>
      <c r="P1020" s="41"/>
      <c r="Q1020" s="41"/>
      <c r="R1020" s="41"/>
    </row>
    <row r="1021" spans="1:20" s="3" customFormat="1" ht="14.25" x14ac:dyDescent="0.2">
      <c r="A1021" s="1840"/>
      <c r="B1021" s="666" t="s">
        <v>124</v>
      </c>
      <c r="C1021"/>
      <c r="D1021"/>
      <c r="E1021"/>
      <c r="F1021"/>
      <c r="G1021"/>
      <c r="H1021"/>
      <c r="I1021"/>
      <c r="J1021"/>
      <c r="K1021"/>
      <c r="L1021"/>
      <c r="M1021"/>
      <c r="N1021"/>
      <c r="O1021" s="1870"/>
      <c r="P1021" s="1870"/>
      <c r="Q1021" s="1870"/>
      <c r="R1021" s="1870"/>
    </row>
    <row r="1022" spans="1:20" s="3" customFormat="1" ht="14.25" x14ac:dyDescent="0.2">
      <c r="A1022" s="1840"/>
      <c r="B1022" s="130" t="s">
        <v>337</v>
      </c>
      <c r="C1022" s="131">
        <v>42552</v>
      </c>
      <c r="D1022" s="131">
        <v>42583</v>
      </c>
      <c r="E1022" s="131">
        <v>42614</v>
      </c>
      <c r="F1022" s="131">
        <v>42644</v>
      </c>
      <c r="G1022" s="131">
        <v>42675</v>
      </c>
      <c r="H1022" s="131">
        <v>42705</v>
      </c>
      <c r="I1022" s="131">
        <v>42736</v>
      </c>
      <c r="J1022" s="131">
        <v>42767</v>
      </c>
      <c r="K1022" s="131">
        <v>42795</v>
      </c>
      <c r="L1022" s="131">
        <v>42826</v>
      </c>
      <c r="M1022" s="131">
        <v>42856</v>
      </c>
      <c r="N1022" s="131">
        <v>42887</v>
      </c>
      <c r="O1022" s="41"/>
      <c r="P1022" s="174"/>
      <c r="Q1022" s="174"/>
      <c r="R1022" s="1835"/>
    </row>
    <row r="1023" spans="1:20" s="3" customFormat="1" ht="38.25" x14ac:dyDescent="0.2">
      <c r="A1023" s="1840"/>
      <c r="B1023" s="1271" t="s">
        <v>1366</v>
      </c>
      <c r="C1023" s="2117">
        <v>31878</v>
      </c>
      <c r="D1023" s="2117">
        <v>35999</v>
      </c>
      <c r="E1023" s="2117">
        <v>27423</v>
      </c>
      <c r="F1023" s="2117">
        <v>26620</v>
      </c>
      <c r="G1023" s="2117">
        <v>32395</v>
      </c>
      <c r="H1023" s="2117">
        <v>38651</v>
      </c>
      <c r="I1023" s="2117">
        <v>42743</v>
      </c>
      <c r="J1023" s="2117">
        <v>32682</v>
      </c>
      <c r="K1023" s="2117">
        <v>37539</v>
      </c>
      <c r="L1023" s="2117">
        <v>32116</v>
      </c>
      <c r="M1023" s="2117">
        <v>31687</v>
      </c>
      <c r="N1023" s="2117">
        <v>36849</v>
      </c>
      <c r="O1023" s="1161"/>
      <c r="P1023" s="1161"/>
      <c r="Q1023" s="174"/>
      <c r="R1023" s="1835"/>
    </row>
    <row r="1024" spans="1:20" s="3" customFormat="1" ht="38.25" x14ac:dyDescent="0.2">
      <c r="A1024" s="1840"/>
      <c r="B1024" s="2122" t="s">
        <v>1224</v>
      </c>
      <c r="C1024" s="2123"/>
      <c r="D1024" s="2124"/>
      <c r="E1024" s="2124"/>
      <c r="F1024" s="2124"/>
      <c r="G1024" s="2124"/>
      <c r="H1024" s="2124"/>
      <c r="I1024" s="2124"/>
      <c r="J1024" s="2124"/>
      <c r="K1024" s="2124"/>
      <c r="L1024" s="2124"/>
      <c r="M1024" s="2124"/>
      <c r="N1024" s="2124"/>
      <c r="O1024" s="1161"/>
      <c r="P1024" s="1161"/>
      <c r="Q1024" s="175"/>
      <c r="R1024" s="1835"/>
    </row>
    <row r="1025" spans="1:24" s="3" customFormat="1" ht="38.25" x14ac:dyDescent="0.2">
      <c r="A1025" s="1840"/>
      <c r="B1025" s="1280" t="s">
        <v>1225</v>
      </c>
      <c r="C1025" s="1514"/>
      <c r="D1025" s="2125"/>
      <c r="E1025" s="2125"/>
      <c r="F1025" s="2125"/>
      <c r="G1025" s="2125"/>
      <c r="H1025" s="2125"/>
      <c r="I1025" s="2125"/>
      <c r="J1025" s="2125"/>
      <c r="K1025" s="2125"/>
      <c r="L1025" s="2125"/>
      <c r="M1025" s="2125"/>
      <c r="N1025" s="2125"/>
      <c r="O1025" s="1892"/>
      <c r="P1025" s="1892"/>
      <c r="Q1025" s="175"/>
      <c r="R1025" s="1835"/>
    </row>
    <row r="1026" spans="1:24" s="3" customFormat="1" ht="51" x14ac:dyDescent="0.2">
      <c r="A1026" s="1840"/>
      <c r="B1026" s="1284" t="s">
        <v>1226</v>
      </c>
      <c r="C1026" s="1526"/>
      <c r="D1026" s="2126"/>
      <c r="E1026" s="2126"/>
      <c r="F1026" s="2126"/>
      <c r="G1026" s="2126"/>
      <c r="H1026" s="2126"/>
      <c r="I1026" s="2126"/>
      <c r="J1026" s="2126"/>
      <c r="K1026" s="2126"/>
      <c r="L1026" s="2126"/>
      <c r="M1026" s="2126"/>
      <c r="N1026" s="2126"/>
      <c r="O1026" s="1808"/>
      <c r="P1026" s="1897"/>
      <c r="Q1026" s="730"/>
      <c r="R1026" s="1835"/>
    </row>
    <row r="1027" spans="1:24" s="3" customFormat="1" ht="51" x14ac:dyDescent="0.2">
      <c r="A1027" s="1840"/>
      <c r="B1027" s="1540" t="s">
        <v>1367</v>
      </c>
      <c r="C1027" s="1541">
        <v>26.6</v>
      </c>
      <c r="D1027" s="1541">
        <v>26.6</v>
      </c>
      <c r="E1027" s="1541">
        <v>26.6</v>
      </c>
      <c r="F1027" s="1541">
        <v>26.6</v>
      </c>
      <c r="G1027" s="1541">
        <v>26.6</v>
      </c>
      <c r="H1027" s="1541">
        <v>26.6</v>
      </c>
      <c r="I1027" s="1541">
        <v>26.6</v>
      </c>
      <c r="J1027" s="1541">
        <v>26.6</v>
      </c>
      <c r="K1027" s="1541">
        <v>26.6</v>
      </c>
      <c r="L1027" s="1541">
        <v>26.6</v>
      </c>
      <c r="M1027" s="1541">
        <v>26.6</v>
      </c>
      <c r="N1027" s="1541">
        <v>26.6</v>
      </c>
      <c r="O1027" s="200"/>
      <c r="P1027" s="1897"/>
      <c r="Q1027" s="730"/>
      <c r="R1027" s="1835"/>
    </row>
    <row r="1028" spans="1:24" s="3" customFormat="1" ht="14.25" x14ac:dyDescent="0.2">
      <c r="A1028" s="1840"/>
      <c r="B1028" s="135" t="s">
        <v>864</v>
      </c>
      <c r="C1028" s="2189">
        <v>1.8</v>
      </c>
      <c r="D1028" s="2189">
        <v>0.4</v>
      </c>
      <c r="E1028" s="2189">
        <v>0.4</v>
      </c>
      <c r="F1028" s="2189">
        <v>0.85</v>
      </c>
      <c r="G1028" s="2189">
        <v>0.85</v>
      </c>
      <c r="H1028" s="2189">
        <v>0.6</v>
      </c>
      <c r="I1028" s="2189">
        <v>0.69</v>
      </c>
      <c r="J1028" s="2189">
        <v>0.8</v>
      </c>
      <c r="K1028" s="2189">
        <v>0.61</v>
      </c>
      <c r="L1028" s="2189">
        <v>0.66</v>
      </c>
      <c r="M1028" s="2189">
        <v>0.74</v>
      </c>
      <c r="N1028" s="2189">
        <v>0.63</v>
      </c>
      <c r="O1028" s="1902"/>
      <c r="P1028" s="1880"/>
      <c r="Q1028" s="746"/>
      <c r="R1028" s="1835"/>
    </row>
    <row r="1029" spans="1:24" s="3" customFormat="1" ht="38.25" x14ac:dyDescent="0.2">
      <c r="A1029" s="1840"/>
      <c r="B1029" s="1271" t="s">
        <v>1368</v>
      </c>
      <c r="C1029" s="2127">
        <v>3962.44</v>
      </c>
      <c r="D1029" s="2127">
        <v>3230.87</v>
      </c>
      <c r="E1029" s="2127">
        <v>2583.83</v>
      </c>
      <c r="F1029" s="2127">
        <v>2531.1999999999998</v>
      </c>
      <c r="G1029" s="2127">
        <v>2887.65</v>
      </c>
      <c r="H1029" s="2127">
        <v>3370.79</v>
      </c>
      <c r="I1029" s="2127">
        <v>3563.42</v>
      </c>
      <c r="J1029" s="2127">
        <v>2916.97</v>
      </c>
      <c r="K1029" s="2127">
        <v>3218.49</v>
      </c>
      <c r="L1029" s="2127">
        <v>2881.84</v>
      </c>
      <c r="M1029" s="2127">
        <v>2855.21</v>
      </c>
      <c r="N1029" s="2127">
        <v>3175.65</v>
      </c>
      <c r="O1029" s="1890"/>
      <c r="P1029" s="1880"/>
      <c r="Q1029" s="746"/>
      <c r="R1029" s="1835"/>
    </row>
    <row r="1030" spans="1:24" s="3" customFormat="1" ht="38.25" x14ac:dyDescent="0.2">
      <c r="A1030" s="1840"/>
      <c r="B1030" s="2128" t="s">
        <v>1228</v>
      </c>
      <c r="C1030" s="2129"/>
      <c r="D1030" s="2130"/>
      <c r="E1030" s="2130"/>
      <c r="F1030" s="2130"/>
      <c r="G1030" s="2130"/>
      <c r="H1030" s="2130"/>
      <c r="I1030" s="2130"/>
      <c r="J1030" s="2130"/>
      <c r="K1030" s="2130"/>
      <c r="L1030" s="2130"/>
      <c r="M1030" s="2130"/>
      <c r="N1030" s="2130"/>
      <c r="O1030" s="1890"/>
      <c r="P1030" s="1880"/>
      <c r="Q1030" s="746"/>
      <c r="R1030" s="1835"/>
    </row>
    <row r="1031" spans="1:24" s="3" customFormat="1" ht="38.25" x14ac:dyDescent="0.2">
      <c r="A1031" s="1840"/>
      <c r="B1031" s="1295" t="s">
        <v>1229</v>
      </c>
      <c r="C1031" s="2131"/>
      <c r="D1031" s="2132"/>
      <c r="E1031" s="2132"/>
      <c r="F1031" s="2132"/>
      <c r="G1031" s="2132"/>
      <c r="H1031" s="2132"/>
      <c r="I1031" s="2132"/>
      <c r="J1031" s="2132"/>
      <c r="K1031" s="2132"/>
      <c r="L1031" s="2132"/>
      <c r="M1031" s="2132"/>
      <c r="N1031" s="2132"/>
      <c r="O1031" s="1903"/>
      <c r="P1031" s="1871"/>
      <c r="Q1031" s="177"/>
      <c r="R1031" s="177"/>
    </row>
    <row r="1032" spans="1:24" s="3" customFormat="1" ht="38.25" x14ac:dyDescent="0.2">
      <c r="A1032" s="1840"/>
      <c r="B1032" s="1297" t="s">
        <v>1235</v>
      </c>
      <c r="C1032" s="2133"/>
      <c r="D1032" s="2133"/>
      <c r="E1032" s="2133"/>
      <c r="F1032" s="2133"/>
      <c r="G1032" s="2133"/>
      <c r="H1032" s="2133"/>
      <c r="I1032" s="2133"/>
      <c r="J1032" s="2133"/>
      <c r="K1032" s="2133"/>
      <c r="L1032" s="2133"/>
      <c r="M1032" s="2133"/>
      <c r="N1032" s="2133"/>
      <c r="O1032" s="1901"/>
      <c r="P1032" s="1871"/>
      <c r="Q1032" s="177"/>
      <c r="R1032" s="177"/>
    </row>
    <row r="1033" spans="1:24" s="3" customFormat="1" ht="51" x14ac:dyDescent="0.2">
      <c r="A1033" s="41"/>
      <c r="B1033" s="1540" t="s">
        <v>1369</v>
      </c>
      <c r="C1033" s="2134">
        <v>42.56</v>
      </c>
      <c r="D1033" s="2134">
        <v>39.290860000000002</v>
      </c>
      <c r="E1033" s="2134">
        <v>49.534520000000008</v>
      </c>
      <c r="F1033" s="2134">
        <v>42.58128</v>
      </c>
      <c r="G1033" s="2134">
        <v>45.044440000000002</v>
      </c>
      <c r="H1033" s="2134">
        <v>43.488340000000001</v>
      </c>
      <c r="I1033" s="2134">
        <v>46.406359999999999</v>
      </c>
      <c r="J1033" s="2134">
        <v>44.988580000000006</v>
      </c>
      <c r="K1033" s="2134">
        <v>46.419660000000007</v>
      </c>
      <c r="L1033" s="2134">
        <v>42.802060000000004</v>
      </c>
      <c r="M1033" s="2134">
        <v>45.350340000000003</v>
      </c>
      <c r="N1033" s="2134">
        <v>45.75732</v>
      </c>
      <c r="O1033" s="1845"/>
      <c r="P1033" s="1901"/>
      <c r="Q1033" s="41"/>
      <c r="R1033" s="41"/>
    </row>
    <row r="1034" spans="1:24" s="3" customFormat="1" ht="14.25" x14ac:dyDescent="0.2">
      <c r="A1034" s="41"/>
      <c r="B1034" s="153" t="s">
        <v>328</v>
      </c>
      <c r="C1034" s="2112">
        <v>42.04</v>
      </c>
      <c r="D1034" s="2112">
        <f>61.94/2</f>
        <v>30.97</v>
      </c>
      <c r="E1034" s="2112">
        <v>30.97</v>
      </c>
      <c r="F1034" s="2112">
        <v>33.619999999999997</v>
      </c>
      <c r="G1034" s="2112">
        <v>35.78</v>
      </c>
      <c r="H1034" s="2112">
        <v>35.049999999999997</v>
      </c>
      <c r="I1034" s="2112">
        <v>33.909999999999997</v>
      </c>
      <c r="J1034" s="2112">
        <v>39.9</v>
      </c>
      <c r="K1034" s="2112">
        <v>33.5</v>
      </c>
      <c r="L1034" s="2112">
        <v>33.75</v>
      </c>
      <c r="M1034" s="2112">
        <v>38.51</v>
      </c>
      <c r="N1034" s="2112">
        <v>33.6</v>
      </c>
      <c r="O1034" s="41"/>
      <c r="P1034" s="41"/>
      <c r="Q1034" s="41"/>
      <c r="R1034" s="41"/>
    </row>
    <row r="1035" spans="1:24" s="3" customFormat="1" ht="14.25" x14ac:dyDescent="0.2">
      <c r="A1035" s="41"/>
      <c r="B1035"/>
      <c r="C1035"/>
      <c r="D1035"/>
      <c r="E1035"/>
      <c r="F1035"/>
      <c r="G1035"/>
      <c r="H1035"/>
      <c r="I1035"/>
      <c r="J1035"/>
      <c r="K1035"/>
      <c r="L1035"/>
      <c r="M1035"/>
      <c r="N1035"/>
      <c r="O1035" s="41"/>
      <c r="P1035" s="41"/>
      <c r="Q1035" s="41"/>
      <c r="R1035" s="41"/>
    </row>
    <row r="1036" spans="1:24" s="3" customFormat="1" ht="14.25" x14ac:dyDescent="0.2">
      <c r="A1036" s="41"/>
      <c r="B1036" s="125" t="s">
        <v>1370</v>
      </c>
      <c r="C1036"/>
      <c r="D1036"/>
      <c r="E1036"/>
      <c r="F1036"/>
      <c r="G1036"/>
      <c r="H1036"/>
      <c r="I1036"/>
      <c r="J1036"/>
      <c r="K1036"/>
      <c r="L1036"/>
      <c r="M1036"/>
      <c r="N1036"/>
      <c r="O1036" s="41"/>
      <c r="P1036" s="41"/>
      <c r="Q1036" s="41"/>
      <c r="R1036" s="41"/>
    </row>
    <row r="1037" spans="1:24" s="125" customFormat="1" x14ac:dyDescent="0.25">
      <c r="A1037" s="461"/>
      <c r="B1037" s="1469"/>
      <c r="C1037" s="152"/>
      <c r="E1037" s="1470"/>
      <c r="F1037" s="1471"/>
      <c r="G1037" s="1472"/>
      <c r="H1037" s="1473"/>
      <c r="I1037" s="1473"/>
      <c r="J1037" s="1473"/>
      <c r="K1037" s="1473"/>
      <c r="L1037" s="1473"/>
      <c r="M1037" s="1473"/>
      <c r="N1037" s="1473"/>
      <c r="O1037" s="1473"/>
      <c r="P1037" s="1473"/>
      <c r="U1037" s="126"/>
      <c r="W1037" s="443"/>
      <c r="X1037" s="458"/>
    </row>
    <row r="1038" spans="1:24" s="1468" customFormat="1" x14ac:dyDescent="0.25">
      <c r="A1038" s="462">
        <v>68</v>
      </c>
      <c r="B1038" s="460" t="s">
        <v>1282</v>
      </c>
      <c r="C1038" s="1467"/>
      <c r="T1038" s="460" t="s">
        <v>1282</v>
      </c>
    </row>
    <row r="1039" spans="1:24" s="3" customFormat="1" ht="14.25" x14ac:dyDescent="0.2">
      <c r="A1039" s="1840"/>
      <c r="B1039" s="2248" t="s">
        <v>321</v>
      </c>
      <c r="C1039" s="1808"/>
      <c r="D1039" s="1903"/>
      <c r="E1039" s="1903"/>
      <c r="F1039" s="1903"/>
      <c r="G1039" s="1903"/>
      <c r="H1039" s="1903"/>
      <c r="I1039" s="1903"/>
      <c r="J1039" s="1903"/>
      <c r="K1039" s="1903"/>
      <c r="L1039" s="1903"/>
      <c r="M1039" s="1903"/>
      <c r="N1039" s="1903"/>
      <c r="O1039" s="1903"/>
      <c r="P1039" s="1871"/>
      <c r="Q1039" s="177"/>
      <c r="R1039" s="177"/>
    </row>
    <row r="1040" spans="1:24" s="1468" customFormat="1" x14ac:dyDescent="0.25">
      <c r="A1040" s="462"/>
      <c r="B1040" s="460"/>
      <c r="C1040" s="1467"/>
    </row>
    <row r="1041" spans="1:21" s="1468" customFormat="1" x14ac:dyDescent="0.25">
      <c r="A1041" s="462">
        <v>69</v>
      </c>
      <c r="B1041" s="460" t="s">
        <v>1283</v>
      </c>
      <c r="C1041" s="1467"/>
      <c r="T1041" s="460" t="s">
        <v>1283</v>
      </c>
    </row>
    <row r="1042" spans="1:21" s="3" customFormat="1" ht="14.25" x14ac:dyDescent="0.2">
      <c r="A1042" s="1840"/>
      <c r="B1042" s="2248" t="s">
        <v>321</v>
      </c>
      <c r="C1042" s="1808"/>
      <c r="D1042" s="1903"/>
      <c r="E1042" s="1903"/>
      <c r="F1042" s="1903"/>
      <c r="G1042" s="1903"/>
      <c r="H1042" s="1903"/>
      <c r="I1042" s="1903"/>
      <c r="J1042" s="1903"/>
      <c r="K1042" s="1903"/>
      <c r="L1042" s="1903"/>
      <c r="M1042" s="1903"/>
      <c r="N1042" s="1903"/>
      <c r="O1042" s="1903"/>
      <c r="P1042" s="1871"/>
      <c r="Q1042" s="177"/>
      <c r="R1042" s="177"/>
    </row>
    <row r="1043" spans="1:21" s="1468" customFormat="1" x14ac:dyDescent="0.25">
      <c r="A1043" s="462"/>
      <c r="B1043" s="460"/>
      <c r="C1043" s="1467"/>
    </row>
    <row r="1044" spans="1:21" s="1468" customFormat="1" x14ac:dyDescent="0.25">
      <c r="A1044" s="462">
        <v>70</v>
      </c>
      <c r="B1044" s="460" t="s">
        <v>1284</v>
      </c>
      <c r="C1044" s="1467"/>
      <c r="T1044" s="460" t="s">
        <v>1284</v>
      </c>
    </row>
    <row r="1045" spans="1:21" s="1468" customFormat="1" x14ac:dyDescent="0.25">
      <c r="A1045" s="462"/>
      <c r="B1045" s="2248" t="s">
        <v>321</v>
      </c>
      <c r="C1045" s="1467"/>
      <c r="T1045" s="460"/>
    </row>
    <row r="1046" spans="1:21" s="1468" customFormat="1" x14ac:dyDescent="0.25">
      <c r="A1046" s="462"/>
      <c r="B1046" s="460"/>
      <c r="C1046" s="1467"/>
    </row>
    <row r="1047" spans="1:21" s="347" customFormat="1" x14ac:dyDescent="0.25">
      <c r="A1047" s="1699">
        <v>71</v>
      </c>
      <c r="B1047" s="1700" t="s">
        <v>1285</v>
      </c>
      <c r="C1047" s="348"/>
      <c r="T1047" s="1700" t="s">
        <v>1285</v>
      </c>
    </row>
    <row r="1048" spans="1:21" s="3" customFormat="1" x14ac:dyDescent="0.25">
      <c r="A1048" s="1"/>
      <c r="B1048" s="712" t="s">
        <v>1427</v>
      </c>
      <c r="C1048" s="1646"/>
      <c r="D1048" s="1183"/>
      <c r="E1048" s="1183"/>
      <c r="F1048" s="1183"/>
      <c r="G1048" s="1183"/>
      <c r="H1048" s="1183"/>
      <c r="I1048" s="1183"/>
      <c r="J1048" s="1183"/>
      <c r="K1048" s="713"/>
      <c r="L1048" s="713"/>
      <c r="M1048" s="713"/>
      <c r="N1048" s="713"/>
      <c r="O1048" s="713"/>
      <c r="P1048" s="714"/>
      <c r="Q1048" s="715"/>
      <c r="R1048" s="716"/>
      <c r="S1048" s="1647"/>
      <c r="T1048" s="1150"/>
      <c r="U1048" s="1847"/>
    </row>
    <row r="1049" spans="1:21" s="3" customFormat="1" x14ac:dyDescent="0.25">
      <c r="A1049" s="1"/>
      <c r="B1049" s="717" t="s">
        <v>337</v>
      </c>
      <c r="C1049" s="1648"/>
      <c r="D1049" s="719">
        <v>42583</v>
      </c>
      <c r="E1049" s="719">
        <v>42614</v>
      </c>
      <c r="F1049" s="719">
        <v>42644</v>
      </c>
      <c r="G1049" s="719">
        <v>42675</v>
      </c>
      <c r="H1049" s="719">
        <v>42705</v>
      </c>
      <c r="I1049" s="719">
        <v>42736</v>
      </c>
      <c r="J1049" s="719">
        <v>42767</v>
      </c>
      <c r="K1049" s="719">
        <v>42795</v>
      </c>
      <c r="L1049" s="719">
        <v>42826</v>
      </c>
      <c r="M1049" s="719">
        <v>42856</v>
      </c>
      <c r="N1049" s="719">
        <v>42887</v>
      </c>
      <c r="O1049" s="719">
        <v>42917</v>
      </c>
      <c r="P1049" s="720" t="s">
        <v>338</v>
      </c>
      <c r="Q1049" s="721" t="s">
        <v>339</v>
      </c>
      <c r="R1049"/>
      <c r="S1049" s="720" t="s">
        <v>338</v>
      </c>
      <c r="T1049" s="721" t="s">
        <v>339</v>
      </c>
      <c r="U1049" s="1882"/>
    </row>
    <row r="1050" spans="1:21" s="3" customFormat="1" ht="14.25" x14ac:dyDescent="0.2">
      <c r="A1050" s="1"/>
      <c r="B1050" s="722" t="s">
        <v>360</v>
      </c>
      <c r="C1050" s="730"/>
      <c r="D1050" s="160">
        <v>404388.9765625</v>
      </c>
      <c r="E1050" s="160">
        <v>387783.45703125</v>
      </c>
      <c r="F1050" s="160">
        <v>399113.55859375</v>
      </c>
      <c r="G1050" s="160">
        <v>365638.140625</v>
      </c>
      <c r="H1050" s="160">
        <v>330221.2890625</v>
      </c>
      <c r="I1050" s="160">
        <v>364260.6328125</v>
      </c>
      <c r="J1050" s="160">
        <v>371929.078125</v>
      </c>
      <c r="K1050" s="160">
        <v>383835.0390625</v>
      </c>
      <c r="L1050" s="160">
        <v>391473.2578125</v>
      </c>
      <c r="M1050" s="160">
        <v>364464.1953125</v>
      </c>
      <c r="N1050" s="160">
        <v>339343.453125</v>
      </c>
      <c r="O1050" s="160">
        <v>347896.3515625</v>
      </c>
      <c r="P1050" s="724">
        <f t="shared" ref="P1050:P1059" si="65">SUM(D1050:O1050)</f>
        <v>4450347.4296875</v>
      </c>
      <c r="Q1050" s="1145" t="s">
        <v>361</v>
      </c>
      <c r="R1050"/>
      <c r="S1050" s="734">
        <f>P1050*0.003409512</f>
        <v>15173.512965688687</v>
      </c>
      <c r="T1050" s="1145" t="s">
        <v>342</v>
      </c>
      <c r="U1050" s="1847"/>
    </row>
    <row r="1051" spans="1:21" s="3" customFormat="1" ht="14.25" x14ac:dyDescent="0.2">
      <c r="A1051" s="1"/>
      <c r="B1051" s="722" t="s">
        <v>362</v>
      </c>
      <c r="C1051" s="730"/>
      <c r="D1051" s="160">
        <v>3131.65625</v>
      </c>
      <c r="E1051" s="160">
        <v>2789.4726249999999</v>
      </c>
      <c r="F1051" s="160">
        <v>1999.893</v>
      </c>
      <c r="G1051" s="160">
        <v>1008.9027500000001</v>
      </c>
      <c r="H1051" s="160">
        <v>107.69550000000001</v>
      </c>
      <c r="I1051" s="160">
        <v>260.26050000000004</v>
      </c>
      <c r="J1051" s="160">
        <v>464.77350000000001</v>
      </c>
      <c r="K1051" s="160">
        <v>463.48699999999997</v>
      </c>
      <c r="L1051" s="160">
        <v>1392.5474999999999</v>
      </c>
      <c r="M1051" s="160">
        <v>1310.4055000000001</v>
      </c>
      <c r="N1051" s="160">
        <v>2031.0382500000001</v>
      </c>
      <c r="O1051" s="160">
        <v>2805.0372500000003</v>
      </c>
      <c r="P1051" s="724">
        <f t="shared" si="65"/>
        <v>17765.169624999999</v>
      </c>
      <c r="Q1051" s="1145" t="s">
        <v>363</v>
      </c>
      <c r="R1051"/>
      <c r="S1051" s="1649">
        <f>P1051</f>
        <v>17765.169624999999</v>
      </c>
      <c r="T1051" s="1145" t="s">
        <v>342</v>
      </c>
      <c r="U1051" s="1847"/>
    </row>
    <row r="1052" spans="1:21" s="3" customFormat="1" ht="14.25" x14ac:dyDescent="0.2">
      <c r="A1052" s="1"/>
      <c r="B1052" s="722" t="s">
        <v>364</v>
      </c>
      <c r="C1052" s="730"/>
      <c r="D1052" s="160">
        <v>437.11500000000001</v>
      </c>
      <c r="E1052" s="160">
        <v>545.12453125000002</v>
      </c>
      <c r="F1052" s="160">
        <v>805.205078125</v>
      </c>
      <c r="G1052" s="160">
        <v>1150.8103125</v>
      </c>
      <c r="H1052" s="160">
        <v>1472.503671875</v>
      </c>
      <c r="I1052" s="160">
        <v>1587.8059375</v>
      </c>
      <c r="J1052" s="160">
        <v>1080.02859375</v>
      </c>
      <c r="K1052" s="160">
        <v>1222.56640625</v>
      </c>
      <c r="L1052" s="160">
        <v>743.5703125</v>
      </c>
      <c r="M1052" s="160">
        <v>526.125</v>
      </c>
      <c r="N1052" s="160">
        <v>423.4609375</v>
      </c>
      <c r="O1052" s="160">
        <v>383.22265625</v>
      </c>
      <c r="P1052" s="724">
        <f t="shared" si="65"/>
        <v>10377.538437499999</v>
      </c>
      <c r="Q1052" s="1146" t="s">
        <v>365</v>
      </c>
      <c r="R1052"/>
      <c r="S1052" s="756">
        <f>P1052</f>
        <v>10377.538437499999</v>
      </c>
      <c r="T1052" s="1145" t="s">
        <v>342</v>
      </c>
      <c r="U1052" s="1847"/>
    </row>
    <row r="1053" spans="1:21" s="3" customFormat="1" ht="14.25" x14ac:dyDescent="0.2">
      <c r="A1053" s="1"/>
      <c r="B1053" s="728" t="s">
        <v>864</v>
      </c>
      <c r="C1053" s="730"/>
      <c r="D1053" s="160">
        <v>564.17125067999996</v>
      </c>
      <c r="E1053" s="160">
        <v>698.67835748468747</v>
      </c>
      <c r="F1053" s="160">
        <v>707.23799368999994</v>
      </c>
      <c r="G1053" s="160">
        <v>673.20147427999996</v>
      </c>
      <c r="H1053" s="160">
        <v>412.78950769468747</v>
      </c>
      <c r="I1053" s="160">
        <v>598.35749280999994</v>
      </c>
      <c r="J1053" s="160">
        <v>687.27006271999994</v>
      </c>
      <c r="K1053" s="160">
        <v>634.17731675999994</v>
      </c>
      <c r="L1053" s="160">
        <v>798.98460079999995</v>
      </c>
      <c r="M1053" s="160">
        <v>383.48801107999998</v>
      </c>
      <c r="N1053" s="160">
        <v>347.30440770874998</v>
      </c>
      <c r="O1053" s="160">
        <v>414.10898093999998</v>
      </c>
      <c r="P1053" s="724">
        <f t="shared" si="65"/>
        <v>6919.769456648125</v>
      </c>
      <c r="Q1053" s="1146" t="s">
        <v>379</v>
      </c>
      <c r="R1053"/>
      <c r="S1053" s="2198">
        <f>P1053*748</f>
        <v>5175987.5535727972</v>
      </c>
      <c r="T1053" s="1146" t="s">
        <v>346</v>
      </c>
      <c r="U1053" s="1847"/>
    </row>
    <row r="1054" spans="1:21" s="3" customFormat="1" ht="14.25" x14ac:dyDescent="0.2">
      <c r="A1054" s="1"/>
      <c r="B1054" s="728" t="s">
        <v>1130</v>
      </c>
      <c r="C1054" s="730"/>
      <c r="D1054" s="759">
        <v>2029</v>
      </c>
      <c r="E1054" s="760">
        <v>3265</v>
      </c>
      <c r="F1054" s="760">
        <v>4100</v>
      </c>
      <c r="G1054" s="760">
        <v>3589</v>
      </c>
      <c r="H1054" s="760">
        <v>3582</v>
      </c>
      <c r="I1054" s="760">
        <v>2383</v>
      </c>
      <c r="J1054" s="750">
        <v>3400</v>
      </c>
      <c r="K1054" s="750">
        <v>4070</v>
      </c>
      <c r="L1054" s="750">
        <v>3136</v>
      </c>
      <c r="M1054" s="750">
        <v>4310</v>
      </c>
      <c r="N1054" s="750">
        <v>2363</v>
      </c>
      <c r="O1054" s="750">
        <v>1658</v>
      </c>
      <c r="P1054" s="724">
        <f t="shared" si="65"/>
        <v>37885</v>
      </c>
      <c r="Q1054" s="1146" t="s">
        <v>1131</v>
      </c>
      <c r="R1054"/>
      <c r="S1054" s="756">
        <f>P1054</f>
        <v>37885</v>
      </c>
      <c r="T1054" s="1146" t="s">
        <v>1131</v>
      </c>
      <c r="U1054" s="1847"/>
    </row>
    <row r="1055" spans="1:21" s="3" customFormat="1" ht="14.25" x14ac:dyDescent="0.2">
      <c r="A1055" s="1"/>
      <c r="B1055" s="722" t="s">
        <v>368</v>
      </c>
      <c r="C1055" s="730"/>
      <c r="D1055" s="731">
        <f>D1050*0.087</f>
        <v>35181.840960937494</v>
      </c>
      <c r="E1055" s="731">
        <f t="shared" ref="E1055:N1055" si="66">E1050*0.087</f>
        <v>33737.160761718747</v>
      </c>
      <c r="F1055" s="731">
        <f t="shared" si="66"/>
        <v>34722.879597656247</v>
      </c>
      <c r="G1055" s="731">
        <f t="shared" si="66"/>
        <v>31810.518234374998</v>
      </c>
      <c r="H1055" s="731">
        <f t="shared" si="66"/>
        <v>28729.252148437499</v>
      </c>
      <c r="I1055" s="731">
        <f t="shared" si="66"/>
        <v>31690.675054687497</v>
      </c>
      <c r="J1055" s="731">
        <f t="shared" si="66"/>
        <v>32357.829796874998</v>
      </c>
      <c r="K1055" s="731">
        <f t="shared" si="66"/>
        <v>33393.648398437501</v>
      </c>
      <c r="L1055" s="731">
        <f t="shared" si="66"/>
        <v>34058.1734296875</v>
      </c>
      <c r="M1055" s="731">
        <f t="shared" si="66"/>
        <v>31708.384992187497</v>
      </c>
      <c r="N1055" s="731">
        <f t="shared" si="66"/>
        <v>29522.880421874997</v>
      </c>
      <c r="O1055" s="1208">
        <f>O1050*0.083</f>
        <v>28875.397179687501</v>
      </c>
      <c r="P1055" s="724">
        <f t="shared" si="65"/>
        <v>385788.64097656246</v>
      </c>
      <c r="Q1055" s="1145" t="s">
        <v>865</v>
      </c>
      <c r="R1055"/>
      <c r="S1055" s="1651"/>
      <c r="T1055" s="1652"/>
      <c r="U1055" s="1847"/>
    </row>
    <row r="1056" spans="1:21" s="3" customFormat="1" ht="14.25" x14ac:dyDescent="0.2">
      <c r="A1056" s="1"/>
      <c r="B1056" s="722" t="s">
        <v>369</v>
      </c>
      <c r="C1056" s="730"/>
      <c r="D1056" s="731">
        <f>D1051*12.95</f>
        <v>40554.948437499996</v>
      </c>
      <c r="E1056" s="731">
        <f t="shared" ref="E1056:N1056" si="67">E1051*12.95</f>
        <v>36123.670493749996</v>
      </c>
      <c r="F1056" s="731">
        <f t="shared" si="67"/>
        <v>25898.61435</v>
      </c>
      <c r="G1056" s="731">
        <f t="shared" si="67"/>
        <v>13065.290612500001</v>
      </c>
      <c r="H1056" s="731">
        <f t="shared" si="67"/>
        <v>1394.6567250000001</v>
      </c>
      <c r="I1056" s="731">
        <f t="shared" si="67"/>
        <v>3370.3734750000003</v>
      </c>
      <c r="J1056" s="731">
        <f t="shared" si="67"/>
        <v>6018.8168249999999</v>
      </c>
      <c r="K1056" s="731">
        <f t="shared" si="67"/>
        <v>6002.156649999999</v>
      </c>
      <c r="L1056" s="731">
        <f t="shared" si="67"/>
        <v>18033.490124999997</v>
      </c>
      <c r="M1056" s="731">
        <f t="shared" si="67"/>
        <v>16969.751225</v>
      </c>
      <c r="N1056" s="731">
        <f t="shared" si="67"/>
        <v>26301.945337499998</v>
      </c>
      <c r="O1056" s="1208">
        <f>O1051*12.76</f>
        <v>35792.275310000005</v>
      </c>
      <c r="P1056" s="724">
        <f t="shared" si="65"/>
        <v>229525.98956624998</v>
      </c>
      <c r="Q1056" s="1145" t="s">
        <v>865</v>
      </c>
      <c r="R1056"/>
      <c r="S1056" s="1647"/>
      <c r="T1056" s="1150"/>
      <c r="U1056" s="1847"/>
    </row>
    <row r="1057" spans="1:21" s="3" customFormat="1" ht="16.5" x14ac:dyDescent="0.35">
      <c r="A1057" s="1"/>
      <c r="B1057" s="722" t="s">
        <v>326</v>
      </c>
      <c r="C1057" s="730"/>
      <c r="D1057" s="775">
        <f>D1052*12.02</f>
        <v>5254.1223</v>
      </c>
      <c r="E1057" s="775">
        <f t="shared" ref="E1057:N1057" si="68">E1052*12.02</f>
        <v>6552.3968656249999</v>
      </c>
      <c r="F1057" s="775">
        <f t="shared" si="68"/>
        <v>9678.5650390624996</v>
      </c>
      <c r="G1057" s="775">
        <f t="shared" si="68"/>
        <v>13832.73995625</v>
      </c>
      <c r="H1057" s="775">
        <f t="shared" si="68"/>
        <v>17699.494135937501</v>
      </c>
      <c r="I1057" s="775">
        <f t="shared" si="68"/>
        <v>19085.427368749999</v>
      </c>
      <c r="J1057" s="775">
        <f t="shared" si="68"/>
        <v>12981.943696875</v>
      </c>
      <c r="K1057" s="775">
        <f t="shared" si="68"/>
        <v>14695.248203125</v>
      </c>
      <c r="L1057" s="775">
        <f t="shared" si="68"/>
        <v>8937.7151562500003</v>
      </c>
      <c r="M1057" s="775">
        <f t="shared" si="68"/>
        <v>6324.0225</v>
      </c>
      <c r="N1057" s="775">
        <f t="shared" si="68"/>
        <v>5090.0004687499995</v>
      </c>
      <c r="O1057" s="775">
        <f>O1052*13.81</f>
        <v>5292.3048828125002</v>
      </c>
      <c r="P1057" s="724">
        <f t="shared" si="65"/>
        <v>125423.98057343751</v>
      </c>
      <c r="Q1057" s="1145" t="s">
        <v>865</v>
      </c>
      <c r="R1057"/>
      <c r="S1057" s="1653"/>
      <c r="T1057" s="1150"/>
      <c r="U1057" s="1847"/>
    </row>
    <row r="1058" spans="1:21" s="3" customFormat="1" ht="16.5" x14ac:dyDescent="0.35">
      <c r="A1058" s="1"/>
      <c r="B1058" s="732" t="s">
        <v>325</v>
      </c>
      <c r="C1058" s="714"/>
      <c r="D1058" s="1147">
        <f>D1053*9.33</f>
        <v>5263.7177688443999</v>
      </c>
      <c r="E1058" s="1147">
        <f t="shared" ref="E1058:N1058" si="69">E1053*9.33</f>
        <v>6518.6690753321345</v>
      </c>
      <c r="F1058" s="1147">
        <f t="shared" si="69"/>
        <v>6598.5304811276992</v>
      </c>
      <c r="G1058" s="1147">
        <f t="shared" si="69"/>
        <v>6280.9697550323999</v>
      </c>
      <c r="H1058" s="1147">
        <f t="shared" si="69"/>
        <v>3851.3261067914341</v>
      </c>
      <c r="I1058" s="1147">
        <f t="shared" si="69"/>
        <v>5582.6754079172997</v>
      </c>
      <c r="J1058" s="1147">
        <f t="shared" si="69"/>
        <v>6412.2296851775991</v>
      </c>
      <c r="K1058" s="1147">
        <f t="shared" si="69"/>
        <v>5916.8743653707998</v>
      </c>
      <c r="L1058" s="1147">
        <f t="shared" si="69"/>
        <v>7454.5263254639995</v>
      </c>
      <c r="M1058" s="1147">
        <f t="shared" si="69"/>
        <v>3577.9431433763998</v>
      </c>
      <c r="N1058" s="1147">
        <f t="shared" si="69"/>
        <v>3240.3501239226375</v>
      </c>
      <c r="O1058" s="1147">
        <f>O1053*9.39</f>
        <v>3888.4833310265999</v>
      </c>
      <c r="P1058" s="724">
        <f t="shared" si="65"/>
        <v>64586.295569383394</v>
      </c>
      <c r="Q1058" s="1145" t="s">
        <v>865</v>
      </c>
      <c r="R1058"/>
      <c r="S1058" s="1653"/>
      <c r="T1058" s="1150"/>
      <c r="U1058" s="1847"/>
    </row>
    <row r="1059" spans="1:21" s="3" customFormat="1" x14ac:dyDescent="0.25">
      <c r="A1059" s="1"/>
      <c r="B1059" s="732" t="s">
        <v>829</v>
      </c>
      <c r="C1059" s="714"/>
      <c r="D1059" s="171">
        <v>1307.68</v>
      </c>
      <c r="E1059" s="171">
        <v>2073.19</v>
      </c>
      <c r="F1059" s="171">
        <v>2596.0100000000002</v>
      </c>
      <c r="G1059" s="171">
        <v>2309.5700000000002</v>
      </c>
      <c r="H1059" s="171">
        <v>2199.77</v>
      </c>
      <c r="I1059" s="171">
        <v>1534.7</v>
      </c>
      <c r="J1059" s="171">
        <v>2370.29</v>
      </c>
      <c r="K1059" s="171">
        <v>2806.77</v>
      </c>
      <c r="L1059" s="171">
        <v>2206.88</v>
      </c>
      <c r="M1059" s="171">
        <v>3001.02</v>
      </c>
      <c r="N1059" s="171">
        <v>1717.94</v>
      </c>
      <c r="O1059" s="171">
        <v>1253.3399999999999</v>
      </c>
      <c r="P1059" s="724">
        <f t="shared" si="65"/>
        <v>25377.160000000003</v>
      </c>
      <c r="Q1059" s="1145" t="s">
        <v>865</v>
      </c>
      <c r="R1059"/>
      <c r="S1059" s="1647"/>
      <c r="T1059" s="1150"/>
      <c r="U1059" s="1847"/>
    </row>
    <row r="1060" spans="1:21" s="3" customFormat="1" ht="14.25" x14ac:dyDescent="0.2">
      <c r="A1060" s="1"/>
      <c r="B1060" s="730"/>
      <c r="C1060" s="730"/>
      <c r="D1060" s="1891"/>
      <c r="E1060" s="1853"/>
      <c r="F1060" s="1853"/>
      <c r="G1060" s="1853"/>
      <c r="H1060" s="1853"/>
      <c r="I1060" s="1853"/>
      <c r="J1060" s="1854"/>
      <c r="K1060" s="1854"/>
      <c r="L1060" s="1854"/>
      <c r="M1060" s="1854"/>
      <c r="N1060" s="1854"/>
      <c r="O1060" s="1854"/>
      <c r="P1060" s="1854"/>
      <c r="Q1060" s="1851"/>
      <c r="R1060" s="1847"/>
      <c r="S1060" s="1846"/>
      <c r="T1060" s="1848"/>
      <c r="U1060" s="1847"/>
    </row>
    <row r="1061" spans="1:21" s="1468" customFormat="1" x14ac:dyDescent="0.25">
      <c r="A1061" s="462">
        <v>72</v>
      </c>
      <c r="B1061" s="460" t="s">
        <v>1286</v>
      </c>
      <c r="C1061" s="1467"/>
      <c r="T1061" s="460" t="s">
        <v>1286</v>
      </c>
    </row>
    <row r="1062" spans="1:21" s="3" customFormat="1" ht="14.25" x14ac:dyDescent="0.2">
      <c r="A1062" s="1"/>
      <c r="B1062" s="1679" t="s">
        <v>1582</v>
      </c>
      <c r="C1062" s="1680"/>
      <c r="D1062" s="996"/>
      <c r="E1062" s="996"/>
      <c r="F1062" s="996"/>
      <c r="G1062" s="996"/>
      <c r="H1062" s="996"/>
      <c r="I1062" s="996"/>
      <c r="J1062"/>
      <c r="K1062"/>
      <c r="L1062"/>
      <c r="M1062"/>
      <c r="N1062"/>
      <c r="O1062"/>
      <c r="P1062"/>
      <c r="Q1062"/>
      <c r="R1062"/>
    </row>
    <row r="1063" spans="1:21" s="3" customFormat="1" ht="14.25" x14ac:dyDescent="0.2">
      <c r="A1063" s="1"/>
      <c r="B1063" s="130" t="s">
        <v>337</v>
      </c>
      <c r="C1063" s="186" t="s">
        <v>1532</v>
      </c>
      <c r="D1063" s="131">
        <v>42552</v>
      </c>
      <c r="E1063" s="131">
        <v>42583</v>
      </c>
      <c r="F1063" s="131">
        <v>42614</v>
      </c>
      <c r="G1063" s="131">
        <v>42644</v>
      </c>
      <c r="H1063" s="131">
        <v>42675</v>
      </c>
      <c r="I1063" s="131">
        <v>42705</v>
      </c>
      <c r="J1063" s="131">
        <v>42736</v>
      </c>
      <c r="K1063" s="131">
        <v>42767</v>
      </c>
      <c r="L1063" s="131">
        <v>42795</v>
      </c>
      <c r="M1063" s="131">
        <v>42826</v>
      </c>
      <c r="N1063" s="131">
        <v>42856</v>
      </c>
      <c r="O1063" s="131">
        <v>42887</v>
      </c>
      <c r="P1063" s="131">
        <v>42917</v>
      </c>
      <c r="Q1063" s="151">
        <v>42948</v>
      </c>
      <c r="R1063" s="131">
        <v>42992</v>
      </c>
    </row>
    <row r="1064" spans="1:21" s="3" customFormat="1" ht="14.25" x14ac:dyDescent="0.2">
      <c r="A1064" s="1"/>
      <c r="B1064" s="135" t="s">
        <v>319</v>
      </c>
      <c r="C1064" s="1092"/>
      <c r="D1064" s="153">
        <v>104400</v>
      </c>
      <c r="E1064" s="153">
        <v>125200</v>
      </c>
      <c r="F1064" s="153">
        <v>89040</v>
      </c>
      <c r="G1064" s="136">
        <v>105360</v>
      </c>
      <c r="H1064" s="136">
        <v>65360</v>
      </c>
      <c r="I1064" s="136">
        <v>64880</v>
      </c>
      <c r="J1064" s="136">
        <v>51440</v>
      </c>
      <c r="K1064" s="136">
        <v>57200</v>
      </c>
      <c r="L1064" s="136">
        <v>56800</v>
      </c>
      <c r="M1064" s="136">
        <v>66960</v>
      </c>
      <c r="N1064" s="136">
        <v>66640</v>
      </c>
      <c r="O1064" s="136">
        <v>81440</v>
      </c>
      <c r="P1064" s="136"/>
      <c r="Q1064" s="136"/>
      <c r="R1064" s="153"/>
    </row>
    <row r="1065" spans="1:21" s="3" customFormat="1" ht="14.25" x14ac:dyDescent="0.2">
      <c r="A1065" s="1"/>
      <c r="B1065" s="135" t="s">
        <v>343</v>
      </c>
      <c r="C1065" s="1092"/>
      <c r="D1065" s="153"/>
      <c r="E1065" s="153"/>
      <c r="F1065" s="137"/>
      <c r="G1065" s="137"/>
      <c r="H1065" s="137"/>
      <c r="I1065" s="136"/>
      <c r="J1065" s="136"/>
      <c r="K1065" s="136"/>
      <c r="L1065" s="136"/>
      <c r="M1065" s="136"/>
      <c r="N1065" s="136"/>
      <c r="O1065" s="136"/>
      <c r="P1065" s="136"/>
      <c r="Q1065" s="136"/>
      <c r="R1065" s="153"/>
    </row>
    <row r="1066" spans="1:21" s="3" customFormat="1" ht="14.25" x14ac:dyDescent="0.2">
      <c r="A1066" s="1"/>
      <c r="B1066" s="153" t="s">
        <v>362</v>
      </c>
      <c r="C1066" s="1092"/>
      <c r="D1066" s="153"/>
      <c r="E1066" s="153"/>
      <c r="F1066" s="141"/>
      <c r="G1066" s="141"/>
      <c r="H1066" s="141"/>
      <c r="I1066" s="141"/>
      <c r="J1066" s="141"/>
      <c r="K1066" s="141"/>
      <c r="L1066" s="141"/>
      <c r="M1066" s="141"/>
      <c r="N1066" s="141"/>
      <c r="O1066" s="141"/>
      <c r="P1066" s="141"/>
      <c r="Q1066" s="141"/>
      <c r="R1066" s="153"/>
    </row>
    <row r="1067" spans="1:21" s="3" customFormat="1" ht="14.25" x14ac:dyDescent="0.2">
      <c r="A1067" s="1"/>
      <c r="B1067" s="153" t="s">
        <v>641</v>
      </c>
      <c r="C1067" s="1092"/>
      <c r="D1067" s="153">
        <v>646</v>
      </c>
      <c r="E1067" s="141">
        <v>641</v>
      </c>
      <c r="F1067" s="141">
        <v>707</v>
      </c>
      <c r="G1067" s="141">
        <v>1114</v>
      </c>
      <c r="H1067" s="141">
        <v>1353</v>
      </c>
      <c r="I1067" s="141">
        <v>1353</v>
      </c>
      <c r="J1067" s="141">
        <v>2762</v>
      </c>
      <c r="K1067" s="141">
        <v>4384</v>
      </c>
      <c r="L1067" s="141">
        <v>3540</v>
      </c>
      <c r="M1067" s="141">
        <v>3232</v>
      </c>
      <c r="N1067" s="141">
        <v>1064</v>
      </c>
      <c r="O1067" s="141">
        <v>769</v>
      </c>
      <c r="P1067" s="141"/>
      <c r="Q1067" s="141"/>
      <c r="R1067" s="153"/>
    </row>
    <row r="1068" spans="1:21" s="3" customFormat="1" ht="14.25" x14ac:dyDescent="0.2">
      <c r="A1068" s="1"/>
      <c r="B1068" s="135" t="s">
        <v>864</v>
      </c>
      <c r="C1068" s="1092"/>
      <c r="D1068" s="153">
        <v>128</v>
      </c>
      <c r="E1068" s="760">
        <v>121</v>
      </c>
      <c r="F1068" s="760">
        <v>118</v>
      </c>
      <c r="G1068" s="760">
        <v>29</v>
      </c>
      <c r="H1068" s="760">
        <v>29</v>
      </c>
      <c r="I1068" s="760">
        <v>29</v>
      </c>
      <c r="J1068" s="760">
        <v>25</v>
      </c>
      <c r="K1068" s="760">
        <v>9</v>
      </c>
      <c r="L1068" s="760">
        <v>27</v>
      </c>
      <c r="M1068" s="760">
        <v>32</v>
      </c>
      <c r="N1068" s="760">
        <v>25</v>
      </c>
      <c r="O1068" s="760">
        <v>17</v>
      </c>
      <c r="P1068" s="750"/>
      <c r="Q1068" s="728"/>
      <c r="R1068" s="153"/>
    </row>
    <row r="1069" spans="1:21" s="3" customFormat="1" ht="14.25" x14ac:dyDescent="0.2">
      <c r="A1069" s="1"/>
      <c r="B1069" s="135" t="s">
        <v>324</v>
      </c>
      <c r="C1069" s="1092"/>
      <c r="D1069" s="1681">
        <v>10646.43</v>
      </c>
      <c r="E1069" s="1682">
        <v>12365.49</v>
      </c>
      <c r="F1069" s="1681">
        <v>9174.33</v>
      </c>
      <c r="G1069" s="1681">
        <v>10543.77</v>
      </c>
      <c r="H1069" s="1681">
        <v>7371.11</v>
      </c>
      <c r="I1069" s="1681">
        <v>7162.18</v>
      </c>
      <c r="J1069" s="1681">
        <v>6046.74</v>
      </c>
      <c r="K1069" s="1681">
        <v>6455.13</v>
      </c>
      <c r="L1069" s="1681">
        <v>6427.83</v>
      </c>
      <c r="M1069" s="1681">
        <v>7118.7</v>
      </c>
      <c r="N1069" s="1681">
        <v>7096.93</v>
      </c>
      <c r="O1069" s="1681">
        <v>8103.31</v>
      </c>
      <c r="P1069" s="731"/>
      <c r="Q1069" s="731"/>
      <c r="R1069" s="153"/>
    </row>
    <row r="1070" spans="1:21" s="3" customFormat="1" ht="14.25" x14ac:dyDescent="0.2">
      <c r="A1070" s="1"/>
      <c r="B1070" s="144" t="s">
        <v>348</v>
      </c>
      <c r="C1070" s="1092"/>
      <c r="D1070" s="153"/>
      <c r="E1070" s="153"/>
      <c r="F1070" s="736"/>
      <c r="G1070" s="736"/>
      <c r="H1070" s="736"/>
      <c r="I1070" s="736"/>
      <c r="J1070" s="731"/>
      <c r="K1070" s="731"/>
      <c r="L1070" s="731"/>
      <c r="M1070" s="731"/>
      <c r="N1070" s="731"/>
      <c r="O1070" s="731"/>
      <c r="P1070" s="731"/>
      <c r="Q1070" s="731"/>
      <c r="R1070" s="153"/>
    </row>
    <row r="1071" spans="1:21" s="3" customFormat="1" ht="14.25" x14ac:dyDescent="0.2">
      <c r="A1071" s="1"/>
      <c r="B1071" s="195" t="s">
        <v>1087</v>
      </c>
      <c r="C1071" s="1092"/>
      <c r="D1071" s="145">
        <v>155.16</v>
      </c>
      <c r="E1071" s="145">
        <v>933.58</v>
      </c>
      <c r="F1071" s="145">
        <v>910.96</v>
      </c>
      <c r="G1071" s="145">
        <v>239.9</v>
      </c>
      <c r="H1071" s="145">
        <v>239.9</v>
      </c>
      <c r="I1071" s="145">
        <v>209.74</v>
      </c>
      <c r="J1071" s="145">
        <v>89.1</v>
      </c>
      <c r="K1071" s="145">
        <v>224.82</v>
      </c>
      <c r="L1071" s="145">
        <v>262.52</v>
      </c>
      <c r="M1071" s="145">
        <v>247.44</v>
      </c>
      <c r="N1071" s="145">
        <v>209.74</v>
      </c>
      <c r="O1071" s="145">
        <v>149.41999999999999</v>
      </c>
      <c r="P1071" s="145"/>
      <c r="Q1071" s="145"/>
      <c r="R1071" s="145"/>
    </row>
    <row r="1072" spans="1:21" s="3" customFormat="1" ht="14.25" x14ac:dyDescent="0.2">
      <c r="A1072" s="1"/>
      <c r="B1072" s="144" t="s">
        <v>883</v>
      </c>
      <c r="C1072" s="604"/>
      <c r="D1072" s="145">
        <v>695.37</v>
      </c>
      <c r="E1072" s="145">
        <v>690.25</v>
      </c>
      <c r="F1072" s="145">
        <v>754.74</v>
      </c>
      <c r="G1072" s="145">
        <v>1167.02</v>
      </c>
      <c r="H1072" s="145">
        <v>1422.3</v>
      </c>
      <c r="I1072" s="145">
        <v>1422.39</v>
      </c>
      <c r="J1072" s="145">
        <v>2809.02</v>
      </c>
      <c r="K1072" s="145">
        <v>4404.34</v>
      </c>
      <c r="L1072" s="145">
        <v>3574.15</v>
      </c>
      <c r="M1072" s="145">
        <v>3701.75</v>
      </c>
      <c r="N1072" s="145">
        <v>1318.89</v>
      </c>
      <c r="O1072" s="145">
        <v>1030.93</v>
      </c>
      <c r="P1072" s="145"/>
      <c r="Q1072" s="145"/>
      <c r="R1072" s="145"/>
    </row>
    <row r="1073" spans="1:74" s="3" customFormat="1" ht="14.25" x14ac:dyDescent="0.2">
      <c r="A1073" s="1"/>
      <c r="B1073"/>
      <c r="C1073"/>
      <c r="D1073"/>
      <c r="E1073"/>
      <c r="F1073"/>
      <c r="G1073"/>
      <c r="H1073"/>
      <c r="I1073"/>
      <c r="J1073"/>
      <c r="K1073"/>
      <c r="L1073"/>
      <c r="M1073"/>
      <c r="N1073"/>
      <c r="O1073"/>
      <c r="P1073"/>
      <c r="Q1073"/>
      <c r="R1073"/>
    </row>
    <row r="1074" spans="1:74" s="3" customFormat="1" x14ac:dyDescent="0.25">
      <c r="A1074" s="1"/>
      <c r="B1074" s="1683" t="s">
        <v>1430</v>
      </c>
      <c r="C1074" s="1684"/>
      <c r="D1074" s="1684"/>
      <c r="E1074" s="1684"/>
      <c r="F1074" s="1685"/>
      <c r="G1074"/>
      <c r="H1074"/>
      <c r="I1074"/>
      <c r="J1074"/>
      <c r="K1074"/>
      <c r="L1074"/>
      <c r="M1074"/>
      <c r="N1074"/>
      <c r="O1074"/>
      <c r="P1074"/>
      <c r="Q1074"/>
      <c r="R1074"/>
    </row>
    <row r="1075" spans="1:74" s="3" customFormat="1" ht="14.25" x14ac:dyDescent="0.2">
      <c r="A1075" s="1"/>
      <c r="B1075"/>
      <c r="C1075"/>
      <c r="D1075"/>
      <c r="E1075"/>
      <c r="F1075"/>
      <c r="G1075"/>
      <c r="H1075"/>
      <c r="I1075"/>
      <c r="J1075"/>
      <c r="K1075"/>
      <c r="L1075"/>
      <c r="M1075"/>
      <c r="N1075"/>
      <c r="O1075"/>
      <c r="P1075"/>
      <c r="Q1075"/>
      <c r="R1075"/>
    </row>
    <row r="1076" spans="1:74" s="3" customFormat="1" x14ac:dyDescent="0.25">
      <c r="A1076" s="1"/>
      <c r="B1076" s="1683" t="s">
        <v>1583</v>
      </c>
      <c r="C1076" s="1684"/>
      <c r="D1076" s="1684"/>
      <c r="E1076" s="1684"/>
      <c r="F1076" s="1685"/>
      <c r="G1076"/>
      <c r="H1076"/>
      <c r="I1076"/>
      <c r="J1076"/>
      <c r="K1076"/>
      <c r="L1076"/>
      <c r="M1076"/>
      <c r="N1076"/>
      <c r="O1076"/>
      <c r="P1076"/>
      <c r="Q1076"/>
      <c r="R1076"/>
    </row>
    <row r="1077" spans="1:74" s="3" customFormat="1" ht="14.25" x14ac:dyDescent="0.2">
      <c r="A1077" s="1"/>
      <c r="B1077" s="41"/>
      <c r="C1077" s="262"/>
      <c r="D1077" s="177"/>
      <c r="E1077" s="177"/>
      <c r="F1077" s="177"/>
      <c r="G1077" s="177"/>
      <c r="H1077" s="177"/>
      <c r="I1077" s="177"/>
      <c r="J1077" s="177"/>
      <c r="K1077" s="177"/>
      <c r="L1077" s="177"/>
      <c r="M1077" s="177"/>
      <c r="N1077" s="177"/>
      <c r="O1077" s="177"/>
      <c r="P1077" s="177"/>
      <c r="Q1077" s="177"/>
      <c r="R1077" s="177"/>
    </row>
    <row r="1078" spans="1:74" s="1468" customFormat="1" x14ac:dyDescent="0.25">
      <c r="A1078" s="462">
        <v>73</v>
      </c>
      <c r="B1078" s="460" t="s">
        <v>1287</v>
      </c>
      <c r="C1078" s="1467"/>
      <c r="T1078" s="460" t="s">
        <v>1287</v>
      </c>
    </row>
    <row r="1079" spans="1:74" s="1468" customFormat="1" x14ac:dyDescent="0.25">
      <c r="A1079" s="462"/>
      <c r="B1079" s="2237" t="s">
        <v>352</v>
      </c>
      <c r="C1079" s="1467"/>
      <c r="T1079" s="460"/>
    </row>
    <row r="1080" spans="1:74" s="1468" customFormat="1" x14ac:dyDescent="0.25">
      <c r="A1080" s="462"/>
      <c r="B1080" s="460"/>
      <c r="C1080" s="1467"/>
    </row>
    <row r="1081" spans="1:74" s="1468" customFormat="1" x14ac:dyDescent="0.25">
      <c r="A1081" s="462">
        <v>74</v>
      </c>
      <c r="B1081" s="460" t="s">
        <v>1288</v>
      </c>
      <c r="C1081" s="1467"/>
      <c r="T1081" s="460" t="s">
        <v>1288</v>
      </c>
    </row>
    <row r="1082" spans="1:74" s="128" customFormat="1" x14ac:dyDescent="0.25">
      <c r="A1082" s="459"/>
      <c r="B1082" s="2237" t="s">
        <v>352</v>
      </c>
      <c r="C1082" s="173"/>
      <c r="S1082" s="173"/>
      <c r="T1082" s="127"/>
      <c r="W1082" s="129"/>
      <c r="Y1082" s="166"/>
      <c r="Z1082" s="166"/>
    </row>
    <row r="1083" spans="1:74" x14ac:dyDescent="0.25">
      <c r="B1083" s="666"/>
    </row>
    <row r="1084" spans="1:74" s="1468" customFormat="1" x14ac:dyDescent="0.25">
      <c r="A1084" s="462">
        <v>75</v>
      </c>
      <c r="B1084" s="460" t="s">
        <v>1443</v>
      </c>
      <c r="C1084" s="1467"/>
      <c r="T1084" s="460" t="str">
        <f>B1084</f>
        <v>UNCC - Laurel Residence Hall</v>
      </c>
    </row>
    <row r="1085" spans="1:74" s="1468" customFormat="1" x14ac:dyDescent="0.25">
      <c r="A1085" s="462"/>
      <c r="B1085" s="2237" t="s">
        <v>352</v>
      </c>
      <c r="C1085" s="1467"/>
      <c r="T1085" s="460"/>
    </row>
    <row r="1086" spans="1:74" s="1468" customFormat="1" x14ac:dyDescent="0.25">
      <c r="A1086" s="462"/>
      <c r="B1086" s="460"/>
      <c r="C1086" s="1467"/>
    </row>
    <row r="1087" spans="1:74" s="1468" customFormat="1" x14ac:dyDescent="0.25">
      <c r="A1087" s="462">
        <v>76</v>
      </c>
      <c r="B1087" s="460" t="s">
        <v>1290</v>
      </c>
      <c r="C1087" s="1467"/>
      <c r="T1087" s="460" t="s">
        <v>1290</v>
      </c>
    </row>
    <row r="1088" spans="1:74" s="41" customFormat="1" ht="12.75" x14ac:dyDescent="0.2">
      <c r="A1088" s="1571"/>
      <c r="B1088" s="1946" t="s">
        <v>888</v>
      </c>
      <c r="C1088" s="1573"/>
      <c r="D1088"/>
      <c r="E1088"/>
      <c r="F1088"/>
      <c r="G1088"/>
      <c r="H1088"/>
      <c r="I1088"/>
      <c r="J1088"/>
      <c r="K1088"/>
      <c r="L1088"/>
      <c r="M1088"/>
      <c r="N1088"/>
      <c r="O1088"/>
      <c r="P1088" s="1844"/>
      <c r="Q1088" s="1844"/>
      <c r="R1088" s="1844"/>
      <c r="S1088" s="1844"/>
      <c r="T1088" s="1844"/>
      <c r="U1088" s="1844"/>
      <c r="V1088" s="1844"/>
      <c r="W1088" s="1844"/>
      <c r="X1088" s="1844"/>
      <c r="Y1088" s="1844"/>
      <c r="Z1088" s="1844"/>
      <c r="AA1088" s="1844"/>
      <c r="AB1088" s="1844"/>
      <c r="AC1088" s="1844"/>
      <c r="AD1088" s="1844"/>
      <c r="AE1088" s="1844"/>
      <c r="AF1088" s="1844"/>
      <c r="AG1088" s="1844"/>
      <c r="AH1088" s="1844"/>
      <c r="AI1088" s="1844"/>
      <c r="AJ1088" s="1844"/>
      <c r="AK1088" s="1844"/>
      <c r="AL1088" s="1844"/>
      <c r="AM1088" s="1844"/>
      <c r="AN1088" s="1844"/>
      <c r="AO1088" s="1844"/>
      <c r="AP1088" s="1844"/>
      <c r="AQ1088" s="1844"/>
      <c r="AR1088" s="1844"/>
      <c r="AS1088" s="1844"/>
      <c r="AT1088" s="1844"/>
      <c r="AU1088" s="1844"/>
      <c r="AV1088" s="1844"/>
      <c r="AW1088" s="1844"/>
      <c r="AX1088" s="1844"/>
      <c r="AY1088" s="1844"/>
      <c r="AZ1088" s="1844"/>
      <c r="BA1088" s="1844"/>
      <c r="BB1088" s="1844"/>
      <c r="BC1088" s="1844"/>
      <c r="BD1088" s="1844"/>
      <c r="BE1088" s="1844"/>
      <c r="BF1088" s="1844"/>
      <c r="BG1088" s="1844"/>
      <c r="BH1088" s="1844"/>
      <c r="BI1088" s="1844"/>
      <c r="BJ1088" s="1844"/>
      <c r="BK1088" s="1844"/>
      <c r="BL1088" s="1844"/>
      <c r="BM1088" s="1844"/>
      <c r="BN1088" s="1844"/>
      <c r="BO1088" s="1844"/>
      <c r="BP1088" s="1844"/>
      <c r="BQ1088" s="1844"/>
      <c r="BR1088" s="1844"/>
      <c r="BS1088" s="1844"/>
      <c r="BT1088" s="1844"/>
      <c r="BU1088" s="1844"/>
      <c r="BV1088" s="1844"/>
    </row>
    <row r="1089" spans="1:74" s="41" customFormat="1" ht="12.75" x14ac:dyDescent="0.2">
      <c r="A1089" s="1904"/>
      <c r="B1089" s="1564" t="s">
        <v>654</v>
      </c>
      <c r="C1089" s="1565" t="s">
        <v>655</v>
      </c>
      <c r="D1089" s="826">
        <v>42552</v>
      </c>
      <c r="E1089" s="826">
        <v>42583</v>
      </c>
      <c r="F1089" s="826">
        <v>42614</v>
      </c>
      <c r="G1089" s="826">
        <v>42644</v>
      </c>
      <c r="H1089" s="826">
        <v>42675</v>
      </c>
      <c r="I1089" s="826">
        <v>42705</v>
      </c>
      <c r="J1089" s="826">
        <v>42736</v>
      </c>
      <c r="K1089" s="826">
        <v>42767</v>
      </c>
      <c r="L1089" s="826">
        <v>42795</v>
      </c>
      <c r="M1089" s="826">
        <v>42826</v>
      </c>
      <c r="N1089" s="826">
        <v>42856</v>
      </c>
      <c r="O1089" s="826">
        <v>42887</v>
      </c>
      <c r="P1089" s="1904"/>
      <c r="Q1089" s="1904"/>
      <c r="R1089" s="1904"/>
      <c r="S1089" s="1904"/>
      <c r="T1089" s="1904"/>
      <c r="U1089" s="1904"/>
      <c r="V1089" s="1904"/>
      <c r="W1089" s="1904"/>
      <c r="X1089" s="1904"/>
      <c r="Y1089" s="1904"/>
      <c r="Z1089" s="1904"/>
      <c r="AA1089" s="1904"/>
      <c r="AB1089" s="1904"/>
      <c r="AC1089" s="1904"/>
      <c r="AD1089" s="1904"/>
      <c r="AE1089" s="1904"/>
      <c r="AF1089" s="1904"/>
      <c r="AG1089" s="1904"/>
      <c r="AH1089" s="1904"/>
      <c r="AI1089" s="1904"/>
      <c r="AJ1089" s="1904"/>
      <c r="AK1089" s="1904"/>
      <c r="AL1089" s="1904"/>
      <c r="AM1089" s="1904"/>
      <c r="AN1089" s="1904"/>
      <c r="AO1089" s="1904"/>
      <c r="AP1089" s="1904"/>
      <c r="AQ1089" s="1904"/>
      <c r="AR1089" s="1904"/>
      <c r="AS1089" s="1904"/>
      <c r="AT1089" s="1904"/>
      <c r="AU1089" s="1904"/>
      <c r="AV1089" s="1904"/>
      <c r="AW1089" s="1904"/>
      <c r="AX1089" s="1904"/>
      <c r="AY1089" s="1904"/>
    </row>
    <row r="1090" spans="1:74" s="41" customFormat="1" ht="12.75" x14ac:dyDescent="0.2">
      <c r="A1090" s="1905"/>
      <c r="B1090" s="2006" t="s">
        <v>889</v>
      </c>
      <c r="C1090" s="2007" t="s">
        <v>890</v>
      </c>
      <c r="D1090" s="2008">
        <v>124302.36</v>
      </c>
      <c r="E1090" s="2008">
        <v>136673.47995410001</v>
      </c>
      <c r="F1090" s="2008">
        <v>154241.20000000001</v>
      </c>
      <c r="G1090" s="2008">
        <v>154193.12</v>
      </c>
      <c r="H1090" s="2008">
        <v>150620.96</v>
      </c>
      <c r="I1090" s="2008">
        <v>124908</v>
      </c>
      <c r="J1090" s="2008">
        <v>100757.2000459</v>
      </c>
      <c r="K1090" s="2008">
        <v>142079.84</v>
      </c>
      <c r="L1090" s="2008">
        <v>126422.8</v>
      </c>
      <c r="M1090" s="2008">
        <v>146194.96</v>
      </c>
      <c r="N1090" s="2008">
        <v>153701.5600459</v>
      </c>
      <c r="O1090" s="2008">
        <v>92243</v>
      </c>
      <c r="P1090" s="1906"/>
      <c r="Q1090" s="1906"/>
      <c r="R1090" s="1906"/>
      <c r="S1090" s="1906"/>
      <c r="T1090" s="1906"/>
      <c r="U1090" s="1906"/>
      <c r="V1090" s="1906"/>
      <c r="W1090" s="1906"/>
      <c r="X1090" s="1906"/>
      <c r="Y1090" s="1906"/>
      <c r="Z1090" s="1906"/>
      <c r="AA1090" s="1906"/>
      <c r="AB1090" s="1906"/>
      <c r="AC1090" s="1906"/>
      <c r="AD1090" s="1906"/>
      <c r="AE1090" s="1906"/>
      <c r="AF1090" s="1906"/>
      <c r="AG1090" s="1906"/>
      <c r="AH1090" s="1906"/>
      <c r="AI1090" s="1906"/>
      <c r="AJ1090" s="1906"/>
      <c r="AK1090" s="1906"/>
      <c r="AL1090" s="1906"/>
      <c r="AM1090" s="1906"/>
      <c r="AN1090" s="1906"/>
      <c r="AO1090" s="1906"/>
      <c r="AP1090" s="1906"/>
      <c r="AQ1090" s="1906"/>
      <c r="AR1090" s="1906"/>
      <c r="AS1090" s="1906"/>
      <c r="AT1090" s="1906"/>
      <c r="AU1090" s="1906"/>
      <c r="AV1090" s="1906"/>
      <c r="AW1090" s="1906"/>
      <c r="AX1090" s="1906"/>
      <c r="AY1090" s="1906"/>
      <c r="AZ1090" s="1906"/>
      <c r="BA1090" s="1906"/>
      <c r="BB1090" s="1906"/>
      <c r="BC1090" s="1906"/>
      <c r="BD1090" s="1906"/>
      <c r="BE1090" s="1906"/>
      <c r="BF1090" s="1906"/>
      <c r="BG1090" s="1906"/>
      <c r="BH1090" s="1906"/>
      <c r="BI1090" s="1906"/>
      <c r="BJ1090" s="1906"/>
      <c r="BK1090" s="1906"/>
      <c r="BL1090" s="1906"/>
      <c r="BM1090" s="1906"/>
      <c r="BN1090" s="1906"/>
      <c r="BO1090" s="1906"/>
      <c r="BP1090" s="1906"/>
      <c r="BQ1090" s="1906"/>
      <c r="BR1090" s="1906"/>
      <c r="BS1090" s="1906"/>
      <c r="BT1090" s="1906"/>
      <c r="BU1090" s="1906"/>
      <c r="BV1090" s="1906"/>
    </row>
    <row r="1091" spans="1:74" s="41" customFormat="1" ht="12.75" x14ac:dyDescent="0.2">
      <c r="A1091" s="1571"/>
      <c r="B1091" s="2009">
        <v>315</v>
      </c>
      <c r="C1091" s="2010" t="s">
        <v>891</v>
      </c>
      <c r="D1091" s="2011">
        <v>90183.92</v>
      </c>
      <c r="E1091" s="2011">
        <v>75576.559982699997</v>
      </c>
      <c r="F1091" s="2011">
        <v>97576.4</v>
      </c>
      <c r="G1091" s="2011">
        <v>83684.639999999999</v>
      </c>
      <c r="H1091" s="2011">
        <v>70809.119999999995</v>
      </c>
      <c r="I1091" s="2011">
        <v>57196</v>
      </c>
      <c r="J1091" s="2011">
        <v>34628.400017300002</v>
      </c>
      <c r="K1091" s="2011">
        <v>60848.480000000003</v>
      </c>
      <c r="L1091" s="2011">
        <v>55911.6</v>
      </c>
      <c r="M1091" s="2011">
        <v>67107.12</v>
      </c>
      <c r="N1091" s="2011">
        <v>74650.320017299993</v>
      </c>
      <c r="O1091" s="2011">
        <v>51248</v>
      </c>
      <c r="P1091" s="1572"/>
      <c r="Q1091" s="1572"/>
      <c r="R1091" s="1572"/>
      <c r="S1091" s="1572"/>
      <c r="T1091" s="1572"/>
      <c r="U1091" s="1572"/>
      <c r="V1091" s="1572"/>
      <c r="W1091" s="1572"/>
      <c r="X1091" s="1572"/>
      <c r="Y1091" s="1572"/>
      <c r="Z1091" s="1572"/>
      <c r="AA1091" s="1572"/>
      <c r="AB1091" s="1572"/>
      <c r="AC1091" s="1572"/>
      <c r="AD1091" s="1572"/>
      <c r="AE1091" s="1572"/>
      <c r="AF1091" s="1572"/>
      <c r="AG1091" s="1572"/>
      <c r="AH1091" s="1572"/>
      <c r="AI1091" s="1572"/>
      <c r="AJ1091" s="1572"/>
      <c r="AK1091" s="1572"/>
      <c r="AL1091" s="1572"/>
      <c r="AM1091" s="1572"/>
      <c r="AN1091" s="1572"/>
      <c r="AO1091" s="1572"/>
      <c r="AP1091" s="1572"/>
      <c r="AQ1091" s="1572"/>
      <c r="AR1091" s="1572"/>
      <c r="AS1091" s="1572"/>
      <c r="AT1091" s="1572"/>
      <c r="AU1091" s="1572"/>
      <c r="AV1091" s="1572"/>
      <c r="AW1091" s="1572"/>
      <c r="AX1091" s="1572"/>
      <c r="AY1091" s="1572"/>
      <c r="AZ1091" s="1572"/>
      <c r="BA1091" s="1572"/>
      <c r="BB1091" s="1572"/>
      <c r="BC1091" s="1572"/>
      <c r="BD1091" s="1572"/>
      <c r="BE1091" s="1572"/>
      <c r="BF1091" s="1572"/>
      <c r="BG1091" s="1572"/>
      <c r="BH1091" s="1572"/>
      <c r="BI1091" s="1572"/>
      <c r="BJ1091" s="1572"/>
      <c r="BK1091" s="1572"/>
      <c r="BL1091" s="1572"/>
      <c r="BM1091" s="1572"/>
      <c r="BN1091" s="1572"/>
      <c r="BO1091" s="1572"/>
      <c r="BP1091" s="1572"/>
      <c r="BQ1091" s="1572"/>
      <c r="BR1091" s="1572"/>
      <c r="BS1091" s="1572"/>
      <c r="BT1091" s="1572"/>
      <c r="BU1091" s="1572"/>
      <c r="BV1091" s="1572"/>
    </row>
    <row r="1092" spans="1:74" s="41" customFormat="1" ht="12.75" x14ac:dyDescent="0.2">
      <c r="A1092" s="1904"/>
      <c r="B1092" s="2009" t="s">
        <v>892</v>
      </c>
      <c r="C1092" s="2012" t="s">
        <v>893</v>
      </c>
      <c r="D1092" s="2013">
        <v>86886.720000000001</v>
      </c>
      <c r="E1092" s="2013">
        <v>100976.9599632</v>
      </c>
      <c r="F1092" s="2013">
        <v>121742.40000000001</v>
      </c>
      <c r="G1092" s="2013">
        <v>106562.23999999999</v>
      </c>
      <c r="H1092" s="2013">
        <v>94529.919999999984</v>
      </c>
      <c r="I1092" s="2013">
        <v>77896</v>
      </c>
      <c r="J1092" s="2013">
        <v>67854.400036799998</v>
      </c>
      <c r="K1092" s="2013">
        <v>83151.680000000008</v>
      </c>
      <c r="L1092" s="2013">
        <v>77425.599999999991</v>
      </c>
      <c r="M1092" s="2013">
        <v>91417.919999999998</v>
      </c>
      <c r="N1092" s="2013">
        <v>88109.120036799999</v>
      </c>
      <c r="O1092" s="2013">
        <v>79328</v>
      </c>
      <c r="P1092" s="1904"/>
      <c r="Q1092" s="1904"/>
      <c r="R1092" s="1904"/>
      <c r="S1092" s="1904"/>
      <c r="T1092" s="1904"/>
      <c r="U1092" s="1904"/>
      <c r="V1092" s="1904"/>
      <c r="W1092" s="1904"/>
      <c r="X1092" s="1904"/>
      <c r="Y1092" s="1904"/>
      <c r="Z1092" s="1904"/>
      <c r="AA1092" s="1904"/>
      <c r="AB1092" s="1904"/>
      <c r="AC1092" s="1904"/>
      <c r="AD1092" s="1904"/>
      <c r="AE1092" s="1904"/>
      <c r="AF1092" s="1904"/>
      <c r="AG1092" s="1904"/>
      <c r="AH1092" s="1904"/>
      <c r="AI1092" s="1904"/>
      <c r="AJ1092" s="1904"/>
      <c r="AK1092" s="1904"/>
      <c r="AL1092" s="1904"/>
      <c r="AM1092" s="1904"/>
      <c r="AN1092" s="1904"/>
      <c r="AO1092" s="1904"/>
      <c r="AP1092" s="1904"/>
      <c r="AQ1092" s="1904"/>
      <c r="AR1092" s="1904"/>
      <c r="AS1092" s="1904"/>
      <c r="AT1092" s="1904"/>
      <c r="AU1092" s="1904"/>
      <c r="AV1092" s="1904"/>
      <c r="AW1092" s="1904"/>
      <c r="AX1092" s="1904"/>
      <c r="AY1092" s="1904"/>
    </row>
    <row r="1093" spans="1:74" s="41" customFormat="1" ht="12.75" x14ac:dyDescent="0.2">
      <c r="A1093" s="1907"/>
      <c r="B1093" s="2014">
        <v>239</v>
      </c>
      <c r="C1093" s="2015" t="s">
        <v>1378</v>
      </c>
      <c r="D1093" s="2016">
        <v>51000</v>
      </c>
      <c r="E1093" s="2016">
        <v>52560</v>
      </c>
      <c r="F1093" s="2016">
        <v>65280</v>
      </c>
      <c r="G1093" s="2016">
        <v>50280</v>
      </c>
      <c r="H1093" s="2016">
        <v>38640</v>
      </c>
      <c r="I1093" s="2016">
        <v>32280</v>
      </c>
      <c r="J1093" s="2016">
        <v>27600</v>
      </c>
      <c r="K1093" s="2016">
        <v>34440</v>
      </c>
      <c r="L1093" s="2016">
        <v>34080</v>
      </c>
      <c r="M1093" s="2016">
        <v>37320</v>
      </c>
      <c r="N1093" s="2016">
        <v>36480</v>
      </c>
      <c r="O1093" s="2016">
        <v>30480</v>
      </c>
      <c r="P1093" s="1908"/>
      <c r="Q1093" s="1908"/>
      <c r="R1093" s="1908"/>
      <c r="S1093" s="1908"/>
      <c r="T1093" s="1908"/>
      <c r="U1093" s="1908"/>
      <c r="V1093" s="1908"/>
      <c r="W1093" s="1908"/>
      <c r="X1093" s="1908"/>
      <c r="Y1093" s="1908"/>
      <c r="Z1093" s="1908"/>
      <c r="AA1093" s="1908"/>
      <c r="AB1093" s="1908"/>
      <c r="AC1093" s="1908"/>
      <c r="AD1093" s="1908"/>
      <c r="AE1093" s="1908"/>
      <c r="AF1093" s="1908"/>
      <c r="AG1093" s="1908"/>
      <c r="AH1093" s="1908"/>
      <c r="AI1093" s="1908"/>
      <c r="AJ1093" s="1908"/>
      <c r="AK1093" s="1908"/>
      <c r="AL1093" s="1908"/>
      <c r="AM1093" s="1908"/>
      <c r="AN1093" s="1908"/>
      <c r="AO1093" s="1908"/>
      <c r="AP1093" s="1908"/>
      <c r="AQ1093" s="1908"/>
      <c r="AR1093" s="1908"/>
      <c r="AS1093" s="1908"/>
      <c r="AT1093" s="1908"/>
      <c r="AU1093" s="1908"/>
      <c r="AV1093" s="1908"/>
      <c r="AW1093" s="1908"/>
      <c r="AX1093" s="1908"/>
      <c r="AY1093" s="1908"/>
      <c r="AZ1093" s="1908"/>
      <c r="BA1093" s="1908"/>
      <c r="BB1093" s="1908"/>
      <c r="BC1093" s="1908"/>
      <c r="BD1093" s="1908"/>
      <c r="BE1093" s="1908"/>
      <c r="BF1093" s="1908"/>
      <c r="BG1093" s="1908"/>
      <c r="BH1093" s="1908"/>
      <c r="BI1093" s="1908"/>
      <c r="BJ1093" s="1908"/>
      <c r="BK1093" s="1908"/>
      <c r="BL1093" s="1908"/>
      <c r="BM1093" s="1908"/>
      <c r="BN1093" s="1908"/>
      <c r="BO1093" s="1908"/>
      <c r="BP1093" s="1908"/>
      <c r="BQ1093" s="1908"/>
      <c r="BR1093" s="1908"/>
      <c r="BS1093" s="1908"/>
      <c r="BT1093" s="1908"/>
      <c r="BU1093" s="1908"/>
      <c r="BV1093" s="1908"/>
    </row>
    <row r="1094" spans="1:74" s="41" customFormat="1" ht="12.75" x14ac:dyDescent="0.2">
      <c r="A1094" s="1571"/>
      <c r="B1094" s="2017" t="s">
        <v>889</v>
      </c>
      <c r="C1094" s="834" t="s">
        <v>894</v>
      </c>
      <c r="D1094" s="835">
        <v>10055.600760000001</v>
      </c>
      <c r="E1094" s="835">
        <v>11052.116120000001</v>
      </c>
      <c r="F1094" s="835">
        <v>12467.196980000001</v>
      </c>
      <c r="G1094" s="835">
        <v>12463.33771</v>
      </c>
      <c r="H1094" s="835">
        <v>12175.59196</v>
      </c>
      <c r="I1094" s="835">
        <v>10104.394770000001</v>
      </c>
      <c r="J1094" s="835">
        <v>8159.0232400000004</v>
      </c>
      <c r="K1094" s="835">
        <v>11847.90847</v>
      </c>
      <c r="L1094" s="835">
        <v>10867.325080000001</v>
      </c>
      <c r="M1094" s="835">
        <v>12560.214559999999</v>
      </c>
      <c r="N1094" s="835">
        <v>13202.94234</v>
      </c>
      <c r="O1094" s="835">
        <v>7940.8564399999996</v>
      </c>
      <c r="P1094" s="1572"/>
      <c r="Q1094" s="1572"/>
      <c r="R1094" s="1572"/>
      <c r="S1094" s="1572"/>
      <c r="T1094" s="1572"/>
      <c r="U1094" s="1572"/>
      <c r="V1094" s="1572"/>
      <c r="W1094" s="1572"/>
      <c r="X1094" s="1572"/>
      <c r="Y1094" s="1572"/>
      <c r="Z1094" s="1572"/>
      <c r="AA1094" s="1572"/>
      <c r="AB1094" s="1572"/>
      <c r="AC1094" s="1572"/>
      <c r="AD1094" s="1572"/>
      <c r="AE1094" s="1572"/>
      <c r="AF1094" s="1572"/>
      <c r="AG1094" s="1572"/>
      <c r="AH1094" s="1572"/>
      <c r="AI1094" s="1572"/>
      <c r="AJ1094" s="1572"/>
      <c r="AK1094" s="1572"/>
      <c r="AL1094" s="1572"/>
      <c r="AM1094" s="1572"/>
      <c r="AN1094" s="1572"/>
      <c r="AO1094" s="1572"/>
      <c r="AP1094" s="1572"/>
      <c r="AQ1094" s="1572"/>
      <c r="AR1094" s="1572"/>
      <c r="AS1094" s="1572"/>
      <c r="AT1094" s="1572"/>
      <c r="AU1094" s="1572"/>
      <c r="AV1094" s="1572"/>
      <c r="AW1094" s="1572"/>
      <c r="AX1094" s="1572"/>
      <c r="AY1094" s="1572"/>
      <c r="AZ1094" s="1572"/>
      <c r="BA1094" s="1572"/>
      <c r="BB1094" s="1572"/>
      <c r="BC1094" s="1572"/>
      <c r="BD1094" s="1572"/>
      <c r="BE1094" s="1572"/>
      <c r="BF1094" s="1572"/>
      <c r="BG1094" s="1572"/>
      <c r="BH1094" s="1572"/>
      <c r="BI1094" s="1572"/>
      <c r="BJ1094" s="1572"/>
      <c r="BK1094" s="1572"/>
      <c r="BL1094" s="1572"/>
      <c r="BM1094" s="1572"/>
      <c r="BN1094" s="1572"/>
      <c r="BO1094" s="1572"/>
      <c r="BP1094" s="1572"/>
      <c r="BQ1094" s="1572"/>
      <c r="BR1094" s="1572"/>
      <c r="BS1094" s="1572"/>
      <c r="BT1094" s="1572"/>
      <c r="BU1094" s="1572"/>
      <c r="BV1094" s="1572"/>
    </row>
    <row r="1095" spans="1:74" s="41" customFormat="1" ht="12.75" x14ac:dyDescent="0.2">
      <c r="A1095" s="1571"/>
      <c r="B1095" s="2017">
        <v>315</v>
      </c>
      <c r="C1095" s="834" t="s">
        <v>895</v>
      </c>
      <c r="D1095" s="835">
        <v>7278.9497200000005</v>
      </c>
      <c r="E1095" s="835">
        <v>6102.3156399999998</v>
      </c>
      <c r="F1095" s="835">
        <v>7874.4200599999995</v>
      </c>
      <c r="G1095" s="835">
        <v>6755.4263700000001</v>
      </c>
      <c r="H1095" s="835">
        <v>5718.2861199999998</v>
      </c>
      <c r="I1095" s="835">
        <v>4621.7521900000002</v>
      </c>
      <c r="J1095" s="835">
        <v>2803.9182799999999</v>
      </c>
      <c r="K1095" s="835">
        <v>5070.1960900000004</v>
      </c>
      <c r="L1095" s="835">
        <v>4801.7407599999997</v>
      </c>
      <c r="M1095" s="835">
        <v>5760.2983199999999</v>
      </c>
      <c r="N1095" s="835">
        <v>6406.1559800000005</v>
      </c>
      <c r="O1095" s="835">
        <v>4402.4386800000002</v>
      </c>
      <c r="P1095" s="1844"/>
      <c r="Q1095" s="1844"/>
      <c r="R1095" s="1844"/>
      <c r="S1095" s="1844"/>
      <c r="T1095" s="1844"/>
      <c r="U1095" s="1844"/>
      <c r="V1095" s="1844"/>
      <c r="W1095" s="1844"/>
      <c r="X1095" s="1844"/>
      <c r="Y1095" s="1844"/>
      <c r="Z1095" s="1844"/>
      <c r="AA1095" s="1844"/>
      <c r="AB1095" s="1844"/>
      <c r="AC1095" s="1844"/>
      <c r="AD1095" s="1844"/>
      <c r="AE1095" s="1844"/>
      <c r="AF1095" s="1844"/>
      <c r="AG1095" s="1844"/>
      <c r="AH1095" s="1844"/>
      <c r="AI1095" s="1844"/>
      <c r="AJ1095" s="1844"/>
      <c r="AK1095" s="1844"/>
      <c r="AL1095" s="1844"/>
      <c r="AM1095" s="1844"/>
      <c r="AN1095" s="1844"/>
      <c r="AO1095" s="1844"/>
      <c r="AP1095" s="1844"/>
      <c r="AQ1095" s="1844"/>
      <c r="AR1095" s="1844"/>
      <c r="AS1095" s="1844"/>
      <c r="AT1095" s="1844"/>
      <c r="AU1095" s="1844"/>
      <c r="AV1095" s="1844"/>
      <c r="AW1095" s="1844"/>
      <c r="AX1095" s="1844"/>
      <c r="AY1095" s="1844"/>
      <c r="AZ1095" s="1844"/>
      <c r="BA1095" s="1844"/>
      <c r="BB1095" s="1844"/>
      <c r="BC1095" s="1844"/>
      <c r="BD1095" s="1844"/>
      <c r="BE1095" s="1844"/>
      <c r="BF1095" s="1844"/>
      <c r="BG1095" s="1844"/>
      <c r="BH1095" s="1844"/>
      <c r="BI1095" s="1844"/>
      <c r="BJ1095" s="1844"/>
      <c r="BK1095" s="1844"/>
      <c r="BL1095" s="1844"/>
      <c r="BM1095" s="1844"/>
      <c r="BN1095" s="1844"/>
      <c r="BO1095" s="1844"/>
      <c r="BP1095" s="1844"/>
      <c r="BQ1095" s="1844"/>
      <c r="BR1095" s="1844"/>
      <c r="BS1095" s="1844"/>
      <c r="BT1095" s="1844"/>
      <c r="BU1095" s="1844"/>
      <c r="BV1095" s="1844"/>
    </row>
    <row r="1096" spans="1:74" s="41" customFormat="1" ht="12.75" x14ac:dyDescent="0.2">
      <c r="A1096" s="1904"/>
      <c r="B1096" s="2017" t="s">
        <v>892</v>
      </c>
      <c r="C1096" s="834" t="s">
        <v>896</v>
      </c>
      <c r="D1096" s="835">
        <v>7028.1895200000008</v>
      </c>
      <c r="E1096" s="835">
        <v>8163.1882400000004</v>
      </c>
      <c r="F1096" s="835">
        <v>9835.8529600000002</v>
      </c>
      <c r="G1096" s="835">
        <v>8613.0759199999993</v>
      </c>
      <c r="H1096" s="835">
        <v>7643.8719199999996</v>
      </c>
      <c r="I1096" s="835">
        <v>6303.9930400000003</v>
      </c>
      <c r="J1096" s="835">
        <v>5495.1384800000005</v>
      </c>
      <c r="K1096" s="835">
        <v>6938.1154399999996</v>
      </c>
      <c r="L1096" s="835">
        <v>6658.6141600000001</v>
      </c>
      <c r="M1096" s="835">
        <v>7856.6571200000008</v>
      </c>
      <c r="N1096" s="835">
        <v>7573.36168</v>
      </c>
      <c r="O1096" s="835">
        <v>6821.5048799999995</v>
      </c>
      <c r="P1096" s="1904"/>
      <c r="Q1096" s="1904"/>
      <c r="R1096" s="1904"/>
      <c r="S1096" s="1904"/>
      <c r="T1096" s="1904"/>
      <c r="U1096" s="1904"/>
      <c r="V1096" s="1904"/>
      <c r="W1096" s="1904"/>
      <c r="X1096" s="1904"/>
      <c r="Y1096" s="1904"/>
      <c r="Z1096" s="1904"/>
      <c r="AA1096" s="1904"/>
      <c r="AB1096" s="1904"/>
      <c r="AC1096" s="1904"/>
      <c r="AD1096" s="1904"/>
      <c r="AE1096" s="1904"/>
      <c r="AF1096" s="1904"/>
      <c r="AG1096" s="1904"/>
      <c r="AH1096" s="1904"/>
      <c r="AI1096" s="1904"/>
      <c r="AJ1096" s="1904"/>
      <c r="AK1096" s="1904"/>
      <c r="AL1096" s="1904"/>
      <c r="AM1096" s="1904"/>
      <c r="AN1096" s="1904"/>
      <c r="AO1096" s="1904"/>
      <c r="AP1096" s="1904"/>
      <c r="AQ1096" s="1904"/>
      <c r="AR1096" s="1904"/>
      <c r="AS1096" s="1904"/>
      <c r="AT1096" s="1904"/>
      <c r="AU1096" s="1904"/>
      <c r="AV1096" s="1904"/>
      <c r="AW1096" s="1904"/>
      <c r="AX1096" s="1904"/>
      <c r="AY1096" s="1904"/>
    </row>
    <row r="1097" spans="1:74" s="41" customFormat="1" ht="12.75" x14ac:dyDescent="0.2">
      <c r="A1097" s="1905"/>
      <c r="B1097" s="2018">
        <v>239</v>
      </c>
      <c r="C1097" s="2019" t="s">
        <v>1379</v>
      </c>
      <c r="D1097" s="2020">
        <v>4120.51</v>
      </c>
      <c r="E1097" s="2020">
        <v>4246.17</v>
      </c>
      <c r="F1097" s="2020">
        <v>5270.77</v>
      </c>
      <c r="G1097" s="2020">
        <v>4062.51</v>
      </c>
      <c r="H1097" s="2020">
        <v>3124.9</v>
      </c>
      <c r="I1097" s="2020">
        <v>2612.6</v>
      </c>
      <c r="J1097" s="2020">
        <v>2235.63</v>
      </c>
      <c r="K1097" s="2020">
        <v>2870.88</v>
      </c>
      <c r="L1097" s="2020">
        <v>2930.37</v>
      </c>
      <c r="M1097" s="2020">
        <v>3207.77</v>
      </c>
      <c r="N1097" s="2020">
        <v>3135.85</v>
      </c>
      <c r="O1097" s="2020">
        <v>2622.13</v>
      </c>
      <c r="P1097" s="1906"/>
      <c r="Q1097" s="1906"/>
      <c r="R1097" s="1906"/>
      <c r="S1097" s="1906"/>
      <c r="T1097" s="1906"/>
      <c r="U1097" s="1906"/>
      <c r="V1097" s="1906"/>
      <c r="W1097" s="1906"/>
      <c r="X1097" s="1906"/>
      <c r="Y1097" s="1906"/>
      <c r="Z1097" s="1906"/>
      <c r="AA1097" s="1906"/>
      <c r="AB1097" s="1906"/>
      <c r="AC1097" s="1906"/>
      <c r="AD1097" s="1906"/>
      <c r="AE1097" s="1906"/>
      <c r="AF1097" s="1906"/>
      <c r="AG1097" s="1906"/>
      <c r="AH1097" s="1906"/>
      <c r="AI1097" s="1906"/>
      <c r="AJ1097" s="1906"/>
      <c r="AK1097" s="1906"/>
      <c r="AL1097" s="1906"/>
      <c r="AM1097" s="1906"/>
      <c r="AN1097" s="1906"/>
      <c r="AO1097" s="1906"/>
      <c r="AP1097" s="1906"/>
      <c r="AQ1097" s="1906"/>
      <c r="AR1097" s="1906"/>
      <c r="AS1097" s="1906"/>
      <c r="AT1097" s="1906"/>
      <c r="AU1097" s="1906"/>
      <c r="AV1097" s="1906"/>
      <c r="AW1097" s="1906"/>
      <c r="AX1097" s="1906"/>
      <c r="AY1097" s="1906"/>
      <c r="AZ1097" s="1906"/>
      <c r="BA1097" s="1906"/>
      <c r="BB1097" s="1906"/>
      <c r="BC1097" s="1906"/>
      <c r="BD1097" s="1906"/>
      <c r="BE1097" s="1906"/>
      <c r="BF1097" s="1906"/>
      <c r="BG1097" s="1906"/>
      <c r="BH1097" s="1906"/>
      <c r="BI1097" s="1906"/>
      <c r="BJ1097" s="1906"/>
      <c r="BK1097" s="1906"/>
      <c r="BL1097" s="1906"/>
      <c r="BM1097" s="1906"/>
      <c r="BN1097" s="1906"/>
      <c r="BO1097" s="1906"/>
      <c r="BP1097" s="1906"/>
      <c r="BQ1097" s="1906"/>
      <c r="BR1097" s="1906"/>
      <c r="BS1097" s="1906"/>
      <c r="BT1097" s="1906"/>
      <c r="BU1097" s="1906"/>
      <c r="BV1097" s="1906"/>
    </row>
    <row r="1098" spans="1:74" s="41" customFormat="1" ht="12.75" x14ac:dyDescent="0.2">
      <c r="A1098" s="1571"/>
      <c r="B1098" s="1571"/>
      <c r="C1098" s="500"/>
      <c r="D1098"/>
      <c r="E1098"/>
      <c r="F1098"/>
      <c r="G1098"/>
      <c r="H1098"/>
      <c r="I1098"/>
      <c r="J1098"/>
      <c r="K1098"/>
      <c r="L1098"/>
      <c r="M1098"/>
      <c r="N1098"/>
      <c r="O1098"/>
      <c r="P1098" s="1572"/>
      <c r="Q1098" s="1572"/>
      <c r="R1098" s="1572"/>
      <c r="S1098" s="1572"/>
      <c r="T1098" s="1572"/>
      <c r="U1098" s="1572"/>
      <c r="V1098" s="1572"/>
      <c r="W1098" s="1572"/>
      <c r="X1098" s="1572"/>
      <c r="Y1098" s="1572"/>
      <c r="Z1098" s="1572"/>
      <c r="AA1098" s="1572"/>
      <c r="AB1098" s="1572"/>
      <c r="AC1098" s="1572"/>
      <c r="AD1098" s="1572"/>
      <c r="AE1098" s="1572"/>
      <c r="AF1098" s="1572"/>
      <c r="AG1098" s="1572"/>
      <c r="AH1098" s="1572"/>
      <c r="AI1098" s="1572"/>
      <c r="AJ1098" s="1572"/>
      <c r="AK1098" s="1572"/>
      <c r="AL1098" s="1572"/>
      <c r="AM1098" s="1572"/>
      <c r="AN1098" s="1572"/>
      <c r="AO1098" s="1572"/>
      <c r="AP1098" s="1572"/>
      <c r="AQ1098" s="1572"/>
      <c r="AR1098" s="1572"/>
      <c r="AS1098" s="1572"/>
      <c r="AT1098" s="1572"/>
      <c r="AU1098" s="1572"/>
      <c r="AV1098" s="1572"/>
      <c r="AW1098" s="1572"/>
      <c r="AX1098" s="1572"/>
      <c r="AY1098" s="1572"/>
      <c r="AZ1098" s="1572"/>
      <c r="BA1098" s="1572"/>
      <c r="BB1098" s="1572"/>
      <c r="BC1098" s="1572"/>
      <c r="BD1098" s="1572"/>
      <c r="BE1098" s="1572"/>
      <c r="BF1098" s="1572"/>
      <c r="BG1098" s="1572"/>
      <c r="BH1098" s="1572"/>
      <c r="BI1098" s="1572"/>
      <c r="BJ1098" s="1572"/>
      <c r="BK1098" s="1572"/>
      <c r="BL1098" s="1572"/>
      <c r="BM1098" s="1572"/>
      <c r="BN1098" s="1572"/>
      <c r="BO1098" s="1572"/>
      <c r="BP1098" s="1572"/>
      <c r="BQ1098" s="1572"/>
      <c r="BR1098" s="1572"/>
      <c r="BS1098" s="1572"/>
      <c r="BT1098" s="1572"/>
      <c r="BU1098" s="1572"/>
      <c r="BV1098" s="1572"/>
    </row>
    <row r="1099" spans="1:74" s="41" customFormat="1" ht="12.75" x14ac:dyDescent="0.2">
      <c r="A1099" s="1904"/>
      <c r="B1099" s="1946" t="s">
        <v>897</v>
      </c>
      <c r="C1099" s="1947"/>
      <c r="D1099"/>
      <c r="E1099"/>
      <c r="F1099"/>
      <c r="G1099"/>
      <c r="H1099"/>
      <c r="I1099"/>
      <c r="J1099"/>
      <c r="K1099"/>
      <c r="L1099"/>
      <c r="M1099"/>
      <c r="N1099"/>
      <c r="O1099"/>
      <c r="P1099" s="1904"/>
      <c r="Q1099" s="1904"/>
      <c r="R1099" s="1904"/>
      <c r="S1099" s="1904"/>
      <c r="T1099" s="1904"/>
      <c r="U1099" s="1904"/>
      <c r="V1099" s="1904"/>
      <c r="W1099" s="1904"/>
      <c r="X1099" s="1904"/>
      <c r="Y1099" s="1904"/>
      <c r="Z1099" s="1904"/>
      <c r="AA1099" s="1904"/>
      <c r="AB1099" s="1904"/>
      <c r="AC1099" s="1904"/>
      <c r="AD1099" s="1904"/>
      <c r="AE1099" s="1904"/>
      <c r="AF1099" s="1904"/>
      <c r="AG1099" s="1904"/>
      <c r="AH1099" s="1904"/>
      <c r="AI1099" s="1904"/>
      <c r="AJ1099" s="1904"/>
      <c r="AK1099" s="1904"/>
      <c r="AL1099" s="1904"/>
      <c r="AM1099" s="1904"/>
      <c r="AN1099" s="1904"/>
      <c r="AO1099" s="1904"/>
      <c r="AP1099" s="1904"/>
      <c r="AQ1099" s="1904"/>
      <c r="AR1099" s="1904"/>
      <c r="AS1099" s="1904"/>
      <c r="AT1099" s="1904"/>
      <c r="AU1099" s="1904"/>
      <c r="AV1099" s="1904"/>
      <c r="AW1099" s="1904"/>
      <c r="AX1099" s="1904"/>
      <c r="AY1099" s="1904"/>
    </row>
    <row r="1100" spans="1:74" s="41" customFormat="1" ht="12.75" x14ac:dyDescent="0.2">
      <c r="A1100" s="1571"/>
      <c r="B1100" s="1564" t="s">
        <v>654</v>
      </c>
      <c r="C1100" s="825" t="s">
        <v>655</v>
      </c>
      <c r="D1100" s="826">
        <v>42552</v>
      </c>
      <c r="E1100" s="826">
        <v>42583</v>
      </c>
      <c r="F1100" s="826">
        <v>42614</v>
      </c>
      <c r="G1100" s="826">
        <v>42644</v>
      </c>
      <c r="H1100" s="826">
        <v>42675</v>
      </c>
      <c r="I1100" s="826">
        <v>42705</v>
      </c>
      <c r="J1100" s="826">
        <v>42736</v>
      </c>
      <c r="K1100" s="826">
        <v>42767</v>
      </c>
      <c r="L1100" s="826">
        <v>42795</v>
      </c>
      <c r="M1100" s="826">
        <v>42826</v>
      </c>
      <c r="N1100" s="826">
        <v>42856</v>
      </c>
      <c r="O1100" s="826">
        <v>42887</v>
      </c>
      <c r="P1100" s="1844"/>
      <c r="Q1100" s="1844"/>
      <c r="R1100" s="1844"/>
      <c r="S1100" s="1844"/>
      <c r="T1100" s="1844"/>
      <c r="U1100" s="1844"/>
      <c r="V1100" s="1844"/>
      <c r="W1100" s="1844"/>
      <c r="X1100" s="1844"/>
      <c r="Y1100" s="1844"/>
      <c r="Z1100" s="1844"/>
      <c r="AA1100" s="1844"/>
      <c r="AB1100" s="1844"/>
      <c r="AC1100" s="1844"/>
      <c r="AD1100" s="1844"/>
      <c r="AE1100" s="1844"/>
      <c r="AF1100" s="1844"/>
      <c r="AG1100" s="1844"/>
      <c r="AH1100" s="1844"/>
      <c r="AI1100" s="1844"/>
      <c r="AJ1100" s="1844"/>
      <c r="AK1100" s="1844"/>
      <c r="AL1100" s="1844"/>
      <c r="AM1100" s="1844"/>
      <c r="AN1100" s="1844"/>
      <c r="AO1100" s="1844"/>
      <c r="AP1100" s="1844"/>
      <c r="AQ1100" s="1844"/>
      <c r="AR1100" s="1844"/>
      <c r="AS1100" s="1844"/>
      <c r="AT1100" s="1844"/>
      <c r="AU1100" s="1844"/>
      <c r="AV1100" s="1844"/>
      <c r="AW1100" s="1844"/>
      <c r="AX1100" s="1844"/>
      <c r="AY1100" s="1844"/>
      <c r="AZ1100" s="1844"/>
      <c r="BA1100" s="1844"/>
      <c r="BB1100" s="1844"/>
      <c r="BC1100" s="1844"/>
      <c r="BD1100" s="1844"/>
      <c r="BE1100" s="1844"/>
      <c r="BF1100" s="1844"/>
      <c r="BG1100" s="1844"/>
      <c r="BH1100" s="1844"/>
      <c r="BI1100" s="1844"/>
      <c r="BJ1100" s="1844"/>
      <c r="BK1100" s="1844"/>
      <c r="BL1100" s="1844"/>
      <c r="BM1100" s="1844"/>
      <c r="BN1100" s="1844"/>
      <c r="BO1100" s="1844"/>
      <c r="BP1100" s="1844"/>
      <c r="BQ1100" s="1844"/>
      <c r="BR1100" s="1844"/>
      <c r="BS1100" s="1844"/>
      <c r="BT1100" s="1844"/>
      <c r="BU1100" s="1844"/>
      <c r="BV1100" s="1844"/>
    </row>
    <row r="1101" spans="1:74" s="41" customFormat="1" ht="12.75" x14ac:dyDescent="0.2">
      <c r="A1101" s="1571"/>
      <c r="B1101" s="2021" t="s">
        <v>889</v>
      </c>
      <c r="C1101" s="2022" t="s">
        <v>898</v>
      </c>
      <c r="D1101" s="2023">
        <v>292804.2</v>
      </c>
      <c r="E1101" s="2023">
        <v>311990.80000000005</v>
      </c>
      <c r="F1101" s="2023">
        <v>263607.2</v>
      </c>
      <c r="G1101" s="2023">
        <v>227736.5991658</v>
      </c>
      <c r="H1101" s="2023">
        <v>376224.2</v>
      </c>
      <c r="I1101" s="2023">
        <v>459644.2</v>
      </c>
      <c r="J1101" s="2023">
        <v>623981.60000000009</v>
      </c>
      <c r="K1101" s="2023">
        <v>372887.4</v>
      </c>
      <c r="L1101" s="2023">
        <v>511364.60000000003</v>
      </c>
      <c r="M1101" s="2023">
        <v>386234.60000000003</v>
      </c>
      <c r="N1101" s="2023">
        <v>488007.00000000006</v>
      </c>
      <c r="O1101" s="2023">
        <v>330343.19916580006</v>
      </c>
      <c r="P1101" s="1844"/>
      <c r="Q1101" s="1844"/>
      <c r="R1101" s="1844"/>
      <c r="S1101" s="1844"/>
      <c r="T1101" s="1844"/>
      <c r="U1101" s="1844"/>
      <c r="V1101" s="1844"/>
      <c r="W1101" s="1844"/>
      <c r="X1101" s="1844"/>
      <c r="Y1101" s="1844"/>
      <c r="Z1101" s="1844"/>
      <c r="AA1101" s="1844"/>
      <c r="AB1101" s="1844"/>
      <c r="AC1101" s="1844"/>
      <c r="AD1101" s="1844"/>
      <c r="AE1101" s="1844"/>
      <c r="AF1101" s="1844"/>
      <c r="AG1101" s="1844"/>
      <c r="AH1101" s="1844"/>
      <c r="AI1101" s="1844"/>
      <c r="AJ1101" s="1844"/>
      <c r="AK1101" s="1844"/>
      <c r="AL1101" s="1844"/>
      <c r="AM1101" s="1844"/>
      <c r="AN1101" s="1844"/>
      <c r="AO1101" s="1844"/>
      <c r="AP1101" s="1844"/>
      <c r="AQ1101" s="1844"/>
      <c r="AR1101" s="1844"/>
      <c r="AS1101" s="1844"/>
      <c r="AT1101" s="1844"/>
      <c r="AU1101" s="1844"/>
      <c r="AV1101" s="1844"/>
      <c r="AW1101" s="1844"/>
      <c r="AX1101" s="1844"/>
      <c r="AY1101" s="1844"/>
      <c r="AZ1101" s="1844"/>
      <c r="BA1101" s="1844"/>
      <c r="BB1101" s="1844"/>
      <c r="BC1101" s="1844"/>
      <c r="BD1101" s="1844"/>
      <c r="BE1101" s="1844"/>
      <c r="BF1101" s="1844"/>
      <c r="BG1101" s="1844"/>
      <c r="BH1101" s="1844"/>
      <c r="BI1101" s="1844"/>
      <c r="BJ1101" s="1844"/>
      <c r="BK1101" s="1844"/>
      <c r="BL1101" s="1844"/>
      <c r="BM1101" s="1844"/>
      <c r="BN1101" s="1844"/>
      <c r="BO1101" s="1844"/>
      <c r="BP1101" s="1844"/>
      <c r="BQ1101" s="1844"/>
      <c r="BR1101" s="1844"/>
      <c r="BS1101" s="1844"/>
      <c r="BT1101" s="1844"/>
      <c r="BU1101" s="1844"/>
      <c r="BV1101" s="1844"/>
    </row>
    <row r="1102" spans="1:74" s="41" customFormat="1" ht="12.75" x14ac:dyDescent="0.2">
      <c r="A1102" s="1904"/>
      <c r="B1102" s="2024">
        <v>315</v>
      </c>
      <c r="C1102" s="2025" t="s">
        <v>899</v>
      </c>
      <c r="D1102" s="2026">
        <v>70907</v>
      </c>
      <c r="E1102" s="2026">
        <v>87591</v>
      </c>
      <c r="F1102" s="2026">
        <v>136808.80000000002</v>
      </c>
      <c r="G1102" s="2026">
        <v>139311.40000000002</v>
      </c>
      <c r="H1102" s="2026">
        <v>241918.00000000003</v>
      </c>
      <c r="I1102" s="2026">
        <v>150990.20000000001</v>
      </c>
      <c r="J1102" s="2026">
        <v>226902.40000000002</v>
      </c>
      <c r="K1102" s="2026">
        <v>146819.20000000001</v>
      </c>
      <c r="L1102" s="2026">
        <v>222731.40000000002</v>
      </c>
      <c r="M1102" s="2026">
        <v>121793.20000000001</v>
      </c>
      <c r="N1102" s="2026">
        <v>102606.6</v>
      </c>
      <c r="O1102" s="2026">
        <v>73409.600000000006</v>
      </c>
      <c r="P1102" s="1904"/>
      <c r="Q1102" s="1904"/>
      <c r="R1102" s="1904"/>
      <c r="S1102" s="1904"/>
      <c r="T1102" s="1904"/>
      <c r="U1102" s="1904"/>
      <c r="V1102" s="1904"/>
      <c r="W1102" s="1904"/>
      <c r="X1102" s="1904"/>
      <c r="Y1102" s="1904"/>
      <c r="Z1102" s="1904"/>
      <c r="AA1102" s="1904"/>
      <c r="AB1102" s="1904"/>
      <c r="AC1102" s="1904"/>
      <c r="AD1102" s="1904"/>
      <c r="AE1102" s="1904"/>
      <c r="AF1102" s="1904"/>
      <c r="AG1102" s="1904"/>
      <c r="AH1102" s="1904"/>
      <c r="AI1102" s="1904"/>
      <c r="AJ1102" s="1904"/>
      <c r="AK1102" s="1904"/>
      <c r="AL1102" s="1904"/>
      <c r="AM1102" s="1904"/>
      <c r="AN1102" s="1904"/>
      <c r="AO1102" s="1904"/>
      <c r="AP1102" s="1904"/>
      <c r="AQ1102" s="1904"/>
      <c r="AR1102" s="1904"/>
      <c r="AS1102" s="1904"/>
      <c r="AT1102" s="1904"/>
      <c r="AU1102" s="1904"/>
      <c r="AV1102" s="1904"/>
      <c r="AW1102" s="1904"/>
      <c r="AX1102" s="1904"/>
      <c r="AY1102" s="1904"/>
    </row>
    <row r="1103" spans="1:74" s="41" customFormat="1" ht="12.75" x14ac:dyDescent="0.2">
      <c r="A1103" s="1905"/>
      <c r="B1103" s="2024" t="s">
        <v>892</v>
      </c>
      <c r="C1103" s="2025" t="s">
        <v>900</v>
      </c>
      <c r="D1103" s="2026">
        <v>221897.2</v>
      </c>
      <c r="E1103" s="2026">
        <v>250260</v>
      </c>
      <c r="F1103" s="2026">
        <v>302814.59999999998</v>
      </c>
      <c r="G1103" s="2026">
        <v>260270.40000000002</v>
      </c>
      <c r="H1103" s="2026">
        <v>444628.6</v>
      </c>
      <c r="I1103" s="2026">
        <v>537224.80000000005</v>
      </c>
      <c r="J1103" s="2026">
        <v>506359.4</v>
      </c>
      <c r="K1103" s="2026">
        <v>471323.00000000006</v>
      </c>
      <c r="L1103" s="2026">
        <v>412929</v>
      </c>
      <c r="M1103" s="2026">
        <v>266944</v>
      </c>
      <c r="N1103" s="2026">
        <v>260270.40000000002</v>
      </c>
      <c r="O1103" s="2026">
        <v>253596.80000000005</v>
      </c>
      <c r="P1103" s="1906"/>
      <c r="Q1103" s="1906"/>
      <c r="R1103" s="1906"/>
      <c r="S1103" s="1906"/>
      <c r="T1103" s="1906"/>
      <c r="U1103" s="1906"/>
      <c r="V1103" s="1906"/>
      <c r="W1103" s="1906"/>
      <c r="X1103" s="1906"/>
      <c r="Y1103" s="1906"/>
      <c r="Z1103" s="1906"/>
      <c r="AA1103" s="1906"/>
      <c r="AB1103" s="1906"/>
      <c r="AC1103" s="1906"/>
      <c r="AD1103" s="1906"/>
      <c r="AE1103" s="1906"/>
      <c r="AF1103" s="1906"/>
      <c r="AG1103" s="1906"/>
      <c r="AH1103" s="1906"/>
      <c r="AI1103" s="1906"/>
      <c r="AJ1103" s="1906"/>
      <c r="AK1103" s="1906"/>
      <c r="AL1103" s="1906"/>
      <c r="AM1103" s="1906"/>
      <c r="AN1103" s="1906"/>
      <c r="AO1103" s="1906"/>
      <c r="AP1103" s="1906"/>
      <c r="AQ1103" s="1906"/>
      <c r="AR1103" s="1906"/>
      <c r="AS1103" s="1906"/>
      <c r="AT1103" s="1906"/>
      <c r="AU1103" s="1906"/>
      <c r="AV1103" s="1906"/>
      <c r="AW1103" s="1906"/>
      <c r="AX1103" s="1906"/>
      <c r="AY1103" s="1906"/>
      <c r="AZ1103" s="1906"/>
      <c r="BA1103" s="1906"/>
      <c r="BB1103" s="1906"/>
      <c r="BC1103" s="1906"/>
      <c r="BD1103" s="1906"/>
      <c r="BE1103" s="1906"/>
      <c r="BF1103" s="1906"/>
      <c r="BG1103" s="1906"/>
      <c r="BH1103" s="1906"/>
      <c r="BI1103" s="1906"/>
      <c r="BJ1103" s="1906"/>
      <c r="BK1103" s="1906"/>
      <c r="BL1103" s="1906"/>
      <c r="BM1103" s="1906"/>
      <c r="BN1103" s="1906"/>
      <c r="BO1103" s="1906"/>
      <c r="BP1103" s="1906"/>
      <c r="BQ1103" s="1906"/>
      <c r="BR1103" s="1906"/>
      <c r="BS1103" s="1906"/>
      <c r="BT1103" s="1906"/>
      <c r="BU1103" s="1906"/>
      <c r="BV1103" s="1906"/>
    </row>
    <row r="1104" spans="1:74" s="41" customFormat="1" ht="12.75" x14ac:dyDescent="0.2">
      <c r="A1104" s="1571"/>
      <c r="B1104" s="2027">
        <v>239</v>
      </c>
      <c r="C1104" s="2028" t="s">
        <v>1380</v>
      </c>
      <c r="D1104" s="2029">
        <v>33368</v>
      </c>
      <c r="E1104" s="2029">
        <v>39207.4</v>
      </c>
      <c r="F1104" s="2029">
        <v>55057.200000000004</v>
      </c>
      <c r="G1104" s="2029">
        <v>47549.4</v>
      </c>
      <c r="H1104" s="2029">
        <v>68404.400000000009</v>
      </c>
      <c r="I1104" s="2029">
        <v>90927.8</v>
      </c>
      <c r="J1104" s="2029">
        <v>95933</v>
      </c>
      <c r="K1104" s="2029">
        <v>77580.600000000006</v>
      </c>
      <c r="L1104" s="2029">
        <v>94264.6</v>
      </c>
      <c r="M1104" s="2029">
        <v>49217.8</v>
      </c>
      <c r="N1104" s="2029">
        <v>38373.200000000004</v>
      </c>
      <c r="O1104" s="2029">
        <v>39207.4</v>
      </c>
      <c r="P1104" s="1572"/>
      <c r="Q1104" s="1572"/>
      <c r="R1104" s="1572"/>
      <c r="S1104" s="1572"/>
      <c r="T1104" s="1572"/>
      <c r="U1104" s="1572"/>
      <c r="V1104" s="1572"/>
      <c r="W1104" s="1572"/>
      <c r="X1104" s="1572"/>
      <c r="Y1104" s="1572"/>
      <c r="Z1104" s="1572"/>
      <c r="AA1104" s="1572"/>
      <c r="AB1104" s="1572"/>
      <c r="AC1104" s="1572"/>
      <c r="AD1104" s="1572"/>
      <c r="AE1104" s="1572"/>
      <c r="AF1104" s="1572"/>
      <c r="AG1104" s="1572"/>
      <c r="AH1104" s="1572"/>
      <c r="AI1104" s="1572"/>
      <c r="AJ1104" s="1572"/>
      <c r="AK1104" s="1572"/>
      <c r="AL1104" s="1572"/>
      <c r="AM1104" s="1572"/>
      <c r="AN1104" s="1572"/>
      <c r="AO1104" s="1572"/>
      <c r="AP1104" s="1572"/>
      <c r="AQ1104" s="1572"/>
      <c r="AR1104" s="1572"/>
      <c r="AS1104" s="1572"/>
      <c r="AT1104" s="1572"/>
      <c r="AU1104" s="1572"/>
      <c r="AV1104" s="1572"/>
      <c r="AW1104" s="1572"/>
      <c r="AX1104" s="1572"/>
      <c r="AY1104" s="1572"/>
      <c r="AZ1104" s="1572"/>
      <c r="BA1104" s="1572"/>
      <c r="BB1104" s="1572"/>
      <c r="BC1104" s="1572"/>
      <c r="BD1104" s="1572"/>
      <c r="BE1104" s="1572"/>
      <c r="BF1104" s="1572"/>
      <c r="BG1104" s="1572"/>
      <c r="BH1104" s="1572"/>
      <c r="BI1104" s="1572"/>
      <c r="BJ1104" s="1572"/>
      <c r="BK1104" s="1572"/>
      <c r="BL1104" s="1572"/>
      <c r="BM1104" s="1572"/>
      <c r="BN1104" s="1572"/>
      <c r="BO1104" s="1572"/>
      <c r="BP1104" s="1572"/>
      <c r="BQ1104" s="1572"/>
      <c r="BR1104" s="1572"/>
      <c r="BS1104" s="1572"/>
      <c r="BT1104" s="1572"/>
      <c r="BU1104" s="1572"/>
      <c r="BV1104" s="1572"/>
    </row>
    <row r="1105" spans="1:74" s="41" customFormat="1" ht="12.75" x14ac:dyDescent="0.2">
      <c r="A1105" s="1904"/>
      <c r="B1105" s="2017" t="s">
        <v>889</v>
      </c>
      <c r="C1105" s="834" t="s">
        <v>901</v>
      </c>
      <c r="D1105" s="835">
        <v>6149.52</v>
      </c>
      <c r="E1105" s="835">
        <v>6552.48</v>
      </c>
      <c r="F1105" s="835">
        <v>5536.32</v>
      </c>
      <c r="G1105" s="835">
        <v>4782.96</v>
      </c>
      <c r="H1105" s="835">
        <v>7901.52</v>
      </c>
      <c r="I1105" s="835">
        <v>9653.52</v>
      </c>
      <c r="J1105" s="835">
        <v>13104.96</v>
      </c>
      <c r="K1105" s="835">
        <v>7831.44</v>
      </c>
      <c r="L1105" s="835">
        <v>10739.76</v>
      </c>
      <c r="M1105" s="835">
        <v>8111.76</v>
      </c>
      <c r="N1105" s="835">
        <v>10249.200000000001</v>
      </c>
      <c r="O1105" s="835">
        <v>8589.24</v>
      </c>
      <c r="P1105" s="1904"/>
      <c r="Q1105" s="1904"/>
      <c r="R1105" s="1904"/>
      <c r="S1105" s="1904"/>
      <c r="T1105" s="1904"/>
      <c r="U1105" s="1904"/>
      <c r="V1105" s="1904"/>
      <c r="W1105" s="1904"/>
      <c r="X1105" s="1904"/>
      <c r="Y1105" s="1904"/>
      <c r="Z1105" s="1904"/>
      <c r="AA1105" s="1904"/>
      <c r="AB1105" s="1904"/>
      <c r="AC1105" s="1904"/>
      <c r="AD1105" s="1904"/>
      <c r="AE1105" s="1904"/>
      <c r="AF1105" s="1904"/>
      <c r="AG1105" s="1904"/>
      <c r="AH1105" s="1904"/>
      <c r="AI1105" s="1904"/>
      <c r="AJ1105" s="1904"/>
      <c r="AK1105" s="1904"/>
      <c r="AL1105" s="1904"/>
      <c r="AM1105" s="1904"/>
      <c r="AN1105" s="1904"/>
      <c r="AO1105" s="1904"/>
      <c r="AP1105" s="1904"/>
      <c r="AQ1105" s="1904"/>
      <c r="AR1105" s="1904"/>
      <c r="AS1105" s="1904"/>
      <c r="AT1105" s="1904"/>
      <c r="AU1105" s="1904"/>
      <c r="AV1105" s="1904"/>
      <c r="AW1105" s="1904"/>
      <c r="AX1105" s="1904"/>
      <c r="AY1105" s="1904"/>
    </row>
    <row r="1106" spans="1:74" s="41" customFormat="1" ht="12.75" x14ac:dyDescent="0.2">
      <c r="A1106" s="1907"/>
      <c r="B1106" s="2017">
        <v>315</v>
      </c>
      <c r="C1106" s="834" t="s">
        <v>902</v>
      </c>
      <c r="D1106" s="835">
        <v>1489.2</v>
      </c>
      <c r="E1106" s="835">
        <v>1839.6</v>
      </c>
      <c r="F1106" s="835">
        <v>2873.28</v>
      </c>
      <c r="G1106" s="835">
        <v>2925.84</v>
      </c>
      <c r="H1106" s="835">
        <v>5080.8</v>
      </c>
      <c r="I1106" s="835">
        <v>3171.12</v>
      </c>
      <c r="J1106" s="835">
        <v>4765.4399999999996</v>
      </c>
      <c r="K1106" s="835">
        <v>3083.52</v>
      </c>
      <c r="L1106" s="835">
        <v>4677.84</v>
      </c>
      <c r="M1106" s="835">
        <v>2557.92</v>
      </c>
      <c r="N1106" s="835">
        <v>2154.96</v>
      </c>
      <c r="O1106" s="835">
        <v>1908.72</v>
      </c>
      <c r="P1106" s="1908"/>
      <c r="Q1106" s="1908"/>
      <c r="R1106" s="1908"/>
      <c r="S1106" s="1908"/>
      <c r="T1106" s="1908"/>
      <c r="U1106" s="1908"/>
      <c r="V1106" s="1908"/>
      <c r="W1106" s="1908"/>
      <c r="X1106" s="1908"/>
      <c r="Y1106" s="1908"/>
      <c r="Z1106" s="1908"/>
      <c r="AA1106" s="1908"/>
      <c r="AB1106" s="1908"/>
      <c r="AC1106" s="1908"/>
      <c r="AD1106" s="1908"/>
      <c r="AE1106" s="1908"/>
      <c r="AF1106" s="1908"/>
      <c r="AG1106" s="1908"/>
      <c r="AH1106" s="1908"/>
      <c r="AI1106" s="1908"/>
      <c r="AJ1106" s="1908"/>
      <c r="AK1106" s="1908"/>
      <c r="AL1106" s="1908"/>
      <c r="AM1106" s="1908"/>
      <c r="AN1106" s="1908"/>
      <c r="AO1106" s="1908"/>
      <c r="AP1106" s="1908"/>
      <c r="AQ1106" s="1908"/>
      <c r="AR1106" s="1908"/>
      <c r="AS1106" s="1908"/>
      <c r="AT1106" s="1908"/>
      <c r="AU1106" s="1908"/>
      <c r="AV1106" s="1908"/>
      <c r="AW1106" s="1908"/>
      <c r="AX1106" s="1908"/>
      <c r="AY1106" s="1908"/>
      <c r="AZ1106" s="1908"/>
      <c r="BA1106" s="1908"/>
      <c r="BB1106" s="1908"/>
      <c r="BC1106" s="1908"/>
      <c r="BD1106" s="1908"/>
      <c r="BE1106" s="1908"/>
      <c r="BF1106" s="1908"/>
      <c r="BG1106" s="1908"/>
      <c r="BH1106" s="1908"/>
      <c r="BI1106" s="1908"/>
      <c r="BJ1106" s="1908"/>
      <c r="BK1106" s="1908"/>
      <c r="BL1106" s="1908"/>
      <c r="BM1106" s="1908"/>
      <c r="BN1106" s="1908"/>
      <c r="BO1106" s="1908"/>
      <c r="BP1106" s="1908"/>
      <c r="BQ1106" s="1908"/>
      <c r="BR1106" s="1908"/>
      <c r="BS1106" s="1908"/>
      <c r="BT1106" s="1908"/>
      <c r="BU1106" s="1908"/>
      <c r="BV1106" s="1908"/>
    </row>
    <row r="1107" spans="1:74" s="41" customFormat="1" ht="12.75" x14ac:dyDescent="0.2">
      <c r="A1107" s="1571"/>
      <c r="B1107" s="2017" t="s">
        <v>892</v>
      </c>
      <c r="C1107" s="834" t="s">
        <v>903</v>
      </c>
      <c r="D1107" s="835">
        <v>5426</v>
      </c>
      <c r="E1107" s="835">
        <v>6119.55</v>
      </c>
      <c r="F1107" s="835">
        <v>7404.66</v>
      </c>
      <c r="G1107" s="835">
        <v>6364.33</v>
      </c>
      <c r="H1107" s="835">
        <v>10872.4</v>
      </c>
      <c r="I1107" s="835">
        <v>13136.640000000001</v>
      </c>
      <c r="J1107" s="835">
        <v>12381.89</v>
      </c>
      <c r="K1107" s="835">
        <v>11525.15</v>
      </c>
      <c r="L1107" s="835">
        <v>10097.26</v>
      </c>
      <c r="M1107" s="835">
        <v>6527.5199999999995</v>
      </c>
      <c r="N1107" s="835">
        <v>6364.33</v>
      </c>
      <c r="O1107" s="835">
        <v>7278.68</v>
      </c>
      <c r="P1107" s="1572"/>
      <c r="Q1107" s="1572"/>
      <c r="R1107" s="1572"/>
      <c r="S1107" s="1572"/>
      <c r="T1107" s="1572"/>
      <c r="U1107" s="1572"/>
      <c r="V1107" s="1572"/>
      <c r="W1107" s="1572"/>
      <c r="X1107" s="1572"/>
      <c r="Y1107" s="1572"/>
      <c r="Z1107" s="1572"/>
      <c r="AA1107" s="1572"/>
      <c r="AB1107" s="1572"/>
      <c r="AC1107" s="1572"/>
      <c r="AD1107" s="1572"/>
      <c r="AE1107" s="1572"/>
      <c r="AF1107" s="1572"/>
      <c r="AG1107" s="1572"/>
      <c r="AH1107" s="1572"/>
      <c r="AI1107" s="1572"/>
      <c r="AJ1107" s="1572"/>
      <c r="AK1107" s="1572"/>
      <c r="AL1107" s="1572"/>
      <c r="AM1107" s="1572"/>
      <c r="AN1107" s="1572"/>
      <c r="AO1107" s="1572"/>
      <c r="AP1107" s="1572"/>
      <c r="AQ1107" s="1572"/>
      <c r="AR1107" s="1572"/>
      <c r="AS1107" s="1572"/>
      <c r="AT1107" s="1572"/>
      <c r="AU1107" s="1572"/>
      <c r="AV1107" s="1572"/>
      <c r="AW1107" s="1572"/>
      <c r="AX1107" s="1572"/>
      <c r="AY1107" s="1572"/>
      <c r="AZ1107" s="1572"/>
      <c r="BA1107" s="1572"/>
      <c r="BB1107" s="1572"/>
      <c r="BC1107" s="1572"/>
      <c r="BD1107" s="1572"/>
      <c r="BE1107" s="1572"/>
      <c r="BF1107" s="1572"/>
      <c r="BG1107" s="1572"/>
      <c r="BH1107" s="1572"/>
      <c r="BI1107" s="1572"/>
      <c r="BJ1107" s="1572"/>
      <c r="BK1107" s="1572"/>
      <c r="BL1107" s="1572"/>
      <c r="BM1107" s="1572"/>
      <c r="BN1107" s="1572"/>
      <c r="BO1107" s="1572"/>
      <c r="BP1107" s="1572"/>
      <c r="BQ1107" s="1572"/>
      <c r="BR1107" s="1572"/>
      <c r="BS1107" s="1572"/>
      <c r="BT1107" s="1572"/>
      <c r="BU1107" s="1572"/>
      <c r="BV1107" s="1572"/>
    </row>
    <row r="1108" spans="1:74" s="41" customFormat="1" ht="12.75" x14ac:dyDescent="0.2">
      <c r="A1108" s="1571"/>
      <c r="B1108" s="2018">
        <v>239</v>
      </c>
      <c r="C1108" s="2019" t="s">
        <v>1381</v>
      </c>
      <c r="D1108" s="2020">
        <v>700.8</v>
      </c>
      <c r="E1108" s="2020">
        <v>823.44</v>
      </c>
      <c r="F1108" s="2020">
        <v>1156.32</v>
      </c>
      <c r="G1108" s="2020">
        <v>998.64</v>
      </c>
      <c r="H1108" s="2020">
        <v>1436.64</v>
      </c>
      <c r="I1108" s="2020">
        <v>1909.68</v>
      </c>
      <c r="J1108" s="2020">
        <v>2014.8</v>
      </c>
      <c r="K1108" s="2020">
        <v>1629.36</v>
      </c>
      <c r="L1108" s="2020">
        <v>1979.76</v>
      </c>
      <c r="M1108" s="2020">
        <v>1033.68</v>
      </c>
      <c r="N1108" s="2020">
        <v>805.92</v>
      </c>
      <c r="O1108" s="2020">
        <v>1019.43</v>
      </c>
      <c r="P1108" s="1844"/>
      <c r="Q1108" s="1844"/>
      <c r="R1108" s="1844"/>
      <c r="S1108" s="1844"/>
      <c r="T1108" s="1844"/>
      <c r="U1108" s="1844"/>
      <c r="V1108" s="1844"/>
      <c r="W1108" s="1844"/>
      <c r="X1108" s="1844"/>
      <c r="Y1108" s="1844"/>
      <c r="Z1108" s="1844"/>
      <c r="AA1108" s="1844"/>
      <c r="AB1108" s="1844"/>
      <c r="AC1108" s="1844"/>
      <c r="AD1108" s="1844"/>
      <c r="AE1108" s="1844"/>
      <c r="AF1108" s="1844"/>
      <c r="AG1108" s="1844"/>
      <c r="AH1108" s="1844"/>
      <c r="AI1108" s="1844"/>
      <c r="AJ1108" s="1844"/>
      <c r="AK1108" s="1844"/>
      <c r="AL1108" s="1844"/>
      <c r="AM1108" s="1844"/>
      <c r="AN1108" s="1844"/>
      <c r="AO1108" s="1844"/>
      <c r="AP1108" s="1844"/>
      <c r="AQ1108" s="1844"/>
      <c r="AR1108" s="1844"/>
      <c r="AS1108" s="1844"/>
      <c r="AT1108" s="1844"/>
      <c r="AU1108" s="1844"/>
      <c r="AV1108" s="1844"/>
      <c r="AW1108" s="1844"/>
      <c r="AX1108" s="1844"/>
      <c r="AY1108" s="1844"/>
      <c r="AZ1108" s="1844"/>
      <c r="BA1108" s="1844"/>
      <c r="BB1108" s="1844"/>
      <c r="BC1108" s="1844"/>
      <c r="BD1108" s="1844"/>
      <c r="BE1108" s="1844"/>
      <c r="BF1108" s="1844"/>
      <c r="BG1108" s="1844"/>
      <c r="BH1108" s="1844"/>
      <c r="BI1108" s="1844"/>
      <c r="BJ1108" s="1844"/>
      <c r="BK1108" s="1844"/>
      <c r="BL1108" s="1844"/>
      <c r="BM1108" s="1844"/>
      <c r="BN1108" s="1844"/>
      <c r="BO1108" s="1844"/>
      <c r="BP1108" s="1844"/>
      <c r="BQ1108" s="1844"/>
      <c r="BR1108" s="1844"/>
      <c r="BS1108" s="1844"/>
      <c r="BT1108" s="1844"/>
      <c r="BU1108" s="1844"/>
      <c r="BV1108" s="1844"/>
    </row>
    <row r="1109" spans="1:74" s="41" customFormat="1" ht="12.75" x14ac:dyDescent="0.2">
      <c r="A1109" s="1904"/>
      <c r="B1109" s="2030"/>
      <c r="C1109" s="26"/>
      <c r="D1109"/>
      <c r="E1109"/>
      <c r="F1109"/>
      <c r="G1109"/>
      <c r="H1109"/>
      <c r="I1109"/>
      <c r="J1109"/>
      <c r="K1109"/>
      <c r="L1109"/>
      <c r="M1109"/>
      <c r="N1109"/>
      <c r="O1109"/>
      <c r="P1109" s="1904"/>
      <c r="Q1109" s="1904"/>
      <c r="R1109" s="1904"/>
      <c r="S1109" s="1904"/>
      <c r="T1109" s="1904"/>
      <c r="U1109" s="1904"/>
      <c r="V1109" s="1904"/>
      <c r="W1109" s="1904"/>
      <c r="X1109" s="1904"/>
      <c r="Y1109" s="1904"/>
      <c r="Z1109" s="1904"/>
      <c r="AA1109" s="1904"/>
      <c r="AB1109" s="1904"/>
      <c r="AC1109" s="1904"/>
      <c r="AD1109" s="1904"/>
      <c r="AE1109" s="1904"/>
      <c r="AF1109" s="1904"/>
      <c r="AG1109" s="1904"/>
      <c r="AH1109" s="1904"/>
      <c r="AI1109" s="1904"/>
      <c r="AJ1109" s="1904"/>
      <c r="AK1109" s="1904"/>
      <c r="AL1109" s="1904"/>
      <c r="AM1109" s="1904"/>
      <c r="AN1109" s="1904"/>
      <c r="AO1109" s="1904"/>
      <c r="AP1109" s="1904"/>
      <c r="AQ1109" s="1904"/>
      <c r="AR1109" s="1904"/>
      <c r="AS1109" s="1904"/>
      <c r="AT1109" s="1904"/>
      <c r="AU1109" s="1904"/>
      <c r="AV1109" s="1904"/>
      <c r="AW1109" s="1904"/>
      <c r="AX1109" s="1904"/>
      <c r="AY1109" s="1904"/>
    </row>
    <row r="1110" spans="1:74" s="41" customFormat="1" ht="12.75" x14ac:dyDescent="0.2">
      <c r="A1110" s="1905"/>
      <c r="B1110" s="1946" t="s">
        <v>904</v>
      </c>
      <c r="C1110" s="1947"/>
      <c r="D1110"/>
      <c r="E1110"/>
      <c r="F1110"/>
      <c r="G1110"/>
      <c r="H1110"/>
      <c r="I1110"/>
      <c r="J1110"/>
      <c r="K1110"/>
      <c r="L1110"/>
      <c r="M1110"/>
      <c r="N1110"/>
      <c r="O1110"/>
      <c r="P1110" s="1906"/>
      <c r="Q1110" s="1906"/>
      <c r="R1110" s="1906"/>
      <c r="S1110" s="1906"/>
      <c r="T1110" s="1906"/>
      <c r="U1110" s="1906"/>
      <c r="V1110" s="1906"/>
      <c r="W1110" s="1906"/>
      <c r="X1110" s="1906"/>
      <c r="Y1110" s="1906"/>
      <c r="Z1110" s="1906"/>
      <c r="AA1110" s="1906"/>
      <c r="AB1110" s="1906"/>
      <c r="AC1110" s="1906"/>
      <c r="AD1110" s="1906"/>
      <c r="AE1110" s="1906"/>
      <c r="AF1110" s="1906"/>
      <c r="AG1110" s="1906"/>
      <c r="AH1110" s="1906"/>
      <c r="AI1110" s="1906"/>
      <c r="AJ1110" s="1906"/>
      <c r="AK1110" s="1906"/>
      <c r="AL1110" s="1906"/>
      <c r="AM1110" s="1906"/>
      <c r="AN1110" s="1906"/>
      <c r="AO1110" s="1906"/>
      <c r="AP1110" s="1906"/>
      <c r="AQ1110" s="1906"/>
      <c r="AR1110" s="1906"/>
      <c r="AS1110" s="1906"/>
      <c r="AT1110" s="1906"/>
      <c r="AU1110" s="1906"/>
      <c r="AV1110" s="1906"/>
      <c r="AW1110" s="1906"/>
      <c r="AX1110" s="1906"/>
      <c r="AY1110" s="1906"/>
      <c r="AZ1110" s="1906"/>
      <c r="BA1110" s="1906"/>
      <c r="BB1110" s="1906"/>
      <c r="BC1110" s="1906"/>
      <c r="BD1110" s="1906"/>
      <c r="BE1110" s="1906"/>
      <c r="BF1110" s="1906"/>
      <c r="BG1110" s="1906"/>
      <c r="BH1110" s="1906"/>
      <c r="BI1110" s="1906"/>
      <c r="BJ1110" s="1906"/>
      <c r="BK1110" s="1906"/>
      <c r="BL1110" s="1906"/>
      <c r="BM1110" s="1906"/>
      <c r="BN1110" s="1906"/>
      <c r="BO1110" s="1906"/>
      <c r="BP1110" s="1906"/>
      <c r="BQ1110" s="1906"/>
      <c r="BR1110" s="1906"/>
      <c r="BS1110" s="1906"/>
      <c r="BT1110" s="1906"/>
      <c r="BU1110" s="1906"/>
      <c r="BV1110" s="1906"/>
    </row>
    <row r="1111" spans="1:74" s="41" customFormat="1" ht="12.75" x14ac:dyDescent="0.2">
      <c r="A1111" s="1571"/>
      <c r="B1111" s="1564" t="s">
        <v>654</v>
      </c>
      <c r="C1111" s="825" t="s">
        <v>655</v>
      </c>
      <c r="D1111" s="826">
        <v>42552</v>
      </c>
      <c r="E1111" s="826">
        <v>42583</v>
      </c>
      <c r="F1111" s="826">
        <v>42614</v>
      </c>
      <c r="G1111" s="826">
        <v>42644</v>
      </c>
      <c r="H1111" s="826">
        <v>42675</v>
      </c>
      <c r="I1111" s="826">
        <v>42705</v>
      </c>
      <c r="J1111" s="826">
        <v>42736</v>
      </c>
      <c r="K1111" s="826">
        <v>42767</v>
      </c>
      <c r="L1111" s="826">
        <v>42795</v>
      </c>
      <c r="M1111" s="826">
        <v>42826</v>
      </c>
      <c r="N1111" s="826">
        <v>42856</v>
      </c>
      <c r="O1111" s="826">
        <v>42887</v>
      </c>
      <c r="P1111" s="1572"/>
      <c r="Q1111" s="1572"/>
      <c r="R1111" s="1572"/>
      <c r="S1111" s="1572"/>
      <c r="T1111" s="1572"/>
      <c r="U1111" s="1572"/>
      <c r="V1111" s="1572"/>
      <c r="W1111" s="1572"/>
      <c r="X1111" s="1572"/>
      <c r="Y1111" s="1572"/>
      <c r="Z1111" s="1572"/>
      <c r="AA1111" s="1572"/>
      <c r="AB1111" s="1572"/>
      <c r="AC1111" s="1572"/>
      <c r="AD1111" s="1572"/>
      <c r="AE1111" s="1572"/>
      <c r="AF1111" s="1572"/>
      <c r="AG1111" s="1572"/>
      <c r="AH1111" s="1572"/>
      <c r="AI1111" s="1572"/>
      <c r="AJ1111" s="1572"/>
      <c r="AK1111" s="1572"/>
      <c r="AL1111" s="1572"/>
      <c r="AM1111" s="1572"/>
      <c r="AN1111" s="1572"/>
      <c r="AO1111" s="1572"/>
      <c r="AP1111" s="1572"/>
      <c r="AQ1111" s="1572"/>
      <c r="AR1111" s="1572"/>
      <c r="AS1111" s="1572"/>
      <c r="AT1111" s="1572"/>
      <c r="AU1111" s="1572"/>
      <c r="AV1111" s="1572"/>
      <c r="AW1111" s="1572"/>
      <c r="AX1111" s="1572"/>
      <c r="AY1111" s="1572"/>
      <c r="AZ1111" s="1572"/>
      <c r="BA1111" s="1572"/>
      <c r="BB1111" s="1572"/>
      <c r="BC1111" s="1572"/>
      <c r="BD1111" s="1572"/>
      <c r="BE1111" s="1572"/>
      <c r="BF1111" s="1572"/>
      <c r="BG1111" s="1572"/>
      <c r="BH1111" s="1572"/>
      <c r="BI1111" s="1572"/>
      <c r="BJ1111" s="1572"/>
      <c r="BK1111" s="1572"/>
      <c r="BL1111" s="1572"/>
      <c r="BM1111" s="1572"/>
      <c r="BN1111" s="1572"/>
      <c r="BO1111" s="1572"/>
      <c r="BP1111" s="1572"/>
      <c r="BQ1111" s="1572"/>
      <c r="BR1111" s="1572"/>
      <c r="BS1111" s="1572"/>
      <c r="BT1111" s="1572"/>
      <c r="BU1111" s="1572"/>
      <c r="BV1111" s="1572"/>
    </row>
    <row r="1112" spans="1:74" s="41" customFormat="1" ht="12.75" x14ac:dyDescent="0.2">
      <c r="A1112" s="1904"/>
      <c r="B1112" s="2031" t="s">
        <v>889</v>
      </c>
      <c r="C1112" s="2032" t="s">
        <v>905</v>
      </c>
      <c r="D1112" s="2033">
        <v>347964.0001</v>
      </c>
      <c r="E1112" s="2033">
        <v>386276</v>
      </c>
      <c r="F1112" s="2033">
        <v>446391.0000459</v>
      </c>
      <c r="G1112" s="2033">
        <v>292376</v>
      </c>
      <c r="H1112" s="2033">
        <v>228639</v>
      </c>
      <c r="I1112" s="2033">
        <v>69000</v>
      </c>
      <c r="J1112" s="2033">
        <v>128000</v>
      </c>
      <c r="K1112" s="2033">
        <v>213000</v>
      </c>
      <c r="L1112" s="2033">
        <v>208295.0000459</v>
      </c>
      <c r="M1112" s="2033">
        <v>298425.00014590001</v>
      </c>
      <c r="N1112" s="2033">
        <v>287539.0000459</v>
      </c>
      <c r="O1112" s="2033">
        <v>287916</v>
      </c>
      <c r="P1112" s="1904"/>
      <c r="Q1112" s="1904"/>
      <c r="R1112" s="1904"/>
      <c r="S1112" s="1904"/>
      <c r="T1112" s="1904"/>
      <c r="U1112" s="1904"/>
      <c r="V1112" s="1904"/>
      <c r="W1112" s="1904"/>
      <c r="X1112" s="1904"/>
      <c r="Y1112" s="1904"/>
      <c r="Z1112" s="1904"/>
      <c r="AA1112" s="1904"/>
      <c r="AB1112" s="1904"/>
      <c r="AC1112" s="1904"/>
      <c r="AD1112" s="1904"/>
      <c r="AE1112" s="1904"/>
      <c r="AF1112" s="1904"/>
      <c r="AG1112" s="1904"/>
      <c r="AH1112" s="1904"/>
      <c r="AI1112" s="1904"/>
      <c r="AJ1112" s="1904"/>
      <c r="AK1112" s="1904"/>
      <c r="AL1112" s="1904"/>
      <c r="AM1112" s="1904"/>
      <c r="AN1112" s="1904"/>
      <c r="AO1112" s="1904"/>
      <c r="AP1112" s="1904"/>
      <c r="AQ1112" s="1904"/>
      <c r="AR1112" s="1904"/>
      <c r="AS1112" s="1904"/>
      <c r="AT1112" s="1904"/>
      <c r="AU1112" s="1904"/>
      <c r="AV1112" s="1904"/>
      <c r="AW1112" s="1904"/>
      <c r="AX1112" s="1904"/>
      <c r="AY1112" s="1904"/>
    </row>
    <row r="1113" spans="1:74" s="41" customFormat="1" ht="12.75" x14ac:dyDescent="0.2">
      <c r="A1113" s="1905"/>
      <c r="B1113" s="2034">
        <v>315</v>
      </c>
      <c r="C1113" s="2035" t="s">
        <v>906</v>
      </c>
      <c r="D1113" s="2036">
        <v>146908</v>
      </c>
      <c r="E1113" s="2036">
        <v>171372</v>
      </c>
      <c r="F1113" s="2036">
        <v>218777.00001729999</v>
      </c>
      <c r="G1113" s="2036">
        <v>168072</v>
      </c>
      <c r="H1113" s="2036">
        <v>159633</v>
      </c>
      <c r="I1113" s="2036">
        <v>50000</v>
      </c>
      <c r="J1113" s="2036">
        <v>112000</v>
      </c>
      <c r="K1113" s="2036">
        <v>174000</v>
      </c>
      <c r="L1113" s="2036">
        <v>155865.00001729999</v>
      </c>
      <c r="M1113" s="2036">
        <v>155975.00001730002</v>
      </c>
      <c r="N1113" s="2036">
        <v>94933.000017300001</v>
      </c>
      <c r="O1113" s="2036">
        <v>57452</v>
      </c>
      <c r="P1113" s="1906"/>
      <c r="Q1113" s="1906"/>
      <c r="R1113" s="1906"/>
      <c r="S1113" s="1906"/>
      <c r="T1113" s="1906"/>
      <c r="U1113" s="1906"/>
      <c r="V1113" s="1906"/>
      <c r="W1113" s="1906"/>
      <c r="X1113" s="1906"/>
      <c r="Y1113" s="1906"/>
      <c r="Z1113" s="1906"/>
      <c r="AA1113" s="1906"/>
      <c r="AB1113" s="1906"/>
      <c r="AC1113" s="1906"/>
      <c r="AD1113" s="1906"/>
      <c r="AE1113" s="1906"/>
      <c r="AF1113" s="1906"/>
      <c r="AG1113" s="1906"/>
      <c r="AH1113" s="1906"/>
      <c r="AI1113" s="1906"/>
      <c r="AJ1113" s="1906"/>
      <c r="AK1113" s="1906"/>
      <c r="AL1113" s="1906"/>
      <c r="AM1113" s="1906"/>
      <c r="AN1113" s="1906"/>
      <c r="AO1113" s="1906"/>
      <c r="AP1113" s="1906"/>
      <c r="AQ1113" s="1906"/>
      <c r="AR1113" s="1906"/>
      <c r="AS1113" s="1906"/>
      <c r="AT1113" s="1906"/>
      <c r="AU1113" s="1906"/>
      <c r="AV1113" s="1906"/>
      <c r="AW1113" s="1906"/>
      <c r="AX1113" s="1906"/>
      <c r="AY1113" s="1906"/>
      <c r="AZ1113" s="1906"/>
      <c r="BA1113" s="1906"/>
      <c r="BB1113" s="1906"/>
      <c r="BC1113" s="1906"/>
      <c r="BD1113" s="1906"/>
      <c r="BE1113" s="1906"/>
      <c r="BF1113" s="1906"/>
      <c r="BG1113" s="1906"/>
      <c r="BH1113" s="1906"/>
      <c r="BI1113" s="1906"/>
      <c r="BJ1113" s="1906"/>
      <c r="BK1113" s="1906"/>
      <c r="BL1113" s="1906"/>
      <c r="BM1113" s="1906"/>
      <c r="BN1113" s="1906"/>
      <c r="BO1113" s="1906"/>
      <c r="BP1113" s="1906"/>
      <c r="BQ1113" s="1906"/>
      <c r="BR1113" s="1906"/>
      <c r="BS1113" s="1906"/>
      <c r="BT1113" s="1906"/>
      <c r="BU1113" s="1906"/>
      <c r="BV1113" s="1906"/>
    </row>
    <row r="1114" spans="1:74" s="41" customFormat="1" ht="12.75" x14ac:dyDescent="0.2">
      <c r="A1114" s="1571"/>
      <c r="B1114" s="2034" t="s">
        <v>892</v>
      </c>
      <c r="C1114" s="2035" t="s">
        <v>907</v>
      </c>
      <c r="D1114" s="2036">
        <v>117128</v>
      </c>
      <c r="E1114" s="2036">
        <v>239352</v>
      </c>
      <c r="F1114" s="2036">
        <v>362832.00003679999</v>
      </c>
      <c r="G1114" s="2036">
        <v>265552</v>
      </c>
      <c r="H1114" s="2036">
        <v>246728</v>
      </c>
      <c r="I1114" s="2036">
        <v>75000</v>
      </c>
      <c r="J1114" s="2036">
        <v>173000</v>
      </c>
      <c r="K1114" s="2036">
        <v>270000</v>
      </c>
      <c r="L1114" s="2036">
        <v>245840.00003679999</v>
      </c>
      <c r="M1114" s="2036">
        <v>263600.00003679999</v>
      </c>
      <c r="N1114" s="2036">
        <v>157528.00003679999</v>
      </c>
      <c r="O1114" s="2036">
        <v>90632</v>
      </c>
      <c r="P1114" s="1572"/>
      <c r="Q1114" s="1572"/>
      <c r="R1114" s="1572"/>
      <c r="S1114" s="1572"/>
      <c r="T1114" s="1572"/>
      <c r="U1114" s="1572"/>
      <c r="V1114" s="1572"/>
      <c r="W1114" s="1572"/>
      <c r="X1114" s="1572"/>
      <c r="Y1114" s="1572"/>
      <c r="Z1114" s="1572"/>
      <c r="AA1114" s="1572"/>
      <c r="AB1114" s="1572"/>
      <c r="AC1114" s="1572"/>
      <c r="AD1114" s="1572"/>
      <c r="AE1114" s="1572"/>
      <c r="AF1114" s="1572"/>
      <c r="AG1114" s="1572"/>
      <c r="AH1114" s="1572"/>
      <c r="AI1114" s="1572"/>
      <c r="AJ1114" s="1572"/>
      <c r="AK1114" s="1572"/>
      <c r="AL1114" s="1572"/>
      <c r="AM1114" s="1572"/>
      <c r="AN1114" s="1572"/>
      <c r="AO1114" s="1572"/>
      <c r="AP1114" s="1572"/>
      <c r="AQ1114" s="1572"/>
      <c r="AR1114" s="1572"/>
      <c r="AS1114" s="1572"/>
      <c r="AT1114" s="1572"/>
      <c r="AU1114" s="1572"/>
      <c r="AV1114" s="1572"/>
      <c r="AW1114" s="1572"/>
      <c r="AX1114" s="1572"/>
      <c r="AY1114" s="1572"/>
      <c r="AZ1114" s="1572"/>
      <c r="BA1114" s="1572"/>
      <c r="BB1114" s="1572"/>
      <c r="BC1114" s="1572"/>
      <c r="BD1114" s="1572"/>
      <c r="BE1114" s="1572"/>
      <c r="BF1114" s="1572"/>
      <c r="BG1114" s="1572"/>
      <c r="BH1114" s="1572"/>
      <c r="BI1114" s="1572"/>
      <c r="BJ1114" s="1572"/>
      <c r="BK1114" s="1572"/>
      <c r="BL1114" s="1572"/>
      <c r="BM1114" s="1572"/>
      <c r="BN1114" s="1572"/>
      <c r="BO1114" s="1572"/>
      <c r="BP1114" s="1572"/>
      <c r="BQ1114" s="1572"/>
      <c r="BR1114" s="1572"/>
      <c r="BS1114" s="1572"/>
      <c r="BT1114" s="1572"/>
      <c r="BU1114" s="1572"/>
      <c r="BV1114" s="1572"/>
    </row>
    <row r="1115" spans="1:74" s="41" customFormat="1" ht="12.75" x14ac:dyDescent="0.2">
      <c r="A1115" s="1904"/>
      <c r="B1115" s="2037">
        <v>239</v>
      </c>
      <c r="C1115" s="2038" t="s">
        <v>1382</v>
      </c>
      <c r="D1115" s="2039">
        <v>57000</v>
      </c>
      <c r="E1115" s="2039">
        <v>113000</v>
      </c>
      <c r="F1115" s="2039">
        <v>230000</v>
      </c>
      <c r="G1115" s="2039">
        <v>126000</v>
      </c>
      <c r="H1115" s="2039">
        <v>97000</v>
      </c>
      <c r="I1115" s="2039">
        <v>32000</v>
      </c>
      <c r="J1115" s="2039">
        <v>76000</v>
      </c>
      <c r="K1115" s="2039">
        <v>108000</v>
      </c>
      <c r="L1115" s="2039">
        <v>104000</v>
      </c>
      <c r="M1115" s="2039">
        <v>111000</v>
      </c>
      <c r="N1115" s="2039">
        <v>54000</v>
      </c>
      <c r="O1115" s="2039">
        <v>48000</v>
      </c>
      <c r="P1115" s="1904"/>
      <c r="Q1115" s="1904"/>
      <c r="R1115" s="1904"/>
      <c r="S1115" s="1904"/>
      <c r="T1115" s="1904"/>
      <c r="U1115" s="1904"/>
      <c r="V1115" s="1904"/>
      <c r="W1115" s="1904"/>
      <c r="X1115" s="1904"/>
      <c r="Y1115" s="1904"/>
      <c r="Z1115" s="1904"/>
      <c r="AA1115" s="1904"/>
      <c r="AB1115" s="1904"/>
      <c r="AC1115" s="1904"/>
      <c r="AD1115" s="1904"/>
      <c r="AE1115" s="1904"/>
      <c r="AF1115" s="1904"/>
      <c r="AG1115" s="1904"/>
      <c r="AH1115" s="1904"/>
      <c r="AI1115" s="1904"/>
      <c r="AJ1115" s="1904"/>
      <c r="AK1115" s="1904"/>
      <c r="AL1115" s="1904"/>
      <c r="AM1115" s="1904"/>
      <c r="AN1115" s="1904"/>
      <c r="AO1115" s="1904"/>
      <c r="AP1115" s="1904"/>
      <c r="AQ1115" s="1904"/>
      <c r="AR1115" s="1904"/>
      <c r="AS1115" s="1904"/>
      <c r="AT1115" s="1904"/>
      <c r="AU1115" s="1904"/>
      <c r="AV1115" s="1904"/>
      <c r="AW1115" s="1904"/>
      <c r="AX1115" s="1904"/>
      <c r="AY1115" s="1904"/>
    </row>
    <row r="1116" spans="1:74" s="41" customFormat="1" ht="12.75" x14ac:dyDescent="0.2">
      <c r="A1116" s="1907"/>
      <c r="B1116" s="2017" t="s">
        <v>889</v>
      </c>
      <c r="C1116" s="834" t="s">
        <v>908</v>
      </c>
      <c r="D1116" s="835">
        <v>3726.0803999999998</v>
      </c>
      <c r="E1116" s="835">
        <v>2995.2107999999998</v>
      </c>
      <c r="F1116" s="835">
        <v>3627.3685</v>
      </c>
      <c r="G1116" s="835">
        <v>3822.692</v>
      </c>
      <c r="H1116" s="835">
        <v>2974.6505999999999</v>
      </c>
      <c r="I1116" s="835">
        <v>1984.5</v>
      </c>
      <c r="J1116" s="835">
        <v>1298.2</v>
      </c>
      <c r="K1116" s="835">
        <v>2999</v>
      </c>
      <c r="L1116" s="835">
        <v>2198.6914999999999</v>
      </c>
      <c r="M1116" s="835">
        <v>2480.1724999999997</v>
      </c>
      <c r="N1116" s="835">
        <v>4088.5659000000001</v>
      </c>
      <c r="O1116" s="835">
        <v>3343.0792000000001</v>
      </c>
      <c r="P1116" s="1908"/>
      <c r="Q1116" s="1908"/>
      <c r="R1116" s="1908"/>
      <c r="S1116" s="1908"/>
      <c r="T1116" s="1908"/>
      <c r="U1116" s="1908"/>
      <c r="V1116" s="1908"/>
      <c r="W1116" s="1908"/>
      <c r="X1116" s="1908"/>
      <c r="Y1116" s="1908"/>
      <c r="Z1116" s="1908"/>
      <c r="AA1116" s="1908"/>
      <c r="AB1116" s="1908"/>
      <c r="AC1116" s="1908"/>
      <c r="AD1116" s="1908"/>
      <c r="AE1116" s="1908"/>
      <c r="AF1116" s="1908"/>
      <c r="AG1116" s="1908"/>
      <c r="AH1116" s="1908"/>
      <c r="AI1116" s="1908"/>
      <c r="AJ1116" s="1908"/>
      <c r="AK1116" s="1908"/>
      <c r="AL1116" s="1908"/>
      <c r="AM1116" s="1908"/>
      <c r="AN1116" s="1908"/>
      <c r="AO1116" s="1908"/>
      <c r="AP1116" s="1908"/>
      <c r="AQ1116" s="1908"/>
      <c r="AR1116" s="1908"/>
      <c r="AS1116" s="1908"/>
      <c r="AT1116" s="1908"/>
      <c r="AU1116" s="1908"/>
      <c r="AV1116" s="1908"/>
      <c r="AW1116" s="1908"/>
      <c r="AX1116" s="1908"/>
      <c r="AY1116" s="1908"/>
      <c r="AZ1116" s="1908"/>
      <c r="BA1116" s="1908"/>
      <c r="BB1116" s="1908"/>
      <c r="BC1116" s="1908"/>
      <c r="BD1116" s="1908"/>
      <c r="BE1116" s="1908"/>
      <c r="BF1116" s="1908"/>
      <c r="BG1116" s="1908"/>
      <c r="BH1116" s="1908"/>
      <c r="BI1116" s="1908"/>
      <c r="BJ1116" s="1908"/>
      <c r="BK1116" s="1908"/>
      <c r="BL1116" s="1908"/>
      <c r="BM1116" s="1908"/>
      <c r="BN1116" s="1908"/>
      <c r="BO1116" s="1908"/>
      <c r="BP1116" s="1908"/>
      <c r="BQ1116" s="1908"/>
      <c r="BR1116" s="1908"/>
      <c r="BS1116" s="1908"/>
      <c r="BT1116" s="1908"/>
      <c r="BU1116" s="1908"/>
      <c r="BV1116" s="1908"/>
    </row>
    <row r="1117" spans="1:74" s="41" customFormat="1" ht="12.75" x14ac:dyDescent="0.2">
      <c r="A1117" s="1571"/>
      <c r="B1117" s="2017">
        <v>315</v>
      </c>
      <c r="C1117" s="834" t="s">
        <v>909</v>
      </c>
      <c r="D1117" s="835">
        <v>1530.6387999999999</v>
      </c>
      <c r="E1117" s="835">
        <v>1330.0275999999999</v>
      </c>
      <c r="F1117" s="835">
        <v>1725.2195000000002</v>
      </c>
      <c r="G1117" s="835">
        <v>2040.8240000000001</v>
      </c>
      <c r="H1117" s="835">
        <v>1912.5182</v>
      </c>
      <c r="I1117" s="835">
        <v>1419</v>
      </c>
      <c r="J1117" s="835">
        <v>1071.8</v>
      </c>
      <c r="K1117" s="835">
        <v>2498</v>
      </c>
      <c r="L1117" s="835">
        <v>1737.7004999999999</v>
      </c>
      <c r="M1117" s="835">
        <v>1614.6075000000001</v>
      </c>
      <c r="N1117" s="835">
        <v>1728.4573</v>
      </c>
      <c r="O1117" s="835">
        <v>867.20240000000001</v>
      </c>
      <c r="P1117" s="1572"/>
      <c r="Q1117" s="1572"/>
      <c r="R1117" s="1572"/>
      <c r="S1117" s="1572"/>
      <c r="T1117" s="1572"/>
      <c r="U1117" s="1572"/>
      <c r="V1117" s="1572"/>
      <c r="W1117" s="1572"/>
      <c r="X1117" s="1572"/>
      <c r="Y1117" s="1572"/>
      <c r="Z1117" s="1572"/>
      <c r="AA1117" s="1572"/>
      <c r="AB1117" s="1572"/>
      <c r="AC1117" s="1572"/>
      <c r="AD1117" s="1572"/>
      <c r="AE1117" s="1572"/>
      <c r="AF1117" s="1572"/>
      <c r="AG1117" s="1572"/>
      <c r="AH1117" s="1572"/>
      <c r="AI1117" s="1572"/>
      <c r="AJ1117" s="1572"/>
      <c r="AK1117" s="1572"/>
      <c r="AL1117" s="1572"/>
      <c r="AM1117" s="1572"/>
      <c r="AN1117" s="1572"/>
      <c r="AO1117" s="1572"/>
      <c r="AP1117" s="1572"/>
      <c r="AQ1117" s="1572"/>
      <c r="AR1117" s="1572"/>
      <c r="AS1117" s="1572"/>
      <c r="AT1117" s="1572"/>
      <c r="AU1117" s="1572"/>
      <c r="AV1117" s="1572"/>
      <c r="AW1117" s="1572"/>
      <c r="AX1117" s="1572"/>
      <c r="AY1117" s="1572"/>
      <c r="AZ1117" s="1572"/>
      <c r="BA1117" s="1572"/>
      <c r="BB1117" s="1572"/>
      <c r="BC1117" s="1572"/>
      <c r="BD1117" s="1572"/>
      <c r="BE1117" s="1572"/>
      <c r="BF1117" s="1572"/>
      <c r="BG1117" s="1572"/>
      <c r="BH1117" s="1572"/>
      <c r="BI1117" s="1572"/>
      <c r="BJ1117" s="1572"/>
      <c r="BK1117" s="1572"/>
      <c r="BL1117" s="1572"/>
      <c r="BM1117" s="1572"/>
      <c r="BN1117" s="1572"/>
      <c r="BO1117" s="1572"/>
      <c r="BP1117" s="1572"/>
      <c r="BQ1117" s="1572"/>
      <c r="BR1117" s="1572"/>
      <c r="BS1117" s="1572"/>
      <c r="BT1117" s="1572"/>
      <c r="BU1117" s="1572"/>
      <c r="BV1117" s="1572"/>
    </row>
    <row r="1118" spans="1:74" s="41" customFormat="1" ht="12.75" x14ac:dyDescent="0.2">
      <c r="A1118" s="1571"/>
      <c r="B1118" s="2017" t="s">
        <v>892</v>
      </c>
      <c r="C1118" s="834" t="s">
        <v>910</v>
      </c>
      <c r="D1118" s="835">
        <v>942.98079999999993</v>
      </c>
      <c r="E1118" s="835">
        <v>1122.3616</v>
      </c>
      <c r="F1118" s="835">
        <v>2603.4119999999998</v>
      </c>
      <c r="G1118" s="835">
        <v>3106.9839999999999</v>
      </c>
      <c r="H1118" s="835">
        <v>2945.3312000000001</v>
      </c>
      <c r="I1118" s="835">
        <v>2156</v>
      </c>
      <c r="J1118" s="835">
        <v>1634.6999999999998</v>
      </c>
      <c r="K1118" s="835">
        <v>3864.5</v>
      </c>
      <c r="L1118" s="835">
        <v>2704.6080000000002</v>
      </c>
      <c r="M1118" s="835">
        <v>2601.3199999999997</v>
      </c>
      <c r="N1118" s="835">
        <v>2849.9767999999995</v>
      </c>
      <c r="O1118" s="835">
        <v>1336.4183999999998</v>
      </c>
      <c r="P1118" s="1844"/>
      <c r="Q1118" s="1844"/>
      <c r="R1118" s="1844"/>
      <c r="S1118" s="1844"/>
      <c r="T1118" s="1844"/>
      <c r="U1118" s="1844"/>
      <c r="V1118" s="1844"/>
      <c r="W1118" s="1844"/>
      <c r="X1118" s="1844"/>
      <c r="Y1118" s="1844"/>
      <c r="Z1118" s="1844"/>
      <c r="AA1118" s="1844"/>
      <c r="AB1118" s="1844"/>
      <c r="AC1118" s="1844"/>
      <c r="AD1118" s="1844"/>
      <c r="AE1118" s="1844"/>
      <c r="AF1118" s="1844"/>
      <c r="AG1118" s="1844"/>
      <c r="AH1118" s="1844"/>
      <c r="AI1118" s="1844"/>
      <c r="AJ1118" s="1844"/>
      <c r="AK1118" s="1844"/>
      <c r="AL1118" s="1844"/>
      <c r="AM1118" s="1844"/>
      <c r="AN1118" s="1844"/>
      <c r="AO1118" s="1844"/>
      <c r="AP1118" s="1844"/>
      <c r="AQ1118" s="1844"/>
      <c r="AR1118" s="1844"/>
      <c r="AS1118" s="1844"/>
      <c r="AT1118" s="1844"/>
      <c r="AU1118" s="1844"/>
      <c r="AV1118" s="1844"/>
      <c r="AW1118" s="1844"/>
      <c r="AX1118" s="1844"/>
      <c r="AY1118" s="1844"/>
      <c r="AZ1118" s="1844"/>
      <c r="BA1118" s="1844"/>
      <c r="BB1118" s="1844"/>
      <c r="BC1118" s="1844"/>
      <c r="BD1118" s="1844"/>
      <c r="BE1118" s="1844"/>
      <c r="BF1118" s="1844"/>
      <c r="BG1118" s="1844"/>
      <c r="BH1118" s="1844"/>
      <c r="BI1118" s="1844"/>
      <c r="BJ1118" s="1844"/>
      <c r="BK1118" s="1844"/>
      <c r="BL1118" s="1844"/>
      <c r="BM1118" s="1844"/>
      <c r="BN1118" s="1844"/>
      <c r="BO1118" s="1844"/>
      <c r="BP1118" s="1844"/>
      <c r="BQ1118" s="1844"/>
      <c r="BR1118" s="1844"/>
      <c r="BS1118" s="1844"/>
      <c r="BT1118" s="1844"/>
      <c r="BU1118" s="1844"/>
      <c r="BV1118" s="1844"/>
    </row>
    <row r="1119" spans="1:74" s="41" customFormat="1" ht="12.75" x14ac:dyDescent="0.2">
      <c r="A1119" s="1904"/>
      <c r="B1119" s="2018">
        <v>239</v>
      </c>
      <c r="C1119" s="2019" t="s">
        <v>1383</v>
      </c>
      <c r="D1119" s="2020">
        <v>347.7</v>
      </c>
      <c r="E1119" s="2020">
        <v>372.9</v>
      </c>
      <c r="F1119" s="2020">
        <v>805</v>
      </c>
      <c r="G1119" s="2020">
        <v>567</v>
      </c>
      <c r="H1119" s="2020">
        <v>523.79999999999995</v>
      </c>
      <c r="I1119" s="2020">
        <v>240</v>
      </c>
      <c r="J1119" s="2020">
        <v>486.4</v>
      </c>
      <c r="K1119" s="2020">
        <v>1080</v>
      </c>
      <c r="L1119" s="2020">
        <v>384.8</v>
      </c>
      <c r="M1119" s="2020">
        <v>410.7</v>
      </c>
      <c r="N1119" s="2020">
        <v>437.4</v>
      </c>
      <c r="O1119" s="2020">
        <v>297.60000000000002</v>
      </c>
      <c r="P1119" s="1904"/>
      <c r="Q1119" s="1904"/>
      <c r="R1119" s="1904"/>
      <c r="S1119" s="1904"/>
      <c r="T1119" s="1904"/>
      <c r="U1119" s="1904"/>
      <c r="V1119" s="1904"/>
      <c r="W1119" s="1904"/>
      <c r="X1119" s="1904"/>
      <c r="Y1119" s="1904"/>
      <c r="Z1119" s="1904"/>
      <c r="AA1119" s="1904"/>
      <c r="AB1119" s="1904"/>
      <c r="AC1119" s="1904"/>
      <c r="AD1119" s="1904"/>
      <c r="AE1119" s="1904"/>
      <c r="AF1119" s="1904"/>
      <c r="AG1119" s="1904"/>
      <c r="AH1119" s="1904"/>
      <c r="AI1119" s="1904"/>
      <c r="AJ1119" s="1904"/>
      <c r="AK1119" s="1904"/>
      <c r="AL1119" s="1904"/>
      <c r="AM1119" s="1904"/>
      <c r="AN1119" s="1904"/>
      <c r="AO1119" s="1904"/>
      <c r="AP1119" s="1904"/>
      <c r="AQ1119" s="1904"/>
      <c r="AR1119" s="1904"/>
      <c r="AS1119" s="1904"/>
      <c r="AT1119" s="1904"/>
      <c r="AU1119" s="1904"/>
      <c r="AV1119" s="1904"/>
      <c r="AW1119" s="1904"/>
      <c r="AX1119" s="1904"/>
      <c r="AY1119" s="1904"/>
    </row>
    <row r="1120" spans="1:74" s="697" customFormat="1" ht="12.75" x14ac:dyDescent="0.2">
      <c r="A1120" s="1571"/>
      <c r="B1120" s="500"/>
      <c r="C1120" s="1572"/>
      <c r="D1120" s="1572"/>
      <c r="E1120" s="1572"/>
      <c r="F1120" s="1572"/>
      <c r="G1120" s="1572"/>
      <c r="H1120" s="1572"/>
      <c r="I1120" s="1572"/>
      <c r="J1120" s="1572"/>
      <c r="K1120" s="1572"/>
      <c r="L1120" s="1572"/>
      <c r="M1120" s="1572"/>
      <c r="N1120" s="1572"/>
      <c r="O1120" s="1572"/>
      <c r="P1120" s="1572"/>
      <c r="Q1120" s="1572"/>
      <c r="R1120" s="1572"/>
      <c r="S1120" s="1572"/>
      <c r="T1120" s="1572"/>
      <c r="U1120" s="1572"/>
      <c r="V1120" s="1572"/>
      <c r="W1120" s="1572"/>
      <c r="X1120" s="1572"/>
      <c r="Y1120" s="1572"/>
      <c r="Z1120" s="1572"/>
      <c r="AA1120" s="1572"/>
      <c r="AB1120" s="1572"/>
      <c r="AC1120" s="1572"/>
      <c r="AD1120" s="1572"/>
      <c r="AE1120" s="1572"/>
      <c r="AF1120" s="1572"/>
      <c r="AG1120" s="1572"/>
      <c r="AH1120" s="1572"/>
      <c r="AI1120" s="1572"/>
      <c r="AJ1120" s="1572"/>
      <c r="AK1120" s="1572"/>
      <c r="AL1120" s="1572"/>
      <c r="AM1120" s="1572"/>
      <c r="AN1120" s="1572"/>
      <c r="AO1120" s="1572"/>
      <c r="AP1120" s="1572"/>
      <c r="AQ1120" s="1572"/>
      <c r="AR1120" s="1572"/>
      <c r="AS1120" s="1572"/>
      <c r="AT1120" s="1572"/>
      <c r="AU1120" s="1572"/>
      <c r="AV1120" s="1572"/>
      <c r="AW1120" s="1572"/>
      <c r="AX1120" s="1572"/>
      <c r="AY1120" s="1572"/>
      <c r="AZ1120" s="1572"/>
      <c r="BA1120" s="1572"/>
      <c r="BB1120" s="1572"/>
      <c r="BC1120" s="1572"/>
      <c r="BD1120" s="1572"/>
      <c r="BE1120" s="1572"/>
      <c r="BF1120" s="1572"/>
      <c r="BG1120" s="1572"/>
      <c r="BH1120" s="1572"/>
      <c r="BI1120" s="1572"/>
      <c r="BJ1120" s="1572"/>
      <c r="BK1120" s="1572"/>
      <c r="BL1120" s="1572"/>
      <c r="BM1120" s="1572"/>
      <c r="BN1120" s="1572"/>
      <c r="BO1120" s="1572"/>
      <c r="BP1120" s="1572"/>
      <c r="BQ1120" s="1572"/>
      <c r="BR1120" s="1572"/>
      <c r="BS1120" s="1572"/>
      <c r="BT1120" s="1572"/>
      <c r="BU1120" s="1572"/>
      <c r="BV1120" s="1572"/>
    </row>
    <row r="1121" spans="1:20" s="1468" customFormat="1" x14ac:dyDescent="0.25">
      <c r="A1121" s="462">
        <v>77</v>
      </c>
      <c r="B1121" s="460" t="s">
        <v>1575</v>
      </c>
      <c r="C1121" s="1467"/>
      <c r="T1121" s="460" t="s">
        <v>1291</v>
      </c>
    </row>
    <row r="1122" spans="1:20" s="1468" customFormat="1" x14ac:dyDescent="0.25">
      <c r="A1122" s="462"/>
      <c r="B1122" s="646" t="s">
        <v>1576</v>
      </c>
      <c r="C1122" s="2154">
        <v>42560</v>
      </c>
      <c r="D1122" s="2154">
        <v>42591</v>
      </c>
      <c r="E1122" s="2154">
        <v>42622</v>
      </c>
      <c r="F1122" s="2154">
        <v>42652</v>
      </c>
      <c r="G1122" s="2154">
        <v>42683</v>
      </c>
      <c r="H1122" s="2154">
        <v>42713</v>
      </c>
      <c r="I1122" s="2154">
        <v>42744</v>
      </c>
      <c r="J1122" s="2154">
        <v>42775</v>
      </c>
      <c r="K1122" s="2154">
        <v>42803</v>
      </c>
      <c r="L1122" s="2154">
        <v>42834</v>
      </c>
      <c r="M1122" s="2154">
        <v>42864</v>
      </c>
      <c r="N1122" s="2154">
        <v>42895</v>
      </c>
      <c r="O1122" s="626" t="s">
        <v>752</v>
      </c>
      <c r="T1122" s="460"/>
    </row>
    <row r="1123" spans="1:20" s="1468" customFormat="1" x14ac:dyDescent="0.25">
      <c r="A1123" s="462"/>
      <c r="B1123" s="345" t="s">
        <v>753</v>
      </c>
      <c r="C1123" s="345"/>
      <c r="D1123" s="345"/>
      <c r="E1123" s="345"/>
      <c r="F1123" s="345"/>
      <c r="G1123" s="345"/>
      <c r="H1123" s="345"/>
      <c r="I1123" s="345"/>
      <c r="J1123" s="345"/>
      <c r="K1123" s="345"/>
      <c r="L1123" s="345"/>
      <c r="M1123" s="345"/>
      <c r="N1123" s="345"/>
      <c r="O1123" s="345"/>
      <c r="T1123" s="460"/>
    </row>
    <row r="1124" spans="1:20" s="1468" customFormat="1" x14ac:dyDescent="0.25">
      <c r="A1124" s="462"/>
      <c r="B1124" s="345" t="s">
        <v>754</v>
      </c>
      <c r="C1124" s="647">
        <v>527142</v>
      </c>
      <c r="D1124" s="647">
        <v>593957</v>
      </c>
      <c r="E1124" s="647">
        <v>674087</v>
      </c>
      <c r="F1124" s="647">
        <v>736026</v>
      </c>
      <c r="G1124" s="647">
        <v>811716</v>
      </c>
      <c r="H1124" s="647">
        <v>867085</v>
      </c>
      <c r="I1124" s="647">
        <v>944618</v>
      </c>
      <c r="J1124" s="647">
        <v>1000157</v>
      </c>
      <c r="K1124" s="647">
        <v>1075816</v>
      </c>
      <c r="L1124" s="647">
        <v>1138712</v>
      </c>
      <c r="M1124" s="647">
        <v>1202175</v>
      </c>
      <c r="N1124" s="647">
        <v>1276714</v>
      </c>
      <c r="O1124" s="648" t="s">
        <v>798</v>
      </c>
      <c r="T1124" s="460"/>
    </row>
    <row r="1125" spans="1:20" s="1468" customFormat="1" x14ac:dyDescent="0.25">
      <c r="A1125" s="462"/>
      <c r="B1125" s="345" t="s">
        <v>755</v>
      </c>
      <c r="C1125" s="647">
        <v>472753</v>
      </c>
      <c r="D1125" s="647">
        <v>527142</v>
      </c>
      <c r="E1125" s="647">
        <v>593957</v>
      </c>
      <c r="F1125" s="647">
        <v>674087</v>
      </c>
      <c r="G1125" s="647">
        <v>736026</v>
      </c>
      <c r="H1125" s="647">
        <v>811716</v>
      </c>
      <c r="I1125" s="647">
        <v>867085</v>
      </c>
      <c r="J1125" s="647">
        <v>944618</v>
      </c>
      <c r="K1125" s="647">
        <v>1000157</v>
      </c>
      <c r="L1125" s="647">
        <v>1075816</v>
      </c>
      <c r="M1125" s="647">
        <v>1138712</v>
      </c>
      <c r="N1125" s="647">
        <v>1202175</v>
      </c>
      <c r="O1125" s="648" t="s">
        <v>798</v>
      </c>
      <c r="T1125" s="460"/>
    </row>
    <row r="1126" spans="1:20" s="1468" customFormat="1" x14ac:dyDescent="0.25">
      <c r="A1126" s="462"/>
      <c r="B1126" s="345" t="s">
        <v>756</v>
      </c>
      <c r="C1126" s="647">
        <v>54389</v>
      </c>
      <c r="D1126" s="647">
        <v>66815</v>
      </c>
      <c r="E1126" s="647">
        <v>80130</v>
      </c>
      <c r="F1126" s="647">
        <v>61939</v>
      </c>
      <c r="G1126" s="647">
        <v>75690</v>
      </c>
      <c r="H1126" s="647">
        <v>55369</v>
      </c>
      <c r="I1126" s="647">
        <v>77533</v>
      </c>
      <c r="J1126" s="647">
        <v>55539</v>
      </c>
      <c r="K1126" s="647">
        <v>75659</v>
      </c>
      <c r="L1126" s="647">
        <v>62896</v>
      </c>
      <c r="M1126" s="647">
        <v>63463</v>
      </c>
      <c r="N1126" s="647">
        <v>74539</v>
      </c>
      <c r="O1126" s="656">
        <f>SUM(C1126:N1126)</f>
        <v>803961</v>
      </c>
      <c r="T1126" s="460"/>
    </row>
    <row r="1127" spans="1:20" s="1468" customFormat="1" x14ac:dyDescent="0.25">
      <c r="A1127" s="462"/>
      <c r="B1127" s="345" t="s">
        <v>758</v>
      </c>
      <c r="C1127" s="631">
        <v>8.0600000000000005E-2</v>
      </c>
      <c r="D1127" s="631">
        <v>8.1100000000000005E-2</v>
      </c>
      <c r="E1127" s="631">
        <v>7.8299999999999995E-2</v>
      </c>
      <c r="F1127" s="631">
        <v>7.6399999999999996E-2</v>
      </c>
      <c r="G1127" s="631">
        <v>7.3099999999999998E-2</v>
      </c>
      <c r="H1127" s="631">
        <v>6.9800000000000001E-2</v>
      </c>
      <c r="I1127" s="631">
        <v>6.8400000000000002E-2</v>
      </c>
      <c r="J1127" s="631">
        <v>6.7599999999999993E-2</v>
      </c>
      <c r="K1127" s="631">
        <v>6.7699999999999996E-2</v>
      </c>
      <c r="L1127" s="631">
        <v>6.8099999999999994E-2</v>
      </c>
      <c r="M1127" s="631">
        <v>7.0900000000000005E-2</v>
      </c>
      <c r="N1127" s="631">
        <v>7.22E-2</v>
      </c>
      <c r="O1127" s="650">
        <f>ROUND(+O1128/O1126,4)</f>
        <v>7.2800000000000004E-2</v>
      </c>
      <c r="T1127" s="460"/>
    </row>
    <row r="1128" spans="1:20" s="1468" customFormat="1" x14ac:dyDescent="0.25">
      <c r="A1128" s="462"/>
      <c r="B1128" s="345" t="s">
        <v>759</v>
      </c>
      <c r="C1128" s="651">
        <v>4383.75</v>
      </c>
      <c r="D1128" s="651">
        <v>5418.7</v>
      </c>
      <c r="E1128" s="651">
        <v>6274.18</v>
      </c>
      <c r="F1128" s="651">
        <v>4732.1400000000003</v>
      </c>
      <c r="G1128" s="651">
        <v>5532.94</v>
      </c>
      <c r="H1128" s="651">
        <v>3864.76</v>
      </c>
      <c r="I1128" s="651">
        <v>5303.26</v>
      </c>
      <c r="J1128" s="651">
        <v>3754.44</v>
      </c>
      <c r="K1128" s="651">
        <v>5122.1099999999997</v>
      </c>
      <c r="L1128" s="651">
        <v>4283.22</v>
      </c>
      <c r="M1128" s="651">
        <v>4499.53</v>
      </c>
      <c r="N1128" s="651">
        <v>5381.72</v>
      </c>
      <c r="O1128" s="652">
        <f>SUM(C1128:N1128)</f>
        <v>58550.750000000007</v>
      </c>
      <c r="T1128" s="460"/>
    </row>
    <row r="1129" spans="1:20" s="1468" customFormat="1" x14ac:dyDescent="0.25">
      <c r="A1129" s="462"/>
      <c r="B1129" s="345"/>
      <c r="C1129" s="345"/>
      <c r="D1129" s="345"/>
      <c r="E1129" s="345"/>
      <c r="F1129" s="345"/>
      <c r="G1129" s="345"/>
      <c r="H1129" s="345"/>
      <c r="I1129" s="345"/>
      <c r="J1129" s="345"/>
      <c r="K1129" s="345"/>
      <c r="L1129" s="345"/>
      <c r="M1129" s="345"/>
      <c r="N1129" s="345"/>
      <c r="O1129" s="345"/>
      <c r="T1129" s="460"/>
    </row>
    <row r="1130" spans="1:20" s="1468" customFormat="1" x14ac:dyDescent="0.25">
      <c r="A1130" s="462"/>
      <c r="B1130" s="345" t="s">
        <v>760</v>
      </c>
      <c r="C1130" s="345"/>
      <c r="D1130" s="345"/>
      <c r="E1130" s="345"/>
      <c r="F1130" s="345"/>
      <c r="G1130" s="345"/>
      <c r="H1130" s="345"/>
      <c r="I1130" s="345"/>
      <c r="J1130" s="345"/>
      <c r="K1130" s="345"/>
      <c r="L1130" s="345"/>
      <c r="M1130" s="345"/>
      <c r="N1130" s="345"/>
      <c r="O1130" s="345"/>
      <c r="T1130" s="460"/>
    </row>
    <row r="1131" spans="1:20" s="1468" customFormat="1" x14ac:dyDescent="0.25">
      <c r="A1131" s="462"/>
      <c r="B1131" s="345" t="s">
        <v>754</v>
      </c>
      <c r="C1131" s="647">
        <v>4643</v>
      </c>
      <c r="D1131" s="647">
        <v>4970</v>
      </c>
      <c r="E1131" s="647">
        <v>5375</v>
      </c>
      <c r="F1131" s="647">
        <v>5723</v>
      </c>
      <c r="G1131" s="647">
        <v>6189</v>
      </c>
      <c r="H1131" s="647">
        <v>6549</v>
      </c>
      <c r="I1131" s="647">
        <v>7072</v>
      </c>
      <c r="J1131" s="647">
        <v>7405</v>
      </c>
      <c r="K1131" s="647">
        <v>7904</v>
      </c>
      <c r="L1131" s="647">
        <v>8244</v>
      </c>
      <c r="M1131" s="647">
        <v>8602</v>
      </c>
      <c r="N1131" s="647">
        <v>9010</v>
      </c>
      <c r="O1131" s="648" t="s">
        <v>798</v>
      </c>
      <c r="T1131" s="460"/>
    </row>
    <row r="1132" spans="1:20" s="1468" customFormat="1" x14ac:dyDescent="0.25">
      <c r="A1132" s="462"/>
      <c r="B1132" s="345" t="s">
        <v>755</v>
      </c>
      <c r="C1132" s="647">
        <v>4379</v>
      </c>
      <c r="D1132" s="647">
        <v>4643</v>
      </c>
      <c r="E1132" s="647">
        <v>4970</v>
      </c>
      <c r="F1132" s="647">
        <v>5375</v>
      </c>
      <c r="G1132" s="647">
        <v>5723</v>
      </c>
      <c r="H1132" s="647">
        <v>6189</v>
      </c>
      <c r="I1132" s="647">
        <v>6549</v>
      </c>
      <c r="J1132" s="647">
        <v>7072</v>
      </c>
      <c r="K1132" s="647">
        <v>7405</v>
      </c>
      <c r="L1132" s="647">
        <v>7904</v>
      </c>
      <c r="M1132" s="647">
        <v>8244</v>
      </c>
      <c r="N1132" s="647">
        <v>8602</v>
      </c>
      <c r="O1132" s="648" t="s">
        <v>798</v>
      </c>
      <c r="T1132" s="460"/>
    </row>
    <row r="1133" spans="1:20" s="1468" customFormat="1" x14ac:dyDescent="0.25">
      <c r="A1133" s="462"/>
      <c r="B1133" s="345" t="s">
        <v>761</v>
      </c>
      <c r="C1133" s="647">
        <v>264</v>
      </c>
      <c r="D1133" s="647">
        <v>327</v>
      </c>
      <c r="E1133" s="647">
        <v>405</v>
      </c>
      <c r="F1133" s="647">
        <v>348</v>
      </c>
      <c r="G1133" s="647">
        <v>466</v>
      </c>
      <c r="H1133" s="647">
        <v>360</v>
      </c>
      <c r="I1133" s="647">
        <v>523</v>
      </c>
      <c r="J1133" s="647">
        <v>333</v>
      </c>
      <c r="K1133" s="647">
        <v>499</v>
      </c>
      <c r="L1133" s="647">
        <v>340</v>
      </c>
      <c r="M1133" s="647">
        <v>358</v>
      </c>
      <c r="N1133" s="647">
        <v>408</v>
      </c>
      <c r="O1133" s="656">
        <f>SUM(C1133:N1133)</f>
        <v>4631</v>
      </c>
      <c r="T1133" s="460"/>
    </row>
    <row r="1134" spans="1:20" s="1468" customFormat="1" x14ac:dyDescent="0.25">
      <c r="A1134" s="462"/>
      <c r="B1134" s="345" t="s">
        <v>762</v>
      </c>
      <c r="C1134" s="634">
        <v>5.13</v>
      </c>
      <c r="D1134" s="634">
        <v>4.8899999999999997</v>
      </c>
      <c r="E1134" s="634">
        <v>4.8899999999999997</v>
      </c>
      <c r="F1134" s="634">
        <v>5.01</v>
      </c>
      <c r="G1134" s="634">
        <v>5.05</v>
      </c>
      <c r="H1134" s="634">
        <v>5.79</v>
      </c>
      <c r="I1134" s="634">
        <v>6.46</v>
      </c>
      <c r="J1134" s="634">
        <v>6.02</v>
      </c>
      <c r="K1134" s="634">
        <v>5.17</v>
      </c>
      <c r="L1134" s="634">
        <v>5.5</v>
      </c>
      <c r="M1134" s="634">
        <v>5.52</v>
      </c>
      <c r="N1134" s="634">
        <v>5.71</v>
      </c>
      <c r="O1134" s="651">
        <f>ROUND(+O1135/O1133,2)</f>
        <v>5.45</v>
      </c>
      <c r="T1134" s="460"/>
    </row>
    <row r="1135" spans="1:20" s="1468" customFormat="1" x14ac:dyDescent="0.25">
      <c r="A1135" s="462"/>
      <c r="B1135" s="345" t="s">
        <v>759</v>
      </c>
      <c r="C1135" s="651">
        <v>1354.32</v>
      </c>
      <c r="D1135" s="651">
        <v>1599.03</v>
      </c>
      <c r="E1135" s="651">
        <v>1980.45</v>
      </c>
      <c r="F1135" s="651">
        <v>1743.48</v>
      </c>
      <c r="G1135" s="651">
        <v>2353.3000000000002</v>
      </c>
      <c r="H1135" s="651">
        <v>2084.4</v>
      </c>
      <c r="I1135" s="651">
        <v>3378.58</v>
      </c>
      <c r="J1135" s="651">
        <v>2004.66</v>
      </c>
      <c r="K1135" s="651">
        <v>2579.83</v>
      </c>
      <c r="L1135" s="651">
        <v>1870</v>
      </c>
      <c r="M1135" s="651">
        <v>1976.16</v>
      </c>
      <c r="N1135" s="651">
        <v>2329.6799999999998</v>
      </c>
      <c r="O1135" s="652">
        <f>SUM(C1135:N1135)</f>
        <v>25253.890000000003</v>
      </c>
      <c r="T1135" s="460"/>
    </row>
    <row r="1136" spans="1:20" s="1468" customFormat="1" x14ac:dyDescent="0.25">
      <c r="A1136" s="462"/>
      <c r="B1136" s="345"/>
      <c r="C1136" s="651"/>
      <c r="D1136" s="651"/>
      <c r="E1136" s="651"/>
      <c r="F1136" s="651"/>
      <c r="G1136" s="651"/>
      <c r="H1136" s="651"/>
      <c r="I1136" s="651"/>
      <c r="J1136" s="651"/>
      <c r="K1136" s="651"/>
      <c r="L1136" s="651"/>
      <c r="M1136" s="651"/>
      <c r="N1136" s="651"/>
      <c r="O1136" s="345"/>
      <c r="T1136" s="460"/>
    </row>
    <row r="1137" spans="1:20" s="1468" customFormat="1" x14ac:dyDescent="0.25">
      <c r="A1137" s="462"/>
      <c r="B1137" s="345" t="s">
        <v>763</v>
      </c>
      <c r="C1137" s="651"/>
      <c r="D1137" s="651"/>
      <c r="E1137" s="651"/>
      <c r="F1137" s="651"/>
      <c r="G1137" s="651"/>
      <c r="H1137" s="651"/>
      <c r="I1137" s="651"/>
      <c r="J1137" s="651"/>
      <c r="K1137" s="651"/>
      <c r="L1137" s="651"/>
      <c r="M1137" s="651"/>
      <c r="N1137" s="651"/>
      <c r="O1137" s="653"/>
      <c r="T1137" s="460"/>
    </row>
    <row r="1138" spans="1:20" s="1468" customFormat="1" x14ac:dyDescent="0.25">
      <c r="A1138" s="462"/>
      <c r="B1138" s="345" t="s">
        <v>800</v>
      </c>
      <c r="C1138" s="647">
        <v>174161</v>
      </c>
      <c r="D1138" s="647">
        <v>184984</v>
      </c>
      <c r="E1138" s="647">
        <v>207294</v>
      </c>
      <c r="F1138" s="647">
        <v>225537</v>
      </c>
      <c r="G1138" s="647">
        <v>247755</v>
      </c>
      <c r="H1138" s="647">
        <v>251254</v>
      </c>
      <c r="I1138" s="647">
        <v>268461</v>
      </c>
      <c r="J1138" s="647">
        <v>284660</v>
      </c>
      <c r="K1138" s="647">
        <v>303494</v>
      </c>
      <c r="L1138" s="647">
        <v>318163</v>
      </c>
      <c r="M1138" s="647">
        <v>324859</v>
      </c>
      <c r="N1138" s="647">
        <v>332651</v>
      </c>
      <c r="O1138" s="648" t="s">
        <v>798</v>
      </c>
      <c r="T1138" s="460"/>
    </row>
    <row r="1139" spans="1:20" s="1468" customFormat="1" x14ac:dyDescent="0.25">
      <c r="A1139" s="462"/>
      <c r="B1139" s="345" t="s">
        <v>755</v>
      </c>
      <c r="C1139" s="647">
        <v>170923</v>
      </c>
      <c r="D1139" s="647">
        <v>174161</v>
      </c>
      <c r="E1139" s="647">
        <v>184984</v>
      </c>
      <c r="F1139" s="647">
        <v>207294</v>
      </c>
      <c r="G1139" s="647">
        <v>225537</v>
      </c>
      <c r="H1139" s="647">
        <v>247755</v>
      </c>
      <c r="I1139" s="647">
        <v>251254</v>
      </c>
      <c r="J1139" s="647">
        <v>268461</v>
      </c>
      <c r="K1139" s="647">
        <v>284660</v>
      </c>
      <c r="L1139" s="647">
        <v>303494</v>
      </c>
      <c r="M1139" s="647">
        <v>318163</v>
      </c>
      <c r="N1139" s="647">
        <v>324859</v>
      </c>
      <c r="O1139" s="648" t="s">
        <v>798</v>
      </c>
      <c r="T1139" s="460"/>
    </row>
    <row r="1140" spans="1:20" s="1468" customFormat="1" x14ac:dyDescent="0.25">
      <c r="A1140" s="462"/>
      <c r="B1140" s="345" t="s">
        <v>801</v>
      </c>
      <c r="C1140" s="647">
        <v>3238</v>
      </c>
      <c r="D1140" s="647">
        <v>10823</v>
      </c>
      <c r="E1140" s="647">
        <v>22310</v>
      </c>
      <c r="F1140" s="647">
        <v>18243</v>
      </c>
      <c r="G1140" s="647">
        <v>22218</v>
      </c>
      <c r="H1140" s="647">
        <v>3499</v>
      </c>
      <c r="I1140" s="647">
        <v>17207</v>
      </c>
      <c r="J1140" s="647">
        <v>16199</v>
      </c>
      <c r="K1140" s="647">
        <v>18834</v>
      </c>
      <c r="L1140" s="647">
        <v>14669</v>
      </c>
      <c r="M1140" s="647">
        <v>6696</v>
      </c>
      <c r="N1140" s="647">
        <v>7792</v>
      </c>
      <c r="O1140" s="345"/>
      <c r="T1140" s="460"/>
    </row>
    <row r="1141" spans="1:20" s="1468" customFormat="1" x14ac:dyDescent="0.25">
      <c r="A1141" s="462"/>
      <c r="B1141" s="345" t="s">
        <v>802</v>
      </c>
      <c r="C1141" s="647">
        <v>58429</v>
      </c>
      <c r="D1141" s="647">
        <v>58429</v>
      </c>
      <c r="E1141" s="647">
        <v>58429</v>
      </c>
      <c r="F1141" s="647">
        <v>58429</v>
      </c>
      <c r="G1141" s="647">
        <v>58429</v>
      </c>
      <c r="H1141" s="647">
        <v>58429</v>
      </c>
      <c r="I1141" s="647">
        <v>58429</v>
      </c>
      <c r="J1141" s="647">
        <v>58429</v>
      </c>
      <c r="K1141" s="647">
        <v>58429</v>
      </c>
      <c r="L1141" s="647">
        <v>58429</v>
      </c>
      <c r="M1141" s="647">
        <v>58429</v>
      </c>
      <c r="N1141" s="647">
        <v>58429</v>
      </c>
      <c r="O1141" s="648" t="s">
        <v>798</v>
      </c>
      <c r="T1141" s="460"/>
    </row>
    <row r="1142" spans="1:20" s="1468" customFormat="1" x14ac:dyDescent="0.25">
      <c r="A1142" s="462"/>
      <c r="B1142" s="345" t="s">
        <v>755</v>
      </c>
      <c r="C1142" s="647">
        <v>58429</v>
      </c>
      <c r="D1142" s="647">
        <v>58429</v>
      </c>
      <c r="E1142" s="647">
        <v>58429</v>
      </c>
      <c r="F1142" s="647">
        <v>58429</v>
      </c>
      <c r="G1142" s="647">
        <v>58429</v>
      </c>
      <c r="H1142" s="647">
        <v>58429</v>
      </c>
      <c r="I1142" s="647">
        <v>58429</v>
      </c>
      <c r="J1142" s="647">
        <v>58429</v>
      </c>
      <c r="K1142" s="647">
        <v>58429</v>
      </c>
      <c r="L1142" s="647">
        <v>58429</v>
      </c>
      <c r="M1142" s="647">
        <v>58429</v>
      </c>
      <c r="N1142" s="647">
        <v>58429</v>
      </c>
      <c r="O1142" s="648" t="s">
        <v>798</v>
      </c>
      <c r="T1142" s="460"/>
    </row>
    <row r="1143" spans="1:20" s="1468" customFormat="1" x14ac:dyDescent="0.25">
      <c r="A1143" s="462"/>
      <c r="B1143" s="345" t="s">
        <v>801</v>
      </c>
      <c r="C1143" s="647">
        <v>0</v>
      </c>
      <c r="D1143" s="647">
        <v>0</v>
      </c>
      <c r="E1143" s="647">
        <v>0</v>
      </c>
      <c r="F1143" s="647">
        <v>0</v>
      </c>
      <c r="G1143" s="647">
        <v>0</v>
      </c>
      <c r="H1143" s="647">
        <v>0</v>
      </c>
      <c r="I1143" s="647">
        <v>0</v>
      </c>
      <c r="J1143" s="647">
        <v>0</v>
      </c>
      <c r="K1143" s="647">
        <v>0</v>
      </c>
      <c r="L1143" s="647">
        <v>0</v>
      </c>
      <c r="M1143" s="647">
        <v>0</v>
      </c>
      <c r="N1143" s="647">
        <v>0</v>
      </c>
      <c r="O1143" s="345"/>
      <c r="T1143" s="460"/>
    </row>
    <row r="1144" spans="1:20" s="1468" customFormat="1" x14ac:dyDescent="0.25">
      <c r="A1144" s="462"/>
      <c r="B1144" s="345" t="s">
        <v>803</v>
      </c>
      <c r="C1144" s="647">
        <v>3238</v>
      </c>
      <c r="D1144" s="647">
        <v>10823</v>
      </c>
      <c r="E1144" s="647">
        <v>22310</v>
      </c>
      <c r="F1144" s="647">
        <v>18243</v>
      </c>
      <c r="G1144" s="647">
        <v>22218</v>
      </c>
      <c r="H1144" s="647">
        <v>3499</v>
      </c>
      <c r="I1144" s="647">
        <v>17207</v>
      </c>
      <c r="J1144" s="647">
        <v>16199</v>
      </c>
      <c r="K1144" s="647">
        <v>18834</v>
      </c>
      <c r="L1144" s="647">
        <v>14669</v>
      </c>
      <c r="M1144" s="647">
        <v>6696</v>
      </c>
      <c r="N1144" s="647">
        <v>7792</v>
      </c>
      <c r="O1144" s="656">
        <f>SUM(C1144:N1144)</f>
        <v>161728</v>
      </c>
      <c r="T1144" s="460"/>
    </row>
    <row r="1145" spans="1:20" s="1468" customFormat="1" x14ac:dyDescent="0.25">
      <c r="A1145" s="462"/>
      <c r="B1145" s="345" t="s">
        <v>765</v>
      </c>
      <c r="C1145" s="636">
        <v>4.0000000000000001E-3</v>
      </c>
      <c r="D1145" s="636">
        <v>4.0000000000000001E-3</v>
      </c>
      <c r="E1145" s="636">
        <v>4.0000000000000001E-3</v>
      </c>
      <c r="F1145" s="636">
        <v>4.0000000000000001E-3</v>
      </c>
      <c r="G1145" s="636">
        <v>4.0000000000000001E-3</v>
      </c>
      <c r="H1145" s="636">
        <v>4.1999999999999997E-3</v>
      </c>
      <c r="I1145" s="636">
        <v>4.1999999999999997E-3</v>
      </c>
      <c r="J1145" s="636">
        <v>4.1999999999999997E-3</v>
      </c>
      <c r="K1145" s="636">
        <v>4.1999999999999997E-3</v>
      </c>
      <c r="L1145" s="636">
        <v>4.1000000000000003E-3</v>
      </c>
      <c r="M1145" s="636">
        <v>4.1000000000000003E-3</v>
      </c>
      <c r="N1145" s="636">
        <v>4.0000000000000001E-3</v>
      </c>
      <c r="O1145" s="657">
        <f>ROUND(+O1146/O1144,4)</f>
        <v>4.1000000000000003E-3</v>
      </c>
      <c r="T1145" s="460"/>
    </row>
    <row r="1146" spans="1:20" s="1468" customFormat="1" x14ac:dyDescent="0.25">
      <c r="A1146" s="462"/>
      <c r="B1146" s="345" t="s">
        <v>759</v>
      </c>
      <c r="C1146" s="651">
        <v>12.95</v>
      </c>
      <c r="D1146" s="651">
        <v>43.29</v>
      </c>
      <c r="E1146" s="651">
        <v>89.24</v>
      </c>
      <c r="F1146" s="651">
        <v>72.97</v>
      </c>
      <c r="G1146" s="651">
        <v>88.87</v>
      </c>
      <c r="H1146" s="651">
        <v>14.7</v>
      </c>
      <c r="I1146" s="651">
        <v>72.27</v>
      </c>
      <c r="J1146" s="651">
        <v>68.040000000000006</v>
      </c>
      <c r="K1146" s="651">
        <v>79.099999999999994</v>
      </c>
      <c r="L1146" s="651">
        <v>60.14</v>
      </c>
      <c r="M1146" s="651">
        <v>27.45</v>
      </c>
      <c r="N1146" s="651">
        <v>31.17</v>
      </c>
      <c r="O1146" s="652">
        <f>SUM(C1146:N1146)</f>
        <v>660.18999999999994</v>
      </c>
      <c r="T1146" s="460"/>
    </row>
    <row r="1147" spans="1:20" s="1468" customFormat="1" x14ac:dyDescent="0.25">
      <c r="A1147" s="462"/>
      <c r="B1147" s="345"/>
      <c r="C1147" s="651"/>
      <c r="D1147" s="651"/>
      <c r="E1147" s="651"/>
      <c r="F1147" s="651"/>
      <c r="G1147" s="651"/>
      <c r="H1147" s="651"/>
      <c r="I1147" s="651"/>
      <c r="J1147" s="651"/>
      <c r="K1147" s="651"/>
      <c r="L1147" s="651"/>
      <c r="M1147" s="651"/>
      <c r="N1147" s="651"/>
      <c r="O1147" s="650"/>
      <c r="T1147" s="460"/>
    </row>
    <row r="1148" spans="1:20" s="1468" customFormat="1" x14ac:dyDescent="0.25">
      <c r="A1148" s="462"/>
      <c r="B1148" s="345" t="s">
        <v>766</v>
      </c>
      <c r="C1148" s="651"/>
      <c r="D1148" s="651"/>
      <c r="E1148" s="651"/>
      <c r="F1148" s="651"/>
      <c r="G1148" s="651"/>
      <c r="H1148" s="651"/>
      <c r="I1148" s="651"/>
      <c r="J1148" s="651"/>
      <c r="K1148" s="651"/>
      <c r="L1148" s="651"/>
      <c r="M1148" s="651"/>
      <c r="N1148" s="651"/>
      <c r="O1148" s="659"/>
      <c r="T1148" s="460"/>
    </row>
    <row r="1149" spans="1:20" s="1468" customFormat="1" x14ac:dyDescent="0.25">
      <c r="A1149" s="462"/>
      <c r="B1149" s="345" t="s">
        <v>765</v>
      </c>
      <c r="C1149" s="636">
        <v>5.5999999999999999E-3</v>
      </c>
      <c r="D1149" s="636">
        <v>4.7000000000000002E-3</v>
      </c>
      <c r="E1149" s="636">
        <v>4.7000000000000002E-3</v>
      </c>
      <c r="F1149" s="636">
        <v>4.1000000000000003E-3</v>
      </c>
      <c r="G1149" s="636">
        <v>4.1000000000000003E-3</v>
      </c>
      <c r="H1149" s="636">
        <v>4.4000000000000003E-3</v>
      </c>
      <c r="I1149" s="636">
        <v>4.4000000000000003E-3</v>
      </c>
      <c r="J1149" s="636">
        <v>4.0000000000000001E-3</v>
      </c>
      <c r="K1149" s="636">
        <v>4.0000000000000001E-3</v>
      </c>
      <c r="L1149" s="636">
        <v>3.8999999999999998E-3</v>
      </c>
      <c r="M1149" s="636">
        <v>3.8999999999999998E-3</v>
      </c>
      <c r="N1149" s="636">
        <v>3.0999999999999999E-3</v>
      </c>
      <c r="O1149" s="659">
        <f>ROUND(O1150/O1144,4)</f>
        <v>4.1999999999999997E-3</v>
      </c>
      <c r="T1149" s="460"/>
    </row>
    <row r="1150" spans="1:20" s="1468" customFormat="1" x14ac:dyDescent="0.25">
      <c r="A1150" s="462"/>
      <c r="B1150" s="345" t="s">
        <v>759</v>
      </c>
      <c r="C1150" s="651">
        <v>18.13</v>
      </c>
      <c r="D1150" s="651">
        <v>50.87</v>
      </c>
      <c r="E1150" s="651">
        <v>104.86</v>
      </c>
      <c r="F1150" s="651">
        <v>74.8</v>
      </c>
      <c r="G1150" s="651">
        <v>91.09</v>
      </c>
      <c r="H1150" s="651">
        <v>15.4</v>
      </c>
      <c r="I1150" s="651">
        <v>75.709999999999994</v>
      </c>
      <c r="J1150" s="651">
        <v>64.8</v>
      </c>
      <c r="K1150" s="651">
        <v>75.34</v>
      </c>
      <c r="L1150" s="651">
        <v>57.21</v>
      </c>
      <c r="M1150" s="651">
        <v>26.11</v>
      </c>
      <c r="N1150" s="651">
        <v>24.16</v>
      </c>
      <c r="O1150" s="660">
        <f>SUM(C1150:N1150)</f>
        <v>678.48</v>
      </c>
      <c r="T1150" s="460"/>
    </row>
    <row r="1151" spans="1:20" s="1468" customFormat="1" x14ac:dyDescent="0.25">
      <c r="A1151" s="462"/>
      <c r="B1151" s="345"/>
      <c r="C1151" s="651"/>
      <c r="D1151" s="651"/>
      <c r="E1151" s="651"/>
      <c r="F1151" s="651"/>
      <c r="G1151" s="651"/>
      <c r="H1151" s="651"/>
      <c r="I1151" s="651"/>
      <c r="J1151" s="651"/>
      <c r="K1151" s="651"/>
      <c r="L1151" s="651"/>
      <c r="M1151" s="651"/>
      <c r="N1151" s="651"/>
      <c r="O1151" s="661"/>
      <c r="T1151" s="460"/>
    </row>
    <row r="1152" spans="1:20" s="1468" customFormat="1" x14ac:dyDescent="0.25">
      <c r="A1152" s="462"/>
      <c r="B1152" s="345" t="s">
        <v>767</v>
      </c>
      <c r="C1152" s="651"/>
      <c r="D1152" s="651"/>
      <c r="E1152" s="651"/>
      <c r="F1152" s="651"/>
      <c r="G1152" s="651"/>
      <c r="H1152" s="651"/>
      <c r="I1152" s="651"/>
      <c r="J1152" s="651"/>
      <c r="K1152" s="651"/>
      <c r="L1152" s="651"/>
      <c r="M1152" s="651"/>
      <c r="N1152" s="651"/>
      <c r="O1152" s="661"/>
      <c r="T1152" s="460"/>
    </row>
    <row r="1153" spans="1:20" s="1468" customFormat="1" x14ac:dyDescent="0.25">
      <c r="A1153" s="462"/>
      <c r="B1153" s="345" t="s">
        <v>804</v>
      </c>
      <c r="C1153" s="637">
        <v>0</v>
      </c>
      <c r="D1153" s="637">
        <v>95</v>
      </c>
      <c r="E1153" s="637">
        <v>0</v>
      </c>
      <c r="F1153" s="637">
        <v>0</v>
      </c>
      <c r="G1153" s="637">
        <v>0</v>
      </c>
      <c r="H1153" s="637">
        <v>0</v>
      </c>
      <c r="I1153" s="637">
        <v>0</v>
      </c>
      <c r="J1153" s="637">
        <v>0</v>
      </c>
      <c r="K1153" s="637">
        <v>0</v>
      </c>
      <c r="L1153" s="637">
        <v>0</v>
      </c>
      <c r="M1153" s="637">
        <v>0</v>
      </c>
      <c r="N1153" s="637">
        <v>0</v>
      </c>
      <c r="O1153" s="2155">
        <f>SUM(C1153:N1153)</f>
        <v>95</v>
      </c>
      <c r="T1153" s="460"/>
    </row>
    <row r="1154" spans="1:20" s="1468" customFormat="1" x14ac:dyDescent="0.25">
      <c r="A1154" s="462"/>
      <c r="B1154" s="345" t="s">
        <v>759</v>
      </c>
      <c r="C1154" s="635">
        <v>0</v>
      </c>
      <c r="D1154" s="635">
        <v>165.23</v>
      </c>
      <c r="E1154" s="635">
        <v>0</v>
      </c>
      <c r="F1154" s="635">
        <v>0</v>
      </c>
      <c r="G1154" s="635">
        <v>0</v>
      </c>
      <c r="H1154" s="635">
        <v>0</v>
      </c>
      <c r="I1154" s="635">
        <v>0</v>
      </c>
      <c r="J1154" s="635">
        <v>0</v>
      </c>
      <c r="K1154" s="635">
        <v>0</v>
      </c>
      <c r="L1154" s="635">
        <v>0</v>
      </c>
      <c r="M1154" s="635">
        <v>0</v>
      </c>
      <c r="N1154" s="635">
        <v>0</v>
      </c>
      <c r="O1154" s="654">
        <f>SUM(C1154:N1154)</f>
        <v>165.23</v>
      </c>
      <c r="T1154" s="460"/>
    </row>
    <row r="1155" spans="1:20" s="1468" customFormat="1" x14ac:dyDescent="0.25">
      <c r="A1155" s="462"/>
      <c r="B1155" s="345"/>
      <c r="C1155" s="653" t="s">
        <v>769</v>
      </c>
      <c r="D1155" s="653" t="s">
        <v>769</v>
      </c>
      <c r="E1155" s="653" t="s">
        <v>769</v>
      </c>
      <c r="F1155" s="653" t="s">
        <v>769</v>
      </c>
      <c r="G1155" s="653" t="s">
        <v>769</v>
      </c>
      <c r="H1155" s="653" t="s">
        <v>769</v>
      </c>
      <c r="I1155" s="653" t="s">
        <v>769</v>
      </c>
      <c r="J1155" s="653" t="s">
        <v>769</v>
      </c>
      <c r="K1155" s="653" t="s">
        <v>769</v>
      </c>
      <c r="L1155" s="653" t="s">
        <v>769</v>
      </c>
      <c r="M1155" s="653" t="s">
        <v>769</v>
      </c>
      <c r="N1155" s="653" t="s">
        <v>769</v>
      </c>
      <c r="O1155" s="653" t="s">
        <v>769</v>
      </c>
      <c r="T1155" s="460"/>
    </row>
    <row r="1156" spans="1:20" s="1468" customFormat="1" x14ac:dyDescent="0.25">
      <c r="A1156" s="462"/>
      <c r="B1156" s="345" t="s">
        <v>775</v>
      </c>
      <c r="C1156" s="651">
        <v>5769.15</v>
      </c>
      <c r="D1156" s="651">
        <v>7111.8899999999994</v>
      </c>
      <c r="E1156" s="651">
        <v>8448.7300000000014</v>
      </c>
      <c r="F1156" s="651">
        <v>6623.3900000000012</v>
      </c>
      <c r="G1156" s="651">
        <v>8066.2</v>
      </c>
      <c r="H1156" s="651">
        <v>5979.2599999999993</v>
      </c>
      <c r="I1156" s="651">
        <v>8829.82</v>
      </c>
      <c r="J1156" s="651">
        <v>5891.9400000000005</v>
      </c>
      <c r="K1156" s="651">
        <v>7856.38</v>
      </c>
      <c r="L1156" s="651">
        <v>6270.5700000000006</v>
      </c>
      <c r="M1156" s="651">
        <v>6529.2499999999991</v>
      </c>
      <c r="N1156" s="651">
        <v>7766.73</v>
      </c>
      <c r="O1156" s="654">
        <f>SUM(C1156:N1156)</f>
        <v>85143.31</v>
      </c>
      <c r="T1156" s="460"/>
    </row>
    <row r="1157" spans="1:20" s="1468" customFormat="1" x14ac:dyDescent="0.25">
      <c r="A1157" s="462"/>
      <c r="B1157" s="345"/>
      <c r="C1157" s="653" t="s">
        <v>776</v>
      </c>
      <c r="D1157" s="653" t="s">
        <v>776</v>
      </c>
      <c r="E1157" s="653" t="s">
        <v>776</v>
      </c>
      <c r="F1157" s="653" t="s">
        <v>776</v>
      </c>
      <c r="G1157" s="653" t="s">
        <v>776</v>
      </c>
      <c r="H1157" s="653" t="s">
        <v>776</v>
      </c>
      <c r="I1157" s="653" t="s">
        <v>776</v>
      </c>
      <c r="J1157" s="653" t="s">
        <v>776</v>
      </c>
      <c r="K1157" s="653" t="s">
        <v>776</v>
      </c>
      <c r="L1157" s="653" t="s">
        <v>776</v>
      </c>
      <c r="M1157" s="653" t="s">
        <v>776</v>
      </c>
      <c r="N1157" s="653" t="s">
        <v>776</v>
      </c>
      <c r="O1157" s="653" t="s">
        <v>776</v>
      </c>
      <c r="T1157" s="460"/>
    </row>
    <row r="1158" spans="1:20" s="1468" customFormat="1" x14ac:dyDescent="0.25">
      <c r="A1158" s="462"/>
      <c r="B1158" s="345"/>
      <c r="C1158" s="635"/>
      <c r="D1158" s="635"/>
      <c r="E1158" s="635"/>
      <c r="F1158" s="635"/>
      <c r="G1158" s="635"/>
      <c r="H1158" s="635"/>
      <c r="I1158" s="635"/>
      <c r="J1158" s="635"/>
      <c r="K1158" s="635"/>
      <c r="L1158" s="635"/>
      <c r="M1158" s="635"/>
      <c r="N1158" s="635"/>
      <c r="O1158" s="345"/>
      <c r="T1158" s="460"/>
    </row>
    <row r="1159" spans="1:20" s="1468" customFormat="1" x14ac:dyDescent="0.25">
      <c r="A1159" s="462"/>
      <c r="B1159" s="345" t="s">
        <v>777</v>
      </c>
      <c r="C1159" s="651">
        <v>66.52</v>
      </c>
      <c r="D1159" s="651">
        <v>83.15</v>
      </c>
      <c r="E1159" s="651">
        <v>66.52</v>
      </c>
      <c r="F1159" s="651">
        <v>83.15</v>
      </c>
      <c r="G1159" s="651">
        <v>83.15</v>
      </c>
      <c r="H1159" s="651">
        <v>66.52</v>
      </c>
      <c r="I1159" s="651">
        <v>83.15</v>
      </c>
      <c r="J1159" s="651">
        <v>66.52</v>
      </c>
      <c r="K1159" s="651">
        <v>66.52</v>
      </c>
      <c r="L1159" s="651">
        <v>66.52</v>
      </c>
      <c r="M1159" s="651">
        <v>83.15</v>
      </c>
      <c r="N1159" s="651">
        <v>66.52</v>
      </c>
      <c r="O1159" s="652">
        <f>SUM(C1159:N1159)</f>
        <v>881.38999999999987</v>
      </c>
      <c r="T1159" s="460"/>
    </row>
    <row r="1160" spans="1:20" s="1468" customFormat="1" x14ac:dyDescent="0.25">
      <c r="A1160" s="462"/>
      <c r="B1160" s="345"/>
      <c r="C1160" s="345"/>
      <c r="D1160" s="345"/>
      <c r="E1160" s="345"/>
      <c r="F1160" s="345"/>
      <c r="G1160" s="345"/>
      <c r="H1160" s="345"/>
      <c r="I1160" s="345"/>
      <c r="J1160" s="345"/>
      <c r="K1160" s="345"/>
      <c r="L1160" s="345"/>
      <c r="M1160" s="345"/>
      <c r="N1160" s="345"/>
      <c r="O1160" s="345"/>
      <c r="T1160" s="460"/>
    </row>
    <row r="1161" spans="1:20" s="1468" customFormat="1" x14ac:dyDescent="0.25">
      <c r="A1161" s="462"/>
      <c r="B1161" s="345" t="s">
        <v>1577</v>
      </c>
      <c r="C1161" s="345"/>
      <c r="D1161" s="345"/>
      <c r="E1161" s="345"/>
      <c r="F1161" s="345"/>
      <c r="G1161" s="345"/>
      <c r="H1161" s="345"/>
      <c r="I1161" s="345"/>
      <c r="J1161" s="345"/>
      <c r="K1161" s="345"/>
      <c r="L1161" s="345"/>
      <c r="M1161" s="345"/>
      <c r="N1161" s="345"/>
      <c r="O1161" s="345"/>
      <c r="T1161" s="460"/>
    </row>
    <row r="1162" spans="1:20" s="1468" customFormat="1" x14ac:dyDescent="0.25">
      <c r="A1162" s="462"/>
      <c r="B1162" s="345" t="s">
        <v>1578</v>
      </c>
      <c r="C1162" s="345"/>
      <c r="D1162" s="345"/>
      <c r="E1162" s="345"/>
      <c r="F1162" s="345"/>
      <c r="G1162" s="345"/>
      <c r="H1162" s="345"/>
      <c r="I1162" s="345"/>
      <c r="J1162" s="345"/>
      <c r="K1162" s="345"/>
      <c r="L1162" s="345"/>
      <c r="M1162" s="345"/>
      <c r="N1162" s="345"/>
      <c r="O1162" s="345"/>
      <c r="T1162" s="460"/>
    </row>
    <row r="1163" spans="1:20" s="1468" customFormat="1" x14ac:dyDescent="0.25">
      <c r="A1163" s="462"/>
      <c r="B1163" s="345"/>
      <c r="C1163" s="651"/>
      <c r="D1163" s="651"/>
      <c r="E1163" s="651"/>
      <c r="F1163" s="651"/>
      <c r="G1163" s="651"/>
      <c r="H1163" s="651"/>
      <c r="I1163" s="651"/>
      <c r="J1163" s="651"/>
      <c r="K1163" s="651"/>
      <c r="L1163" s="651"/>
      <c r="M1163" s="651"/>
      <c r="N1163" s="651"/>
      <c r="O1163" s="345"/>
      <c r="T1163" s="460"/>
    </row>
    <row r="1164" spans="1:20" s="1468" customFormat="1" x14ac:dyDescent="0.25">
      <c r="A1164" s="462"/>
      <c r="B1164" s="345" t="s">
        <v>1579</v>
      </c>
      <c r="C1164" s="345"/>
      <c r="D1164" s="345"/>
      <c r="E1164" s="345"/>
      <c r="F1164" s="345"/>
      <c r="G1164" s="345"/>
      <c r="H1164" s="345"/>
      <c r="I1164" s="345"/>
      <c r="J1164" s="345"/>
      <c r="K1164" s="345"/>
      <c r="L1164" s="345"/>
      <c r="M1164" s="345"/>
      <c r="N1164" s="345"/>
      <c r="O1164" s="345"/>
      <c r="T1164" s="460"/>
    </row>
    <row r="1165" spans="1:20" s="1468" customFormat="1" x14ac:dyDescent="0.25">
      <c r="A1165" s="462"/>
      <c r="B1165" s="345" t="s">
        <v>1580</v>
      </c>
      <c r="C1165" s="345"/>
      <c r="D1165" s="345"/>
      <c r="E1165" s="345"/>
      <c r="F1165" s="345"/>
      <c r="G1165" s="345"/>
      <c r="H1165" s="345"/>
      <c r="I1165" s="345"/>
      <c r="J1165" s="345"/>
      <c r="K1165" s="345"/>
      <c r="L1165" s="345"/>
      <c r="M1165" s="345"/>
      <c r="N1165" s="345"/>
      <c r="O1165" s="345"/>
      <c r="T1165" s="460"/>
    </row>
    <row r="1166" spans="1:20" s="1468" customFormat="1" x14ac:dyDescent="0.25">
      <c r="A1166" s="462"/>
      <c r="B1166" s="345" t="s">
        <v>1581</v>
      </c>
      <c r="C1166" s="345"/>
      <c r="D1166" s="345"/>
      <c r="E1166" s="345"/>
      <c r="F1166" s="345"/>
      <c r="G1166" s="345"/>
      <c r="H1166" s="345"/>
      <c r="I1166" s="345"/>
      <c r="J1166" s="345"/>
      <c r="K1166" s="345"/>
      <c r="L1166" s="345"/>
      <c r="M1166" s="345"/>
      <c r="N1166" s="345"/>
      <c r="O1166" s="345"/>
      <c r="T1166" s="460"/>
    </row>
    <row r="1167" spans="1:20" s="1468" customFormat="1" x14ac:dyDescent="0.25">
      <c r="A1167" s="462"/>
      <c r="B1167" s="345"/>
      <c r="C1167" s="345"/>
      <c r="D1167" s="345"/>
      <c r="E1167" s="345"/>
      <c r="F1167" s="345"/>
      <c r="G1167" s="345"/>
      <c r="H1167" s="345"/>
      <c r="I1167" s="345"/>
      <c r="J1167" s="345"/>
      <c r="K1167" s="345"/>
      <c r="L1167" s="345"/>
      <c r="M1167" s="345"/>
      <c r="N1167" s="345"/>
      <c r="O1167" s="345"/>
      <c r="T1167" s="460"/>
    </row>
    <row r="1168" spans="1:20" s="1468" customFormat="1" x14ac:dyDescent="0.25">
      <c r="A1168" s="462"/>
      <c r="B1168" s="345" t="s">
        <v>1553</v>
      </c>
      <c r="C1168" s="345" t="s">
        <v>1554</v>
      </c>
      <c r="D1168" s="345"/>
      <c r="E1168" s="345"/>
      <c r="F1168" s="345" t="s">
        <v>1555</v>
      </c>
      <c r="G1168" s="345"/>
      <c r="H1168" s="345"/>
      <c r="I1168" s="345" t="s">
        <v>1556</v>
      </c>
      <c r="J1168" s="345"/>
      <c r="K1168" s="345" t="s">
        <v>1557</v>
      </c>
      <c r="L1168" s="345"/>
      <c r="M1168" s="345" t="s">
        <v>1558</v>
      </c>
      <c r="N1168" s="345"/>
      <c r="O1168" s="345"/>
      <c r="T1168" s="460"/>
    </row>
    <row r="1169" spans="1:20" s="1468" customFormat="1" x14ac:dyDescent="0.25">
      <c r="A1169" s="462"/>
      <c r="B1169" s="345" t="s">
        <v>1559</v>
      </c>
      <c r="C1169" s="345" t="s">
        <v>1560</v>
      </c>
      <c r="D1169" s="345"/>
      <c r="E1169" s="345"/>
      <c r="F1169" s="345" t="s">
        <v>1561</v>
      </c>
      <c r="G1169" s="345"/>
      <c r="H1169" s="345"/>
      <c r="I1169" s="345" t="s">
        <v>1562</v>
      </c>
      <c r="J1169" s="345"/>
      <c r="K1169" s="345" t="s">
        <v>1563</v>
      </c>
      <c r="L1169" s="345"/>
      <c r="M1169" s="345" t="s">
        <v>1564</v>
      </c>
      <c r="N1169" s="345"/>
      <c r="O1169" s="345"/>
      <c r="T1169" s="460"/>
    </row>
    <row r="1170" spans="1:20" s="1468" customFormat="1" x14ac:dyDescent="0.25">
      <c r="A1170" s="462"/>
      <c r="B1170" s="460"/>
      <c r="C1170" s="1467"/>
    </row>
    <row r="1171" spans="1:20" s="1468" customFormat="1" x14ac:dyDescent="0.25">
      <c r="A1171" s="462">
        <v>78</v>
      </c>
      <c r="B1171" s="460" t="s">
        <v>1292</v>
      </c>
      <c r="C1171" s="1467"/>
      <c r="T1171" s="460" t="s">
        <v>1292</v>
      </c>
    </row>
    <row r="1172" spans="1:20" s="3" customFormat="1" x14ac:dyDescent="0.25">
      <c r="A1172" s="461"/>
      <c r="B1172" s="130" t="s">
        <v>337</v>
      </c>
      <c r="C1172" s="131">
        <v>42522</v>
      </c>
      <c r="D1172" s="131">
        <v>42552</v>
      </c>
      <c r="E1172" s="131">
        <v>42583</v>
      </c>
      <c r="F1172" s="131">
        <v>42614</v>
      </c>
      <c r="G1172" s="131">
        <v>42644</v>
      </c>
      <c r="H1172" s="131">
        <v>42675</v>
      </c>
      <c r="I1172" s="131">
        <v>42705</v>
      </c>
      <c r="J1172" s="131">
        <v>42736</v>
      </c>
      <c r="K1172" s="131">
        <v>42767</v>
      </c>
      <c r="L1172" s="131">
        <v>42795</v>
      </c>
      <c r="M1172" s="131">
        <v>42826</v>
      </c>
      <c r="N1172" s="131">
        <v>42856</v>
      </c>
      <c r="O1172" s="131">
        <v>42887</v>
      </c>
      <c r="P1172" s="131">
        <v>42917</v>
      </c>
      <c r="Q1172" s="131">
        <v>42948</v>
      </c>
      <c r="R1172" s="131">
        <v>42992</v>
      </c>
    </row>
    <row r="1173" spans="1:20" s="3" customFormat="1" x14ac:dyDescent="0.25">
      <c r="A1173" s="461"/>
      <c r="B1173" s="135" t="s">
        <v>319</v>
      </c>
      <c r="C1173" s="187">
        <f>76477.95+44945.92+75920.72</f>
        <v>197344.59</v>
      </c>
      <c r="D1173" s="187">
        <f>121766.93+53549.1+95706.27</f>
        <v>271022.3</v>
      </c>
      <c r="E1173" s="187">
        <f>141893.15+64752.48+109937.68</f>
        <v>316583.31</v>
      </c>
      <c r="F1173" s="187">
        <f>119095.7+68815.11+117893.69</f>
        <v>305804.5</v>
      </c>
      <c r="G1173" s="187">
        <f>69697.76+63657.68+112793.49</f>
        <v>246148.93</v>
      </c>
      <c r="H1173" s="187">
        <f>28605.2+57003.04+102171.63</f>
        <v>187779.87</v>
      </c>
      <c r="I1173" s="187">
        <f>20691.64+50755.27+92392.35</f>
        <v>163839.26</v>
      </c>
      <c r="J1173" s="187">
        <f>24289.16+56678.25+103485.74</f>
        <v>184453.15000000002</v>
      </c>
      <c r="K1173" s="187">
        <f>22082.28+56497.73+99449.6</f>
        <v>178029.61000000002</v>
      </c>
      <c r="L1173" s="187">
        <f>26263.27+58691.56+102662.23</f>
        <v>187617.06</v>
      </c>
      <c r="M1173" s="187">
        <f>65306.94+61367.6+105186.48</f>
        <v>231861.02000000002</v>
      </c>
      <c r="N1173" s="187">
        <f>59734.74+50682.58+91250.43</f>
        <v>201667.75</v>
      </c>
      <c r="O1173" s="187">
        <v>235149.06</v>
      </c>
      <c r="P1173" s="136"/>
      <c r="Q1173" s="136"/>
      <c r="R1173" s="141"/>
    </row>
    <row r="1174" spans="1:20" s="3" customFormat="1" x14ac:dyDescent="0.25">
      <c r="A1174" s="461"/>
      <c r="B1174" s="135" t="s">
        <v>1486</v>
      </c>
      <c r="C1174" s="187"/>
      <c r="D1174" s="187">
        <f>11888-11722</f>
        <v>166</v>
      </c>
      <c r="E1174" s="187"/>
      <c r="F1174" s="187"/>
      <c r="G1174" s="187"/>
      <c r="H1174" s="187"/>
      <c r="I1174" s="187"/>
      <c r="J1174" s="187"/>
      <c r="K1174" s="187"/>
      <c r="L1174" s="187"/>
      <c r="M1174" s="187"/>
      <c r="N1174" s="187">
        <v>1251410</v>
      </c>
      <c r="O1174" s="187">
        <v>216350</v>
      </c>
      <c r="P1174" s="136"/>
      <c r="Q1174" s="136"/>
      <c r="R1174" s="153"/>
    </row>
    <row r="1175" spans="1:20" s="3" customFormat="1" x14ac:dyDescent="0.25">
      <c r="A1175" s="461"/>
      <c r="B1175" s="153" t="s">
        <v>1372</v>
      </c>
      <c r="C1175" s="187"/>
      <c r="D1175" s="187"/>
      <c r="E1175" s="187"/>
      <c r="F1175" s="187"/>
      <c r="G1175" s="187"/>
      <c r="H1175" s="187"/>
      <c r="I1175" s="187"/>
      <c r="J1175" s="187"/>
      <c r="K1175" s="187"/>
      <c r="L1175" s="187"/>
      <c r="M1175" s="187"/>
      <c r="N1175" s="187"/>
      <c r="O1175" s="187"/>
      <c r="P1175" s="187"/>
      <c r="Q1175" s="187"/>
      <c r="R1175" s="187"/>
    </row>
    <row r="1176" spans="1:20" s="3" customFormat="1" x14ac:dyDescent="0.25">
      <c r="A1176" s="461"/>
      <c r="B1176" s="153" t="s">
        <v>1373</v>
      </c>
      <c r="C1176" s="187"/>
      <c r="D1176" s="187"/>
      <c r="E1176" s="187"/>
      <c r="F1176" s="187"/>
      <c r="G1176" s="187"/>
      <c r="H1176" s="187"/>
      <c r="I1176" s="187"/>
      <c r="J1176" s="187"/>
      <c r="K1176" s="187"/>
      <c r="L1176" s="187"/>
      <c r="M1176" s="187"/>
      <c r="N1176" s="187"/>
      <c r="O1176" s="187"/>
      <c r="P1176" s="141"/>
      <c r="Q1176" s="141"/>
      <c r="R1176" s="153"/>
    </row>
    <row r="1177" spans="1:20" s="3" customFormat="1" x14ac:dyDescent="0.25">
      <c r="A1177" s="461"/>
      <c r="B1177" s="135" t="s">
        <v>1376</v>
      </c>
      <c r="C1177" s="1913">
        <v>82.28</v>
      </c>
      <c r="D1177" s="1913">
        <v>314.91000000000003</v>
      </c>
      <c r="E1177" s="1913">
        <v>374.75</v>
      </c>
      <c r="F1177" s="1913">
        <v>1046.45</v>
      </c>
      <c r="G1177" s="1913">
        <v>766.7</v>
      </c>
      <c r="H1177" s="1913">
        <v>702.37</v>
      </c>
      <c r="I1177" s="1913">
        <v>475.73</v>
      </c>
      <c r="J1177" s="1913">
        <v>320.14</v>
      </c>
      <c r="K1177" s="1913">
        <v>736.78</v>
      </c>
      <c r="L1177" s="1913">
        <v>535.57000000000005</v>
      </c>
      <c r="M1177" s="1913">
        <v>1469</v>
      </c>
      <c r="N1177" s="1913">
        <v>561</v>
      </c>
      <c r="O1177" s="1913">
        <v>638.6</v>
      </c>
      <c r="P1177" s="750"/>
      <c r="Q1177" s="728"/>
      <c r="R1177" s="153"/>
    </row>
    <row r="1178" spans="1:20" s="3" customFormat="1" x14ac:dyDescent="0.25">
      <c r="A1178" s="461"/>
      <c r="B1178" s="135" t="s">
        <v>324</v>
      </c>
      <c r="C1178" s="1602">
        <f>0.08775*C1173</f>
        <v>17316.987772499997</v>
      </c>
      <c r="D1178" s="1602">
        <f t="shared" ref="D1178:O1178" si="70">0.08775*D1173</f>
        <v>23782.206824999997</v>
      </c>
      <c r="E1178" s="1602">
        <f t="shared" si="70"/>
        <v>27780.185452499998</v>
      </c>
      <c r="F1178" s="1602">
        <f t="shared" si="70"/>
        <v>26834.344874999999</v>
      </c>
      <c r="G1178" s="1602">
        <f t="shared" si="70"/>
        <v>21599.568607499998</v>
      </c>
      <c r="H1178" s="1602">
        <f t="shared" si="70"/>
        <v>16477.683592499998</v>
      </c>
      <c r="I1178" s="1602">
        <f t="shared" si="70"/>
        <v>14376.895065000001</v>
      </c>
      <c r="J1178" s="1602">
        <f t="shared" si="70"/>
        <v>16185.763912500001</v>
      </c>
      <c r="K1178" s="1602">
        <f t="shared" si="70"/>
        <v>15622.098277500001</v>
      </c>
      <c r="L1178" s="1602">
        <f t="shared" si="70"/>
        <v>16463.397014999999</v>
      </c>
      <c r="M1178" s="1602">
        <f t="shared" si="70"/>
        <v>20345.804505</v>
      </c>
      <c r="N1178" s="1602">
        <f t="shared" si="70"/>
        <v>17696.3450625</v>
      </c>
      <c r="O1178" s="1602">
        <f t="shared" si="70"/>
        <v>20634.330015</v>
      </c>
      <c r="P1178" s="731"/>
      <c r="Q1178" s="731"/>
      <c r="R1178" s="153"/>
    </row>
    <row r="1179" spans="1:20" s="3" customFormat="1" x14ac:dyDescent="0.25">
      <c r="A1179" s="461"/>
      <c r="B1179" s="144" t="s">
        <v>348</v>
      </c>
      <c r="C1179" s="1092"/>
      <c r="D1179" s="153"/>
      <c r="E1179" s="153"/>
      <c r="F1179" s="736"/>
      <c r="G1179" s="736"/>
      <c r="H1179" s="736"/>
      <c r="I1179" s="736"/>
      <c r="J1179" s="731"/>
      <c r="K1179" s="731"/>
      <c r="L1179" s="731"/>
      <c r="M1179" s="731"/>
      <c r="N1179" s="731"/>
      <c r="O1179" s="731"/>
      <c r="P1179" s="731"/>
      <c r="Q1179" s="731"/>
      <c r="R1179" s="153"/>
    </row>
    <row r="1180" spans="1:20" s="3" customFormat="1" x14ac:dyDescent="0.25">
      <c r="A1180" s="461"/>
      <c r="B1180" s="195" t="s">
        <v>1087</v>
      </c>
      <c r="C1180" s="1092"/>
      <c r="D1180" s="153"/>
      <c r="E1180" s="153"/>
      <c r="F1180" s="731"/>
      <c r="G1180" s="731"/>
      <c r="H1180" s="731"/>
      <c r="I1180" s="731"/>
      <c r="J1180" s="731"/>
      <c r="K1180" s="731"/>
      <c r="L1180" s="731"/>
      <c r="M1180" s="731"/>
      <c r="N1180" s="731"/>
      <c r="O1180" s="731"/>
      <c r="P1180" s="731"/>
      <c r="Q1180" s="731"/>
      <c r="R1180" s="153"/>
    </row>
    <row r="1181" spans="1:20" s="3" customFormat="1" x14ac:dyDescent="0.25">
      <c r="A1181" s="461"/>
      <c r="B1181" s="144" t="s">
        <v>883</v>
      </c>
      <c r="C1181" s="1602"/>
      <c r="D1181" s="1602"/>
      <c r="E1181" s="1602"/>
      <c r="F1181" s="1602"/>
      <c r="G1181" s="1602"/>
      <c r="H1181" s="1602"/>
      <c r="I1181" s="1602"/>
      <c r="J1181" s="1602"/>
      <c r="K1181" s="1602"/>
      <c r="L1181" s="1602"/>
      <c r="M1181" s="1602"/>
      <c r="N1181" s="1602"/>
      <c r="O1181" s="145"/>
      <c r="P1181" s="145"/>
      <c r="Q1181" s="145"/>
      <c r="R1181" s="145"/>
    </row>
    <row r="1182" spans="1:20" s="1468" customFormat="1" x14ac:dyDescent="0.25">
      <c r="A1182" s="462"/>
      <c r="B1182" s="460"/>
      <c r="C1182" s="1467"/>
    </row>
    <row r="1183" spans="1:20" s="1468" customFormat="1" x14ac:dyDescent="0.25">
      <c r="A1183" s="462">
        <v>79</v>
      </c>
      <c r="B1183" s="460" t="s">
        <v>1293</v>
      </c>
      <c r="C1183" s="1467"/>
      <c r="T1183" s="460" t="s">
        <v>1293</v>
      </c>
    </row>
    <row r="1184" spans="1:20" x14ac:dyDescent="0.25">
      <c r="B1184" s="2244" t="s">
        <v>352</v>
      </c>
    </row>
    <row r="1186" spans="1:20" s="666" customFormat="1" x14ac:dyDescent="0.25">
      <c r="A1186" s="462">
        <v>80</v>
      </c>
      <c r="B1186" s="1910" t="s">
        <v>1473</v>
      </c>
      <c r="C1186" s="930"/>
      <c r="T1186" s="1910" t="s">
        <v>1473</v>
      </c>
    </row>
    <row r="1187" spans="1:20" x14ac:dyDescent="0.25">
      <c r="B1187" s="130" t="s">
        <v>337</v>
      </c>
      <c r="C1187" s="131">
        <v>42522</v>
      </c>
      <c r="D1187" s="131">
        <v>42552</v>
      </c>
      <c r="E1187" s="131">
        <v>42583</v>
      </c>
      <c r="F1187" s="131">
        <v>42614</v>
      </c>
      <c r="G1187" s="131">
        <v>42644</v>
      </c>
      <c r="H1187" s="131">
        <v>42675</v>
      </c>
      <c r="I1187" s="131">
        <v>42705</v>
      </c>
      <c r="J1187" s="131">
        <v>42736</v>
      </c>
      <c r="K1187" s="131">
        <v>42767</v>
      </c>
      <c r="L1187" s="131">
        <v>42795</v>
      </c>
      <c r="M1187" s="131">
        <v>42826</v>
      </c>
      <c r="N1187" s="131">
        <v>42856</v>
      </c>
      <c r="O1187" s="131">
        <v>42887</v>
      </c>
      <c r="P1187" s="131">
        <v>42917</v>
      </c>
      <c r="Q1187" s="131">
        <v>42948</v>
      </c>
      <c r="R1187" s="131">
        <v>42992</v>
      </c>
    </row>
    <row r="1188" spans="1:20" x14ac:dyDescent="0.25">
      <c r="B1188" s="135" t="s">
        <v>319</v>
      </c>
      <c r="C1188" s="1258">
        <v>53200</v>
      </c>
      <c r="D1188" s="160">
        <v>57000</v>
      </c>
      <c r="E1188" s="160">
        <v>62500</v>
      </c>
      <c r="F1188" s="558">
        <v>63700</v>
      </c>
      <c r="G1188" s="558">
        <v>49900</v>
      </c>
      <c r="H1188" s="558">
        <v>39700</v>
      </c>
      <c r="I1188" s="558">
        <v>36500</v>
      </c>
      <c r="J1188" s="558">
        <v>36100</v>
      </c>
      <c r="K1188" s="558">
        <v>38300</v>
      </c>
      <c r="L1188" s="558">
        <v>41900</v>
      </c>
      <c r="M1188" s="558">
        <v>46500</v>
      </c>
      <c r="N1188" s="558">
        <v>45200</v>
      </c>
      <c r="O1188" s="558">
        <v>59000</v>
      </c>
      <c r="P1188" s="558">
        <v>61800</v>
      </c>
      <c r="Q1188" s="558" t="s">
        <v>13</v>
      </c>
      <c r="R1188" s="160" t="s">
        <v>13</v>
      </c>
    </row>
    <row r="1189" spans="1:20" x14ac:dyDescent="0.25">
      <c r="B1189" s="135" t="s">
        <v>343</v>
      </c>
      <c r="C1189" s="1258"/>
      <c r="D1189" s="160"/>
      <c r="E1189" s="160"/>
      <c r="F1189" s="140"/>
      <c r="G1189" s="140"/>
      <c r="H1189" s="140"/>
      <c r="I1189" s="558"/>
      <c r="J1189" s="558"/>
      <c r="K1189" s="558"/>
      <c r="L1189" s="558"/>
      <c r="M1189" s="558"/>
      <c r="N1189" s="558"/>
      <c r="O1189" s="558"/>
      <c r="P1189" s="558"/>
      <c r="Q1189" s="558"/>
      <c r="R1189" s="160"/>
    </row>
    <row r="1190" spans="1:20" x14ac:dyDescent="0.25">
      <c r="B1190" s="153" t="s">
        <v>362</v>
      </c>
      <c r="C1190" s="1258"/>
      <c r="D1190" s="160"/>
      <c r="E1190" s="160"/>
      <c r="F1190" s="160"/>
      <c r="G1190" s="160"/>
      <c r="H1190" s="160"/>
      <c r="I1190" s="160"/>
      <c r="J1190" s="160"/>
      <c r="K1190" s="160"/>
      <c r="L1190" s="160"/>
      <c r="M1190" s="160"/>
      <c r="N1190" s="160"/>
      <c r="O1190" s="160"/>
      <c r="P1190" s="160"/>
      <c r="Q1190" s="160"/>
      <c r="R1190" s="160"/>
    </row>
    <row r="1191" spans="1:20" x14ac:dyDescent="0.25">
      <c r="B1191" s="153" t="s">
        <v>641</v>
      </c>
      <c r="C1191" s="1258"/>
      <c r="D1191" s="160"/>
      <c r="E1191" s="160"/>
      <c r="F1191" s="160"/>
      <c r="G1191" s="160">
        <v>0</v>
      </c>
      <c r="H1191" s="160">
        <v>1231</v>
      </c>
      <c r="I1191" s="160">
        <v>2199</v>
      </c>
      <c r="J1191" s="160">
        <v>2302</v>
      </c>
      <c r="K1191" s="160">
        <v>1665</v>
      </c>
      <c r="L1191" s="160">
        <v>1932</v>
      </c>
      <c r="M1191" s="160">
        <v>1240</v>
      </c>
      <c r="N1191" s="160">
        <v>1224</v>
      </c>
      <c r="O1191" s="160">
        <v>712</v>
      </c>
      <c r="P1191" s="160">
        <v>422</v>
      </c>
      <c r="Q1191" s="160" t="s">
        <v>13</v>
      </c>
      <c r="R1191" s="160" t="s">
        <v>13</v>
      </c>
    </row>
    <row r="1192" spans="1:20" x14ac:dyDescent="0.25">
      <c r="B1192" s="2040" t="s">
        <v>864</v>
      </c>
      <c r="C1192" s="1787">
        <v>25.178008544323859</v>
      </c>
      <c r="D1192" s="2041">
        <v>25.162492408428722</v>
      </c>
      <c r="E1192" s="2041">
        <v>56.179893511569581</v>
      </c>
      <c r="F1192" s="2041">
        <v>54.01144818655969</v>
      </c>
      <c r="G1192" s="2041">
        <v>40.163677241060547</v>
      </c>
      <c r="H1192" s="2041">
        <v>38.752510167931831</v>
      </c>
      <c r="I1192" s="2041">
        <v>32.25656823280999</v>
      </c>
      <c r="J1192" s="2041">
        <v>53.257738592673995</v>
      </c>
      <c r="K1192" s="2041">
        <v>48.393845250047796</v>
      </c>
      <c r="L1192" s="2041">
        <v>43.818454431119171</v>
      </c>
      <c r="M1192" s="2041">
        <v>34.369986490115707</v>
      </c>
      <c r="N1192" s="2041">
        <v>29.201213889034594</v>
      </c>
      <c r="O1192" s="2041">
        <v>23.486431132923428</v>
      </c>
      <c r="P1192" s="2041">
        <v>28.190391640299861</v>
      </c>
      <c r="Q1192" s="160" t="s">
        <v>13</v>
      </c>
      <c r="R1192" s="160" t="s">
        <v>13</v>
      </c>
    </row>
    <row r="1193" spans="1:20" x14ac:dyDescent="0.25">
      <c r="B1193" s="2042" t="s">
        <v>1505</v>
      </c>
      <c r="C1193" s="2043">
        <v>77.900000000000006</v>
      </c>
      <c r="D1193" s="2044" t="s">
        <v>13</v>
      </c>
      <c r="E1193" s="2044" t="s">
        <v>13</v>
      </c>
      <c r="F1193" s="2045">
        <v>706.9</v>
      </c>
      <c r="G1193" s="2045">
        <v>667.3</v>
      </c>
      <c r="H1193" s="2045" t="s">
        <v>13</v>
      </c>
      <c r="I1193" s="2045" t="s">
        <v>13</v>
      </c>
      <c r="J1193" s="2045" t="s">
        <v>13</v>
      </c>
      <c r="K1193" s="2046" t="s">
        <v>13</v>
      </c>
      <c r="L1193" s="2046" t="s">
        <v>13</v>
      </c>
      <c r="M1193" s="2046" t="s">
        <v>13</v>
      </c>
      <c r="N1193" s="2046" t="s">
        <v>13</v>
      </c>
      <c r="O1193" s="2046" t="s">
        <v>13</v>
      </c>
      <c r="P1193" s="2046" t="s">
        <v>13</v>
      </c>
      <c r="Q1193" s="2044" t="s">
        <v>13</v>
      </c>
      <c r="R1193" s="2044" t="s">
        <v>13</v>
      </c>
    </row>
    <row r="1194" spans="1:20" x14ac:dyDescent="0.25">
      <c r="B1194" s="135" t="s">
        <v>324</v>
      </c>
      <c r="C1194" s="198">
        <v>4442.5</v>
      </c>
      <c r="D1194" s="171">
        <v>4965.2</v>
      </c>
      <c r="E1194" s="171">
        <v>5394.84</v>
      </c>
      <c r="F1194" s="171">
        <v>5494.94</v>
      </c>
      <c r="G1194" s="171">
        <v>4229.05</v>
      </c>
      <c r="H1194" s="171">
        <v>3420.85</v>
      </c>
      <c r="I1194" s="171">
        <v>3064.7</v>
      </c>
      <c r="J1194" s="171">
        <v>2725.59</v>
      </c>
      <c r="K1194" s="171">
        <v>2857.64</v>
      </c>
      <c r="L1194" s="171">
        <v>3201.74</v>
      </c>
      <c r="M1194" s="171">
        <v>3457.29</v>
      </c>
      <c r="N1194" s="171">
        <v>3566.12</v>
      </c>
      <c r="O1194" s="171">
        <v>4277.33</v>
      </c>
      <c r="P1194" s="171">
        <v>4636.3500000000004</v>
      </c>
      <c r="Q1194" s="171" t="s">
        <v>13</v>
      </c>
      <c r="R1194" s="171" t="s">
        <v>13</v>
      </c>
    </row>
    <row r="1195" spans="1:20" x14ac:dyDescent="0.25">
      <c r="B1195" s="144" t="s">
        <v>348</v>
      </c>
      <c r="C1195" s="198"/>
      <c r="D1195" s="171"/>
      <c r="E1195" s="171"/>
      <c r="F1195" s="455"/>
      <c r="G1195" s="455"/>
      <c r="H1195" s="455"/>
      <c r="I1195" s="455"/>
      <c r="J1195" s="171"/>
      <c r="K1195" s="171"/>
      <c r="L1195" s="171"/>
      <c r="M1195" s="171"/>
      <c r="N1195" s="171"/>
      <c r="O1195" s="171"/>
      <c r="P1195" s="171"/>
      <c r="Q1195" s="171"/>
      <c r="R1195" s="171"/>
    </row>
    <row r="1196" spans="1:20" x14ac:dyDescent="0.25">
      <c r="B1196" s="195" t="s">
        <v>1087</v>
      </c>
      <c r="C1196" s="198"/>
      <c r="D1196" s="171"/>
      <c r="E1196" s="171"/>
      <c r="F1196" s="171"/>
      <c r="G1196" s="171"/>
      <c r="H1196" s="171"/>
      <c r="I1196" s="171"/>
      <c r="J1196" s="171"/>
      <c r="K1196" s="171"/>
      <c r="L1196" s="171"/>
      <c r="M1196" s="171"/>
      <c r="N1196" s="171"/>
      <c r="O1196" s="171"/>
      <c r="P1196" s="171"/>
      <c r="Q1196" s="171"/>
      <c r="R1196" s="171"/>
    </row>
    <row r="1197" spans="1:20" x14ac:dyDescent="0.25">
      <c r="B1197" s="144" t="s">
        <v>883</v>
      </c>
      <c r="C1197" s="1181"/>
      <c r="D1197" s="145"/>
      <c r="E1197" s="145"/>
      <c r="F1197" s="145"/>
      <c r="G1197" s="145">
        <v>18.73</v>
      </c>
      <c r="H1197" s="145">
        <v>877.19</v>
      </c>
      <c r="I1197" s="145">
        <v>1540.48</v>
      </c>
      <c r="J1197" s="145">
        <v>1784.24</v>
      </c>
      <c r="K1197" s="145">
        <v>1311.47</v>
      </c>
      <c r="L1197" s="145">
        <v>1519.33</v>
      </c>
      <c r="M1197" s="145">
        <v>1008.31</v>
      </c>
      <c r="N1197" s="145">
        <v>997.11</v>
      </c>
      <c r="O1197" s="145">
        <v>599.04</v>
      </c>
      <c r="P1197" s="145">
        <v>369.4</v>
      </c>
      <c r="Q1197" s="145" t="s">
        <v>13</v>
      </c>
      <c r="R1197" s="145" t="s">
        <v>13</v>
      </c>
    </row>
    <row r="1198" spans="1:20" x14ac:dyDescent="0.25">
      <c r="B1198" s="2047" t="s">
        <v>1506</v>
      </c>
      <c r="C1198" s="2048">
        <v>353.29</v>
      </c>
      <c r="D1198" s="2049" t="s">
        <v>13</v>
      </c>
      <c r="E1198" s="2049" t="s">
        <v>13</v>
      </c>
      <c r="F1198" s="2049">
        <v>1322.26</v>
      </c>
      <c r="G1198" s="2049">
        <v>1357.56</v>
      </c>
      <c r="H1198" s="2049" t="s">
        <v>13</v>
      </c>
      <c r="I1198" s="2049" t="s">
        <v>13</v>
      </c>
      <c r="J1198" s="2049" t="s">
        <v>13</v>
      </c>
      <c r="K1198" s="2049" t="s">
        <v>13</v>
      </c>
      <c r="L1198" s="2049" t="s">
        <v>13</v>
      </c>
      <c r="M1198" s="2049" t="s">
        <v>13</v>
      </c>
      <c r="N1198" s="2049" t="s">
        <v>13</v>
      </c>
      <c r="O1198" s="2049" t="s">
        <v>13</v>
      </c>
      <c r="P1198" s="2049" t="s">
        <v>13</v>
      </c>
      <c r="Q1198" s="2049" t="s">
        <v>13</v>
      </c>
      <c r="R1198" s="2049" t="s">
        <v>13</v>
      </c>
    </row>
    <row r="1199" spans="1:20" x14ac:dyDescent="0.25">
      <c r="C1199"/>
    </row>
    <row r="1200" spans="1:20" x14ac:dyDescent="0.25">
      <c r="B1200" s="477" t="s">
        <v>1507</v>
      </c>
      <c r="C1200"/>
    </row>
    <row r="1201" spans="1:20" x14ac:dyDescent="0.25">
      <c r="B1201" s="2050"/>
      <c r="C1201" s="477" t="s">
        <v>1508</v>
      </c>
    </row>
    <row r="1202" spans="1:20" x14ac:dyDescent="0.25">
      <c r="B1202" s="2051"/>
      <c r="C1202" s="477" t="s">
        <v>1509</v>
      </c>
    </row>
    <row r="1203" spans="1:20" x14ac:dyDescent="0.25">
      <c r="B1203" s="14"/>
    </row>
    <row r="1204" spans="1:20" s="666" customFormat="1" x14ac:dyDescent="0.25">
      <c r="A1204" s="462">
        <v>81</v>
      </c>
      <c r="B1204" s="1911" t="s">
        <v>1474</v>
      </c>
      <c r="C1204" s="930"/>
      <c r="T1204" s="1911" t="s">
        <v>1474</v>
      </c>
    </row>
    <row r="1205" spans="1:20" s="666" customFormat="1" ht="18.75" x14ac:dyDescent="0.3">
      <c r="A1205" s="462"/>
      <c r="B1205" s="2005" t="s">
        <v>1511</v>
      </c>
      <c r="C1205" s="497"/>
      <c r="D1205"/>
      <c r="E1205"/>
      <c r="F1205"/>
      <c r="G1205"/>
      <c r="H1205"/>
      <c r="I1205"/>
      <c r="J1205"/>
      <c r="K1205"/>
      <c r="L1205"/>
      <c r="M1205"/>
      <c r="N1205"/>
    </row>
    <row r="1206" spans="1:20" s="666" customFormat="1" ht="18.75" x14ac:dyDescent="0.3">
      <c r="A1206" s="462"/>
      <c r="B1206" s="2005"/>
      <c r="C1206" s="497"/>
      <c r="D1206"/>
      <c r="E1206"/>
      <c r="F1206"/>
      <c r="G1206"/>
      <c r="H1206"/>
      <c r="I1206"/>
      <c r="J1206"/>
      <c r="K1206"/>
      <c r="L1206"/>
      <c r="M1206"/>
      <c r="N1206"/>
    </row>
    <row r="1207" spans="1:20" s="666" customFormat="1" ht="18.75" x14ac:dyDescent="0.3">
      <c r="A1207" s="462"/>
      <c r="B1207" s="2254" t="s">
        <v>832</v>
      </c>
      <c r="C1207" s="2254"/>
      <c r="D1207" s="2254"/>
      <c r="E1207" s="2254"/>
      <c r="F1207" s="2254"/>
      <c r="G1207" s="2254"/>
      <c r="H1207" s="2254"/>
      <c r="I1207" s="2254"/>
      <c r="J1207" s="2254"/>
      <c r="K1207" s="2254"/>
      <c r="L1207" s="2254"/>
      <c r="M1207" s="2254"/>
      <c r="N1207"/>
    </row>
    <row r="1208" spans="1:20" s="666" customFormat="1" ht="47.25" x14ac:dyDescent="0.25">
      <c r="A1208" s="462"/>
      <c r="B1208" s="679" t="s">
        <v>833</v>
      </c>
      <c r="C1208" s="679" t="s">
        <v>834</v>
      </c>
      <c r="D1208" s="679" t="s">
        <v>835</v>
      </c>
      <c r="E1208" s="680" t="s">
        <v>836</v>
      </c>
      <c r="F1208" s="679" t="s">
        <v>837</v>
      </c>
      <c r="G1208" s="679" t="s">
        <v>838</v>
      </c>
      <c r="H1208" s="681" t="s">
        <v>839</v>
      </c>
      <c r="I1208" s="681" t="s">
        <v>840</v>
      </c>
      <c r="J1208" s="681" t="s">
        <v>841</v>
      </c>
      <c r="K1208" s="679" t="s">
        <v>842</v>
      </c>
      <c r="L1208" s="681" t="s">
        <v>843</v>
      </c>
      <c r="M1208" s="681" t="s">
        <v>844</v>
      </c>
      <c r="N1208" s="682"/>
    </row>
    <row r="1209" spans="1:20" s="666" customFormat="1" x14ac:dyDescent="0.25">
      <c r="A1209" s="462"/>
      <c r="B1209" s="683" t="s">
        <v>845</v>
      </c>
      <c r="C1209" s="684" t="s">
        <v>1510</v>
      </c>
      <c r="D1209" s="685" t="s">
        <v>847</v>
      </c>
      <c r="E1209" s="686">
        <f>SUM(F1209:I1209)</f>
        <v>8920481304</v>
      </c>
      <c r="F1209" s="687">
        <f>SUM(C1216:N1216)*3412</f>
        <v>4176431304</v>
      </c>
      <c r="G1209" s="686">
        <f>SUM(C1222:N1222)*100000</f>
        <v>4744050000</v>
      </c>
      <c r="H1209" s="686">
        <f>SUM(C1218:N1218)*1194000</f>
        <v>0</v>
      </c>
      <c r="I1209" s="686">
        <f>SUM(C1220:N1220)*3412</f>
        <v>0</v>
      </c>
      <c r="J1209" s="686">
        <f>SUM(C1224:N1224)</f>
        <v>1248</v>
      </c>
      <c r="K1209" s="686">
        <v>93576</v>
      </c>
      <c r="L1209" s="688" t="s">
        <v>13</v>
      </c>
      <c r="M1209" s="689">
        <f>E1209/K1209</f>
        <v>95328.730700179527</v>
      </c>
      <c r="N1209" s="690"/>
    </row>
    <row r="1210" spans="1:20" s="666" customFormat="1" x14ac:dyDescent="0.25">
      <c r="A1210" s="462"/>
      <c r="B1210" s="683" t="s">
        <v>848</v>
      </c>
      <c r="C1210" s="2052" t="s">
        <v>13</v>
      </c>
      <c r="D1210" s="685" t="s">
        <v>847</v>
      </c>
      <c r="E1210" s="686">
        <f>SUM(F1210:I1210)</f>
        <v>1176400000</v>
      </c>
      <c r="F1210" s="695">
        <v>1154200000</v>
      </c>
      <c r="G1210" s="686">
        <v>22200000</v>
      </c>
      <c r="H1210" s="686">
        <v>0</v>
      </c>
      <c r="I1210" s="686">
        <v>0</v>
      </c>
      <c r="J1210" s="2081">
        <v>100.8</v>
      </c>
      <c r="K1210" s="686">
        <v>93576</v>
      </c>
      <c r="L1210" s="2082" t="s">
        <v>13</v>
      </c>
      <c r="M1210" s="689">
        <f>E1210/K1210</f>
        <v>12571.599555441566</v>
      </c>
      <c r="N1210" s="696"/>
    </row>
    <row r="1211" spans="1:20" s="666" customFormat="1" x14ac:dyDescent="0.25">
      <c r="A1211" s="462"/>
      <c r="B1211" s="497"/>
      <c r="C1211" s="698"/>
      <c r="D1211" s="697"/>
      <c r="E1211" s="699"/>
      <c r="F1211" s="699"/>
      <c r="G1211" s="699"/>
      <c r="H1211" s="699"/>
      <c r="I1211" s="699"/>
      <c r="J1211" s="699"/>
      <c r="K1211" s="699"/>
      <c r="L1211" s="697"/>
      <c r="M1211" s="697"/>
      <c r="N1211" s="697"/>
    </row>
    <row r="1212" spans="1:20" s="666" customFormat="1" ht="18.75" x14ac:dyDescent="0.3">
      <c r="A1212" s="462"/>
      <c r="B1212" s="2255" t="s">
        <v>849</v>
      </c>
      <c r="C1212" s="2255"/>
      <c r="D1212" s="2255"/>
      <c r="E1212" s="2255"/>
      <c r="F1212" s="2255"/>
      <c r="G1212" s="2255"/>
      <c r="H1212" s="2255"/>
      <c r="I1212" s="2255"/>
      <c r="J1212" s="2255"/>
      <c r="K1212" s="2255"/>
      <c r="L1212" s="2255"/>
      <c r="M1212" s="2255"/>
      <c r="N1212" s="2255"/>
    </row>
    <row r="1213" spans="1:20" s="666" customFormat="1" ht="15.75" x14ac:dyDescent="0.25">
      <c r="A1213" s="462"/>
      <c r="B1213" s="700" t="s">
        <v>850</v>
      </c>
      <c r="C1213" s="701">
        <v>42583</v>
      </c>
      <c r="D1213" s="701">
        <v>42614</v>
      </c>
      <c r="E1213" s="701">
        <v>42644</v>
      </c>
      <c r="F1213" s="701">
        <v>42675</v>
      </c>
      <c r="G1213" s="701">
        <v>42705</v>
      </c>
      <c r="H1213" s="701">
        <v>42736</v>
      </c>
      <c r="I1213" s="701">
        <v>42767</v>
      </c>
      <c r="J1213" s="701">
        <v>42795</v>
      </c>
      <c r="K1213" s="701">
        <v>42826</v>
      </c>
      <c r="L1213" s="701">
        <v>42856</v>
      </c>
      <c r="M1213" s="701">
        <v>42887</v>
      </c>
      <c r="N1213" s="701">
        <v>42917</v>
      </c>
    </row>
    <row r="1214" spans="1:20" s="666" customFormat="1" x14ac:dyDescent="0.25">
      <c r="A1214" s="462"/>
      <c r="B1214" s="703" t="s">
        <v>851</v>
      </c>
      <c r="C1214" s="2083"/>
      <c r="D1214" s="2083"/>
      <c r="E1214" s="2083"/>
      <c r="F1214" s="2083"/>
      <c r="G1214" s="2083"/>
      <c r="H1214" s="2083"/>
      <c r="I1214" s="2083"/>
      <c r="J1214" s="2083"/>
      <c r="K1214" s="2083"/>
      <c r="L1214" s="2083"/>
      <c r="M1214" s="2083"/>
      <c r="N1214" s="2084"/>
    </row>
    <row r="1215" spans="1:20" s="666" customFormat="1" x14ac:dyDescent="0.25">
      <c r="A1215" s="462"/>
      <c r="B1215" s="2055"/>
      <c r="C1215" s="2085"/>
      <c r="D1215" s="2085"/>
      <c r="E1215" s="2085"/>
      <c r="F1215" s="2085"/>
      <c r="G1215" s="2085"/>
      <c r="H1215" s="2085"/>
      <c r="I1215" s="2085"/>
      <c r="J1215" s="2085"/>
      <c r="K1215" s="2085"/>
      <c r="L1215" s="2085"/>
      <c r="M1215" s="2085"/>
      <c r="N1215" s="2086"/>
    </row>
    <row r="1216" spans="1:20" s="666" customFormat="1" x14ac:dyDescent="0.25">
      <c r="A1216" s="462"/>
      <c r="B1216" s="2058" t="s">
        <v>852</v>
      </c>
      <c r="C1216" s="2059">
        <v>93200</v>
      </c>
      <c r="D1216" s="2059">
        <v>136470</v>
      </c>
      <c r="E1216" s="2059">
        <v>96678</v>
      </c>
      <c r="F1216" s="2059">
        <v>96014</v>
      </c>
      <c r="G1216" s="2059">
        <v>83407</v>
      </c>
      <c r="H1216" s="2059">
        <v>112233</v>
      </c>
      <c r="I1216" s="2059">
        <v>102692</v>
      </c>
      <c r="J1216" s="2059">
        <v>89845</v>
      </c>
      <c r="K1216" s="2059">
        <v>101172</v>
      </c>
      <c r="L1216" s="2059">
        <v>84080</v>
      </c>
      <c r="M1216" s="2059">
        <v>117029</v>
      </c>
      <c r="N1216" s="2087">
        <v>111222</v>
      </c>
    </row>
    <row r="1217" spans="1:14" s="666" customFormat="1" x14ac:dyDescent="0.25">
      <c r="A1217" s="462"/>
      <c r="B1217" s="2061"/>
      <c r="C1217" s="2085"/>
      <c r="D1217" s="2085"/>
      <c r="E1217" s="2085"/>
      <c r="F1217" s="2085"/>
      <c r="G1217" s="2085"/>
      <c r="H1217" s="2085"/>
      <c r="I1217" s="2085"/>
      <c r="J1217" s="2085"/>
      <c r="K1217" s="2085"/>
      <c r="L1217" s="2085"/>
      <c r="M1217" s="2085"/>
      <c r="N1217" s="2086"/>
    </row>
    <row r="1218" spans="1:14" s="666" customFormat="1" x14ac:dyDescent="0.25">
      <c r="A1218" s="462"/>
      <c r="B1218" s="2058" t="s">
        <v>853</v>
      </c>
      <c r="C1218" s="2059">
        <v>0</v>
      </c>
      <c r="D1218" s="2059">
        <v>0</v>
      </c>
      <c r="E1218" s="2059">
        <v>0</v>
      </c>
      <c r="F1218" s="2059">
        <v>0</v>
      </c>
      <c r="G1218" s="2059">
        <v>0</v>
      </c>
      <c r="H1218" s="2059">
        <v>0</v>
      </c>
      <c r="I1218" s="2059">
        <v>0</v>
      </c>
      <c r="J1218" s="2059">
        <v>0</v>
      </c>
      <c r="K1218" s="2059">
        <v>0</v>
      </c>
      <c r="L1218" s="2059">
        <v>0</v>
      </c>
      <c r="M1218" s="2059">
        <v>0</v>
      </c>
      <c r="N1218" s="2088">
        <v>0</v>
      </c>
    </row>
    <row r="1219" spans="1:14" s="666" customFormat="1" x14ac:dyDescent="0.25">
      <c r="A1219" s="462"/>
      <c r="B1219" s="2061"/>
      <c r="C1219" s="2085"/>
      <c r="D1219" s="2085"/>
      <c r="E1219" s="2085"/>
      <c r="F1219" s="2085"/>
      <c r="G1219" s="2085"/>
      <c r="H1219" s="2085"/>
      <c r="I1219" s="2085"/>
      <c r="J1219" s="2085"/>
      <c r="K1219" s="2085"/>
      <c r="L1219" s="2085"/>
      <c r="M1219" s="2085"/>
      <c r="N1219" s="2086"/>
    </row>
    <row r="1220" spans="1:14" s="666" customFormat="1" x14ac:dyDescent="0.25">
      <c r="A1220" s="462"/>
      <c r="B1220" s="2058" t="s">
        <v>854</v>
      </c>
      <c r="C1220" s="2059">
        <v>0</v>
      </c>
      <c r="D1220" s="2059">
        <v>0</v>
      </c>
      <c r="E1220" s="2059">
        <v>0</v>
      </c>
      <c r="F1220" s="2059">
        <v>0</v>
      </c>
      <c r="G1220" s="2059">
        <v>0</v>
      </c>
      <c r="H1220" s="2059">
        <v>0</v>
      </c>
      <c r="I1220" s="2059">
        <v>0</v>
      </c>
      <c r="J1220" s="2059">
        <v>0</v>
      </c>
      <c r="K1220" s="2059">
        <v>0</v>
      </c>
      <c r="L1220" s="2059">
        <v>0</v>
      </c>
      <c r="M1220" s="2059">
        <v>0</v>
      </c>
      <c r="N1220" s="2088">
        <v>0</v>
      </c>
    </row>
    <row r="1221" spans="1:14" s="666" customFormat="1" x14ac:dyDescent="0.25">
      <c r="A1221" s="462"/>
      <c r="B1221" s="2061"/>
      <c r="C1221" s="2085"/>
      <c r="D1221" s="2085"/>
      <c r="E1221" s="2085"/>
      <c r="F1221" s="2085"/>
      <c r="G1221" s="2085"/>
      <c r="H1221" s="2085"/>
      <c r="I1221" s="2085"/>
      <c r="J1221" s="2085"/>
      <c r="K1221" s="2085"/>
      <c r="L1221" s="2085"/>
      <c r="M1221" s="2085"/>
      <c r="N1221" s="2086"/>
    </row>
    <row r="1222" spans="1:14" s="666" customFormat="1" x14ac:dyDescent="0.25">
      <c r="A1222" s="462"/>
      <c r="B1222" s="2058" t="s">
        <v>855</v>
      </c>
      <c r="C1222" s="2059">
        <f>4858*0.5</f>
        <v>2429</v>
      </c>
      <c r="D1222" s="2059">
        <f>5030*0.5</f>
        <v>2515</v>
      </c>
      <c r="E1222" s="2059">
        <f>5400*0.5</f>
        <v>2700</v>
      </c>
      <c r="F1222" s="2059">
        <f>7321*0.5</f>
        <v>3660.5</v>
      </c>
      <c r="G1222" s="2059">
        <f>9042*0.5</f>
        <v>4521</v>
      </c>
      <c r="H1222" s="2059">
        <f>11197*0.5</f>
        <v>5598.5</v>
      </c>
      <c r="I1222" s="2059">
        <f>11854*0.5</f>
        <v>5927</v>
      </c>
      <c r="J1222" s="2059">
        <f>9626*0.5</f>
        <v>4813</v>
      </c>
      <c r="K1222" s="2059">
        <f>10378*0.5</f>
        <v>5189</v>
      </c>
      <c r="L1222" s="2059">
        <f>7522*0.5</f>
        <v>3761</v>
      </c>
      <c r="M1222" s="2059">
        <f>7014*0.5</f>
        <v>3507</v>
      </c>
      <c r="N1222" s="2087">
        <f>5639*0.5</f>
        <v>2819.5</v>
      </c>
    </row>
    <row r="1223" spans="1:14" s="666" customFormat="1" x14ac:dyDescent="0.25">
      <c r="A1223" s="462"/>
      <c r="B1223" s="2065"/>
      <c r="C1223" s="2085"/>
      <c r="D1223" s="2085"/>
      <c r="E1223" s="2085"/>
      <c r="F1223" s="2085"/>
      <c r="G1223" s="2085"/>
      <c r="H1223" s="2085"/>
      <c r="I1223" s="2085"/>
      <c r="J1223" s="2085"/>
      <c r="K1223" s="2085"/>
      <c r="L1223" s="2085"/>
      <c r="M1223" s="2085"/>
      <c r="N1223" s="2086"/>
    </row>
    <row r="1224" spans="1:14" s="666" customFormat="1" x14ac:dyDescent="0.25">
      <c r="A1224" s="462"/>
      <c r="B1224" s="2058" t="s">
        <v>856</v>
      </c>
      <c r="C1224" s="2059">
        <v>77</v>
      </c>
      <c r="D1224" s="2059">
        <v>60</v>
      </c>
      <c r="E1224" s="2059">
        <v>110</v>
      </c>
      <c r="F1224" s="2059">
        <v>148</v>
      </c>
      <c r="G1224" s="2059">
        <v>86</v>
      </c>
      <c r="H1224" s="2059">
        <v>98</v>
      </c>
      <c r="I1224" s="2059">
        <v>99</v>
      </c>
      <c r="J1224" s="2059">
        <v>105</v>
      </c>
      <c r="K1224" s="2059">
        <v>98</v>
      </c>
      <c r="L1224" s="2059">
        <v>126</v>
      </c>
      <c r="M1224" s="2059">
        <v>113</v>
      </c>
      <c r="N1224" s="2087">
        <v>128</v>
      </c>
    </row>
    <row r="1225" spans="1:14" s="666" customFormat="1" x14ac:dyDescent="0.25">
      <c r="A1225" s="462"/>
      <c r="B1225" s="2061"/>
      <c r="C1225" s="2085"/>
      <c r="D1225" s="2085"/>
      <c r="E1225" s="2085"/>
      <c r="F1225" s="2085"/>
      <c r="G1225" s="2085"/>
      <c r="H1225" s="2085"/>
      <c r="I1225" s="2085"/>
      <c r="J1225" s="2085"/>
      <c r="K1225" s="2085"/>
      <c r="L1225" s="2085"/>
      <c r="M1225" s="2085"/>
      <c r="N1225" s="2086"/>
    </row>
    <row r="1226" spans="1:14" s="666" customFormat="1" x14ac:dyDescent="0.25">
      <c r="A1226" s="462"/>
      <c r="B1226" s="2058" t="s">
        <v>857</v>
      </c>
      <c r="C1226" s="2059">
        <v>77</v>
      </c>
      <c r="D1226" s="2059">
        <v>60</v>
      </c>
      <c r="E1226" s="2059">
        <v>110</v>
      </c>
      <c r="F1226" s="2059">
        <v>148</v>
      </c>
      <c r="G1226" s="2059">
        <v>86</v>
      </c>
      <c r="H1226" s="2059">
        <v>98</v>
      </c>
      <c r="I1226" s="2059">
        <v>99</v>
      </c>
      <c r="J1226" s="2059">
        <v>105</v>
      </c>
      <c r="K1226" s="2059">
        <v>98</v>
      </c>
      <c r="L1226" s="2059">
        <v>126</v>
      </c>
      <c r="M1226" s="2059">
        <v>113</v>
      </c>
      <c r="N1226" s="2087">
        <v>128</v>
      </c>
    </row>
    <row r="1227" spans="1:14" s="666" customFormat="1" ht="15.75" thickBot="1" x14ac:dyDescent="0.3">
      <c r="A1227" s="462"/>
      <c r="B1227" s="2070"/>
      <c r="C1227" s="2089"/>
      <c r="D1227" s="2089"/>
      <c r="E1227" s="2089"/>
      <c r="F1227" s="2089"/>
      <c r="G1227" s="2089"/>
      <c r="H1227" s="2089"/>
      <c r="I1227" s="2089"/>
      <c r="J1227" s="2089"/>
      <c r="K1227" s="2089"/>
      <c r="L1227" s="2089"/>
      <c r="M1227" s="2089"/>
      <c r="N1227" s="2090"/>
    </row>
    <row r="1228" spans="1:14" s="666" customFormat="1" ht="15.75" thickTop="1" x14ac:dyDescent="0.25">
      <c r="A1228" s="462"/>
      <c r="B1228" s="703" t="s">
        <v>913</v>
      </c>
      <c r="C1228" s="2053"/>
      <c r="D1228" s="2053"/>
      <c r="E1228" s="2053"/>
      <c r="F1228" s="2053"/>
      <c r="G1228" s="2053"/>
      <c r="H1228" s="2053"/>
      <c r="I1228" s="2053"/>
      <c r="J1228" s="2053"/>
      <c r="K1228" s="2053"/>
      <c r="L1228" s="2053"/>
      <c r="M1228" s="2053"/>
      <c r="N1228" s="2054"/>
    </row>
    <row r="1229" spans="1:14" s="666" customFormat="1" x14ac:dyDescent="0.25">
      <c r="A1229" s="462"/>
      <c r="B1229" s="2055"/>
      <c r="C1229" s="2056"/>
      <c r="D1229" s="2056"/>
      <c r="E1229" s="2056"/>
      <c r="F1229" s="2056"/>
      <c r="G1229" s="2056"/>
      <c r="H1229" s="2056"/>
      <c r="I1229" s="2056"/>
      <c r="J1229" s="2056"/>
      <c r="K1229" s="2056"/>
      <c r="L1229" s="2056"/>
      <c r="M1229" s="2056"/>
      <c r="N1229" s="2057"/>
    </row>
    <row r="1230" spans="1:14" s="666" customFormat="1" x14ac:dyDescent="0.25">
      <c r="A1230" s="462"/>
      <c r="B1230" s="2058" t="s">
        <v>914</v>
      </c>
      <c r="C1230" s="2073">
        <v>6682.44</v>
      </c>
      <c r="D1230" s="2073">
        <v>7478.56</v>
      </c>
      <c r="E1230" s="2073">
        <v>6409.75</v>
      </c>
      <c r="F1230" s="2073">
        <v>4551.0600000000004</v>
      </c>
      <c r="G1230" s="2073">
        <v>4812.58</v>
      </c>
      <c r="H1230" s="2073">
        <v>5634.1</v>
      </c>
      <c r="I1230" s="2073">
        <v>5524.83</v>
      </c>
      <c r="J1230" s="2073">
        <v>4842.6499999999996</v>
      </c>
      <c r="K1230" s="2073">
        <v>5837.62</v>
      </c>
      <c r="L1230" s="2073">
        <v>4658.03</v>
      </c>
      <c r="M1230" s="2073">
        <v>5570.58</v>
      </c>
      <c r="N1230" s="2074">
        <v>7926.16</v>
      </c>
    </row>
    <row r="1231" spans="1:14" s="666" customFormat="1" x14ac:dyDescent="0.25">
      <c r="A1231" s="462"/>
      <c r="B1231" s="2061"/>
      <c r="C1231" s="2075"/>
      <c r="D1231" s="2075"/>
      <c r="E1231" s="2075"/>
      <c r="F1231" s="2075"/>
      <c r="G1231" s="2075"/>
      <c r="H1231" s="2075"/>
      <c r="I1231" s="2075"/>
      <c r="J1231" s="2075"/>
      <c r="K1231" s="2075"/>
      <c r="L1231" s="2075"/>
      <c r="M1231" s="2075"/>
      <c r="N1231" s="2076"/>
    </row>
    <row r="1232" spans="1:14" s="666" customFormat="1" x14ac:dyDescent="0.25">
      <c r="A1232" s="462"/>
      <c r="B1232" s="2058" t="s">
        <v>915</v>
      </c>
      <c r="C1232" s="2073">
        <v>0</v>
      </c>
      <c r="D1232" s="2073">
        <v>0</v>
      </c>
      <c r="E1232" s="2073">
        <v>0</v>
      </c>
      <c r="F1232" s="2073">
        <v>0</v>
      </c>
      <c r="G1232" s="2073">
        <v>0</v>
      </c>
      <c r="H1232" s="2073">
        <v>0</v>
      </c>
      <c r="I1232" s="2073">
        <v>0</v>
      </c>
      <c r="J1232" s="2073">
        <v>0</v>
      </c>
      <c r="K1232" s="2073">
        <v>0</v>
      </c>
      <c r="L1232" s="2073">
        <v>0</v>
      </c>
      <c r="M1232" s="2073">
        <v>0</v>
      </c>
      <c r="N1232" s="2091">
        <v>0</v>
      </c>
    </row>
    <row r="1233" spans="1:20" s="666" customFormat="1" x14ac:dyDescent="0.25">
      <c r="A1233" s="462"/>
      <c r="B1233" s="2061"/>
      <c r="C1233" s="2075"/>
      <c r="D1233" s="2075"/>
      <c r="E1233" s="2075"/>
      <c r="F1233" s="2075"/>
      <c r="G1233" s="2075"/>
      <c r="H1233" s="2075"/>
      <c r="I1233" s="2075"/>
      <c r="J1233" s="2075"/>
      <c r="K1233" s="2075"/>
      <c r="L1233" s="2075"/>
      <c r="M1233" s="2075"/>
      <c r="N1233" s="2076"/>
    </row>
    <row r="1234" spans="1:20" s="666" customFormat="1" x14ac:dyDescent="0.25">
      <c r="A1234" s="462"/>
      <c r="B1234" s="2058" t="s">
        <v>916</v>
      </c>
      <c r="C1234" s="2073">
        <v>0</v>
      </c>
      <c r="D1234" s="2073">
        <v>0</v>
      </c>
      <c r="E1234" s="2073">
        <v>0</v>
      </c>
      <c r="F1234" s="2073">
        <v>0</v>
      </c>
      <c r="G1234" s="2073">
        <v>0</v>
      </c>
      <c r="H1234" s="2073">
        <v>0</v>
      </c>
      <c r="I1234" s="2073">
        <v>0</v>
      </c>
      <c r="J1234" s="2073">
        <v>0</v>
      </c>
      <c r="K1234" s="2073">
        <v>0</v>
      </c>
      <c r="L1234" s="2073">
        <v>0</v>
      </c>
      <c r="M1234" s="2073">
        <v>0</v>
      </c>
      <c r="N1234" s="2091">
        <v>0</v>
      </c>
    </row>
    <row r="1235" spans="1:20" s="666" customFormat="1" x14ac:dyDescent="0.25">
      <c r="A1235" s="462"/>
      <c r="B1235" s="2061"/>
      <c r="C1235" s="2075"/>
      <c r="D1235" s="2075"/>
      <c r="E1235" s="2075"/>
      <c r="F1235" s="2075"/>
      <c r="G1235" s="2075"/>
      <c r="H1235" s="2075"/>
      <c r="I1235" s="2075"/>
      <c r="J1235" s="2075"/>
      <c r="K1235" s="2075"/>
      <c r="L1235" s="2075"/>
      <c r="M1235" s="2075"/>
      <c r="N1235" s="2076"/>
    </row>
    <row r="1236" spans="1:20" s="666" customFormat="1" x14ac:dyDescent="0.25">
      <c r="A1236" s="462"/>
      <c r="B1236" s="2058" t="s">
        <v>917</v>
      </c>
      <c r="C1236" s="2073">
        <f>(4072.76*0.5)/2</f>
        <v>1018.19</v>
      </c>
      <c r="D1236" s="2073">
        <f>(4217.12*0.5)/2</f>
        <v>1054.28</v>
      </c>
      <c r="E1236" s="2073">
        <f>(4526.88*0.5)/2</f>
        <v>1131.72</v>
      </c>
      <c r="F1236" s="2073">
        <f>(6137.28*0.5)/2</f>
        <v>1534.32</v>
      </c>
      <c r="G1236" s="2073">
        <f>(7700.64*0.5)/2</f>
        <v>1925.16</v>
      </c>
      <c r="H1236" s="2073">
        <f>(9451.16*0.5)/2</f>
        <v>2362.79</v>
      </c>
      <c r="I1236" s="2073">
        <f>(11775.96*0.5)/2</f>
        <v>2943.99</v>
      </c>
      <c r="J1236" s="2073">
        <f>(9629.08*0.5)/2</f>
        <v>2407.27</v>
      </c>
      <c r="K1236" s="2073">
        <f>(10367.94*0.5)/2</f>
        <v>2591.9850000000001</v>
      </c>
      <c r="L1236" s="2073">
        <f>(7596.5*0.5)/2</f>
        <v>1899.125</v>
      </c>
      <c r="M1236" s="2073">
        <f>(7082.86*0.5)/2</f>
        <v>1770.7149999999999</v>
      </c>
      <c r="N1236" s="2074">
        <f>(5694.58*0.5)/2</f>
        <v>1423.645</v>
      </c>
    </row>
    <row r="1237" spans="1:20" s="666" customFormat="1" x14ac:dyDescent="0.25">
      <c r="A1237" s="462"/>
      <c r="B1237" s="2065"/>
      <c r="C1237" s="2075"/>
      <c r="D1237" s="2075"/>
      <c r="E1237" s="2075"/>
      <c r="F1237" s="2075"/>
      <c r="G1237" s="2075"/>
      <c r="H1237" s="2075"/>
      <c r="I1237" s="2075"/>
      <c r="J1237" s="2075"/>
      <c r="K1237" s="2075"/>
      <c r="L1237" s="2075"/>
      <c r="M1237" s="2075"/>
      <c r="N1237" s="2076"/>
    </row>
    <row r="1238" spans="1:20" s="666" customFormat="1" x14ac:dyDescent="0.25">
      <c r="A1238" s="462"/>
      <c r="B1238" s="2058" t="s">
        <v>918</v>
      </c>
      <c r="C1238" s="2073">
        <v>639.87</v>
      </c>
      <c r="D1238" s="2073">
        <v>498.6</v>
      </c>
      <c r="E1238" s="2073">
        <v>734.75</v>
      </c>
      <c r="F1238" s="2073">
        <v>646.76</v>
      </c>
      <c r="G1238" s="2073">
        <v>375.82</v>
      </c>
      <c r="H1238" s="2073">
        <v>428.26</v>
      </c>
      <c r="I1238" s="2073">
        <v>432.63</v>
      </c>
      <c r="J1238" s="2073">
        <v>458.85</v>
      </c>
      <c r="K1238" s="2073">
        <v>428.26</v>
      </c>
      <c r="L1238" s="2073">
        <v>742.78</v>
      </c>
      <c r="M1238" s="2073">
        <v>939.03</v>
      </c>
      <c r="N1238" s="2074">
        <v>1063.68</v>
      </c>
    </row>
    <row r="1239" spans="1:20" s="666" customFormat="1" x14ac:dyDescent="0.25">
      <c r="A1239" s="462"/>
      <c r="B1239" s="2061"/>
      <c r="C1239" s="2075"/>
      <c r="D1239" s="2075"/>
      <c r="E1239" s="2075"/>
      <c r="F1239" s="2075"/>
      <c r="G1239" s="2075"/>
      <c r="H1239" s="2075"/>
      <c r="I1239" s="2075"/>
      <c r="J1239" s="2075"/>
      <c r="K1239" s="2075"/>
      <c r="L1239" s="2075"/>
      <c r="M1239" s="2075"/>
      <c r="N1239" s="2076"/>
    </row>
    <row r="1240" spans="1:20" s="666" customFormat="1" x14ac:dyDescent="0.25">
      <c r="A1240" s="462"/>
      <c r="B1240" s="2058" t="s">
        <v>919</v>
      </c>
      <c r="C1240" s="2073">
        <v>523.6</v>
      </c>
      <c r="D1240" s="2073">
        <v>408</v>
      </c>
      <c r="E1240" s="2073">
        <v>748</v>
      </c>
      <c r="F1240" s="2073">
        <v>1006.4</v>
      </c>
      <c r="G1240" s="2073">
        <v>584.79999999999995</v>
      </c>
      <c r="H1240" s="2073">
        <v>666.4</v>
      </c>
      <c r="I1240" s="2073">
        <v>673.2</v>
      </c>
      <c r="J1240" s="2073">
        <v>714</v>
      </c>
      <c r="K1240" s="2073">
        <v>666.4</v>
      </c>
      <c r="L1240" s="2073">
        <v>856.8</v>
      </c>
      <c r="M1240" s="2073">
        <v>768.4</v>
      </c>
      <c r="N1240" s="2074">
        <v>870.4</v>
      </c>
    </row>
    <row r="1241" spans="1:20" s="666" customFormat="1" ht="15.75" thickBot="1" x14ac:dyDescent="0.3">
      <c r="A1241" s="462"/>
      <c r="B1241" s="2070"/>
      <c r="C1241" s="2071"/>
      <c r="D1241" s="2071"/>
      <c r="E1241" s="2071"/>
      <c r="F1241" s="2071"/>
      <c r="G1241" s="2071"/>
      <c r="H1241" s="2071"/>
      <c r="I1241" s="2071"/>
      <c r="J1241" s="2071"/>
      <c r="K1241" s="2071"/>
      <c r="L1241" s="2071"/>
      <c r="M1241" s="2071"/>
      <c r="N1241" s="2092"/>
    </row>
    <row r="1242" spans="1:20" s="666" customFormat="1" ht="15.75" thickTop="1" x14ac:dyDescent="0.25">
      <c r="A1242" s="462"/>
      <c r="B1242" s="1911"/>
      <c r="C1242" s="930"/>
    </row>
    <row r="1243" spans="1:20" s="666" customFormat="1" x14ac:dyDescent="0.25">
      <c r="A1243" s="462">
        <v>82</v>
      </c>
      <c r="B1243" s="1910" t="s">
        <v>1475</v>
      </c>
      <c r="C1243" s="930"/>
      <c r="T1243" s="1910" t="s">
        <v>1475</v>
      </c>
    </row>
    <row r="1244" spans="1:20" s="666" customFormat="1" x14ac:dyDescent="0.25">
      <c r="A1244" s="462"/>
      <c r="B1244" s="2249" t="s">
        <v>352</v>
      </c>
      <c r="C1244" s="930"/>
    </row>
    <row r="1245" spans="1:20" x14ac:dyDescent="0.25">
      <c r="B1245" s="1909"/>
    </row>
    <row r="1246" spans="1:20" s="666" customFormat="1" x14ac:dyDescent="0.25">
      <c r="A1246" s="462">
        <v>83</v>
      </c>
      <c r="B1246" s="1910" t="s">
        <v>1477</v>
      </c>
      <c r="C1246" s="930"/>
      <c r="T1246" s="1910" t="s">
        <v>1477</v>
      </c>
    </row>
    <row r="1247" spans="1:20" s="666" customFormat="1" ht="15.75" x14ac:dyDescent="0.25">
      <c r="A1247" s="462"/>
      <c r="B1247" s="472" t="s">
        <v>1543</v>
      </c>
      <c r="C1247" s="473" t="s">
        <v>1540</v>
      </c>
      <c r="D1247" s="473">
        <v>42583</v>
      </c>
      <c r="E1247" s="473">
        <v>42614</v>
      </c>
      <c r="F1247" s="473">
        <v>42644</v>
      </c>
      <c r="G1247" s="473">
        <v>42675</v>
      </c>
      <c r="H1247" s="473">
        <v>42705</v>
      </c>
      <c r="I1247" s="473">
        <v>42736</v>
      </c>
      <c r="J1247" s="473">
        <v>42767</v>
      </c>
      <c r="K1247" s="473">
        <v>42795</v>
      </c>
      <c r="L1247" s="473">
        <v>42826</v>
      </c>
      <c r="M1247" s="473">
        <v>42856</v>
      </c>
      <c r="N1247" s="473">
        <v>42887</v>
      </c>
      <c r="T1247" s="1910"/>
    </row>
    <row r="1248" spans="1:20" s="666" customFormat="1" ht="15.75" x14ac:dyDescent="0.25">
      <c r="A1248" s="462"/>
      <c r="B1248" s="1100" t="s">
        <v>1544</v>
      </c>
      <c r="C1248" s="2142"/>
      <c r="D1248" s="2142"/>
      <c r="E1248" s="2142"/>
      <c r="F1248" s="2142"/>
      <c r="G1248" s="2142"/>
      <c r="H1248" s="2142"/>
      <c r="I1248" s="2142"/>
      <c r="J1248" s="2142"/>
      <c r="K1248" s="2142"/>
      <c r="L1248" s="2142"/>
      <c r="M1248" s="2142"/>
      <c r="N1248" s="2142"/>
      <c r="T1248" s="1910"/>
    </row>
    <row r="1249" spans="1:21" s="666" customFormat="1" ht="15.75" x14ac:dyDescent="0.25">
      <c r="A1249" s="462"/>
      <c r="B1249" s="1629" t="s">
        <v>1093</v>
      </c>
      <c r="C1249" s="1631">
        <v>472979</v>
      </c>
      <c r="D1249" s="1631">
        <v>545332</v>
      </c>
      <c r="E1249" s="1631">
        <v>503876</v>
      </c>
      <c r="F1249" s="1631">
        <v>342687</v>
      </c>
      <c r="G1249" s="1631">
        <v>323860</v>
      </c>
      <c r="H1249" s="1631">
        <v>292633</v>
      </c>
      <c r="I1249" s="1631">
        <v>295932</v>
      </c>
      <c r="J1249" s="1631">
        <v>275150</v>
      </c>
      <c r="K1249" s="1631">
        <v>333061</v>
      </c>
      <c r="L1249" s="1631">
        <v>341723</v>
      </c>
      <c r="M1249" s="1631">
        <v>370179</v>
      </c>
      <c r="N1249" s="1631">
        <v>463630</v>
      </c>
      <c r="T1249" s="1910"/>
    </row>
    <row r="1250" spans="1:21" s="666" customFormat="1" ht="15.75" x14ac:dyDescent="0.25">
      <c r="A1250" s="462"/>
      <c r="B1250" s="1629" t="s">
        <v>322</v>
      </c>
      <c r="C1250" s="1631" t="s">
        <v>1419</v>
      </c>
      <c r="D1250" s="1631">
        <f>182*748</f>
        <v>136136</v>
      </c>
      <c r="E1250" s="1631">
        <f>1132*748</f>
        <v>846736</v>
      </c>
      <c r="F1250" s="1631">
        <f>978*748</f>
        <v>731544</v>
      </c>
      <c r="G1250" s="1631">
        <f>569*748</f>
        <v>425612</v>
      </c>
      <c r="H1250" s="1631">
        <f>466*748</f>
        <v>348568</v>
      </c>
      <c r="I1250" s="1631">
        <f>311*748</f>
        <v>232628</v>
      </c>
      <c r="J1250" s="1631">
        <f>247*748</f>
        <v>184756</v>
      </c>
      <c r="K1250" s="1631">
        <f>358*748</f>
        <v>267784</v>
      </c>
      <c r="L1250" s="1631">
        <f>305*748</f>
        <v>228140</v>
      </c>
      <c r="M1250" s="1631">
        <f>406*748</f>
        <v>303688</v>
      </c>
      <c r="N1250" s="1631">
        <f>489*748</f>
        <v>365772</v>
      </c>
      <c r="T1250" s="1910"/>
    </row>
    <row r="1251" spans="1:21" s="666" customFormat="1" ht="15.75" x14ac:dyDescent="0.25">
      <c r="A1251" s="462"/>
      <c r="B1251" s="1631"/>
      <c r="C1251" s="1631"/>
      <c r="D1251" s="1631"/>
      <c r="E1251" s="1631"/>
      <c r="F1251" s="1631"/>
      <c r="G1251" s="1631"/>
      <c r="H1251" s="1631"/>
      <c r="I1251" s="1631"/>
      <c r="J1251" s="1631"/>
      <c r="K1251" s="1631"/>
      <c r="L1251" s="1631"/>
      <c r="M1251" s="1631"/>
      <c r="N1251" s="1631"/>
      <c r="T1251" s="1910"/>
    </row>
    <row r="1252" spans="1:21" s="666" customFormat="1" ht="15.75" x14ac:dyDescent="0.25">
      <c r="A1252" s="462"/>
      <c r="B1252" s="1632" t="s">
        <v>641</v>
      </c>
      <c r="C1252" s="1631">
        <v>8075</v>
      </c>
      <c r="D1252" s="1631">
        <v>7697</v>
      </c>
      <c r="E1252" s="1631">
        <v>9092</v>
      </c>
      <c r="F1252" s="1631">
        <v>9912</v>
      </c>
      <c r="G1252" s="1631">
        <v>14428</v>
      </c>
      <c r="H1252" s="1631">
        <v>22001</v>
      </c>
      <c r="I1252" s="1631">
        <v>24984</v>
      </c>
      <c r="J1252" s="1631">
        <v>17582</v>
      </c>
      <c r="K1252" s="1631">
        <v>16177</v>
      </c>
      <c r="L1252" s="1631">
        <v>17143</v>
      </c>
      <c r="M1252" s="1631">
        <v>11528</v>
      </c>
      <c r="N1252" s="1631">
        <v>9437</v>
      </c>
      <c r="T1252" s="1910"/>
    </row>
    <row r="1253" spans="1:21" s="666" customFormat="1" ht="15.75" x14ac:dyDescent="0.25">
      <c r="A1253" s="462"/>
      <c r="B1253" s="441"/>
      <c r="C1253" s="1631"/>
      <c r="D1253" s="1631"/>
      <c r="E1253" s="1631"/>
      <c r="F1253" s="1631"/>
      <c r="G1253" s="1631"/>
      <c r="H1253" s="1631"/>
      <c r="I1253" s="1631"/>
      <c r="J1253" s="1631"/>
      <c r="K1253" s="1631"/>
      <c r="L1253" s="1631"/>
      <c r="M1253" s="1631"/>
      <c r="N1253" s="1631"/>
      <c r="T1253" s="1910"/>
    </row>
    <row r="1254" spans="1:21" s="666" customFormat="1" ht="15.75" x14ac:dyDescent="0.25">
      <c r="A1254" s="462"/>
      <c r="B1254" s="1629" t="s">
        <v>324</v>
      </c>
      <c r="C1254" s="1631">
        <v>35972.839999999997</v>
      </c>
      <c r="D1254" s="1631">
        <v>41213.339999999997</v>
      </c>
      <c r="E1254" s="1631">
        <v>35924</v>
      </c>
      <c r="F1254" s="1631">
        <v>25630.78</v>
      </c>
      <c r="G1254" s="1631">
        <v>23219.21</v>
      </c>
      <c r="H1254" s="1631">
        <v>19651.36</v>
      </c>
      <c r="I1254" s="1631">
        <v>16405.96</v>
      </c>
      <c r="J1254" s="1631">
        <v>16179.25</v>
      </c>
      <c r="K1254" s="1631">
        <v>19083.310000000001</v>
      </c>
      <c r="L1254" s="1631">
        <v>20252.48</v>
      </c>
      <c r="M1254" s="1631">
        <v>21826.62</v>
      </c>
      <c r="N1254" s="1631">
        <v>34676.43</v>
      </c>
    </row>
    <row r="1255" spans="1:21" s="666" customFormat="1" ht="15.75" x14ac:dyDescent="0.25">
      <c r="A1255" s="462"/>
      <c r="B1255" s="1634" t="s">
        <v>328</v>
      </c>
      <c r="C1255" s="1631" t="s">
        <v>1419</v>
      </c>
      <c r="D1255" s="1631">
        <v>1912.78</v>
      </c>
      <c r="E1255" s="1631">
        <v>8671.2800000000007</v>
      </c>
      <c r="F1255" s="1631">
        <v>6919.62</v>
      </c>
      <c r="G1255" s="1631">
        <v>4347.01</v>
      </c>
      <c r="H1255" s="1631">
        <v>3715.34</v>
      </c>
      <c r="I1255" s="1631">
        <v>2740.39</v>
      </c>
      <c r="J1255" s="1631">
        <v>2337.83</v>
      </c>
      <c r="K1255" s="1631">
        <v>3036.02</v>
      </c>
      <c r="L1255" s="1631">
        <v>2702.65</v>
      </c>
      <c r="M1255" s="1631">
        <v>3321.74</v>
      </c>
      <c r="N1255" s="1631">
        <v>3860.01</v>
      </c>
    </row>
    <row r="1256" spans="1:21" s="666" customFormat="1" ht="15.75" x14ac:dyDescent="0.25">
      <c r="A1256" s="462"/>
      <c r="B1256" s="1633" t="s">
        <v>733</v>
      </c>
      <c r="C1256" s="1631">
        <v>5954.12</v>
      </c>
      <c r="D1256" s="1631">
        <v>5676.5</v>
      </c>
      <c r="E1256" s="1631">
        <v>6701.05</v>
      </c>
      <c r="F1256" s="1631">
        <v>7370.3</v>
      </c>
      <c r="G1256" s="1631">
        <v>10877.119999999999</v>
      </c>
      <c r="H1256" s="1631">
        <v>19284.79</v>
      </c>
      <c r="I1256" s="1631">
        <v>22601.42</v>
      </c>
      <c r="J1256" s="1631">
        <v>15760.77</v>
      </c>
      <c r="K1256" s="1631">
        <v>14503.19</v>
      </c>
      <c r="L1256" s="1631">
        <v>14739.4</v>
      </c>
      <c r="M1256" s="1631">
        <v>10008.57</v>
      </c>
      <c r="N1256" s="1631">
        <v>7528.26</v>
      </c>
    </row>
    <row r="1257" spans="1:21" s="666" customFormat="1" ht="15.75" x14ac:dyDescent="0.25">
      <c r="A1257" s="462"/>
      <c r="B1257" s="1124" t="s">
        <v>1401</v>
      </c>
      <c r="C1257" s="930"/>
    </row>
    <row r="1258" spans="1:21" s="666" customFormat="1" x14ac:dyDescent="0.25">
      <c r="A1258" s="462"/>
      <c r="B1258" s="1910"/>
      <c r="C1258" s="930"/>
    </row>
    <row r="1259" spans="1:21" s="666" customFormat="1" x14ac:dyDescent="0.25">
      <c r="A1259" s="462">
        <v>84</v>
      </c>
      <c r="B1259" s="1910" t="s">
        <v>1476</v>
      </c>
      <c r="C1259" s="930"/>
      <c r="T1259" s="1910" t="s">
        <v>1476</v>
      </c>
    </row>
    <row r="1260" spans="1:21" x14ac:dyDescent="0.25">
      <c r="B1260" s="712" t="s">
        <v>1610</v>
      </c>
      <c r="C1260" s="1646"/>
      <c r="D1260" s="1183"/>
      <c r="E1260" s="1183"/>
      <c r="F1260" s="1183"/>
      <c r="G1260" s="1183"/>
      <c r="H1260" s="1183"/>
      <c r="I1260" s="1183"/>
      <c r="J1260" s="1183"/>
      <c r="K1260" s="713"/>
      <c r="L1260" s="713"/>
      <c r="M1260" s="713"/>
      <c r="N1260" s="713"/>
      <c r="O1260" s="713"/>
      <c r="P1260" s="714"/>
      <c r="Q1260" s="715"/>
      <c r="R1260" s="716"/>
      <c r="S1260" s="1647"/>
      <c r="T1260" s="1150"/>
    </row>
    <row r="1261" spans="1:21" x14ac:dyDescent="0.25">
      <c r="B1261" s="717" t="s">
        <v>337</v>
      </c>
      <c r="C1261" s="1648"/>
      <c r="E1261" s="719">
        <v>42614</v>
      </c>
      <c r="F1261" s="719">
        <v>42644</v>
      </c>
      <c r="G1261" s="719">
        <v>42675</v>
      </c>
      <c r="H1261" s="719">
        <v>42705</v>
      </c>
      <c r="I1261" s="719">
        <v>42736</v>
      </c>
      <c r="J1261" s="719">
        <v>42767</v>
      </c>
      <c r="K1261" s="719">
        <v>42795</v>
      </c>
      <c r="L1261" s="719">
        <v>42826</v>
      </c>
      <c r="M1261" s="719">
        <v>42856</v>
      </c>
      <c r="N1261" s="719">
        <v>42887</v>
      </c>
      <c r="O1261" s="719">
        <v>42917</v>
      </c>
      <c r="P1261" s="719">
        <v>42948</v>
      </c>
      <c r="Q1261" s="720" t="s">
        <v>338</v>
      </c>
      <c r="R1261" s="721" t="s">
        <v>339</v>
      </c>
      <c r="S1261" s="1222"/>
      <c r="T1261" s="720" t="s">
        <v>338</v>
      </c>
      <c r="U1261" s="721" t="s">
        <v>339</v>
      </c>
    </row>
    <row r="1262" spans="1:21" x14ac:dyDescent="0.25">
      <c r="B1262" s="722" t="s">
        <v>360</v>
      </c>
      <c r="C1262" s="730"/>
      <c r="E1262" s="1144">
        <v>120312.98828125</v>
      </c>
      <c r="F1262" s="1144">
        <v>156106.01806640698</v>
      </c>
      <c r="G1262" s="1144">
        <v>150607.97119140602</v>
      </c>
      <c r="H1262" s="1144">
        <v>145809.02099609398</v>
      </c>
      <c r="I1262" s="1144">
        <v>144721.98486328102</v>
      </c>
      <c r="J1262" s="1144">
        <v>138762.02392577397</v>
      </c>
      <c r="K1262" s="1144">
        <v>143576.04980469</v>
      </c>
      <c r="L1262" s="1144">
        <v>148554.93164063001</v>
      </c>
      <c r="M1262" s="1144">
        <v>150557.98339842999</v>
      </c>
      <c r="N1262" s="1144">
        <v>152450.07324219</v>
      </c>
      <c r="O1262" s="1144">
        <v>169554.93164063001</v>
      </c>
      <c r="P1262" s="1144">
        <v>171994.01855467999</v>
      </c>
      <c r="Q1262" s="724">
        <f t="shared" ref="Q1262:Q1269" si="71">SUM(E1262:P1262)</f>
        <v>1793007.9956054622</v>
      </c>
      <c r="R1262" s="1145" t="s">
        <v>361</v>
      </c>
      <c r="S1262" s="1211"/>
      <c r="T1262" s="734">
        <f>Q1262*0.003409512</f>
        <v>6113.2822771127703</v>
      </c>
      <c r="U1262" s="1145" t="s">
        <v>342</v>
      </c>
    </row>
    <row r="1263" spans="1:21" x14ac:dyDescent="0.25">
      <c r="B1263" s="722" t="s">
        <v>362</v>
      </c>
      <c r="C1263" s="730"/>
      <c r="E1263" s="454">
        <v>1185.791015625</v>
      </c>
      <c r="F1263" s="454">
        <v>675.2421875</v>
      </c>
      <c r="G1263" s="454">
        <v>265.5712890625</v>
      </c>
      <c r="H1263" s="454">
        <v>182.5390625</v>
      </c>
      <c r="I1263" s="454">
        <v>195.41796875</v>
      </c>
      <c r="J1263" s="454">
        <v>210.9013671875</v>
      </c>
      <c r="K1263" s="454">
        <v>225.212890625</v>
      </c>
      <c r="L1263" s="454">
        <v>575.5078125</v>
      </c>
      <c r="M1263" s="454">
        <v>768.9306640625</v>
      </c>
      <c r="N1263" s="454">
        <v>828.759765625</v>
      </c>
      <c r="O1263" s="454">
        <v>1027.7900390625</v>
      </c>
      <c r="P1263" s="454">
        <v>979.4296875</v>
      </c>
      <c r="Q1263" s="724">
        <f t="shared" si="71"/>
        <v>7121.09375</v>
      </c>
      <c r="R1263" s="1145" t="s">
        <v>363</v>
      </c>
      <c r="S1263" s="1211"/>
      <c r="T1263" s="1649">
        <f>Q1263</f>
        <v>7121.09375</v>
      </c>
      <c r="U1263" s="1145" t="s">
        <v>342</v>
      </c>
    </row>
    <row r="1264" spans="1:21" x14ac:dyDescent="0.25">
      <c r="B1264" s="722" t="s">
        <v>364</v>
      </c>
      <c r="C1264" s="730"/>
      <c r="E1264" s="1144">
        <v>421.72514343261679</v>
      </c>
      <c r="F1264" s="1144">
        <v>564.12953948974598</v>
      </c>
      <c r="G1264" s="454">
        <v>527.92210388183105</v>
      </c>
      <c r="H1264" s="454">
        <v>550.06434631348202</v>
      </c>
      <c r="I1264" s="454">
        <v>550.37728881835892</v>
      </c>
      <c r="J1264" s="454">
        <v>235.47232055664102</v>
      </c>
      <c r="K1264" s="454">
        <v>277.65777587890602</v>
      </c>
      <c r="L1264" s="454">
        <v>147.12463378906193</v>
      </c>
      <c r="M1264" s="454">
        <v>161.37237548828205</v>
      </c>
      <c r="N1264" s="454">
        <v>45.361389160156023</v>
      </c>
      <c r="O1264" s="454">
        <v>43.837280273436932</v>
      </c>
      <c r="P1264" s="454">
        <v>77.87890625</v>
      </c>
      <c r="Q1264" s="724">
        <f t="shared" si="71"/>
        <v>3602.9231033325191</v>
      </c>
      <c r="R1264" s="1146" t="s">
        <v>365</v>
      </c>
      <c r="S1264" s="1211"/>
      <c r="T1264" s="756">
        <f>Q1264</f>
        <v>3602.9231033325191</v>
      </c>
      <c r="U1264" s="1145" t="s">
        <v>342</v>
      </c>
    </row>
    <row r="1265" spans="2:21" x14ac:dyDescent="0.25">
      <c r="B1265" s="728" t="s">
        <v>864</v>
      </c>
      <c r="C1265" s="730"/>
      <c r="E1265" s="454">
        <v>402.25949709999998</v>
      </c>
      <c r="F1265" s="454">
        <v>382.55491769999998</v>
      </c>
      <c r="G1265" s="454">
        <v>379.72088049999996</v>
      </c>
      <c r="H1265" s="454">
        <v>123.22714579999999</v>
      </c>
      <c r="I1265" s="454">
        <v>100.16717329999999</v>
      </c>
      <c r="J1265" s="454">
        <v>104.75243159999999</v>
      </c>
      <c r="K1265" s="454">
        <v>140.9799826</v>
      </c>
      <c r="L1265" s="454">
        <v>94.084687799999998</v>
      </c>
      <c r="M1265" s="454">
        <v>123.56134829999999</v>
      </c>
      <c r="N1265" s="454">
        <v>38.526864199999999</v>
      </c>
      <c r="O1265" s="454">
        <v>117.41202229999999</v>
      </c>
      <c r="P1265" s="454">
        <v>111.890997</v>
      </c>
      <c r="Q1265" s="724">
        <f t="shared" si="71"/>
        <v>2119.1379482000002</v>
      </c>
      <c r="R1265" s="1146" t="s">
        <v>379</v>
      </c>
      <c r="S1265" s="1211"/>
      <c r="T1265" s="756">
        <f>Q1265*748</f>
        <v>1585115.1852536001</v>
      </c>
      <c r="U1265" s="1146" t="s">
        <v>346</v>
      </c>
    </row>
    <row r="1266" spans="2:21" x14ac:dyDescent="0.25">
      <c r="B1266" s="722" t="s">
        <v>368</v>
      </c>
      <c r="C1266" s="730"/>
      <c r="E1266" s="731">
        <f>E1262*0.087</f>
        <v>10467.22998046875</v>
      </c>
      <c r="F1266" s="731">
        <f t="shared" ref="F1266:O1266" si="72">F1262*0.087</f>
        <v>13581.223571777406</v>
      </c>
      <c r="G1266" s="731">
        <f t="shared" si="72"/>
        <v>13102.893493652322</v>
      </c>
      <c r="H1266" s="731">
        <f t="shared" si="72"/>
        <v>12685.384826660176</v>
      </c>
      <c r="I1266" s="731">
        <f t="shared" si="72"/>
        <v>12590.812683105447</v>
      </c>
      <c r="J1266" s="731">
        <f t="shared" si="72"/>
        <v>12072.296081542336</v>
      </c>
      <c r="K1266" s="731">
        <f t="shared" si="72"/>
        <v>12491.116333008029</v>
      </c>
      <c r="L1266" s="731">
        <f t="shared" si="72"/>
        <v>12924.27905273481</v>
      </c>
      <c r="M1266" s="731">
        <f t="shared" si="72"/>
        <v>13098.544555663408</v>
      </c>
      <c r="N1266" s="731">
        <f t="shared" si="72"/>
        <v>13263.156372070529</v>
      </c>
      <c r="O1266" s="731">
        <f t="shared" si="72"/>
        <v>14751.27905273481</v>
      </c>
      <c r="P1266" s="731">
        <f>P1262*0.083</f>
        <v>14275.50354003844</v>
      </c>
      <c r="Q1266" s="724">
        <f t="shared" si="71"/>
        <v>155303.71954345648</v>
      </c>
      <c r="R1266" s="1145" t="s">
        <v>865</v>
      </c>
      <c r="S1266" s="1211"/>
      <c r="T1266" s="1651"/>
      <c r="U1266" s="1652"/>
    </row>
    <row r="1267" spans="2:21" x14ac:dyDescent="0.25">
      <c r="B1267" s="722" t="s">
        <v>369</v>
      </c>
      <c r="C1267" s="730"/>
      <c r="E1267" s="731">
        <f>E1263*12.95</f>
        <v>15355.99365234375</v>
      </c>
      <c r="F1267" s="731">
        <f t="shared" ref="F1267:O1267" si="73">F1263*12.95</f>
        <v>8744.3863281249996</v>
      </c>
      <c r="G1267" s="731">
        <f t="shared" si="73"/>
        <v>3439.148193359375</v>
      </c>
      <c r="H1267" s="731">
        <f t="shared" si="73"/>
        <v>2363.880859375</v>
      </c>
      <c r="I1267" s="731">
        <f t="shared" si="73"/>
        <v>2530.6626953124996</v>
      </c>
      <c r="J1267" s="731">
        <f t="shared" si="73"/>
        <v>2731.1727050781246</v>
      </c>
      <c r="K1267" s="731">
        <f t="shared" si="73"/>
        <v>2916.5069335937496</v>
      </c>
      <c r="L1267" s="731">
        <f t="shared" si="73"/>
        <v>7452.826171875</v>
      </c>
      <c r="M1267" s="731">
        <f t="shared" si="73"/>
        <v>9957.652099609375</v>
      </c>
      <c r="N1267" s="731">
        <f t="shared" si="73"/>
        <v>10732.43896484375</v>
      </c>
      <c r="O1267" s="731">
        <f t="shared" si="73"/>
        <v>13309.881005859374</v>
      </c>
      <c r="P1267" s="731">
        <f>P1263*12.76</f>
        <v>12497.522812499999</v>
      </c>
      <c r="Q1267" s="724">
        <f t="shared" si="71"/>
        <v>92032.072421875011</v>
      </c>
      <c r="R1267" s="1145" t="s">
        <v>865</v>
      </c>
      <c r="S1267" s="1211"/>
      <c r="T1267" s="1647"/>
      <c r="U1267" s="1150"/>
    </row>
    <row r="1268" spans="2:21" ht="16.5" x14ac:dyDescent="0.35">
      <c r="B1268" s="722" t="s">
        <v>326</v>
      </c>
      <c r="C1268" s="730"/>
      <c r="E1268" s="1208">
        <f>E1264*12.02</f>
        <v>5069.1362240600538</v>
      </c>
      <c r="F1268" s="1208">
        <f t="shared" ref="F1268:O1268" si="74">F1264*12.02</f>
        <v>6780.8370646667463</v>
      </c>
      <c r="G1268" s="1208">
        <f t="shared" si="74"/>
        <v>6345.6236886596089</v>
      </c>
      <c r="H1268" s="1208">
        <f t="shared" si="74"/>
        <v>6611.7734426880534</v>
      </c>
      <c r="I1268" s="1208">
        <f t="shared" si="74"/>
        <v>6615.5350115966739</v>
      </c>
      <c r="J1268" s="1208">
        <f t="shared" si="74"/>
        <v>2830.3772930908249</v>
      </c>
      <c r="K1268" s="1208">
        <f t="shared" si="74"/>
        <v>3337.4464660644503</v>
      </c>
      <c r="L1268" s="1208">
        <f t="shared" si="74"/>
        <v>1768.4380981445242</v>
      </c>
      <c r="M1268" s="1208">
        <f t="shared" si="74"/>
        <v>1939.6959533691502</v>
      </c>
      <c r="N1268" s="1208">
        <f t="shared" si="74"/>
        <v>545.24389770507537</v>
      </c>
      <c r="O1268" s="1208">
        <f t="shared" si="74"/>
        <v>526.92410888671191</v>
      </c>
      <c r="P1268" s="1208">
        <f>P1264*13.81</f>
        <v>1075.5076953125001</v>
      </c>
      <c r="Q1268" s="724">
        <f t="shared" si="71"/>
        <v>43446.53894424437</v>
      </c>
      <c r="R1268" s="1145" t="s">
        <v>865</v>
      </c>
      <c r="S1268" s="1211"/>
      <c r="T1268" s="1653"/>
      <c r="U1268" s="1150"/>
    </row>
    <row r="1269" spans="2:21" ht="16.5" x14ac:dyDescent="0.35">
      <c r="B1269" s="732" t="s">
        <v>325</v>
      </c>
      <c r="C1269" s="714"/>
      <c r="E1269" s="1147">
        <f>E1265*9.33</f>
        <v>3753.081107943</v>
      </c>
      <c r="F1269" s="1147">
        <f t="shared" ref="F1269:O1269" si="75">F1265*9.33</f>
        <v>3569.2373821409997</v>
      </c>
      <c r="G1269" s="1147">
        <f t="shared" si="75"/>
        <v>3542.7958150649997</v>
      </c>
      <c r="H1269" s="1147">
        <f t="shared" si="75"/>
        <v>1149.7092703139999</v>
      </c>
      <c r="I1269" s="1147">
        <f t="shared" si="75"/>
        <v>934.55972688899988</v>
      </c>
      <c r="J1269" s="1147">
        <f t="shared" si="75"/>
        <v>977.3401868279999</v>
      </c>
      <c r="K1269" s="1147">
        <f t="shared" si="75"/>
        <v>1315.3432376579999</v>
      </c>
      <c r="L1269" s="1147">
        <f t="shared" si="75"/>
        <v>877.81013717400003</v>
      </c>
      <c r="M1269" s="1147">
        <f t="shared" si="75"/>
        <v>1152.8273796389999</v>
      </c>
      <c r="N1269" s="1147">
        <f t="shared" si="75"/>
        <v>359.45564298599999</v>
      </c>
      <c r="O1269" s="1147">
        <f t="shared" si="75"/>
        <v>1095.4541680589998</v>
      </c>
      <c r="P1269" s="1147">
        <f>P1265*9.39</f>
        <v>1050.6564618300001</v>
      </c>
      <c r="Q1269" s="724">
        <f t="shared" si="71"/>
        <v>19778.270516525998</v>
      </c>
      <c r="R1269" s="1145" t="s">
        <v>865</v>
      </c>
      <c r="S1269" s="1211"/>
      <c r="T1269" s="1653"/>
      <c r="U1269" s="1150"/>
    </row>
  </sheetData>
  <mergeCells count="4">
    <mergeCell ref="B80:M80"/>
    <mergeCell ref="B85:N85"/>
    <mergeCell ref="B1207:M1207"/>
    <mergeCell ref="B1212:N1212"/>
  </mergeCells>
  <pageMargins left="0.7" right="0.7" top="0.75" bottom="0.75" header="0.3" footer="0.3"/>
  <pageSetup orientation="portrait" r:id="rId1"/>
  <ignoredErrors>
    <ignoredError sqref="S772" formula="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136"/>
  <sheetViews>
    <sheetView topLeftCell="AH58" workbookViewId="0">
      <selection activeCell="P74" sqref="A74:XFD74"/>
    </sheetView>
  </sheetViews>
  <sheetFormatPr defaultColWidth="8.85546875" defaultRowHeight="14.25" x14ac:dyDescent="0.2"/>
  <cols>
    <col min="1" max="1" width="23.140625" style="26" customWidth="1"/>
    <col min="2" max="2" width="9" style="1" customWidth="1"/>
    <col min="3" max="3" width="9.5703125" style="26" customWidth="1"/>
    <col min="4" max="4" width="9.5703125" style="26" hidden="1" customWidth="1"/>
    <col min="5" max="5" width="8.85546875" style="26" hidden="1" customWidth="1"/>
    <col min="6" max="6" width="15.28515625" style="26" bestFit="1" customWidth="1"/>
    <col min="7" max="7" width="11.7109375" style="72" customWidth="1"/>
    <col min="8" max="8" width="7.5703125" style="26" customWidth="1"/>
    <col min="9" max="9" width="13.42578125" style="35" customWidth="1"/>
    <col min="10" max="10" width="13" style="35" customWidth="1"/>
    <col min="11" max="11" width="15.42578125" style="32" customWidth="1"/>
    <col min="12" max="12" width="6.28515625" style="31" customWidth="1"/>
    <col min="13" max="13" width="12.28515625" style="38" customWidth="1"/>
    <col min="14" max="14" width="6.85546875" style="1390" hidden="1" customWidth="1"/>
    <col min="15" max="15" width="10.28515625" style="84" customWidth="1"/>
    <col min="16" max="16" width="23.140625" style="26" customWidth="1"/>
    <col min="17" max="17" width="9.85546875" style="31" customWidth="1"/>
    <col min="18" max="18" width="8.42578125" style="31" customWidth="1"/>
    <col min="19" max="19" width="11" style="38" bestFit="1" customWidth="1"/>
    <col min="20" max="20" width="9.42578125" style="26" customWidth="1"/>
    <col min="21" max="21" width="11.28515625" style="38" customWidth="1"/>
    <col min="22" max="22" width="10.140625" style="26" customWidth="1"/>
    <col min="23" max="23" width="10.28515625" style="39" customWidth="1"/>
    <col min="24" max="24" width="10.42578125" style="26" customWidth="1"/>
    <col min="25" max="25" width="10.42578125" style="31" customWidth="1"/>
    <col min="26" max="26" width="12.85546875" style="26" bestFit="1" customWidth="1"/>
    <col min="27" max="27" width="9.42578125" style="26" customWidth="1"/>
    <col min="28" max="28" width="9.42578125" style="31" customWidth="1"/>
    <col min="29" max="29" width="9.42578125" style="1397" customWidth="1"/>
    <col min="30" max="30" width="10.28515625" style="26" customWidth="1"/>
    <col min="31" max="31" width="7.5703125" style="26" customWidth="1"/>
    <col min="32" max="32" width="9.85546875" style="26" bestFit="1" customWidth="1"/>
    <col min="33" max="33" width="23.140625" style="26" customWidth="1"/>
    <col min="34" max="34" width="14.42578125" style="26" bestFit="1" customWidth="1"/>
    <col min="35" max="35" width="11.5703125" style="26" customWidth="1"/>
    <col min="36" max="36" width="13.5703125" style="26" customWidth="1"/>
    <col min="37" max="37" width="11.5703125" style="26" customWidth="1"/>
    <col min="38" max="38" width="10.28515625" style="26" customWidth="1"/>
    <col min="39" max="39" width="13.140625" style="26" customWidth="1"/>
    <col min="40" max="40" width="12.85546875" style="26" customWidth="1"/>
    <col min="41" max="41" width="12" style="26" customWidth="1"/>
    <col min="42" max="42" width="10.28515625" style="26" customWidth="1"/>
    <col min="43" max="43" width="13.7109375" style="26" customWidth="1"/>
    <col min="44" max="44" width="23.140625" style="26" customWidth="1"/>
    <col min="45" max="45" width="15.140625" style="26" customWidth="1"/>
    <col min="46" max="46" width="10.28515625" style="26" customWidth="1"/>
    <col min="47" max="47" width="10.42578125" style="26" customWidth="1"/>
    <col min="48" max="48" width="15.140625" style="26" customWidth="1"/>
    <col min="49" max="49" width="10.28515625" style="31" customWidth="1"/>
    <col min="50" max="50" width="11" style="26" customWidth="1"/>
    <col min="51" max="51" width="13.28515625" style="26" customWidth="1"/>
    <col min="52" max="52" width="15.140625" style="26" customWidth="1"/>
    <col min="53" max="53" width="14.42578125" style="26" customWidth="1"/>
    <col min="54" max="54" width="10.140625" style="26" customWidth="1"/>
    <col min="55" max="55" width="8.42578125" style="26" customWidth="1"/>
    <col min="56" max="56" width="11.28515625" style="26" customWidth="1"/>
    <col min="57" max="57" width="23.140625" style="26" customWidth="1"/>
    <col min="58" max="58" width="18.7109375" style="947" bestFit="1" customWidth="1"/>
    <col min="59" max="59" width="10" style="26" customWidth="1"/>
    <col min="60" max="60" width="18.7109375" style="26" bestFit="1" customWidth="1"/>
    <col min="61" max="61" width="15.42578125" style="15" customWidth="1"/>
    <col min="62" max="62" width="13.5703125" style="15" bestFit="1" customWidth="1"/>
    <col min="63" max="63" width="13.28515625" style="3" customWidth="1"/>
    <col min="64" max="64" width="15.85546875" style="3" bestFit="1" customWidth="1"/>
    <col min="65" max="65" width="19.7109375" style="31" bestFit="1" customWidth="1"/>
    <col min="66" max="66" width="8.85546875" style="1"/>
    <col min="67" max="67" width="9.85546875" style="31" customWidth="1"/>
    <col min="68" max="68" width="12.7109375" style="26" bestFit="1" customWidth="1"/>
    <col min="69" max="16384" width="8.85546875" style="26"/>
  </cols>
  <sheetData>
    <row r="1" spans="1:67" s="45" customFormat="1" ht="112.9" customHeight="1" x14ac:dyDescent="0.2">
      <c r="A1" s="1825"/>
      <c r="B1" s="89"/>
      <c r="C1" s="2250" t="s">
        <v>1005</v>
      </c>
      <c r="D1" s="2250"/>
      <c r="E1" s="2250"/>
      <c r="F1" s="2250"/>
      <c r="G1" s="2250"/>
      <c r="H1" s="2250"/>
      <c r="I1" s="2250"/>
      <c r="J1" s="2250"/>
      <c r="K1" s="2250"/>
      <c r="L1" s="2250"/>
      <c r="M1" s="2250"/>
      <c r="N1" s="2250"/>
      <c r="O1" s="2250"/>
      <c r="P1" s="1825"/>
      <c r="Q1" s="2250" t="s">
        <v>1469</v>
      </c>
      <c r="R1" s="2250"/>
      <c r="S1" s="2250"/>
      <c r="T1" s="2250"/>
      <c r="U1" s="2250"/>
      <c r="V1" s="2250"/>
      <c r="W1" s="2250"/>
      <c r="X1" s="2250"/>
      <c r="Y1" s="2250"/>
      <c r="Z1" s="2250"/>
      <c r="AA1" s="2250"/>
      <c r="AB1" s="2250"/>
      <c r="AC1" s="2250"/>
      <c r="AD1" s="2250"/>
      <c r="AE1" s="2250"/>
      <c r="AF1" s="2250"/>
      <c r="AG1" s="1825"/>
      <c r="AH1" s="2250" t="s">
        <v>962</v>
      </c>
      <c r="AI1" s="2250"/>
      <c r="AJ1" s="2250"/>
      <c r="AK1" s="2250"/>
      <c r="AL1" s="2250"/>
      <c r="AM1" s="2250"/>
      <c r="AN1" s="2250"/>
      <c r="AO1" s="2250"/>
      <c r="AP1" s="2250"/>
      <c r="AQ1" s="2250"/>
      <c r="AR1" s="1825"/>
      <c r="AS1" s="2250" t="s">
        <v>963</v>
      </c>
      <c r="AT1" s="2250"/>
      <c r="AU1" s="2250"/>
      <c r="AV1" s="2250"/>
      <c r="AW1" s="2250"/>
      <c r="AX1" s="2250"/>
      <c r="AY1" s="2250"/>
      <c r="AZ1" s="2250"/>
      <c r="BA1" s="2250"/>
      <c r="BB1" s="2250"/>
      <c r="BC1" s="2250"/>
      <c r="BD1" s="2250"/>
      <c r="BE1" s="1825"/>
      <c r="BF1" s="2250" t="s">
        <v>964</v>
      </c>
      <c r="BG1" s="2250"/>
      <c r="BH1" s="2250"/>
      <c r="BI1" s="2250"/>
      <c r="BJ1" s="2250"/>
      <c r="BK1" s="2250"/>
      <c r="BL1" s="2250"/>
      <c r="BM1" s="1826"/>
      <c r="BN1" s="88"/>
    </row>
    <row r="2" spans="1:67" s="1824" customFormat="1" ht="17.45" customHeight="1" x14ac:dyDescent="0.2">
      <c r="A2" s="81">
        <v>42644</v>
      </c>
      <c r="B2" s="942"/>
      <c r="C2" s="2251" t="s">
        <v>218</v>
      </c>
      <c r="D2" s="2251"/>
      <c r="E2" s="2251"/>
      <c r="F2" s="2251"/>
      <c r="G2" s="2251"/>
      <c r="H2" s="2251"/>
      <c r="I2" s="2251"/>
      <c r="J2" s="2251"/>
      <c r="K2" s="2251"/>
      <c r="L2" s="2251"/>
      <c r="M2" s="2251"/>
      <c r="N2" s="2251"/>
      <c r="O2" s="2251"/>
      <c r="P2" s="81">
        <f>A2</f>
        <v>42644</v>
      </c>
      <c r="Q2" s="2252" t="s">
        <v>219</v>
      </c>
      <c r="R2" s="2252"/>
      <c r="S2" s="2253"/>
      <c r="T2" s="2253"/>
      <c r="U2" s="2253"/>
      <c r="V2" s="2253"/>
      <c r="W2" s="2253"/>
      <c r="X2" s="2253"/>
      <c r="Y2" s="2253"/>
      <c r="Z2" s="2253"/>
      <c r="AA2" s="2253"/>
      <c r="AB2" s="2253"/>
      <c r="AC2" s="2253"/>
      <c r="AD2" s="2253"/>
      <c r="AE2" s="2253"/>
      <c r="AF2" s="2253"/>
      <c r="AG2" s="81">
        <f>A2</f>
        <v>42644</v>
      </c>
      <c r="AH2" s="2251" t="s">
        <v>220</v>
      </c>
      <c r="AI2" s="2251"/>
      <c r="AJ2" s="2251"/>
      <c r="AK2" s="2251"/>
      <c r="AL2" s="2251"/>
      <c r="AM2" s="2251"/>
      <c r="AN2" s="2251"/>
      <c r="AO2" s="2251"/>
      <c r="AP2" s="2251"/>
      <c r="AQ2" s="2251"/>
      <c r="AR2" s="81">
        <f>A2</f>
        <v>42644</v>
      </c>
      <c r="AS2" s="2251" t="s">
        <v>290</v>
      </c>
      <c r="AT2" s="2251"/>
      <c r="AU2" s="2251"/>
      <c r="AV2" s="2251"/>
      <c r="AW2" s="2251"/>
      <c r="AX2" s="2251"/>
      <c r="AY2" s="2251"/>
      <c r="AZ2" s="2251"/>
      <c r="BA2" s="2251"/>
      <c r="BB2" s="2251"/>
      <c r="BC2" s="2251"/>
      <c r="BD2" s="2251"/>
      <c r="BE2" s="81">
        <f>A2</f>
        <v>42644</v>
      </c>
      <c r="BF2" s="2251" t="s">
        <v>291</v>
      </c>
      <c r="BG2" s="2251"/>
      <c r="BH2" s="2251"/>
      <c r="BI2" s="2251"/>
      <c r="BJ2" s="2251"/>
      <c r="BK2" s="2251"/>
      <c r="BL2" s="2251"/>
      <c r="BN2" s="89"/>
    </row>
    <row r="3" spans="1:67" ht="105" x14ac:dyDescent="0.25">
      <c r="A3" s="53" t="s">
        <v>0</v>
      </c>
      <c r="B3" s="53" t="s">
        <v>949</v>
      </c>
      <c r="C3" s="428" t="s">
        <v>207</v>
      </c>
      <c r="D3" s="53" t="s">
        <v>983</v>
      </c>
      <c r="E3" s="53" t="s">
        <v>550</v>
      </c>
      <c r="F3" s="54" t="s">
        <v>3</v>
      </c>
      <c r="G3" s="55" t="s">
        <v>1273</v>
      </c>
      <c r="H3" s="53" t="s">
        <v>205</v>
      </c>
      <c r="I3" s="55" t="s">
        <v>206</v>
      </c>
      <c r="J3" s="55" t="s">
        <v>277</v>
      </c>
      <c r="K3" s="53" t="s">
        <v>968</v>
      </c>
      <c r="L3" s="53" t="s">
        <v>75</v>
      </c>
      <c r="M3" s="56" t="s">
        <v>259</v>
      </c>
      <c r="N3" s="1389" t="s">
        <v>1295</v>
      </c>
      <c r="O3" s="56" t="s">
        <v>489</v>
      </c>
      <c r="P3" s="53" t="s">
        <v>0</v>
      </c>
      <c r="Q3" s="53" t="s">
        <v>246</v>
      </c>
      <c r="R3" s="53" t="s">
        <v>1296</v>
      </c>
      <c r="S3" s="57" t="s">
        <v>1</v>
      </c>
      <c r="T3" s="53" t="s">
        <v>966</v>
      </c>
      <c r="U3" s="57" t="s">
        <v>2</v>
      </c>
      <c r="V3" s="53" t="s">
        <v>965</v>
      </c>
      <c r="W3" s="58" t="s">
        <v>272</v>
      </c>
      <c r="X3" s="53" t="s">
        <v>41</v>
      </c>
      <c r="Y3" s="53" t="s">
        <v>1036</v>
      </c>
      <c r="Z3" s="53" t="s">
        <v>236</v>
      </c>
      <c r="AA3" s="53" t="s">
        <v>967</v>
      </c>
      <c r="AB3" s="53" t="s">
        <v>1297</v>
      </c>
      <c r="AC3" s="1392" t="s">
        <v>1315</v>
      </c>
      <c r="AD3" s="53" t="s">
        <v>273</v>
      </c>
      <c r="AE3" s="53" t="s">
        <v>969</v>
      </c>
      <c r="AF3" s="53" t="s">
        <v>970</v>
      </c>
      <c r="AG3" s="53" t="s">
        <v>0</v>
      </c>
      <c r="AH3" s="59" t="s">
        <v>1</v>
      </c>
      <c r="AI3" s="53" t="s">
        <v>33</v>
      </c>
      <c r="AJ3" s="54" t="s">
        <v>2</v>
      </c>
      <c r="AK3" s="53" t="s">
        <v>201</v>
      </c>
      <c r="AL3" s="53" t="s">
        <v>39</v>
      </c>
      <c r="AM3" s="53" t="s">
        <v>42</v>
      </c>
      <c r="AN3" s="54" t="s">
        <v>237</v>
      </c>
      <c r="AO3" s="53" t="s">
        <v>238</v>
      </c>
      <c r="AP3" s="53" t="s">
        <v>239</v>
      </c>
      <c r="AQ3" s="53" t="s">
        <v>240</v>
      </c>
      <c r="AR3" s="53" t="s">
        <v>0</v>
      </c>
      <c r="AS3" s="53" t="s">
        <v>71</v>
      </c>
      <c r="AT3" s="53" t="s">
        <v>29</v>
      </c>
      <c r="AU3" s="53" t="s">
        <v>1269</v>
      </c>
      <c r="AV3" s="53" t="s">
        <v>72</v>
      </c>
      <c r="AW3" s="53" t="s">
        <v>31</v>
      </c>
      <c r="AX3" s="53" t="s">
        <v>1270</v>
      </c>
      <c r="AY3" s="53" t="s">
        <v>40</v>
      </c>
      <c r="AZ3" s="53" t="s">
        <v>43</v>
      </c>
      <c r="BA3" s="53" t="s">
        <v>241</v>
      </c>
      <c r="BB3" s="53" t="s">
        <v>242</v>
      </c>
      <c r="BC3" s="53" t="s">
        <v>1271</v>
      </c>
      <c r="BD3" s="53" t="s">
        <v>274</v>
      </c>
      <c r="BE3" s="53" t="s">
        <v>0</v>
      </c>
      <c r="BF3" s="75" t="s">
        <v>255</v>
      </c>
      <c r="BG3" s="53" t="s">
        <v>293</v>
      </c>
      <c r="BH3" s="53" t="s">
        <v>256</v>
      </c>
      <c r="BI3" s="75" t="s">
        <v>257</v>
      </c>
      <c r="BJ3" s="75" t="s">
        <v>258</v>
      </c>
      <c r="BK3" s="53" t="s">
        <v>254</v>
      </c>
      <c r="BL3" s="53" t="s">
        <v>171</v>
      </c>
      <c r="BM3" s="53" t="s">
        <v>292</v>
      </c>
      <c r="BN3" s="54" t="s">
        <v>316</v>
      </c>
      <c r="BO3" s="53" t="s">
        <v>246</v>
      </c>
    </row>
    <row r="4" spans="1:67" s="1737" customFormat="1" ht="27.6" customHeight="1" thickBot="1" x14ac:dyDescent="0.25">
      <c r="A4" s="1716" t="s">
        <v>169</v>
      </c>
      <c r="B4" s="1752" t="s">
        <v>950</v>
      </c>
      <c r="C4" s="1711" t="s">
        <v>26</v>
      </c>
      <c r="D4" s="1711" t="s">
        <v>984</v>
      </c>
      <c r="E4" s="1711" t="s">
        <v>508</v>
      </c>
      <c r="F4" s="1712" t="s">
        <v>141</v>
      </c>
      <c r="G4" s="1714">
        <v>39833</v>
      </c>
      <c r="H4" s="1711" t="s">
        <v>10</v>
      </c>
      <c r="I4" s="1714">
        <v>40070</v>
      </c>
      <c r="J4" s="1715">
        <v>40352</v>
      </c>
      <c r="K4" s="1716" t="s">
        <v>135</v>
      </c>
      <c r="L4" s="1711">
        <v>278</v>
      </c>
      <c r="M4" s="1718">
        <v>58803</v>
      </c>
      <c r="N4" s="1718">
        <f>M4/L4</f>
        <v>211.52158273381295</v>
      </c>
      <c r="O4" s="1759">
        <v>8</v>
      </c>
      <c r="P4" s="1716" t="s">
        <v>169</v>
      </c>
      <c r="Q4" s="1711" t="s">
        <v>247</v>
      </c>
      <c r="R4" s="1711">
        <v>5</v>
      </c>
      <c r="S4" s="1729">
        <v>3467</v>
      </c>
      <c r="T4" s="1720">
        <f t="shared" ref="T4:T47" si="0">S4/M4*1000</f>
        <v>58.959576892335427</v>
      </c>
      <c r="U4" s="1729">
        <v>1993</v>
      </c>
      <c r="V4" s="1721">
        <f t="shared" ref="V4:V67" si="1">U4/M4*1000</f>
        <v>33.892828597180419</v>
      </c>
      <c r="W4" s="1743">
        <f t="shared" ref="W4:W67" si="2">(S4-U4)/S4</f>
        <v>0.425151427747332</v>
      </c>
      <c r="X4" s="1755">
        <f t="shared" ref="X4:X67" si="3">S4-U4</f>
        <v>1474</v>
      </c>
      <c r="Y4" s="1740">
        <v>42594</v>
      </c>
      <c r="Z4" s="1729">
        <f>'[1]15.16 Meter Data'!Y6</f>
        <v>4786.0519253561797</v>
      </c>
      <c r="AA4" s="1741">
        <f t="shared" ref="AA4:AA24" si="4">Z4/M4*1000</f>
        <v>81.391288290668498</v>
      </c>
      <c r="AB4" s="1725" t="s">
        <v>1298</v>
      </c>
      <c r="AC4" s="1742">
        <v>78</v>
      </c>
      <c r="AD4" s="1743">
        <f t="shared" ref="AD4:AD12" si="5">(S4-Z4)/S4</f>
        <v>-0.38045916508687039</v>
      </c>
      <c r="AE4" s="1743"/>
      <c r="AF4" s="1745">
        <f t="shared" ref="AF4:AF12" si="6">S4-Z4</f>
        <v>-1319.0519253561797</v>
      </c>
      <c r="AG4" s="1716" t="s">
        <v>169</v>
      </c>
      <c r="AH4" s="1735">
        <v>81830</v>
      </c>
      <c r="AI4" s="1728">
        <f t="shared" ref="AI4:AI67" si="7">AH4/M4</f>
        <v>1.3915956668877438</v>
      </c>
      <c r="AJ4" s="1735">
        <v>43969</v>
      </c>
      <c r="AK4" s="1728">
        <f t="shared" ref="AK4:AK67" si="8">AJ4/M4</f>
        <v>0.74773395915174401</v>
      </c>
      <c r="AL4" s="1722">
        <f t="shared" ref="AL4:AL67" si="9">(AH4-AJ4)/AH4</f>
        <v>0.46267872418428452</v>
      </c>
      <c r="AM4" s="1756">
        <f t="shared" ref="AM4:AM67" si="10">AH4-AJ4</f>
        <v>37861</v>
      </c>
      <c r="AN4" s="1735">
        <f>'[1]15.16 Meter Data'!W10</f>
        <v>112433.72975</v>
      </c>
      <c r="AO4" s="1760">
        <f t="shared" ref="AO4:AO10" si="11">AN4/M4</f>
        <v>1.9120407079570769</v>
      </c>
      <c r="AP4" s="1747">
        <f t="shared" ref="AP4:AP12" si="12">(AH4-AN4)/AH4</f>
        <v>-0.37399156482952461</v>
      </c>
      <c r="AQ4" s="1748">
        <f t="shared" ref="AQ4:AQ12" si="13">AH4-AN4</f>
        <v>-30603.729749999999</v>
      </c>
      <c r="AR4" s="1716" t="s">
        <v>169</v>
      </c>
      <c r="AS4" s="1718">
        <v>2000376</v>
      </c>
      <c r="AT4" s="1717">
        <f>AS4/L4</f>
        <v>7195.5971223021579</v>
      </c>
      <c r="AU4" s="1717">
        <f t="shared" ref="AU4:AU67" si="14">AS4/M4</f>
        <v>34.018264374266622</v>
      </c>
      <c r="AV4" s="1718">
        <v>1397116</v>
      </c>
      <c r="AW4" s="1729">
        <f>AV4/L4</f>
        <v>5025.5971223021579</v>
      </c>
      <c r="AX4" s="1717">
        <f t="shared" ref="AX4:AX67" si="15">AV4/M4</f>
        <v>23.759263983130111</v>
      </c>
      <c r="AY4" s="1722">
        <f t="shared" ref="AY4:AY67" si="16">(AS4-AV4)/AS4</f>
        <v>0.30157330421880685</v>
      </c>
      <c r="AZ4" s="1757">
        <f t="shared" ref="AZ4:AZ67" si="17">AS4-AV4</f>
        <v>603260</v>
      </c>
      <c r="BA4" s="1761">
        <f>'[1]15.16 Meter Data'!W7</f>
        <v>1709231</v>
      </c>
      <c r="BB4" s="1717">
        <f>BA4/L4</f>
        <v>6148.312949640288</v>
      </c>
      <c r="BC4" s="1717">
        <f t="shared" ref="BC4:BC9" si="18">BA4/M4</f>
        <v>29.067071407921365</v>
      </c>
      <c r="BD4" s="1722">
        <f t="shared" ref="BD4:BD9" si="19">(AS4-BA4)/AS4</f>
        <v>0.14554513751414733</v>
      </c>
      <c r="BE4" s="1716" t="s">
        <v>169</v>
      </c>
      <c r="BF4" s="1731">
        <v>7585100</v>
      </c>
      <c r="BG4" s="1732">
        <f>BF4/M4</f>
        <v>128.99171810962025</v>
      </c>
      <c r="BH4" s="1727">
        <v>5965486</v>
      </c>
      <c r="BI4" s="1727">
        <v>883660</v>
      </c>
      <c r="BJ4" s="1762">
        <v>0</v>
      </c>
      <c r="BK4" s="1724"/>
      <c r="BL4" s="1727">
        <v>62500</v>
      </c>
      <c r="BM4" s="1736">
        <f>((BF4-BH4)+BJ4+BK4+BL4)/AM4</f>
        <v>44.428673304984024</v>
      </c>
      <c r="BN4" s="1712" t="s">
        <v>294</v>
      </c>
      <c r="BO4" s="1711" t="s">
        <v>247</v>
      </c>
    </row>
    <row r="5" spans="1:67" s="41" customFormat="1" ht="27.6" customHeight="1" thickTop="1" x14ac:dyDescent="0.2">
      <c r="A5" s="4" t="s">
        <v>83</v>
      </c>
      <c r="B5" s="11" t="s">
        <v>951</v>
      </c>
      <c r="C5" s="11" t="s">
        <v>63</v>
      </c>
      <c r="D5" s="11" t="s">
        <v>985</v>
      </c>
      <c r="E5" s="11" t="s">
        <v>545</v>
      </c>
      <c r="F5" s="1" t="s">
        <v>82</v>
      </c>
      <c r="G5" s="33">
        <v>41348</v>
      </c>
      <c r="H5" s="11" t="s">
        <v>168</v>
      </c>
      <c r="I5" s="33">
        <v>40402</v>
      </c>
      <c r="J5" s="60">
        <v>40693</v>
      </c>
      <c r="K5" s="4" t="s">
        <v>202</v>
      </c>
      <c r="L5" s="11" t="s">
        <v>13</v>
      </c>
      <c r="M5" s="6">
        <v>22705</v>
      </c>
      <c r="N5" s="6"/>
      <c r="O5" s="49">
        <v>2</v>
      </c>
      <c r="P5" s="4" t="s">
        <v>83</v>
      </c>
      <c r="Q5" s="11" t="s">
        <v>247</v>
      </c>
      <c r="R5" s="11">
        <v>3</v>
      </c>
      <c r="S5" s="2">
        <v>2082</v>
      </c>
      <c r="T5" s="12">
        <f t="shared" si="0"/>
        <v>91.697863906628498</v>
      </c>
      <c r="U5" s="2">
        <v>1477</v>
      </c>
      <c r="V5" s="23">
        <f t="shared" si="1"/>
        <v>65.051750715701388</v>
      </c>
      <c r="W5" s="5">
        <f t="shared" si="2"/>
        <v>0.2905859750240154</v>
      </c>
      <c r="X5" s="13">
        <f t="shared" si="3"/>
        <v>605</v>
      </c>
      <c r="Y5" s="967">
        <v>42587</v>
      </c>
      <c r="Z5" s="49">
        <f>'[1]15.16 Meter Data'!Y16</f>
        <v>10571.826194908232</v>
      </c>
      <c r="AA5" s="40">
        <f>Z5/42856*1000</f>
        <v>246.68252274846537</v>
      </c>
      <c r="AB5" s="1391" t="s">
        <v>1299</v>
      </c>
      <c r="AC5" s="1393">
        <v>277</v>
      </c>
      <c r="AD5" s="5">
        <f t="shared" si="5"/>
        <v>-4.0777263183997272</v>
      </c>
      <c r="AE5" s="5"/>
      <c r="AF5" s="51">
        <f t="shared" si="6"/>
        <v>-8489.8261949082316</v>
      </c>
      <c r="AG5" s="4" t="s">
        <v>83</v>
      </c>
      <c r="AH5" s="15">
        <v>30538</v>
      </c>
      <c r="AI5" s="7">
        <f t="shared" si="7"/>
        <v>1.3449900902884828</v>
      </c>
      <c r="AJ5" s="15">
        <v>21943</v>
      </c>
      <c r="AK5" s="7">
        <f t="shared" si="8"/>
        <v>0.96643911032812158</v>
      </c>
      <c r="AL5" s="8">
        <f t="shared" si="9"/>
        <v>0.28145261641233871</v>
      </c>
      <c r="AM5" s="16">
        <f t="shared" si="10"/>
        <v>8595</v>
      </c>
      <c r="AN5" s="15">
        <f>'[1]15.16 Meter Data'!W21</f>
        <v>102256.91581822539</v>
      </c>
      <c r="AO5" s="46">
        <f t="shared" si="11"/>
        <v>4.5037179395827085</v>
      </c>
      <c r="AP5" s="47">
        <f t="shared" si="12"/>
        <v>-2.3485138456423273</v>
      </c>
      <c r="AQ5" s="48">
        <f t="shared" si="13"/>
        <v>-71718.915818225389</v>
      </c>
      <c r="AR5" s="4" t="s">
        <v>83</v>
      </c>
      <c r="AS5" s="2">
        <v>48654</v>
      </c>
      <c r="AT5" s="9" t="s">
        <v>13</v>
      </c>
      <c r="AU5" s="2">
        <f t="shared" si="14"/>
        <v>2.1428760184981281</v>
      </c>
      <c r="AV5" s="2">
        <v>27934</v>
      </c>
      <c r="AW5" s="1" t="s">
        <v>13</v>
      </c>
      <c r="AX5" s="2">
        <f t="shared" si="15"/>
        <v>1.2303016956617485</v>
      </c>
      <c r="AY5" s="8">
        <f t="shared" si="16"/>
        <v>0.42586426604184652</v>
      </c>
      <c r="AZ5" s="17">
        <f t="shared" si="17"/>
        <v>20720</v>
      </c>
      <c r="BA5" s="2">
        <f>'[1]15.16 Meter Data'!W17</f>
        <v>969063.92</v>
      </c>
      <c r="BB5" s="9" t="s">
        <v>13</v>
      </c>
      <c r="BC5" s="2">
        <f t="shared" si="18"/>
        <v>42.680639506716581</v>
      </c>
      <c r="BD5" s="8">
        <f t="shared" si="19"/>
        <v>-18.917456324248779</v>
      </c>
      <c r="BE5" s="4" t="s">
        <v>83</v>
      </c>
      <c r="BF5" s="64">
        <v>4029200</v>
      </c>
      <c r="BG5" s="42">
        <f>BF5/M5</f>
        <v>177.45870953534464</v>
      </c>
      <c r="BH5" s="15">
        <v>3944812</v>
      </c>
      <c r="BI5" s="15">
        <v>295500</v>
      </c>
      <c r="BJ5" s="85">
        <v>0</v>
      </c>
      <c r="BK5" s="3"/>
      <c r="BL5" s="15">
        <v>65100</v>
      </c>
      <c r="BM5" s="1353">
        <f>((BF5-BH5)+BJ5+BK5+BL5)/AM5</f>
        <v>17.392437463641652</v>
      </c>
      <c r="BN5" s="1" t="s">
        <v>295</v>
      </c>
      <c r="BO5" s="11" t="s">
        <v>247</v>
      </c>
    </row>
    <row r="6" spans="1:67" s="41" customFormat="1" ht="27.6" customHeight="1" x14ac:dyDescent="0.2">
      <c r="A6" s="4" t="s">
        <v>283</v>
      </c>
      <c r="B6" s="915" t="s">
        <v>952</v>
      </c>
      <c r="C6" s="11" t="s">
        <v>63</v>
      </c>
      <c r="D6" s="11" t="s">
        <v>985</v>
      </c>
      <c r="E6" s="11" t="s">
        <v>545</v>
      </c>
      <c r="F6" s="1" t="s">
        <v>64</v>
      </c>
      <c r="G6" s="33">
        <v>39974</v>
      </c>
      <c r="H6" s="11" t="s">
        <v>10</v>
      </c>
      <c r="I6" s="33">
        <v>40016</v>
      </c>
      <c r="J6" s="60">
        <v>40743</v>
      </c>
      <c r="K6" s="4" t="s">
        <v>54</v>
      </c>
      <c r="L6" s="11">
        <v>431</v>
      </c>
      <c r="M6" s="6">
        <v>173086</v>
      </c>
      <c r="N6" s="19">
        <f>M6/L6</f>
        <v>401.59164733178653</v>
      </c>
      <c r="O6" s="83">
        <v>5</v>
      </c>
      <c r="P6" s="4" t="s">
        <v>283</v>
      </c>
      <c r="Q6" s="11" t="s">
        <v>247</v>
      </c>
      <c r="R6" s="11">
        <v>3</v>
      </c>
      <c r="S6" s="2">
        <v>38283</v>
      </c>
      <c r="T6" s="12">
        <f t="shared" si="0"/>
        <v>221.17906705337231</v>
      </c>
      <c r="U6" s="2">
        <v>32882</v>
      </c>
      <c r="V6" s="23">
        <f t="shared" si="1"/>
        <v>189.97492575944904</v>
      </c>
      <c r="W6" s="5">
        <f t="shared" si="2"/>
        <v>0.14108089752631717</v>
      </c>
      <c r="X6" s="13">
        <f t="shared" si="3"/>
        <v>5401</v>
      </c>
      <c r="Y6" s="967">
        <v>42587</v>
      </c>
      <c r="Z6" s="49">
        <f>'[1]15.16 Meter Data'!Y26</f>
        <v>11395.717218064576</v>
      </c>
      <c r="AA6" s="40">
        <f t="shared" si="4"/>
        <v>65.83846884245159</v>
      </c>
      <c r="AB6" s="1391" t="s">
        <v>1298</v>
      </c>
      <c r="AC6" s="1393">
        <v>47</v>
      </c>
      <c r="AD6" s="5">
        <f t="shared" si="5"/>
        <v>0.70232956617651243</v>
      </c>
      <c r="AE6" s="1611" t="s">
        <v>955</v>
      </c>
      <c r="AF6" s="51">
        <f t="shared" si="6"/>
        <v>26887.282781935424</v>
      </c>
      <c r="AG6" s="4" t="s">
        <v>283</v>
      </c>
      <c r="AH6" s="15">
        <v>478677</v>
      </c>
      <c r="AI6" s="7">
        <f t="shared" si="7"/>
        <v>2.7655442958991485</v>
      </c>
      <c r="AJ6" s="15">
        <v>411144</v>
      </c>
      <c r="AK6" s="7">
        <f t="shared" si="8"/>
        <v>2.3753740914920907</v>
      </c>
      <c r="AL6" s="8">
        <f t="shared" si="9"/>
        <v>0.14108260894089333</v>
      </c>
      <c r="AM6" s="16">
        <f t="shared" si="10"/>
        <v>67533</v>
      </c>
      <c r="AN6" s="15">
        <f>'[1]15.16 Meter Data'!W30</f>
        <v>143088.63378870423</v>
      </c>
      <c r="AO6" s="46">
        <f t="shared" si="11"/>
        <v>0.82669097320814067</v>
      </c>
      <c r="AP6" s="47">
        <f t="shared" si="12"/>
        <v>0.7010747669332259</v>
      </c>
      <c r="AQ6" s="48">
        <f t="shared" si="13"/>
        <v>335588.36621129577</v>
      </c>
      <c r="AR6" s="4" t="s">
        <v>283</v>
      </c>
      <c r="AS6" s="2">
        <v>6961135</v>
      </c>
      <c r="AT6" s="2">
        <f>AS6/L6</f>
        <v>16151.125290023201</v>
      </c>
      <c r="AU6" s="10">
        <f t="shared" si="14"/>
        <v>40.217781911881957</v>
      </c>
      <c r="AV6" s="2">
        <v>5188175</v>
      </c>
      <c r="AW6" s="9">
        <f>AV6/L6</f>
        <v>12037.529002320185</v>
      </c>
      <c r="AX6" s="10">
        <f t="shared" si="15"/>
        <v>29.974550223588274</v>
      </c>
      <c r="AY6" s="8">
        <f t="shared" si="16"/>
        <v>0.25469409801706189</v>
      </c>
      <c r="AZ6" s="2">
        <f t="shared" si="17"/>
        <v>1772960</v>
      </c>
      <c r="BA6" s="2">
        <f>'[1]15.16 Meter Data'!W27</f>
        <v>4889384.28</v>
      </c>
      <c r="BB6" s="2">
        <f>BA6/L6</f>
        <v>11344.279071925755</v>
      </c>
      <c r="BC6" s="2">
        <f t="shared" si="18"/>
        <v>28.24829437389506</v>
      </c>
      <c r="BD6" s="8">
        <f t="shared" si="19"/>
        <v>0.29761679955926723</v>
      </c>
      <c r="BE6" s="4" t="s">
        <v>283</v>
      </c>
      <c r="BF6" s="64">
        <v>32995620</v>
      </c>
      <c r="BG6" s="42">
        <f>BF6/M6</f>
        <v>190.63136244410293</v>
      </c>
      <c r="BH6" s="15">
        <v>33000165</v>
      </c>
      <c r="BI6" s="15">
        <v>2747550</v>
      </c>
      <c r="BJ6" s="15">
        <v>58700</v>
      </c>
      <c r="BK6" s="15"/>
      <c r="BL6" s="15">
        <v>177000</v>
      </c>
      <c r="BM6" s="1353">
        <f>((BF6-BH6)+BJ6+BK6+BL6)/AM6</f>
        <v>3.4228451275672636</v>
      </c>
      <c r="BN6" s="1" t="s">
        <v>296</v>
      </c>
      <c r="BO6" s="11" t="s">
        <v>247</v>
      </c>
    </row>
    <row r="7" spans="1:67" s="41" customFormat="1" ht="27.6" customHeight="1" x14ac:dyDescent="0.2">
      <c r="A7" s="4" t="s">
        <v>529</v>
      </c>
      <c r="B7" s="915" t="s">
        <v>952</v>
      </c>
      <c r="C7" s="11" t="s">
        <v>20</v>
      </c>
      <c r="D7" s="11" t="s">
        <v>986</v>
      </c>
      <c r="E7" s="429" t="s">
        <v>1029</v>
      </c>
      <c r="F7" s="1" t="s">
        <v>470</v>
      </c>
      <c r="G7" s="33">
        <v>40169</v>
      </c>
      <c r="H7" s="11" t="s">
        <v>10</v>
      </c>
      <c r="I7" s="33">
        <v>40203</v>
      </c>
      <c r="J7" s="60">
        <v>40760</v>
      </c>
      <c r="K7" s="4" t="s">
        <v>267</v>
      </c>
      <c r="L7" s="11" t="s">
        <v>13</v>
      </c>
      <c r="M7" s="6">
        <v>69610</v>
      </c>
      <c r="N7" s="6"/>
      <c r="O7" s="49">
        <v>5</v>
      </c>
      <c r="P7" s="4" t="s">
        <v>529</v>
      </c>
      <c r="Q7" s="11" t="s">
        <v>247</v>
      </c>
      <c r="R7" s="11">
        <v>4</v>
      </c>
      <c r="S7" s="2">
        <v>6048.6</v>
      </c>
      <c r="T7" s="12">
        <f t="shared" si="0"/>
        <v>86.892687832208026</v>
      </c>
      <c r="U7" s="2">
        <v>2596.1999999999998</v>
      </c>
      <c r="V7" s="23">
        <f t="shared" si="1"/>
        <v>37.296365464732077</v>
      </c>
      <c r="W7" s="5">
        <f t="shared" si="2"/>
        <v>0.57077670865985519</v>
      </c>
      <c r="X7" s="13">
        <f t="shared" si="3"/>
        <v>3452.4000000000005</v>
      </c>
      <c r="Y7" s="967">
        <v>42598</v>
      </c>
      <c r="Z7" s="9">
        <f>'[1]15.16 Meter Data'!Y36</f>
        <v>5209.1228885160317</v>
      </c>
      <c r="AA7" s="40">
        <f t="shared" si="4"/>
        <v>74.832967799397096</v>
      </c>
      <c r="AB7" s="1391" t="s">
        <v>1300</v>
      </c>
      <c r="AC7" s="1393">
        <v>72</v>
      </c>
      <c r="AD7" s="5">
        <f t="shared" si="5"/>
        <v>0.13878866373771925</v>
      </c>
      <c r="AE7" s="5"/>
      <c r="AF7" s="51">
        <f t="shared" si="6"/>
        <v>839.47711148396866</v>
      </c>
      <c r="AG7" s="4" t="s">
        <v>529</v>
      </c>
      <c r="AH7" s="15">
        <v>148249</v>
      </c>
      <c r="AI7" s="7">
        <f t="shared" si="7"/>
        <v>2.1297083752334434</v>
      </c>
      <c r="AJ7" s="15">
        <v>61035</v>
      </c>
      <c r="AK7" s="7">
        <f t="shared" si="8"/>
        <v>0.87681367619594885</v>
      </c>
      <c r="AL7" s="8">
        <f t="shared" si="9"/>
        <v>0.5882940188466701</v>
      </c>
      <c r="AM7" s="16">
        <f t="shared" si="10"/>
        <v>87214</v>
      </c>
      <c r="AN7" s="29">
        <f>'[1]15.16 Meter Data'!W41</f>
        <v>80478.11</v>
      </c>
      <c r="AO7" s="46">
        <f t="shared" si="11"/>
        <v>1.1561285734808218</v>
      </c>
      <c r="AP7" s="47">
        <f t="shared" si="12"/>
        <v>0.45714230787391485</v>
      </c>
      <c r="AQ7" s="48">
        <f t="shared" si="13"/>
        <v>67770.89</v>
      </c>
      <c r="AR7" s="4" t="s">
        <v>529</v>
      </c>
      <c r="AS7" s="2">
        <v>871150</v>
      </c>
      <c r="AT7" s="9" t="s">
        <v>13</v>
      </c>
      <c r="AU7" s="10">
        <f t="shared" si="14"/>
        <v>12.514724895848298</v>
      </c>
      <c r="AV7" s="2">
        <v>601563</v>
      </c>
      <c r="AW7" s="9" t="s">
        <v>13</v>
      </c>
      <c r="AX7" s="10">
        <f t="shared" si="15"/>
        <v>8.6419048987214477</v>
      </c>
      <c r="AY7" s="8">
        <f t="shared" si="16"/>
        <v>0.30946105722321071</v>
      </c>
      <c r="AZ7" s="17">
        <f t="shared" si="17"/>
        <v>269587</v>
      </c>
      <c r="BA7" s="2">
        <f>'[1]15.16 Meter Data'!W37</f>
        <v>1561671</v>
      </c>
      <c r="BB7" s="9" t="s">
        <v>13</v>
      </c>
      <c r="BC7" s="2">
        <f t="shared" si="18"/>
        <v>22.434578365177416</v>
      </c>
      <c r="BD7" s="8">
        <f t="shared" si="19"/>
        <v>-0.7926545371061241</v>
      </c>
      <c r="BE7" s="4" t="s">
        <v>529</v>
      </c>
      <c r="BF7" s="64">
        <v>16198787</v>
      </c>
      <c r="BG7" s="42">
        <f>BF7/M7</f>
        <v>232.70775750610545</v>
      </c>
      <c r="BH7" s="15">
        <f>BF7-195321</f>
        <v>16003466</v>
      </c>
      <c r="BI7" s="15">
        <v>1795875</v>
      </c>
      <c r="BJ7" s="15">
        <v>82875</v>
      </c>
      <c r="BK7" s="15">
        <v>16175</v>
      </c>
      <c r="BL7" s="15">
        <v>265694</v>
      </c>
      <c r="BM7" s="1353">
        <f>((BF7-BH7)+BJ7+BK7+BL7)/AM7</f>
        <v>6.4217327493292364</v>
      </c>
      <c r="BN7" s="1" t="s">
        <v>302</v>
      </c>
      <c r="BO7" s="11" t="s">
        <v>247</v>
      </c>
    </row>
    <row r="8" spans="1:67" s="41" customFormat="1" ht="27.6" customHeight="1" x14ac:dyDescent="0.2">
      <c r="A8" s="4" t="s">
        <v>191</v>
      </c>
      <c r="B8" s="915" t="s">
        <v>950</v>
      </c>
      <c r="C8" s="11" t="s">
        <v>20</v>
      </c>
      <c r="D8" s="11" t="s">
        <v>986</v>
      </c>
      <c r="E8" s="429" t="s">
        <v>1029</v>
      </c>
      <c r="F8" s="1" t="s">
        <v>70</v>
      </c>
      <c r="G8" s="33">
        <v>40991</v>
      </c>
      <c r="H8" s="11" t="s">
        <v>168</v>
      </c>
      <c r="I8" s="33">
        <v>40028</v>
      </c>
      <c r="J8" s="60">
        <v>40765</v>
      </c>
      <c r="K8" s="4" t="s">
        <v>54</v>
      </c>
      <c r="L8" s="19">
        <v>528</v>
      </c>
      <c r="M8" s="6">
        <v>133570</v>
      </c>
      <c r="N8" s="19">
        <f>M8/L8</f>
        <v>252.97348484848484</v>
      </c>
      <c r="O8" s="49">
        <v>4</v>
      </c>
      <c r="P8" s="4" t="s">
        <v>191</v>
      </c>
      <c r="Q8" s="11" t="s">
        <v>247</v>
      </c>
      <c r="R8" s="11">
        <v>4</v>
      </c>
      <c r="S8" s="2">
        <v>16482</v>
      </c>
      <c r="T8" s="12">
        <f t="shared" si="0"/>
        <v>123.39597214943475</v>
      </c>
      <c r="U8" s="2">
        <v>10635</v>
      </c>
      <c r="V8" s="23">
        <f t="shared" si="1"/>
        <v>79.621172418956348</v>
      </c>
      <c r="W8" s="5">
        <f t="shared" si="2"/>
        <v>0.35475063705860937</v>
      </c>
      <c r="X8" s="13">
        <f t="shared" si="3"/>
        <v>5847</v>
      </c>
      <c r="Y8" s="967">
        <v>42598</v>
      </c>
      <c r="Z8" s="49">
        <f>'[1]15.16 Meter Data'!Y47</f>
        <v>2908.5996613521038</v>
      </c>
      <c r="AA8" s="40">
        <f t="shared" si="4"/>
        <v>21.775845334671736</v>
      </c>
      <c r="AB8" s="1391" t="s">
        <v>1298</v>
      </c>
      <c r="AC8" s="1393">
        <v>58</v>
      </c>
      <c r="AD8" s="5">
        <f t="shared" si="5"/>
        <v>0.82352871852007625</v>
      </c>
      <c r="AE8" s="5"/>
      <c r="AF8" s="51">
        <f t="shared" si="6"/>
        <v>13573.400338647896</v>
      </c>
      <c r="AG8" s="4" t="s">
        <v>191</v>
      </c>
      <c r="AH8" s="15">
        <v>292778</v>
      </c>
      <c r="AI8" s="7">
        <f t="shared" si="7"/>
        <v>2.1919442988695068</v>
      </c>
      <c r="AJ8" s="15">
        <v>198708</v>
      </c>
      <c r="AK8" s="7">
        <f t="shared" si="8"/>
        <v>1.4876693868383619</v>
      </c>
      <c r="AL8" s="8">
        <f t="shared" si="9"/>
        <v>0.32130146390780728</v>
      </c>
      <c r="AM8" s="16">
        <f t="shared" si="10"/>
        <v>94070</v>
      </c>
      <c r="AN8" s="15">
        <f>'[1]15.16 Meter Data'!W52</f>
        <v>52638.59</v>
      </c>
      <c r="AO8" s="46">
        <f t="shared" si="11"/>
        <v>0.39408991540016469</v>
      </c>
      <c r="AP8" s="47">
        <f t="shared" si="12"/>
        <v>0.82020988598870137</v>
      </c>
      <c r="AQ8" s="48">
        <f t="shared" si="13"/>
        <v>240139.41</v>
      </c>
      <c r="AR8" s="4" t="s">
        <v>191</v>
      </c>
      <c r="AS8" s="2">
        <v>6283057</v>
      </c>
      <c r="AT8" s="2">
        <f>AS8/L8</f>
        <v>11899.729166666666</v>
      </c>
      <c r="AU8" s="2">
        <f t="shared" si="14"/>
        <v>47.039432507299544</v>
      </c>
      <c r="AV8" s="2">
        <v>4373148</v>
      </c>
      <c r="AW8" s="9">
        <f>AV8/L8</f>
        <v>8282.4772727272721</v>
      </c>
      <c r="AX8" s="2">
        <f t="shared" si="15"/>
        <v>32.740495620274011</v>
      </c>
      <c r="AY8" s="8">
        <f t="shared" si="16"/>
        <v>0.30397766564906226</v>
      </c>
      <c r="AZ8" s="17">
        <f t="shared" si="17"/>
        <v>1909909</v>
      </c>
      <c r="BA8" s="2">
        <f>'[1]15.16 Meter Data'!W48</f>
        <v>1351127.36</v>
      </c>
      <c r="BB8" s="2">
        <f>BA8/L8</f>
        <v>2558.9533333333334</v>
      </c>
      <c r="BC8" s="2">
        <f t="shared" si="18"/>
        <v>10.115500187167777</v>
      </c>
      <c r="BD8" s="8">
        <f t="shared" si="19"/>
        <v>0.78495701057622103</v>
      </c>
      <c r="BE8" s="4" t="s">
        <v>191</v>
      </c>
      <c r="BF8" s="64">
        <v>23276802</v>
      </c>
      <c r="BG8" s="42">
        <f>BF8/M8</f>
        <v>174.2666916223703</v>
      </c>
      <c r="BH8" s="15">
        <v>21956196</v>
      </c>
      <c r="BI8" s="15">
        <v>2186050</v>
      </c>
      <c r="BJ8" s="15">
        <f>99800+73700</f>
        <v>173500</v>
      </c>
      <c r="BK8" s="15"/>
      <c r="BL8" s="29">
        <v>104934</v>
      </c>
      <c r="BM8" s="1353">
        <f>((BF8-BH8)+BJ8+BK8+BL8)/AM8</f>
        <v>16.998405442755395</v>
      </c>
      <c r="BN8" s="1" t="s">
        <v>297</v>
      </c>
      <c r="BO8" s="11" t="s">
        <v>247</v>
      </c>
    </row>
    <row r="9" spans="1:67" s="41" customFormat="1" ht="27.6" customHeight="1" x14ac:dyDescent="0.2">
      <c r="A9" s="28" t="s">
        <v>1018</v>
      </c>
      <c r="B9" s="11" t="s">
        <v>951</v>
      </c>
      <c r="C9" s="11" t="s">
        <v>147</v>
      </c>
      <c r="D9" s="11" t="s">
        <v>987</v>
      </c>
      <c r="E9" s="429"/>
      <c r="F9" s="1" t="s">
        <v>523</v>
      </c>
      <c r="G9" s="33">
        <v>40315</v>
      </c>
      <c r="H9" s="11" t="s">
        <v>10</v>
      </c>
      <c r="I9" s="33" t="s">
        <v>475</v>
      </c>
      <c r="J9" s="60">
        <v>40773</v>
      </c>
      <c r="K9" s="4" t="s">
        <v>524</v>
      </c>
      <c r="L9" s="19" t="s">
        <v>13</v>
      </c>
      <c r="M9" s="6">
        <v>170189</v>
      </c>
      <c r="N9" s="6"/>
      <c r="O9" s="49">
        <v>6</v>
      </c>
      <c r="P9" s="28" t="s">
        <v>1018</v>
      </c>
      <c r="Q9" s="11" t="s">
        <v>247</v>
      </c>
      <c r="R9" s="11">
        <v>4</v>
      </c>
      <c r="S9" s="2">
        <v>10672</v>
      </c>
      <c r="T9" s="12">
        <f t="shared" si="0"/>
        <v>62.706755430727014</v>
      </c>
      <c r="U9" s="2">
        <v>7143</v>
      </c>
      <c r="V9" s="23">
        <f t="shared" si="1"/>
        <v>41.970985198808378</v>
      </c>
      <c r="W9" s="5">
        <f t="shared" si="2"/>
        <v>0.3306784107946027</v>
      </c>
      <c r="X9" s="13">
        <f t="shared" si="3"/>
        <v>3529</v>
      </c>
      <c r="Y9" s="967">
        <v>42579</v>
      </c>
      <c r="Z9" s="49">
        <f>'[1]15.16 Meter Data'!Y59</f>
        <v>25526.771565132225</v>
      </c>
      <c r="AA9" s="40">
        <f t="shared" si="4"/>
        <v>149.99072540018582</v>
      </c>
      <c r="AB9" s="1391" t="s">
        <v>1300</v>
      </c>
      <c r="AC9" s="1393">
        <v>72</v>
      </c>
      <c r="AD9" s="5">
        <f t="shared" si="5"/>
        <v>-1.3919388647987467</v>
      </c>
      <c r="AE9" s="5"/>
      <c r="AF9" s="51">
        <f t="shared" si="6"/>
        <v>-14854.771565132225</v>
      </c>
      <c r="AG9" s="28" t="s">
        <v>1018</v>
      </c>
      <c r="AH9" s="15">
        <v>116674</v>
      </c>
      <c r="AI9" s="7">
        <f t="shared" si="7"/>
        <v>0.68555547068259404</v>
      </c>
      <c r="AJ9" s="15">
        <v>78320</v>
      </c>
      <c r="AK9" s="7">
        <f t="shared" si="8"/>
        <v>0.46019425462280172</v>
      </c>
      <c r="AL9" s="8">
        <f t="shared" si="9"/>
        <v>0.32872790853146372</v>
      </c>
      <c r="AM9" s="16">
        <f t="shared" si="10"/>
        <v>38354</v>
      </c>
      <c r="AN9" s="15">
        <f>'[1]15.16 Meter Data'!W65</f>
        <v>271145.11</v>
      </c>
      <c r="AO9" s="22">
        <f t="shared" si="11"/>
        <v>1.5931999717960619</v>
      </c>
      <c r="AP9" s="47">
        <f t="shared" si="12"/>
        <v>-1.3239548656941562</v>
      </c>
      <c r="AQ9" s="48">
        <f t="shared" si="13"/>
        <v>-154471.10999999999</v>
      </c>
      <c r="AR9" s="28" t="s">
        <v>1018</v>
      </c>
      <c r="AS9" s="2">
        <v>1518337</v>
      </c>
      <c r="AT9" s="9" t="s">
        <v>13</v>
      </c>
      <c r="AU9" s="2">
        <f t="shared" si="14"/>
        <v>8.9214755360217168</v>
      </c>
      <c r="AV9" s="2">
        <v>991995</v>
      </c>
      <c r="AW9" s="9" t="s">
        <v>13</v>
      </c>
      <c r="AX9" s="2">
        <f t="shared" si="15"/>
        <v>5.8287844690314889</v>
      </c>
      <c r="AY9" s="8">
        <f t="shared" si="16"/>
        <v>0.34665690159694457</v>
      </c>
      <c r="AZ9" s="17">
        <f t="shared" si="17"/>
        <v>526342</v>
      </c>
      <c r="BA9" s="2">
        <f>'[1]15.16 Meter Data'!W60</f>
        <v>2683000</v>
      </c>
      <c r="BB9" s="9" t="s">
        <v>13</v>
      </c>
      <c r="BC9" s="2">
        <f t="shared" si="18"/>
        <v>15.764826163853128</v>
      </c>
      <c r="BD9" s="8">
        <f t="shared" si="19"/>
        <v>-0.76706488743934975</v>
      </c>
      <c r="BE9" s="28" t="s">
        <v>1018</v>
      </c>
      <c r="BF9" s="71" t="s">
        <v>288</v>
      </c>
      <c r="BG9" s="42"/>
      <c r="BH9" s="15"/>
      <c r="BI9" s="33" t="s">
        <v>288</v>
      </c>
      <c r="BJ9" s="15"/>
      <c r="BK9" s="33" t="s">
        <v>288</v>
      </c>
      <c r="BL9" s="33" t="s">
        <v>288</v>
      </c>
      <c r="BM9" s="1353"/>
      <c r="BN9" s="1" t="s">
        <v>301</v>
      </c>
      <c r="BO9" s="11" t="s">
        <v>247</v>
      </c>
    </row>
    <row r="10" spans="1:67" s="41" customFormat="1" ht="27.6" customHeight="1" x14ac:dyDescent="0.2">
      <c r="A10" s="4" t="s">
        <v>982</v>
      </c>
      <c r="B10" s="915" t="s">
        <v>953</v>
      </c>
      <c r="C10" s="11" t="s">
        <v>276</v>
      </c>
      <c r="D10" s="11" t="s">
        <v>988</v>
      </c>
      <c r="E10" s="11" t="s">
        <v>656</v>
      </c>
      <c r="F10" s="1" t="s">
        <v>118</v>
      </c>
      <c r="G10" s="33">
        <v>40304</v>
      </c>
      <c r="H10" s="11" t="s">
        <v>10</v>
      </c>
      <c r="I10" s="33">
        <v>40477</v>
      </c>
      <c r="J10" s="60">
        <v>40774</v>
      </c>
      <c r="K10" s="4" t="s">
        <v>93</v>
      </c>
      <c r="L10" s="11" t="s">
        <v>13</v>
      </c>
      <c r="M10" s="6">
        <v>67904</v>
      </c>
      <c r="N10" s="6"/>
      <c r="O10" s="83">
        <v>1</v>
      </c>
      <c r="P10" s="4" t="s">
        <v>92</v>
      </c>
      <c r="Q10" s="11" t="s">
        <v>247</v>
      </c>
      <c r="R10" s="11">
        <v>4</v>
      </c>
      <c r="S10" s="2">
        <v>2961</v>
      </c>
      <c r="T10" s="12">
        <f t="shared" si="0"/>
        <v>43.605678605089537</v>
      </c>
      <c r="U10" s="2">
        <v>1736</v>
      </c>
      <c r="V10" s="23">
        <f t="shared" si="1"/>
        <v>25.565504241281811</v>
      </c>
      <c r="W10" s="5">
        <f t="shared" si="2"/>
        <v>0.41371158392434987</v>
      </c>
      <c r="X10" s="13">
        <f t="shared" si="3"/>
        <v>1225</v>
      </c>
      <c r="Y10" s="967">
        <v>42605</v>
      </c>
      <c r="Z10" s="49">
        <f>'[1]15.16 Meter Data'!Y70</f>
        <v>3119.0465530168958</v>
      </c>
      <c r="AA10" s="40">
        <f t="shared" si="4"/>
        <v>45.93317850225165</v>
      </c>
      <c r="AB10" s="1391" t="s">
        <v>1301</v>
      </c>
      <c r="AC10" s="1393">
        <v>31</v>
      </c>
      <c r="AD10" s="5">
        <f t="shared" si="5"/>
        <v>-5.3376073291758128E-2</v>
      </c>
      <c r="AE10" s="5"/>
      <c r="AF10" s="51">
        <f t="shared" si="6"/>
        <v>-158.04655301689581</v>
      </c>
      <c r="AG10" s="4" t="s">
        <v>92</v>
      </c>
      <c r="AH10" s="15">
        <v>72840</v>
      </c>
      <c r="AI10" s="24">
        <f t="shared" si="7"/>
        <v>1.0726908576814327</v>
      </c>
      <c r="AJ10" s="15">
        <v>42637</v>
      </c>
      <c r="AK10" s="24">
        <f t="shared" si="8"/>
        <v>0.62790115457115925</v>
      </c>
      <c r="AL10" s="8">
        <f t="shared" si="9"/>
        <v>0.41464854475562879</v>
      </c>
      <c r="AM10" s="16">
        <f t="shared" si="10"/>
        <v>30203</v>
      </c>
      <c r="AN10" s="15">
        <f>'[1]15.16 Meter Data'!W74</f>
        <v>61509.570000000007</v>
      </c>
      <c r="AO10" s="22">
        <f t="shared" si="11"/>
        <v>0.90583132068803029</v>
      </c>
      <c r="AP10" s="47">
        <f t="shared" si="12"/>
        <v>0.15555230642504109</v>
      </c>
      <c r="AQ10" s="48">
        <f t="shared" si="13"/>
        <v>11330.429999999993</v>
      </c>
      <c r="AR10" s="4" t="s">
        <v>92</v>
      </c>
      <c r="AS10" s="2">
        <v>109500</v>
      </c>
      <c r="AT10" s="9" t="s">
        <v>13</v>
      </c>
      <c r="AU10" s="2">
        <f t="shared" si="14"/>
        <v>1.6125706880301602</v>
      </c>
      <c r="AV10" s="2">
        <v>87313</v>
      </c>
      <c r="AW10" s="9" t="s">
        <v>13</v>
      </c>
      <c r="AX10" s="2">
        <f t="shared" si="15"/>
        <v>1.2858299952874646</v>
      </c>
      <c r="AY10" s="8">
        <f t="shared" si="16"/>
        <v>0.20262100456621004</v>
      </c>
      <c r="AZ10" s="17">
        <f t="shared" si="17"/>
        <v>22187</v>
      </c>
      <c r="BA10" s="2"/>
      <c r="BB10" s="9"/>
      <c r="BC10" s="2"/>
      <c r="BD10" s="8"/>
      <c r="BE10" s="4" t="s">
        <v>92</v>
      </c>
      <c r="BF10" s="64">
        <v>5507600</v>
      </c>
      <c r="BG10" s="42">
        <f t="shared" ref="BG10:BG24" si="20">BF10/M10</f>
        <v>81.108623939679546</v>
      </c>
      <c r="BH10" s="15">
        <v>5351000</v>
      </c>
      <c r="BI10" s="15">
        <v>484000</v>
      </c>
      <c r="BJ10" s="15">
        <v>15000</v>
      </c>
      <c r="BK10" s="3"/>
      <c r="BL10" s="15">
        <v>43640</v>
      </c>
      <c r="BM10" s="1353">
        <f t="shared" ref="BM10:BM24" si="21">((BF10-BH10)+BJ10+BK10+BL10)/AM10</f>
        <v>7.1264443929410985</v>
      </c>
      <c r="BN10" s="1"/>
      <c r="BO10" s="11" t="s">
        <v>247</v>
      </c>
    </row>
    <row r="11" spans="1:67" s="1737" customFormat="1" ht="27.6" customHeight="1" thickBot="1" x14ac:dyDescent="0.25">
      <c r="A11" s="1716" t="s">
        <v>269</v>
      </c>
      <c r="B11" s="1752" t="s">
        <v>950</v>
      </c>
      <c r="C11" s="1711" t="s">
        <v>60</v>
      </c>
      <c r="D11" s="1711" t="s">
        <v>989</v>
      </c>
      <c r="E11" s="1711" t="s">
        <v>510</v>
      </c>
      <c r="F11" s="1712" t="s">
        <v>1023</v>
      </c>
      <c r="G11" s="1714">
        <v>40249</v>
      </c>
      <c r="H11" s="1711" t="s">
        <v>10</v>
      </c>
      <c r="I11" s="1714">
        <v>40339</v>
      </c>
      <c r="J11" s="1715">
        <v>40798</v>
      </c>
      <c r="K11" s="1716" t="s">
        <v>112</v>
      </c>
      <c r="L11" s="1711" t="s">
        <v>13</v>
      </c>
      <c r="M11" s="1753">
        <v>24663</v>
      </c>
      <c r="N11" s="1753"/>
      <c r="O11" s="1754">
        <v>2</v>
      </c>
      <c r="P11" s="1716" t="s">
        <v>208</v>
      </c>
      <c r="Q11" s="1711" t="s">
        <v>247</v>
      </c>
      <c r="R11" s="1711">
        <v>4</v>
      </c>
      <c r="S11" s="1717">
        <v>2746</v>
      </c>
      <c r="T11" s="1720">
        <f t="shared" si="0"/>
        <v>111.34087499493168</v>
      </c>
      <c r="U11" s="1717">
        <v>1547</v>
      </c>
      <c r="V11" s="1721">
        <f t="shared" si="1"/>
        <v>62.725540283015036</v>
      </c>
      <c r="W11" s="1743">
        <f t="shared" si="2"/>
        <v>0.43663510560815733</v>
      </c>
      <c r="X11" s="1755">
        <f t="shared" si="3"/>
        <v>1199</v>
      </c>
      <c r="Y11" s="1740">
        <v>42614</v>
      </c>
      <c r="Z11" s="1754">
        <f>'[1]15.16 Meter Data'!Y80</f>
        <v>10036.097331999999</v>
      </c>
      <c r="AA11" s="1741">
        <f>Z11/66128*1000</f>
        <v>151.76774334623758</v>
      </c>
      <c r="AB11" s="1725" t="s">
        <v>1302</v>
      </c>
      <c r="AC11" s="1742">
        <v>48</v>
      </c>
      <c r="AD11" s="1743">
        <f t="shared" si="5"/>
        <v>-2.6548060203932993</v>
      </c>
      <c r="AE11" s="1743"/>
      <c r="AF11" s="1745">
        <f t="shared" si="6"/>
        <v>-7290.0973319999994</v>
      </c>
      <c r="AG11" s="1716" t="s">
        <v>208</v>
      </c>
      <c r="AH11" s="1727">
        <v>69316</v>
      </c>
      <c r="AI11" s="1728">
        <f t="shared" si="7"/>
        <v>2.8105258889834976</v>
      </c>
      <c r="AJ11" s="1727">
        <v>38688</v>
      </c>
      <c r="AK11" s="1728">
        <f t="shared" si="8"/>
        <v>1.5686656124559055</v>
      </c>
      <c r="AL11" s="1722">
        <f t="shared" si="9"/>
        <v>0.44186046511627908</v>
      </c>
      <c r="AM11" s="1756">
        <f t="shared" si="10"/>
        <v>30628</v>
      </c>
      <c r="AN11" s="1727">
        <f>'[1]15.16 Meter Data'!W85</f>
        <v>163637.77239999999</v>
      </c>
      <c r="AO11" s="1746">
        <f>AN11/66128</f>
        <v>2.474561039196709</v>
      </c>
      <c r="AP11" s="1747">
        <f t="shared" si="12"/>
        <v>-1.3607503664377631</v>
      </c>
      <c r="AQ11" s="1748">
        <f t="shared" si="13"/>
        <v>-94321.772399999987</v>
      </c>
      <c r="AR11" s="1716" t="s">
        <v>208</v>
      </c>
      <c r="AS11" s="1717">
        <v>320198</v>
      </c>
      <c r="AT11" s="1729" t="s">
        <v>13</v>
      </c>
      <c r="AU11" s="1717">
        <f t="shared" si="14"/>
        <v>12.982929894984389</v>
      </c>
      <c r="AV11" s="1717">
        <v>230958</v>
      </c>
      <c r="AW11" s="1729" t="s">
        <v>13</v>
      </c>
      <c r="AX11" s="1717">
        <f t="shared" si="15"/>
        <v>9.3645541904877749</v>
      </c>
      <c r="AY11" s="1722">
        <f t="shared" si="16"/>
        <v>0.2787025527954578</v>
      </c>
      <c r="AZ11" s="1757">
        <f t="shared" si="17"/>
        <v>89240</v>
      </c>
      <c r="BA11" s="1717">
        <f>'[1]15.16 Meter Data'!W81</f>
        <v>427997.12202429149</v>
      </c>
      <c r="BB11" s="1729" t="s">
        <v>13</v>
      </c>
      <c r="BC11" s="1717">
        <f>BA11/M11</f>
        <v>17.353814297704719</v>
      </c>
      <c r="BD11" s="1722">
        <f>(AS11-BA11)/AS11</f>
        <v>-0.33666394550962681</v>
      </c>
      <c r="BE11" s="1716" t="s">
        <v>208</v>
      </c>
      <c r="BF11" s="1731">
        <v>6017900</v>
      </c>
      <c r="BG11" s="1732">
        <f t="shared" si="20"/>
        <v>244.00518996066984</v>
      </c>
      <c r="BH11" s="1727">
        <v>5778782</v>
      </c>
      <c r="BI11" s="1727">
        <v>634045</v>
      </c>
      <c r="BJ11" s="1727">
        <f>23400+42175</f>
        <v>65575</v>
      </c>
      <c r="BK11" s="1724"/>
      <c r="BL11" s="1727">
        <v>106438</v>
      </c>
      <c r="BM11" s="1736">
        <f t="shared" si="21"/>
        <v>13.423370771842759</v>
      </c>
      <c r="BN11" s="1712" t="s">
        <v>302</v>
      </c>
      <c r="BO11" s="1711" t="s">
        <v>247</v>
      </c>
    </row>
    <row r="12" spans="1:67" s="41" customFormat="1" ht="27.6" customHeight="1" thickTop="1" x14ac:dyDescent="0.2">
      <c r="A12" s="1612" t="s">
        <v>282</v>
      </c>
      <c r="B12" s="915" t="s">
        <v>953</v>
      </c>
      <c r="C12" s="11" t="s">
        <v>6</v>
      </c>
      <c r="D12" s="11" t="s">
        <v>990</v>
      </c>
      <c r="E12" s="11" t="s">
        <v>547</v>
      </c>
      <c r="F12" s="1" t="s">
        <v>37</v>
      </c>
      <c r="G12" s="33">
        <v>40189</v>
      </c>
      <c r="H12" s="11" t="s">
        <v>10</v>
      </c>
      <c r="I12" s="33">
        <v>40183</v>
      </c>
      <c r="J12" s="60">
        <v>40940</v>
      </c>
      <c r="K12" s="4" t="s">
        <v>12</v>
      </c>
      <c r="L12" s="11" t="s">
        <v>13</v>
      </c>
      <c r="M12" s="6">
        <v>48112</v>
      </c>
      <c r="N12" s="6"/>
      <c r="O12" s="49">
        <v>3</v>
      </c>
      <c r="P12" s="1612" t="s">
        <v>282</v>
      </c>
      <c r="Q12" s="11" t="s">
        <v>247</v>
      </c>
      <c r="R12" s="11">
        <v>3</v>
      </c>
      <c r="S12" s="2">
        <v>3078</v>
      </c>
      <c r="T12" s="12">
        <f t="shared" si="0"/>
        <v>63.975723312271377</v>
      </c>
      <c r="U12" s="2">
        <v>1625</v>
      </c>
      <c r="V12" s="23">
        <f t="shared" si="1"/>
        <v>33.775357499168607</v>
      </c>
      <c r="W12" s="5">
        <f t="shared" si="2"/>
        <v>0.47205977907732294</v>
      </c>
      <c r="X12" s="13">
        <f t="shared" si="3"/>
        <v>1453</v>
      </c>
      <c r="Y12" s="967">
        <v>42635</v>
      </c>
      <c r="Z12" s="49">
        <f>'[1]15.16 Meter Data'!W89</f>
        <v>2531.4084480000001</v>
      </c>
      <c r="AA12" s="40">
        <v>75</v>
      </c>
      <c r="AB12" s="1391" t="s">
        <v>1300</v>
      </c>
      <c r="AC12" s="1393">
        <v>62</v>
      </c>
      <c r="AD12" s="5">
        <f t="shared" si="5"/>
        <v>0.17758010136452237</v>
      </c>
      <c r="AE12" s="5"/>
      <c r="AF12" s="51">
        <f t="shared" si="6"/>
        <v>546.59155199999987</v>
      </c>
      <c r="AG12" s="1612" t="s">
        <v>282</v>
      </c>
      <c r="AH12" s="15">
        <v>64655</v>
      </c>
      <c r="AI12" s="7">
        <f t="shared" si="7"/>
        <v>1.3438435317592285</v>
      </c>
      <c r="AJ12" s="15">
        <v>34128</v>
      </c>
      <c r="AK12" s="7">
        <f t="shared" si="8"/>
        <v>0.70934486198869307</v>
      </c>
      <c r="AL12" s="8">
        <f t="shared" si="9"/>
        <v>0.47215219240584644</v>
      </c>
      <c r="AM12" s="16">
        <f t="shared" si="10"/>
        <v>30527</v>
      </c>
      <c r="AN12" s="15">
        <f>'[1]15.16 Meter Data'!W91</f>
        <v>76605.5</v>
      </c>
      <c r="AO12" s="46">
        <f t="shared" ref="AO12" si="22">AN12/M12</f>
        <v>1.5922327070169604</v>
      </c>
      <c r="AP12" s="47">
        <f t="shared" si="12"/>
        <v>-0.18483489289304772</v>
      </c>
      <c r="AQ12" s="48">
        <f t="shared" si="13"/>
        <v>-11950.5</v>
      </c>
      <c r="AR12" s="1612" t="s">
        <v>282</v>
      </c>
      <c r="AS12" s="2">
        <v>1506938</v>
      </c>
      <c r="AT12" s="9" t="s">
        <v>13</v>
      </c>
      <c r="AU12" s="2">
        <f t="shared" si="14"/>
        <v>31.321458264050548</v>
      </c>
      <c r="AV12" s="2">
        <v>1056525</v>
      </c>
      <c r="AW12" s="1" t="s">
        <v>13</v>
      </c>
      <c r="AX12" s="2">
        <f t="shared" si="15"/>
        <v>21.959698204190222</v>
      </c>
      <c r="AY12" s="8">
        <f t="shared" si="16"/>
        <v>0.29889285425146889</v>
      </c>
      <c r="AZ12" s="17">
        <f t="shared" si="17"/>
        <v>450413</v>
      </c>
      <c r="BA12" s="1694" t="s">
        <v>352</v>
      </c>
      <c r="BB12" s="9"/>
      <c r="BC12" s="2"/>
      <c r="BD12" s="8"/>
      <c r="BE12" s="1612" t="s">
        <v>282</v>
      </c>
      <c r="BF12" s="64">
        <v>14394127</v>
      </c>
      <c r="BG12" s="42">
        <f t="shared" si="20"/>
        <v>299.17956019288329</v>
      </c>
      <c r="BH12" s="15">
        <v>13822099</v>
      </c>
      <c r="BI12" s="15">
        <v>1654600</v>
      </c>
      <c r="BJ12" s="15">
        <v>35000</v>
      </c>
      <c r="BK12" s="3"/>
      <c r="BL12" s="15">
        <v>57000</v>
      </c>
      <c r="BM12" s="1353">
        <f t="shared" si="21"/>
        <v>21.752153831034821</v>
      </c>
      <c r="BN12" s="1" t="s">
        <v>298</v>
      </c>
      <c r="BO12" s="11" t="s">
        <v>247</v>
      </c>
    </row>
    <row r="13" spans="1:67" s="41" customFormat="1" ht="27.6" customHeight="1" x14ac:dyDescent="0.2">
      <c r="A13" s="4" t="s">
        <v>307</v>
      </c>
      <c r="B13" s="11" t="s">
        <v>951</v>
      </c>
      <c r="C13" s="11" t="s">
        <v>63</v>
      </c>
      <c r="D13" s="11" t="s">
        <v>985</v>
      </c>
      <c r="E13" s="11" t="s">
        <v>545</v>
      </c>
      <c r="F13" s="1" t="s">
        <v>308</v>
      </c>
      <c r="G13" s="33">
        <v>40046</v>
      </c>
      <c r="H13" s="11" t="s">
        <v>10</v>
      </c>
      <c r="I13" s="33">
        <v>40086</v>
      </c>
      <c r="J13" s="60">
        <v>41011</v>
      </c>
      <c r="K13" s="4" t="s">
        <v>309</v>
      </c>
      <c r="L13" s="11" t="s">
        <v>13</v>
      </c>
      <c r="M13" s="6">
        <v>200164</v>
      </c>
      <c r="N13" s="6"/>
      <c r="O13" s="49">
        <v>4</v>
      </c>
      <c r="P13" s="4" t="s">
        <v>307</v>
      </c>
      <c r="Q13" s="11" t="s">
        <v>247</v>
      </c>
      <c r="R13" s="11">
        <v>3</v>
      </c>
      <c r="S13" s="2">
        <v>30494.5</v>
      </c>
      <c r="T13" s="12">
        <f t="shared" si="0"/>
        <v>152.34757498850942</v>
      </c>
      <c r="U13" s="2">
        <v>18910.599999999999</v>
      </c>
      <c r="V13" s="23">
        <f t="shared" si="1"/>
        <v>94.475530065346405</v>
      </c>
      <c r="W13" s="5">
        <f t="shared" si="2"/>
        <v>0.37986850087720742</v>
      </c>
      <c r="X13" s="13">
        <f t="shared" si="3"/>
        <v>11583.900000000001</v>
      </c>
      <c r="Y13" s="967">
        <v>42587</v>
      </c>
      <c r="Z13" s="49">
        <f>'[1]15.16 Meter Data'!Y108</f>
        <v>42659.053549386372</v>
      </c>
      <c r="AA13" s="2">
        <f t="shared" si="4"/>
        <v>213.12050892960957</v>
      </c>
      <c r="AB13" s="9" t="s">
        <v>1303</v>
      </c>
      <c r="AC13" s="1394">
        <v>175</v>
      </c>
      <c r="AD13" s="5">
        <f>(S13-Z13)/S13</f>
        <v>-0.39890975583749105</v>
      </c>
      <c r="AE13" s="5"/>
      <c r="AF13" s="2">
        <f>S13-Z13</f>
        <v>-12164.553549386372</v>
      </c>
      <c r="AG13" s="4" t="s">
        <v>307</v>
      </c>
      <c r="AH13" s="15">
        <v>284103</v>
      </c>
      <c r="AI13" s="7">
        <f t="shared" si="7"/>
        <v>1.4193511320717012</v>
      </c>
      <c r="AJ13" s="15">
        <v>165774</v>
      </c>
      <c r="AK13" s="7">
        <f t="shared" si="8"/>
        <v>0.82819088347555003</v>
      </c>
      <c r="AL13" s="8">
        <f t="shared" si="9"/>
        <v>0.4165003537449446</v>
      </c>
      <c r="AM13" s="16">
        <f t="shared" si="10"/>
        <v>118329</v>
      </c>
      <c r="AN13" s="15">
        <f>'[1]15.16 Meter Data'!W114</f>
        <v>433639.98477829847</v>
      </c>
      <c r="AO13" s="22">
        <f>AN13/M13</f>
        <v>2.1664234566570335</v>
      </c>
      <c r="AP13" s="47">
        <f>(AH13-AN13)/AH13</f>
        <v>-0.5263477850578786</v>
      </c>
      <c r="AQ13" s="48">
        <f>AH13-AN13</f>
        <v>-149536.98477829847</v>
      </c>
      <c r="AR13" s="4" t="s">
        <v>307</v>
      </c>
      <c r="AS13" s="2">
        <v>3172838</v>
      </c>
      <c r="AT13" s="9" t="s">
        <v>13</v>
      </c>
      <c r="AU13" s="2">
        <f t="shared" si="14"/>
        <v>15.851192022541516</v>
      </c>
      <c r="AV13" s="2">
        <v>1985718</v>
      </c>
      <c r="AW13" s="9" t="s">
        <v>13</v>
      </c>
      <c r="AX13" s="2">
        <f t="shared" si="15"/>
        <v>9.9204552267140951</v>
      </c>
      <c r="AY13" s="8">
        <f t="shared" si="16"/>
        <v>0.37415083909105978</v>
      </c>
      <c r="AZ13" s="17">
        <f t="shared" si="17"/>
        <v>1187120</v>
      </c>
      <c r="BA13" s="2">
        <f>'[1]15.16 Meter Data'!W109</f>
        <v>873972.92400000012</v>
      </c>
      <c r="BB13" s="9" t="s">
        <v>13</v>
      </c>
      <c r="BC13" s="2">
        <f>BA13/M13</f>
        <v>4.3662842669011415</v>
      </c>
      <c r="BD13" s="8">
        <f>(AS13-BA13)/AS13</f>
        <v>0.72454536790091395</v>
      </c>
      <c r="BE13" s="4" t="s">
        <v>307</v>
      </c>
      <c r="BF13" s="64">
        <v>61500000</v>
      </c>
      <c r="BG13" s="42">
        <f t="shared" si="20"/>
        <v>307.24805659359328</v>
      </c>
      <c r="BH13" s="15">
        <v>51725930</v>
      </c>
      <c r="BI13" s="433">
        <v>5792635</v>
      </c>
      <c r="BJ13" s="15">
        <f>180000+41084</f>
        <v>221084</v>
      </c>
      <c r="BK13" s="3"/>
      <c r="BL13" s="433">
        <v>404815</v>
      </c>
      <c r="BM13" s="1353">
        <f t="shared" si="21"/>
        <v>87.890280489144672</v>
      </c>
      <c r="BN13" s="1" t="s">
        <v>304</v>
      </c>
      <c r="BO13" s="11" t="s">
        <v>247</v>
      </c>
    </row>
    <row r="14" spans="1:67" s="41" customFormat="1" ht="27.6" customHeight="1" x14ac:dyDescent="0.2">
      <c r="A14" s="4" t="s">
        <v>95</v>
      </c>
      <c r="B14" s="11" t="s">
        <v>951</v>
      </c>
      <c r="C14" s="11" t="s">
        <v>276</v>
      </c>
      <c r="D14" s="11" t="s">
        <v>991</v>
      </c>
      <c r="E14" s="11" t="s">
        <v>656</v>
      </c>
      <c r="F14" s="1" t="s">
        <v>94</v>
      </c>
      <c r="G14" s="33">
        <v>40357</v>
      </c>
      <c r="H14" s="77" t="s">
        <v>4</v>
      </c>
      <c r="I14" s="33">
        <v>40624</v>
      </c>
      <c r="J14" s="60">
        <v>41011</v>
      </c>
      <c r="K14" s="4" t="s">
        <v>96</v>
      </c>
      <c r="L14" s="11" t="s">
        <v>13</v>
      </c>
      <c r="M14" s="6">
        <v>55605</v>
      </c>
      <c r="N14" s="6"/>
      <c r="O14" s="49">
        <v>1</v>
      </c>
      <c r="P14" s="4" t="s">
        <v>95</v>
      </c>
      <c r="Q14" s="11" t="s">
        <v>247</v>
      </c>
      <c r="R14" s="11">
        <v>3</v>
      </c>
      <c r="S14" s="2">
        <v>1743</v>
      </c>
      <c r="T14" s="12">
        <f t="shared" si="0"/>
        <v>31.346101969247371</v>
      </c>
      <c r="U14" s="2">
        <v>749</v>
      </c>
      <c r="V14" s="23">
        <f t="shared" si="1"/>
        <v>13.470011689596259</v>
      </c>
      <c r="W14" s="5">
        <f t="shared" si="2"/>
        <v>0.57028112449799195</v>
      </c>
      <c r="X14" s="13">
        <f t="shared" si="3"/>
        <v>994</v>
      </c>
      <c r="Y14" s="967">
        <v>42605</v>
      </c>
      <c r="Z14" s="9">
        <f>'[1]15.16 Meter Data'!Y97</f>
        <v>2717.4964171494562</v>
      </c>
      <c r="AA14" s="2">
        <f t="shared" si="4"/>
        <v>48.871439927155045</v>
      </c>
      <c r="AB14" s="19" t="s">
        <v>1301</v>
      </c>
      <c r="AC14" s="1394">
        <v>28</v>
      </c>
      <c r="AD14" s="5">
        <f>(S14-Z14)/S14</f>
        <v>-0.55909146135941257</v>
      </c>
      <c r="AE14" s="5"/>
      <c r="AF14" s="2">
        <f>S14-Z14</f>
        <v>-974.49641714945619</v>
      </c>
      <c r="AG14" s="4" t="s">
        <v>95</v>
      </c>
      <c r="AH14" s="15">
        <v>42886</v>
      </c>
      <c r="AI14" s="7">
        <f t="shared" si="7"/>
        <v>0.77126157719629529</v>
      </c>
      <c r="AJ14" s="15">
        <v>28420</v>
      </c>
      <c r="AK14" s="7">
        <f t="shared" si="8"/>
        <v>0.5111051164463627</v>
      </c>
      <c r="AL14" s="8">
        <f t="shared" si="9"/>
        <v>0.3373128759968288</v>
      </c>
      <c r="AM14" s="16">
        <f t="shared" si="10"/>
        <v>14466</v>
      </c>
      <c r="AN14" s="29">
        <f>'[1]15.16 Meter Data'!W101</f>
        <v>79111.909999999989</v>
      </c>
      <c r="AO14" s="22">
        <f>AN14/M14</f>
        <v>1.422748134160597</v>
      </c>
      <c r="AP14" s="47">
        <f>(AH14-AN14)/AH14</f>
        <v>-0.8447024670055493</v>
      </c>
      <c r="AQ14" s="48">
        <f>AH14-AN14</f>
        <v>-36225.909999999989</v>
      </c>
      <c r="AR14" s="4" t="s">
        <v>95</v>
      </c>
      <c r="AS14" s="2">
        <v>243256</v>
      </c>
      <c r="AT14" s="9" t="s">
        <v>13</v>
      </c>
      <c r="AU14" s="2">
        <f t="shared" si="14"/>
        <v>4.3747145040913589</v>
      </c>
      <c r="AV14" s="2">
        <v>171756</v>
      </c>
      <c r="AW14" s="9" t="s">
        <v>13</v>
      </c>
      <c r="AX14" s="2">
        <f t="shared" si="15"/>
        <v>3.0888589155651469</v>
      </c>
      <c r="AY14" s="8">
        <f t="shared" si="16"/>
        <v>0.29392902949978622</v>
      </c>
      <c r="AZ14" s="17">
        <f t="shared" si="17"/>
        <v>71500</v>
      </c>
      <c r="BA14" s="1350"/>
      <c r="BB14" s="9"/>
      <c r="BC14" s="2"/>
      <c r="BD14" s="8"/>
      <c r="BE14" s="4" t="s">
        <v>95</v>
      </c>
      <c r="BF14" s="64">
        <v>4072395</v>
      </c>
      <c r="BG14" s="42">
        <f t="shared" si="20"/>
        <v>73.237928243862967</v>
      </c>
      <c r="BH14" s="15">
        <v>3919435</v>
      </c>
      <c r="BI14" s="15">
        <v>363080</v>
      </c>
      <c r="BJ14" s="15">
        <v>0</v>
      </c>
      <c r="BK14" s="3"/>
      <c r="BL14" s="15">
        <v>11870</v>
      </c>
      <c r="BM14" s="1353">
        <f t="shared" si="21"/>
        <v>11.394303884971658</v>
      </c>
      <c r="BN14" s="1"/>
      <c r="BO14" s="11" t="s">
        <v>247</v>
      </c>
    </row>
    <row r="15" spans="1:67" s="41" customFormat="1" ht="27.6" customHeight="1" x14ac:dyDescent="0.2">
      <c r="A15" s="4" t="s">
        <v>1361</v>
      </c>
      <c r="B15" s="11" t="s">
        <v>951</v>
      </c>
      <c r="C15" s="11" t="s">
        <v>1360</v>
      </c>
      <c r="D15" s="11" t="s">
        <v>988</v>
      </c>
      <c r="E15" s="1613" t="s">
        <v>743</v>
      </c>
      <c r="F15" s="1" t="s">
        <v>35</v>
      </c>
      <c r="G15" s="33">
        <v>40169</v>
      </c>
      <c r="H15" s="11" t="s">
        <v>10</v>
      </c>
      <c r="I15" s="33">
        <v>40322</v>
      </c>
      <c r="J15" s="60">
        <v>41060</v>
      </c>
      <c r="K15" s="4" t="s">
        <v>1294</v>
      </c>
      <c r="L15" s="11">
        <v>100</v>
      </c>
      <c r="M15" s="6">
        <v>108770</v>
      </c>
      <c r="N15" s="6"/>
      <c r="O15" s="83">
        <v>1</v>
      </c>
      <c r="P15" s="4" t="s">
        <v>1361</v>
      </c>
      <c r="Q15" s="11" t="s">
        <v>247</v>
      </c>
      <c r="R15" s="11">
        <v>4</v>
      </c>
      <c r="S15" s="2">
        <v>8495</v>
      </c>
      <c r="T15" s="12">
        <f t="shared" si="0"/>
        <v>78.10057920382458</v>
      </c>
      <c r="U15" s="2">
        <v>5163</v>
      </c>
      <c r="V15" s="23">
        <f t="shared" si="1"/>
        <v>47.467132481382734</v>
      </c>
      <c r="W15" s="5">
        <f t="shared" si="2"/>
        <v>0.39223072395526781</v>
      </c>
      <c r="X15" s="13">
        <f t="shared" si="3"/>
        <v>3332</v>
      </c>
      <c r="Y15" s="967">
        <v>42587</v>
      </c>
      <c r="Z15" s="49">
        <f>'[1]15.16 Meter Data'!Y119</f>
        <v>9408.4324818499281</v>
      </c>
      <c r="AA15" s="2">
        <f t="shared" si="4"/>
        <v>86.498413917899484</v>
      </c>
      <c r="AB15" s="19" t="s">
        <v>1304</v>
      </c>
      <c r="AC15" s="1394">
        <v>91</v>
      </c>
      <c r="AD15" s="5">
        <f>(S15-Z15)/S15</f>
        <v>-0.1075258954502564</v>
      </c>
      <c r="AE15" s="5"/>
      <c r="AF15" s="2">
        <f>S15-Z15</f>
        <v>-913.43248184992808</v>
      </c>
      <c r="AG15" s="4" t="s">
        <v>1361</v>
      </c>
      <c r="AH15" s="15">
        <v>213106</v>
      </c>
      <c r="AI15" s="7">
        <f t="shared" si="7"/>
        <v>1.9592350832030891</v>
      </c>
      <c r="AJ15" s="15">
        <v>120807</v>
      </c>
      <c r="AK15" s="7">
        <f t="shared" si="8"/>
        <v>1.1106647053415464</v>
      </c>
      <c r="AL15" s="8">
        <f t="shared" si="9"/>
        <v>0.43311309864574438</v>
      </c>
      <c r="AM15" s="16">
        <f t="shared" si="10"/>
        <v>92299</v>
      </c>
      <c r="AN15" s="15">
        <f>'[1]15.16 Meter Data'!W123</f>
        <v>174267.39000000004</v>
      </c>
      <c r="AO15" s="22">
        <f>AN15/M15</f>
        <v>1.6021641077502993</v>
      </c>
      <c r="AP15" s="47">
        <f>(AH15-AN15)/AH15</f>
        <v>0.1822501947387683</v>
      </c>
      <c r="AQ15" s="48">
        <f>AH15-AN15</f>
        <v>38838.609999999957</v>
      </c>
      <c r="AR15" s="4" t="s">
        <v>1361</v>
      </c>
      <c r="AS15" s="2">
        <v>4378540</v>
      </c>
      <c r="AT15" s="2">
        <f>AS15/L15</f>
        <v>43785.4</v>
      </c>
      <c r="AU15" s="2">
        <f t="shared" si="14"/>
        <v>40.255033557046978</v>
      </c>
      <c r="AV15" s="2">
        <v>3400982</v>
      </c>
      <c r="AW15" s="9">
        <f>AV15/L15</f>
        <v>34009.82</v>
      </c>
      <c r="AX15" s="2">
        <f t="shared" si="15"/>
        <v>31.267647329226808</v>
      </c>
      <c r="AY15" s="8">
        <f t="shared" si="16"/>
        <v>0.22326117838366213</v>
      </c>
      <c r="AZ15" s="17">
        <f t="shared" si="17"/>
        <v>977558</v>
      </c>
      <c r="BA15" s="242">
        <f>'[1]15.16 Meter Data'!W120</f>
        <v>4190296</v>
      </c>
      <c r="BB15" s="2">
        <f>BA15/L15</f>
        <v>41902.959999999999</v>
      </c>
      <c r="BC15" s="2">
        <f>BA15/M15</f>
        <v>38.524372529190032</v>
      </c>
      <c r="BD15" s="8">
        <f>(AS15-BA15)/AS15</f>
        <v>4.299241299611286E-2</v>
      </c>
      <c r="BE15" s="4" t="s">
        <v>1361</v>
      </c>
      <c r="BF15" s="64">
        <v>16135100</v>
      </c>
      <c r="BG15" s="42">
        <f t="shared" si="20"/>
        <v>148.34145444515951</v>
      </c>
      <c r="BH15" s="15">
        <v>15834228</v>
      </c>
      <c r="BI15" s="15">
        <v>1250000</v>
      </c>
      <c r="BJ15" s="15">
        <v>0</v>
      </c>
      <c r="BK15" s="3"/>
      <c r="BL15" s="15">
        <v>96941</v>
      </c>
      <c r="BM15" s="1353">
        <f t="shared" si="21"/>
        <v>4.3100466960638792</v>
      </c>
      <c r="BN15" s="1" t="s">
        <v>299</v>
      </c>
      <c r="BO15" s="11" t="s">
        <v>247</v>
      </c>
    </row>
    <row r="16" spans="1:67" s="41" customFormat="1" ht="27.6" customHeight="1" x14ac:dyDescent="0.2">
      <c r="A16" s="4" t="s">
        <v>278</v>
      </c>
      <c r="B16" s="11" t="s">
        <v>951</v>
      </c>
      <c r="C16" s="11" t="s">
        <v>81</v>
      </c>
      <c r="D16" s="11" t="s">
        <v>992</v>
      </c>
      <c r="E16" s="11" t="s">
        <v>551</v>
      </c>
      <c r="F16" s="1" t="s">
        <v>24</v>
      </c>
      <c r="G16" s="33">
        <v>40280</v>
      </c>
      <c r="H16" s="11" t="s">
        <v>10</v>
      </c>
      <c r="I16" s="33">
        <v>40518</v>
      </c>
      <c r="J16" s="60">
        <v>41087</v>
      </c>
      <c r="K16" s="4" t="s">
        <v>12</v>
      </c>
      <c r="L16" s="11" t="s">
        <v>13</v>
      </c>
      <c r="M16" s="6">
        <v>50434</v>
      </c>
      <c r="N16" s="6"/>
      <c r="O16" s="49">
        <v>2</v>
      </c>
      <c r="P16" s="4" t="s">
        <v>278</v>
      </c>
      <c r="Q16" s="11" t="s">
        <v>247</v>
      </c>
      <c r="R16" s="11">
        <v>3</v>
      </c>
      <c r="S16" s="2">
        <v>3018</v>
      </c>
      <c r="T16" s="12">
        <f t="shared" si="0"/>
        <v>59.840583733195864</v>
      </c>
      <c r="U16" s="2">
        <v>1900</v>
      </c>
      <c r="V16" s="23">
        <f t="shared" si="1"/>
        <v>37.672998374112701</v>
      </c>
      <c r="W16" s="5">
        <f t="shared" si="2"/>
        <v>0.37044400265076211</v>
      </c>
      <c r="X16" s="13">
        <f t="shared" si="3"/>
        <v>1118</v>
      </c>
      <c r="Y16" s="967" t="s">
        <v>352</v>
      </c>
      <c r="Z16" s="49"/>
      <c r="AA16" s="2"/>
      <c r="AB16" s="9" t="s">
        <v>1300</v>
      </c>
      <c r="AC16" s="1394">
        <v>62</v>
      </c>
      <c r="AD16" s="5"/>
      <c r="AE16" s="1611"/>
      <c r="AF16" s="2"/>
      <c r="AG16" s="4" t="s">
        <v>278</v>
      </c>
      <c r="AH16" s="15">
        <v>91928</v>
      </c>
      <c r="AI16" s="7">
        <f t="shared" si="7"/>
        <v>1.8227386287028591</v>
      </c>
      <c r="AJ16" s="15">
        <v>56777</v>
      </c>
      <c r="AK16" s="7">
        <f t="shared" si="8"/>
        <v>1.1257683308878932</v>
      </c>
      <c r="AL16" s="8">
        <f t="shared" si="9"/>
        <v>0.38237533722043338</v>
      </c>
      <c r="AM16" s="16">
        <f t="shared" si="10"/>
        <v>35151</v>
      </c>
      <c r="AN16" s="15"/>
      <c r="AO16" s="22"/>
      <c r="AP16" s="47"/>
      <c r="AQ16" s="48"/>
      <c r="AR16" s="4" t="s">
        <v>278</v>
      </c>
      <c r="AS16" s="2">
        <v>1217970</v>
      </c>
      <c r="AT16" s="9" t="s">
        <v>13</v>
      </c>
      <c r="AU16" s="2">
        <f t="shared" si="14"/>
        <v>24.149779910377919</v>
      </c>
      <c r="AV16" s="2">
        <v>954495</v>
      </c>
      <c r="AW16" s="9" t="s">
        <v>13</v>
      </c>
      <c r="AX16" s="2">
        <f t="shared" si="15"/>
        <v>18.925625570051949</v>
      </c>
      <c r="AY16" s="8">
        <f t="shared" si="16"/>
        <v>0.21632306214438779</v>
      </c>
      <c r="AZ16" s="17">
        <f t="shared" si="17"/>
        <v>263475</v>
      </c>
      <c r="BA16" s="817"/>
      <c r="BB16" s="9"/>
      <c r="BC16" s="2"/>
      <c r="BD16" s="8"/>
      <c r="BE16" s="4" t="s">
        <v>278</v>
      </c>
      <c r="BF16" s="64">
        <v>7393799</v>
      </c>
      <c r="BG16" s="42">
        <f t="shared" si="20"/>
        <v>146.60346195027165</v>
      </c>
      <c r="BH16" s="15">
        <v>7243287</v>
      </c>
      <c r="BI16" s="15">
        <v>943138</v>
      </c>
      <c r="BJ16" s="15">
        <v>52150</v>
      </c>
      <c r="BK16" s="3"/>
      <c r="BL16" s="15">
        <v>42310</v>
      </c>
      <c r="BM16" s="1353">
        <f t="shared" si="21"/>
        <v>6.9691331683309148</v>
      </c>
      <c r="BN16" s="1" t="s">
        <v>300</v>
      </c>
      <c r="BO16" s="11" t="s">
        <v>247</v>
      </c>
    </row>
    <row r="17" spans="1:67" s="41" customFormat="1" ht="27.6" customHeight="1" x14ac:dyDescent="0.2">
      <c r="A17" s="4" t="s">
        <v>533</v>
      </c>
      <c r="B17" s="915" t="s">
        <v>950</v>
      </c>
      <c r="C17" s="11" t="s">
        <v>53</v>
      </c>
      <c r="D17" s="11" t="s">
        <v>993</v>
      </c>
      <c r="E17" s="11" t="s">
        <v>548</v>
      </c>
      <c r="F17" s="1" t="s">
        <v>52</v>
      </c>
      <c r="G17" s="33">
        <v>40436</v>
      </c>
      <c r="H17" s="11" t="s">
        <v>10</v>
      </c>
      <c r="I17" s="33">
        <v>40511</v>
      </c>
      <c r="J17" s="60">
        <v>41091</v>
      </c>
      <c r="K17" s="4" t="s">
        <v>135</v>
      </c>
      <c r="L17" s="11">
        <v>86</v>
      </c>
      <c r="M17" s="6">
        <v>30735</v>
      </c>
      <c r="N17" s="19">
        <f t="shared" ref="N17:N25" si="23">M17/L17</f>
        <v>357.38372093023258</v>
      </c>
      <c r="O17" s="49">
        <v>4</v>
      </c>
      <c r="P17" s="4" t="s">
        <v>533</v>
      </c>
      <c r="Q17" s="11" t="s">
        <v>247</v>
      </c>
      <c r="R17" s="11">
        <v>4</v>
      </c>
      <c r="S17" s="2">
        <v>4056</v>
      </c>
      <c r="T17" s="12">
        <f t="shared" si="0"/>
        <v>131.966813079551</v>
      </c>
      <c r="U17" s="2">
        <v>3076</v>
      </c>
      <c r="V17" s="23">
        <f t="shared" si="1"/>
        <v>100.08134049129656</v>
      </c>
      <c r="W17" s="5">
        <f t="shared" si="2"/>
        <v>0.2416173570019724</v>
      </c>
      <c r="X17" s="9">
        <f t="shared" si="3"/>
        <v>980</v>
      </c>
      <c r="Y17" s="992">
        <v>42612</v>
      </c>
      <c r="Z17" s="49">
        <f>'[1]15.16 Meter Data'!Y138</f>
        <v>2815.7655949695122</v>
      </c>
      <c r="AA17" s="2">
        <f t="shared" si="4"/>
        <v>91.614302748316646</v>
      </c>
      <c r="AB17" s="9" t="s">
        <v>1298</v>
      </c>
      <c r="AC17" s="1394">
        <v>58</v>
      </c>
      <c r="AD17" s="5">
        <f t="shared" ref="AD17:AD24" si="24">(S17-Z17)/S17</f>
        <v>0.30577771327181652</v>
      </c>
      <c r="AE17" s="1611" t="s">
        <v>955</v>
      </c>
      <c r="AF17" s="2">
        <f t="shared" ref="AF17:AF24" si="25">S17-Z17</f>
        <v>1240.2344050304878</v>
      </c>
      <c r="AG17" s="4" t="s">
        <v>533</v>
      </c>
      <c r="AH17" s="15">
        <v>59608</v>
      </c>
      <c r="AI17" s="7">
        <f t="shared" si="7"/>
        <v>1.9394176020823166</v>
      </c>
      <c r="AJ17" s="15">
        <v>46163</v>
      </c>
      <c r="AK17" s="7">
        <f t="shared" si="8"/>
        <v>1.5019684398893769</v>
      </c>
      <c r="AL17" s="8">
        <f t="shared" si="9"/>
        <v>0.22555697221849416</v>
      </c>
      <c r="AM17" s="15">
        <f t="shared" si="10"/>
        <v>13445</v>
      </c>
      <c r="AN17" s="15">
        <f>'[1]15.16 Meter Data'!W143</f>
        <v>18623.760482327183</v>
      </c>
      <c r="AO17" s="22">
        <f t="shared" ref="AO17:AO24" si="26">AN17/M17</f>
        <v>0.60594633096883632</v>
      </c>
      <c r="AP17" s="47">
        <f t="shared" ref="AP17:AP24" si="27">(AH17-AN17)/AH17</f>
        <v>0.68756273516428701</v>
      </c>
      <c r="AQ17" s="48">
        <f t="shared" ref="AQ17:AQ24" si="28">AH17-AN17</f>
        <v>40984.239517672817</v>
      </c>
      <c r="AR17" s="4" t="s">
        <v>533</v>
      </c>
      <c r="AS17" s="2">
        <v>327880</v>
      </c>
      <c r="AT17" s="2">
        <f t="shared" ref="AT17:AT25" si="29">AS17/L17</f>
        <v>3812.5581395348836</v>
      </c>
      <c r="AU17" s="10">
        <f t="shared" si="14"/>
        <v>10.667968114527412</v>
      </c>
      <c r="AV17" s="2">
        <v>209536</v>
      </c>
      <c r="AW17" s="9">
        <f t="shared" ref="AW17:AW25" si="30">AV17/L17</f>
        <v>2436.4651162790697</v>
      </c>
      <c r="AX17" s="10">
        <f t="shared" si="15"/>
        <v>6.8175044737270216</v>
      </c>
      <c r="AY17" s="8">
        <f t="shared" si="16"/>
        <v>0.36093692814444311</v>
      </c>
      <c r="AZ17" s="2">
        <f t="shared" si="17"/>
        <v>118344</v>
      </c>
      <c r="BA17" s="2">
        <f>'[1]15.16 Meter Data'!W139</f>
        <v>912700</v>
      </c>
      <c r="BB17" s="2">
        <f t="shared" ref="BB17:BB23" si="31">BA17/L17</f>
        <v>10612.790697674418</v>
      </c>
      <c r="BC17" s="2">
        <f t="shared" ref="BC17:BC24" si="32">BA17/M17</f>
        <v>29.695786562550836</v>
      </c>
      <c r="BD17" s="8">
        <f t="shared" ref="BD17:BD24" si="33">(AS17-BA17)/AS17</f>
        <v>-1.7836403562278882</v>
      </c>
      <c r="BE17" s="4" t="s">
        <v>533</v>
      </c>
      <c r="BF17" s="64">
        <f t="shared" ref="BF17:BF23" si="34">43376488/7</f>
        <v>6196641.1428571427</v>
      </c>
      <c r="BG17" s="42">
        <f t="shared" si="20"/>
        <v>201.61513397940922</v>
      </c>
      <c r="BH17" s="15">
        <v>6016156</v>
      </c>
      <c r="BI17" s="15">
        <f t="shared" ref="BI17:BI23" si="35">4205215/7</f>
        <v>600745</v>
      </c>
      <c r="BJ17" s="15">
        <f t="shared" ref="BJ17:BJ23" si="36">80000/7</f>
        <v>11428.571428571429</v>
      </c>
      <c r="BK17" s="3"/>
      <c r="BL17" s="15">
        <f t="shared" ref="BL17:BL23" si="37">286151/7</f>
        <v>40878.714285714283</v>
      </c>
      <c r="BM17" s="1353">
        <f t="shared" si="21"/>
        <v>17.31442384317058</v>
      </c>
      <c r="BN17" s="1" t="s">
        <v>297</v>
      </c>
      <c r="BO17" s="11" t="s">
        <v>247</v>
      </c>
    </row>
    <row r="18" spans="1:67" s="41" customFormat="1" ht="27.6" customHeight="1" x14ac:dyDescent="0.2">
      <c r="A18" s="4" t="s">
        <v>534</v>
      </c>
      <c r="B18" s="915" t="s">
        <v>950</v>
      </c>
      <c r="C18" s="11" t="s">
        <v>53</v>
      </c>
      <c r="D18" s="11" t="s">
        <v>993</v>
      </c>
      <c r="E18" s="11" t="s">
        <v>548</v>
      </c>
      <c r="F18" s="1" t="s">
        <v>52</v>
      </c>
      <c r="G18" s="33">
        <v>40436</v>
      </c>
      <c r="H18" s="11" t="s">
        <v>10</v>
      </c>
      <c r="I18" s="33">
        <v>40511</v>
      </c>
      <c r="J18" s="60">
        <v>41091</v>
      </c>
      <c r="K18" s="4" t="s">
        <v>135</v>
      </c>
      <c r="L18" s="11">
        <v>86</v>
      </c>
      <c r="M18" s="6">
        <v>30735</v>
      </c>
      <c r="N18" s="19">
        <f t="shared" si="23"/>
        <v>357.38372093023258</v>
      </c>
      <c r="O18" s="49">
        <v>4</v>
      </c>
      <c r="P18" s="4" t="s">
        <v>534</v>
      </c>
      <c r="Q18" s="11" t="s">
        <v>247</v>
      </c>
      <c r="R18" s="11">
        <v>4</v>
      </c>
      <c r="S18" s="2">
        <v>4056</v>
      </c>
      <c r="T18" s="12">
        <f t="shared" si="0"/>
        <v>131.966813079551</v>
      </c>
      <c r="U18" s="2">
        <v>3076</v>
      </c>
      <c r="V18" s="23">
        <f t="shared" si="1"/>
        <v>100.08134049129656</v>
      </c>
      <c r="W18" s="5">
        <f t="shared" si="2"/>
        <v>0.2416173570019724</v>
      </c>
      <c r="X18" s="9">
        <f t="shared" si="3"/>
        <v>980</v>
      </c>
      <c r="Y18" s="992">
        <v>42612</v>
      </c>
      <c r="Z18" s="49">
        <f>'[1]15.16 Meter Data'!Y149</f>
        <v>3346.8664771875001</v>
      </c>
      <c r="AA18" s="2">
        <f t="shared" si="4"/>
        <v>108.89430542337726</v>
      </c>
      <c r="AB18" s="9" t="s">
        <v>1298</v>
      </c>
      <c r="AC18" s="1394">
        <v>58</v>
      </c>
      <c r="AD18" s="5">
        <f t="shared" si="24"/>
        <v>0.17483568116678991</v>
      </c>
      <c r="AE18" s="1611" t="s">
        <v>955</v>
      </c>
      <c r="AF18" s="2">
        <f t="shared" si="25"/>
        <v>709.1335228124999</v>
      </c>
      <c r="AG18" s="4" t="s">
        <v>534</v>
      </c>
      <c r="AH18" s="15">
        <v>59608</v>
      </c>
      <c r="AI18" s="7">
        <f t="shared" si="7"/>
        <v>1.9394176020823166</v>
      </c>
      <c r="AJ18" s="15">
        <v>46163</v>
      </c>
      <c r="AK18" s="7">
        <f t="shared" si="8"/>
        <v>1.5019684398893769</v>
      </c>
      <c r="AL18" s="8">
        <f t="shared" si="9"/>
        <v>0.22555697221849416</v>
      </c>
      <c r="AM18" s="15">
        <f t="shared" si="10"/>
        <v>13445</v>
      </c>
      <c r="AN18" s="15">
        <f>'[1]15.16 Meter Data'!W154</f>
        <v>14952.191384359428</v>
      </c>
      <c r="AO18" s="22">
        <f t="shared" si="26"/>
        <v>0.48648743726563942</v>
      </c>
      <c r="AP18" s="47">
        <f t="shared" si="27"/>
        <v>0.74915797570192877</v>
      </c>
      <c r="AQ18" s="48">
        <f t="shared" si="28"/>
        <v>44655.80861564057</v>
      </c>
      <c r="AR18" s="4" t="s">
        <v>534</v>
      </c>
      <c r="AS18" s="2">
        <v>327880</v>
      </c>
      <c r="AT18" s="2">
        <f t="shared" si="29"/>
        <v>3812.5581395348836</v>
      </c>
      <c r="AU18" s="10">
        <f t="shared" si="14"/>
        <v>10.667968114527412</v>
      </c>
      <c r="AV18" s="2">
        <v>209536</v>
      </c>
      <c r="AW18" s="9">
        <f t="shared" si="30"/>
        <v>2436.4651162790697</v>
      </c>
      <c r="AX18" s="10">
        <f t="shared" si="15"/>
        <v>6.8175044737270216</v>
      </c>
      <c r="AY18" s="8">
        <f t="shared" si="16"/>
        <v>0.36093692814444311</v>
      </c>
      <c r="AZ18" s="2">
        <f t="shared" si="17"/>
        <v>118344</v>
      </c>
      <c r="BA18" s="2">
        <f>'[1]15.16 Meter Data'!W150</f>
        <v>656500</v>
      </c>
      <c r="BB18" s="2">
        <f t="shared" si="31"/>
        <v>7633.7209302325582</v>
      </c>
      <c r="BC18" s="2">
        <f t="shared" si="32"/>
        <v>21.360013014478607</v>
      </c>
      <c r="BD18" s="8">
        <f t="shared" si="33"/>
        <v>-1.002256923264609</v>
      </c>
      <c r="BE18" s="4" t="s">
        <v>534</v>
      </c>
      <c r="BF18" s="64">
        <f t="shared" si="34"/>
        <v>6196641.1428571427</v>
      </c>
      <c r="BG18" s="42">
        <f t="shared" si="20"/>
        <v>201.61513397940922</v>
      </c>
      <c r="BH18" s="15">
        <v>6016156</v>
      </c>
      <c r="BI18" s="15">
        <f t="shared" si="35"/>
        <v>600745</v>
      </c>
      <c r="BJ18" s="15">
        <f t="shared" si="36"/>
        <v>11428.571428571429</v>
      </c>
      <c r="BK18" s="3"/>
      <c r="BL18" s="15">
        <f t="shared" si="37"/>
        <v>40878.714285714283</v>
      </c>
      <c r="BM18" s="1353">
        <f t="shared" si="21"/>
        <v>17.31442384317058</v>
      </c>
      <c r="BN18" s="1" t="s">
        <v>297</v>
      </c>
      <c r="BO18" s="11" t="s">
        <v>247</v>
      </c>
    </row>
    <row r="19" spans="1:67" s="41" customFormat="1" ht="27.6" customHeight="1" x14ac:dyDescent="0.2">
      <c r="A19" s="4" t="s">
        <v>1113</v>
      </c>
      <c r="B19" s="915" t="s">
        <v>950</v>
      </c>
      <c r="C19" s="11" t="s">
        <v>53</v>
      </c>
      <c r="D19" s="11" t="s">
        <v>993</v>
      </c>
      <c r="E19" s="11" t="s">
        <v>548</v>
      </c>
      <c r="F19" s="1" t="s">
        <v>52</v>
      </c>
      <c r="G19" s="33">
        <v>40436</v>
      </c>
      <c r="H19" s="11" t="s">
        <v>10</v>
      </c>
      <c r="I19" s="33">
        <v>40511</v>
      </c>
      <c r="J19" s="60">
        <v>41091</v>
      </c>
      <c r="K19" s="4" t="s">
        <v>135</v>
      </c>
      <c r="L19" s="11">
        <v>86</v>
      </c>
      <c r="M19" s="6">
        <v>30735</v>
      </c>
      <c r="N19" s="19">
        <f t="shared" si="23"/>
        <v>357.38372093023258</v>
      </c>
      <c r="O19" s="49">
        <v>4</v>
      </c>
      <c r="P19" s="4" t="s">
        <v>1113</v>
      </c>
      <c r="Q19" s="11" t="s">
        <v>247</v>
      </c>
      <c r="R19" s="11">
        <v>4</v>
      </c>
      <c r="S19" s="2">
        <v>4056</v>
      </c>
      <c r="T19" s="12">
        <f t="shared" si="0"/>
        <v>131.966813079551</v>
      </c>
      <c r="U19" s="2">
        <v>3076</v>
      </c>
      <c r="V19" s="23">
        <f t="shared" si="1"/>
        <v>100.08134049129656</v>
      </c>
      <c r="W19" s="5">
        <f t="shared" si="2"/>
        <v>0.2416173570019724</v>
      </c>
      <c r="X19" s="9">
        <f t="shared" si="3"/>
        <v>980</v>
      </c>
      <c r="Y19" s="992">
        <v>42612</v>
      </c>
      <c r="Z19" s="49">
        <f>'[1]15.16 Meter Data'!Y160</f>
        <v>3213.3001996093753</v>
      </c>
      <c r="AA19" s="2">
        <f t="shared" si="4"/>
        <v>104.54856676783392</v>
      </c>
      <c r="AB19" s="9" t="s">
        <v>1298</v>
      </c>
      <c r="AC19" s="1394">
        <v>58</v>
      </c>
      <c r="AD19" s="5">
        <f t="shared" si="24"/>
        <v>0.20776622297599226</v>
      </c>
      <c r="AE19" s="1611" t="s">
        <v>955</v>
      </c>
      <c r="AF19" s="2">
        <f t="shared" si="25"/>
        <v>842.69980039062466</v>
      </c>
      <c r="AG19" s="4" t="s">
        <v>1113</v>
      </c>
      <c r="AH19" s="15">
        <v>59608</v>
      </c>
      <c r="AI19" s="7">
        <f t="shared" si="7"/>
        <v>1.9394176020823166</v>
      </c>
      <c r="AJ19" s="15">
        <v>46163</v>
      </c>
      <c r="AK19" s="7">
        <f t="shared" si="8"/>
        <v>1.5019684398893769</v>
      </c>
      <c r="AL19" s="8">
        <f t="shared" si="9"/>
        <v>0.22555697221849416</v>
      </c>
      <c r="AM19" s="15">
        <f t="shared" si="10"/>
        <v>13445</v>
      </c>
      <c r="AN19" s="15">
        <f>'[1]15.16 Meter Data'!W165</f>
        <v>20169.066170950409</v>
      </c>
      <c r="AO19" s="22">
        <f t="shared" si="26"/>
        <v>0.65622470053523374</v>
      </c>
      <c r="AP19" s="47">
        <f t="shared" si="27"/>
        <v>0.66163826716295793</v>
      </c>
      <c r="AQ19" s="48">
        <f t="shared" si="28"/>
        <v>39438.933829049594</v>
      </c>
      <c r="AR19" s="4" t="s">
        <v>1113</v>
      </c>
      <c r="AS19" s="2">
        <v>327880</v>
      </c>
      <c r="AT19" s="2">
        <f t="shared" si="29"/>
        <v>3812.5581395348836</v>
      </c>
      <c r="AU19" s="10">
        <f t="shared" si="14"/>
        <v>10.667968114527412</v>
      </c>
      <c r="AV19" s="2">
        <v>209536</v>
      </c>
      <c r="AW19" s="9">
        <f t="shared" si="30"/>
        <v>2436.4651162790697</v>
      </c>
      <c r="AX19" s="10">
        <f t="shared" si="15"/>
        <v>6.8175044737270216</v>
      </c>
      <c r="AY19" s="8">
        <f t="shared" si="16"/>
        <v>0.36093692814444311</v>
      </c>
      <c r="AZ19" s="2">
        <f t="shared" si="17"/>
        <v>118344</v>
      </c>
      <c r="BA19" s="2">
        <f>'[1]15.16 Meter Data'!W161</f>
        <v>978800</v>
      </c>
      <c r="BB19" s="2">
        <f t="shared" si="31"/>
        <v>11381.39534883721</v>
      </c>
      <c r="BC19" s="2">
        <f t="shared" si="32"/>
        <v>31.84642915243208</v>
      </c>
      <c r="BD19" s="8">
        <f t="shared" si="33"/>
        <v>-1.9852385018909358</v>
      </c>
      <c r="BE19" s="4" t="s">
        <v>1113</v>
      </c>
      <c r="BF19" s="64">
        <f t="shared" si="34"/>
        <v>6196641.1428571427</v>
      </c>
      <c r="BG19" s="42">
        <f t="shared" si="20"/>
        <v>201.61513397940922</v>
      </c>
      <c r="BH19" s="15">
        <v>6016156</v>
      </c>
      <c r="BI19" s="15">
        <f t="shared" si="35"/>
        <v>600745</v>
      </c>
      <c r="BJ19" s="15">
        <f t="shared" si="36"/>
        <v>11428.571428571429</v>
      </c>
      <c r="BK19" s="3"/>
      <c r="BL19" s="15">
        <f t="shared" si="37"/>
        <v>40878.714285714283</v>
      </c>
      <c r="BM19" s="1353">
        <f t="shared" si="21"/>
        <v>17.31442384317058</v>
      </c>
      <c r="BN19" s="1" t="s">
        <v>297</v>
      </c>
      <c r="BO19" s="11" t="s">
        <v>247</v>
      </c>
    </row>
    <row r="20" spans="1:67" s="41" customFormat="1" ht="27.6" customHeight="1" x14ac:dyDescent="0.2">
      <c r="A20" s="4" t="s">
        <v>535</v>
      </c>
      <c r="B20" s="915" t="s">
        <v>950</v>
      </c>
      <c r="C20" s="11" t="s">
        <v>53</v>
      </c>
      <c r="D20" s="11" t="s">
        <v>993</v>
      </c>
      <c r="E20" s="11" t="s">
        <v>548</v>
      </c>
      <c r="F20" s="1" t="s">
        <v>52</v>
      </c>
      <c r="G20" s="33">
        <v>40436</v>
      </c>
      <c r="H20" s="11" t="s">
        <v>10</v>
      </c>
      <c r="I20" s="33">
        <v>40511</v>
      </c>
      <c r="J20" s="60">
        <v>41091</v>
      </c>
      <c r="K20" s="4" t="s">
        <v>135</v>
      </c>
      <c r="L20" s="11">
        <v>86</v>
      </c>
      <c r="M20" s="6">
        <v>30735</v>
      </c>
      <c r="N20" s="19">
        <f t="shared" si="23"/>
        <v>357.38372093023258</v>
      </c>
      <c r="O20" s="49">
        <v>4</v>
      </c>
      <c r="P20" s="4" t="s">
        <v>535</v>
      </c>
      <c r="Q20" s="11" t="s">
        <v>247</v>
      </c>
      <c r="R20" s="11">
        <v>4</v>
      </c>
      <c r="S20" s="2">
        <v>4056</v>
      </c>
      <c r="T20" s="12">
        <f t="shared" si="0"/>
        <v>131.966813079551</v>
      </c>
      <c r="U20" s="2">
        <v>3076</v>
      </c>
      <c r="V20" s="23">
        <f t="shared" si="1"/>
        <v>100.08134049129656</v>
      </c>
      <c r="W20" s="5">
        <f t="shared" si="2"/>
        <v>0.2416173570019724</v>
      </c>
      <c r="X20" s="9">
        <f t="shared" si="3"/>
        <v>980</v>
      </c>
      <c r="Y20" s="992">
        <v>42612</v>
      </c>
      <c r="Z20" s="49">
        <f>'[1]15.16 Meter Data'!Y171</f>
        <v>3015.511438</v>
      </c>
      <c r="AA20" s="2">
        <f t="shared" si="4"/>
        <v>98.113272750935408</v>
      </c>
      <c r="AB20" s="9" t="s">
        <v>1298</v>
      </c>
      <c r="AC20" s="1394">
        <v>58</v>
      </c>
      <c r="AD20" s="5">
        <f t="shared" si="24"/>
        <v>0.25653071055226823</v>
      </c>
      <c r="AE20" s="1611" t="s">
        <v>955</v>
      </c>
      <c r="AF20" s="2">
        <f t="shared" si="25"/>
        <v>1040.488562</v>
      </c>
      <c r="AG20" s="4" t="s">
        <v>535</v>
      </c>
      <c r="AH20" s="15">
        <v>59608</v>
      </c>
      <c r="AI20" s="7">
        <f t="shared" si="7"/>
        <v>1.9394176020823166</v>
      </c>
      <c r="AJ20" s="15">
        <v>46163</v>
      </c>
      <c r="AK20" s="7">
        <f t="shared" si="8"/>
        <v>1.5019684398893769</v>
      </c>
      <c r="AL20" s="8">
        <f t="shared" si="9"/>
        <v>0.22555697221849416</v>
      </c>
      <c r="AM20" s="15">
        <f t="shared" si="10"/>
        <v>13445</v>
      </c>
      <c r="AN20" s="15">
        <f>'[1]15.16 Meter Data'!W176</f>
        <v>19062.806183613895</v>
      </c>
      <c r="AO20" s="22">
        <f t="shared" si="26"/>
        <v>0.62023120818655908</v>
      </c>
      <c r="AP20" s="47">
        <f t="shared" si="27"/>
        <v>0.68019718521651629</v>
      </c>
      <c r="AQ20" s="48">
        <f t="shared" si="28"/>
        <v>40545.193816386105</v>
      </c>
      <c r="AR20" s="4" t="s">
        <v>535</v>
      </c>
      <c r="AS20" s="2">
        <v>327880</v>
      </c>
      <c r="AT20" s="2">
        <f t="shared" si="29"/>
        <v>3812.5581395348836</v>
      </c>
      <c r="AU20" s="10">
        <f t="shared" si="14"/>
        <v>10.667968114527412</v>
      </c>
      <c r="AV20" s="2">
        <v>209536</v>
      </c>
      <c r="AW20" s="9">
        <f t="shared" si="30"/>
        <v>2436.4651162790697</v>
      </c>
      <c r="AX20" s="10">
        <f t="shared" si="15"/>
        <v>6.8175044737270216</v>
      </c>
      <c r="AY20" s="8">
        <f t="shared" si="16"/>
        <v>0.36093692814444311</v>
      </c>
      <c r="AZ20" s="2">
        <f t="shared" si="17"/>
        <v>118344</v>
      </c>
      <c r="BA20" s="2">
        <f>'[1]15.16 Meter Data'!W172</f>
        <v>756300</v>
      </c>
      <c r="BB20" s="2">
        <f t="shared" si="31"/>
        <v>8794.1860465116279</v>
      </c>
      <c r="BC20" s="2">
        <f t="shared" si="32"/>
        <v>24.60712542703758</v>
      </c>
      <c r="BD20" s="8">
        <f t="shared" si="33"/>
        <v>-1.3066365743564718</v>
      </c>
      <c r="BE20" s="4" t="s">
        <v>535</v>
      </c>
      <c r="BF20" s="64">
        <f t="shared" si="34"/>
        <v>6196641.1428571427</v>
      </c>
      <c r="BG20" s="42">
        <f t="shared" si="20"/>
        <v>201.61513397940922</v>
      </c>
      <c r="BH20" s="15">
        <v>6016156</v>
      </c>
      <c r="BI20" s="15">
        <f t="shared" si="35"/>
        <v>600745</v>
      </c>
      <c r="BJ20" s="15">
        <f t="shared" si="36"/>
        <v>11428.571428571429</v>
      </c>
      <c r="BK20" s="3"/>
      <c r="BL20" s="15">
        <f t="shared" si="37"/>
        <v>40878.714285714283</v>
      </c>
      <c r="BM20" s="1353">
        <f t="shared" si="21"/>
        <v>17.31442384317058</v>
      </c>
      <c r="BN20" s="1" t="s">
        <v>297</v>
      </c>
      <c r="BO20" s="11" t="s">
        <v>247</v>
      </c>
    </row>
    <row r="21" spans="1:67" s="41" customFormat="1" ht="27.6" customHeight="1" x14ac:dyDescent="0.2">
      <c r="A21" s="4" t="s">
        <v>536</v>
      </c>
      <c r="B21" s="915" t="s">
        <v>950</v>
      </c>
      <c r="C21" s="11" t="s">
        <v>53</v>
      </c>
      <c r="D21" s="11" t="s">
        <v>993</v>
      </c>
      <c r="E21" s="11" t="s">
        <v>548</v>
      </c>
      <c r="F21" s="1" t="s">
        <v>52</v>
      </c>
      <c r="G21" s="33">
        <v>40436</v>
      </c>
      <c r="H21" s="11" t="s">
        <v>10</v>
      </c>
      <c r="I21" s="33">
        <v>40511</v>
      </c>
      <c r="J21" s="60">
        <v>41091</v>
      </c>
      <c r="K21" s="4" t="s">
        <v>135</v>
      </c>
      <c r="L21" s="11">
        <v>86</v>
      </c>
      <c r="M21" s="6">
        <v>30735</v>
      </c>
      <c r="N21" s="19">
        <f t="shared" si="23"/>
        <v>357.38372093023258</v>
      </c>
      <c r="O21" s="49">
        <v>4</v>
      </c>
      <c r="P21" s="4" t="s">
        <v>536</v>
      </c>
      <c r="Q21" s="11" t="s">
        <v>247</v>
      </c>
      <c r="R21" s="11">
        <v>4</v>
      </c>
      <c r="S21" s="2">
        <v>4056</v>
      </c>
      <c r="T21" s="12">
        <f t="shared" si="0"/>
        <v>131.966813079551</v>
      </c>
      <c r="U21" s="2">
        <v>3076</v>
      </c>
      <c r="V21" s="23">
        <f t="shared" si="1"/>
        <v>100.08134049129656</v>
      </c>
      <c r="W21" s="5">
        <f t="shared" si="2"/>
        <v>0.2416173570019724</v>
      </c>
      <c r="X21" s="9">
        <f t="shared" si="3"/>
        <v>980</v>
      </c>
      <c r="Y21" s="992">
        <v>42612</v>
      </c>
      <c r="Z21" s="49">
        <f>'[1]15.16 Meter Data'!Y183</f>
        <v>3125.3206140000002</v>
      </c>
      <c r="AA21" s="2">
        <f t="shared" si="4"/>
        <v>101.68604568081992</v>
      </c>
      <c r="AB21" s="9" t="s">
        <v>1298</v>
      </c>
      <c r="AC21" s="1394">
        <v>58</v>
      </c>
      <c r="AD21" s="5">
        <f t="shared" si="24"/>
        <v>0.22945744230769224</v>
      </c>
      <c r="AE21" s="1611" t="s">
        <v>955</v>
      </c>
      <c r="AF21" s="2">
        <f t="shared" si="25"/>
        <v>930.67938599999979</v>
      </c>
      <c r="AG21" s="4" t="s">
        <v>536</v>
      </c>
      <c r="AH21" s="15">
        <v>59608</v>
      </c>
      <c r="AI21" s="7">
        <f t="shared" si="7"/>
        <v>1.9394176020823166</v>
      </c>
      <c r="AJ21" s="15">
        <v>46163</v>
      </c>
      <c r="AK21" s="7">
        <f t="shared" si="8"/>
        <v>1.5019684398893769</v>
      </c>
      <c r="AL21" s="8">
        <f t="shared" si="9"/>
        <v>0.22555697221849416</v>
      </c>
      <c r="AM21" s="15">
        <f t="shared" si="10"/>
        <v>13445</v>
      </c>
      <c r="AN21" s="15">
        <f>'[1]15.16 Meter Data'!W188</f>
        <v>23084.445687565021</v>
      </c>
      <c r="AO21" s="22">
        <f t="shared" si="26"/>
        <v>0.75108006141418648</v>
      </c>
      <c r="AP21" s="47">
        <f t="shared" si="27"/>
        <v>0.6127290684544856</v>
      </c>
      <c r="AQ21" s="48">
        <f t="shared" si="28"/>
        <v>36523.554312434979</v>
      </c>
      <c r="AR21" s="4" t="s">
        <v>536</v>
      </c>
      <c r="AS21" s="2">
        <v>327880</v>
      </c>
      <c r="AT21" s="2">
        <f t="shared" si="29"/>
        <v>3812.5581395348836</v>
      </c>
      <c r="AU21" s="10">
        <f t="shared" si="14"/>
        <v>10.667968114527412</v>
      </c>
      <c r="AV21" s="2">
        <v>209536</v>
      </c>
      <c r="AW21" s="9">
        <f t="shared" si="30"/>
        <v>2436.4651162790697</v>
      </c>
      <c r="AX21" s="10">
        <f t="shared" si="15"/>
        <v>6.8175044737270216</v>
      </c>
      <c r="AY21" s="8">
        <f t="shared" si="16"/>
        <v>0.36093692814444311</v>
      </c>
      <c r="AZ21" s="2">
        <f t="shared" si="17"/>
        <v>118344</v>
      </c>
      <c r="BA21" s="2">
        <f>'[1]15.16 Meter Data'!W184</f>
        <v>659800</v>
      </c>
      <c r="BB21" s="2">
        <f t="shared" si="31"/>
        <v>7672.0930232558139</v>
      </c>
      <c r="BC21" s="2">
        <f t="shared" si="32"/>
        <v>21.467382462990077</v>
      </c>
      <c r="BD21" s="8">
        <f t="shared" si="33"/>
        <v>-1.0123215810662438</v>
      </c>
      <c r="BE21" s="4" t="s">
        <v>536</v>
      </c>
      <c r="BF21" s="64">
        <f t="shared" si="34"/>
        <v>6196641.1428571427</v>
      </c>
      <c r="BG21" s="42">
        <f t="shared" si="20"/>
        <v>201.61513397940922</v>
      </c>
      <c r="BH21" s="15">
        <v>6016156</v>
      </c>
      <c r="BI21" s="15">
        <f t="shared" si="35"/>
        <v>600745</v>
      </c>
      <c r="BJ21" s="15">
        <f t="shared" si="36"/>
        <v>11428.571428571429</v>
      </c>
      <c r="BK21" s="3"/>
      <c r="BL21" s="15">
        <f t="shared" si="37"/>
        <v>40878.714285714283</v>
      </c>
      <c r="BM21" s="1353">
        <f t="shared" si="21"/>
        <v>17.31442384317058</v>
      </c>
      <c r="BN21" s="1" t="s">
        <v>297</v>
      </c>
      <c r="BO21" s="11" t="s">
        <v>247</v>
      </c>
    </row>
    <row r="22" spans="1:67" s="41" customFormat="1" ht="27.6" customHeight="1" x14ac:dyDescent="0.2">
      <c r="A22" s="4" t="s">
        <v>537</v>
      </c>
      <c r="B22" s="915" t="s">
        <v>950</v>
      </c>
      <c r="C22" s="11" t="s">
        <v>53</v>
      </c>
      <c r="D22" s="11" t="s">
        <v>993</v>
      </c>
      <c r="E22" s="11" t="s">
        <v>548</v>
      </c>
      <c r="F22" s="1" t="s">
        <v>52</v>
      </c>
      <c r="G22" s="33">
        <v>40436</v>
      </c>
      <c r="H22" s="11" t="s">
        <v>10</v>
      </c>
      <c r="I22" s="33">
        <v>40511</v>
      </c>
      <c r="J22" s="60">
        <v>41091</v>
      </c>
      <c r="K22" s="4" t="s">
        <v>135</v>
      </c>
      <c r="L22" s="11">
        <v>86</v>
      </c>
      <c r="M22" s="6">
        <v>30735</v>
      </c>
      <c r="N22" s="19">
        <f t="shared" si="23"/>
        <v>357.38372093023258</v>
      </c>
      <c r="O22" s="49">
        <v>4</v>
      </c>
      <c r="P22" s="4" t="s">
        <v>537</v>
      </c>
      <c r="Q22" s="11" t="s">
        <v>247</v>
      </c>
      <c r="R22" s="11">
        <v>4</v>
      </c>
      <c r="S22" s="2">
        <v>4056</v>
      </c>
      <c r="T22" s="12">
        <f t="shared" si="0"/>
        <v>131.966813079551</v>
      </c>
      <c r="U22" s="2">
        <v>3076</v>
      </c>
      <c r="V22" s="23">
        <f t="shared" si="1"/>
        <v>100.08134049129656</v>
      </c>
      <c r="W22" s="5">
        <f t="shared" si="2"/>
        <v>0.2416173570019724</v>
      </c>
      <c r="X22" s="9">
        <f t="shared" si="3"/>
        <v>980</v>
      </c>
      <c r="Y22" s="992">
        <v>42612</v>
      </c>
      <c r="Z22" s="49">
        <f>'[1]15.16 Meter Data'!Y194</f>
        <v>2556.1475869999999</v>
      </c>
      <c r="AA22" s="2">
        <f t="shared" si="4"/>
        <v>83.167320221246129</v>
      </c>
      <c r="AB22" s="9" t="s">
        <v>1298</v>
      </c>
      <c r="AC22" s="1394">
        <v>58</v>
      </c>
      <c r="AD22" s="5">
        <f t="shared" si="24"/>
        <v>0.36978609787968442</v>
      </c>
      <c r="AE22" s="1611" t="s">
        <v>955</v>
      </c>
      <c r="AF22" s="2">
        <f t="shared" si="25"/>
        <v>1499.8524130000001</v>
      </c>
      <c r="AG22" s="4" t="s">
        <v>537</v>
      </c>
      <c r="AH22" s="15">
        <v>59608</v>
      </c>
      <c r="AI22" s="7">
        <f t="shared" si="7"/>
        <v>1.9394176020823166</v>
      </c>
      <c r="AJ22" s="15">
        <v>46163</v>
      </c>
      <c r="AK22" s="7">
        <f t="shared" si="8"/>
        <v>1.5019684398893769</v>
      </c>
      <c r="AL22" s="8">
        <f t="shared" si="9"/>
        <v>0.22555697221849416</v>
      </c>
      <c r="AM22" s="15">
        <f t="shared" si="10"/>
        <v>13445</v>
      </c>
      <c r="AN22" s="15">
        <f>'[1]15.16 Meter Data'!W199</f>
        <v>18248.367758849479</v>
      </c>
      <c r="AO22" s="22">
        <f t="shared" si="26"/>
        <v>0.59373247954610309</v>
      </c>
      <c r="AP22" s="47">
        <f t="shared" si="27"/>
        <v>0.69386042546555038</v>
      </c>
      <c r="AQ22" s="48">
        <f t="shared" si="28"/>
        <v>41359.632241150524</v>
      </c>
      <c r="AR22" s="4" t="s">
        <v>537</v>
      </c>
      <c r="AS22" s="2">
        <v>327880</v>
      </c>
      <c r="AT22" s="2">
        <f t="shared" si="29"/>
        <v>3812.5581395348836</v>
      </c>
      <c r="AU22" s="10">
        <f t="shared" si="14"/>
        <v>10.667968114527412</v>
      </c>
      <c r="AV22" s="2">
        <v>209536</v>
      </c>
      <c r="AW22" s="9">
        <f t="shared" si="30"/>
        <v>2436.4651162790697</v>
      </c>
      <c r="AX22" s="10">
        <f t="shared" si="15"/>
        <v>6.8175044737270216</v>
      </c>
      <c r="AY22" s="8">
        <f t="shared" si="16"/>
        <v>0.36093692814444311</v>
      </c>
      <c r="AZ22" s="2">
        <f t="shared" si="17"/>
        <v>118344</v>
      </c>
      <c r="BA22" s="2">
        <f>'[1]15.16 Meter Data'!W195</f>
        <v>835400</v>
      </c>
      <c r="BB22" s="2">
        <f t="shared" si="31"/>
        <v>9713.9534883720935</v>
      </c>
      <c r="BC22" s="2">
        <f t="shared" si="32"/>
        <v>27.180738571660974</v>
      </c>
      <c r="BD22" s="8">
        <f t="shared" si="33"/>
        <v>-1.5478833719653531</v>
      </c>
      <c r="BE22" s="4" t="s">
        <v>537</v>
      </c>
      <c r="BF22" s="64">
        <f t="shared" si="34"/>
        <v>6196641.1428571427</v>
      </c>
      <c r="BG22" s="42">
        <f t="shared" si="20"/>
        <v>201.61513397940922</v>
      </c>
      <c r="BH22" s="15">
        <v>6016156</v>
      </c>
      <c r="BI22" s="15">
        <f t="shared" si="35"/>
        <v>600745</v>
      </c>
      <c r="BJ22" s="15">
        <f t="shared" si="36"/>
        <v>11428.571428571429</v>
      </c>
      <c r="BK22" s="3"/>
      <c r="BL22" s="15">
        <f t="shared" si="37"/>
        <v>40878.714285714283</v>
      </c>
      <c r="BM22" s="1353">
        <f t="shared" si="21"/>
        <v>17.31442384317058</v>
      </c>
      <c r="BN22" s="1" t="s">
        <v>297</v>
      </c>
      <c r="BO22" s="11" t="s">
        <v>247</v>
      </c>
    </row>
    <row r="23" spans="1:67" s="41" customFormat="1" ht="27.6" customHeight="1" x14ac:dyDescent="0.2">
      <c r="A23" s="4" t="s">
        <v>538</v>
      </c>
      <c r="B23" s="915" t="s">
        <v>950</v>
      </c>
      <c r="C23" s="11" t="s">
        <v>53</v>
      </c>
      <c r="D23" s="11" t="s">
        <v>993</v>
      </c>
      <c r="E23" s="11" t="s">
        <v>548</v>
      </c>
      <c r="F23" s="1" t="s">
        <v>52</v>
      </c>
      <c r="G23" s="33">
        <v>40436</v>
      </c>
      <c r="H23" s="11" t="s">
        <v>10</v>
      </c>
      <c r="I23" s="33">
        <v>40511</v>
      </c>
      <c r="J23" s="60">
        <v>41091</v>
      </c>
      <c r="K23" s="4" t="s">
        <v>135</v>
      </c>
      <c r="L23" s="11">
        <v>118</v>
      </c>
      <c r="M23" s="6">
        <v>54847</v>
      </c>
      <c r="N23" s="19">
        <f t="shared" si="23"/>
        <v>464.80508474576271</v>
      </c>
      <c r="O23" s="49">
        <v>4</v>
      </c>
      <c r="P23" s="4" t="s">
        <v>538</v>
      </c>
      <c r="Q23" s="11" t="s">
        <v>247</v>
      </c>
      <c r="R23" s="11">
        <v>4</v>
      </c>
      <c r="S23" s="2">
        <v>4056</v>
      </c>
      <c r="T23" s="12">
        <f t="shared" si="0"/>
        <v>73.951173263806581</v>
      </c>
      <c r="U23" s="2">
        <v>3076</v>
      </c>
      <c r="V23" s="23">
        <f t="shared" si="1"/>
        <v>56.083286232610718</v>
      </c>
      <c r="W23" s="5">
        <f t="shared" si="2"/>
        <v>0.2416173570019724</v>
      </c>
      <c r="X23" s="9">
        <f t="shared" si="3"/>
        <v>980</v>
      </c>
      <c r="Y23" s="992">
        <v>42612</v>
      </c>
      <c r="Z23" s="49">
        <f>'[1]15.16 Meter Data'!Y205</f>
        <v>6727.3245769999994</v>
      </c>
      <c r="AA23" s="2">
        <f t="shared" si="4"/>
        <v>122.65619955512607</v>
      </c>
      <c r="AB23" s="9" t="s">
        <v>1298</v>
      </c>
      <c r="AC23" s="1394">
        <v>58</v>
      </c>
      <c r="AD23" s="5">
        <f t="shared" si="24"/>
        <v>-0.65861059590729765</v>
      </c>
      <c r="AE23" s="1611"/>
      <c r="AF23" s="2">
        <f t="shared" si="25"/>
        <v>-2671.3245769999994</v>
      </c>
      <c r="AG23" s="4" t="s">
        <v>538</v>
      </c>
      <c r="AH23" s="15">
        <v>59608</v>
      </c>
      <c r="AI23" s="7">
        <f t="shared" si="7"/>
        <v>1.0868051124035956</v>
      </c>
      <c r="AJ23" s="15">
        <v>46163</v>
      </c>
      <c r="AK23" s="7">
        <f t="shared" si="8"/>
        <v>0.84166864185826029</v>
      </c>
      <c r="AL23" s="8">
        <f t="shared" si="9"/>
        <v>0.22555697221849416</v>
      </c>
      <c r="AM23" s="15">
        <f t="shared" si="10"/>
        <v>13445</v>
      </c>
      <c r="AN23" s="15">
        <f>'[1]15.16 Meter Data'!W210</f>
        <v>33127.234329548512</v>
      </c>
      <c r="AO23" s="22">
        <f t="shared" si="26"/>
        <v>0.60399355169012914</v>
      </c>
      <c r="AP23" s="47">
        <f t="shared" si="27"/>
        <v>0.44424851815950023</v>
      </c>
      <c r="AQ23" s="48">
        <f t="shared" si="28"/>
        <v>26480.765670451488</v>
      </c>
      <c r="AR23" s="4" t="s">
        <v>538</v>
      </c>
      <c r="AS23" s="2">
        <v>327880</v>
      </c>
      <c r="AT23" s="2">
        <f t="shared" si="29"/>
        <v>2778.6440677966102</v>
      </c>
      <c r="AU23" s="10">
        <f t="shared" si="14"/>
        <v>5.9780844895801044</v>
      </c>
      <c r="AV23" s="2">
        <v>209536</v>
      </c>
      <c r="AW23" s="9">
        <f t="shared" si="30"/>
        <v>1775.7288135593221</v>
      </c>
      <c r="AX23" s="10">
        <f t="shared" si="15"/>
        <v>3.8203730377231206</v>
      </c>
      <c r="AY23" s="8">
        <f t="shared" si="16"/>
        <v>0.36093692814444311</v>
      </c>
      <c r="AZ23" s="2">
        <f t="shared" si="17"/>
        <v>118344</v>
      </c>
      <c r="BA23" s="2">
        <f>'[1]15.16 Meter Data'!W206</f>
        <v>1240811.7647058824</v>
      </c>
      <c r="BB23" s="2">
        <f t="shared" si="31"/>
        <v>10515.353938185444</v>
      </c>
      <c r="BC23" s="2">
        <f t="shared" si="32"/>
        <v>22.623147386472958</v>
      </c>
      <c r="BD23" s="8">
        <f t="shared" si="33"/>
        <v>-2.7843472145476467</v>
      </c>
      <c r="BE23" s="4" t="s">
        <v>538</v>
      </c>
      <c r="BF23" s="64">
        <f t="shared" si="34"/>
        <v>6196641.1428571427</v>
      </c>
      <c r="BG23" s="42">
        <f t="shared" si="20"/>
        <v>112.98049378921623</v>
      </c>
      <c r="BH23" s="15">
        <v>6016156</v>
      </c>
      <c r="BI23" s="15">
        <f t="shared" si="35"/>
        <v>600745</v>
      </c>
      <c r="BJ23" s="15">
        <f t="shared" si="36"/>
        <v>11428.571428571429</v>
      </c>
      <c r="BK23" s="3"/>
      <c r="BL23" s="15">
        <f t="shared" si="37"/>
        <v>40878.714285714283</v>
      </c>
      <c r="BM23" s="1353">
        <f t="shared" si="21"/>
        <v>17.31442384317058</v>
      </c>
      <c r="BN23" s="1" t="s">
        <v>297</v>
      </c>
      <c r="BO23" s="11" t="s">
        <v>247</v>
      </c>
    </row>
    <row r="24" spans="1:67" s="41" customFormat="1" ht="27.6" customHeight="1" x14ac:dyDescent="0.2">
      <c r="A24" s="20" t="s">
        <v>119</v>
      </c>
      <c r="B24" s="929" t="s">
        <v>950</v>
      </c>
      <c r="C24" s="19" t="s">
        <v>8</v>
      </c>
      <c r="D24" s="19" t="s">
        <v>994</v>
      </c>
      <c r="E24" s="19" t="s">
        <v>651</v>
      </c>
      <c r="F24" s="9" t="s">
        <v>7</v>
      </c>
      <c r="G24" s="36">
        <v>40550</v>
      </c>
      <c r="H24" s="19" t="s">
        <v>10</v>
      </c>
      <c r="I24" s="34">
        <v>40758</v>
      </c>
      <c r="J24" s="61">
        <v>41123</v>
      </c>
      <c r="K24" s="20" t="s">
        <v>54</v>
      </c>
      <c r="L24" s="19">
        <v>350</v>
      </c>
      <c r="M24" s="6">
        <v>71505</v>
      </c>
      <c r="N24" s="19">
        <f t="shared" si="23"/>
        <v>204.3</v>
      </c>
      <c r="O24" s="49">
        <v>10</v>
      </c>
      <c r="P24" s="20" t="s">
        <v>119</v>
      </c>
      <c r="Q24" s="11" t="s">
        <v>247</v>
      </c>
      <c r="R24" s="11">
        <v>4</v>
      </c>
      <c r="S24" s="2">
        <v>5122</v>
      </c>
      <c r="T24" s="12">
        <f t="shared" si="0"/>
        <v>71.631354450737703</v>
      </c>
      <c r="U24" s="2">
        <v>3189</v>
      </c>
      <c r="V24" s="23">
        <f t="shared" si="1"/>
        <v>44.598279840570591</v>
      </c>
      <c r="W24" s="5">
        <f t="shared" si="2"/>
        <v>0.37739164388910584</v>
      </c>
      <c r="X24" s="13">
        <f t="shared" si="3"/>
        <v>1933</v>
      </c>
      <c r="Y24" s="992">
        <v>42566</v>
      </c>
      <c r="Z24" s="49">
        <f>'[1]15.16 Meter Data'!W214</f>
        <v>2231.702679</v>
      </c>
      <c r="AA24" s="40">
        <f t="shared" si="4"/>
        <v>31.210442332704009</v>
      </c>
      <c r="AB24" s="1391" t="s">
        <v>1298</v>
      </c>
      <c r="AC24" s="1393">
        <v>58</v>
      </c>
      <c r="AD24" s="5">
        <f t="shared" si="24"/>
        <v>0.56429076942600542</v>
      </c>
      <c r="AE24" s="1611"/>
      <c r="AF24" s="51">
        <f t="shared" si="25"/>
        <v>2890.297321</v>
      </c>
      <c r="AG24" s="20" t="s">
        <v>119</v>
      </c>
      <c r="AH24" s="15">
        <v>114129</v>
      </c>
      <c r="AI24" s="24">
        <f t="shared" si="7"/>
        <v>1.5960981749528005</v>
      </c>
      <c r="AJ24" s="15">
        <v>82978</v>
      </c>
      <c r="AK24" s="24">
        <f t="shared" si="8"/>
        <v>1.1604503181595693</v>
      </c>
      <c r="AL24" s="8">
        <f t="shared" si="9"/>
        <v>0.27294552655328619</v>
      </c>
      <c r="AM24" s="16">
        <f t="shared" si="10"/>
        <v>31151</v>
      </c>
      <c r="AN24" s="15">
        <f>'[1]15.16 Meter Data'!W216</f>
        <v>43374.198711000005</v>
      </c>
      <c r="AO24" s="22">
        <f t="shared" si="26"/>
        <v>0.60658973094189228</v>
      </c>
      <c r="AP24" s="47">
        <f t="shared" si="27"/>
        <v>0.61995462405698809</v>
      </c>
      <c r="AQ24" s="48">
        <f t="shared" si="28"/>
        <v>70754.801288999995</v>
      </c>
      <c r="AR24" s="20" t="s">
        <v>119</v>
      </c>
      <c r="AS24" s="2">
        <v>2675470</v>
      </c>
      <c r="AT24" s="2">
        <f t="shared" si="29"/>
        <v>7644.2</v>
      </c>
      <c r="AU24" s="2">
        <f t="shared" si="14"/>
        <v>37.416544297601568</v>
      </c>
      <c r="AV24" s="2">
        <v>1801347</v>
      </c>
      <c r="AW24" s="9">
        <f t="shared" si="30"/>
        <v>5146.7057142857138</v>
      </c>
      <c r="AX24" s="2">
        <f t="shared" si="15"/>
        <v>25.19190266414936</v>
      </c>
      <c r="AY24" s="8">
        <f t="shared" si="16"/>
        <v>0.32671754869237929</v>
      </c>
      <c r="AZ24" s="17">
        <f t="shared" si="17"/>
        <v>874123</v>
      </c>
      <c r="BA24" s="2">
        <f>'[1]15.16 Meter Data'!W215</f>
        <v>1419051.3493714342</v>
      </c>
      <c r="BB24" s="2">
        <f>BA24/L24</f>
        <v>4054.4324267755264</v>
      </c>
      <c r="BC24" s="2">
        <f t="shared" si="32"/>
        <v>19.845484223081382</v>
      </c>
      <c r="BD24" s="8">
        <f t="shared" si="33"/>
        <v>0.46960670485132178</v>
      </c>
      <c r="BE24" s="20" t="s">
        <v>119</v>
      </c>
      <c r="BF24" s="64">
        <v>13435000</v>
      </c>
      <c r="BG24" s="42">
        <f t="shared" si="20"/>
        <v>187.88895881406896</v>
      </c>
      <c r="BH24" s="15">
        <v>11750000</v>
      </c>
      <c r="BI24" s="15">
        <v>998800</v>
      </c>
      <c r="BJ24" s="15">
        <v>0</v>
      </c>
      <c r="BK24" s="3"/>
      <c r="BL24" s="15">
        <v>153235</v>
      </c>
      <c r="BM24" s="1353">
        <f t="shared" si="21"/>
        <v>59.010465153606624</v>
      </c>
      <c r="BN24" s="1" t="s">
        <v>313</v>
      </c>
      <c r="BO24" s="11" t="s">
        <v>247</v>
      </c>
    </row>
    <row r="25" spans="1:67" s="41" customFormat="1" ht="27.6" customHeight="1" x14ac:dyDescent="0.2">
      <c r="A25" s="4" t="s">
        <v>1019</v>
      </c>
      <c r="B25" s="915" t="s">
        <v>952</v>
      </c>
      <c r="C25" s="11" t="s">
        <v>56</v>
      </c>
      <c r="D25" s="11" t="s">
        <v>995</v>
      </c>
      <c r="E25" s="11" t="s">
        <v>546</v>
      </c>
      <c r="F25" s="1" t="s">
        <v>55</v>
      </c>
      <c r="G25" s="33">
        <v>40798</v>
      </c>
      <c r="H25" s="11" t="s">
        <v>10</v>
      </c>
      <c r="I25" s="33" t="s">
        <v>475</v>
      </c>
      <c r="J25" s="60">
        <v>41128</v>
      </c>
      <c r="K25" s="4" t="s">
        <v>54</v>
      </c>
      <c r="L25" s="11">
        <v>340</v>
      </c>
      <c r="M25" s="6">
        <v>85000</v>
      </c>
      <c r="N25" s="19">
        <f t="shared" si="23"/>
        <v>250</v>
      </c>
      <c r="O25" s="14">
        <v>3</v>
      </c>
      <c r="P25" s="4" t="s">
        <v>1019</v>
      </c>
      <c r="Q25" s="11" t="s">
        <v>247</v>
      </c>
      <c r="R25" s="11">
        <v>3</v>
      </c>
      <c r="S25" s="2">
        <v>5499</v>
      </c>
      <c r="T25" s="12">
        <f t="shared" si="0"/>
        <v>64.694117647058818</v>
      </c>
      <c r="U25" s="2">
        <v>3624</v>
      </c>
      <c r="V25" s="23">
        <f t="shared" si="1"/>
        <v>42.635294117647057</v>
      </c>
      <c r="W25" s="5">
        <f t="shared" si="2"/>
        <v>0.34097108565193673</v>
      </c>
      <c r="X25" s="6">
        <f t="shared" si="3"/>
        <v>1875</v>
      </c>
      <c r="Y25" s="1343" t="s">
        <v>352</v>
      </c>
      <c r="Z25" s="992"/>
      <c r="AA25" s="40"/>
      <c r="AB25" s="1391" t="s">
        <v>1298</v>
      </c>
      <c r="AC25" s="1393">
        <v>47</v>
      </c>
      <c r="AD25" s="5"/>
      <c r="AE25" s="1611"/>
      <c r="AF25" s="2"/>
      <c r="AG25" s="4" t="s">
        <v>1019</v>
      </c>
      <c r="AH25" s="15">
        <v>174915</v>
      </c>
      <c r="AI25" s="7">
        <f t="shared" si="7"/>
        <v>2.0578235294117646</v>
      </c>
      <c r="AJ25" s="15">
        <v>88110</v>
      </c>
      <c r="AK25" s="7">
        <f t="shared" si="8"/>
        <v>1.0365882352941176</v>
      </c>
      <c r="AL25" s="8">
        <f t="shared" si="9"/>
        <v>0.49626961667095448</v>
      </c>
      <c r="AM25" s="15">
        <f t="shared" si="10"/>
        <v>86805</v>
      </c>
      <c r="AN25" s="1"/>
      <c r="AO25" s="3"/>
      <c r="AP25" s="3"/>
      <c r="AQ25" s="2"/>
      <c r="AR25" s="4" t="s">
        <v>1019</v>
      </c>
      <c r="AS25" s="2">
        <v>2636463</v>
      </c>
      <c r="AT25" s="2">
        <f t="shared" si="29"/>
        <v>7754.302941176471</v>
      </c>
      <c r="AU25" s="10">
        <f t="shared" si="14"/>
        <v>31.017211764705884</v>
      </c>
      <c r="AV25" s="2">
        <v>1734140</v>
      </c>
      <c r="AW25" s="9">
        <f t="shared" si="30"/>
        <v>5100.411764705882</v>
      </c>
      <c r="AX25" s="10">
        <f t="shared" si="15"/>
        <v>20.401647058823528</v>
      </c>
      <c r="AY25" s="8">
        <f t="shared" si="16"/>
        <v>0.34224754908375349</v>
      </c>
      <c r="AZ25" s="2">
        <f t="shared" si="17"/>
        <v>902323</v>
      </c>
      <c r="BA25" s="1"/>
      <c r="BB25" s="3"/>
      <c r="BC25" s="3"/>
      <c r="BD25" s="3"/>
      <c r="BE25" s="4" t="s">
        <v>1019</v>
      </c>
      <c r="BF25" s="71" t="s">
        <v>288</v>
      </c>
      <c r="BG25" s="42"/>
      <c r="BH25" s="3"/>
      <c r="BI25" s="33" t="s">
        <v>288</v>
      </c>
      <c r="BJ25" s="33" t="s">
        <v>288</v>
      </c>
      <c r="BK25" s="3"/>
      <c r="BL25" s="33" t="s">
        <v>288</v>
      </c>
      <c r="BM25" s="1353"/>
      <c r="BN25" s="1" t="s">
        <v>313</v>
      </c>
      <c r="BO25" s="11" t="s">
        <v>247</v>
      </c>
    </row>
    <row r="26" spans="1:67" s="41" customFormat="1" ht="27.6" customHeight="1" x14ac:dyDescent="0.2">
      <c r="A26" s="20" t="s">
        <v>286</v>
      </c>
      <c r="B26" s="929" t="s">
        <v>952</v>
      </c>
      <c r="C26" s="19" t="s">
        <v>11</v>
      </c>
      <c r="D26" s="19" t="s">
        <v>991</v>
      </c>
      <c r="E26" s="19" t="s">
        <v>648</v>
      </c>
      <c r="F26" s="9" t="s">
        <v>9</v>
      </c>
      <c r="G26" s="34">
        <v>40134</v>
      </c>
      <c r="H26" s="19" t="s">
        <v>10</v>
      </c>
      <c r="I26" s="34">
        <v>40375</v>
      </c>
      <c r="J26" s="61">
        <v>41128</v>
      </c>
      <c r="K26" s="20" t="s">
        <v>12</v>
      </c>
      <c r="L26" s="19" t="s">
        <v>13</v>
      </c>
      <c r="M26" s="6">
        <v>87000</v>
      </c>
      <c r="N26" s="6"/>
      <c r="O26" s="49">
        <v>3</v>
      </c>
      <c r="P26" s="20" t="s">
        <v>286</v>
      </c>
      <c r="Q26" s="11" t="s">
        <v>247</v>
      </c>
      <c r="R26" s="11">
        <v>3</v>
      </c>
      <c r="S26" s="2">
        <v>7163</v>
      </c>
      <c r="T26" s="12">
        <f t="shared" si="0"/>
        <v>82.333333333333329</v>
      </c>
      <c r="U26" s="2">
        <v>4954</v>
      </c>
      <c r="V26" s="23">
        <f t="shared" si="1"/>
        <v>56.942528735632187</v>
      </c>
      <c r="W26" s="5">
        <f t="shared" si="2"/>
        <v>0.30839033924333381</v>
      </c>
      <c r="X26" s="13">
        <f t="shared" si="3"/>
        <v>2209</v>
      </c>
      <c r="Y26" s="967">
        <v>42604</v>
      </c>
      <c r="Z26" s="49">
        <f>'[1]15.16 Meter Data'!Y221</f>
        <v>7385.2467715834155</v>
      </c>
      <c r="AA26" s="40">
        <f>Z26/M26*1000</f>
        <v>84.88789392624615</v>
      </c>
      <c r="AB26" s="1391" t="s">
        <v>1300</v>
      </c>
      <c r="AC26" s="1393">
        <v>62</v>
      </c>
      <c r="AD26" s="5">
        <f>(S26-Z26)/S26</f>
        <v>-3.1027051735783257E-2</v>
      </c>
      <c r="AE26" s="5"/>
      <c r="AF26" s="2">
        <f>S26-Z26</f>
        <v>-222.24677158341547</v>
      </c>
      <c r="AG26" s="20" t="s">
        <v>286</v>
      </c>
      <c r="AH26" s="15">
        <v>98379</v>
      </c>
      <c r="AI26" s="24">
        <f t="shared" si="7"/>
        <v>1.1307931034482759</v>
      </c>
      <c r="AJ26" s="15">
        <v>65154</v>
      </c>
      <c r="AK26" s="24">
        <f t="shared" si="8"/>
        <v>0.74889655172413794</v>
      </c>
      <c r="AL26" s="8">
        <f t="shared" si="9"/>
        <v>0.3377245143780685</v>
      </c>
      <c r="AM26" s="16">
        <f t="shared" si="10"/>
        <v>33225</v>
      </c>
      <c r="AN26" s="15">
        <f>'[1]15.16 Meter Data'!W225</f>
        <v>131773.86431999999</v>
      </c>
      <c r="AO26" s="22">
        <f>AN26/M26</f>
        <v>1.5146421186206895</v>
      </c>
      <c r="AP26" s="47">
        <f>(AH26-AN26)/AH26</f>
        <v>-0.33945114628121847</v>
      </c>
      <c r="AQ26" s="48">
        <f>AH26-AN26</f>
        <v>-33394.864319999993</v>
      </c>
      <c r="AR26" s="20" t="s">
        <v>286</v>
      </c>
      <c r="AS26" s="2">
        <v>2606625</v>
      </c>
      <c r="AT26" s="9" t="s">
        <v>13</v>
      </c>
      <c r="AU26" s="2">
        <f t="shared" si="14"/>
        <v>29.961206896551722</v>
      </c>
      <c r="AV26" s="2">
        <v>1672375</v>
      </c>
      <c r="AW26" s="9" t="s">
        <v>13</v>
      </c>
      <c r="AX26" s="2">
        <f t="shared" si="15"/>
        <v>19.222701149425287</v>
      </c>
      <c r="AY26" s="8">
        <f t="shared" si="16"/>
        <v>0.35841365750731308</v>
      </c>
      <c r="AZ26" s="17">
        <f t="shared" si="17"/>
        <v>934250</v>
      </c>
      <c r="BA26" s="9" t="s">
        <v>321</v>
      </c>
      <c r="BB26" s="9"/>
      <c r="BC26" s="2"/>
      <c r="BD26" s="8"/>
      <c r="BE26" s="20" t="s">
        <v>286</v>
      </c>
      <c r="BF26" s="64">
        <v>14834300</v>
      </c>
      <c r="BG26" s="42">
        <f t="shared" ref="BG26:BG49" si="38">BF26/M26</f>
        <v>170.50919540229884</v>
      </c>
      <c r="BH26" s="15">
        <v>14419316</v>
      </c>
      <c r="BI26" s="15">
        <v>2004260</v>
      </c>
      <c r="BJ26" s="15">
        <v>47460</v>
      </c>
      <c r="BK26" s="3"/>
      <c r="BL26" s="85">
        <v>0</v>
      </c>
      <c r="BM26" s="1353">
        <f>((BF26-BH26)+BJ26+BK26+BL26)/AM26</f>
        <v>13.918555304740407</v>
      </c>
      <c r="BN26" s="1" t="s">
        <v>301</v>
      </c>
      <c r="BO26" s="11" t="s">
        <v>247</v>
      </c>
    </row>
    <row r="27" spans="1:67" s="41" customFormat="1" ht="27.6" customHeight="1" x14ac:dyDescent="0.2">
      <c r="A27" s="20" t="s">
        <v>279</v>
      </c>
      <c r="B27" s="19" t="s">
        <v>951</v>
      </c>
      <c r="C27" s="19" t="s">
        <v>14</v>
      </c>
      <c r="D27" s="19" t="s">
        <v>988</v>
      </c>
      <c r="E27" s="19" t="s">
        <v>552</v>
      </c>
      <c r="F27" s="9" t="s">
        <v>186</v>
      </c>
      <c r="G27" s="34">
        <v>40602</v>
      </c>
      <c r="H27" s="19" t="s">
        <v>10</v>
      </c>
      <c r="I27" s="34">
        <v>40738</v>
      </c>
      <c r="J27" s="61">
        <v>41129</v>
      </c>
      <c r="K27" s="20" t="s">
        <v>54</v>
      </c>
      <c r="L27" s="19">
        <v>300</v>
      </c>
      <c r="M27" s="6">
        <v>91370</v>
      </c>
      <c r="N27" s="19">
        <f>M27/L27</f>
        <v>304.56666666666666</v>
      </c>
      <c r="O27" s="49">
        <v>6</v>
      </c>
      <c r="P27" s="20" t="s">
        <v>279</v>
      </c>
      <c r="Q27" s="11" t="s">
        <v>247</v>
      </c>
      <c r="R27" s="11">
        <v>4</v>
      </c>
      <c r="S27" s="2">
        <v>5737</v>
      </c>
      <c r="T27" s="12">
        <f t="shared" si="0"/>
        <v>62.788661486264637</v>
      </c>
      <c r="U27" s="2">
        <v>3460</v>
      </c>
      <c r="V27" s="23">
        <f t="shared" si="1"/>
        <v>37.868009193389511</v>
      </c>
      <c r="W27" s="5">
        <f t="shared" si="2"/>
        <v>0.39689733310092384</v>
      </c>
      <c r="X27" s="13">
        <f t="shared" si="3"/>
        <v>2277</v>
      </c>
      <c r="Y27" s="967">
        <v>42613</v>
      </c>
      <c r="Z27" s="49"/>
      <c r="AA27" s="40"/>
      <c r="AB27" s="1391" t="s">
        <v>1298</v>
      </c>
      <c r="AC27" s="1393">
        <v>58</v>
      </c>
      <c r="AD27" s="5"/>
      <c r="AE27" s="1611"/>
      <c r="AF27" s="51"/>
      <c r="AG27" s="20" t="s">
        <v>279</v>
      </c>
      <c r="AH27" s="15">
        <v>89281</v>
      </c>
      <c r="AI27" s="24">
        <f t="shared" si="7"/>
        <v>0.97713691583670792</v>
      </c>
      <c r="AJ27" s="15">
        <v>63609</v>
      </c>
      <c r="AK27" s="24">
        <f t="shared" si="8"/>
        <v>0.69616942103535073</v>
      </c>
      <c r="AL27" s="8">
        <f t="shared" si="9"/>
        <v>0.28754158219553994</v>
      </c>
      <c r="AM27" s="16">
        <f t="shared" si="10"/>
        <v>25672</v>
      </c>
      <c r="AN27" s="29"/>
      <c r="AO27" s="22"/>
      <c r="AP27" s="47"/>
      <c r="AQ27" s="48"/>
      <c r="AR27" s="20" t="s">
        <v>279</v>
      </c>
      <c r="AS27" s="2">
        <v>2888310</v>
      </c>
      <c r="AT27" s="2">
        <f>AS27/L27</f>
        <v>9627.7000000000007</v>
      </c>
      <c r="AU27" s="2">
        <f t="shared" si="14"/>
        <v>31.611141512531464</v>
      </c>
      <c r="AV27" s="2">
        <v>1728304</v>
      </c>
      <c r="AW27" s="9">
        <f>AV27/L27</f>
        <v>5761.0133333333333</v>
      </c>
      <c r="AX27" s="2">
        <f t="shared" si="15"/>
        <v>18.915442705483201</v>
      </c>
      <c r="AY27" s="8">
        <f t="shared" si="16"/>
        <v>0.40162101713458737</v>
      </c>
      <c r="AZ27" s="17">
        <f t="shared" si="17"/>
        <v>1160006</v>
      </c>
      <c r="BA27" s="9">
        <f>'[1]15.16 Meter Data'!W236</f>
        <v>4225452</v>
      </c>
      <c r="BB27" s="2">
        <f>BA27/L27</f>
        <v>14084.84</v>
      </c>
      <c r="BC27" s="2">
        <f>BA27/M27</f>
        <v>46.245507278100035</v>
      </c>
      <c r="BD27" s="8">
        <f>(AS27-BA27)/AS27</f>
        <v>-0.46294961413421687</v>
      </c>
      <c r="BE27" s="20" t="s">
        <v>279</v>
      </c>
      <c r="BF27" s="64">
        <v>16467600</v>
      </c>
      <c r="BG27" s="42">
        <f t="shared" si="38"/>
        <v>180.22983473787895</v>
      </c>
      <c r="BH27" s="15">
        <v>14927082</v>
      </c>
      <c r="BI27" s="15">
        <v>1685000</v>
      </c>
      <c r="BJ27" s="15">
        <v>0</v>
      </c>
      <c r="BK27" s="3"/>
      <c r="BL27" s="15">
        <v>85000</v>
      </c>
      <c r="BM27" s="1353">
        <f>((BF27-BH27)+BJ27+BK27+BL27)/AM27</f>
        <v>63.318712994702402</v>
      </c>
      <c r="BN27" s="1" t="s">
        <v>301</v>
      </c>
      <c r="BO27" s="11" t="s">
        <v>247</v>
      </c>
    </row>
    <row r="28" spans="1:67" s="41" customFormat="1" ht="27.6" customHeight="1" x14ac:dyDescent="0.2">
      <c r="A28" s="20" t="s">
        <v>280</v>
      </c>
      <c r="B28" s="19" t="s">
        <v>951</v>
      </c>
      <c r="C28" s="19" t="s">
        <v>6</v>
      </c>
      <c r="D28" s="19" t="s">
        <v>990</v>
      </c>
      <c r="E28" s="19" t="s">
        <v>547</v>
      </c>
      <c r="F28" s="9" t="s">
        <v>5</v>
      </c>
      <c r="G28" s="36">
        <v>40424</v>
      </c>
      <c r="H28" s="19" t="s">
        <v>10</v>
      </c>
      <c r="I28" s="34">
        <v>40568</v>
      </c>
      <c r="J28" s="61">
        <v>41138</v>
      </c>
      <c r="K28" s="20" t="s">
        <v>54</v>
      </c>
      <c r="L28" s="19">
        <v>210</v>
      </c>
      <c r="M28" s="6">
        <v>53896</v>
      </c>
      <c r="N28" s="19">
        <f>M28/L28</f>
        <v>256.64761904761906</v>
      </c>
      <c r="O28" s="49">
        <v>3</v>
      </c>
      <c r="P28" s="20" t="s">
        <v>280</v>
      </c>
      <c r="Q28" s="11" t="s">
        <v>247</v>
      </c>
      <c r="R28" s="11">
        <v>3</v>
      </c>
      <c r="S28" s="2">
        <v>9118</v>
      </c>
      <c r="T28" s="12">
        <f t="shared" si="0"/>
        <v>169.17767552322994</v>
      </c>
      <c r="U28" s="2">
        <v>6399</v>
      </c>
      <c r="V28" s="23">
        <f t="shared" si="1"/>
        <v>118.72866260947008</v>
      </c>
      <c r="W28" s="5">
        <f t="shared" si="2"/>
        <v>0.29820135994735686</v>
      </c>
      <c r="X28" s="13">
        <f t="shared" si="3"/>
        <v>2719</v>
      </c>
      <c r="Y28" s="967">
        <v>42635</v>
      </c>
      <c r="Z28" s="49">
        <f>'[1]15.16 Meter Data'!W241</f>
        <v>2114.1582764</v>
      </c>
      <c r="AA28" s="40">
        <f>Z28/M28*1000</f>
        <v>39.226626770075697</v>
      </c>
      <c r="AB28" s="1391" t="s">
        <v>1298</v>
      </c>
      <c r="AC28" s="1393">
        <v>47</v>
      </c>
      <c r="AD28" s="5">
        <f>(S28-Z28)/S28</f>
        <v>0.76813355161219576</v>
      </c>
      <c r="AE28" s="1611" t="s">
        <v>955</v>
      </c>
      <c r="AF28" s="2">
        <f>S28-Z28</f>
        <v>7003.8417236000005</v>
      </c>
      <c r="AG28" s="20" t="s">
        <v>280</v>
      </c>
      <c r="AH28" s="15">
        <v>217417</v>
      </c>
      <c r="AI28" s="24">
        <f t="shared" si="7"/>
        <v>4.0340099450794122</v>
      </c>
      <c r="AJ28" s="15">
        <v>145256</v>
      </c>
      <c r="AK28" s="24">
        <f t="shared" si="8"/>
        <v>2.6951165207065459</v>
      </c>
      <c r="AL28" s="8">
        <f t="shared" si="9"/>
        <v>0.33190136925815367</v>
      </c>
      <c r="AM28" s="16">
        <f t="shared" si="10"/>
        <v>72161</v>
      </c>
      <c r="AN28" s="15">
        <f>'[1]15.16 Meter Data'!W243</f>
        <v>56971.070000000007</v>
      </c>
      <c r="AO28" s="22">
        <f>AN28/M28</f>
        <v>1.057055625649399</v>
      </c>
      <c r="AP28" s="47">
        <f>(AH28-AN28)/AH28</f>
        <v>0.73796405064921322</v>
      </c>
      <c r="AQ28" s="48">
        <f>AH28-AN28</f>
        <v>160445.93</v>
      </c>
      <c r="AR28" s="20" t="s">
        <v>280</v>
      </c>
      <c r="AS28" s="2">
        <v>1193460</v>
      </c>
      <c r="AT28" s="2">
        <f>AS28/L28</f>
        <v>5683.1428571428569</v>
      </c>
      <c r="AU28" s="2">
        <f t="shared" si="14"/>
        <v>22.143758349413687</v>
      </c>
      <c r="AV28" s="2">
        <v>938250</v>
      </c>
      <c r="AW28" s="9">
        <f>AV28/L28</f>
        <v>4467.8571428571431</v>
      </c>
      <c r="AX28" s="2">
        <f t="shared" si="15"/>
        <v>17.40852753451091</v>
      </c>
      <c r="AY28" s="8">
        <f t="shared" si="16"/>
        <v>0.21384043034538233</v>
      </c>
      <c r="AZ28" s="17">
        <f t="shared" si="17"/>
        <v>255210</v>
      </c>
      <c r="BA28" s="2">
        <f>'[1]15.16 Meter Data'!W242</f>
        <v>2005449</v>
      </c>
      <c r="BB28" s="2">
        <f>BA28/L28</f>
        <v>9549.7571428571428</v>
      </c>
      <c r="BC28" s="2">
        <f>BA28/M28</f>
        <v>37.209607392014249</v>
      </c>
      <c r="BD28" s="8">
        <f>(AS28-BA28)/AS28</f>
        <v>-0.68036549193102414</v>
      </c>
      <c r="BE28" s="20" t="s">
        <v>280</v>
      </c>
      <c r="BF28" s="64">
        <v>12474496</v>
      </c>
      <c r="BG28" s="42">
        <f t="shared" si="38"/>
        <v>231.45495027460294</v>
      </c>
      <c r="BH28" s="15">
        <v>12222788</v>
      </c>
      <c r="BI28" s="15">
        <f>499000+700950</f>
        <v>1199950</v>
      </c>
      <c r="BJ28" s="15">
        <v>40000</v>
      </c>
      <c r="BK28" s="3"/>
      <c r="BL28" s="15">
        <v>85000</v>
      </c>
      <c r="BM28" s="1353">
        <f>((BF28-BH28)+BJ28+BK28+BL28)/AM28</f>
        <v>5.2203822009118497</v>
      </c>
      <c r="BN28" s="1" t="s">
        <v>302</v>
      </c>
      <c r="BO28" s="11" t="s">
        <v>247</v>
      </c>
    </row>
    <row r="29" spans="1:67" s="1737" customFormat="1" ht="27.6" customHeight="1" thickBot="1" x14ac:dyDescent="0.25">
      <c r="A29" s="1716" t="s">
        <v>281</v>
      </c>
      <c r="B29" s="1752" t="s">
        <v>952</v>
      </c>
      <c r="C29" s="1711" t="s">
        <v>98</v>
      </c>
      <c r="D29" s="1711" t="s">
        <v>996</v>
      </c>
      <c r="E29" s="1711" t="s">
        <v>723</v>
      </c>
      <c r="F29" s="1712" t="s">
        <v>97</v>
      </c>
      <c r="G29" s="1714">
        <v>40396</v>
      </c>
      <c r="H29" s="1711" t="s">
        <v>10</v>
      </c>
      <c r="I29" s="1714">
        <v>40564</v>
      </c>
      <c r="J29" s="1715">
        <v>41145</v>
      </c>
      <c r="K29" s="1716" t="s">
        <v>88</v>
      </c>
      <c r="L29" s="1711" t="s">
        <v>13</v>
      </c>
      <c r="M29" s="1753">
        <v>85000</v>
      </c>
      <c r="N29" s="1753"/>
      <c r="O29" s="1754">
        <v>3</v>
      </c>
      <c r="P29" s="1716" t="s">
        <v>281</v>
      </c>
      <c r="Q29" s="1711" t="s">
        <v>247</v>
      </c>
      <c r="R29" s="1711">
        <v>3</v>
      </c>
      <c r="S29" s="1717">
        <v>7739</v>
      </c>
      <c r="T29" s="1720">
        <f t="shared" si="0"/>
        <v>91.047058823529412</v>
      </c>
      <c r="U29" s="1717">
        <v>4808</v>
      </c>
      <c r="V29" s="1721">
        <f t="shared" si="1"/>
        <v>56.564705882352939</v>
      </c>
      <c r="W29" s="1743">
        <f t="shared" si="2"/>
        <v>0.37873110220958778</v>
      </c>
      <c r="X29" s="1755">
        <f t="shared" si="3"/>
        <v>2931</v>
      </c>
      <c r="Y29" s="1740" t="s">
        <v>352</v>
      </c>
      <c r="Z29" s="1754"/>
      <c r="AA29" s="1741">
        <f>Z29/M29*1000</f>
        <v>0</v>
      </c>
      <c r="AB29" s="1725" t="s">
        <v>1300</v>
      </c>
      <c r="AC29" s="1742">
        <v>62</v>
      </c>
      <c r="AD29" s="1743"/>
      <c r="AE29" s="1744"/>
      <c r="AF29" s="1717"/>
      <c r="AG29" s="1716" t="s">
        <v>281</v>
      </c>
      <c r="AH29" s="1727">
        <v>142633</v>
      </c>
      <c r="AI29" s="1728">
        <f t="shared" si="7"/>
        <v>1.6780352941176471</v>
      </c>
      <c r="AJ29" s="1727">
        <v>90792</v>
      </c>
      <c r="AK29" s="1728">
        <f t="shared" si="8"/>
        <v>1.0681411764705881</v>
      </c>
      <c r="AL29" s="1722">
        <f t="shared" si="9"/>
        <v>0.36345726444791876</v>
      </c>
      <c r="AM29" s="1756">
        <f t="shared" si="10"/>
        <v>51841</v>
      </c>
      <c r="AN29" s="1727"/>
      <c r="AO29" s="1746"/>
      <c r="AP29" s="1747"/>
      <c r="AQ29" s="1748"/>
      <c r="AR29" s="1716" t="s">
        <v>281</v>
      </c>
      <c r="AS29" s="1717">
        <v>751030</v>
      </c>
      <c r="AT29" s="1729" t="s">
        <v>13</v>
      </c>
      <c r="AU29" s="1717">
        <f t="shared" si="14"/>
        <v>8.835647058823529</v>
      </c>
      <c r="AV29" s="1717">
        <v>507514</v>
      </c>
      <c r="AW29" s="1729" t="s">
        <v>13</v>
      </c>
      <c r="AX29" s="1717">
        <f t="shared" si="15"/>
        <v>5.9707529411764702</v>
      </c>
      <c r="AY29" s="1722">
        <f t="shared" si="16"/>
        <v>0.32424270668282223</v>
      </c>
      <c r="AZ29" s="1757">
        <f t="shared" si="17"/>
        <v>243516</v>
      </c>
      <c r="BA29" s="1749"/>
      <c r="BB29" s="1729"/>
      <c r="BC29" s="1717"/>
      <c r="BD29" s="1722"/>
      <c r="BE29" s="1716" t="s">
        <v>281</v>
      </c>
      <c r="BF29" s="1731">
        <v>15645200</v>
      </c>
      <c r="BG29" s="1732">
        <f t="shared" si="38"/>
        <v>184.06117647058824</v>
      </c>
      <c r="BH29" s="1727">
        <v>15440699</v>
      </c>
      <c r="BI29" s="1727">
        <v>2615450</v>
      </c>
      <c r="BJ29" s="1727">
        <f>17520+139300</f>
        <v>156820</v>
      </c>
      <c r="BK29" s="1724"/>
      <c r="BL29" s="1758">
        <v>0</v>
      </c>
      <c r="BM29" s="1736">
        <f>((BF29-BH29)+BJ29+BK29+BL29)/AM29</f>
        <v>6.9697922493779059</v>
      </c>
      <c r="BN29" s="1712" t="s">
        <v>302</v>
      </c>
      <c r="BO29" s="1711" t="s">
        <v>247</v>
      </c>
    </row>
    <row r="30" spans="1:67" s="41" customFormat="1" ht="27.6" customHeight="1" thickTop="1" x14ac:dyDescent="0.2">
      <c r="A30" s="4" t="s">
        <v>209</v>
      </c>
      <c r="B30" s="11" t="s">
        <v>951</v>
      </c>
      <c r="C30" s="11" t="s">
        <v>14</v>
      </c>
      <c r="D30" s="11" t="s">
        <v>988</v>
      </c>
      <c r="E30" s="11" t="s">
        <v>552</v>
      </c>
      <c r="F30" s="1" t="s">
        <v>89</v>
      </c>
      <c r="G30" s="33">
        <v>39944</v>
      </c>
      <c r="H30" s="11" t="s">
        <v>10</v>
      </c>
      <c r="I30" s="33">
        <v>40294</v>
      </c>
      <c r="J30" s="60">
        <v>41162</v>
      </c>
      <c r="K30" s="4" t="s">
        <v>90</v>
      </c>
      <c r="L30" s="11" t="s">
        <v>13</v>
      </c>
      <c r="M30" s="19">
        <v>40434</v>
      </c>
      <c r="N30" s="19"/>
      <c r="O30" s="83" t="s">
        <v>91</v>
      </c>
      <c r="P30" s="4" t="s">
        <v>209</v>
      </c>
      <c r="Q30" s="11" t="s">
        <v>247</v>
      </c>
      <c r="R30" s="11">
        <v>4</v>
      </c>
      <c r="S30" s="9">
        <v>3231</v>
      </c>
      <c r="T30" s="12">
        <f t="shared" si="0"/>
        <v>79.907998219320376</v>
      </c>
      <c r="U30" s="9">
        <v>1185</v>
      </c>
      <c r="V30" s="23">
        <f t="shared" si="1"/>
        <v>29.307018845526041</v>
      </c>
      <c r="W30" s="5">
        <f t="shared" si="2"/>
        <v>0.63324048282265555</v>
      </c>
      <c r="X30" s="13">
        <f t="shared" si="3"/>
        <v>2046</v>
      </c>
      <c r="Y30" s="967">
        <v>42613</v>
      </c>
      <c r="Z30" s="873"/>
      <c r="AA30" s="40"/>
      <c r="AB30" s="1391" t="s">
        <v>1300</v>
      </c>
      <c r="AC30" s="1393">
        <v>72</v>
      </c>
      <c r="AD30" s="11"/>
      <c r="AE30" s="11"/>
      <c r="AF30" s="11"/>
      <c r="AG30" s="4" t="s">
        <v>209</v>
      </c>
      <c r="AH30" s="29">
        <v>98370</v>
      </c>
      <c r="AI30" s="7">
        <f t="shared" si="7"/>
        <v>2.4328535391007566</v>
      </c>
      <c r="AJ30" s="29">
        <v>43014</v>
      </c>
      <c r="AK30" s="7">
        <f t="shared" si="8"/>
        <v>1.0638076866003858</v>
      </c>
      <c r="AL30" s="8">
        <f t="shared" si="9"/>
        <v>0.56273254040866116</v>
      </c>
      <c r="AM30" s="16">
        <f t="shared" si="10"/>
        <v>55356</v>
      </c>
      <c r="AN30" s="1"/>
      <c r="AO30" s="11"/>
      <c r="AP30" s="11"/>
      <c r="AQ30" s="11"/>
      <c r="AR30" s="4" t="s">
        <v>209</v>
      </c>
      <c r="AS30" s="19">
        <v>957500</v>
      </c>
      <c r="AT30" s="11" t="s">
        <v>13</v>
      </c>
      <c r="AU30" s="2">
        <f t="shared" si="14"/>
        <v>23.680565860414504</v>
      </c>
      <c r="AV30" s="19">
        <v>655500</v>
      </c>
      <c r="AW30" s="11" t="s">
        <v>13</v>
      </c>
      <c r="AX30" s="2">
        <f t="shared" si="15"/>
        <v>16.211604095563139</v>
      </c>
      <c r="AY30" s="8">
        <f t="shared" si="16"/>
        <v>0.31540469973890339</v>
      </c>
      <c r="AZ30" s="17">
        <f t="shared" si="17"/>
        <v>302000</v>
      </c>
      <c r="BA30" s="1694">
        <f>'[1]15.16 Meter Data'!W261</f>
        <v>985864</v>
      </c>
      <c r="BB30" s="9" t="s">
        <v>13</v>
      </c>
      <c r="BC30" s="2">
        <f>BA30/M30</f>
        <v>24.382054706435177</v>
      </c>
      <c r="BD30" s="8">
        <f>(AS30-BA30)/AS30</f>
        <v>-2.9622976501305482E-2</v>
      </c>
      <c r="BE30" s="4" t="s">
        <v>209</v>
      </c>
      <c r="BF30" s="64">
        <v>5996300</v>
      </c>
      <c r="BG30" s="42">
        <f t="shared" si="38"/>
        <v>148.29846169065638</v>
      </c>
      <c r="BH30" s="346">
        <f>BF30-161700</f>
        <v>5834600</v>
      </c>
      <c r="BI30" s="15">
        <v>859165</v>
      </c>
      <c r="BJ30" s="15">
        <v>76500</v>
      </c>
      <c r="BK30" s="3"/>
      <c r="BL30" s="86">
        <v>0</v>
      </c>
      <c r="BM30" s="1353"/>
      <c r="BN30" s="1" t="s">
        <v>317</v>
      </c>
      <c r="BO30" s="11" t="s">
        <v>247</v>
      </c>
    </row>
    <row r="31" spans="1:67" s="41" customFormat="1" ht="27.6" customHeight="1" x14ac:dyDescent="0.2">
      <c r="A31" s="4" t="s">
        <v>1020</v>
      </c>
      <c r="B31" s="11" t="s">
        <v>951</v>
      </c>
      <c r="C31" s="11" t="s">
        <v>68</v>
      </c>
      <c r="D31" s="11" t="s">
        <v>992</v>
      </c>
      <c r="E31" s="11" t="s">
        <v>650</v>
      </c>
      <c r="F31" s="1" t="s">
        <v>120</v>
      </c>
      <c r="G31" s="33">
        <v>40284</v>
      </c>
      <c r="H31" s="11" t="s">
        <v>10</v>
      </c>
      <c r="I31" s="33">
        <v>40360</v>
      </c>
      <c r="J31" s="60">
        <v>41166</v>
      </c>
      <c r="K31" s="4" t="s">
        <v>121</v>
      </c>
      <c r="L31" s="11" t="s">
        <v>13</v>
      </c>
      <c r="M31" s="6">
        <v>157410</v>
      </c>
      <c r="N31" s="6"/>
      <c r="O31" s="49">
        <v>5</v>
      </c>
      <c r="P31" s="4" t="s">
        <v>1020</v>
      </c>
      <c r="Q31" s="11" t="s">
        <v>247</v>
      </c>
      <c r="R31" s="11">
        <v>3</v>
      </c>
      <c r="S31" s="2">
        <v>43253</v>
      </c>
      <c r="T31" s="12">
        <f t="shared" si="0"/>
        <v>274.77923893018232</v>
      </c>
      <c r="U31" s="2">
        <v>27864</v>
      </c>
      <c r="V31" s="23">
        <f t="shared" si="1"/>
        <v>177.01543739279589</v>
      </c>
      <c r="W31" s="5">
        <f t="shared" si="2"/>
        <v>0.35579034980232582</v>
      </c>
      <c r="X31" s="13">
        <f t="shared" si="3"/>
        <v>15389</v>
      </c>
      <c r="Y31" s="967">
        <v>42591</v>
      </c>
      <c r="Z31" s="19">
        <f>'[1]15.16 Meter Data'!Y270</f>
        <v>20265.376148478274</v>
      </c>
      <c r="AA31" s="40">
        <f>Z31/M31*1000</f>
        <v>128.74262212361523</v>
      </c>
      <c r="AB31" s="9" t="s">
        <v>1303</v>
      </c>
      <c r="AC31" s="1394">
        <v>175</v>
      </c>
      <c r="AD31" s="5">
        <f>(S31-Z31)/S31</f>
        <v>0.53146888889838217</v>
      </c>
      <c r="AE31" s="1611" t="s">
        <v>955</v>
      </c>
      <c r="AF31" s="2">
        <f>S31-Z31</f>
        <v>22987.623851521726</v>
      </c>
      <c r="AG31" s="4" t="s">
        <v>1020</v>
      </c>
      <c r="AH31" s="15">
        <v>420065</v>
      </c>
      <c r="AI31" s="7">
        <f t="shared" si="7"/>
        <v>2.6686042818118292</v>
      </c>
      <c r="AJ31" s="15">
        <v>302543</v>
      </c>
      <c r="AK31" s="7">
        <f t="shared" si="8"/>
        <v>1.9220062257798107</v>
      </c>
      <c r="AL31" s="8">
        <f t="shared" si="9"/>
        <v>0.27977098782331306</v>
      </c>
      <c r="AM31" s="16">
        <f t="shared" si="10"/>
        <v>117522</v>
      </c>
      <c r="AN31" s="71">
        <f>'[1]15.16 Meter Data'!W275</f>
        <v>203551.27503749996</v>
      </c>
      <c r="AO31" s="22">
        <f>AN31/M31</f>
        <v>1.29312797813036</v>
      </c>
      <c r="AP31" s="47">
        <f>(AH31-AN31)/AH31</f>
        <v>0.51542910016902155</v>
      </c>
      <c r="AQ31" s="48">
        <f>AH31-AN31</f>
        <v>216513.72496250004</v>
      </c>
      <c r="AR31" s="4" t="s">
        <v>1020</v>
      </c>
      <c r="AS31" s="2">
        <v>1373584</v>
      </c>
      <c r="AT31" s="9" t="s">
        <v>13</v>
      </c>
      <c r="AU31" s="2">
        <f t="shared" si="14"/>
        <v>8.7261546280414208</v>
      </c>
      <c r="AV31" s="2">
        <v>905161</v>
      </c>
      <c r="AW31" s="9" t="s">
        <v>13</v>
      </c>
      <c r="AX31" s="2">
        <f t="shared" si="15"/>
        <v>5.7503398767549712</v>
      </c>
      <c r="AY31" s="8">
        <f t="shared" si="16"/>
        <v>0.34102246386096519</v>
      </c>
      <c r="AZ31" s="17">
        <f t="shared" si="17"/>
        <v>468423</v>
      </c>
      <c r="BA31" s="1" t="s">
        <v>321</v>
      </c>
      <c r="BB31" s="9"/>
      <c r="BC31" s="2"/>
      <c r="BD31" s="2"/>
      <c r="BE31" s="4" t="s">
        <v>1020</v>
      </c>
      <c r="BF31" s="64">
        <v>33176057</v>
      </c>
      <c r="BG31" s="42">
        <f t="shared" si="38"/>
        <v>210.7620672130106</v>
      </c>
      <c r="BH31" s="346">
        <f>BF31-253510</f>
        <v>32922547</v>
      </c>
      <c r="BI31" s="15">
        <v>5394860</v>
      </c>
      <c r="BJ31" s="15">
        <v>100000</v>
      </c>
      <c r="BK31" s="3"/>
      <c r="BL31" s="15">
        <v>346397</v>
      </c>
      <c r="BM31" s="1353"/>
      <c r="BN31" s="1" t="s">
        <v>303</v>
      </c>
      <c r="BO31" s="11" t="s">
        <v>247</v>
      </c>
    </row>
    <row r="32" spans="1:67" s="41" customFormat="1" ht="27.6" customHeight="1" x14ac:dyDescent="0.2">
      <c r="A32" s="4" t="s">
        <v>16</v>
      </c>
      <c r="B32" s="11" t="s">
        <v>951</v>
      </c>
      <c r="C32" s="11" t="s">
        <v>1139</v>
      </c>
      <c r="D32" s="11" t="s">
        <v>997</v>
      </c>
      <c r="E32" s="11" t="s">
        <v>620</v>
      </c>
      <c r="F32" s="1" t="s">
        <v>15</v>
      </c>
      <c r="G32" s="33">
        <v>40605</v>
      </c>
      <c r="H32" s="11" t="s">
        <v>10</v>
      </c>
      <c r="I32" s="33">
        <v>40753</v>
      </c>
      <c r="J32" s="60">
        <v>41185</v>
      </c>
      <c r="K32" s="4" t="s">
        <v>12</v>
      </c>
      <c r="L32" s="11" t="s">
        <v>13</v>
      </c>
      <c r="M32" s="6">
        <v>31418</v>
      </c>
      <c r="N32" s="6"/>
      <c r="O32" s="49">
        <v>2</v>
      </c>
      <c r="P32" s="4" t="s">
        <v>16</v>
      </c>
      <c r="Q32" s="11" t="s">
        <v>247</v>
      </c>
      <c r="R32" s="11">
        <v>4</v>
      </c>
      <c r="S32" s="2">
        <v>1732</v>
      </c>
      <c r="T32" s="12">
        <f t="shared" si="0"/>
        <v>55.127633840473614</v>
      </c>
      <c r="U32" s="2">
        <v>1161</v>
      </c>
      <c r="V32" s="23">
        <f t="shared" si="1"/>
        <v>36.953338850340572</v>
      </c>
      <c r="W32" s="5">
        <f t="shared" si="2"/>
        <v>0.32967667436489606</v>
      </c>
      <c r="X32" s="13">
        <f t="shared" si="3"/>
        <v>571</v>
      </c>
      <c r="Y32" s="967">
        <v>42612</v>
      </c>
      <c r="Z32" s="19">
        <f>'[1]15.16 Meter Data'!Y281</f>
        <v>1918.40077</v>
      </c>
      <c r="AA32" s="40">
        <f>Z32/M32*1000</f>
        <v>61.060563053026925</v>
      </c>
      <c r="AB32" s="9" t="s">
        <v>1300</v>
      </c>
      <c r="AC32" s="1394">
        <v>72</v>
      </c>
      <c r="AD32" s="5">
        <f>(S32-Z32)/S32</f>
        <v>-0.10762169168591222</v>
      </c>
      <c r="AE32" s="5"/>
      <c r="AF32" s="51">
        <f>S32-Z32</f>
        <v>-186.40076999999997</v>
      </c>
      <c r="AG32" s="4" t="s">
        <v>16</v>
      </c>
      <c r="AH32" s="15">
        <v>36406</v>
      </c>
      <c r="AI32" s="7">
        <f t="shared" si="7"/>
        <v>1.1587624928385003</v>
      </c>
      <c r="AJ32" s="15">
        <v>25403</v>
      </c>
      <c r="AK32" s="7">
        <f t="shared" si="8"/>
        <v>0.80854923928957922</v>
      </c>
      <c r="AL32" s="8">
        <f t="shared" si="9"/>
        <v>0.3022304015821568</v>
      </c>
      <c r="AM32" s="16">
        <f t="shared" si="10"/>
        <v>11003</v>
      </c>
      <c r="AN32" s="71">
        <f>'[1]15.16 Meter Data'!W286</f>
        <v>33329.624852000001</v>
      </c>
      <c r="AO32" s="22">
        <f>AN32/M32</f>
        <v>1.0608448931185945</v>
      </c>
      <c r="AP32" s="47">
        <f>(AH32-AN32)/AH32</f>
        <v>8.4501871889249E-2</v>
      </c>
      <c r="AQ32" s="48">
        <f>AH32-AN32</f>
        <v>3076.3751479999992</v>
      </c>
      <c r="AR32" s="4" t="s">
        <v>16</v>
      </c>
      <c r="AS32" s="2">
        <v>689715</v>
      </c>
      <c r="AT32" s="9" t="s">
        <v>13</v>
      </c>
      <c r="AU32" s="2">
        <f t="shared" si="14"/>
        <v>21.952861417022088</v>
      </c>
      <c r="AV32" s="2">
        <v>403299</v>
      </c>
      <c r="AW32" s="9" t="s">
        <v>13</v>
      </c>
      <c r="AX32" s="2">
        <f t="shared" si="15"/>
        <v>12.836558660640398</v>
      </c>
      <c r="AY32" s="8">
        <f t="shared" si="16"/>
        <v>0.41526717557251908</v>
      </c>
      <c r="AZ32" s="17">
        <f t="shared" si="17"/>
        <v>286416</v>
      </c>
      <c r="BA32" s="9">
        <f>'[1]15.16 Meter Data'!W282</f>
        <v>130253</v>
      </c>
      <c r="BB32" s="9" t="s">
        <v>13</v>
      </c>
      <c r="BC32" s="2">
        <f t="shared" ref="BC32:BC38" si="39">BA32/M32</f>
        <v>4.1458081354637466</v>
      </c>
      <c r="BD32" s="8">
        <f t="shared" ref="BD32:BD38" si="40">(AS32-BA32)/AS32</f>
        <v>0.81114953277803148</v>
      </c>
      <c r="BE32" s="4" t="s">
        <v>16</v>
      </c>
      <c r="BF32" s="64">
        <v>4701800</v>
      </c>
      <c r="BG32" s="42">
        <f t="shared" si="38"/>
        <v>149.65306512190463</v>
      </c>
      <c r="BH32" s="346">
        <f>BF32-44306</f>
        <v>4657494</v>
      </c>
      <c r="BI32" s="15">
        <v>474000</v>
      </c>
      <c r="BJ32" s="15">
        <v>0</v>
      </c>
      <c r="BK32" s="3"/>
      <c r="BL32" s="15">
        <v>56984</v>
      </c>
      <c r="BM32" s="1353">
        <f>((BF32-BH32)+BJ32+BK32+BL32)/AM32</f>
        <v>9.2056711805871121</v>
      </c>
      <c r="BN32" s="1" t="s">
        <v>304</v>
      </c>
      <c r="BO32" s="11" t="s">
        <v>247</v>
      </c>
    </row>
    <row r="33" spans="1:67" s="41" customFormat="1" ht="27.6" customHeight="1" x14ac:dyDescent="0.2">
      <c r="A33" s="4" t="s">
        <v>102</v>
      </c>
      <c r="B33" s="915" t="s">
        <v>952</v>
      </c>
      <c r="C33" s="11" t="s">
        <v>60</v>
      </c>
      <c r="D33" s="11" t="s">
        <v>989</v>
      </c>
      <c r="E33" s="11" t="s">
        <v>510</v>
      </c>
      <c r="F33" s="1" t="s">
        <v>101</v>
      </c>
      <c r="G33" s="33">
        <v>40396</v>
      </c>
      <c r="H33" s="11" t="s">
        <v>103</v>
      </c>
      <c r="I33" s="33">
        <v>40050</v>
      </c>
      <c r="J33" s="60">
        <v>41200</v>
      </c>
      <c r="K33" s="4" t="s">
        <v>289</v>
      </c>
      <c r="L33" s="11" t="s">
        <v>13</v>
      </c>
      <c r="M33" s="817">
        <v>253028</v>
      </c>
      <c r="N33" s="817"/>
      <c r="O33" s="49">
        <v>4</v>
      </c>
      <c r="P33" s="4" t="s">
        <v>102</v>
      </c>
      <c r="Q33" s="11" t="s">
        <v>247</v>
      </c>
      <c r="R33" s="11">
        <v>4</v>
      </c>
      <c r="S33" s="2">
        <v>15191</v>
      </c>
      <c r="T33" s="12">
        <f t="shared" si="0"/>
        <v>60.036833868188495</v>
      </c>
      <c r="U33" s="2">
        <v>10342</v>
      </c>
      <c r="V33" s="23">
        <f t="shared" si="1"/>
        <v>40.87294686754035</v>
      </c>
      <c r="W33" s="5">
        <f t="shared" si="2"/>
        <v>0.31920215917319467</v>
      </c>
      <c r="X33" s="9">
        <f t="shared" si="3"/>
        <v>4849</v>
      </c>
      <c r="Y33" s="992">
        <v>42614</v>
      </c>
      <c r="Z33" s="49">
        <f>'[1]15.16 Meter Data'!Y292</f>
        <v>30208.42811328125</v>
      </c>
      <c r="AA33" s="40">
        <f t="shared" ref="AA33:AA40" si="41">Z33/M33*1000</f>
        <v>119.38768876678174</v>
      </c>
      <c r="AB33" s="1391" t="s">
        <v>1305</v>
      </c>
      <c r="AC33" s="1393">
        <v>67</v>
      </c>
      <c r="AD33" s="5">
        <f>(S33-Z33)/S33</f>
        <v>-0.98857403155034229</v>
      </c>
      <c r="AE33" s="5"/>
      <c r="AF33" s="51">
        <f>S33-Z33</f>
        <v>-15017.42811328125</v>
      </c>
      <c r="AG33" s="4" t="s">
        <v>102</v>
      </c>
      <c r="AH33" s="15">
        <v>268448</v>
      </c>
      <c r="AI33" s="7">
        <f t="shared" si="7"/>
        <v>1.0609418720457815</v>
      </c>
      <c r="AJ33" s="15">
        <v>184680</v>
      </c>
      <c r="AK33" s="7">
        <f t="shared" si="8"/>
        <v>0.72987969710862044</v>
      </c>
      <c r="AL33" s="27">
        <f t="shared" si="9"/>
        <v>0.31204553582071759</v>
      </c>
      <c r="AM33" s="15">
        <f t="shared" si="10"/>
        <v>83768</v>
      </c>
      <c r="AN33" s="15">
        <f>'[1]15.16 Meter Data'!W297</f>
        <v>590039.25297781255</v>
      </c>
      <c r="AO33" s="22">
        <f>AN33/M33</f>
        <v>2.3319128830714884</v>
      </c>
      <c r="AP33" s="47">
        <f>(AH33-AN33)/AH33</f>
        <v>-1.1979647938439197</v>
      </c>
      <c r="AQ33" s="48">
        <f>AH33-AN33</f>
        <v>-321591.25297781255</v>
      </c>
      <c r="AR33" s="4" t="s">
        <v>102</v>
      </c>
      <c r="AS33" s="2">
        <v>4536750</v>
      </c>
      <c r="AT33" s="1" t="s">
        <v>13</v>
      </c>
      <c r="AU33" s="10">
        <f t="shared" si="14"/>
        <v>17.929833852379975</v>
      </c>
      <c r="AV33" s="2">
        <v>2948625</v>
      </c>
      <c r="AW33" s="1" t="s">
        <v>13</v>
      </c>
      <c r="AX33" s="18">
        <f t="shared" si="15"/>
        <v>11.653354569454764</v>
      </c>
      <c r="AY33" s="8">
        <f t="shared" si="16"/>
        <v>0.35005786080343859</v>
      </c>
      <c r="AZ33" s="2">
        <f t="shared" si="17"/>
        <v>1588125</v>
      </c>
      <c r="BA33" s="2">
        <f>'[1]15.16 Meter Data'!W293</f>
        <v>1765280</v>
      </c>
      <c r="BB33" s="9" t="s">
        <v>13</v>
      </c>
      <c r="BC33" s="2">
        <f t="shared" si="39"/>
        <v>6.9766191883902176</v>
      </c>
      <c r="BD33" s="8">
        <f t="shared" si="40"/>
        <v>0.61089326059403759</v>
      </c>
      <c r="BE33" s="4" t="s">
        <v>102</v>
      </c>
      <c r="BF33" s="65">
        <v>81306000</v>
      </c>
      <c r="BG33" s="42">
        <f t="shared" si="38"/>
        <v>321.33202649509144</v>
      </c>
      <c r="BH33" s="346">
        <f>BF33-461772</f>
        <v>80844228</v>
      </c>
      <c r="BI33" s="15">
        <v>9829956</v>
      </c>
      <c r="BJ33" s="15">
        <v>200000</v>
      </c>
      <c r="BK33" s="3"/>
      <c r="BL33" s="15">
        <v>605005</v>
      </c>
      <c r="BM33" s="1353"/>
      <c r="BN33" s="1" t="s">
        <v>298</v>
      </c>
      <c r="BO33" s="11" t="s">
        <v>247</v>
      </c>
    </row>
    <row r="34" spans="1:67" s="41" customFormat="1" ht="27.6" customHeight="1" x14ac:dyDescent="0.25">
      <c r="A34" s="4" t="s">
        <v>1329</v>
      </c>
      <c r="B34" s="11" t="s">
        <v>951</v>
      </c>
      <c r="C34" s="11" t="s">
        <v>1360</v>
      </c>
      <c r="D34" s="11" t="s">
        <v>998</v>
      </c>
      <c r="E34" s="1613" t="s">
        <v>743</v>
      </c>
      <c r="F34" s="1" t="s">
        <v>35</v>
      </c>
      <c r="G34" s="33">
        <v>40169</v>
      </c>
      <c r="H34" s="11" t="s">
        <v>10</v>
      </c>
      <c r="I34" s="33">
        <v>40322</v>
      </c>
      <c r="J34" s="60">
        <v>41213</v>
      </c>
      <c r="K34" s="4" t="s">
        <v>1294</v>
      </c>
      <c r="L34" s="11">
        <v>100</v>
      </c>
      <c r="M34" s="6">
        <v>108770</v>
      </c>
      <c r="N34" s="6"/>
      <c r="O34" s="83">
        <v>1</v>
      </c>
      <c r="P34" s="4" t="str">
        <f>A34</f>
        <v>NC Veterans Home - Kinston</v>
      </c>
      <c r="Q34" s="11" t="s">
        <v>247</v>
      </c>
      <c r="R34" s="11">
        <v>3</v>
      </c>
      <c r="S34" s="2">
        <v>8495</v>
      </c>
      <c r="T34" s="12">
        <f t="shared" si="0"/>
        <v>78.10057920382458</v>
      </c>
      <c r="U34" s="2">
        <v>5163</v>
      </c>
      <c r="V34" s="23">
        <f t="shared" si="1"/>
        <v>47.467132481382734</v>
      </c>
      <c r="W34" s="5">
        <f t="shared" si="2"/>
        <v>0.39223072395526781</v>
      </c>
      <c r="X34" s="13">
        <f t="shared" si="3"/>
        <v>3332</v>
      </c>
      <c r="Y34" s="967">
        <v>42583</v>
      </c>
      <c r="Z34" s="49">
        <f>'[1]15.16 Meter Data'!Y311</f>
        <v>15542.93600766376</v>
      </c>
      <c r="AA34" s="40">
        <f t="shared" si="41"/>
        <v>142.8972695381425</v>
      </c>
      <c r="AB34" s="1391" t="s">
        <v>1304</v>
      </c>
      <c r="AC34" s="1393">
        <v>83</v>
      </c>
      <c r="AD34" s="5">
        <f t="shared" ref="AD34:AD40" si="42">(S34-Z34)/S34</f>
        <v>-0.82965697559314422</v>
      </c>
      <c r="AE34" s="5"/>
      <c r="AF34" s="51">
        <f t="shared" ref="AF34:AF40" si="43">S34-Z34</f>
        <v>-7047.9360076637604</v>
      </c>
      <c r="AG34" s="4" t="str">
        <f>A34</f>
        <v>NC Veterans Home - Kinston</v>
      </c>
      <c r="AH34" s="15">
        <v>213106</v>
      </c>
      <c r="AI34" s="7">
        <f t="shared" si="7"/>
        <v>1.9592350832030891</v>
      </c>
      <c r="AJ34" s="15">
        <v>120807</v>
      </c>
      <c r="AK34" s="7">
        <f t="shared" si="8"/>
        <v>1.1106647053415464</v>
      </c>
      <c r="AL34" s="8">
        <f t="shared" si="9"/>
        <v>0.43311309864574438</v>
      </c>
      <c r="AM34" s="16">
        <f t="shared" si="10"/>
        <v>92299</v>
      </c>
      <c r="AN34" s="15">
        <f>'[1]15.16 Meter Data'!W315</f>
        <v>200385.00999999998</v>
      </c>
      <c r="AO34" s="22">
        <f t="shared" ref="AO34:AO40" si="44">AN34/M34</f>
        <v>1.8422819711317457</v>
      </c>
      <c r="AP34" s="47">
        <f t="shared" ref="AP34:AP40" si="45">(AH34-AN34)/AH34</f>
        <v>5.9693251245858961E-2</v>
      </c>
      <c r="AQ34" s="48">
        <f t="shared" ref="AQ34:AQ40" si="46">AH34-AN34</f>
        <v>12720.99000000002</v>
      </c>
      <c r="AR34" s="4" t="str">
        <f>A34</f>
        <v>NC Veterans Home - Kinston</v>
      </c>
      <c r="AS34" s="2">
        <v>4378540</v>
      </c>
      <c r="AT34" s="2">
        <f>AS34/L34</f>
        <v>43785.4</v>
      </c>
      <c r="AU34" s="2">
        <f t="shared" si="14"/>
        <v>40.255033557046978</v>
      </c>
      <c r="AV34" s="2">
        <v>3400982</v>
      </c>
      <c r="AW34" s="9">
        <f>AV34/L34</f>
        <v>34009.82</v>
      </c>
      <c r="AX34" s="2">
        <f t="shared" si="15"/>
        <v>31.267647329226808</v>
      </c>
      <c r="AY34" s="8">
        <f t="shared" si="16"/>
        <v>0.22326117838366213</v>
      </c>
      <c r="AZ34" s="17">
        <f t="shared" si="17"/>
        <v>977558</v>
      </c>
      <c r="BA34" s="242">
        <f>'[1]15.16 Meter Data'!W312</f>
        <v>6710400</v>
      </c>
      <c r="BB34" s="1673">
        <f>BA34/L34</f>
        <v>67104</v>
      </c>
      <c r="BC34" s="2">
        <f t="shared" si="39"/>
        <v>61.693481658545558</v>
      </c>
      <c r="BD34" s="8">
        <f t="shared" si="40"/>
        <v>-0.53256564973712694</v>
      </c>
      <c r="BE34" s="4" t="str">
        <f>A34</f>
        <v>NC Veterans Home - Kinston</v>
      </c>
      <c r="BF34" s="64">
        <v>12903000</v>
      </c>
      <c r="BG34" s="42">
        <f t="shared" si="38"/>
        <v>118.62645950170084</v>
      </c>
      <c r="BH34" s="346">
        <f>BF34-300872</f>
        <v>12602128</v>
      </c>
      <c r="BI34" s="15">
        <v>1077600</v>
      </c>
      <c r="BJ34" s="15">
        <v>0</v>
      </c>
      <c r="BK34" s="3"/>
      <c r="BL34" s="15">
        <v>107804</v>
      </c>
      <c r="BM34" s="1353">
        <f>((BF34-BH34)+BJ34+BK34+BL34)/AM34</f>
        <v>4.4277402788762608</v>
      </c>
      <c r="BN34" s="1" t="s">
        <v>299</v>
      </c>
      <c r="BO34" s="11" t="s">
        <v>247</v>
      </c>
    </row>
    <row r="35" spans="1:67" s="41" customFormat="1" ht="27.6" customHeight="1" x14ac:dyDescent="0.2">
      <c r="A35" s="1355" t="s">
        <v>527</v>
      </c>
      <c r="B35" s="915" t="s">
        <v>954</v>
      </c>
      <c r="C35" s="11" t="s">
        <v>63</v>
      </c>
      <c r="D35" s="11" t="s">
        <v>985</v>
      </c>
      <c r="E35" s="11" t="s">
        <v>545</v>
      </c>
      <c r="F35" s="1" t="s">
        <v>104</v>
      </c>
      <c r="G35" s="33">
        <v>40522</v>
      </c>
      <c r="H35" s="11" t="s">
        <v>10</v>
      </c>
      <c r="I35" s="33">
        <v>40631</v>
      </c>
      <c r="J35" s="60">
        <v>41213</v>
      </c>
      <c r="K35" s="4" t="s">
        <v>105</v>
      </c>
      <c r="L35" s="11" t="s">
        <v>13</v>
      </c>
      <c r="M35" s="6">
        <v>43290</v>
      </c>
      <c r="N35" s="6"/>
      <c r="O35" s="49">
        <v>2</v>
      </c>
      <c r="P35" s="1355" t="s">
        <v>527</v>
      </c>
      <c r="Q35" s="11" t="s">
        <v>247</v>
      </c>
      <c r="R35" s="11">
        <v>3</v>
      </c>
      <c r="S35" s="2">
        <v>8320</v>
      </c>
      <c r="T35" s="12">
        <f t="shared" si="0"/>
        <v>192.19219219219218</v>
      </c>
      <c r="U35" s="2">
        <v>5184</v>
      </c>
      <c r="V35" s="23">
        <f t="shared" si="1"/>
        <v>119.75051975051976</v>
      </c>
      <c r="W35" s="5">
        <f t="shared" si="2"/>
        <v>0.37692307692307692</v>
      </c>
      <c r="X35" s="13">
        <f t="shared" si="3"/>
        <v>3136</v>
      </c>
      <c r="Y35" s="967">
        <v>42587</v>
      </c>
      <c r="Z35" s="49">
        <f>'[1]15.16 Meter Data'!Y302</f>
        <v>9016.7795875044067</v>
      </c>
      <c r="AA35" s="40">
        <f t="shared" si="41"/>
        <v>208.28781675916855</v>
      </c>
      <c r="AB35" s="1391" t="s">
        <v>1300</v>
      </c>
      <c r="AC35" s="1393">
        <v>62</v>
      </c>
      <c r="AD35" s="5">
        <f t="shared" si="42"/>
        <v>-8.3747546575048876E-2</v>
      </c>
      <c r="AE35" s="5"/>
      <c r="AF35" s="51">
        <f t="shared" si="43"/>
        <v>-696.77958750440666</v>
      </c>
      <c r="AG35" s="1355" t="s">
        <v>527</v>
      </c>
      <c r="AH35" s="15">
        <v>65175</v>
      </c>
      <c r="AI35" s="7">
        <f t="shared" si="7"/>
        <v>1.5055440055440055</v>
      </c>
      <c r="AJ35" s="15">
        <v>44151</v>
      </c>
      <c r="AK35" s="7">
        <f t="shared" si="8"/>
        <v>1.0198891198891198</v>
      </c>
      <c r="AL35" s="8">
        <f t="shared" si="9"/>
        <v>0.32257767548906791</v>
      </c>
      <c r="AM35" s="16">
        <f t="shared" si="10"/>
        <v>21024</v>
      </c>
      <c r="AN35" s="15">
        <f>'[1]15.16 Meter Data'!W306</f>
        <v>132230.95667009696</v>
      </c>
      <c r="AO35" s="22">
        <f t="shared" si="44"/>
        <v>3.0545381536173934</v>
      </c>
      <c r="AP35" s="47">
        <f t="shared" si="45"/>
        <v>-1.0288600946696886</v>
      </c>
      <c r="AQ35" s="48">
        <f t="shared" si="46"/>
        <v>-67055.956670096959</v>
      </c>
      <c r="AR35" s="1355" t="s">
        <v>527</v>
      </c>
      <c r="AS35" s="2">
        <v>1349491</v>
      </c>
      <c r="AT35" s="9" t="s">
        <v>13</v>
      </c>
      <c r="AU35" s="2">
        <f t="shared" si="14"/>
        <v>31.173273273273274</v>
      </c>
      <c r="AV35" s="2">
        <v>1113354</v>
      </c>
      <c r="AW35" s="9" t="s">
        <v>13</v>
      </c>
      <c r="AX35" s="2">
        <f t="shared" si="15"/>
        <v>25.718503118503119</v>
      </c>
      <c r="AY35" s="8">
        <f t="shared" si="16"/>
        <v>0.17498227109332334</v>
      </c>
      <c r="AZ35" s="17">
        <f t="shared" si="17"/>
        <v>236137</v>
      </c>
      <c r="BA35" s="2">
        <f>'[1]15.16 Meter Data'!W303</f>
        <v>2412382.2800000003</v>
      </c>
      <c r="BB35" s="9" t="s">
        <v>13</v>
      </c>
      <c r="BC35" s="2">
        <f t="shared" si="39"/>
        <v>55.726086394086401</v>
      </c>
      <c r="BD35" s="8">
        <f t="shared" si="40"/>
        <v>-0.78762383743203934</v>
      </c>
      <c r="BE35" s="1355" t="s">
        <v>527</v>
      </c>
      <c r="BF35" s="65">
        <f>300*M35</f>
        <v>12987000</v>
      </c>
      <c r="BG35" s="1227">
        <f t="shared" si="38"/>
        <v>300</v>
      </c>
      <c r="BH35" s="346">
        <f>BF35-465544</f>
        <v>12521456</v>
      </c>
      <c r="BI35" s="15">
        <v>3448472</v>
      </c>
      <c r="BJ35" s="15">
        <v>45000</v>
      </c>
      <c r="BK35" s="3"/>
      <c r="BL35" s="15">
        <v>99500</v>
      </c>
      <c r="BM35" s="1353"/>
      <c r="BN35" s="1" t="s">
        <v>295</v>
      </c>
      <c r="BO35" s="11" t="s">
        <v>247</v>
      </c>
    </row>
    <row r="36" spans="1:67" s="41" customFormat="1" ht="27.6" customHeight="1" x14ac:dyDescent="0.2">
      <c r="A36" s="4" t="s">
        <v>1335</v>
      </c>
      <c r="B36" s="915" t="s">
        <v>950</v>
      </c>
      <c r="C36" s="11" t="s">
        <v>78</v>
      </c>
      <c r="D36" s="11" t="s">
        <v>999</v>
      </c>
      <c r="E36" s="11" t="s">
        <v>619</v>
      </c>
      <c r="F36" s="1" t="s">
        <v>23</v>
      </c>
      <c r="G36" s="33">
        <v>40520</v>
      </c>
      <c r="H36" s="11" t="s">
        <v>10</v>
      </c>
      <c r="I36" s="33">
        <v>40830</v>
      </c>
      <c r="J36" s="60">
        <v>41240</v>
      </c>
      <c r="K36" s="4" t="s">
        <v>88</v>
      </c>
      <c r="L36" s="11" t="s">
        <v>13</v>
      </c>
      <c r="M36" s="6">
        <v>43967</v>
      </c>
      <c r="N36" s="6"/>
      <c r="O36" s="49">
        <v>1</v>
      </c>
      <c r="P36" s="4" t="str">
        <f>A36</f>
        <v xml:space="preserve">Continuing Education and Industrial Center </v>
      </c>
      <c r="Q36" s="11" t="s">
        <v>247</v>
      </c>
      <c r="R36" s="11">
        <v>3</v>
      </c>
      <c r="S36" s="2">
        <v>2940</v>
      </c>
      <c r="T36" s="12">
        <f t="shared" si="0"/>
        <v>66.868333067982803</v>
      </c>
      <c r="U36" s="2">
        <v>1839</v>
      </c>
      <c r="V36" s="23">
        <f t="shared" si="1"/>
        <v>41.826824663952507</v>
      </c>
      <c r="W36" s="5">
        <f t="shared" si="2"/>
        <v>0.37448979591836734</v>
      </c>
      <c r="X36" s="13">
        <f t="shared" si="3"/>
        <v>1101</v>
      </c>
      <c r="Y36" s="967">
        <v>42585</v>
      </c>
      <c r="Z36" s="74">
        <f>'[1]15.16 Meter Data'!Y320</f>
        <v>3543.0363477204082</v>
      </c>
      <c r="AA36" s="40">
        <f t="shared" si="41"/>
        <v>80.583991350795088</v>
      </c>
      <c r="AB36" s="1391" t="s">
        <v>1300</v>
      </c>
      <c r="AC36" s="1393">
        <v>72</v>
      </c>
      <c r="AD36" s="5">
        <f t="shared" si="42"/>
        <v>-0.20511440398653341</v>
      </c>
      <c r="AE36" s="5"/>
      <c r="AF36" s="51">
        <f t="shared" si="43"/>
        <v>-603.03634772040823</v>
      </c>
      <c r="AG36" s="4" t="str">
        <f>A36</f>
        <v xml:space="preserve">Continuing Education and Industrial Center </v>
      </c>
      <c r="AH36" s="15">
        <v>67485</v>
      </c>
      <c r="AI36" s="7">
        <f t="shared" si="7"/>
        <v>1.5349011758819113</v>
      </c>
      <c r="AJ36" s="15">
        <v>43675</v>
      </c>
      <c r="AK36" s="7">
        <f t="shared" si="8"/>
        <v>0.99335865535515278</v>
      </c>
      <c r="AL36" s="8">
        <f t="shared" si="9"/>
        <v>0.35281914499518413</v>
      </c>
      <c r="AM36" s="16">
        <f t="shared" si="10"/>
        <v>23810</v>
      </c>
      <c r="AN36" s="15">
        <f>'[1]15.16 Meter Data'!W324</f>
        <v>78538.2</v>
      </c>
      <c r="AO36" s="22">
        <f t="shared" si="44"/>
        <v>1.786298815020356</v>
      </c>
      <c r="AP36" s="47">
        <f t="shared" si="45"/>
        <v>-0.16378750833518554</v>
      </c>
      <c r="AQ36" s="48">
        <f t="shared" si="46"/>
        <v>-11053.199999999997</v>
      </c>
      <c r="AR36" s="4" t="str">
        <f>A36</f>
        <v xml:space="preserve">Continuing Education and Industrial Center </v>
      </c>
      <c r="AS36" s="2">
        <v>544858</v>
      </c>
      <c r="AT36" s="9" t="s">
        <v>13</v>
      </c>
      <c r="AU36" s="2">
        <f t="shared" si="14"/>
        <v>12.392430686651352</v>
      </c>
      <c r="AV36" s="2">
        <v>436998</v>
      </c>
      <c r="AW36" s="9" t="s">
        <v>13</v>
      </c>
      <c r="AX36" s="2">
        <f t="shared" si="15"/>
        <v>9.9392271476334528</v>
      </c>
      <c r="AY36" s="8">
        <f t="shared" si="16"/>
        <v>0.1979598354066564</v>
      </c>
      <c r="AZ36" s="17">
        <f t="shared" si="17"/>
        <v>107860</v>
      </c>
      <c r="BA36" s="242">
        <f>'[1]15.16 Meter Data'!W321</f>
        <v>27302</v>
      </c>
      <c r="BB36" s="9" t="s">
        <v>13</v>
      </c>
      <c r="BC36" s="2">
        <f t="shared" si="39"/>
        <v>0.62096572429321995</v>
      </c>
      <c r="BD36" s="8">
        <f t="shared" si="40"/>
        <v>0.94989153137147664</v>
      </c>
      <c r="BE36" s="4" t="str">
        <f>A36</f>
        <v xml:space="preserve">Continuing Education and Industrial Center </v>
      </c>
      <c r="BF36" s="64">
        <v>6361300</v>
      </c>
      <c r="BG36" s="42">
        <f t="shared" si="38"/>
        <v>144.68351263447585</v>
      </c>
      <c r="BH36" s="346">
        <f>BF36-300735</f>
        <v>6060565</v>
      </c>
      <c r="BI36" s="15">
        <v>363200</v>
      </c>
      <c r="BJ36" s="15">
        <v>0</v>
      </c>
      <c r="BK36" s="3"/>
      <c r="BL36" s="15">
        <v>49800</v>
      </c>
      <c r="BM36" s="1353">
        <f t="shared" ref="BM36:BM44" si="47">((BF36-BH36)+BJ36+BK36+BL36)/AM36</f>
        <v>14.722175556488871</v>
      </c>
      <c r="BN36" s="1" t="s">
        <v>300</v>
      </c>
      <c r="BO36" s="11" t="s">
        <v>247</v>
      </c>
    </row>
    <row r="37" spans="1:67" s="41" customFormat="1" ht="27.6" customHeight="1" x14ac:dyDescent="0.2">
      <c r="A37" s="4" t="s">
        <v>540</v>
      </c>
      <c r="B37" s="915" t="s">
        <v>950</v>
      </c>
      <c r="C37" s="11" t="s">
        <v>26</v>
      </c>
      <c r="D37" s="11" t="s">
        <v>984</v>
      </c>
      <c r="E37" s="11" t="s">
        <v>508</v>
      </c>
      <c r="F37" s="1" t="s">
        <v>25</v>
      </c>
      <c r="G37" s="33">
        <v>40409</v>
      </c>
      <c r="H37" s="11" t="s">
        <v>10</v>
      </c>
      <c r="I37" s="33">
        <v>40337</v>
      </c>
      <c r="J37" s="60">
        <v>41261</v>
      </c>
      <c r="K37" s="4" t="s">
        <v>28</v>
      </c>
      <c r="L37" s="11" t="s">
        <v>13</v>
      </c>
      <c r="M37" s="6">
        <v>50560</v>
      </c>
      <c r="N37" s="6"/>
      <c r="O37" s="49">
        <v>4</v>
      </c>
      <c r="P37" s="4" t="s">
        <v>27</v>
      </c>
      <c r="Q37" s="11" t="s">
        <v>247</v>
      </c>
      <c r="R37" s="11">
        <v>5</v>
      </c>
      <c r="S37" s="2">
        <v>2185</v>
      </c>
      <c r="T37" s="12">
        <f t="shared" si="0"/>
        <v>43.215981012658226</v>
      </c>
      <c r="U37" s="2">
        <v>1346</v>
      </c>
      <c r="V37" s="23">
        <f t="shared" si="1"/>
        <v>26.621835443037973</v>
      </c>
      <c r="W37" s="5">
        <f t="shared" si="2"/>
        <v>0.38398169336384441</v>
      </c>
      <c r="X37" s="13">
        <f t="shared" si="3"/>
        <v>839</v>
      </c>
      <c r="Y37" s="967">
        <v>42594</v>
      </c>
      <c r="Z37" s="49">
        <f>'[1]15.16 Meter Data'!Y329</f>
        <v>10320.701529586629</v>
      </c>
      <c r="AA37" s="40">
        <f t="shared" si="41"/>
        <v>204.12779924024187</v>
      </c>
      <c r="AB37" s="1391" t="s">
        <v>1311</v>
      </c>
      <c r="AC37" s="1393">
        <v>179</v>
      </c>
      <c r="AD37" s="5">
        <f t="shared" si="42"/>
        <v>-3.7234331943188237</v>
      </c>
      <c r="AE37" s="5"/>
      <c r="AF37" s="51">
        <f t="shared" si="43"/>
        <v>-8135.7015295866295</v>
      </c>
      <c r="AG37" s="4" t="s">
        <v>27</v>
      </c>
      <c r="AH37" s="15">
        <v>53367</v>
      </c>
      <c r="AI37" s="7">
        <f t="shared" si="7"/>
        <v>1.0555181962025317</v>
      </c>
      <c r="AJ37" s="15">
        <v>32912</v>
      </c>
      <c r="AK37" s="7">
        <f t="shared" si="8"/>
        <v>0.65094936708860762</v>
      </c>
      <c r="AL37" s="8">
        <f t="shared" si="9"/>
        <v>0.38328929863023964</v>
      </c>
      <c r="AM37" s="16">
        <f t="shared" si="10"/>
        <v>20455</v>
      </c>
      <c r="AN37" s="15">
        <f>'[1]15.16 Meter Data'!W333</f>
        <v>240223.27425000002</v>
      </c>
      <c r="AO37" s="22">
        <f t="shared" si="44"/>
        <v>4.7512514685522156</v>
      </c>
      <c r="AP37" s="47">
        <f t="shared" si="45"/>
        <v>-3.5013449182078817</v>
      </c>
      <c r="AQ37" s="48">
        <f t="shared" si="46"/>
        <v>-186856.27425000002</v>
      </c>
      <c r="AR37" s="4" t="s">
        <v>27</v>
      </c>
      <c r="AS37" s="2">
        <v>1220706</v>
      </c>
      <c r="AT37" s="9" t="s">
        <v>13</v>
      </c>
      <c r="AU37" s="2">
        <f t="shared" si="14"/>
        <v>24.143710443037975</v>
      </c>
      <c r="AV37" s="2">
        <v>950466</v>
      </c>
      <c r="AW37" s="9" t="s">
        <v>13</v>
      </c>
      <c r="AX37" s="2">
        <f t="shared" si="15"/>
        <v>18.798773734177214</v>
      </c>
      <c r="AY37" s="8">
        <f t="shared" si="16"/>
        <v>0.22138008660562003</v>
      </c>
      <c r="AZ37" s="17">
        <f t="shared" si="17"/>
        <v>270240</v>
      </c>
      <c r="BA37" s="242">
        <f>'[1]15.16 Meter Data'!W330</f>
        <v>3402873</v>
      </c>
      <c r="BB37" s="9" t="s">
        <v>13</v>
      </c>
      <c r="BC37" s="2">
        <f t="shared" si="39"/>
        <v>67.303659018987346</v>
      </c>
      <c r="BD37" s="8">
        <f t="shared" si="40"/>
        <v>-1.7876269961808986</v>
      </c>
      <c r="BE37" s="4" t="s">
        <v>27</v>
      </c>
      <c r="BF37" s="65">
        <v>15232506</v>
      </c>
      <c r="BG37" s="42">
        <f t="shared" si="38"/>
        <v>301.27583069620255</v>
      </c>
      <c r="BH37" s="346">
        <f>BF37-603500</f>
        <v>14629006</v>
      </c>
      <c r="BI37" s="15">
        <f>3650080*0.27</f>
        <v>985521.60000000009</v>
      </c>
      <c r="BJ37" s="15">
        <v>90950</v>
      </c>
      <c r="BK37" s="3"/>
      <c r="BL37" s="15">
        <f>263882*0.27</f>
        <v>71248.14</v>
      </c>
      <c r="BM37" s="1353">
        <f t="shared" si="47"/>
        <v>37.433299437790275</v>
      </c>
      <c r="BN37" s="1" t="s">
        <v>294</v>
      </c>
      <c r="BO37" s="11" t="s">
        <v>247</v>
      </c>
    </row>
    <row r="38" spans="1:67" s="41" customFormat="1" ht="27.6" customHeight="1" x14ac:dyDescent="0.2">
      <c r="A38" s="4" t="s">
        <v>1021</v>
      </c>
      <c r="B38" s="915" t="s">
        <v>953</v>
      </c>
      <c r="C38" s="11" t="s">
        <v>26</v>
      </c>
      <c r="D38" s="11" t="s">
        <v>984</v>
      </c>
      <c r="E38" s="11" t="s">
        <v>508</v>
      </c>
      <c r="F38" s="1" t="s">
        <v>25</v>
      </c>
      <c r="G38" s="33">
        <v>40409</v>
      </c>
      <c r="H38" s="11" t="s">
        <v>10</v>
      </c>
      <c r="I38" s="33">
        <v>40337</v>
      </c>
      <c r="J38" s="60">
        <v>41261</v>
      </c>
      <c r="K38" s="4" t="s">
        <v>192</v>
      </c>
      <c r="L38" s="11">
        <v>333</v>
      </c>
      <c r="M38" s="6">
        <v>128585</v>
      </c>
      <c r="N38" s="19">
        <f>M38/L38</f>
        <v>386.14114114114113</v>
      </c>
      <c r="O38" s="1356" t="s">
        <v>34</v>
      </c>
      <c r="P38" s="4" t="s">
        <v>1021</v>
      </c>
      <c r="Q38" s="11" t="s">
        <v>247</v>
      </c>
      <c r="R38" s="11">
        <v>5</v>
      </c>
      <c r="S38" s="2">
        <v>6323</v>
      </c>
      <c r="T38" s="12">
        <f t="shared" si="0"/>
        <v>49.173698331842751</v>
      </c>
      <c r="U38" s="2">
        <v>3660</v>
      </c>
      <c r="V38" s="23">
        <f t="shared" si="1"/>
        <v>28.46366216899327</v>
      </c>
      <c r="W38" s="5">
        <f t="shared" si="2"/>
        <v>0.4211608413727661</v>
      </c>
      <c r="X38" s="13">
        <f t="shared" si="3"/>
        <v>2663</v>
      </c>
      <c r="Y38" s="967">
        <v>42594</v>
      </c>
      <c r="Z38" s="49">
        <f>'[1]15.16 Meter Data'!Y338</f>
        <v>8394.0739864223942</v>
      </c>
      <c r="AA38" s="40">
        <f t="shared" si="41"/>
        <v>65.28035141285838</v>
      </c>
      <c r="AB38" s="1391" t="s">
        <v>1300</v>
      </c>
      <c r="AC38" s="1393">
        <v>78</v>
      </c>
      <c r="AD38" s="5">
        <f t="shared" si="42"/>
        <v>-0.32754609938674589</v>
      </c>
      <c r="AE38" s="5"/>
      <c r="AF38" s="51">
        <f t="shared" si="43"/>
        <v>-2071.0739864223942</v>
      </c>
      <c r="AG38" s="4" t="s">
        <v>1021</v>
      </c>
      <c r="AH38" s="15">
        <v>153208</v>
      </c>
      <c r="AI38" s="7">
        <f t="shared" si="7"/>
        <v>1.1914920091768091</v>
      </c>
      <c r="AJ38" s="15">
        <v>89024</v>
      </c>
      <c r="AK38" s="7">
        <f t="shared" si="8"/>
        <v>0.69233580899793912</v>
      </c>
      <c r="AL38" s="8">
        <f t="shared" si="9"/>
        <v>0.4189337371416636</v>
      </c>
      <c r="AM38" s="16">
        <f t="shared" si="10"/>
        <v>64184</v>
      </c>
      <c r="AN38" s="15">
        <f>'[1]15.16 Meter Data'!W342</f>
        <v>208325.36600000001</v>
      </c>
      <c r="AO38" s="22">
        <f t="shared" si="44"/>
        <v>1.6201373877201852</v>
      </c>
      <c r="AP38" s="47">
        <f t="shared" si="45"/>
        <v>-0.35975514333455177</v>
      </c>
      <c r="AQ38" s="48">
        <f t="shared" si="46"/>
        <v>-55117.366000000009</v>
      </c>
      <c r="AR38" s="4" t="s">
        <v>1021</v>
      </c>
      <c r="AS38" s="2">
        <v>3388865</v>
      </c>
      <c r="AT38" s="2">
        <f>AS38/L38</f>
        <v>10176.771771771771</v>
      </c>
      <c r="AU38" s="2">
        <f t="shared" si="14"/>
        <v>26.355056966209123</v>
      </c>
      <c r="AV38" s="2">
        <v>1928009</v>
      </c>
      <c r="AW38" s="9">
        <f>AV38/L38</f>
        <v>5789.8168168168168</v>
      </c>
      <c r="AX38" s="2">
        <f t="shared" si="15"/>
        <v>14.994042851032392</v>
      </c>
      <c r="AY38" s="8">
        <f t="shared" si="16"/>
        <v>0.43107530102261377</v>
      </c>
      <c r="AZ38" s="17">
        <f t="shared" si="17"/>
        <v>1460856</v>
      </c>
      <c r="BA38" s="242">
        <f>'[1]15.16 Meter Data'!W339</f>
        <v>2363896</v>
      </c>
      <c r="BB38" s="2">
        <f>BA38/L38</f>
        <v>7098.7867867867872</v>
      </c>
      <c r="BC38" s="2">
        <f t="shared" si="39"/>
        <v>18.383917253178833</v>
      </c>
      <c r="BD38" s="8">
        <f t="shared" si="40"/>
        <v>0.30245200089115382</v>
      </c>
      <c r="BE38" s="4" t="s">
        <v>1021</v>
      </c>
      <c r="BF38" s="244">
        <v>40691217</v>
      </c>
      <c r="BG38" s="42">
        <f t="shared" si="38"/>
        <v>316.45383987245793</v>
      </c>
      <c r="BH38" s="346">
        <f>BF38-1381478</f>
        <v>39309739</v>
      </c>
      <c r="BI38" s="71">
        <f>3650080*0.73</f>
        <v>2664558.4</v>
      </c>
      <c r="BJ38" s="15">
        <v>94925</v>
      </c>
      <c r="BK38" s="3"/>
      <c r="BL38" s="71">
        <f>263882*0.73</f>
        <v>192633.86</v>
      </c>
      <c r="BM38" s="1353">
        <f t="shared" si="47"/>
        <v>26.003939611118035</v>
      </c>
      <c r="BN38" s="1" t="s">
        <v>294</v>
      </c>
      <c r="BO38" s="11" t="s">
        <v>247</v>
      </c>
    </row>
    <row r="39" spans="1:67" s="41" customFormat="1" ht="27.6" customHeight="1" x14ac:dyDescent="0.2">
      <c r="A39" s="3" t="s">
        <v>541</v>
      </c>
      <c r="B39" s="915" t="s">
        <v>954</v>
      </c>
      <c r="C39" s="11" t="s">
        <v>98</v>
      </c>
      <c r="D39" s="11" t="s">
        <v>996</v>
      </c>
      <c r="E39" s="11" t="s">
        <v>723</v>
      </c>
      <c r="F39" s="1" t="s">
        <v>492</v>
      </c>
      <c r="G39" s="33">
        <v>40332</v>
      </c>
      <c r="H39" s="77" t="s">
        <v>4</v>
      </c>
      <c r="I39" s="33">
        <v>40756</v>
      </c>
      <c r="J39" s="60">
        <v>41303</v>
      </c>
      <c r="K39" s="4" t="s">
        <v>200</v>
      </c>
      <c r="L39" s="11" t="s">
        <v>13</v>
      </c>
      <c r="M39" s="6">
        <v>68000</v>
      </c>
      <c r="N39" s="6"/>
      <c r="O39" s="83">
        <v>2</v>
      </c>
      <c r="P39" s="3" t="s">
        <v>493</v>
      </c>
      <c r="Q39" s="11" t="s">
        <v>247</v>
      </c>
      <c r="R39" s="11">
        <v>3</v>
      </c>
      <c r="S39" s="2">
        <v>31233</v>
      </c>
      <c r="T39" s="12">
        <f t="shared" si="0"/>
        <v>459.30882352941177</v>
      </c>
      <c r="U39" s="2">
        <v>19781</v>
      </c>
      <c r="V39" s="23">
        <f t="shared" si="1"/>
        <v>290.89705882352939</v>
      </c>
      <c r="W39" s="5">
        <f t="shared" si="2"/>
        <v>0.36666346492491914</v>
      </c>
      <c r="X39" s="13">
        <f t="shared" si="3"/>
        <v>11452</v>
      </c>
      <c r="Y39" s="967" t="s">
        <v>352</v>
      </c>
      <c r="Z39" s="49"/>
      <c r="AA39" s="40">
        <f t="shared" si="41"/>
        <v>0</v>
      </c>
      <c r="AB39" s="1391" t="s">
        <v>1303</v>
      </c>
      <c r="AC39" s="1393">
        <v>175</v>
      </c>
      <c r="AD39" s="5"/>
      <c r="AE39" s="1611"/>
      <c r="AF39" s="51"/>
      <c r="AG39" s="3" t="s">
        <v>493</v>
      </c>
      <c r="AH39" s="15">
        <v>425995</v>
      </c>
      <c r="AI39" s="7">
        <f t="shared" si="7"/>
        <v>6.2646323529411765</v>
      </c>
      <c r="AJ39" s="15">
        <v>301801</v>
      </c>
      <c r="AK39" s="7">
        <f t="shared" si="8"/>
        <v>4.43825</v>
      </c>
      <c r="AL39" s="8">
        <f t="shared" si="9"/>
        <v>0.2915386330825479</v>
      </c>
      <c r="AM39" s="16">
        <f t="shared" si="10"/>
        <v>124194</v>
      </c>
      <c r="AN39" s="15"/>
      <c r="AO39" s="22"/>
      <c r="AP39" s="47"/>
      <c r="AQ39" s="48"/>
      <c r="AR39" s="3" t="s">
        <v>493</v>
      </c>
      <c r="AS39" s="2">
        <v>5139169</v>
      </c>
      <c r="AT39" s="9" t="s">
        <v>13</v>
      </c>
      <c r="AU39" s="2">
        <f t="shared" si="14"/>
        <v>75.576014705882358</v>
      </c>
      <c r="AV39" s="2">
        <v>4083469</v>
      </c>
      <c r="AW39" s="9" t="s">
        <v>13</v>
      </c>
      <c r="AX39" s="2">
        <f t="shared" si="15"/>
        <v>60.051014705882352</v>
      </c>
      <c r="AY39" s="8">
        <f t="shared" si="16"/>
        <v>0.20542231633168709</v>
      </c>
      <c r="AZ39" s="17">
        <f t="shared" si="17"/>
        <v>1055700</v>
      </c>
      <c r="BA39" s="1"/>
      <c r="BB39" s="2"/>
      <c r="BC39" s="2"/>
      <c r="BD39" s="2"/>
      <c r="BE39" s="3" t="s">
        <v>493</v>
      </c>
      <c r="BF39" s="64">
        <v>24371201</v>
      </c>
      <c r="BG39" s="42">
        <f t="shared" si="38"/>
        <v>358.40001470588237</v>
      </c>
      <c r="BH39" s="15">
        <v>19975000</v>
      </c>
      <c r="BI39" s="15">
        <v>2804957</v>
      </c>
      <c r="BJ39" s="15">
        <v>110280</v>
      </c>
      <c r="BK39" s="3"/>
      <c r="BL39" s="15">
        <v>294243</v>
      </c>
      <c r="BM39" s="1353">
        <f t="shared" si="47"/>
        <v>38.655039695959545</v>
      </c>
      <c r="BN39" s="1" t="s">
        <v>494</v>
      </c>
      <c r="BO39" s="11" t="s">
        <v>247</v>
      </c>
    </row>
    <row r="40" spans="1:67" s="41" customFormat="1" ht="27.6" customHeight="1" x14ac:dyDescent="0.2">
      <c r="A40" s="4" t="s">
        <v>61</v>
      </c>
      <c r="B40" s="915" t="s">
        <v>952</v>
      </c>
      <c r="C40" s="11" t="s">
        <v>45</v>
      </c>
      <c r="D40" s="11" t="s">
        <v>989</v>
      </c>
      <c r="E40" s="28" t="s">
        <v>738</v>
      </c>
      <c r="F40" s="1" t="s">
        <v>44</v>
      </c>
      <c r="G40" s="37">
        <v>40694</v>
      </c>
      <c r="H40" s="1" t="s">
        <v>10</v>
      </c>
      <c r="I40" s="33">
        <v>40875</v>
      </c>
      <c r="J40" s="60">
        <v>41389</v>
      </c>
      <c r="K40" s="4" t="s">
        <v>46</v>
      </c>
      <c r="L40" s="1" t="s">
        <v>13</v>
      </c>
      <c r="M40" s="6">
        <v>54565</v>
      </c>
      <c r="N40" s="6"/>
      <c r="O40" s="14">
        <v>4</v>
      </c>
      <c r="P40" s="4" t="s">
        <v>61</v>
      </c>
      <c r="Q40" s="11" t="s">
        <v>247</v>
      </c>
      <c r="R40" s="11">
        <v>4</v>
      </c>
      <c r="S40" s="2">
        <v>1689</v>
      </c>
      <c r="T40" s="12">
        <f t="shared" si="0"/>
        <v>30.953908182901127</v>
      </c>
      <c r="U40" s="2">
        <v>1116</v>
      </c>
      <c r="V40" s="23">
        <f t="shared" si="1"/>
        <v>20.452671126179784</v>
      </c>
      <c r="W40" s="5">
        <f t="shared" si="2"/>
        <v>0.33925399644760212</v>
      </c>
      <c r="X40" s="6">
        <f t="shared" si="3"/>
        <v>573</v>
      </c>
      <c r="Y40" s="992">
        <v>42570</v>
      </c>
      <c r="Z40" s="2">
        <f>'[1]15.16 Meter Data'!W355</f>
        <v>3202.0765999999999</v>
      </c>
      <c r="AA40" s="40">
        <f t="shared" si="41"/>
        <v>58.6837093374874</v>
      </c>
      <c r="AB40" s="1391" t="s">
        <v>1306</v>
      </c>
      <c r="AC40" s="1393">
        <v>46</v>
      </c>
      <c r="AD40" s="5">
        <f t="shared" si="42"/>
        <v>-0.89584168146832432</v>
      </c>
      <c r="AE40" s="5"/>
      <c r="AF40" s="51">
        <f t="shared" si="43"/>
        <v>-1513.0765999999999</v>
      </c>
      <c r="AG40" s="4" t="s">
        <v>61</v>
      </c>
      <c r="AH40" s="15">
        <v>45238</v>
      </c>
      <c r="AI40" s="7">
        <f t="shared" si="7"/>
        <v>0.82906625125996514</v>
      </c>
      <c r="AJ40" s="15">
        <v>29457</v>
      </c>
      <c r="AK40" s="7">
        <f t="shared" si="8"/>
        <v>0.53985155319343903</v>
      </c>
      <c r="AL40" s="8">
        <f t="shared" si="9"/>
        <v>0.34884389230293117</v>
      </c>
      <c r="AM40" s="15">
        <f t="shared" si="10"/>
        <v>15781</v>
      </c>
      <c r="AN40" s="15">
        <f>'[1]15.16 Meter Data'!W358</f>
        <v>83761.3</v>
      </c>
      <c r="AO40" s="22">
        <f t="shared" si="44"/>
        <v>1.5350737652341244</v>
      </c>
      <c r="AP40" s="47">
        <f t="shared" si="45"/>
        <v>-0.85156947698837271</v>
      </c>
      <c r="AQ40" s="48">
        <f t="shared" si="46"/>
        <v>-38523.300000000003</v>
      </c>
      <c r="AR40" s="4" t="s">
        <v>61</v>
      </c>
      <c r="AS40" s="2">
        <v>175310</v>
      </c>
      <c r="AT40" s="9" t="s">
        <v>13</v>
      </c>
      <c r="AU40" s="10">
        <f t="shared" si="14"/>
        <v>3.2128653899019519</v>
      </c>
      <c r="AV40" s="2">
        <v>116629</v>
      </c>
      <c r="AW40" s="1" t="s">
        <v>13</v>
      </c>
      <c r="AX40" s="10">
        <f t="shared" si="15"/>
        <v>2.1374324200494823</v>
      </c>
      <c r="AY40" s="8">
        <f t="shared" si="16"/>
        <v>0.33472705493126459</v>
      </c>
      <c r="AZ40" s="2">
        <f t="shared" si="17"/>
        <v>58681</v>
      </c>
      <c r="BA40" s="242">
        <f>'[1]15.16 Meter Data'!W356</f>
        <v>229636</v>
      </c>
      <c r="BB40" s="9" t="s">
        <v>13</v>
      </c>
      <c r="BC40" s="2">
        <f>BA40/M40</f>
        <v>4.2084852927700904</v>
      </c>
      <c r="BD40" s="8">
        <f>(AS40-BA40)/AS40</f>
        <v>-0.30988534595858763</v>
      </c>
      <c r="BE40" s="4" t="s">
        <v>61</v>
      </c>
      <c r="BF40" s="64">
        <v>12962700</v>
      </c>
      <c r="BG40" s="42">
        <f t="shared" si="38"/>
        <v>237.56437276642535</v>
      </c>
      <c r="BH40" s="15">
        <v>12687413</v>
      </c>
      <c r="BI40" s="71">
        <v>1125000</v>
      </c>
      <c r="BJ40" s="71">
        <v>6000</v>
      </c>
      <c r="BK40" s="3"/>
      <c r="BL40" s="71">
        <v>56200</v>
      </c>
      <c r="BM40" s="1353">
        <f t="shared" si="47"/>
        <v>21.385653634116977</v>
      </c>
      <c r="BN40" s="1" t="s">
        <v>416</v>
      </c>
      <c r="BO40" s="11" t="s">
        <v>247</v>
      </c>
    </row>
    <row r="41" spans="1:67" s="41" customFormat="1" ht="27.6" customHeight="1" x14ac:dyDescent="0.2">
      <c r="A41" s="20" t="s">
        <v>187</v>
      </c>
      <c r="B41" s="929" t="s">
        <v>952</v>
      </c>
      <c r="C41" s="19" t="s">
        <v>56</v>
      </c>
      <c r="D41" s="19" t="s">
        <v>995</v>
      </c>
      <c r="E41" s="19" t="s">
        <v>546</v>
      </c>
      <c r="F41" s="9" t="s">
        <v>188</v>
      </c>
      <c r="G41" s="36">
        <v>40554</v>
      </c>
      <c r="H41" s="19" t="s">
        <v>189</v>
      </c>
      <c r="I41" s="34">
        <v>40721</v>
      </c>
      <c r="J41" s="61">
        <v>41415</v>
      </c>
      <c r="K41" s="20" t="s">
        <v>190</v>
      </c>
      <c r="L41" s="19" t="s">
        <v>13</v>
      </c>
      <c r="M41" s="6">
        <v>65861</v>
      </c>
      <c r="N41" s="6"/>
      <c r="O41" s="49">
        <v>4</v>
      </c>
      <c r="P41" s="20" t="s">
        <v>187</v>
      </c>
      <c r="Q41" s="11" t="s">
        <v>247</v>
      </c>
      <c r="R41" s="11">
        <v>3</v>
      </c>
      <c r="S41" s="2">
        <v>13356</v>
      </c>
      <c r="T41" s="12">
        <f t="shared" si="0"/>
        <v>202.79072592277674</v>
      </c>
      <c r="U41" s="2">
        <v>9641</v>
      </c>
      <c r="V41" s="23">
        <f t="shared" si="1"/>
        <v>146.38405125947071</v>
      </c>
      <c r="W41" s="5">
        <f t="shared" si="2"/>
        <v>0.27815214135968852</v>
      </c>
      <c r="X41" s="13">
        <f t="shared" si="3"/>
        <v>3715</v>
      </c>
      <c r="Y41" s="967" t="s">
        <v>352</v>
      </c>
      <c r="Z41" s="873"/>
      <c r="AA41" s="2"/>
      <c r="AB41" s="9" t="s">
        <v>1300</v>
      </c>
      <c r="AC41" s="1394">
        <v>62</v>
      </c>
      <c r="AD41" s="2"/>
      <c r="AE41" s="2"/>
      <c r="AF41" s="2"/>
      <c r="AG41" s="20" t="s">
        <v>187</v>
      </c>
      <c r="AH41" s="15">
        <v>151889</v>
      </c>
      <c r="AI41" s="24">
        <f t="shared" si="7"/>
        <v>2.3062054933875888</v>
      </c>
      <c r="AJ41" s="15">
        <v>100888</v>
      </c>
      <c r="AK41" s="24">
        <f t="shared" si="8"/>
        <v>1.5318321920408133</v>
      </c>
      <c r="AL41" s="8">
        <f t="shared" si="9"/>
        <v>0.33577810111331302</v>
      </c>
      <c r="AM41" s="16">
        <f t="shared" si="10"/>
        <v>51001</v>
      </c>
      <c r="AN41" s="916"/>
      <c r="AO41" s="2"/>
      <c r="AP41" s="2"/>
      <c r="AQ41" s="2"/>
      <c r="AR41" s="20" t="s">
        <v>187</v>
      </c>
      <c r="AS41" s="2">
        <v>2163492</v>
      </c>
      <c r="AT41" s="9" t="s">
        <v>13</v>
      </c>
      <c r="AU41" s="2">
        <f t="shared" si="14"/>
        <v>32.849364570838581</v>
      </c>
      <c r="AV41" s="2">
        <v>1785946</v>
      </c>
      <c r="AW41" s="9" t="s">
        <v>13</v>
      </c>
      <c r="AX41" s="2">
        <f t="shared" si="15"/>
        <v>27.116897708810981</v>
      </c>
      <c r="AY41" s="8">
        <f t="shared" si="16"/>
        <v>0.17450769404277899</v>
      </c>
      <c r="AZ41" s="17">
        <f t="shared" si="17"/>
        <v>377546</v>
      </c>
      <c r="BA41" s="1"/>
      <c r="BB41" s="2"/>
      <c r="BC41" s="2"/>
      <c r="BD41" s="2"/>
      <c r="BE41" s="20" t="s">
        <v>187</v>
      </c>
      <c r="BF41" s="64">
        <v>17028032</v>
      </c>
      <c r="BG41" s="42">
        <f t="shared" si="38"/>
        <v>258.54499628004436</v>
      </c>
      <c r="BH41" s="15">
        <v>16327000</v>
      </c>
      <c r="BI41" s="15">
        <v>1576000</v>
      </c>
      <c r="BJ41" s="15">
        <f>67500+67500</f>
        <v>135000</v>
      </c>
      <c r="BK41" s="3"/>
      <c r="BL41" s="15">
        <v>290182</v>
      </c>
      <c r="BM41" s="1353">
        <f t="shared" si="47"/>
        <v>22.08219446677516</v>
      </c>
      <c r="BN41" s="1" t="s">
        <v>295</v>
      </c>
      <c r="BO41" s="11" t="s">
        <v>247</v>
      </c>
    </row>
    <row r="42" spans="1:67" s="41" customFormat="1" ht="27.6" customHeight="1" x14ac:dyDescent="0.2">
      <c r="A42" s="28" t="s">
        <v>210</v>
      </c>
      <c r="B42" s="915" t="s">
        <v>954</v>
      </c>
      <c r="C42" s="11" t="s">
        <v>98</v>
      </c>
      <c r="D42" s="11" t="s">
        <v>996</v>
      </c>
      <c r="E42" s="11" t="s">
        <v>723</v>
      </c>
      <c r="F42" s="1" t="s">
        <v>136</v>
      </c>
      <c r="G42" s="37">
        <v>40331</v>
      </c>
      <c r="H42" s="1" t="s">
        <v>10</v>
      </c>
      <c r="I42" s="33">
        <v>40658</v>
      </c>
      <c r="J42" s="60">
        <v>41416</v>
      </c>
      <c r="K42" s="28" t="s">
        <v>261</v>
      </c>
      <c r="L42" s="1" t="s">
        <v>13</v>
      </c>
      <c r="M42" s="2">
        <v>93917</v>
      </c>
      <c r="N42" s="2"/>
      <c r="O42" s="14">
        <v>2</v>
      </c>
      <c r="P42" s="28" t="s">
        <v>210</v>
      </c>
      <c r="Q42" s="11" t="s">
        <v>247</v>
      </c>
      <c r="R42" s="11">
        <v>3</v>
      </c>
      <c r="S42" s="2">
        <v>22917</v>
      </c>
      <c r="T42" s="10">
        <f t="shared" si="0"/>
        <v>244.01333091985478</v>
      </c>
      <c r="U42" s="2">
        <v>15931</v>
      </c>
      <c r="V42" s="10">
        <f t="shared" si="1"/>
        <v>169.62850176219428</v>
      </c>
      <c r="W42" s="8">
        <f t="shared" si="2"/>
        <v>0.30483920233887507</v>
      </c>
      <c r="X42" s="2">
        <f t="shared" si="3"/>
        <v>6986</v>
      </c>
      <c r="Y42" s="992" t="s">
        <v>352</v>
      </c>
      <c r="Z42" s="2"/>
      <c r="AA42" s="40">
        <f t="shared" ref="AA42:AA64" si="48">Z42/M42*1000</f>
        <v>0</v>
      </c>
      <c r="AB42" s="1391"/>
      <c r="AC42" s="1393"/>
      <c r="AD42" s="5"/>
      <c r="AE42" s="5"/>
      <c r="AF42" s="51"/>
      <c r="AG42" s="28" t="s">
        <v>210</v>
      </c>
      <c r="AH42" s="15">
        <v>351452</v>
      </c>
      <c r="AI42" s="7">
        <f t="shared" si="7"/>
        <v>3.7421553073458478</v>
      </c>
      <c r="AJ42" s="15">
        <v>248190</v>
      </c>
      <c r="AK42" s="7">
        <f t="shared" si="8"/>
        <v>2.6426525549155104</v>
      </c>
      <c r="AL42" s="8">
        <f t="shared" si="9"/>
        <v>0.29381537165814964</v>
      </c>
      <c r="AM42" s="15">
        <f t="shared" si="10"/>
        <v>103262</v>
      </c>
      <c r="AN42" s="15"/>
      <c r="AO42" s="22"/>
      <c r="AP42" s="47"/>
      <c r="AQ42" s="48"/>
      <c r="AR42" s="28" t="s">
        <v>210</v>
      </c>
      <c r="AS42" s="2">
        <v>810220</v>
      </c>
      <c r="AT42" s="1" t="s">
        <v>13</v>
      </c>
      <c r="AU42" s="10">
        <f t="shared" si="14"/>
        <v>8.6269791411565535</v>
      </c>
      <c r="AV42" s="2">
        <v>634243</v>
      </c>
      <c r="AW42" s="1" t="s">
        <v>13</v>
      </c>
      <c r="AX42" s="10">
        <f t="shared" si="15"/>
        <v>6.7532289148929374</v>
      </c>
      <c r="AY42" s="8">
        <f t="shared" si="16"/>
        <v>0.21719656389622571</v>
      </c>
      <c r="AZ42" s="2">
        <f t="shared" si="17"/>
        <v>175977</v>
      </c>
      <c r="BA42" s="242"/>
      <c r="BB42" s="9"/>
      <c r="BC42" s="2"/>
      <c r="BD42" s="8"/>
      <c r="BE42" s="28" t="s">
        <v>210</v>
      </c>
      <c r="BF42" s="64">
        <v>21478228</v>
      </c>
      <c r="BG42" s="42">
        <f t="shared" si="38"/>
        <v>228.6937189220269</v>
      </c>
      <c r="BH42" s="346">
        <f>BF42-632796</f>
        <v>20845432</v>
      </c>
      <c r="BI42" s="468">
        <v>2510110</v>
      </c>
      <c r="BJ42" s="469">
        <f>90000+125000</f>
        <v>215000</v>
      </c>
      <c r="BK42" s="3"/>
      <c r="BL42" s="15">
        <v>126000</v>
      </c>
      <c r="BM42" s="1353">
        <f t="shared" si="47"/>
        <v>9.4303422362534128</v>
      </c>
      <c r="BN42" s="1" t="s">
        <v>297</v>
      </c>
      <c r="BO42" s="11" t="s">
        <v>247</v>
      </c>
    </row>
    <row r="43" spans="1:67" s="41" customFormat="1" ht="27.6" customHeight="1" x14ac:dyDescent="0.2">
      <c r="A43" s="937" t="s">
        <v>285</v>
      </c>
      <c r="B43" s="915" t="s">
        <v>950</v>
      </c>
      <c r="C43" s="11" t="s">
        <v>100</v>
      </c>
      <c r="D43" s="11" t="s">
        <v>1000</v>
      </c>
      <c r="E43" s="11" t="s">
        <v>549</v>
      </c>
      <c r="F43" s="1" t="s">
        <v>99</v>
      </c>
      <c r="G43" s="33">
        <v>40476</v>
      </c>
      <c r="H43" s="11" t="s">
        <v>10</v>
      </c>
      <c r="I43" s="33">
        <v>40680</v>
      </c>
      <c r="J43" s="60">
        <v>41449</v>
      </c>
      <c r="K43" s="4" t="s">
        <v>262</v>
      </c>
      <c r="L43" s="11" t="s">
        <v>13</v>
      </c>
      <c r="M43" s="6">
        <v>91513</v>
      </c>
      <c r="N43" s="6"/>
      <c r="O43" s="49">
        <v>3</v>
      </c>
      <c r="P43" s="937" t="s">
        <v>285</v>
      </c>
      <c r="Q43" s="11" t="s">
        <v>247</v>
      </c>
      <c r="R43" s="11">
        <v>4</v>
      </c>
      <c r="S43" s="2">
        <v>7587</v>
      </c>
      <c r="T43" s="12">
        <f t="shared" si="0"/>
        <v>82.90625375629692</v>
      </c>
      <c r="U43" s="2">
        <v>5004</v>
      </c>
      <c r="V43" s="23">
        <f t="shared" si="1"/>
        <v>54.680755739621695</v>
      </c>
      <c r="W43" s="5">
        <f t="shared" si="2"/>
        <v>0.34045077105575328</v>
      </c>
      <c r="X43" s="13">
        <f t="shared" si="3"/>
        <v>2583</v>
      </c>
      <c r="Y43" s="967">
        <v>42594</v>
      </c>
      <c r="Z43" s="49">
        <f>'[1]15.16 Meter Data'!Y384</f>
        <v>9764.09208176418</v>
      </c>
      <c r="AA43" s="40">
        <f t="shared" si="48"/>
        <v>106.69622984454864</v>
      </c>
      <c r="AB43" s="1391"/>
      <c r="AC43" s="1393"/>
      <c r="AD43" s="5">
        <f t="shared" ref="AD43:AD54" si="49">(S43-Z43)/S43</f>
        <v>-0.28695032051722419</v>
      </c>
      <c r="AE43" s="5"/>
      <c r="AF43" s="51">
        <f t="shared" ref="AF43:AF54" si="50">S43-Z43</f>
        <v>-2177.09208176418</v>
      </c>
      <c r="AG43" s="937" t="s">
        <v>285</v>
      </c>
      <c r="AH43" s="15">
        <v>105529</v>
      </c>
      <c r="AI43" s="7">
        <f t="shared" si="7"/>
        <v>1.1531585676351994</v>
      </c>
      <c r="AJ43" s="15">
        <v>66125</v>
      </c>
      <c r="AK43" s="7">
        <f t="shared" si="8"/>
        <v>0.72257493470872991</v>
      </c>
      <c r="AL43" s="8">
        <f t="shared" si="9"/>
        <v>0.37339499095035489</v>
      </c>
      <c r="AM43" s="16">
        <f t="shared" si="10"/>
        <v>39404</v>
      </c>
      <c r="AN43" s="15">
        <f>'[1]15.16 Meter Data'!W390</f>
        <v>191606.95986111998</v>
      </c>
      <c r="AO43" s="22">
        <f t="shared" ref="AO43:AO54" si="51">AN43/M43</f>
        <v>2.0937676599075536</v>
      </c>
      <c r="AP43" s="47">
        <f t="shared" ref="AP43:AP54" si="52">(AH43-AN43)/AH43</f>
        <v>-0.81568061728169483</v>
      </c>
      <c r="AQ43" s="48">
        <f t="shared" ref="AQ43:AQ54" si="53">AH43-AN43</f>
        <v>-86077.959861119976</v>
      </c>
      <c r="AR43" s="937" t="s">
        <v>285</v>
      </c>
      <c r="AS43" s="2">
        <v>1434603</v>
      </c>
      <c r="AT43" s="9" t="s">
        <v>13</v>
      </c>
      <c r="AU43" s="2">
        <f t="shared" si="14"/>
        <v>15.67649405002568</v>
      </c>
      <c r="AV43" s="2">
        <v>990985</v>
      </c>
      <c r="AW43" s="9" t="s">
        <v>13</v>
      </c>
      <c r="AX43" s="2">
        <f t="shared" si="15"/>
        <v>10.82889862642466</v>
      </c>
      <c r="AY43" s="8">
        <f t="shared" si="16"/>
        <v>0.30922701262997498</v>
      </c>
      <c r="AZ43" s="17">
        <f t="shared" si="17"/>
        <v>443618</v>
      </c>
      <c r="BA43" s="242">
        <f>'[1]15.16 Meter Data'!W385</f>
        <v>597135.88</v>
      </c>
      <c r="BB43" s="9" t="s">
        <v>13</v>
      </c>
      <c r="BC43" s="2">
        <f t="shared" ref="BC43:BC53" si="54">BA43/M43</f>
        <v>6.5251481210319842</v>
      </c>
      <c r="BD43" s="8">
        <f t="shared" ref="BD43:BD53" si="55">(AS43-BA43)/AS43</f>
        <v>0.5837622812722405</v>
      </c>
      <c r="BE43" s="937" t="s">
        <v>285</v>
      </c>
      <c r="BF43" s="64">
        <v>25393206</v>
      </c>
      <c r="BG43" s="42">
        <f t="shared" si="38"/>
        <v>277.48195338367225</v>
      </c>
      <c r="BH43" s="346">
        <f>BF43-77939</f>
        <v>25315267</v>
      </c>
      <c r="BI43" s="15">
        <f>2230879+177240</f>
        <v>2408119</v>
      </c>
      <c r="BJ43" s="68">
        <v>177240</v>
      </c>
      <c r="BK43" s="3"/>
      <c r="BL43" s="15">
        <v>287625</v>
      </c>
      <c r="BM43" s="1353">
        <f t="shared" si="47"/>
        <v>13.775352756065374</v>
      </c>
      <c r="BN43" s="1" t="s">
        <v>305</v>
      </c>
      <c r="BO43" s="11" t="s">
        <v>247</v>
      </c>
    </row>
    <row r="44" spans="1:67" s="41" customFormat="1" ht="27.6" customHeight="1" x14ac:dyDescent="0.2">
      <c r="A44" s="4" t="s">
        <v>956</v>
      </c>
      <c r="B44" s="915" t="s">
        <v>953</v>
      </c>
      <c r="C44" s="11" t="s">
        <v>957</v>
      </c>
      <c r="D44" s="11" t="s">
        <v>1001</v>
      </c>
      <c r="E44" s="969" t="s">
        <v>1043</v>
      </c>
      <c r="F44" s="1" t="s">
        <v>958</v>
      </c>
      <c r="G44" s="37">
        <v>40119</v>
      </c>
      <c r="H44" s="1" t="s">
        <v>407</v>
      </c>
      <c r="I44" s="33">
        <v>40479</v>
      </c>
      <c r="J44" s="60">
        <v>41455</v>
      </c>
      <c r="K44" s="4" t="s">
        <v>959</v>
      </c>
      <c r="L44" s="1" t="s">
        <v>13</v>
      </c>
      <c r="M44" s="6">
        <v>40722</v>
      </c>
      <c r="N44" s="6"/>
      <c r="O44" s="14">
        <v>3</v>
      </c>
      <c r="P44" s="4" t="s">
        <v>956</v>
      </c>
      <c r="Q44" s="11" t="s">
        <v>247</v>
      </c>
      <c r="R44" s="11">
        <v>4</v>
      </c>
      <c r="S44" s="2">
        <v>3603</v>
      </c>
      <c r="T44" s="12">
        <f t="shared" si="0"/>
        <v>88.477972594666284</v>
      </c>
      <c r="U44" s="2">
        <v>1672</v>
      </c>
      <c r="V44" s="23">
        <f t="shared" si="1"/>
        <v>41.058887088060509</v>
      </c>
      <c r="W44" s="5">
        <f t="shared" si="2"/>
        <v>0.5359422703302803</v>
      </c>
      <c r="X44" s="6">
        <f t="shared" si="3"/>
        <v>1931</v>
      </c>
      <c r="Y44" s="992">
        <v>42614</v>
      </c>
      <c r="Z44" s="9">
        <f>'[1]15.16 Meter Data'!Y395</f>
        <v>1859.3974286614559</v>
      </c>
      <c r="AA44" s="40">
        <f t="shared" si="48"/>
        <v>45.660759016292324</v>
      </c>
      <c r="AB44" s="1391" t="s">
        <v>1300</v>
      </c>
      <c r="AC44" s="1393">
        <v>72</v>
      </c>
      <c r="AD44" s="5">
        <f t="shared" si="49"/>
        <v>0.48393077195074774</v>
      </c>
      <c r="AE44" s="1611" t="s">
        <v>955</v>
      </c>
      <c r="AF44" s="51">
        <f t="shared" si="50"/>
        <v>1743.6025713385441</v>
      </c>
      <c r="AG44" s="4" t="s">
        <v>956</v>
      </c>
      <c r="AH44" s="15">
        <v>65069</v>
      </c>
      <c r="AI44" s="7">
        <f t="shared" si="7"/>
        <v>1.5978832080939049</v>
      </c>
      <c r="AJ44" s="15">
        <v>19856</v>
      </c>
      <c r="AK44" s="7">
        <f t="shared" si="8"/>
        <v>0.48759884092136929</v>
      </c>
      <c r="AL44" s="8">
        <f t="shared" si="9"/>
        <v>0.69484700856014381</v>
      </c>
      <c r="AM44" s="15">
        <f t="shared" si="10"/>
        <v>45213</v>
      </c>
      <c r="AN44" s="469">
        <f>'[1]15.16 Meter Data'!W399</f>
        <v>22920.42</v>
      </c>
      <c r="AO44" s="22">
        <f t="shared" si="51"/>
        <v>0.56285103875055253</v>
      </c>
      <c r="AP44" s="47">
        <f t="shared" si="52"/>
        <v>0.64775207856275652</v>
      </c>
      <c r="AQ44" s="48">
        <f t="shared" si="53"/>
        <v>42148.58</v>
      </c>
      <c r="AR44" s="4" t="s">
        <v>956</v>
      </c>
      <c r="AS44" s="2">
        <v>977508</v>
      </c>
      <c r="AT44" s="9" t="s">
        <v>13</v>
      </c>
      <c r="AU44" s="10">
        <f t="shared" si="14"/>
        <v>24.004420215117136</v>
      </c>
      <c r="AV44" s="2">
        <f>AS44-722295</f>
        <v>255213</v>
      </c>
      <c r="AW44" s="9" t="s">
        <v>13</v>
      </c>
      <c r="AX44" s="2">
        <f t="shared" si="15"/>
        <v>6.2672020038308531</v>
      </c>
      <c r="AY44" s="8">
        <f t="shared" si="16"/>
        <v>0.73891466872905387</v>
      </c>
      <c r="AZ44" s="17">
        <f t="shared" si="17"/>
        <v>722295</v>
      </c>
      <c r="BA44" s="9">
        <f>'[1]15.16 Meter Data'!W396</f>
        <v>154338</v>
      </c>
      <c r="BB44" s="9" t="s">
        <v>13</v>
      </c>
      <c r="BC44" s="2">
        <f t="shared" si="54"/>
        <v>3.7900397819360543</v>
      </c>
      <c r="BD44" s="8">
        <f t="shared" si="55"/>
        <v>0.84211075510379452</v>
      </c>
      <c r="BE44" s="4" t="s">
        <v>956</v>
      </c>
      <c r="BF44" s="64">
        <v>8385286</v>
      </c>
      <c r="BG44" s="42">
        <f t="shared" si="38"/>
        <v>205.91537743725749</v>
      </c>
      <c r="BH44" s="433">
        <f>BF44-26353-63254-77323-1684000-72135-26487-32960</f>
        <v>6402774</v>
      </c>
      <c r="BI44" s="71">
        <v>851000</v>
      </c>
      <c r="BJ44" s="433">
        <v>50000</v>
      </c>
      <c r="BK44" s="3"/>
      <c r="BL44" s="71">
        <v>80000</v>
      </c>
      <c r="BM44" s="1353">
        <f t="shared" si="47"/>
        <v>46.723552960431732</v>
      </c>
      <c r="BN44" s="1" t="s">
        <v>960</v>
      </c>
      <c r="BO44" s="11" t="s">
        <v>247</v>
      </c>
    </row>
    <row r="45" spans="1:67" s="41" customFormat="1" ht="27.6" customHeight="1" x14ac:dyDescent="0.2">
      <c r="A45" s="4" t="s">
        <v>531</v>
      </c>
      <c r="B45" s="11" t="s">
        <v>951</v>
      </c>
      <c r="C45" s="11" t="s">
        <v>63</v>
      </c>
      <c r="D45" s="11" t="s">
        <v>985</v>
      </c>
      <c r="E45" s="11" t="s">
        <v>545</v>
      </c>
      <c r="F45" s="1" t="s">
        <v>62</v>
      </c>
      <c r="G45" s="37">
        <v>40899</v>
      </c>
      <c r="H45" s="1" t="s">
        <v>103</v>
      </c>
      <c r="I45" s="33">
        <v>40925</v>
      </c>
      <c r="J45" s="60">
        <v>41464</v>
      </c>
      <c r="K45" s="4" t="s">
        <v>135</v>
      </c>
      <c r="L45" s="1">
        <v>400</v>
      </c>
      <c r="M45" s="6">
        <v>164377</v>
      </c>
      <c r="N45" s="19">
        <f>M45/L45</f>
        <v>410.9425</v>
      </c>
      <c r="O45" s="14">
        <v>5</v>
      </c>
      <c r="P45" s="4" t="s">
        <v>531</v>
      </c>
      <c r="Q45" s="11" t="s">
        <v>247</v>
      </c>
      <c r="R45" s="11">
        <v>3</v>
      </c>
      <c r="S45" s="2">
        <v>10765</v>
      </c>
      <c r="T45" s="12">
        <f t="shared" si="0"/>
        <v>65.489697463757096</v>
      </c>
      <c r="U45" s="2">
        <v>7239</v>
      </c>
      <c r="V45" s="23">
        <f t="shared" si="1"/>
        <v>44.039007890398295</v>
      </c>
      <c r="W45" s="5">
        <f t="shared" si="2"/>
        <v>0.32754296330701349</v>
      </c>
      <c r="X45" s="6">
        <f t="shared" si="3"/>
        <v>3526</v>
      </c>
      <c r="Y45" s="967">
        <v>42587</v>
      </c>
      <c r="Z45" s="2">
        <f>'[1]15.16 Meter Data'!Y404</f>
        <v>9281.6801347333276</v>
      </c>
      <c r="AA45" s="40">
        <f t="shared" si="48"/>
        <v>56.465808079800262</v>
      </c>
      <c r="AB45" s="1391" t="s">
        <v>1298</v>
      </c>
      <c r="AC45" s="1393">
        <v>47</v>
      </c>
      <c r="AD45" s="5">
        <f t="shared" si="49"/>
        <v>0.13779097680136299</v>
      </c>
      <c r="AE45" s="1611"/>
      <c r="AF45" s="51">
        <f t="shared" si="50"/>
        <v>1483.3198652666724</v>
      </c>
      <c r="AG45" s="4" t="s">
        <v>531</v>
      </c>
      <c r="AH45" s="15">
        <v>149183</v>
      </c>
      <c r="AI45" s="7">
        <f t="shared" si="7"/>
        <v>0.90756614368190192</v>
      </c>
      <c r="AJ45" s="15">
        <v>97190</v>
      </c>
      <c r="AK45" s="7">
        <f t="shared" si="8"/>
        <v>0.5912627679054856</v>
      </c>
      <c r="AL45" s="8">
        <f t="shared" si="9"/>
        <v>0.34851826280474318</v>
      </c>
      <c r="AM45" s="15">
        <f t="shared" si="10"/>
        <v>51993</v>
      </c>
      <c r="AN45" s="15">
        <f>'[1]15.16 Meter Data'!W408</f>
        <v>132904.94247130281</v>
      </c>
      <c r="AO45" s="22">
        <f t="shared" si="51"/>
        <v>0.8085373408159463</v>
      </c>
      <c r="AP45" s="47">
        <f t="shared" si="52"/>
        <v>0.10911469489618246</v>
      </c>
      <c r="AQ45" s="48">
        <f t="shared" si="53"/>
        <v>16278.057528697187</v>
      </c>
      <c r="AR45" s="4" t="s">
        <v>531</v>
      </c>
      <c r="AS45" s="2">
        <v>2719308</v>
      </c>
      <c r="AT45" s="2">
        <f>AS45/L45</f>
        <v>6798.27</v>
      </c>
      <c r="AU45" s="10">
        <f t="shared" si="14"/>
        <v>16.543117346100733</v>
      </c>
      <c r="AV45" s="2">
        <v>1869230</v>
      </c>
      <c r="AW45" s="9">
        <f>AV45/L45</f>
        <v>4673.0749999999998</v>
      </c>
      <c r="AX45" s="10">
        <f t="shared" si="15"/>
        <v>11.371603083156403</v>
      </c>
      <c r="AY45" s="8">
        <f t="shared" si="16"/>
        <v>0.31260820767636471</v>
      </c>
      <c r="AZ45" s="2">
        <f t="shared" si="17"/>
        <v>850078</v>
      </c>
      <c r="BA45" s="242">
        <f>'[1]15.16 Meter Data'!W405</f>
        <v>5659473.6799999997</v>
      </c>
      <c r="BB45" s="2">
        <f>BA45/L45</f>
        <v>14148.6842</v>
      </c>
      <c r="BC45" s="2">
        <f t="shared" si="54"/>
        <v>34.429839211081841</v>
      </c>
      <c r="BD45" s="8">
        <f t="shared" si="55"/>
        <v>-1.0812183393716341</v>
      </c>
      <c r="BE45" s="4" t="s">
        <v>531</v>
      </c>
      <c r="BF45" s="64">
        <f>1297571+28729713</f>
        <v>30027284</v>
      </c>
      <c r="BG45" s="42">
        <f t="shared" si="38"/>
        <v>182.67326937466922</v>
      </c>
      <c r="BH45" s="346">
        <f>BF45</f>
        <v>30027284</v>
      </c>
      <c r="BI45" s="15">
        <v>2167790</v>
      </c>
      <c r="BJ45" s="15">
        <v>126000</v>
      </c>
      <c r="BK45" s="3"/>
      <c r="BL45" s="15">
        <v>186000</v>
      </c>
      <c r="BM45" s="1353"/>
      <c r="BN45" s="1"/>
      <c r="BO45" s="11" t="s">
        <v>247</v>
      </c>
    </row>
    <row r="46" spans="1:67" s="41" customFormat="1" ht="27.6" customHeight="1" x14ac:dyDescent="0.2">
      <c r="A46" s="4" t="s">
        <v>542</v>
      </c>
      <c r="B46" s="11" t="s">
        <v>951</v>
      </c>
      <c r="C46" s="11" t="s">
        <v>60</v>
      </c>
      <c r="D46" s="11" t="s">
        <v>989</v>
      </c>
      <c r="E46" s="11" t="s">
        <v>510</v>
      </c>
      <c r="F46" s="1" t="s">
        <v>66</v>
      </c>
      <c r="G46" s="37">
        <v>40864</v>
      </c>
      <c r="H46" s="1" t="s">
        <v>10</v>
      </c>
      <c r="I46" s="33">
        <v>41102</v>
      </c>
      <c r="J46" s="60">
        <v>41470</v>
      </c>
      <c r="K46" s="4" t="s">
        <v>12</v>
      </c>
      <c r="L46" s="262" t="s">
        <v>13</v>
      </c>
      <c r="M46" s="2">
        <v>22482</v>
      </c>
      <c r="N46" s="2"/>
      <c r="O46" s="14">
        <v>2.5</v>
      </c>
      <c r="P46" s="4" t="s">
        <v>542</v>
      </c>
      <c r="Q46" s="11" t="s">
        <v>247</v>
      </c>
      <c r="R46" s="11">
        <v>4</v>
      </c>
      <c r="S46" s="2">
        <v>1449</v>
      </c>
      <c r="T46" s="12">
        <f t="shared" si="0"/>
        <v>64.451561248999198</v>
      </c>
      <c r="U46" s="2">
        <v>1017</v>
      </c>
      <c r="V46" s="23">
        <f t="shared" si="1"/>
        <v>45.236188951160933</v>
      </c>
      <c r="W46" s="5">
        <f t="shared" si="2"/>
        <v>0.29813664596273293</v>
      </c>
      <c r="X46" s="6">
        <f t="shared" si="3"/>
        <v>432</v>
      </c>
      <c r="Y46" s="992">
        <v>42614</v>
      </c>
      <c r="Z46" s="2">
        <f>'[1]15.16 Meter Data'!Y413</f>
        <v>1668.3426390888299</v>
      </c>
      <c r="AA46" s="40">
        <f t="shared" si="48"/>
        <v>74.207928079745116</v>
      </c>
      <c r="AB46" s="1391" t="s">
        <v>1307</v>
      </c>
      <c r="AC46" s="1393">
        <v>52</v>
      </c>
      <c r="AD46" s="5">
        <f t="shared" si="49"/>
        <v>-0.15137518225592123</v>
      </c>
      <c r="AE46" s="5"/>
      <c r="AF46" s="51">
        <f t="shared" si="50"/>
        <v>-219.34263908882986</v>
      </c>
      <c r="AG46" s="4" t="s">
        <v>542</v>
      </c>
      <c r="AH46" s="15">
        <v>27666</v>
      </c>
      <c r="AI46" s="7">
        <f t="shared" si="7"/>
        <v>1.2305844675740591</v>
      </c>
      <c r="AJ46" s="15">
        <v>21821</v>
      </c>
      <c r="AK46" s="7">
        <f t="shared" si="8"/>
        <v>0.97059870118316871</v>
      </c>
      <c r="AL46" s="8">
        <f t="shared" si="9"/>
        <v>0.21127015108797803</v>
      </c>
      <c r="AM46" s="15">
        <f t="shared" si="10"/>
        <v>5845</v>
      </c>
      <c r="AN46" s="15">
        <f>'[1]15.16 Meter Data'!W417</f>
        <v>32612.747899459802</v>
      </c>
      <c r="AO46" s="22">
        <f t="shared" si="51"/>
        <v>1.4506159549621831</v>
      </c>
      <c r="AP46" s="47">
        <f t="shared" si="52"/>
        <v>-0.17880242534012153</v>
      </c>
      <c r="AQ46" s="48">
        <f t="shared" si="53"/>
        <v>-4946.7478994598023</v>
      </c>
      <c r="AR46" s="4" t="s">
        <v>542</v>
      </c>
      <c r="AS46" s="2">
        <v>166500</v>
      </c>
      <c r="AT46" s="9" t="s">
        <v>13</v>
      </c>
      <c r="AU46" s="10">
        <f t="shared" si="14"/>
        <v>7.4059247397918337</v>
      </c>
      <c r="AV46" s="2">
        <v>120425</v>
      </c>
      <c r="AW46" s="9" t="s">
        <v>13</v>
      </c>
      <c r="AX46" s="10">
        <f t="shared" si="15"/>
        <v>5.356507428164754</v>
      </c>
      <c r="AY46" s="8">
        <f t="shared" si="16"/>
        <v>0.27672672672672671</v>
      </c>
      <c r="AZ46" s="2">
        <f t="shared" si="17"/>
        <v>46075</v>
      </c>
      <c r="BA46" s="242">
        <f>'[1]15.16 Meter Data'!W414</f>
        <v>100329.98974358973</v>
      </c>
      <c r="BB46" s="9" t="s">
        <v>13</v>
      </c>
      <c r="BC46" s="2">
        <f t="shared" si="54"/>
        <v>4.4626807999105829</v>
      </c>
      <c r="BD46" s="8">
        <f t="shared" si="55"/>
        <v>0.39741747901747909</v>
      </c>
      <c r="BE46" s="4" t="s">
        <v>542</v>
      </c>
      <c r="BF46" s="64">
        <v>2670270</v>
      </c>
      <c r="BG46" s="42">
        <f t="shared" si="38"/>
        <v>118.7736856151588</v>
      </c>
      <c r="BH46" s="15">
        <f>BF46-24776</f>
        <v>2645494</v>
      </c>
      <c r="BI46" s="15">
        <v>292501</v>
      </c>
      <c r="BJ46" s="15">
        <v>0</v>
      </c>
      <c r="BK46" s="3"/>
      <c r="BL46" s="85">
        <v>0</v>
      </c>
      <c r="BM46" s="1353"/>
      <c r="BN46" s="1" t="s">
        <v>297</v>
      </c>
      <c r="BO46" s="11" t="s">
        <v>247</v>
      </c>
    </row>
    <row r="47" spans="1:67" s="41" customFormat="1" ht="27.6" customHeight="1" x14ac:dyDescent="0.2">
      <c r="A47" s="28" t="s">
        <v>532</v>
      </c>
      <c r="B47" s="11" t="s">
        <v>951</v>
      </c>
      <c r="C47" s="11" t="s">
        <v>63</v>
      </c>
      <c r="D47" s="11" t="s">
        <v>985</v>
      </c>
      <c r="E47" s="11" t="s">
        <v>545</v>
      </c>
      <c r="F47" s="1" t="s">
        <v>84</v>
      </c>
      <c r="G47" s="33">
        <v>40963</v>
      </c>
      <c r="H47" s="1" t="s">
        <v>10</v>
      </c>
      <c r="I47" s="33">
        <v>40925</v>
      </c>
      <c r="J47" s="60">
        <v>41484</v>
      </c>
      <c r="K47" s="28" t="s">
        <v>54</v>
      </c>
      <c r="L47" s="1">
        <v>436</v>
      </c>
      <c r="M47" s="2">
        <v>144175</v>
      </c>
      <c r="N47" s="19">
        <f t="shared" ref="N47:N53" si="56">M47/L47</f>
        <v>330.67660550458714</v>
      </c>
      <c r="O47" s="14">
        <v>5</v>
      </c>
      <c r="P47" s="28" t="s">
        <v>532</v>
      </c>
      <c r="Q47" s="11" t="s">
        <v>247</v>
      </c>
      <c r="R47" s="11">
        <v>3</v>
      </c>
      <c r="S47" s="2">
        <v>11671</v>
      </c>
      <c r="T47" s="10">
        <f t="shared" si="0"/>
        <v>80.950234090514996</v>
      </c>
      <c r="U47" s="2">
        <v>6976</v>
      </c>
      <c r="V47" s="23">
        <f t="shared" si="1"/>
        <v>48.385642448413392</v>
      </c>
      <c r="W47" s="5">
        <f t="shared" si="2"/>
        <v>0.40227915345728732</v>
      </c>
      <c r="X47" s="2">
        <f t="shared" si="3"/>
        <v>4695</v>
      </c>
      <c r="Y47" s="967">
        <v>42587</v>
      </c>
      <c r="Z47" s="2">
        <f>'[1]15.16 Meter Data'!Y424</f>
        <v>7923.7753822972163</v>
      </c>
      <c r="AA47" s="40">
        <f t="shared" si="48"/>
        <v>54.959426962352808</v>
      </c>
      <c r="AB47" s="1391" t="s">
        <v>1298</v>
      </c>
      <c r="AC47" s="1393">
        <v>47</v>
      </c>
      <c r="AD47" s="5">
        <f t="shared" si="49"/>
        <v>0.32107142641614117</v>
      </c>
      <c r="AE47" s="1611" t="s">
        <v>955</v>
      </c>
      <c r="AF47" s="51">
        <f t="shared" si="50"/>
        <v>3747.2246177027837</v>
      </c>
      <c r="AG47" s="28" t="s">
        <v>532</v>
      </c>
      <c r="AH47" s="15">
        <v>141674</v>
      </c>
      <c r="AI47" s="7">
        <f t="shared" si="7"/>
        <v>0.98265302583665681</v>
      </c>
      <c r="AJ47" s="15">
        <v>87499</v>
      </c>
      <c r="AK47" s="7">
        <f t="shared" si="8"/>
        <v>0.60689439916767818</v>
      </c>
      <c r="AL47" s="8">
        <f t="shared" si="9"/>
        <v>0.38239197029800809</v>
      </c>
      <c r="AM47" s="15">
        <f t="shared" si="10"/>
        <v>54175</v>
      </c>
      <c r="AN47" s="15">
        <f>'[1]15.16 Meter Data'!W430</f>
        <v>95606.893317379232</v>
      </c>
      <c r="AO47" s="22">
        <f t="shared" si="51"/>
        <v>0.66313087093725842</v>
      </c>
      <c r="AP47" s="47">
        <f t="shared" si="52"/>
        <v>0.32516274462936579</v>
      </c>
      <c r="AQ47" s="48">
        <f t="shared" si="53"/>
        <v>46067.106682620768</v>
      </c>
      <c r="AR47" s="28" t="s">
        <v>532</v>
      </c>
      <c r="AS47" s="2">
        <v>1100206</v>
      </c>
      <c r="AT47" s="2">
        <f t="shared" ref="AT47:AT53" si="57">AS47/L47</f>
        <v>2523.4082568807339</v>
      </c>
      <c r="AU47" s="10">
        <f t="shared" si="14"/>
        <v>7.6310456043003292</v>
      </c>
      <c r="AV47" s="2">
        <v>860579</v>
      </c>
      <c r="AW47" s="9">
        <f t="shared" ref="AW47:AW53" si="58">AV47/L47</f>
        <v>1973.8050458715597</v>
      </c>
      <c r="AX47" s="10">
        <f t="shared" si="15"/>
        <v>5.9689890757759665</v>
      </c>
      <c r="AY47" s="8">
        <f t="shared" si="16"/>
        <v>0.21780193890962238</v>
      </c>
      <c r="AZ47" s="2">
        <f t="shared" si="17"/>
        <v>239627</v>
      </c>
      <c r="BA47" s="242">
        <f>'[1]15.16 Meter Data'!W425</f>
        <v>2661077.3200000003</v>
      </c>
      <c r="BB47" s="2">
        <f t="shared" ref="BB47:BB53" si="59">BA47/L47</f>
        <v>6103.3883486238537</v>
      </c>
      <c r="BC47" s="2">
        <f t="shared" si="54"/>
        <v>18.457272897520376</v>
      </c>
      <c r="BD47" s="8">
        <f t="shared" si="55"/>
        <v>-1.4187082419110606</v>
      </c>
      <c r="BE47" s="28" t="s">
        <v>532</v>
      </c>
      <c r="BF47" s="64">
        <f>21815053+2840314</f>
        <v>24655367</v>
      </c>
      <c r="BG47" s="42">
        <f t="shared" si="38"/>
        <v>171.01000173400382</v>
      </c>
      <c r="BH47" s="346">
        <f>BF47-1838674</f>
        <v>22816693</v>
      </c>
      <c r="BI47" s="15">
        <v>2078598</v>
      </c>
      <c r="BJ47" s="15">
        <v>0</v>
      </c>
      <c r="BK47" s="3"/>
      <c r="BL47" s="15">
        <v>297680</v>
      </c>
      <c r="BM47" s="1353"/>
      <c r="BN47" s="1" t="s">
        <v>296</v>
      </c>
      <c r="BO47" s="11" t="s">
        <v>247</v>
      </c>
    </row>
    <row r="48" spans="1:67" s="41" customFormat="1" ht="27.6" customHeight="1" x14ac:dyDescent="0.2">
      <c r="A48" s="4" t="s">
        <v>935</v>
      </c>
      <c r="B48" s="915" t="s">
        <v>952</v>
      </c>
      <c r="C48" s="11" t="s">
        <v>60</v>
      </c>
      <c r="D48" s="11" t="s">
        <v>989</v>
      </c>
      <c r="E48" s="11" t="s">
        <v>510</v>
      </c>
      <c r="F48" s="1" t="s">
        <v>59</v>
      </c>
      <c r="G48" s="33">
        <v>40819</v>
      </c>
      <c r="H48" s="11" t="s">
        <v>10</v>
      </c>
      <c r="I48" s="33">
        <v>40816</v>
      </c>
      <c r="J48" s="60">
        <v>41487</v>
      </c>
      <c r="K48" s="4" t="s">
        <v>54</v>
      </c>
      <c r="L48" s="1">
        <v>151</v>
      </c>
      <c r="M48" s="2">
        <v>67202</v>
      </c>
      <c r="N48" s="19">
        <f t="shared" si="56"/>
        <v>445.04635761589407</v>
      </c>
      <c r="O48" s="49">
        <v>6</v>
      </c>
      <c r="P48" s="4" t="s">
        <v>436</v>
      </c>
      <c r="Q48" s="11" t="s">
        <v>247</v>
      </c>
      <c r="R48" s="11">
        <v>4</v>
      </c>
      <c r="S48" s="2">
        <v>4126</v>
      </c>
      <c r="T48" s="12">
        <f>(S48/M48)*1000</f>
        <v>61.396982232671647</v>
      </c>
      <c r="U48" s="2">
        <v>2853</v>
      </c>
      <c r="V48" s="23">
        <f t="shared" si="1"/>
        <v>42.454093628165829</v>
      </c>
      <c r="W48" s="5">
        <f t="shared" si="2"/>
        <v>0.30853126514784296</v>
      </c>
      <c r="X48" s="13">
        <f t="shared" si="3"/>
        <v>1273</v>
      </c>
      <c r="Y48" s="992">
        <v>42614</v>
      </c>
      <c r="Z48" s="49">
        <f>'[1]15.16 Meter Data'!Y436</f>
        <v>6660.6981380225352</v>
      </c>
      <c r="AA48" s="40">
        <f t="shared" si="48"/>
        <v>99.114581977062215</v>
      </c>
      <c r="AB48" s="1391" t="s">
        <v>1298</v>
      </c>
      <c r="AC48" s="1393">
        <v>58</v>
      </c>
      <c r="AD48" s="5">
        <f t="shared" si="49"/>
        <v>-0.61432334901176322</v>
      </c>
      <c r="AE48" s="5"/>
      <c r="AF48" s="51">
        <f t="shared" si="50"/>
        <v>-2534.6981380225352</v>
      </c>
      <c r="AG48" s="4" t="s">
        <v>436</v>
      </c>
      <c r="AH48" s="15">
        <v>76622</v>
      </c>
      <c r="AI48" s="7">
        <f t="shared" si="7"/>
        <v>1.1401743995714413</v>
      </c>
      <c r="AJ48" s="15">
        <v>51093</v>
      </c>
      <c r="AK48" s="7">
        <f t="shared" si="8"/>
        <v>0.76028987232522838</v>
      </c>
      <c r="AL48" s="8">
        <f t="shared" si="9"/>
        <v>0.33318107071076192</v>
      </c>
      <c r="AM48" s="16">
        <f t="shared" si="10"/>
        <v>25529</v>
      </c>
      <c r="AN48" s="15">
        <f>'[1]15.16 Meter Data'!W441</f>
        <v>107302.44724392748</v>
      </c>
      <c r="AO48" s="22">
        <f t="shared" si="51"/>
        <v>1.5967150865142032</v>
      </c>
      <c r="AP48" s="47">
        <f t="shared" si="52"/>
        <v>-0.40041303077350476</v>
      </c>
      <c r="AQ48" s="48">
        <f t="shared" si="53"/>
        <v>-30680.447243927483</v>
      </c>
      <c r="AR48" s="4" t="s">
        <v>436</v>
      </c>
      <c r="AS48" s="2">
        <v>1630661</v>
      </c>
      <c r="AT48" s="2">
        <f t="shared" si="57"/>
        <v>10799.079470198676</v>
      </c>
      <c r="AU48" s="2">
        <f t="shared" si="14"/>
        <v>24.265066515877503</v>
      </c>
      <c r="AV48" s="2">
        <v>1029702</v>
      </c>
      <c r="AW48" s="9">
        <f t="shared" si="58"/>
        <v>6819.2185430463578</v>
      </c>
      <c r="AX48" s="10">
        <f t="shared" si="15"/>
        <v>15.322490402071367</v>
      </c>
      <c r="AY48" s="8">
        <f t="shared" si="16"/>
        <v>0.36853705337896719</v>
      </c>
      <c r="AZ48" s="2">
        <f t="shared" si="17"/>
        <v>600959</v>
      </c>
      <c r="BA48" s="242">
        <f>'[1]15.16 Meter Data'!W437</f>
        <v>517616</v>
      </c>
      <c r="BB48" s="2">
        <f t="shared" si="59"/>
        <v>3427.9205298013244</v>
      </c>
      <c r="BC48" s="2">
        <f t="shared" si="54"/>
        <v>7.7023898098270882</v>
      </c>
      <c r="BD48" s="8">
        <f t="shared" si="55"/>
        <v>0.68257289528602205</v>
      </c>
      <c r="BE48" s="4" t="s">
        <v>436</v>
      </c>
      <c r="BF48" s="64">
        <v>14207759</v>
      </c>
      <c r="BG48" s="42">
        <f t="shared" si="38"/>
        <v>211.41869289604477</v>
      </c>
      <c r="BH48" s="42">
        <f>BF48-41.63*M48</f>
        <v>11410139.74</v>
      </c>
      <c r="BI48" s="15">
        <f>8023000*M48/541421</f>
        <v>995826.99230358633</v>
      </c>
      <c r="BJ48" s="15">
        <v>0</v>
      </c>
      <c r="BK48" s="3"/>
      <c r="BL48" s="15">
        <f>379066*M48/541421</f>
        <v>47050.249864707868</v>
      </c>
      <c r="BM48" s="1353"/>
      <c r="BN48" s="1" t="s">
        <v>314</v>
      </c>
      <c r="BO48" s="11" t="s">
        <v>247</v>
      </c>
    </row>
    <row r="49" spans="1:69" s="41" customFormat="1" ht="27.6" customHeight="1" x14ac:dyDescent="0.2">
      <c r="A49" s="4" t="s">
        <v>936</v>
      </c>
      <c r="B49" s="915" t="s">
        <v>952</v>
      </c>
      <c r="C49" s="11" t="s">
        <v>60</v>
      </c>
      <c r="D49" s="11" t="s">
        <v>989</v>
      </c>
      <c r="E49" s="11" t="s">
        <v>510</v>
      </c>
      <c r="F49" s="1" t="s">
        <v>59</v>
      </c>
      <c r="G49" s="33">
        <v>40819</v>
      </c>
      <c r="H49" s="11" t="s">
        <v>10</v>
      </c>
      <c r="I49" s="33">
        <v>40816</v>
      </c>
      <c r="J49" s="60">
        <v>41487</v>
      </c>
      <c r="K49" s="4" t="s">
        <v>1316</v>
      </c>
      <c r="L49" s="1">
        <v>251</v>
      </c>
      <c r="M49" s="2">
        <v>154726</v>
      </c>
      <c r="N49" s="19">
        <f t="shared" si="56"/>
        <v>616.43824701195217</v>
      </c>
      <c r="O49" s="49">
        <v>6</v>
      </c>
      <c r="P49" s="4" t="s">
        <v>936</v>
      </c>
      <c r="Q49" s="11" t="s">
        <v>247</v>
      </c>
      <c r="R49" s="11">
        <v>4</v>
      </c>
      <c r="S49" s="2">
        <v>12056</v>
      </c>
      <c r="T49" s="12">
        <f t="shared" ref="T49:T55" si="60">S49/M49*1000</f>
        <v>77.918384757571445</v>
      </c>
      <c r="U49" s="2">
        <v>8300</v>
      </c>
      <c r="V49" s="23">
        <f t="shared" si="1"/>
        <v>53.643214456523147</v>
      </c>
      <c r="W49" s="5">
        <f t="shared" si="2"/>
        <v>0.31154611811546118</v>
      </c>
      <c r="X49" s="13">
        <f t="shared" si="3"/>
        <v>3756</v>
      </c>
      <c r="Y49" s="992">
        <v>42614</v>
      </c>
      <c r="Z49" s="49">
        <f>'[1]15.16 Meter Data'!Y448</f>
        <v>15729.454679478453</v>
      </c>
      <c r="AA49" s="40">
        <f t="shared" si="48"/>
        <v>101.66006152474989</v>
      </c>
      <c r="AB49" s="1391" t="s">
        <v>1298</v>
      </c>
      <c r="AC49" s="1393">
        <v>58</v>
      </c>
      <c r="AD49" s="5">
        <f t="shared" si="49"/>
        <v>-0.30469929325468254</v>
      </c>
      <c r="AE49" s="5"/>
      <c r="AF49" s="51">
        <f t="shared" si="50"/>
        <v>-3673.4546794784528</v>
      </c>
      <c r="AG49" s="4" t="s">
        <v>936</v>
      </c>
      <c r="AH49" s="15">
        <v>220350</v>
      </c>
      <c r="AI49" s="7">
        <f t="shared" si="7"/>
        <v>1.4241303982523945</v>
      </c>
      <c r="AJ49" s="15">
        <v>143383</v>
      </c>
      <c r="AK49" s="7">
        <f t="shared" si="8"/>
        <v>0.9266897612553805</v>
      </c>
      <c r="AL49" s="8">
        <f t="shared" si="9"/>
        <v>0.34929430451554344</v>
      </c>
      <c r="AM49" s="16">
        <f t="shared" si="10"/>
        <v>76967</v>
      </c>
      <c r="AN49" s="15">
        <f>'[1]15.16 Meter Data'!W454</f>
        <v>276374.65030219289</v>
      </c>
      <c r="AO49" s="22">
        <f t="shared" si="51"/>
        <v>1.7862198357237498</v>
      </c>
      <c r="AP49" s="47">
        <f t="shared" si="52"/>
        <v>-0.25425300795186245</v>
      </c>
      <c r="AQ49" s="48">
        <f t="shared" si="53"/>
        <v>-56024.650302192895</v>
      </c>
      <c r="AR49" s="4" t="s">
        <v>936</v>
      </c>
      <c r="AS49" s="2">
        <v>5618485</v>
      </c>
      <c r="AT49" s="2">
        <f t="shared" si="57"/>
        <v>22384.402390438248</v>
      </c>
      <c r="AU49" s="2">
        <f t="shared" si="14"/>
        <v>36.312481418766076</v>
      </c>
      <c r="AV49" s="2">
        <v>4483837</v>
      </c>
      <c r="AW49" s="9">
        <f t="shared" si="58"/>
        <v>17863.892430278884</v>
      </c>
      <c r="AX49" s="10">
        <f t="shared" si="15"/>
        <v>28.979208407119682</v>
      </c>
      <c r="AY49" s="8">
        <f t="shared" si="16"/>
        <v>0.20194910193762197</v>
      </c>
      <c r="AZ49" s="2">
        <f t="shared" si="17"/>
        <v>1134648</v>
      </c>
      <c r="BA49" s="242">
        <f>'[1]15.16 Meter Data'!W449</f>
        <v>2116840</v>
      </c>
      <c r="BB49" s="2">
        <f t="shared" si="59"/>
        <v>8433.6254980079684</v>
      </c>
      <c r="BC49" s="2">
        <f t="shared" si="54"/>
        <v>13.681217119294754</v>
      </c>
      <c r="BD49" s="8">
        <f t="shared" si="55"/>
        <v>0.62323651304577654</v>
      </c>
      <c r="BE49" s="4" t="s">
        <v>437</v>
      </c>
      <c r="BF49" s="64">
        <v>32712171</v>
      </c>
      <c r="BG49" s="42">
        <f t="shared" si="38"/>
        <v>211.42000051704304</v>
      </c>
      <c r="BH49" s="42">
        <f>BF49-41.63*M49</f>
        <v>26270927.619999997</v>
      </c>
      <c r="BI49" s="15">
        <f>8023000*M49/541421</f>
        <v>2292793.7741609579</v>
      </c>
      <c r="BJ49" s="15">
        <v>0</v>
      </c>
      <c r="BK49" s="3"/>
      <c r="BL49" s="15">
        <f>379066*M49/541421</f>
        <v>108328.57594367415</v>
      </c>
      <c r="BM49" s="1353"/>
      <c r="BN49" s="1" t="s">
        <v>314</v>
      </c>
      <c r="BO49" s="11" t="s">
        <v>247</v>
      </c>
      <c r="BP49" s="3"/>
      <c r="BQ49" s="3"/>
    </row>
    <row r="50" spans="1:69" s="41" customFormat="1" ht="27.6" customHeight="1" x14ac:dyDescent="0.2">
      <c r="A50" s="28" t="s">
        <v>1249</v>
      </c>
      <c r="B50" s="915" t="s">
        <v>952</v>
      </c>
      <c r="C50" s="11" t="s">
        <v>109</v>
      </c>
      <c r="D50" s="11" t="s">
        <v>993</v>
      </c>
      <c r="E50" s="11" t="s">
        <v>548</v>
      </c>
      <c r="F50" s="1" t="s">
        <v>134</v>
      </c>
      <c r="G50" s="37">
        <v>40840</v>
      </c>
      <c r="H50" s="1" t="s">
        <v>4</v>
      </c>
      <c r="I50" s="33" t="s">
        <v>244</v>
      </c>
      <c r="J50" s="60">
        <v>41493</v>
      </c>
      <c r="K50" s="28" t="s">
        <v>135</v>
      </c>
      <c r="L50" s="1">
        <v>243</v>
      </c>
      <c r="M50" s="2">
        <v>116224</v>
      </c>
      <c r="N50" s="19">
        <f t="shared" si="56"/>
        <v>478.28806584362138</v>
      </c>
      <c r="O50" s="14">
        <v>5</v>
      </c>
      <c r="P50" s="28" t="s">
        <v>1249</v>
      </c>
      <c r="Q50" s="11" t="s">
        <v>247</v>
      </c>
      <c r="R50" s="11">
        <v>4</v>
      </c>
      <c r="S50" s="2">
        <v>5889</v>
      </c>
      <c r="T50" s="10">
        <f t="shared" si="60"/>
        <v>50.669397026431717</v>
      </c>
      <c r="U50" s="2">
        <v>4141</v>
      </c>
      <c r="V50" s="10">
        <f t="shared" si="1"/>
        <v>35.629474118942731</v>
      </c>
      <c r="W50" s="8">
        <f t="shared" si="2"/>
        <v>0.29682458821531671</v>
      </c>
      <c r="X50" s="2">
        <f t="shared" si="3"/>
        <v>1748</v>
      </c>
      <c r="Y50" s="992">
        <v>42612</v>
      </c>
      <c r="Z50" s="2">
        <f>'[1]15.16 Meter Data'!Y459</f>
        <v>3222.3179278813359</v>
      </c>
      <c r="AA50" s="40">
        <f t="shared" si="48"/>
        <v>27.725064770454779</v>
      </c>
      <c r="AB50" s="1391" t="s">
        <v>1308</v>
      </c>
      <c r="AC50" s="1393">
        <v>46</v>
      </c>
      <c r="AD50" s="5">
        <f t="shared" si="49"/>
        <v>0.4528242608454176</v>
      </c>
      <c r="AE50" s="1611" t="s">
        <v>955</v>
      </c>
      <c r="AF50" s="51">
        <f t="shared" si="50"/>
        <v>2666.6820721186641</v>
      </c>
      <c r="AG50" s="28" t="s">
        <v>1249</v>
      </c>
      <c r="AH50" s="15">
        <v>127318</v>
      </c>
      <c r="AI50" s="7">
        <f t="shared" si="7"/>
        <v>1.0954536068281939</v>
      </c>
      <c r="AJ50" s="15">
        <v>80286</v>
      </c>
      <c r="AK50" s="7">
        <f t="shared" si="8"/>
        <v>0.69078675660792954</v>
      </c>
      <c r="AL50" s="8">
        <f t="shared" si="9"/>
        <v>0.36940573995821485</v>
      </c>
      <c r="AM50" s="15">
        <f t="shared" si="10"/>
        <v>47032</v>
      </c>
      <c r="AN50" s="15">
        <f>'[1]15.16 Meter Data'!W463</f>
        <v>72819.930000000008</v>
      </c>
      <c r="AO50" s="22">
        <f t="shared" si="51"/>
        <v>0.62654813119493402</v>
      </c>
      <c r="AP50" s="47">
        <f t="shared" si="52"/>
        <v>0.42804685904585366</v>
      </c>
      <c r="AQ50" s="48">
        <f t="shared" si="53"/>
        <v>54498.069999999992</v>
      </c>
      <c r="AR50" s="28" t="s">
        <v>1249</v>
      </c>
      <c r="AS50" s="2">
        <v>2900134</v>
      </c>
      <c r="AT50" s="2">
        <f t="shared" si="57"/>
        <v>11934.707818930041</v>
      </c>
      <c r="AU50" s="10">
        <f t="shared" si="14"/>
        <v>24.952970126651984</v>
      </c>
      <c r="AV50" s="2">
        <v>2258696</v>
      </c>
      <c r="AW50" s="9">
        <f t="shared" si="58"/>
        <v>9295.0452674897115</v>
      </c>
      <c r="AX50" s="10">
        <f t="shared" si="15"/>
        <v>19.433989537444933</v>
      </c>
      <c r="AY50" s="8">
        <f t="shared" si="16"/>
        <v>0.22117529741729175</v>
      </c>
      <c r="AZ50" s="2">
        <f t="shared" si="17"/>
        <v>641438</v>
      </c>
      <c r="BA50" s="242">
        <f>'[1]15.16 Meter Data'!W460</f>
        <v>1677016</v>
      </c>
      <c r="BB50" s="2">
        <f t="shared" si="59"/>
        <v>6901.300411522634</v>
      </c>
      <c r="BC50" s="2">
        <f t="shared" si="54"/>
        <v>14.429171255506608</v>
      </c>
      <c r="BD50" s="8">
        <f t="shared" si="55"/>
        <v>0.42174534004290837</v>
      </c>
      <c r="BE50" s="28" t="s">
        <v>1249</v>
      </c>
      <c r="BF50" s="71" t="s">
        <v>244</v>
      </c>
      <c r="BG50" s="42"/>
      <c r="BH50" s="3"/>
      <c r="BI50" s="71" t="s">
        <v>244</v>
      </c>
      <c r="BJ50" s="15"/>
      <c r="BK50" s="3"/>
      <c r="BL50" s="33" t="s">
        <v>244</v>
      </c>
      <c r="BM50" s="1353"/>
      <c r="BN50" s="1" t="s">
        <v>297</v>
      </c>
      <c r="BO50" s="11" t="s">
        <v>247</v>
      </c>
    </row>
    <row r="51" spans="1:69" s="41" customFormat="1" ht="27.6" customHeight="1" x14ac:dyDescent="0.2">
      <c r="A51" s="28" t="s">
        <v>1250</v>
      </c>
      <c r="B51" s="915" t="s">
        <v>952</v>
      </c>
      <c r="C51" s="11" t="s">
        <v>109</v>
      </c>
      <c r="D51" s="11" t="s">
        <v>993</v>
      </c>
      <c r="E51" s="11" t="s">
        <v>548</v>
      </c>
      <c r="F51" s="1" t="s">
        <v>134</v>
      </c>
      <c r="G51" s="37">
        <v>40840</v>
      </c>
      <c r="H51" s="1" t="s">
        <v>4</v>
      </c>
      <c r="I51" s="33" t="s">
        <v>244</v>
      </c>
      <c r="J51" s="60">
        <v>41493</v>
      </c>
      <c r="K51" s="28" t="s">
        <v>135</v>
      </c>
      <c r="L51" s="1">
        <v>130</v>
      </c>
      <c r="M51" s="2">
        <v>56295</v>
      </c>
      <c r="N51" s="19">
        <f t="shared" si="56"/>
        <v>433.03846153846155</v>
      </c>
      <c r="O51" s="14">
        <v>5</v>
      </c>
      <c r="P51" s="28" t="s">
        <v>1250</v>
      </c>
      <c r="Q51" s="11" t="s">
        <v>247</v>
      </c>
      <c r="R51" s="11">
        <v>4</v>
      </c>
      <c r="S51" s="2">
        <v>5889</v>
      </c>
      <c r="T51" s="10">
        <f t="shared" si="60"/>
        <v>104.60964561683986</v>
      </c>
      <c r="U51" s="2">
        <v>4141</v>
      </c>
      <c r="V51" s="10">
        <f t="shared" si="1"/>
        <v>73.55893063327116</v>
      </c>
      <c r="W51" s="8">
        <f t="shared" si="2"/>
        <v>0.29682458821531671</v>
      </c>
      <c r="X51" s="2">
        <f t="shared" si="3"/>
        <v>1748</v>
      </c>
      <c r="Y51" s="992">
        <v>42612</v>
      </c>
      <c r="Z51" s="2">
        <f>'[1]15.16 Meter Data'!Y468</f>
        <v>1749.9322457819521</v>
      </c>
      <c r="AA51" s="40">
        <f t="shared" si="48"/>
        <v>31.085038560830483</v>
      </c>
      <c r="AB51" s="1391" t="s">
        <v>1308</v>
      </c>
      <c r="AC51" s="1393">
        <v>46</v>
      </c>
      <c r="AD51" s="5">
        <f t="shared" si="49"/>
        <v>0.70284730076720114</v>
      </c>
      <c r="AE51" s="1611" t="s">
        <v>955</v>
      </c>
      <c r="AF51" s="51">
        <f t="shared" si="50"/>
        <v>4139.0677542180474</v>
      </c>
      <c r="AG51" s="28" t="s">
        <v>1250</v>
      </c>
      <c r="AH51" s="15">
        <v>127318</v>
      </c>
      <c r="AI51" s="7">
        <f t="shared" si="7"/>
        <v>2.2616218136601831</v>
      </c>
      <c r="AJ51" s="15">
        <v>80286</v>
      </c>
      <c r="AK51" s="7">
        <f t="shared" si="8"/>
        <v>1.4261657340794032</v>
      </c>
      <c r="AL51" s="8">
        <f t="shared" si="9"/>
        <v>0.36940573995821485</v>
      </c>
      <c r="AM51" s="15">
        <f t="shared" si="10"/>
        <v>47032</v>
      </c>
      <c r="AN51" s="15">
        <f>'[1]15.16 Meter Data'!W472</f>
        <v>39904.320000000007</v>
      </c>
      <c r="AO51" s="22">
        <f t="shared" si="51"/>
        <v>0.70884305888622445</v>
      </c>
      <c r="AP51" s="47">
        <f t="shared" si="52"/>
        <v>0.6865775459872131</v>
      </c>
      <c r="AQ51" s="48">
        <f t="shared" si="53"/>
        <v>87413.68</v>
      </c>
      <c r="AR51" s="28" t="s">
        <v>1250</v>
      </c>
      <c r="AS51" s="2">
        <v>1736095</v>
      </c>
      <c r="AT51" s="2">
        <f t="shared" si="57"/>
        <v>13354.576923076924</v>
      </c>
      <c r="AU51" s="10">
        <f t="shared" si="14"/>
        <v>30.839239719335641</v>
      </c>
      <c r="AV51" s="2">
        <v>1384588</v>
      </c>
      <c r="AW51" s="9">
        <f t="shared" si="58"/>
        <v>10650.676923076922</v>
      </c>
      <c r="AX51" s="10">
        <f t="shared" si="15"/>
        <v>24.595221600497378</v>
      </c>
      <c r="AY51" s="8">
        <f t="shared" si="16"/>
        <v>0.20246991092077335</v>
      </c>
      <c r="AZ51" s="2">
        <f t="shared" si="17"/>
        <v>351507</v>
      </c>
      <c r="BA51" s="242">
        <f>'[1]15.16 Meter Data'!W469</f>
        <v>831776</v>
      </c>
      <c r="BB51" s="2">
        <f t="shared" si="59"/>
        <v>6398.2769230769227</v>
      </c>
      <c r="BC51" s="2">
        <f t="shared" si="54"/>
        <v>14.775308641975309</v>
      </c>
      <c r="BD51" s="8">
        <f t="shared" si="55"/>
        <v>0.52089257788312271</v>
      </c>
      <c r="BE51" s="28" t="s">
        <v>1250</v>
      </c>
      <c r="BF51" s="71" t="s">
        <v>244</v>
      </c>
      <c r="BG51" s="42"/>
      <c r="BH51" s="3"/>
      <c r="BI51" s="71" t="s">
        <v>244</v>
      </c>
      <c r="BJ51" s="15"/>
      <c r="BK51" s="3"/>
      <c r="BL51" s="33" t="s">
        <v>244</v>
      </c>
      <c r="BM51" s="1353"/>
      <c r="BN51" s="1" t="s">
        <v>297</v>
      </c>
      <c r="BO51" s="11" t="s">
        <v>247</v>
      </c>
    </row>
    <row r="52" spans="1:69" s="41" customFormat="1" ht="27.6" customHeight="1" x14ac:dyDescent="0.2">
      <c r="A52" s="28" t="s">
        <v>1251</v>
      </c>
      <c r="B52" s="915" t="s">
        <v>952</v>
      </c>
      <c r="C52" s="11" t="s">
        <v>109</v>
      </c>
      <c r="D52" s="11" t="s">
        <v>993</v>
      </c>
      <c r="E52" s="11" t="s">
        <v>548</v>
      </c>
      <c r="F52" s="1" t="s">
        <v>134</v>
      </c>
      <c r="G52" s="37">
        <v>40840</v>
      </c>
      <c r="H52" s="1" t="s">
        <v>4</v>
      </c>
      <c r="I52" s="33" t="s">
        <v>244</v>
      </c>
      <c r="J52" s="60">
        <v>41493</v>
      </c>
      <c r="K52" s="28" t="s">
        <v>135</v>
      </c>
      <c r="L52" s="1">
        <v>209</v>
      </c>
      <c r="M52" s="2">
        <v>89104</v>
      </c>
      <c r="N52" s="19">
        <f t="shared" si="56"/>
        <v>426.33492822966508</v>
      </c>
      <c r="O52" s="14">
        <v>5</v>
      </c>
      <c r="P52" s="28" t="s">
        <v>1251</v>
      </c>
      <c r="Q52" s="11" t="s">
        <v>247</v>
      </c>
      <c r="R52" s="11">
        <v>4</v>
      </c>
      <c r="S52" s="2">
        <v>5889</v>
      </c>
      <c r="T52" s="10">
        <f t="shared" si="60"/>
        <v>66.09130903214222</v>
      </c>
      <c r="U52" s="2">
        <v>4141</v>
      </c>
      <c r="V52" s="10">
        <f t="shared" si="1"/>
        <v>46.473783444065361</v>
      </c>
      <c r="W52" s="8">
        <f t="shared" si="2"/>
        <v>0.29682458821531671</v>
      </c>
      <c r="X52" s="2">
        <f t="shared" si="3"/>
        <v>1748</v>
      </c>
      <c r="Y52" s="992">
        <v>42612</v>
      </c>
      <c r="Z52" s="2">
        <f>'[1]15.16 Meter Data'!Y477</f>
        <v>2544.3501086775682</v>
      </c>
      <c r="AA52" s="40">
        <f t="shared" si="48"/>
        <v>28.554836019455557</v>
      </c>
      <c r="AB52" s="1391" t="s">
        <v>1308</v>
      </c>
      <c r="AC52" s="1393">
        <v>46</v>
      </c>
      <c r="AD52" s="5">
        <f t="shared" si="49"/>
        <v>0.56794869949438476</v>
      </c>
      <c r="AE52" s="1611" t="s">
        <v>955</v>
      </c>
      <c r="AF52" s="51">
        <f t="shared" si="50"/>
        <v>3344.6498913224318</v>
      </c>
      <c r="AG52" s="28" t="s">
        <v>1251</v>
      </c>
      <c r="AH52" s="15">
        <v>127318</v>
      </c>
      <c r="AI52" s="7">
        <f t="shared" si="7"/>
        <v>1.4288696354821333</v>
      </c>
      <c r="AJ52" s="15">
        <v>80286</v>
      </c>
      <c r="AK52" s="7">
        <f t="shared" si="8"/>
        <v>0.9010369904830311</v>
      </c>
      <c r="AL52" s="8">
        <f t="shared" si="9"/>
        <v>0.36940573995821485</v>
      </c>
      <c r="AM52" s="15">
        <f t="shared" si="10"/>
        <v>47032</v>
      </c>
      <c r="AN52" s="15">
        <f>'[1]15.16 Meter Data'!W481</f>
        <v>57042.94000000001</v>
      </c>
      <c r="AO52" s="22">
        <f t="shared" si="51"/>
        <v>0.64018383013108293</v>
      </c>
      <c r="AP52" s="47">
        <f t="shared" si="52"/>
        <v>0.55196484393408629</v>
      </c>
      <c r="AQ52" s="48">
        <f t="shared" si="53"/>
        <v>70275.06</v>
      </c>
      <c r="AR52" s="28" t="s">
        <v>435</v>
      </c>
      <c r="AS52" s="2">
        <v>2627757</v>
      </c>
      <c r="AT52" s="2">
        <f t="shared" si="57"/>
        <v>12573</v>
      </c>
      <c r="AU52" s="10">
        <f t="shared" si="14"/>
        <v>29.490898276171663</v>
      </c>
      <c r="AV52" s="2">
        <v>2069683</v>
      </c>
      <c r="AW52" s="9">
        <f t="shared" si="58"/>
        <v>9902.78947368421</v>
      </c>
      <c r="AX52" s="10">
        <f t="shared" si="15"/>
        <v>23.227722661159994</v>
      </c>
      <c r="AY52" s="8">
        <f t="shared" si="16"/>
        <v>0.2123765629774747</v>
      </c>
      <c r="AZ52" s="2">
        <f t="shared" si="17"/>
        <v>558074</v>
      </c>
      <c r="BA52" s="242">
        <f>'[1]15.16 Meter Data'!W478</f>
        <v>1345652</v>
      </c>
      <c r="BB52" s="2">
        <f t="shared" si="59"/>
        <v>6438.5263157894733</v>
      </c>
      <c r="BC52" s="2">
        <f t="shared" si="54"/>
        <v>15.102038067875741</v>
      </c>
      <c r="BD52" s="8">
        <f t="shared" si="55"/>
        <v>0.487908509044025</v>
      </c>
      <c r="BE52" s="28" t="s">
        <v>1251</v>
      </c>
      <c r="BF52" s="71" t="s">
        <v>244</v>
      </c>
      <c r="BG52" s="42"/>
      <c r="BH52" s="3"/>
      <c r="BI52" s="71" t="s">
        <v>244</v>
      </c>
      <c r="BJ52" s="15"/>
      <c r="BK52" s="3"/>
      <c r="BL52" s="33" t="s">
        <v>244</v>
      </c>
      <c r="BM52" s="1353"/>
      <c r="BN52" s="1" t="s">
        <v>297</v>
      </c>
      <c r="BO52" s="11" t="s">
        <v>247</v>
      </c>
    </row>
    <row r="53" spans="1:69" s="3" customFormat="1" ht="27.6" customHeight="1" x14ac:dyDescent="0.25">
      <c r="A53" s="28" t="s">
        <v>284</v>
      </c>
      <c r="B53" s="915" t="s">
        <v>954</v>
      </c>
      <c r="C53" s="11" t="s">
        <v>100</v>
      </c>
      <c r="D53" s="11" t="s">
        <v>1000</v>
      </c>
      <c r="E53" s="11" t="s">
        <v>549</v>
      </c>
      <c r="F53" s="1" t="s">
        <v>159</v>
      </c>
      <c r="G53" s="37">
        <v>41108</v>
      </c>
      <c r="H53" s="1" t="s">
        <v>10</v>
      </c>
      <c r="I53" s="33" t="s">
        <v>244</v>
      </c>
      <c r="J53" s="60">
        <v>41499</v>
      </c>
      <c r="K53" s="28" t="s">
        <v>135</v>
      </c>
      <c r="L53" s="1">
        <v>227</v>
      </c>
      <c r="M53" s="2">
        <v>55626</v>
      </c>
      <c r="N53" s="19">
        <f t="shared" si="56"/>
        <v>245.04845814977975</v>
      </c>
      <c r="O53" s="14">
        <v>5</v>
      </c>
      <c r="P53" s="28" t="s">
        <v>284</v>
      </c>
      <c r="Q53" s="11" t="s">
        <v>247</v>
      </c>
      <c r="R53" s="11">
        <v>4</v>
      </c>
      <c r="S53" s="2">
        <v>6193</v>
      </c>
      <c r="T53" s="10">
        <f t="shared" si="60"/>
        <v>111.33282997159603</v>
      </c>
      <c r="U53" s="2">
        <v>4672</v>
      </c>
      <c r="V53" s="10">
        <f t="shared" si="1"/>
        <v>83.98950131233596</v>
      </c>
      <c r="W53" s="8">
        <f t="shared" si="2"/>
        <v>0.24559987082189569</v>
      </c>
      <c r="X53" s="2">
        <f t="shared" si="3"/>
        <v>1521</v>
      </c>
      <c r="Y53" s="992">
        <v>42594</v>
      </c>
      <c r="Z53" s="2">
        <f>'[1]15.16 Meter Data'!Y487</f>
        <v>8030.0663566021703</v>
      </c>
      <c r="AA53" s="40">
        <f t="shared" si="48"/>
        <v>144.3581482868114</v>
      </c>
      <c r="AB53" s="1391" t="s">
        <v>1298</v>
      </c>
      <c r="AC53" s="1393">
        <v>58</v>
      </c>
      <c r="AD53" s="5">
        <f t="shared" si="49"/>
        <v>-0.29663593679996292</v>
      </c>
      <c r="AE53" s="5"/>
      <c r="AF53" s="51">
        <f t="shared" si="50"/>
        <v>-1837.0663566021703</v>
      </c>
      <c r="AG53" s="28" t="s">
        <v>284</v>
      </c>
      <c r="AH53" s="15">
        <v>87219</v>
      </c>
      <c r="AI53" s="7">
        <f t="shared" si="7"/>
        <v>1.5679538345378061</v>
      </c>
      <c r="AJ53" s="15">
        <v>53012</v>
      </c>
      <c r="AK53" s="7">
        <f t="shared" si="8"/>
        <v>0.95300758638046956</v>
      </c>
      <c r="AL53" s="8">
        <f t="shared" si="9"/>
        <v>0.39219665439869755</v>
      </c>
      <c r="AM53" s="15">
        <f t="shared" si="10"/>
        <v>34207</v>
      </c>
      <c r="AN53" s="15">
        <f>'[1]15.16 Meter Data'!W492</f>
        <v>101331.44168808</v>
      </c>
      <c r="AO53" s="22">
        <f t="shared" si="51"/>
        <v>1.8216560904627332</v>
      </c>
      <c r="AP53" s="47">
        <f t="shared" si="52"/>
        <v>-0.16180467201045642</v>
      </c>
      <c r="AQ53" s="48">
        <f t="shared" si="53"/>
        <v>-14112.441688079998</v>
      </c>
      <c r="AR53" s="28" t="s">
        <v>284</v>
      </c>
      <c r="AS53" s="2">
        <v>2317437</v>
      </c>
      <c r="AT53" s="2">
        <f t="shared" si="57"/>
        <v>10208.973568281939</v>
      </c>
      <c r="AU53" s="10">
        <f t="shared" si="14"/>
        <v>41.661039801531658</v>
      </c>
      <c r="AV53" s="2">
        <v>1848705</v>
      </c>
      <c r="AW53" s="9">
        <f t="shared" si="58"/>
        <v>8144.0748898678412</v>
      </c>
      <c r="AX53" s="10">
        <f t="shared" si="15"/>
        <v>33.234548592384854</v>
      </c>
      <c r="AY53" s="8">
        <f t="shared" si="16"/>
        <v>0.20226310359246011</v>
      </c>
      <c r="AZ53" s="2">
        <f t="shared" si="17"/>
        <v>468732</v>
      </c>
      <c r="BA53" s="242">
        <f>'[1]15.16 Meter Data'!W488</f>
        <v>4179382.6800000006</v>
      </c>
      <c r="BB53" s="1673">
        <f t="shared" si="59"/>
        <v>18411.377444933925</v>
      </c>
      <c r="BC53" s="1673">
        <f t="shared" si="54"/>
        <v>75.133618811347219</v>
      </c>
      <c r="BD53" s="8">
        <f t="shared" si="55"/>
        <v>-0.80345039800434737</v>
      </c>
      <c r="BE53" s="28" t="s">
        <v>284</v>
      </c>
      <c r="BF53" s="244">
        <v>10000000</v>
      </c>
      <c r="BG53" s="42">
        <f>BF53/M53</f>
        <v>179.77204904181497</v>
      </c>
      <c r="BH53" s="15">
        <v>9516280</v>
      </c>
      <c r="BI53" s="71" t="s">
        <v>244</v>
      </c>
      <c r="BJ53" s="15"/>
      <c r="BL53" s="33" t="s">
        <v>244</v>
      </c>
      <c r="BM53" s="1353"/>
      <c r="BN53" s="1" t="s">
        <v>295</v>
      </c>
      <c r="BO53" s="11" t="s">
        <v>247</v>
      </c>
      <c r="BP53" s="41"/>
      <c r="BQ53" s="41"/>
    </row>
    <row r="54" spans="1:69" s="41" customFormat="1" ht="27.6" customHeight="1" x14ac:dyDescent="0.2">
      <c r="A54" s="4" t="s">
        <v>47</v>
      </c>
      <c r="B54" s="915" t="s">
        <v>952</v>
      </c>
      <c r="C54" s="11" t="s">
        <v>80</v>
      </c>
      <c r="D54" s="11" t="s">
        <v>996</v>
      </c>
      <c r="E54" s="11" t="s">
        <v>509</v>
      </c>
      <c r="F54" s="1" t="s">
        <v>74</v>
      </c>
      <c r="G54" s="33">
        <v>40303</v>
      </c>
      <c r="H54" s="11" t="s">
        <v>10</v>
      </c>
      <c r="I54" s="33">
        <v>40492</v>
      </c>
      <c r="J54" s="60">
        <v>41508</v>
      </c>
      <c r="K54" s="4" t="s">
        <v>48</v>
      </c>
      <c r="L54" s="11" t="s">
        <v>13</v>
      </c>
      <c r="M54" s="6">
        <v>233900</v>
      </c>
      <c r="N54" s="6"/>
      <c r="O54" s="49">
        <v>6</v>
      </c>
      <c r="P54" s="4" t="s">
        <v>47</v>
      </c>
      <c r="Q54" s="11" t="s">
        <v>247</v>
      </c>
      <c r="R54" s="11">
        <v>3</v>
      </c>
      <c r="S54" s="2">
        <v>12463</v>
      </c>
      <c r="T54" s="12">
        <f t="shared" si="60"/>
        <v>53.283454467721249</v>
      </c>
      <c r="U54" s="2">
        <v>8391</v>
      </c>
      <c r="V54" s="23">
        <f t="shared" si="1"/>
        <v>35.87430525865755</v>
      </c>
      <c r="W54" s="1912">
        <f t="shared" si="2"/>
        <v>0.32672711225226669</v>
      </c>
      <c r="X54" s="9">
        <f t="shared" si="3"/>
        <v>4072</v>
      </c>
      <c r="Y54" s="992">
        <v>42625</v>
      </c>
      <c r="Z54" s="9">
        <f>'[1]15.16 Meter Data'!Y497</f>
        <v>28554.802774924538</v>
      </c>
      <c r="AA54" s="40">
        <f t="shared" si="48"/>
        <v>122.08124315914723</v>
      </c>
      <c r="AB54" s="1391" t="s">
        <v>1300</v>
      </c>
      <c r="AC54" s="1393">
        <v>62</v>
      </c>
      <c r="AD54" s="1912">
        <f t="shared" si="49"/>
        <v>-1.2911660735717354</v>
      </c>
      <c r="AE54" s="1912"/>
      <c r="AF54" s="51">
        <f t="shared" si="50"/>
        <v>-16091.802774924538</v>
      </c>
      <c r="AG54" s="4" t="s">
        <v>47</v>
      </c>
      <c r="AH54" s="15">
        <v>407210</v>
      </c>
      <c r="AI54" s="7">
        <f t="shared" si="7"/>
        <v>1.7409576742197521</v>
      </c>
      <c r="AJ54" s="15">
        <v>294497</v>
      </c>
      <c r="AK54" s="7">
        <f t="shared" si="8"/>
        <v>1.2590722530996152</v>
      </c>
      <c r="AL54" s="8">
        <f t="shared" si="9"/>
        <v>0.27679330075391073</v>
      </c>
      <c r="AM54" s="15">
        <f t="shared" si="10"/>
        <v>112713</v>
      </c>
      <c r="AN54" s="29">
        <f>'[1]15.16 Meter Data'!W501</f>
        <v>388989.38</v>
      </c>
      <c r="AO54" s="22">
        <f t="shared" si="51"/>
        <v>1.6630584865327063</v>
      </c>
      <c r="AP54" s="47">
        <f t="shared" si="52"/>
        <v>4.4745020996537405E-2</v>
      </c>
      <c r="AQ54" s="48">
        <f t="shared" si="53"/>
        <v>18220.619999999995</v>
      </c>
      <c r="AR54" s="4" t="s">
        <v>47</v>
      </c>
      <c r="AS54" s="2">
        <v>1939781</v>
      </c>
      <c r="AT54" s="1" t="s">
        <v>13</v>
      </c>
      <c r="AU54" s="10">
        <f t="shared" si="14"/>
        <v>8.2932064985036344</v>
      </c>
      <c r="AV54" s="2">
        <v>1222056</v>
      </c>
      <c r="AW54" s="1" t="s">
        <v>13</v>
      </c>
      <c r="AX54" s="18">
        <f t="shared" si="15"/>
        <v>5.2246943138093203</v>
      </c>
      <c r="AY54" s="8">
        <f t="shared" si="16"/>
        <v>0.37000310859834179</v>
      </c>
      <c r="AZ54" s="2">
        <f t="shared" si="17"/>
        <v>717725</v>
      </c>
      <c r="BA54" s="1349">
        <f>'[1]15.16 Meter Data'!W498</f>
        <v>4104276</v>
      </c>
      <c r="BB54" s="9" t="s">
        <v>13</v>
      </c>
      <c r="BC54" s="2">
        <f>BA54/M54</f>
        <v>17.547139803334758</v>
      </c>
      <c r="BD54" s="8">
        <f>(AS54-BA54)/AS54</f>
        <v>-1.1158450361149017</v>
      </c>
      <c r="BE54" s="4" t="s">
        <v>47</v>
      </c>
      <c r="BF54" s="64">
        <v>38141300</v>
      </c>
      <c r="BG54" s="42">
        <f>BF54/M54</f>
        <v>163.06669516887558</v>
      </c>
      <c r="BH54" s="15">
        <f>BF54-514107</f>
        <v>37627193</v>
      </c>
      <c r="BI54" s="15">
        <v>6113085</v>
      </c>
      <c r="BJ54" s="15">
        <f>110000+229250</f>
        <v>339250</v>
      </c>
      <c r="BK54" s="3"/>
      <c r="BL54" s="15">
        <v>237711</v>
      </c>
      <c r="BM54" s="1353">
        <f>((BF54-BH54)+BJ54+BK54+BL54)/AM54</f>
        <v>9.6800546520809494</v>
      </c>
      <c r="BN54" s="11" t="s">
        <v>312</v>
      </c>
      <c r="BO54" s="11" t="s">
        <v>247</v>
      </c>
    </row>
    <row r="55" spans="1:69" s="41" customFormat="1" ht="27.6" customHeight="1" x14ac:dyDescent="0.2">
      <c r="A55" s="4" t="s">
        <v>1022</v>
      </c>
      <c r="B55" s="11" t="s">
        <v>951</v>
      </c>
      <c r="C55" s="11" t="s">
        <v>68</v>
      </c>
      <c r="D55" s="11" t="s">
        <v>992</v>
      </c>
      <c r="E55" s="11" t="s">
        <v>650</v>
      </c>
      <c r="F55" s="1" t="s">
        <v>67</v>
      </c>
      <c r="G55" s="37">
        <v>40969</v>
      </c>
      <c r="H55" s="1" t="s">
        <v>10</v>
      </c>
      <c r="I55" s="33">
        <v>41030</v>
      </c>
      <c r="J55" s="60">
        <v>41513</v>
      </c>
      <c r="K55" s="4" t="s">
        <v>69</v>
      </c>
      <c r="L55" s="1" t="s">
        <v>13</v>
      </c>
      <c r="M55" s="6">
        <v>49170</v>
      </c>
      <c r="N55" s="6"/>
      <c r="O55" s="14">
        <v>2</v>
      </c>
      <c r="P55" s="4" t="s">
        <v>1022</v>
      </c>
      <c r="Q55" s="11" t="s">
        <v>247</v>
      </c>
      <c r="R55" s="11">
        <v>3</v>
      </c>
      <c r="S55" s="2">
        <v>2396</v>
      </c>
      <c r="T55" s="12">
        <f t="shared" si="60"/>
        <v>48.728899735611151</v>
      </c>
      <c r="U55" s="2">
        <v>1518</v>
      </c>
      <c r="V55" s="23">
        <f t="shared" si="1"/>
        <v>30.872483221476511</v>
      </c>
      <c r="W55" s="5">
        <f t="shared" si="2"/>
        <v>0.36644407345575958</v>
      </c>
      <c r="X55" s="6">
        <f t="shared" si="3"/>
        <v>878</v>
      </c>
      <c r="Y55" s="967">
        <v>42591</v>
      </c>
      <c r="Z55" s="19">
        <f>'[1]15.16 Meter Data'!Y507</f>
        <v>3729.7453553907617</v>
      </c>
      <c r="AA55" s="40">
        <f t="shared" si="48"/>
        <v>75.854084917444823</v>
      </c>
      <c r="AB55" s="1391" t="s">
        <v>1309</v>
      </c>
      <c r="AC55" s="1395">
        <v>26</v>
      </c>
      <c r="AD55" s="5">
        <f>(S55-Z55)/S55</f>
        <v>-0.55665498972903238</v>
      </c>
      <c r="AE55" s="5"/>
      <c r="AF55" s="51">
        <f>S55-Z55</f>
        <v>-1333.7453553907617</v>
      </c>
      <c r="AG55" s="4" t="s">
        <v>1022</v>
      </c>
      <c r="AH55" s="15">
        <v>48568</v>
      </c>
      <c r="AI55" s="7">
        <f t="shared" si="7"/>
        <v>0.98775676225340658</v>
      </c>
      <c r="AJ55" s="15">
        <v>38507</v>
      </c>
      <c r="AK55" s="7">
        <f t="shared" si="8"/>
        <v>0.7831401260931462</v>
      </c>
      <c r="AL55" s="8">
        <f t="shared" si="9"/>
        <v>0.20715285784878934</v>
      </c>
      <c r="AM55" s="15">
        <f t="shared" si="10"/>
        <v>10061</v>
      </c>
      <c r="AN55" s="71">
        <f>'[1]15.16 Meter Data'!W512</f>
        <v>40839.28875</v>
      </c>
      <c r="AO55" s="22">
        <f>AN55/M55</f>
        <v>0.8305732916412446</v>
      </c>
      <c r="AP55" s="47">
        <f>(AH55-AN55)/AH55</f>
        <v>0.1591317585653105</v>
      </c>
      <c r="AQ55" s="48">
        <f>AH55-AN55</f>
        <v>7728.7112500000003</v>
      </c>
      <c r="AR55" s="4" t="s">
        <v>1022</v>
      </c>
      <c r="AS55" s="2">
        <v>347984</v>
      </c>
      <c r="AT55" s="9" t="s">
        <v>13</v>
      </c>
      <c r="AU55" s="10">
        <f t="shared" si="14"/>
        <v>7.0771608704494611</v>
      </c>
      <c r="AV55" s="2">
        <v>227682</v>
      </c>
      <c r="AW55" s="9" t="s">
        <v>13</v>
      </c>
      <c r="AX55" s="10">
        <f t="shared" si="15"/>
        <v>4.6305064063453329</v>
      </c>
      <c r="AY55" s="8">
        <f t="shared" si="16"/>
        <v>0.34571129707112969</v>
      </c>
      <c r="AZ55" s="2">
        <f t="shared" si="17"/>
        <v>120302</v>
      </c>
      <c r="BA55" s="11" t="s">
        <v>352</v>
      </c>
      <c r="BE55" s="4" t="s">
        <v>1022</v>
      </c>
      <c r="BF55" s="15">
        <v>13828376</v>
      </c>
      <c r="BG55" s="42">
        <f>BF55/M55</f>
        <v>281.23603823469597</v>
      </c>
      <c r="BH55" s="15">
        <v>12357348</v>
      </c>
      <c r="BI55" s="71">
        <v>736500</v>
      </c>
      <c r="BJ55" s="1596"/>
      <c r="BK55" s="3"/>
      <c r="BL55" s="71">
        <v>128800</v>
      </c>
      <c r="BM55" s="1353"/>
      <c r="BN55" s="1" t="s">
        <v>306</v>
      </c>
      <c r="BO55" s="11" t="s">
        <v>247</v>
      </c>
    </row>
    <row r="56" spans="1:69" s="3" customFormat="1" ht="27.6" customHeight="1" x14ac:dyDescent="0.2">
      <c r="A56" s="4" t="s">
        <v>937</v>
      </c>
      <c r="B56" s="915" t="s">
        <v>952</v>
      </c>
      <c r="C56" s="11" t="s">
        <v>60</v>
      </c>
      <c r="D56" s="11" t="s">
        <v>989</v>
      </c>
      <c r="E56" s="11" t="s">
        <v>510</v>
      </c>
      <c r="F56" s="1" t="s">
        <v>59</v>
      </c>
      <c r="G56" s="33">
        <v>40819</v>
      </c>
      <c r="H56" s="11" t="s">
        <v>10</v>
      </c>
      <c r="I56" s="33">
        <v>40816</v>
      </c>
      <c r="J56" s="60">
        <v>41613</v>
      </c>
      <c r="K56" s="4" t="s">
        <v>54</v>
      </c>
      <c r="L56" s="1">
        <v>223</v>
      </c>
      <c r="M56" s="2">
        <v>84876</v>
      </c>
      <c r="N56" s="19">
        <f>M56/L56</f>
        <v>380.60986547085201</v>
      </c>
      <c r="O56" s="49">
        <v>6</v>
      </c>
      <c r="P56" s="4" t="s">
        <v>937</v>
      </c>
      <c r="Q56" s="11" t="s">
        <v>247</v>
      </c>
      <c r="R56" s="11">
        <v>4</v>
      </c>
      <c r="S56" s="2">
        <v>5653</v>
      </c>
      <c r="T56" s="10">
        <f>(S56/M56)*1000</f>
        <v>66.6030444413026</v>
      </c>
      <c r="U56" s="2">
        <v>3934</v>
      </c>
      <c r="V56" s="23">
        <f t="shared" si="1"/>
        <v>46.349969367076682</v>
      </c>
      <c r="W56" s="5">
        <f t="shared" si="2"/>
        <v>0.30408632584468426</v>
      </c>
      <c r="X56" s="6">
        <f t="shared" si="3"/>
        <v>1719</v>
      </c>
      <c r="Y56" s="992">
        <v>42614</v>
      </c>
      <c r="Z56" s="49">
        <f>'[1]15.16 Meter Data'!Y518</f>
        <v>6111.362373778562</v>
      </c>
      <c r="AA56" s="40">
        <f t="shared" si="48"/>
        <v>72.003421152959163</v>
      </c>
      <c r="AB56" s="1391" t="s">
        <v>1298</v>
      </c>
      <c r="AC56" s="1393">
        <v>58</v>
      </c>
      <c r="AD56" s="5">
        <f>(S56-Z56)/S56</f>
        <v>-8.1083030917842205E-2</v>
      </c>
      <c r="AE56" s="5"/>
      <c r="AF56" s="51">
        <f>S56-Z56</f>
        <v>-458.36237377856196</v>
      </c>
      <c r="AG56" s="4" t="s">
        <v>937</v>
      </c>
      <c r="AH56" s="15">
        <v>102040</v>
      </c>
      <c r="AI56" s="7">
        <f t="shared" si="7"/>
        <v>1.202224421509025</v>
      </c>
      <c r="AJ56" s="15">
        <v>70049</v>
      </c>
      <c r="AK56" s="7">
        <f t="shared" si="8"/>
        <v>0.82530986380131011</v>
      </c>
      <c r="AL56" s="8">
        <f t="shared" si="9"/>
        <v>0.3135143081144649</v>
      </c>
      <c r="AM56" s="16">
        <f t="shared" si="10"/>
        <v>31991</v>
      </c>
      <c r="AN56" s="15">
        <f>'[1]15.16 Meter Data'!W523</f>
        <v>104016.03180934874</v>
      </c>
      <c r="AO56" s="22">
        <f>AN56/M56</f>
        <v>1.2255058180091987</v>
      </c>
      <c r="AP56" s="47">
        <f>(AH56-AN56)/AH56</f>
        <v>-1.936526665375092E-2</v>
      </c>
      <c r="AQ56" s="48">
        <f>AH56-AN56</f>
        <v>-1976.031809348744</v>
      </c>
      <c r="AR56" s="4" t="s">
        <v>937</v>
      </c>
      <c r="AS56" s="2">
        <v>2385879</v>
      </c>
      <c r="AT56" s="2">
        <f>AS56/L56</f>
        <v>10699.008968609865</v>
      </c>
      <c r="AU56" s="2">
        <f t="shared" si="14"/>
        <v>28.110172486922099</v>
      </c>
      <c r="AV56" s="2">
        <v>1498371</v>
      </c>
      <c r="AW56" s="9">
        <f>AV56/L56</f>
        <v>6719.1524663677128</v>
      </c>
      <c r="AX56" s="10">
        <f t="shared" si="15"/>
        <v>17.653647674254206</v>
      </c>
      <c r="AY56" s="8">
        <f t="shared" si="16"/>
        <v>0.37198365885277501</v>
      </c>
      <c r="AZ56" s="2">
        <f t="shared" si="17"/>
        <v>887508</v>
      </c>
      <c r="BA56" s="242">
        <f>'[1]15.16 Meter Data'!W519</f>
        <v>1066648</v>
      </c>
      <c r="BB56" s="2">
        <f>BA56/L56</f>
        <v>4783.1748878923763</v>
      </c>
      <c r="BC56" s="2">
        <f>BA56/M56</f>
        <v>12.56713322965267</v>
      </c>
      <c r="BD56" s="8">
        <f>(AS56-BA56)/AS56</f>
        <v>0.55293290229722458</v>
      </c>
      <c r="BE56" s="4" t="s">
        <v>937</v>
      </c>
      <c r="BF56" s="64">
        <v>17944484</v>
      </c>
      <c r="BG56" s="42">
        <f>BF56/M56</f>
        <v>211.4200009425515</v>
      </c>
      <c r="BH56" s="346">
        <f>BF56-3658268</f>
        <v>14286216</v>
      </c>
      <c r="BI56" s="15">
        <f>8023000*M56/541421</f>
        <v>1257727.624159388</v>
      </c>
      <c r="BJ56" s="15">
        <v>0</v>
      </c>
      <c r="BL56" s="15">
        <f>379066*M56/541421</f>
        <v>59424.377362533036</v>
      </c>
      <c r="BM56" s="1353"/>
      <c r="BN56" s="1" t="s">
        <v>961</v>
      </c>
      <c r="BO56" s="11" t="s">
        <v>247</v>
      </c>
      <c r="BP56" s="41"/>
      <c r="BQ56" s="41"/>
    </row>
    <row r="57" spans="1:69" s="3" customFormat="1" ht="27.6" customHeight="1" x14ac:dyDescent="0.2">
      <c r="A57" s="28" t="s">
        <v>1252</v>
      </c>
      <c r="B57" s="915" t="s">
        <v>952</v>
      </c>
      <c r="C57" s="11" t="s">
        <v>109</v>
      </c>
      <c r="D57" s="11" t="s">
        <v>993</v>
      </c>
      <c r="E57" s="11" t="s">
        <v>548</v>
      </c>
      <c r="F57" s="1" t="s">
        <v>134</v>
      </c>
      <c r="G57" s="37">
        <v>40840</v>
      </c>
      <c r="H57" s="1" t="s">
        <v>4</v>
      </c>
      <c r="I57" s="33" t="s">
        <v>244</v>
      </c>
      <c r="J57" s="60">
        <v>41648</v>
      </c>
      <c r="K57" s="28" t="s">
        <v>135</v>
      </c>
      <c r="L57" s="1">
        <v>231</v>
      </c>
      <c r="M57" s="2">
        <v>110627</v>
      </c>
      <c r="N57" s="19">
        <f>M57/L57</f>
        <v>478.90476190476193</v>
      </c>
      <c r="O57" s="14">
        <v>5</v>
      </c>
      <c r="P57" s="28" t="s">
        <v>1252</v>
      </c>
      <c r="Q57" s="11" t="s">
        <v>247</v>
      </c>
      <c r="R57" s="11">
        <v>4</v>
      </c>
      <c r="S57" s="2">
        <v>5889</v>
      </c>
      <c r="T57" s="10">
        <f>S57/M57*1000</f>
        <v>53.232935901723806</v>
      </c>
      <c r="U57" s="2">
        <v>4141</v>
      </c>
      <c r="V57" s="10">
        <f t="shared" si="1"/>
        <v>37.43209162320229</v>
      </c>
      <c r="W57" s="8">
        <f t="shared" si="2"/>
        <v>0.29682458821531671</v>
      </c>
      <c r="X57" s="2">
        <f t="shared" si="3"/>
        <v>1748</v>
      </c>
      <c r="Y57" s="992">
        <v>42612</v>
      </c>
      <c r="Z57" s="2">
        <f>'[1]15.16 Meter Data'!Y528</f>
        <v>3349.099645548104</v>
      </c>
      <c r="AA57" s="40">
        <f t="shared" si="48"/>
        <v>30.273799755467508</v>
      </c>
      <c r="AB57" s="1391" t="s">
        <v>1308</v>
      </c>
      <c r="AC57" s="1393">
        <v>46</v>
      </c>
      <c r="AD57" s="5">
        <f>(S57-Z57)/S57</f>
        <v>0.43129569612020646</v>
      </c>
      <c r="AE57" s="1611" t="s">
        <v>955</v>
      </c>
      <c r="AF57" s="51">
        <f>S57-Z57</f>
        <v>2539.900354451896</v>
      </c>
      <c r="AG57" s="28" t="s">
        <v>1252</v>
      </c>
      <c r="AH57" s="15">
        <v>127318</v>
      </c>
      <c r="AI57" s="7">
        <f t="shared" si="7"/>
        <v>1.1508763683368437</v>
      </c>
      <c r="AJ57" s="15">
        <v>80286</v>
      </c>
      <c r="AK57" s="7">
        <f t="shared" si="8"/>
        <v>0.72573603189094882</v>
      </c>
      <c r="AL57" s="8">
        <f t="shared" si="9"/>
        <v>0.36940573995821485</v>
      </c>
      <c r="AM57" s="15">
        <f t="shared" si="10"/>
        <v>47032</v>
      </c>
      <c r="AN57" s="15">
        <f>'[1]15.16 Meter Data'!W532</f>
        <v>76217.97</v>
      </c>
      <c r="AO57" s="22">
        <f>AN57/M57</f>
        <v>0.68896354416191352</v>
      </c>
      <c r="AP57" s="47">
        <f>(AH57-AN57)/AH57</f>
        <v>0.40135746712954962</v>
      </c>
      <c r="AQ57" s="48">
        <f>AH57-AN57</f>
        <v>51100.03</v>
      </c>
      <c r="AR57" s="28" t="s">
        <v>1252</v>
      </c>
      <c r="AS57" s="2">
        <v>2916495</v>
      </c>
      <c r="AT57" s="2">
        <f>AS57/L57</f>
        <v>12625.519480519481</v>
      </c>
      <c r="AU57" s="10">
        <f t="shared" si="14"/>
        <v>26.363319985175409</v>
      </c>
      <c r="AV57" s="2">
        <v>2297942</v>
      </c>
      <c r="AW57" s="9">
        <f>AV57/L57</f>
        <v>9947.8008658008657</v>
      </c>
      <c r="AX57" s="10">
        <f t="shared" si="15"/>
        <v>20.771981523497882</v>
      </c>
      <c r="AY57" s="8">
        <f t="shared" si="16"/>
        <v>0.21208779716749043</v>
      </c>
      <c r="AZ57" s="2">
        <f t="shared" si="17"/>
        <v>618553</v>
      </c>
      <c r="BA57" s="242">
        <f>'[1]15.16 Meter Data'!W529</f>
        <v>1756304</v>
      </c>
      <c r="BB57" s="2">
        <f>BA57/L57</f>
        <v>7603.0476190476193</v>
      </c>
      <c r="BC57" s="2">
        <f>BA57/M57</f>
        <v>15.875907328229093</v>
      </c>
      <c r="BD57" s="8">
        <f>(AS57-BA57)/AS57</f>
        <v>0.39780318498745926</v>
      </c>
      <c r="BE57" s="28" t="s">
        <v>1252</v>
      </c>
      <c r="BF57" s="71" t="s">
        <v>244</v>
      </c>
      <c r="BG57" s="42"/>
      <c r="BI57" s="71" t="s">
        <v>244</v>
      </c>
      <c r="BJ57" s="15"/>
      <c r="BK57" s="3" t="s">
        <v>38</v>
      </c>
      <c r="BL57" s="33" t="s">
        <v>244</v>
      </c>
      <c r="BM57" s="1353"/>
      <c r="BN57" s="1" t="s">
        <v>297</v>
      </c>
      <c r="BO57" s="11" t="s">
        <v>247</v>
      </c>
      <c r="BP57" s="41"/>
      <c r="BQ57" s="41"/>
    </row>
    <row r="58" spans="1:69" s="41" customFormat="1" ht="27.6" customHeight="1" x14ac:dyDescent="0.2">
      <c r="A58" s="20" t="s">
        <v>139</v>
      </c>
      <c r="B58" s="19" t="s">
        <v>951</v>
      </c>
      <c r="C58" s="19" t="s">
        <v>63</v>
      </c>
      <c r="D58" s="19" t="s">
        <v>985</v>
      </c>
      <c r="E58" s="19" t="s">
        <v>545</v>
      </c>
      <c r="F58" s="9" t="s">
        <v>138</v>
      </c>
      <c r="G58" s="34">
        <v>40577</v>
      </c>
      <c r="H58" s="19" t="s">
        <v>10</v>
      </c>
      <c r="I58" s="34">
        <v>41008</v>
      </c>
      <c r="J58" s="61">
        <v>41667</v>
      </c>
      <c r="K58" s="20" t="s">
        <v>140</v>
      </c>
      <c r="L58" s="19" t="s">
        <v>13</v>
      </c>
      <c r="M58" s="6">
        <v>102914</v>
      </c>
      <c r="N58" s="6"/>
      <c r="O58" s="49">
        <v>4</v>
      </c>
      <c r="P58" s="20" t="s">
        <v>139</v>
      </c>
      <c r="Q58" s="11" t="s">
        <v>247</v>
      </c>
      <c r="R58" s="11">
        <v>3</v>
      </c>
      <c r="S58" s="2">
        <v>7934</v>
      </c>
      <c r="T58" s="12">
        <f>S58/M58*1000</f>
        <v>77.093495539965403</v>
      </c>
      <c r="U58" s="2">
        <v>5513</v>
      </c>
      <c r="V58" s="23">
        <f t="shared" si="1"/>
        <v>53.568999358687833</v>
      </c>
      <c r="W58" s="5">
        <f t="shared" si="2"/>
        <v>0.30514242500630201</v>
      </c>
      <c r="X58" s="13">
        <f t="shared" si="3"/>
        <v>2421</v>
      </c>
      <c r="Y58" s="967">
        <v>42587</v>
      </c>
      <c r="Z58" s="49">
        <f>'[1]15.16 Meter Data'!Y539</f>
        <v>8370.3725864030639</v>
      </c>
      <c r="AA58" s="40">
        <f t="shared" si="48"/>
        <v>81.33366292635661</v>
      </c>
      <c r="AB58" s="1391" t="s">
        <v>1300</v>
      </c>
      <c r="AC58" s="1393">
        <v>62</v>
      </c>
      <c r="AD58" s="5">
        <f t="shared" ref="AD58:AD64" si="61">(S58-Z58)/S58</f>
        <v>-5.5000325989798829E-2</v>
      </c>
      <c r="AE58" s="5"/>
      <c r="AF58" s="51">
        <f t="shared" ref="AF58:AF64" si="62">S58-Z58</f>
        <v>-436.37258640306391</v>
      </c>
      <c r="AG58" s="20" t="s">
        <v>139</v>
      </c>
      <c r="AH58" s="15">
        <v>142246</v>
      </c>
      <c r="AI58" s="7">
        <f t="shared" si="7"/>
        <v>1.3821831820743533</v>
      </c>
      <c r="AJ58" s="15">
        <v>98494</v>
      </c>
      <c r="AK58" s="7">
        <f t="shared" si="8"/>
        <v>0.95705151874380556</v>
      </c>
      <c r="AL58" s="8">
        <f t="shared" si="9"/>
        <v>0.30757982649775739</v>
      </c>
      <c r="AM58" s="16">
        <f t="shared" si="10"/>
        <v>43752</v>
      </c>
      <c r="AN58" s="15">
        <f>'[1]15.16 Meter Data'!W545</f>
        <v>81083.678816089145</v>
      </c>
      <c r="AO58" s="22">
        <f t="shared" ref="AO58:AO64" si="63">AN58/M58</f>
        <v>0.7878780225828278</v>
      </c>
      <c r="AP58" s="47">
        <f t="shared" ref="AP58:AP64" si="64">(AH58-AN58)/AH58</f>
        <v>0.42997568426466021</v>
      </c>
      <c r="AQ58" s="48">
        <f t="shared" ref="AQ58:AQ64" si="65">AH58-AN58</f>
        <v>61162.321183910855</v>
      </c>
      <c r="AR58" s="20" t="s">
        <v>139</v>
      </c>
      <c r="AS58" s="2">
        <v>776459</v>
      </c>
      <c r="AT58" s="9" t="s">
        <v>13</v>
      </c>
      <c r="AU58" s="2">
        <f t="shared" si="14"/>
        <v>7.544736381833375</v>
      </c>
      <c r="AV58" s="2">
        <v>565009</v>
      </c>
      <c r="AW58" s="9" t="s">
        <v>13</v>
      </c>
      <c r="AX58" s="2">
        <f t="shared" si="15"/>
        <v>5.4901082457197274</v>
      </c>
      <c r="AY58" s="8">
        <f t="shared" si="16"/>
        <v>0.27232603395671889</v>
      </c>
      <c r="AZ58" s="17">
        <f t="shared" si="17"/>
        <v>211450</v>
      </c>
      <c r="BA58" s="2">
        <f>'[1]14.15 Meter Data'!W537</f>
        <v>98967.88</v>
      </c>
      <c r="BB58" s="9" t="s">
        <v>13</v>
      </c>
      <c r="BC58" s="2">
        <f t="shared" ref="BC58:BC64" si="66">BA58/M58</f>
        <v>0.9616561400781235</v>
      </c>
      <c r="BD58" s="8">
        <f t="shared" ref="BD58:BD64" si="67">(AS58-BA58)/AS58</f>
        <v>0.87253946441473407</v>
      </c>
      <c r="BE58" s="20" t="s">
        <v>139</v>
      </c>
      <c r="BF58" s="64">
        <v>25748184</v>
      </c>
      <c r="BG58" s="42">
        <f t="shared" ref="BG58:BG94" si="68">BF58/M58</f>
        <v>250.19126649435452</v>
      </c>
      <c r="BH58" s="346">
        <f>BF58-1012000</f>
        <v>24736184</v>
      </c>
      <c r="BI58" s="15">
        <v>2215000</v>
      </c>
      <c r="BJ58" s="15">
        <v>0</v>
      </c>
      <c r="BK58" s="3"/>
      <c r="BL58" s="15">
        <v>240424</v>
      </c>
      <c r="BM58" s="1353">
        <f>((BF58-BH58)+BJ58+BK58+BL58)/AM58</f>
        <v>28.625525690254161</v>
      </c>
      <c r="BN58" s="1" t="s">
        <v>295</v>
      </c>
      <c r="BO58" s="11" t="s">
        <v>247</v>
      </c>
    </row>
    <row r="59" spans="1:69" s="41" customFormat="1" ht="27.6" customHeight="1" x14ac:dyDescent="0.25">
      <c r="A59" s="4" t="s">
        <v>938</v>
      </c>
      <c r="B59" s="915" t="s">
        <v>952</v>
      </c>
      <c r="C59" s="11" t="s">
        <v>60</v>
      </c>
      <c r="D59" s="11" t="s">
        <v>989</v>
      </c>
      <c r="E59" s="11" t="s">
        <v>510</v>
      </c>
      <c r="F59" s="1" t="s">
        <v>59</v>
      </c>
      <c r="G59" s="33">
        <v>40819</v>
      </c>
      <c r="H59" s="11" t="s">
        <v>10</v>
      </c>
      <c r="I59" s="33">
        <v>40816</v>
      </c>
      <c r="J59" s="60">
        <v>41676</v>
      </c>
      <c r="K59" s="4" t="s">
        <v>54</v>
      </c>
      <c r="L59" s="1">
        <v>219</v>
      </c>
      <c r="M59" s="2">
        <v>88512</v>
      </c>
      <c r="N59" s="19">
        <f>M59/L59</f>
        <v>404.16438356164383</v>
      </c>
      <c r="O59" s="49">
        <v>6</v>
      </c>
      <c r="P59" s="4" t="s">
        <v>938</v>
      </c>
      <c r="Q59" s="11" t="s">
        <v>247</v>
      </c>
      <c r="R59" s="11">
        <v>4</v>
      </c>
      <c r="S59" s="2">
        <v>5069</v>
      </c>
      <c r="T59" s="12">
        <f>(S59/M59)*1000</f>
        <v>57.269070860448302</v>
      </c>
      <c r="U59" s="2">
        <v>3543</v>
      </c>
      <c r="V59" s="23">
        <f t="shared" si="1"/>
        <v>40.028470715835141</v>
      </c>
      <c r="W59" s="5">
        <f t="shared" si="2"/>
        <v>0.30104557111856384</v>
      </c>
      <c r="X59" s="13">
        <f t="shared" si="3"/>
        <v>1526</v>
      </c>
      <c r="Y59" s="967">
        <v>42614</v>
      </c>
      <c r="Z59" s="1674">
        <f>'[1]15.16 Meter Data'!Y551</f>
        <v>5019.2979995490723</v>
      </c>
      <c r="AA59" s="1675">
        <f t="shared" si="48"/>
        <v>56.707542475021157</v>
      </c>
      <c r="AB59" s="1676" t="s">
        <v>1298</v>
      </c>
      <c r="AC59" s="1677">
        <v>58</v>
      </c>
      <c r="AD59" s="1678">
        <f>(S59-Z59)/S59</f>
        <v>9.8050898502520609E-3</v>
      </c>
      <c r="AE59" s="5"/>
      <c r="AF59" s="51">
        <f>S59-Z59</f>
        <v>49.702000450927699</v>
      </c>
      <c r="AG59" s="4" t="s">
        <v>938</v>
      </c>
      <c r="AH59" s="15">
        <v>91459</v>
      </c>
      <c r="AI59" s="7">
        <f t="shared" si="7"/>
        <v>1.0332949204627622</v>
      </c>
      <c r="AJ59" s="15">
        <v>63494</v>
      </c>
      <c r="AK59" s="7">
        <f t="shared" si="8"/>
        <v>0.7173490600144613</v>
      </c>
      <c r="AL59" s="8">
        <f t="shared" si="9"/>
        <v>0.30576542494451064</v>
      </c>
      <c r="AM59" s="16">
        <f t="shared" si="10"/>
        <v>27965</v>
      </c>
      <c r="AN59" s="15">
        <f>'[1]15.16 Meter Data'!W556</f>
        <v>87059.429818269185</v>
      </c>
      <c r="AO59" s="22">
        <f>AN59/M59</f>
        <v>0.98358900282751704</v>
      </c>
      <c r="AP59" s="47">
        <f>(AH59-AN59)/AH59</f>
        <v>4.8104289153946739E-2</v>
      </c>
      <c r="AQ59" s="48">
        <f>AH59-AN59</f>
        <v>4399.5701817308145</v>
      </c>
      <c r="AR59" s="4" t="s">
        <v>439</v>
      </c>
      <c r="AS59" s="2">
        <v>2343922</v>
      </c>
      <c r="AT59" s="2">
        <f>AS59/L59</f>
        <v>10702.840182648402</v>
      </c>
      <c r="AU59" s="2">
        <f t="shared" si="14"/>
        <v>26.481403651482285</v>
      </c>
      <c r="AV59" s="2">
        <v>1472334</v>
      </c>
      <c r="AW59" s="9">
        <f>AV59/L59</f>
        <v>6722.9863013698632</v>
      </c>
      <c r="AX59" s="10">
        <f t="shared" si="15"/>
        <v>16.634286876355748</v>
      </c>
      <c r="AY59" s="8">
        <f t="shared" si="16"/>
        <v>0.37185025781574643</v>
      </c>
      <c r="AZ59" s="2">
        <f t="shared" si="17"/>
        <v>871588</v>
      </c>
      <c r="BA59" s="242">
        <f>'[1]15.16 Meter Data'!W552</f>
        <v>513876</v>
      </c>
      <c r="BB59" s="2">
        <f>BA59/L59</f>
        <v>2346.4657534246576</v>
      </c>
      <c r="BC59" s="2">
        <f t="shared" si="66"/>
        <v>5.8057212581344899</v>
      </c>
      <c r="BD59" s="8">
        <f t="shared" si="67"/>
        <v>0.78076232912187349</v>
      </c>
      <c r="BE59" s="4" t="s">
        <v>938</v>
      </c>
      <c r="BF59" s="64">
        <v>18713207</v>
      </c>
      <c r="BG59" s="42">
        <f t="shared" si="68"/>
        <v>211.41999954808387</v>
      </c>
      <c r="BI59" s="15">
        <f>8023000*M59/541421</f>
        <v>1311607.3739289758</v>
      </c>
      <c r="BJ59" s="15" t="s">
        <v>253</v>
      </c>
      <c r="BK59" s="3"/>
      <c r="BL59" s="15">
        <f>379066*M59/541421</f>
        <v>61970.056189176263</v>
      </c>
      <c r="BM59" s="1353"/>
      <c r="BN59" s="1" t="s">
        <v>314</v>
      </c>
      <c r="BO59" s="11" t="s">
        <v>247</v>
      </c>
    </row>
    <row r="60" spans="1:69" s="41" customFormat="1" ht="27.6" customHeight="1" x14ac:dyDescent="0.2">
      <c r="A60" s="28" t="s">
        <v>1026</v>
      </c>
      <c r="B60" s="915" t="s">
        <v>950</v>
      </c>
      <c r="C60" s="11" t="s">
        <v>100</v>
      </c>
      <c r="D60" s="11" t="s">
        <v>1000</v>
      </c>
      <c r="E60" s="11" t="s">
        <v>549</v>
      </c>
      <c r="F60" s="1" t="s">
        <v>160</v>
      </c>
      <c r="G60" s="37">
        <v>41179</v>
      </c>
      <c r="H60" s="1" t="s">
        <v>10</v>
      </c>
      <c r="I60" s="33">
        <v>41256</v>
      </c>
      <c r="J60" s="60">
        <v>41723</v>
      </c>
      <c r="K60" s="28" t="s">
        <v>128</v>
      </c>
      <c r="L60" s="1" t="s">
        <v>13</v>
      </c>
      <c r="M60" s="2">
        <v>37898</v>
      </c>
      <c r="N60" s="2"/>
      <c r="O60" s="14">
        <v>3</v>
      </c>
      <c r="P60" s="28" t="s">
        <v>212</v>
      </c>
      <c r="Q60" s="11" t="s">
        <v>249</v>
      </c>
      <c r="R60" s="11">
        <v>4</v>
      </c>
      <c r="S60" s="2">
        <v>2638</v>
      </c>
      <c r="T60" s="10">
        <f>S60/M60*1000</f>
        <v>69.607894875719026</v>
      </c>
      <c r="U60" s="2">
        <v>1913</v>
      </c>
      <c r="V60" s="10">
        <f t="shared" si="1"/>
        <v>50.477597762414902</v>
      </c>
      <c r="W60" s="8">
        <f t="shared" si="2"/>
        <v>0.27482941622441243</v>
      </c>
      <c r="X60" s="3">
        <f t="shared" si="3"/>
        <v>725</v>
      </c>
      <c r="Y60" s="967">
        <v>42594</v>
      </c>
      <c r="Z60" s="2">
        <f>'[1]15.16 Meter Data'!Y562</f>
        <v>5904.0544666839733</v>
      </c>
      <c r="AA60" s="40">
        <f t="shared" si="48"/>
        <v>155.78802223557901</v>
      </c>
      <c r="AB60" s="1391" t="s">
        <v>1300</v>
      </c>
      <c r="AC60" s="1393">
        <v>72</v>
      </c>
      <c r="AD60" s="5">
        <f t="shared" si="61"/>
        <v>-1.2380797826701946</v>
      </c>
      <c r="AE60" s="5"/>
      <c r="AF60" s="51">
        <f t="shared" si="62"/>
        <v>-3266.0544666839733</v>
      </c>
      <c r="AG60" s="28" t="s">
        <v>212</v>
      </c>
      <c r="AH60" s="15">
        <v>41267</v>
      </c>
      <c r="AI60" s="7">
        <f t="shared" si="7"/>
        <v>1.0888965116892713</v>
      </c>
      <c r="AJ60" s="15">
        <v>25579</v>
      </c>
      <c r="AK60" s="7">
        <f t="shared" si="8"/>
        <v>0.67494326877407784</v>
      </c>
      <c r="AL60" s="8">
        <f t="shared" si="9"/>
        <v>0.38015848014151743</v>
      </c>
      <c r="AM60" s="15">
        <f t="shared" si="10"/>
        <v>15688</v>
      </c>
      <c r="AN60" s="15">
        <f>'[1]15.16 Meter Data'!W567</f>
        <v>77663.29463176</v>
      </c>
      <c r="AO60" s="22">
        <f t="shared" si="63"/>
        <v>2.0492715877291676</v>
      </c>
      <c r="AP60" s="47">
        <f t="shared" si="64"/>
        <v>-0.88197093638403568</v>
      </c>
      <c r="AQ60" s="48">
        <f t="shared" si="65"/>
        <v>-36396.29463176</v>
      </c>
      <c r="AR60" s="28" t="s">
        <v>212</v>
      </c>
      <c r="AS60" s="2">
        <v>2719308</v>
      </c>
      <c r="AT60" s="1" t="s">
        <v>157</v>
      </c>
      <c r="AU60" s="10">
        <f t="shared" si="14"/>
        <v>71.75333790701356</v>
      </c>
      <c r="AV60" s="2">
        <v>1869230</v>
      </c>
      <c r="AW60" s="1" t="s">
        <v>13</v>
      </c>
      <c r="AX60" s="10">
        <f t="shared" si="15"/>
        <v>49.322655549105491</v>
      </c>
      <c r="AY60" s="8">
        <f t="shared" si="16"/>
        <v>0.31260820767636471</v>
      </c>
      <c r="AZ60" s="2">
        <f t="shared" si="17"/>
        <v>850078</v>
      </c>
      <c r="BA60" s="242">
        <f>'[1]15.16 Meter Data'!W563</f>
        <v>238611.99999999997</v>
      </c>
      <c r="BB60" s="9" t="s">
        <v>13</v>
      </c>
      <c r="BC60" s="2">
        <f t="shared" si="66"/>
        <v>6.2961633859306554</v>
      </c>
      <c r="BD60" s="8">
        <f t="shared" si="67"/>
        <v>0.91225267604846527</v>
      </c>
      <c r="BE60" s="28" t="s">
        <v>212</v>
      </c>
      <c r="BF60" s="64">
        <f>1970229+8920241</f>
        <v>10890470</v>
      </c>
      <c r="BG60" s="42">
        <f t="shared" si="68"/>
        <v>287.36265766003481</v>
      </c>
      <c r="BH60" s="15">
        <v>10890470</v>
      </c>
      <c r="BI60" s="15">
        <v>1125000</v>
      </c>
      <c r="BJ60" s="15">
        <v>100000</v>
      </c>
      <c r="BK60" s="3"/>
      <c r="BL60" s="15">
        <v>90000</v>
      </c>
      <c r="BM60" s="1353">
        <f>((BF60-BH60)+BJ60+BK60+BL60)/AM60</f>
        <v>12.11116777154513</v>
      </c>
      <c r="BN60" s="1" t="s">
        <v>296</v>
      </c>
      <c r="BO60" s="11" t="s">
        <v>249</v>
      </c>
    </row>
    <row r="61" spans="1:69" s="41" customFormat="1" ht="27.6" customHeight="1" x14ac:dyDescent="0.25">
      <c r="A61" s="4" t="s">
        <v>939</v>
      </c>
      <c r="B61" s="915" t="s">
        <v>952</v>
      </c>
      <c r="C61" s="11" t="s">
        <v>60</v>
      </c>
      <c r="D61" s="11" t="s">
        <v>989</v>
      </c>
      <c r="E61" s="429" t="s">
        <v>510</v>
      </c>
      <c r="F61" s="1" t="s">
        <v>59</v>
      </c>
      <c r="G61" s="33">
        <v>40819</v>
      </c>
      <c r="H61" s="11" t="s">
        <v>10</v>
      </c>
      <c r="I61" s="33">
        <v>40816</v>
      </c>
      <c r="J61" s="60">
        <v>41738</v>
      </c>
      <c r="K61" s="4" t="s">
        <v>135</v>
      </c>
      <c r="L61" s="1">
        <v>144</v>
      </c>
      <c r="M61" s="2">
        <v>62645</v>
      </c>
      <c r="N61" s="19">
        <f>M61/L61</f>
        <v>435.03472222222223</v>
      </c>
      <c r="O61" s="49">
        <v>6</v>
      </c>
      <c r="P61" s="4" t="s">
        <v>939</v>
      </c>
      <c r="Q61" s="11" t="s">
        <v>247</v>
      </c>
      <c r="R61" s="11">
        <v>4</v>
      </c>
      <c r="S61" s="2">
        <v>3959</v>
      </c>
      <c r="T61" s="12">
        <f>(S61/M61)*1000</f>
        <v>63.197382073589267</v>
      </c>
      <c r="U61" s="2">
        <v>2756</v>
      </c>
      <c r="V61" s="23">
        <f t="shared" si="1"/>
        <v>43.993934072950758</v>
      </c>
      <c r="W61" s="5">
        <f t="shared" si="2"/>
        <v>0.30386461227582723</v>
      </c>
      <c r="X61" s="13">
        <f t="shared" si="3"/>
        <v>1203</v>
      </c>
      <c r="Y61" s="967">
        <v>42614</v>
      </c>
      <c r="Z61" s="49">
        <f>'[1]15.16 Meter Data'!Y573</f>
        <v>5079.0774535230248</v>
      </c>
      <c r="AA61" s="40">
        <f t="shared" si="48"/>
        <v>81.077140290893524</v>
      </c>
      <c r="AB61" s="1391" t="s">
        <v>1298</v>
      </c>
      <c r="AC61" s="1393">
        <v>58</v>
      </c>
      <c r="AD61" s="5">
        <f>(S61-Z61)/S61</f>
        <v>-0.28291928606290095</v>
      </c>
      <c r="AE61" s="5"/>
      <c r="AF61" s="51">
        <f>S61-Z61</f>
        <v>-1120.0774535230248</v>
      </c>
      <c r="AG61" s="4" t="s">
        <v>939</v>
      </c>
      <c r="AH61" s="15">
        <v>73439</v>
      </c>
      <c r="AI61" s="7">
        <f t="shared" si="7"/>
        <v>1.1723042541304174</v>
      </c>
      <c r="AJ61" s="15">
        <v>49084</v>
      </c>
      <c r="AK61" s="7">
        <f t="shared" si="8"/>
        <v>0.7835262191715221</v>
      </c>
      <c r="AL61" s="8">
        <f t="shared" si="9"/>
        <v>0.33163577935429406</v>
      </c>
      <c r="AM61" s="16">
        <f t="shared" si="10"/>
        <v>24355</v>
      </c>
      <c r="AN61" s="15">
        <f>'[1]15.16 Meter Data'!W578</f>
        <v>76081.320739222152</v>
      </c>
      <c r="AO61" s="22">
        <f>AN61/M61</f>
        <v>1.2144835300378667</v>
      </c>
      <c r="AP61" s="47">
        <f>(AH61-AN61)/AH61</f>
        <v>-3.5979802818967468E-2</v>
      </c>
      <c r="AQ61" s="48">
        <f>AH61-AN61</f>
        <v>-2642.320739222152</v>
      </c>
      <c r="AR61" s="4" t="s">
        <v>939</v>
      </c>
      <c r="AS61" s="2">
        <v>1557237</v>
      </c>
      <c r="AT61" s="2">
        <f>AS61/L61</f>
        <v>10814.145833333334</v>
      </c>
      <c r="AU61" s="2">
        <f t="shared" si="14"/>
        <v>24.858121158911327</v>
      </c>
      <c r="AV61" s="2">
        <v>984137</v>
      </c>
      <c r="AW61" s="9">
        <f>AV61/L61</f>
        <v>6834.2847222222226</v>
      </c>
      <c r="AX61" s="10">
        <f t="shared" si="15"/>
        <v>15.709745390693591</v>
      </c>
      <c r="AY61" s="8">
        <f t="shared" si="16"/>
        <v>0.36802362132417865</v>
      </c>
      <c r="AZ61" s="2">
        <f t="shared" si="17"/>
        <v>573100</v>
      </c>
      <c r="BA61" s="242">
        <f>'[1]15.16 Meter Data'!W574</f>
        <v>488444</v>
      </c>
      <c r="BB61" s="1673">
        <f>BA61/L61</f>
        <v>3391.9722222222222</v>
      </c>
      <c r="BC61" s="1673">
        <f>BA61/M61</f>
        <v>7.7970149253731345</v>
      </c>
      <c r="BD61" s="1698">
        <f>(AS61-BA61)/AS61</f>
        <v>0.68633933049368845</v>
      </c>
      <c r="BE61" s="4" t="s">
        <v>939</v>
      </c>
      <c r="BF61" s="64">
        <v>13244406</v>
      </c>
      <c r="BG61" s="42">
        <f t="shared" si="68"/>
        <v>211.4200015962966</v>
      </c>
      <c r="BI61" s="15">
        <f>8023000*M61/541421</f>
        <v>928299.48413526628</v>
      </c>
      <c r="BJ61" s="15" t="s">
        <v>253</v>
      </c>
      <c r="BK61" s="3"/>
      <c r="BL61" s="15">
        <f>379066*M61/541421</f>
        <v>43859.749751117888</v>
      </c>
      <c r="BM61" s="1353"/>
      <c r="BN61" s="1" t="s">
        <v>314</v>
      </c>
      <c r="BO61" s="11" t="s">
        <v>247</v>
      </c>
    </row>
    <row r="62" spans="1:69" s="41" customFormat="1" ht="27.6" customHeight="1" x14ac:dyDescent="0.25">
      <c r="A62" s="4" t="s">
        <v>940</v>
      </c>
      <c r="B62" s="915" t="s">
        <v>952</v>
      </c>
      <c r="C62" s="11" t="s">
        <v>60</v>
      </c>
      <c r="D62" s="11" t="s">
        <v>989</v>
      </c>
      <c r="E62" s="11" t="s">
        <v>510</v>
      </c>
      <c r="F62" s="1" t="s">
        <v>59</v>
      </c>
      <c r="G62" s="33">
        <v>40819</v>
      </c>
      <c r="H62" s="11" t="s">
        <v>10</v>
      </c>
      <c r="I62" s="33">
        <v>40816</v>
      </c>
      <c r="J62" s="60">
        <v>41768</v>
      </c>
      <c r="K62" s="4" t="s">
        <v>54</v>
      </c>
      <c r="L62" s="1">
        <v>219</v>
      </c>
      <c r="M62" s="2">
        <v>83460</v>
      </c>
      <c r="N62" s="19">
        <f>M62/L62</f>
        <v>381.09589041095893</v>
      </c>
      <c r="O62" s="49">
        <v>6</v>
      </c>
      <c r="P62" s="4" t="s">
        <v>940</v>
      </c>
      <c r="Q62" s="11" t="s">
        <v>247</v>
      </c>
      <c r="R62" s="11">
        <v>4</v>
      </c>
      <c r="S62" s="2">
        <v>5197</v>
      </c>
      <c r="T62" s="12">
        <f>(S62/M62)*1000</f>
        <v>62.269350587107603</v>
      </c>
      <c r="U62" s="2">
        <v>3476</v>
      </c>
      <c r="V62" s="23">
        <f t="shared" si="1"/>
        <v>41.648693985142586</v>
      </c>
      <c r="W62" s="5">
        <f t="shared" si="2"/>
        <v>0.33115258803155667</v>
      </c>
      <c r="X62" s="13">
        <f t="shared" si="3"/>
        <v>1721</v>
      </c>
      <c r="Y62" s="967">
        <v>42614</v>
      </c>
      <c r="Z62" s="49">
        <f>'[1]15.16 Meter Data'!Y584</f>
        <v>5078.8590686017587</v>
      </c>
      <c r="AA62" s="40">
        <f t="shared" si="48"/>
        <v>60.853811030454814</v>
      </c>
      <c r="AB62" s="1391" t="s">
        <v>1298</v>
      </c>
      <c r="AC62" s="1393">
        <v>58</v>
      </c>
      <c r="AD62" s="5">
        <f>(S62-Z62)/S62</f>
        <v>2.2732524802432416E-2</v>
      </c>
      <c r="AE62" s="5"/>
      <c r="AF62" s="51">
        <f>S62-Z62</f>
        <v>118.14093139824126</v>
      </c>
      <c r="AG62" s="4" t="s">
        <v>940</v>
      </c>
      <c r="AH62" s="15">
        <v>96219</v>
      </c>
      <c r="AI62" s="7">
        <f t="shared" si="7"/>
        <v>1.1528756290438533</v>
      </c>
      <c r="AJ62" s="15">
        <v>61768</v>
      </c>
      <c r="AK62" s="7">
        <f t="shared" si="8"/>
        <v>0.74009106158638871</v>
      </c>
      <c r="AL62" s="8">
        <f t="shared" si="9"/>
        <v>0.35804778681965099</v>
      </c>
      <c r="AM62" s="16">
        <f t="shared" si="10"/>
        <v>34451</v>
      </c>
      <c r="AN62" s="15">
        <f>'[1]15.16 Meter Data'!W589</f>
        <v>84361.339118600794</v>
      </c>
      <c r="AO62" s="22">
        <f>AN62/M62</f>
        <v>1.0107996539492068</v>
      </c>
      <c r="AP62" s="47">
        <f>(AH62-AN62)/AH62</f>
        <v>0.12323616833888532</v>
      </c>
      <c r="AQ62" s="48">
        <f>AH62-AN62</f>
        <v>11857.660881399206</v>
      </c>
      <c r="AR62" s="4" t="s">
        <v>940</v>
      </c>
      <c r="AS62" s="2">
        <v>2343922</v>
      </c>
      <c r="AT62" s="2">
        <f>AS62/L62</f>
        <v>10702.840182648402</v>
      </c>
      <c r="AU62" s="2">
        <f t="shared" si="14"/>
        <v>28.084375748861731</v>
      </c>
      <c r="AV62" s="2">
        <v>1472334</v>
      </c>
      <c r="AW62" s="9">
        <f>AV62/L62</f>
        <v>6722.9863013698632</v>
      </c>
      <c r="AX62" s="10">
        <f t="shared" si="15"/>
        <v>17.6411933860532</v>
      </c>
      <c r="AY62" s="8">
        <f t="shared" si="16"/>
        <v>0.37185025781574643</v>
      </c>
      <c r="AZ62" s="2">
        <f t="shared" si="17"/>
        <v>871588</v>
      </c>
      <c r="BA62" s="242">
        <f>'[1]15.16 Meter Data'!W585</f>
        <v>154088</v>
      </c>
      <c r="BB62" s="1673">
        <f>BA62/L62</f>
        <v>703.59817351598178</v>
      </c>
      <c r="BC62" s="1673">
        <f>BA62/M62</f>
        <v>1.846249700455308</v>
      </c>
      <c r="BD62" s="1698">
        <f>(AS62-BA62)/AS62</f>
        <v>0.93426061106128955</v>
      </c>
      <c r="BE62" s="4" t="s">
        <v>940</v>
      </c>
      <c r="BF62" s="64">
        <v>17645113</v>
      </c>
      <c r="BG62" s="42">
        <f t="shared" si="68"/>
        <v>211.41999760364246</v>
      </c>
      <c r="BI62" s="15">
        <f>8023000*M62/541421</f>
        <v>1236744.7513118258</v>
      </c>
      <c r="BJ62" s="15" t="s">
        <v>253</v>
      </c>
      <c r="BK62" s="3"/>
      <c r="BL62" s="15">
        <f>379066*M62/541421</f>
        <v>58432.990888790795</v>
      </c>
      <c r="BM62" s="1353"/>
      <c r="BN62" s="1" t="s">
        <v>314</v>
      </c>
      <c r="BO62" s="11" t="s">
        <v>247</v>
      </c>
    </row>
    <row r="63" spans="1:69" s="41" customFormat="1" ht="27.6" customHeight="1" x14ac:dyDescent="0.2">
      <c r="A63" s="28" t="s">
        <v>972</v>
      </c>
      <c r="B63" s="915" t="s">
        <v>953</v>
      </c>
      <c r="C63" s="11" t="s">
        <v>144</v>
      </c>
      <c r="D63" s="11" t="s">
        <v>993</v>
      </c>
      <c r="E63" s="11" t="s">
        <v>1030</v>
      </c>
      <c r="F63" s="1" t="s">
        <v>143</v>
      </c>
      <c r="G63" s="37">
        <v>40977</v>
      </c>
      <c r="H63" s="1" t="s">
        <v>10</v>
      </c>
      <c r="I63" s="33">
        <v>41169</v>
      </c>
      <c r="J63" s="60">
        <v>41841</v>
      </c>
      <c r="K63" s="28" t="s">
        <v>12</v>
      </c>
      <c r="L63" s="1" t="s">
        <v>13</v>
      </c>
      <c r="M63" s="2">
        <v>42087</v>
      </c>
      <c r="N63" s="2"/>
      <c r="O63" s="14">
        <v>4</v>
      </c>
      <c r="P63" s="28" t="s">
        <v>972</v>
      </c>
      <c r="Q63" s="11" t="s">
        <v>247</v>
      </c>
      <c r="R63" s="11">
        <v>4</v>
      </c>
      <c r="S63" s="2">
        <v>2425</v>
      </c>
      <c r="T63" s="10">
        <f>S63/M63*1000</f>
        <v>57.618742129398626</v>
      </c>
      <c r="U63" s="2">
        <v>1699</v>
      </c>
      <c r="V63" s="10">
        <f t="shared" si="1"/>
        <v>40.368759949628149</v>
      </c>
      <c r="W63" s="8">
        <f t="shared" si="2"/>
        <v>0.2993814432989691</v>
      </c>
      <c r="X63" s="2">
        <f t="shared" si="3"/>
        <v>726</v>
      </c>
      <c r="Y63" s="992">
        <v>42587</v>
      </c>
      <c r="Z63" s="2">
        <f>'[1]15.16 Meter Data'!Y594</f>
        <v>2088.9236977533283</v>
      </c>
      <c r="AA63" s="40">
        <f t="shared" si="48"/>
        <v>49.63346633766551</v>
      </c>
      <c r="AB63" s="1391" t="s">
        <v>1300</v>
      </c>
      <c r="AC63" s="1393">
        <v>72</v>
      </c>
      <c r="AD63" s="5">
        <f t="shared" si="61"/>
        <v>0.13858816587491618</v>
      </c>
      <c r="AE63" s="5"/>
      <c r="AF63" s="51">
        <f t="shared" si="62"/>
        <v>336.07630224667173</v>
      </c>
      <c r="AG63" s="28" t="s">
        <v>972</v>
      </c>
      <c r="AH63" s="15">
        <v>68705</v>
      </c>
      <c r="AI63" s="7">
        <f t="shared" si="7"/>
        <v>1.6324518259795187</v>
      </c>
      <c r="AJ63" s="15">
        <v>55378</v>
      </c>
      <c r="AK63" s="7">
        <f t="shared" si="8"/>
        <v>1.3157982274811699</v>
      </c>
      <c r="AL63" s="8">
        <f t="shared" si="9"/>
        <v>0.19397423768284697</v>
      </c>
      <c r="AM63" s="15">
        <f t="shared" si="10"/>
        <v>13327</v>
      </c>
      <c r="AN63" s="15">
        <f>'[1]15.16 Meter Data'!W598</f>
        <v>39962.579999999994</v>
      </c>
      <c r="AO63" s="22">
        <f t="shared" si="63"/>
        <v>0.94952313065792271</v>
      </c>
      <c r="AP63" s="47">
        <f t="shared" si="64"/>
        <v>0.4183453897096282</v>
      </c>
      <c r="AQ63" s="48">
        <f t="shared" si="65"/>
        <v>28742.420000000006</v>
      </c>
      <c r="AR63" s="28" t="s">
        <v>972</v>
      </c>
      <c r="AS63" s="2">
        <v>1135125</v>
      </c>
      <c r="AT63" s="9" t="s">
        <v>13</v>
      </c>
      <c r="AU63" s="10">
        <f t="shared" si="14"/>
        <v>26.970917385415923</v>
      </c>
      <c r="AV63" s="2">
        <v>550575</v>
      </c>
      <c r="AW63" s="9" t="s">
        <v>13</v>
      </c>
      <c r="AX63" s="10">
        <f t="shared" si="15"/>
        <v>13.081830493976762</v>
      </c>
      <c r="AY63" s="8">
        <f t="shared" si="16"/>
        <v>0.51496531219028741</v>
      </c>
      <c r="AZ63" s="2">
        <f t="shared" si="17"/>
        <v>584550</v>
      </c>
      <c r="BA63" s="242">
        <f>'[1]15.16 Meter Data'!W595</f>
        <v>63580</v>
      </c>
      <c r="BB63" s="9" t="s">
        <v>13</v>
      </c>
      <c r="BC63" s="2">
        <f t="shared" si="66"/>
        <v>1.5106802575617173</v>
      </c>
      <c r="BD63" s="8">
        <f t="shared" si="67"/>
        <v>0.94398854751679329</v>
      </c>
      <c r="BE63" s="28" t="s">
        <v>972</v>
      </c>
      <c r="BF63" s="64">
        <v>6535600</v>
      </c>
      <c r="BG63" s="42">
        <f t="shared" si="68"/>
        <v>155.28785610758666</v>
      </c>
      <c r="BH63" s="3"/>
      <c r="BI63" s="15">
        <v>686500</v>
      </c>
      <c r="BJ63" s="15">
        <v>20000</v>
      </c>
      <c r="BK63" s="3"/>
      <c r="BL63" s="15">
        <v>149249</v>
      </c>
      <c r="BM63" s="1353"/>
      <c r="BN63" s="1" t="s">
        <v>297</v>
      </c>
      <c r="BO63" s="11" t="s">
        <v>247</v>
      </c>
    </row>
    <row r="64" spans="1:69" s="1724" customFormat="1" ht="27.6" customHeight="1" thickBot="1" x14ac:dyDescent="0.25">
      <c r="A64" s="1710" t="s">
        <v>1017</v>
      </c>
      <c r="B64" s="1711" t="s">
        <v>951</v>
      </c>
      <c r="C64" s="1711" t="s">
        <v>63</v>
      </c>
      <c r="D64" s="1711" t="s">
        <v>985</v>
      </c>
      <c r="E64" s="1711" t="s">
        <v>545</v>
      </c>
      <c r="F64" s="1712" t="s">
        <v>170</v>
      </c>
      <c r="G64" s="1713">
        <v>41262</v>
      </c>
      <c r="H64" s="1712" t="s">
        <v>10</v>
      </c>
      <c r="I64" s="1714">
        <v>41369</v>
      </c>
      <c r="J64" s="1715">
        <v>41864</v>
      </c>
      <c r="K64" s="1710" t="s">
        <v>135</v>
      </c>
      <c r="L64" s="1712">
        <v>408</v>
      </c>
      <c r="M64" s="1717">
        <v>174657</v>
      </c>
      <c r="N64" s="1718">
        <f>M64/L64</f>
        <v>428.08088235294116</v>
      </c>
      <c r="O64" s="1719">
        <v>6</v>
      </c>
      <c r="P64" s="1710" t="s">
        <v>1017</v>
      </c>
      <c r="Q64" s="1711" t="s">
        <v>249</v>
      </c>
      <c r="R64" s="1711">
        <v>3</v>
      </c>
      <c r="S64" s="1717">
        <v>21396</v>
      </c>
      <c r="T64" s="1730">
        <f>S64/M64*1000</f>
        <v>122.50296295023962</v>
      </c>
      <c r="U64" s="1717">
        <v>13060</v>
      </c>
      <c r="V64" s="1730">
        <f t="shared" si="1"/>
        <v>74.77513068471346</v>
      </c>
      <c r="W64" s="1722">
        <f t="shared" si="2"/>
        <v>0.38960553374462514</v>
      </c>
      <c r="X64" s="1717">
        <f t="shared" si="3"/>
        <v>8336</v>
      </c>
      <c r="Y64" s="1740">
        <v>42587</v>
      </c>
      <c r="Z64" s="1717">
        <f>'[1]15.16 Meter Data'!Y603</f>
        <v>9112.41078932036</v>
      </c>
      <c r="AA64" s="1741">
        <f t="shared" si="48"/>
        <v>52.173178225438207</v>
      </c>
      <c r="AB64" s="1725" t="s">
        <v>1298</v>
      </c>
      <c r="AC64" s="1742">
        <v>47</v>
      </c>
      <c r="AD64" s="1743">
        <f t="shared" si="61"/>
        <v>0.57410680550942417</v>
      </c>
      <c r="AE64" s="1744" t="s">
        <v>955</v>
      </c>
      <c r="AF64" s="1745">
        <f t="shared" si="62"/>
        <v>12283.58921067964</v>
      </c>
      <c r="AG64" s="1710" t="s">
        <v>1017</v>
      </c>
      <c r="AH64" s="1727">
        <v>306609</v>
      </c>
      <c r="AI64" s="1728">
        <f t="shared" si="7"/>
        <v>1.7554921932702383</v>
      </c>
      <c r="AJ64" s="1727">
        <v>210750</v>
      </c>
      <c r="AK64" s="1728">
        <f t="shared" si="8"/>
        <v>1.2066507497552346</v>
      </c>
      <c r="AL64" s="1722">
        <f t="shared" si="9"/>
        <v>0.31264248603269962</v>
      </c>
      <c r="AM64" s="1727">
        <f t="shared" si="10"/>
        <v>95859</v>
      </c>
      <c r="AN64" s="1727">
        <f>'[1]15.16 Meter Data'!W607</f>
        <v>128462.11821652544</v>
      </c>
      <c r="AO64" s="1746">
        <f t="shared" si="63"/>
        <v>0.73551084821407353</v>
      </c>
      <c r="AP64" s="1747">
        <f t="shared" si="64"/>
        <v>0.58102300253245842</v>
      </c>
      <c r="AQ64" s="1748">
        <f t="shared" si="65"/>
        <v>178146.88178347456</v>
      </c>
      <c r="AR64" s="1710" t="s">
        <v>1017</v>
      </c>
      <c r="AS64" s="1717">
        <v>4970906</v>
      </c>
      <c r="AT64" s="1717">
        <f>AS64/L64</f>
        <v>12183.593137254902</v>
      </c>
      <c r="AU64" s="1730">
        <f t="shared" si="14"/>
        <v>28.460960625683484</v>
      </c>
      <c r="AV64" s="1717">
        <v>3510140</v>
      </c>
      <c r="AW64" s="1729">
        <f>AV64/L64</f>
        <v>8603.2843137254895</v>
      </c>
      <c r="AX64" s="1730">
        <f t="shared" si="15"/>
        <v>20.097333631059733</v>
      </c>
      <c r="AY64" s="1722">
        <f t="shared" si="16"/>
        <v>0.29386313078541415</v>
      </c>
      <c r="AZ64" s="1717">
        <f t="shared" si="17"/>
        <v>1460766</v>
      </c>
      <c r="BA64" s="1749">
        <f>'[1]15.16 Meter Data'!W604</f>
        <v>5002818.4800000004</v>
      </c>
      <c r="BB64" s="1717">
        <f>BA64/L64</f>
        <v>12261.810000000001</v>
      </c>
      <c r="BC64" s="1717">
        <f t="shared" si="66"/>
        <v>28.643675775949436</v>
      </c>
      <c r="BD64" s="1722">
        <f t="shared" si="67"/>
        <v>-6.4198518338509014E-3</v>
      </c>
      <c r="BE64" s="1710" t="s">
        <v>1017</v>
      </c>
      <c r="BF64" s="1731">
        <v>35192772</v>
      </c>
      <c r="BG64" s="1732">
        <f t="shared" si="68"/>
        <v>201.49648740102029</v>
      </c>
      <c r="BH64" s="1727">
        <v>29686104</v>
      </c>
      <c r="BI64" s="1727">
        <v>2733245</v>
      </c>
      <c r="BJ64" s="1727">
        <v>15000</v>
      </c>
      <c r="BL64" s="1727">
        <v>175000</v>
      </c>
      <c r="BM64" s="1736">
        <f>((BF64-BH64)+BJ64+BK64+BL64)/AM64</f>
        <v>59.427575918797402</v>
      </c>
      <c r="BN64" s="1712"/>
      <c r="BO64" s="1711" t="s">
        <v>249</v>
      </c>
    </row>
    <row r="65" spans="1:69" s="3" customFormat="1" ht="27.6" customHeight="1" thickTop="1" x14ac:dyDescent="0.2">
      <c r="A65" s="28" t="s">
        <v>149</v>
      </c>
      <c r="B65" s="11" t="s">
        <v>951</v>
      </c>
      <c r="C65" s="11" t="s">
        <v>126</v>
      </c>
      <c r="D65" s="11" t="s">
        <v>1000</v>
      </c>
      <c r="E65" s="11" t="s">
        <v>1032</v>
      </c>
      <c r="F65" s="1" t="s">
        <v>148</v>
      </c>
      <c r="G65" s="37">
        <v>41117</v>
      </c>
      <c r="H65" s="1" t="s">
        <v>173</v>
      </c>
      <c r="I65" s="33">
        <v>41292</v>
      </c>
      <c r="J65" s="60">
        <v>41891</v>
      </c>
      <c r="K65" s="28" t="s">
        <v>150</v>
      </c>
      <c r="L65" s="1" t="s">
        <v>13</v>
      </c>
      <c r="M65" s="2">
        <v>73432</v>
      </c>
      <c r="N65" s="2"/>
      <c r="O65" s="14">
        <v>4</v>
      </c>
      <c r="P65" s="28" t="s">
        <v>149</v>
      </c>
      <c r="Q65" s="11" t="s">
        <v>247</v>
      </c>
      <c r="R65" s="11">
        <v>4</v>
      </c>
      <c r="S65" s="2">
        <v>6402</v>
      </c>
      <c r="T65" s="10">
        <f t="shared" ref="T65:T98" si="69">S65/M65*1000</f>
        <v>87.182699640483705</v>
      </c>
      <c r="U65" s="2">
        <v>4631</v>
      </c>
      <c r="V65" s="10">
        <f t="shared" si="1"/>
        <v>63.065148709009698</v>
      </c>
      <c r="W65" s="8">
        <f t="shared" si="2"/>
        <v>0.2766323024054983</v>
      </c>
      <c r="X65" s="2">
        <f t="shared" si="3"/>
        <v>1771</v>
      </c>
      <c r="Y65" s="992" t="s">
        <v>352</v>
      </c>
      <c r="AB65" s="1391" t="s">
        <v>1310</v>
      </c>
      <c r="AC65" s="1396">
        <v>67</v>
      </c>
      <c r="AG65" s="28" t="s">
        <v>149</v>
      </c>
      <c r="AH65" s="15">
        <v>90245</v>
      </c>
      <c r="AI65" s="7">
        <f t="shared" si="7"/>
        <v>1.2289601263754222</v>
      </c>
      <c r="AJ65" s="15">
        <v>62106</v>
      </c>
      <c r="AK65" s="7">
        <f t="shared" si="8"/>
        <v>0.8457620655844863</v>
      </c>
      <c r="AL65" s="8">
        <f t="shared" si="9"/>
        <v>0.3118067482963045</v>
      </c>
      <c r="AM65" s="15">
        <f t="shared" si="10"/>
        <v>28139</v>
      </c>
      <c r="AR65" s="28" t="s">
        <v>149</v>
      </c>
      <c r="AS65" s="2">
        <v>706800</v>
      </c>
      <c r="AT65" s="1" t="s">
        <v>13</v>
      </c>
      <c r="AU65" s="10">
        <f t="shared" si="14"/>
        <v>9.6252315067000769</v>
      </c>
      <c r="AV65" s="2">
        <v>478350</v>
      </c>
      <c r="AW65" s="1" t="s">
        <v>13</v>
      </c>
      <c r="AX65" s="10">
        <f t="shared" si="15"/>
        <v>6.5141899989105569</v>
      </c>
      <c r="AY65" s="8">
        <f t="shared" si="16"/>
        <v>0.32321731748726656</v>
      </c>
      <c r="AZ65" s="2">
        <f t="shared" si="17"/>
        <v>228450</v>
      </c>
      <c r="BE65" s="28" t="s">
        <v>149</v>
      </c>
      <c r="BF65" s="64">
        <v>15433000</v>
      </c>
      <c r="BG65" s="42">
        <f t="shared" si="68"/>
        <v>210.16722954570216</v>
      </c>
      <c r="BH65" s="76">
        <v>17328709</v>
      </c>
      <c r="BI65" s="15">
        <v>1833332</v>
      </c>
      <c r="BJ65" s="15">
        <v>0</v>
      </c>
      <c r="BL65" s="15">
        <v>108825</v>
      </c>
      <c r="BM65" s="1353">
        <f>((BF65-BH65)+BJ65+BK65+BL65)/AM65</f>
        <v>-63.502043427271758</v>
      </c>
      <c r="BN65" s="1"/>
      <c r="BO65" s="11" t="s">
        <v>247</v>
      </c>
    </row>
    <row r="66" spans="1:69" s="3" customFormat="1" ht="27.6" customHeight="1" x14ac:dyDescent="0.2">
      <c r="A66" s="28" t="s">
        <v>111</v>
      </c>
      <c r="B66" s="915" t="s">
        <v>953</v>
      </c>
      <c r="C66" s="11" t="s">
        <v>133</v>
      </c>
      <c r="D66" s="11" t="s">
        <v>993</v>
      </c>
      <c r="E66" s="11" t="s">
        <v>1031</v>
      </c>
      <c r="F66" s="1" t="s">
        <v>1024</v>
      </c>
      <c r="G66" s="37">
        <v>40898</v>
      </c>
      <c r="H66" s="432" t="s">
        <v>4</v>
      </c>
      <c r="I66" s="33">
        <v>41372</v>
      </c>
      <c r="J66" s="60">
        <v>41941</v>
      </c>
      <c r="K66" s="28" t="s">
        <v>112</v>
      </c>
      <c r="L66" s="1" t="s">
        <v>13</v>
      </c>
      <c r="M66" s="2">
        <v>27548</v>
      </c>
      <c r="N66" s="2"/>
      <c r="O66" s="14">
        <v>2</v>
      </c>
      <c r="P66" s="28" t="s">
        <v>111</v>
      </c>
      <c r="Q66" s="11" t="s">
        <v>247</v>
      </c>
      <c r="R66" s="11">
        <v>4</v>
      </c>
      <c r="S66" s="2">
        <v>1911</v>
      </c>
      <c r="T66" s="10">
        <f t="shared" si="69"/>
        <v>69.369827210686793</v>
      </c>
      <c r="U66" s="2">
        <v>1336</v>
      </c>
      <c r="V66" s="10">
        <f t="shared" si="1"/>
        <v>48.497168578481194</v>
      </c>
      <c r="W66" s="8">
        <f t="shared" si="2"/>
        <v>0.30088958660387233</v>
      </c>
      <c r="X66" s="3">
        <f t="shared" si="3"/>
        <v>575</v>
      </c>
      <c r="Y66" s="967">
        <v>42588</v>
      </c>
      <c r="Z66" s="2">
        <f>'[1]15.16 Meter Data'!Y621</f>
        <v>1762.2514487508402</v>
      </c>
      <c r="AA66" s="40">
        <f>Z66/M66*1000</f>
        <v>63.970213763280107</v>
      </c>
      <c r="AB66" s="1391" t="s">
        <v>1314</v>
      </c>
      <c r="AC66" s="1396">
        <v>32</v>
      </c>
      <c r="AD66" s="5">
        <f>(S66-Z66)/S66</f>
        <v>7.7838069727451512E-2</v>
      </c>
      <c r="AE66" s="5"/>
      <c r="AF66" s="51">
        <f>S66-Z66</f>
        <v>148.74855124915985</v>
      </c>
      <c r="AG66" s="28" t="s">
        <v>111</v>
      </c>
      <c r="AH66" s="15">
        <v>50033</v>
      </c>
      <c r="AI66" s="7">
        <f t="shared" si="7"/>
        <v>1.8162117032089444</v>
      </c>
      <c r="AJ66" s="15">
        <v>33648</v>
      </c>
      <c r="AK66" s="7">
        <f t="shared" si="8"/>
        <v>1.2214316828807898</v>
      </c>
      <c r="AL66" s="8">
        <f t="shared" si="9"/>
        <v>0.32748386065196972</v>
      </c>
      <c r="AM66" s="15">
        <f t="shared" si="10"/>
        <v>16385</v>
      </c>
      <c r="AN66" s="15">
        <f>'[1]15.16 Meter Data'!W625</f>
        <v>25483.760000000002</v>
      </c>
      <c r="AO66" s="22">
        <f>AN66/M66</f>
        <v>0.92506751851314073</v>
      </c>
      <c r="AP66" s="47">
        <f>(AH66-AN66)/AH66</f>
        <v>0.49066096376391577</v>
      </c>
      <c r="AQ66" s="48">
        <f>AH66-AN66</f>
        <v>24549.239999999998</v>
      </c>
      <c r="AR66" s="28" t="s">
        <v>111</v>
      </c>
      <c r="AS66" s="2">
        <v>154588</v>
      </c>
      <c r="AT66" s="1" t="s">
        <v>13</v>
      </c>
      <c r="AU66" s="10">
        <f t="shared" si="14"/>
        <v>5.6115870480615655</v>
      </c>
      <c r="AV66" s="2">
        <v>101825</v>
      </c>
      <c r="AW66" s="1" t="s">
        <v>157</v>
      </c>
      <c r="AX66" s="10">
        <f t="shared" si="15"/>
        <v>3.6962755916944969</v>
      </c>
      <c r="AY66" s="8">
        <f t="shared" si="16"/>
        <v>0.34131368540895801</v>
      </c>
      <c r="AZ66" s="2">
        <f t="shared" si="17"/>
        <v>52763</v>
      </c>
      <c r="BA66" s="242">
        <f>'[1]15.16 Meter Data'!W622</f>
        <v>109208</v>
      </c>
      <c r="BB66" s="9" t="s">
        <v>13</v>
      </c>
      <c r="BC66" s="2">
        <f>BA66/M66</f>
        <v>3.9642805285320168</v>
      </c>
      <c r="BD66" s="8">
        <f>(AS66-BA66)/AS66</f>
        <v>0.29355448029601261</v>
      </c>
      <c r="BE66" s="28" t="s">
        <v>111</v>
      </c>
      <c r="BF66" s="64">
        <v>7444000</v>
      </c>
      <c r="BG66" s="42">
        <f t="shared" si="68"/>
        <v>270.21925366632786</v>
      </c>
      <c r="BH66" s="346">
        <f>BF66-192367</f>
        <v>7251633</v>
      </c>
      <c r="BI66" s="15">
        <v>785500</v>
      </c>
      <c r="BJ66" s="15">
        <v>92000</v>
      </c>
      <c r="BL66" s="15">
        <v>51400</v>
      </c>
      <c r="BM66" s="1353">
        <f>((BF66-BH66)+BJ66+BK66+BL66)/AM66</f>
        <v>20.492340555386022</v>
      </c>
      <c r="BN66" s="1" t="s">
        <v>302</v>
      </c>
      <c r="BO66" s="11" t="s">
        <v>247</v>
      </c>
    </row>
    <row r="67" spans="1:69" s="3" customFormat="1" ht="27.6" customHeight="1" x14ac:dyDescent="0.2">
      <c r="A67" s="28" t="s">
        <v>127</v>
      </c>
      <c r="B67" s="915" t="s">
        <v>952</v>
      </c>
      <c r="C67" s="11" t="s">
        <v>109</v>
      </c>
      <c r="D67" s="11" t="s">
        <v>993</v>
      </c>
      <c r="E67" s="11" t="s">
        <v>548</v>
      </c>
      <c r="F67" s="1" t="s">
        <v>137</v>
      </c>
      <c r="G67" s="37">
        <v>40997</v>
      </c>
      <c r="H67" s="1" t="s">
        <v>10</v>
      </c>
      <c r="I67" s="33">
        <v>41214</v>
      </c>
      <c r="J67" s="60">
        <v>41955</v>
      </c>
      <c r="K67" s="28" t="s">
        <v>128</v>
      </c>
      <c r="L67" s="1" t="s">
        <v>13</v>
      </c>
      <c r="M67" s="2">
        <v>25877</v>
      </c>
      <c r="N67" s="2"/>
      <c r="O67" s="14">
        <v>2</v>
      </c>
      <c r="P67" s="28" t="s">
        <v>127</v>
      </c>
      <c r="Q67" s="11" t="s">
        <v>247</v>
      </c>
      <c r="R67" s="11">
        <v>4</v>
      </c>
      <c r="S67" s="2">
        <v>2330</v>
      </c>
      <c r="T67" s="10">
        <f t="shared" si="69"/>
        <v>90.041349460911235</v>
      </c>
      <c r="U67" s="2">
        <v>1242</v>
      </c>
      <c r="V67" s="10">
        <f t="shared" si="1"/>
        <v>47.996290141824787</v>
      </c>
      <c r="W67" s="8">
        <f t="shared" si="2"/>
        <v>0.46695278969957082</v>
      </c>
      <c r="X67" s="2">
        <f t="shared" si="3"/>
        <v>1088</v>
      </c>
      <c r="Y67" s="992">
        <v>42612</v>
      </c>
      <c r="Z67" s="2">
        <f>'[1]15.16 Meter Data'!Y630</f>
        <v>2751.2912577685283</v>
      </c>
      <c r="AA67" s="40">
        <f>Z67/M67*1000</f>
        <v>106.32187880235453</v>
      </c>
      <c r="AB67" s="1391" t="s">
        <v>1312</v>
      </c>
      <c r="AC67" s="1396">
        <v>71</v>
      </c>
      <c r="AD67" s="5">
        <f>(S67-Z67)/S67</f>
        <v>-0.18081169861310228</v>
      </c>
      <c r="AE67" s="5"/>
      <c r="AF67" s="51">
        <f>S67-Z67</f>
        <v>-421.29125776852834</v>
      </c>
      <c r="AG67" s="28" t="s">
        <v>127</v>
      </c>
      <c r="AH67" s="15">
        <v>44281</v>
      </c>
      <c r="AI67" s="7">
        <f t="shared" si="7"/>
        <v>1.7112107276732234</v>
      </c>
      <c r="AJ67" s="15">
        <v>29471</v>
      </c>
      <c r="AK67" s="7">
        <f t="shared" si="8"/>
        <v>1.1388878154345559</v>
      </c>
      <c r="AL67" s="8">
        <f t="shared" si="9"/>
        <v>0.33445495810844378</v>
      </c>
      <c r="AM67" s="15">
        <f t="shared" si="10"/>
        <v>14810</v>
      </c>
      <c r="AN67" s="15">
        <f>'[1]15.16 Meter Data'!W634</f>
        <v>48415.192843168719</v>
      </c>
      <c r="AO67" s="22">
        <f>AN67/M67</f>
        <v>1.8709739476434177</v>
      </c>
      <c r="AP67" s="47">
        <f>(AH67-AN67)/AH67</f>
        <v>-9.3362680227834047E-2</v>
      </c>
      <c r="AQ67" s="48">
        <f>AH67-AN67</f>
        <v>-4134.1928431687193</v>
      </c>
      <c r="AR67" s="28" t="s">
        <v>127</v>
      </c>
      <c r="AS67" s="2">
        <v>617945</v>
      </c>
      <c r="AT67" s="1" t="s">
        <v>13</v>
      </c>
      <c r="AU67" s="10">
        <f t="shared" si="14"/>
        <v>23.880086563357423</v>
      </c>
      <c r="AV67" s="2">
        <v>478128</v>
      </c>
      <c r="AW67" s="1" t="s">
        <v>13</v>
      </c>
      <c r="AX67" s="10">
        <f t="shared" si="15"/>
        <v>18.476948641650885</v>
      </c>
      <c r="AY67" s="8">
        <f t="shared" si="16"/>
        <v>0.22626123684146648</v>
      </c>
      <c r="AZ67" s="2">
        <f t="shared" si="17"/>
        <v>139817</v>
      </c>
      <c r="BA67" s="242">
        <f>'[1]15.16 Meter Data'!W631</f>
        <v>106964</v>
      </c>
      <c r="BB67" s="9" t="s">
        <v>13</v>
      </c>
      <c r="BC67" s="2">
        <f>BA67/M67</f>
        <v>4.1335548943076867</v>
      </c>
      <c r="BD67" s="8">
        <f>(AS67-BA67)/AS67</f>
        <v>0.82690368883962162</v>
      </c>
      <c r="BE67" s="28" t="s">
        <v>127</v>
      </c>
      <c r="BF67" s="64">
        <v>6143700</v>
      </c>
      <c r="BG67" s="42">
        <f t="shared" si="68"/>
        <v>237.41932990686709</v>
      </c>
      <c r="BI67" s="15">
        <v>854040</v>
      </c>
      <c r="BJ67" s="15">
        <v>43000</v>
      </c>
      <c r="BL67" s="433">
        <v>81680</v>
      </c>
      <c r="BM67" s="1353"/>
      <c r="BN67" s="1" t="s">
        <v>297</v>
      </c>
      <c r="BO67" s="11" t="s">
        <v>247</v>
      </c>
      <c r="BP67" s="41"/>
      <c r="BQ67" s="41"/>
    </row>
    <row r="68" spans="1:69" s="3" customFormat="1" ht="27.6" customHeight="1" x14ac:dyDescent="0.2">
      <c r="A68" s="28" t="s">
        <v>195</v>
      </c>
      <c r="B68" s="11" t="s">
        <v>951</v>
      </c>
      <c r="C68" s="11" t="s">
        <v>63</v>
      </c>
      <c r="D68" s="11" t="s">
        <v>985</v>
      </c>
      <c r="E68" s="11" t="s">
        <v>545</v>
      </c>
      <c r="F68" s="1" t="s">
        <v>142</v>
      </c>
      <c r="G68" s="37">
        <v>41381</v>
      </c>
      <c r="H68" s="1" t="s">
        <v>173</v>
      </c>
      <c r="I68" s="33">
        <v>41186</v>
      </c>
      <c r="J68" s="60">
        <v>41964</v>
      </c>
      <c r="K68" s="28" t="s">
        <v>202</v>
      </c>
      <c r="L68" s="1" t="s">
        <v>13</v>
      </c>
      <c r="M68" s="2">
        <v>56146</v>
      </c>
      <c r="N68" s="2"/>
      <c r="O68" s="14">
        <v>2</v>
      </c>
      <c r="P68" s="28" t="s">
        <v>195</v>
      </c>
      <c r="Q68" s="11" t="s">
        <v>247</v>
      </c>
      <c r="R68" s="11">
        <v>3</v>
      </c>
      <c r="S68" s="2">
        <v>12578</v>
      </c>
      <c r="T68" s="10">
        <f t="shared" si="69"/>
        <v>224.02308267730558</v>
      </c>
      <c r="U68" s="2">
        <v>7334</v>
      </c>
      <c r="V68" s="10">
        <f t="shared" ref="V68:V98" si="70">U68/M68*1000</f>
        <v>130.62373098706942</v>
      </c>
      <c r="W68" s="8">
        <f t="shared" ref="W68:W98" si="71">(S68-U68)/S68</f>
        <v>0.41691842900302117</v>
      </c>
      <c r="X68" s="2">
        <f t="shared" ref="X68:X98" si="72">S68-U68</f>
        <v>5244</v>
      </c>
      <c r="Y68" s="992">
        <v>42587</v>
      </c>
      <c r="Z68" s="2">
        <f>'[1]15.16 Meter Data'!Y642</f>
        <v>16738.084292195243</v>
      </c>
      <c r="AA68" s="40">
        <f>Z68/M68*1000</f>
        <v>298.11712841868064</v>
      </c>
      <c r="AB68" s="1391" t="s">
        <v>1313</v>
      </c>
      <c r="AC68" s="1396">
        <v>150</v>
      </c>
      <c r="AD68" s="5">
        <f>(S68-Z68)/S68</f>
        <v>-0.33074290763199576</v>
      </c>
      <c r="AE68" s="5"/>
      <c r="AF68" s="51">
        <f>S68-Z68</f>
        <v>-4160.0842921952426</v>
      </c>
      <c r="AG68" s="28" t="s">
        <v>195</v>
      </c>
      <c r="AH68" s="15">
        <v>163454</v>
      </c>
      <c r="AI68" s="7">
        <f t="shared" ref="AI68:AI121" si="73">AH68/M68</f>
        <v>2.9112314323371211</v>
      </c>
      <c r="AJ68" s="15">
        <v>113314</v>
      </c>
      <c r="AK68" s="7">
        <f t="shared" ref="AK68:AK121" si="74">AJ68/M68</f>
        <v>2.0182025433690733</v>
      </c>
      <c r="AL68" s="8">
        <f t="shared" ref="AL68:AL121" si="75">(AH68-AJ68)/AH68</f>
        <v>0.30675297025462822</v>
      </c>
      <c r="AM68" s="15">
        <f t="shared" ref="AM68:AM121" si="76">AH68-AJ68</f>
        <v>50140</v>
      </c>
      <c r="AN68" s="15">
        <f>'[1]15.16 Meter Data'!W648</f>
        <v>192697.79638989383</v>
      </c>
      <c r="AO68" s="22">
        <f>AN68/M68</f>
        <v>3.4320841447279204</v>
      </c>
      <c r="AP68" s="47">
        <f>(AH68-AN68)/AH68</f>
        <v>-0.17891147594977078</v>
      </c>
      <c r="AQ68" s="48">
        <f>AH68-AN68</f>
        <v>-29243.796389893832</v>
      </c>
      <c r="AR68" s="28" t="s">
        <v>195</v>
      </c>
      <c r="AS68" s="2">
        <v>546557</v>
      </c>
      <c r="AT68" s="9" t="s">
        <v>13</v>
      </c>
      <c r="AU68" s="10">
        <f t="shared" ref="AU68:AU94" si="77">AS68/M68</f>
        <v>9.7345670216934419</v>
      </c>
      <c r="AV68" s="2">
        <v>435029</v>
      </c>
      <c r="AW68" s="9" t="s">
        <v>13</v>
      </c>
      <c r="AX68" s="10">
        <f t="shared" ref="AX68:AX94" si="78">AV68/M68</f>
        <v>7.7481744024507533</v>
      </c>
      <c r="AY68" s="8">
        <f t="shared" ref="AY68:AY87" si="79">(AS68-AV68)/AS68</f>
        <v>0.20405556968440619</v>
      </c>
      <c r="AZ68" s="2">
        <f t="shared" ref="AZ68:AZ94" si="80">AS68-AV68</f>
        <v>111528</v>
      </c>
      <c r="BA68" s="242">
        <f>'[1]15.16 Meter Data'!W643</f>
        <v>4194417.4800000004</v>
      </c>
      <c r="BB68" s="9" t="s">
        <v>13</v>
      </c>
      <c r="BC68" s="2">
        <f>BA68/M68</f>
        <v>74.705544117123225</v>
      </c>
      <c r="BD68" s="8">
        <f>(AS68-BA68)/AS68</f>
        <v>-6.6742544327490094</v>
      </c>
      <c r="BE68" s="28" t="s">
        <v>195</v>
      </c>
      <c r="BF68" s="64">
        <v>26618418.390000001</v>
      </c>
      <c r="BG68" s="42">
        <f t="shared" si="68"/>
        <v>474.09287197663235</v>
      </c>
      <c r="BH68" s="15">
        <f>BF68-968700</f>
        <v>25649718.390000001</v>
      </c>
      <c r="BI68" s="15">
        <v>1918410</v>
      </c>
      <c r="BJ68" s="15">
        <v>78000</v>
      </c>
      <c r="BK68" s="15"/>
      <c r="BL68" s="15">
        <v>182024</v>
      </c>
      <c r="BM68" s="1353">
        <f>((BF68-BH68)+BJ68+BK68+BL68)/AM68</f>
        <v>24.505863581970484</v>
      </c>
      <c r="BN68" s="1" t="s">
        <v>295</v>
      </c>
      <c r="BO68" s="11" t="s">
        <v>247</v>
      </c>
      <c r="BP68" s="41"/>
      <c r="BQ68" s="41"/>
    </row>
    <row r="69" spans="1:69" s="3" customFormat="1" ht="27.6" customHeight="1" x14ac:dyDescent="0.2">
      <c r="A69" s="4" t="s">
        <v>1444</v>
      </c>
      <c r="B69" s="11" t="s">
        <v>951</v>
      </c>
      <c r="C69" s="11" t="s">
        <v>109</v>
      </c>
      <c r="D69" s="11" t="s">
        <v>993</v>
      </c>
      <c r="E69" s="11" t="s">
        <v>548</v>
      </c>
      <c r="F69" s="1" t="s">
        <v>108</v>
      </c>
      <c r="G69" s="33">
        <v>40661</v>
      </c>
      <c r="H69" s="11" t="s">
        <v>10</v>
      </c>
      <c r="I69" s="33">
        <v>40700</v>
      </c>
      <c r="J69" s="60">
        <v>42040</v>
      </c>
      <c r="K69" s="4" t="s">
        <v>202</v>
      </c>
      <c r="L69" s="11" t="s">
        <v>13</v>
      </c>
      <c r="M69" s="6">
        <v>111160</v>
      </c>
      <c r="N69" s="6"/>
      <c r="O69" s="49">
        <v>2</v>
      </c>
      <c r="P69" s="4" t="str">
        <f>A69</f>
        <v>Moran Commons Dining Hall Renovation</v>
      </c>
      <c r="Q69" s="11" t="s">
        <v>247</v>
      </c>
      <c r="R69" s="11">
        <v>4</v>
      </c>
      <c r="S69" s="2">
        <v>18584</v>
      </c>
      <c r="T69" s="12">
        <f t="shared" si="69"/>
        <v>167.18243972652033</v>
      </c>
      <c r="U69" s="2">
        <v>12522</v>
      </c>
      <c r="V69" s="23">
        <f t="shared" si="70"/>
        <v>112.64843468873696</v>
      </c>
      <c r="W69" s="5">
        <f t="shared" si="71"/>
        <v>0.32619457597933704</v>
      </c>
      <c r="X69" s="13">
        <f t="shared" si="72"/>
        <v>6062</v>
      </c>
      <c r="Y69" s="992">
        <v>42612</v>
      </c>
      <c r="Z69" s="49">
        <f>'[1]15.16 Meter Data'!Y655</f>
        <v>25465.096888928267</v>
      </c>
      <c r="AA69" s="40">
        <f>Z69/M69*1000</f>
        <v>229.08507456754467</v>
      </c>
      <c r="AB69" s="1391" t="s">
        <v>1313</v>
      </c>
      <c r="AC69" s="1394">
        <v>166</v>
      </c>
      <c r="AD69" s="5">
        <f>(S69-Z69)/S69</f>
        <v>-0.37026995743264457</v>
      </c>
      <c r="AE69" s="5"/>
      <c r="AF69" s="51">
        <f>S69-Z69</f>
        <v>-6881.0968889282667</v>
      </c>
      <c r="AG69" s="4" t="str">
        <f>A69</f>
        <v>Moran Commons Dining Hall Renovation</v>
      </c>
      <c r="AH69" s="15">
        <v>269366</v>
      </c>
      <c r="AI69" s="7">
        <f t="shared" si="73"/>
        <v>2.423227779776898</v>
      </c>
      <c r="AJ69" s="15">
        <v>187898</v>
      </c>
      <c r="AK69" s="7">
        <f t="shared" si="74"/>
        <v>1.6903382511694853</v>
      </c>
      <c r="AL69" s="8">
        <f t="shared" si="75"/>
        <v>0.30244351551420745</v>
      </c>
      <c r="AM69" s="16">
        <f t="shared" si="76"/>
        <v>81468</v>
      </c>
      <c r="AN69" s="15">
        <f>'[1]15.16 Meter Data'!W661</f>
        <v>230867.52381183207</v>
      </c>
      <c r="AO69" s="22">
        <f>AN69/M69</f>
        <v>2.0768938809988491</v>
      </c>
      <c r="AP69" s="47">
        <f>(AH69-AN69)/AH69</f>
        <v>0.142922552171276</v>
      </c>
      <c r="AQ69" s="48">
        <f>AH69-AN69</f>
        <v>38498.47618816793</v>
      </c>
      <c r="AR69" s="4" t="s">
        <v>110</v>
      </c>
      <c r="AS69" s="2">
        <v>6216053</v>
      </c>
      <c r="AT69" s="9" t="s">
        <v>13</v>
      </c>
      <c r="AU69" s="2">
        <f t="shared" si="77"/>
        <v>55.91987225620727</v>
      </c>
      <c r="AV69" s="2">
        <v>3532573</v>
      </c>
      <c r="AW69" s="9" t="s">
        <v>13</v>
      </c>
      <c r="AX69" s="2">
        <f t="shared" si="78"/>
        <v>31.779174163368118</v>
      </c>
      <c r="AY69" s="8">
        <f t="shared" si="79"/>
        <v>0.43170159585190154</v>
      </c>
      <c r="AZ69" s="17">
        <f t="shared" si="80"/>
        <v>2683480</v>
      </c>
      <c r="BA69" s="242">
        <f>'[1]15.16 Meter Data'!W656</f>
        <v>5387297.96</v>
      </c>
      <c r="BB69" s="9" t="s">
        <v>13</v>
      </c>
      <c r="BC69" s="2">
        <f>BA69/M69</f>
        <v>48.464357322777978</v>
      </c>
      <c r="BD69" s="8">
        <f>(AS69-BA69)/AS69</f>
        <v>0.13332496360632703</v>
      </c>
      <c r="BE69" s="4" t="s">
        <v>110</v>
      </c>
      <c r="BF69" s="64">
        <f>1862755+26596280</f>
        <v>28459035</v>
      </c>
      <c r="BG69" s="42">
        <f t="shared" si="68"/>
        <v>256.01866678661389</v>
      </c>
      <c r="BH69" s="41"/>
      <c r="BI69" s="15">
        <v>2837884</v>
      </c>
      <c r="BJ69" s="15">
        <v>60000</v>
      </c>
      <c r="BL69" s="15">
        <v>283540</v>
      </c>
      <c r="BM69" s="1353"/>
      <c r="BN69" s="1" t="s">
        <v>304</v>
      </c>
      <c r="BO69" s="11" t="s">
        <v>247</v>
      </c>
    </row>
    <row r="70" spans="1:69" s="41" customFormat="1" ht="27.6" customHeight="1" x14ac:dyDescent="0.2">
      <c r="A70" s="28" t="s">
        <v>124</v>
      </c>
      <c r="B70" s="915" t="s">
        <v>953</v>
      </c>
      <c r="C70" s="11" t="s">
        <v>100</v>
      </c>
      <c r="D70" s="11" t="s">
        <v>1000</v>
      </c>
      <c r="E70" s="11" t="s">
        <v>549</v>
      </c>
      <c r="F70" s="1" t="s">
        <v>123</v>
      </c>
      <c r="G70" s="37">
        <v>41397</v>
      </c>
      <c r="H70" s="1" t="s">
        <v>173</v>
      </c>
      <c r="I70" s="33">
        <v>41011</v>
      </c>
      <c r="J70" s="60">
        <v>42066</v>
      </c>
      <c r="K70" s="28" t="s">
        <v>421</v>
      </c>
      <c r="L70" s="1" t="s">
        <v>13</v>
      </c>
      <c r="M70" s="2">
        <v>23982</v>
      </c>
      <c r="N70" s="2"/>
      <c r="O70" s="14">
        <v>3</v>
      </c>
      <c r="P70" s="28" t="s">
        <v>124</v>
      </c>
      <c r="Q70" s="11" t="s">
        <v>249</v>
      </c>
      <c r="R70" s="11">
        <v>4</v>
      </c>
      <c r="S70" s="2">
        <v>4288</v>
      </c>
      <c r="T70" s="10">
        <f t="shared" si="69"/>
        <v>178.80076724209823</v>
      </c>
      <c r="U70" s="2">
        <v>2361</v>
      </c>
      <c r="V70" s="10">
        <f t="shared" si="70"/>
        <v>98.448836627470598</v>
      </c>
      <c r="W70" s="8">
        <f t="shared" si="71"/>
        <v>0.4493936567164179</v>
      </c>
      <c r="X70" s="2">
        <f t="shared" si="72"/>
        <v>1927</v>
      </c>
      <c r="Y70" s="992">
        <v>42594</v>
      </c>
      <c r="Z70" s="2">
        <f>'[1]15.16 Meter Data'!Y666</f>
        <v>1674.820534</v>
      </c>
      <c r="AA70" s="40">
        <f>Z70/M70*1000</f>
        <v>69.836566341422724</v>
      </c>
      <c r="AB70" s="1391"/>
      <c r="AC70" s="1396"/>
      <c r="AD70" s="5">
        <f>(S70-Z70)/S70</f>
        <v>0.60941685307835824</v>
      </c>
      <c r="AE70" s="1611" t="s">
        <v>955</v>
      </c>
      <c r="AF70" s="51">
        <f>S70-Z70</f>
        <v>2613.179466</v>
      </c>
      <c r="AG70" s="28" t="s">
        <v>124</v>
      </c>
      <c r="AH70" s="15">
        <v>106582</v>
      </c>
      <c r="AI70" s="7">
        <f t="shared" si="73"/>
        <v>4.44424985405721</v>
      </c>
      <c r="AJ70" s="15">
        <v>65369</v>
      </c>
      <c r="AK70" s="7">
        <f t="shared" si="74"/>
        <v>2.7257526478191978</v>
      </c>
      <c r="AL70" s="8">
        <f t="shared" si="75"/>
        <v>0.38667880129853072</v>
      </c>
      <c r="AM70" s="15">
        <f t="shared" si="76"/>
        <v>41213</v>
      </c>
      <c r="AN70" s="15">
        <f>'[1]15.16 Meter Data'!W669</f>
        <v>40841.285000000003</v>
      </c>
      <c r="AO70" s="22">
        <f>AN70/M70</f>
        <v>1.7029974564256527</v>
      </c>
      <c r="AP70" s="47">
        <f>(AH70-AN70)/AH70</f>
        <v>0.61680879510611542</v>
      </c>
      <c r="AQ70" s="48">
        <f>AH70-AN70</f>
        <v>65740.714999999997</v>
      </c>
      <c r="AR70" s="28" t="s">
        <v>124</v>
      </c>
      <c r="AS70" s="2">
        <v>67775</v>
      </c>
      <c r="AT70" s="1" t="s">
        <v>13</v>
      </c>
      <c r="AU70" s="10">
        <f t="shared" si="77"/>
        <v>2.8260778917521474</v>
      </c>
      <c r="AV70" s="2">
        <v>44733</v>
      </c>
      <c r="AW70" s="1" t="s">
        <v>13</v>
      </c>
      <c r="AX70" s="10">
        <f t="shared" si="78"/>
        <v>1.8652739554666</v>
      </c>
      <c r="AY70" s="8">
        <f t="shared" si="79"/>
        <v>0.33997786794540757</v>
      </c>
      <c r="AZ70" s="2">
        <f t="shared" si="80"/>
        <v>23042</v>
      </c>
      <c r="BA70" s="242">
        <f>'[1]15.16 Meter Data'!W667</f>
        <v>8654.36</v>
      </c>
      <c r="BB70" s="9" t="s">
        <v>13</v>
      </c>
      <c r="BC70" s="2">
        <f>BA70/M70</f>
        <v>0.36086898507213744</v>
      </c>
      <c r="BD70" s="8">
        <f>(AS70-BA70)/AS70</f>
        <v>0.8723074880118038</v>
      </c>
      <c r="BE70" s="28" t="s">
        <v>124</v>
      </c>
      <c r="BF70" s="64">
        <v>8727727</v>
      </c>
      <c r="BG70" s="42">
        <f t="shared" si="68"/>
        <v>363.92823784505043</v>
      </c>
      <c r="BH70" s="15">
        <v>6497174</v>
      </c>
      <c r="BI70" s="15">
        <v>700000</v>
      </c>
      <c r="BJ70" s="15">
        <v>50000</v>
      </c>
      <c r="BK70" s="15"/>
      <c r="BL70" s="15">
        <v>80300</v>
      </c>
      <c r="BM70" s="1353">
        <f>((BF70-BH70)+BJ70+BK70+BL70)/AM70</f>
        <v>57.284182175527143</v>
      </c>
      <c r="BN70" s="1" t="s">
        <v>302</v>
      </c>
      <c r="BO70" s="11" t="s">
        <v>249</v>
      </c>
    </row>
    <row r="71" spans="1:69" s="3" customFormat="1" ht="27.6" customHeight="1" x14ac:dyDescent="0.2">
      <c r="A71" s="28" t="s">
        <v>196</v>
      </c>
      <c r="B71" s="915" t="s">
        <v>953</v>
      </c>
      <c r="C71" s="11" t="s">
        <v>56</v>
      </c>
      <c r="D71" s="11" t="s">
        <v>995</v>
      </c>
      <c r="E71" s="11" t="s">
        <v>546</v>
      </c>
      <c r="F71" s="1" t="s">
        <v>174</v>
      </c>
      <c r="G71" s="37">
        <v>41453</v>
      </c>
      <c r="H71" s="1" t="s">
        <v>173</v>
      </c>
      <c r="I71" s="33">
        <v>41435</v>
      </c>
      <c r="J71" s="60">
        <v>42069</v>
      </c>
      <c r="K71" s="28" t="s">
        <v>175</v>
      </c>
      <c r="L71" s="1" t="s">
        <v>13</v>
      </c>
      <c r="M71" s="2">
        <v>82961</v>
      </c>
      <c r="N71" s="2"/>
      <c r="O71" s="14">
        <v>2</v>
      </c>
      <c r="P71" s="28" t="s">
        <v>196</v>
      </c>
      <c r="Q71" s="11" t="s">
        <v>249</v>
      </c>
      <c r="R71" s="11">
        <v>3</v>
      </c>
      <c r="S71" s="2">
        <v>14304</v>
      </c>
      <c r="T71" s="10">
        <f t="shared" si="69"/>
        <v>172.41836525596366</v>
      </c>
      <c r="U71" s="2">
        <v>11048</v>
      </c>
      <c r="V71" s="10">
        <f t="shared" si="70"/>
        <v>133.1710080640301</v>
      </c>
      <c r="W71" s="8">
        <f t="shared" si="71"/>
        <v>0.22762863534675615</v>
      </c>
      <c r="X71" s="2">
        <f t="shared" si="72"/>
        <v>3256</v>
      </c>
      <c r="Y71" s="992" t="s">
        <v>352</v>
      </c>
      <c r="AB71" s="1391" t="s">
        <v>1313</v>
      </c>
      <c r="AC71" s="1396">
        <v>150</v>
      </c>
      <c r="AG71" s="28" t="s">
        <v>196</v>
      </c>
      <c r="AH71" s="15">
        <v>215110</v>
      </c>
      <c r="AI71" s="7">
        <f t="shared" si="73"/>
        <v>2.5929050999867407</v>
      </c>
      <c r="AJ71" s="15">
        <v>143121</v>
      </c>
      <c r="AK71" s="7">
        <f t="shared" si="74"/>
        <v>1.7251600149467823</v>
      </c>
      <c r="AL71" s="8">
        <f t="shared" si="75"/>
        <v>0.33466133606062015</v>
      </c>
      <c r="AM71" s="15">
        <f t="shared" si="76"/>
        <v>71989</v>
      </c>
      <c r="AR71" s="28" t="s">
        <v>196</v>
      </c>
      <c r="AS71" s="2">
        <v>4017684</v>
      </c>
      <c r="AT71" s="9" t="s">
        <v>13</v>
      </c>
      <c r="AU71" s="10">
        <f t="shared" si="77"/>
        <v>48.428586926387098</v>
      </c>
      <c r="AV71" s="2">
        <v>3910346</v>
      </c>
      <c r="AW71" s="9" t="s">
        <v>13</v>
      </c>
      <c r="AX71" s="10">
        <f t="shared" si="78"/>
        <v>47.134750063282745</v>
      </c>
      <c r="AY71" s="8">
        <f t="shared" si="79"/>
        <v>2.6716386853719704E-2</v>
      </c>
      <c r="AZ71" s="2">
        <f t="shared" si="80"/>
        <v>107338</v>
      </c>
      <c r="BE71" s="28" t="s">
        <v>196</v>
      </c>
      <c r="BF71" s="64">
        <v>17090447</v>
      </c>
      <c r="BG71" s="42">
        <f t="shared" si="68"/>
        <v>206.00579790503971</v>
      </c>
      <c r="BH71" s="15">
        <v>16915711</v>
      </c>
      <c r="BI71" s="15">
        <v>1536300</v>
      </c>
      <c r="BJ71" s="71">
        <v>0</v>
      </c>
      <c r="BK71" s="11"/>
      <c r="BL71" s="15">
        <v>207560</v>
      </c>
      <c r="BM71" s="1353">
        <f>((BF71-BH71)+BJ71+BK71+BL71)/AM71</f>
        <v>5.3104779896928695</v>
      </c>
      <c r="BN71" s="1" t="s">
        <v>313</v>
      </c>
      <c r="BO71" s="11" t="s">
        <v>249</v>
      </c>
    </row>
    <row r="72" spans="1:69" s="41" customFormat="1" ht="27.6" customHeight="1" x14ac:dyDescent="0.2">
      <c r="A72" s="4" t="s">
        <v>127</v>
      </c>
      <c r="B72" s="11" t="s">
        <v>951</v>
      </c>
      <c r="C72" s="11" t="s">
        <v>126</v>
      </c>
      <c r="D72" s="11" t="s">
        <v>1000</v>
      </c>
      <c r="E72" s="11" t="s">
        <v>1032</v>
      </c>
      <c r="F72" s="1" t="s">
        <v>125</v>
      </c>
      <c r="G72" s="37">
        <v>41004</v>
      </c>
      <c r="H72" s="1" t="s">
        <v>10</v>
      </c>
      <c r="I72" s="33">
        <v>41424</v>
      </c>
      <c r="J72" s="60">
        <v>42075</v>
      </c>
      <c r="K72" s="4" t="s">
        <v>128</v>
      </c>
      <c r="L72" s="1" t="s">
        <v>13</v>
      </c>
      <c r="M72" s="6">
        <v>9023</v>
      </c>
      <c r="N72" s="6"/>
      <c r="O72" s="14">
        <v>2</v>
      </c>
      <c r="P72" s="4" t="s">
        <v>127</v>
      </c>
      <c r="Q72" s="11" t="s">
        <v>247</v>
      </c>
      <c r="R72" s="11">
        <v>4</v>
      </c>
      <c r="S72" s="2">
        <v>1171</v>
      </c>
      <c r="T72" s="10">
        <f t="shared" si="69"/>
        <v>129.77945251025159</v>
      </c>
      <c r="U72" s="2">
        <v>689</v>
      </c>
      <c r="V72" s="10">
        <f t="shared" si="70"/>
        <v>76.360412279729573</v>
      </c>
      <c r="W72" s="5">
        <f t="shared" si="71"/>
        <v>0.41161400512382579</v>
      </c>
      <c r="X72" s="2">
        <f t="shared" si="72"/>
        <v>482</v>
      </c>
      <c r="Y72" s="992" t="s">
        <v>352</v>
      </c>
      <c r="Z72" s="3"/>
      <c r="AA72" s="3"/>
      <c r="AB72" s="1391" t="s">
        <v>1312</v>
      </c>
      <c r="AC72" s="1396">
        <v>71</v>
      </c>
      <c r="AD72" s="3"/>
      <c r="AE72" s="3"/>
      <c r="AF72" s="3"/>
      <c r="AG72" s="4" t="s">
        <v>127</v>
      </c>
      <c r="AH72" s="15">
        <v>18288</v>
      </c>
      <c r="AI72" s="7">
        <f t="shared" si="73"/>
        <v>2.0268203479995566</v>
      </c>
      <c r="AJ72" s="15">
        <v>12209</v>
      </c>
      <c r="AK72" s="7">
        <f t="shared" si="74"/>
        <v>1.3530976393660645</v>
      </c>
      <c r="AL72" s="8">
        <f t="shared" si="75"/>
        <v>0.33240376202974631</v>
      </c>
      <c r="AM72" s="15">
        <f t="shared" si="76"/>
        <v>6079</v>
      </c>
      <c r="AN72" s="3"/>
      <c r="AO72" s="3"/>
      <c r="AP72" s="3"/>
      <c r="AQ72" s="3"/>
      <c r="AR72" s="4" t="s">
        <v>127</v>
      </c>
      <c r="AS72" s="2">
        <v>289717</v>
      </c>
      <c r="AT72" s="9" t="s">
        <v>13</v>
      </c>
      <c r="AU72" s="10">
        <f t="shared" si="77"/>
        <v>32.108722154494068</v>
      </c>
      <c r="AV72" s="2">
        <v>195438</v>
      </c>
      <c r="AW72" s="9" t="s">
        <v>13</v>
      </c>
      <c r="AX72" s="10">
        <f t="shared" si="78"/>
        <v>21.659980050980828</v>
      </c>
      <c r="AY72" s="8">
        <f t="shared" si="79"/>
        <v>0.32541756265597116</v>
      </c>
      <c r="AZ72" s="2">
        <f t="shared" si="80"/>
        <v>94279</v>
      </c>
      <c r="BA72" s="3"/>
      <c r="BB72" s="3"/>
      <c r="BC72" s="3"/>
      <c r="BD72" s="3"/>
      <c r="BE72" s="4" t="s">
        <v>127</v>
      </c>
      <c r="BF72" s="64">
        <v>3059704</v>
      </c>
      <c r="BG72" s="42">
        <f t="shared" si="68"/>
        <v>339.10052089105619</v>
      </c>
      <c r="BH72" s="3"/>
      <c r="BI72" s="15">
        <v>292220</v>
      </c>
      <c r="BJ72" s="15" t="s">
        <v>253</v>
      </c>
      <c r="BK72" s="3"/>
      <c r="BL72" s="15">
        <v>68561</v>
      </c>
      <c r="BM72" s="1353"/>
      <c r="BN72" s="1" t="s">
        <v>297</v>
      </c>
      <c r="BO72" s="11" t="s">
        <v>247</v>
      </c>
    </row>
    <row r="73" spans="1:69" s="41" customFormat="1" ht="27.6" customHeight="1" x14ac:dyDescent="0.2">
      <c r="A73" s="28" t="s">
        <v>155</v>
      </c>
      <c r="B73" s="11" t="s">
        <v>951</v>
      </c>
      <c r="C73" s="11" t="s">
        <v>126</v>
      </c>
      <c r="D73" s="11" t="s">
        <v>1000</v>
      </c>
      <c r="E73" s="11" t="s">
        <v>1032</v>
      </c>
      <c r="F73" s="1" t="s">
        <v>154</v>
      </c>
      <c r="G73" s="37">
        <v>41052</v>
      </c>
      <c r="H73" s="1" t="s">
        <v>10</v>
      </c>
      <c r="I73" s="33">
        <v>41395</v>
      </c>
      <c r="J73" s="60">
        <v>42088</v>
      </c>
      <c r="K73" s="28" t="s">
        <v>156</v>
      </c>
      <c r="L73" s="1" t="s">
        <v>13</v>
      </c>
      <c r="M73" s="2">
        <v>43637</v>
      </c>
      <c r="N73" s="2"/>
      <c r="O73" s="14">
        <v>2</v>
      </c>
      <c r="P73" s="28" t="s">
        <v>155</v>
      </c>
      <c r="Q73" s="11" t="s">
        <v>249</v>
      </c>
      <c r="R73" s="11">
        <v>4</v>
      </c>
      <c r="S73" s="2">
        <v>1506</v>
      </c>
      <c r="T73" s="10">
        <f t="shared" si="69"/>
        <v>34.51199670004813</v>
      </c>
      <c r="U73" s="2">
        <v>754</v>
      </c>
      <c r="V73" s="10">
        <f t="shared" si="70"/>
        <v>17.278914682494214</v>
      </c>
      <c r="W73" s="8">
        <f t="shared" si="71"/>
        <v>0.49933598937583001</v>
      </c>
      <c r="X73" s="2">
        <f t="shared" si="72"/>
        <v>752</v>
      </c>
      <c r="Y73" s="992" t="s">
        <v>352</v>
      </c>
      <c r="Z73" s="3"/>
      <c r="AA73" s="3"/>
      <c r="AB73" s="1391"/>
      <c r="AC73" s="1396"/>
      <c r="AD73" s="3"/>
      <c r="AE73" s="3"/>
      <c r="AF73" s="3"/>
      <c r="AG73" s="28" t="s">
        <v>155</v>
      </c>
      <c r="AH73" s="15">
        <v>27891</v>
      </c>
      <c r="AI73" s="7">
        <f t="shared" si="73"/>
        <v>0.63915942892499489</v>
      </c>
      <c r="AJ73" s="15">
        <v>14976</v>
      </c>
      <c r="AK73" s="7">
        <f t="shared" si="74"/>
        <v>0.34319499507298851</v>
      </c>
      <c r="AL73" s="8">
        <f t="shared" si="75"/>
        <v>0.46305259761213297</v>
      </c>
      <c r="AM73" s="15">
        <f t="shared" si="76"/>
        <v>12915</v>
      </c>
      <c r="AN73" s="3"/>
      <c r="AO73" s="3"/>
      <c r="AP73" s="3"/>
      <c r="AQ73" s="3"/>
      <c r="AR73" s="28" t="s">
        <v>155</v>
      </c>
      <c r="AS73" s="2">
        <v>128138</v>
      </c>
      <c r="AT73" s="1" t="s">
        <v>13</v>
      </c>
      <c r="AU73" s="10">
        <f t="shared" si="77"/>
        <v>2.9364530100602702</v>
      </c>
      <c r="AV73" s="2">
        <v>58898</v>
      </c>
      <c r="AW73" s="1" t="s">
        <v>13</v>
      </c>
      <c r="AX73" s="10">
        <f t="shared" si="78"/>
        <v>1.3497261498269817</v>
      </c>
      <c r="AY73" s="8">
        <f t="shared" si="79"/>
        <v>0.54035492984126487</v>
      </c>
      <c r="AZ73" s="2">
        <f t="shared" si="80"/>
        <v>69240</v>
      </c>
      <c r="BA73" s="3"/>
      <c r="BB73" s="3"/>
      <c r="BC73" s="3"/>
      <c r="BD73" s="3"/>
      <c r="BE73" s="28" t="s">
        <v>155</v>
      </c>
      <c r="BF73" s="64">
        <v>5260039</v>
      </c>
      <c r="BG73" s="42">
        <f t="shared" si="68"/>
        <v>120.5408025299631</v>
      </c>
      <c r="BH73" s="76">
        <v>1412707</v>
      </c>
      <c r="BI73" s="15">
        <v>596884</v>
      </c>
      <c r="BJ73" s="15">
        <v>0</v>
      </c>
      <c r="BK73" s="3"/>
      <c r="BL73" s="15">
        <v>65343</v>
      </c>
      <c r="BM73" s="1353"/>
      <c r="BN73" s="1"/>
      <c r="BO73" s="11" t="s">
        <v>249</v>
      </c>
      <c r="BP73" s="3"/>
      <c r="BQ73" s="3"/>
    </row>
    <row r="74" spans="1:69" s="41" customFormat="1" ht="27.6" customHeight="1" x14ac:dyDescent="0.2">
      <c r="A74" s="4" t="s">
        <v>211</v>
      </c>
      <c r="B74" s="915" t="s">
        <v>952</v>
      </c>
      <c r="C74" s="11" t="s">
        <v>60</v>
      </c>
      <c r="D74" s="11" t="s">
        <v>989</v>
      </c>
      <c r="E74" s="11" t="s">
        <v>510</v>
      </c>
      <c r="F74" s="1" t="s">
        <v>106</v>
      </c>
      <c r="G74" s="33">
        <v>40961</v>
      </c>
      <c r="H74" s="11" t="s">
        <v>10</v>
      </c>
      <c r="I74" s="33">
        <v>40595</v>
      </c>
      <c r="J74" s="60">
        <v>42131</v>
      </c>
      <c r="K74" s="4" t="s">
        <v>107</v>
      </c>
      <c r="L74" s="11" t="s">
        <v>13</v>
      </c>
      <c r="M74" s="6">
        <v>294736</v>
      </c>
      <c r="N74" s="6"/>
      <c r="O74" s="14">
        <v>5</v>
      </c>
      <c r="P74" s="4" t="s">
        <v>211</v>
      </c>
      <c r="Q74" s="11" t="s">
        <v>247</v>
      </c>
      <c r="R74" s="11">
        <v>4</v>
      </c>
      <c r="S74" s="2">
        <v>41725</v>
      </c>
      <c r="T74" s="12">
        <f t="shared" si="69"/>
        <v>141.56736876391076</v>
      </c>
      <c r="U74" s="2">
        <v>27808</v>
      </c>
      <c r="V74" s="23">
        <f t="shared" si="70"/>
        <v>94.348840996688565</v>
      </c>
      <c r="W74" s="5">
        <f t="shared" si="71"/>
        <v>0.33354104254044337</v>
      </c>
      <c r="X74" s="13">
        <f t="shared" si="72"/>
        <v>13917</v>
      </c>
      <c r="Y74" s="967">
        <v>42614</v>
      </c>
      <c r="Z74" s="49">
        <f>'[1]15.16 Meter Data'!Y705</f>
        <v>43153.437815270212</v>
      </c>
      <c r="AA74" s="40">
        <f>Z74/M74*1000</f>
        <v>146.41386805571838</v>
      </c>
      <c r="AB74" s="1391" t="s">
        <v>1313</v>
      </c>
      <c r="AC74" s="1394">
        <v>166</v>
      </c>
      <c r="AD74" s="5">
        <f>(S74-Z74)/S74</f>
        <v>-3.4234579155667154E-2</v>
      </c>
      <c r="AE74" s="5"/>
      <c r="AF74" s="51">
        <f>S74-Z74</f>
        <v>-1428.437815270212</v>
      </c>
      <c r="AG74" s="4" t="s">
        <v>211</v>
      </c>
      <c r="AH74" s="15">
        <v>940212</v>
      </c>
      <c r="AI74" s="7">
        <f t="shared" si="73"/>
        <v>3.1900141143260408</v>
      </c>
      <c r="AJ74" s="15">
        <v>699461</v>
      </c>
      <c r="AK74" s="7">
        <f t="shared" si="74"/>
        <v>2.3731780305086585</v>
      </c>
      <c r="AL74" s="8">
        <f t="shared" si="75"/>
        <v>0.25606033532862799</v>
      </c>
      <c r="AM74" s="16">
        <f t="shared" si="76"/>
        <v>240751</v>
      </c>
      <c r="AN74" s="15">
        <f>'[1]15.16 Meter Data'!W711</f>
        <v>787073.69553175219</v>
      </c>
      <c r="AO74" s="22">
        <f>AN74/M74</f>
        <v>2.6704362396577013</v>
      </c>
      <c r="AP74" s="47">
        <f>(AH74-AN74)/AH74</f>
        <v>0.16287635604336873</v>
      </c>
      <c r="AQ74" s="48">
        <f>AH74-AN74</f>
        <v>153138.30446824781</v>
      </c>
      <c r="AR74" s="4" t="s">
        <v>211</v>
      </c>
      <c r="AS74" s="2">
        <v>1088442</v>
      </c>
      <c r="AT74" s="9" t="s">
        <v>13</v>
      </c>
      <c r="AU74" s="2">
        <f t="shared" si="77"/>
        <v>3.69293876553933</v>
      </c>
      <c r="AV74" s="2">
        <v>869385</v>
      </c>
      <c r="AW74" s="9" t="s">
        <v>13</v>
      </c>
      <c r="AX74" s="2">
        <f t="shared" si="78"/>
        <v>2.9497075348786712</v>
      </c>
      <c r="AY74" s="8">
        <f t="shared" si="79"/>
        <v>0.20125739359561648</v>
      </c>
      <c r="AZ74" s="2">
        <f t="shared" si="80"/>
        <v>219057</v>
      </c>
      <c r="BA74" s="242">
        <f>'[1]15.16 Meter Data'!W706</f>
        <v>5333250.8125</v>
      </c>
      <c r="BB74" s="9" t="s">
        <v>13</v>
      </c>
      <c r="BC74" s="2">
        <f>BA74/M74</f>
        <v>18.095009813867325</v>
      </c>
      <c r="BD74" s="8">
        <f>(AS74-BA74)/AS74</f>
        <v>-3.8998943558774837</v>
      </c>
      <c r="BE74" s="4" t="s">
        <v>211</v>
      </c>
      <c r="BF74" s="64">
        <f>1313896+5398362+16733777+8332055+57337600</f>
        <v>89115690</v>
      </c>
      <c r="BG74" s="42">
        <f t="shared" si="68"/>
        <v>302.35766923619781</v>
      </c>
      <c r="BI74" s="15">
        <v>9079497</v>
      </c>
      <c r="BJ74" s="15">
        <v>178918</v>
      </c>
      <c r="BK74" s="3"/>
      <c r="BL74" s="15">
        <v>526000</v>
      </c>
      <c r="BM74" s="1353"/>
      <c r="BN74" s="1" t="s">
        <v>297</v>
      </c>
      <c r="BO74" s="11" t="s">
        <v>247</v>
      </c>
      <c r="BP74" s="3" t="s">
        <v>38</v>
      </c>
      <c r="BQ74" s="3"/>
    </row>
    <row r="75" spans="1:69" s="3" customFormat="1" ht="27.6" customHeight="1" x14ac:dyDescent="0.2">
      <c r="A75" s="28" t="s">
        <v>163</v>
      </c>
      <c r="B75" s="11" t="s">
        <v>951</v>
      </c>
      <c r="C75" s="11" t="s">
        <v>162</v>
      </c>
      <c r="D75" s="11" t="s">
        <v>1002</v>
      </c>
      <c r="E75" s="11"/>
      <c r="F75" s="1" t="s">
        <v>161</v>
      </c>
      <c r="G75" s="37">
        <v>41232</v>
      </c>
      <c r="H75" s="1" t="s">
        <v>10</v>
      </c>
      <c r="I75" s="33">
        <v>41583</v>
      </c>
      <c r="J75" s="60">
        <v>42160</v>
      </c>
      <c r="K75" s="28" t="s">
        <v>164</v>
      </c>
      <c r="L75" s="1" t="s">
        <v>13</v>
      </c>
      <c r="M75" s="2">
        <v>79295</v>
      </c>
      <c r="N75" s="2"/>
      <c r="O75" s="14">
        <v>2</v>
      </c>
      <c r="P75" s="28" t="s">
        <v>163</v>
      </c>
      <c r="Q75" s="11" t="s">
        <v>249</v>
      </c>
      <c r="R75" s="11">
        <v>4</v>
      </c>
      <c r="S75" s="2">
        <v>5941</v>
      </c>
      <c r="T75" s="10">
        <f t="shared" si="69"/>
        <v>74.922756794249324</v>
      </c>
      <c r="U75" s="2">
        <v>4122</v>
      </c>
      <c r="V75" s="10">
        <f t="shared" si="70"/>
        <v>51.983101078252098</v>
      </c>
      <c r="W75" s="8">
        <f t="shared" si="71"/>
        <v>0.30617741121023395</v>
      </c>
      <c r="X75" s="2">
        <f t="shared" si="72"/>
        <v>1819</v>
      </c>
      <c r="Y75" s="992">
        <v>42614</v>
      </c>
      <c r="Z75" s="2">
        <f>'[1]15.16 Meter Data'!Y716</f>
        <v>5763.3436540895282</v>
      </c>
      <c r="AA75" s="40">
        <f>Z75/M75*1000</f>
        <v>72.682308519951164</v>
      </c>
      <c r="AB75" s="1391" t="s">
        <v>1300</v>
      </c>
      <c r="AC75" s="1396">
        <v>62</v>
      </c>
      <c r="AD75" s="5">
        <f>(S75-Z75)/S75</f>
        <v>2.9903441493094061E-2</v>
      </c>
      <c r="AE75" s="5"/>
      <c r="AF75" s="51">
        <f>S75-Z75</f>
        <v>177.65634591047183</v>
      </c>
      <c r="AG75" s="28" t="s">
        <v>163</v>
      </c>
      <c r="AH75" s="15">
        <v>95436</v>
      </c>
      <c r="AI75" s="7">
        <f t="shared" si="73"/>
        <v>1.2035563402484393</v>
      </c>
      <c r="AJ75" s="15">
        <v>64835</v>
      </c>
      <c r="AK75" s="7">
        <f t="shared" si="74"/>
        <v>0.8176429787502365</v>
      </c>
      <c r="AL75" s="8">
        <f t="shared" si="75"/>
        <v>0.32064420134959554</v>
      </c>
      <c r="AM75" s="15">
        <f t="shared" si="76"/>
        <v>30601</v>
      </c>
      <c r="AN75" s="15">
        <f>'[1]15.16 Meter Data'!W720</f>
        <v>114944.21</v>
      </c>
      <c r="AO75" s="22">
        <f>AN75/M75</f>
        <v>1.4495770225108773</v>
      </c>
      <c r="AP75" s="47">
        <f>(AH75-AN75)/AH75</f>
        <v>-0.20441143803177006</v>
      </c>
      <c r="AQ75" s="48">
        <f>AH75-AN75</f>
        <v>-19508.210000000006</v>
      </c>
      <c r="AR75" s="28" t="s">
        <v>163</v>
      </c>
      <c r="AS75" s="2">
        <v>2356578</v>
      </c>
      <c r="AT75" s="1" t="s">
        <v>13</v>
      </c>
      <c r="AU75" s="10">
        <f t="shared" si="77"/>
        <v>29.719124787187088</v>
      </c>
      <c r="AV75" s="2">
        <v>1527392</v>
      </c>
      <c r="AW75" s="1" t="s">
        <v>13</v>
      </c>
      <c r="AX75" s="10">
        <f t="shared" si="78"/>
        <v>19.262147676398261</v>
      </c>
      <c r="AY75" s="8">
        <f t="shared" si="79"/>
        <v>0.35186019728606477</v>
      </c>
      <c r="AZ75" s="2">
        <f t="shared" si="80"/>
        <v>829186</v>
      </c>
      <c r="BA75" s="242">
        <f>'[1]15.16 Meter Data'!W717</f>
        <v>950708</v>
      </c>
      <c r="BB75" s="9" t="s">
        <v>13</v>
      </c>
      <c r="BC75" s="2">
        <f>BA75/M75</f>
        <v>11.989507535153541</v>
      </c>
      <c r="BD75" s="8">
        <f>(AS75-BA75)/AS75</f>
        <v>0.59657265747197841</v>
      </c>
      <c r="BE75" s="28" t="s">
        <v>163</v>
      </c>
      <c r="BF75" s="64">
        <v>11310270</v>
      </c>
      <c r="BG75" s="42">
        <f t="shared" si="68"/>
        <v>142.63534901317863</v>
      </c>
      <c r="BI75" s="15">
        <v>861998</v>
      </c>
      <c r="BJ75" s="71" t="s">
        <v>172</v>
      </c>
      <c r="BK75" s="11"/>
      <c r="BL75" s="15">
        <v>52620</v>
      </c>
      <c r="BM75" s="1353"/>
      <c r="BN75" s="1" t="s">
        <v>297</v>
      </c>
      <c r="BO75" s="11" t="s">
        <v>249</v>
      </c>
      <c r="BP75" s="41"/>
      <c r="BQ75" s="41"/>
    </row>
    <row r="76" spans="1:69" s="3" customFormat="1" ht="27.6" customHeight="1" x14ac:dyDescent="0.2">
      <c r="A76" s="28" t="s">
        <v>152</v>
      </c>
      <c r="B76" s="11" t="s">
        <v>951</v>
      </c>
      <c r="C76" s="11" t="s">
        <v>126</v>
      </c>
      <c r="D76" s="11" t="s">
        <v>1000</v>
      </c>
      <c r="E76" s="11" t="s">
        <v>1032</v>
      </c>
      <c r="F76" s="1" t="s">
        <v>151</v>
      </c>
      <c r="G76" s="37">
        <v>40998</v>
      </c>
      <c r="H76" s="1" t="s">
        <v>10</v>
      </c>
      <c r="I76" s="33">
        <v>41375</v>
      </c>
      <c r="J76" s="60">
        <v>42171</v>
      </c>
      <c r="K76" s="28" t="s">
        <v>153</v>
      </c>
      <c r="L76" s="1" t="s">
        <v>13</v>
      </c>
      <c r="M76" s="2">
        <v>29936</v>
      </c>
      <c r="N76" s="2"/>
      <c r="O76" s="14">
        <v>2</v>
      </c>
      <c r="P76" s="28" t="s">
        <v>152</v>
      </c>
      <c r="Q76" s="11" t="s">
        <v>247</v>
      </c>
      <c r="R76" s="11">
        <v>4</v>
      </c>
      <c r="S76" s="2">
        <v>8887</v>
      </c>
      <c r="T76" s="10">
        <f t="shared" si="69"/>
        <v>296.86664885088186</v>
      </c>
      <c r="U76" s="2">
        <v>5860</v>
      </c>
      <c r="V76" s="10">
        <f t="shared" si="70"/>
        <v>195.75093532870122</v>
      </c>
      <c r="W76" s="8">
        <f t="shared" si="71"/>
        <v>0.34060987959941486</v>
      </c>
      <c r="X76" s="2">
        <f t="shared" si="72"/>
        <v>3027</v>
      </c>
      <c r="Y76" s="992" t="s">
        <v>352</v>
      </c>
      <c r="AB76" s="1391" t="s">
        <v>1303</v>
      </c>
      <c r="AC76" s="1396">
        <v>194</v>
      </c>
      <c r="AG76" s="28" t="s">
        <v>152</v>
      </c>
      <c r="AH76" s="15">
        <v>148285</v>
      </c>
      <c r="AI76" s="7">
        <f t="shared" si="73"/>
        <v>4.953400587920898</v>
      </c>
      <c r="AJ76" s="15">
        <v>99346</v>
      </c>
      <c r="AK76" s="7">
        <f t="shared" si="74"/>
        <v>3.318613041154463</v>
      </c>
      <c r="AL76" s="8">
        <f t="shared" si="75"/>
        <v>0.33003338166368817</v>
      </c>
      <c r="AM76" s="15">
        <f t="shared" si="76"/>
        <v>48939</v>
      </c>
      <c r="AR76" s="28" t="s">
        <v>152</v>
      </c>
      <c r="AS76" s="2">
        <v>55005</v>
      </c>
      <c r="AT76" s="1" t="s">
        <v>13</v>
      </c>
      <c r="AU76" s="10">
        <f t="shared" si="77"/>
        <v>1.837419828968466</v>
      </c>
      <c r="AV76" s="2">
        <v>40257</v>
      </c>
      <c r="AW76" s="1" t="s">
        <v>13</v>
      </c>
      <c r="AX76" s="10">
        <f t="shared" si="78"/>
        <v>1.3447688401924105</v>
      </c>
      <c r="AY76" s="8">
        <f t="shared" si="79"/>
        <v>0.2681210799018271</v>
      </c>
      <c r="AZ76" s="2">
        <f t="shared" si="80"/>
        <v>14748</v>
      </c>
      <c r="BE76" s="28" t="s">
        <v>152</v>
      </c>
      <c r="BF76" s="64">
        <v>7820696</v>
      </c>
      <c r="BG76" s="42">
        <f t="shared" si="68"/>
        <v>261.24719401389632</v>
      </c>
      <c r="BI76" s="15">
        <v>827850</v>
      </c>
      <c r="BJ76" s="15" t="s">
        <v>253</v>
      </c>
      <c r="BL76" s="15">
        <v>47760</v>
      </c>
      <c r="BM76" s="1353"/>
      <c r="BN76" s="1"/>
      <c r="BO76" s="11" t="s">
        <v>247</v>
      </c>
      <c r="BP76" s="41"/>
      <c r="BQ76" s="41"/>
    </row>
    <row r="77" spans="1:69" s="3" customFormat="1" ht="27.6" customHeight="1" x14ac:dyDescent="0.2">
      <c r="A77" s="28" t="s">
        <v>214</v>
      </c>
      <c r="B77" s="11" t="s">
        <v>951</v>
      </c>
      <c r="C77" s="11" t="s">
        <v>63</v>
      </c>
      <c r="D77" s="11" t="s">
        <v>985</v>
      </c>
      <c r="E77" s="11" t="s">
        <v>545</v>
      </c>
      <c r="F77" s="1" t="s">
        <v>231</v>
      </c>
      <c r="G77" s="37">
        <v>41715</v>
      </c>
      <c r="H77" s="11" t="s">
        <v>528</v>
      </c>
      <c r="I77" s="33">
        <v>41676</v>
      </c>
      <c r="J77" s="60">
        <v>42213</v>
      </c>
      <c r="K77" s="28" t="s">
        <v>135</v>
      </c>
      <c r="L77" s="1">
        <v>400</v>
      </c>
      <c r="M77" s="2">
        <v>99713</v>
      </c>
      <c r="N77" s="19">
        <f>M77/L77</f>
        <v>249.2825</v>
      </c>
      <c r="O77" s="14">
        <v>12</v>
      </c>
      <c r="P77" s="28" t="s">
        <v>214</v>
      </c>
      <c r="Q77" s="11" t="s">
        <v>249</v>
      </c>
      <c r="R77" s="11">
        <v>3</v>
      </c>
      <c r="S77" s="2">
        <v>12163</v>
      </c>
      <c r="T77" s="10">
        <f t="shared" si="69"/>
        <v>121.98008283774432</v>
      </c>
      <c r="U77" s="2">
        <v>9302</v>
      </c>
      <c r="V77" s="10">
        <f t="shared" si="70"/>
        <v>93.287735801751026</v>
      </c>
      <c r="W77" s="8">
        <f t="shared" si="71"/>
        <v>0.23522157362492807</v>
      </c>
      <c r="X77" s="2">
        <f t="shared" si="72"/>
        <v>2861</v>
      </c>
      <c r="Y77" s="992" t="s">
        <v>352</v>
      </c>
      <c r="AB77" s="1391" t="s">
        <v>1298</v>
      </c>
      <c r="AC77" s="1396">
        <v>47</v>
      </c>
      <c r="AG77" s="28" t="s">
        <v>214</v>
      </c>
      <c r="AH77" s="15">
        <v>169440</v>
      </c>
      <c r="AI77" s="7">
        <f t="shared" si="73"/>
        <v>1.6992769247741017</v>
      </c>
      <c r="AJ77" s="15">
        <v>126115</v>
      </c>
      <c r="AK77" s="7">
        <f t="shared" si="74"/>
        <v>1.2647799183657096</v>
      </c>
      <c r="AL77" s="8">
        <f t="shared" si="75"/>
        <v>0.25569523135033051</v>
      </c>
      <c r="AM77" s="15">
        <f t="shared" si="76"/>
        <v>43325</v>
      </c>
      <c r="AR77" s="28" t="s">
        <v>214</v>
      </c>
      <c r="AS77" s="2">
        <v>3663471</v>
      </c>
      <c r="AT77" s="9">
        <f>AS77/L77</f>
        <v>9158.6774999999998</v>
      </c>
      <c r="AU77" s="10">
        <f t="shared" si="77"/>
        <v>36.740154242676482</v>
      </c>
      <c r="AV77" s="2">
        <v>2570153</v>
      </c>
      <c r="AW77" s="9">
        <f>AV77/L77</f>
        <v>6425.3824999999997</v>
      </c>
      <c r="AX77" s="10">
        <f t="shared" si="78"/>
        <v>25.77550570136291</v>
      </c>
      <c r="AY77" s="8">
        <f t="shared" si="79"/>
        <v>0.2984377384180194</v>
      </c>
      <c r="AZ77" s="2">
        <f t="shared" si="80"/>
        <v>1093318</v>
      </c>
      <c r="BE77" s="28" t="s">
        <v>214</v>
      </c>
      <c r="BF77" s="64">
        <v>15172636</v>
      </c>
      <c r="BG77" s="42">
        <f t="shared" si="68"/>
        <v>152.16306800517486</v>
      </c>
      <c r="BH77" s="15">
        <v>14796933</v>
      </c>
      <c r="BI77" s="15">
        <v>1251550</v>
      </c>
      <c r="BJ77" s="71">
        <v>11880</v>
      </c>
      <c r="BK77" s="71"/>
      <c r="BL77" s="15">
        <v>95000</v>
      </c>
      <c r="BM77" s="1353">
        <f t="shared" ref="BM77:BM84" si="81">((BF77-BH77)+BJ77+BK77+BL77)/AM77</f>
        <v>11.138672821696479</v>
      </c>
      <c r="BN77" s="1" t="s">
        <v>296</v>
      </c>
      <c r="BO77" s="11" t="s">
        <v>249</v>
      </c>
      <c r="BP77" s="346">
        <f>BF77-BH77</f>
        <v>375703</v>
      </c>
    </row>
    <row r="78" spans="1:69" s="3" customFormat="1" ht="27.6" customHeight="1" x14ac:dyDescent="0.2">
      <c r="A78" s="28" t="s">
        <v>1395</v>
      </c>
      <c r="B78" s="11" t="s">
        <v>951</v>
      </c>
      <c r="C78" s="11" t="s">
        <v>63</v>
      </c>
      <c r="D78" s="11" t="s">
        <v>985</v>
      </c>
      <c r="E78" s="11" t="s">
        <v>545</v>
      </c>
      <c r="F78" s="1" t="s">
        <v>275</v>
      </c>
      <c r="G78" s="37">
        <v>41558</v>
      </c>
      <c r="H78" s="432" t="s">
        <v>407</v>
      </c>
      <c r="I78" s="33">
        <v>41641</v>
      </c>
      <c r="J78" s="60">
        <v>42214</v>
      </c>
      <c r="K78" s="4" t="s">
        <v>135</v>
      </c>
      <c r="L78" s="1">
        <v>412</v>
      </c>
      <c r="M78" s="2">
        <v>143986</v>
      </c>
      <c r="N78" s="19">
        <f>M78/L78</f>
        <v>349.48058252427182</v>
      </c>
      <c r="O78" s="14">
        <v>6</v>
      </c>
      <c r="P78" s="28" t="str">
        <f>A78</f>
        <v>Laurel Residence Hall</v>
      </c>
      <c r="Q78" s="11" t="s">
        <v>249</v>
      </c>
      <c r="R78" s="11">
        <v>3</v>
      </c>
      <c r="S78" s="2">
        <v>7705</v>
      </c>
      <c r="T78" s="10">
        <f t="shared" si="69"/>
        <v>53.512147014293056</v>
      </c>
      <c r="U78" s="2">
        <v>5840</v>
      </c>
      <c r="V78" s="10">
        <f t="shared" si="70"/>
        <v>40.559498840165013</v>
      </c>
      <c r="W78" s="8">
        <f t="shared" si="71"/>
        <v>0.24205061648280338</v>
      </c>
      <c r="X78" s="2">
        <f t="shared" si="72"/>
        <v>1865</v>
      </c>
      <c r="Y78" s="992" t="s">
        <v>352</v>
      </c>
      <c r="AB78" s="1391" t="s">
        <v>1298</v>
      </c>
      <c r="AC78" s="1396">
        <v>47</v>
      </c>
      <c r="AG78" s="28" t="str">
        <f>A78</f>
        <v>Laurel Residence Hall</v>
      </c>
      <c r="AH78" s="15">
        <v>102473</v>
      </c>
      <c r="AI78" s="7">
        <f t="shared" si="73"/>
        <v>0.7116872473712722</v>
      </c>
      <c r="AJ78" s="15">
        <v>56750</v>
      </c>
      <c r="AK78" s="7">
        <f t="shared" si="74"/>
        <v>0.39413554095537068</v>
      </c>
      <c r="AL78" s="8">
        <f t="shared" si="75"/>
        <v>0.4461955832268012</v>
      </c>
      <c r="AM78" s="15">
        <f t="shared" si="76"/>
        <v>45723</v>
      </c>
      <c r="AR78" s="28" t="str">
        <f>A78</f>
        <v>Laurel Residence Hall</v>
      </c>
      <c r="AS78" s="2">
        <v>4730466</v>
      </c>
      <c r="AT78" s="9">
        <f>AS78/L78</f>
        <v>11481.713592233009</v>
      </c>
      <c r="AU78" s="10">
        <f t="shared" si="77"/>
        <v>32.853652438431517</v>
      </c>
      <c r="AV78" s="2">
        <v>2731460</v>
      </c>
      <c r="AW78" s="9">
        <f>AV78/L78</f>
        <v>6629.7572815533977</v>
      </c>
      <c r="AX78" s="10">
        <f t="shared" si="78"/>
        <v>18.970316558554305</v>
      </c>
      <c r="AY78" s="8">
        <f t="shared" si="79"/>
        <v>0.42258120024538809</v>
      </c>
      <c r="AZ78" s="2">
        <f t="shared" si="80"/>
        <v>1999006</v>
      </c>
      <c r="BE78" s="28" t="str">
        <f>A78</f>
        <v>Laurel Residence Hall</v>
      </c>
      <c r="BF78" s="64">
        <v>28765101</v>
      </c>
      <c r="BG78" s="42">
        <f t="shared" si="68"/>
        <v>199.77706860389205</v>
      </c>
      <c r="BH78" s="15">
        <v>26520850</v>
      </c>
      <c r="BI78" s="15">
        <v>2312090</v>
      </c>
      <c r="BJ78" s="15">
        <v>13945</v>
      </c>
      <c r="BK78" s="15"/>
      <c r="BL78" s="15">
        <v>200000</v>
      </c>
      <c r="BM78" s="1353">
        <f t="shared" si="81"/>
        <v>53.762788968352908</v>
      </c>
      <c r="BN78" s="1" t="s">
        <v>313</v>
      </c>
      <c r="BO78" s="11" t="s">
        <v>249</v>
      </c>
    </row>
    <row r="79" spans="1:69" s="3" customFormat="1" ht="27.6" customHeight="1" x14ac:dyDescent="0.2">
      <c r="A79" s="28" t="s">
        <v>213</v>
      </c>
      <c r="B79" s="915" t="s">
        <v>952</v>
      </c>
      <c r="C79" s="11" t="s">
        <v>26</v>
      </c>
      <c r="D79" s="11" t="s">
        <v>984</v>
      </c>
      <c r="E79" s="11" t="s">
        <v>508</v>
      </c>
      <c r="F79" s="1" t="s">
        <v>176</v>
      </c>
      <c r="G79" s="37">
        <v>41691</v>
      </c>
      <c r="H79" s="1" t="s">
        <v>474</v>
      </c>
      <c r="I79" s="33">
        <v>41764</v>
      </c>
      <c r="J79" s="60">
        <v>42215</v>
      </c>
      <c r="K79" s="28" t="s">
        <v>135</v>
      </c>
      <c r="L79" s="1">
        <v>176</v>
      </c>
      <c r="M79" s="2">
        <v>32839</v>
      </c>
      <c r="N79" s="19">
        <f>M79/L79</f>
        <v>186.58522727272728</v>
      </c>
      <c r="O79" s="14">
        <v>5</v>
      </c>
      <c r="P79" s="28" t="s">
        <v>213</v>
      </c>
      <c r="Q79" s="11" t="s">
        <v>249</v>
      </c>
      <c r="R79" s="11">
        <v>5</v>
      </c>
      <c r="S79" s="2">
        <v>3330</v>
      </c>
      <c r="T79" s="10">
        <f t="shared" si="69"/>
        <v>101.40381863028716</v>
      </c>
      <c r="U79" s="2">
        <v>2305</v>
      </c>
      <c r="V79" s="10">
        <f t="shared" si="70"/>
        <v>70.190931514357928</v>
      </c>
      <c r="W79" s="8">
        <f t="shared" si="71"/>
        <v>0.30780780780780781</v>
      </c>
      <c r="X79" s="2">
        <f t="shared" si="72"/>
        <v>1025</v>
      </c>
      <c r="Y79" s="992">
        <v>42598</v>
      </c>
      <c r="Z79" s="2">
        <f>'[1]15.16 Meter Data'!Y762</f>
        <v>2998.1820399999997</v>
      </c>
      <c r="AA79" s="40">
        <f>Z79/M79*1000</f>
        <v>91.299431773196488</v>
      </c>
      <c r="AB79" s="1391" t="s">
        <v>1298</v>
      </c>
      <c r="AC79" s="1396">
        <v>47</v>
      </c>
      <c r="AD79" s="5">
        <f>(S79-Z79)/S79</f>
        <v>9.9645033033033126E-2</v>
      </c>
      <c r="AE79" s="1611" t="s">
        <v>955</v>
      </c>
      <c r="AF79" s="51">
        <f>S79-Z79</f>
        <v>331.81796000000031</v>
      </c>
      <c r="AG79" s="28" t="s">
        <v>213</v>
      </c>
      <c r="AH79" s="15">
        <v>87029</v>
      </c>
      <c r="AI79" s="7">
        <f t="shared" si="73"/>
        <v>2.6501720515241023</v>
      </c>
      <c r="AJ79" s="15">
        <v>60703</v>
      </c>
      <c r="AK79" s="7">
        <f t="shared" si="74"/>
        <v>1.8485033039982948</v>
      </c>
      <c r="AL79" s="8">
        <f t="shared" si="75"/>
        <v>0.30249686885980537</v>
      </c>
      <c r="AM79" s="15">
        <f t="shared" si="76"/>
        <v>26326</v>
      </c>
      <c r="AN79" s="15">
        <f>'[1]15.16 Meter Data'!W766</f>
        <v>70016.100000000006</v>
      </c>
      <c r="AO79" s="22">
        <f>AN79/M79</f>
        <v>2.1321020737537686</v>
      </c>
      <c r="AP79" s="47">
        <f>(AH79-AN79)/AH79</f>
        <v>0.19548541290834084</v>
      </c>
      <c r="AQ79" s="48">
        <f>AH79-AN79</f>
        <v>17012.899999999994</v>
      </c>
      <c r="AR79" s="28" t="s">
        <v>213</v>
      </c>
      <c r="AS79" s="2">
        <v>1209992</v>
      </c>
      <c r="AT79" s="2">
        <f>AS79/L79</f>
        <v>6874.954545454545</v>
      </c>
      <c r="AU79" s="10">
        <f t="shared" si="77"/>
        <v>36.846188982612141</v>
      </c>
      <c r="AV79" s="2">
        <v>755467</v>
      </c>
      <c r="AW79" s="9">
        <f>AV79/L79</f>
        <v>4292.426136363636</v>
      </c>
      <c r="AX79" s="10">
        <f t="shared" si="78"/>
        <v>23.005176771521665</v>
      </c>
      <c r="AY79" s="8">
        <f t="shared" si="79"/>
        <v>0.37564297945771541</v>
      </c>
      <c r="AZ79" s="2">
        <f t="shared" si="80"/>
        <v>454525</v>
      </c>
      <c r="BA79" s="242">
        <f>'[1]15.16 Meter Data'!W763</f>
        <v>1103000</v>
      </c>
      <c r="BB79" s="2">
        <f>BA79/L79</f>
        <v>6267.045454545455</v>
      </c>
      <c r="BC79" s="2">
        <f>BA79/M79</f>
        <v>33.588111696458476</v>
      </c>
      <c r="BD79" s="8">
        <f>(AS79-BA79)/AS79</f>
        <v>8.8423725115537949E-2</v>
      </c>
      <c r="BE79" s="28" t="s">
        <v>213</v>
      </c>
      <c r="BF79" s="64">
        <v>7222300</v>
      </c>
      <c r="BG79" s="42">
        <f t="shared" si="68"/>
        <v>219.93057035841531</v>
      </c>
      <c r="BH79" s="15">
        <f>BF79-710194</f>
        <v>6512106</v>
      </c>
      <c r="BI79" s="15">
        <v>806400</v>
      </c>
      <c r="BJ79" s="15">
        <v>50600</v>
      </c>
      <c r="BK79" s="15"/>
      <c r="BL79" s="15">
        <v>19450</v>
      </c>
      <c r="BM79" s="1353">
        <f t="shared" si="81"/>
        <v>29.637772544252829</v>
      </c>
      <c r="BN79" s="1" t="s">
        <v>296</v>
      </c>
      <c r="BO79" s="11" t="s">
        <v>249</v>
      </c>
    </row>
    <row r="80" spans="1:69" s="3" customFormat="1" ht="27.6" customHeight="1" x14ac:dyDescent="0.2">
      <c r="A80" s="28" t="s">
        <v>420</v>
      </c>
      <c r="B80" s="11" t="s">
        <v>951</v>
      </c>
      <c r="C80" s="11" t="s">
        <v>98</v>
      </c>
      <c r="D80" s="11" t="s">
        <v>996</v>
      </c>
      <c r="E80" s="11" t="s">
        <v>723</v>
      </c>
      <c r="F80" s="1" t="s">
        <v>491</v>
      </c>
      <c r="G80" s="37">
        <v>41822</v>
      </c>
      <c r="H80" s="1" t="s">
        <v>10</v>
      </c>
      <c r="I80" s="33">
        <v>41789</v>
      </c>
      <c r="J80" s="60">
        <v>42219</v>
      </c>
      <c r="K80" s="4" t="s">
        <v>421</v>
      </c>
      <c r="L80" s="1" t="s">
        <v>13</v>
      </c>
      <c r="M80" s="2">
        <v>43554</v>
      </c>
      <c r="N80" s="2"/>
      <c r="O80" s="14">
        <v>2</v>
      </c>
      <c r="P80" s="28" t="s">
        <v>420</v>
      </c>
      <c r="Q80" s="11" t="s">
        <v>248</v>
      </c>
      <c r="R80" s="11">
        <v>3</v>
      </c>
      <c r="S80" s="2">
        <v>5934.9</v>
      </c>
      <c r="T80" s="10">
        <f t="shared" si="69"/>
        <v>136.26532580245214</v>
      </c>
      <c r="U80" s="2">
        <v>5079</v>
      </c>
      <c r="V80" s="10">
        <f t="shared" si="70"/>
        <v>116.61385865821738</v>
      </c>
      <c r="W80" s="8">
        <f t="shared" si="71"/>
        <v>0.14421472981853101</v>
      </c>
      <c r="X80" s="2">
        <f t="shared" si="72"/>
        <v>855.89999999999964</v>
      </c>
      <c r="Y80" s="992" t="s">
        <v>352</v>
      </c>
      <c r="AB80" s="1391" t="s">
        <v>1300</v>
      </c>
      <c r="AC80" s="1396">
        <v>62</v>
      </c>
      <c r="AG80" s="28" t="s">
        <v>420</v>
      </c>
      <c r="AH80" s="15">
        <v>110349</v>
      </c>
      <c r="AI80" s="7">
        <f t="shared" si="73"/>
        <v>2.5336134453781511</v>
      </c>
      <c r="AJ80" s="15">
        <v>91957</v>
      </c>
      <c r="AK80" s="7">
        <f t="shared" si="74"/>
        <v>2.1113330578132894</v>
      </c>
      <c r="AL80" s="8">
        <f t="shared" si="75"/>
        <v>0.16667119774533526</v>
      </c>
      <c r="AM80" s="15">
        <f t="shared" si="76"/>
        <v>18392</v>
      </c>
      <c r="AR80" s="28" t="s">
        <v>420</v>
      </c>
      <c r="AS80" s="9">
        <v>1075870</v>
      </c>
      <c r="AT80" s="9" t="s">
        <v>13</v>
      </c>
      <c r="AU80" s="2">
        <f t="shared" si="77"/>
        <v>24.701979152316664</v>
      </c>
      <c r="AV80" s="9">
        <v>760602</v>
      </c>
      <c r="AW80" s="9" t="s">
        <v>13</v>
      </c>
      <c r="AX80" s="2">
        <f t="shared" si="78"/>
        <v>17.463424714147955</v>
      </c>
      <c r="AY80" s="8">
        <f t="shared" si="79"/>
        <v>0.29303540390567634</v>
      </c>
      <c r="AZ80" s="2">
        <f t="shared" si="80"/>
        <v>315268</v>
      </c>
      <c r="BA80" s="14"/>
      <c r="BE80" s="28" t="s">
        <v>420</v>
      </c>
      <c r="BF80" s="64">
        <v>9820475</v>
      </c>
      <c r="BG80" s="42">
        <f t="shared" si="68"/>
        <v>225.47814207650273</v>
      </c>
      <c r="BH80" s="243">
        <v>5837018</v>
      </c>
      <c r="BI80" s="71">
        <v>859450</v>
      </c>
      <c r="BJ80" s="65"/>
      <c r="BK80" s="15">
        <v>17250</v>
      </c>
      <c r="BL80" s="1235">
        <v>0</v>
      </c>
      <c r="BM80" s="1353">
        <f t="shared" si="81"/>
        <v>217.52430404523707</v>
      </c>
      <c r="BN80" s="1" t="s">
        <v>299</v>
      </c>
      <c r="BO80" s="11" t="s">
        <v>248</v>
      </c>
      <c r="BP80" s="41"/>
      <c r="BQ80" s="41"/>
    </row>
    <row r="81" spans="1:69" s="3" customFormat="1" ht="27.6" customHeight="1" x14ac:dyDescent="0.2">
      <c r="A81" s="28" t="s">
        <v>1274</v>
      </c>
      <c r="B81" s="915" t="s">
        <v>953</v>
      </c>
      <c r="C81" s="11" t="s">
        <v>68</v>
      </c>
      <c r="D81" s="11" t="s">
        <v>992</v>
      </c>
      <c r="E81" s="11" t="s">
        <v>650</v>
      </c>
      <c r="F81" s="1" t="s">
        <v>177</v>
      </c>
      <c r="G81" s="37">
        <v>41550</v>
      </c>
      <c r="H81" s="1" t="s">
        <v>10</v>
      </c>
      <c r="I81" s="33">
        <v>41416</v>
      </c>
      <c r="J81" s="60">
        <v>42226</v>
      </c>
      <c r="K81" s="28" t="s">
        <v>135</v>
      </c>
      <c r="L81" s="1">
        <v>720</v>
      </c>
      <c r="M81" s="2">
        <v>208077</v>
      </c>
      <c r="N81" s="19">
        <f>M81/L81</f>
        <v>288.99583333333334</v>
      </c>
      <c r="O81" s="14">
        <v>5</v>
      </c>
      <c r="P81" s="28" t="str">
        <f>A81</f>
        <v>Gateway Residence Hall (Belk Replacement)</v>
      </c>
      <c r="Q81" s="11" t="s">
        <v>249</v>
      </c>
      <c r="R81" s="11">
        <v>3</v>
      </c>
      <c r="S81" s="2">
        <v>22829</v>
      </c>
      <c r="T81" s="10">
        <f t="shared" si="69"/>
        <v>109.71419234225792</v>
      </c>
      <c r="U81" s="2">
        <v>15444</v>
      </c>
      <c r="V81" s="10">
        <f t="shared" si="70"/>
        <v>74.222523392782492</v>
      </c>
      <c r="W81" s="8">
        <f t="shared" si="71"/>
        <v>0.32349204958605282</v>
      </c>
      <c r="X81" s="2">
        <f t="shared" si="72"/>
        <v>7385</v>
      </c>
      <c r="Y81" s="992">
        <v>42591</v>
      </c>
      <c r="Z81" s="2">
        <f>'[1]15.16 Meter Data'!Y784</f>
        <v>8654.0486707199998</v>
      </c>
      <c r="AA81" s="40">
        <f>Z81/M81*1000</f>
        <v>41.590606701942072</v>
      </c>
      <c r="AB81" s="1391" t="s">
        <v>1298</v>
      </c>
      <c r="AC81" s="1396">
        <v>47</v>
      </c>
      <c r="AD81" s="5">
        <f>(S81-Z81)/S81</f>
        <v>0.62091862671514297</v>
      </c>
      <c r="AE81" s="1611"/>
      <c r="AF81" s="51">
        <f>S81-Z81</f>
        <v>14174.95132928</v>
      </c>
      <c r="AG81" s="28" t="str">
        <f>A81</f>
        <v>Gateway Residence Hall (Belk Replacement)</v>
      </c>
      <c r="AH81" s="15">
        <v>519318</v>
      </c>
      <c r="AI81" s="7">
        <f t="shared" si="73"/>
        <v>2.4957972289104515</v>
      </c>
      <c r="AJ81" s="15">
        <v>339219</v>
      </c>
      <c r="AK81" s="7">
        <f t="shared" si="74"/>
        <v>1.6302570682968325</v>
      </c>
      <c r="AL81" s="8">
        <f t="shared" si="75"/>
        <v>0.34679907108939034</v>
      </c>
      <c r="AM81" s="15">
        <f t="shared" si="76"/>
        <v>180099</v>
      </c>
      <c r="AN81" s="15">
        <f>'[1]15.16 Meter Data'!W788</f>
        <v>222500.07935999997</v>
      </c>
      <c r="AO81" s="22">
        <f>AN81/M81</f>
        <v>1.0693160674173501</v>
      </c>
      <c r="AP81" s="47">
        <f>(AH81-AN81)/AH81</f>
        <v>0.57155330768430912</v>
      </c>
      <c r="AQ81" s="48">
        <f>AH81-AN81</f>
        <v>296817.92064000003</v>
      </c>
      <c r="AR81" s="28" t="str">
        <f>A81</f>
        <v>Gateway Residence Hall (Belk Replacement)</v>
      </c>
      <c r="AS81" s="2">
        <v>11970900</v>
      </c>
      <c r="AT81" s="2">
        <f>AS81/L81</f>
        <v>16626.25</v>
      </c>
      <c r="AU81" s="10">
        <f t="shared" si="77"/>
        <v>57.531106273158493</v>
      </c>
      <c r="AV81" s="2">
        <v>7250002</v>
      </c>
      <c r="AW81" s="9">
        <f>AV81/L81</f>
        <v>10069.447222222223</v>
      </c>
      <c r="AX81" s="10">
        <f t="shared" si="78"/>
        <v>34.842880279896384</v>
      </c>
      <c r="AY81" s="8">
        <f t="shared" si="79"/>
        <v>0.39436450058057454</v>
      </c>
      <c r="AZ81" s="2">
        <f t="shared" si="80"/>
        <v>4720898</v>
      </c>
      <c r="BA81" s="242">
        <f>'[1]15.16 Meter Data'!W785</f>
        <v>5974020</v>
      </c>
      <c r="BB81" s="2">
        <f>BA81/L81</f>
        <v>8297.25</v>
      </c>
      <c r="BC81" s="2">
        <f>BA81/M81</f>
        <v>28.710621548753586</v>
      </c>
      <c r="BD81" s="8">
        <f>(AS81-BA81)/AS81</f>
        <v>0.50095481542741149</v>
      </c>
      <c r="BE81" s="28" t="str">
        <f>A81</f>
        <v>Gateway Residence Hall (Belk Replacement)</v>
      </c>
      <c r="BF81" s="64">
        <v>48137413</v>
      </c>
      <c r="BG81" s="42">
        <f t="shared" si="68"/>
        <v>231.34422833854774</v>
      </c>
      <c r="BH81" s="15">
        <v>41707231</v>
      </c>
      <c r="BI81" s="15">
        <v>3917050</v>
      </c>
      <c r="BJ81" s="15">
        <v>91100</v>
      </c>
      <c r="BK81" s="15"/>
      <c r="BL81" s="15">
        <v>322840</v>
      </c>
      <c r="BM81" s="1353">
        <f t="shared" si="81"/>
        <v>38.001998900604669</v>
      </c>
      <c r="BN81" s="1" t="s">
        <v>297</v>
      </c>
      <c r="BO81" s="11" t="s">
        <v>249</v>
      </c>
    </row>
    <row r="82" spans="1:69" s="1724" customFormat="1" ht="27.6" customHeight="1" thickBot="1" x14ac:dyDescent="0.25">
      <c r="A82" s="1710" t="s">
        <v>233</v>
      </c>
      <c r="B82" s="1711" t="s">
        <v>951</v>
      </c>
      <c r="C82" s="1711" t="s">
        <v>63</v>
      </c>
      <c r="D82" s="1711" t="s">
        <v>985</v>
      </c>
      <c r="E82" s="1711" t="s">
        <v>545</v>
      </c>
      <c r="F82" s="1712" t="s">
        <v>310</v>
      </c>
      <c r="G82" s="1713">
        <v>41645</v>
      </c>
      <c r="H82" s="1712" t="s">
        <v>103</v>
      </c>
      <c r="I82" s="1714">
        <v>41778</v>
      </c>
      <c r="J82" s="1715">
        <v>42240</v>
      </c>
      <c r="K82" s="1716" t="s">
        <v>135</v>
      </c>
      <c r="L82" s="1712">
        <v>248</v>
      </c>
      <c r="M82" s="1717">
        <v>52844</v>
      </c>
      <c r="N82" s="1718">
        <f>M82/L82</f>
        <v>213.08064516129033</v>
      </c>
      <c r="O82" s="1719">
        <v>4</v>
      </c>
      <c r="P82" s="1710" t="s">
        <v>233</v>
      </c>
      <c r="Q82" s="1711" t="s">
        <v>249</v>
      </c>
      <c r="R82" s="1711">
        <v>3</v>
      </c>
      <c r="S82" s="1717">
        <v>4104</v>
      </c>
      <c r="T82" s="1720">
        <f t="shared" si="69"/>
        <v>77.662553932329132</v>
      </c>
      <c r="U82" s="1717">
        <v>2776</v>
      </c>
      <c r="V82" s="1721">
        <f t="shared" si="70"/>
        <v>52.531980924986755</v>
      </c>
      <c r="W82" s="1722">
        <f t="shared" si="71"/>
        <v>0.3235867446393762</v>
      </c>
      <c r="X82" s="1717">
        <f t="shared" si="72"/>
        <v>1328</v>
      </c>
      <c r="Y82" s="1723" t="s">
        <v>352</v>
      </c>
      <c r="AB82" s="1725" t="s">
        <v>1298</v>
      </c>
      <c r="AC82" s="1726">
        <v>47</v>
      </c>
      <c r="AG82" s="1710" t="s">
        <v>233</v>
      </c>
      <c r="AH82" s="1727">
        <v>78156</v>
      </c>
      <c r="AI82" s="1728">
        <f t="shared" si="73"/>
        <v>1.4789947770797063</v>
      </c>
      <c r="AJ82" s="1727">
        <v>52863</v>
      </c>
      <c r="AK82" s="1728">
        <f t="shared" si="74"/>
        <v>1.0003595488607979</v>
      </c>
      <c r="AL82" s="1722">
        <f t="shared" si="75"/>
        <v>0.32362198679563947</v>
      </c>
      <c r="AM82" s="1727">
        <f t="shared" si="76"/>
        <v>25293</v>
      </c>
      <c r="AR82" s="1710" t="s">
        <v>233</v>
      </c>
      <c r="AS82" s="1729">
        <v>3786332</v>
      </c>
      <c r="AT82" s="1729">
        <f>AS82/L82</f>
        <v>15267.467741935483</v>
      </c>
      <c r="AU82" s="1730">
        <f t="shared" si="77"/>
        <v>71.651124063280605</v>
      </c>
      <c r="AV82" s="1729">
        <v>2951199</v>
      </c>
      <c r="AW82" s="1729">
        <f>AV82/L82</f>
        <v>11899.995967741936</v>
      </c>
      <c r="AX82" s="1730">
        <f t="shared" si="78"/>
        <v>55.847380970403449</v>
      </c>
      <c r="AY82" s="1722">
        <f t="shared" si="79"/>
        <v>0.22056518023247829</v>
      </c>
      <c r="AZ82" s="1717">
        <f t="shared" si="80"/>
        <v>835133</v>
      </c>
      <c r="BA82" s="1719"/>
      <c r="BE82" s="1710" t="s">
        <v>233</v>
      </c>
      <c r="BF82" s="1731">
        <v>7187260</v>
      </c>
      <c r="BG82" s="1732">
        <f t="shared" si="68"/>
        <v>136.00900764514421</v>
      </c>
      <c r="BH82" s="1733">
        <v>5929373</v>
      </c>
      <c r="BI82" s="1734">
        <v>591176</v>
      </c>
      <c r="BJ82" s="1727">
        <v>0</v>
      </c>
      <c r="BK82" s="1727"/>
      <c r="BL82" s="1735">
        <v>77500</v>
      </c>
      <c r="BM82" s="1736">
        <f t="shared" si="81"/>
        <v>52.796702645000593</v>
      </c>
      <c r="BN82" s="1712" t="s">
        <v>311</v>
      </c>
      <c r="BO82" s="1711" t="s">
        <v>249</v>
      </c>
      <c r="BP82" s="1737"/>
      <c r="BQ82" s="1737"/>
    </row>
    <row r="83" spans="1:69" s="3" customFormat="1" ht="27.6" customHeight="1" thickTop="1" x14ac:dyDescent="0.2">
      <c r="A83" s="1750" t="s">
        <v>1445</v>
      </c>
      <c r="B83" s="11"/>
      <c r="C83" s="11"/>
      <c r="D83" s="11"/>
      <c r="E83" s="11"/>
      <c r="F83" s="1"/>
      <c r="G83" s="37"/>
      <c r="H83" s="1"/>
      <c r="I83" s="33"/>
      <c r="J83" s="60"/>
      <c r="K83" s="28"/>
      <c r="L83" s="1">
        <f>SUM(L4:L82)-200</f>
        <v>8851</v>
      </c>
      <c r="M83" s="2">
        <f>SUM(M4:M82)</f>
        <v>6548386</v>
      </c>
      <c r="N83" s="2"/>
      <c r="O83" s="14"/>
      <c r="P83" s="1750" t="str">
        <f>A83</f>
        <v>15.16 sums</v>
      </c>
      <c r="Q83" s="11"/>
      <c r="R83" s="11"/>
      <c r="S83" s="2">
        <f>SUM(S4:S82)</f>
        <v>685034</v>
      </c>
      <c r="T83" s="10"/>
      <c r="U83" s="2">
        <f>SUM(U4:U82)</f>
        <v>461088.8</v>
      </c>
      <c r="V83" s="10"/>
      <c r="W83" s="8">
        <f t="shared" si="71"/>
        <v>0.32691107302703226</v>
      </c>
      <c r="X83" s="2">
        <f>SUM(X4:X82)</f>
        <v>223945.19999999998</v>
      </c>
      <c r="Y83" s="992"/>
      <c r="AB83" s="1"/>
      <c r="AC83" s="1396"/>
      <c r="AG83" s="1750" t="str">
        <f>A83</f>
        <v>15.16 sums</v>
      </c>
      <c r="AH83" s="15">
        <f>SUM(AH4:AH82)</f>
        <v>11588088</v>
      </c>
      <c r="AI83" s="7"/>
      <c r="AJ83" s="15">
        <f>SUM(AJ4:AJ82)</f>
        <v>7810019</v>
      </c>
      <c r="AK83" s="7"/>
      <c r="AL83" s="8">
        <f t="shared" si="75"/>
        <v>0.32603040294481711</v>
      </c>
      <c r="AM83" s="15">
        <f>SUM(AM4:AM82)</f>
        <v>3778069</v>
      </c>
      <c r="AR83" s="1750" t="str">
        <f>A83</f>
        <v>15.16 sums</v>
      </c>
      <c r="AS83" s="2"/>
      <c r="AT83" s="2"/>
      <c r="AU83" s="10"/>
      <c r="AV83" s="2"/>
      <c r="AW83" s="9"/>
      <c r="AX83" s="10"/>
      <c r="AY83" s="8"/>
      <c r="AZ83" s="2">
        <f>SUM(AZ4:AZ82)</f>
        <v>48542961</v>
      </c>
      <c r="BB83" s="1751">
        <f>AZ83/660000</f>
        <v>73.549940909090907</v>
      </c>
      <c r="BE83" s="1750" t="str">
        <f>A83</f>
        <v>15.16 sums</v>
      </c>
      <c r="BF83" s="64">
        <f>SUM(BF4:BF82)</f>
        <v>1293258021.3899999</v>
      </c>
      <c r="BG83" s="42"/>
      <c r="BH83" s="15"/>
      <c r="BI83" s="64">
        <f>SUM(BI4:BI82)</f>
        <v>126144176.99999999</v>
      </c>
      <c r="BJ83" s="64">
        <f>SUM(BJ4:BJ82)</f>
        <v>3598752.0000000005</v>
      </c>
      <c r="BL83" s="64">
        <f>SUM(BL4:BL82)</f>
        <v>9065583</v>
      </c>
      <c r="BM83" s="29">
        <f>SUM(BF83:BL83)</f>
        <v>1432066533.3899999</v>
      </c>
      <c r="BN83" s="1"/>
      <c r="BO83" s="11"/>
    </row>
    <row r="84" spans="1:69" s="3" customFormat="1" ht="27.6" customHeight="1" x14ac:dyDescent="0.2">
      <c r="A84" s="28" t="s">
        <v>265</v>
      </c>
      <c r="B84" s="915" t="s">
        <v>953</v>
      </c>
      <c r="C84" s="11" t="s">
        <v>264</v>
      </c>
      <c r="D84" s="11" t="s">
        <v>989</v>
      </c>
      <c r="E84" s="11"/>
      <c r="F84" s="1" t="s">
        <v>266</v>
      </c>
      <c r="G84" s="37">
        <v>41596</v>
      </c>
      <c r="H84" s="1" t="s">
        <v>10</v>
      </c>
      <c r="I84" s="33">
        <v>41870</v>
      </c>
      <c r="J84" s="60">
        <v>42359</v>
      </c>
      <c r="K84" s="4" t="s">
        <v>267</v>
      </c>
      <c r="L84" s="1" t="s">
        <v>13</v>
      </c>
      <c r="M84" s="2">
        <v>47729</v>
      </c>
      <c r="N84" s="2"/>
      <c r="O84" s="14">
        <v>1</v>
      </c>
      <c r="P84" s="28" t="s">
        <v>265</v>
      </c>
      <c r="Q84" s="11" t="s">
        <v>249</v>
      </c>
      <c r="R84" s="11">
        <v>4</v>
      </c>
      <c r="S84" s="2">
        <v>2614</v>
      </c>
      <c r="T84" s="10">
        <f t="shared" si="69"/>
        <v>54.767541746108236</v>
      </c>
      <c r="U84" s="2">
        <v>1818</v>
      </c>
      <c r="V84" s="10">
        <f t="shared" si="70"/>
        <v>38.090050074378262</v>
      </c>
      <c r="W84" s="27">
        <f t="shared" si="71"/>
        <v>0.3045141545524101</v>
      </c>
      <c r="X84" s="2">
        <f t="shared" si="72"/>
        <v>796</v>
      </c>
      <c r="Y84" s="992"/>
      <c r="AB84" s="1391" t="s">
        <v>1300</v>
      </c>
      <c r="AC84" s="1396">
        <v>72</v>
      </c>
      <c r="AG84" s="28" t="s">
        <v>265</v>
      </c>
      <c r="AH84" s="15">
        <v>52390</v>
      </c>
      <c r="AI84" s="7">
        <f t="shared" si="73"/>
        <v>1.0976555134195143</v>
      </c>
      <c r="AJ84" s="15">
        <v>33542</v>
      </c>
      <c r="AK84" s="7">
        <f t="shared" si="74"/>
        <v>0.70275932871000857</v>
      </c>
      <c r="AL84" s="8">
        <f t="shared" si="75"/>
        <v>0.35976331360946745</v>
      </c>
      <c r="AM84" s="15">
        <f t="shared" si="76"/>
        <v>18848</v>
      </c>
      <c r="AR84" s="28" t="s">
        <v>265</v>
      </c>
      <c r="AS84" s="9">
        <v>1075022</v>
      </c>
      <c r="AT84" s="9" t="s">
        <v>13</v>
      </c>
      <c r="AU84" s="2">
        <f t="shared" si="77"/>
        <v>22.523455341616209</v>
      </c>
      <c r="AV84" s="9">
        <v>817762</v>
      </c>
      <c r="AW84" s="9" t="s">
        <v>13</v>
      </c>
      <c r="AX84" s="2">
        <f t="shared" si="78"/>
        <v>17.133440884996542</v>
      </c>
      <c r="AY84" s="8">
        <f t="shared" si="79"/>
        <v>0.23930673046691137</v>
      </c>
      <c r="AZ84" s="2">
        <f t="shared" si="80"/>
        <v>257260</v>
      </c>
      <c r="BA84" s="14"/>
      <c r="BE84" s="28" t="s">
        <v>265</v>
      </c>
      <c r="BF84" s="64">
        <v>4947300</v>
      </c>
      <c r="BG84" s="42">
        <f t="shared" si="68"/>
        <v>103.65396299943431</v>
      </c>
      <c r="BH84" s="68">
        <v>3327846</v>
      </c>
      <c r="BI84" s="71">
        <v>449750</v>
      </c>
      <c r="BJ84" s="15">
        <v>41200</v>
      </c>
      <c r="BK84" s="15"/>
      <c r="BL84" s="29"/>
      <c r="BM84" s="1353">
        <f t="shared" si="81"/>
        <v>88.107703735144312</v>
      </c>
      <c r="BN84" s="1" t="s">
        <v>314</v>
      </c>
      <c r="BO84" s="11" t="s">
        <v>249</v>
      </c>
      <c r="BP84" s="41"/>
      <c r="BQ84" s="41"/>
    </row>
    <row r="85" spans="1:69" s="3" customFormat="1" ht="27.6" customHeight="1" x14ac:dyDescent="0.25">
      <c r="A85" s="28" t="s">
        <v>263</v>
      </c>
      <c r="B85" s="11"/>
      <c r="C85" s="11" t="s">
        <v>147</v>
      </c>
      <c r="D85" s="11" t="s">
        <v>987</v>
      </c>
      <c r="E85" s="11"/>
      <c r="F85" s="1" t="s">
        <v>146</v>
      </c>
      <c r="G85" s="37">
        <v>41156</v>
      </c>
      <c r="H85" s="1" t="s">
        <v>10</v>
      </c>
      <c r="I85" s="33" t="s">
        <v>945</v>
      </c>
      <c r="J85" s="898">
        <v>42398</v>
      </c>
      <c r="K85" s="28" t="s">
        <v>234</v>
      </c>
      <c r="L85" s="1">
        <v>66</v>
      </c>
      <c r="M85" s="2">
        <v>97014</v>
      </c>
      <c r="N85" s="19">
        <f>M85/L85</f>
        <v>1469.909090909091</v>
      </c>
      <c r="O85" s="14">
        <v>5</v>
      </c>
      <c r="P85" s="28" t="s">
        <v>263</v>
      </c>
      <c r="Q85" s="11" t="s">
        <v>247</v>
      </c>
      <c r="R85" s="11">
        <v>4</v>
      </c>
      <c r="S85" s="2">
        <v>6933</v>
      </c>
      <c r="T85" s="10">
        <f t="shared" si="69"/>
        <v>71.463912425010818</v>
      </c>
      <c r="U85" s="2">
        <v>4473</v>
      </c>
      <c r="V85" s="10">
        <f t="shared" si="70"/>
        <v>46.106747479745195</v>
      </c>
      <c r="W85" s="8">
        <f t="shared" si="71"/>
        <v>0.35482475118996104</v>
      </c>
      <c r="X85" s="2">
        <f t="shared" si="72"/>
        <v>2460</v>
      </c>
      <c r="Y85" s="992"/>
      <c r="AB85" s="1391"/>
      <c r="AC85" s="1396"/>
      <c r="AG85" s="28" t="s">
        <v>263</v>
      </c>
      <c r="AH85" s="15">
        <v>14092</v>
      </c>
      <c r="AI85" s="7">
        <f t="shared" si="73"/>
        <v>0.14525738553198508</v>
      </c>
      <c r="AJ85" s="15">
        <v>10313</v>
      </c>
      <c r="AK85" s="7">
        <f t="shared" si="74"/>
        <v>0.10630424474818068</v>
      </c>
      <c r="AL85" s="8">
        <f t="shared" si="75"/>
        <v>0.26816633550950897</v>
      </c>
      <c r="AM85" s="15">
        <f t="shared" si="76"/>
        <v>3779</v>
      </c>
      <c r="AR85" s="28" t="s">
        <v>263</v>
      </c>
      <c r="AS85" s="2">
        <v>2116678</v>
      </c>
      <c r="AT85" s="2">
        <f>AS85/L85</f>
        <v>32070.878787878788</v>
      </c>
      <c r="AU85" s="10">
        <f t="shared" si="77"/>
        <v>21.818273651225596</v>
      </c>
      <c r="AV85" s="2">
        <v>1698607</v>
      </c>
      <c r="AW85" s="9">
        <f>AV85/L85</f>
        <v>25736.469696969696</v>
      </c>
      <c r="AX85" s="10">
        <f t="shared" si="78"/>
        <v>17.508885315521471</v>
      </c>
      <c r="AY85" s="8">
        <f t="shared" si="79"/>
        <v>0.19751280071886229</v>
      </c>
      <c r="AZ85" s="2">
        <f t="shared" si="80"/>
        <v>418071</v>
      </c>
      <c r="BE85" s="28" t="s">
        <v>263</v>
      </c>
      <c r="BF85" s="65">
        <v>25040939</v>
      </c>
      <c r="BG85" s="42">
        <f t="shared" si="68"/>
        <v>258.11675634444515</v>
      </c>
      <c r="BI85" s="71" t="s">
        <v>244</v>
      </c>
      <c r="BJ85" s="15"/>
      <c r="BL85" s="33" t="s">
        <v>244</v>
      </c>
      <c r="BM85" s="1353"/>
      <c r="BN85" s="1"/>
      <c r="BO85" s="11" t="s">
        <v>247</v>
      </c>
      <c r="BP85" s="41"/>
      <c r="BQ85" s="41"/>
    </row>
    <row r="86" spans="1:69" s="3" customFormat="1" ht="27.6" customHeight="1" x14ac:dyDescent="0.2">
      <c r="A86" s="28" t="s">
        <v>1027</v>
      </c>
      <c r="B86" s="11" t="s">
        <v>951</v>
      </c>
      <c r="C86" s="11" t="s">
        <v>63</v>
      </c>
      <c r="D86" s="11" t="s">
        <v>985</v>
      </c>
      <c r="E86" s="11" t="s">
        <v>545</v>
      </c>
      <c r="F86" s="1" t="s">
        <v>270</v>
      </c>
      <c r="G86" s="37">
        <v>41565</v>
      </c>
      <c r="H86" s="432" t="s">
        <v>4</v>
      </c>
      <c r="I86" s="33">
        <v>41764</v>
      </c>
      <c r="J86" s="60">
        <v>42418</v>
      </c>
      <c r="K86" s="4" t="s">
        <v>245</v>
      </c>
      <c r="L86" s="1" t="s">
        <v>13</v>
      </c>
      <c r="M86" s="2">
        <v>105000</v>
      </c>
      <c r="N86" s="2"/>
      <c r="O86" s="14">
        <v>3</v>
      </c>
      <c r="P86" s="28" t="s">
        <v>271</v>
      </c>
      <c r="Q86" s="11" t="s">
        <v>248</v>
      </c>
      <c r="R86" s="11">
        <v>3</v>
      </c>
      <c r="S86" s="2">
        <v>5893</v>
      </c>
      <c r="T86" s="10">
        <f t="shared" si="69"/>
        <v>56.123809523809527</v>
      </c>
      <c r="U86" s="2">
        <v>5553</v>
      </c>
      <c r="V86" s="10">
        <f t="shared" si="70"/>
        <v>52.885714285714286</v>
      </c>
      <c r="W86" s="8">
        <f t="shared" si="71"/>
        <v>5.7695571016460209E-2</v>
      </c>
      <c r="X86" s="2">
        <f t="shared" si="72"/>
        <v>340</v>
      </c>
      <c r="Y86" s="992"/>
      <c r="AB86" s="1391"/>
      <c r="AC86" s="1396"/>
      <c r="AG86" s="28" t="s">
        <v>271</v>
      </c>
      <c r="AH86" s="15">
        <v>96234</v>
      </c>
      <c r="AI86" s="7">
        <f t="shared" si="73"/>
        <v>0.91651428571428573</v>
      </c>
      <c r="AJ86" s="15">
        <v>84246</v>
      </c>
      <c r="AK86" s="7">
        <f t="shared" si="74"/>
        <v>0.80234285714285714</v>
      </c>
      <c r="AL86" s="8">
        <f t="shared" si="75"/>
        <v>0.12457135731654093</v>
      </c>
      <c r="AM86" s="15">
        <f t="shared" si="76"/>
        <v>11988</v>
      </c>
      <c r="AR86" s="28" t="s">
        <v>271</v>
      </c>
      <c r="AS86" s="19">
        <v>2939272</v>
      </c>
      <c r="AT86" s="19" t="s">
        <v>13</v>
      </c>
      <c r="AU86" s="10">
        <f t="shared" si="77"/>
        <v>27.993066666666667</v>
      </c>
      <c r="AV86" s="19">
        <v>1888963</v>
      </c>
      <c r="AW86" s="19" t="s">
        <v>13</v>
      </c>
      <c r="AX86" s="10">
        <f t="shared" si="78"/>
        <v>17.990123809523809</v>
      </c>
      <c r="AY86" s="8">
        <f t="shared" si="79"/>
        <v>0.3573364424932432</v>
      </c>
      <c r="AZ86" s="2">
        <f t="shared" si="80"/>
        <v>1050309</v>
      </c>
      <c r="BA86" s="14"/>
      <c r="BB86" s="14"/>
      <c r="BC86" s="14"/>
      <c r="BD86" s="14"/>
      <c r="BE86" s="28" t="s">
        <v>271</v>
      </c>
      <c r="BF86" s="64">
        <v>14388687</v>
      </c>
      <c r="BG86" s="42">
        <f t="shared" si="68"/>
        <v>137.03511428571429</v>
      </c>
      <c r="BH86" s="68">
        <v>13744319</v>
      </c>
      <c r="BI86" s="71">
        <v>1224800</v>
      </c>
      <c r="BJ86" s="15">
        <v>0</v>
      </c>
      <c r="BK86" s="15"/>
      <c r="BL86" s="29">
        <v>136650</v>
      </c>
      <c r="BM86" s="1353">
        <f t="shared" ref="BM86:BM94" si="82">((BF86-BH86)+BJ86+BK86+BL86)/AM86</f>
        <v>65.14998331664998</v>
      </c>
      <c r="BN86" s="1" t="s">
        <v>304</v>
      </c>
      <c r="BO86" s="11" t="s">
        <v>248</v>
      </c>
      <c r="BP86" s="41"/>
      <c r="BQ86" s="41"/>
    </row>
    <row r="87" spans="1:69" s="41" customFormat="1" ht="27.6" hidden="1" customHeight="1" x14ac:dyDescent="0.2">
      <c r="A87" s="431" t="s">
        <v>521</v>
      </c>
      <c r="B87" s="900"/>
      <c r="C87" s="11" t="s">
        <v>26</v>
      </c>
      <c r="D87" s="11"/>
      <c r="E87" s="11" t="s">
        <v>508</v>
      </c>
      <c r="F87" s="1" t="s">
        <v>158</v>
      </c>
      <c r="G87" s="37">
        <v>41166</v>
      </c>
      <c r="H87" s="1" t="s">
        <v>10</v>
      </c>
      <c r="I87" s="33" t="s">
        <v>522</v>
      </c>
      <c r="J87" s="33" t="s">
        <v>522</v>
      </c>
      <c r="K87" s="28" t="s">
        <v>135</v>
      </c>
      <c r="L87" s="1">
        <v>192</v>
      </c>
      <c r="M87" s="2">
        <v>78450</v>
      </c>
      <c r="N87" s="2"/>
      <c r="O87" s="14">
        <v>12</v>
      </c>
      <c r="P87" s="431" t="s">
        <v>521</v>
      </c>
      <c r="Q87" s="11" t="s">
        <v>247</v>
      </c>
      <c r="R87" s="11"/>
      <c r="S87" s="2">
        <v>6070</v>
      </c>
      <c r="T87" s="10">
        <f t="shared" si="69"/>
        <v>77.374123645634157</v>
      </c>
      <c r="U87" s="2">
        <v>3601</v>
      </c>
      <c r="V87" s="10">
        <f t="shared" si="70"/>
        <v>45.901848311026129</v>
      </c>
      <c r="W87" s="8">
        <f t="shared" si="71"/>
        <v>0.40675453047775945</v>
      </c>
      <c r="X87" s="2">
        <f t="shared" si="72"/>
        <v>2469</v>
      </c>
      <c r="Y87" s="992"/>
      <c r="Z87" s="3"/>
      <c r="AA87" s="3"/>
      <c r="AB87" s="1"/>
      <c r="AC87" s="1396"/>
      <c r="AD87" s="3"/>
      <c r="AE87" s="3"/>
      <c r="AF87" s="3"/>
      <c r="AG87" s="431" t="s">
        <v>521</v>
      </c>
      <c r="AH87" s="15">
        <v>143502</v>
      </c>
      <c r="AI87" s="7">
        <f t="shared" si="73"/>
        <v>1.8292160611854684</v>
      </c>
      <c r="AJ87" s="15">
        <v>87933</v>
      </c>
      <c r="AK87" s="7">
        <f t="shared" si="74"/>
        <v>1.1208795411089867</v>
      </c>
      <c r="AL87" s="8">
        <f t="shared" si="75"/>
        <v>0.38723502111468827</v>
      </c>
      <c r="AM87" s="15">
        <f t="shared" si="76"/>
        <v>55569</v>
      </c>
      <c r="AN87" s="3"/>
      <c r="AO87" s="3"/>
      <c r="AP87" s="3"/>
      <c r="AQ87" s="3"/>
      <c r="AR87" s="431" t="s">
        <v>521</v>
      </c>
      <c r="AS87" s="2">
        <v>2528379</v>
      </c>
      <c r="AT87" s="2">
        <f>AS87/L87</f>
        <v>13168.640625</v>
      </c>
      <c r="AU87" s="10">
        <f t="shared" si="77"/>
        <v>32.229177820267687</v>
      </c>
      <c r="AV87" s="2">
        <v>1493037</v>
      </c>
      <c r="AW87" s="9">
        <f>AV87/L87</f>
        <v>7776.234375</v>
      </c>
      <c r="AX87" s="10">
        <f t="shared" si="78"/>
        <v>19.031701720841301</v>
      </c>
      <c r="AY87" s="8">
        <f t="shared" si="79"/>
        <v>0.40948845090075497</v>
      </c>
      <c r="AZ87" s="2">
        <f t="shared" si="80"/>
        <v>1035342</v>
      </c>
      <c r="BA87" s="3"/>
      <c r="BB87" s="3"/>
      <c r="BC87" s="3"/>
      <c r="BD87" s="3"/>
      <c r="BE87" s="431" t="s">
        <v>521</v>
      </c>
      <c r="BF87" s="65">
        <v>11873469</v>
      </c>
      <c r="BG87" s="42">
        <f t="shared" si="68"/>
        <v>151.35078393881454</v>
      </c>
      <c r="BH87" s="3"/>
      <c r="BI87" s="15">
        <v>1313285</v>
      </c>
      <c r="BJ87" s="15">
        <v>103000</v>
      </c>
      <c r="BK87" s="3"/>
      <c r="BL87" s="15">
        <v>92600</v>
      </c>
      <c r="BM87" s="1353">
        <f t="shared" si="82"/>
        <v>217.19068185499108</v>
      </c>
      <c r="BN87" s="1"/>
      <c r="BO87" s="11" t="s">
        <v>247</v>
      </c>
      <c r="BP87" s="3"/>
      <c r="BQ87" s="3"/>
    </row>
    <row r="88" spans="1:69" s="41" customFormat="1" ht="27.6" hidden="1" customHeight="1" x14ac:dyDescent="0.2">
      <c r="A88" s="4" t="s">
        <v>519</v>
      </c>
      <c r="B88" s="11"/>
      <c r="C88" s="11" t="s">
        <v>79</v>
      </c>
      <c r="D88" s="11"/>
      <c r="E88" s="11"/>
      <c r="F88" s="1" t="s">
        <v>21</v>
      </c>
      <c r="G88" s="33">
        <v>41738</v>
      </c>
      <c r="H88" s="11" t="s">
        <v>4</v>
      </c>
      <c r="I88" s="33" t="s">
        <v>518</v>
      </c>
      <c r="J88" s="33" t="s">
        <v>518</v>
      </c>
      <c r="K88" s="4" t="s">
        <v>88</v>
      </c>
      <c r="L88" s="11" t="s">
        <v>13</v>
      </c>
      <c r="M88" s="6">
        <v>44978</v>
      </c>
      <c r="N88" s="6"/>
      <c r="O88" s="49">
        <v>3</v>
      </c>
      <c r="P88" s="4" t="s">
        <v>519</v>
      </c>
      <c r="Q88" s="11" t="s">
        <v>249</v>
      </c>
      <c r="R88" s="11"/>
      <c r="S88" s="2">
        <v>6871</v>
      </c>
      <c r="T88" s="12">
        <f t="shared" si="69"/>
        <v>152.76357330250346</v>
      </c>
      <c r="U88" s="2">
        <v>4929</v>
      </c>
      <c r="V88" s="23">
        <f t="shared" si="70"/>
        <v>109.58690915558718</v>
      </c>
      <c r="W88" s="5">
        <f t="shared" si="71"/>
        <v>0.28263717071750838</v>
      </c>
      <c r="X88" s="13">
        <f t="shared" si="72"/>
        <v>1942</v>
      </c>
      <c r="Y88" s="967"/>
      <c r="Z88" s="14"/>
      <c r="AA88" s="2"/>
      <c r="AB88" s="9"/>
      <c r="AC88" s="1394"/>
      <c r="AD88" s="2"/>
      <c r="AE88" s="2"/>
      <c r="AF88" s="2"/>
      <c r="AG88" s="4" t="s">
        <v>519</v>
      </c>
      <c r="AH88" s="15">
        <v>134054</v>
      </c>
      <c r="AI88" s="7">
        <f t="shared" si="73"/>
        <v>2.9804348792743118</v>
      </c>
      <c r="AJ88" s="15">
        <v>98221</v>
      </c>
      <c r="AK88" s="7">
        <f t="shared" si="74"/>
        <v>2.1837565031793322</v>
      </c>
      <c r="AL88" s="8">
        <f t="shared" si="75"/>
        <v>0.26730272875110028</v>
      </c>
      <c r="AM88" s="16">
        <f t="shared" si="76"/>
        <v>35833</v>
      </c>
      <c r="AN88" s="3"/>
      <c r="AO88" s="2"/>
      <c r="AP88" s="2"/>
      <c r="AQ88" s="2"/>
      <c r="AR88" s="4" t="s">
        <v>519</v>
      </c>
      <c r="AS88" s="3"/>
      <c r="AT88" s="9" t="s">
        <v>13</v>
      </c>
      <c r="AU88" s="2">
        <f t="shared" si="77"/>
        <v>0</v>
      </c>
      <c r="AV88" s="3"/>
      <c r="AW88" s="9" t="s">
        <v>13</v>
      </c>
      <c r="AX88" s="2">
        <f t="shared" si="78"/>
        <v>0</v>
      </c>
      <c r="AY88" s="8"/>
      <c r="AZ88" s="17">
        <f t="shared" si="80"/>
        <v>0</v>
      </c>
      <c r="BA88" s="3"/>
      <c r="BB88" s="9"/>
      <c r="BC88" s="2"/>
      <c r="BD88" s="2"/>
      <c r="BE88" s="4" t="s">
        <v>519</v>
      </c>
      <c r="BF88" s="65">
        <v>4825393</v>
      </c>
      <c r="BG88" s="42">
        <f t="shared" si="68"/>
        <v>107.28340522032994</v>
      </c>
      <c r="BH88" s="15">
        <v>4180000</v>
      </c>
      <c r="BI88" s="15">
        <v>932460</v>
      </c>
      <c r="BJ88" s="15">
        <v>308832</v>
      </c>
      <c r="BK88" s="3"/>
      <c r="BL88" s="15">
        <v>28700</v>
      </c>
      <c r="BM88" s="1353">
        <f t="shared" si="82"/>
        <v>27.4307202857701</v>
      </c>
      <c r="BN88" s="1"/>
      <c r="BO88" s="11" t="s">
        <v>249</v>
      </c>
      <c r="BP88" s="3"/>
      <c r="BQ88" s="3"/>
    </row>
    <row r="89" spans="1:69" s="1737" customFormat="1" ht="27.6" customHeight="1" thickBot="1" x14ac:dyDescent="0.25">
      <c r="A89" s="1710" t="s">
        <v>178</v>
      </c>
      <c r="B89" s="1752" t="s">
        <v>953</v>
      </c>
      <c r="C89" s="1711" t="s">
        <v>109</v>
      </c>
      <c r="D89" s="1711" t="s">
        <v>993</v>
      </c>
      <c r="E89" s="1711" t="s">
        <v>548</v>
      </c>
      <c r="F89" s="1712" t="s">
        <v>226</v>
      </c>
      <c r="G89" s="1713">
        <v>41715</v>
      </c>
      <c r="H89" s="1712" t="s">
        <v>10</v>
      </c>
      <c r="I89" s="1714">
        <v>41704</v>
      </c>
      <c r="J89" s="1715">
        <v>42550</v>
      </c>
      <c r="K89" s="1710" t="s">
        <v>235</v>
      </c>
      <c r="L89" s="1712" t="s">
        <v>13</v>
      </c>
      <c r="M89" s="1717">
        <v>213000</v>
      </c>
      <c r="N89" s="1717"/>
      <c r="O89" s="1719">
        <v>3</v>
      </c>
      <c r="P89" s="1710" t="s">
        <v>178</v>
      </c>
      <c r="Q89" s="1711" t="s">
        <v>249</v>
      </c>
      <c r="R89" s="1711">
        <v>4</v>
      </c>
      <c r="S89" s="1717">
        <v>20211</v>
      </c>
      <c r="T89" s="1730">
        <f t="shared" si="69"/>
        <v>94.887323943661983</v>
      </c>
      <c r="U89" s="1717">
        <v>15288</v>
      </c>
      <c r="V89" s="1730">
        <f t="shared" si="70"/>
        <v>71.774647887323951</v>
      </c>
      <c r="W89" s="1722">
        <f t="shared" si="71"/>
        <v>0.24358022858839246</v>
      </c>
      <c r="X89" s="1717">
        <f t="shared" si="72"/>
        <v>4923</v>
      </c>
      <c r="Y89" s="1723"/>
      <c r="Z89" s="1724"/>
      <c r="AA89" s="1724"/>
      <c r="AB89" s="1725"/>
      <c r="AC89" s="1726"/>
      <c r="AD89" s="1724"/>
      <c r="AE89" s="1724"/>
      <c r="AF89" s="1724"/>
      <c r="AG89" s="1710" t="s">
        <v>178</v>
      </c>
      <c r="AH89" s="1727">
        <v>275822</v>
      </c>
      <c r="AI89" s="1728">
        <f t="shared" si="73"/>
        <v>1.2949389671361502</v>
      </c>
      <c r="AJ89" s="1727">
        <v>188166</v>
      </c>
      <c r="AK89" s="1728">
        <f t="shared" si="74"/>
        <v>0.88340845070422536</v>
      </c>
      <c r="AL89" s="1722">
        <f t="shared" si="75"/>
        <v>0.31779916032803762</v>
      </c>
      <c r="AM89" s="1727">
        <f t="shared" si="76"/>
        <v>87656</v>
      </c>
      <c r="AN89" s="1724"/>
      <c r="AO89" s="1724"/>
      <c r="AP89" s="1724"/>
      <c r="AQ89" s="1724"/>
      <c r="AR89" s="1710" t="s">
        <v>178</v>
      </c>
      <c r="AS89" s="1717">
        <v>2060500</v>
      </c>
      <c r="AT89" s="1729" t="s">
        <v>13</v>
      </c>
      <c r="AU89" s="1730">
        <f t="shared" si="77"/>
        <v>9.6737089201877939</v>
      </c>
      <c r="AV89" s="1717">
        <v>1524900</v>
      </c>
      <c r="AW89" s="1729" t="s">
        <v>13</v>
      </c>
      <c r="AX89" s="1730">
        <f t="shared" si="78"/>
        <v>7.1591549295774648</v>
      </c>
      <c r="AY89" s="1722">
        <f t="shared" ref="AY89:AY94" si="83">(AS89-AV89)/AS89</f>
        <v>0.25993690851735018</v>
      </c>
      <c r="AZ89" s="1717">
        <f t="shared" si="80"/>
        <v>535600</v>
      </c>
      <c r="BA89" s="1724"/>
      <c r="BB89" s="1724"/>
      <c r="BC89" s="1724"/>
      <c r="BD89" s="1724"/>
      <c r="BE89" s="1710" t="s">
        <v>315</v>
      </c>
      <c r="BF89" s="1731">
        <v>69872746</v>
      </c>
      <c r="BG89" s="1732">
        <f t="shared" si="68"/>
        <v>328.04106103286387</v>
      </c>
      <c r="BH89" s="1727">
        <v>63588816</v>
      </c>
      <c r="BI89" s="1727">
        <v>6427000</v>
      </c>
      <c r="BJ89" s="1727">
        <v>67200</v>
      </c>
      <c r="BK89" s="1727"/>
      <c r="BL89" s="1727">
        <v>344800</v>
      </c>
      <c r="BM89" s="1736">
        <f t="shared" si="82"/>
        <v>76.388724103312953</v>
      </c>
      <c r="BN89" s="1712" t="s">
        <v>304</v>
      </c>
      <c r="BO89" s="1711" t="s">
        <v>249</v>
      </c>
      <c r="BP89" s="1724"/>
      <c r="BQ89" s="1724"/>
    </row>
    <row r="90" spans="1:69" s="41" customFormat="1" ht="27.6" customHeight="1" thickTop="1" x14ac:dyDescent="0.2">
      <c r="A90" s="28" t="s">
        <v>417</v>
      </c>
      <c r="B90" s="915" t="s">
        <v>953</v>
      </c>
      <c r="C90" s="11" t="s">
        <v>60</v>
      </c>
      <c r="D90" s="11" t="s">
        <v>989</v>
      </c>
      <c r="E90" s="11" t="s">
        <v>510</v>
      </c>
      <c r="F90" s="1" t="s">
        <v>428</v>
      </c>
      <c r="G90" s="37">
        <v>41961</v>
      </c>
      <c r="H90" s="1" t="s">
        <v>10</v>
      </c>
      <c r="I90" s="33">
        <v>42171</v>
      </c>
      <c r="J90" s="60">
        <v>42614</v>
      </c>
      <c r="K90" s="4" t="s">
        <v>418</v>
      </c>
      <c r="L90" s="1" t="s">
        <v>13</v>
      </c>
      <c r="M90" s="2">
        <v>165584</v>
      </c>
      <c r="N90" s="2"/>
      <c r="O90" s="14">
        <v>3</v>
      </c>
      <c r="P90" s="28" t="s">
        <v>417</v>
      </c>
      <c r="Q90" s="11" t="s">
        <v>249</v>
      </c>
      <c r="R90" s="11">
        <v>4</v>
      </c>
      <c r="S90" s="2">
        <v>29857</v>
      </c>
      <c r="T90" s="10">
        <f t="shared" si="69"/>
        <v>180.31331529616386</v>
      </c>
      <c r="U90" s="2">
        <v>22062</v>
      </c>
      <c r="V90" s="10">
        <f t="shared" si="70"/>
        <v>133.23751087061552</v>
      </c>
      <c r="W90" s="8">
        <f t="shared" si="71"/>
        <v>0.26107780420002008</v>
      </c>
      <c r="X90" s="2">
        <f t="shared" si="72"/>
        <v>7795</v>
      </c>
      <c r="Y90" s="992"/>
      <c r="Z90" s="3"/>
      <c r="AA90" s="3"/>
      <c r="AB90" s="1391"/>
      <c r="AC90" s="1396"/>
      <c r="AD90" s="3"/>
      <c r="AE90" s="3"/>
      <c r="AF90" s="3"/>
      <c r="AG90" s="28" t="s">
        <v>417</v>
      </c>
      <c r="AH90" s="15">
        <v>534913</v>
      </c>
      <c r="AI90" s="7">
        <f t="shared" si="73"/>
        <v>3.2304630882210841</v>
      </c>
      <c r="AJ90" s="15">
        <v>426967</v>
      </c>
      <c r="AK90" s="7">
        <f t="shared" si="74"/>
        <v>2.5785522755821817</v>
      </c>
      <c r="AL90" s="8">
        <f t="shared" si="75"/>
        <v>0.20180104054304157</v>
      </c>
      <c r="AM90" s="15">
        <f t="shared" si="76"/>
        <v>107946</v>
      </c>
      <c r="AN90" s="3"/>
      <c r="AO90" s="3"/>
      <c r="AP90" s="3"/>
      <c r="AQ90" s="3"/>
      <c r="AR90" s="28" t="s">
        <v>417</v>
      </c>
      <c r="AS90" s="9">
        <v>330635</v>
      </c>
      <c r="AT90" s="9" t="s">
        <v>13</v>
      </c>
      <c r="AU90" s="2">
        <f t="shared" si="77"/>
        <v>1.9967810899603826</v>
      </c>
      <c r="AV90" s="9">
        <v>247594</v>
      </c>
      <c r="AW90" s="9" t="s">
        <v>13</v>
      </c>
      <c r="AX90" s="2">
        <f t="shared" si="78"/>
        <v>1.4952773214803363</v>
      </c>
      <c r="AY90" s="8">
        <f t="shared" si="83"/>
        <v>0.25115610869992588</v>
      </c>
      <c r="AZ90" s="2">
        <f t="shared" si="80"/>
        <v>83041</v>
      </c>
      <c r="BA90" s="14"/>
      <c r="BB90" s="3"/>
      <c r="BC90" s="3"/>
      <c r="BD90" s="3"/>
      <c r="BE90" s="28" t="s">
        <v>417</v>
      </c>
      <c r="BF90" s="64">
        <v>23473863</v>
      </c>
      <c r="BG90" s="42">
        <f t="shared" si="68"/>
        <v>141.76407744709633</v>
      </c>
      <c r="BH90" s="68">
        <f>BF90</f>
        <v>23473863</v>
      </c>
      <c r="BI90" s="15">
        <v>3170473</v>
      </c>
      <c r="BJ90" s="15">
        <v>35000</v>
      </c>
      <c r="BK90" s="15">
        <v>60000</v>
      </c>
      <c r="BL90" s="433">
        <v>58725</v>
      </c>
      <c r="BM90" s="1353">
        <f t="shared" si="82"/>
        <v>1.4240916754673634</v>
      </c>
      <c r="BN90" s="1" t="s">
        <v>419</v>
      </c>
      <c r="BO90" s="11" t="s">
        <v>249</v>
      </c>
    </row>
    <row r="91" spans="1:69" s="41" customFormat="1" ht="27.6" customHeight="1" x14ac:dyDescent="0.2">
      <c r="A91" s="28" t="s">
        <v>425</v>
      </c>
      <c r="B91" s="11" t="s">
        <v>951</v>
      </c>
      <c r="C91" s="11" t="s">
        <v>63</v>
      </c>
      <c r="D91" s="11" t="s">
        <v>985</v>
      </c>
      <c r="E91" s="11" t="s">
        <v>545</v>
      </c>
      <c r="F91" s="1" t="s">
        <v>517</v>
      </c>
      <c r="G91" s="37">
        <v>41934</v>
      </c>
      <c r="H91" s="1" t="s">
        <v>10</v>
      </c>
      <c r="I91" s="33">
        <v>42093</v>
      </c>
      <c r="J91" s="62">
        <v>42671</v>
      </c>
      <c r="K91" s="4" t="s">
        <v>135</v>
      </c>
      <c r="L91" s="1">
        <v>436</v>
      </c>
      <c r="M91" s="2">
        <v>157219</v>
      </c>
      <c r="N91" s="19">
        <f>M91/L91</f>
        <v>360.5940366972477</v>
      </c>
      <c r="O91" s="14">
        <v>6</v>
      </c>
      <c r="P91" s="28" t="s">
        <v>425</v>
      </c>
      <c r="Q91" s="11" t="s">
        <v>249</v>
      </c>
      <c r="R91" s="11">
        <v>3</v>
      </c>
      <c r="S91" s="2">
        <v>8086</v>
      </c>
      <c r="T91" s="10">
        <f t="shared" si="69"/>
        <v>51.431442764551363</v>
      </c>
      <c r="U91" s="2">
        <v>6532</v>
      </c>
      <c r="V91" s="10">
        <f t="shared" si="70"/>
        <v>41.547141248831252</v>
      </c>
      <c r="W91" s="8">
        <f t="shared" si="71"/>
        <v>0.19218402176601534</v>
      </c>
      <c r="X91" s="2">
        <f t="shared" si="72"/>
        <v>1554</v>
      </c>
      <c r="Y91" s="992"/>
      <c r="Z91" s="3"/>
      <c r="AA91" s="3"/>
      <c r="AB91" s="1391" t="s">
        <v>1298</v>
      </c>
      <c r="AC91" s="1396">
        <v>47</v>
      </c>
      <c r="AD91" s="3"/>
      <c r="AE91" s="3"/>
      <c r="AF91" s="3"/>
      <c r="AG91" s="28" t="s">
        <v>425</v>
      </c>
      <c r="AH91" s="15">
        <v>132669</v>
      </c>
      <c r="AI91" s="7">
        <f t="shared" si="73"/>
        <v>0.84384838982565724</v>
      </c>
      <c r="AJ91" s="15">
        <v>106400</v>
      </c>
      <c r="AK91" s="7">
        <f t="shared" si="74"/>
        <v>0.67676298666191748</v>
      </c>
      <c r="AL91" s="8">
        <f t="shared" si="75"/>
        <v>0.1980040552050592</v>
      </c>
      <c r="AM91" s="15">
        <f t="shared" si="76"/>
        <v>26269</v>
      </c>
      <c r="AN91" s="3"/>
      <c r="AO91" s="3"/>
      <c r="AP91" s="3"/>
      <c r="AQ91" s="3"/>
      <c r="AR91" s="28" t="s">
        <v>425</v>
      </c>
      <c r="AS91" s="2">
        <v>3855098</v>
      </c>
      <c r="AT91" s="9">
        <f>AS91/L91</f>
        <v>8841.9678899082573</v>
      </c>
      <c r="AU91" s="10">
        <f t="shared" si="77"/>
        <v>24.520560492052486</v>
      </c>
      <c r="AV91" s="2">
        <v>2204228</v>
      </c>
      <c r="AW91" s="9">
        <f>AV91/L91</f>
        <v>5055.5688073394494</v>
      </c>
      <c r="AX91" s="10">
        <f t="shared" si="78"/>
        <v>14.02011207296828</v>
      </c>
      <c r="AY91" s="8">
        <f t="shared" si="83"/>
        <v>0.42823035886506644</v>
      </c>
      <c r="AZ91" s="2">
        <f t="shared" si="80"/>
        <v>1650870</v>
      </c>
      <c r="BA91" s="3"/>
      <c r="BB91" s="3"/>
      <c r="BC91" s="3"/>
      <c r="BD91" s="3"/>
      <c r="BE91" s="28" t="s">
        <v>425</v>
      </c>
      <c r="BF91" s="64">
        <v>38708442</v>
      </c>
      <c r="BG91" s="42">
        <f t="shared" si="68"/>
        <v>246.20715053524066</v>
      </c>
      <c r="BH91" s="15">
        <v>36840000</v>
      </c>
      <c r="BI91" s="15">
        <v>3018220</v>
      </c>
      <c r="BJ91" s="15"/>
      <c r="BK91" s="15">
        <v>27500</v>
      </c>
      <c r="BL91" s="15">
        <v>164340</v>
      </c>
      <c r="BM91" s="1353">
        <f t="shared" si="82"/>
        <v>78.430164833073206</v>
      </c>
      <c r="BN91" s="1" t="s">
        <v>313</v>
      </c>
      <c r="BO91" s="11" t="s">
        <v>249</v>
      </c>
      <c r="BP91" s="3"/>
      <c r="BQ91" s="3"/>
    </row>
    <row r="92" spans="1:69" s="41" customFormat="1" ht="27.6" customHeight="1" x14ac:dyDescent="0.2">
      <c r="A92" s="28" t="s">
        <v>251</v>
      </c>
      <c r="B92" s="11" t="s">
        <v>951</v>
      </c>
      <c r="C92" s="11" t="s">
        <v>252</v>
      </c>
      <c r="D92" s="11" t="s">
        <v>1003</v>
      </c>
      <c r="E92" s="11"/>
      <c r="F92" s="1" t="s">
        <v>427</v>
      </c>
      <c r="G92" s="37">
        <v>41943</v>
      </c>
      <c r="H92" s="1" t="s">
        <v>103</v>
      </c>
      <c r="I92" s="33">
        <v>42215</v>
      </c>
      <c r="J92" s="62">
        <v>42774</v>
      </c>
      <c r="K92" s="4" t="s">
        <v>200</v>
      </c>
      <c r="L92" s="1" t="s">
        <v>13</v>
      </c>
      <c r="M92" s="2">
        <v>35357</v>
      </c>
      <c r="N92" s="2"/>
      <c r="O92" s="14">
        <v>2</v>
      </c>
      <c r="P92" s="28" t="s">
        <v>251</v>
      </c>
      <c r="Q92" s="11" t="s">
        <v>249</v>
      </c>
      <c r="R92" s="11">
        <v>4</v>
      </c>
      <c r="S92" s="2">
        <v>7819</v>
      </c>
      <c r="T92" s="10">
        <f t="shared" si="69"/>
        <v>221.14432785587013</v>
      </c>
      <c r="U92" s="2">
        <v>5695</v>
      </c>
      <c r="V92" s="10">
        <f t="shared" si="70"/>
        <v>161.07135786407218</v>
      </c>
      <c r="W92" s="8">
        <f t="shared" si="71"/>
        <v>0.27164599053587413</v>
      </c>
      <c r="X92" s="2">
        <f t="shared" si="72"/>
        <v>2124</v>
      </c>
      <c r="Y92" s="992"/>
      <c r="Z92" s="3"/>
      <c r="AA92" s="3"/>
      <c r="AB92" s="1391" t="s">
        <v>1303</v>
      </c>
      <c r="AC92" s="1396">
        <v>194</v>
      </c>
      <c r="AD92" s="3"/>
      <c r="AE92" s="3"/>
      <c r="AF92" s="3"/>
      <c r="AG92" s="28" t="s">
        <v>251</v>
      </c>
      <c r="AH92" s="15">
        <v>205920</v>
      </c>
      <c r="AI92" s="7">
        <f t="shared" si="73"/>
        <v>5.8240235314082076</v>
      </c>
      <c r="AJ92" s="15">
        <v>145347</v>
      </c>
      <c r="AK92" s="7">
        <f t="shared" si="74"/>
        <v>4.1108408518822301</v>
      </c>
      <c r="AL92" s="8">
        <f t="shared" si="75"/>
        <v>0.2941579254079254</v>
      </c>
      <c r="AM92" s="15">
        <f t="shared" si="76"/>
        <v>60573</v>
      </c>
      <c r="AN92" s="3"/>
      <c r="AO92" s="3"/>
      <c r="AP92" s="3"/>
      <c r="AQ92" s="3"/>
      <c r="AR92" s="28" t="s">
        <v>251</v>
      </c>
      <c r="AS92" s="9">
        <v>142308</v>
      </c>
      <c r="AT92" s="19" t="s">
        <v>13</v>
      </c>
      <c r="AU92" s="10">
        <f t="shared" si="77"/>
        <v>4.0248889894504627</v>
      </c>
      <c r="AV92" s="9">
        <v>97350</v>
      </c>
      <c r="AW92" s="19" t="s">
        <v>13</v>
      </c>
      <c r="AX92" s="10">
        <f t="shared" si="78"/>
        <v>2.753344457957406</v>
      </c>
      <c r="AY92" s="8">
        <f t="shared" si="83"/>
        <v>0.31592039800995025</v>
      </c>
      <c r="AZ92" s="2">
        <f t="shared" si="80"/>
        <v>44958</v>
      </c>
      <c r="BA92" s="14"/>
      <c r="BB92" s="3"/>
      <c r="BC92" s="3"/>
      <c r="BD92" s="3"/>
      <c r="BE92" s="28" t="s">
        <v>251</v>
      </c>
      <c r="BF92" s="64">
        <v>14468100</v>
      </c>
      <c r="BG92" s="42">
        <f t="shared" si="68"/>
        <v>409.2004412139039</v>
      </c>
      <c r="BH92" s="68">
        <v>13630000</v>
      </c>
      <c r="BI92" s="71">
        <v>1440000</v>
      </c>
      <c r="BJ92" s="15"/>
      <c r="BK92" s="15"/>
      <c r="BL92" s="29">
        <v>120000</v>
      </c>
      <c r="BM92" s="1353">
        <f t="shared" si="82"/>
        <v>15.817278325326466</v>
      </c>
      <c r="BN92" s="1" t="s">
        <v>295</v>
      </c>
      <c r="BO92" s="11" t="s">
        <v>249</v>
      </c>
      <c r="BQ92" s="41" t="s">
        <v>38</v>
      </c>
    </row>
    <row r="93" spans="1:69" s="41" customFormat="1" ht="27.6" customHeight="1" x14ac:dyDescent="0.2">
      <c r="A93" s="28" t="s">
        <v>944</v>
      </c>
      <c r="B93" s="969" t="s">
        <v>953</v>
      </c>
      <c r="C93" s="11" t="s">
        <v>68</v>
      </c>
      <c r="D93" s="11" t="s">
        <v>992</v>
      </c>
      <c r="E93" s="11" t="s">
        <v>650</v>
      </c>
      <c r="F93" s="1" t="s">
        <v>472</v>
      </c>
      <c r="G93" s="37">
        <v>42023</v>
      </c>
      <c r="H93" s="1" t="s">
        <v>10</v>
      </c>
      <c r="I93" s="33">
        <v>42172</v>
      </c>
      <c r="J93" s="62">
        <v>42781</v>
      </c>
      <c r="K93" s="4" t="s">
        <v>471</v>
      </c>
      <c r="L93" s="1" t="s">
        <v>13</v>
      </c>
      <c r="M93" s="2">
        <v>75843</v>
      </c>
      <c r="N93" s="2"/>
      <c r="O93" s="14">
        <v>4</v>
      </c>
      <c r="P93" s="28" t="s">
        <v>944</v>
      </c>
      <c r="Q93" s="11" t="s">
        <v>248</v>
      </c>
      <c r="R93" s="11">
        <v>3</v>
      </c>
      <c r="S93" s="2">
        <v>10944</v>
      </c>
      <c r="T93" s="10">
        <f t="shared" si="69"/>
        <v>144.29808947430877</v>
      </c>
      <c r="U93" s="2">
        <v>9185</v>
      </c>
      <c r="V93" s="10">
        <f t="shared" si="70"/>
        <v>121.1054415041599</v>
      </c>
      <c r="W93" s="8">
        <f t="shared" si="71"/>
        <v>0.16072733918128654</v>
      </c>
      <c r="X93" s="2">
        <f t="shared" si="72"/>
        <v>1759</v>
      </c>
      <c r="Y93" s="992"/>
      <c r="Z93" s="3"/>
      <c r="AA93" s="3"/>
      <c r="AB93" s="1391"/>
      <c r="AC93" s="1396"/>
      <c r="AD93" s="3"/>
      <c r="AE93" s="3"/>
      <c r="AF93" s="3"/>
      <c r="AG93" s="28" t="s">
        <v>944</v>
      </c>
      <c r="AH93" s="15">
        <v>107685</v>
      </c>
      <c r="AI93" s="7">
        <f t="shared" si="73"/>
        <v>1.4198409873027174</v>
      </c>
      <c r="AJ93" s="15">
        <v>91262</v>
      </c>
      <c r="AK93" s="7">
        <f t="shared" si="74"/>
        <v>1.2033015571641417</v>
      </c>
      <c r="AL93" s="8">
        <f t="shared" si="75"/>
        <v>0.15250963458234665</v>
      </c>
      <c r="AM93" s="15">
        <f t="shared" si="76"/>
        <v>16423</v>
      </c>
      <c r="AN93" s="3"/>
      <c r="AO93" s="3"/>
      <c r="AP93" s="3"/>
      <c r="AQ93" s="3"/>
      <c r="AR93" s="28" t="s">
        <v>944</v>
      </c>
      <c r="AS93" s="9">
        <v>1899740</v>
      </c>
      <c r="AT93" s="9" t="s">
        <v>13</v>
      </c>
      <c r="AU93" s="10">
        <f t="shared" si="77"/>
        <v>25.048323510409663</v>
      </c>
      <c r="AV93" s="9">
        <v>1215180</v>
      </c>
      <c r="AW93" s="19" t="s">
        <v>13</v>
      </c>
      <c r="AX93" s="10">
        <f t="shared" si="78"/>
        <v>16.022309244096355</v>
      </c>
      <c r="AY93" s="8">
        <f t="shared" si="83"/>
        <v>0.36034404708012674</v>
      </c>
      <c r="AZ93" s="2">
        <f t="shared" si="80"/>
        <v>684560</v>
      </c>
      <c r="BA93" s="14"/>
      <c r="BB93" s="3"/>
      <c r="BC93" s="3"/>
      <c r="BD93" s="3"/>
      <c r="BE93" s="28" t="s">
        <v>944</v>
      </c>
      <c r="BF93" s="64">
        <v>26731311</v>
      </c>
      <c r="BG93" s="42">
        <f t="shared" si="68"/>
        <v>352.45587595427395</v>
      </c>
      <c r="BH93" s="68">
        <v>21220000</v>
      </c>
      <c r="BI93" s="71">
        <v>2903738</v>
      </c>
      <c r="BJ93" s="15">
        <v>154488</v>
      </c>
      <c r="BK93" s="15"/>
      <c r="BL93" s="29">
        <v>300000</v>
      </c>
      <c r="BM93" s="1353">
        <f t="shared" si="82"/>
        <v>363.25878341350545</v>
      </c>
      <c r="BN93" s="1" t="s">
        <v>473</v>
      </c>
      <c r="BO93" s="11" t="s">
        <v>247</v>
      </c>
      <c r="BP93" s="41" t="s">
        <v>38</v>
      </c>
    </row>
    <row r="94" spans="1:69" s="41" customFormat="1" ht="27.6" customHeight="1" x14ac:dyDescent="0.2">
      <c r="A94" s="28" t="s">
        <v>215</v>
      </c>
      <c r="B94" s="915" t="s">
        <v>953</v>
      </c>
      <c r="C94" s="11" t="s">
        <v>133</v>
      </c>
      <c r="D94" s="11" t="s">
        <v>993</v>
      </c>
      <c r="E94" s="11"/>
      <c r="F94" s="1" t="s">
        <v>194</v>
      </c>
      <c r="G94" s="37">
        <v>41768</v>
      </c>
      <c r="H94" s="1" t="s">
        <v>10</v>
      </c>
      <c r="I94" s="33">
        <v>41690</v>
      </c>
      <c r="J94" s="62">
        <v>42793</v>
      </c>
      <c r="K94" s="4" t="s">
        <v>107</v>
      </c>
      <c r="L94" s="1" t="s">
        <v>13</v>
      </c>
      <c r="M94" s="2">
        <v>182275</v>
      </c>
      <c r="N94" s="2"/>
      <c r="O94" s="14">
        <v>4</v>
      </c>
      <c r="P94" s="28" t="s">
        <v>215</v>
      </c>
      <c r="Q94" s="11" t="s">
        <v>249</v>
      </c>
      <c r="R94" s="11">
        <v>4</v>
      </c>
      <c r="S94" s="2">
        <v>31691</v>
      </c>
      <c r="T94" s="10">
        <f t="shared" si="69"/>
        <v>173.86366753531752</v>
      </c>
      <c r="U94" s="2">
        <v>23425</v>
      </c>
      <c r="V94" s="10">
        <f t="shared" si="70"/>
        <v>128.5146070497874</v>
      </c>
      <c r="W94" s="8">
        <f t="shared" si="71"/>
        <v>0.26083115079991165</v>
      </c>
      <c r="X94" s="2">
        <f t="shared" si="72"/>
        <v>8266</v>
      </c>
      <c r="Y94" s="992"/>
      <c r="Z94" s="3"/>
      <c r="AA94" s="3"/>
      <c r="AB94" s="1391" t="s">
        <v>1313</v>
      </c>
      <c r="AC94" s="1396">
        <v>166</v>
      </c>
      <c r="AD94" s="3"/>
      <c r="AE94" s="3"/>
      <c r="AF94" s="3"/>
      <c r="AG94" s="28" t="s">
        <v>215</v>
      </c>
      <c r="AH94" s="15">
        <v>529117</v>
      </c>
      <c r="AI94" s="7">
        <f t="shared" si="73"/>
        <v>2.9028500891510083</v>
      </c>
      <c r="AJ94" s="15">
        <v>366504</v>
      </c>
      <c r="AK94" s="7">
        <f t="shared" si="74"/>
        <v>2.0107200658345907</v>
      </c>
      <c r="AL94" s="8">
        <f t="shared" si="75"/>
        <v>0.30732900284814135</v>
      </c>
      <c r="AM94" s="15">
        <f t="shared" si="76"/>
        <v>162613</v>
      </c>
      <c r="AN94" s="3"/>
      <c r="AO94" s="3"/>
      <c r="AP94" s="3"/>
      <c r="AQ94" s="3"/>
      <c r="AR94" s="28" t="s">
        <v>215</v>
      </c>
      <c r="AS94" s="2">
        <v>5763776</v>
      </c>
      <c r="AT94" s="1" t="s">
        <v>13</v>
      </c>
      <c r="AU94" s="10">
        <f t="shared" si="77"/>
        <v>31.621319434919766</v>
      </c>
      <c r="AV94" s="2">
        <v>4434106</v>
      </c>
      <c r="AW94" s="1" t="s">
        <v>13</v>
      </c>
      <c r="AX94" s="10">
        <f t="shared" si="78"/>
        <v>24.326462762309696</v>
      </c>
      <c r="AY94" s="8">
        <f t="shared" si="83"/>
        <v>0.23069425321178338</v>
      </c>
      <c r="AZ94" s="2">
        <f t="shared" si="80"/>
        <v>1329670</v>
      </c>
      <c r="BA94" s="3"/>
      <c r="BB94" s="3"/>
      <c r="BC94" s="3"/>
      <c r="BD94" s="3"/>
      <c r="BE94" s="28" t="s">
        <v>215</v>
      </c>
      <c r="BF94" s="64">
        <v>71806942</v>
      </c>
      <c r="BG94" s="42">
        <f t="shared" si="68"/>
        <v>393.94838568097657</v>
      </c>
      <c r="BH94" s="15">
        <v>64958142</v>
      </c>
      <c r="BI94" s="15">
        <v>7250000</v>
      </c>
      <c r="BJ94" s="15">
        <v>166000</v>
      </c>
      <c r="BK94" s="15"/>
      <c r="BL94" s="15">
        <v>594000</v>
      </c>
      <c r="BM94" s="1353">
        <f t="shared" si="82"/>
        <v>46.790846980253733</v>
      </c>
      <c r="BN94" s="1" t="s">
        <v>302</v>
      </c>
      <c r="BO94" s="11" t="s">
        <v>249</v>
      </c>
      <c r="BP94" s="3"/>
      <c r="BQ94" s="3"/>
    </row>
    <row r="95" spans="1:69" s="41" customFormat="1" ht="27.6" customHeight="1" x14ac:dyDescent="0.2">
      <c r="A95" s="28" t="s">
        <v>429</v>
      </c>
      <c r="B95" s="11"/>
      <c r="C95" s="11" t="s">
        <v>216</v>
      </c>
      <c r="D95" s="11"/>
      <c r="E95" s="11"/>
      <c r="F95" s="1" t="s">
        <v>217</v>
      </c>
      <c r="G95" s="37">
        <v>41474</v>
      </c>
      <c r="H95" s="1" t="s">
        <v>4</v>
      </c>
      <c r="I95" s="33">
        <v>42192</v>
      </c>
      <c r="J95" s="62">
        <v>42793</v>
      </c>
      <c r="K95" s="4" t="s">
        <v>221</v>
      </c>
      <c r="L95" s="1" t="s">
        <v>13</v>
      </c>
      <c r="M95" s="2">
        <v>94236</v>
      </c>
      <c r="N95" s="2"/>
      <c r="O95" s="14">
        <v>2</v>
      </c>
      <c r="P95" s="28" t="s">
        <v>429</v>
      </c>
      <c r="Q95" s="11" t="s">
        <v>249</v>
      </c>
      <c r="R95" s="11">
        <v>3</v>
      </c>
      <c r="S95" s="2">
        <v>6944</v>
      </c>
      <c r="T95" s="12">
        <f t="shared" si="69"/>
        <v>73.687338172248403</v>
      </c>
      <c r="U95" s="2">
        <v>6610</v>
      </c>
      <c r="V95" s="10">
        <f t="shared" si="70"/>
        <v>70.143045120760632</v>
      </c>
      <c r="W95" s="8">
        <f t="shared" si="71"/>
        <v>4.8099078341013825E-2</v>
      </c>
      <c r="X95" s="2">
        <f t="shared" si="72"/>
        <v>334</v>
      </c>
      <c r="Y95" s="992"/>
      <c r="Z95" s="3"/>
      <c r="AA95" s="3"/>
      <c r="AB95" s="1391"/>
      <c r="AC95" s="1396"/>
      <c r="AD95" s="3"/>
      <c r="AE95" s="3"/>
      <c r="AF95" s="3"/>
      <c r="AG95" s="28" t="s">
        <v>440</v>
      </c>
      <c r="AH95" s="15">
        <v>249013</v>
      </c>
      <c r="AI95" s="7">
        <f t="shared" si="73"/>
        <v>2.642440256377605</v>
      </c>
      <c r="AJ95" s="15">
        <v>222050</v>
      </c>
      <c r="AK95" s="7">
        <f t="shared" si="74"/>
        <v>2.35631817988879</v>
      </c>
      <c r="AL95" s="8">
        <f t="shared" si="75"/>
        <v>0.10827948741631963</v>
      </c>
      <c r="AM95" s="15">
        <f t="shared" si="76"/>
        <v>26963</v>
      </c>
      <c r="AN95" s="3"/>
      <c r="AO95" s="3"/>
      <c r="AP95" s="3"/>
      <c r="AQ95" s="3"/>
      <c r="AR95" s="28" t="s">
        <v>429</v>
      </c>
      <c r="AS95" s="80" t="s">
        <v>222</v>
      </c>
      <c r="AT95" s="80" t="s">
        <v>222</v>
      </c>
      <c r="AU95" s="80" t="s">
        <v>222</v>
      </c>
      <c r="AV95" s="80" t="s">
        <v>222</v>
      </c>
      <c r="AW95" s="80" t="s">
        <v>222</v>
      </c>
      <c r="AX95" s="80" t="s">
        <v>222</v>
      </c>
      <c r="AY95" s="80" t="s">
        <v>222</v>
      </c>
      <c r="AZ95" s="80" t="s">
        <v>222</v>
      </c>
      <c r="BA95" s="3"/>
      <c r="BB95" s="3"/>
      <c r="BC95" s="3"/>
      <c r="BD95" s="3"/>
      <c r="BE95" s="28" t="s">
        <v>429</v>
      </c>
      <c r="BF95" s="64">
        <v>31280403</v>
      </c>
      <c r="BG95" s="42">
        <f>BF95/(M95+M96)</f>
        <v>197.25562814513992</v>
      </c>
      <c r="BH95" s="68">
        <v>3432421</v>
      </c>
      <c r="BI95" s="15">
        <v>2079762</v>
      </c>
      <c r="BJ95" s="15">
        <v>0</v>
      </c>
      <c r="BK95" s="15"/>
      <c r="BL95" s="68">
        <v>0</v>
      </c>
      <c r="BM95" s="1353"/>
      <c r="BN95" s="1"/>
      <c r="BO95" s="11" t="s">
        <v>249</v>
      </c>
      <c r="BP95" s="3"/>
      <c r="BQ95" s="3"/>
    </row>
    <row r="96" spans="1:69" s="41" customFormat="1" ht="27.6" customHeight="1" x14ac:dyDescent="0.2">
      <c r="A96" s="28" t="s">
        <v>941</v>
      </c>
      <c r="B96" s="915" t="s">
        <v>953</v>
      </c>
      <c r="C96" s="11" t="s">
        <v>8</v>
      </c>
      <c r="D96" s="11"/>
      <c r="E96" s="11"/>
      <c r="F96" s="1" t="s">
        <v>971</v>
      </c>
      <c r="G96" s="37">
        <v>42251</v>
      </c>
      <c r="H96" s="11" t="s">
        <v>10</v>
      </c>
      <c r="I96" s="33">
        <v>42338</v>
      </c>
      <c r="J96" s="62">
        <v>42854</v>
      </c>
      <c r="K96" s="28" t="s">
        <v>202</v>
      </c>
      <c r="L96" s="1" t="s">
        <v>13</v>
      </c>
      <c r="M96" s="2">
        <v>64342</v>
      </c>
      <c r="N96" s="2"/>
      <c r="O96" s="14">
        <v>3</v>
      </c>
      <c r="P96" s="28" t="s">
        <v>941</v>
      </c>
      <c r="Q96" s="11" t="s">
        <v>248</v>
      </c>
      <c r="R96" s="11">
        <v>4</v>
      </c>
      <c r="S96" s="2">
        <v>9679</v>
      </c>
      <c r="T96" s="10">
        <f t="shared" si="69"/>
        <v>150.43051195175781</v>
      </c>
      <c r="U96" s="2">
        <v>9209</v>
      </c>
      <c r="V96" s="10">
        <f t="shared" si="70"/>
        <v>143.12579652482049</v>
      </c>
      <c r="W96" s="8">
        <f t="shared" si="71"/>
        <v>4.8558735406550264E-2</v>
      </c>
      <c r="X96" s="2">
        <f t="shared" si="72"/>
        <v>470</v>
      </c>
      <c r="Y96" s="992"/>
      <c r="Z96" s="3"/>
      <c r="AA96" s="3"/>
      <c r="AB96" s="1391" t="s">
        <v>1311</v>
      </c>
      <c r="AC96" s="1396">
        <v>166</v>
      </c>
      <c r="AD96" s="3"/>
      <c r="AE96" s="3"/>
      <c r="AF96" s="3"/>
      <c r="AG96" s="28" t="s">
        <v>941</v>
      </c>
      <c r="AH96" s="15">
        <v>137469</v>
      </c>
      <c r="AI96" s="7">
        <f t="shared" si="73"/>
        <v>2.1365360106928599</v>
      </c>
      <c r="AJ96" s="15">
        <v>123584</v>
      </c>
      <c r="AK96" s="7">
        <f t="shared" si="74"/>
        <v>1.9207360666438718</v>
      </c>
      <c r="AL96" s="8">
        <f t="shared" si="75"/>
        <v>0.10100459012577381</v>
      </c>
      <c r="AM96" s="15">
        <f t="shared" si="76"/>
        <v>13885</v>
      </c>
      <c r="AN96" s="3"/>
      <c r="AO96" s="3"/>
      <c r="AP96" s="3"/>
      <c r="AQ96" s="3"/>
      <c r="AR96" s="28" t="s">
        <v>941</v>
      </c>
      <c r="AS96" s="2">
        <v>649069</v>
      </c>
      <c r="AT96" s="9" t="s">
        <v>13</v>
      </c>
      <c r="AU96" s="10">
        <f>AS96/M96</f>
        <v>10.087796462652699</v>
      </c>
      <c r="AV96" s="2">
        <v>492976</v>
      </c>
      <c r="AW96" s="9" t="s">
        <v>13</v>
      </c>
      <c r="AX96" s="10">
        <f>AV96/M96</f>
        <v>7.6618072176805194</v>
      </c>
      <c r="AY96" s="8">
        <f>(AS96-AV96)/AS96</f>
        <v>0.24048752906085485</v>
      </c>
      <c r="AZ96" s="2">
        <f>AS96-AV96</f>
        <v>156093</v>
      </c>
      <c r="BA96" s="3"/>
      <c r="BB96" s="3"/>
      <c r="BC96" s="3"/>
      <c r="BD96" s="3"/>
      <c r="BE96" s="28" t="s">
        <v>941</v>
      </c>
      <c r="BF96" s="64">
        <v>21056907</v>
      </c>
      <c r="BG96" s="42">
        <f>BF96/M96</f>
        <v>327.2653476733704</v>
      </c>
      <c r="BH96" s="15">
        <f>BF96-101109</f>
        <v>20955798</v>
      </c>
      <c r="BI96" s="15">
        <v>2504600</v>
      </c>
      <c r="BJ96" s="71">
        <v>62800</v>
      </c>
      <c r="BK96" s="71">
        <v>17574</v>
      </c>
      <c r="BL96" s="15">
        <v>139652</v>
      </c>
      <c r="BM96" s="1353">
        <f>((BF96-BH96)+BJ96+BK96+BL96)/AM96</f>
        <v>23.12819589485056</v>
      </c>
      <c r="BN96" s="1" t="s">
        <v>313</v>
      </c>
      <c r="BO96" s="11" t="s">
        <v>248</v>
      </c>
      <c r="BP96" s="346"/>
      <c r="BQ96" s="3"/>
    </row>
    <row r="97" spans="1:69" s="1737" customFormat="1" ht="27.6" customHeight="1" thickBot="1" x14ac:dyDescent="0.25">
      <c r="A97" s="1710" t="s">
        <v>1255</v>
      </c>
      <c r="B97" s="1752" t="s">
        <v>953</v>
      </c>
      <c r="C97" s="1711" t="s">
        <v>1256</v>
      </c>
      <c r="D97" s="1711"/>
      <c r="E97" s="1711"/>
      <c r="F97" s="1712" t="s">
        <v>1257</v>
      </c>
      <c r="G97" s="1713">
        <v>42356</v>
      </c>
      <c r="H97" s="1712" t="s">
        <v>10</v>
      </c>
      <c r="I97" s="1714">
        <v>42492</v>
      </c>
      <c r="J97" s="1763">
        <v>42947</v>
      </c>
      <c r="K97" s="1710" t="s">
        <v>1258</v>
      </c>
      <c r="L97" s="1712" t="s">
        <v>13</v>
      </c>
      <c r="M97" s="1717">
        <v>55099</v>
      </c>
      <c r="N97" s="1717"/>
      <c r="O97" s="1719">
        <v>1</v>
      </c>
      <c r="P97" s="1710" t="s">
        <v>1255</v>
      </c>
      <c r="Q97" s="1711" t="s">
        <v>248</v>
      </c>
      <c r="R97" s="1711">
        <v>4</v>
      </c>
      <c r="S97" s="1717">
        <v>5015</v>
      </c>
      <c r="T97" s="1730">
        <f t="shared" si="69"/>
        <v>91.017985807364923</v>
      </c>
      <c r="U97" s="1717">
        <v>4773</v>
      </c>
      <c r="V97" s="1730">
        <f t="shared" si="70"/>
        <v>86.625891576979612</v>
      </c>
      <c r="W97" s="1722">
        <f t="shared" si="71"/>
        <v>4.8255234297108672E-2</v>
      </c>
      <c r="X97" s="1717">
        <f t="shared" si="72"/>
        <v>242</v>
      </c>
      <c r="Y97" s="1723"/>
      <c r="Z97" s="1724"/>
      <c r="AA97" s="1724"/>
      <c r="AB97" s="1725" t="s">
        <v>1300</v>
      </c>
      <c r="AC97" s="1726">
        <v>72</v>
      </c>
      <c r="AD97" s="1724"/>
      <c r="AE97" s="1724"/>
      <c r="AF97" s="1724"/>
      <c r="AG97" s="1710" t="s">
        <v>1255</v>
      </c>
      <c r="AH97" s="1727">
        <v>128985</v>
      </c>
      <c r="AI97" s="1728">
        <f t="shared" si="73"/>
        <v>2.3409680756456561</v>
      </c>
      <c r="AJ97" s="1727">
        <v>124246</v>
      </c>
      <c r="AK97" s="1728">
        <f t="shared" si="74"/>
        <v>2.2549592551588957</v>
      </c>
      <c r="AL97" s="1722">
        <f t="shared" si="75"/>
        <v>3.67407062836764E-2</v>
      </c>
      <c r="AM97" s="1727">
        <f t="shared" si="76"/>
        <v>4739</v>
      </c>
      <c r="AN97" s="1724"/>
      <c r="AO97" s="1724"/>
      <c r="AP97" s="1724"/>
      <c r="AQ97" s="1724"/>
      <c r="AR97" s="1710" t="s">
        <v>1255</v>
      </c>
      <c r="AS97" s="1717">
        <v>152441</v>
      </c>
      <c r="AT97" s="1729" t="s">
        <v>13</v>
      </c>
      <c r="AU97" s="1730">
        <f>AS97/M97</f>
        <v>2.7666745312982086</v>
      </c>
      <c r="AV97" s="1717">
        <v>85722</v>
      </c>
      <c r="AW97" s="1729" t="s">
        <v>13</v>
      </c>
      <c r="AX97" s="1730">
        <f>AV97/M97</f>
        <v>1.5557814116408646</v>
      </c>
      <c r="AY97" s="1722">
        <f>(AS97-AV97)/AS97</f>
        <v>0.43767096778425751</v>
      </c>
      <c r="AZ97" s="1717">
        <f>AS97-AV97</f>
        <v>66719</v>
      </c>
      <c r="BA97" s="1724"/>
      <c r="BB97" s="1724"/>
      <c r="BC97" s="1724"/>
      <c r="BD97" s="1724"/>
      <c r="BE97" s="1710" t="s">
        <v>1255</v>
      </c>
      <c r="BF97" s="1731">
        <v>13631526</v>
      </c>
      <c r="BG97" s="1732">
        <f>BF97/M97</f>
        <v>247.40060618160038</v>
      </c>
      <c r="BH97" s="1727">
        <f>BF97-22950-13608-42000+106986</f>
        <v>13659954</v>
      </c>
      <c r="BI97" s="1727">
        <v>861500</v>
      </c>
      <c r="BJ97" s="1727">
        <f>35000+8500</f>
        <v>43500</v>
      </c>
      <c r="BK97" s="1727">
        <v>0</v>
      </c>
      <c r="BL97" s="1727">
        <v>153000</v>
      </c>
      <c r="BM97" s="1736">
        <f>((BF97-BH97)+BJ97+BK97+BL97)/AM97</f>
        <v>35.465710065414648</v>
      </c>
      <c r="BN97" s="1712" t="s">
        <v>1259</v>
      </c>
      <c r="BO97" s="1711" t="s">
        <v>248</v>
      </c>
      <c r="BP97" s="1724"/>
      <c r="BQ97" s="1724"/>
    </row>
    <row r="98" spans="1:69" s="41" customFormat="1" ht="27.6" customHeight="1" thickTop="1" x14ac:dyDescent="0.2">
      <c r="A98" s="28" t="s">
        <v>539</v>
      </c>
      <c r="B98" s="11"/>
      <c r="C98" s="11" t="s">
        <v>100</v>
      </c>
      <c r="D98" s="11" t="s">
        <v>1000</v>
      </c>
      <c r="E98" s="11" t="s">
        <v>549</v>
      </c>
      <c r="F98" s="1" t="s">
        <v>520</v>
      </c>
      <c r="G98" s="37">
        <v>41932</v>
      </c>
      <c r="H98" s="11" t="s">
        <v>10</v>
      </c>
      <c r="I98" s="33" t="s">
        <v>1470</v>
      </c>
      <c r="J98" s="62">
        <v>42979</v>
      </c>
      <c r="K98" s="28" t="s">
        <v>135</v>
      </c>
      <c r="L98" s="1">
        <v>290</v>
      </c>
      <c r="M98" s="2">
        <v>71021</v>
      </c>
      <c r="N98" s="19">
        <f>M98/L98</f>
        <v>244.9</v>
      </c>
      <c r="O98" s="14">
        <v>6</v>
      </c>
      <c r="P98" s="28" t="s">
        <v>539</v>
      </c>
      <c r="Q98" s="11" t="s">
        <v>248</v>
      </c>
      <c r="R98" s="11">
        <v>4</v>
      </c>
      <c r="S98" s="2">
        <v>3347</v>
      </c>
      <c r="T98" s="10">
        <f t="shared" si="69"/>
        <v>47.126906126356992</v>
      </c>
      <c r="U98" s="2">
        <v>3202</v>
      </c>
      <c r="V98" s="10">
        <f t="shared" si="70"/>
        <v>45.085256473437433</v>
      </c>
      <c r="W98" s="8">
        <f t="shared" si="71"/>
        <v>4.3322378249178367E-2</v>
      </c>
      <c r="X98" s="2">
        <f t="shared" si="72"/>
        <v>145</v>
      </c>
      <c r="Y98" s="992"/>
      <c r="Z98" s="3"/>
      <c r="AA98" s="3"/>
      <c r="AB98" s="1391" t="s">
        <v>1298</v>
      </c>
      <c r="AC98" s="1396">
        <v>58</v>
      </c>
      <c r="AD98" s="3"/>
      <c r="AE98" s="3"/>
      <c r="AF98" s="3"/>
      <c r="AG98" s="28" t="s">
        <v>539</v>
      </c>
      <c r="AH98" s="15">
        <v>54763</v>
      </c>
      <c r="AI98" s="7">
        <f t="shared" si="73"/>
        <v>0.77108179270919863</v>
      </c>
      <c r="AJ98" s="15">
        <v>50499</v>
      </c>
      <c r="AK98" s="7">
        <f t="shared" si="74"/>
        <v>0.71104321257092973</v>
      </c>
      <c r="AL98" s="8">
        <f t="shared" si="75"/>
        <v>7.786279057027555E-2</v>
      </c>
      <c r="AM98" s="15">
        <f t="shared" si="76"/>
        <v>4264</v>
      </c>
      <c r="AN98" s="3"/>
      <c r="AO98" s="3"/>
      <c r="AP98" s="3"/>
      <c r="AQ98" s="3"/>
      <c r="AR98" s="28" t="s">
        <v>539</v>
      </c>
      <c r="AS98" s="2">
        <v>2798472</v>
      </c>
      <c r="AT98" s="9">
        <f>AS98/L98</f>
        <v>9649.9034482758616</v>
      </c>
      <c r="AU98" s="10">
        <f>AS98/M98</f>
        <v>39.403444051759337</v>
      </c>
      <c r="AV98" s="2">
        <v>2000107</v>
      </c>
      <c r="AW98" s="9">
        <f>AV98/L98</f>
        <v>6896.9206896551723</v>
      </c>
      <c r="AX98" s="10">
        <f>AV98/M98</f>
        <v>28.162191464496416</v>
      </c>
      <c r="AY98" s="8">
        <f>(AS98-AV98)/AS98</f>
        <v>0.2852860418113885</v>
      </c>
      <c r="AZ98" s="2">
        <f>AS98-AV98</f>
        <v>798365</v>
      </c>
      <c r="BA98" s="3"/>
      <c r="BB98" s="3"/>
      <c r="BC98" s="3"/>
      <c r="BD98" s="3"/>
      <c r="BE98" s="28" t="s">
        <v>539</v>
      </c>
      <c r="BF98" s="1829">
        <v>17750570</v>
      </c>
      <c r="BG98" s="42">
        <f>BF98/M98</f>
        <v>249.93410399740921</v>
      </c>
      <c r="BH98" s="15">
        <v>16000000</v>
      </c>
      <c r="BI98" s="15">
        <v>1735188</v>
      </c>
      <c r="BJ98" s="71">
        <v>75000</v>
      </c>
      <c r="BK98" s="71">
        <v>11000</v>
      </c>
      <c r="BL98" s="15">
        <v>176132</v>
      </c>
      <c r="BM98" s="1353">
        <f>((BF98-BH98)+BJ98+BK98+BL98)/AM98</f>
        <v>472.0220450281426</v>
      </c>
      <c r="BN98" s="1" t="s">
        <v>302</v>
      </c>
      <c r="BO98" s="11" t="s">
        <v>248</v>
      </c>
      <c r="BP98" s="346"/>
      <c r="BQ98" s="3"/>
    </row>
    <row r="99" spans="1:69" s="41" customFormat="1" ht="27.6" customHeight="1" x14ac:dyDescent="0.2">
      <c r="A99" s="28" t="s">
        <v>430</v>
      </c>
      <c r="B99" s="11"/>
      <c r="C99" s="11" t="s">
        <v>216</v>
      </c>
      <c r="D99" s="11"/>
      <c r="E99" s="11"/>
      <c r="F99" s="1" t="s">
        <v>217</v>
      </c>
      <c r="G99" s="37" t="s">
        <v>38</v>
      </c>
      <c r="H99" s="1" t="s">
        <v>4</v>
      </c>
      <c r="I99" s="33">
        <v>42192</v>
      </c>
      <c r="J99" s="62">
        <v>43013</v>
      </c>
      <c r="K99" s="4" t="s">
        <v>225</v>
      </c>
      <c r="L99" s="1" t="s">
        <v>13</v>
      </c>
      <c r="M99" s="2">
        <v>32221</v>
      </c>
      <c r="N99" s="2"/>
      <c r="O99" s="14">
        <v>2</v>
      </c>
      <c r="P99" s="28" t="s">
        <v>430</v>
      </c>
      <c r="Q99" s="11" t="s">
        <v>249</v>
      </c>
      <c r="R99" s="11">
        <v>3</v>
      </c>
      <c r="S99" s="2"/>
      <c r="T99" s="10"/>
      <c r="U99" s="2"/>
      <c r="V99" s="10"/>
      <c r="W99" s="8"/>
      <c r="X99" s="2"/>
      <c r="Y99" s="992"/>
      <c r="Z99" s="3"/>
      <c r="AA99" s="3"/>
      <c r="AB99" s="1"/>
      <c r="AC99" s="1396"/>
      <c r="AD99" s="3"/>
      <c r="AE99" s="3"/>
      <c r="AF99" s="3"/>
      <c r="AG99" s="28" t="s">
        <v>430</v>
      </c>
      <c r="AH99" s="15">
        <v>28938</v>
      </c>
      <c r="AI99" s="7">
        <f t="shared" si="73"/>
        <v>0.89810992830762548</v>
      </c>
      <c r="AJ99" s="15">
        <v>22854</v>
      </c>
      <c r="AK99" s="7">
        <f t="shared" si="74"/>
        <v>0.70928897303001148</v>
      </c>
      <c r="AL99" s="8">
        <f t="shared" si="75"/>
        <v>0.21024258760107817</v>
      </c>
      <c r="AM99" s="15">
        <f t="shared" si="76"/>
        <v>6084</v>
      </c>
      <c r="AN99" s="3"/>
      <c r="AO99" s="3"/>
      <c r="AP99" s="3"/>
      <c r="AQ99" s="3"/>
      <c r="AR99" s="28" t="s">
        <v>430</v>
      </c>
      <c r="AS99" s="80" t="s">
        <v>222</v>
      </c>
      <c r="AT99" s="80" t="s">
        <v>222</v>
      </c>
      <c r="AU99" s="80" t="s">
        <v>222</v>
      </c>
      <c r="AV99" s="80" t="s">
        <v>222</v>
      </c>
      <c r="AW99" s="80" t="s">
        <v>222</v>
      </c>
      <c r="AX99" s="80" t="s">
        <v>222</v>
      </c>
      <c r="AY99" s="80" t="s">
        <v>222</v>
      </c>
      <c r="AZ99" s="80" t="s">
        <v>222</v>
      </c>
      <c r="BA99" s="3"/>
      <c r="BB99" s="3"/>
      <c r="BC99" s="3"/>
      <c r="BD99" s="3"/>
      <c r="BE99" s="28" t="s">
        <v>430</v>
      </c>
      <c r="BF99" s="1352" t="s">
        <v>1254</v>
      </c>
      <c r="BG99" s="42"/>
      <c r="BH99" s="68">
        <v>2041899</v>
      </c>
      <c r="BI99" s="71" t="s">
        <v>224</v>
      </c>
      <c r="BJ99" s="15">
        <v>0</v>
      </c>
      <c r="BK99" s="15"/>
      <c r="BL99" s="68" t="s">
        <v>223</v>
      </c>
      <c r="BM99" s="1353"/>
      <c r="BN99" s="1"/>
      <c r="BO99" s="11" t="s">
        <v>249</v>
      </c>
      <c r="BP99" s="3"/>
      <c r="BQ99" s="3"/>
    </row>
    <row r="100" spans="1:69" s="3" customFormat="1" ht="27.6" customHeight="1" x14ac:dyDescent="0.2">
      <c r="A100" s="28" t="s">
        <v>943</v>
      </c>
      <c r="B100" s="915" t="s">
        <v>953</v>
      </c>
      <c r="C100" s="11" t="s">
        <v>68</v>
      </c>
      <c r="D100" s="11" t="s">
        <v>992</v>
      </c>
      <c r="E100" s="11" t="s">
        <v>650</v>
      </c>
      <c r="F100" s="1" t="s">
        <v>525</v>
      </c>
      <c r="G100" s="37">
        <v>42205</v>
      </c>
      <c r="H100" s="1" t="s">
        <v>10</v>
      </c>
      <c r="I100" s="33">
        <v>42356</v>
      </c>
      <c r="J100" s="62">
        <v>43177</v>
      </c>
      <c r="K100" s="4" t="s">
        <v>432</v>
      </c>
      <c r="L100" s="1" t="s">
        <v>13</v>
      </c>
      <c r="M100" s="2">
        <v>213911</v>
      </c>
      <c r="N100" s="2"/>
      <c r="O100" s="14">
        <v>4</v>
      </c>
      <c r="P100" s="28" t="s">
        <v>943</v>
      </c>
      <c r="Q100" s="11" t="s">
        <v>249</v>
      </c>
      <c r="R100" s="11">
        <v>3</v>
      </c>
      <c r="S100" s="2">
        <v>38581</v>
      </c>
      <c r="T100" s="10">
        <f t="shared" ref="T100:T121" si="84">S100/M100*1000</f>
        <v>180.36005628509054</v>
      </c>
      <c r="U100" s="2">
        <v>23447</v>
      </c>
      <c r="V100" s="10">
        <f t="shared" ref="V100:V121" si="85">U100/M100*1000</f>
        <v>109.61100644660631</v>
      </c>
      <c r="W100" s="8">
        <f t="shared" ref="W100:W121" si="86">(S100-U100)/S100</f>
        <v>0.39226562297503953</v>
      </c>
      <c r="X100" s="2">
        <f t="shared" ref="X100:X121" si="87">S100-U100</f>
        <v>15134</v>
      </c>
      <c r="Y100" s="992"/>
      <c r="AB100" s="1391"/>
      <c r="AC100" s="1396"/>
      <c r="AG100" s="28" t="s">
        <v>943</v>
      </c>
      <c r="AH100" s="15">
        <v>629463</v>
      </c>
      <c r="AI100" s="7">
        <f t="shared" si="73"/>
        <v>2.9426396959483148</v>
      </c>
      <c r="AJ100" s="15">
        <v>393838</v>
      </c>
      <c r="AK100" s="7">
        <f t="shared" si="74"/>
        <v>1.8411301896583159</v>
      </c>
      <c r="AL100" s="8">
        <f t="shared" si="75"/>
        <v>0.37432700571757194</v>
      </c>
      <c r="AM100" s="15">
        <f t="shared" si="76"/>
        <v>235625</v>
      </c>
      <c r="AR100" s="28" t="s">
        <v>943</v>
      </c>
      <c r="AS100" s="9">
        <v>1394940</v>
      </c>
      <c r="AT100" s="9" t="s">
        <v>13</v>
      </c>
      <c r="AU100" s="2">
        <f t="shared" ref="AU100:AU117" si="88">AS100/M100</f>
        <v>6.5211232708930353</v>
      </c>
      <c r="AV100" s="9">
        <v>863295</v>
      </c>
      <c r="AW100" s="9" t="s">
        <v>13</v>
      </c>
      <c r="AX100" s="2">
        <f t="shared" ref="AX100:AX117" si="89">AV100/M100</f>
        <v>4.0357672115973466</v>
      </c>
      <c r="AY100" s="8">
        <f t="shared" ref="AY100:AY117" si="90">(AS100-AV100)/AS100</f>
        <v>0.38112391930835737</v>
      </c>
      <c r="AZ100" s="2">
        <f t="shared" ref="AZ100:AZ117" si="91">AS100-AV100</f>
        <v>531645</v>
      </c>
      <c r="BA100" s="14"/>
      <c r="BE100" s="28" t="s">
        <v>943</v>
      </c>
      <c r="BF100" s="64">
        <v>95491076</v>
      </c>
      <c r="BG100" s="42">
        <f t="shared" ref="BG100:BG116" si="92">BF100/M100</f>
        <v>446.40563598879908</v>
      </c>
      <c r="BH100" s="68">
        <f>BF100-2000000</f>
        <v>93491076</v>
      </c>
      <c r="BI100" s="15">
        <v>9640712</v>
      </c>
      <c r="BJ100" s="15">
        <v>161300</v>
      </c>
      <c r="BK100" s="15"/>
      <c r="BL100" s="29">
        <v>707030</v>
      </c>
      <c r="BM100" s="1353">
        <f>((BF100-BH100)+BJ100+BK100+BL100)/AM100</f>
        <v>12.173283819628647</v>
      </c>
      <c r="BN100" s="1" t="s">
        <v>298</v>
      </c>
      <c r="BO100" s="11" t="s">
        <v>249</v>
      </c>
      <c r="BP100" s="41"/>
      <c r="BQ100" s="41"/>
    </row>
    <row r="101" spans="1:69" s="1724" customFormat="1" ht="27.6" customHeight="1" thickBot="1" x14ac:dyDescent="0.25">
      <c r="A101" s="1710" t="s">
        <v>268</v>
      </c>
      <c r="B101" s="1752" t="s">
        <v>953</v>
      </c>
      <c r="C101" s="1711" t="s">
        <v>198</v>
      </c>
      <c r="D101" s="1711" t="s">
        <v>987</v>
      </c>
      <c r="E101" s="1711"/>
      <c r="F101" s="1711" t="s">
        <v>948</v>
      </c>
      <c r="G101" s="1713">
        <v>42044</v>
      </c>
      <c r="H101" s="1712" t="s">
        <v>407</v>
      </c>
      <c r="I101" s="1714">
        <v>42373</v>
      </c>
      <c r="J101" s="1763">
        <v>43285</v>
      </c>
      <c r="K101" s="1716" t="s">
        <v>200</v>
      </c>
      <c r="L101" s="1712" t="s">
        <v>13</v>
      </c>
      <c r="M101" s="1717">
        <v>221618</v>
      </c>
      <c r="N101" s="1717"/>
      <c r="O101" s="1719">
        <v>11</v>
      </c>
      <c r="P101" s="1710" t="s">
        <v>268</v>
      </c>
      <c r="Q101" s="1711" t="s">
        <v>248</v>
      </c>
      <c r="R101" s="1711">
        <v>4</v>
      </c>
      <c r="S101" s="1717">
        <v>27375.8</v>
      </c>
      <c r="T101" s="1730">
        <f t="shared" si="84"/>
        <v>123.5269698309704</v>
      </c>
      <c r="U101" s="1717">
        <v>22956.3</v>
      </c>
      <c r="V101" s="1730">
        <f t="shared" si="85"/>
        <v>103.5849976084975</v>
      </c>
      <c r="W101" s="1722">
        <f t="shared" si="86"/>
        <v>0.16143820454562058</v>
      </c>
      <c r="X101" s="1717">
        <f t="shared" si="87"/>
        <v>4419.5</v>
      </c>
      <c r="Y101" s="1723"/>
      <c r="AB101" s="1725" t="s">
        <v>1303</v>
      </c>
      <c r="AC101" s="1726">
        <v>194</v>
      </c>
      <c r="AG101" s="1710" t="s">
        <v>268</v>
      </c>
      <c r="AH101" s="1727">
        <v>1006324</v>
      </c>
      <c r="AI101" s="1728">
        <f t="shared" si="73"/>
        <v>4.5408044472921878</v>
      </c>
      <c r="AJ101" s="1727">
        <v>813664</v>
      </c>
      <c r="AK101" s="1728">
        <f t="shared" si="74"/>
        <v>3.6714707289119115</v>
      </c>
      <c r="AL101" s="1722">
        <f t="shared" si="75"/>
        <v>0.19144927478625173</v>
      </c>
      <c r="AM101" s="1727">
        <f t="shared" si="76"/>
        <v>192660</v>
      </c>
      <c r="AR101" s="1710" t="s">
        <v>268</v>
      </c>
      <c r="AS101" s="1729">
        <v>663675</v>
      </c>
      <c r="AT101" s="1729" t="s">
        <v>13</v>
      </c>
      <c r="AU101" s="1717">
        <f t="shared" si="88"/>
        <v>2.9946800350152065</v>
      </c>
      <c r="AV101" s="1729">
        <v>445591</v>
      </c>
      <c r="AW101" s="1729" t="s">
        <v>13</v>
      </c>
      <c r="AX101" s="1717">
        <f t="shared" si="89"/>
        <v>2.0106263931630104</v>
      </c>
      <c r="AY101" s="1722">
        <f t="shared" si="90"/>
        <v>0.32860059517082907</v>
      </c>
      <c r="AZ101" s="1717">
        <f t="shared" si="91"/>
        <v>218084</v>
      </c>
      <c r="BA101" s="1719"/>
      <c r="BE101" s="1710" t="s">
        <v>268</v>
      </c>
      <c r="BF101" s="1731">
        <v>84957809</v>
      </c>
      <c r="BG101" s="1732">
        <f t="shared" si="92"/>
        <v>383.35247588192294</v>
      </c>
      <c r="BH101" s="1733">
        <v>75208000</v>
      </c>
      <c r="BI101" s="1734">
        <v>8628179</v>
      </c>
      <c r="BJ101" s="1727"/>
      <c r="BK101" s="1727">
        <v>10370</v>
      </c>
      <c r="BL101" s="1735">
        <v>730000</v>
      </c>
      <c r="BM101" s="1736">
        <f>((BF101-BH101)+BJ101+BK101+BL101)/AM101</f>
        <v>54.44917990241877</v>
      </c>
      <c r="BN101" s="1711" t="s">
        <v>424</v>
      </c>
      <c r="BO101" s="1711" t="s">
        <v>249</v>
      </c>
      <c r="BP101" s="1737"/>
      <c r="BQ101" s="1737"/>
    </row>
    <row r="102" spans="1:69" s="41" customFormat="1" ht="27.6" customHeight="1" thickTop="1" x14ac:dyDescent="0.2">
      <c r="A102" s="28" t="s">
        <v>414</v>
      </c>
      <c r="B102" s="11" t="s">
        <v>951</v>
      </c>
      <c r="C102" s="11" t="s">
        <v>130</v>
      </c>
      <c r="D102" s="11"/>
      <c r="E102" s="11" t="s">
        <v>570</v>
      </c>
      <c r="F102" s="1" t="s">
        <v>511</v>
      </c>
      <c r="G102" s="37">
        <v>42494</v>
      </c>
      <c r="H102" s="1" t="s">
        <v>1272</v>
      </c>
      <c r="I102" s="33" t="s">
        <v>73</v>
      </c>
      <c r="J102" s="33" t="s">
        <v>73</v>
      </c>
      <c r="K102" s="4" t="s">
        <v>415</v>
      </c>
      <c r="L102" s="1" t="s">
        <v>13</v>
      </c>
      <c r="M102" s="2">
        <v>36215</v>
      </c>
      <c r="N102" s="2"/>
      <c r="O102" s="14">
        <v>1</v>
      </c>
      <c r="P102" s="28" t="s">
        <v>414</v>
      </c>
      <c r="Q102" s="11" t="s">
        <v>248</v>
      </c>
      <c r="R102" s="11">
        <v>3</v>
      </c>
      <c r="S102" s="2">
        <v>4215</v>
      </c>
      <c r="T102" s="10">
        <f t="shared" si="84"/>
        <v>116.38823691840398</v>
      </c>
      <c r="U102" s="2">
        <v>3907</v>
      </c>
      <c r="V102" s="10">
        <f t="shared" si="85"/>
        <v>107.88347369874361</v>
      </c>
      <c r="W102" s="8">
        <f t="shared" si="86"/>
        <v>7.3072360616844606E-2</v>
      </c>
      <c r="X102" s="2">
        <f t="shared" si="87"/>
        <v>308</v>
      </c>
      <c r="Y102" s="992"/>
      <c r="Z102" s="3"/>
      <c r="AA102" s="3"/>
      <c r="AB102" s="1391"/>
      <c r="AC102" s="1396">
        <v>32</v>
      </c>
      <c r="AD102" s="3"/>
      <c r="AE102" s="3"/>
      <c r="AF102" s="3"/>
      <c r="AG102" s="28" t="s">
        <v>414</v>
      </c>
      <c r="AH102" s="15">
        <v>66838</v>
      </c>
      <c r="AI102" s="7">
        <f t="shared" si="73"/>
        <v>1.8455888444014912</v>
      </c>
      <c r="AJ102" s="15">
        <v>33837</v>
      </c>
      <c r="AK102" s="7">
        <f t="shared" si="74"/>
        <v>0.9343366008559989</v>
      </c>
      <c r="AL102" s="8">
        <f t="shared" si="75"/>
        <v>0.49374607259343489</v>
      </c>
      <c r="AM102" s="15">
        <f t="shared" si="76"/>
        <v>33001</v>
      </c>
      <c r="AN102" s="3"/>
      <c r="AO102" s="3"/>
      <c r="AP102" s="3"/>
      <c r="AQ102" s="3"/>
      <c r="AR102" s="28" t="s">
        <v>414</v>
      </c>
      <c r="AS102" s="9">
        <v>252297</v>
      </c>
      <c r="AT102" s="9" t="s">
        <v>13</v>
      </c>
      <c r="AU102" s="2">
        <f t="shared" si="88"/>
        <v>6.9666436559436695</v>
      </c>
      <c r="AV102" s="9">
        <v>187574</v>
      </c>
      <c r="AW102" s="9" t="s">
        <v>13</v>
      </c>
      <c r="AX102" s="2">
        <f t="shared" si="89"/>
        <v>5.1794560265083529</v>
      </c>
      <c r="AY102" s="8">
        <f t="shared" si="90"/>
        <v>0.25653495681676752</v>
      </c>
      <c r="AZ102" s="2">
        <f t="shared" si="91"/>
        <v>64723</v>
      </c>
      <c r="BA102" s="14"/>
      <c r="BB102" s="3"/>
      <c r="BC102" s="3"/>
      <c r="BD102" s="3"/>
      <c r="BE102" s="28" t="s">
        <v>414</v>
      </c>
      <c r="BF102" s="65">
        <v>6807340.1699999999</v>
      </c>
      <c r="BG102" s="42">
        <f t="shared" si="92"/>
        <v>187.9701827971835</v>
      </c>
      <c r="BH102" s="68">
        <f>BF102-40240</f>
        <v>6767100.1699999999</v>
      </c>
      <c r="BI102" s="71">
        <v>539733</v>
      </c>
      <c r="BJ102" s="15">
        <v>12290</v>
      </c>
      <c r="BK102" s="15">
        <v>8000</v>
      </c>
      <c r="BL102" s="29">
        <v>37090</v>
      </c>
      <c r="BM102" s="1353">
        <f>((BF102-BH102)+BJ102+BK102+BL102)/AM102</f>
        <v>2.9580921790248782</v>
      </c>
      <c r="BN102" s="11" t="s">
        <v>512</v>
      </c>
      <c r="BO102" s="11" t="s">
        <v>248</v>
      </c>
    </row>
    <row r="103" spans="1:69" s="41" customFormat="1" ht="27.6" customHeight="1" x14ac:dyDescent="0.2">
      <c r="A103" s="28" t="s">
        <v>1377</v>
      </c>
      <c r="B103" s="915" t="s">
        <v>953</v>
      </c>
      <c r="C103" s="11" t="s">
        <v>1261</v>
      </c>
      <c r="D103" s="11"/>
      <c r="E103" s="11"/>
      <c r="F103" s="1" t="s">
        <v>1262</v>
      </c>
      <c r="G103" s="37">
        <v>42586</v>
      </c>
      <c r="H103" s="1" t="s">
        <v>474</v>
      </c>
      <c r="I103" s="33" t="s">
        <v>73</v>
      </c>
      <c r="J103" s="33" t="s">
        <v>73</v>
      </c>
      <c r="K103" s="4" t="s">
        <v>1263</v>
      </c>
      <c r="L103" s="1" t="s">
        <v>13</v>
      </c>
      <c r="M103" s="2">
        <v>48794</v>
      </c>
      <c r="N103" s="2"/>
      <c r="O103" s="14">
        <v>3</v>
      </c>
      <c r="P103" s="28" t="s">
        <v>1260</v>
      </c>
      <c r="Q103" s="11" t="s">
        <v>248</v>
      </c>
      <c r="R103" s="11">
        <v>3</v>
      </c>
      <c r="S103" s="2">
        <v>2713</v>
      </c>
      <c r="T103" s="10">
        <f t="shared" si="84"/>
        <v>55.601098495716684</v>
      </c>
      <c r="U103" s="2">
        <v>1981</v>
      </c>
      <c r="V103" s="10">
        <f t="shared" si="85"/>
        <v>40.599254006640159</v>
      </c>
      <c r="W103" s="8">
        <f t="shared" si="86"/>
        <v>0.26981201621820861</v>
      </c>
      <c r="X103" s="2">
        <f t="shared" si="87"/>
        <v>732</v>
      </c>
      <c r="Y103" s="992"/>
      <c r="Z103" s="3"/>
      <c r="AA103" s="3"/>
      <c r="AB103" s="1391"/>
      <c r="AC103" s="1396"/>
      <c r="AD103" s="3"/>
      <c r="AE103" s="3"/>
      <c r="AF103" s="3"/>
      <c r="AG103" s="28" t="s">
        <v>1260</v>
      </c>
      <c r="AH103" s="15">
        <v>66149</v>
      </c>
      <c r="AI103" s="7">
        <f t="shared" si="73"/>
        <v>1.3556789769233921</v>
      </c>
      <c r="AJ103" s="15">
        <v>48211</v>
      </c>
      <c r="AK103" s="7">
        <f t="shared" si="74"/>
        <v>0.9880518096487273</v>
      </c>
      <c r="AL103" s="8">
        <f t="shared" si="75"/>
        <v>0.27117567914858881</v>
      </c>
      <c r="AM103" s="15">
        <f t="shared" si="76"/>
        <v>17938</v>
      </c>
      <c r="AN103" s="3"/>
      <c r="AO103" s="3"/>
      <c r="AP103" s="3"/>
      <c r="AQ103" s="3"/>
      <c r="AR103" s="28" t="s">
        <v>1260</v>
      </c>
      <c r="AS103" s="2">
        <v>854321</v>
      </c>
      <c r="AT103" s="1" t="s">
        <v>13</v>
      </c>
      <c r="AU103" s="10">
        <f t="shared" si="88"/>
        <v>17.508730581628889</v>
      </c>
      <c r="AV103" s="2">
        <v>540545</v>
      </c>
      <c r="AW103" s="1" t="s">
        <v>13</v>
      </c>
      <c r="AX103" s="10">
        <f t="shared" si="89"/>
        <v>11.078103865229332</v>
      </c>
      <c r="AY103" s="8">
        <f t="shared" si="90"/>
        <v>0.3672811507618331</v>
      </c>
      <c r="AZ103" s="2">
        <f t="shared" si="91"/>
        <v>313776</v>
      </c>
      <c r="BA103" s="3"/>
      <c r="BB103" s="3"/>
      <c r="BC103" s="3"/>
      <c r="BD103" s="3"/>
      <c r="BE103" s="28" t="s">
        <v>1260</v>
      </c>
      <c r="BF103" s="65">
        <v>8963897</v>
      </c>
      <c r="BG103" s="42">
        <f t="shared" si="92"/>
        <v>183.70900110669345</v>
      </c>
      <c r="BH103" s="15">
        <v>8685925</v>
      </c>
      <c r="BI103" s="15">
        <v>811900</v>
      </c>
      <c r="BJ103" s="15">
        <v>32900</v>
      </c>
      <c r="BK103" s="15">
        <f>10000+6000+7500</f>
        <v>23500</v>
      </c>
      <c r="BL103" s="15">
        <v>98750</v>
      </c>
      <c r="BM103" s="1353">
        <f>((BF103-BH103)+BJ103+BK103+BL103)/AM103</f>
        <v>24.145501170699074</v>
      </c>
      <c r="BN103" s="11" t="s">
        <v>1259</v>
      </c>
      <c r="BO103" s="11" t="s">
        <v>248</v>
      </c>
      <c r="BP103" s="3"/>
      <c r="BQ103" s="3"/>
    </row>
    <row r="104" spans="1:69" s="3" customFormat="1" ht="27.6" hidden="1" customHeight="1" x14ac:dyDescent="0.2">
      <c r="A104" s="28" t="s">
        <v>422</v>
      </c>
      <c r="B104" s="11"/>
      <c r="C104" s="11" t="s">
        <v>180</v>
      </c>
      <c r="D104" s="11"/>
      <c r="E104" s="11"/>
      <c r="F104" s="1" t="s">
        <v>181</v>
      </c>
      <c r="G104" s="37">
        <v>41226</v>
      </c>
      <c r="H104" s="1" t="s">
        <v>4</v>
      </c>
      <c r="I104" s="33" t="s">
        <v>73</v>
      </c>
      <c r="J104" s="33" t="s">
        <v>1264</v>
      </c>
      <c r="K104" s="28" t="s">
        <v>182</v>
      </c>
      <c r="L104" s="1" t="s">
        <v>13</v>
      </c>
      <c r="M104" s="2">
        <v>185810</v>
      </c>
      <c r="N104" s="19" t="e">
        <f t="shared" ref="N104:N110" si="93">M104/L104</f>
        <v>#VALUE!</v>
      </c>
      <c r="O104" s="14">
        <v>6</v>
      </c>
      <c r="P104" s="28" t="s">
        <v>179</v>
      </c>
      <c r="Q104" s="11" t="s">
        <v>247</v>
      </c>
      <c r="R104" s="11"/>
      <c r="S104" s="2">
        <v>10582</v>
      </c>
      <c r="T104" s="10">
        <f t="shared" si="84"/>
        <v>56.950648511920775</v>
      </c>
      <c r="U104" s="2">
        <v>3675</v>
      </c>
      <c r="V104" s="10">
        <f t="shared" si="85"/>
        <v>19.778268123351811</v>
      </c>
      <c r="W104" s="8">
        <f t="shared" si="86"/>
        <v>0.65271215271215266</v>
      </c>
      <c r="X104" s="2">
        <f t="shared" si="87"/>
        <v>6907</v>
      </c>
      <c r="Y104" s="992"/>
      <c r="AB104" s="1"/>
      <c r="AC104" s="1396"/>
      <c r="AG104" s="28" t="s">
        <v>179</v>
      </c>
      <c r="AH104" s="15">
        <v>267259</v>
      </c>
      <c r="AI104" s="7">
        <f t="shared" si="73"/>
        <v>1.4383456218718045</v>
      </c>
      <c r="AJ104" s="15">
        <v>93214</v>
      </c>
      <c r="AK104" s="7">
        <f t="shared" si="74"/>
        <v>0.5016629890748614</v>
      </c>
      <c r="AL104" s="8">
        <f t="shared" si="75"/>
        <v>0.65122222263796536</v>
      </c>
      <c r="AM104" s="15">
        <f t="shared" si="76"/>
        <v>174045</v>
      </c>
      <c r="AR104" s="28" t="s">
        <v>179</v>
      </c>
      <c r="AS104" s="2">
        <v>115375</v>
      </c>
      <c r="AT104" s="9" t="s">
        <v>13</v>
      </c>
      <c r="AU104" s="7">
        <f t="shared" si="88"/>
        <v>0.62092998223992246</v>
      </c>
      <c r="AV104" s="2">
        <v>50944</v>
      </c>
      <c r="AW104" s="9" t="s">
        <v>13</v>
      </c>
      <c r="AX104" s="7">
        <f t="shared" si="89"/>
        <v>0.27417254184381895</v>
      </c>
      <c r="AY104" s="8">
        <f t="shared" si="90"/>
        <v>0.55844853737811484</v>
      </c>
      <c r="AZ104" s="2">
        <f t="shared" si="91"/>
        <v>64431</v>
      </c>
      <c r="BE104" s="28" t="s">
        <v>179</v>
      </c>
      <c r="BF104" s="64">
        <v>45400738</v>
      </c>
      <c r="BG104" s="42">
        <f t="shared" si="92"/>
        <v>244.33958344545505</v>
      </c>
      <c r="BH104" s="15">
        <v>42736000</v>
      </c>
      <c r="BI104" s="29" t="s">
        <v>260</v>
      </c>
      <c r="BJ104" s="15"/>
      <c r="BK104" s="15"/>
      <c r="BL104" s="15"/>
      <c r="BM104" s="1353">
        <f t="shared" ref="BM104:BM115" si="94">((BF104-BH104)+BJ104+BK104+BL104)/AM104</f>
        <v>15.31062656209601</v>
      </c>
      <c r="BN104" s="1"/>
      <c r="BO104" s="11" t="s">
        <v>247</v>
      </c>
      <c r="BP104" s="41"/>
      <c r="BQ104" s="41"/>
    </row>
    <row r="105" spans="1:69" s="41" customFormat="1" ht="27.6" hidden="1" customHeight="1" x14ac:dyDescent="0.2">
      <c r="A105" s="28" t="s">
        <v>431</v>
      </c>
      <c r="B105" s="11"/>
      <c r="C105" s="11" t="s">
        <v>227</v>
      </c>
      <c r="D105" s="11"/>
      <c r="E105" s="11"/>
      <c r="F105" s="1" t="s">
        <v>228</v>
      </c>
      <c r="G105" s="37">
        <v>41299</v>
      </c>
      <c r="H105" s="1" t="s">
        <v>4</v>
      </c>
      <c r="I105" s="33" t="s">
        <v>73</v>
      </c>
      <c r="J105" s="33" t="s">
        <v>1264</v>
      </c>
      <c r="K105" s="4" t="s">
        <v>229</v>
      </c>
      <c r="L105" s="1" t="s">
        <v>13</v>
      </c>
      <c r="M105" s="2">
        <v>69250</v>
      </c>
      <c r="N105" s="19" t="e">
        <f t="shared" si="93"/>
        <v>#VALUE!</v>
      </c>
      <c r="O105" s="14">
        <v>2</v>
      </c>
      <c r="P105" s="28" t="s">
        <v>431</v>
      </c>
      <c r="Q105" s="11" t="s">
        <v>247</v>
      </c>
      <c r="R105" s="11"/>
      <c r="S105" s="2">
        <v>4413</v>
      </c>
      <c r="T105" s="12">
        <f t="shared" si="84"/>
        <v>63.725631768953072</v>
      </c>
      <c r="U105" s="2">
        <v>2774</v>
      </c>
      <c r="V105" s="23">
        <f t="shared" si="85"/>
        <v>40.057761732851986</v>
      </c>
      <c r="W105" s="8">
        <f t="shared" si="86"/>
        <v>0.37140267391796966</v>
      </c>
      <c r="X105" s="2">
        <f t="shared" si="87"/>
        <v>1639</v>
      </c>
      <c r="Y105" s="992"/>
      <c r="Z105" s="3"/>
      <c r="AA105" s="3"/>
      <c r="AB105" s="1"/>
      <c r="AC105" s="1396"/>
      <c r="AD105" s="3"/>
      <c r="AE105" s="3"/>
      <c r="AF105" s="3"/>
      <c r="AG105" s="28" t="s">
        <v>431</v>
      </c>
      <c r="AH105" s="15">
        <v>82649</v>
      </c>
      <c r="AI105" s="7">
        <f t="shared" si="73"/>
        <v>1.1934873646209385</v>
      </c>
      <c r="AJ105" s="15">
        <v>58907</v>
      </c>
      <c r="AK105" s="7">
        <f t="shared" si="74"/>
        <v>0.85064259927797836</v>
      </c>
      <c r="AL105" s="8">
        <f t="shared" si="75"/>
        <v>0.28726300378709968</v>
      </c>
      <c r="AM105" s="15">
        <f t="shared" si="76"/>
        <v>23742</v>
      </c>
      <c r="AN105" s="3"/>
      <c r="AO105" s="3"/>
      <c r="AP105" s="3"/>
      <c r="AQ105" s="3"/>
      <c r="AR105" s="28" t="s">
        <v>431</v>
      </c>
      <c r="AS105" s="9">
        <v>60744</v>
      </c>
      <c r="AT105" s="9" t="s">
        <v>13</v>
      </c>
      <c r="AU105" s="2">
        <f t="shared" si="88"/>
        <v>0.87716967509025268</v>
      </c>
      <c r="AV105" s="9">
        <v>45643</v>
      </c>
      <c r="AW105" s="9" t="s">
        <v>13</v>
      </c>
      <c r="AX105" s="2">
        <f t="shared" si="89"/>
        <v>0.65910469314079423</v>
      </c>
      <c r="AY105" s="8">
        <f t="shared" si="90"/>
        <v>0.24860068484130121</v>
      </c>
      <c r="AZ105" s="2">
        <f t="shared" si="91"/>
        <v>15101</v>
      </c>
      <c r="BA105" s="14"/>
      <c r="BB105" s="3"/>
      <c r="BC105" s="3"/>
      <c r="BD105" s="3"/>
      <c r="BE105" s="28" t="s">
        <v>431</v>
      </c>
      <c r="BF105" s="64">
        <v>10191099</v>
      </c>
      <c r="BG105" s="42">
        <f t="shared" si="92"/>
        <v>147.16388447653429</v>
      </c>
      <c r="BH105" s="68">
        <v>8586550</v>
      </c>
      <c r="BI105" s="66" t="s">
        <v>230</v>
      </c>
      <c r="BJ105" s="15">
        <v>0</v>
      </c>
      <c r="BK105" s="15"/>
      <c r="BL105" s="29">
        <v>0</v>
      </c>
      <c r="BM105" s="1353">
        <f t="shared" si="94"/>
        <v>67.582722601297277</v>
      </c>
      <c r="BN105" s="1"/>
      <c r="BO105" s="11" t="s">
        <v>247</v>
      </c>
    </row>
    <row r="106" spans="1:69" s="41" customFormat="1" ht="28.5" x14ac:dyDescent="0.2">
      <c r="A106" s="28" t="s">
        <v>1265</v>
      </c>
      <c r="B106" s="11" t="s">
        <v>951</v>
      </c>
      <c r="C106" s="11" t="s">
        <v>63</v>
      </c>
      <c r="D106" s="11"/>
      <c r="E106" s="11"/>
      <c r="F106" s="1" t="s">
        <v>1266</v>
      </c>
      <c r="G106" s="37">
        <v>42401</v>
      </c>
      <c r="H106" s="11" t="s">
        <v>22</v>
      </c>
      <c r="I106" s="33" t="s">
        <v>73</v>
      </c>
      <c r="J106" s="33" t="s">
        <v>73</v>
      </c>
      <c r="K106" s="28" t="s">
        <v>135</v>
      </c>
      <c r="L106" s="1">
        <v>402</v>
      </c>
      <c r="M106" s="2">
        <v>102000</v>
      </c>
      <c r="N106" s="19">
        <f t="shared" si="93"/>
        <v>253.73134328358208</v>
      </c>
      <c r="O106" s="14">
        <v>12</v>
      </c>
      <c r="P106" s="28" t="str">
        <f>A106</f>
        <v>Scott Residence Hall Renovation</v>
      </c>
      <c r="Q106" s="11" t="s">
        <v>249</v>
      </c>
      <c r="R106" s="11">
        <v>3</v>
      </c>
      <c r="S106" s="2">
        <v>10312</v>
      </c>
      <c r="T106" s="10">
        <f t="shared" si="84"/>
        <v>101.09803921568627</v>
      </c>
      <c r="U106" s="2">
        <v>5939</v>
      </c>
      <c r="V106" s="10">
        <f t="shared" si="85"/>
        <v>58.225490196078432</v>
      </c>
      <c r="W106" s="8">
        <f t="shared" si="86"/>
        <v>0.42406904577191623</v>
      </c>
      <c r="X106" s="2">
        <f t="shared" si="87"/>
        <v>4373</v>
      </c>
      <c r="Y106" s="992"/>
      <c r="Z106" s="3"/>
      <c r="AA106" s="3"/>
      <c r="AB106" s="1391" t="s">
        <v>1298</v>
      </c>
      <c r="AC106" s="1396">
        <v>47</v>
      </c>
      <c r="AD106" s="3"/>
      <c r="AE106" s="3"/>
      <c r="AF106" s="3"/>
      <c r="AG106" s="28" t="str">
        <f>A106</f>
        <v>Scott Residence Hall Renovation</v>
      </c>
      <c r="AH106" s="15">
        <v>121370</v>
      </c>
      <c r="AI106" s="7">
        <f t="shared" si="73"/>
        <v>1.1899019607843138</v>
      </c>
      <c r="AJ106" s="15">
        <v>70653</v>
      </c>
      <c r="AK106" s="7">
        <f t="shared" si="74"/>
        <v>0.69267647058823534</v>
      </c>
      <c r="AL106" s="8">
        <f t="shared" si="75"/>
        <v>0.41787097305759247</v>
      </c>
      <c r="AM106" s="15">
        <f t="shared" si="76"/>
        <v>50717</v>
      </c>
      <c r="AN106" s="3"/>
      <c r="AO106" s="3"/>
      <c r="AP106" s="3"/>
      <c r="AQ106" s="3"/>
      <c r="AR106" s="28" t="str">
        <f>A106</f>
        <v>Scott Residence Hall Renovation</v>
      </c>
      <c r="AS106" s="2">
        <v>9851029</v>
      </c>
      <c r="AT106" s="9">
        <f>AS106/L106</f>
        <v>24505.04726368159</v>
      </c>
      <c r="AU106" s="10">
        <f t="shared" si="88"/>
        <v>96.578715686274506</v>
      </c>
      <c r="AV106" s="2">
        <v>7633770</v>
      </c>
      <c r="AW106" s="9">
        <f>AV106/L106</f>
        <v>18989.4776119403</v>
      </c>
      <c r="AX106" s="10">
        <f t="shared" si="89"/>
        <v>74.840882352941179</v>
      </c>
      <c r="AY106" s="8">
        <f t="shared" si="90"/>
        <v>0.22507892322720804</v>
      </c>
      <c r="AZ106" s="2">
        <f t="shared" si="91"/>
        <v>2217259</v>
      </c>
      <c r="BA106" s="3"/>
      <c r="BB106" s="3"/>
      <c r="BC106" s="3"/>
      <c r="BD106" s="3"/>
      <c r="BE106" s="28" t="str">
        <f>A106</f>
        <v>Scott Residence Hall Renovation</v>
      </c>
      <c r="BF106" s="1829">
        <v>14506733</v>
      </c>
      <c r="BG106" s="42">
        <f t="shared" si="92"/>
        <v>142.2228725490196</v>
      </c>
      <c r="BH106" s="15">
        <v>14196000</v>
      </c>
      <c r="BI106" s="15">
        <v>1485000</v>
      </c>
      <c r="BJ106" s="71"/>
      <c r="BK106" s="71">
        <v>12000</v>
      </c>
      <c r="BL106" s="15">
        <f>0.0075*BF106</f>
        <v>108800.4975</v>
      </c>
      <c r="BM106" s="1353">
        <f t="shared" si="94"/>
        <v>8.5086558254628617</v>
      </c>
      <c r="BN106" s="1" t="s">
        <v>1267</v>
      </c>
      <c r="BO106" s="11" t="s">
        <v>249</v>
      </c>
      <c r="BP106" s="346"/>
      <c r="BQ106" s="3"/>
    </row>
    <row r="107" spans="1:69" s="3" customFormat="1" ht="27.6" customHeight="1" x14ac:dyDescent="0.2">
      <c r="A107" s="28" t="s">
        <v>514</v>
      </c>
      <c r="B107" s="11" t="s">
        <v>951</v>
      </c>
      <c r="C107" s="11" t="s">
        <v>63</v>
      </c>
      <c r="D107" s="11" t="s">
        <v>985</v>
      </c>
      <c r="E107" s="11" t="s">
        <v>545</v>
      </c>
      <c r="F107" s="1" t="s">
        <v>513</v>
      </c>
      <c r="G107" s="37">
        <v>42272</v>
      </c>
      <c r="H107" s="11" t="s">
        <v>10</v>
      </c>
      <c r="I107" s="33">
        <v>42486</v>
      </c>
      <c r="J107" s="33" t="s">
        <v>1264</v>
      </c>
      <c r="K107" s="28" t="s">
        <v>135</v>
      </c>
      <c r="L107" s="1">
        <v>95</v>
      </c>
      <c r="M107" s="2">
        <v>29845</v>
      </c>
      <c r="N107" s="19">
        <f t="shared" si="93"/>
        <v>314.15789473684208</v>
      </c>
      <c r="O107" s="14">
        <v>3</v>
      </c>
      <c r="P107" s="28" t="s">
        <v>514</v>
      </c>
      <c r="Q107" s="11" t="s">
        <v>249</v>
      </c>
      <c r="R107" s="11">
        <v>3</v>
      </c>
      <c r="S107" s="2">
        <v>2122</v>
      </c>
      <c r="T107" s="12">
        <f t="shared" si="84"/>
        <v>71.100686882224835</v>
      </c>
      <c r="U107" s="2">
        <v>1669</v>
      </c>
      <c r="V107" s="10">
        <f t="shared" si="85"/>
        <v>55.922265036019439</v>
      </c>
      <c r="W107" s="8">
        <f t="shared" si="86"/>
        <v>0.21347785108388312</v>
      </c>
      <c r="X107" s="2">
        <f t="shared" si="87"/>
        <v>453</v>
      </c>
      <c r="Y107" s="992"/>
      <c r="AB107" s="1391" t="s">
        <v>1298</v>
      </c>
      <c r="AC107" s="1396">
        <v>47</v>
      </c>
      <c r="AG107" s="28" t="s">
        <v>514</v>
      </c>
      <c r="AH107" s="15">
        <v>34775</v>
      </c>
      <c r="AI107" s="7">
        <f t="shared" si="73"/>
        <v>1.1651867984587032</v>
      </c>
      <c r="AJ107" s="15">
        <v>26751</v>
      </c>
      <c r="AK107" s="7">
        <f t="shared" si="74"/>
        <v>0.89633104372591721</v>
      </c>
      <c r="AL107" s="8">
        <f t="shared" si="75"/>
        <v>0.23074047447879223</v>
      </c>
      <c r="AM107" s="15">
        <f t="shared" si="76"/>
        <v>8024</v>
      </c>
      <c r="AR107" s="28" t="s">
        <v>514</v>
      </c>
      <c r="AS107" s="2">
        <v>1044184</v>
      </c>
      <c r="AT107" s="2">
        <f>AS107/L107</f>
        <v>10991.410526315789</v>
      </c>
      <c r="AU107" s="2">
        <f t="shared" si="88"/>
        <v>34.986898978053276</v>
      </c>
      <c r="AV107" s="2">
        <v>677227</v>
      </c>
      <c r="AW107" s="9">
        <f>AV107/L107</f>
        <v>7128.7052631578945</v>
      </c>
      <c r="AX107" s="10">
        <f t="shared" si="89"/>
        <v>22.691472608477131</v>
      </c>
      <c r="AY107" s="8">
        <f t="shared" si="90"/>
        <v>0.35142944155436207</v>
      </c>
      <c r="AZ107" s="2">
        <f t="shared" si="91"/>
        <v>366957</v>
      </c>
      <c r="BE107" s="28" t="s">
        <v>514</v>
      </c>
      <c r="BF107" s="64">
        <f>0.36*14943000</f>
        <v>5379480</v>
      </c>
      <c r="BG107" s="42">
        <f t="shared" si="92"/>
        <v>180.24727760093819</v>
      </c>
      <c r="BH107" s="15">
        <f>0.36*14328323</f>
        <v>5158196.28</v>
      </c>
      <c r="BI107" s="15">
        <f>0.36*1245525</f>
        <v>448389</v>
      </c>
      <c r="BJ107" s="71"/>
      <c r="BK107" s="71">
        <f>0.36*9200</f>
        <v>3312</v>
      </c>
      <c r="BL107" s="15">
        <f>0.36*65000</f>
        <v>23400</v>
      </c>
      <c r="BM107" s="1353">
        <f t="shared" si="94"/>
        <v>30.906744765702857</v>
      </c>
      <c r="BN107" s="1" t="s">
        <v>311</v>
      </c>
      <c r="BO107" s="11" t="s">
        <v>249</v>
      </c>
      <c r="BP107" s="346"/>
    </row>
    <row r="108" spans="1:69" s="3" customFormat="1" ht="27.6" customHeight="1" x14ac:dyDescent="0.2">
      <c r="A108" s="28" t="s">
        <v>515</v>
      </c>
      <c r="B108" s="11" t="s">
        <v>951</v>
      </c>
      <c r="C108" s="11" t="s">
        <v>63</v>
      </c>
      <c r="D108" s="11" t="s">
        <v>985</v>
      </c>
      <c r="E108" s="11" t="s">
        <v>545</v>
      </c>
      <c r="F108" s="1" t="s">
        <v>513</v>
      </c>
      <c r="G108" s="37">
        <v>42272</v>
      </c>
      <c r="H108" s="11" t="s">
        <v>10</v>
      </c>
      <c r="I108" s="33">
        <v>42486</v>
      </c>
      <c r="J108" s="33" t="s">
        <v>1264</v>
      </c>
      <c r="K108" s="28" t="s">
        <v>135</v>
      </c>
      <c r="L108" s="1">
        <v>64</v>
      </c>
      <c r="M108" s="2">
        <v>23270</v>
      </c>
      <c r="N108" s="19">
        <f t="shared" si="93"/>
        <v>363.59375</v>
      </c>
      <c r="O108" s="14">
        <v>3</v>
      </c>
      <c r="P108" s="28" t="s">
        <v>515</v>
      </c>
      <c r="Q108" s="11" t="s">
        <v>249</v>
      </c>
      <c r="R108" s="11">
        <v>3</v>
      </c>
      <c r="S108" s="2">
        <v>1704</v>
      </c>
      <c r="T108" s="12">
        <f t="shared" si="84"/>
        <v>73.227331327889985</v>
      </c>
      <c r="U108" s="2">
        <v>1196</v>
      </c>
      <c r="V108" s="10">
        <f t="shared" si="85"/>
        <v>51.396648044692739</v>
      </c>
      <c r="W108" s="8">
        <f t="shared" si="86"/>
        <v>0.2981220657276995</v>
      </c>
      <c r="X108" s="2">
        <f t="shared" si="87"/>
        <v>508</v>
      </c>
      <c r="Y108" s="992"/>
      <c r="AB108" s="1391" t="s">
        <v>1298</v>
      </c>
      <c r="AC108" s="1396">
        <v>47</v>
      </c>
      <c r="AG108" s="28" t="s">
        <v>515</v>
      </c>
      <c r="AH108" s="15">
        <v>28673</v>
      </c>
      <c r="AI108" s="7">
        <f t="shared" si="73"/>
        <v>1.2321873657069187</v>
      </c>
      <c r="AJ108" s="15">
        <v>19427</v>
      </c>
      <c r="AK108" s="7">
        <f t="shared" si="74"/>
        <v>0.83485174043833266</v>
      </c>
      <c r="AL108" s="8">
        <f t="shared" si="75"/>
        <v>0.32246364175356607</v>
      </c>
      <c r="AM108" s="15">
        <f t="shared" si="76"/>
        <v>9246</v>
      </c>
      <c r="AR108" s="28" t="s">
        <v>515</v>
      </c>
      <c r="AS108" s="2">
        <v>692800</v>
      </c>
      <c r="AT108" s="2">
        <f>AS108/L108</f>
        <v>10825</v>
      </c>
      <c r="AU108" s="2">
        <f t="shared" si="88"/>
        <v>29.772238934250108</v>
      </c>
      <c r="AV108" s="2">
        <v>449405</v>
      </c>
      <c r="AW108" s="9">
        <f>AV108/L108</f>
        <v>7021.953125</v>
      </c>
      <c r="AX108" s="10">
        <f t="shared" si="89"/>
        <v>19.312634293081221</v>
      </c>
      <c r="AY108" s="8">
        <f t="shared" si="90"/>
        <v>0.35132072748267901</v>
      </c>
      <c r="AZ108" s="2">
        <f t="shared" si="91"/>
        <v>243395</v>
      </c>
      <c r="BE108" s="28" t="s">
        <v>515</v>
      </c>
      <c r="BF108" s="64">
        <f>0.28*14943000</f>
        <v>4184040.0000000005</v>
      </c>
      <c r="BG108" s="42">
        <f t="shared" si="92"/>
        <v>179.80403953588313</v>
      </c>
      <c r="BH108" s="15">
        <f>0.28*14328323</f>
        <v>4011930.4400000004</v>
      </c>
      <c r="BI108" s="15">
        <f>0.28*1245525</f>
        <v>348747.00000000006</v>
      </c>
      <c r="BJ108" s="71"/>
      <c r="BK108" s="71">
        <f>0.28*9200</f>
        <v>2576.0000000000005</v>
      </c>
      <c r="BL108" s="15">
        <f>0.28*65000</f>
        <v>18200</v>
      </c>
      <c r="BM108" s="1353">
        <f t="shared" si="94"/>
        <v>20.861514168288995</v>
      </c>
      <c r="BN108" s="1" t="s">
        <v>311</v>
      </c>
      <c r="BO108" s="11" t="s">
        <v>249</v>
      </c>
      <c r="BP108" s="346"/>
    </row>
    <row r="109" spans="1:69" s="41" customFormat="1" ht="27.6" customHeight="1" x14ac:dyDescent="0.2">
      <c r="A109" s="28" t="s">
        <v>516</v>
      </c>
      <c r="B109" s="11" t="s">
        <v>951</v>
      </c>
      <c r="C109" s="11" t="s">
        <v>63</v>
      </c>
      <c r="D109" s="11" t="s">
        <v>985</v>
      </c>
      <c r="E109" s="11" t="s">
        <v>545</v>
      </c>
      <c r="F109" s="1" t="s">
        <v>513</v>
      </c>
      <c r="G109" s="37">
        <v>42272</v>
      </c>
      <c r="H109" s="11" t="s">
        <v>10</v>
      </c>
      <c r="I109" s="33">
        <v>42486</v>
      </c>
      <c r="J109" s="33" t="s">
        <v>1264</v>
      </c>
      <c r="K109" s="28" t="s">
        <v>135</v>
      </c>
      <c r="L109" s="1">
        <v>95</v>
      </c>
      <c r="M109" s="2">
        <v>29799</v>
      </c>
      <c r="N109" s="19">
        <f t="shared" si="93"/>
        <v>313.67368421052629</v>
      </c>
      <c r="O109" s="14">
        <v>3</v>
      </c>
      <c r="P109" s="28" t="s">
        <v>516</v>
      </c>
      <c r="Q109" s="11" t="s">
        <v>249</v>
      </c>
      <c r="R109" s="11">
        <v>3</v>
      </c>
      <c r="S109" s="2">
        <v>2122</v>
      </c>
      <c r="T109" s="12">
        <f t="shared" si="84"/>
        <v>71.210443303466562</v>
      </c>
      <c r="U109" s="2">
        <v>1669</v>
      </c>
      <c r="V109" s="10">
        <f t="shared" si="85"/>
        <v>56.008590892311823</v>
      </c>
      <c r="W109" s="8">
        <f t="shared" si="86"/>
        <v>0.21347785108388312</v>
      </c>
      <c r="X109" s="2">
        <f t="shared" si="87"/>
        <v>453</v>
      </c>
      <c r="Y109" s="992"/>
      <c r="Z109" s="3"/>
      <c r="AA109" s="3"/>
      <c r="AB109" s="1391" t="s">
        <v>1298</v>
      </c>
      <c r="AC109" s="1396">
        <v>47</v>
      </c>
      <c r="AD109" s="3"/>
      <c r="AE109" s="3"/>
      <c r="AF109" s="3"/>
      <c r="AG109" s="28" t="s">
        <v>516</v>
      </c>
      <c r="AH109" s="15">
        <v>34775</v>
      </c>
      <c r="AI109" s="7">
        <f t="shared" si="73"/>
        <v>1.1669854693110506</v>
      </c>
      <c r="AJ109" s="15">
        <v>26751</v>
      </c>
      <c r="AK109" s="7">
        <f t="shared" si="74"/>
        <v>0.89771468841236279</v>
      </c>
      <c r="AL109" s="8">
        <f t="shared" si="75"/>
        <v>0.23074047447879223</v>
      </c>
      <c r="AM109" s="15">
        <f t="shared" si="76"/>
        <v>8024</v>
      </c>
      <c r="AN109" s="3"/>
      <c r="AO109" s="3"/>
      <c r="AP109" s="3"/>
      <c r="AQ109" s="3"/>
      <c r="AR109" s="28" t="s">
        <v>516</v>
      </c>
      <c r="AS109" s="2">
        <v>1044184</v>
      </c>
      <c r="AT109" s="2">
        <f>AS109/L109</f>
        <v>10991.410526315789</v>
      </c>
      <c r="AU109" s="2">
        <f t="shared" si="88"/>
        <v>35.040907413000433</v>
      </c>
      <c r="AV109" s="2">
        <v>677227</v>
      </c>
      <c r="AW109" s="9">
        <f>AV109/L109</f>
        <v>7128.7052631578945</v>
      </c>
      <c r="AX109" s="10">
        <f t="shared" si="89"/>
        <v>22.726500889291586</v>
      </c>
      <c r="AY109" s="8">
        <f t="shared" si="90"/>
        <v>0.35142944155436207</v>
      </c>
      <c r="AZ109" s="2">
        <f t="shared" si="91"/>
        <v>366957</v>
      </c>
      <c r="BA109" s="3"/>
      <c r="BB109" s="3"/>
      <c r="BC109" s="3"/>
      <c r="BD109" s="3"/>
      <c r="BE109" s="28" t="s">
        <v>516</v>
      </c>
      <c r="BF109" s="64">
        <f>0.36*14943000</f>
        <v>5379480</v>
      </c>
      <c r="BG109" s="42">
        <f t="shared" si="92"/>
        <v>180.52552099063726</v>
      </c>
      <c r="BH109" s="15">
        <f>0.36*14328323</f>
        <v>5158196.28</v>
      </c>
      <c r="BI109" s="15">
        <f>0.36*1245525</f>
        <v>448389</v>
      </c>
      <c r="BJ109" s="71"/>
      <c r="BK109" s="71">
        <f>0.36*9200</f>
        <v>3312</v>
      </c>
      <c r="BL109" s="15">
        <f>0.36*65000</f>
        <v>23400</v>
      </c>
      <c r="BM109" s="1353">
        <f t="shared" si="94"/>
        <v>30.906744765702857</v>
      </c>
      <c r="BN109" s="1" t="s">
        <v>311</v>
      </c>
      <c r="BO109" s="11" t="s">
        <v>249</v>
      </c>
      <c r="BP109" s="346"/>
      <c r="BQ109" s="3" t="s">
        <v>38</v>
      </c>
    </row>
    <row r="110" spans="1:69" s="41" customFormat="1" ht="27.6" customHeight="1" x14ac:dyDescent="0.2">
      <c r="A110" s="28" t="s">
        <v>946</v>
      </c>
      <c r="B110" s="11" t="s">
        <v>951</v>
      </c>
      <c r="C110" s="11" t="s">
        <v>68</v>
      </c>
      <c r="D110" s="11" t="s">
        <v>992</v>
      </c>
      <c r="E110" s="11" t="s">
        <v>650</v>
      </c>
      <c r="F110" s="1" t="s">
        <v>1028</v>
      </c>
      <c r="G110" s="37">
        <v>42508</v>
      </c>
      <c r="H110" s="1" t="s">
        <v>10</v>
      </c>
      <c r="I110" s="33">
        <v>42433</v>
      </c>
      <c r="J110" s="33" t="s">
        <v>1264</v>
      </c>
      <c r="K110" s="28" t="s">
        <v>135</v>
      </c>
      <c r="L110" s="1">
        <v>395</v>
      </c>
      <c r="M110" s="2">
        <v>83462</v>
      </c>
      <c r="N110" s="19">
        <f t="shared" si="93"/>
        <v>211.29620253164558</v>
      </c>
      <c r="O110" s="14">
        <v>10</v>
      </c>
      <c r="P110" s="28" t="s">
        <v>946</v>
      </c>
      <c r="Q110" s="11" t="s">
        <v>248</v>
      </c>
      <c r="R110" s="11">
        <v>3</v>
      </c>
      <c r="S110" s="2">
        <v>5199</v>
      </c>
      <c r="T110" s="10">
        <f t="shared" si="84"/>
        <v>62.291821427715611</v>
      </c>
      <c r="U110" s="2">
        <v>5139</v>
      </c>
      <c r="V110" s="10">
        <f t="shared" si="85"/>
        <v>61.572931393927774</v>
      </c>
      <c r="W110" s="8">
        <f t="shared" si="86"/>
        <v>1.1540680900173111E-2</v>
      </c>
      <c r="X110" s="2">
        <f t="shared" si="87"/>
        <v>60</v>
      </c>
      <c r="Y110" s="992"/>
      <c r="Z110" s="3"/>
      <c r="AA110" s="3"/>
      <c r="AB110" s="1391" t="s">
        <v>1298</v>
      </c>
      <c r="AC110" s="1396">
        <v>47</v>
      </c>
      <c r="AD110" s="3"/>
      <c r="AE110" s="3"/>
      <c r="AF110" s="3"/>
      <c r="AG110" s="28" t="s">
        <v>946</v>
      </c>
      <c r="AH110" s="15">
        <v>123606</v>
      </c>
      <c r="AI110" s="7">
        <f t="shared" si="73"/>
        <v>1.4809853586063118</v>
      </c>
      <c r="AJ110" s="15">
        <v>119683</v>
      </c>
      <c r="AK110" s="7">
        <f t="shared" si="74"/>
        <v>1.4339819318971507</v>
      </c>
      <c r="AL110" s="8">
        <f t="shared" si="75"/>
        <v>3.1737941523874248E-2</v>
      </c>
      <c r="AM110" s="15">
        <f t="shared" si="76"/>
        <v>3923</v>
      </c>
      <c r="AN110" s="3"/>
      <c r="AO110" s="3"/>
      <c r="AP110" s="3"/>
      <c r="AQ110" s="3"/>
      <c r="AR110" s="28" t="s">
        <v>946</v>
      </c>
      <c r="AS110" s="2">
        <v>2958825</v>
      </c>
      <c r="AT110" s="9">
        <f>AS110/L110</f>
        <v>7490.6962025316452</v>
      </c>
      <c r="AU110" s="10">
        <f t="shared" si="88"/>
        <v>35.451163403704683</v>
      </c>
      <c r="AV110" s="2">
        <v>1891131</v>
      </c>
      <c r="AW110" s="9">
        <f>AV110/L110</f>
        <v>4787.6734177215194</v>
      </c>
      <c r="AX110" s="10">
        <f t="shared" si="89"/>
        <v>22.658587141453594</v>
      </c>
      <c r="AY110" s="8">
        <f t="shared" si="90"/>
        <v>0.36085067552153305</v>
      </c>
      <c r="AZ110" s="2">
        <f t="shared" si="91"/>
        <v>1067694</v>
      </c>
      <c r="BA110" s="3"/>
      <c r="BB110" s="3"/>
      <c r="BC110" s="3"/>
      <c r="BD110" s="3"/>
      <c r="BE110" s="28" t="s">
        <v>946</v>
      </c>
      <c r="BF110" s="65">
        <v>17178395</v>
      </c>
      <c r="BG110" s="42">
        <f t="shared" si="92"/>
        <v>205.82294936617862</v>
      </c>
      <c r="BH110" s="71">
        <f>BF110-131119</f>
        <v>17047276</v>
      </c>
      <c r="BI110" s="15">
        <v>1750000</v>
      </c>
      <c r="BJ110" s="15"/>
      <c r="BK110" s="15">
        <v>23400</v>
      </c>
      <c r="BL110" s="15">
        <v>89500</v>
      </c>
      <c r="BM110" s="1353">
        <f t="shared" si="94"/>
        <v>62.202141218455267</v>
      </c>
      <c r="BN110" s="1" t="s">
        <v>947</v>
      </c>
      <c r="BO110" s="11" t="s">
        <v>248</v>
      </c>
      <c r="BP110" s="3"/>
      <c r="BQ110" s="3"/>
    </row>
    <row r="111" spans="1:69" s="41" customFormat="1" ht="27.6" customHeight="1" x14ac:dyDescent="0.2">
      <c r="A111" s="28" t="s">
        <v>1025</v>
      </c>
      <c r="B111" s="915" t="s">
        <v>953</v>
      </c>
      <c r="C111" s="11" t="s">
        <v>165</v>
      </c>
      <c r="D111" s="11" t="s">
        <v>1004</v>
      </c>
      <c r="E111" s="11"/>
      <c r="F111" s="1" t="s">
        <v>942</v>
      </c>
      <c r="G111" s="37">
        <v>42164</v>
      </c>
      <c r="H111" s="1" t="s">
        <v>4</v>
      </c>
      <c r="I111" s="33" t="s">
        <v>73</v>
      </c>
      <c r="J111" s="33" t="s">
        <v>184</v>
      </c>
      <c r="K111" s="28" t="s">
        <v>166</v>
      </c>
      <c r="L111" s="1" t="s">
        <v>13</v>
      </c>
      <c r="M111" s="2">
        <v>80200</v>
      </c>
      <c r="N111" s="2"/>
      <c r="O111" s="14">
        <v>1</v>
      </c>
      <c r="P111" s="28" t="s">
        <v>1025</v>
      </c>
      <c r="Q111" s="11" t="s">
        <v>248</v>
      </c>
      <c r="R111" s="11">
        <v>4</v>
      </c>
      <c r="S111" s="2">
        <v>6020</v>
      </c>
      <c r="T111" s="10">
        <f t="shared" si="84"/>
        <v>75.062344139650875</v>
      </c>
      <c r="U111" s="2">
        <v>5167</v>
      </c>
      <c r="V111" s="10">
        <f t="shared" si="85"/>
        <v>64.426433915211973</v>
      </c>
      <c r="W111" s="8">
        <f t="shared" si="86"/>
        <v>0.14169435215946843</v>
      </c>
      <c r="X111" s="2">
        <f t="shared" si="87"/>
        <v>853</v>
      </c>
      <c r="Y111" s="992"/>
      <c r="Z111" s="3"/>
      <c r="AA111" s="3"/>
      <c r="AB111" s="1391"/>
      <c r="AC111" s="1396">
        <v>72</v>
      </c>
      <c r="AD111" s="3"/>
      <c r="AE111" s="3"/>
      <c r="AF111" s="3"/>
      <c r="AG111" s="28" t="s">
        <v>1025</v>
      </c>
      <c r="AH111" s="15">
        <v>88975</v>
      </c>
      <c r="AI111" s="7">
        <f t="shared" si="73"/>
        <v>1.1094139650872819</v>
      </c>
      <c r="AJ111" s="15">
        <v>79804</v>
      </c>
      <c r="AK111" s="7">
        <f t="shared" si="74"/>
        <v>0.99506234413965089</v>
      </c>
      <c r="AL111" s="8">
        <f t="shared" si="75"/>
        <v>0.10307389716212419</v>
      </c>
      <c r="AM111" s="15">
        <f t="shared" si="76"/>
        <v>9171</v>
      </c>
      <c r="AN111" s="3"/>
      <c r="AO111" s="3"/>
      <c r="AP111" s="3"/>
      <c r="AQ111" s="3"/>
      <c r="AR111" s="28" t="s">
        <v>1025</v>
      </c>
      <c r="AS111" s="2">
        <v>935004</v>
      </c>
      <c r="AT111" s="1" t="s">
        <v>13</v>
      </c>
      <c r="AU111" s="10">
        <f t="shared" si="88"/>
        <v>11.658403990024938</v>
      </c>
      <c r="AV111" s="2">
        <v>509544</v>
      </c>
      <c r="AW111" s="1" t="s">
        <v>13</v>
      </c>
      <c r="AX111" s="10">
        <f t="shared" si="89"/>
        <v>6.3534164588528679</v>
      </c>
      <c r="AY111" s="8">
        <f t="shared" si="90"/>
        <v>0.45503548647920222</v>
      </c>
      <c r="AZ111" s="2">
        <f t="shared" si="91"/>
        <v>425460</v>
      </c>
      <c r="BA111" s="3"/>
      <c r="BB111" s="3"/>
      <c r="BC111" s="3"/>
      <c r="BD111" s="3"/>
      <c r="BE111" s="28" t="s">
        <v>1025</v>
      </c>
      <c r="BF111" s="65">
        <v>20979000</v>
      </c>
      <c r="BG111" s="42">
        <f t="shared" si="92"/>
        <v>261.58354114713217</v>
      </c>
      <c r="BH111" s="15">
        <v>20407437</v>
      </c>
      <c r="BI111" s="15">
        <v>1928500</v>
      </c>
      <c r="BJ111" s="15">
        <v>53000</v>
      </c>
      <c r="BK111" s="15"/>
      <c r="BL111" s="15">
        <v>45670</v>
      </c>
      <c r="BM111" s="1353">
        <f t="shared" si="94"/>
        <v>73.081779522407587</v>
      </c>
      <c r="BN111" s="1" t="s">
        <v>304</v>
      </c>
      <c r="BO111" s="11" t="s">
        <v>247</v>
      </c>
      <c r="BP111" s="3"/>
      <c r="BQ111" s="3"/>
    </row>
    <row r="112" spans="1:69" s="3" customFormat="1" ht="27.6" customHeight="1" x14ac:dyDescent="0.2">
      <c r="A112" s="28" t="s">
        <v>495</v>
      </c>
      <c r="B112" s="11"/>
      <c r="C112" s="11" t="s">
        <v>198</v>
      </c>
      <c r="D112" s="11" t="s">
        <v>987</v>
      </c>
      <c r="E112" s="11"/>
      <c r="F112" s="1" t="s">
        <v>543</v>
      </c>
      <c r="G112" s="37">
        <v>42018</v>
      </c>
      <c r="H112" s="11" t="s">
        <v>4</v>
      </c>
      <c r="I112" s="33" t="s">
        <v>184</v>
      </c>
      <c r="J112" s="33" t="s">
        <v>184</v>
      </c>
      <c r="K112" s="28" t="s">
        <v>496</v>
      </c>
      <c r="L112" s="1">
        <v>275</v>
      </c>
      <c r="M112" s="2">
        <v>112886</v>
      </c>
      <c r="N112" s="19">
        <f>M112/L112</f>
        <v>410.49454545454546</v>
      </c>
      <c r="O112" s="14">
        <v>7</v>
      </c>
      <c r="P112" s="28" t="s">
        <v>495</v>
      </c>
      <c r="Q112" s="11" t="s">
        <v>248</v>
      </c>
      <c r="R112" s="11">
        <v>4</v>
      </c>
      <c r="S112" s="2">
        <v>9032</v>
      </c>
      <c r="T112" s="10">
        <f t="shared" si="84"/>
        <v>80.009921513739528</v>
      </c>
      <c r="U112" s="2">
        <v>7916</v>
      </c>
      <c r="V112" s="10">
        <f t="shared" si="85"/>
        <v>70.123841751855849</v>
      </c>
      <c r="W112" s="8">
        <f t="shared" si="86"/>
        <v>0.12356067316209035</v>
      </c>
      <c r="X112" s="2">
        <f t="shared" si="87"/>
        <v>1116</v>
      </c>
      <c r="Y112" s="992"/>
      <c r="AB112" s="1391" t="s">
        <v>1298</v>
      </c>
      <c r="AC112" s="1396">
        <v>58</v>
      </c>
      <c r="AG112" s="28" t="s">
        <v>495</v>
      </c>
      <c r="AH112" s="15">
        <v>219320</v>
      </c>
      <c r="AI112" s="7">
        <f t="shared" si="73"/>
        <v>1.9428449940648087</v>
      </c>
      <c r="AJ112" s="15">
        <v>186485</v>
      </c>
      <c r="AK112" s="7">
        <f t="shared" si="74"/>
        <v>1.6519763301029358</v>
      </c>
      <c r="AL112" s="8">
        <f t="shared" si="75"/>
        <v>0.14971274849534927</v>
      </c>
      <c r="AM112" s="15">
        <f t="shared" si="76"/>
        <v>32835</v>
      </c>
      <c r="AR112" s="28" t="s">
        <v>495</v>
      </c>
      <c r="AS112" s="2">
        <v>917871</v>
      </c>
      <c r="AT112" s="9">
        <f>AS112/L112</f>
        <v>3337.7127272727271</v>
      </c>
      <c r="AU112" s="10">
        <f t="shared" si="88"/>
        <v>8.1309551228673183</v>
      </c>
      <c r="AV112" s="2">
        <v>584333</v>
      </c>
      <c r="AW112" s="9">
        <f>AV112/L112</f>
        <v>2124.8472727272729</v>
      </c>
      <c r="AX112" s="10">
        <f t="shared" si="89"/>
        <v>5.1763106142480027</v>
      </c>
      <c r="AY112" s="8">
        <f t="shared" si="90"/>
        <v>0.36338221819841787</v>
      </c>
      <c r="AZ112" s="2">
        <f t="shared" si="91"/>
        <v>333538</v>
      </c>
      <c r="BE112" s="28" t="s">
        <v>495</v>
      </c>
      <c r="BF112" s="65">
        <v>26052469</v>
      </c>
      <c r="BG112" s="42">
        <f t="shared" si="92"/>
        <v>230.78565101075421</v>
      </c>
      <c r="BH112" s="15">
        <v>25799369</v>
      </c>
      <c r="BI112" s="242">
        <v>1961668</v>
      </c>
      <c r="BJ112" s="71">
        <v>53300</v>
      </c>
      <c r="BK112" s="71">
        <v>31970</v>
      </c>
      <c r="BL112" s="15">
        <v>250000</v>
      </c>
      <c r="BM112" s="1353">
        <f t="shared" si="94"/>
        <v>17.918988883813004</v>
      </c>
      <c r="BN112" s="1" t="s">
        <v>296</v>
      </c>
      <c r="BO112" s="11" t="s">
        <v>248</v>
      </c>
      <c r="BP112" s="346"/>
    </row>
    <row r="113" spans="1:69" s="3" customFormat="1" ht="27.6" customHeight="1" x14ac:dyDescent="0.2">
      <c r="A113" s="28" t="s">
        <v>426</v>
      </c>
      <c r="B113" s="11"/>
      <c r="C113" s="11" t="s">
        <v>63</v>
      </c>
      <c r="D113" s="11" t="s">
        <v>985</v>
      </c>
      <c r="E113" s="11" t="s">
        <v>545</v>
      </c>
      <c r="F113" s="1" t="s">
        <v>490</v>
      </c>
      <c r="G113" s="37">
        <v>41829</v>
      </c>
      <c r="H113" s="11" t="s">
        <v>4</v>
      </c>
      <c r="I113" s="33" t="s">
        <v>73</v>
      </c>
      <c r="J113" s="33" t="s">
        <v>184</v>
      </c>
      <c r="K113" s="28" t="s">
        <v>135</v>
      </c>
      <c r="L113" s="1">
        <v>440</v>
      </c>
      <c r="M113" s="2">
        <v>99436</v>
      </c>
      <c r="N113" s="19">
        <f>M113/L113</f>
        <v>225.9909090909091</v>
      </c>
      <c r="O113" s="14">
        <v>12</v>
      </c>
      <c r="P113" s="28" t="s">
        <v>426</v>
      </c>
      <c r="Q113" s="11" t="s">
        <v>248</v>
      </c>
      <c r="R113" s="11">
        <v>3</v>
      </c>
      <c r="S113" s="2">
        <v>5384</v>
      </c>
      <c r="T113" s="10">
        <f t="shared" si="84"/>
        <v>54.145379942877831</v>
      </c>
      <c r="U113" s="2">
        <v>4674</v>
      </c>
      <c r="V113" s="10">
        <f t="shared" si="85"/>
        <v>47.00510881370932</v>
      </c>
      <c r="W113" s="8">
        <f t="shared" si="86"/>
        <v>0.13187221396731055</v>
      </c>
      <c r="X113" s="2">
        <f t="shared" si="87"/>
        <v>710</v>
      </c>
      <c r="Y113" s="992"/>
      <c r="AB113" s="1391" t="s">
        <v>1298</v>
      </c>
      <c r="AC113" s="1396">
        <v>47</v>
      </c>
      <c r="AG113" s="28" t="s">
        <v>426</v>
      </c>
      <c r="AH113" s="15">
        <v>58913</v>
      </c>
      <c r="AI113" s="7">
        <f t="shared" si="73"/>
        <v>0.59247153948268227</v>
      </c>
      <c r="AJ113" s="15">
        <v>50839</v>
      </c>
      <c r="AK113" s="7">
        <f t="shared" si="74"/>
        <v>0.51127358300816605</v>
      </c>
      <c r="AL113" s="8">
        <f t="shared" si="75"/>
        <v>0.13704954763804253</v>
      </c>
      <c r="AM113" s="15">
        <f t="shared" si="76"/>
        <v>8074</v>
      </c>
      <c r="AR113" s="28" t="s">
        <v>426</v>
      </c>
      <c r="AS113" s="2">
        <v>4280271</v>
      </c>
      <c r="AT113" s="9">
        <f>AS113/L113</f>
        <v>9727.8886363636357</v>
      </c>
      <c r="AU113" s="10">
        <f t="shared" si="88"/>
        <v>43.045486544108776</v>
      </c>
      <c r="AV113" s="2">
        <v>2887348</v>
      </c>
      <c r="AW113" s="9">
        <f>AV113/L113</f>
        <v>6562.1545454545458</v>
      </c>
      <c r="AX113" s="10">
        <f t="shared" si="89"/>
        <v>29.037250090510479</v>
      </c>
      <c r="AY113" s="8">
        <f t="shared" si="90"/>
        <v>0.32542869365047211</v>
      </c>
      <c r="AZ113" s="2">
        <f t="shared" si="91"/>
        <v>1392923</v>
      </c>
      <c r="BE113" s="28" t="s">
        <v>426</v>
      </c>
      <c r="BF113" s="65">
        <v>15688400</v>
      </c>
      <c r="BG113" s="42">
        <f t="shared" si="92"/>
        <v>157.77384448288348</v>
      </c>
      <c r="BH113" s="15">
        <v>15615290</v>
      </c>
      <c r="BI113" s="15">
        <v>1287470</v>
      </c>
      <c r="BJ113" s="71"/>
      <c r="BK113" s="71">
        <v>4100</v>
      </c>
      <c r="BL113" s="15">
        <v>100000</v>
      </c>
      <c r="BM113" s="1353">
        <f t="shared" si="94"/>
        <v>21.948228882833789</v>
      </c>
      <c r="BN113" s="1" t="s">
        <v>304</v>
      </c>
      <c r="BO113" s="11" t="s">
        <v>248</v>
      </c>
      <c r="BP113" s="346">
        <f>BF113-BH113</f>
        <v>73110</v>
      </c>
    </row>
    <row r="114" spans="1:69" s="41" customFormat="1" ht="27.6" customHeight="1" x14ac:dyDescent="0.2">
      <c r="A114" s="28" t="s">
        <v>197</v>
      </c>
      <c r="B114" s="11"/>
      <c r="C114" s="11" t="s">
        <v>198</v>
      </c>
      <c r="D114" s="11" t="s">
        <v>987</v>
      </c>
      <c r="E114" s="11"/>
      <c r="F114" s="1" t="s">
        <v>199</v>
      </c>
      <c r="G114" s="37">
        <v>41579</v>
      </c>
      <c r="H114" s="1" t="s">
        <v>4</v>
      </c>
      <c r="I114" s="33" t="s">
        <v>73</v>
      </c>
      <c r="J114" s="33" t="s">
        <v>184</v>
      </c>
      <c r="K114" s="4" t="s">
        <v>200</v>
      </c>
      <c r="L114" s="1" t="s">
        <v>13</v>
      </c>
      <c r="M114" s="2">
        <v>274810</v>
      </c>
      <c r="N114" s="2"/>
      <c r="O114" s="14">
        <v>9</v>
      </c>
      <c r="P114" s="28" t="s">
        <v>197</v>
      </c>
      <c r="Q114" s="11" t="s">
        <v>249</v>
      </c>
      <c r="R114" s="11">
        <v>4</v>
      </c>
      <c r="S114" s="2">
        <v>15342</v>
      </c>
      <c r="T114" s="10">
        <f t="shared" si="84"/>
        <v>55.827662748808265</v>
      </c>
      <c r="U114" s="2">
        <v>11509</v>
      </c>
      <c r="V114" s="10">
        <f t="shared" si="85"/>
        <v>41.87984425603144</v>
      </c>
      <c r="W114" s="8">
        <f t="shared" si="86"/>
        <v>0.24983704862469039</v>
      </c>
      <c r="X114" s="2">
        <f t="shared" si="87"/>
        <v>3833</v>
      </c>
      <c r="Y114" s="992"/>
      <c r="Z114" s="3"/>
      <c r="AA114" s="3"/>
      <c r="AB114" s="1391"/>
      <c r="AC114" s="1396"/>
      <c r="AD114" s="3"/>
      <c r="AE114" s="3"/>
      <c r="AF114" s="3"/>
      <c r="AG114" s="28" t="s">
        <v>197</v>
      </c>
      <c r="AH114" s="15">
        <v>293091</v>
      </c>
      <c r="AI114" s="7">
        <f t="shared" si="73"/>
        <v>1.0665223245151196</v>
      </c>
      <c r="AJ114" s="15">
        <v>229379</v>
      </c>
      <c r="AK114" s="7">
        <f t="shared" si="74"/>
        <v>0.83468214402678209</v>
      </c>
      <c r="AL114" s="8">
        <f t="shared" si="75"/>
        <v>0.21737958518002942</v>
      </c>
      <c r="AM114" s="15">
        <f t="shared" si="76"/>
        <v>63712</v>
      </c>
      <c r="AN114" s="3"/>
      <c r="AO114" s="3"/>
      <c r="AP114" s="3"/>
      <c r="AQ114" s="3"/>
      <c r="AR114" s="28" t="s">
        <v>197</v>
      </c>
      <c r="AS114" s="2">
        <v>1871354</v>
      </c>
      <c r="AT114" s="1" t="s">
        <v>13</v>
      </c>
      <c r="AU114" s="10">
        <f t="shared" si="88"/>
        <v>6.809628470579673</v>
      </c>
      <c r="AV114" s="2">
        <v>1339798</v>
      </c>
      <c r="AW114" s="1" t="s">
        <v>13</v>
      </c>
      <c r="AX114" s="10">
        <f t="shared" si="89"/>
        <v>4.8753611586186816</v>
      </c>
      <c r="AY114" s="8">
        <f t="shared" si="90"/>
        <v>0.28404887584070143</v>
      </c>
      <c r="AZ114" s="2">
        <f t="shared" si="91"/>
        <v>531556</v>
      </c>
      <c r="BA114" s="3"/>
      <c r="BB114" s="3"/>
      <c r="BC114" s="3"/>
      <c r="BD114" s="3"/>
      <c r="BE114" s="28" t="s">
        <v>197</v>
      </c>
      <c r="BF114" s="65">
        <v>72817169</v>
      </c>
      <c r="BG114" s="42">
        <f t="shared" si="92"/>
        <v>264.97277755540193</v>
      </c>
      <c r="BH114" s="15">
        <v>78341076</v>
      </c>
      <c r="BI114" s="15">
        <v>7995000</v>
      </c>
      <c r="BJ114" s="15">
        <f>178500+44500</f>
        <v>223000</v>
      </c>
      <c r="BK114" s="15">
        <v>65350</v>
      </c>
      <c r="BL114" s="15">
        <v>500000</v>
      </c>
      <c r="BM114" s="1353">
        <f t="shared" si="94"/>
        <v>-74.327552109492714</v>
      </c>
      <c r="BN114" s="11" t="s">
        <v>423</v>
      </c>
      <c r="BO114" s="11" t="s">
        <v>249</v>
      </c>
      <c r="BP114" s="3"/>
      <c r="BQ114" s="3"/>
    </row>
    <row r="115" spans="1:69" s="41" customFormat="1" ht="27.6" customHeight="1" x14ac:dyDescent="0.2">
      <c r="A115" s="4" t="s">
        <v>115</v>
      </c>
      <c r="B115" s="915" t="s">
        <v>953</v>
      </c>
      <c r="C115" s="11" t="s">
        <v>100</v>
      </c>
      <c r="D115" s="11" t="s">
        <v>1000</v>
      </c>
      <c r="E115" s="11" t="s">
        <v>549</v>
      </c>
      <c r="F115" s="1" t="s">
        <v>114</v>
      </c>
      <c r="G115" s="33">
        <v>41365</v>
      </c>
      <c r="H115" s="11" t="s">
        <v>10</v>
      </c>
      <c r="I115" s="33" t="s">
        <v>526</v>
      </c>
      <c r="J115" s="33" t="s">
        <v>184</v>
      </c>
      <c r="K115" s="4" t="s">
        <v>90</v>
      </c>
      <c r="L115" s="11" t="s">
        <v>13</v>
      </c>
      <c r="M115" s="6">
        <v>123275</v>
      </c>
      <c r="N115" s="6"/>
      <c r="O115" s="49">
        <v>6</v>
      </c>
      <c r="P115" s="4" t="s">
        <v>115</v>
      </c>
      <c r="Q115" s="11" t="s">
        <v>247</v>
      </c>
      <c r="R115" s="11">
        <v>4</v>
      </c>
      <c r="S115" s="2">
        <v>23068</v>
      </c>
      <c r="T115" s="12">
        <f t="shared" si="84"/>
        <v>187.1263435408639</v>
      </c>
      <c r="U115" s="2">
        <v>15903</v>
      </c>
      <c r="V115" s="23">
        <f t="shared" si="85"/>
        <v>129.00425877104036</v>
      </c>
      <c r="W115" s="5">
        <f t="shared" si="86"/>
        <v>0.3106034333275533</v>
      </c>
      <c r="X115" s="13">
        <f t="shared" si="87"/>
        <v>7165</v>
      </c>
      <c r="Y115" s="967"/>
      <c r="Z115" s="14"/>
      <c r="AA115" s="2"/>
      <c r="AB115" s="1391"/>
      <c r="AC115" s="1394"/>
      <c r="AD115" s="2"/>
      <c r="AE115" s="2"/>
      <c r="AF115" s="2"/>
      <c r="AG115" s="4" t="s">
        <v>115</v>
      </c>
      <c r="AH115" s="15">
        <v>425425</v>
      </c>
      <c r="AI115" s="7">
        <f t="shared" si="73"/>
        <v>3.4510241330358955</v>
      </c>
      <c r="AJ115" s="15">
        <v>296267</v>
      </c>
      <c r="AK115" s="7">
        <f t="shared" si="74"/>
        <v>2.4033015615493816</v>
      </c>
      <c r="AL115" s="8">
        <f t="shared" si="75"/>
        <v>0.30359757889169653</v>
      </c>
      <c r="AM115" s="16">
        <f t="shared" si="76"/>
        <v>129158</v>
      </c>
      <c r="AN115" s="3"/>
      <c r="AO115" s="2"/>
      <c r="AP115" s="2"/>
      <c r="AQ115" s="2"/>
      <c r="AR115" s="4" t="s">
        <v>115</v>
      </c>
      <c r="AS115" s="2">
        <v>1377837</v>
      </c>
      <c r="AT115" s="9" t="s">
        <v>13</v>
      </c>
      <c r="AU115" s="2">
        <f t="shared" si="88"/>
        <v>11.176937740823362</v>
      </c>
      <c r="AV115" s="2">
        <v>878485</v>
      </c>
      <c r="AW115" s="9" t="s">
        <v>13</v>
      </c>
      <c r="AX115" s="2">
        <f t="shared" si="89"/>
        <v>7.1262218616913406</v>
      </c>
      <c r="AY115" s="8">
        <f t="shared" si="90"/>
        <v>0.36241732512626673</v>
      </c>
      <c r="AZ115" s="17">
        <f t="shared" si="91"/>
        <v>499352</v>
      </c>
      <c r="BA115" s="3"/>
      <c r="BB115" s="9"/>
      <c r="BC115" s="2"/>
      <c r="BD115" s="2"/>
      <c r="BE115" s="4" t="s">
        <v>115</v>
      </c>
      <c r="BF115" s="65">
        <v>42881459</v>
      </c>
      <c r="BG115" s="42">
        <f t="shared" si="92"/>
        <v>347.85203001419592</v>
      </c>
      <c r="BH115" s="15">
        <v>39331912</v>
      </c>
      <c r="BI115" s="15">
        <v>4603210</v>
      </c>
      <c r="BJ115" s="15">
        <v>138000</v>
      </c>
      <c r="BK115" s="15"/>
      <c r="BL115" s="15">
        <v>455967</v>
      </c>
      <c r="BM115" s="1353">
        <f t="shared" si="94"/>
        <v>32.080970594155993</v>
      </c>
      <c r="BN115" s="1" t="s">
        <v>298</v>
      </c>
      <c r="BO115" s="11" t="s">
        <v>247</v>
      </c>
      <c r="BP115" s="3"/>
      <c r="BQ115" s="3"/>
    </row>
    <row r="116" spans="1:69" s="3" customFormat="1" ht="27.6" customHeight="1" x14ac:dyDescent="0.2">
      <c r="A116" s="4" t="s">
        <v>58</v>
      </c>
      <c r="B116" s="11"/>
      <c r="C116" s="11" t="s">
        <v>45</v>
      </c>
      <c r="D116" s="11" t="s">
        <v>989</v>
      </c>
      <c r="E116" s="11"/>
      <c r="F116" s="1" t="s">
        <v>57</v>
      </c>
      <c r="G116" s="33">
        <v>41088</v>
      </c>
      <c r="H116" s="11" t="s">
        <v>10</v>
      </c>
      <c r="I116" s="33" t="s">
        <v>184</v>
      </c>
      <c r="J116" s="33" t="s">
        <v>184</v>
      </c>
      <c r="K116" s="4" t="s">
        <v>65</v>
      </c>
      <c r="L116" s="11" t="s">
        <v>13</v>
      </c>
      <c r="M116" s="6">
        <v>34386</v>
      </c>
      <c r="N116" s="6"/>
      <c r="O116" s="14">
        <v>2</v>
      </c>
      <c r="P116" s="4" t="s">
        <v>58</v>
      </c>
      <c r="Q116" s="11" t="s">
        <v>247</v>
      </c>
      <c r="R116" s="11">
        <v>4</v>
      </c>
      <c r="S116" s="2">
        <v>2484</v>
      </c>
      <c r="T116" s="12">
        <f t="shared" si="84"/>
        <v>72.238701797243067</v>
      </c>
      <c r="U116" s="2">
        <v>1436</v>
      </c>
      <c r="V116" s="23">
        <f t="shared" si="85"/>
        <v>41.761181876345027</v>
      </c>
      <c r="W116" s="5">
        <f t="shared" si="86"/>
        <v>0.4219001610305958</v>
      </c>
      <c r="X116" s="13">
        <f t="shared" si="87"/>
        <v>1048</v>
      </c>
      <c r="Y116" s="967"/>
      <c r="Z116" s="25"/>
      <c r="AA116" s="2"/>
      <c r="AB116" s="1391"/>
      <c r="AC116" s="1394"/>
      <c r="AD116" s="2"/>
      <c r="AE116" s="2"/>
      <c r="AF116" s="2"/>
      <c r="AG116" s="4" t="s">
        <v>58</v>
      </c>
      <c r="AH116" s="15">
        <v>59882</v>
      </c>
      <c r="AI116" s="7">
        <f t="shared" si="73"/>
        <v>1.74146454952597</v>
      </c>
      <c r="AJ116" s="15">
        <v>41042</v>
      </c>
      <c r="AK116" s="7">
        <f t="shared" si="74"/>
        <v>1.1935671494212761</v>
      </c>
      <c r="AL116" s="8">
        <f t="shared" si="75"/>
        <v>0.31461875020874386</v>
      </c>
      <c r="AM116" s="16">
        <f t="shared" si="76"/>
        <v>18840</v>
      </c>
      <c r="AN116" s="7"/>
      <c r="AO116" s="2"/>
      <c r="AP116" s="2"/>
      <c r="AQ116" s="2"/>
      <c r="AR116" s="4" t="s">
        <v>58</v>
      </c>
      <c r="AS116" s="2">
        <v>667359</v>
      </c>
      <c r="AT116" s="9" t="s">
        <v>13</v>
      </c>
      <c r="AU116" s="2">
        <f t="shared" si="88"/>
        <v>19.407869481765836</v>
      </c>
      <c r="AV116" s="2">
        <v>310095</v>
      </c>
      <c r="AW116" s="9" t="s">
        <v>13</v>
      </c>
      <c r="AX116" s="2">
        <f t="shared" si="89"/>
        <v>9.0180596754493116</v>
      </c>
      <c r="AY116" s="8">
        <f t="shared" si="90"/>
        <v>0.53534004935874091</v>
      </c>
      <c r="AZ116" s="2">
        <f t="shared" si="91"/>
        <v>357264</v>
      </c>
      <c r="BB116" s="9"/>
      <c r="BC116" s="2"/>
      <c r="BD116" s="2"/>
      <c r="BE116" s="4" t="s">
        <v>58</v>
      </c>
      <c r="BF116" s="65">
        <v>6245727</v>
      </c>
      <c r="BG116" s="42">
        <f t="shared" si="92"/>
        <v>181.6357529227011</v>
      </c>
      <c r="BH116" s="15">
        <v>5604454</v>
      </c>
      <c r="BI116" s="71" t="s">
        <v>204</v>
      </c>
      <c r="BJ116" s="71" t="s">
        <v>204</v>
      </c>
      <c r="BK116" s="11"/>
      <c r="BL116" s="15">
        <v>84000</v>
      </c>
      <c r="BM116" s="1353"/>
      <c r="BN116" s="1"/>
      <c r="BO116" s="11" t="s">
        <v>247</v>
      </c>
      <c r="BP116" s="41"/>
      <c r="BQ116" s="41"/>
    </row>
    <row r="117" spans="1:69" s="3" customFormat="1" ht="27.6" customHeight="1" x14ac:dyDescent="0.2">
      <c r="A117" s="20" t="s">
        <v>50</v>
      </c>
      <c r="B117" s="19"/>
      <c r="C117" s="19" t="s">
        <v>6</v>
      </c>
      <c r="D117" s="19" t="s">
        <v>990</v>
      </c>
      <c r="E117" s="19" t="s">
        <v>547</v>
      </c>
      <c r="F117" s="9" t="s">
        <v>49</v>
      </c>
      <c r="G117" s="34">
        <v>40567</v>
      </c>
      <c r="H117" s="19" t="s">
        <v>10</v>
      </c>
      <c r="I117" s="33" t="s">
        <v>184</v>
      </c>
      <c r="J117" s="34" t="s">
        <v>184</v>
      </c>
      <c r="K117" s="20" t="s">
        <v>51</v>
      </c>
      <c r="L117" s="19" t="s">
        <v>13</v>
      </c>
      <c r="M117" s="6">
        <v>44000</v>
      </c>
      <c r="N117" s="6"/>
      <c r="O117" s="49">
        <v>1</v>
      </c>
      <c r="P117" s="20" t="s">
        <v>50</v>
      </c>
      <c r="Q117" s="11" t="s">
        <v>247</v>
      </c>
      <c r="R117" s="11">
        <v>3</v>
      </c>
      <c r="S117" s="2">
        <v>1913</v>
      </c>
      <c r="T117" s="12">
        <f t="shared" si="84"/>
        <v>43.477272727272727</v>
      </c>
      <c r="U117" s="2">
        <v>1115</v>
      </c>
      <c r="V117" s="23">
        <f t="shared" si="85"/>
        <v>25.34090909090909</v>
      </c>
      <c r="W117" s="5">
        <f t="shared" si="86"/>
        <v>0.41714584422373235</v>
      </c>
      <c r="X117" s="13">
        <f t="shared" si="87"/>
        <v>798</v>
      </c>
      <c r="Y117" s="967"/>
      <c r="Z117" s="21"/>
      <c r="AA117" s="2"/>
      <c r="AB117" s="1391"/>
      <c r="AC117" s="1394"/>
      <c r="AD117" s="2"/>
      <c r="AE117" s="2"/>
      <c r="AF117" s="2"/>
      <c r="AG117" s="20" t="s">
        <v>50</v>
      </c>
      <c r="AH117" s="15">
        <v>118819</v>
      </c>
      <c r="AI117" s="7">
        <f t="shared" si="73"/>
        <v>2.7004318181818183</v>
      </c>
      <c r="AJ117" s="15">
        <v>67443</v>
      </c>
      <c r="AK117" s="7">
        <f t="shared" si="74"/>
        <v>1.5327954545454545</v>
      </c>
      <c r="AL117" s="8">
        <f t="shared" si="75"/>
        <v>0.43238875937350085</v>
      </c>
      <c r="AM117" s="16">
        <f t="shared" si="76"/>
        <v>51376</v>
      </c>
      <c r="AN117" s="22"/>
      <c r="AO117" s="2"/>
      <c r="AP117" s="2"/>
      <c r="AQ117" s="2"/>
      <c r="AR117" s="20" t="s">
        <v>50</v>
      </c>
      <c r="AS117" s="2">
        <v>179563</v>
      </c>
      <c r="AT117" s="9" t="s">
        <v>13</v>
      </c>
      <c r="AU117" s="2">
        <f t="shared" si="88"/>
        <v>4.0809772727272726</v>
      </c>
      <c r="AV117" s="2">
        <v>121788</v>
      </c>
      <c r="AW117" s="9" t="s">
        <v>13</v>
      </c>
      <c r="AX117" s="2">
        <f t="shared" si="89"/>
        <v>2.7679090909090909</v>
      </c>
      <c r="AY117" s="8">
        <f t="shared" si="90"/>
        <v>0.32175336789873193</v>
      </c>
      <c r="AZ117" s="17">
        <f t="shared" si="91"/>
        <v>57775</v>
      </c>
      <c r="BA117" s="2"/>
      <c r="BB117" s="2"/>
      <c r="BC117" s="2"/>
      <c r="BD117" s="2"/>
      <c r="BE117" s="20" t="s">
        <v>50</v>
      </c>
      <c r="BF117" s="945"/>
      <c r="BG117" s="261"/>
      <c r="BH117" s="41"/>
      <c r="BI117" s="15"/>
      <c r="BJ117" s="15"/>
      <c r="BM117" s="1353"/>
      <c r="BN117" s="1"/>
      <c r="BO117" s="11" t="s">
        <v>247</v>
      </c>
    </row>
    <row r="118" spans="1:69" s="3" customFormat="1" ht="27.6" customHeight="1" x14ac:dyDescent="0.2">
      <c r="A118" s="28" t="s">
        <v>131</v>
      </c>
      <c r="B118" s="11"/>
      <c r="C118" s="11" t="s">
        <v>130</v>
      </c>
      <c r="D118" s="11" t="s">
        <v>985</v>
      </c>
      <c r="E118" s="11"/>
      <c r="F118" s="1" t="s">
        <v>129</v>
      </c>
      <c r="G118" s="37">
        <v>40836</v>
      </c>
      <c r="H118" s="1" t="s">
        <v>22</v>
      </c>
      <c r="I118" s="33" t="s">
        <v>184</v>
      </c>
      <c r="J118" s="33" t="s">
        <v>184</v>
      </c>
      <c r="K118" s="28" t="s">
        <v>132</v>
      </c>
      <c r="L118" s="1" t="s">
        <v>13</v>
      </c>
      <c r="M118" s="2">
        <v>68400</v>
      </c>
      <c r="N118" s="2"/>
      <c r="O118" s="14">
        <v>1</v>
      </c>
      <c r="P118" s="28" t="s">
        <v>131</v>
      </c>
      <c r="Q118" s="11" t="s">
        <v>247</v>
      </c>
      <c r="R118" s="11">
        <v>3</v>
      </c>
      <c r="S118" s="2">
        <v>23291</v>
      </c>
      <c r="T118" s="10">
        <f t="shared" si="84"/>
        <v>340.51169590643275</v>
      </c>
      <c r="U118" s="2">
        <v>8015</v>
      </c>
      <c r="V118" s="10">
        <f t="shared" si="85"/>
        <v>117.17836257309941</v>
      </c>
      <c r="W118" s="8">
        <f t="shared" si="86"/>
        <v>0.655875660126229</v>
      </c>
      <c r="X118" s="2">
        <f t="shared" si="87"/>
        <v>15276</v>
      </c>
      <c r="Y118" s="992"/>
      <c r="AB118" s="1391"/>
      <c r="AC118" s="1396"/>
      <c r="AG118" s="28" t="s">
        <v>131</v>
      </c>
      <c r="AH118" s="15">
        <v>210152</v>
      </c>
      <c r="AI118" s="7">
        <f t="shared" si="73"/>
        <v>3.0723976608187136</v>
      </c>
      <c r="AJ118" s="15">
        <v>107570</v>
      </c>
      <c r="AK118" s="7">
        <f t="shared" si="74"/>
        <v>1.5726608187134503</v>
      </c>
      <c r="AL118" s="8">
        <f t="shared" si="75"/>
        <v>0.48813239940614411</v>
      </c>
      <c r="AM118" s="15">
        <f t="shared" si="76"/>
        <v>102582</v>
      </c>
      <c r="AR118" s="28" t="s">
        <v>131</v>
      </c>
      <c r="AW118" s="1"/>
      <c r="BE118" s="28" t="s">
        <v>131</v>
      </c>
      <c r="BF118" s="65"/>
      <c r="BG118" s="42"/>
      <c r="BI118" s="15"/>
      <c r="BJ118" s="15"/>
      <c r="BM118" s="1353"/>
      <c r="BN118" s="1"/>
      <c r="BO118" s="11" t="s">
        <v>247</v>
      </c>
    </row>
    <row r="119" spans="1:69" s="3" customFormat="1" ht="27.6" customHeight="1" x14ac:dyDescent="0.2">
      <c r="A119" s="4" t="s">
        <v>18</v>
      </c>
      <c r="B119" s="11"/>
      <c r="C119" s="11" t="s">
        <v>77</v>
      </c>
      <c r="D119" s="11" t="s">
        <v>991</v>
      </c>
      <c r="E119" s="11"/>
      <c r="F119" s="1" t="s">
        <v>17</v>
      </c>
      <c r="G119" s="33">
        <v>40534</v>
      </c>
      <c r="H119" s="11" t="s">
        <v>19</v>
      </c>
      <c r="I119" s="33" t="s">
        <v>184</v>
      </c>
      <c r="J119" s="33" t="s">
        <v>184</v>
      </c>
      <c r="K119" s="4" t="s">
        <v>12</v>
      </c>
      <c r="L119" s="11" t="s">
        <v>13</v>
      </c>
      <c r="M119" s="6">
        <v>34271</v>
      </c>
      <c r="N119" s="6"/>
      <c r="O119" s="49">
        <v>2</v>
      </c>
      <c r="P119" s="4" t="s">
        <v>18</v>
      </c>
      <c r="Q119" s="11" t="s">
        <v>247</v>
      </c>
      <c r="R119" s="11">
        <v>3</v>
      </c>
      <c r="S119" s="2">
        <v>2178</v>
      </c>
      <c r="T119" s="12">
        <f t="shared" si="84"/>
        <v>63.552274517813892</v>
      </c>
      <c r="U119" s="2">
        <v>1492</v>
      </c>
      <c r="V119" s="23">
        <f t="shared" si="85"/>
        <v>43.535350587960664</v>
      </c>
      <c r="W119" s="5">
        <f t="shared" si="86"/>
        <v>0.31496786042240588</v>
      </c>
      <c r="X119" s="13">
        <f t="shared" si="87"/>
        <v>686</v>
      </c>
      <c r="Y119" s="967"/>
      <c r="Z119" s="25"/>
      <c r="AA119" s="2"/>
      <c r="AB119" s="1391"/>
      <c r="AC119" s="1394"/>
      <c r="AD119" s="2"/>
      <c r="AE119" s="2"/>
      <c r="AF119" s="2"/>
      <c r="AG119" s="4" t="s">
        <v>18</v>
      </c>
      <c r="AH119" s="15">
        <v>51338</v>
      </c>
      <c r="AI119" s="7">
        <f t="shared" si="73"/>
        <v>1.4980012255259549</v>
      </c>
      <c r="AJ119" s="15">
        <v>36026</v>
      </c>
      <c r="AK119" s="7">
        <f t="shared" si="74"/>
        <v>1.0512094774007179</v>
      </c>
      <c r="AL119" s="8">
        <f t="shared" si="75"/>
        <v>0.29825859986754449</v>
      </c>
      <c r="AM119" s="16">
        <f t="shared" si="76"/>
        <v>15312</v>
      </c>
      <c r="AN119" s="7"/>
      <c r="AO119" s="2"/>
      <c r="AP119" s="2"/>
      <c r="AQ119" s="2"/>
      <c r="AR119" s="4" t="s">
        <v>18</v>
      </c>
      <c r="AS119" s="2"/>
      <c r="AT119" s="9" t="s">
        <v>13</v>
      </c>
      <c r="AU119" s="2">
        <f>AS119/M119</f>
        <v>0</v>
      </c>
      <c r="AW119" s="9" t="s">
        <v>13</v>
      </c>
      <c r="AX119" s="2">
        <f>AV119/M119</f>
        <v>0</v>
      </c>
      <c r="AY119" s="8"/>
      <c r="AZ119" s="17">
        <f>AS119-AV119</f>
        <v>0</v>
      </c>
      <c r="BB119" s="9"/>
      <c r="BC119" s="2"/>
      <c r="BD119" s="2"/>
      <c r="BE119" s="4" t="s">
        <v>18</v>
      </c>
      <c r="BF119" s="945"/>
      <c r="BG119" s="261"/>
      <c r="BH119" s="41"/>
      <c r="BI119" s="15"/>
      <c r="BJ119" s="15"/>
      <c r="BM119" s="1353"/>
      <c r="BN119" s="1"/>
      <c r="BO119" s="11" t="s">
        <v>247</v>
      </c>
    </row>
    <row r="120" spans="1:69" s="3" customFormat="1" ht="27.6" customHeight="1" x14ac:dyDescent="0.2">
      <c r="A120" s="4" t="s">
        <v>87</v>
      </c>
      <c r="B120" s="11"/>
      <c r="C120" s="11" t="s">
        <v>86</v>
      </c>
      <c r="D120" s="11"/>
      <c r="E120" s="11"/>
      <c r="F120" s="1" t="s">
        <v>85</v>
      </c>
      <c r="G120" s="33">
        <v>40382</v>
      </c>
      <c r="H120" s="11" t="s">
        <v>10</v>
      </c>
      <c r="I120" s="33" t="s">
        <v>185</v>
      </c>
      <c r="J120" s="33" t="s">
        <v>184</v>
      </c>
      <c r="K120" s="4" t="s">
        <v>88</v>
      </c>
      <c r="L120" s="11" t="s">
        <v>13</v>
      </c>
      <c r="M120" s="6">
        <v>75000</v>
      </c>
      <c r="N120" s="6"/>
      <c r="O120" s="49">
        <v>3</v>
      </c>
      <c r="P120" s="4" t="s">
        <v>87</v>
      </c>
      <c r="Q120" s="11" t="s">
        <v>247</v>
      </c>
      <c r="R120" s="11">
        <v>4</v>
      </c>
      <c r="S120" s="2">
        <v>5827</v>
      </c>
      <c r="T120" s="12">
        <f t="shared" si="84"/>
        <v>77.693333333333342</v>
      </c>
      <c r="U120" s="2">
        <v>3550</v>
      </c>
      <c r="V120" s="23">
        <f t="shared" si="85"/>
        <v>47.333333333333329</v>
      </c>
      <c r="W120" s="5">
        <f t="shared" si="86"/>
        <v>0.39076711858589325</v>
      </c>
      <c r="X120" s="13">
        <f t="shared" si="87"/>
        <v>2277</v>
      </c>
      <c r="Y120" s="967"/>
      <c r="Z120" s="14"/>
      <c r="AA120" s="2"/>
      <c r="AB120" s="1391"/>
      <c r="AC120" s="1394"/>
      <c r="AD120" s="2"/>
      <c r="AE120" s="2"/>
      <c r="AF120" s="2"/>
      <c r="AG120" s="4" t="s">
        <v>87</v>
      </c>
      <c r="AH120" s="15">
        <v>135642</v>
      </c>
      <c r="AI120" s="7">
        <f t="shared" si="73"/>
        <v>1.8085599999999999</v>
      </c>
      <c r="AJ120" s="15">
        <v>87360</v>
      </c>
      <c r="AK120" s="7">
        <f t="shared" si="74"/>
        <v>1.1648000000000001</v>
      </c>
      <c r="AL120" s="8">
        <f t="shared" si="75"/>
        <v>0.35595169637722829</v>
      </c>
      <c r="AM120" s="16">
        <f t="shared" si="76"/>
        <v>48282</v>
      </c>
      <c r="AO120" s="2"/>
      <c r="AP120" s="2"/>
      <c r="AQ120" s="2"/>
      <c r="AR120" s="4" t="s">
        <v>87</v>
      </c>
      <c r="AS120" s="2">
        <v>587500</v>
      </c>
      <c r="AT120" s="9" t="s">
        <v>13</v>
      </c>
      <c r="AU120" s="2">
        <f>AS120/M120</f>
        <v>7.833333333333333</v>
      </c>
      <c r="AV120" s="2">
        <v>398125</v>
      </c>
      <c r="AW120" s="9" t="s">
        <v>13</v>
      </c>
      <c r="AX120" s="2">
        <f>AV120/M120</f>
        <v>5.3083333333333336</v>
      </c>
      <c r="AY120" s="8">
        <f>(AS120-AV120)/AS120</f>
        <v>0.32234042553191489</v>
      </c>
      <c r="AZ120" s="17">
        <f>AS120-AV120</f>
        <v>189375</v>
      </c>
      <c r="BB120" s="9"/>
      <c r="BC120" s="2"/>
      <c r="BD120" s="2"/>
      <c r="BE120" s="4" t="s">
        <v>87</v>
      </c>
      <c r="BF120" s="945"/>
      <c r="BG120" s="261"/>
      <c r="BH120" s="41"/>
      <c r="BI120" s="15"/>
      <c r="BJ120" s="15"/>
      <c r="BM120" s="1353"/>
      <c r="BN120" s="1"/>
      <c r="BO120" s="11" t="s">
        <v>247</v>
      </c>
    </row>
    <row r="121" spans="1:69" s="3" customFormat="1" ht="27.6" customHeight="1" x14ac:dyDescent="0.2">
      <c r="A121" s="4" t="s">
        <v>117</v>
      </c>
      <c r="B121" s="11"/>
      <c r="C121" s="11" t="s">
        <v>113</v>
      </c>
      <c r="D121" s="11" t="s">
        <v>986</v>
      </c>
      <c r="E121" s="11"/>
      <c r="F121" s="1" t="s">
        <v>116</v>
      </c>
      <c r="G121" s="33">
        <v>40308</v>
      </c>
      <c r="H121" s="11" t="s">
        <v>10</v>
      </c>
      <c r="I121" s="33" t="s">
        <v>183</v>
      </c>
      <c r="J121" s="33" t="s">
        <v>184</v>
      </c>
      <c r="K121" s="11" t="s">
        <v>193</v>
      </c>
      <c r="L121" s="11">
        <v>31</v>
      </c>
      <c r="M121" s="19">
        <v>26000</v>
      </c>
      <c r="N121" s="19">
        <f>M121/L121</f>
        <v>838.70967741935488</v>
      </c>
      <c r="O121" s="83">
        <v>4</v>
      </c>
      <c r="P121" s="4" t="s">
        <v>117</v>
      </c>
      <c r="Q121" s="11" t="s">
        <v>247</v>
      </c>
      <c r="R121" s="11">
        <v>4</v>
      </c>
      <c r="S121" s="9">
        <v>1846</v>
      </c>
      <c r="T121" s="12">
        <f t="shared" si="84"/>
        <v>71</v>
      </c>
      <c r="U121" s="9">
        <v>1121</v>
      </c>
      <c r="V121" s="23">
        <f t="shared" si="85"/>
        <v>43.11538461538462</v>
      </c>
      <c r="W121" s="5">
        <f t="shared" si="86"/>
        <v>0.39274106175514628</v>
      </c>
      <c r="X121" s="13">
        <f t="shared" si="87"/>
        <v>725</v>
      </c>
      <c r="Y121" s="967"/>
      <c r="Z121" s="1"/>
      <c r="AA121" s="11"/>
      <c r="AB121" s="1391"/>
      <c r="AC121" s="1393"/>
      <c r="AD121" s="11"/>
      <c r="AE121" s="11"/>
      <c r="AF121" s="11"/>
      <c r="AG121" s="4" t="s">
        <v>117</v>
      </c>
      <c r="AH121" s="29">
        <v>30466</v>
      </c>
      <c r="AI121" s="7">
        <f t="shared" si="73"/>
        <v>1.1717692307692307</v>
      </c>
      <c r="AJ121" s="29">
        <v>19282</v>
      </c>
      <c r="AK121" s="7">
        <f t="shared" si="74"/>
        <v>0.74161538461538457</v>
      </c>
      <c r="AL121" s="8">
        <f t="shared" si="75"/>
        <v>0.36709774830959102</v>
      </c>
      <c r="AM121" s="16">
        <f t="shared" si="76"/>
        <v>11184</v>
      </c>
      <c r="AN121" s="1"/>
      <c r="AO121" s="11"/>
      <c r="AP121" s="11"/>
      <c r="AQ121" s="11"/>
      <c r="AR121" s="4" t="s">
        <v>117</v>
      </c>
      <c r="AS121" s="19">
        <v>475929</v>
      </c>
      <c r="AT121" s="2">
        <f>AS121/L121</f>
        <v>15352.548387096775</v>
      </c>
      <c r="AU121" s="2">
        <f>AS121/M121</f>
        <v>18.304961538461537</v>
      </c>
      <c r="AV121" s="19">
        <v>337075</v>
      </c>
      <c r="AW121" s="9">
        <f>AV121/L121</f>
        <v>10873.387096774193</v>
      </c>
      <c r="AX121" s="2">
        <f>AV121/M121</f>
        <v>12.964423076923078</v>
      </c>
      <c r="AY121" s="8">
        <f>(AS121-AV121)/AS121</f>
        <v>0.2917536019028048</v>
      </c>
      <c r="AZ121" s="17">
        <f>AS121-AV121</f>
        <v>138854</v>
      </c>
      <c r="BA121" s="11"/>
      <c r="BB121" s="11"/>
      <c r="BC121" s="11"/>
      <c r="BD121" s="11"/>
      <c r="BE121" s="4" t="s">
        <v>117</v>
      </c>
      <c r="BF121" s="945"/>
      <c r="BG121" s="261"/>
      <c r="BH121" s="41"/>
      <c r="BI121" s="15"/>
      <c r="BJ121" s="15"/>
      <c r="BM121" s="1353"/>
      <c r="BN121" s="1"/>
      <c r="BO121" s="11" t="s">
        <v>247</v>
      </c>
    </row>
    <row r="122" spans="1:69" x14ac:dyDescent="0.2">
      <c r="BL122" s="87"/>
      <c r="BM122" s="1353"/>
    </row>
    <row r="123" spans="1:69" x14ac:dyDescent="0.2">
      <c r="T123" s="902"/>
      <c r="BL123" s="87"/>
      <c r="BM123" s="1353"/>
    </row>
    <row r="124" spans="1:69" x14ac:dyDescent="0.2">
      <c r="A124" s="28"/>
      <c r="B124" s="11"/>
      <c r="P124" s="28"/>
      <c r="Q124" s="11"/>
      <c r="R124" s="11"/>
      <c r="AG124" s="28"/>
      <c r="AR124" s="28"/>
      <c r="BE124" s="28"/>
      <c r="BO124" s="11"/>
    </row>
    <row r="125" spans="1:69" x14ac:dyDescent="0.2">
      <c r="A125" s="28"/>
      <c r="B125" s="11"/>
      <c r="P125" s="28"/>
      <c r="Q125" s="11"/>
      <c r="R125" s="11"/>
      <c r="AG125" s="28"/>
      <c r="AJ125" s="41"/>
      <c r="AR125" s="28"/>
      <c r="BE125" s="28"/>
      <c r="BO125" s="11"/>
    </row>
    <row r="126" spans="1:69" x14ac:dyDescent="0.2">
      <c r="BH126" s="43"/>
    </row>
    <row r="127" spans="1:69" x14ac:dyDescent="0.2">
      <c r="AH127" s="502"/>
      <c r="AJ127" s="43"/>
      <c r="AL127" s="8"/>
    </row>
    <row r="128" spans="1:69" x14ac:dyDescent="0.2">
      <c r="BH128" s="44"/>
    </row>
    <row r="130" spans="36:56" x14ac:dyDescent="0.2">
      <c r="AJ130" s="43"/>
    </row>
    <row r="136" spans="36:56" x14ac:dyDescent="0.2">
      <c r="BD136" s="26" t="s">
        <v>38</v>
      </c>
    </row>
  </sheetData>
  <mergeCells count="10">
    <mergeCell ref="C1:O1"/>
    <mergeCell ref="Q1:AF1"/>
    <mergeCell ref="AH1:AQ1"/>
    <mergeCell ref="AS1:BD1"/>
    <mergeCell ref="BF1:BL1"/>
    <mergeCell ref="C2:O2"/>
    <mergeCell ref="Q2:AF2"/>
    <mergeCell ref="AH2:AQ2"/>
    <mergeCell ref="AS2:BD2"/>
    <mergeCell ref="BF2:BL2"/>
  </mergeCells>
  <hyperlinks>
    <hyperlink ref="E34" r:id="rId1"/>
    <hyperlink ref="E15" r:id="rId2"/>
    <hyperlink ref="B79" r:id="rId3" display="In Progress"/>
    <hyperlink ref="B74" r:id="rId4" display="In Progress"/>
    <hyperlink ref="B24" r:id="rId5"/>
    <hyperlink ref="B63" r:id="rId6"/>
    <hyperlink ref="B84" r:id="rId7"/>
    <hyperlink ref="B100" r:id="rId8"/>
    <hyperlink ref="B89" r:id="rId9"/>
    <hyperlink ref="B4" r:id="rId10"/>
    <hyperlink ref="B6" r:id="rId11"/>
    <hyperlink ref="B7" r:id="rId12"/>
    <hyperlink ref="B8" r:id="rId13"/>
    <hyperlink ref="B10" r:id="rId14"/>
    <hyperlink ref="B11" r:id="rId15"/>
    <hyperlink ref="B12" r:id="rId16"/>
    <hyperlink ref="B17" r:id="rId17"/>
    <hyperlink ref="B18:B23" r:id="rId18" display="Gold"/>
    <hyperlink ref="B25" r:id="rId19"/>
    <hyperlink ref="B26" r:id="rId20" display="In Progress"/>
    <hyperlink ref="B29" r:id="rId21"/>
    <hyperlink ref="B33" r:id="rId22"/>
    <hyperlink ref="B35" r:id="rId23"/>
    <hyperlink ref="B36" r:id="rId24"/>
    <hyperlink ref="B37" r:id="rId25" display="In Progress"/>
    <hyperlink ref="B38" r:id="rId26"/>
    <hyperlink ref="B39" r:id="rId27" display="In Progress"/>
    <hyperlink ref="B40" r:id="rId28" display="In Progress"/>
    <hyperlink ref="B41" r:id="rId29" display="In Progress"/>
    <hyperlink ref="B42" r:id="rId30" display="In Progress"/>
    <hyperlink ref="B43" r:id="rId31"/>
    <hyperlink ref="B44" r:id="rId32"/>
    <hyperlink ref="B56" r:id="rId33"/>
    <hyperlink ref="B53" r:id="rId34" display="In Progress"/>
    <hyperlink ref="B54" r:id="rId35" display="In Progress"/>
    <hyperlink ref="B60" r:id="rId36"/>
    <hyperlink ref="B66" r:id="rId37"/>
    <hyperlink ref="B67" r:id="rId38" display="In Progress"/>
    <hyperlink ref="B70" r:id="rId39"/>
    <hyperlink ref="B71" r:id="rId40"/>
    <hyperlink ref="B115" r:id="rId41"/>
    <hyperlink ref="B90" r:id="rId42"/>
    <hyperlink ref="B94" r:id="rId43"/>
    <hyperlink ref="B81" r:id="rId44"/>
    <hyperlink ref="B111" r:id="rId45"/>
    <hyperlink ref="E44" r:id="rId46" display="rjbest@haywood.edu"/>
    <hyperlink ref="B96" r:id="rId47"/>
    <hyperlink ref="B103" r:id="rId48"/>
    <hyperlink ref="B97" r:id="rId49"/>
    <hyperlink ref="B59" r:id="rId50"/>
    <hyperlink ref="B61" r:id="rId51"/>
    <hyperlink ref="B62" r:id="rId52"/>
    <hyperlink ref="B48" r:id="rId53"/>
    <hyperlink ref="B49" r:id="rId54"/>
    <hyperlink ref="B50" r:id="rId55"/>
    <hyperlink ref="B51" r:id="rId56"/>
    <hyperlink ref="B52" r:id="rId57"/>
    <hyperlink ref="B57" r:id="rId58"/>
    <hyperlink ref="B93" r:id="rId59"/>
    <hyperlink ref="B101" r:id="rId60"/>
  </hyperlinks>
  <pageMargins left="0.7" right="0.7" top="0.75" bottom="0.75" header="0.3" footer="0.3"/>
  <drawing r:id="rId61"/>
  <legacyDrawing r:id="rId6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01"/>
  <sheetViews>
    <sheetView topLeftCell="A582" zoomScale="85" zoomScaleNormal="85" zoomScaleSheetLayoutView="88" workbookViewId="0">
      <selection activeCell="W654" sqref="W654"/>
    </sheetView>
  </sheetViews>
  <sheetFormatPr defaultRowHeight="15" x14ac:dyDescent="0.25"/>
  <cols>
    <col min="1" max="1" width="8.85546875" style="462"/>
    <col min="2" max="2" width="17.5703125" customWidth="1"/>
    <col min="3" max="3" width="12.7109375" style="497" customWidth="1"/>
    <col min="4" max="18" width="12.7109375" customWidth="1"/>
    <col min="20" max="20" width="14.28515625" bestFit="1" customWidth="1"/>
    <col min="23" max="23" width="14.140625" bestFit="1" customWidth="1"/>
    <col min="25" max="25" width="9.85546875" style="345" bestFit="1" customWidth="1"/>
    <col min="26" max="26" width="8.85546875" style="345"/>
  </cols>
  <sheetData>
    <row r="1" spans="1:26" s="125" customFormat="1" ht="18" x14ac:dyDescent="0.25">
      <c r="A1" s="461"/>
      <c r="B1" s="124" t="s">
        <v>1275</v>
      </c>
      <c r="C1" s="601"/>
      <c r="U1" s="126"/>
      <c r="X1" s="126"/>
      <c r="Y1" s="157"/>
      <c r="Z1" s="157"/>
    </row>
    <row r="2" spans="1:26" s="125" customFormat="1" x14ac:dyDescent="0.25">
      <c r="A2" s="461"/>
      <c r="C2" s="152"/>
      <c r="U2" s="126"/>
      <c r="X2" s="126"/>
      <c r="Y2" s="157"/>
      <c r="Z2" s="157"/>
    </row>
    <row r="3" spans="1:26" s="128" customFormat="1" x14ac:dyDescent="0.25">
      <c r="A3" s="459">
        <v>1</v>
      </c>
      <c r="B3" s="127" t="s">
        <v>336</v>
      </c>
      <c r="C3" s="602"/>
      <c r="T3" s="172" t="s">
        <v>336</v>
      </c>
      <c r="U3" s="129"/>
      <c r="X3" s="129"/>
      <c r="Y3" s="166"/>
      <c r="Z3" s="166"/>
    </row>
    <row r="4" spans="1:26" s="125" customFormat="1" x14ac:dyDescent="0.25">
      <c r="A4" s="461"/>
      <c r="B4" s="130" t="s">
        <v>337</v>
      </c>
      <c r="C4" s="1152">
        <v>42156</v>
      </c>
      <c r="D4" s="131">
        <v>42186</v>
      </c>
      <c r="E4" s="131">
        <v>42217</v>
      </c>
      <c r="F4" s="131">
        <v>42248</v>
      </c>
      <c r="G4" s="131">
        <v>42278</v>
      </c>
      <c r="H4" s="131">
        <v>42309</v>
      </c>
      <c r="I4" s="131">
        <v>42339</v>
      </c>
      <c r="J4" s="131">
        <v>42370</v>
      </c>
      <c r="K4" s="131">
        <v>42401</v>
      </c>
      <c r="L4" s="131">
        <v>42430</v>
      </c>
      <c r="M4" s="131">
        <v>42461</v>
      </c>
      <c r="N4" s="131">
        <v>42491</v>
      </c>
      <c r="O4" s="131">
        <v>42522</v>
      </c>
      <c r="P4" s="131">
        <v>42552</v>
      </c>
      <c r="Q4" s="131">
        <v>42583</v>
      </c>
      <c r="R4" s="131">
        <v>42627</v>
      </c>
      <c r="S4" s="132"/>
      <c r="T4" s="133" t="s">
        <v>338</v>
      </c>
      <c r="U4" s="134" t="s">
        <v>339</v>
      </c>
      <c r="V4" s="132"/>
      <c r="W4" s="133" t="s">
        <v>338</v>
      </c>
      <c r="X4" s="134" t="s">
        <v>339</v>
      </c>
      <c r="Y4" s="157"/>
      <c r="Z4" s="157"/>
    </row>
    <row r="5" spans="1:26" s="125" customFormat="1" x14ac:dyDescent="0.25">
      <c r="A5" s="461"/>
      <c r="B5" s="135" t="s">
        <v>340</v>
      </c>
      <c r="C5" s="606"/>
      <c r="D5" s="136">
        <v>85574.32</v>
      </c>
      <c r="E5" s="136">
        <v>64583.119999999995</v>
      </c>
      <c r="F5" s="136">
        <v>90419.520000000004</v>
      </c>
      <c r="G5" s="136">
        <v>94077.840017299997</v>
      </c>
      <c r="H5" s="136">
        <v>56724</v>
      </c>
      <c r="I5" s="136">
        <v>57251.68</v>
      </c>
      <c r="J5" s="136">
        <v>55614.559999999998</v>
      </c>
      <c r="K5" s="136">
        <v>56960.720017300002</v>
      </c>
      <c r="L5" s="136">
        <v>68456.08</v>
      </c>
      <c r="M5" s="136">
        <v>57964.479999999996</v>
      </c>
      <c r="N5" s="136">
        <v>68523.040017299994</v>
      </c>
      <c r="O5" s="136">
        <v>67612.880017299991</v>
      </c>
      <c r="P5" s="499"/>
      <c r="Q5" s="174"/>
      <c r="R5" s="174"/>
      <c r="T5" s="140">
        <f>SUM(D5:O5)</f>
        <v>823762.24006919994</v>
      </c>
      <c r="U5" s="138" t="s">
        <v>341</v>
      </c>
      <c r="V5" s="139"/>
      <c r="W5" s="140">
        <f>T5*3413/1000000</f>
        <v>2811.5005253561794</v>
      </c>
      <c r="X5" s="138" t="s">
        <v>342</v>
      </c>
      <c r="Y5" s="157"/>
      <c r="Z5" s="157"/>
    </row>
    <row r="6" spans="1:26" s="125" customFormat="1" x14ac:dyDescent="0.25">
      <c r="A6" s="461"/>
      <c r="B6" s="135" t="s">
        <v>343</v>
      </c>
      <c r="C6" s="606"/>
      <c r="D6" s="136">
        <v>45881</v>
      </c>
      <c r="E6" s="136">
        <v>66736</v>
      </c>
      <c r="F6" s="136">
        <v>118456.40000000001</v>
      </c>
      <c r="G6" s="136">
        <v>211886.80000000002</v>
      </c>
      <c r="H6" s="136">
        <v>203544.80000000002</v>
      </c>
      <c r="I6" s="136">
        <v>191031.80000000002</v>
      </c>
      <c r="J6" s="136">
        <v>271115</v>
      </c>
      <c r="K6" s="136">
        <v>274451.8</v>
      </c>
      <c r="L6" s="136">
        <v>215223.6</v>
      </c>
      <c r="M6" s="136">
        <v>182689.80000000002</v>
      </c>
      <c r="N6" s="136">
        <v>118456.40000000001</v>
      </c>
      <c r="O6" s="136">
        <v>75078</v>
      </c>
      <c r="P6" s="499"/>
      <c r="Q6" s="174"/>
      <c r="R6" s="174"/>
      <c r="T6" s="140">
        <f>SUM(D6:O6)</f>
        <v>1974551.4000000004</v>
      </c>
      <c r="U6" s="138" t="s">
        <v>344</v>
      </c>
      <c r="V6" s="139"/>
      <c r="W6" s="140">
        <f>T6/1000</f>
        <v>1974.5514000000003</v>
      </c>
      <c r="X6" s="138" t="s">
        <v>342</v>
      </c>
      <c r="Y6" s="495">
        <f>W6+W5</f>
        <v>4786.0519253561797</v>
      </c>
      <c r="Z6" s="138" t="s">
        <v>342</v>
      </c>
    </row>
    <row r="7" spans="1:26" s="125" customFormat="1" x14ac:dyDescent="0.25">
      <c r="A7" s="461"/>
      <c r="B7" s="135" t="s">
        <v>345</v>
      </c>
      <c r="C7" s="606"/>
      <c r="D7" s="141">
        <v>52258</v>
      </c>
      <c r="E7" s="141">
        <v>146625</v>
      </c>
      <c r="F7" s="141">
        <v>200127</v>
      </c>
      <c r="G7" s="141">
        <v>186747</v>
      </c>
      <c r="H7" s="141">
        <v>161422</v>
      </c>
      <c r="I7" s="141">
        <v>75000</v>
      </c>
      <c r="J7" s="141">
        <v>146000</v>
      </c>
      <c r="K7" s="141">
        <v>183000</v>
      </c>
      <c r="L7" s="141">
        <v>135515</v>
      </c>
      <c r="M7" s="141">
        <v>196342</v>
      </c>
      <c r="N7" s="141">
        <v>105169</v>
      </c>
      <c r="O7" s="141">
        <v>121026</v>
      </c>
      <c r="P7" s="618"/>
      <c r="Q7" s="178"/>
      <c r="R7" s="178"/>
      <c r="T7" s="140">
        <f>SUM(D7:O7)</f>
        <v>1709231</v>
      </c>
      <c r="U7" s="138" t="s">
        <v>346</v>
      </c>
      <c r="V7" s="139"/>
      <c r="W7" s="137">
        <f>T7</f>
        <v>1709231</v>
      </c>
      <c r="X7" s="138" t="s">
        <v>346</v>
      </c>
      <c r="Y7" s="157"/>
      <c r="Z7" s="157"/>
    </row>
    <row r="8" spans="1:26" s="125" customFormat="1" x14ac:dyDescent="0.25">
      <c r="A8" s="461"/>
      <c r="B8" s="135" t="s">
        <v>324</v>
      </c>
      <c r="C8" s="606"/>
      <c r="D8" s="142">
        <v>7624.2295300000005</v>
      </c>
      <c r="E8" s="142">
        <v>5757.5883400000002</v>
      </c>
      <c r="F8" s="142">
        <v>8055.0809399999998</v>
      </c>
      <c r="G8" s="142">
        <v>8380.3984299999993</v>
      </c>
      <c r="H8" s="142">
        <v>5058.7196299999996</v>
      </c>
      <c r="I8" s="142">
        <v>5105.6409199999998</v>
      </c>
      <c r="J8" s="142">
        <v>4960.0661</v>
      </c>
      <c r="K8" s="142">
        <v>4814.7908400000006</v>
      </c>
      <c r="L8" s="142">
        <v>5528.7499799999996</v>
      </c>
      <c r="M8" s="142">
        <v>4683.6496000000006</v>
      </c>
      <c r="N8" s="142">
        <v>5534.1480299999994</v>
      </c>
      <c r="O8" s="142">
        <v>5460.8274099999999</v>
      </c>
      <c r="P8" s="1555"/>
      <c r="Q8" s="176"/>
      <c r="R8" s="176"/>
      <c r="T8" s="140">
        <f>SUM(D8:O8)</f>
        <v>70963.889749999988</v>
      </c>
      <c r="U8" s="138"/>
      <c r="V8" s="139"/>
      <c r="W8" s="143">
        <f>T8</f>
        <v>70963.889749999988</v>
      </c>
      <c r="X8" s="138"/>
      <c r="Y8" s="157"/>
      <c r="Z8" s="157"/>
    </row>
    <row r="9" spans="1:26" s="125" customFormat="1" ht="16.5" x14ac:dyDescent="0.35">
      <c r="A9" s="461"/>
      <c r="B9" s="144" t="s">
        <v>348</v>
      </c>
      <c r="C9" s="607"/>
      <c r="D9" s="145">
        <v>963.6</v>
      </c>
      <c r="E9" s="145">
        <v>1401.6</v>
      </c>
      <c r="F9" s="145">
        <v>2487.84</v>
      </c>
      <c r="G9" s="145">
        <v>4450.08</v>
      </c>
      <c r="H9" s="145">
        <v>4274.88</v>
      </c>
      <c r="I9" s="145">
        <v>4012.08</v>
      </c>
      <c r="J9" s="145">
        <v>5694</v>
      </c>
      <c r="K9" s="145">
        <v>5764.08</v>
      </c>
      <c r="L9" s="145">
        <v>4520.16</v>
      </c>
      <c r="M9" s="145">
        <v>3836.88</v>
      </c>
      <c r="N9" s="145">
        <v>2487.84</v>
      </c>
      <c r="O9" s="145">
        <v>1576.8</v>
      </c>
      <c r="P9" s="1556"/>
      <c r="Q9" s="179"/>
      <c r="R9" s="179"/>
      <c r="T9" s="140">
        <f>SUM(D9:O9)</f>
        <v>41469.840000000011</v>
      </c>
      <c r="U9" s="138"/>
      <c r="V9" s="139"/>
      <c r="W9" s="146">
        <f>T9</f>
        <v>41469.840000000011</v>
      </c>
      <c r="X9" s="138"/>
      <c r="Y9" s="157"/>
      <c r="Z9" s="157"/>
    </row>
    <row r="10" spans="1:26" x14ac:dyDescent="0.25">
      <c r="W10" s="143">
        <f>SUM(W8:W9)</f>
        <v>112433.72975</v>
      </c>
      <c r="X10" s="138"/>
    </row>
    <row r="11" spans="1:26" x14ac:dyDescent="0.25">
      <c r="W11" s="149"/>
      <c r="X11" s="150"/>
    </row>
    <row r="12" spans="1:26" s="128" customFormat="1" x14ac:dyDescent="0.25">
      <c r="A12" s="459">
        <v>2</v>
      </c>
      <c r="B12" s="172" t="s">
        <v>371</v>
      </c>
      <c r="C12" s="173"/>
      <c r="S12" s="173"/>
      <c r="T12" s="598" t="s">
        <v>371</v>
      </c>
      <c r="W12" s="129"/>
      <c r="Y12" s="166"/>
      <c r="Z12" s="764"/>
    </row>
    <row r="13" spans="1:26" s="125" customFormat="1" x14ac:dyDescent="0.25">
      <c r="A13" s="461"/>
      <c r="B13" s="130" t="s">
        <v>337</v>
      </c>
      <c r="C13" s="131">
        <v>42156</v>
      </c>
      <c r="D13" s="131">
        <v>42186</v>
      </c>
      <c r="E13" s="131">
        <v>42217</v>
      </c>
      <c r="F13" s="131">
        <v>42248</v>
      </c>
      <c r="G13" s="131">
        <v>42278</v>
      </c>
      <c r="H13" s="131">
        <v>42309</v>
      </c>
      <c r="I13" s="131">
        <v>42339</v>
      </c>
      <c r="J13" s="131">
        <v>42370</v>
      </c>
      <c r="K13" s="131">
        <v>42401</v>
      </c>
      <c r="L13" s="131">
        <v>42430</v>
      </c>
      <c r="M13" s="131">
        <v>42461</v>
      </c>
      <c r="N13" s="131">
        <v>42491</v>
      </c>
      <c r="O13" s="131">
        <v>42522</v>
      </c>
      <c r="P13" s="131">
        <v>42552</v>
      </c>
      <c r="Q13" s="151">
        <v>42583</v>
      </c>
      <c r="R13" s="131">
        <v>42627</v>
      </c>
      <c r="S13" s="132"/>
      <c r="T13" s="133" t="s">
        <v>338</v>
      </c>
      <c r="U13" s="134" t="s">
        <v>339</v>
      </c>
      <c r="V13" s="132"/>
      <c r="W13" s="133" t="s">
        <v>338</v>
      </c>
      <c r="X13" s="134" t="s">
        <v>339</v>
      </c>
      <c r="Y13" s="157"/>
      <c r="Z13" s="157"/>
    </row>
    <row r="14" spans="1:26" s="125" customFormat="1" x14ac:dyDescent="0.25">
      <c r="A14" s="461"/>
      <c r="B14" s="135" t="s">
        <v>340</v>
      </c>
      <c r="C14" s="606"/>
      <c r="D14" s="136">
        <v>68670</v>
      </c>
      <c r="E14" s="136">
        <v>73539</v>
      </c>
      <c r="F14" s="136">
        <v>87810</v>
      </c>
      <c r="G14" s="136">
        <v>96658.1</v>
      </c>
      <c r="H14" s="136">
        <v>90305.9</v>
      </c>
      <c r="I14" s="136">
        <v>85231</v>
      </c>
      <c r="J14" s="136">
        <v>88739</v>
      </c>
      <c r="K14" s="136">
        <v>83201</v>
      </c>
      <c r="L14" s="136">
        <v>94822.2</v>
      </c>
      <c r="M14" s="136">
        <v>93120</v>
      </c>
      <c r="N14" s="136">
        <v>88476.7</v>
      </c>
      <c r="O14" s="136">
        <v>82379.899999999994</v>
      </c>
      <c r="P14" s="174"/>
      <c r="Q14" s="174"/>
      <c r="R14" s="174"/>
      <c r="T14" s="140">
        <f t="shared" ref="T14:T20" si="0">SUM(C14:O14)</f>
        <v>1032952.7999999999</v>
      </c>
      <c r="U14" s="138" t="s">
        <v>341</v>
      </c>
      <c r="V14" s="139"/>
      <c r="W14" s="140">
        <f>T14*3413/1000000</f>
        <v>3525.4679063999997</v>
      </c>
      <c r="X14" s="138" t="s">
        <v>342</v>
      </c>
      <c r="Y14" s="157"/>
      <c r="Z14" s="157"/>
    </row>
    <row r="15" spans="1:26" s="125" customFormat="1" x14ac:dyDescent="0.25">
      <c r="A15" s="461"/>
      <c r="B15" s="135" t="s">
        <v>372</v>
      </c>
      <c r="C15" s="606"/>
      <c r="D15" s="136">
        <v>1044</v>
      </c>
      <c r="E15" s="136">
        <v>1159</v>
      </c>
      <c r="F15" s="136">
        <v>1776</v>
      </c>
      <c r="G15" s="136">
        <v>1873</v>
      </c>
      <c r="H15" s="136">
        <v>2255</v>
      </c>
      <c r="I15" s="136">
        <v>2066</v>
      </c>
      <c r="J15" s="136">
        <v>2594</v>
      </c>
      <c r="K15" s="136">
        <v>3202</v>
      </c>
      <c r="L15" s="136">
        <v>2402</v>
      </c>
      <c r="M15" s="136">
        <v>1922</v>
      </c>
      <c r="N15" s="136">
        <v>1608</v>
      </c>
      <c r="O15" s="136">
        <v>788</v>
      </c>
      <c r="P15" s="174"/>
      <c r="Q15" s="174"/>
      <c r="R15" s="174"/>
      <c r="T15" s="140">
        <f t="shared" si="0"/>
        <v>22689</v>
      </c>
      <c r="U15" s="138" t="s">
        <v>354</v>
      </c>
      <c r="V15" s="139"/>
      <c r="W15" s="140">
        <f>T15*99976.124488/1000000</f>
        <v>2268.3582885082319</v>
      </c>
      <c r="X15" s="138" t="s">
        <v>342</v>
      </c>
    </row>
    <row r="16" spans="1:26" s="125" customFormat="1" x14ac:dyDescent="0.25">
      <c r="A16" s="461"/>
      <c r="B16" s="135" t="s">
        <v>1059</v>
      </c>
      <c r="C16" s="606"/>
      <c r="D16" s="136">
        <v>935</v>
      </c>
      <c r="E16" s="136">
        <v>865</v>
      </c>
      <c r="F16" s="136">
        <v>703</v>
      </c>
      <c r="G16" s="136">
        <v>243</v>
      </c>
      <c r="H16" s="136">
        <v>165</v>
      </c>
      <c r="I16" s="136">
        <v>171</v>
      </c>
      <c r="J16" s="136">
        <v>11</v>
      </c>
      <c r="K16" s="136">
        <v>45</v>
      </c>
      <c r="L16" s="136">
        <v>227</v>
      </c>
      <c r="M16" s="136">
        <v>311</v>
      </c>
      <c r="N16" s="136">
        <v>447</v>
      </c>
      <c r="O16" s="136">
        <v>655</v>
      </c>
      <c r="P16" s="174"/>
      <c r="Q16" s="174"/>
      <c r="R16" s="174"/>
      <c r="T16" s="140">
        <f t="shared" si="0"/>
        <v>4778</v>
      </c>
      <c r="U16" s="138" t="s">
        <v>342</v>
      </c>
      <c r="V16" s="139"/>
      <c r="W16" s="140">
        <f>T16</f>
        <v>4778</v>
      </c>
      <c r="X16" s="138" t="s">
        <v>342</v>
      </c>
      <c r="Y16" s="495">
        <f>W14+W15+W16</f>
        <v>10571.826194908232</v>
      </c>
      <c r="Z16" s="153" t="s">
        <v>342</v>
      </c>
    </row>
    <row r="17" spans="1:26" s="125" customFormat="1" x14ac:dyDescent="0.25">
      <c r="A17" s="461"/>
      <c r="B17" s="135" t="s">
        <v>373</v>
      </c>
      <c r="C17" s="606"/>
      <c r="D17" s="141">
        <v>8689</v>
      </c>
      <c r="E17" s="141">
        <v>11420</v>
      </c>
      <c r="F17" s="141">
        <v>16370</v>
      </c>
      <c r="G17" s="141">
        <v>14780</v>
      </c>
      <c r="H17" s="141">
        <v>11420</v>
      </c>
      <c r="I17" s="141">
        <v>7375</v>
      </c>
      <c r="J17" s="141">
        <v>8690</v>
      </c>
      <c r="K17" s="141">
        <v>10980</v>
      </c>
      <c r="L17" s="141">
        <v>10430</v>
      </c>
      <c r="M17" s="141">
        <v>19410</v>
      </c>
      <c r="N17" s="141">
        <v>6230</v>
      </c>
      <c r="O17" s="141">
        <v>3760</v>
      </c>
      <c r="P17" s="178"/>
      <c r="Q17" s="178"/>
      <c r="R17" s="178"/>
      <c r="T17" s="140">
        <f>SUM(C17:O17)</f>
        <v>129554</v>
      </c>
      <c r="U17" s="138" t="s">
        <v>367</v>
      </c>
      <c r="V17" s="139"/>
      <c r="W17" s="137">
        <f>T17*7.48</f>
        <v>969063.92</v>
      </c>
      <c r="X17" s="138" t="s">
        <v>346</v>
      </c>
      <c r="Y17" s="157"/>
      <c r="Z17" s="157"/>
    </row>
    <row r="18" spans="1:26" s="125" customFormat="1" x14ac:dyDescent="0.25">
      <c r="A18" s="461"/>
      <c r="B18" s="135" t="s">
        <v>324</v>
      </c>
      <c r="C18" s="606"/>
      <c r="D18" s="142">
        <v>4584.4429262234044</v>
      </c>
      <c r="E18" s="142">
        <v>4911.762427276235</v>
      </c>
      <c r="F18" s="142">
        <v>5868.668566513762</v>
      </c>
      <c r="G18" s="142">
        <v>5906.601246318306</v>
      </c>
      <c r="H18" s="142">
        <v>5080.9621798204671</v>
      </c>
      <c r="I18" s="142">
        <v>4799.2880794473685</v>
      </c>
      <c r="J18" s="142">
        <v>5024.4850713892665</v>
      </c>
      <c r="K18" s="142">
        <v>4857.9844265306565</v>
      </c>
      <c r="L18" s="142">
        <v>5581.3641278520472</v>
      </c>
      <c r="M18" s="142">
        <v>5343.6396541062804</v>
      </c>
      <c r="N18" s="142">
        <v>5181.2631237040578</v>
      </c>
      <c r="O18" s="142">
        <v>5320.4560061697803</v>
      </c>
      <c r="P18" s="176"/>
      <c r="Q18" s="176"/>
      <c r="R18" s="176"/>
      <c r="T18" s="140">
        <f t="shared" si="0"/>
        <v>62460.917835351618</v>
      </c>
      <c r="U18" s="138"/>
      <c r="V18" s="139"/>
      <c r="W18" s="143">
        <f>T18</f>
        <v>62460.917835351618</v>
      </c>
      <c r="X18" s="138"/>
      <c r="Y18" s="157"/>
      <c r="Z18" s="157"/>
    </row>
    <row r="19" spans="1:26" s="125" customFormat="1" x14ac:dyDescent="0.25">
      <c r="A19" s="461"/>
      <c r="B19" s="144" t="s">
        <v>374</v>
      </c>
      <c r="C19" s="607"/>
      <c r="D19" s="145">
        <v>753.53</v>
      </c>
      <c r="E19" s="145">
        <v>834.11</v>
      </c>
      <c r="F19" s="145">
        <v>1233.44</v>
      </c>
      <c r="G19" s="145">
        <v>1334.41</v>
      </c>
      <c r="H19" s="145">
        <v>1590.89</v>
      </c>
      <c r="I19" s="145">
        <v>1442.35</v>
      </c>
      <c r="J19" s="145">
        <v>1770.16</v>
      </c>
      <c r="K19" s="145">
        <v>2162.73</v>
      </c>
      <c r="L19" s="145">
        <v>1627.88</v>
      </c>
      <c r="M19" s="145">
        <v>1312.38</v>
      </c>
      <c r="N19" s="145">
        <v>1121</v>
      </c>
      <c r="O19" s="145">
        <v>562.26</v>
      </c>
      <c r="P19" s="179"/>
      <c r="Q19" s="179"/>
      <c r="R19" s="179"/>
      <c r="T19" s="140">
        <f t="shared" si="0"/>
        <v>15745.140000000001</v>
      </c>
      <c r="U19" s="138"/>
      <c r="V19" s="139"/>
      <c r="W19" s="143">
        <f>T19</f>
        <v>15745.140000000001</v>
      </c>
      <c r="X19" s="138"/>
      <c r="Y19" s="157"/>
      <c r="Z19" s="157"/>
    </row>
    <row r="20" spans="1:26" s="125" customFormat="1" ht="16.5" x14ac:dyDescent="0.35">
      <c r="A20" s="461"/>
      <c r="B20" s="204" t="s">
        <v>398</v>
      </c>
      <c r="C20" s="607"/>
      <c r="D20" s="145">
        <v>6221.5034601899652</v>
      </c>
      <c r="E20" s="145">
        <v>4679.6377302132787</v>
      </c>
      <c r="F20" s="145">
        <v>3519.7931501175426</v>
      </c>
      <c r="G20" s="145">
        <v>1246.9226188587941</v>
      </c>
      <c r="H20" s="145">
        <v>554.64757559869884</v>
      </c>
      <c r="I20" s="145">
        <v>502.62821561294754</v>
      </c>
      <c r="J20" s="145">
        <v>51.174607128224942</v>
      </c>
      <c r="K20" s="145">
        <v>541.19471240879443</v>
      </c>
      <c r="L20" s="145">
        <v>2138.5114917264914</v>
      </c>
      <c r="M20" s="145">
        <v>1073.831102119748</v>
      </c>
      <c r="N20" s="145">
        <v>1518.7687687250602</v>
      </c>
      <c r="O20" s="145">
        <v>2002.2445501742245</v>
      </c>
      <c r="P20" s="179"/>
      <c r="Q20" s="179"/>
      <c r="R20" s="179"/>
      <c r="T20" s="140">
        <f t="shared" si="0"/>
        <v>24050.857982873771</v>
      </c>
      <c r="U20" s="138"/>
      <c r="V20" s="139"/>
      <c r="W20" s="146">
        <f>T20</f>
        <v>24050.857982873771</v>
      </c>
      <c r="X20" s="138"/>
      <c r="Y20" s="157"/>
      <c r="Z20" s="157"/>
    </row>
    <row r="21" spans="1:26" x14ac:dyDescent="0.25">
      <c r="W21" s="143">
        <f>SUM(W18:W20)</f>
        <v>102256.91581822539</v>
      </c>
      <c r="X21" s="138"/>
    </row>
    <row r="22" spans="1:26" x14ac:dyDescent="0.25">
      <c r="W22" s="149"/>
      <c r="X22" s="150"/>
      <c r="Z22" s="345" t="s">
        <v>38</v>
      </c>
    </row>
    <row r="23" spans="1:26" s="128" customFormat="1" x14ac:dyDescent="0.25">
      <c r="A23" s="459">
        <v>3</v>
      </c>
      <c r="B23" s="127" t="s">
        <v>375</v>
      </c>
      <c r="C23" s="173"/>
      <c r="S23" s="173"/>
      <c r="T23" s="598" t="s">
        <v>375</v>
      </c>
      <c r="W23" s="129"/>
      <c r="Y23" s="166"/>
      <c r="Z23" s="166"/>
    </row>
    <row r="24" spans="1:26" s="125" customFormat="1" x14ac:dyDescent="0.25">
      <c r="A24" s="461"/>
      <c r="B24" s="130" t="s">
        <v>337</v>
      </c>
      <c r="C24" s="131">
        <v>42156</v>
      </c>
      <c r="D24" s="131">
        <v>42186</v>
      </c>
      <c r="E24" s="131">
        <v>42217</v>
      </c>
      <c r="F24" s="131">
        <v>42248</v>
      </c>
      <c r="G24" s="131">
        <v>42278</v>
      </c>
      <c r="H24" s="131">
        <v>42309</v>
      </c>
      <c r="I24" s="131">
        <v>42339</v>
      </c>
      <c r="J24" s="131">
        <v>42370</v>
      </c>
      <c r="K24" s="131">
        <v>42401</v>
      </c>
      <c r="L24" s="131">
        <v>42430</v>
      </c>
      <c r="M24" s="131">
        <v>42461</v>
      </c>
      <c r="N24" s="131">
        <v>42491</v>
      </c>
      <c r="O24" s="131">
        <v>42522</v>
      </c>
      <c r="P24" s="131">
        <v>42552</v>
      </c>
      <c r="Q24" s="151">
        <v>42583</v>
      </c>
      <c r="R24" s="131">
        <v>42627</v>
      </c>
      <c r="S24" s="132"/>
      <c r="T24" s="133" t="s">
        <v>338</v>
      </c>
      <c r="U24" s="134" t="s">
        <v>339</v>
      </c>
      <c r="V24" s="132"/>
      <c r="W24" s="133" t="s">
        <v>338</v>
      </c>
      <c r="X24" s="134" t="s">
        <v>339</v>
      </c>
      <c r="Y24" s="157"/>
      <c r="Z24" s="157"/>
    </row>
    <row r="25" spans="1:26" s="125" customFormat="1" x14ac:dyDescent="0.25">
      <c r="A25" s="461"/>
      <c r="B25" s="135" t="s">
        <v>340</v>
      </c>
      <c r="C25" s="606"/>
      <c r="D25" s="136">
        <v>181002</v>
      </c>
      <c r="E25" s="136">
        <v>164911</v>
      </c>
      <c r="F25" s="136">
        <v>153590</v>
      </c>
      <c r="G25" s="136">
        <v>135645.70000000001</v>
      </c>
      <c r="H25" s="136">
        <v>141852.6</v>
      </c>
      <c r="I25" s="136">
        <v>130677.7</v>
      </c>
      <c r="J25" s="136">
        <v>133798</v>
      </c>
      <c r="K25" s="136">
        <v>129641.4</v>
      </c>
      <c r="L25" s="136">
        <v>161554</v>
      </c>
      <c r="M25" s="136">
        <v>166720.5</v>
      </c>
      <c r="N25" s="136">
        <v>116672.5</v>
      </c>
      <c r="O25" s="136">
        <v>113155</v>
      </c>
      <c r="P25" s="174"/>
      <c r="Q25" s="174"/>
      <c r="R25" s="174"/>
      <c r="T25" s="140">
        <f>SUM(C25:S25)</f>
        <v>1729220.4</v>
      </c>
      <c r="U25" s="138" t="s">
        <v>341</v>
      </c>
      <c r="V25" s="139"/>
      <c r="W25" s="140">
        <f>T25*3413/1000000</f>
        <v>5901.8292252000001</v>
      </c>
      <c r="X25" s="138" t="s">
        <v>342</v>
      </c>
      <c r="Y25" s="157"/>
      <c r="Z25" s="157"/>
    </row>
    <row r="26" spans="1:26" s="125" customFormat="1" x14ac:dyDescent="0.25">
      <c r="A26" s="461"/>
      <c r="B26" s="135" t="s">
        <v>372</v>
      </c>
      <c r="C26" s="606"/>
      <c r="D26" s="136">
        <v>2307</v>
      </c>
      <c r="E26" s="136">
        <v>2201</v>
      </c>
      <c r="F26" s="136">
        <v>2860</v>
      </c>
      <c r="G26" s="136">
        <v>2962</v>
      </c>
      <c r="H26" s="136">
        <v>4916</v>
      </c>
      <c r="I26" s="136">
        <v>6029</v>
      </c>
      <c r="J26" s="136">
        <v>8502</v>
      </c>
      <c r="K26" s="136">
        <v>7404</v>
      </c>
      <c r="L26" s="136">
        <v>6551</v>
      </c>
      <c r="M26" s="136">
        <v>5382</v>
      </c>
      <c r="N26" s="136">
        <v>3886</v>
      </c>
      <c r="O26" s="136">
        <v>1952</v>
      </c>
      <c r="P26" s="174"/>
      <c r="Q26" s="174"/>
      <c r="R26" s="174"/>
      <c r="T26" s="140">
        <f>SUM(C26:S26)</f>
        <v>54952</v>
      </c>
      <c r="U26" s="138" t="s">
        <v>354</v>
      </c>
      <c r="V26" s="139"/>
      <c r="W26" s="140">
        <f>T26*99976.124488/1000000</f>
        <v>5493.8879928645765</v>
      </c>
      <c r="X26" s="138" t="s">
        <v>342</v>
      </c>
      <c r="Y26" s="495">
        <f>W25+W26</f>
        <v>11395.717218064576</v>
      </c>
      <c r="Z26" s="153" t="s">
        <v>342</v>
      </c>
    </row>
    <row r="27" spans="1:26" s="125" customFormat="1" x14ac:dyDescent="0.25">
      <c r="A27" s="461"/>
      <c r="B27" s="135" t="s">
        <v>373</v>
      </c>
      <c r="C27" s="606"/>
      <c r="D27" s="141">
        <v>68321</v>
      </c>
      <c r="E27" s="141">
        <v>52430</v>
      </c>
      <c r="F27" s="141">
        <v>84445</v>
      </c>
      <c r="G27" s="141">
        <v>61521</v>
      </c>
      <c r="H27" s="141">
        <v>45121</v>
      </c>
      <c r="I27" s="141">
        <v>35543</v>
      </c>
      <c r="J27" s="141">
        <v>59045</v>
      </c>
      <c r="K27" s="141">
        <v>72881</v>
      </c>
      <c r="L27" s="141">
        <v>49465</v>
      </c>
      <c r="M27" s="141">
        <v>56214</v>
      </c>
      <c r="N27" s="141">
        <v>36023</v>
      </c>
      <c r="O27" s="141">
        <v>32652</v>
      </c>
      <c r="P27" s="178"/>
      <c r="Q27" s="178"/>
      <c r="R27" s="178"/>
      <c r="T27" s="140">
        <f>SUM(C27:S27)</f>
        <v>653661</v>
      </c>
      <c r="U27" s="138" t="s">
        <v>367</v>
      </c>
      <c r="V27" s="139"/>
      <c r="W27" s="137">
        <f>T27*7.48</f>
        <v>4889384.28</v>
      </c>
      <c r="X27" s="138" t="s">
        <v>346</v>
      </c>
      <c r="Y27" s="157"/>
      <c r="Z27" s="157"/>
    </row>
    <row r="28" spans="1:26" s="125" customFormat="1" x14ac:dyDescent="0.25">
      <c r="A28" s="461"/>
      <c r="B28" s="135" t="s">
        <v>324</v>
      </c>
      <c r="C28" s="606"/>
      <c r="D28" s="142">
        <v>12083.78241637234</v>
      </c>
      <c r="E28" s="142">
        <v>11014.613383980624</v>
      </c>
      <c r="F28" s="142">
        <v>10264.990378440367</v>
      </c>
      <c r="G28" s="142">
        <v>8289.0627963690476</v>
      </c>
      <c r="H28" s="142">
        <v>7981.1805840947372</v>
      </c>
      <c r="I28" s="142">
        <v>7358.3546815078944</v>
      </c>
      <c r="J28" s="142">
        <v>7575.7677411480981</v>
      </c>
      <c r="K28" s="142">
        <v>7569.5713060375647</v>
      </c>
      <c r="L28" s="142">
        <v>9509.2889672567162</v>
      </c>
      <c r="M28" s="142">
        <v>9567.1636055887684</v>
      </c>
      <c r="N28" s="142">
        <v>6832.4307054892606</v>
      </c>
      <c r="O28" s="142">
        <v>7308.047222418837</v>
      </c>
      <c r="P28" s="176"/>
      <c r="Q28" s="176"/>
      <c r="R28" s="176"/>
      <c r="T28" s="143">
        <f>SUM(C28:S28)</f>
        <v>105354.25378870424</v>
      </c>
      <c r="U28" s="138"/>
      <c r="V28" s="139"/>
      <c r="W28" s="143">
        <f>T28</f>
        <v>105354.25378870424</v>
      </c>
      <c r="X28" s="138"/>
      <c r="Y28" s="157"/>
      <c r="Z28" s="157"/>
    </row>
    <row r="29" spans="1:26" s="125" customFormat="1" ht="16.5" x14ac:dyDescent="0.35">
      <c r="A29" s="461"/>
      <c r="B29" s="144" t="s">
        <v>374</v>
      </c>
      <c r="C29" s="607"/>
      <c r="D29" s="145">
        <v>1638.51</v>
      </c>
      <c r="E29" s="145">
        <v>1564.24</v>
      </c>
      <c r="F29" s="145">
        <v>2026</v>
      </c>
      <c r="G29" s="145">
        <v>2097.4699999999998</v>
      </c>
      <c r="H29" s="145">
        <v>3442.25</v>
      </c>
      <c r="I29" s="145">
        <v>4166.87</v>
      </c>
      <c r="J29" s="145">
        <v>5751.7</v>
      </c>
      <c r="K29" s="145">
        <v>4972.0200000000004</v>
      </c>
      <c r="L29" s="145">
        <v>4401.74</v>
      </c>
      <c r="M29" s="145">
        <v>3635.34</v>
      </c>
      <c r="N29" s="145">
        <v>2677.93</v>
      </c>
      <c r="O29" s="145">
        <v>1360.31</v>
      </c>
      <c r="P29" s="179"/>
      <c r="Q29" s="179"/>
      <c r="R29" s="179"/>
      <c r="T29" s="143">
        <f>SUM(C29:S29)</f>
        <v>37734.379999999997</v>
      </c>
      <c r="U29" s="138"/>
      <c r="V29" s="139"/>
      <c r="W29" s="146">
        <f>T29</f>
        <v>37734.379999999997</v>
      </c>
      <c r="X29" s="138"/>
      <c r="Y29" s="157"/>
      <c r="Z29" s="157"/>
    </row>
    <row r="30" spans="1:26" x14ac:dyDescent="0.25">
      <c r="W30" s="143">
        <f>SUM(W28:W29)</f>
        <v>143088.63378870423</v>
      </c>
      <c r="X30" s="138"/>
    </row>
    <row r="31" spans="1:26" x14ac:dyDescent="0.25">
      <c r="W31" s="149"/>
      <c r="X31" s="150"/>
    </row>
    <row r="32" spans="1:26" s="125" customFormat="1" x14ac:dyDescent="0.25">
      <c r="A32" s="461">
        <v>4</v>
      </c>
      <c r="B32" s="148" t="s">
        <v>553</v>
      </c>
      <c r="C32" s="152"/>
      <c r="S32" s="139"/>
      <c r="T32" s="766" t="s">
        <v>553</v>
      </c>
      <c r="U32" s="139"/>
      <c r="V32" s="149"/>
      <c r="W32" s="150"/>
      <c r="Y32" s="157"/>
      <c r="Z32" s="157"/>
    </row>
    <row r="33" spans="1:26" s="125" customFormat="1" x14ac:dyDescent="0.25">
      <c r="A33" s="461"/>
      <c r="B33" s="130" t="s">
        <v>337</v>
      </c>
      <c r="C33" s="131">
        <v>42156</v>
      </c>
      <c r="D33" s="131">
        <v>42186</v>
      </c>
      <c r="E33" s="131">
        <v>42217</v>
      </c>
      <c r="F33" s="131">
        <v>42248</v>
      </c>
      <c r="G33" s="131">
        <v>42278</v>
      </c>
      <c r="H33" s="131">
        <v>42309</v>
      </c>
      <c r="I33" s="131">
        <v>42339</v>
      </c>
      <c r="J33" s="131">
        <v>42370</v>
      </c>
      <c r="K33" s="131">
        <v>42401</v>
      </c>
      <c r="L33" s="131">
        <v>42430</v>
      </c>
      <c r="M33" s="131">
        <v>42461</v>
      </c>
      <c r="N33" s="131">
        <v>42491</v>
      </c>
      <c r="O33" s="131">
        <v>42522</v>
      </c>
      <c r="P33" s="131">
        <v>42552</v>
      </c>
      <c r="Q33" s="131">
        <v>42583</v>
      </c>
      <c r="R33" s="131">
        <v>42627</v>
      </c>
      <c r="S33" s="132"/>
      <c r="T33" s="133" t="s">
        <v>338</v>
      </c>
      <c r="U33" s="134" t="s">
        <v>339</v>
      </c>
      <c r="V33" s="132"/>
      <c r="W33" s="133" t="s">
        <v>338</v>
      </c>
      <c r="X33" s="134" t="s">
        <v>339</v>
      </c>
      <c r="Y33" s="157"/>
      <c r="Z33" s="157"/>
    </row>
    <row r="34" spans="1:26" s="125" customFormat="1" x14ac:dyDescent="0.25">
      <c r="A34" s="461"/>
      <c r="B34" s="135" t="s">
        <v>340</v>
      </c>
      <c r="C34" s="152"/>
      <c r="D34" s="444"/>
      <c r="E34" s="160">
        <v>108048</v>
      </c>
      <c r="F34" s="558">
        <v>105904</v>
      </c>
      <c r="G34" s="558">
        <v>95632</v>
      </c>
      <c r="H34" s="558">
        <v>87664</v>
      </c>
      <c r="I34" s="558">
        <v>64040</v>
      </c>
      <c r="J34" s="558">
        <v>68928</v>
      </c>
      <c r="K34" s="558">
        <v>69072</v>
      </c>
      <c r="L34" s="558">
        <v>106000</v>
      </c>
      <c r="M34" s="558">
        <v>131912</v>
      </c>
      <c r="N34" s="558">
        <v>116648</v>
      </c>
      <c r="O34" s="558">
        <v>53704</v>
      </c>
      <c r="P34" s="558">
        <v>147744</v>
      </c>
      <c r="Q34" s="174"/>
      <c r="R34" s="174"/>
      <c r="T34" s="140">
        <f>SUM(E34:P34)</f>
        <v>1155296</v>
      </c>
      <c r="U34" s="138" t="s">
        <v>341</v>
      </c>
      <c r="V34" s="139"/>
      <c r="W34" s="140">
        <f>T34*3413/1000000</f>
        <v>3943.0252479999999</v>
      </c>
      <c r="X34" s="138" t="s">
        <v>342</v>
      </c>
      <c r="Y34" s="157"/>
      <c r="Z34" s="157"/>
    </row>
    <row r="35" spans="1:26" s="125" customFormat="1" x14ac:dyDescent="0.25">
      <c r="A35" s="461"/>
      <c r="B35" s="135" t="s">
        <v>350</v>
      </c>
      <c r="C35" s="152" t="s">
        <v>321</v>
      </c>
      <c r="D35" s="615"/>
      <c r="E35" s="160"/>
      <c r="F35" s="140"/>
      <c r="G35" s="140"/>
      <c r="H35" s="140"/>
      <c r="I35" s="558"/>
      <c r="J35" s="558"/>
      <c r="K35" s="558"/>
      <c r="L35" s="558"/>
      <c r="M35" s="558"/>
      <c r="N35" s="558"/>
      <c r="O35" s="558"/>
      <c r="P35" s="558"/>
      <c r="Q35" s="174"/>
      <c r="R35" s="174"/>
      <c r="T35" s="140">
        <f t="shared" ref="T35:T40" si="1">SUM(E35:P35)</f>
        <v>0</v>
      </c>
      <c r="U35" s="138" t="s">
        <v>344</v>
      </c>
      <c r="V35" s="139"/>
      <c r="W35" s="140">
        <f>T35/1000</f>
        <v>0</v>
      </c>
      <c r="X35" s="138" t="s">
        <v>342</v>
      </c>
      <c r="Y35" s="157"/>
      <c r="Z35" s="157"/>
    </row>
    <row r="36" spans="1:26" s="125" customFormat="1" x14ac:dyDescent="0.25">
      <c r="A36" s="461"/>
      <c r="B36" s="135" t="s">
        <v>353</v>
      </c>
      <c r="C36" s="152"/>
      <c r="D36" s="444"/>
      <c r="E36" s="160">
        <v>299</v>
      </c>
      <c r="F36" s="160">
        <v>1048</v>
      </c>
      <c r="G36" s="160">
        <v>1363</v>
      </c>
      <c r="H36" s="160">
        <v>1305</v>
      </c>
      <c r="I36" s="160">
        <v>1441</v>
      </c>
      <c r="J36" s="160">
        <v>413</v>
      </c>
      <c r="K36" s="160">
        <v>1758</v>
      </c>
      <c r="L36" s="160">
        <v>1804</v>
      </c>
      <c r="M36" s="160">
        <v>1243</v>
      </c>
      <c r="N36" s="160">
        <v>1424</v>
      </c>
      <c r="O36" s="160">
        <v>277</v>
      </c>
      <c r="P36" s="160">
        <v>289</v>
      </c>
      <c r="Q36" s="178"/>
      <c r="R36" s="178"/>
      <c r="T36" s="140">
        <f t="shared" si="1"/>
        <v>12664</v>
      </c>
      <c r="U36" s="138" t="s">
        <v>354</v>
      </c>
      <c r="V36" s="139"/>
      <c r="W36" s="140">
        <f>T36*99976.124488/1000000</f>
        <v>1266.097640516032</v>
      </c>
      <c r="X36" s="138" t="s">
        <v>342</v>
      </c>
      <c r="Y36" s="495">
        <f>W34+W35+W36</f>
        <v>5209.1228885160317</v>
      </c>
      <c r="Z36" s="153" t="s">
        <v>342</v>
      </c>
    </row>
    <row r="37" spans="1:26" s="125" customFormat="1" x14ac:dyDescent="0.25">
      <c r="A37" s="461"/>
      <c r="B37" s="135" t="s">
        <v>1387</v>
      </c>
      <c r="C37" s="152"/>
      <c r="D37" s="614"/>
      <c r="E37" s="160">
        <v>150658</v>
      </c>
      <c r="F37" s="768">
        <v>189718</v>
      </c>
      <c r="G37" s="768">
        <v>177482</v>
      </c>
      <c r="H37" s="768">
        <v>150751</v>
      </c>
      <c r="I37" s="768">
        <v>121168</v>
      </c>
      <c r="J37" s="768">
        <v>114305</v>
      </c>
      <c r="K37" s="769">
        <v>113391</v>
      </c>
      <c r="L37" s="769">
        <v>312047</v>
      </c>
      <c r="M37" s="769">
        <v>136449</v>
      </c>
      <c r="N37" s="769">
        <v>35873</v>
      </c>
      <c r="O37" s="769">
        <v>23436</v>
      </c>
      <c r="P37" s="769">
        <v>36393</v>
      </c>
      <c r="Q37" s="730"/>
      <c r="R37" s="176"/>
      <c r="T37" s="140">
        <f t="shared" si="1"/>
        <v>1561671</v>
      </c>
      <c r="U37" s="138" t="s">
        <v>346</v>
      </c>
      <c r="V37" s="139"/>
      <c r="W37" s="137">
        <f>T37</f>
        <v>1561671</v>
      </c>
      <c r="X37" s="138" t="s">
        <v>346</v>
      </c>
      <c r="Y37" s="157"/>
      <c r="Z37" s="157"/>
    </row>
    <row r="38" spans="1:26" s="125" customFormat="1" x14ac:dyDescent="0.25">
      <c r="A38" s="461"/>
      <c r="B38" s="135" t="s">
        <v>324</v>
      </c>
      <c r="C38" s="152"/>
      <c r="D38" s="444"/>
      <c r="E38" s="555">
        <v>6720.85</v>
      </c>
      <c r="F38" s="171">
        <v>6587.49</v>
      </c>
      <c r="G38" s="171">
        <v>5948.55</v>
      </c>
      <c r="H38" s="171">
        <v>5452.92</v>
      </c>
      <c r="I38" s="171">
        <v>3983.45</v>
      </c>
      <c r="J38" s="171">
        <v>4287.49</v>
      </c>
      <c r="K38" s="171">
        <v>4296.45</v>
      </c>
      <c r="L38" s="171">
        <v>6593.46</v>
      </c>
      <c r="M38" s="171">
        <v>8205.25</v>
      </c>
      <c r="N38" s="171">
        <v>7255.79</v>
      </c>
      <c r="O38" s="171">
        <v>3340.52</v>
      </c>
      <c r="P38" s="171">
        <v>9190.0400000000009</v>
      </c>
      <c r="Q38" s="1162"/>
      <c r="R38" s="179"/>
      <c r="S38" s="155"/>
      <c r="T38" s="140">
        <f t="shared" si="1"/>
        <v>71862.259999999995</v>
      </c>
      <c r="U38" s="138"/>
      <c r="V38" s="139"/>
      <c r="W38" s="143">
        <f>T38</f>
        <v>71862.259999999995</v>
      </c>
      <c r="X38" s="138"/>
      <c r="Y38" s="157"/>
      <c r="Z38" s="157"/>
    </row>
    <row r="39" spans="1:26" s="125" customFormat="1" x14ac:dyDescent="0.25">
      <c r="A39" s="461"/>
      <c r="B39" s="144" t="s">
        <v>348</v>
      </c>
      <c r="C39" s="152" t="s">
        <v>321</v>
      </c>
      <c r="D39" s="615"/>
      <c r="E39" s="555"/>
      <c r="F39" s="171"/>
      <c r="G39" s="171"/>
      <c r="H39" s="171"/>
      <c r="I39" s="171"/>
      <c r="J39" s="171"/>
      <c r="K39" s="171"/>
      <c r="L39" s="171"/>
      <c r="M39" s="171"/>
      <c r="N39" s="171"/>
      <c r="O39" s="171"/>
      <c r="P39" s="171"/>
      <c r="Q39" s="554"/>
      <c r="R39" s="554"/>
      <c r="S39" s="157"/>
      <c r="T39" s="140">
        <f t="shared" si="1"/>
        <v>0</v>
      </c>
      <c r="U39" s="138"/>
      <c r="V39" s="139"/>
      <c r="W39" s="143">
        <f>T39</f>
        <v>0</v>
      </c>
      <c r="X39" s="138"/>
      <c r="Y39" s="157"/>
      <c r="Z39" s="157"/>
    </row>
    <row r="40" spans="1:26" s="125" customFormat="1" ht="16.5" x14ac:dyDescent="0.35">
      <c r="A40" s="461"/>
      <c r="B40" s="135" t="s">
        <v>356</v>
      </c>
      <c r="C40" s="152"/>
      <c r="D40" s="1131"/>
      <c r="E40" s="555">
        <v>246.83</v>
      </c>
      <c r="F40" s="145">
        <v>782.85</v>
      </c>
      <c r="G40" s="145">
        <v>1002.29</v>
      </c>
      <c r="H40" s="145">
        <v>945.52</v>
      </c>
      <c r="I40" s="145">
        <v>977.62</v>
      </c>
      <c r="J40" s="145">
        <v>305.32</v>
      </c>
      <c r="K40" s="145">
        <v>1088.3</v>
      </c>
      <c r="L40" s="145">
        <v>1115.43</v>
      </c>
      <c r="M40" s="145">
        <v>794.14</v>
      </c>
      <c r="N40" s="145">
        <v>932.98</v>
      </c>
      <c r="O40" s="145">
        <v>208.18</v>
      </c>
      <c r="P40" s="145">
        <v>216.39</v>
      </c>
      <c r="Q40" s="179"/>
      <c r="R40" s="179"/>
      <c r="S40" s="155"/>
      <c r="T40" s="140">
        <f t="shared" si="1"/>
        <v>8615.85</v>
      </c>
      <c r="U40" s="138"/>
      <c r="V40" s="139"/>
      <c r="W40" s="146">
        <f>T40</f>
        <v>8615.85</v>
      </c>
      <c r="X40" s="138"/>
      <c r="Y40" s="157"/>
      <c r="Z40" s="157"/>
    </row>
    <row r="41" spans="1:26" x14ac:dyDescent="0.25">
      <c r="C41" s="609"/>
      <c r="W41" s="143">
        <f>SUM(W38:W40)</f>
        <v>80478.11</v>
      </c>
      <c r="X41" s="138"/>
    </row>
    <row r="42" spans="1:26" x14ac:dyDescent="0.25">
      <c r="W42" s="149"/>
      <c r="X42" s="150"/>
    </row>
    <row r="43" spans="1:26" s="125" customFormat="1" x14ac:dyDescent="0.25">
      <c r="A43" s="461">
        <v>5</v>
      </c>
      <c r="B43" s="148" t="s">
        <v>555</v>
      </c>
      <c r="C43" s="152"/>
      <c r="S43" s="139"/>
      <c r="T43" s="766" t="s">
        <v>555</v>
      </c>
      <c r="U43" s="139"/>
      <c r="V43" s="149"/>
      <c r="W43" s="150"/>
      <c r="Y43" s="157"/>
      <c r="Z43" s="157"/>
    </row>
    <row r="44" spans="1:26" s="125" customFormat="1" x14ac:dyDescent="0.25">
      <c r="A44" s="461"/>
      <c r="B44" s="130" t="s">
        <v>337</v>
      </c>
      <c r="C44" s="131">
        <v>42156</v>
      </c>
      <c r="D44" s="131">
        <v>42186</v>
      </c>
      <c r="E44" s="131">
        <v>42217</v>
      </c>
      <c r="F44" s="131">
        <v>42248</v>
      </c>
      <c r="G44" s="131">
        <v>42278</v>
      </c>
      <c r="H44" s="131">
        <v>42309</v>
      </c>
      <c r="I44" s="131">
        <v>42339</v>
      </c>
      <c r="J44" s="131">
        <v>42370</v>
      </c>
      <c r="K44" s="131">
        <v>42401</v>
      </c>
      <c r="L44" s="131">
        <v>42430</v>
      </c>
      <c r="M44" s="131">
        <v>42461</v>
      </c>
      <c r="N44" s="131">
        <v>42491</v>
      </c>
      <c r="O44" s="131">
        <v>42522</v>
      </c>
      <c r="P44" s="131">
        <v>42552</v>
      </c>
      <c r="Q44" s="151">
        <v>42583</v>
      </c>
      <c r="R44" s="131">
        <v>42627</v>
      </c>
      <c r="S44" s="132"/>
      <c r="T44" s="133" t="s">
        <v>338</v>
      </c>
      <c r="U44" s="134" t="s">
        <v>339</v>
      </c>
      <c r="V44" s="132"/>
      <c r="W44" s="133" t="s">
        <v>338</v>
      </c>
      <c r="X44" s="134" t="s">
        <v>339</v>
      </c>
      <c r="Y44" s="157"/>
      <c r="Z44" s="157"/>
    </row>
    <row r="45" spans="1:26" s="125" customFormat="1" x14ac:dyDescent="0.25">
      <c r="A45" s="461"/>
      <c r="B45" s="135" t="s">
        <v>340</v>
      </c>
      <c r="C45" s="152"/>
      <c r="D45" s="991"/>
      <c r="E45" s="160">
        <v>85846</v>
      </c>
      <c r="F45" s="558">
        <v>75525</v>
      </c>
      <c r="G45" s="558">
        <v>65435</v>
      </c>
      <c r="H45" s="558">
        <v>63722</v>
      </c>
      <c r="I45" s="558">
        <v>50560</v>
      </c>
      <c r="J45" s="558">
        <v>44272</v>
      </c>
      <c r="K45" s="558">
        <v>51578</v>
      </c>
      <c r="L45" s="558">
        <v>67404</v>
      </c>
      <c r="M45" s="558">
        <v>69770</v>
      </c>
      <c r="N45" s="558">
        <v>75377</v>
      </c>
      <c r="O45" s="558">
        <v>85576</v>
      </c>
      <c r="P45" s="558">
        <v>101534</v>
      </c>
      <c r="Q45" s="174"/>
      <c r="R45" s="174"/>
      <c r="T45" s="140">
        <f>SUM(E45:P45)</f>
        <v>836599</v>
      </c>
      <c r="U45" s="138" t="s">
        <v>341</v>
      </c>
      <c r="V45" s="139"/>
      <c r="W45" s="140">
        <f>T45*3413/1000000</f>
        <v>2855.3123869999999</v>
      </c>
      <c r="X45" s="138" t="s">
        <v>342</v>
      </c>
      <c r="Y45" s="157"/>
      <c r="Z45" s="157"/>
    </row>
    <row r="46" spans="1:26" s="125" customFormat="1" x14ac:dyDescent="0.25">
      <c r="A46" s="461"/>
      <c r="B46" s="135" t="s">
        <v>350</v>
      </c>
      <c r="C46" s="152" t="s">
        <v>321</v>
      </c>
      <c r="D46" s="615"/>
      <c r="E46" s="160"/>
      <c r="F46" s="140"/>
      <c r="G46" s="140"/>
      <c r="H46" s="140"/>
      <c r="I46" s="558"/>
      <c r="J46" s="558"/>
      <c r="K46" s="558"/>
      <c r="L46" s="558"/>
      <c r="M46" s="558"/>
      <c r="N46" s="558"/>
      <c r="O46" s="558"/>
      <c r="P46" s="558"/>
      <c r="Q46" s="174"/>
      <c r="R46" s="174"/>
      <c r="T46" s="140">
        <f t="shared" ref="T46:T51" si="2">SUM(E46:P46)</f>
        <v>0</v>
      </c>
      <c r="U46" s="138" t="s">
        <v>344</v>
      </c>
      <c r="V46" s="139"/>
      <c r="W46" s="140">
        <f>T46/1000</f>
        <v>0</v>
      </c>
      <c r="X46" s="138" t="s">
        <v>342</v>
      </c>
      <c r="Y46" s="157"/>
      <c r="Z46" s="157"/>
    </row>
    <row r="47" spans="1:26" s="125" customFormat="1" x14ac:dyDescent="0.25">
      <c r="A47" s="461"/>
      <c r="B47" s="135" t="s">
        <v>353</v>
      </c>
      <c r="C47" s="152"/>
      <c r="D47" s="444"/>
      <c r="E47" s="160">
        <v>36</v>
      </c>
      <c r="F47" s="160">
        <v>40</v>
      </c>
      <c r="G47" s="160">
        <v>48</v>
      </c>
      <c r="H47" s="160">
        <v>42</v>
      </c>
      <c r="I47" s="160">
        <v>44</v>
      </c>
      <c r="J47" s="160">
        <v>50</v>
      </c>
      <c r="K47" s="160">
        <v>44</v>
      </c>
      <c r="L47" s="160">
        <v>45</v>
      </c>
      <c r="M47" s="160">
        <v>49</v>
      </c>
      <c r="N47" s="160">
        <v>45</v>
      </c>
      <c r="O47" s="160">
        <v>51</v>
      </c>
      <c r="P47" s="160">
        <v>39</v>
      </c>
      <c r="Q47" s="178"/>
      <c r="R47" s="178"/>
      <c r="T47" s="140">
        <f t="shared" si="2"/>
        <v>533</v>
      </c>
      <c r="U47" s="138" t="s">
        <v>354</v>
      </c>
      <c r="V47" s="139"/>
      <c r="W47" s="140">
        <f>T47*99976.124488/1000000</f>
        <v>53.287274352103999</v>
      </c>
      <c r="X47" s="138" t="s">
        <v>342</v>
      </c>
      <c r="Y47" s="495">
        <f>W45+W46+W47</f>
        <v>2908.5996613521038</v>
      </c>
      <c r="Z47" s="153" t="s">
        <v>677</v>
      </c>
    </row>
    <row r="48" spans="1:26" s="125" customFormat="1" x14ac:dyDescent="0.25">
      <c r="A48" s="461"/>
      <c r="B48" s="135" t="s">
        <v>366</v>
      </c>
      <c r="C48" s="152"/>
      <c r="D48" s="614"/>
      <c r="E48" s="160">
        <v>13940</v>
      </c>
      <c r="F48" s="768">
        <v>11790</v>
      </c>
      <c r="G48" s="768">
        <v>5472</v>
      </c>
      <c r="H48" s="768">
        <v>5359</v>
      </c>
      <c r="I48" s="768">
        <v>7986</v>
      </c>
      <c r="J48" s="768">
        <v>18983</v>
      </c>
      <c r="K48" s="769">
        <v>3178</v>
      </c>
      <c r="L48" s="769">
        <v>13821</v>
      </c>
      <c r="M48" s="769">
        <v>20524</v>
      </c>
      <c r="N48" s="769">
        <v>20347</v>
      </c>
      <c r="O48" s="769">
        <v>30042</v>
      </c>
      <c r="P48" s="769">
        <v>29190</v>
      </c>
      <c r="Q48" s="730"/>
      <c r="R48" s="176"/>
      <c r="T48" s="140">
        <f t="shared" si="2"/>
        <v>180632</v>
      </c>
      <c r="U48" s="138" t="s">
        <v>367</v>
      </c>
      <c r="V48" s="139"/>
      <c r="W48" s="137">
        <f>T48*7.48</f>
        <v>1351127.36</v>
      </c>
      <c r="X48" s="138" t="s">
        <v>346</v>
      </c>
      <c r="Y48" s="157"/>
      <c r="Z48" s="157"/>
    </row>
    <row r="49" spans="1:26" s="125" customFormat="1" x14ac:dyDescent="0.25">
      <c r="A49" s="461"/>
      <c r="B49" s="135" t="s">
        <v>324</v>
      </c>
      <c r="C49" s="152"/>
      <c r="D49" s="1131"/>
      <c r="E49" s="555">
        <v>5339.83</v>
      </c>
      <c r="F49" s="171">
        <v>4697.84</v>
      </c>
      <c r="G49" s="171">
        <v>4070.22</v>
      </c>
      <c r="H49" s="171">
        <v>3963.67</v>
      </c>
      <c r="I49" s="171">
        <v>3144.96</v>
      </c>
      <c r="J49" s="171">
        <v>2753.83</v>
      </c>
      <c r="K49" s="171">
        <v>3208.28</v>
      </c>
      <c r="L49" s="171">
        <v>4192.7</v>
      </c>
      <c r="M49" s="171">
        <v>4339.87</v>
      </c>
      <c r="N49" s="171">
        <v>4688.6400000000003</v>
      </c>
      <c r="O49" s="171">
        <v>5323.04</v>
      </c>
      <c r="P49" s="171">
        <v>6315.67</v>
      </c>
      <c r="Q49" s="1162"/>
      <c r="R49" s="179"/>
      <c r="S49" s="155"/>
      <c r="T49" s="156">
        <f t="shared" si="2"/>
        <v>52038.549999999996</v>
      </c>
      <c r="U49" s="138"/>
      <c r="V49" s="139"/>
      <c r="W49" s="143">
        <f>T49</f>
        <v>52038.549999999996</v>
      </c>
      <c r="X49" s="138"/>
      <c r="Y49" s="157"/>
      <c r="Z49" s="157"/>
    </row>
    <row r="50" spans="1:26" s="125" customFormat="1" x14ac:dyDescent="0.25">
      <c r="A50" s="461"/>
      <c r="B50" s="144" t="s">
        <v>348</v>
      </c>
      <c r="C50" s="152" t="s">
        <v>321</v>
      </c>
      <c r="D50" s="615"/>
      <c r="E50" s="555"/>
      <c r="F50" s="171"/>
      <c r="G50" s="171"/>
      <c r="H50" s="171"/>
      <c r="I50" s="171"/>
      <c r="J50" s="171"/>
      <c r="K50" s="171"/>
      <c r="L50" s="171"/>
      <c r="M50" s="171"/>
      <c r="N50" s="171"/>
      <c r="O50" s="171"/>
      <c r="P50" s="171"/>
      <c r="Q50" s="554"/>
      <c r="R50" s="554"/>
      <c r="S50" s="157"/>
      <c r="T50" s="156">
        <f t="shared" si="2"/>
        <v>0</v>
      </c>
      <c r="U50" s="138"/>
      <c r="V50" s="139"/>
      <c r="W50" s="143">
        <f>T50</f>
        <v>0</v>
      </c>
      <c r="X50" s="138"/>
      <c r="Y50" s="157"/>
      <c r="Z50" s="157"/>
    </row>
    <row r="51" spans="1:26" s="125" customFormat="1" ht="16.5" x14ac:dyDescent="0.35">
      <c r="A51" s="461"/>
      <c r="B51" s="135" t="s">
        <v>356</v>
      </c>
      <c r="C51" s="152"/>
      <c r="D51" s="1131"/>
      <c r="E51" s="555">
        <v>46.19</v>
      </c>
      <c r="F51" s="145">
        <v>49.24</v>
      </c>
      <c r="G51" s="145">
        <v>55.33</v>
      </c>
      <c r="H51" s="145">
        <v>50.47</v>
      </c>
      <c r="I51" s="145">
        <v>49.86</v>
      </c>
      <c r="J51" s="145">
        <v>53.7</v>
      </c>
      <c r="K51" s="145">
        <v>47.53</v>
      </c>
      <c r="L51" s="145">
        <v>48.18</v>
      </c>
      <c r="M51" s="145">
        <v>51.03</v>
      </c>
      <c r="N51" s="145">
        <v>49.5</v>
      </c>
      <c r="O51" s="145">
        <v>53.61</v>
      </c>
      <c r="P51" s="145">
        <v>45.4</v>
      </c>
      <c r="Q51" s="179"/>
      <c r="R51" s="179"/>
      <c r="S51" s="155"/>
      <c r="T51" s="156">
        <f t="shared" si="2"/>
        <v>600.04</v>
      </c>
      <c r="U51" s="138"/>
      <c r="V51" s="139"/>
      <c r="W51" s="146">
        <f>T51</f>
        <v>600.04</v>
      </c>
      <c r="X51" s="138"/>
      <c r="Y51" s="157"/>
      <c r="Z51" s="157"/>
    </row>
    <row r="52" spans="1:26" x14ac:dyDescent="0.25">
      <c r="C52" s="711"/>
      <c r="W52" s="143">
        <f>SUM(W49:W51)</f>
        <v>52638.59</v>
      </c>
      <c r="X52" s="138"/>
    </row>
    <row r="53" spans="1:26" x14ac:dyDescent="0.25">
      <c r="W53" s="149"/>
      <c r="X53" s="150"/>
    </row>
    <row r="54" spans="1:26" s="125" customFormat="1" x14ac:dyDescent="0.25">
      <c r="A54" s="461">
        <v>6</v>
      </c>
      <c r="B54" s="148" t="s">
        <v>556</v>
      </c>
      <c r="C54" s="152"/>
      <c r="D54" s="157"/>
      <c r="S54" s="126"/>
      <c r="T54" s="569" t="s">
        <v>556</v>
      </c>
      <c r="V54" s="126"/>
      <c r="Y54" s="157"/>
      <c r="Z54" s="157"/>
    </row>
    <row r="55" spans="1:26" s="125" customFormat="1" x14ac:dyDescent="0.25">
      <c r="A55" s="461"/>
      <c r="B55" s="130" t="s">
        <v>337</v>
      </c>
      <c r="C55" s="131">
        <v>42156</v>
      </c>
      <c r="D55" s="131">
        <v>42186</v>
      </c>
      <c r="E55" s="131">
        <v>42217</v>
      </c>
      <c r="F55" s="131">
        <v>42248</v>
      </c>
      <c r="G55" s="131">
        <v>42278</v>
      </c>
      <c r="H55" s="131">
        <v>42309</v>
      </c>
      <c r="I55" s="131">
        <v>42339</v>
      </c>
      <c r="J55" s="131">
        <v>42370</v>
      </c>
      <c r="K55" s="131">
        <v>42401</v>
      </c>
      <c r="L55" s="131">
        <v>42430</v>
      </c>
      <c r="M55" s="131">
        <v>42461</v>
      </c>
      <c r="N55" s="131">
        <v>42491</v>
      </c>
      <c r="O55" s="131">
        <v>42522</v>
      </c>
      <c r="P55" s="131">
        <v>42552</v>
      </c>
      <c r="Q55" s="151">
        <v>42583</v>
      </c>
      <c r="R55" s="131">
        <v>42627</v>
      </c>
      <c r="S55" s="132"/>
      <c r="T55" s="133" t="s">
        <v>338</v>
      </c>
      <c r="U55" s="134" t="s">
        <v>339</v>
      </c>
      <c r="V55" s="132"/>
      <c r="W55" s="133" t="s">
        <v>338</v>
      </c>
      <c r="X55" s="134" t="s">
        <v>339</v>
      </c>
      <c r="Y55" s="157"/>
      <c r="Z55" s="157"/>
    </row>
    <row r="56" spans="1:26" s="157" customFormat="1" x14ac:dyDescent="0.25">
      <c r="A56" s="461"/>
      <c r="B56" s="135" t="s">
        <v>319</v>
      </c>
      <c r="C56" s="599"/>
      <c r="E56" s="1346">
        <v>151445</v>
      </c>
      <c r="F56" s="1346">
        <v>168628</v>
      </c>
      <c r="G56" s="1346">
        <v>183405</v>
      </c>
      <c r="H56" s="1346">
        <v>162532</v>
      </c>
      <c r="I56" s="1346">
        <v>200968</v>
      </c>
      <c r="J56" s="1346">
        <v>168714</v>
      </c>
      <c r="K56" s="1346">
        <v>143137</v>
      </c>
      <c r="L56" s="1346">
        <v>187325</v>
      </c>
      <c r="M56" s="1346">
        <v>151869</v>
      </c>
      <c r="N56" s="1346">
        <v>161325</v>
      </c>
      <c r="O56" s="1346">
        <v>187114</v>
      </c>
      <c r="P56" s="1346">
        <v>157789</v>
      </c>
      <c r="Q56" s="174"/>
      <c r="T56" s="141">
        <f t="shared" ref="T56:T64" si="3">SUM(C56:Q56)</f>
        <v>2024251</v>
      </c>
      <c r="U56" s="188" t="s">
        <v>341</v>
      </c>
      <c r="W56" s="160">
        <f>T56*3413/1000000</f>
        <v>6908.7686629999998</v>
      </c>
      <c r="X56" s="138" t="s">
        <v>342</v>
      </c>
    </row>
    <row r="57" spans="1:26" s="157" customFormat="1" x14ac:dyDescent="0.25">
      <c r="A57" s="461"/>
      <c r="B57" s="135" t="s">
        <v>859</v>
      </c>
      <c r="C57" s="599"/>
      <c r="E57" s="1346">
        <v>676</v>
      </c>
      <c r="F57" s="1346">
        <v>558</v>
      </c>
      <c r="G57" s="1346">
        <v>557</v>
      </c>
      <c r="H57" s="1346">
        <v>498</v>
      </c>
      <c r="I57" s="1346">
        <v>478</v>
      </c>
      <c r="J57" s="1346">
        <v>524</v>
      </c>
      <c r="K57" s="1346">
        <v>1005</v>
      </c>
      <c r="L57" s="1346">
        <v>693</v>
      </c>
      <c r="M57" s="1346">
        <v>383</v>
      </c>
      <c r="N57" s="1346">
        <v>441</v>
      </c>
      <c r="O57" s="1346">
        <v>535</v>
      </c>
      <c r="P57" s="1346">
        <v>473</v>
      </c>
      <c r="Q57" s="174"/>
      <c r="T57" s="141">
        <f t="shared" si="3"/>
        <v>6821</v>
      </c>
      <c r="U57" s="188" t="s">
        <v>860</v>
      </c>
      <c r="W57" s="160">
        <f>T57*1194000/1000000</f>
        <v>8144.2740000000003</v>
      </c>
      <c r="X57" s="138" t="s">
        <v>342</v>
      </c>
    </row>
    <row r="58" spans="1:26" s="157" customFormat="1" x14ac:dyDescent="0.25">
      <c r="A58" s="461"/>
      <c r="B58" s="192" t="s">
        <v>323</v>
      </c>
      <c r="C58" s="599"/>
      <c r="E58" s="1346">
        <v>167354</v>
      </c>
      <c r="F58" s="1346">
        <v>155825</v>
      </c>
      <c r="G58" s="1346">
        <v>141384</v>
      </c>
      <c r="H58" s="1346">
        <v>38112</v>
      </c>
      <c r="I58" s="1346">
        <v>26509</v>
      </c>
      <c r="J58" s="1346">
        <v>34916</v>
      </c>
      <c r="K58" s="1346">
        <v>7</v>
      </c>
      <c r="L58" s="1346">
        <v>1984</v>
      </c>
      <c r="M58" s="1346">
        <v>22678</v>
      </c>
      <c r="N58" s="1346">
        <v>33930</v>
      </c>
      <c r="O58" s="1346">
        <v>80849</v>
      </c>
      <c r="P58" s="1346">
        <v>138870</v>
      </c>
      <c r="Q58" s="178"/>
      <c r="T58" s="141">
        <f t="shared" si="3"/>
        <v>842418</v>
      </c>
      <c r="U58" s="188" t="s">
        <v>397</v>
      </c>
      <c r="W58" s="160">
        <f>T58*0.012</f>
        <v>10109.016</v>
      </c>
      <c r="X58" s="138" t="s">
        <v>342</v>
      </c>
    </row>
    <row r="59" spans="1:26" s="157" customFormat="1" x14ac:dyDescent="0.25">
      <c r="A59" s="461"/>
      <c r="B59" s="192" t="s">
        <v>861</v>
      </c>
      <c r="C59" s="599"/>
      <c r="E59" s="1346">
        <v>159</v>
      </c>
      <c r="F59" s="1346">
        <v>201</v>
      </c>
      <c r="G59" s="1346">
        <v>366</v>
      </c>
      <c r="H59" s="1346">
        <v>434</v>
      </c>
      <c r="I59" s="1346">
        <v>513</v>
      </c>
      <c r="J59" s="1346">
        <v>311</v>
      </c>
      <c r="K59" s="1346">
        <v>240</v>
      </c>
      <c r="L59" s="1346">
        <v>329</v>
      </c>
      <c r="M59" s="1346">
        <v>358</v>
      </c>
      <c r="N59" s="1346">
        <v>258</v>
      </c>
      <c r="O59" s="1346">
        <v>310</v>
      </c>
      <c r="P59" s="1346">
        <v>169</v>
      </c>
      <c r="Q59" s="178"/>
      <c r="T59" s="141">
        <f t="shared" si="3"/>
        <v>3648</v>
      </c>
      <c r="U59" s="188" t="s">
        <v>354</v>
      </c>
      <c r="W59" s="140">
        <f>T59*99976.124488/1000000</f>
        <v>364.71290213222403</v>
      </c>
      <c r="X59" s="138" t="s">
        <v>342</v>
      </c>
      <c r="Y59" s="495">
        <f>W56+W57+W58+W59</f>
        <v>25526.771565132225</v>
      </c>
      <c r="Z59" s="153" t="s">
        <v>677</v>
      </c>
    </row>
    <row r="60" spans="1:26" s="157" customFormat="1" x14ac:dyDescent="0.25">
      <c r="A60" s="461"/>
      <c r="B60" s="135" t="s">
        <v>862</v>
      </c>
      <c r="C60" s="599"/>
      <c r="E60" s="1346">
        <v>391</v>
      </c>
      <c r="F60" s="1346">
        <v>328</v>
      </c>
      <c r="G60" s="1346">
        <v>372</v>
      </c>
      <c r="H60" s="1346">
        <v>261</v>
      </c>
      <c r="I60" s="1346">
        <v>161</v>
      </c>
      <c r="J60" s="1346">
        <v>134</v>
      </c>
      <c r="K60" s="1346">
        <v>161</v>
      </c>
      <c r="L60" s="1346">
        <v>176</v>
      </c>
      <c r="M60" s="1346">
        <v>190</v>
      </c>
      <c r="N60" s="1346">
        <v>202</v>
      </c>
      <c r="O60" s="1346">
        <v>155</v>
      </c>
      <c r="P60" s="1346">
        <v>152</v>
      </c>
      <c r="Q60" s="178"/>
      <c r="T60" s="141">
        <f t="shared" si="3"/>
        <v>2683</v>
      </c>
      <c r="U60" s="188" t="s">
        <v>863</v>
      </c>
      <c r="W60" s="141">
        <f>T60*1000</f>
        <v>2683000</v>
      </c>
      <c r="X60" s="188" t="s">
        <v>346</v>
      </c>
    </row>
    <row r="61" spans="1:26" s="157" customFormat="1" x14ac:dyDescent="0.25">
      <c r="A61" s="461"/>
      <c r="B61" s="135" t="s">
        <v>324</v>
      </c>
      <c r="C61" s="599"/>
      <c r="E61" s="171">
        <v>9086.7000000000007</v>
      </c>
      <c r="F61" s="171">
        <v>9864.74</v>
      </c>
      <c r="G61" s="171">
        <v>11664.56</v>
      </c>
      <c r="H61" s="171">
        <v>9946.9599999999991</v>
      </c>
      <c r="I61" s="171">
        <v>9465.59</v>
      </c>
      <c r="J61" s="171">
        <v>8520.06</v>
      </c>
      <c r="K61" s="171">
        <v>9060.57</v>
      </c>
      <c r="L61" s="171">
        <v>9628.51</v>
      </c>
      <c r="M61" s="171">
        <v>9294.3799999999992</v>
      </c>
      <c r="N61" s="171">
        <v>9372.98</v>
      </c>
      <c r="O61" s="171">
        <v>8906.6299999999992</v>
      </c>
      <c r="P61" s="171">
        <v>9498.9</v>
      </c>
      <c r="Q61" s="176"/>
      <c r="T61" s="171">
        <f t="shared" si="3"/>
        <v>114310.57999999999</v>
      </c>
      <c r="U61" s="188"/>
      <c r="W61" s="439">
        <f>T61</f>
        <v>114310.57999999999</v>
      </c>
      <c r="X61" s="188"/>
    </row>
    <row r="62" spans="1:26" s="157" customFormat="1" x14ac:dyDescent="0.25">
      <c r="A62" s="461"/>
      <c r="B62" s="195" t="s">
        <v>326</v>
      </c>
      <c r="C62" s="599"/>
      <c r="E62" s="171">
        <v>7594.25</v>
      </c>
      <c r="F62" s="171">
        <v>6268.63</v>
      </c>
      <c r="G62" s="171">
        <v>6257.39</v>
      </c>
      <c r="H62" s="171">
        <v>5594.58</v>
      </c>
      <c r="I62" s="171">
        <v>5369.9</v>
      </c>
      <c r="J62" s="171">
        <v>5886.67</v>
      </c>
      <c r="K62" s="171">
        <v>11290.27</v>
      </c>
      <c r="L62" s="171">
        <v>7785.23</v>
      </c>
      <c r="M62" s="171">
        <v>4302.66</v>
      </c>
      <c r="N62" s="171">
        <v>4954.24</v>
      </c>
      <c r="O62" s="171">
        <v>6010.24</v>
      </c>
      <c r="P62" s="171">
        <v>5202.91</v>
      </c>
      <c r="Q62" s="1058"/>
      <c r="T62" s="171">
        <f t="shared" si="3"/>
        <v>76516.97</v>
      </c>
      <c r="U62" s="188"/>
      <c r="W62" s="190">
        <f>T62</f>
        <v>76516.97</v>
      </c>
      <c r="X62" s="438"/>
    </row>
    <row r="63" spans="1:26" s="157" customFormat="1" x14ac:dyDescent="0.25">
      <c r="A63" s="461"/>
      <c r="B63" s="195" t="s">
        <v>398</v>
      </c>
      <c r="C63" s="599"/>
      <c r="E63" s="171">
        <v>16082.72</v>
      </c>
      <c r="F63" s="171">
        <v>14974.78</v>
      </c>
      <c r="G63" s="171">
        <v>13587</v>
      </c>
      <c r="H63" s="171">
        <v>3662.56</v>
      </c>
      <c r="I63" s="171">
        <v>2547.5100000000002</v>
      </c>
      <c r="J63" s="171">
        <v>3355.43</v>
      </c>
      <c r="K63" s="171">
        <v>0.67</v>
      </c>
      <c r="L63" s="171">
        <v>190.66</v>
      </c>
      <c r="M63" s="171">
        <v>2179.36</v>
      </c>
      <c r="N63" s="171">
        <v>3260.67</v>
      </c>
      <c r="O63" s="171">
        <v>7769.59</v>
      </c>
      <c r="P63" s="171">
        <v>12706.61</v>
      </c>
      <c r="Q63" s="446"/>
      <c r="T63" s="171">
        <f t="shared" si="3"/>
        <v>80317.56</v>
      </c>
      <c r="U63" s="188"/>
      <c r="W63" s="190">
        <f>T63</f>
        <v>80317.56</v>
      </c>
      <c r="X63" s="188"/>
    </row>
    <row r="64" spans="1:26" s="157" customFormat="1" x14ac:dyDescent="0.25">
      <c r="A64" s="461"/>
      <c r="B64" s="195" t="s">
        <v>829</v>
      </c>
      <c r="C64" s="599"/>
      <c r="E64" s="171">
        <v>103.76</v>
      </c>
      <c r="F64" s="171">
        <v>131.16999999999999</v>
      </c>
      <c r="G64" s="171">
        <v>521.9</v>
      </c>
      <c r="H64" s="171">
        <v>618.32000000000005</v>
      </c>
      <c r="I64" s="171">
        <v>704.68</v>
      </c>
      <c r="J64" s="171">
        <v>411.34</v>
      </c>
      <c r="K64" s="171">
        <v>305.94</v>
      </c>
      <c r="L64" s="171">
        <v>402.56</v>
      </c>
      <c r="M64" s="171">
        <v>438.04</v>
      </c>
      <c r="N64" s="171">
        <v>322.76</v>
      </c>
      <c r="O64" s="171">
        <v>396.3</v>
      </c>
      <c r="P64" s="171">
        <v>108.02</v>
      </c>
      <c r="Q64" s="446"/>
      <c r="T64" s="171">
        <f t="shared" si="3"/>
        <v>4464.7900000000009</v>
      </c>
      <c r="U64" s="188"/>
      <c r="W64" s="190">
        <f>T64</f>
        <v>4464.7900000000009</v>
      </c>
      <c r="X64" s="188"/>
    </row>
    <row r="65" spans="1:26" s="125" customFormat="1" x14ac:dyDescent="0.25">
      <c r="A65" s="461"/>
      <c r="B65" s="200"/>
      <c r="C65" s="152"/>
      <c r="E65" s="201"/>
      <c r="F65" s="202"/>
      <c r="G65" s="202"/>
      <c r="H65" s="203"/>
      <c r="I65" s="203"/>
      <c r="J65" s="203"/>
      <c r="K65" s="203"/>
      <c r="L65" s="203"/>
      <c r="M65" s="203"/>
      <c r="N65" s="203"/>
      <c r="O65" s="203"/>
      <c r="P65" s="203"/>
      <c r="S65" s="126"/>
      <c r="V65" s="126"/>
      <c r="W65" s="190">
        <f>SUM(W61:W63)</f>
        <v>271145.11</v>
      </c>
      <c r="X65" s="440"/>
      <c r="Y65" s="157"/>
      <c r="Z65" s="157"/>
    </row>
    <row r="66" spans="1:26" s="125" customFormat="1" x14ac:dyDescent="0.25">
      <c r="A66" s="461"/>
      <c r="B66" s="200"/>
      <c r="C66" s="152"/>
      <c r="E66" s="201"/>
      <c r="F66" s="202"/>
      <c r="G66" s="202"/>
      <c r="H66" s="203"/>
      <c r="I66" s="203"/>
      <c r="J66" s="203"/>
      <c r="K66" s="203"/>
      <c r="L66" s="203"/>
      <c r="M66" s="203"/>
      <c r="N66" s="203"/>
      <c r="O66" s="203"/>
      <c r="P66" s="203"/>
      <c r="S66" s="126"/>
      <c r="V66" s="126"/>
      <c r="W66" s="443"/>
      <c r="X66" s="444"/>
      <c r="Y66" s="157"/>
      <c r="Z66" s="157"/>
    </row>
    <row r="67" spans="1:26" s="128" customFormat="1" x14ac:dyDescent="0.25">
      <c r="A67" s="459">
        <v>7</v>
      </c>
      <c r="B67" s="172" t="s">
        <v>981</v>
      </c>
      <c r="C67" s="173"/>
      <c r="S67" s="173"/>
      <c r="T67" s="598" t="s">
        <v>557</v>
      </c>
      <c r="W67" s="129"/>
      <c r="Y67" s="166"/>
      <c r="Z67" s="764"/>
    </row>
    <row r="68" spans="1:26" s="125" customFormat="1" x14ac:dyDescent="0.25">
      <c r="A68" s="461"/>
      <c r="B68" s="130" t="s">
        <v>337</v>
      </c>
      <c r="C68" s="131">
        <v>42156</v>
      </c>
      <c r="D68" s="131">
        <v>42186</v>
      </c>
      <c r="E68" s="131">
        <v>42217</v>
      </c>
      <c r="F68" s="131">
        <v>42248</v>
      </c>
      <c r="G68" s="131">
        <v>42278</v>
      </c>
      <c r="H68" s="131">
        <v>42309</v>
      </c>
      <c r="I68" s="131">
        <v>42339</v>
      </c>
      <c r="J68" s="131">
        <v>42370</v>
      </c>
      <c r="K68" s="131">
        <v>42401</v>
      </c>
      <c r="L68" s="131">
        <v>42430</v>
      </c>
      <c r="M68" s="131">
        <v>42461</v>
      </c>
      <c r="N68" s="131">
        <v>42491</v>
      </c>
      <c r="O68" s="131">
        <v>42522</v>
      </c>
      <c r="P68" s="131">
        <v>42552</v>
      </c>
      <c r="Q68" s="151">
        <v>42583</v>
      </c>
      <c r="R68" s="131">
        <v>42627</v>
      </c>
      <c r="S68" s="132"/>
      <c r="T68" s="133" t="s">
        <v>338</v>
      </c>
      <c r="U68" s="134" t="s">
        <v>339</v>
      </c>
      <c r="V68" s="132"/>
      <c r="W68" s="133" t="s">
        <v>338</v>
      </c>
      <c r="X68" s="134" t="s">
        <v>339</v>
      </c>
      <c r="Y68" s="157"/>
      <c r="Z68" s="157"/>
    </row>
    <row r="69" spans="1:26" s="125" customFormat="1" x14ac:dyDescent="0.25">
      <c r="A69" s="461"/>
      <c r="B69" s="135" t="s">
        <v>340</v>
      </c>
      <c r="C69" s="606"/>
      <c r="D69" s="136">
        <v>41520</v>
      </c>
      <c r="E69" s="136">
        <v>43760</v>
      </c>
      <c r="F69" s="136">
        <v>43320</v>
      </c>
      <c r="G69" s="136">
        <v>58920</v>
      </c>
      <c r="H69" s="136">
        <v>42800</v>
      </c>
      <c r="I69" s="136">
        <v>34560</v>
      </c>
      <c r="J69" s="136">
        <v>29680</v>
      </c>
      <c r="K69" s="136">
        <v>27280</v>
      </c>
      <c r="L69" s="136">
        <v>43440</v>
      </c>
      <c r="M69" s="136">
        <v>3900</v>
      </c>
      <c r="N69" s="136">
        <v>41360</v>
      </c>
      <c r="O69" s="136">
        <v>46600</v>
      </c>
      <c r="P69" s="174"/>
      <c r="Q69" s="174"/>
      <c r="R69" s="174"/>
      <c r="T69" s="140">
        <f>SUM(C69:S69)</f>
        <v>457140</v>
      </c>
      <c r="U69" s="138" t="s">
        <v>341</v>
      </c>
      <c r="V69" s="139"/>
      <c r="W69" s="140">
        <f>T69*3413/1000000</f>
        <v>1560.2188200000001</v>
      </c>
      <c r="X69" s="138" t="s">
        <v>342</v>
      </c>
      <c r="Y69" s="157"/>
      <c r="Z69" s="157"/>
    </row>
    <row r="70" spans="1:26" s="125" customFormat="1" x14ac:dyDescent="0.25">
      <c r="A70" s="461"/>
      <c r="B70" s="135" t="s">
        <v>372</v>
      </c>
      <c r="C70" s="606"/>
      <c r="D70" s="154">
        <v>315</v>
      </c>
      <c r="E70" s="154">
        <v>116</v>
      </c>
      <c r="F70" s="154">
        <v>77</v>
      </c>
      <c r="G70" s="154">
        <v>260</v>
      </c>
      <c r="H70" s="154">
        <v>256</v>
      </c>
      <c r="I70" s="154">
        <v>1382</v>
      </c>
      <c r="J70" s="154">
        <v>2629</v>
      </c>
      <c r="K70" s="154">
        <v>1370</v>
      </c>
      <c r="L70" s="154">
        <v>5683</v>
      </c>
      <c r="M70" s="154">
        <v>1508</v>
      </c>
      <c r="N70" s="154">
        <v>1463</v>
      </c>
      <c r="O70" s="154">
        <v>533</v>
      </c>
      <c r="P70" s="174"/>
      <c r="Q70" s="174"/>
      <c r="R70" s="174"/>
      <c r="T70" s="140">
        <f>SUM(C70:S70)</f>
        <v>15592</v>
      </c>
      <c r="U70" s="138" t="s">
        <v>354</v>
      </c>
      <c r="V70" s="139"/>
      <c r="W70" s="140">
        <f>T70*99976.124488/1000000</f>
        <v>1558.827733016896</v>
      </c>
      <c r="X70" s="138" t="s">
        <v>342</v>
      </c>
      <c r="Y70" s="495">
        <f>W69+W70</f>
        <v>3119.0465530168958</v>
      </c>
      <c r="Z70" s="153" t="s">
        <v>677</v>
      </c>
    </row>
    <row r="71" spans="1:26" s="125" customFormat="1" x14ac:dyDescent="0.25">
      <c r="A71" s="461"/>
      <c r="B71" s="135" t="s">
        <v>322</v>
      </c>
      <c r="C71" s="606"/>
      <c r="D71" s="141"/>
      <c r="E71" s="1094"/>
      <c r="F71" s="141"/>
      <c r="G71" s="136"/>
      <c r="H71" s="136"/>
      <c r="I71" s="136"/>
      <c r="J71" s="136"/>
      <c r="K71" s="136"/>
      <c r="L71" s="136"/>
      <c r="M71" s="136"/>
      <c r="N71" s="136"/>
      <c r="O71" s="136"/>
      <c r="P71" s="178"/>
      <c r="Q71" s="178"/>
      <c r="R71" s="178"/>
      <c r="T71" s="140">
        <f>SUM(C71:S71)</f>
        <v>0</v>
      </c>
      <c r="U71" s="138" t="s">
        <v>346</v>
      </c>
      <c r="V71" s="139"/>
      <c r="W71" s="137">
        <f>T71</f>
        <v>0</v>
      </c>
      <c r="X71" s="138" t="s">
        <v>346</v>
      </c>
      <c r="Y71" s="157"/>
      <c r="Z71" s="157"/>
    </row>
    <row r="72" spans="1:26" s="125" customFormat="1" x14ac:dyDescent="0.25">
      <c r="A72" s="461"/>
      <c r="B72" s="135" t="s">
        <v>324</v>
      </c>
      <c r="C72" s="606"/>
      <c r="D72" s="142">
        <v>4459.0200000000004</v>
      </c>
      <c r="E72" s="142">
        <v>4658.28</v>
      </c>
      <c r="F72" s="142">
        <v>4596.1499999999996</v>
      </c>
      <c r="G72" s="142">
        <v>5791.06</v>
      </c>
      <c r="H72" s="142">
        <v>4348.2</v>
      </c>
      <c r="I72" s="142">
        <v>3926.63</v>
      </c>
      <c r="J72" s="142">
        <v>3285.66</v>
      </c>
      <c r="K72" s="142">
        <v>3175.9</v>
      </c>
      <c r="L72" s="142">
        <v>4419.01</v>
      </c>
      <c r="M72" s="142">
        <v>4245.91</v>
      </c>
      <c r="N72" s="142">
        <v>4427</v>
      </c>
      <c r="O72" s="142">
        <v>4966.67</v>
      </c>
      <c r="P72" s="176"/>
      <c r="Q72" s="176"/>
      <c r="R72" s="176"/>
      <c r="T72" s="143">
        <f>SUM(C72:S72)</f>
        <v>52299.490000000005</v>
      </c>
      <c r="U72" s="138"/>
      <c r="V72" s="139"/>
      <c r="W72" s="143">
        <f>T72</f>
        <v>52299.490000000005</v>
      </c>
      <c r="X72" s="138"/>
      <c r="Y72" s="157"/>
      <c r="Z72" s="157"/>
    </row>
    <row r="73" spans="1:26" s="125" customFormat="1" ht="16.5" x14ac:dyDescent="0.35">
      <c r="A73" s="461"/>
      <c r="B73" s="144" t="s">
        <v>374</v>
      </c>
      <c r="C73" s="607"/>
      <c r="D73" s="145">
        <v>143.97999999999999</v>
      </c>
      <c r="E73" s="145">
        <v>100.21</v>
      </c>
      <c r="F73" s="145">
        <v>72.400000000000006</v>
      </c>
      <c r="G73" s="145">
        <v>202.82</v>
      </c>
      <c r="H73" s="145">
        <v>191.27</v>
      </c>
      <c r="I73" s="145">
        <v>878.2</v>
      </c>
      <c r="J73" s="145">
        <v>1607.87</v>
      </c>
      <c r="K73" s="145">
        <v>803.64</v>
      </c>
      <c r="L73" s="145">
        <v>3151.46</v>
      </c>
      <c r="M73" s="145">
        <v>885.69</v>
      </c>
      <c r="N73" s="145">
        <v>894.51</v>
      </c>
      <c r="O73" s="145">
        <v>278.02999999999997</v>
      </c>
      <c r="P73" s="179"/>
      <c r="Q73" s="179"/>
      <c r="R73" s="179"/>
      <c r="T73" s="143">
        <f>SUM(C73:S73)</f>
        <v>9210.0800000000017</v>
      </c>
      <c r="U73" s="138"/>
      <c r="V73" s="139"/>
      <c r="W73" s="146">
        <f>T73</f>
        <v>9210.0800000000017</v>
      </c>
      <c r="X73" s="138"/>
      <c r="Y73" s="157"/>
      <c r="Z73" s="157"/>
    </row>
    <row r="74" spans="1:26" x14ac:dyDescent="0.25">
      <c r="W74" s="455">
        <f>SUM(W72:W73)</f>
        <v>61509.570000000007</v>
      </c>
      <c r="X74" s="441"/>
    </row>
    <row r="75" spans="1:26" x14ac:dyDescent="0.25">
      <c r="W75" s="445"/>
      <c r="X75" s="116"/>
    </row>
    <row r="76" spans="1:26" s="125" customFormat="1" x14ac:dyDescent="0.25">
      <c r="A76" s="461">
        <v>8</v>
      </c>
      <c r="B76" s="148" t="s">
        <v>359</v>
      </c>
      <c r="C76" s="152"/>
      <c r="R76" s="139"/>
      <c r="S76" s="147"/>
      <c r="T76" s="569" t="s">
        <v>359</v>
      </c>
      <c r="U76" s="149"/>
      <c r="V76" s="150"/>
      <c r="Y76" s="157"/>
      <c r="Z76" s="157"/>
    </row>
    <row r="77" spans="1:26" s="125" customFormat="1" x14ac:dyDescent="0.25">
      <c r="A77" s="461"/>
      <c r="B77" s="130" t="s">
        <v>337</v>
      </c>
      <c r="C77" s="131">
        <v>42156</v>
      </c>
      <c r="D77" s="131">
        <v>42186</v>
      </c>
      <c r="E77" s="131">
        <v>42217</v>
      </c>
      <c r="F77" s="131">
        <v>42248</v>
      </c>
      <c r="G77" s="131">
        <v>42278</v>
      </c>
      <c r="H77" s="131">
        <v>42309</v>
      </c>
      <c r="I77" s="131">
        <v>42339</v>
      </c>
      <c r="J77" s="131">
        <v>42370</v>
      </c>
      <c r="K77" s="131">
        <v>42401</v>
      </c>
      <c r="L77" s="131">
        <v>42430</v>
      </c>
      <c r="M77" s="131">
        <v>42461</v>
      </c>
      <c r="N77" s="131">
        <v>42491</v>
      </c>
      <c r="O77" s="131">
        <v>42522</v>
      </c>
      <c r="P77" s="131">
        <v>42552</v>
      </c>
      <c r="Q77" s="151">
        <v>42583</v>
      </c>
      <c r="R77" s="131">
        <v>42627</v>
      </c>
      <c r="S77" s="132"/>
      <c r="T77" s="133" t="s">
        <v>338</v>
      </c>
      <c r="U77" s="134" t="s">
        <v>339</v>
      </c>
      <c r="V77" s="132"/>
      <c r="W77" s="133" t="s">
        <v>338</v>
      </c>
      <c r="X77" s="134" t="s">
        <v>339</v>
      </c>
      <c r="Y77" s="157"/>
      <c r="Z77" s="157"/>
    </row>
    <row r="78" spans="1:26" s="125" customFormat="1" x14ac:dyDescent="0.25">
      <c r="A78" s="461"/>
      <c r="B78" s="153" t="s">
        <v>360</v>
      </c>
      <c r="C78" s="152"/>
      <c r="E78" s="140">
        <v>68623.999999999913</v>
      </c>
      <c r="F78" s="140">
        <v>67811.000000000029</v>
      </c>
      <c r="G78" s="140">
        <v>62411.000000000058</v>
      </c>
      <c r="H78" s="140">
        <v>53654.999999999971</v>
      </c>
      <c r="I78" s="140">
        <v>52771.999999999935</v>
      </c>
      <c r="J78" s="140">
        <v>55745.999999999978</v>
      </c>
      <c r="K78" s="140">
        <v>54644.000000000007</v>
      </c>
      <c r="L78" s="140">
        <v>57649</v>
      </c>
      <c r="M78" s="140">
        <v>55716</v>
      </c>
      <c r="N78" s="140">
        <v>55280</v>
      </c>
      <c r="O78" s="140">
        <v>57553</v>
      </c>
      <c r="P78" s="140">
        <v>53503</v>
      </c>
      <c r="Q78" s="456"/>
      <c r="T78" s="159">
        <f>SUM(E78:Q78)</f>
        <v>695363.99999999988</v>
      </c>
      <c r="U78" s="138" t="s">
        <v>341</v>
      </c>
      <c r="V78" s="139"/>
      <c r="W78" s="140">
        <f>T78*3413/1000000</f>
        <v>2373.2773319999997</v>
      </c>
      <c r="X78" s="138" t="s">
        <v>342</v>
      </c>
      <c r="Y78" s="157"/>
      <c r="Z78" s="157"/>
    </row>
    <row r="79" spans="1:26" s="125" customFormat="1" x14ac:dyDescent="0.25">
      <c r="A79" s="461"/>
      <c r="B79" s="153" t="s">
        <v>362</v>
      </c>
      <c r="C79" s="152"/>
      <c r="E79" s="140">
        <v>801.25</v>
      </c>
      <c r="F79" s="140">
        <v>669.8</v>
      </c>
      <c r="G79" s="140">
        <v>226.01</v>
      </c>
      <c r="H79" s="140">
        <v>128.13</v>
      </c>
      <c r="I79" s="140">
        <v>144.41</v>
      </c>
      <c r="J79" s="140">
        <v>24.11</v>
      </c>
      <c r="K79" s="140">
        <v>49.41</v>
      </c>
      <c r="L79" s="140">
        <v>185.8</v>
      </c>
      <c r="M79" s="140">
        <v>224.7</v>
      </c>
      <c r="N79" s="140">
        <v>345.7</v>
      </c>
      <c r="O79" s="140">
        <v>580.5</v>
      </c>
      <c r="P79" s="140">
        <v>617</v>
      </c>
      <c r="Q79" s="456"/>
      <c r="T79" s="159">
        <f t="shared" ref="T79:T84" si="4">SUM(E79:Q79)</f>
        <v>3996.8199999999997</v>
      </c>
      <c r="U79" s="138" t="s">
        <v>363</v>
      </c>
      <c r="V79" s="139"/>
      <c r="W79" s="160">
        <f>T79*10*100000/1000000</f>
        <v>3996.8199999999997</v>
      </c>
      <c r="X79" s="138" t="s">
        <v>342</v>
      </c>
      <c r="Y79" s="157"/>
      <c r="Z79" s="157"/>
    </row>
    <row r="80" spans="1:26" s="125" customFormat="1" x14ac:dyDescent="0.25">
      <c r="A80" s="461"/>
      <c r="B80" s="153" t="s">
        <v>364</v>
      </c>
      <c r="C80" s="152"/>
      <c r="E80" s="140">
        <v>295</v>
      </c>
      <c r="F80" s="140">
        <v>304</v>
      </c>
      <c r="G80" s="140">
        <v>355</v>
      </c>
      <c r="H80" s="140">
        <v>316</v>
      </c>
      <c r="I80" s="140">
        <v>314</v>
      </c>
      <c r="J80" s="140">
        <v>433</v>
      </c>
      <c r="K80" s="140">
        <v>365</v>
      </c>
      <c r="L80" s="140">
        <v>305</v>
      </c>
      <c r="M80" s="140">
        <v>287</v>
      </c>
      <c r="N80" s="140">
        <v>241</v>
      </c>
      <c r="O80" s="140">
        <v>78</v>
      </c>
      <c r="P80" s="140">
        <v>373</v>
      </c>
      <c r="Q80" s="456"/>
      <c r="T80" s="161">
        <f t="shared" si="4"/>
        <v>3666</v>
      </c>
      <c r="U80" s="162" t="s">
        <v>365</v>
      </c>
      <c r="V80" s="163"/>
      <c r="W80" s="164">
        <f>T80</f>
        <v>3666</v>
      </c>
      <c r="X80" s="138" t="s">
        <v>342</v>
      </c>
      <c r="Y80" s="495">
        <f>W78+W79+W80</f>
        <v>10036.097331999999</v>
      </c>
      <c r="Z80" s="153" t="s">
        <v>677</v>
      </c>
    </row>
    <row r="81" spans="1:26" s="166" customFormat="1" x14ac:dyDescent="0.25">
      <c r="A81" s="459"/>
      <c r="B81" s="165" t="s">
        <v>864</v>
      </c>
      <c r="C81" s="610"/>
      <c r="E81" s="167">
        <v>50.094921630094035</v>
      </c>
      <c r="F81" s="771">
        <v>48.57134099616858</v>
      </c>
      <c r="G81" s="771">
        <v>50.272743055555551</v>
      </c>
      <c r="H81" s="771">
        <v>49.551942934782602</v>
      </c>
      <c r="I81" s="771">
        <v>39.997119565217389</v>
      </c>
      <c r="J81" s="771">
        <v>41.561022727272729</v>
      </c>
      <c r="K81" s="771">
        <v>48</v>
      </c>
      <c r="L81" s="771">
        <v>55.7</v>
      </c>
      <c r="M81" s="771">
        <v>62</v>
      </c>
      <c r="N81" s="771">
        <v>48</v>
      </c>
      <c r="O81" s="771">
        <v>38</v>
      </c>
      <c r="P81" s="771">
        <v>40.439574898785423</v>
      </c>
      <c r="Q81" s="1151"/>
      <c r="T81" s="170">
        <f t="shared" si="4"/>
        <v>572.1886658078763</v>
      </c>
      <c r="U81" s="162" t="s">
        <v>379</v>
      </c>
      <c r="V81" s="163"/>
      <c r="W81" s="164">
        <f>T81*748</f>
        <v>427997.12202429149</v>
      </c>
      <c r="X81" s="162" t="s">
        <v>346</v>
      </c>
    </row>
    <row r="82" spans="1:26" s="125" customFormat="1" x14ac:dyDescent="0.25">
      <c r="A82" s="461"/>
      <c r="B82" s="153" t="s">
        <v>324</v>
      </c>
      <c r="C82" s="152"/>
      <c r="E82" s="171">
        <v>5901.6639999999916</v>
      </c>
      <c r="F82" s="171">
        <v>5831.7460000000019</v>
      </c>
      <c r="G82" s="171">
        <v>5367.346000000005</v>
      </c>
      <c r="H82" s="171">
        <v>4614.3299999999972</v>
      </c>
      <c r="I82" s="171">
        <v>4538.3919999999944</v>
      </c>
      <c r="J82" s="171">
        <v>4794.1559999999981</v>
      </c>
      <c r="K82" s="171">
        <v>4699.384</v>
      </c>
      <c r="L82" s="171">
        <v>4957.8139999999994</v>
      </c>
      <c r="M82" s="171">
        <v>4791.576</v>
      </c>
      <c r="N82" s="171">
        <v>4754.08</v>
      </c>
      <c r="O82" s="171">
        <v>4949.558</v>
      </c>
      <c r="P82" s="171">
        <v>4654.7609999999995</v>
      </c>
      <c r="Q82" s="184"/>
      <c r="T82" s="143">
        <f t="shared" si="4"/>
        <v>59854.806999999986</v>
      </c>
      <c r="U82" s="138"/>
      <c r="V82" s="139"/>
      <c r="W82" s="143">
        <f>T82</f>
        <v>59854.806999999986</v>
      </c>
      <c r="X82" s="138"/>
      <c r="Y82" s="157"/>
      <c r="Z82" s="157"/>
    </row>
    <row r="83" spans="1:26" s="125" customFormat="1" x14ac:dyDescent="0.25">
      <c r="A83" s="461"/>
      <c r="B83" s="153" t="s">
        <v>369</v>
      </c>
      <c r="C83" s="152"/>
      <c r="E83" s="171">
        <v>11193.4625</v>
      </c>
      <c r="F83" s="171">
        <v>9357.1059999999998</v>
      </c>
      <c r="G83" s="171">
        <v>3157.3597</v>
      </c>
      <c r="H83" s="171">
        <v>1789.9761000000001</v>
      </c>
      <c r="I83" s="171">
        <v>2017.4077</v>
      </c>
      <c r="J83" s="171">
        <v>336.81670000000003</v>
      </c>
      <c r="K83" s="171">
        <v>690.2577</v>
      </c>
      <c r="L83" s="171">
        <v>2595.6260000000002</v>
      </c>
      <c r="M83" s="171">
        <v>3139.0590000000002</v>
      </c>
      <c r="N83" s="171">
        <v>4829.4290000000001</v>
      </c>
      <c r="O83" s="171">
        <v>8109.585</v>
      </c>
      <c r="P83" s="171">
        <v>7990.15</v>
      </c>
      <c r="Q83" s="184"/>
      <c r="T83" s="143">
        <f t="shared" si="4"/>
        <v>55206.235400000005</v>
      </c>
      <c r="U83" s="138"/>
      <c r="V83" s="139"/>
      <c r="W83" s="143">
        <f>T83</f>
        <v>55206.235400000005</v>
      </c>
      <c r="X83" s="138"/>
      <c r="Y83" s="157"/>
      <c r="Z83" s="157"/>
    </row>
    <row r="84" spans="1:26" s="125" customFormat="1" ht="16.5" x14ac:dyDescent="0.35">
      <c r="A84" s="461"/>
      <c r="B84" s="153" t="s">
        <v>326</v>
      </c>
      <c r="C84" s="152"/>
      <c r="E84" s="171">
        <v>3950.05</v>
      </c>
      <c r="F84" s="171">
        <v>4070.5600000000004</v>
      </c>
      <c r="G84" s="171">
        <v>4753.45</v>
      </c>
      <c r="H84" s="171">
        <v>4231.24</v>
      </c>
      <c r="I84" s="171">
        <v>4204.46</v>
      </c>
      <c r="J84" s="171">
        <v>5797.87</v>
      </c>
      <c r="K84" s="171">
        <v>4887.3500000000004</v>
      </c>
      <c r="L84" s="171">
        <v>4083.9500000000003</v>
      </c>
      <c r="M84" s="171">
        <v>3842.9300000000003</v>
      </c>
      <c r="N84" s="171">
        <v>3226.9900000000002</v>
      </c>
      <c r="O84" s="171">
        <v>1044.42</v>
      </c>
      <c r="P84" s="171">
        <v>4483.46</v>
      </c>
      <c r="Q84" s="184"/>
      <c r="T84" s="143">
        <f t="shared" si="4"/>
        <v>48576.729999999996</v>
      </c>
      <c r="U84" s="138"/>
      <c r="V84" s="139"/>
      <c r="W84" s="146">
        <f>T84</f>
        <v>48576.729999999996</v>
      </c>
      <c r="X84" s="138"/>
      <c r="Y84" s="157"/>
      <c r="Z84" s="157"/>
    </row>
    <row r="85" spans="1:26" s="125" customFormat="1" x14ac:dyDescent="0.25">
      <c r="A85" s="461"/>
      <c r="C85" s="152"/>
      <c r="T85" s="139"/>
      <c r="U85" s="147"/>
      <c r="V85" s="139"/>
      <c r="W85" s="143">
        <f>SUM(W82:W84)</f>
        <v>163637.77239999999</v>
      </c>
      <c r="X85" s="150"/>
      <c r="Y85" s="157"/>
      <c r="Z85" s="157"/>
    </row>
    <row r="86" spans="1:26" s="125" customFormat="1" x14ac:dyDescent="0.25">
      <c r="A86" s="461"/>
      <c r="C86" s="152"/>
      <c r="T86" s="139"/>
      <c r="U86" s="147"/>
      <c r="V86" s="139"/>
      <c r="W86" s="149"/>
      <c r="X86" s="150"/>
      <c r="Y86" s="157"/>
      <c r="Z86" s="157"/>
    </row>
    <row r="87" spans="1:26" s="125" customFormat="1" x14ac:dyDescent="0.25">
      <c r="A87" s="461">
        <v>9</v>
      </c>
      <c r="B87" s="148" t="s">
        <v>413</v>
      </c>
      <c r="C87" s="152"/>
      <c r="S87" s="126"/>
      <c r="T87" s="569" t="s">
        <v>413</v>
      </c>
      <c r="V87" s="126"/>
      <c r="Y87" s="157"/>
      <c r="Z87" s="157"/>
    </row>
    <row r="88" spans="1:26" s="125" customFormat="1" x14ac:dyDescent="0.25">
      <c r="A88" s="461"/>
      <c r="B88" s="130" t="s">
        <v>337</v>
      </c>
      <c r="C88" s="131">
        <v>42156</v>
      </c>
      <c r="D88" s="131">
        <v>42186</v>
      </c>
      <c r="E88" s="131">
        <v>42217</v>
      </c>
      <c r="F88" s="131">
        <v>42248</v>
      </c>
      <c r="G88" s="131">
        <v>42278</v>
      </c>
      <c r="H88" s="131">
        <v>42309</v>
      </c>
      <c r="I88" s="131">
        <v>42339</v>
      </c>
      <c r="J88" s="131">
        <v>42370</v>
      </c>
      <c r="K88" s="131">
        <v>42401</v>
      </c>
      <c r="L88" s="131">
        <v>42430</v>
      </c>
      <c r="M88" s="131">
        <v>42461</v>
      </c>
      <c r="N88" s="131">
        <v>42491</v>
      </c>
      <c r="O88" s="131">
        <v>42522</v>
      </c>
      <c r="P88" s="131">
        <v>42552</v>
      </c>
      <c r="Q88" s="151">
        <v>42583</v>
      </c>
      <c r="R88" s="131">
        <v>42627</v>
      </c>
      <c r="S88" s="132"/>
      <c r="T88" s="133" t="s">
        <v>338</v>
      </c>
      <c r="U88" s="134" t="s">
        <v>339</v>
      </c>
      <c r="V88" s="132"/>
      <c r="W88" s="133" t="s">
        <v>338</v>
      </c>
      <c r="X88" s="134" t="s">
        <v>339</v>
      </c>
      <c r="Y88" s="157"/>
      <c r="Z88" s="157"/>
    </row>
    <row r="89" spans="1:26" s="125" customFormat="1" x14ac:dyDescent="0.25">
      <c r="A89" s="461"/>
      <c r="B89" s="238" t="s">
        <v>409</v>
      </c>
      <c r="C89" s="152"/>
      <c r="D89" s="136">
        <v>57984</v>
      </c>
      <c r="E89" s="136">
        <v>59712</v>
      </c>
      <c r="F89" s="136">
        <v>61440</v>
      </c>
      <c r="G89" s="136">
        <v>54720</v>
      </c>
      <c r="H89" s="136">
        <v>48768</v>
      </c>
      <c r="I89" s="136">
        <v>35904</v>
      </c>
      <c r="J89" s="136">
        <v>35904</v>
      </c>
      <c r="K89" s="136">
        <v>55104</v>
      </c>
      <c r="L89" s="136">
        <v>67008</v>
      </c>
      <c r="M89" s="136">
        <v>56256</v>
      </c>
      <c r="N89" s="136">
        <v>78528</v>
      </c>
      <c r="O89" s="1821">
        <v>130368</v>
      </c>
      <c r="T89" s="137">
        <f>SUM(D89:O89)</f>
        <v>741696</v>
      </c>
      <c r="U89" s="138" t="s">
        <v>341</v>
      </c>
      <c r="V89" s="139"/>
      <c r="W89" s="140">
        <f>T89*3413/1000000</f>
        <v>2531.4084480000001</v>
      </c>
      <c r="X89" s="138" t="s">
        <v>342</v>
      </c>
      <c r="Y89" s="157"/>
      <c r="Z89" s="157"/>
    </row>
    <row r="90" spans="1:26" s="125" customFormat="1" x14ac:dyDescent="0.25">
      <c r="A90" s="461"/>
      <c r="B90" s="238" t="s">
        <v>614</v>
      </c>
      <c r="C90" s="152" t="s">
        <v>1393</v>
      </c>
      <c r="D90" s="760"/>
      <c r="E90" s="760"/>
      <c r="F90" s="760"/>
      <c r="G90" s="760"/>
      <c r="H90" s="760"/>
      <c r="I90" s="760"/>
      <c r="J90" s="760"/>
      <c r="K90" s="750"/>
      <c r="L90" s="750"/>
      <c r="M90" s="750"/>
      <c r="N90" s="750"/>
      <c r="O90" s="750"/>
      <c r="T90" s="137">
        <f>SUM(D90:O90)</f>
        <v>0</v>
      </c>
      <c r="U90" s="138" t="s">
        <v>379</v>
      </c>
      <c r="V90" s="139"/>
      <c r="W90" s="137">
        <f>T90*7.48</f>
        <v>0</v>
      </c>
      <c r="X90" s="138" t="s">
        <v>346</v>
      </c>
      <c r="Y90" s="157"/>
      <c r="Z90" s="157"/>
    </row>
    <row r="91" spans="1:26" s="125" customFormat="1" x14ac:dyDescent="0.25">
      <c r="A91" s="461"/>
      <c r="B91" s="238" t="s">
        <v>324</v>
      </c>
      <c r="C91" s="152"/>
      <c r="D91" s="731">
        <v>6660.13</v>
      </c>
      <c r="E91" s="731">
        <v>7047.97</v>
      </c>
      <c r="F91" s="731">
        <v>6843.95</v>
      </c>
      <c r="G91" s="731">
        <v>6044.45</v>
      </c>
      <c r="H91" s="731">
        <v>5473.96</v>
      </c>
      <c r="I91" s="731">
        <v>3779.56</v>
      </c>
      <c r="J91" s="731">
        <v>3434.3</v>
      </c>
      <c r="K91" s="731">
        <v>4934.12</v>
      </c>
      <c r="L91" s="731">
        <v>6173.75</v>
      </c>
      <c r="M91" s="731">
        <v>6107.88</v>
      </c>
      <c r="N91" s="731">
        <v>7718.11</v>
      </c>
      <c r="O91" s="731">
        <v>12387.32</v>
      </c>
      <c r="T91" s="143">
        <f>SUM(D91:O91)</f>
        <v>76605.5</v>
      </c>
      <c r="U91" s="138"/>
      <c r="V91" s="139"/>
      <c r="W91" s="143">
        <f>T91</f>
        <v>76605.5</v>
      </c>
      <c r="X91" s="138"/>
      <c r="Y91" s="157"/>
      <c r="Z91" s="157"/>
    </row>
    <row r="92" spans="1:26" s="125" customFormat="1" x14ac:dyDescent="0.25">
      <c r="A92" s="461"/>
      <c r="C92" s="152"/>
      <c r="S92" s="126"/>
      <c r="V92" s="126"/>
      <c r="Y92" s="157"/>
      <c r="Z92" s="157"/>
    </row>
    <row r="93" spans="1:26" s="125" customFormat="1" x14ac:dyDescent="0.25">
      <c r="A93" s="461"/>
      <c r="C93" s="152"/>
      <c r="S93" s="126"/>
      <c r="V93" s="126"/>
      <c r="Y93" s="157"/>
      <c r="Z93" s="157"/>
    </row>
    <row r="94" spans="1:26" s="128" customFormat="1" x14ac:dyDescent="0.25">
      <c r="A94" s="459">
        <v>10</v>
      </c>
      <c r="B94" s="172" t="s">
        <v>558</v>
      </c>
      <c r="C94" s="173"/>
      <c r="S94" s="173"/>
      <c r="T94" s="598" t="s">
        <v>558</v>
      </c>
      <c r="W94" s="129"/>
      <c r="Y94" s="166"/>
      <c r="Z94" s="764"/>
    </row>
    <row r="95" spans="1:26" s="125" customFormat="1" x14ac:dyDescent="0.25">
      <c r="A95" s="461"/>
      <c r="B95" s="130" t="s">
        <v>337</v>
      </c>
      <c r="C95" s="131">
        <v>42156</v>
      </c>
      <c r="D95" s="131">
        <v>42186</v>
      </c>
      <c r="E95" s="131">
        <v>42217</v>
      </c>
      <c r="F95" s="131">
        <v>42248</v>
      </c>
      <c r="G95" s="131">
        <v>42278</v>
      </c>
      <c r="H95" s="131">
        <v>42309</v>
      </c>
      <c r="I95" s="131">
        <v>42339</v>
      </c>
      <c r="J95" s="131">
        <v>42370</v>
      </c>
      <c r="K95" s="131">
        <v>42401</v>
      </c>
      <c r="L95" s="131">
        <v>42430</v>
      </c>
      <c r="M95" s="131">
        <v>42461</v>
      </c>
      <c r="N95" s="131">
        <v>42491</v>
      </c>
      <c r="O95" s="131">
        <v>42522</v>
      </c>
      <c r="P95" s="131">
        <v>42552</v>
      </c>
      <c r="Q95" s="131">
        <v>42583</v>
      </c>
      <c r="R95" s="131">
        <v>42627</v>
      </c>
      <c r="S95" s="132"/>
      <c r="T95" s="133" t="s">
        <v>338</v>
      </c>
      <c r="U95" s="134" t="s">
        <v>339</v>
      </c>
      <c r="V95" s="132"/>
      <c r="W95" s="133" t="s">
        <v>338</v>
      </c>
      <c r="X95" s="134" t="s">
        <v>339</v>
      </c>
      <c r="Y95" s="157"/>
      <c r="Z95" s="157"/>
    </row>
    <row r="96" spans="1:26" s="125" customFormat="1" x14ac:dyDescent="0.25">
      <c r="A96" s="461"/>
      <c r="B96" s="135" t="s">
        <v>340</v>
      </c>
      <c r="C96" s="606"/>
      <c r="D96" s="136">
        <v>52360</v>
      </c>
      <c r="E96" s="136">
        <v>43759</v>
      </c>
      <c r="F96" s="136">
        <v>44567</v>
      </c>
      <c r="G96" s="136">
        <v>53275</v>
      </c>
      <c r="H96" s="136">
        <v>42179</v>
      </c>
      <c r="I96" s="136">
        <v>32440</v>
      </c>
      <c r="J96" s="136">
        <v>44607</v>
      </c>
      <c r="K96" s="136">
        <v>36358</v>
      </c>
      <c r="L96" s="136">
        <v>250</v>
      </c>
      <c r="M96" s="136">
        <v>51400</v>
      </c>
      <c r="N96" s="136">
        <v>47064</v>
      </c>
      <c r="O96" s="136">
        <v>56146</v>
      </c>
      <c r="P96" s="174"/>
      <c r="Q96" s="174"/>
      <c r="R96" s="174"/>
      <c r="T96" s="140">
        <f>SUM(C96:S96)</f>
        <v>504405</v>
      </c>
      <c r="U96" s="138" t="s">
        <v>341</v>
      </c>
      <c r="V96" s="139"/>
      <c r="W96" s="140">
        <f>T96*3413/1000000</f>
        <v>1721.534265</v>
      </c>
      <c r="X96" s="138" t="s">
        <v>342</v>
      </c>
      <c r="Y96" s="157"/>
      <c r="Z96" s="157"/>
    </row>
    <row r="97" spans="1:26" s="125" customFormat="1" x14ac:dyDescent="0.25">
      <c r="A97" s="461"/>
      <c r="B97" s="135" t="s">
        <v>372</v>
      </c>
      <c r="C97" s="606"/>
      <c r="D97" s="153">
        <v>23</v>
      </c>
      <c r="E97" s="153">
        <v>31</v>
      </c>
      <c r="F97" s="153">
        <v>27</v>
      </c>
      <c r="G97" s="153">
        <v>99</v>
      </c>
      <c r="H97" s="153">
        <v>601</v>
      </c>
      <c r="I97" s="153">
        <v>978</v>
      </c>
      <c r="J97" s="141">
        <v>3984</v>
      </c>
      <c r="K97" s="153">
        <v>2928</v>
      </c>
      <c r="L97" s="153">
        <v>754</v>
      </c>
      <c r="M97" s="153">
        <v>428</v>
      </c>
      <c r="N97" s="153">
        <v>74</v>
      </c>
      <c r="O97" s="153">
        <v>35</v>
      </c>
      <c r="P97" s="174"/>
      <c r="Q97" s="174"/>
      <c r="R97" s="174"/>
      <c r="T97" s="140">
        <f>SUM(C97:S97)</f>
        <v>9962</v>
      </c>
      <c r="U97" s="138" t="s">
        <v>354</v>
      </c>
      <c r="V97" s="139"/>
      <c r="W97" s="140">
        <f>T97*99976.124488/1000000</f>
        <v>995.96215214945607</v>
      </c>
      <c r="X97" s="138" t="s">
        <v>342</v>
      </c>
      <c r="Y97" s="495">
        <f>W96+W97</f>
        <v>2717.4964171494562</v>
      </c>
      <c r="Z97" s="153" t="s">
        <v>677</v>
      </c>
    </row>
    <row r="98" spans="1:26" s="125" customFormat="1" x14ac:dyDescent="0.25">
      <c r="A98" s="461"/>
      <c r="B98" s="135" t="s">
        <v>322</v>
      </c>
      <c r="C98" s="606"/>
      <c r="D98" s="141"/>
      <c r="E98" s="141"/>
      <c r="F98" s="141"/>
      <c r="G98" s="141"/>
      <c r="H98" s="1347"/>
      <c r="I98" s="141"/>
      <c r="J98" s="141"/>
      <c r="K98" s="1348"/>
      <c r="L98" s="141"/>
      <c r="M98" s="141"/>
      <c r="N98" s="141"/>
      <c r="O98" s="141"/>
      <c r="P98" s="178"/>
      <c r="Q98" s="178"/>
      <c r="R98" s="178"/>
      <c r="T98" s="140">
        <f>SUM(C98:S98)</f>
        <v>0</v>
      </c>
      <c r="U98" s="138" t="s">
        <v>346</v>
      </c>
      <c r="V98" s="139"/>
      <c r="W98" s="137">
        <f>T98</f>
        <v>0</v>
      </c>
      <c r="X98" s="138" t="s">
        <v>346</v>
      </c>
      <c r="Y98" s="157"/>
      <c r="Z98" s="157"/>
    </row>
    <row r="99" spans="1:26" s="125" customFormat="1" x14ac:dyDescent="0.25">
      <c r="A99" s="461"/>
      <c r="B99" s="135" t="s">
        <v>324</v>
      </c>
      <c r="C99" s="606"/>
      <c r="D99" s="142">
        <v>7055.76</v>
      </c>
      <c r="E99" s="142">
        <v>6534.48</v>
      </c>
      <c r="F99" s="142">
        <v>6312.33</v>
      </c>
      <c r="G99" s="142">
        <v>7261.31</v>
      </c>
      <c r="H99" s="142">
        <v>6112.41</v>
      </c>
      <c r="I99" s="142">
        <v>5032.46</v>
      </c>
      <c r="J99" s="142">
        <v>6292.22</v>
      </c>
      <c r="K99" s="142">
        <v>5457.24</v>
      </c>
      <c r="L99" s="142">
        <v>50.67</v>
      </c>
      <c r="M99" s="142">
        <v>7175.17</v>
      </c>
      <c r="N99" s="142">
        <v>6720.76</v>
      </c>
      <c r="O99" s="142">
        <v>7891.28</v>
      </c>
      <c r="P99" s="176"/>
      <c r="Q99" s="176"/>
      <c r="R99" s="176"/>
      <c r="T99" s="143">
        <f>SUM(C99:S99)</f>
        <v>71896.09</v>
      </c>
      <c r="U99" s="138"/>
      <c r="V99" s="139"/>
      <c r="W99" s="143">
        <f>T99</f>
        <v>71896.09</v>
      </c>
      <c r="X99" s="138"/>
      <c r="Y99" s="157"/>
      <c r="Z99" s="157"/>
    </row>
    <row r="100" spans="1:26" s="125" customFormat="1" ht="16.5" x14ac:dyDescent="0.35">
      <c r="A100" s="461"/>
      <c r="B100" s="144" t="s">
        <v>374</v>
      </c>
      <c r="C100" s="607"/>
      <c r="D100" s="1147">
        <v>61</v>
      </c>
      <c r="E100" s="1147">
        <v>66.010000000000005</v>
      </c>
      <c r="F100" s="1147">
        <v>63</v>
      </c>
      <c r="G100" s="1147">
        <v>115.39</v>
      </c>
      <c r="H100" s="1147">
        <v>456.26</v>
      </c>
      <c r="I100" s="1147">
        <v>717.3</v>
      </c>
      <c r="J100" s="1147">
        <v>2708.28</v>
      </c>
      <c r="K100" s="1147">
        <v>2001.65</v>
      </c>
      <c r="L100" s="1147">
        <v>526.83000000000004</v>
      </c>
      <c r="M100" s="1147">
        <v>336.53</v>
      </c>
      <c r="N100" s="1147">
        <v>94.71</v>
      </c>
      <c r="O100" s="1147">
        <v>68.86</v>
      </c>
      <c r="P100" s="179"/>
      <c r="Q100" s="179"/>
      <c r="R100" s="179"/>
      <c r="T100" s="143">
        <f>SUM(C100:S100)</f>
        <v>7215.8199999999988</v>
      </c>
      <c r="U100" s="138"/>
      <c r="V100" s="139"/>
      <c r="W100" s="146">
        <f>T100</f>
        <v>7215.8199999999988</v>
      </c>
      <c r="X100" s="138"/>
      <c r="Y100" s="157"/>
      <c r="Z100" s="157"/>
    </row>
    <row r="101" spans="1:26" x14ac:dyDescent="0.25">
      <c r="W101" s="455">
        <f>SUM(W99:W100)</f>
        <v>79111.909999999989</v>
      </c>
      <c r="X101" s="441"/>
    </row>
    <row r="102" spans="1:26" x14ac:dyDescent="0.25">
      <c r="W102" s="445"/>
      <c r="X102" s="116"/>
    </row>
    <row r="103" spans="1:26" s="125" customFormat="1" ht="16.5" x14ac:dyDescent="0.35">
      <c r="A103" s="461">
        <v>11</v>
      </c>
      <c r="B103" s="127" t="s">
        <v>376</v>
      </c>
      <c r="C103" s="611"/>
      <c r="D103" s="179"/>
      <c r="E103" s="179"/>
      <c r="F103" s="179"/>
      <c r="G103" s="179"/>
      <c r="H103" s="179"/>
      <c r="I103" s="179"/>
      <c r="J103" s="179"/>
      <c r="K103" s="179"/>
      <c r="L103" s="179"/>
      <c r="M103" s="179"/>
      <c r="N103" s="179"/>
      <c r="O103" s="179"/>
      <c r="R103" s="149"/>
      <c r="S103" s="150"/>
      <c r="T103" s="569" t="s">
        <v>376</v>
      </c>
      <c r="U103" s="181"/>
      <c r="V103" s="150"/>
      <c r="Y103" s="157"/>
      <c r="Z103" s="157"/>
    </row>
    <row r="104" spans="1:26" s="125" customFormat="1" x14ac:dyDescent="0.25">
      <c r="A104" s="461"/>
      <c r="B104" s="130" t="s">
        <v>337</v>
      </c>
      <c r="C104" s="131">
        <v>42156</v>
      </c>
      <c r="D104" s="131">
        <v>42186</v>
      </c>
      <c r="E104" s="131">
        <v>42217</v>
      </c>
      <c r="F104" s="131">
        <v>42248</v>
      </c>
      <c r="G104" s="131">
        <v>42278</v>
      </c>
      <c r="H104" s="131">
        <v>42309</v>
      </c>
      <c r="I104" s="131">
        <v>42339</v>
      </c>
      <c r="J104" s="131">
        <v>42370</v>
      </c>
      <c r="K104" s="131">
        <v>42401</v>
      </c>
      <c r="L104" s="131">
        <v>42430</v>
      </c>
      <c r="M104" s="131">
        <v>42461</v>
      </c>
      <c r="N104" s="131">
        <v>42491</v>
      </c>
      <c r="O104" s="131">
        <v>42522</v>
      </c>
      <c r="P104" s="131">
        <v>42552</v>
      </c>
      <c r="Q104" s="151">
        <v>42583</v>
      </c>
      <c r="R104" s="131">
        <v>42627</v>
      </c>
      <c r="S104" s="132"/>
      <c r="T104" s="133" t="s">
        <v>338</v>
      </c>
      <c r="U104" s="134" t="s">
        <v>339</v>
      </c>
      <c r="V104" s="132"/>
      <c r="W104" s="133" t="s">
        <v>338</v>
      </c>
      <c r="X104" s="134" t="s">
        <v>339</v>
      </c>
      <c r="Y104" s="157"/>
      <c r="Z104" s="157"/>
    </row>
    <row r="105" spans="1:26" s="125" customFormat="1" x14ac:dyDescent="0.25">
      <c r="A105" s="461"/>
      <c r="B105" s="135" t="s">
        <v>340</v>
      </c>
      <c r="C105" s="612"/>
      <c r="D105" s="160">
        <v>439536</v>
      </c>
      <c r="E105" s="160">
        <v>433347</v>
      </c>
      <c r="F105" s="160">
        <v>433663</v>
      </c>
      <c r="G105" s="160">
        <v>441674</v>
      </c>
      <c r="H105" s="160">
        <v>417461</v>
      </c>
      <c r="I105" s="160">
        <v>430847</v>
      </c>
      <c r="J105" s="160">
        <v>426042.9</v>
      </c>
      <c r="K105" s="160">
        <v>403208.3</v>
      </c>
      <c r="L105" s="160">
        <v>436202.6</v>
      </c>
      <c r="M105" s="160">
        <v>417591</v>
      </c>
      <c r="N105" s="160">
        <v>422135.4</v>
      </c>
      <c r="O105" s="160">
        <v>408032</v>
      </c>
      <c r="P105" s="456"/>
      <c r="Q105" s="444"/>
      <c r="T105" s="137">
        <f>SUM(D105:Q105)</f>
        <v>5109740.2</v>
      </c>
      <c r="U105" s="138" t="s">
        <v>341</v>
      </c>
      <c r="V105" s="139"/>
      <c r="W105" s="140">
        <f>T105*3413/1000000</f>
        <v>17439.543302600003</v>
      </c>
      <c r="X105" s="138" t="s">
        <v>342</v>
      </c>
      <c r="Y105" s="157"/>
      <c r="Z105" s="157"/>
    </row>
    <row r="106" spans="1:26" s="125" customFormat="1" x14ac:dyDescent="0.25">
      <c r="A106" s="461"/>
      <c r="B106" s="135" t="s">
        <v>372</v>
      </c>
      <c r="C106" s="612"/>
      <c r="D106" s="557">
        <v>156</v>
      </c>
      <c r="E106" s="557">
        <v>149</v>
      </c>
      <c r="F106" s="557">
        <v>169</v>
      </c>
      <c r="G106" s="557">
        <v>872</v>
      </c>
      <c r="H106" s="557">
        <v>1662</v>
      </c>
      <c r="I106" s="557">
        <v>2824</v>
      </c>
      <c r="J106" s="557">
        <v>2299</v>
      </c>
      <c r="K106" s="557">
        <v>437</v>
      </c>
      <c r="L106" s="557">
        <v>1635</v>
      </c>
      <c r="M106" s="557">
        <v>1516</v>
      </c>
      <c r="N106" s="557">
        <v>260</v>
      </c>
      <c r="O106" s="557">
        <v>157</v>
      </c>
      <c r="P106" s="456"/>
      <c r="Q106" s="444"/>
      <c r="T106" s="137">
        <f>SUM(D106:Q106)</f>
        <v>12136</v>
      </c>
      <c r="U106" s="138" t="s">
        <v>354</v>
      </c>
      <c r="V106" s="139"/>
      <c r="W106" s="140">
        <f>T106*99976.124488/1000000</f>
        <v>1213.3102467863682</v>
      </c>
      <c r="X106" s="138" t="s">
        <v>342</v>
      </c>
      <c r="Y106" s="157"/>
      <c r="Z106" s="157"/>
    </row>
    <row r="107" spans="1:26" s="157" customFormat="1" x14ac:dyDescent="0.25">
      <c r="A107" s="461"/>
      <c r="B107" s="192" t="s">
        <v>739</v>
      </c>
      <c r="C107" s="599"/>
      <c r="D107" s="160">
        <v>3176</v>
      </c>
      <c r="E107" s="160">
        <v>2770</v>
      </c>
      <c r="F107" s="160">
        <v>2066</v>
      </c>
      <c r="G107" s="160">
        <v>1356</v>
      </c>
      <c r="H107" s="160">
        <v>948</v>
      </c>
      <c r="I107" s="160">
        <v>1080</v>
      </c>
      <c r="J107" s="160">
        <v>439</v>
      </c>
      <c r="K107" s="160">
        <v>557</v>
      </c>
      <c r="L107" s="160">
        <v>1095.8</v>
      </c>
      <c r="M107" s="160">
        <v>1149</v>
      </c>
      <c r="N107" s="160">
        <v>1621.1</v>
      </c>
      <c r="O107" s="160">
        <v>2159.9</v>
      </c>
      <c r="P107" s="178"/>
      <c r="Q107" s="178"/>
      <c r="T107" s="141">
        <f>SUM(D107:Q107)</f>
        <v>18417.8</v>
      </c>
      <c r="U107" s="138" t="s">
        <v>342</v>
      </c>
      <c r="W107" s="193">
        <f>T107</f>
        <v>18417.8</v>
      </c>
      <c r="X107" s="138" t="s">
        <v>342</v>
      </c>
    </row>
    <row r="108" spans="1:26" s="125" customFormat="1" x14ac:dyDescent="0.25">
      <c r="A108" s="461"/>
      <c r="B108" s="153" t="s">
        <v>740</v>
      </c>
      <c r="C108" s="152"/>
      <c r="D108" s="153">
        <v>339</v>
      </c>
      <c r="E108" s="140">
        <v>369</v>
      </c>
      <c r="F108" s="140">
        <v>348</v>
      </c>
      <c r="G108" s="140">
        <v>524</v>
      </c>
      <c r="H108" s="140">
        <v>646</v>
      </c>
      <c r="I108" s="140">
        <v>569</v>
      </c>
      <c r="J108" s="140">
        <v>759</v>
      </c>
      <c r="K108" s="140">
        <v>627</v>
      </c>
      <c r="L108" s="140">
        <v>446.5</v>
      </c>
      <c r="M108" s="140">
        <v>397.3</v>
      </c>
      <c r="N108" s="140">
        <v>372.6</v>
      </c>
      <c r="O108" s="140">
        <v>191</v>
      </c>
      <c r="P108" s="596"/>
      <c r="Q108" s="444"/>
      <c r="T108" s="161">
        <f t="shared" ref="T108:T113" si="5">SUM(D108:Q108)</f>
        <v>5588.4000000000005</v>
      </c>
      <c r="U108" s="162" t="s">
        <v>342</v>
      </c>
      <c r="V108" s="163"/>
      <c r="W108" s="164">
        <f>T108</f>
        <v>5588.4000000000005</v>
      </c>
      <c r="X108" s="138" t="s">
        <v>342</v>
      </c>
      <c r="Y108" s="495">
        <f>W105+W106+W107+W108</f>
        <v>42659.053549386372</v>
      </c>
      <c r="Z108" s="153" t="s">
        <v>342</v>
      </c>
    </row>
    <row r="109" spans="1:26" s="125" customFormat="1" x14ac:dyDescent="0.25">
      <c r="A109" s="461"/>
      <c r="B109" s="135" t="s">
        <v>373</v>
      </c>
      <c r="C109" s="201"/>
      <c r="D109" s="160">
        <v>4410</v>
      </c>
      <c r="E109" s="160">
        <v>5359</v>
      </c>
      <c r="F109" s="160">
        <v>9127</v>
      </c>
      <c r="G109" s="160">
        <v>8827</v>
      </c>
      <c r="H109" s="160">
        <v>11326</v>
      </c>
      <c r="I109" s="160">
        <v>11084</v>
      </c>
      <c r="J109" s="160">
        <v>12616</v>
      </c>
      <c r="K109" s="160">
        <v>9158</v>
      </c>
      <c r="L109" s="160">
        <v>17051.400000000001</v>
      </c>
      <c r="M109" s="160">
        <v>13434.3</v>
      </c>
      <c r="N109" s="160">
        <v>7685.1</v>
      </c>
      <c r="O109" s="160">
        <v>6763.5</v>
      </c>
      <c r="P109" s="456"/>
      <c r="Q109" s="444"/>
      <c r="T109" s="137">
        <f t="shared" si="5"/>
        <v>116841.3</v>
      </c>
      <c r="U109" s="138" t="s">
        <v>367</v>
      </c>
      <c r="V109" s="139"/>
      <c r="W109" s="137">
        <f>T109*7.48</f>
        <v>873972.92400000012</v>
      </c>
      <c r="X109" s="138" t="s">
        <v>346</v>
      </c>
      <c r="Y109" s="157"/>
      <c r="Z109" s="157"/>
    </row>
    <row r="110" spans="1:26" s="125" customFormat="1" x14ac:dyDescent="0.25">
      <c r="A110" s="461"/>
      <c r="B110" s="135" t="s">
        <v>324</v>
      </c>
      <c r="C110" s="613"/>
      <c r="D110" s="171">
        <v>29343.639231404253</v>
      </c>
      <c r="E110" s="142">
        <v>28943.791900527267</v>
      </c>
      <c r="F110" s="142">
        <v>28983.309606651379</v>
      </c>
      <c r="G110" s="142">
        <v>26989.897368832942</v>
      </c>
      <c r="H110" s="142">
        <v>23487.984202029238</v>
      </c>
      <c r="I110" s="142">
        <v>24260.643089552632</v>
      </c>
      <c r="J110" s="142">
        <v>24122.946966062162</v>
      </c>
      <c r="K110" s="142">
        <v>23542.741578200992</v>
      </c>
      <c r="L110" s="142">
        <v>25675.480468875387</v>
      </c>
      <c r="M110" s="142">
        <v>23963.228380561595</v>
      </c>
      <c r="N110" s="142">
        <v>24720.571418577569</v>
      </c>
      <c r="O110" s="142">
        <v>26352.499882974706</v>
      </c>
      <c r="P110" s="176"/>
      <c r="Q110" s="444"/>
      <c r="T110" s="143">
        <f>SUM(D110:Q110)</f>
        <v>310386.73409425013</v>
      </c>
      <c r="U110" s="138"/>
      <c r="V110" s="139"/>
      <c r="W110" s="156">
        <f>T110</f>
        <v>310386.73409425013</v>
      </c>
      <c r="X110" s="138"/>
      <c r="Y110" s="157"/>
      <c r="Z110" s="157"/>
    </row>
    <row r="111" spans="1:26" s="125" customFormat="1" x14ac:dyDescent="0.25">
      <c r="A111" s="461"/>
      <c r="B111" s="144" t="s">
        <v>374</v>
      </c>
      <c r="C111" s="611"/>
      <c r="D111" s="171">
        <v>131.31</v>
      </c>
      <c r="E111" s="145">
        <v>126.4</v>
      </c>
      <c r="F111" s="145">
        <v>140.41999999999999</v>
      </c>
      <c r="G111" s="145">
        <v>633.01</v>
      </c>
      <c r="H111" s="145">
        <v>1178.32</v>
      </c>
      <c r="I111" s="145">
        <v>1963.47</v>
      </c>
      <c r="J111" s="145">
        <v>1571.35</v>
      </c>
      <c r="K111" s="145">
        <v>314.16000000000003</v>
      </c>
      <c r="L111" s="145">
        <v>1115.0999999999999</v>
      </c>
      <c r="M111" s="145">
        <v>1039.81</v>
      </c>
      <c r="N111" s="145">
        <v>199.7</v>
      </c>
      <c r="O111" s="145">
        <v>129.63999999999999</v>
      </c>
      <c r="P111" s="179"/>
      <c r="Q111" s="444"/>
      <c r="T111" s="143">
        <f t="shared" si="5"/>
        <v>8542.69</v>
      </c>
      <c r="U111" s="138"/>
      <c r="V111" s="139"/>
      <c r="W111" s="156">
        <f>T111</f>
        <v>8542.69</v>
      </c>
      <c r="X111" s="138"/>
      <c r="Y111" s="157"/>
      <c r="Z111" s="157"/>
    </row>
    <row r="112" spans="1:26" s="125" customFormat="1" x14ac:dyDescent="0.25">
      <c r="A112" s="461"/>
      <c r="B112" s="144" t="s">
        <v>742</v>
      </c>
      <c r="C112" s="611"/>
      <c r="D112" s="171">
        <v>16372.387885245536</v>
      </c>
      <c r="E112" s="145">
        <v>14377.939979226903</v>
      </c>
      <c r="F112" s="145">
        <v>10936.447202521824</v>
      </c>
      <c r="G112" s="145">
        <v>6758.9774457802287</v>
      </c>
      <c r="H112" s="145">
        <v>4955.9043363789879</v>
      </c>
      <c r="I112" s="145">
        <v>4723.8497867620918</v>
      </c>
      <c r="J112" s="145">
        <v>2613.669849475923</v>
      </c>
      <c r="K112" s="145">
        <v>3309.6246570194003</v>
      </c>
      <c r="L112" s="145">
        <v>5343.2287604618959</v>
      </c>
      <c r="M112" s="145">
        <v>3718.4897072142976</v>
      </c>
      <c r="N112" s="145">
        <v>6603.2634471089559</v>
      </c>
      <c r="O112" s="145">
        <v>9545.3459306320292</v>
      </c>
      <c r="P112" s="179"/>
      <c r="Q112" s="444"/>
      <c r="T112" s="143">
        <f t="shared" si="5"/>
        <v>89259.128987828066</v>
      </c>
      <c r="U112" s="138"/>
      <c r="V112" s="139"/>
      <c r="W112" s="156">
        <f>T112</f>
        <v>89259.128987828066</v>
      </c>
      <c r="X112" s="138"/>
      <c r="Y112" s="157"/>
      <c r="Z112" s="157"/>
    </row>
    <row r="113" spans="1:26" s="125" customFormat="1" ht="16.5" x14ac:dyDescent="0.35">
      <c r="A113" s="461"/>
      <c r="B113" s="144" t="s">
        <v>741</v>
      </c>
      <c r="C113" s="611"/>
      <c r="D113" s="171">
        <v>1520.175417693978</v>
      </c>
      <c r="E113" s="145">
        <v>2150.2357914851345</v>
      </c>
      <c r="F113" s="145">
        <v>1921.8171860244565</v>
      </c>
      <c r="G113" s="145">
        <v>2152.0814670260334</v>
      </c>
      <c r="H113" s="145">
        <v>2174.9931039470325</v>
      </c>
      <c r="I113" s="145">
        <v>2580.1328455629682</v>
      </c>
      <c r="J113" s="145">
        <v>3320.259076177108</v>
      </c>
      <c r="K113" s="145">
        <v>2365.5364392115766</v>
      </c>
      <c r="L113" s="145">
        <v>1809.0395409002574</v>
      </c>
      <c r="M113" s="145">
        <v>1858.742398782862</v>
      </c>
      <c r="N113" s="145">
        <v>1890.107995361547</v>
      </c>
      <c r="O113" s="145">
        <v>1708.3104340472999</v>
      </c>
      <c r="P113" s="179"/>
      <c r="Q113" s="444"/>
      <c r="T113" s="143">
        <f t="shared" si="5"/>
        <v>25451.431696220254</v>
      </c>
      <c r="U113" s="138"/>
      <c r="V113" s="139"/>
      <c r="W113" s="597">
        <f>T113</f>
        <v>25451.431696220254</v>
      </c>
      <c r="X113" s="138"/>
      <c r="Y113" s="157"/>
      <c r="Z113" s="157"/>
    </row>
    <row r="114" spans="1:26" s="125" customFormat="1" x14ac:dyDescent="0.25">
      <c r="A114" s="461"/>
      <c r="B114" s="180"/>
      <c r="C114" s="611"/>
      <c r="D114" s="179"/>
      <c r="E114" s="179"/>
      <c r="F114" s="179"/>
      <c r="G114" s="179"/>
      <c r="H114" s="179"/>
      <c r="I114" s="179"/>
      <c r="J114" s="179"/>
      <c r="K114" s="179"/>
      <c r="L114" s="179"/>
      <c r="M114" s="179"/>
      <c r="N114" s="179"/>
      <c r="O114" s="179"/>
      <c r="T114" s="149"/>
      <c r="U114" s="150"/>
      <c r="V114" s="139"/>
      <c r="W114" s="156">
        <f>SUM(W110:W113)</f>
        <v>433639.98477829847</v>
      </c>
      <c r="X114" s="138"/>
      <c r="Y114" s="157"/>
      <c r="Z114" s="157"/>
    </row>
    <row r="116" spans="1:26" s="125" customFormat="1" ht="16.5" x14ac:dyDescent="0.35">
      <c r="A116" s="461">
        <v>12</v>
      </c>
      <c r="B116" s="127" t="s">
        <v>1357</v>
      </c>
      <c r="C116" s="611"/>
      <c r="D116" s="179"/>
      <c r="E116" s="179"/>
      <c r="F116" s="179"/>
      <c r="G116" s="179"/>
      <c r="H116" s="179"/>
      <c r="I116" s="179"/>
      <c r="J116" s="179"/>
      <c r="K116" s="179"/>
      <c r="L116" s="179"/>
      <c r="M116" s="179"/>
      <c r="N116" s="179"/>
      <c r="O116" s="179"/>
      <c r="R116" s="149"/>
      <c r="S116" s="150"/>
      <c r="T116" s="569" t="s">
        <v>559</v>
      </c>
      <c r="U116" s="181"/>
      <c r="V116" s="150"/>
      <c r="Y116" s="157"/>
      <c r="Z116" s="157"/>
    </row>
    <row r="117" spans="1:26" s="125" customFormat="1" x14ac:dyDescent="0.25">
      <c r="A117" s="461"/>
      <c r="B117" s="130" t="s">
        <v>337</v>
      </c>
      <c r="C117" s="131">
        <v>42156</v>
      </c>
      <c r="D117" s="131">
        <v>42186</v>
      </c>
      <c r="E117" s="131">
        <v>42217</v>
      </c>
      <c r="F117" s="131">
        <v>42248</v>
      </c>
      <c r="G117" s="131">
        <v>42278</v>
      </c>
      <c r="H117" s="131">
        <v>42309</v>
      </c>
      <c r="I117" s="131">
        <v>42339</v>
      </c>
      <c r="J117" s="131">
        <v>42370</v>
      </c>
      <c r="K117" s="131">
        <v>42401</v>
      </c>
      <c r="L117" s="131">
        <v>42430</v>
      </c>
      <c r="M117" s="131">
        <v>42461</v>
      </c>
      <c r="N117" s="131">
        <v>42491</v>
      </c>
      <c r="O117" s="131">
        <v>42522</v>
      </c>
      <c r="P117" s="131">
        <v>42552</v>
      </c>
      <c r="Q117" s="151">
        <v>42583</v>
      </c>
      <c r="R117" s="131">
        <v>42627</v>
      </c>
      <c r="S117" s="132"/>
      <c r="T117" s="133" t="s">
        <v>338</v>
      </c>
      <c r="U117" s="134" t="s">
        <v>339</v>
      </c>
      <c r="V117" s="132"/>
      <c r="W117" s="133" t="s">
        <v>338</v>
      </c>
      <c r="X117" s="134" t="s">
        <v>339</v>
      </c>
      <c r="Y117" s="157"/>
      <c r="Z117" s="157"/>
    </row>
    <row r="118" spans="1:26" s="125" customFormat="1" x14ac:dyDescent="0.25">
      <c r="A118" s="461"/>
      <c r="B118" s="135" t="s">
        <v>340</v>
      </c>
      <c r="C118" s="612"/>
      <c r="D118" s="160">
        <v>197842</v>
      </c>
      <c r="E118" s="160">
        <v>181087</v>
      </c>
      <c r="F118" s="160">
        <v>169500</v>
      </c>
      <c r="G118" s="160">
        <v>136848</v>
      </c>
      <c r="H118" s="160">
        <v>140900</v>
      </c>
      <c r="I118" s="160">
        <v>169923</v>
      </c>
      <c r="J118" s="160">
        <v>157756</v>
      </c>
      <c r="K118" s="160">
        <v>144687</v>
      </c>
      <c r="L118" s="160">
        <v>144392</v>
      </c>
      <c r="M118" s="160">
        <v>142200</v>
      </c>
      <c r="N118" s="160">
        <v>177000</v>
      </c>
      <c r="O118" s="160">
        <v>177800</v>
      </c>
      <c r="P118" s="456"/>
      <c r="Q118" s="554"/>
      <c r="T118" s="137">
        <f>SUM(C118:Q118)</f>
        <v>1939935</v>
      </c>
      <c r="U118" s="138" t="s">
        <v>341</v>
      </c>
      <c r="V118" s="139"/>
      <c r="W118" s="140">
        <f>T118*3413/1000000</f>
        <v>6620.9981550000002</v>
      </c>
      <c r="X118" s="138" t="s">
        <v>342</v>
      </c>
      <c r="Y118" s="157"/>
      <c r="Z118" s="157"/>
    </row>
    <row r="119" spans="1:26" s="125" customFormat="1" x14ac:dyDescent="0.25">
      <c r="A119" s="461"/>
      <c r="B119" s="135" t="s">
        <v>372</v>
      </c>
      <c r="C119" s="612"/>
      <c r="D119" s="160">
        <v>2035</v>
      </c>
      <c r="E119" s="160">
        <v>1902</v>
      </c>
      <c r="F119" s="160">
        <v>2130</v>
      </c>
      <c r="G119" s="160">
        <v>2136</v>
      </c>
      <c r="H119" s="160">
        <v>2861</v>
      </c>
      <c r="I119" s="160">
        <v>2903</v>
      </c>
      <c r="J119" s="160">
        <v>2537</v>
      </c>
      <c r="K119" s="160">
        <v>2419</v>
      </c>
      <c r="L119" s="160">
        <v>2588</v>
      </c>
      <c r="M119" s="160">
        <v>1943</v>
      </c>
      <c r="N119" s="160">
        <v>1945</v>
      </c>
      <c r="O119" s="160">
        <v>2482</v>
      </c>
      <c r="P119" s="456"/>
      <c r="Q119" s="554"/>
      <c r="T119" s="137">
        <f>SUM(C119:Q119)</f>
        <v>27881</v>
      </c>
      <c r="U119" s="138" t="s">
        <v>354</v>
      </c>
      <c r="V119" s="139"/>
      <c r="W119" s="140">
        <f>T119*99976.124488/1000000</f>
        <v>2787.4343268499279</v>
      </c>
      <c r="X119" s="138" t="s">
        <v>342</v>
      </c>
      <c r="Y119" s="495">
        <f>W118+W119</f>
        <v>9408.4324818499281</v>
      </c>
      <c r="Z119" s="153" t="s">
        <v>677</v>
      </c>
    </row>
    <row r="120" spans="1:26" s="125" customFormat="1" x14ac:dyDescent="0.25">
      <c r="A120" s="461"/>
      <c r="B120" s="135" t="s">
        <v>614</v>
      </c>
      <c r="C120" s="201"/>
      <c r="D120" s="160">
        <v>490</v>
      </c>
      <c r="E120" s="160">
        <v>374</v>
      </c>
      <c r="F120" s="160">
        <v>457</v>
      </c>
      <c r="G120" s="160">
        <v>427</v>
      </c>
      <c r="H120" s="160">
        <v>522</v>
      </c>
      <c r="I120" s="160">
        <v>552</v>
      </c>
      <c r="J120" s="160">
        <v>488</v>
      </c>
      <c r="K120" s="160">
        <v>488</v>
      </c>
      <c r="L120" s="160">
        <v>493</v>
      </c>
      <c r="M120" s="160">
        <v>493</v>
      </c>
      <c r="N120" s="160">
        <v>398</v>
      </c>
      <c r="O120" s="160">
        <v>420</v>
      </c>
      <c r="P120" s="456"/>
      <c r="Q120" s="554"/>
      <c r="T120" s="137">
        <f>SUM(C120:Q120)</f>
        <v>5602</v>
      </c>
      <c r="U120" s="138" t="s">
        <v>379</v>
      </c>
      <c r="V120" s="139"/>
      <c r="W120" s="137">
        <f>T120*748</f>
        <v>4190296</v>
      </c>
      <c r="X120" s="138" t="s">
        <v>346</v>
      </c>
      <c r="Y120" s="157"/>
      <c r="Z120" s="157"/>
    </row>
    <row r="121" spans="1:26" s="125" customFormat="1" x14ac:dyDescent="0.25">
      <c r="A121" s="461"/>
      <c r="B121" s="135" t="s">
        <v>324</v>
      </c>
      <c r="C121" s="613"/>
      <c r="D121" s="171">
        <v>15986.9</v>
      </c>
      <c r="E121" s="142">
        <v>14888.92</v>
      </c>
      <c r="F121" s="142">
        <v>13812.05</v>
      </c>
      <c r="G121" s="142">
        <v>11373.94</v>
      </c>
      <c r="H121" s="142">
        <v>11466.82</v>
      </c>
      <c r="I121" s="142">
        <v>13405.55</v>
      </c>
      <c r="J121" s="142">
        <v>12517.76</v>
      </c>
      <c r="K121" s="142">
        <v>11631.02</v>
      </c>
      <c r="L121" s="142">
        <v>11456.99</v>
      </c>
      <c r="M121" s="142">
        <v>11253.54</v>
      </c>
      <c r="N121" s="142">
        <v>13873.41</v>
      </c>
      <c r="O121" s="142">
        <v>14147.48</v>
      </c>
      <c r="P121" s="176"/>
      <c r="Q121" s="184"/>
      <c r="T121" s="143">
        <f>SUM(C121:Q121)</f>
        <v>155814.38000000003</v>
      </c>
      <c r="U121" s="138"/>
      <c r="V121" s="139"/>
      <c r="W121" s="143">
        <f>T121</f>
        <v>155814.38000000003</v>
      </c>
      <c r="X121" s="138"/>
      <c r="Y121" s="157"/>
      <c r="Z121" s="157"/>
    </row>
    <row r="122" spans="1:26" s="125" customFormat="1" ht="16.5" x14ac:dyDescent="0.35">
      <c r="A122" s="461"/>
      <c r="B122" s="144" t="s">
        <v>374</v>
      </c>
      <c r="C122" s="611"/>
      <c r="D122" s="171">
        <v>1472.23</v>
      </c>
      <c r="E122" s="145">
        <v>1379.22</v>
      </c>
      <c r="F122" s="145">
        <v>1538.44</v>
      </c>
      <c r="G122" s="145">
        <v>1539.93</v>
      </c>
      <c r="H122" s="145">
        <v>1900.37</v>
      </c>
      <c r="I122" s="145">
        <v>1917.73</v>
      </c>
      <c r="J122" s="145">
        <v>1552.41</v>
      </c>
      <c r="K122" s="145">
        <v>1478.3</v>
      </c>
      <c r="L122" s="145">
        <v>1578.03</v>
      </c>
      <c r="M122" s="145">
        <v>1252.45</v>
      </c>
      <c r="N122" s="145">
        <v>1255.6600000000001</v>
      </c>
      <c r="O122" s="145">
        <v>1588.24</v>
      </c>
      <c r="P122" s="179"/>
      <c r="Q122" s="184"/>
      <c r="T122" s="143">
        <f>SUM(C122:Q122)</f>
        <v>18453.010000000002</v>
      </c>
      <c r="U122" s="138"/>
      <c r="V122" s="139"/>
      <c r="W122" s="146">
        <f>T122</f>
        <v>18453.010000000002</v>
      </c>
      <c r="X122" s="138"/>
      <c r="Y122" s="157"/>
      <c r="Z122" s="157"/>
    </row>
    <row r="123" spans="1:26" s="125" customFormat="1" x14ac:dyDescent="0.25">
      <c r="A123" s="461"/>
      <c r="B123" s="180"/>
      <c r="C123" s="611"/>
      <c r="D123" s="179"/>
      <c r="E123" s="179"/>
      <c r="F123" s="179"/>
      <c r="G123" s="179"/>
      <c r="H123" s="179"/>
      <c r="I123" s="179"/>
      <c r="J123" s="179"/>
      <c r="K123" s="179"/>
      <c r="L123" s="179"/>
      <c r="M123" s="179"/>
      <c r="N123" s="179"/>
      <c r="O123" s="179"/>
      <c r="T123" s="149"/>
      <c r="U123" s="150"/>
      <c r="V123" s="139"/>
      <c r="W123" s="143">
        <f>SUM(W121:W122)</f>
        <v>174267.39000000004</v>
      </c>
      <c r="X123" s="138"/>
      <c r="Y123" s="157"/>
      <c r="Z123" s="157"/>
    </row>
    <row r="125" spans="1:26" s="128" customFormat="1" x14ac:dyDescent="0.25">
      <c r="A125" s="459">
        <v>13</v>
      </c>
      <c r="B125" s="127" t="s">
        <v>377</v>
      </c>
      <c r="C125" s="173"/>
      <c r="Q125" s="173"/>
      <c r="R125" s="129"/>
      <c r="T125" s="598" t="s">
        <v>377</v>
      </c>
      <c r="U125" s="129"/>
      <c r="Y125" s="166"/>
      <c r="Z125" s="166"/>
    </row>
    <row r="126" spans="1:26" s="125" customFormat="1" x14ac:dyDescent="0.25">
      <c r="A126" s="461"/>
      <c r="B126" s="130" t="s">
        <v>337</v>
      </c>
      <c r="C126" s="131">
        <v>42156</v>
      </c>
      <c r="D126" s="131">
        <v>42186</v>
      </c>
      <c r="E126" s="131">
        <v>42217</v>
      </c>
      <c r="F126" s="131">
        <v>42248</v>
      </c>
      <c r="G126" s="131">
        <v>42278</v>
      </c>
      <c r="H126" s="131">
        <v>42309</v>
      </c>
      <c r="I126" s="131">
        <v>42339</v>
      </c>
      <c r="J126" s="131">
        <v>42370</v>
      </c>
      <c r="K126" s="131">
        <v>42401</v>
      </c>
      <c r="L126" s="131">
        <v>42430</v>
      </c>
      <c r="M126" s="131">
        <v>42461</v>
      </c>
      <c r="N126" s="131">
        <v>42491</v>
      </c>
      <c r="O126" s="131">
        <v>42522</v>
      </c>
      <c r="P126" s="131">
        <v>42552</v>
      </c>
      <c r="Q126" s="151">
        <v>42583</v>
      </c>
      <c r="R126" s="131">
        <v>42627</v>
      </c>
      <c r="S126" s="132"/>
      <c r="T126" s="133" t="s">
        <v>338</v>
      </c>
      <c r="U126" s="134" t="s">
        <v>339</v>
      </c>
      <c r="V126" s="132"/>
      <c r="W126" s="133" t="s">
        <v>338</v>
      </c>
      <c r="X126" s="134" t="s">
        <v>339</v>
      </c>
      <c r="Y126" s="157"/>
      <c r="Z126" s="157"/>
    </row>
    <row r="127" spans="1:26" s="128" customFormat="1" x14ac:dyDescent="0.25">
      <c r="A127" s="459"/>
      <c r="B127" s="204" t="s">
        <v>340</v>
      </c>
      <c r="C127" s="173"/>
      <c r="E127" s="136"/>
      <c r="F127" s="136"/>
      <c r="G127" s="136"/>
      <c r="H127" s="136"/>
      <c r="I127" s="136"/>
      <c r="J127" s="136"/>
      <c r="K127" s="136"/>
      <c r="L127" s="136"/>
      <c r="M127" s="136"/>
      <c r="N127" s="136"/>
      <c r="O127" s="136"/>
      <c r="P127" s="136"/>
      <c r="T127" s="170">
        <f>SUM(E127:P127)</f>
        <v>0</v>
      </c>
      <c r="U127" s="162" t="s">
        <v>341</v>
      </c>
      <c r="V127" s="163"/>
      <c r="W127" s="164">
        <f>T127*3413/1000000</f>
        <v>0</v>
      </c>
      <c r="X127" s="162" t="s">
        <v>342</v>
      </c>
      <c r="Y127" s="166"/>
      <c r="Z127" s="166"/>
    </row>
    <row r="128" spans="1:26" s="128" customFormat="1" x14ac:dyDescent="0.25">
      <c r="A128" s="459"/>
      <c r="B128" s="204" t="s">
        <v>1092</v>
      </c>
      <c r="C128" s="173"/>
      <c r="E128" s="136"/>
      <c r="F128" s="165"/>
      <c r="G128" s="165"/>
      <c r="H128" s="165"/>
      <c r="I128" s="165"/>
      <c r="J128" s="165"/>
      <c r="K128" s="165"/>
      <c r="L128" s="165"/>
      <c r="M128" s="165"/>
      <c r="N128" s="165"/>
      <c r="O128" s="165"/>
      <c r="P128" s="165"/>
      <c r="T128" s="170">
        <f>SUM(E128:P128)</f>
        <v>0</v>
      </c>
      <c r="U128" s="162" t="s">
        <v>665</v>
      </c>
      <c r="V128" s="163"/>
      <c r="W128" s="164">
        <f>T128*99976.124488/1000000</f>
        <v>0</v>
      </c>
      <c r="X128" s="162" t="s">
        <v>342</v>
      </c>
      <c r="Y128" s="1093">
        <f>W127+W128</f>
        <v>0</v>
      </c>
      <c r="Z128" s="165" t="s">
        <v>677</v>
      </c>
    </row>
    <row r="129" spans="1:26" s="128" customFormat="1" x14ac:dyDescent="0.25">
      <c r="A129" s="459"/>
      <c r="B129" s="204" t="s">
        <v>1007</v>
      </c>
      <c r="C129" s="173"/>
      <c r="E129" s="1094"/>
      <c r="F129" s="1094"/>
      <c r="G129" s="1094"/>
      <c r="H129" s="1094"/>
      <c r="I129" s="1094"/>
      <c r="J129" s="1094"/>
      <c r="K129" s="1094"/>
      <c r="L129" s="1094"/>
      <c r="M129" s="1094"/>
      <c r="N129" s="1094"/>
      <c r="O129" s="1094"/>
      <c r="P129" s="1094"/>
      <c r="T129" s="170">
        <f>SUM(E129:P129)</f>
        <v>0</v>
      </c>
      <c r="U129" s="162" t="s">
        <v>379</v>
      </c>
      <c r="V129" s="163" t="s">
        <v>38</v>
      </c>
      <c r="W129" s="164">
        <f>T129*748</f>
        <v>0</v>
      </c>
      <c r="X129" s="162" t="s">
        <v>346</v>
      </c>
      <c r="Y129" s="166"/>
      <c r="Z129" s="166"/>
    </row>
    <row r="130" spans="1:26" s="128" customFormat="1" x14ac:dyDescent="0.25">
      <c r="A130" s="459"/>
      <c r="B130" s="204" t="s">
        <v>324</v>
      </c>
      <c r="C130" s="173"/>
      <c r="E130" s="775"/>
      <c r="F130" s="775"/>
      <c r="G130" s="775"/>
      <c r="H130" s="775"/>
      <c r="I130" s="775"/>
      <c r="J130" s="775"/>
      <c r="K130" s="775"/>
      <c r="L130" s="775"/>
      <c r="M130" s="775"/>
      <c r="N130" s="775"/>
      <c r="O130" s="775"/>
      <c r="P130" s="775"/>
      <c r="T130" s="1095">
        <f>SUM(E130:P130)</f>
        <v>0</v>
      </c>
      <c r="U130" s="162"/>
      <c r="V130" s="163"/>
      <c r="W130" s="1095">
        <f>T130</f>
        <v>0</v>
      </c>
      <c r="X130" s="162"/>
      <c r="Y130" s="166"/>
      <c r="Z130" s="166"/>
    </row>
    <row r="131" spans="1:26" s="128" customFormat="1" ht="16.5" x14ac:dyDescent="0.35">
      <c r="A131" s="459"/>
      <c r="B131" s="204" t="s">
        <v>381</v>
      </c>
      <c r="C131" s="173"/>
      <c r="E131" s="1264"/>
      <c r="F131" s="1264"/>
      <c r="G131" s="1264"/>
      <c r="H131" s="1264"/>
      <c r="I131" s="1264"/>
      <c r="J131" s="1264"/>
      <c r="K131" s="1264"/>
      <c r="L131" s="1264"/>
      <c r="M131" s="1264"/>
      <c r="N131" s="1264"/>
      <c r="O131" s="1264"/>
      <c r="P131" s="1264"/>
      <c r="T131" s="1095">
        <f>SUM(E131:P131)</f>
        <v>0</v>
      </c>
      <c r="U131" s="162"/>
      <c r="V131" s="163"/>
      <c r="W131" s="1096">
        <f>T131</f>
        <v>0</v>
      </c>
      <c r="X131" s="162"/>
      <c r="Y131" s="166"/>
      <c r="Z131" s="166"/>
    </row>
    <row r="132" spans="1:26" s="125" customFormat="1" x14ac:dyDescent="0.25">
      <c r="A132" s="463"/>
      <c r="B132" s="157"/>
      <c r="C132" s="446"/>
      <c r="D132" s="185"/>
      <c r="E132" s="185"/>
      <c r="F132" s="185"/>
      <c r="G132" s="185"/>
      <c r="H132" s="185"/>
      <c r="I132" s="185"/>
      <c r="J132" s="185"/>
      <c r="K132" s="185"/>
      <c r="L132" s="185"/>
      <c r="M132" s="185"/>
      <c r="N132" s="185"/>
      <c r="T132" s="149"/>
      <c r="U132" s="150"/>
      <c r="V132" s="139"/>
      <c r="W132" s="143">
        <f>SUM(W130:W131)</f>
        <v>0</v>
      </c>
      <c r="X132" s="150"/>
      <c r="Y132" s="157"/>
      <c r="Z132" s="157"/>
    </row>
    <row r="133" spans="1:26" s="157" customFormat="1" x14ac:dyDescent="0.25">
      <c r="A133" s="461"/>
      <c r="C133" s="599"/>
      <c r="R133" s="182"/>
      <c r="U133" s="182"/>
    </row>
    <row r="134" spans="1:26" s="125" customFormat="1" x14ac:dyDescent="0.25">
      <c r="A134" s="461">
        <v>14</v>
      </c>
      <c r="B134" s="148" t="s">
        <v>396</v>
      </c>
      <c r="C134" s="152"/>
      <c r="D134" s="157"/>
      <c r="S134" s="126"/>
      <c r="T134" s="148" t="s">
        <v>396</v>
      </c>
      <c r="V134" s="126"/>
      <c r="Y134" s="157"/>
      <c r="Z134" s="157"/>
    </row>
    <row r="135" spans="1:26" s="125" customFormat="1" x14ac:dyDescent="0.25">
      <c r="A135" s="461"/>
      <c r="B135" s="130" t="s">
        <v>337</v>
      </c>
      <c r="C135" s="131">
        <v>42156</v>
      </c>
      <c r="D135" s="131">
        <v>42186</v>
      </c>
      <c r="E135" s="131">
        <v>42217</v>
      </c>
      <c r="F135" s="131">
        <v>42248</v>
      </c>
      <c r="G135" s="131">
        <v>42278</v>
      </c>
      <c r="H135" s="131">
        <v>42309</v>
      </c>
      <c r="I135" s="131">
        <v>42339</v>
      </c>
      <c r="J135" s="131">
        <v>42370</v>
      </c>
      <c r="K135" s="131">
        <v>42401</v>
      </c>
      <c r="L135" s="131">
        <v>42430</v>
      </c>
      <c r="M135" s="131">
        <v>42461</v>
      </c>
      <c r="N135" s="131">
        <v>42491</v>
      </c>
      <c r="O135" s="131">
        <v>42522</v>
      </c>
      <c r="P135" s="131">
        <v>42552</v>
      </c>
      <c r="Q135" s="151">
        <v>42583</v>
      </c>
      <c r="R135" s="131">
        <v>42627</v>
      </c>
      <c r="S135" s="132"/>
      <c r="T135" s="133" t="s">
        <v>338</v>
      </c>
      <c r="U135" s="134" t="s">
        <v>339</v>
      </c>
      <c r="V135" s="132"/>
      <c r="W135" s="133" t="s">
        <v>338</v>
      </c>
      <c r="X135" s="134" t="s">
        <v>339</v>
      </c>
      <c r="Y135" s="157"/>
      <c r="Z135" s="157"/>
    </row>
    <row r="136" spans="1:26" s="157" customFormat="1" x14ac:dyDescent="0.25">
      <c r="A136" s="461"/>
      <c r="B136" s="135" t="s">
        <v>319</v>
      </c>
      <c r="C136" s="599"/>
      <c r="D136" s="160">
        <v>17165</v>
      </c>
      <c r="E136" s="1247">
        <v>25595</v>
      </c>
      <c r="F136" s="136">
        <v>24164</v>
      </c>
      <c r="G136" s="136">
        <v>25172</v>
      </c>
      <c r="H136" s="136">
        <v>21933</v>
      </c>
      <c r="I136" s="136">
        <v>22308</v>
      </c>
      <c r="J136" s="136">
        <v>21584</v>
      </c>
      <c r="K136" s="136">
        <v>23656</v>
      </c>
      <c r="L136" s="136">
        <v>24638</v>
      </c>
      <c r="M136" s="136">
        <v>23837</v>
      </c>
      <c r="N136" s="136">
        <v>18322</v>
      </c>
      <c r="O136" s="136">
        <v>17851</v>
      </c>
      <c r="P136" s="456"/>
      <c r="Q136" s="174"/>
      <c r="T136" s="141">
        <f t="shared" ref="T136:T142" si="6">SUM(D136:P136)</f>
        <v>266225</v>
      </c>
      <c r="U136" s="188" t="s">
        <v>341</v>
      </c>
      <c r="W136" s="140">
        <f>T136*3413/1000000</f>
        <v>908.62592500000005</v>
      </c>
      <c r="X136" s="138" t="s">
        <v>342</v>
      </c>
    </row>
    <row r="137" spans="1:26" s="157" customFormat="1" x14ac:dyDescent="0.25">
      <c r="A137" s="461"/>
      <c r="B137" s="135" t="s">
        <v>320</v>
      </c>
      <c r="C137" s="599"/>
      <c r="D137" s="160">
        <v>5030</v>
      </c>
      <c r="E137" s="1247">
        <v>8310</v>
      </c>
      <c r="F137" s="137">
        <v>11460</v>
      </c>
      <c r="G137" s="137">
        <v>14760</v>
      </c>
      <c r="H137" s="137">
        <v>17321.951219512197</v>
      </c>
      <c r="I137" s="136">
        <v>19080</v>
      </c>
      <c r="J137" s="136">
        <v>53994.9375</v>
      </c>
      <c r="K137" s="136">
        <v>47894.78125</v>
      </c>
      <c r="L137" s="136">
        <v>23680</v>
      </c>
      <c r="M137" s="136">
        <v>20580</v>
      </c>
      <c r="N137" s="136">
        <v>6800</v>
      </c>
      <c r="O137" s="136">
        <v>6400</v>
      </c>
      <c r="P137" s="456"/>
      <c r="Q137" s="174"/>
      <c r="T137" s="141">
        <f t="shared" si="6"/>
        <v>235311.66996951221</v>
      </c>
      <c r="U137" s="188" t="s">
        <v>344</v>
      </c>
      <c r="W137" s="160">
        <f>T137/1000</f>
        <v>235.3116699695122</v>
      </c>
      <c r="X137" s="138" t="s">
        <v>342</v>
      </c>
    </row>
    <row r="138" spans="1:26" s="157" customFormat="1" x14ac:dyDescent="0.25">
      <c r="A138" s="461"/>
      <c r="B138" s="192" t="s">
        <v>323</v>
      </c>
      <c r="C138" s="599"/>
      <c r="D138" s="160">
        <v>20523</v>
      </c>
      <c r="E138" s="1248">
        <v>18946</v>
      </c>
      <c r="F138" s="141">
        <v>17090</v>
      </c>
      <c r="G138" s="141">
        <v>10892</v>
      </c>
      <c r="H138" s="141">
        <v>8437</v>
      </c>
      <c r="I138" s="141">
        <v>7533</v>
      </c>
      <c r="J138" s="141">
        <v>3846</v>
      </c>
      <c r="K138" s="141">
        <v>5104</v>
      </c>
      <c r="L138" s="141">
        <v>9942</v>
      </c>
      <c r="M138" s="141">
        <v>10519</v>
      </c>
      <c r="N138" s="141">
        <v>10997</v>
      </c>
      <c r="O138" s="141">
        <v>15490</v>
      </c>
      <c r="P138" s="456"/>
      <c r="Q138" s="178"/>
      <c r="T138" s="141">
        <f t="shared" si="6"/>
        <v>139319</v>
      </c>
      <c r="U138" s="188" t="s">
        <v>397</v>
      </c>
      <c r="W138" s="193">
        <f>T138*0.012</f>
        <v>1671.828</v>
      </c>
      <c r="X138" s="138" t="s">
        <v>342</v>
      </c>
      <c r="Y138" s="495">
        <f>W136+W137+W138</f>
        <v>2815.7655949695122</v>
      </c>
      <c r="Z138" s="153" t="s">
        <v>677</v>
      </c>
    </row>
    <row r="139" spans="1:26" s="157" customFormat="1" x14ac:dyDescent="0.25">
      <c r="A139" s="461"/>
      <c r="B139" s="135" t="s">
        <v>345</v>
      </c>
      <c r="C139" s="599"/>
      <c r="D139" s="160">
        <v>10000</v>
      </c>
      <c r="E139" s="1248">
        <v>77300</v>
      </c>
      <c r="F139" s="141">
        <v>97800</v>
      </c>
      <c r="G139" s="141">
        <v>138700</v>
      </c>
      <c r="H139" s="141">
        <v>91100</v>
      </c>
      <c r="I139" s="141">
        <v>57700</v>
      </c>
      <c r="J139" s="141">
        <v>160600</v>
      </c>
      <c r="K139" s="141">
        <v>82700</v>
      </c>
      <c r="L139" s="141">
        <v>69300</v>
      </c>
      <c r="M139" s="141">
        <v>68600</v>
      </c>
      <c r="N139" s="141">
        <v>33100</v>
      </c>
      <c r="O139" s="141">
        <v>25800</v>
      </c>
      <c r="P139" s="176"/>
      <c r="Q139" s="178"/>
      <c r="T139" s="141">
        <f t="shared" si="6"/>
        <v>912700</v>
      </c>
      <c r="U139" s="188" t="s">
        <v>346</v>
      </c>
      <c r="W139" s="141">
        <f>T139</f>
        <v>912700</v>
      </c>
      <c r="X139" s="188" t="s">
        <v>346</v>
      </c>
    </row>
    <row r="140" spans="1:26" s="157" customFormat="1" x14ac:dyDescent="0.25">
      <c r="A140" s="461"/>
      <c r="B140" s="135" t="s">
        <v>324</v>
      </c>
      <c r="C140" s="599"/>
      <c r="D140" s="171">
        <v>1201.9697961956522</v>
      </c>
      <c r="E140" s="1249">
        <v>1819.1865710183299</v>
      </c>
      <c r="F140" s="142">
        <v>1662.8329772375689</v>
      </c>
      <c r="G140" s="142">
        <v>1602.7892361694178</v>
      </c>
      <c r="H140" s="142">
        <v>1396.5507832871381</v>
      </c>
      <c r="I140" s="142">
        <v>1312.5068192063493</v>
      </c>
      <c r="J140" s="142">
        <v>1280.4776113954836</v>
      </c>
      <c r="K140" s="142">
        <v>1397.0632308989548</v>
      </c>
      <c r="L140" s="142">
        <v>1472.61654686769</v>
      </c>
      <c r="M140" s="142">
        <v>1384.1102091149119</v>
      </c>
      <c r="N140" s="142">
        <v>1090.2448313781283</v>
      </c>
      <c r="O140" s="142">
        <v>1164.7100115827898</v>
      </c>
      <c r="P140" s="179"/>
      <c r="Q140" s="176"/>
      <c r="T140" s="171">
        <f t="shared" si="6"/>
        <v>16785.058624352412</v>
      </c>
      <c r="U140" s="188"/>
      <c r="W140" s="190">
        <f>T140</f>
        <v>16785.058624352412</v>
      </c>
      <c r="X140" s="188"/>
    </row>
    <row r="141" spans="1:26" s="157" customFormat="1" x14ac:dyDescent="0.25">
      <c r="A141" s="461"/>
      <c r="B141" s="195" t="s">
        <v>326</v>
      </c>
      <c r="C141" s="599"/>
      <c r="D141" s="171">
        <v>39.303916999999998</v>
      </c>
      <c r="E141" s="1250">
        <v>64.933509000000001</v>
      </c>
      <c r="F141" s="156">
        <v>89.547294000000008</v>
      </c>
      <c r="G141" s="156">
        <v>115.33316400000001</v>
      </c>
      <c r="H141" s="156">
        <v>135.35199463414637</v>
      </c>
      <c r="I141" s="171">
        <v>149.089212</v>
      </c>
      <c r="J141" s="171">
        <v>421.91104213125004</v>
      </c>
      <c r="K141" s="171">
        <v>374.24503120937504</v>
      </c>
      <c r="L141" s="171">
        <v>185.033152</v>
      </c>
      <c r="M141" s="171">
        <v>160.81006200000002</v>
      </c>
      <c r="N141" s="171">
        <v>53.134520000000002</v>
      </c>
      <c r="O141" s="171">
        <v>50.008960000000002</v>
      </c>
      <c r="P141" s="125"/>
      <c r="Q141" s="1058"/>
      <c r="T141" s="171">
        <f t="shared" si="6"/>
        <v>1838.7018579747714</v>
      </c>
      <c r="U141" s="188"/>
      <c r="W141" s="190">
        <f>T141</f>
        <v>1838.7018579747714</v>
      </c>
      <c r="X141" s="188"/>
    </row>
    <row r="142" spans="1:26" s="157" customFormat="1" ht="16.5" x14ac:dyDescent="0.35">
      <c r="A142" s="461"/>
      <c r="B142" s="195" t="s">
        <v>398</v>
      </c>
      <c r="C142" s="599" t="s">
        <v>352</v>
      </c>
      <c r="D142" s="171"/>
      <c r="E142" s="1092"/>
      <c r="F142" s="198"/>
      <c r="G142" s="198"/>
      <c r="H142" s="198"/>
      <c r="I142" s="198"/>
      <c r="J142" s="198"/>
      <c r="K142" s="198"/>
      <c r="L142" s="198"/>
      <c r="M142" s="198"/>
      <c r="N142" s="198"/>
      <c r="O142" s="198"/>
      <c r="P142"/>
      <c r="Q142" s="446"/>
      <c r="T142" s="171">
        <f t="shared" si="6"/>
        <v>0</v>
      </c>
      <c r="U142" s="188"/>
      <c r="W142" s="197">
        <f>T142</f>
        <v>0</v>
      </c>
      <c r="X142" s="188"/>
    </row>
    <row r="143" spans="1:26" s="157" customFormat="1" x14ac:dyDescent="0.25">
      <c r="A143" s="461"/>
      <c r="B143" s="200"/>
      <c r="C143" s="599"/>
      <c r="E143" s="446"/>
      <c r="F143" s="600"/>
      <c r="G143" s="446"/>
      <c r="H143" s="446"/>
      <c r="I143" s="446"/>
      <c r="J143" s="446"/>
      <c r="K143" s="446"/>
      <c r="L143" s="446"/>
      <c r="M143" s="446"/>
      <c r="N143" s="446"/>
      <c r="O143" s="446"/>
      <c r="P143" s="446"/>
      <c r="Q143" s="194"/>
      <c r="T143" s="184"/>
      <c r="U143" s="199"/>
      <c r="W143" s="190">
        <f>SUM(W140:W142)</f>
        <v>18623.760482327183</v>
      </c>
      <c r="X143" s="188"/>
    </row>
    <row r="144" spans="1:26" s="125" customFormat="1" x14ac:dyDescent="0.25">
      <c r="A144" s="461"/>
      <c r="B144" s="200"/>
      <c r="C144" s="152"/>
      <c r="E144" s="201"/>
      <c r="F144" s="202"/>
      <c r="G144" s="202"/>
      <c r="H144" s="203"/>
      <c r="I144" s="203"/>
      <c r="J144" s="203"/>
      <c r="K144" s="203"/>
      <c r="L144" s="203"/>
      <c r="M144" s="203"/>
      <c r="N144" s="203"/>
      <c r="O144" s="203"/>
      <c r="P144" s="203"/>
      <c r="S144" s="126"/>
      <c r="V144" s="126"/>
      <c r="Y144" s="157"/>
      <c r="Z144" s="157"/>
    </row>
    <row r="145" spans="1:26" s="125" customFormat="1" x14ac:dyDescent="0.25">
      <c r="A145" s="461">
        <v>15</v>
      </c>
      <c r="B145" s="148" t="s">
        <v>560</v>
      </c>
      <c r="C145" s="152"/>
      <c r="S145" s="126"/>
      <c r="T145" s="148" t="s">
        <v>560</v>
      </c>
      <c r="V145" s="126"/>
      <c r="Y145" s="157"/>
      <c r="Z145" s="157"/>
    </row>
    <row r="146" spans="1:26" s="125" customFormat="1" x14ac:dyDescent="0.25">
      <c r="A146" s="461"/>
      <c r="B146" s="130" t="s">
        <v>337</v>
      </c>
      <c r="C146" s="131">
        <v>42156</v>
      </c>
      <c r="D146" s="131">
        <v>42186</v>
      </c>
      <c r="E146" s="131">
        <v>42217</v>
      </c>
      <c r="F146" s="131">
        <v>42248</v>
      </c>
      <c r="G146" s="131">
        <v>42278</v>
      </c>
      <c r="H146" s="131">
        <v>42309</v>
      </c>
      <c r="I146" s="131">
        <v>42339</v>
      </c>
      <c r="J146" s="131">
        <v>42370</v>
      </c>
      <c r="K146" s="131">
        <v>42401</v>
      </c>
      <c r="L146" s="131">
        <v>42430</v>
      </c>
      <c r="M146" s="131">
        <v>42461</v>
      </c>
      <c r="N146" s="131">
        <v>42491</v>
      </c>
      <c r="O146" s="131">
        <v>42522</v>
      </c>
      <c r="P146" s="131">
        <v>42552</v>
      </c>
      <c r="Q146" s="151">
        <v>42583</v>
      </c>
      <c r="R146" s="131">
        <v>42627</v>
      </c>
      <c r="S146" s="132"/>
      <c r="T146" s="133" t="s">
        <v>338</v>
      </c>
      <c r="U146" s="134" t="s">
        <v>339</v>
      </c>
      <c r="V146" s="132"/>
      <c r="W146" s="133" t="s">
        <v>338</v>
      </c>
      <c r="X146" s="134" t="s">
        <v>339</v>
      </c>
      <c r="Y146" s="157"/>
      <c r="Z146" s="157"/>
    </row>
    <row r="147" spans="1:26" s="157" customFormat="1" x14ac:dyDescent="0.25">
      <c r="A147" s="461"/>
      <c r="B147" s="135" t="s">
        <v>319</v>
      </c>
      <c r="C147" s="599"/>
      <c r="D147" s="160">
        <v>14811</v>
      </c>
      <c r="E147" s="1247">
        <v>22427</v>
      </c>
      <c r="F147" s="136">
        <v>21884</v>
      </c>
      <c r="G147" s="136">
        <v>23712</v>
      </c>
      <c r="H147" s="136">
        <v>21302</v>
      </c>
      <c r="I147" s="136">
        <v>21171</v>
      </c>
      <c r="J147" s="136">
        <v>21753</v>
      </c>
      <c r="K147" s="136">
        <v>25110</v>
      </c>
      <c r="L147" s="136">
        <v>22206</v>
      </c>
      <c r="M147" s="136">
        <v>21916</v>
      </c>
      <c r="N147" s="136">
        <v>19196</v>
      </c>
      <c r="O147" s="136">
        <v>17919.5</v>
      </c>
      <c r="P147" s="456"/>
      <c r="Q147" s="174"/>
      <c r="T147" s="141">
        <f t="shared" ref="T147:T152" si="7">SUM(D147:O147)</f>
        <v>253407.5</v>
      </c>
      <c r="U147" s="188" t="s">
        <v>341</v>
      </c>
      <c r="W147" s="140">
        <f>T147*3413/1000000</f>
        <v>864.8797975</v>
      </c>
      <c r="X147" s="138" t="s">
        <v>342</v>
      </c>
    </row>
    <row r="148" spans="1:26" s="157" customFormat="1" x14ac:dyDescent="0.25">
      <c r="A148" s="461"/>
      <c r="B148" s="135" t="s">
        <v>320</v>
      </c>
      <c r="C148" s="599"/>
      <c r="D148" s="160">
        <v>5855</v>
      </c>
      <c r="E148" s="1247">
        <v>10655</v>
      </c>
      <c r="F148" s="137">
        <v>7500</v>
      </c>
      <c r="G148" s="137">
        <v>15020</v>
      </c>
      <c r="H148" s="137">
        <v>14550</v>
      </c>
      <c r="I148" s="136">
        <v>15470</v>
      </c>
      <c r="J148" s="136">
        <v>45020.234375</v>
      </c>
      <c r="K148" s="136">
        <v>40077.6953125</v>
      </c>
      <c r="L148" s="136">
        <v>21613.75</v>
      </c>
      <c r="M148" s="136">
        <v>16057</v>
      </c>
      <c r="N148" s="136">
        <v>16140</v>
      </c>
      <c r="O148" s="136">
        <v>4780</v>
      </c>
      <c r="P148" s="456"/>
      <c r="Q148" s="174"/>
      <c r="T148" s="141">
        <f t="shared" si="7"/>
        <v>212738.6796875</v>
      </c>
      <c r="U148" s="188" t="s">
        <v>344</v>
      </c>
      <c r="W148" s="160">
        <f>T148/1000</f>
        <v>212.7386796875</v>
      </c>
      <c r="X148" s="138" t="s">
        <v>342</v>
      </c>
    </row>
    <row r="149" spans="1:26" s="157" customFormat="1" x14ac:dyDescent="0.25">
      <c r="A149" s="461"/>
      <c r="B149" s="192" t="s">
        <v>323</v>
      </c>
      <c r="C149" s="599"/>
      <c r="D149" s="160">
        <v>18529</v>
      </c>
      <c r="E149" s="1248">
        <v>22885</v>
      </c>
      <c r="F149" s="141">
        <v>22789</v>
      </c>
      <c r="G149" s="141">
        <v>17791</v>
      </c>
      <c r="H149" s="141">
        <v>14628</v>
      </c>
      <c r="I149" s="141">
        <v>12298</v>
      </c>
      <c r="J149" s="141">
        <v>12333</v>
      </c>
      <c r="K149" s="141">
        <v>10937</v>
      </c>
      <c r="L149" s="141">
        <v>12907</v>
      </c>
      <c r="M149" s="141">
        <v>13883</v>
      </c>
      <c r="N149" s="141">
        <v>13340</v>
      </c>
      <c r="O149" s="141">
        <v>16784</v>
      </c>
      <c r="P149" s="456"/>
      <c r="Q149" s="178"/>
      <c r="T149" s="141">
        <f t="shared" si="7"/>
        <v>189104</v>
      </c>
      <c r="U149" s="188" t="s">
        <v>397</v>
      </c>
      <c r="W149" s="193">
        <f>T149*0.012</f>
        <v>2269.248</v>
      </c>
      <c r="X149" s="138" t="s">
        <v>342</v>
      </c>
      <c r="Y149" s="495">
        <f>W147+W148+W149</f>
        <v>3346.8664771875001</v>
      </c>
      <c r="Z149" s="153" t="s">
        <v>677</v>
      </c>
    </row>
    <row r="150" spans="1:26" s="157" customFormat="1" x14ac:dyDescent="0.25">
      <c r="A150" s="461"/>
      <c r="B150" s="135" t="s">
        <v>345</v>
      </c>
      <c r="C150" s="599"/>
      <c r="D150" s="160">
        <v>24400</v>
      </c>
      <c r="E150" s="1248">
        <v>29000</v>
      </c>
      <c r="F150" s="141">
        <v>72000</v>
      </c>
      <c r="G150" s="141">
        <v>75300</v>
      </c>
      <c r="H150" s="141">
        <v>64800</v>
      </c>
      <c r="I150" s="141">
        <v>34800</v>
      </c>
      <c r="J150" s="141">
        <v>74000</v>
      </c>
      <c r="K150" s="141">
        <v>84500</v>
      </c>
      <c r="L150" s="141">
        <v>73400</v>
      </c>
      <c r="M150" s="141">
        <v>79700</v>
      </c>
      <c r="N150" s="141">
        <v>24300</v>
      </c>
      <c r="O150" s="141">
        <v>20300</v>
      </c>
      <c r="P150" s="176"/>
      <c r="Q150" s="178"/>
      <c r="T150" s="141">
        <f t="shared" si="7"/>
        <v>656500</v>
      </c>
      <c r="U150" s="188" t="s">
        <v>346</v>
      </c>
      <c r="W150" s="141">
        <f>T150</f>
        <v>656500</v>
      </c>
      <c r="X150" s="188" t="s">
        <v>346</v>
      </c>
    </row>
    <row r="151" spans="1:26" s="157" customFormat="1" x14ac:dyDescent="0.25">
      <c r="A151" s="461"/>
      <c r="B151" s="135" t="s">
        <v>324</v>
      </c>
      <c r="C151" s="599"/>
      <c r="D151" s="171">
        <v>1037.1322255434784</v>
      </c>
      <c r="E151" s="1249">
        <v>1594.0182546680244</v>
      </c>
      <c r="F151" s="142">
        <v>1505.9359739226518</v>
      </c>
      <c r="G151" s="142">
        <v>1509.8259323076925</v>
      </c>
      <c r="H151" s="142">
        <v>1356.3728074400499</v>
      </c>
      <c r="I151" s="142">
        <v>1245.6106271031747</v>
      </c>
      <c r="J151" s="142">
        <v>34.764634927620158</v>
      </c>
      <c r="K151" s="142">
        <v>588.50757084494774</v>
      </c>
      <c r="L151" s="142">
        <v>1327.2555824232456</v>
      </c>
      <c r="M151" s="142">
        <v>1272.5661510660909</v>
      </c>
      <c r="N151" s="142">
        <v>734.88285490229691</v>
      </c>
      <c r="O151" s="142">
        <v>1083</v>
      </c>
      <c r="P151" s="179"/>
      <c r="Q151" s="176"/>
      <c r="T151" s="171">
        <f t="shared" si="7"/>
        <v>13289.872615149272</v>
      </c>
      <c r="U151" s="188"/>
      <c r="W151" s="190">
        <f>T151</f>
        <v>13289.872615149272</v>
      </c>
      <c r="X151" s="188"/>
    </row>
    <row r="152" spans="1:26" s="157" customFormat="1" x14ac:dyDescent="0.25">
      <c r="A152" s="461"/>
      <c r="B152" s="204" t="s">
        <v>326</v>
      </c>
      <c r="C152" s="599"/>
      <c r="D152" s="171">
        <v>45.750384500000003</v>
      </c>
      <c r="E152" s="1250">
        <v>83.257104499999997</v>
      </c>
      <c r="F152" s="156">
        <v>58.60425</v>
      </c>
      <c r="G152" s="156">
        <v>117.364778</v>
      </c>
      <c r="H152" s="156">
        <v>113.692245</v>
      </c>
      <c r="I152" s="171">
        <v>120.881033</v>
      </c>
      <c r="J152" s="171">
        <v>351.78360938281253</v>
      </c>
      <c r="K152" s="171">
        <v>313.16310340234378</v>
      </c>
      <c r="L152" s="171">
        <v>168.887681125</v>
      </c>
      <c r="M152" s="171">
        <v>125.4677923</v>
      </c>
      <c r="N152" s="171">
        <v>126.11634600000001</v>
      </c>
      <c r="O152" s="171">
        <v>37.350442000000001</v>
      </c>
      <c r="P152" s="125"/>
      <c r="Q152" s="1058"/>
      <c r="T152" s="171">
        <f t="shared" si="7"/>
        <v>1662.3187692101562</v>
      </c>
      <c r="U152" s="188"/>
      <c r="W152" s="190">
        <f>T152</f>
        <v>1662.3187692101562</v>
      </c>
      <c r="X152" s="188"/>
    </row>
    <row r="153" spans="1:26" s="157" customFormat="1" ht="16.5" x14ac:dyDescent="0.35">
      <c r="A153" s="461"/>
      <c r="B153" s="195" t="s">
        <v>398</v>
      </c>
      <c r="C153" s="599" t="s">
        <v>352</v>
      </c>
      <c r="D153" s="153"/>
      <c r="E153" s="1092"/>
      <c r="F153" s="198"/>
      <c r="G153" s="198"/>
      <c r="H153" s="198"/>
      <c r="I153" s="198"/>
      <c r="J153" s="198"/>
      <c r="K153" s="198"/>
      <c r="L153" s="198"/>
      <c r="M153" s="198"/>
      <c r="N153" s="198"/>
      <c r="O153" s="198"/>
      <c r="P153"/>
      <c r="Q153" s="446"/>
      <c r="T153" s="171">
        <f>SUM(G153:Q153)</f>
        <v>0</v>
      </c>
      <c r="U153" s="188"/>
      <c r="W153" s="197">
        <f>T153</f>
        <v>0</v>
      </c>
      <c r="X153" s="188"/>
    </row>
    <row r="154" spans="1:26" s="125" customFormat="1" x14ac:dyDescent="0.25">
      <c r="A154" s="461"/>
      <c r="C154" s="599"/>
      <c r="D154" s="157"/>
      <c r="E154" s="446"/>
      <c r="F154" s="600"/>
      <c r="G154" s="446"/>
      <c r="H154" s="446"/>
      <c r="I154" s="446"/>
      <c r="J154" s="446"/>
      <c r="K154" s="446"/>
      <c r="L154" s="446"/>
      <c r="M154" s="446"/>
      <c r="N154" s="446"/>
      <c r="O154" s="446"/>
      <c r="P154" s="446"/>
      <c r="Q154" s="194"/>
      <c r="R154" s="157"/>
      <c r="S154" s="157"/>
      <c r="T154" s="184"/>
      <c r="U154" s="199"/>
      <c r="V154" s="157"/>
      <c r="W154" s="190">
        <f>SUM(W151:W153)</f>
        <v>14952.191384359428</v>
      </c>
      <c r="X154" s="188"/>
      <c r="Y154" s="157"/>
      <c r="Z154" s="157"/>
    </row>
    <row r="155" spans="1:26" s="125" customFormat="1" x14ac:dyDescent="0.25">
      <c r="A155" s="461"/>
      <c r="C155" s="152"/>
      <c r="S155" s="126"/>
      <c r="U155" s="447"/>
      <c r="V155" s="126"/>
      <c r="Y155" s="157"/>
      <c r="Z155" s="157"/>
    </row>
    <row r="156" spans="1:26" s="125" customFormat="1" x14ac:dyDescent="0.25">
      <c r="A156" s="461">
        <v>16</v>
      </c>
      <c r="B156" s="148" t="s">
        <v>561</v>
      </c>
      <c r="C156" s="152"/>
      <c r="S156" s="126"/>
      <c r="T156" s="148" t="s">
        <v>561</v>
      </c>
      <c r="V156" s="126"/>
      <c r="Y156" s="157"/>
      <c r="Z156" s="157"/>
    </row>
    <row r="157" spans="1:26" s="125" customFormat="1" x14ac:dyDescent="0.25">
      <c r="A157" s="461"/>
      <c r="B157" s="130" t="s">
        <v>337</v>
      </c>
      <c r="C157" s="131">
        <v>42156</v>
      </c>
      <c r="D157" s="131">
        <v>42186</v>
      </c>
      <c r="E157" s="131">
        <v>42217</v>
      </c>
      <c r="F157" s="131">
        <v>42248</v>
      </c>
      <c r="G157" s="131">
        <v>42278</v>
      </c>
      <c r="H157" s="131">
        <v>42309</v>
      </c>
      <c r="I157" s="131">
        <v>42339</v>
      </c>
      <c r="J157" s="131">
        <v>42370</v>
      </c>
      <c r="K157" s="131">
        <v>42401</v>
      </c>
      <c r="L157" s="131">
        <v>42430</v>
      </c>
      <c r="M157" s="131">
        <v>42461</v>
      </c>
      <c r="N157" s="131">
        <v>42491</v>
      </c>
      <c r="O157" s="131">
        <v>42522</v>
      </c>
      <c r="P157" s="131">
        <v>42552</v>
      </c>
      <c r="Q157" s="151">
        <v>42583</v>
      </c>
      <c r="R157" s="131">
        <v>42627</v>
      </c>
      <c r="S157" s="132"/>
      <c r="T157" s="133" t="s">
        <v>338</v>
      </c>
      <c r="U157" s="134" t="s">
        <v>339</v>
      </c>
      <c r="V157" s="132"/>
      <c r="W157" s="133" t="s">
        <v>338</v>
      </c>
      <c r="X157" s="134" t="s">
        <v>339</v>
      </c>
      <c r="Y157" s="157"/>
      <c r="Z157" s="157"/>
    </row>
    <row r="158" spans="1:26" s="157" customFormat="1" x14ac:dyDescent="0.25">
      <c r="A158" s="461"/>
      <c r="B158" s="135" t="s">
        <v>319</v>
      </c>
      <c r="C158" s="599"/>
      <c r="D158" s="160">
        <v>17928</v>
      </c>
      <c r="E158" s="1247">
        <v>27420</v>
      </c>
      <c r="F158" s="136">
        <v>26490</v>
      </c>
      <c r="G158" s="136">
        <v>27592</v>
      </c>
      <c r="H158" s="136">
        <v>24206</v>
      </c>
      <c r="I158" s="136">
        <v>23917</v>
      </c>
      <c r="J158" s="136">
        <v>22057</v>
      </c>
      <c r="K158" s="136">
        <v>24845</v>
      </c>
      <c r="L158" s="136">
        <v>25664</v>
      </c>
      <c r="M158" s="136">
        <v>28515</v>
      </c>
      <c r="N158" s="136">
        <v>19449</v>
      </c>
      <c r="O158" s="136">
        <v>18617</v>
      </c>
      <c r="P158" s="456"/>
      <c r="Q158" s="174"/>
      <c r="T158" s="141">
        <f t="shared" ref="T158:T163" si="8">SUM(D158:O158)</f>
        <v>286700</v>
      </c>
      <c r="U158" s="188" t="s">
        <v>341</v>
      </c>
      <c r="W158" s="140">
        <f>T158*3413/1000000</f>
        <v>978.50710000000004</v>
      </c>
      <c r="X158" s="138" t="s">
        <v>342</v>
      </c>
    </row>
    <row r="159" spans="1:26" s="157" customFormat="1" x14ac:dyDescent="0.25">
      <c r="A159" s="461"/>
      <c r="B159" s="135" t="s">
        <v>320</v>
      </c>
      <c r="C159" s="599"/>
      <c r="D159" s="160">
        <v>6680</v>
      </c>
      <c r="E159" s="1247">
        <v>13000</v>
      </c>
      <c r="F159" s="137">
        <v>19100</v>
      </c>
      <c r="G159" s="137">
        <v>35130</v>
      </c>
      <c r="H159" s="137">
        <v>10000</v>
      </c>
      <c r="I159" s="136">
        <v>14470</v>
      </c>
      <c r="J159" s="136">
        <v>42376.29296875</v>
      </c>
      <c r="K159" s="136">
        <v>36995.619140625</v>
      </c>
      <c r="L159" s="136">
        <v>22197.1875</v>
      </c>
      <c r="M159" s="136">
        <v>51990</v>
      </c>
      <c r="N159" s="136">
        <v>8710</v>
      </c>
      <c r="O159" s="136">
        <v>7980</v>
      </c>
      <c r="P159" s="456"/>
      <c r="Q159" s="174"/>
      <c r="T159" s="141">
        <f t="shared" si="8"/>
        <v>268629.099609375</v>
      </c>
      <c r="U159" s="188" t="s">
        <v>344</v>
      </c>
      <c r="W159" s="160">
        <f>T159/1000</f>
        <v>268.62909960937498</v>
      </c>
      <c r="X159" s="138" t="s">
        <v>342</v>
      </c>
    </row>
    <row r="160" spans="1:26" s="157" customFormat="1" x14ac:dyDescent="0.25">
      <c r="A160" s="461"/>
      <c r="B160" s="192" t="s">
        <v>323</v>
      </c>
      <c r="C160" s="599"/>
      <c r="D160" s="160">
        <v>19231</v>
      </c>
      <c r="E160" s="1248">
        <v>21446</v>
      </c>
      <c r="F160" s="141">
        <v>20118</v>
      </c>
      <c r="G160" s="141">
        <v>14783</v>
      </c>
      <c r="H160" s="141">
        <v>11547</v>
      </c>
      <c r="I160" s="141">
        <v>9616</v>
      </c>
      <c r="J160" s="141">
        <v>5516</v>
      </c>
      <c r="K160" s="141">
        <v>6976</v>
      </c>
      <c r="L160" s="141">
        <v>12798</v>
      </c>
      <c r="M160" s="141">
        <v>12870</v>
      </c>
      <c r="N160" s="141">
        <v>12322</v>
      </c>
      <c r="O160" s="141">
        <v>16624</v>
      </c>
      <c r="P160" s="456"/>
      <c r="Q160" s="178"/>
      <c r="T160" s="141">
        <f t="shared" si="8"/>
        <v>163847</v>
      </c>
      <c r="U160" s="188" t="s">
        <v>397</v>
      </c>
      <c r="W160" s="160">
        <f>T160*0.012</f>
        <v>1966.164</v>
      </c>
      <c r="X160" s="138" t="s">
        <v>342</v>
      </c>
      <c r="Y160" s="495">
        <f>W158+W159+W160</f>
        <v>3213.3001996093753</v>
      </c>
      <c r="Z160" s="153" t="s">
        <v>677</v>
      </c>
    </row>
    <row r="161" spans="1:26" s="157" customFormat="1" x14ac:dyDescent="0.25">
      <c r="A161" s="461"/>
      <c r="B161" s="135" t="s">
        <v>345</v>
      </c>
      <c r="C161" s="599"/>
      <c r="D161" s="160">
        <v>13500</v>
      </c>
      <c r="E161" s="1248">
        <v>80300</v>
      </c>
      <c r="F161" s="141">
        <v>122000</v>
      </c>
      <c r="G161" s="141">
        <v>119200</v>
      </c>
      <c r="H161" s="141">
        <v>99400</v>
      </c>
      <c r="I161" s="141">
        <v>66000</v>
      </c>
      <c r="J161" s="141">
        <v>98100</v>
      </c>
      <c r="K161" s="141">
        <v>114700</v>
      </c>
      <c r="L161" s="141">
        <v>98500</v>
      </c>
      <c r="M161" s="141">
        <v>87300</v>
      </c>
      <c r="N161" s="141">
        <v>27800</v>
      </c>
      <c r="O161" s="141">
        <v>52000</v>
      </c>
      <c r="P161" s="176"/>
      <c r="Q161" s="178"/>
      <c r="T161" s="141">
        <f t="shared" si="8"/>
        <v>978800</v>
      </c>
      <c r="U161" s="188" t="s">
        <v>346</v>
      </c>
      <c r="W161" s="141">
        <f>T161</f>
        <v>978800</v>
      </c>
      <c r="X161" s="188" t="s">
        <v>346</v>
      </c>
    </row>
    <row r="162" spans="1:26" s="157" customFormat="1" x14ac:dyDescent="0.25">
      <c r="A162" s="461"/>
      <c r="B162" s="135" t="s">
        <v>324</v>
      </c>
      <c r="C162" s="599"/>
      <c r="D162" s="171">
        <v>1255.3984565217393</v>
      </c>
      <c r="E162" s="1249">
        <v>1948.9000108350306</v>
      </c>
      <c r="F162" s="142">
        <v>1822.8954464088397</v>
      </c>
      <c r="G162" s="142">
        <v>1756.8790959950172</v>
      </c>
      <c r="H162" s="142">
        <v>1541.2806392307693</v>
      </c>
      <c r="I162" s="142">
        <v>1407.1734622089948</v>
      </c>
      <c r="J162" s="142">
        <v>1308.5384856629996</v>
      </c>
      <c r="K162" s="142">
        <v>1467.2825486846691</v>
      </c>
      <c r="L162" s="142">
        <v>1533.9407037426899</v>
      </c>
      <c r="M162" s="142">
        <v>1655.7411844154765</v>
      </c>
      <c r="N162" s="142">
        <v>1157.3066109307508</v>
      </c>
      <c r="O162" s="142">
        <v>1214.6886048757378</v>
      </c>
      <c r="P162" s="179"/>
      <c r="Q162" s="176"/>
      <c r="T162" s="171">
        <f t="shared" si="8"/>
        <v>18070.025249512713</v>
      </c>
      <c r="U162" s="188"/>
      <c r="W162" s="190">
        <f>T162</f>
        <v>18070.025249512713</v>
      </c>
      <c r="X162" s="188"/>
    </row>
    <row r="163" spans="1:26" s="157" customFormat="1" x14ac:dyDescent="0.25">
      <c r="A163" s="461"/>
      <c r="B163" s="204" t="s">
        <v>326</v>
      </c>
      <c r="C163" s="599"/>
      <c r="D163" s="171">
        <v>52.196852</v>
      </c>
      <c r="E163" s="1250">
        <v>101.58070000000001</v>
      </c>
      <c r="F163" s="156">
        <v>149.24549000000002</v>
      </c>
      <c r="G163" s="156">
        <v>274.50230700000003</v>
      </c>
      <c r="H163" s="156">
        <v>78.13900000000001</v>
      </c>
      <c r="I163" s="171">
        <v>113.067133</v>
      </c>
      <c r="J163" s="171">
        <v>331.12411562851565</v>
      </c>
      <c r="K163" s="171">
        <v>289.08006840292973</v>
      </c>
      <c r="L163" s="171">
        <v>173.44660340625001</v>
      </c>
      <c r="M163" s="171">
        <v>406.24466100000001</v>
      </c>
      <c r="N163" s="171">
        <v>68.059069000000008</v>
      </c>
      <c r="O163" s="171">
        <v>62.354922000000002</v>
      </c>
      <c r="P163" s="125"/>
      <c r="Q163" s="1058"/>
      <c r="T163" s="171">
        <f t="shared" si="8"/>
        <v>2099.0409214376955</v>
      </c>
      <c r="U163" s="188"/>
      <c r="W163" s="190">
        <f>T163</f>
        <v>2099.0409214376955</v>
      </c>
      <c r="X163" s="188"/>
    </row>
    <row r="164" spans="1:26" s="157" customFormat="1" ht="16.5" x14ac:dyDescent="0.35">
      <c r="A164" s="461"/>
      <c r="B164" s="195" t="s">
        <v>398</v>
      </c>
      <c r="C164" s="599" t="s">
        <v>352</v>
      </c>
      <c r="D164" s="153"/>
      <c r="E164" s="1092"/>
      <c r="F164" s="198"/>
      <c r="G164" s="198"/>
      <c r="H164" s="198"/>
      <c r="I164" s="198"/>
      <c r="J164" s="198"/>
      <c r="K164" s="198"/>
      <c r="L164" s="198"/>
      <c r="M164" s="198"/>
      <c r="N164" s="198"/>
      <c r="O164" s="198"/>
      <c r="P164"/>
      <c r="Q164" s="446"/>
      <c r="T164" s="171">
        <f>SUM(G164:Q164)</f>
        <v>0</v>
      </c>
      <c r="U164" s="188"/>
      <c r="W164" s="197">
        <f>T164</f>
        <v>0</v>
      </c>
      <c r="X164" s="188"/>
    </row>
    <row r="165" spans="1:26" s="125" customFormat="1" x14ac:dyDescent="0.25">
      <c r="A165" s="461"/>
      <c r="C165" s="599"/>
      <c r="D165" s="157"/>
      <c r="E165" s="446"/>
      <c r="F165" s="600"/>
      <c r="G165" s="446"/>
      <c r="H165" s="446"/>
      <c r="I165" s="446"/>
      <c r="J165" s="446"/>
      <c r="K165" s="446"/>
      <c r="L165" s="446"/>
      <c r="M165" s="446"/>
      <c r="N165" s="446"/>
      <c r="O165" s="446"/>
      <c r="P165" s="446"/>
      <c r="Q165" s="194"/>
      <c r="R165" s="157"/>
      <c r="S165" s="157"/>
      <c r="T165" s="184"/>
      <c r="U165" s="199"/>
      <c r="V165" s="157"/>
      <c r="W165" s="190">
        <f>SUM(W162:W164)</f>
        <v>20169.066170950409</v>
      </c>
      <c r="X165" s="188"/>
      <c r="Y165" s="157"/>
      <c r="Z165" s="157"/>
    </row>
    <row r="166" spans="1:26" s="125" customFormat="1" x14ac:dyDescent="0.25">
      <c r="A166" s="461"/>
      <c r="C166" s="152"/>
      <c r="S166" s="126"/>
      <c r="U166" s="447"/>
      <c r="V166" s="126"/>
      <c r="Y166" s="157"/>
      <c r="Z166" s="157"/>
    </row>
    <row r="167" spans="1:26" s="125" customFormat="1" x14ac:dyDescent="0.25">
      <c r="A167" s="461">
        <v>17</v>
      </c>
      <c r="B167" s="148" t="s">
        <v>562</v>
      </c>
      <c r="C167" s="152"/>
      <c r="S167" s="126"/>
      <c r="T167" s="148" t="s">
        <v>562</v>
      </c>
      <c r="V167" s="126"/>
      <c r="Y167" s="157"/>
      <c r="Z167" s="157"/>
    </row>
    <row r="168" spans="1:26" s="125" customFormat="1" x14ac:dyDescent="0.25">
      <c r="A168" s="461"/>
      <c r="B168" s="130" t="s">
        <v>337</v>
      </c>
      <c r="C168" s="131">
        <v>42156</v>
      </c>
      <c r="D168" s="131">
        <v>42186</v>
      </c>
      <c r="E168" s="131">
        <v>42217</v>
      </c>
      <c r="F168" s="131">
        <v>42248</v>
      </c>
      <c r="G168" s="131">
        <v>42278</v>
      </c>
      <c r="H168" s="131">
        <v>42309</v>
      </c>
      <c r="I168" s="131">
        <v>42339</v>
      </c>
      <c r="J168" s="131">
        <v>42370</v>
      </c>
      <c r="K168" s="131">
        <v>42401</v>
      </c>
      <c r="L168" s="131">
        <v>42430</v>
      </c>
      <c r="M168" s="131">
        <v>42461</v>
      </c>
      <c r="N168" s="131">
        <v>42491</v>
      </c>
      <c r="O168" s="131">
        <v>42522</v>
      </c>
      <c r="P168" s="131">
        <v>42552</v>
      </c>
      <c r="Q168" s="151">
        <v>42583</v>
      </c>
      <c r="R168" s="131">
        <v>42627</v>
      </c>
      <c r="S168" s="132"/>
      <c r="T168" s="133" t="s">
        <v>338</v>
      </c>
      <c r="U168" s="134" t="s">
        <v>339</v>
      </c>
      <c r="V168" s="132"/>
      <c r="W168" s="133" t="s">
        <v>338</v>
      </c>
      <c r="X168" s="134" t="s">
        <v>339</v>
      </c>
      <c r="Y168" s="157"/>
      <c r="Z168" s="157"/>
    </row>
    <row r="169" spans="1:26" s="157" customFormat="1" x14ac:dyDescent="0.25">
      <c r="A169" s="461"/>
      <c r="B169" s="135" t="s">
        <v>319</v>
      </c>
      <c r="C169" s="599"/>
      <c r="D169" s="160">
        <v>17881</v>
      </c>
      <c r="E169" s="1247">
        <v>25823</v>
      </c>
      <c r="F169" s="136">
        <v>25262</v>
      </c>
      <c r="G169" s="136">
        <v>27592</v>
      </c>
      <c r="H169" s="136">
        <v>22992</v>
      </c>
      <c r="I169" s="136">
        <v>23272</v>
      </c>
      <c r="J169" s="136">
        <v>21878</v>
      </c>
      <c r="K169" s="136">
        <v>22370</v>
      </c>
      <c r="L169" s="136">
        <v>24352</v>
      </c>
      <c r="M169" s="136">
        <v>24196</v>
      </c>
      <c r="N169" s="136">
        <v>19926</v>
      </c>
      <c r="O169" s="136">
        <v>18382</v>
      </c>
      <c r="P169" s="456"/>
      <c r="Q169" s="174"/>
      <c r="T169" s="141">
        <f t="shared" ref="T169:T174" si="9">SUM(D169:O169)</f>
        <v>273926</v>
      </c>
      <c r="U169" s="188" t="s">
        <v>341</v>
      </c>
      <c r="W169" s="140">
        <f>T169*3413/1000000</f>
        <v>934.90943800000002</v>
      </c>
      <c r="X169" s="138" t="s">
        <v>342</v>
      </c>
    </row>
    <row r="170" spans="1:26" s="157" customFormat="1" x14ac:dyDescent="0.25">
      <c r="A170" s="461"/>
      <c r="B170" s="135" t="s">
        <v>320</v>
      </c>
      <c r="C170" s="599"/>
      <c r="D170" s="160">
        <v>2990</v>
      </c>
      <c r="E170" s="1247">
        <v>7420</v>
      </c>
      <c r="F170" s="137">
        <v>11540</v>
      </c>
      <c r="G170" s="137">
        <v>13660</v>
      </c>
      <c r="H170" s="137">
        <v>17000</v>
      </c>
      <c r="I170" s="136">
        <v>19470</v>
      </c>
      <c r="J170" s="136">
        <v>55596</v>
      </c>
      <c r="K170" s="136">
        <v>52406</v>
      </c>
      <c r="L170" s="136">
        <v>19280</v>
      </c>
      <c r="M170" s="136">
        <v>17918</v>
      </c>
      <c r="N170" s="136">
        <v>5670</v>
      </c>
      <c r="O170" s="136">
        <v>5140</v>
      </c>
      <c r="P170" s="456"/>
      <c r="Q170" s="1246"/>
      <c r="T170" s="141">
        <f t="shared" si="9"/>
        <v>228090</v>
      </c>
      <c r="U170" s="188" t="s">
        <v>344</v>
      </c>
      <c r="W170" s="160">
        <f>T170/1000</f>
        <v>228.09</v>
      </c>
      <c r="X170" s="138" t="s">
        <v>342</v>
      </c>
    </row>
    <row r="171" spans="1:26" s="157" customFormat="1" x14ac:dyDescent="0.25">
      <c r="A171" s="461"/>
      <c r="B171" s="192" t="s">
        <v>323</v>
      </c>
      <c r="C171" s="599"/>
      <c r="D171" s="160">
        <v>18910</v>
      </c>
      <c r="E171" s="1248">
        <v>21330</v>
      </c>
      <c r="F171" s="141">
        <v>21444</v>
      </c>
      <c r="G171" s="141">
        <v>13159</v>
      </c>
      <c r="H171" s="141">
        <v>9189</v>
      </c>
      <c r="I171" s="141">
        <v>8344</v>
      </c>
      <c r="J171" s="141">
        <v>3436</v>
      </c>
      <c r="K171" s="141">
        <v>4313</v>
      </c>
      <c r="L171" s="141">
        <v>10606</v>
      </c>
      <c r="M171" s="141">
        <v>11178</v>
      </c>
      <c r="N171" s="141">
        <v>13308</v>
      </c>
      <c r="O171" s="141">
        <v>19159</v>
      </c>
      <c r="P171" s="456"/>
      <c r="Q171" s="178"/>
      <c r="T171" s="141">
        <f t="shared" si="9"/>
        <v>154376</v>
      </c>
      <c r="U171" s="188" t="s">
        <v>397</v>
      </c>
      <c r="W171" s="193">
        <f>T171*0.012</f>
        <v>1852.5119999999999</v>
      </c>
      <c r="X171" s="138" t="s">
        <v>342</v>
      </c>
      <c r="Y171" s="495">
        <f>W169+W170+W171</f>
        <v>3015.511438</v>
      </c>
      <c r="Z171" s="153" t="s">
        <v>677</v>
      </c>
    </row>
    <row r="172" spans="1:26" s="157" customFormat="1" x14ac:dyDescent="0.25">
      <c r="A172" s="461"/>
      <c r="B172" s="135" t="s">
        <v>345</v>
      </c>
      <c r="C172" s="599"/>
      <c r="D172" s="160">
        <v>9500</v>
      </c>
      <c r="E172" s="1248">
        <v>64700</v>
      </c>
      <c r="F172" s="141">
        <v>87500</v>
      </c>
      <c r="G172" s="141">
        <v>100100</v>
      </c>
      <c r="H172" s="141">
        <v>75300</v>
      </c>
      <c r="I172" s="141">
        <v>41800</v>
      </c>
      <c r="J172" s="141">
        <v>78400</v>
      </c>
      <c r="K172" s="141">
        <v>89900</v>
      </c>
      <c r="L172" s="141">
        <v>70300</v>
      </c>
      <c r="M172" s="141">
        <v>75800</v>
      </c>
      <c r="N172" s="141">
        <v>23400</v>
      </c>
      <c r="O172" s="141">
        <v>39600</v>
      </c>
      <c r="P172" s="176"/>
      <c r="Q172" s="178"/>
      <c r="T172" s="141">
        <f t="shared" si="9"/>
        <v>756300</v>
      </c>
      <c r="U172" s="188" t="s">
        <v>346</v>
      </c>
      <c r="W172" s="141">
        <f>T172</f>
        <v>756300</v>
      </c>
      <c r="X172" s="188" t="s">
        <v>346</v>
      </c>
    </row>
    <row r="173" spans="1:26" s="157" customFormat="1" x14ac:dyDescent="0.25">
      <c r="A173" s="461"/>
      <c r="B173" s="135" t="s">
        <v>324</v>
      </c>
      <c r="C173" s="599"/>
      <c r="D173" s="171">
        <v>1252.1073070652176</v>
      </c>
      <c r="E173" s="1249">
        <v>1835.3918665132383</v>
      </c>
      <c r="F173" s="142">
        <v>1738.3912709392264</v>
      </c>
      <c r="G173" s="142">
        <v>1756.8790959950172</v>
      </c>
      <c r="H173" s="142">
        <v>1463.9810153347869</v>
      </c>
      <c r="I173" s="142">
        <v>1369.2244350264552</v>
      </c>
      <c r="J173" s="142">
        <v>1297.9192541748698</v>
      </c>
      <c r="K173" s="142">
        <v>1321.1153396689897</v>
      </c>
      <c r="L173" s="142">
        <v>1455.5222887134503</v>
      </c>
      <c r="M173" s="142">
        <v>1404.9557670740617</v>
      </c>
      <c r="N173" s="142">
        <v>1185.6903454885157</v>
      </c>
      <c r="O173" s="142">
        <v>1199.3557466200684</v>
      </c>
      <c r="P173" s="179"/>
      <c r="Q173" s="176"/>
      <c r="T173" s="171">
        <f t="shared" si="9"/>
        <v>17280.533732613894</v>
      </c>
      <c r="U173" s="188"/>
      <c r="W173" s="190">
        <f>T173</f>
        <v>17280.533732613894</v>
      </c>
      <c r="X173" s="188"/>
    </row>
    <row r="174" spans="1:26" s="157" customFormat="1" x14ac:dyDescent="0.25">
      <c r="A174" s="461"/>
      <c r="B174" s="204" t="s">
        <v>326</v>
      </c>
      <c r="C174" s="599"/>
      <c r="D174" s="171">
        <v>23.363561000000001</v>
      </c>
      <c r="E174" s="1250">
        <v>57.979138000000006</v>
      </c>
      <c r="F174" s="156">
        <v>90.172406000000009</v>
      </c>
      <c r="G174" s="156">
        <v>106.73787400000001</v>
      </c>
      <c r="H174" s="156">
        <v>132.83629999999999</v>
      </c>
      <c r="I174" s="171">
        <v>152.13663300000002</v>
      </c>
      <c r="J174" s="171">
        <v>434.42158440000003</v>
      </c>
      <c r="K174" s="171">
        <v>409.49524339999999</v>
      </c>
      <c r="L174" s="171">
        <v>150.65199200000001</v>
      </c>
      <c r="M174" s="171">
        <v>140.00946020000001</v>
      </c>
      <c r="N174" s="171">
        <v>44.304813000000003</v>
      </c>
      <c r="O174" s="171">
        <v>40.163446</v>
      </c>
      <c r="P174" s="125"/>
      <c r="Q174" s="1058"/>
      <c r="T174" s="171">
        <f t="shared" si="9"/>
        <v>1782.272451</v>
      </c>
      <c r="U174" s="188"/>
      <c r="W174" s="190">
        <f>T174</f>
        <v>1782.272451</v>
      </c>
      <c r="X174" s="188"/>
    </row>
    <row r="175" spans="1:26" s="157" customFormat="1" ht="16.5" x14ac:dyDescent="0.35">
      <c r="A175" s="461"/>
      <c r="B175" s="195" t="s">
        <v>398</v>
      </c>
      <c r="C175" s="599" t="s">
        <v>352</v>
      </c>
      <c r="D175" s="153"/>
      <c r="E175" s="1092"/>
      <c r="F175" s="198"/>
      <c r="G175" s="198"/>
      <c r="H175" s="198"/>
      <c r="I175" s="198"/>
      <c r="J175" s="198"/>
      <c r="K175" s="198"/>
      <c r="L175" s="198"/>
      <c r="M175" s="198"/>
      <c r="N175" s="198"/>
      <c r="O175" s="198"/>
      <c r="P175"/>
      <c r="Q175" s="446"/>
      <c r="T175" s="171">
        <f>SUM(E175:P175)</f>
        <v>0</v>
      </c>
      <c r="U175" s="188"/>
      <c r="W175" s="197">
        <f>T175</f>
        <v>0</v>
      </c>
      <c r="X175" s="188"/>
    </row>
    <row r="176" spans="1:26" s="125" customFormat="1" x14ac:dyDescent="0.25">
      <c r="A176" s="461"/>
      <c r="B176" s="205"/>
      <c r="C176" s="599"/>
      <c r="D176" s="157"/>
      <c r="E176" s="446"/>
      <c r="F176" s="600"/>
      <c r="G176" s="446"/>
      <c r="H176" s="446"/>
      <c r="I176" s="446"/>
      <c r="J176" s="446"/>
      <c r="K176" s="446"/>
      <c r="L176" s="446"/>
      <c r="M176" s="446"/>
      <c r="N176" s="446"/>
      <c r="O176" s="446"/>
      <c r="P176" s="446"/>
      <c r="Q176" s="194"/>
      <c r="R176" s="157"/>
      <c r="S176" s="157"/>
      <c r="T176" s="184"/>
      <c r="U176" s="199"/>
      <c r="V176" s="157"/>
      <c r="W176" s="190">
        <f>SUM(W173:W175)</f>
        <v>19062.806183613895</v>
      </c>
      <c r="X176" s="188"/>
      <c r="Y176" s="157"/>
      <c r="Z176" s="157"/>
    </row>
    <row r="177" spans="1:26" s="125" customFormat="1" x14ac:dyDescent="0.25">
      <c r="A177" s="461"/>
      <c r="B177" s="205"/>
      <c r="C177" s="152"/>
      <c r="E177" s="201"/>
      <c r="F177" s="202"/>
      <c r="G177" s="202"/>
      <c r="H177" s="203"/>
      <c r="I177" s="203"/>
      <c r="J177" s="203"/>
      <c r="K177" s="203"/>
      <c r="L177" s="203"/>
      <c r="M177" s="203"/>
      <c r="N177" s="203"/>
      <c r="O177" s="203"/>
      <c r="P177" s="203"/>
      <c r="S177" s="126"/>
      <c r="U177" s="447"/>
      <c r="V177" s="126"/>
      <c r="Y177" s="157"/>
      <c r="Z177" s="157"/>
    </row>
    <row r="178" spans="1:26" s="125" customFormat="1" x14ac:dyDescent="0.25">
      <c r="A178" s="461">
        <v>18</v>
      </c>
      <c r="B178" s="148" t="s">
        <v>563</v>
      </c>
      <c r="C178" s="152"/>
      <c r="E178" s="157"/>
      <c r="F178" s="157"/>
      <c r="G178" s="157"/>
      <c r="H178" s="157"/>
      <c r="I178" s="157"/>
      <c r="J178" s="157"/>
      <c r="K178" s="157"/>
      <c r="L178" s="157"/>
      <c r="M178" s="157"/>
      <c r="N178" s="157"/>
      <c r="O178" s="157"/>
      <c r="P178" s="157"/>
      <c r="S178" s="126"/>
      <c r="T178" s="148" t="s">
        <v>563</v>
      </c>
      <c r="V178" s="126"/>
      <c r="Y178" s="157"/>
      <c r="Z178" s="157"/>
    </row>
    <row r="179" spans="1:26" s="125" customFormat="1" x14ac:dyDescent="0.25">
      <c r="A179" s="461"/>
      <c r="B179" s="130" t="s">
        <v>337</v>
      </c>
      <c r="C179" s="131">
        <v>42156</v>
      </c>
      <c r="D179" s="131">
        <v>42186</v>
      </c>
      <c r="E179" s="131">
        <v>42217</v>
      </c>
      <c r="F179" s="131">
        <v>42248</v>
      </c>
      <c r="G179" s="131">
        <v>42278</v>
      </c>
      <c r="H179" s="131">
        <v>42309</v>
      </c>
      <c r="I179" s="131">
        <v>42339</v>
      </c>
      <c r="J179" s="131">
        <v>42370</v>
      </c>
      <c r="K179" s="131">
        <v>42401</v>
      </c>
      <c r="L179" s="131">
        <v>42430</v>
      </c>
      <c r="M179" s="131">
        <v>42461</v>
      </c>
      <c r="N179" s="131">
        <v>42491</v>
      </c>
      <c r="O179" s="131">
        <v>42522</v>
      </c>
      <c r="P179" s="131">
        <v>42552</v>
      </c>
      <c r="Q179" s="151">
        <v>42583</v>
      </c>
      <c r="R179" s="131">
        <v>42627</v>
      </c>
      <c r="S179" s="132"/>
      <c r="T179" s="133" t="s">
        <v>338</v>
      </c>
      <c r="U179" s="134" t="s">
        <v>339</v>
      </c>
      <c r="V179" s="132"/>
      <c r="W179" s="133" t="s">
        <v>338</v>
      </c>
      <c r="X179" s="134" t="s">
        <v>339</v>
      </c>
      <c r="Y179" s="157"/>
      <c r="Z179" s="157"/>
    </row>
    <row r="180" spans="1:26" s="157" customFormat="1" x14ac:dyDescent="0.25">
      <c r="A180" s="461"/>
      <c r="B180" s="135" t="s">
        <v>319</v>
      </c>
      <c r="C180" s="599"/>
      <c r="D180" s="160">
        <v>20706</v>
      </c>
      <c r="E180" s="1247">
        <v>31693</v>
      </c>
      <c r="F180" s="136">
        <v>32266</v>
      </c>
      <c r="G180" s="136">
        <v>32710</v>
      </c>
      <c r="H180" s="136">
        <v>29305</v>
      </c>
      <c r="I180" s="136">
        <v>29247</v>
      </c>
      <c r="J180" s="136">
        <v>27937</v>
      </c>
      <c r="K180" s="136">
        <v>29569</v>
      </c>
      <c r="L180" s="136">
        <v>30145</v>
      </c>
      <c r="M180" s="136">
        <v>30013</v>
      </c>
      <c r="N180" s="136">
        <v>23424</v>
      </c>
      <c r="O180" s="136">
        <v>23243</v>
      </c>
      <c r="P180" s="456"/>
      <c r="Q180" s="174"/>
      <c r="T180" s="141">
        <f t="shared" ref="T180:T187" si="10">SUM(D180:O180)</f>
        <v>340258</v>
      </c>
      <c r="U180" s="188" t="s">
        <v>341</v>
      </c>
      <c r="W180" s="140">
        <f>T180*3413/1000000</f>
        <v>1161.3005539999999</v>
      </c>
      <c r="X180" s="138" t="s">
        <v>342</v>
      </c>
    </row>
    <row r="181" spans="1:26" s="157" customFormat="1" x14ac:dyDescent="0.25">
      <c r="A181" s="461"/>
      <c r="B181" s="135" t="s">
        <v>1439</v>
      </c>
      <c r="C181" s="599"/>
      <c r="D181" s="160">
        <v>2583</v>
      </c>
      <c r="E181" s="1247">
        <v>2923</v>
      </c>
      <c r="F181" s="136">
        <v>3112</v>
      </c>
      <c r="G181" s="136">
        <v>3510</v>
      </c>
      <c r="H181" s="136">
        <v>3735</v>
      </c>
      <c r="I181" s="136">
        <v>3915</v>
      </c>
      <c r="J181" s="136">
        <v>3851</v>
      </c>
      <c r="K181" s="136">
        <v>3311</v>
      </c>
      <c r="L181" s="136">
        <v>3715</v>
      </c>
      <c r="M181" s="136">
        <v>3107</v>
      </c>
      <c r="N181" s="136">
        <v>2948</v>
      </c>
      <c r="O181" s="136">
        <v>2670</v>
      </c>
      <c r="P181" s="456"/>
      <c r="Q181" s="174"/>
      <c r="T181" s="141">
        <f t="shared" si="10"/>
        <v>39380</v>
      </c>
      <c r="U181" s="188" t="s">
        <v>341</v>
      </c>
      <c r="W181" s="140">
        <f>T181*3413/1000000</f>
        <v>134.40394000000001</v>
      </c>
      <c r="X181" s="138" t="s">
        <v>342</v>
      </c>
    </row>
    <row r="182" spans="1:26" s="157" customFormat="1" x14ac:dyDescent="0.25">
      <c r="A182" s="461"/>
      <c r="B182" s="135" t="s">
        <v>320</v>
      </c>
      <c r="C182" s="599"/>
      <c r="D182" s="160">
        <v>4390</v>
      </c>
      <c r="E182" s="1247">
        <v>11340</v>
      </c>
      <c r="F182" s="137">
        <v>16340</v>
      </c>
      <c r="G182" s="137">
        <v>19400</v>
      </c>
      <c r="H182" s="137">
        <v>20070</v>
      </c>
      <c r="I182" s="136">
        <v>11480</v>
      </c>
      <c r="J182" s="136">
        <v>35100</v>
      </c>
      <c r="K182" s="136">
        <v>33730</v>
      </c>
      <c r="L182" s="136">
        <v>21480</v>
      </c>
      <c r="M182" s="136">
        <v>21780</v>
      </c>
      <c r="N182" s="136">
        <v>6750</v>
      </c>
      <c r="O182" s="136">
        <v>7200</v>
      </c>
      <c r="P182" s="456"/>
      <c r="Q182" s="174"/>
      <c r="T182" s="141">
        <f t="shared" si="10"/>
        <v>209060</v>
      </c>
      <c r="U182" s="188" t="s">
        <v>344</v>
      </c>
      <c r="W182" s="160">
        <f>T182/1000</f>
        <v>209.06</v>
      </c>
      <c r="X182" s="138" t="s">
        <v>342</v>
      </c>
    </row>
    <row r="183" spans="1:26" s="157" customFormat="1" x14ac:dyDescent="0.25">
      <c r="A183" s="461"/>
      <c r="B183" s="192" t="s">
        <v>323</v>
      </c>
      <c r="C183" s="599"/>
      <c r="D183" s="160">
        <v>18284</v>
      </c>
      <c r="E183" s="1248">
        <v>22007</v>
      </c>
      <c r="F183" s="141">
        <v>21871</v>
      </c>
      <c r="G183" s="141">
        <v>12915</v>
      </c>
      <c r="H183" s="141">
        <v>10214</v>
      </c>
      <c r="I183" s="141">
        <v>7974</v>
      </c>
      <c r="J183" s="141">
        <v>4325</v>
      </c>
      <c r="K183" s="141">
        <v>5323</v>
      </c>
      <c r="L183" s="141">
        <v>10817</v>
      </c>
      <c r="M183" s="141">
        <v>11584</v>
      </c>
      <c r="N183" s="141">
        <v>12586</v>
      </c>
      <c r="O183" s="141">
        <v>19547</v>
      </c>
      <c r="P183" s="456"/>
      <c r="Q183" s="178"/>
      <c r="T183" s="141">
        <f t="shared" si="10"/>
        <v>157447</v>
      </c>
      <c r="U183" s="188" t="s">
        <v>397</v>
      </c>
      <c r="W183" s="160">
        <f>T183*0.012</f>
        <v>1889.364</v>
      </c>
      <c r="X183" s="138" t="s">
        <v>342</v>
      </c>
      <c r="Y183" s="495">
        <f>W180-W181+W182+W183</f>
        <v>3125.3206140000002</v>
      </c>
      <c r="Z183" s="153" t="s">
        <v>677</v>
      </c>
    </row>
    <row r="184" spans="1:26" s="157" customFormat="1" x14ac:dyDescent="0.25">
      <c r="A184" s="461"/>
      <c r="B184" s="135" t="s">
        <v>345</v>
      </c>
      <c r="C184" s="599"/>
      <c r="D184" s="160">
        <v>4400</v>
      </c>
      <c r="E184" s="1248">
        <v>54200</v>
      </c>
      <c r="F184" s="137">
        <v>73200</v>
      </c>
      <c r="G184" s="141">
        <v>76200</v>
      </c>
      <c r="H184" s="141">
        <v>70400</v>
      </c>
      <c r="I184" s="141">
        <v>33200</v>
      </c>
      <c r="J184" s="141">
        <v>74500</v>
      </c>
      <c r="K184" s="141">
        <v>83800</v>
      </c>
      <c r="L184" s="141">
        <v>71000</v>
      </c>
      <c r="M184" s="141">
        <v>76300</v>
      </c>
      <c r="N184" s="141">
        <v>18800</v>
      </c>
      <c r="O184" s="141">
        <v>23800</v>
      </c>
      <c r="P184" s="176"/>
      <c r="Q184" s="178"/>
      <c r="T184" s="141">
        <f t="shared" si="10"/>
        <v>659800</v>
      </c>
      <c r="U184" s="188" t="s">
        <v>346</v>
      </c>
      <c r="W184" s="141">
        <f>T184</f>
        <v>659800</v>
      </c>
      <c r="X184" s="188" t="s">
        <v>346</v>
      </c>
    </row>
    <row r="185" spans="1:26" s="157" customFormat="1" x14ac:dyDescent="0.25">
      <c r="A185" s="461"/>
      <c r="B185" s="135" t="s">
        <v>324</v>
      </c>
      <c r="C185" s="599"/>
      <c r="D185" s="171">
        <v>1449.9263967391305</v>
      </c>
      <c r="E185" s="1249">
        <v>2252.6071496496943</v>
      </c>
      <c r="F185" s="142">
        <v>2220.3678548066296</v>
      </c>
      <c r="G185" s="142">
        <v>2082.7600474774217</v>
      </c>
      <c r="H185" s="142">
        <v>1865.9517942930552</v>
      </c>
      <c r="I185" s="142">
        <v>1720.7677488492066</v>
      </c>
      <c r="J185" s="142">
        <v>1657.3713412507241</v>
      </c>
      <c r="K185" s="142">
        <v>1746.2699811655052</v>
      </c>
      <c r="L185" s="142">
        <v>1801.7706715369152</v>
      </c>
      <c r="M185" s="142">
        <v>1742.7234847575555</v>
      </c>
      <c r="N185" s="142">
        <v>1393.8377322454578</v>
      </c>
      <c r="O185" s="142">
        <v>1516.5175507937249</v>
      </c>
      <c r="P185" s="179"/>
      <c r="Q185" s="176"/>
      <c r="T185" s="1643">
        <f t="shared" si="10"/>
        <v>21450.871753565021</v>
      </c>
      <c r="U185" s="188"/>
      <c r="W185" s="190">
        <f>T185</f>
        <v>21450.871753565021</v>
      </c>
      <c r="X185" s="188"/>
    </row>
    <row r="186" spans="1:26" s="157" customFormat="1" x14ac:dyDescent="0.25">
      <c r="A186" s="461"/>
      <c r="B186" s="204" t="s">
        <v>326</v>
      </c>
      <c r="C186" s="599"/>
      <c r="D186" s="171">
        <v>34.303021000000001</v>
      </c>
      <c r="E186" s="1250">
        <v>88.609626000000006</v>
      </c>
      <c r="F186" s="156">
        <v>127.67912600000001</v>
      </c>
      <c r="G186" s="156">
        <v>151.58966000000001</v>
      </c>
      <c r="H186" s="156">
        <v>156.824973</v>
      </c>
      <c r="I186" s="171">
        <v>89.703572000000008</v>
      </c>
      <c r="J186" s="171">
        <v>274.26789000000002</v>
      </c>
      <c r="K186" s="171">
        <v>263.56284700000003</v>
      </c>
      <c r="L186" s="171">
        <v>167.84257200000002</v>
      </c>
      <c r="M186" s="171">
        <v>170.18674200000001</v>
      </c>
      <c r="N186" s="171">
        <v>52.743825000000001</v>
      </c>
      <c r="O186" s="171">
        <v>56.260080000000002</v>
      </c>
      <c r="P186" s="125"/>
      <c r="Q186" s="1058"/>
      <c r="T186" s="1643">
        <f t="shared" si="10"/>
        <v>1633.5739340000002</v>
      </c>
      <c r="U186" s="188"/>
      <c r="W186" s="190">
        <f>T186</f>
        <v>1633.5739340000002</v>
      </c>
      <c r="X186" s="188"/>
    </row>
    <row r="187" spans="1:26" s="157" customFormat="1" ht="16.5" x14ac:dyDescent="0.35">
      <c r="A187" s="461"/>
      <c r="B187" s="195" t="s">
        <v>398</v>
      </c>
      <c r="C187" s="599" t="s">
        <v>352</v>
      </c>
      <c r="D187" s="171"/>
      <c r="E187" s="198"/>
      <c r="F187" s="198"/>
      <c r="G187" s="198"/>
      <c r="H187" s="198"/>
      <c r="I187" s="198"/>
      <c r="J187" s="198"/>
      <c r="K187" s="198"/>
      <c r="L187" s="198"/>
      <c r="M187" s="198"/>
      <c r="N187" s="198"/>
      <c r="O187" s="198"/>
      <c r="P187"/>
      <c r="Q187" s="446"/>
      <c r="T187" s="1643">
        <f t="shared" si="10"/>
        <v>0</v>
      </c>
      <c r="U187" s="188"/>
      <c r="W187" s="197">
        <f>T187</f>
        <v>0</v>
      </c>
      <c r="X187" s="188"/>
    </row>
    <row r="188" spans="1:26" s="125" customFormat="1" x14ac:dyDescent="0.25">
      <c r="A188" s="461"/>
      <c r="B188" s="205"/>
      <c r="C188" s="599"/>
      <c r="D188" s="157"/>
      <c r="E188" s="446"/>
      <c r="F188" s="600"/>
      <c r="G188" s="446"/>
      <c r="H188" s="446"/>
      <c r="I188" s="446"/>
      <c r="J188" s="446"/>
      <c r="K188" s="446"/>
      <c r="L188" s="446"/>
      <c r="M188" s="446"/>
      <c r="N188" s="446"/>
      <c r="O188" s="446"/>
      <c r="P188" s="446"/>
      <c r="Q188" s="194"/>
      <c r="R188" s="157"/>
      <c r="S188" s="157"/>
      <c r="T188" s="184"/>
      <c r="U188" s="199"/>
      <c r="V188" s="157"/>
      <c r="W188" s="190">
        <f>SUM(W185:W187)</f>
        <v>23084.445687565021</v>
      </c>
      <c r="X188" s="188"/>
      <c r="Y188" s="157"/>
      <c r="Z188" s="157"/>
    </row>
    <row r="189" spans="1:26" s="125" customFormat="1" x14ac:dyDescent="0.25">
      <c r="A189" s="461"/>
      <c r="B189" s="205"/>
      <c r="C189" s="152"/>
      <c r="E189" s="201"/>
      <c r="F189" s="206"/>
      <c r="G189" s="202"/>
      <c r="H189" s="203"/>
      <c r="I189" s="203"/>
      <c r="J189" s="203"/>
      <c r="K189" s="203"/>
      <c r="L189" s="203"/>
      <c r="M189" s="203"/>
      <c r="N189" s="203"/>
      <c r="O189" s="203"/>
      <c r="P189" s="203"/>
      <c r="S189" s="126"/>
      <c r="U189" s="447"/>
      <c r="V189" s="126"/>
      <c r="Y189" s="157"/>
      <c r="Z189" s="157"/>
    </row>
    <row r="190" spans="1:26" s="125" customFormat="1" x14ac:dyDescent="0.25">
      <c r="A190" s="461">
        <v>19</v>
      </c>
      <c r="B190" s="148" t="s">
        <v>564</v>
      </c>
      <c r="C190" s="152"/>
      <c r="E190" s="157"/>
      <c r="F190" s="157"/>
      <c r="G190" s="157"/>
      <c r="H190" s="157"/>
      <c r="I190" s="157"/>
      <c r="J190" s="157"/>
      <c r="K190" s="157"/>
      <c r="L190" s="157"/>
      <c r="M190" s="157"/>
      <c r="N190" s="157"/>
      <c r="O190" s="157"/>
      <c r="P190" s="157"/>
      <c r="S190" s="126"/>
      <c r="T190" s="148" t="s">
        <v>564</v>
      </c>
      <c r="V190" s="126"/>
      <c r="Y190" s="157"/>
      <c r="Z190" s="157"/>
    </row>
    <row r="191" spans="1:26" s="125" customFormat="1" x14ac:dyDescent="0.25">
      <c r="A191" s="461"/>
      <c r="B191" s="130" t="s">
        <v>337</v>
      </c>
      <c r="C191" s="131">
        <v>42156</v>
      </c>
      <c r="D191" s="131">
        <v>42186</v>
      </c>
      <c r="E191" s="131">
        <v>42217</v>
      </c>
      <c r="F191" s="131">
        <v>42248</v>
      </c>
      <c r="G191" s="131">
        <v>42278</v>
      </c>
      <c r="H191" s="131">
        <v>42309</v>
      </c>
      <c r="I191" s="131">
        <v>42339</v>
      </c>
      <c r="J191" s="131">
        <v>42370</v>
      </c>
      <c r="K191" s="131">
        <v>42401</v>
      </c>
      <c r="L191" s="131">
        <v>42430</v>
      </c>
      <c r="M191" s="131">
        <v>42461</v>
      </c>
      <c r="N191" s="131">
        <v>42491</v>
      </c>
      <c r="O191" s="131">
        <v>42522</v>
      </c>
      <c r="P191" s="131">
        <v>42552</v>
      </c>
      <c r="Q191" s="151">
        <v>42583</v>
      </c>
      <c r="R191" s="131">
        <v>42627</v>
      </c>
      <c r="S191" s="132"/>
      <c r="T191" s="133" t="s">
        <v>338</v>
      </c>
      <c r="U191" s="134" t="s">
        <v>339</v>
      </c>
      <c r="V191" s="132"/>
      <c r="W191" s="133" t="s">
        <v>338</v>
      </c>
      <c r="X191" s="134" t="s">
        <v>339</v>
      </c>
      <c r="Y191" s="157"/>
      <c r="Z191" s="157"/>
    </row>
    <row r="192" spans="1:26" s="157" customFormat="1" x14ac:dyDescent="0.25">
      <c r="A192" s="461"/>
      <c r="B192" s="135" t="s">
        <v>319</v>
      </c>
      <c r="C192" s="599"/>
      <c r="D192" s="160">
        <v>17284</v>
      </c>
      <c r="E192" s="1247">
        <v>25723</v>
      </c>
      <c r="F192" s="136">
        <v>27480</v>
      </c>
      <c r="G192" s="136">
        <v>27696</v>
      </c>
      <c r="H192" s="136">
        <v>23456</v>
      </c>
      <c r="I192" s="136">
        <v>23047</v>
      </c>
      <c r="J192" s="136">
        <v>21494</v>
      </c>
      <c r="K192" s="136">
        <v>21134</v>
      </c>
      <c r="L192" s="136">
        <v>24628</v>
      </c>
      <c r="M192" s="136">
        <v>24142</v>
      </c>
      <c r="N192" s="136">
        <v>19087</v>
      </c>
      <c r="O192" s="136">
        <v>16828</v>
      </c>
      <c r="P192" s="456"/>
      <c r="Q192" s="174"/>
      <c r="T192" s="141">
        <f t="shared" ref="T192:T198" si="11">SUM(D192:O192)</f>
        <v>271999</v>
      </c>
      <c r="U192" s="188" t="s">
        <v>341</v>
      </c>
      <c r="W192" s="140">
        <f>T192*3413/1000000</f>
        <v>928.33258699999999</v>
      </c>
      <c r="X192" s="138" t="s">
        <v>342</v>
      </c>
    </row>
    <row r="193" spans="1:26" s="157" customFormat="1" x14ac:dyDescent="0.25">
      <c r="A193" s="461"/>
      <c r="B193" s="135" t="s">
        <v>320</v>
      </c>
      <c r="C193" s="599"/>
      <c r="D193" s="160">
        <v>1690</v>
      </c>
      <c r="E193" s="1247">
        <v>1710</v>
      </c>
      <c r="F193" s="137">
        <v>1180</v>
      </c>
      <c r="G193" s="137">
        <v>12260</v>
      </c>
      <c r="H193" s="137">
        <v>14520</v>
      </c>
      <c r="I193" s="137">
        <v>11850</v>
      </c>
      <c r="J193" s="1251">
        <v>35390</v>
      </c>
      <c r="K193" s="1251">
        <v>26280</v>
      </c>
      <c r="L193" s="137">
        <v>22015</v>
      </c>
      <c r="M193" s="1251">
        <v>3950</v>
      </c>
      <c r="N193" s="1251">
        <v>420</v>
      </c>
      <c r="O193" s="1251">
        <v>6300</v>
      </c>
      <c r="P193" s="456"/>
      <c r="Q193" s="174"/>
      <c r="T193" s="141">
        <f t="shared" si="11"/>
        <v>137565</v>
      </c>
      <c r="U193" s="188" t="s">
        <v>344</v>
      </c>
      <c r="W193" s="160">
        <f>T193/1000</f>
        <v>137.565</v>
      </c>
      <c r="X193" s="138" t="s">
        <v>342</v>
      </c>
    </row>
    <row r="194" spans="1:26" s="157" customFormat="1" x14ac:dyDescent="0.25">
      <c r="A194" s="461"/>
      <c r="B194" s="192" t="s">
        <v>323</v>
      </c>
      <c r="C194" s="599"/>
      <c r="D194" s="160">
        <v>18738.5</v>
      </c>
      <c r="E194" s="1248">
        <v>15540</v>
      </c>
      <c r="F194" s="141">
        <v>14419</v>
      </c>
      <c r="G194" s="141">
        <v>10251</v>
      </c>
      <c r="H194" s="141">
        <v>9091</v>
      </c>
      <c r="I194" s="141">
        <v>7664</v>
      </c>
      <c r="J194" s="141">
        <v>4935</v>
      </c>
      <c r="K194" s="141">
        <v>5032</v>
      </c>
      <c r="L194" s="141">
        <v>7646</v>
      </c>
      <c r="M194" s="141">
        <v>9019</v>
      </c>
      <c r="N194" s="141">
        <v>9143</v>
      </c>
      <c r="O194" s="141">
        <v>12709</v>
      </c>
      <c r="P194" s="456"/>
      <c r="Q194" s="178"/>
      <c r="T194" s="141">
        <f t="shared" si="11"/>
        <v>124187.5</v>
      </c>
      <c r="U194" s="188" t="s">
        <v>397</v>
      </c>
      <c r="W194" s="160">
        <f>T194*0.012</f>
        <v>1490.25</v>
      </c>
      <c r="X194" s="138" t="s">
        <v>342</v>
      </c>
      <c r="Y194" s="495">
        <f>W192+W193+W194</f>
        <v>2556.1475869999999</v>
      </c>
      <c r="Z194" s="153" t="s">
        <v>677</v>
      </c>
    </row>
    <row r="195" spans="1:26" s="157" customFormat="1" x14ac:dyDescent="0.25">
      <c r="A195" s="461"/>
      <c r="B195" s="135" t="s">
        <v>345</v>
      </c>
      <c r="C195" s="599"/>
      <c r="D195" s="160">
        <v>5200</v>
      </c>
      <c r="E195" s="1248">
        <v>56500</v>
      </c>
      <c r="F195" s="141">
        <v>85000</v>
      </c>
      <c r="G195" s="141">
        <v>98400</v>
      </c>
      <c r="H195" s="141">
        <v>87400</v>
      </c>
      <c r="I195" s="141">
        <v>71800</v>
      </c>
      <c r="J195" s="141">
        <v>91900</v>
      </c>
      <c r="K195" s="141">
        <v>113400</v>
      </c>
      <c r="L195" s="141">
        <v>97500</v>
      </c>
      <c r="M195" s="141">
        <v>80500</v>
      </c>
      <c r="N195" s="141">
        <v>21800</v>
      </c>
      <c r="O195" s="141">
        <v>26000</v>
      </c>
      <c r="P195" s="176"/>
      <c r="Q195" s="178"/>
      <c r="T195" s="141">
        <f t="shared" si="11"/>
        <v>835400</v>
      </c>
      <c r="U195" s="188" t="s">
        <v>346</v>
      </c>
      <c r="W195" s="141">
        <f>T195</f>
        <v>835400</v>
      </c>
      <c r="X195" s="188" t="s">
        <v>346</v>
      </c>
    </row>
    <row r="196" spans="1:26" s="157" customFormat="1" x14ac:dyDescent="0.25">
      <c r="A196" s="461"/>
      <c r="B196" s="135" t="s">
        <v>324</v>
      </c>
      <c r="C196" s="599"/>
      <c r="D196" s="171">
        <v>1210.3027065217393</v>
      </c>
      <c r="E196" s="1249">
        <v>1828.2842807698573</v>
      </c>
      <c r="F196" s="142">
        <v>1891.0217767955801</v>
      </c>
      <c r="G196" s="142">
        <v>1763.5011395577703</v>
      </c>
      <c r="H196" s="142">
        <v>1493.5255173839926</v>
      </c>
      <c r="I196" s="142">
        <v>1355.9864022883601</v>
      </c>
      <c r="J196" s="142">
        <v>1275.1383329936307</v>
      </c>
      <c r="K196" s="142">
        <v>1248.1203213484321</v>
      </c>
      <c r="L196" s="142">
        <v>1472.0188455336256</v>
      </c>
      <c r="M196" s="142">
        <v>1401.8202235370309</v>
      </c>
      <c r="N196" s="142">
        <v>1135.7659151028454</v>
      </c>
      <c r="O196" s="142">
        <v>1097.9631435166202</v>
      </c>
      <c r="P196" s="179"/>
      <c r="Q196" s="176"/>
      <c r="T196" s="1643">
        <f t="shared" si="11"/>
        <v>17173.44860534948</v>
      </c>
      <c r="U196" s="188"/>
      <c r="W196" s="190">
        <f>T196</f>
        <v>17173.44860534948</v>
      </c>
      <c r="X196" s="188"/>
    </row>
    <row r="197" spans="1:26" s="157" customFormat="1" x14ac:dyDescent="0.25">
      <c r="A197" s="461"/>
      <c r="B197" s="204" t="s">
        <v>326</v>
      </c>
      <c r="C197" s="599"/>
      <c r="D197" s="171">
        <v>13.205491</v>
      </c>
      <c r="E197" s="1250">
        <v>13.361769000000001</v>
      </c>
      <c r="F197" s="156">
        <v>9.220402</v>
      </c>
      <c r="G197" s="156">
        <v>95.798414000000008</v>
      </c>
      <c r="H197" s="156">
        <v>113.45782800000001</v>
      </c>
      <c r="I197" s="156">
        <v>92.594715000000008</v>
      </c>
      <c r="J197" s="171">
        <v>276.53392100000002</v>
      </c>
      <c r="K197" s="156">
        <v>205.34929200000002</v>
      </c>
      <c r="L197" s="156">
        <v>172.0230085</v>
      </c>
      <c r="M197" s="171">
        <v>30.864905</v>
      </c>
      <c r="N197" s="171">
        <v>3.281838</v>
      </c>
      <c r="O197" s="171">
        <v>49.22757</v>
      </c>
      <c r="P197" s="125"/>
      <c r="Q197" s="1058"/>
      <c r="T197" s="1643">
        <f t="shared" si="11"/>
        <v>1074.9191535</v>
      </c>
      <c r="U197" s="188"/>
      <c r="W197" s="190">
        <f>T197</f>
        <v>1074.9191535</v>
      </c>
      <c r="X197" s="188"/>
    </row>
    <row r="198" spans="1:26" s="157" customFormat="1" ht="16.5" x14ac:dyDescent="0.35">
      <c r="A198" s="461"/>
      <c r="B198" s="195" t="s">
        <v>398</v>
      </c>
      <c r="C198" s="599" t="s">
        <v>352</v>
      </c>
      <c r="D198" s="171"/>
      <c r="E198" s="171"/>
      <c r="F198" s="198"/>
      <c r="G198" s="198"/>
      <c r="H198" s="198"/>
      <c r="I198" s="198"/>
      <c r="J198" s="198"/>
      <c r="K198" s="198"/>
      <c r="L198" s="198"/>
      <c r="M198" s="198"/>
      <c r="N198" s="198"/>
      <c r="O198" s="198"/>
      <c r="P198"/>
      <c r="Q198" s="446"/>
      <c r="T198" s="1643">
        <f t="shared" si="11"/>
        <v>0</v>
      </c>
      <c r="U198" s="188"/>
      <c r="W198" s="197">
        <f>T198</f>
        <v>0</v>
      </c>
      <c r="X198" s="188"/>
    </row>
    <row r="199" spans="1:26" s="125" customFormat="1" x14ac:dyDescent="0.25">
      <c r="A199" s="461"/>
      <c r="B199" s="205"/>
      <c r="C199" s="599"/>
      <c r="D199" s="157"/>
      <c r="E199" s="446"/>
      <c r="F199" s="446"/>
      <c r="G199" s="446"/>
      <c r="H199" s="446"/>
      <c r="I199" s="446"/>
      <c r="J199" s="446"/>
      <c r="K199" s="446"/>
      <c r="L199" s="446"/>
      <c r="M199" s="446"/>
      <c r="N199" s="446"/>
      <c r="O199" s="446"/>
      <c r="P199" s="446"/>
      <c r="Q199" s="194"/>
      <c r="R199" s="157"/>
      <c r="S199" s="157"/>
      <c r="T199" s="184"/>
      <c r="U199" s="199"/>
      <c r="V199" s="157"/>
      <c r="W199" s="190">
        <f>SUM(W196:W198)</f>
        <v>18248.367758849479</v>
      </c>
      <c r="X199" s="188"/>
      <c r="Y199" s="157"/>
      <c r="Z199" s="157"/>
    </row>
    <row r="200" spans="1:26" s="125" customFormat="1" x14ac:dyDescent="0.25">
      <c r="A200" s="461"/>
      <c r="B200" s="205"/>
      <c r="C200" s="152"/>
      <c r="E200" s="201"/>
      <c r="F200" s="206"/>
      <c r="G200" s="202"/>
      <c r="H200" s="203"/>
      <c r="I200" s="203"/>
      <c r="J200" s="203"/>
      <c r="K200" s="203"/>
      <c r="L200" s="203"/>
      <c r="M200" s="203"/>
      <c r="N200" s="203"/>
      <c r="O200" s="203"/>
      <c r="P200" s="203"/>
      <c r="S200" s="126"/>
      <c r="U200" s="447"/>
      <c r="V200" s="126"/>
      <c r="Y200" s="157"/>
      <c r="Z200" s="157"/>
    </row>
    <row r="201" spans="1:26" s="125" customFormat="1" x14ac:dyDescent="0.25">
      <c r="A201" s="461">
        <v>20</v>
      </c>
      <c r="B201" s="148" t="s">
        <v>565</v>
      </c>
      <c r="C201" s="152"/>
      <c r="E201" s="157"/>
      <c r="F201" s="157"/>
      <c r="G201" s="157"/>
      <c r="H201" s="157"/>
      <c r="I201" s="157"/>
      <c r="J201" s="157"/>
      <c r="K201" s="157"/>
      <c r="L201" s="157"/>
      <c r="M201" s="157"/>
      <c r="N201" s="157"/>
      <c r="O201" s="157"/>
      <c r="P201" s="157"/>
      <c r="S201" s="126"/>
      <c r="T201" s="148" t="s">
        <v>565</v>
      </c>
      <c r="V201" s="126"/>
      <c r="Y201" s="157"/>
      <c r="Z201" s="157"/>
    </row>
    <row r="202" spans="1:26" s="125" customFormat="1" x14ac:dyDescent="0.25">
      <c r="A202" s="461"/>
      <c r="B202" s="130" t="s">
        <v>337</v>
      </c>
      <c r="C202" s="131">
        <v>42156</v>
      </c>
      <c r="D202" s="131">
        <v>42186</v>
      </c>
      <c r="E202" s="131">
        <v>42217</v>
      </c>
      <c r="F202" s="131">
        <v>42248</v>
      </c>
      <c r="G202" s="131">
        <v>42278</v>
      </c>
      <c r="H202" s="131">
        <v>42309</v>
      </c>
      <c r="I202" s="131">
        <v>42339</v>
      </c>
      <c r="J202" s="131">
        <v>42370</v>
      </c>
      <c r="K202" s="131">
        <v>42401</v>
      </c>
      <c r="L202" s="131">
        <v>42430</v>
      </c>
      <c r="M202" s="131">
        <v>42461</v>
      </c>
      <c r="N202" s="131">
        <v>42491</v>
      </c>
      <c r="O202" s="131">
        <v>42522</v>
      </c>
      <c r="P202" s="131">
        <v>42552</v>
      </c>
      <c r="Q202" s="151">
        <v>42583</v>
      </c>
      <c r="R202" s="131">
        <v>42627</v>
      </c>
      <c r="S202" s="132"/>
      <c r="T202" s="133" t="s">
        <v>338</v>
      </c>
      <c r="U202" s="134" t="s">
        <v>339</v>
      </c>
      <c r="V202" s="132"/>
      <c r="W202" s="133" t="s">
        <v>338</v>
      </c>
      <c r="X202" s="134" t="s">
        <v>339</v>
      </c>
      <c r="Y202" s="157"/>
      <c r="Z202" s="157"/>
    </row>
    <row r="203" spans="1:26" s="157" customFormat="1" x14ac:dyDescent="0.25">
      <c r="A203" s="461"/>
      <c r="B203" s="135" t="s">
        <v>319</v>
      </c>
      <c r="C203" s="599"/>
      <c r="D203" s="160">
        <v>35665</v>
      </c>
      <c r="E203" s="1247">
        <v>47881</v>
      </c>
      <c r="F203" s="136">
        <v>46903</v>
      </c>
      <c r="G203" s="136">
        <v>48407</v>
      </c>
      <c r="H203" s="136">
        <v>42494</v>
      </c>
      <c r="I203" s="136">
        <v>44158</v>
      </c>
      <c r="J203" s="136">
        <v>41997</v>
      </c>
      <c r="K203" s="136">
        <v>44103</v>
      </c>
      <c r="L203" s="136">
        <v>45877</v>
      </c>
      <c r="M203" s="136">
        <v>44951</v>
      </c>
      <c r="N203" s="136">
        <v>36651</v>
      </c>
      <c r="O203" s="136">
        <v>38142</v>
      </c>
      <c r="P203" s="456"/>
      <c r="Q203" s="174"/>
      <c r="T203" s="141">
        <f t="shared" ref="T203:T209" si="12">SUM(D203:O203)</f>
        <v>517229</v>
      </c>
      <c r="U203" s="188" t="s">
        <v>341</v>
      </c>
      <c r="W203" s="140">
        <f>T203*3413/1000000</f>
        <v>1765.3025769999999</v>
      </c>
      <c r="X203" s="138" t="s">
        <v>342</v>
      </c>
    </row>
    <row r="204" spans="1:26" s="157" customFormat="1" x14ac:dyDescent="0.25">
      <c r="A204" s="461"/>
      <c r="B204" s="135" t="s">
        <v>320</v>
      </c>
      <c r="C204" s="599"/>
      <c r="D204" s="160">
        <v>1490</v>
      </c>
      <c r="E204" s="1247">
        <v>2150</v>
      </c>
      <c r="F204" s="137">
        <v>10110</v>
      </c>
      <c r="G204" s="187" t="s">
        <v>1410</v>
      </c>
      <c r="H204" s="187" t="s">
        <v>1410</v>
      </c>
      <c r="I204" s="1180" t="s">
        <v>1410</v>
      </c>
      <c r="J204" s="1180" t="s">
        <v>1410</v>
      </c>
      <c r="K204" s="1180" t="s">
        <v>1410</v>
      </c>
      <c r="L204" s="1180" t="s">
        <v>1410</v>
      </c>
      <c r="M204" s="1180" t="s">
        <v>1410</v>
      </c>
      <c r="N204" s="136">
        <v>35290</v>
      </c>
      <c r="O204" s="136">
        <v>14330</v>
      </c>
      <c r="P204" s="456"/>
      <c r="Q204" s="174"/>
      <c r="T204" s="141">
        <f t="shared" si="12"/>
        <v>63370</v>
      </c>
      <c r="U204" s="188" t="s">
        <v>344</v>
      </c>
      <c r="W204" s="160">
        <f>T204/1000</f>
        <v>63.37</v>
      </c>
      <c r="X204" s="138" t="s">
        <v>342</v>
      </c>
    </row>
    <row r="205" spans="1:26" s="157" customFormat="1" x14ac:dyDescent="0.25">
      <c r="A205" s="461"/>
      <c r="B205" s="192" t="s">
        <v>323</v>
      </c>
      <c r="C205" s="599"/>
      <c r="D205" s="160">
        <v>47976</v>
      </c>
      <c r="E205" s="1248">
        <v>46657</v>
      </c>
      <c r="F205" s="141">
        <v>44307</v>
      </c>
      <c r="G205" s="141">
        <v>31922</v>
      </c>
      <c r="H205" s="141">
        <v>26803</v>
      </c>
      <c r="I205" s="141">
        <v>22795</v>
      </c>
      <c r="J205" s="141">
        <v>16977</v>
      </c>
      <c r="K205" s="141">
        <v>20489</v>
      </c>
      <c r="L205" s="141">
        <v>31565</v>
      </c>
      <c r="M205" s="141">
        <v>33938</v>
      </c>
      <c r="N205" s="141">
        <v>34826</v>
      </c>
      <c r="O205" s="141">
        <v>49966</v>
      </c>
      <c r="P205" s="456"/>
      <c r="Q205" s="178"/>
      <c r="T205" s="141">
        <f t="shared" si="12"/>
        <v>408221</v>
      </c>
      <c r="U205" s="188" t="s">
        <v>397</v>
      </c>
      <c r="W205" s="160">
        <f>T205*0.012</f>
        <v>4898.652</v>
      </c>
      <c r="X205" s="138" t="s">
        <v>342</v>
      </c>
      <c r="Y205" s="495">
        <f>W203+W204+W205</f>
        <v>6727.3245769999994</v>
      </c>
      <c r="Z205" s="153" t="s">
        <v>677</v>
      </c>
    </row>
    <row r="206" spans="1:26" s="157" customFormat="1" x14ac:dyDescent="0.25">
      <c r="A206" s="461"/>
      <c r="B206" s="135" t="s">
        <v>345</v>
      </c>
      <c r="C206" s="599"/>
      <c r="D206" s="160">
        <v>1911.7647058823597</v>
      </c>
      <c r="E206" s="1248">
        <v>127100</v>
      </c>
      <c r="F206" s="141">
        <v>157900</v>
      </c>
      <c r="G206" s="141">
        <v>154500</v>
      </c>
      <c r="H206" s="141">
        <v>123500</v>
      </c>
      <c r="I206" s="141">
        <v>83700</v>
      </c>
      <c r="J206" s="141">
        <v>127900</v>
      </c>
      <c r="K206" s="141">
        <v>139000</v>
      </c>
      <c r="L206" s="141">
        <v>114800</v>
      </c>
      <c r="M206" s="141">
        <v>114500</v>
      </c>
      <c r="N206" s="141">
        <v>46500</v>
      </c>
      <c r="O206" s="141">
        <v>49500</v>
      </c>
      <c r="P206" s="176"/>
      <c r="Q206" s="178"/>
      <c r="T206" s="141">
        <f t="shared" si="12"/>
        <v>1240811.7647058824</v>
      </c>
      <c r="U206" s="188" t="s">
        <v>346</v>
      </c>
      <c r="W206" s="141">
        <f>T206</f>
        <v>1240811.7647058824</v>
      </c>
      <c r="X206" s="188" t="s">
        <v>346</v>
      </c>
    </row>
    <row r="207" spans="1:26" s="157" customFormat="1" x14ac:dyDescent="0.25">
      <c r="A207" s="461"/>
      <c r="B207" s="135" t="s">
        <v>324</v>
      </c>
      <c r="C207" s="599"/>
      <c r="D207" s="171">
        <v>2497.4222418478262</v>
      </c>
      <c r="E207" s="1249">
        <v>3403.1831297881872</v>
      </c>
      <c r="F207" s="142">
        <v>3227.6053274033147</v>
      </c>
      <c r="G207" s="142">
        <v>3082.2429109825603</v>
      </c>
      <c r="H207" s="142">
        <v>2705.7415303425728</v>
      </c>
      <c r="I207" s="142">
        <v>2598.0668873280429</v>
      </c>
      <c r="J207" s="142">
        <v>2491.485278251303</v>
      </c>
      <c r="K207" s="142">
        <v>2604.6110784721254</v>
      </c>
      <c r="L207" s="142">
        <v>2742.0744102869148</v>
      </c>
      <c r="M207" s="142">
        <v>2610.1077320939885</v>
      </c>
      <c r="N207" s="142">
        <v>2180.906195548509</v>
      </c>
      <c r="O207" s="142">
        <v>2488.6207642031691</v>
      </c>
      <c r="P207" s="179"/>
      <c r="Q207" s="176"/>
      <c r="T207" s="1643">
        <f t="shared" si="12"/>
        <v>32632.067486548513</v>
      </c>
      <c r="U207" s="188"/>
      <c r="W207" s="190">
        <f>T207</f>
        <v>32632.067486548513</v>
      </c>
      <c r="X207" s="188"/>
    </row>
    <row r="208" spans="1:26" s="157" customFormat="1" x14ac:dyDescent="0.25">
      <c r="A208" s="461"/>
      <c r="B208" s="204" t="s">
        <v>326</v>
      </c>
      <c r="C208" s="599"/>
      <c r="D208" s="171">
        <v>11.642711</v>
      </c>
      <c r="E208" s="1250">
        <v>16.799885</v>
      </c>
      <c r="F208" s="156">
        <v>78.998529000000005</v>
      </c>
      <c r="G208" s="198" t="s">
        <v>1410</v>
      </c>
      <c r="H208" s="198" t="s">
        <v>1410</v>
      </c>
      <c r="I208" s="198" t="s">
        <v>1410</v>
      </c>
      <c r="J208" s="198" t="s">
        <v>1410</v>
      </c>
      <c r="K208" s="198" t="s">
        <v>1410</v>
      </c>
      <c r="L208" s="198" t="s">
        <v>1410</v>
      </c>
      <c r="M208" s="198" t="s">
        <v>1410</v>
      </c>
      <c r="N208" s="171">
        <v>275.75253100000003</v>
      </c>
      <c r="O208" s="171">
        <v>111.97318700000001</v>
      </c>
      <c r="P208" s="125"/>
      <c r="Q208" s="1058"/>
      <c r="T208" s="1643">
        <f t="shared" si="12"/>
        <v>495.16684300000003</v>
      </c>
      <c r="U208" s="188"/>
      <c r="W208" s="190">
        <f>T208</f>
        <v>495.16684300000003</v>
      </c>
      <c r="X208" s="188"/>
    </row>
    <row r="209" spans="1:26" s="157" customFormat="1" ht="16.5" x14ac:dyDescent="0.35">
      <c r="A209" s="461"/>
      <c r="B209" s="195" t="s">
        <v>398</v>
      </c>
      <c r="C209" s="599" t="s">
        <v>352</v>
      </c>
      <c r="D209" s="171"/>
      <c r="E209" s="171"/>
      <c r="F209" s="198"/>
      <c r="G209" s="198"/>
      <c r="H209" s="198"/>
      <c r="I209" s="198"/>
      <c r="J209" s="198"/>
      <c r="K209" s="198"/>
      <c r="L209" s="198"/>
      <c r="M209" s="198"/>
      <c r="N209" s="198"/>
      <c r="O209" s="198"/>
      <c r="P209"/>
      <c r="Q209" s="446"/>
      <c r="T209" s="1643">
        <f t="shared" si="12"/>
        <v>0</v>
      </c>
      <c r="U209" s="188"/>
      <c r="W209" s="197">
        <f>T209</f>
        <v>0</v>
      </c>
      <c r="X209" s="188"/>
    </row>
    <row r="210" spans="1:26" s="125" customFormat="1" x14ac:dyDescent="0.25">
      <c r="A210" s="461"/>
      <c r="C210" s="1615" t="s">
        <v>1400</v>
      </c>
      <c r="D210" s="157"/>
      <c r="E210" s="446"/>
      <c r="F210" s="446"/>
      <c r="G210" s="446"/>
      <c r="H210" s="446"/>
      <c r="I210" s="446"/>
      <c r="J210" s="446"/>
      <c r="K210" s="446"/>
      <c r="L210" s="446"/>
      <c r="M210" s="446"/>
      <c r="N210" s="446"/>
      <c r="O210" s="446"/>
      <c r="P210" s="446"/>
      <c r="Q210" s="194"/>
      <c r="R210" s="157"/>
      <c r="S210" s="157"/>
      <c r="T210" s="184"/>
      <c r="U210" s="199"/>
      <c r="V210" s="157"/>
      <c r="W210" s="190">
        <f>SUM(W207:W209)</f>
        <v>33127.234329548512</v>
      </c>
      <c r="X210" s="188"/>
      <c r="Y210" s="157"/>
      <c r="Z210" s="157"/>
    </row>
    <row r="212" spans="1:26" s="128" customFormat="1" x14ac:dyDescent="0.25">
      <c r="A212" s="459">
        <v>21</v>
      </c>
      <c r="B212" s="127" t="s">
        <v>384</v>
      </c>
      <c r="C212" s="173"/>
      <c r="S212" s="129"/>
      <c r="T212" s="127" t="s">
        <v>384</v>
      </c>
      <c r="V212" s="129"/>
      <c r="Y212" s="166"/>
      <c r="Z212" s="166"/>
    </row>
    <row r="213" spans="1:26" s="125" customFormat="1" x14ac:dyDescent="0.25">
      <c r="A213" s="461"/>
      <c r="B213" s="130" t="s">
        <v>337</v>
      </c>
      <c r="C213" s="131">
        <v>42156</v>
      </c>
      <c r="D213" s="131">
        <v>42186</v>
      </c>
      <c r="E213" s="131">
        <v>42217</v>
      </c>
      <c r="F213" s="131">
        <v>42248</v>
      </c>
      <c r="G213" s="131">
        <v>42278</v>
      </c>
      <c r="H213" s="131">
        <v>42309</v>
      </c>
      <c r="I213" s="131">
        <v>42339</v>
      </c>
      <c r="J213" s="131">
        <v>42370</v>
      </c>
      <c r="K213" s="131">
        <v>42401</v>
      </c>
      <c r="L213" s="131">
        <v>42430</v>
      </c>
      <c r="M213" s="131">
        <v>42461</v>
      </c>
      <c r="N213" s="131">
        <v>42491</v>
      </c>
      <c r="O213" s="131">
        <v>42522</v>
      </c>
      <c r="P213" s="131">
        <v>42552</v>
      </c>
      <c r="Q213" s="151">
        <v>42583</v>
      </c>
      <c r="R213" s="131">
        <v>42627</v>
      </c>
      <c r="S213" s="132"/>
      <c r="T213" s="133" t="s">
        <v>338</v>
      </c>
      <c r="U213" s="134" t="s">
        <v>339</v>
      </c>
      <c r="V213" s="132"/>
      <c r="W213" s="133" t="s">
        <v>338</v>
      </c>
      <c r="X213" s="134" t="s">
        <v>339</v>
      </c>
      <c r="Y213" s="157"/>
      <c r="Z213" s="157"/>
    </row>
    <row r="214" spans="1:26" s="125" customFormat="1" x14ac:dyDescent="0.25">
      <c r="A214" s="461"/>
      <c r="B214" s="135" t="s">
        <v>340</v>
      </c>
      <c r="C214" s="152"/>
      <c r="D214" s="593">
        <v>56876</v>
      </c>
      <c r="E214" s="593">
        <v>74032</v>
      </c>
      <c r="F214" s="593">
        <v>80325</v>
      </c>
      <c r="G214" s="593">
        <v>73896</v>
      </c>
      <c r="H214" s="593">
        <v>72153</v>
      </c>
      <c r="I214" s="593">
        <v>43317</v>
      </c>
      <c r="J214" s="593" t="s">
        <v>1319</v>
      </c>
      <c r="K214" s="593" t="s">
        <v>1319</v>
      </c>
      <c r="L214" s="593">
        <v>76832</v>
      </c>
      <c r="M214" s="593">
        <v>69878</v>
      </c>
      <c r="N214" s="593">
        <v>53689</v>
      </c>
      <c r="O214" s="593">
        <v>52885</v>
      </c>
      <c r="P214" s="174"/>
      <c r="Q214" s="174"/>
      <c r="T214" s="137">
        <f>SUM(D214:Q214)</f>
        <v>653883</v>
      </c>
      <c r="U214" s="188" t="s">
        <v>341</v>
      </c>
      <c r="V214" s="157"/>
      <c r="W214" s="140">
        <f>T214*3413/1000000</f>
        <v>2231.702679</v>
      </c>
      <c r="X214" s="138" t="s">
        <v>342</v>
      </c>
      <c r="Y214" s="157"/>
      <c r="Z214" s="157"/>
    </row>
    <row r="215" spans="1:26" s="125" customFormat="1" x14ac:dyDescent="0.25">
      <c r="A215" s="461"/>
      <c r="B215" s="135" t="s">
        <v>864</v>
      </c>
      <c r="C215" s="152"/>
      <c r="D215" s="593">
        <v>31.040622844401192</v>
      </c>
      <c r="E215" s="593">
        <v>166.29859956259725</v>
      </c>
      <c r="F215" s="593">
        <v>263.32394004694862</v>
      </c>
      <c r="G215" s="593">
        <v>214.00918652713983</v>
      </c>
      <c r="H215" s="593">
        <v>243.79321223658249</v>
      </c>
      <c r="I215" s="593">
        <v>80.997042986316458</v>
      </c>
      <c r="J215" s="593">
        <v>171.98002277916507</v>
      </c>
      <c r="K215" s="593">
        <v>228.21942859587301</v>
      </c>
      <c r="L215" s="593">
        <v>198.86318063450133</v>
      </c>
      <c r="M215" s="593">
        <v>249.02012159582489</v>
      </c>
      <c r="N215" s="593">
        <v>37.457289065466036</v>
      </c>
      <c r="O215" s="593">
        <v>12.124825546887115</v>
      </c>
      <c r="P215" s="178"/>
      <c r="Q215" s="178"/>
      <c r="T215" s="137">
        <f>SUM(D215:Q215)</f>
        <v>1897.1274724217035</v>
      </c>
      <c r="U215" s="188" t="s">
        <v>379</v>
      </c>
      <c r="V215" s="157"/>
      <c r="W215" s="137">
        <f>T215*748</f>
        <v>1419051.3493714342</v>
      </c>
      <c r="X215" s="188" t="s">
        <v>346</v>
      </c>
      <c r="Y215" s="157"/>
      <c r="Z215" s="157"/>
    </row>
    <row r="216" spans="1:26" s="125" customFormat="1" x14ac:dyDescent="0.25">
      <c r="A216" s="461"/>
      <c r="B216" s="135" t="s">
        <v>324</v>
      </c>
      <c r="C216" s="152"/>
      <c r="D216" s="171">
        <v>4159.8537639999995</v>
      </c>
      <c r="E216" s="171">
        <v>5809.9573279999995</v>
      </c>
      <c r="F216" s="156">
        <v>5936.4191249999994</v>
      </c>
      <c r="G216" s="156">
        <v>4395.7774559999998</v>
      </c>
      <c r="H216" s="156">
        <v>4292.0933580000001</v>
      </c>
      <c r="I216" s="142">
        <v>2698.259247</v>
      </c>
      <c r="J216" s="142" t="s">
        <v>1319</v>
      </c>
      <c r="K216" s="142" t="s">
        <v>1319</v>
      </c>
      <c r="L216" s="142">
        <v>4556.1376</v>
      </c>
      <c r="M216" s="142">
        <v>4268.1482400000004</v>
      </c>
      <c r="N216" s="142">
        <v>3248.0234330000003</v>
      </c>
      <c r="O216" s="142">
        <v>4009.5291599999996</v>
      </c>
      <c r="P216" s="176"/>
      <c r="Q216" s="176"/>
      <c r="T216" s="189">
        <f>SUM(D216:Q216)</f>
        <v>43374.198711000005</v>
      </c>
      <c r="U216" s="188"/>
      <c r="V216" s="157"/>
      <c r="W216" s="190">
        <f>T216</f>
        <v>43374.198711000005</v>
      </c>
      <c r="X216" s="188"/>
      <c r="Y216" s="157"/>
      <c r="Z216" s="157"/>
    </row>
    <row r="217" spans="1:26" s="125" customFormat="1" x14ac:dyDescent="0.25">
      <c r="A217" s="461"/>
      <c r="C217" s="152"/>
      <c r="D217" s="157"/>
      <c r="U217" s="126"/>
      <c r="X217" s="126"/>
      <c r="Y217" s="157"/>
      <c r="Z217" s="157"/>
    </row>
    <row r="218" spans="1:26" s="125" customFormat="1" x14ac:dyDescent="0.25">
      <c r="A218" s="461">
        <v>22</v>
      </c>
      <c r="B218" s="148" t="s">
        <v>406</v>
      </c>
      <c r="C218" s="152"/>
      <c r="S218" s="126"/>
      <c r="T218" s="148" t="s">
        <v>406</v>
      </c>
      <c r="V218" s="126"/>
      <c r="Y218" s="157"/>
      <c r="Z218" s="157"/>
    </row>
    <row r="219" spans="1:26" s="125" customFormat="1" x14ac:dyDescent="0.25">
      <c r="A219" s="461"/>
      <c r="B219" s="130" t="s">
        <v>337</v>
      </c>
      <c r="C219" s="131">
        <v>42156</v>
      </c>
      <c r="D219" s="131">
        <v>42186</v>
      </c>
      <c r="E219" s="131">
        <v>42217</v>
      </c>
      <c r="F219" s="131">
        <v>42248</v>
      </c>
      <c r="G219" s="131">
        <v>42278</v>
      </c>
      <c r="H219" s="131">
        <v>42309</v>
      </c>
      <c r="I219" s="131">
        <v>42339</v>
      </c>
      <c r="J219" s="131">
        <v>42370</v>
      </c>
      <c r="K219" s="131">
        <v>42401</v>
      </c>
      <c r="L219" s="131">
        <v>42430</v>
      </c>
      <c r="M219" s="131">
        <v>42461</v>
      </c>
      <c r="N219" s="131">
        <v>42491</v>
      </c>
      <c r="O219" s="131">
        <v>42522</v>
      </c>
      <c r="P219" s="131">
        <v>42552</v>
      </c>
      <c r="Q219" s="151">
        <v>42583</v>
      </c>
      <c r="R219" s="131">
        <v>42627</v>
      </c>
      <c r="S219" s="132"/>
      <c r="T219" s="133" t="s">
        <v>338</v>
      </c>
      <c r="U219" s="134" t="s">
        <v>339</v>
      </c>
      <c r="V219" s="132"/>
      <c r="W219" s="133" t="s">
        <v>338</v>
      </c>
      <c r="X219" s="134" t="s">
        <v>339</v>
      </c>
      <c r="Y219" s="157"/>
      <c r="Z219" s="157"/>
    </row>
    <row r="220" spans="1:26" s="157" customFormat="1" x14ac:dyDescent="0.25">
      <c r="A220" s="461"/>
      <c r="B220" s="135" t="s">
        <v>319</v>
      </c>
      <c r="C220" s="599"/>
      <c r="D220" s="208">
        <v>161839</v>
      </c>
      <c r="E220" s="208">
        <v>131675</v>
      </c>
      <c r="F220" s="208">
        <v>169020</v>
      </c>
      <c r="G220" s="208">
        <v>131395</v>
      </c>
      <c r="H220" s="208">
        <v>123099</v>
      </c>
      <c r="I220" s="208">
        <v>115651</v>
      </c>
      <c r="J220" s="208">
        <v>90881</v>
      </c>
      <c r="K220" s="208">
        <v>101201</v>
      </c>
      <c r="L220" s="208">
        <v>89476</v>
      </c>
      <c r="M220" s="208">
        <v>129462</v>
      </c>
      <c r="N220" s="208">
        <v>103558</v>
      </c>
      <c r="O220" s="208">
        <v>113370</v>
      </c>
      <c r="T220" s="137">
        <f>SUM(D220:O220)</f>
        <v>1460627</v>
      </c>
      <c r="U220" s="138" t="s">
        <v>341</v>
      </c>
      <c r="V220" s="139"/>
      <c r="W220" s="140">
        <f>T220*3413/1000000</f>
        <v>4985.1199509999997</v>
      </c>
      <c r="X220" s="138" t="s">
        <v>342</v>
      </c>
    </row>
    <row r="221" spans="1:26" s="157" customFormat="1" x14ac:dyDescent="0.25">
      <c r="A221" s="461"/>
      <c r="B221" s="135" t="s">
        <v>372</v>
      </c>
      <c r="C221" s="599"/>
      <c r="D221" s="209">
        <v>1765</v>
      </c>
      <c r="E221" s="209">
        <v>1268</v>
      </c>
      <c r="F221" s="209">
        <v>1379</v>
      </c>
      <c r="G221" s="209">
        <v>1519</v>
      </c>
      <c r="H221" s="209">
        <v>1787</v>
      </c>
      <c r="I221" s="209">
        <v>2640</v>
      </c>
      <c r="J221" s="209">
        <v>2405</v>
      </c>
      <c r="K221" s="209">
        <v>3310</v>
      </c>
      <c r="L221" s="209">
        <v>2511</v>
      </c>
      <c r="M221" s="209">
        <v>2617</v>
      </c>
      <c r="N221" s="209">
        <v>1485</v>
      </c>
      <c r="O221" s="209">
        <v>1321</v>
      </c>
      <c r="T221" s="137">
        <f>SUM(D221:O221)</f>
        <v>24007</v>
      </c>
      <c r="U221" s="138" t="s">
        <v>354</v>
      </c>
      <c r="V221" s="139"/>
      <c r="W221" s="140">
        <f>T221*99976.124488/1000000</f>
        <v>2400.1268205834158</v>
      </c>
      <c r="X221" s="138" t="s">
        <v>342</v>
      </c>
      <c r="Y221" s="495">
        <f>W220+W221</f>
        <v>7385.2467715834155</v>
      </c>
      <c r="Z221" s="153" t="s">
        <v>649</v>
      </c>
    </row>
    <row r="222" spans="1:26" s="157" customFormat="1" x14ac:dyDescent="0.25">
      <c r="A222" s="461"/>
      <c r="B222" s="135" t="s">
        <v>345</v>
      </c>
      <c r="C222" s="1615" t="s">
        <v>1393</v>
      </c>
      <c r="D222" s="494"/>
      <c r="E222" s="494"/>
      <c r="F222" s="494"/>
      <c r="G222" s="494"/>
      <c r="H222" s="494"/>
      <c r="I222" s="494"/>
      <c r="J222" s="494"/>
      <c r="K222" s="494"/>
      <c r="L222" s="494"/>
      <c r="M222" s="494"/>
      <c r="N222" s="494"/>
      <c r="O222" s="494"/>
      <c r="T222" s="137">
        <f>SUM(D222:O222)</f>
        <v>0</v>
      </c>
      <c r="U222" s="138" t="s">
        <v>346</v>
      </c>
      <c r="V222" s="139"/>
      <c r="W222" s="137">
        <f>T222</f>
        <v>0</v>
      </c>
      <c r="X222" s="138" t="s">
        <v>346</v>
      </c>
    </row>
    <row r="223" spans="1:26" s="157" customFormat="1" x14ac:dyDescent="0.25">
      <c r="A223" s="461"/>
      <c r="B223" s="135" t="s">
        <v>324</v>
      </c>
      <c r="C223" s="599"/>
      <c r="D223" s="211">
        <v>13070.11764</v>
      </c>
      <c r="E223" s="211">
        <v>10634.073</v>
      </c>
      <c r="F223" s="211">
        <v>13650.055199999999</v>
      </c>
      <c r="G223" s="211">
        <v>10611.4602</v>
      </c>
      <c r="H223" s="211">
        <v>9941.4752399999998</v>
      </c>
      <c r="I223" s="211">
        <v>9339.9747599999992</v>
      </c>
      <c r="J223" s="211">
        <v>7339.5495599999995</v>
      </c>
      <c r="K223" s="211">
        <v>8172.9927600000001</v>
      </c>
      <c r="L223" s="211">
        <v>7226.08176</v>
      </c>
      <c r="M223" s="211">
        <v>10455.351119999999</v>
      </c>
      <c r="N223" s="211">
        <v>8363.3440799999989</v>
      </c>
      <c r="O223" s="211">
        <v>9155.761199999999</v>
      </c>
      <c r="T223" s="143">
        <f>SUM(D223:Q223)</f>
        <v>117960.23651999998</v>
      </c>
      <c r="U223" s="138"/>
      <c r="V223" s="139"/>
      <c r="W223" s="143">
        <f>T223</f>
        <v>117960.23651999998</v>
      </c>
      <c r="X223" s="138"/>
    </row>
    <row r="224" spans="1:26" s="157" customFormat="1" ht="16.5" x14ac:dyDescent="0.35">
      <c r="A224" s="461"/>
      <c r="B224" s="144" t="s">
        <v>374</v>
      </c>
      <c r="C224" s="599"/>
      <c r="D224" s="212">
        <v>1015.5810000000001</v>
      </c>
      <c r="E224" s="212">
        <v>729.60720000000003</v>
      </c>
      <c r="F224" s="212">
        <v>793.47660000000008</v>
      </c>
      <c r="G224" s="212">
        <v>874.0326</v>
      </c>
      <c r="H224" s="212">
        <v>1028.2398000000001</v>
      </c>
      <c r="I224" s="212">
        <v>1519.056</v>
      </c>
      <c r="J224" s="212">
        <v>1383.837</v>
      </c>
      <c r="K224" s="212">
        <v>1904.5740000000001</v>
      </c>
      <c r="L224" s="212">
        <v>1444.8294000000001</v>
      </c>
      <c r="M224" s="212">
        <v>1505.8218000000002</v>
      </c>
      <c r="N224" s="212">
        <v>854.46900000000005</v>
      </c>
      <c r="O224" s="212">
        <v>760.10339999999997</v>
      </c>
      <c r="T224" s="143">
        <f>SUM(D224:Q224)</f>
        <v>13813.627800000002</v>
      </c>
      <c r="U224" s="138"/>
      <c r="V224" s="139"/>
      <c r="W224" s="146">
        <f>T224</f>
        <v>13813.627800000002</v>
      </c>
      <c r="X224" s="138"/>
    </row>
    <row r="225" spans="1:26" s="125" customFormat="1" x14ac:dyDescent="0.25">
      <c r="A225" s="461"/>
      <c r="C225" s="152"/>
      <c r="T225" s="139"/>
      <c r="U225" s="147"/>
      <c r="V225" s="139"/>
      <c r="W225" s="143">
        <f>SUM(W223:W224)</f>
        <v>131773.86431999999</v>
      </c>
      <c r="X225" s="138"/>
      <c r="Y225" s="157"/>
      <c r="Z225" s="157" t="s">
        <v>38</v>
      </c>
    </row>
    <row r="227" spans="1:26" s="128" customFormat="1" x14ac:dyDescent="0.25">
      <c r="A227" s="459">
        <v>23</v>
      </c>
      <c r="B227" s="127" t="s">
        <v>566</v>
      </c>
      <c r="C227" s="173"/>
      <c r="S227" s="129"/>
      <c r="T227" s="127" t="s">
        <v>566</v>
      </c>
      <c r="V227" s="129"/>
      <c r="Y227" s="166"/>
      <c r="Z227" s="166"/>
    </row>
    <row r="228" spans="1:26" s="125" customFormat="1" x14ac:dyDescent="0.25">
      <c r="A228" s="461"/>
      <c r="B228" s="130" t="s">
        <v>337</v>
      </c>
      <c r="C228" s="131">
        <v>42156</v>
      </c>
      <c r="D228" s="131">
        <v>42186</v>
      </c>
      <c r="E228" s="131">
        <v>42217</v>
      </c>
      <c r="F228" s="131">
        <v>42248</v>
      </c>
      <c r="G228" s="131">
        <v>42278</v>
      </c>
      <c r="H228" s="131">
        <v>42309</v>
      </c>
      <c r="I228" s="131">
        <v>42339</v>
      </c>
      <c r="J228" s="131">
        <v>42370</v>
      </c>
      <c r="K228" s="131">
        <v>42401</v>
      </c>
      <c r="L228" s="131">
        <v>42430</v>
      </c>
      <c r="M228" s="131">
        <v>42461</v>
      </c>
      <c r="N228" s="131">
        <v>42491</v>
      </c>
      <c r="O228" s="131">
        <v>42522</v>
      </c>
      <c r="P228" s="131">
        <v>42552</v>
      </c>
      <c r="Q228" s="151">
        <v>42583</v>
      </c>
      <c r="R228" s="131">
        <v>42627</v>
      </c>
      <c r="S228" s="132"/>
      <c r="T228" s="133" t="s">
        <v>338</v>
      </c>
      <c r="U228" s="134" t="s">
        <v>339</v>
      </c>
      <c r="V228" s="132"/>
      <c r="W228" s="133" t="s">
        <v>338</v>
      </c>
      <c r="X228" s="134" t="s">
        <v>339</v>
      </c>
      <c r="Y228" s="157"/>
      <c r="Z228" s="157"/>
    </row>
    <row r="229" spans="1:26" s="125" customFormat="1" x14ac:dyDescent="0.25">
      <c r="A229" s="461"/>
      <c r="B229" s="135" t="s">
        <v>340</v>
      </c>
      <c r="C229" s="556" t="s">
        <v>1217</v>
      </c>
      <c r="D229" s="449"/>
      <c r="E229" s="448"/>
      <c r="F229" s="136"/>
      <c r="G229" s="136"/>
      <c r="H229" s="136"/>
      <c r="I229" s="136"/>
      <c r="J229" s="136"/>
      <c r="K229" s="136"/>
      <c r="L229" s="136"/>
      <c r="M229" s="136"/>
      <c r="N229" s="136"/>
      <c r="O229" s="174"/>
      <c r="P229" s="174"/>
      <c r="Q229" s="174"/>
      <c r="T229" s="187">
        <f>SUM(F229:Q229)</f>
        <v>0</v>
      </c>
      <c r="U229" s="188" t="s">
        <v>341</v>
      </c>
      <c r="V229" s="157"/>
      <c r="W229" s="140">
        <f>T229*3413/1000000</f>
        <v>0</v>
      </c>
      <c r="X229" s="138" t="s">
        <v>342</v>
      </c>
      <c r="Y229" s="157"/>
      <c r="Z229" s="157"/>
    </row>
    <row r="230" spans="1:26" s="125" customFormat="1" x14ac:dyDescent="0.25">
      <c r="A230" s="461"/>
      <c r="B230" s="135" t="s">
        <v>345</v>
      </c>
      <c r="C230" s="556" t="s">
        <v>1217</v>
      </c>
      <c r="D230" s="450"/>
      <c r="E230" s="440"/>
      <c r="F230" s="141"/>
      <c r="G230" s="141"/>
      <c r="H230" s="154"/>
      <c r="I230" s="154"/>
      <c r="J230" s="154"/>
      <c r="K230" s="141"/>
      <c r="L230" s="154"/>
      <c r="M230" s="141"/>
      <c r="N230" s="141"/>
      <c r="O230" s="178"/>
      <c r="P230" s="178"/>
      <c r="Q230" s="178"/>
      <c r="T230" s="187">
        <f>SUM(F230:Q230)</f>
        <v>0</v>
      </c>
      <c r="U230" s="188" t="s">
        <v>346</v>
      </c>
      <c r="V230" s="157"/>
      <c r="W230" s="141">
        <f>T230</f>
        <v>0</v>
      </c>
      <c r="X230" s="188" t="s">
        <v>346</v>
      </c>
      <c r="Y230" s="157"/>
      <c r="Z230" s="157"/>
    </row>
    <row r="231" spans="1:26" s="125" customFormat="1" x14ac:dyDescent="0.25">
      <c r="A231" s="461"/>
      <c r="B231" s="135" t="s">
        <v>324</v>
      </c>
      <c r="C231" s="556" t="s">
        <v>1217</v>
      </c>
      <c r="D231" s="450"/>
      <c r="E231" s="440"/>
      <c r="F231" s="142"/>
      <c r="G231" s="142"/>
      <c r="H231" s="142"/>
      <c r="I231" s="142"/>
      <c r="J231" s="142"/>
      <c r="K231" s="142"/>
      <c r="L231" s="142"/>
      <c r="M231" s="142"/>
      <c r="N231" s="142"/>
      <c r="O231" s="176"/>
      <c r="P231" s="176"/>
      <c r="Q231" s="176"/>
      <c r="T231" s="189">
        <f>SUM(F231:Q231)</f>
        <v>0</v>
      </c>
      <c r="U231" s="188"/>
      <c r="V231" s="157"/>
      <c r="W231" s="190">
        <f>T231</f>
        <v>0</v>
      </c>
      <c r="X231" s="188"/>
      <c r="Y231" s="157"/>
      <c r="Z231" s="157"/>
    </row>
    <row r="233" spans="1:26" s="125" customFormat="1" x14ac:dyDescent="0.25">
      <c r="A233" s="461">
        <v>24</v>
      </c>
      <c r="B233" s="207" t="s">
        <v>405</v>
      </c>
      <c r="C233" s="152"/>
      <c r="E233" s="1345"/>
      <c r="S233" s="126"/>
      <c r="T233" s="207" t="s">
        <v>405</v>
      </c>
      <c r="V233" s="126"/>
      <c r="Y233" s="157"/>
      <c r="Z233" s="157"/>
    </row>
    <row r="234" spans="1:26" s="125" customFormat="1" x14ac:dyDescent="0.25">
      <c r="A234" s="461"/>
      <c r="B234" s="130" t="s">
        <v>337</v>
      </c>
      <c r="C234" s="131">
        <v>42156</v>
      </c>
      <c r="D234" s="131">
        <v>42186</v>
      </c>
      <c r="E234" s="131">
        <v>42217</v>
      </c>
      <c r="F234" s="131">
        <v>42248</v>
      </c>
      <c r="G234" s="131">
        <v>42278</v>
      </c>
      <c r="H234" s="131">
        <v>42309</v>
      </c>
      <c r="I234" s="131">
        <v>42339</v>
      </c>
      <c r="J234" s="131">
        <v>42370</v>
      </c>
      <c r="K234" s="131">
        <v>42401</v>
      </c>
      <c r="L234" s="131">
        <v>42430</v>
      </c>
      <c r="M234" s="131">
        <v>42461</v>
      </c>
      <c r="N234" s="131">
        <v>42491</v>
      </c>
      <c r="O234" s="131">
        <v>42522</v>
      </c>
      <c r="P234" s="131">
        <v>42552</v>
      </c>
      <c r="Q234" s="131">
        <v>42583</v>
      </c>
      <c r="R234" s="131">
        <v>42627</v>
      </c>
      <c r="S234" s="132"/>
      <c r="T234" s="133" t="s">
        <v>338</v>
      </c>
      <c r="U234" s="134" t="s">
        <v>339</v>
      </c>
      <c r="V234" s="132"/>
      <c r="W234" s="133" t="s">
        <v>338</v>
      </c>
      <c r="X234" s="134" t="s">
        <v>339</v>
      </c>
      <c r="Y234" s="157"/>
      <c r="Z234" s="157"/>
    </row>
    <row r="235" spans="1:26" s="125" customFormat="1" x14ac:dyDescent="0.25">
      <c r="A235" s="461"/>
      <c r="B235" s="135" t="s">
        <v>340</v>
      </c>
      <c r="C235" s="552"/>
      <c r="D235" s="440"/>
      <c r="E235" s="440"/>
      <c r="F235" s="136"/>
      <c r="G235" s="136"/>
      <c r="H235" s="136"/>
      <c r="I235" s="136"/>
      <c r="J235" s="136"/>
      <c r="K235" s="136"/>
      <c r="L235" s="136"/>
      <c r="M235" s="136"/>
      <c r="N235" s="136"/>
      <c r="O235" s="174" t="s">
        <v>1438</v>
      </c>
      <c r="P235" s="174"/>
      <c r="Q235" s="174"/>
      <c r="T235" s="137">
        <f>SUM(F235:Q235)</f>
        <v>0</v>
      </c>
      <c r="U235" s="138" t="s">
        <v>341</v>
      </c>
      <c r="V235" s="139"/>
      <c r="W235" s="140">
        <f>T235*3413/1000000</f>
        <v>0</v>
      </c>
      <c r="X235" s="138" t="s">
        <v>342</v>
      </c>
      <c r="Y235" s="157"/>
      <c r="Z235" s="157"/>
    </row>
    <row r="236" spans="1:26" s="125" customFormat="1" x14ac:dyDescent="0.25">
      <c r="A236" s="461"/>
      <c r="B236" s="135" t="s">
        <v>864</v>
      </c>
      <c r="C236" s="1258">
        <v>137</v>
      </c>
      <c r="D236" s="160">
        <v>189</v>
      </c>
      <c r="E236" s="160">
        <v>479</v>
      </c>
      <c r="F236" s="160">
        <v>583</v>
      </c>
      <c r="G236" s="160">
        <v>578</v>
      </c>
      <c r="H236" s="160">
        <v>545</v>
      </c>
      <c r="I236" s="160">
        <v>145</v>
      </c>
      <c r="J236" s="160">
        <v>693</v>
      </c>
      <c r="K236" s="160">
        <v>669</v>
      </c>
      <c r="L236" s="160">
        <v>868</v>
      </c>
      <c r="M236" s="160">
        <v>665</v>
      </c>
      <c r="N236" s="160">
        <v>98</v>
      </c>
      <c r="O236" s="178"/>
      <c r="P236" s="178"/>
      <c r="Q236" s="178"/>
      <c r="T236" s="137">
        <f>SUM(C236:N236)</f>
        <v>5649</v>
      </c>
      <c r="U236" s="138" t="s">
        <v>379</v>
      </c>
      <c r="V236" s="139"/>
      <c r="W236" s="137">
        <f>T236*748</f>
        <v>4225452</v>
      </c>
      <c r="X236" s="138" t="s">
        <v>346</v>
      </c>
      <c r="Y236" s="157"/>
      <c r="Z236" s="157"/>
    </row>
    <row r="237" spans="1:26" s="125" customFormat="1" x14ac:dyDescent="0.25">
      <c r="A237" s="461"/>
      <c r="B237" s="135" t="s">
        <v>324</v>
      </c>
      <c r="C237" s="552"/>
      <c r="D237" s="440"/>
      <c r="E237" s="440"/>
      <c r="F237" s="142"/>
      <c r="G237" s="142"/>
      <c r="H237" s="142"/>
      <c r="I237" s="142"/>
      <c r="J237" s="142"/>
      <c r="K237" s="142"/>
      <c r="L237" s="142"/>
      <c r="M237" s="142"/>
      <c r="N237" s="142"/>
      <c r="O237" s="176" t="s">
        <v>1438</v>
      </c>
      <c r="P237" s="176"/>
      <c r="Q237" s="176"/>
      <c r="T237" s="143">
        <f>SUM(F237:Q237)</f>
        <v>0</v>
      </c>
      <c r="U237" s="138"/>
      <c r="V237" s="139"/>
      <c r="W237" s="143">
        <f>T237</f>
        <v>0</v>
      </c>
      <c r="X237" s="138"/>
      <c r="Y237" s="157"/>
      <c r="Z237" s="157"/>
    </row>
    <row r="238" spans="1:26" s="125" customFormat="1" x14ac:dyDescent="0.25">
      <c r="A238" s="461"/>
      <c r="C238" s="152"/>
      <c r="S238" s="126"/>
      <c r="V238" s="126"/>
      <c r="Y238" s="157"/>
      <c r="Z238" s="157"/>
    </row>
    <row r="239" spans="1:26" s="125" customFormat="1" x14ac:dyDescent="0.25">
      <c r="A239" s="461">
        <v>25</v>
      </c>
      <c r="B239" s="148" t="s">
        <v>633</v>
      </c>
      <c r="C239" s="152"/>
      <c r="S239" s="126"/>
      <c r="T239" s="148" t="s">
        <v>633</v>
      </c>
      <c r="V239" s="126"/>
      <c r="Y239" s="157"/>
      <c r="Z239" s="157"/>
    </row>
    <row r="240" spans="1:26" s="125" customFormat="1" x14ac:dyDescent="0.25">
      <c r="A240" s="461"/>
      <c r="B240" s="130" t="s">
        <v>337</v>
      </c>
      <c r="C240" s="131">
        <v>42156</v>
      </c>
      <c r="D240" s="131">
        <v>42186</v>
      </c>
      <c r="E240" s="131">
        <v>42217</v>
      </c>
      <c r="F240" s="131">
        <v>42248</v>
      </c>
      <c r="G240" s="131">
        <v>42278</v>
      </c>
      <c r="H240" s="131">
        <v>42309</v>
      </c>
      <c r="I240" s="131">
        <v>42339</v>
      </c>
      <c r="J240" s="131">
        <v>42370</v>
      </c>
      <c r="K240" s="131">
        <v>42401</v>
      </c>
      <c r="L240" s="131">
        <v>42430</v>
      </c>
      <c r="M240" s="131">
        <v>42461</v>
      </c>
      <c r="N240" s="131">
        <v>42491</v>
      </c>
      <c r="O240" s="131">
        <v>42522</v>
      </c>
      <c r="P240" s="131">
        <v>42552</v>
      </c>
      <c r="Q240" s="151">
        <v>42583</v>
      </c>
      <c r="R240" s="131">
        <v>42627</v>
      </c>
      <c r="S240" s="132"/>
      <c r="T240" s="133" t="s">
        <v>338</v>
      </c>
      <c r="U240" s="134" t="s">
        <v>339</v>
      </c>
      <c r="V240" s="132"/>
      <c r="W240" s="133" t="s">
        <v>338</v>
      </c>
      <c r="X240" s="134" t="s">
        <v>339</v>
      </c>
      <c r="Y240" s="157"/>
      <c r="Z240" s="157"/>
    </row>
    <row r="241" spans="1:26" s="125" customFormat="1" x14ac:dyDescent="0.25">
      <c r="A241" s="461"/>
      <c r="B241" s="238" t="s">
        <v>409</v>
      </c>
      <c r="C241" s="152"/>
      <c r="D241" s="136">
        <v>40760</v>
      </c>
      <c r="E241" s="136">
        <v>51843</v>
      </c>
      <c r="F241" s="136">
        <v>57560</v>
      </c>
      <c r="G241" s="136">
        <v>58807</v>
      </c>
      <c r="H241" s="136">
        <v>54797</v>
      </c>
      <c r="I241" s="136">
        <v>49241</v>
      </c>
      <c r="J241" s="136">
        <v>50985</v>
      </c>
      <c r="K241" s="136">
        <v>51811</v>
      </c>
      <c r="L241" s="136">
        <v>53229.2</v>
      </c>
      <c r="M241" s="136">
        <v>56043.7</v>
      </c>
      <c r="N241" s="136">
        <v>51204.800000000003</v>
      </c>
      <c r="O241" s="136">
        <v>43161.1</v>
      </c>
      <c r="P241" s="174"/>
      <c r="T241" s="137">
        <f>SUM(D241:O241)</f>
        <v>619442.80000000005</v>
      </c>
      <c r="U241" s="138" t="s">
        <v>341</v>
      </c>
      <c r="V241" s="139"/>
      <c r="W241" s="140">
        <f>T241*3413/1000000</f>
        <v>2114.1582764</v>
      </c>
      <c r="X241" s="138" t="s">
        <v>342</v>
      </c>
      <c r="Y241" s="157"/>
      <c r="Z241" s="157"/>
    </row>
    <row r="242" spans="1:26" s="125" customFormat="1" x14ac:dyDescent="0.25">
      <c r="A242" s="461"/>
      <c r="B242" s="135" t="s">
        <v>345</v>
      </c>
      <c r="C242" s="152"/>
      <c r="D242" s="760">
        <v>9563</v>
      </c>
      <c r="E242" s="760">
        <v>176523</v>
      </c>
      <c r="F242" s="760">
        <v>176523</v>
      </c>
      <c r="G242" s="760">
        <v>219217</v>
      </c>
      <c r="H242" s="760">
        <v>114451</v>
      </c>
      <c r="I242" s="760">
        <v>114451</v>
      </c>
      <c r="J242" s="760">
        <v>114451</v>
      </c>
      <c r="K242" s="750">
        <v>200352</v>
      </c>
      <c r="L242" s="750">
        <v>110648</v>
      </c>
      <c r="M242" s="750">
        <v>266982</v>
      </c>
      <c r="N242" s="750">
        <v>251199</v>
      </c>
      <c r="O242" s="750">
        <v>251089</v>
      </c>
      <c r="P242" s="444"/>
      <c r="T242" s="137">
        <f>SUM(D242:O242)</f>
        <v>2005449</v>
      </c>
      <c r="U242" s="138" t="s">
        <v>346</v>
      </c>
      <c r="V242" s="139"/>
      <c r="W242" s="137">
        <f>T242</f>
        <v>2005449</v>
      </c>
      <c r="X242" s="138" t="s">
        <v>346</v>
      </c>
      <c r="Y242" s="157"/>
      <c r="Z242" s="157"/>
    </row>
    <row r="243" spans="1:26" s="125" customFormat="1" x14ac:dyDescent="0.25">
      <c r="A243" s="461"/>
      <c r="B243" s="238" t="s">
        <v>324</v>
      </c>
      <c r="C243" s="152"/>
      <c r="D243" s="731">
        <v>3713.22</v>
      </c>
      <c r="E243" s="731">
        <v>4608.8100000000004</v>
      </c>
      <c r="F243" s="731">
        <v>5289.79</v>
      </c>
      <c r="G243" s="731">
        <v>5345.56</v>
      </c>
      <c r="H243" s="731">
        <v>5030.38</v>
      </c>
      <c r="I243" s="731">
        <v>4554.79</v>
      </c>
      <c r="J243" s="731">
        <v>4797.6499999999996</v>
      </c>
      <c r="K243" s="731">
        <v>4787.3</v>
      </c>
      <c r="L243" s="731">
        <v>4897.09</v>
      </c>
      <c r="M243" s="731">
        <v>5195.25</v>
      </c>
      <c r="N243" s="731">
        <v>4741.5600000000004</v>
      </c>
      <c r="O243" s="731">
        <v>4009.67</v>
      </c>
      <c r="P243" s="444"/>
      <c r="T243" s="143">
        <f>SUM(D243:Q243)</f>
        <v>56971.070000000007</v>
      </c>
      <c r="U243" s="138"/>
      <c r="V243" s="139"/>
      <c r="W243" s="143">
        <f>T243</f>
        <v>56971.070000000007</v>
      </c>
      <c r="X243" s="138"/>
      <c r="Y243" s="157"/>
      <c r="Z243" s="157"/>
    </row>
    <row r="244" spans="1:26" s="125" customFormat="1" x14ac:dyDescent="0.25">
      <c r="A244" s="461"/>
      <c r="C244" s="152"/>
      <c r="S244" s="126"/>
      <c r="V244" s="126"/>
      <c r="Y244" s="157"/>
      <c r="Z244" s="157"/>
    </row>
    <row r="245" spans="1:26" s="125" customFormat="1" x14ac:dyDescent="0.25">
      <c r="A245" s="461"/>
      <c r="C245" s="152"/>
      <c r="S245" s="126"/>
      <c r="V245" s="126"/>
      <c r="Y245" s="157"/>
      <c r="Z245" s="157"/>
    </row>
    <row r="246" spans="1:26" s="128" customFormat="1" x14ac:dyDescent="0.25">
      <c r="A246" s="459">
        <v>26</v>
      </c>
      <c r="B246" s="172" t="s">
        <v>1218</v>
      </c>
      <c r="C246" s="173"/>
      <c r="E246" s="166"/>
      <c r="F246" s="166"/>
      <c r="G246" s="166"/>
      <c r="H246" s="166"/>
      <c r="I246" s="166"/>
      <c r="J246" s="166"/>
      <c r="K246" s="166"/>
      <c r="L246" s="166"/>
      <c r="M246" s="166"/>
      <c r="N246" s="166"/>
      <c r="O246" s="166"/>
      <c r="P246" s="166"/>
      <c r="S246" s="129"/>
      <c r="T246" s="172" t="s">
        <v>567</v>
      </c>
      <c r="V246" s="129"/>
      <c r="Y246" s="166"/>
      <c r="Z246" s="166"/>
    </row>
    <row r="247" spans="1:26" s="125" customFormat="1" x14ac:dyDescent="0.25">
      <c r="A247" s="461"/>
      <c r="B247" s="130" t="s">
        <v>337</v>
      </c>
      <c r="C247" s="131">
        <v>42156</v>
      </c>
      <c r="D247" s="131">
        <v>42186</v>
      </c>
      <c r="E247" s="131">
        <v>42217</v>
      </c>
      <c r="F247" s="131">
        <v>42248</v>
      </c>
      <c r="G247" s="131">
        <v>42278</v>
      </c>
      <c r="H247" s="131">
        <v>42309</v>
      </c>
      <c r="I247" s="131">
        <v>42339</v>
      </c>
      <c r="J247" s="131">
        <v>42370</v>
      </c>
      <c r="K247" s="131">
        <v>42401</v>
      </c>
      <c r="L247" s="131">
        <v>42430</v>
      </c>
      <c r="M247" s="131">
        <v>42461</v>
      </c>
      <c r="N247" s="131">
        <v>42491</v>
      </c>
      <c r="O247" s="131">
        <v>42522</v>
      </c>
      <c r="P247" s="131">
        <v>42552</v>
      </c>
      <c r="Q247" s="151">
        <v>42583</v>
      </c>
      <c r="R247" s="131">
        <v>42627</v>
      </c>
      <c r="S247" s="132"/>
      <c r="T247" s="133" t="s">
        <v>338</v>
      </c>
      <c r="U247" s="134" t="s">
        <v>339</v>
      </c>
      <c r="V247" s="132"/>
      <c r="W247" s="133" t="s">
        <v>338</v>
      </c>
      <c r="X247" s="134" t="s">
        <v>339</v>
      </c>
      <c r="Y247" s="157"/>
      <c r="Z247" s="157"/>
    </row>
    <row r="248" spans="1:26" s="157" customFormat="1" x14ac:dyDescent="0.25">
      <c r="A248" s="461"/>
      <c r="B248" s="135" t="s">
        <v>319</v>
      </c>
      <c r="C248" s="599"/>
      <c r="D248" s="1253"/>
      <c r="E248" s="1253"/>
      <c r="F248" s="1253"/>
      <c r="G248" s="1253"/>
      <c r="H248" s="1253"/>
      <c r="I248" s="1253"/>
      <c r="J248" s="1253"/>
      <c r="K248" s="1253"/>
      <c r="L248" s="1253"/>
      <c r="M248" s="1253"/>
      <c r="N248" s="1253"/>
      <c r="O248" s="1253"/>
      <c r="P248" s="174"/>
      <c r="Q248" s="174"/>
      <c r="T248" s="141">
        <f>SUM(D248:Q248)</f>
        <v>0</v>
      </c>
      <c r="U248" s="188" t="s">
        <v>341</v>
      </c>
      <c r="W248" s="140">
        <f>T248*3413/1000000</f>
        <v>0</v>
      </c>
      <c r="X248" s="138" t="s">
        <v>342</v>
      </c>
    </row>
    <row r="249" spans="1:26" s="157" customFormat="1" x14ac:dyDescent="0.25">
      <c r="A249" s="461"/>
      <c r="B249" s="135" t="s">
        <v>1207</v>
      </c>
      <c r="C249" s="599"/>
      <c r="D249" s="1254"/>
      <c r="E249" s="1254"/>
      <c r="F249" s="1254"/>
      <c r="G249" s="1254"/>
      <c r="H249" s="1254"/>
      <c r="I249" s="1254"/>
      <c r="J249" s="1254"/>
      <c r="K249" s="1254"/>
      <c r="L249" s="1254"/>
      <c r="M249" s="1254"/>
      <c r="N249" s="1254"/>
      <c r="O249" s="1254"/>
      <c r="P249" s="174"/>
      <c r="Q249" s="174"/>
      <c r="T249" s="141">
        <f>SUM(D249:Q249)</f>
        <v>0</v>
      </c>
      <c r="U249" s="138" t="s">
        <v>497</v>
      </c>
      <c r="W249" s="160">
        <f>T249/1000</f>
        <v>0</v>
      </c>
      <c r="X249" s="138" t="s">
        <v>342</v>
      </c>
    </row>
    <row r="250" spans="1:26" s="157" customFormat="1" x14ac:dyDescent="0.25">
      <c r="A250" s="461"/>
      <c r="B250" s="192" t="s">
        <v>323</v>
      </c>
      <c r="C250" s="599"/>
      <c r="D250" s="1254"/>
      <c r="E250" s="1254"/>
      <c r="F250" s="1254"/>
      <c r="G250" s="1254"/>
      <c r="H250" s="1254"/>
      <c r="I250" s="1254"/>
      <c r="J250" s="1254"/>
      <c r="K250" s="1254"/>
      <c r="L250" s="1254"/>
      <c r="M250" s="1254"/>
      <c r="N250" s="1254"/>
      <c r="O250" s="1254"/>
      <c r="P250" s="178"/>
      <c r="Q250" s="178"/>
      <c r="T250" s="141">
        <f>SUM(D250:Q250)</f>
        <v>0</v>
      </c>
      <c r="U250" s="188" t="s">
        <v>397</v>
      </c>
      <c r="W250" s="160">
        <f>T250*0.012</f>
        <v>0</v>
      </c>
      <c r="X250" s="138" t="s">
        <v>342</v>
      </c>
      <c r="Y250" s="495">
        <f>W248+W249+W250</f>
        <v>0</v>
      </c>
      <c r="Z250" s="138" t="s">
        <v>342</v>
      </c>
    </row>
    <row r="251" spans="1:26" s="157" customFormat="1" x14ac:dyDescent="0.25">
      <c r="A251" s="461"/>
      <c r="B251" s="135" t="s">
        <v>322</v>
      </c>
      <c r="C251" s="599"/>
      <c r="D251" s="1253"/>
      <c r="E251" s="1253"/>
      <c r="F251" s="1253"/>
      <c r="G251" s="1253"/>
      <c r="H251" s="1253"/>
      <c r="I251" s="1253"/>
      <c r="J251" s="1253"/>
      <c r="K251" s="1253"/>
      <c r="L251" s="1253"/>
      <c r="M251" s="1253"/>
      <c r="N251" s="1253"/>
      <c r="O251" s="1253"/>
      <c r="P251" s="178"/>
      <c r="Q251" s="178"/>
      <c r="T251" s="141">
        <f>SUM(D251:Q251)</f>
        <v>0</v>
      </c>
      <c r="U251" s="188" t="s">
        <v>346</v>
      </c>
      <c r="W251" s="141">
        <f>T251</f>
        <v>0</v>
      </c>
      <c r="X251" s="188" t="s">
        <v>346</v>
      </c>
    </row>
    <row r="252" spans="1:26" s="157" customFormat="1" x14ac:dyDescent="0.25">
      <c r="A252" s="461"/>
      <c r="B252" s="135" t="s">
        <v>324</v>
      </c>
      <c r="C252" s="599"/>
      <c r="D252" s="1255"/>
      <c r="E252" s="1255"/>
      <c r="F252" s="1255"/>
      <c r="G252" s="1255"/>
      <c r="H252" s="1255"/>
      <c r="I252" s="1255"/>
      <c r="J252" s="1255"/>
      <c r="K252" s="1255"/>
      <c r="L252" s="1255"/>
      <c r="M252" s="1255"/>
      <c r="N252" s="1255"/>
      <c r="O252" s="1255"/>
      <c r="P252" s="176"/>
      <c r="Q252" s="176"/>
      <c r="T252" s="171">
        <f>SUM(D252:Q252)</f>
        <v>0</v>
      </c>
      <c r="U252" s="188"/>
      <c r="W252" s="190">
        <f>T252</f>
        <v>0</v>
      </c>
      <c r="X252" s="188"/>
    </row>
    <row r="253" spans="1:26" s="157" customFormat="1" x14ac:dyDescent="0.25">
      <c r="A253" s="461"/>
      <c r="B253" s="204" t="s">
        <v>819</v>
      </c>
      <c r="C253" s="599"/>
      <c r="D253" s="145"/>
      <c r="E253" s="145"/>
      <c r="F253" s="145"/>
      <c r="G253" s="145"/>
      <c r="H253" s="145"/>
      <c r="I253" s="145"/>
      <c r="J253" s="145"/>
      <c r="K253" s="145"/>
      <c r="L253" s="145"/>
      <c r="M253" s="145"/>
      <c r="N253" s="145"/>
      <c r="O253" s="145"/>
      <c r="P253" s="184"/>
      <c r="Q253" s="184"/>
      <c r="T253" s="171">
        <f>SUM(D253:O253)</f>
        <v>0</v>
      </c>
      <c r="U253" s="188"/>
      <c r="W253" s="190">
        <f>T253</f>
        <v>0</v>
      </c>
      <c r="X253" s="188"/>
    </row>
    <row r="254" spans="1:26" s="157" customFormat="1" ht="16.5" x14ac:dyDescent="0.35">
      <c r="A254" s="461"/>
      <c r="B254" s="195" t="s">
        <v>398</v>
      </c>
      <c r="C254" s="599"/>
      <c r="D254" s="1255"/>
      <c r="E254" s="1255"/>
      <c r="F254" s="1255"/>
      <c r="G254" s="1255"/>
      <c r="H254" s="1255"/>
      <c r="I254" s="1255"/>
      <c r="J254" s="1255"/>
      <c r="K254" s="1255"/>
      <c r="L254" s="1255"/>
      <c r="M254" s="1255"/>
      <c r="N254" s="1255"/>
      <c r="O254" s="1255"/>
      <c r="P254" s="446"/>
      <c r="Q254" s="446"/>
      <c r="T254" s="171">
        <f>SUM(D254:O254)</f>
        <v>0</v>
      </c>
      <c r="U254" s="188"/>
      <c r="W254" s="197">
        <f>T254</f>
        <v>0</v>
      </c>
      <c r="X254" s="188"/>
    </row>
    <row r="255" spans="1:26" s="125" customFormat="1" x14ac:dyDescent="0.25">
      <c r="A255" s="461"/>
      <c r="B255" s="205"/>
      <c r="C255" s="152"/>
      <c r="E255" s="201"/>
      <c r="F255" s="206"/>
      <c r="G255" s="202"/>
      <c r="H255" s="203"/>
      <c r="I255" s="203"/>
      <c r="J255" s="203"/>
      <c r="K255" s="203"/>
      <c r="L255" s="203"/>
      <c r="M255" s="203"/>
      <c r="N255" s="203"/>
      <c r="O255" s="203"/>
      <c r="P255" s="203"/>
      <c r="U255" s="126"/>
      <c r="W255" s="190">
        <f>SUM(W252:W254)</f>
        <v>0</v>
      </c>
      <c r="X255" s="450"/>
      <c r="Y255" s="157"/>
      <c r="Z255" s="157"/>
    </row>
    <row r="256" spans="1:26" s="125" customFormat="1" x14ac:dyDescent="0.25">
      <c r="A256" s="461"/>
      <c r="B256" s="205"/>
      <c r="C256" s="152"/>
      <c r="E256" s="201"/>
      <c r="F256" s="206"/>
      <c r="G256" s="202"/>
      <c r="H256" s="203"/>
      <c r="I256" s="203"/>
      <c r="J256" s="203"/>
      <c r="K256" s="203"/>
      <c r="L256" s="203"/>
      <c r="M256" s="203"/>
      <c r="N256" s="203"/>
      <c r="O256" s="203"/>
      <c r="P256" s="203"/>
      <c r="U256" s="126"/>
      <c r="W256" s="447"/>
      <c r="X256" s="126"/>
      <c r="Y256" s="157"/>
      <c r="Z256" s="157"/>
    </row>
    <row r="257" spans="1:26" s="125" customFormat="1" x14ac:dyDescent="0.25">
      <c r="A257" s="461">
        <v>27</v>
      </c>
      <c r="B257" s="207" t="s">
        <v>568</v>
      </c>
      <c r="C257" s="152"/>
      <c r="E257" s="1345"/>
      <c r="S257" s="126"/>
      <c r="T257" s="207" t="s">
        <v>568</v>
      </c>
      <c r="V257" s="126"/>
      <c r="Y257" s="157"/>
      <c r="Z257" s="157"/>
    </row>
    <row r="258" spans="1:26" s="125" customFormat="1" x14ac:dyDescent="0.25">
      <c r="A258" s="461"/>
      <c r="B258" s="130" t="s">
        <v>337</v>
      </c>
      <c r="C258" s="131">
        <v>42156</v>
      </c>
      <c r="D258" s="131">
        <v>42186</v>
      </c>
      <c r="E258" s="131">
        <v>42217</v>
      </c>
      <c r="F258" s="131">
        <v>42248</v>
      </c>
      <c r="G258" s="131">
        <v>42278</v>
      </c>
      <c r="H258" s="131">
        <v>42309</v>
      </c>
      <c r="I258" s="131">
        <v>42339</v>
      </c>
      <c r="J258" s="131">
        <v>42370</v>
      </c>
      <c r="K258" s="131">
        <v>42401</v>
      </c>
      <c r="L258" s="131">
        <v>42430</v>
      </c>
      <c r="M258" s="131">
        <v>42461</v>
      </c>
      <c r="N258" s="131">
        <v>42491</v>
      </c>
      <c r="O258" s="560">
        <v>42522</v>
      </c>
      <c r="P258" s="131">
        <v>42552</v>
      </c>
      <c r="Q258" s="131">
        <v>42583</v>
      </c>
      <c r="R258" s="131">
        <v>42627</v>
      </c>
      <c r="S258" s="132"/>
      <c r="T258" s="133" t="s">
        <v>338</v>
      </c>
      <c r="U258" s="134" t="s">
        <v>339</v>
      </c>
      <c r="V258" s="132"/>
      <c r="W258" s="133" t="s">
        <v>338</v>
      </c>
      <c r="X258" s="134" t="s">
        <v>339</v>
      </c>
      <c r="Y258" s="157"/>
      <c r="Z258" s="157"/>
    </row>
    <row r="259" spans="1:26" s="125" customFormat="1" x14ac:dyDescent="0.25">
      <c r="A259" s="461"/>
      <c r="B259" s="135" t="s">
        <v>340</v>
      </c>
      <c r="C259" s="552"/>
      <c r="D259" s="440"/>
      <c r="E259" s="440"/>
      <c r="F259" s="136"/>
      <c r="G259" s="136"/>
      <c r="H259" s="136"/>
      <c r="I259" s="136"/>
      <c r="J259" s="136"/>
      <c r="K259" s="136"/>
      <c r="L259" s="136"/>
      <c r="M259" s="136"/>
      <c r="N259" s="136"/>
      <c r="O259" s="174" t="s">
        <v>1438</v>
      </c>
      <c r="P259" s="174"/>
      <c r="Q259" s="174"/>
      <c r="T259" s="137">
        <f>SUM(C259:N259)</f>
        <v>0</v>
      </c>
      <c r="U259" s="138" t="s">
        <v>341</v>
      </c>
      <c r="V259" s="139"/>
      <c r="W259" s="140">
        <f>T259*3413/1000000</f>
        <v>0</v>
      </c>
      <c r="X259" s="138" t="s">
        <v>342</v>
      </c>
      <c r="Y259" s="157"/>
      <c r="Z259" s="157"/>
    </row>
    <row r="260" spans="1:26" s="157" customFormat="1" x14ac:dyDescent="0.25">
      <c r="A260" s="461"/>
      <c r="B260" s="135" t="s">
        <v>372</v>
      </c>
      <c r="C260" s="1323">
        <v>850</v>
      </c>
      <c r="D260" s="209">
        <v>205</v>
      </c>
      <c r="E260" s="209">
        <v>237</v>
      </c>
      <c r="F260" s="209">
        <v>1123</v>
      </c>
      <c r="G260" s="209">
        <v>1576</v>
      </c>
      <c r="H260" s="209">
        <v>3001</v>
      </c>
      <c r="I260" s="209">
        <v>4718</v>
      </c>
      <c r="J260" s="209">
        <v>5697</v>
      </c>
      <c r="K260" s="209">
        <v>6373</v>
      </c>
      <c r="L260" s="209">
        <v>4261</v>
      </c>
      <c r="M260" s="209">
        <v>3275</v>
      </c>
      <c r="N260" s="209">
        <v>1851</v>
      </c>
      <c r="O260" s="1692"/>
      <c r="T260" s="137">
        <f>SUM(C260:N260)</f>
        <v>33167</v>
      </c>
      <c r="U260" s="138" t="s">
        <v>354</v>
      </c>
      <c r="V260" s="139"/>
      <c r="W260" s="140">
        <f>T260*99976.124488/1000000</f>
        <v>3315.9081208934958</v>
      </c>
      <c r="X260" s="138" t="s">
        <v>342</v>
      </c>
      <c r="Y260" s="495">
        <f>W259+W260</f>
        <v>3315.9081208934958</v>
      </c>
      <c r="Z260" s="153" t="s">
        <v>649</v>
      </c>
    </row>
    <row r="261" spans="1:26" s="125" customFormat="1" x14ac:dyDescent="0.25">
      <c r="A261" s="461"/>
      <c r="B261" s="135" t="s">
        <v>864</v>
      </c>
      <c r="C261" s="552"/>
      <c r="D261" s="153">
        <v>398</v>
      </c>
      <c r="E261" s="440"/>
      <c r="F261" s="141">
        <v>211</v>
      </c>
      <c r="G261" s="141"/>
      <c r="H261" s="141">
        <v>222</v>
      </c>
      <c r="I261" s="141"/>
      <c r="J261" s="141">
        <v>108</v>
      </c>
      <c r="K261" s="141"/>
      <c r="L261" s="141">
        <v>157</v>
      </c>
      <c r="M261" s="141"/>
      <c r="N261" s="141">
        <v>222</v>
      </c>
      <c r="O261" s="178"/>
      <c r="P261" s="178"/>
      <c r="Q261" s="178"/>
      <c r="T261" s="137">
        <f>SUM(C261:N261)</f>
        <v>1318</v>
      </c>
      <c r="U261" s="138" t="s">
        <v>379</v>
      </c>
      <c r="V261" s="139"/>
      <c r="W261" s="137">
        <f>T261*748</f>
        <v>985864</v>
      </c>
      <c r="X261" s="138" t="s">
        <v>346</v>
      </c>
      <c r="Y261" s="157"/>
      <c r="Z261" s="157"/>
    </row>
    <row r="262" spans="1:26" s="125" customFormat="1" x14ac:dyDescent="0.25">
      <c r="A262" s="461"/>
      <c r="B262" s="135" t="s">
        <v>324</v>
      </c>
      <c r="C262" s="552"/>
      <c r="D262" s="440"/>
      <c r="E262" s="440"/>
      <c r="F262" s="142"/>
      <c r="G262" s="142"/>
      <c r="H262" s="142"/>
      <c r="I262" s="142"/>
      <c r="J262" s="142"/>
      <c r="K262" s="142"/>
      <c r="L262" s="142"/>
      <c r="M262" s="142"/>
      <c r="N262" s="142"/>
      <c r="O262" s="174" t="s">
        <v>1438</v>
      </c>
      <c r="P262" s="176"/>
      <c r="Q262" s="176"/>
      <c r="T262" s="143">
        <f>SUM(C262:N262)</f>
        <v>0</v>
      </c>
      <c r="U262" s="138"/>
      <c r="V262" s="139"/>
      <c r="W262" s="143">
        <f>T262</f>
        <v>0</v>
      </c>
      <c r="X262" s="138"/>
      <c r="Y262" s="157"/>
      <c r="Z262" s="157"/>
    </row>
    <row r="263" spans="1:26" s="157" customFormat="1" ht="16.5" x14ac:dyDescent="0.35">
      <c r="A263" s="461"/>
      <c r="B263" s="144" t="s">
        <v>374</v>
      </c>
      <c r="C263" s="198">
        <v>623.39</v>
      </c>
      <c r="D263" s="1693">
        <v>181.27</v>
      </c>
      <c r="E263" s="1693">
        <v>203.98000000000002</v>
      </c>
      <c r="F263" s="1693">
        <v>799.83999999999992</v>
      </c>
      <c r="G263" s="1693">
        <v>1094.3899999999999</v>
      </c>
      <c r="H263" s="1693">
        <v>1918.77</v>
      </c>
      <c r="I263" s="1693">
        <v>2902.32</v>
      </c>
      <c r="J263" s="1693">
        <v>3269.7999999999997</v>
      </c>
      <c r="K263" s="1693">
        <v>3521.96</v>
      </c>
      <c r="L263" s="1693">
        <v>2416.6999999999998</v>
      </c>
      <c r="M263" s="1693">
        <v>1935.2600000000002</v>
      </c>
      <c r="N263" s="1693">
        <v>1137.99</v>
      </c>
      <c r="O263" s="1691"/>
      <c r="T263" s="143">
        <f>SUM(C263:N263)</f>
        <v>20005.670000000002</v>
      </c>
      <c r="U263" s="138"/>
      <c r="V263" s="139"/>
      <c r="W263" s="146">
        <f>T263</f>
        <v>20005.670000000002</v>
      </c>
      <c r="X263" s="138"/>
    </row>
    <row r="264" spans="1:26" s="125" customFormat="1" x14ac:dyDescent="0.25">
      <c r="A264" s="461"/>
      <c r="B264" s="183"/>
      <c r="C264" s="152"/>
      <c r="F264" s="176"/>
      <c r="G264" s="176"/>
      <c r="H264" s="176"/>
      <c r="I264" s="176"/>
      <c r="J264" s="176"/>
      <c r="K264" s="176"/>
      <c r="L264" s="176"/>
      <c r="M264" s="176"/>
      <c r="N264" s="176"/>
      <c r="O264" s="176"/>
      <c r="P264" s="176"/>
      <c r="Q264" s="176"/>
      <c r="T264" s="149"/>
      <c r="U264" s="150"/>
      <c r="V264" s="139"/>
      <c r="W264" s="143">
        <f>SUM(W262:W263)</f>
        <v>20005.670000000002</v>
      </c>
      <c r="X264" s="138"/>
      <c r="Y264" s="157"/>
      <c r="Z264" s="157"/>
    </row>
    <row r="265" spans="1:26" s="125" customFormat="1" x14ac:dyDescent="0.25">
      <c r="A265" s="461"/>
      <c r="C265" s="152"/>
      <c r="S265" s="126"/>
      <c r="V265" s="126"/>
      <c r="Y265" s="157"/>
      <c r="Z265" s="157"/>
    </row>
    <row r="266" spans="1:26" s="125" customFormat="1" x14ac:dyDescent="0.25">
      <c r="A266" s="461">
        <v>28</v>
      </c>
      <c r="B266" s="148" t="s">
        <v>569</v>
      </c>
      <c r="C266" s="152"/>
      <c r="E266" s="157"/>
      <c r="F266" s="157"/>
      <c r="G266" s="157"/>
      <c r="H266" s="157"/>
      <c r="I266" s="157"/>
      <c r="J266" s="157"/>
      <c r="K266" s="157"/>
      <c r="L266" s="157"/>
      <c r="M266" s="157"/>
      <c r="N266" s="157"/>
      <c r="O266" s="157"/>
      <c r="P266" s="157"/>
      <c r="S266" s="126"/>
      <c r="T266" s="148" t="s">
        <v>569</v>
      </c>
      <c r="V266" s="126"/>
      <c r="Y266" s="157"/>
      <c r="Z266" s="157"/>
    </row>
    <row r="267" spans="1:26" s="125" customFormat="1" x14ac:dyDescent="0.25">
      <c r="A267" s="461"/>
      <c r="B267" s="130" t="s">
        <v>337</v>
      </c>
      <c r="C267" s="131">
        <v>42156</v>
      </c>
      <c r="D267" s="131">
        <v>42186</v>
      </c>
      <c r="E267" s="131">
        <v>42217</v>
      </c>
      <c r="F267" s="131">
        <v>42248</v>
      </c>
      <c r="G267" s="131">
        <v>42278</v>
      </c>
      <c r="H267" s="131">
        <v>42309</v>
      </c>
      <c r="I267" s="131">
        <v>42339</v>
      </c>
      <c r="J267" s="131">
        <v>42370</v>
      </c>
      <c r="K267" s="131">
        <v>42401</v>
      </c>
      <c r="L267" s="131">
        <v>42430</v>
      </c>
      <c r="M267" s="131">
        <v>42461</v>
      </c>
      <c r="N267" s="131">
        <v>42491</v>
      </c>
      <c r="O267" s="131">
        <v>42522</v>
      </c>
      <c r="P267" s="131">
        <v>42552</v>
      </c>
      <c r="Q267" s="151">
        <v>42583</v>
      </c>
      <c r="R267" s="131">
        <v>42627</v>
      </c>
      <c r="S267" s="132"/>
      <c r="T267" s="133" t="s">
        <v>338</v>
      </c>
      <c r="U267" s="134" t="s">
        <v>339</v>
      </c>
      <c r="V267" s="132"/>
      <c r="W267" s="133" t="s">
        <v>338</v>
      </c>
      <c r="X267" s="134" t="s">
        <v>339</v>
      </c>
      <c r="Y267" s="157"/>
      <c r="Z267" s="157"/>
    </row>
    <row r="268" spans="1:26" s="157" customFormat="1" x14ac:dyDescent="0.25">
      <c r="A268" s="461"/>
      <c r="B268" s="135" t="s">
        <v>319</v>
      </c>
      <c r="C268" s="599"/>
      <c r="D268" s="160">
        <v>195786.52</v>
      </c>
      <c r="E268" s="160">
        <v>193318.21</v>
      </c>
      <c r="F268" s="558">
        <v>190165.6</v>
      </c>
      <c r="G268" s="558">
        <v>186489.03</v>
      </c>
      <c r="H268" s="558">
        <v>179960.13</v>
      </c>
      <c r="I268" s="558">
        <v>192952.99</v>
      </c>
      <c r="J268" s="558">
        <v>196114.78</v>
      </c>
      <c r="K268" s="558">
        <v>190897.88</v>
      </c>
      <c r="L268" s="558">
        <v>201911.74</v>
      </c>
      <c r="M268" s="558">
        <v>192422.26</v>
      </c>
      <c r="N268" s="558">
        <v>199238.14</v>
      </c>
      <c r="O268" s="558">
        <v>200415.37</v>
      </c>
      <c r="P268" s="1340"/>
      <c r="Q268" s="456"/>
      <c r="R268" s="554"/>
      <c r="T268" s="141">
        <f t="shared" ref="T268:T274" si="13">SUM(D268:O268)</f>
        <v>2319672.6500000004</v>
      </c>
      <c r="U268" s="188" t="s">
        <v>341</v>
      </c>
      <c r="W268" s="140">
        <f>T268*3413/1000000</f>
        <v>7917.0427544500017</v>
      </c>
      <c r="X268" s="138" t="s">
        <v>342</v>
      </c>
    </row>
    <row r="269" spans="1:26" s="157" customFormat="1" x14ac:dyDescent="0.25">
      <c r="A269" s="461"/>
      <c r="B269" s="192" t="s">
        <v>323</v>
      </c>
      <c r="C269" s="599"/>
      <c r="D269" s="160">
        <v>130223</v>
      </c>
      <c r="E269" s="160">
        <v>117883</v>
      </c>
      <c r="F269" s="160">
        <v>112675</v>
      </c>
      <c r="G269" s="160">
        <v>61763</v>
      </c>
      <c r="H269" s="160">
        <v>47561</v>
      </c>
      <c r="I269" s="160">
        <v>40723</v>
      </c>
      <c r="J269" s="160">
        <v>20532</v>
      </c>
      <c r="K269" s="160">
        <v>22875</v>
      </c>
      <c r="L269" s="160">
        <v>50367</v>
      </c>
      <c r="M269" s="160">
        <v>48735</v>
      </c>
      <c r="N269" s="160">
        <v>67625</v>
      </c>
      <c r="O269" s="160">
        <v>117328</v>
      </c>
      <c r="P269" s="178"/>
      <c r="Q269" s="178"/>
      <c r="R269" s="554"/>
      <c r="T269" s="141">
        <f t="shared" si="13"/>
        <v>838290</v>
      </c>
      <c r="U269" s="188" t="s">
        <v>397</v>
      </c>
      <c r="W269" s="160">
        <f>T269*0.012</f>
        <v>10059.48</v>
      </c>
      <c r="X269" s="138" t="s">
        <v>342</v>
      </c>
    </row>
    <row r="270" spans="1:26" s="157" customFormat="1" x14ac:dyDescent="0.25">
      <c r="A270" s="461"/>
      <c r="B270" s="192" t="s">
        <v>641</v>
      </c>
      <c r="C270" s="599"/>
      <c r="D270" s="136">
        <v>459</v>
      </c>
      <c r="E270" s="136">
        <v>1155</v>
      </c>
      <c r="F270" s="141">
        <v>1487</v>
      </c>
      <c r="G270" s="141">
        <v>1719</v>
      </c>
      <c r="H270" s="141">
        <v>1745</v>
      </c>
      <c r="I270" s="141">
        <v>2025</v>
      </c>
      <c r="J270" s="141">
        <v>3795</v>
      </c>
      <c r="K270" s="141">
        <v>3764</v>
      </c>
      <c r="L270" s="141">
        <v>2144</v>
      </c>
      <c r="M270" s="141">
        <v>1803</v>
      </c>
      <c r="N270" s="141">
        <v>1378</v>
      </c>
      <c r="O270" s="141">
        <v>1420</v>
      </c>
      <c r="P270" s="178"/>
      <c r="Q270" s="178"/>
      <c r="R270" s="554"/>
      <c r="T270" s="141">
        <f t="shared" si="13"/>
        <v>22894</v>
      </c>
      <c r="U270" s="188" t="s">
        <v>354</v>
      </c>
      <c r="W270" s="140">
        <f>T270*99976.124488/1000000</f>
        <v>2288.8533940282723</v>
      </c>
      <c r="X270" s="138" t="s">
        <v>342</v>
      </c>
      <c r="Y270" s="495">
        <f>W268+W269+W270</f>
        <v>20265.376148478274</v>
      </c>
      <c r="Z270" s="138" t="s">
        <v>342</v>
      </c>
    </row>
    <row r="271" spans="1:26" s="157" customFormat="1" x14ac:dyDescent="0.25">
      <c r="A271" s="461"/>
      <c r="B271" s="135" t="s">
        <v>322</v>
      </c>
      <c r="C271" s="599"/>
      <c r="D271" s="160" t="s">
        <v>1217</v>
      </c>
      <c r="E271" s="160"/>
      <c r="F271" s="160"/>
      <c r="G271" s="160"/>
      <c r="H271" s="160"/>
      <c r="I271" s="160"/>
      <c r="J271" s="160"/>
      <c r="K271" s="160"/>
      <c r="L271" s="160"/>
      <c r="M271" s="160"/>
      <c r="N271" s="160"/>
      <c r="O271" s="160"/>
      <c r="P271" s="178"/>
      <c r="Q271" s="178"/>
      <c r="R271" s="554"/>
      <c r="T271" s="141">
        <f t="shared" si="13"/>
        <v>0</v>
      </c>
      <c r="U271" s="188" t="s">
        <v>346</v>
      </c>
      <c r="W271" s="141">
        <f>T271</f>
        <v>0</v>
      </c>
      <c r="X271" s="188" t="s">
        <v>346</v>
      </c>
    </row>
    <row r="272" spans="1:26" s="157" customFormat="1" x14ac:dyDescent="0.25">
      <c r="A272" s="461"/>
      <c r="B272" s="135" t="s">
        <v>324</v>
      </c>
      <c r="C272" s="599"/>
      <c r="D272" s="1059">
        <v>17180.267129999997</v>
      </c>
      <c r="E272" s="1059">
        <v>16963.6729275</v>
      </c>
      <c r="F272" s="1059">
        <v>16687.0314</v>
      </c>
      <c r="G272" s="1059">
        <v>16364.412382499999</v>
      </c>
      <c r="H272" s="1059">
        <v>15791.5014075</v>
      </c>
      <c r="I272" s="1059">
        <v>16931.624872499997</v>
      </c>
      <c r="J272" s="1059">
        <v>17209.071945</v>
      </c>
      <c r="K272" s="1059">
        <v>16751.288969999998</v>
      </c>
      <c r="L272" s="1059">
        <v>17717.755184999998</v>
      </c>
      <c r="M272" s="1059">
        <v>16885.053315000001</v>
      </c>
      <c r="N272" s="1059">
        <v>17483.146785000001</v>
      </c>
      <c r="O272" s="1059">
        <v>17586.448717499999</v>
      </c>
      <c r="P272" s="176"/>
      <c r="Q272" s="176"/>
      <c r="R272" s="554"/>
      <c r="T272" s="141">
        <f t="shared" si="13"/>
        <v>203551.27503749996</v>
      </c>
      <c r="U272" s="188"/>
      <c r="W272" s="190">
        <f>T272</f>
        <v>203551.27503749996</v>
      </c>
      <c r="X272" s="188"/>
    </row>
    <row r="273" spans="1:26" s="157" customFormat="1" x14ac:dyDescent="0.25">
      <c r="A273" s="461"/>
      <c r="B273" s="195" t="s">
        <v>398</v>
      </c>
      <c r="C273" s="599"/>
      <c r="D273" s="153" t="s">
        <v>1217</v>
      </c>
      <c r="E273" s="153"/>
      <c r="F273" s="198"/>
      <c r="G273" s="198"/>
      <c r="H273" s="198"/>
      <c r="I273" s="198"/>
      <c r="J273" s="198"/>
      <c r="K273" s="198"/>
      <c r="L273" s="198"/>
      <c r="M273" s="198"/>
      <c r="N273" s="198"/>
      <c r="O273" s="198"/>
      <c r="P273" s="446"/>
      <c r="Q273" s="446"/>
      <c r="R273" s="554"/>
      <c r="T273" s="141">
        <f t="shared" si="13"/>
        <v>0</v>
      </c>
      <c r="U273" s="188"/>
      <c r="W273" s="190">
        <v>0</v>
      </c>
      <c r="X273" s="188"/>
    </row>
    <row r="274" spans="1:26" s="125" customFormat="1" ht="16.5" x14ac:dyDescent="0.35">
      <c r="A274" s="461"/>
      <c r="B274" s="144" t="s">
        <v>374</v>
      </c>
      <c r="C274" s="611"/>
      <c r="D274" s="171">
        <v>523.21</v>
      </c>
      <c r="E274" s="145">
        <v>1152.1400000000001</v>
      </c>
      <c r="F274" s="145">
        <v>1327.57</v>
      </c>
      <c r="G274" s="145">
        <v>1516.17</v>
      </c>
      <c r="H274" s="145">
        <v>1537.3</v>
      </c>
      <c r="I274" s="145">
        <v>1764.91</v>
      </c>
      <c r="J274" s="145">
        <v>3203.75</v>
      </c>
      <c r="K274" s="145">
        <v>3178.55</v>
      </c>
      <c r="L274" s="145">
        <v>1861.65</v>
      </c>
      <c r="M274" s="145">
        <v>1584.45</v>
      </c>
      <c r="N274" s="145">
        <v>1238.97</v>
      </c>
      <c r="O274" s="145">
        <v>1267.24</v>
      </c>
      <c r="P274" s="179"/>
      <c r="Q274" s="444"/>
      <c r="R274" s="444"/>
      <c r="T274" s="141">
        <f t="shared" si="13"/>
        <v>20155.91</v>
      </c>
      <c r="U274" s="138"/>
      <c r="V274" s="139"/>
      <c r="W274" s="146">
        <f>T274</f>
        <v>20155.91</v>
      </c>
      <c r="X274" s="138"/>
      <c r="Y274" s="157"/>
      <c r="Z274" s="157"/>
    </row>
    <row r="275" spans="1:26" s="125" customFormat="1" x14ac:dyDescent="0.25">
      <c r="A275" s="461"/>
      <c r="B275" s="205"/>
      <c r="C275" s="152"/>
      <c r="E275" s="201"/>
      <c r="F275" s="206"/>
      <c r="G275" s="202"/>
      <c r="H275" s="203"/>
      <c r="I275" s="203"/>
      <c r="J275" s="203"/>
      <c r="K275" s="203"/>
      <c r="L275" s="203"/>
      <c r="M275" s="203"/>
      <c r="N275" s="203"/>
      <c r="O275" s="203"/>
      <c r="P275" s="203"/>
      <c r="U275" s="126"/>
      <c r="W275" s="190">
        <f>SUM(W272:W273)</f>
        <v>203551.27503749996</v>
      </c>
      <c r="X275" s="450"/>
      <c r="Y275" s="157"/>
      <c r="Z275" s="157"/>
    </row>
    <row r="277" spans="1:26" s="125" customFormat="1" x14ac:dyDescent="0.25">
      <c r="A277" s="461">
        <v>29</v>
      </c>
      <c r="B277" s="148" t="s">
        <v>571</v>
      </c>
      <c r="C277" s="152"/>
      <c r="E277" s="157"/>
      <c r="F277" s="157"/>
      <c r="G277" s="157"/>
      <c r="H277" s="157"/>
      <c r="I277" s="157"/>
      <c r="J277" s="157"/>
      <c r="K277" s="157"/>
      <c r="L277" s="157"/>
      <c r="M277" s="157"/>
      <c r="N277" s="157"/>
      <c r="O277" s="157"/>
      <c r="P277" s="157"/>
      <c r="S277" s="126"/>
      <c r="T277" s="148" t="s">
        <v>571</v>
      </c>
      <c r="V277" s="126"/>
      <c r="Y277" s="157"/>
      <c r="Z277" s="157"/>
    </row>
    <row r="278" spans="1:26" s="125" customFormat="1" x14ac:dyDescent="0.25">
      <c r="A278" s="461"/>
      <c r="B278" s="130" t="s">
        <v>337</v>
      </c>
      <c r="C278" s="131">
        <v>42156</v>
      </c>
      <c r="D278" s="131">
        <v>42186</v>
      </c>
      <c r="E278" s="131">
        <v>42217</v>
      </c>
      <c r="F278" s="131">
        <v>42248</v>
      </c>
      <c r="G278" s="131">
        <v>42278</v>
      </c>
      <c r="H278" s="131">
        <v>42309</v>
      </c>
      <c r="I278" s="131">
        <v>42339</v>
      </c>
      <c r="J278" s="131">
        <v>42370</v>
      </c>
      <c r="K278" s="131">
        <v>42401</v>
      </c>
      <c r="L278" s="131">
        <v>42430</v>
      </c>
      <c r="M278" s="131">
        <v>42461</v>
      </c>
      <c r="N278" s="131">
        <v>42491</v>
      </c>
      <c r="O278" s="131">
        <v>42522</v>
      </c>
      <c r="P278" s="131">
        <v>42552</v>
      </c>
      <c r="Q278" s="151">
        <v>42583</v>
      </c>
      <c r="R278" s="131">
        <v>42627</v>
      </c>
      <c r="S278" s="132"/>
      <c r="T278" s="133" t="s">
        <v>338</v>
      </c>
      <c r="U278" s="134" t="s">
        <v>339</v>
      </c>
      <c r="V278" s="132"/>
      <c r="W278" s="133" t="s">
        <v>338</v>
      </c>
      <c r="X278" s="134" t="s">
        <v>339</v>
      </c>
      <c r="Y278" s="157"/>
      <c r="Z278" s="157"/>
    </row>
    <row r="279" spans="1:26" s="157" customFormat="1" x14ac:dyDescent="0.25">
      <c r="A279" s="461"/>
      <c r="B279" s="135" t="s">
        <v>319</v>
      </c>
      <c r="C279" s="599"/>
      <c r="E279" s="153">
        <v>27480</v>
      </c>
      <c r="F279" s="136">
        <v>29080</v>
      </c>
      <c r="G279" s="136">
        <v>31240</v>
      </c>
      <c r="H279" s="136">
        <v>28480</v>
      </c>
      <c r="I279" s="136">
        <v>23520</v>
      </c>
      <c r="J279" s="136">
        <v>18840</v>
      </c>
      <c r="K279" s="136">
        <v>21560</v>
      </c>
      <c r="L279" s="136">
        <v>24650</v>
      </c>
      <c r="M279" s="136">
        <v>23200</v>
      </c>
      <c r="N279" s="136">
        <v>23680</v>
      </c>
      <c r="O279" s="136">
        <v>28000</v>
      </c>
      <c r="P279" s="136">
        <v>17560</v>
      </c>
      <c r="Q279" s="174"/>
      <c r="T279" s="141">
        <f>SUM(E279:P279)</f>
        <v>297290</v>
      </c>
      <c r="U279" s="188" t="s">
        <v>341</v>
      </c>
      <c r="W279" s="140">
        <f>T279*3413/1000000</f>
        <v>1014.65077</v>
      </c>
      <c r="X279" s="138" t="s">
        <v>342</v>
      </c>
    </row>
    <row r="280" spans="1:26" s="157" customFormat="1" x14ac:dyDescent="0.25">
      <c r="A280" s="461"/>
      <c r="B280" s="135" t="s">
        <v>572</v>
      </c>
      <c r="C280" s="599"/>
      <c r="E280" s="153">
        <v>0</v>
      </c>
      <c r="F280" s="137">
        <v>1050</v>
      </c>
      <c r="G280" s="137">
        <v>59050</v>
      </c>
      <c r="H280" s="137">
        <v>143150</v>
      </c>
      <c r="I280" s="136">
        <v>147350</v>
      </c>
      <c r="J280" s="136">
        <v>264700</v>
      </c>
      <c r="K280" s="136">
        <v>192850</v>
      </c>
      <c r="L280" s="136">
        <v>72800</v>
      </c>
      <c r="M280" s="136">
        <v>22800</v>
      </c>
      <c r="N280" s="136">
        <v>0</v>
      </c>
      <c r="O280" s="136">
        <v>0</v>
      </c>
      <c r="P280" s="136">
        <v>0</v>
      </c>
      <c r="Q280" s="174"/>
      <c r="T280" s="141">
        <f>SUM(E280:Q280)</f>
        <v>903750</v>
      </c>
      <c r="U280" s="188" t="s">
        <v>344</v>
      </c>
      <c r="W280" s="160">
        <f>T280/1000</f>
        <v>903.75</v>
      </c>
      <c r="X280" s="138" t="s">
        <v>342</v>
      </c>
    </row>
    <row r="281" spans="1:26" s="157" customFormat="1" x14ac:dyDescent="0.25">
      <c r="A281" s="461"/>
      <c r="B281" s="192" t="s">
        <v>323</v>
      </c>
      <c r="C281" s="599" t="s">
        <v>352</v>
      </c>
      <c r="E281" s="153"/>
      <c r="F281" s="141"/>
      <c r="G281" s="141"/>
      <c r="H281" s="141"/>
      <c r="I281" s="141"/>
      <c r="J281" s="141"/>
      <c r="K281" s="141"/>
      <c r="L281" s="141"/>
      <c r="M281" s="141"/>
      <c r="N281" s="141"/>
      <c r="O281" s="141"/>
      <c r="P281" s="141"/>
      <c r="Q281" s="178"/>
      <c r="T281" s="141">
        <f>SUM(F281:Q281)</f>
        <v>0</v>
      </c>
      <c r="U281" s="188" t="s">
        <v>397</v>
      </c>
      <c r="W281" s="193">
        <f>T281*0.012</f>
        <v>0</v>
      </c>
      <c r="X281" s="138" t="s">
        <v>342</v>
      </c>
      <c r="Y281" s="495">
        <f>W279+W280+W281</f>
        <v>1918.40077</v>
      </c>
      <c r="Z281" s="138" t="s">
        <v>342</v>
      </c>
    </row>
    <row r="282" spans="1:26" s="157" customFormat="1" x14ac:dyDescent="0.25">
      <c r="A282" s="461"/>
      <c r="B282" s="135" t="s">
        <v>345</v>
      </c>
      <c r="C282" s="599"/>
      <c r="E282" s="160">
        <v>9665</v>
      </c>
      <c r="F282" s="160">
        <v>11022</v>
      </c>
      <c r="G282" s="160">
        <v>10187</v>
      </c>
      <c r="H282" s="160">
        <v>9900</v>
      </c>
      <c r="I282" s="160">
        <v>6974</v>
      </c>
      <c r="J282" s="160">
        <v>7940</v>
      </c>
      <c r="K282" s="160">
        <v>10850</v>
      </c>
      <c r="L282" s="160">
        <v>9965</v>
      </c>
      <c r="M282" s="160">
        <v>10166</v>
      </c>
      <c r="N282" s="160">
        <v>33768</v>
      </c>
      <c r="O282" s="160">
        <v>6367</v>
      </c>
      <c r="P282" s="160">
        <v>3449</v>
      </c>
      <c r="Q282" s="178"/>
      <c r="T282" s="141">
        <f>SUM(E282:P282)</f>
        <v>130253</v>
      </c>
      <c r="U282" s="188" t="s">
        <v>346</v>
      </c>
      <c r="W282" s="141">
        <f>T282</f>
        <v>130253</v>
      </c>
      <c r="X282" s="188" t="s">
        <v>346</v>
      </c>
    </row>
    <row r="283" spans="1:26" s="157" customFormat="1" x14ac:dyDescent="0.25">
      <c r="A283" s="461"/>
      <c r="B283" s="135" t="s">
        <v>324</v>
      </c>
      <c r="C283" s="599"/>
      <c r="E283" s="171">
        <v>2414.2801319999999</v>
      </c>
      <c r="F283" s="142">
        <v>2541.3273719999997</v>
      </c>
      <c r="G283" s="142">
        <v>2401.76244</v>
      </c>
      <c r="H283" s="142">
        <v>2232.6611200000002</v>
      </c>
      <c r="I283" s="142">
        <v>1792.4450879999999</v>
      </c>
      <c r="J283" s="142">
        <v>1403.255952</v>
      </c>
      <c r="K283" s="142">
        <v>1665.4733480000002</v>
      </c>
      <c r="L283" s="142">
        <v>1771.4673200000002</v>
      </c>
      <c r="M283" s="142">
        <v>1739.1021599999999</v>
      </c>
      <c r="N283" s="142">
        <v>1381.8700799999999</v>
      </c>
      <c r="O283" s="142">
        <v>3247.4623999999999</v>
      </c>
      <c r="P283" s="142">
        <v>1608.9174399999999</v>
      </c>
      <c r="Q283" s="176"/>
      <c r="T283" s="171">
        <f>SUM(E283:P283)</f>
        <v>24200.024852000002</v>
      </c>
      <c r="U283" s="188"/>
      <c r="W283" s="190">
        <f>T283</f>
        <v>24200.024852000002</v>
      </c>
      <c r="X283" s="188"/>
    </row>
    <row r="284" spans="1:26" s="157" customFormat="1" x14ac:dyDescent="0.25">
      <c r="A284" s="461"/>
      <c r="B284" s="204" t="s">
        <v>573</v>
      </c>
      <c r="C284" s="599"/>
      <c r="E284" s="153">
        <v>0</v>
      </c>
      <c r="F284" s="198">
        <v>28</v>
      </c>
      <c r="G284" s="198">
        <v>680.8</v>
      </c>
      <c r="H284" s="198">
        <v>1513.6</v>
      </c>
      <c r="I284" s="171">
        <v>1511.2</v>
      </c>
      <c r="J284" s="171">
        <v>2528.8000000000002</v>
      </c>
      <c r="K284" s="171">
        <v>1861.6</v>
      </c>
      <c r="L284" s="171">
        <v>740.8</v>
      </c>
      <c r="M284" s="171">
        <v>264.8</v>
      </c>
      <c r="N284" s="171">
        <v>0</v>
      </c>
      <c r="O284" s="171">
        <v>0</v>
      </c>
      <c r="P284" s="171">
        <v>0</v>
      </c>
      <c r="Q284" s="184"/>
      <c r="T284" s="171">
        <f>SUM(E284:Q284)</f>
        <v>9129.5999999999985</v>
      </c>
      <c r="U284" s="188"/>
      <c r="W284" s="190">
        <f>T284</f>
        <v>9129.5999999999985</v>
      </c>
      <c r="X284" s="188"/>
    </row>
    <row r="285" spans="1:26" s="157" customFormat="1" ht="16.5" x14ac:dyDescent="0.35">
      <c r="A285" s="461"/>
      <c r="B285" s="195" t="s">
        <v>398</v>
      </c>
      <c r="C285" s="599" t="s">
        <v>352</v>
      </c>
      <c r="E285" s="153"/>
      <c r="F285" s="198"/>
      <c r="G285" s="198"/>
      <c r="H285" s="198"/>
      <c r="I285" s="198"/>
      <c r="J285" s="198"/>
      <c r="K285" s="198"/>
      <c r="L285" s="198"/>
      <c r="M285" s="198"/>
      <c r="N285" s="198"/>
      <c r="O285" s="198"/>
      <c r="P285" s="198"/>
      <c r="Q285" s="446"/>
      <c r="T285" s="171">
        <f>SUM(G285:Q285)</f>
        <v>0</v>
      </c>
      <c r="U285" s="188"/>
      <c r="W285" s="197">
        <v>0</v>
      </c>
      <c r="X285" s="188"/>
    </row>
    <row r="286" spans="1:26" s="125" customFormat="1" x14ac:dyDescent="0.25">
      <c r="A286" s="461"/>
      <c r="B286" s="205" t="s">
        <v>1423</v>
      </c>
      <c r="C286" s="152"/>
      <c r="E286" s="201"/>
      <c r="F286" s="206"/>
      <c r="G286" s="202"/>
      <c r="H286" s="203"/>
      <c r="I286" s="203"/>
      <c r="J286" s="203"/>
      <c r="K286" s="203"/>
      <c r="L286" s="203"/>
      <c r="M286" s="203"/>
      <c r="N286" s="203"/>
      <c r="O286" s="203"/>
      <c r="P286" s="203"/>
      <c r="U286" s="126"/>
      <c r="W286" s="190">
        <f>SUM(W283:W285)</f>
        <v>33329.624852000001</v>
      </c>
      <c r="X286" s="450"/>
      <c r="Y286" s="157"/>
      <c r="Z286" s="157"/>
    </row>
    <row r="288" spans="1:26" s="125" customFormat="1" x14ac:dyDescent="0.25">
      <c r="A288" s="461">
        <v>30</v>
      </c>
      <c r="B288" s="148" t="s">
        <v>574</v>
      </c>
      <c r="C288" s="152"/>
      <c r="R288" s="139"/>
      <c r="S288" s="147"/>
      <c r="T288" s="148" t="s">
        <v>574</v>
      </c>
      <c r="U288" s="149"/>
      <c r="V288" s="150"/>
      <c r="Y288" s="157"/>
      <c r="Z288" s="157"/>
    </row>
    <row r="289" spans="1:26" s="125" customFormat="1" x14ac:dyDescent="0.25">
      <c r="A289" s="461"/>
      <c r="B289" s="130" t="s">
        <v>337</v>
      </c>
      <c r="C289" s="131">
        <v>42156</v>
      </c>
      <c r="D289" s="131">
        <v>42186</v>
      </c>
      <c r="E289" s="131">
        <v>42217</v>
      </c>
      <c r="F289" s="131">
        <v>42248</v>
      </c>
      <c r="G289" s="131">
        <v>42278</v>
      </c>
      <c r="H289" s="131">
        <v>42309</v>
      </c>
      <c r="I289" s="131">
        <v>42339</v>
      </c>
      <c r="J289" s="131">
        <v>42370</v>
      </c>
      <c r="K289" s="131">
        <v>42401</v>
      </c>
      <c r="L289" s="131">
        <v>42430</v>
      </c>
      <c r="M289" s="131">
        <v>42461</v>
      </c>
      <c r="N289" s="131">
        <v>42491</v>
      </c>
      <c r="O289" s="131">
        <v>42522</v>
      </c>
      <c r="P289" s="131">
        <v>42552</v>
      </c>
      <c r="Q289" s="151">
        <v>42583</v>
      </c>
      <c r="R289" s="131">
        <v>42627</v>
      </c>
      <c r="S289" s="132"/>
      <c r="T289" s="133" t="s">
        <v>338</v>
      </c>
      <c r="U289" s="134" t="s">
        <v>339</v>
      </c>
      <c r="V289" s="132"/>
      <c r="W289" s="133" t="s">
        <v>338</v>
      </c>
      <c r="X289" s="134" t="s">
        <v>339</v>
      </c>
      <c r="Y289" s="157"/>
      <c r="Z289" s="157"/>
    </row>
    <row r="290" spans="1:26" s="125" customFormat="1" x14ac:dyDescent="0.25">
      <c r="A290" s="461"/>
      <c r="B290" s="153" t="s">
        <v>1016</v>
      </c>
      <c r="C290" s="152"/>
      <c r="E290" s="140">
        <v>371394.53125</v>
      </c>
      <c r="F290" s="1163">
        <v>372462.40234375</v>
      </c>
      <c r="G290" s="1163">
        <v>382747.0703125</v>
      </c>
      <c r="H290" s="1163">
        <v>368691.89453125</v>
      </c>
      <c r="I290" s="1163">
        <v>374088.8671875</v>
      </c>
      <c r="J290" s="1163">
        <v>375130.859375</v>
      </c>
      <c r="K290" s="1163">
        <v>352869.140625</v>
      </c>
      <c r="L290" s="1164">
        <v>421780.2734375</v>
      </c>
      <c r="M290" s="1165">
        <v>383250.9765625</v>
      </c>
      <c r="N290" s="1165">
        <v>384455.078125</v>
      </c>
      <c r="O290" s="1165">
        <v>360948.2421875</v>
      </c>
      <c r="P290" s="1165">
        <v>375840.8203125</v>
      </c>
      <c r="Q290" s="456"/>
      <c r="T290" s="159">
        <f t="shared" ref="T290:T296" si="14">SUM(E290:P290)</f>
        <v>4523660.15625</v>
      </c>
      <c r="U290" s="138" t="s">
        <v>361</v>
      </c>
      <c r="V290" s="139"/>
      <c r="W290" s="140">
        <f>T290*3413/1000000</f>
        <v>15439.252113281251</v>
      </c>
      <c r="X290" s="138" t="s">
        <v>342</v>
      </c>
      <c r="Y290" s="157"/>
      <c r="Z290" s="157"/>
    </row>
    <row r="291" spans="1:26" s="125" customFormat="1" x14ac:dyDescent="0.25">
      <c r="A291" s="461"/>
      <c r="B291" s="153" t="s">
        <v>362</v>
      </c>
      <c r="C291" s="152"/>
      <c r="E291" s="140">
        <v>1188.704</v>
      </c>
      <c r="F291" s="1166">
        <v>1065.4880000000001</v>
      </c>
      <c r="G291" s="1166">
        <v>520.54399999999998</v>
      </c>
      <c r="H291" s="1166">
        <v>403.26400000000001</v>
      </c>
      <c r="I291" s="1166">
        <v>439.44</v>
      </c>
      <c r="J291" s="1166">
        <v>134.78399999999999</v>
      </c>
      <c r="K291" s="1166">
        <v>217.952</v>
      </c>
      <c r="L291" s="1164">
        <v>506</v>
      </c>
      <c r="M291" s="1167">
        <v>525</v>
      </c>
      <c r="N291" s="1167">
        <v>781</v>
      </c>
      <c r="O291" s="1167">
        <v>1117</v>
      </c>
      <c r="P291" s="1167">
        <v>1530</v>
      </c>
      <c r="Q291" s="456"/>
      <c r="T291" s="159">
        <f t="shared" si="14"/>
        <v>8429.1759999999995</v>
      </c>
      <c r="U291" s="138" t="s">
        <v>363</v>
      </c>
      <c r="V291" s="139"/>
      <c r="W291" s="160">
        <f>T291*10*100000/1000000</f>
        <v>8429.1759999999995</v>
      </c>
      <c r="X291" s="138" t="s">
        <v>342</v>
      </c>
      <c r="Y291" s="157"/>
      <c r="Z291" s="157"/>
    </row>
    <row r="292" spans="1:26" s="125" customFormat="1" x14ac:dyDescent="0.25">
      <c r="A292" s="461"/>
      <c r="B292" s="153" t="s">
        <v>364</v>
      </c>
      <c r="C292" s="152"/>
      <c r="E292" s="140">
        <v>263.09375</v>
      </c>
      <c r="F292" s="1163">
        <v>282.796875</v>
      </c>
      <c r="G292" s="1163">
        <v>420.203125</v>
      </c>
      <c r="H292" s="1163">
        <v>527.40625</v>
      </c>
      <c r="I292" s="1163">
        <v>593.6875</v>
      </c>
      <c r="J292" s="1163">
        <v>1087.703125</v>
      </c>
      <c r="K292" s="1163">
        <v>909.109375</v>
      </c>
      <c r="L292" s="1164">
        <v>662</v>
      </c>
      <c r="M292" s="1168">
        <v>517</v>
      </c>
      <c r="N292" s="1168">
        <v>415</v>
      </c>
      <c r="O292" s="1169">
        <v>327</v>
      </c>
      <c r="P292" s="1168">
        <v>335</v>
      </c>
      <c r="Q292" s="456"/>
      <c r="T292" s="159">
        <f t="shared" si="14"/>
        <v>6340</v>
      </c>
      <c r="U292" s="162" t="s">
        <v>365</v>
      </c>
      <c r="V292" s="163"/>
      <c r="W292" s="164">
        <f>T292</f>
        <v>6340</v>
      </c>
      <c r="X292" s="138" t="s">
        <v>342</v>
      </c>
      <c r="Y292" s="495">
        <f>W290+W291+W292</f>
        <v>30208.42811328125</v>
      </c>
      <c r="Z292" s="138" t="s">
        <v>342</v>
      </c>
    </row>
    <row r="293" spans="1:26" s="166" customFormat="1" x14ac:dyDescent="0.25">
      <c r="A293" s="459"/>
      <c r="B293" s="165" t="s">
        <v>864</v>
      </c>
      <c r="C293" s="610"/>
      <c r="E293" s="167">
        <v>382</v>
      </c>
      <c r="F293" s="1165">
        <v>317</v>
      </c>
      <c r="G293" s="1165">
        <v>190</v>
      </c>
      <c r="H293" s="1165">
        <v>189</v>
      </c>
      <c r="I293" s="1165">
        <v>170</v>
      </c>
      <c r="J293" s="1165">
        <v>107</v>
      </c>
      <c r="K293" s="1165">
        <v>197</v>
      </c>
      <c r="L293" s="1165">
        <v>203</v>
      </c>
      <c r="M293" s="1165">
        <v>240</v>
      </c>
      <c r="N293" s="1165">
        <v>156</v>
      </c>
      <c r="O293" s="1165">
        <v>116</v>
      </c>
      <c r="P293" s="1165">
        <v>93</v>
      </c>
      <c r="Q293" s="1161"/>
      <c r="T293" s="159">
        <f t="shared" si="14"/>
        <v>2360</v>
      </c>
      <c r="U293" s="162" t="s">
        <v>379</v>
      </c>
      <c r="V293" s="163"/>
      <c r="W293" s="164">
        <f>T293*748</f>
        <v>1765280</v>
      </c>
      <c r="X293" s="162" t="s">
        <v>346</v>
      </c>
    </row>
    <row r="294" spans="1:26" s="125" customFormat="1" x14ac:dyDescent="0.25">
      <c r="A294" s="461"/>
      <c r="B294" s="153" t="s">
        <v>324</v>
      </c>
      <c r="C294" s="152"/>
      <c r="E294" s="171">
        <v>31939.929687499996</v>
      </c>
      <c r="F294" s="731">
        <v>32031.766601562496</v>
      </c>
      <c r="G294" s="731">
        <v>32916.248046875</v>
      </c>
      <c r="H294" s="731">
        <v>31707.502929687496</v>
      </c>
      <c r="I294" s="731">
        <v>32171.642578124996</v>
      </c>
      <c r="J294" s="731">
        <v>32261.253906249996</v>
      </c>
      <c r="K294" s="731">
        <v>30346.746093749996</v>
      </c>
      <c r="L294" s="731">
        <v>36273.103515625</v>
      </c>
      <c r="M294" s="731">
        <v>32959.583984375</v>
      </c>
      <c r="N294" s="731">
        <v>33063.13671875</v>
      </c>
      <c r="O294" s="731">
        <v>31041.548828124996</v>
      </c>
      <c r="P294" s="731">
        <v>32698.151367187496</v>
      </c>
      <c r="Q294" s="184"/>
      <c r="T294" s="159">
        <f t="shared" si="14"/>
        <v>389410.6142578125</v>
      </c>
      <c r="U294" s="138"/>
      <c r="V294" s="139"/>
      <c r="W294" s="143">
        <f>T294</f>
        <v>389410.6142578125</v>
      </c>
      <c r="X294" s="138"/>
      <c r="Y294" s="157"/>
      <c r="Z294" s="157"/>
    </row>
    <row r="295" spans="1:26" s="125" customFormat="1" x14ac:dyDescent="0.25">
      <c r="A295" s="461"/>
      <c r="B295" s="153" t="s">
        <v>369</v>
      </c>
      <c r="C295" s="152"/>
      <c r="E295" s="171">
        <v>16606.194879999999</v>
      </c>
      <c r="F295" s="731">
        <v>14884.867360000002</v>
      </c>
      <c r="G295" s="731">
        <v>7271.9996799999999</v>
      </c>
      <c r="H295" s="731">
        <v>5633.5980800000007</v>
      </c>
      <c r="I295" s="731">
        <v>6138.9768000000004</v>
      </c>
      <c r="J295" s="731">
        <v>1882.9324799999999</v>
      </c>
      <c r="K295" s="731">
        <v>3044.78944</v>
      </c>
      <c r="L295" s="731">
        <v>7068.8200000000006</v>
      </c>
      <c r="M295" s="731">
        <v>7334.25</v>
      </c>
      <c r="N295" s="731">
        <v>10910.57</v>
      </c>
      <c r="O295" s="731">
        <v>15604.490000000002</v>
      </c>
      <c r="P295" s="731">
        <v>19813.5</v>
      </c>
      <c r="Q295" s="184"/>
      <c r="T295" s="159">
        <f t="shared" si="14"/>
        <v>116194.98872000001</v>
      </c>
      <c r="U295" s="138"/>
      <c r="V295" s="139"/>
      <c r="W295" s="143">
        <f>T295</f>
        <v>116194.98872000001</v>
      </c>
      <c r="X295" s="138"/>
      <c r="Y295" s="157"/>
      <c r="Z295" s="157"/>
    </row>
    <row r="296" spans="1:26" s="125" customFormat="1" ht="16.5" x14ac:dyDescent="0.35">
      <c r="A296" s="461"/>
      <c r="B296" s="153" t="s">
        <v>326</v>
      </c>
      <c r="C296" s="152"/>
      <c r="E296" s="171">
        <v>3522.8253125000001</v>
      </c>
      <c r="F296" s="731">
        <v>3786.6501562500002</v>
      </c>
      <c r="G296" s="731">
        <v>5626.5198437500003</v>
      </c>
      <c r="H296" s="731">
        <v>7061.9696875</v>
      </c>
      <c r="I296" s="731">
        <v>7949.475625</v>
      </c>
      <c r="J296" s="731">
        <v>14564.344843750001</v>
      </c>
      <c r="K296" s="731">
        <v>12172.97453125</v>
      </c>
      <c r="L296" s="731">
        <v>8864.18</v>
      </c>
      <c r="M296" s="731">
        <v>6922.63</v>
      </c>
      <c r="N296" s="731">
        <v>5556.85</v>
      </c>
      <c r="O296" s="731">
        <v>4378.53</v>
      </c>
      <c r="P296" s="731">
        <v>4026.7</v>
      </c>
      <c r="Q296" s="184"/>
      <c r="T296" s="159">
        <f t="shared" si="14"/>
        <v>84433.650000000009</v>
      </c>
      <c r="U296" s="138"/>
      <c r="V296" s="139"/>
      <c r="W296" s="146">
        <f>T296</f>
        <v>84433.650000000009</v>
      </c>
      <c r="X296" s="138"/>
      <c r="Y296" s="157"/>
      <c r="Z296" s="157"/>
    </row>
    <row r="297" spans="1:26" s="125" customFormat="1" x14ac:dyDescent="0.25">
      <c r="A297" s="461"/>
      <c r="C297" s="152"/>
      <c r="F297" s="1162"/>
      <c r="G297" s="1162"/>
      <c r="H297" s="1162"/>
      <c r="I297" s="1162"/>
      <c r="J297" s="1162"/>
      <c r="K297" s="1162"/>
      <c r="L297" s="1162"/>
      <c r="M297" s="1162"/>
      <c r="N297" s="1162"/>
      <c r="O297" s="1162"/>
      <c r="P297" s="1162"/>
      <c r="Q297" s="444"/>
      <c r="T297" s="139"/>
      <c r="U297" s="147"/>
      <c r="V297" s="139"/>
      <c r="W297" s="143">
        <f>SUM(W294:W296)</f>
        <v>590039.25297781255</v>
      </c>
      <c r="X297" s="150"/>
      <c r="Y297" s="157"/>
      <c r="Z297" s="157"/>
    </row>
    <row r="299" spans="1:26" s="125" customFormat="1" ht="16.5" x14ac:dyDescent="0.35">
      <c r="A299" s="461">
        <v>31</v>
      </c>
      <c r="B299" s="127" t="s">
        <v>611</v>
      </c>
      <c r="C299" s="611"/>
      <c r="D299" s="179"/>
      <c r="E299" s="179"/>
      <c r="F299" s="179"/>
      <c r="G299" s="179"/>
      <c r="H299" s="179"/>
      <c r="I299" s="179"/>
      <c r="J299" s="179"/>
      <c r="K299" s="179"/>
      <c r="L299" s="179"/>
      <c r="M299" s="179"/>
      <c r="N299" s="179"/>
      <c r="O299" s="179"/>
      <c r="R299" s="149"/>
      <c r="S299" s="150"/>
      <c r="T299" s="127" t="s">
        <v>611</v>
      </c>
      <c r="U299" s="181"/>
      <c r="V299" s="150"/>
      <c r="Y299" s="157"/>
      <c r="Z299" s="157"/>
    </row>
    <row r="300" spans="1:26" s="125" customFormat="1" x14ac:dyDescent="0.25">
      <c r="A300" s="461"/>
      <c r="B300" s="130" t="s">
        <v>337</v>
      </c>
      <c r="C300" s="131">
        <v>42156</v>
      </c>
      <c r="D300" s="131">
        <v>42186</v>
      </c>
      <c r="E300" s="131">
        <v>42217</v>
      </c>
      <c r="F300" s="131">
        <v>42248</v>
      </c>
      <c r="G300" s="131">
        <v>42278</v>
      </c>
      <c r="H300" s="131">
        <v>42309</v>
      </c>
      <c r="I300" s="131">
        <v>42339</v>
      </c>
      <c r="J300" s="131">
        <v>42370</v>
      </c>
      <c r="K300" s="131">
        <v>42401</v>
      </c>
      <c r="L300" s="131">
        <v>42430</v>
      </c>
      <c r="M300" s="131">
        <v>42461</v>
      </c>
      <c r="N300" s="131">
        <v>42491</v>
      </c>
      <c r="O300" s="131">
        <v>42522</v>
      </c>
      <c r="P300" s="131">
        <v>42552</v>
      </c>
      <c r="Q300" s="151">
        <v>42583</v>
      </c>
      <c r="R300" s="131">
        <v>42627</v>
      </c>
      <c r="S300" s="132"/>
      <c r="T300" s="133" t="s">
        <v>338</v>
      </c>
      <c r="U300" s="134" t="s">
        <v>339</v>
      </c>
      <c r="V300" s="132"/>
      <c r="W300" s="133" t="s">
        <v>338</v>
      </c>
      <c r="X300" s="134" t="s">
        <v>339</v>
      </c>
      <c r="Y300" s="157"/>
      <c r="Z300" s="157"/>
    </row>
    <row r="301" spans="1:26" s="125" customFormat="1" x14ac:dyDescent="0.25">
      <c r="A301" s="461"/>
      <c r="B301" s="135" t="s">
        <v>340</v>
      </c>
      <c r="C301" s="612"/>
      <c r="D301" s="454">
        <v>153348</v>
      </c>
      <c r="E301" s="454">
        <v>204930</v>
      </c>
      <c r="F301" s="454">
        <v>186979</v>
      </c>
      <c r="G301" s="454">
        <v>216712.2</v>
      </c>
      <c r="H301" s="454">
        <v>210352.9</v>
      </c>
      <c r="I301" s="454">
        <v>124355.59999999999</v>
      </c>
      <c r="J301" s="454">
        <v>116637.7</v>
      </c>
      <c r="K301" s="454">
        <v>112030</v>
      </c>
      <c r="L301" s="454">
        <v>126273.9</v>
      </c>
      <c r="M301" s="454">
        <v>136211</v>
      </c>
      <c r="N301" s="454">
        <v>123814.9</v>
      </c>
      <c r="O301" s="454">
        <v>136677.80000000002</v>
      </c>
      <c r="P301" s="456"/>
      <c r="T301" s="137">
        <f>SUM(D301:Q301)</f>
        <v>1848322.9999999998</v>
      </c>
      <c r="U301" s="138" t="s">
        <v>341</v>
      </c>
      <c r="V301" s="139"/>
      <c r="W301" s="140">
        <f>T301*3413/1000000</f>
        <v>6308.3263989999987</v>
      </c>
      <c r="X301" s="138" t="s">
        <v>342</v>
      </c>
      <c r="Y301" s="157"/>
      <c r="Z301" s="157"/>
    </row>
    <row r="302" spans="1:26" s="125" customFormat="1" x14ac:dyDescent="0.25">
      <c r="A302" s="461"/>
      <c r="B302" s="135" t="s">
        <v>372</v>
      </c>
      <c r="C302" s="612"/>
      <c r="D302" s="454">
        <v>1240</v>
      </c>
      <c r="E302" s="454">
        <v>976</v>
      </c>
      <c r="F302" s="454">
        <v>1627</v>
      </c>
      <c r="G302" s="454">
        <v>2150</v>
      </c>
      <c r="H302" s="454">
        <v>3202</v>
      </c>
      <c r="I302" s="454">
        <v>2860</v>
      </c>
      <c r="J302" s="454">
        <v>4149</v>
      </c>
      <c r="K302" s="454">
        <v>3704</v>
      </c>
      <c r="L302" s="454">
        <v>2627</v>
      </c>
      <c r="M302" s="454">
        <v>1905</v>
      </c>
      <c r="N302" s="454">
        <v>1628</v>
      </c>
      <c r="O302" s="454">
        <v>1023</v>
      </c>
      <c r="P302" s="456"/>
      <c r="T302" s="137">
        <f>SUM(D302:Q302)</f>
        <v>27091</v>
      </c>
      <c r="U302" s="138" t="s">
        <v>354</v>
      </c>
      <c r="V302" s="139"/>
      <c r="W302" s="140">
        <f>T302*99976.124488/1000000</f>
        <v>2708.453188504408</v>
      </c>
      <c r="X302" s="138" t="s">
        <v>342</v>
      </c>
      <c r="Y302" s="495">
        <f>W301+W302</f>
        <v>9016.7795875044067</v>
      </c>
      <c r="Z302" s="153" t="s">
        <v>677</v>
      </c>
    </row>
    <row r="303" spans="1:26" s="125" customFormat="1" x14ac:dyDescent="0.25">
      <c r="A303" s="461"/>
      <c r="B303" s="135" t="s">
        <v>373</v>
      </c>
      <c r="C303" s="201"/>
      <c r="D303" s="454">
        <v>78754</v>
      </c>
      <c r="E303" s="454">
        <v>34591</v>
      </c>
      <c r="F303" s="454">
        <v>25069</v>
      </c>
      <c r="G303" s="454">
        <v>44991</v>
      </c>
      <c r="H303" s="454">
        <v>15285</v>
      </c>
      <c r="I303" s="454">
        <v>12019</v>
      </c>
      <c r="J303" s="454">
        <v>21527</v>
      </c>
      <c r="K303" s="454">
        <v>10314</v>
      </c>
      <c r="L303" s="454">
        <v>11210</v>
      </c>
      <c r="M303" s="454">
        <v>28835</v>
      </c>
      <c r="N303" s="454">
        <v>20732</v>
      </c>
      <c r="O303" s="454">
        <v>19184</v>
      </c>
      <c r="P303" s="456"/>
      <c r="T303" s="137">
        <f>SUM(D303:Q303)</f>
        <v>322511</v>
      </c>
      <c r="U303" s="138" t="s">
        <v>367</v>
      </c>
      <c r="V303" s="139"/>
      <c r="W303" s="137">
        <f>T303*7.48</f>
        <v>2412382.2800000003</v>
      </c>
      <c r="X303" s="138" t="s">
        <v>346</v>
      </c>
      <c r="Y303" s="157"/>
      <c r="Z303" s="157"/>
    </row>
    <row r="304" spans="1:26" s="125" customFormat="1" x14ac:dyDescent="0.25">
      <c r="A304" s="461"/>
      <c r="B304" s="135" t="s">
        <v>324</v>
      </c>
      <c r="C304" s="613"/>
      <c r="D304" s="455">
        <v>10237.587794531915</v>
      </c>
      <c r="E304" s="455">
        <v>13687.53279513889</v>
      </c>
      <c r="F304" s="455">
        <v>12496.501308486238</v>
      </c>
      <c r="G304" s="455">
        <v>13242.889634830211</v>
      </c>
      <c r="H304" s="455">
        <v>11835.274653323391</v>
      </c>
      <c r="I304" s="455">
        <v>7002.362388010526</v>
      </c>
      <c r="J304" s="455">
        <v>6604.13552565591</v>
      </c>
      <c r="K304" s="455">
        <v>6541.2674764032818</v>
      </c>
      <c r="L304" s="455">
        <v>7432.6541225997362</v>
      </c>
      <c r="M304" s="455">
        <v>7816.3928363989535</v>
      </c>
      <c r="N304" s="455">
        <v>7250.6951043054896</v>
      </c>
      <c r="O304" s="455">
        <v>8827.2530304124211</v>
      </c>
      <c r="P304" s="176"/>
      <c r="T304" s="143">
        <f>SUM(D304:Q304)</f>
        <v>112974.54667009696</v>
      </c>
      <c r="U304" s="138"/>
      <c r="V304" s="139"/>
      <c r="W304" s="143">
        <f>T304</f>
        <v>112974.54667009696</v>
      </c>
      <c r="X304" s="138"/>
      <c r="Y304" s="157"/>
      <c r="Z304" s="157"/>
    </row>
    <row r="305" spans="1:26" s="125" customFormat="1" ht="16.5" x14ac:dyDescent="0.35">
      <c r="A305" s="461"/>
      <c r="B305" s="144" t="s">
        <v>374</v>
      </c>
      <c r="C305" s="611"/>
      <c r="D305" s="455">
        <v>890.87</v>
      </c>
      <c r="E305" s="455">
        <v>705.88</v>
      </c>
      <c r="F305" s="455">
        <v>1162.04</v>
      </c>
      <c r="G305" s="455">
        <v>1528.51</v>
      </c>
      <c r="H305" s="455">
        <v>2249.7600000000002</v>
      </c>
      <c r="I305" s="455">
        <v>1988.22</v>
      </c>
      <c r="J305" s="455">
        <v>2818.11</v>
      </c>
      <c r="K305" s="455">
        <v>2498.35</v>
      </c>
      <c r="L305" s="455">
        <v>1778.31</v>
      </c>
      <c r="M305" s="455">
        <v>1778.31</v>
      </c>
      <c r="N305" s="455">
        <v>1134.67</v>
      </c>
      <c r="O305" s="455">
        <v>723.38</v>
      </c>
      <c r="P305" s="179"/>
      <c r="T305" s="143">
        <f>SUM(D305:Q305)</f>
        <v>19256.41</v>
      </c>
      <c r="U305" s="138"/>
      <c r="V305" s="139"/>
      <c r="W305" s="146">
        <f>T305</f>
        <v>19256.41</v>
      </c>
      <c r="X305" s="138"/>
      <c r="Y305" s="157"/>
      <c r="Z305" s="157"/>
    </row>
    <row r="306" spans="1:26" s="125" customFormat="1" x14ac:dyDescent="0.25">
      <c r="A306" s="461"/>
      <c r="B306" s="180"/>
      <c r="C306" s="611"/>
      <c r="D306" s="179"/>
      <c r="E306" s="179"/>
      <c r="F306" s="179"/>
      <c r="G306" s="179"/>
      <c r="H306" s="179"/>
      <c r="I306" s="179"/>
      <c r="J306" s="179"/>
      <c r="K306" s="179"/>
      <c r="L306" s="179"/>
      <c r="M306" s="179"/>
      <c r="N306" s="179"/>
      <c r="O306" s="179"/>
      <c r="T306" s="149"/>
      <c r="U306" s="150"/>
      <c r="V306" s="139"/>
      <c r="W306" s="143">
        <f>SUM(W304:W305)</f>
        <v>132230.95667009696</v>
      </c>
      <c r="X306" s="138"/>
      <c r="Y306" s="157"/>
      <c r="Z306" s="157"/>
    </row>
    <row r="308" spans="1:26" s="125" customFormat="1" ht="16.5" x14ac:dyDescent="0.35">
      <c r="A308" s="461">
        <v>32</v>
      </c>
      <c r="B308" s="1412" t="s">
        <v>1330</v>
      </c>
      <c r="C308" s="611"/>
      <c r="D308" s="179"/>
      <c r="E308" s="179"/>
      <c r="F308" s="179"/>
      <c r="G308" s="179"/>
      <c r="H308" s="179"/>
      <c r="I308" s="179"/>
      <c r="J308" s="179"/>
      <c r="K308" s="179"/>
      <c r="L308" s="179"/>
      <c r="M308" s="179"/>
      <c r="N308" s="179"/>
      <c r="O308" s="179"/>
      <c r="R308" s="149"/>
      <c r="S308" s="150"/>
      <c r="T308" s="1412" t="s">
        <v>1330</v>
      </c>
      <c r="U308" s="181"/>
      <c r="V308" s="150"/>
      <c r="Y308" s="157"/>
      <c r="Z308" s="157"/>
    </row>
    <row r="309" spans="1:26" s="125" customFormat="1" x14ac:dyDescent="0.25">
      <c r="A309" s="461"/>
      <c r="B309" s="130" t="s">
        <v>337</v>
      </c>
      <c r="C309" s="131">
        <v>42156</v>
      </c>
      <c r="D309" s="131">
        <v>42186</v>
      </c>
      <c r="E309" s="131">
        <v>42217</v>
      </c>
      <c r="F309" s="131">
        <v>42248</v>
      </c>
      <c r="G309" s="131">
        <v>42278</v>
      </c>
      <c r="H309" s="131">
        <v>42309</v>
      </c>
      <c r="I309" s="131">
        <v>42339</v>
      </c>
      <c r="J309" s="131">
        <v>42370</v>
      </c>
      <c r="K309" s="131">
        <v>42401</v>
      </c>
      <c r="L309" s="131">
        <v>42430</v>
      </c>
      <c r="M309" s="131">
        <v>42461</v>
      </c>
      <c r="N309" s="131">
        <v>42491</v>
      </c>
      <c r="O309" s="131">
        <v>42522</v>
      </c>
      <c r="P309" s="131">
        <v>42552</v>
      </c>
      <c r="Q309" s="151">
        <v>42583</v>
      </c>
      <c r="R309" s="131">
        <v>42627</v>
      </c>
      <c r="S309" s="132"/>
      <c r="T309" s="133" t="s">
        <v>338</v>
      </c>
      <c r="U309" s="134" t="s">
        <v>339</v>
      </c>
      <c r="V309" s="132"/>
      <c r="W309" s="133" t="s">
        <v>338</v>
      </c>
      <c r="X309" s="134" t="s">
        <v>339</v>
      </c>
      <c r="Y309" s="157"/>
      <c r="Z309" s="157"/>
    </row>
    <row r="310" spans="1:26" s="125" customFormat="1" x14ac:dyDescent="0.25">
      <c r="A310" s="461"/>
      <c r="B310" s="135" t="s">
        <v>340</v>
      </c>
      <c r="C310" s="612"/>
      <c r="D310" s="1433">
        <v>200600</v>
      </c>
      <c r="E310" s="1433">
        <v>218000</v>
      </c>
      <c r="F310" s="1433">
        <v>2084000</v>
      </c>
      <c r="G310" s="1433">
        <v>169200</v>
      </c>
      <c r="H310" s="1433">
        <v>166000</v>
      </c>
      <c r="I310" s="1433">
        <v>178800</v>
      </c>
      <c r="J310" s="1433">
        <v>151800</v>
      </c>
      <c r="K310" s="1433">
        <v>153400</v>
      </c>
      <c r="L310" s="1433">
        <v>164400</v>
      </c>
      <c r="M310" s="1433">
        <v>161800</v>
      </c>
      <c r="N310" s="1433">
        <v>186400</v>
      </c>
      <c r="O310" s="1433">
        <v>228400</v>
      </c>
      <c r="P310" s="456"/>
      <c r="T310" s="137">
        <f>SUM(C310:Q310)</f>
        <v>4062800</v>
      </c>
      <c r="U310" s="138" t="s">
        <v>341</v>
      </c>
      <c r="V310" s="139"/>
      <c r="W310" s="140">
        <f>T310*3413/1000000</f>
        <v>13866.3364</v>
      </c>
      <c r="X310" s="138" t="s">
        <v>342</v>
      </c>
      <c r="Y310" s="157"/>
      <c r="Z310" s="157"/>
    </row>
    <row r="311" spans="1:26" s="125" customFormat="1" x14ac:dyDescent="0.25">
      <c r="A311" s="461"/>
      <c r="B311" s="135" t="s">
        <v>372</v>
      </c>
      <c r="C311" s="612"/>
      <c r="D311" s="1433">
        <v>1388</v>
      </c>
      <c r="E311" s="1433">
        <v>1948</v>
      </c>
      <c r="F311" s="1433"/>
      <c r="G311" s="1433"/>
      <c r="H311" s="1433">
        <v>1946</v>
      </c>
      <c r="I311" s="1433">
        <v>1778</v>
      </c>
      <c r="J311" s="1433">
        <v>2078</v>
      </c>
      <c r="K311" s="1433">
        <v>1884</v>
      </c>
      <c r="L311" s="1433">
        <v>2185</v>
      </c>
      <c r="M311" s="1433">
        <v>1682</v>
      </c>
      <c r="N311" s="1433"/>
      <c r="O311" s="1433">
        <v>1881</v>
      </c>
      <c r="P311" s="456"/>
      <c r="T311" s="137">
        <f>SUM(C311:Q311)</f>
        <v>16770</v>
      </c>
      <c r="U311" s="138" t="s">
        <v>354</v>
      </c>
      <c r="V311" s="139"/>
      <c r="W311" s="140">
        <f>T311*99976.124488/1000000</f>
        <v>1676.59960766376</v>
      </c>
      <c r="X311" s="138" t="s">
        <v>342</v>
      </c>
      <c r="Y311" s="785">
        <f>W310+W311</f>
        <v>15542.93600766376</v>
      </c>
      <c r="Z311" s="157" t="s">
        <v>649</v>
      </c>
    </row>
    <row r="312" spans="1:26" s="125" customFormat="1" x14ac:dyDescent="0.25">
      <c r="A312" s="461"/>
      <c r="B312" s="135" t="s">
        <v>322</v>
      </c>
      <c r="C312" s="201"/>
      <c r="D312" s="1434">
        <v>313000</v>
      </c>
      <c r="E312" s="1434">
        <v>343200</v>
      </c>
      <c r="F312" s="1434">
        <v>411900</v>
      </c>
      <c r="G312" s="1434">
        <v>468800</v>
      </c>
      <c r="H312" s="1434">
        <v>426700</v>
      </c>
      <c r="I312" s="1434">
        <v>3067000</v>
      </c>
      <c r="J312" s="1434">
        <v>295400</v>
      </c>
      <c r="K312" s="1434">
        <v>311700</v>
      </c>
      <c r="L312" s="1434">
        <v>274500</v>
      </c>
      <c r="M312" s="1434">
        <v>279200</v>
      </c>
      <c r="N312" s="1434">
        <v>257100</v>
      </c>
      <c r="O312" s="1434">
        <v>261900</v>
      </c>
      <c r="P312" s="456"/>
      <c r="T312" s="137">
        <f>SUM(C312:Q312)</f>
        <v>6710400</v>
      </c>
      <c r="U312" s="138" t="s">
        <v>346</v>
      </c>
      <c r="V312" s="139"/>
      <c r="W312" s="137">
        <f>T312</f>
        <v>6710400</v>
      </c>
      <c r="X312" s="138" t="s">
        <v>346</v>
      </c>
      <c r="Y312" s="157"/>
      <c r="Z312" s="157"/>
    </row>
    <row r="313" spans="1:26" s="125" customFormat="1" x14ac:dyDescent="0.25">
      <c r="A313" s="461"/>
      <c r="B313" s="135" t="s">
        <v>324</v>
      </c>
      <c r="C313" s="613"/>
      <c r="D313" s="1435">
        <v>17162.63</v>
      </c>
      <c r="E313" s="1435">
        <v>18673.509999999998</v>
      </c>
      <c r="F313" s="1435">
        <v>18211.23</v>
      </c>
      <c r="G313" s="1435">
        <v>15024.62</v>
      </c>
      <c r="H313" s="1435">
        <v>14372.26</v>
      </c>
      <c r="I313" s="1435">
        <v>14668.42</v>
      </c>
      <c r="J313" s="1435">
        <v>13084.35</v>
      </c>
      <c r="K313" s="1435">
        <v>13290.26</v>
      </c>
      <c r="L313" s="1435">
        <v>14102.62</v>
      </c>
      <c r="M313" s="1435">
        <v>13922.34</v>
      </c>
      <c r="N313" s="1435">
        <v>16067.44</v>
      </c>
      <c r="O313" s="1435">
        <v>19309.93</v>
      </c>
      <c r="P313" s="176"/>
      <c r="T313" s="143">
        <f>SUM(C313:Q313)</f>
        <v>187889.61</v>
      </c>
      <c r="U313" s="138"/>
      <c r="V313" s="139"/>
      <c r="W313" s="143">
        <f>T313</f>
        <v>187889.61</v>
      </c>
      <c r="X313" s="138"/>
      <c r="Y313" s="157"/>
      <c r="Z313" s="157"/>
    </row>
    <row r="314" spans="1:26" s="125" customFormat="1" ht="16.5" x14ac:dyDescent="0.35">
      <c r="A314" s="461"/>
      <c r="B314" s="144" t="s">
        <v>374</v>
      </c>
      <c r="C314" s="611"/>
      <c r="D314" s="1436">
        <v>1064.19</v>
      </c>
      <c r="E314" s="1436">
        <v>1507.59</v>
      </c>
      <c r="F314" s="1436"/>
      <c r="G314" s="1436"/>
      <c r="H314" s="1436">
        <v>1477.19</v>
      </c>
      <c r="I314" s="1436">
        <v>1330.66</v>
      </c>
      <c r="J314" s="1436">
        <v>1526.77</v>
      </c>
      <c r="K314" s="1436">
        <v>1371.28</v>
      </c>
      <c r="L314" s="1436">
        <v>1586.6</v>
      </c>
      <c r="M314" s="1436">
        <v>1228.24</v>
      </c>
      <c r="N314" s="1436"/>
      <c r="O314" s="1436">
        <v>1402.88</v>
      </c>
      <c r="P314" s="179"/>
      <c r="T314" s="143">
        <f>SUM(C314:Q314)</f>
        <v>12495.400000000001</v>
      </c>
      <c r="U314" s="138"/>
      <c r="V314" s="139"/>
      <c r="W314" s="146">
        <f>T314</f>
        <v>12495.400000000001</v>
      </c>
      <c r="X314" s="138"/>
      <c r="Y314" s="157"/>
      <c r="Z314" s="157"/>
    </row>
    <row r="315" spans="1:26" s="125" customFormat="1" x14ac:dyDescent="0.25">
      <c r="A315" s="461"/>
      <c r="B315" s="180"/>
      <c r="C315" s="611"/>
      <c r="D315" s="179"/>
      <c r="E315" s="179"/>
      <c r="F315" s="179"/>
      <c r="G315" s="179"/>
      <c r="H315" s="179"/>
      <c r="I315" s="179"/>
      <c r="J315" s="179"/>
      <c r="K315" s="179"/>
      <c r="L315" s="179"/>
      <c r="M315" s="179"/>
      <c r="N315" s="179"/>
      <c r="O315" s="179"/>
      <c r="T315" s="149"/>
      <c r="U315" s="150"/>
      <c r="V315" s="139"/>
      <c r="W315" s="143">
        <f>SUM(W313:W314)</f>
        <v>200385.00999999998</v>
      </c>
      <c r="X315" s="138"/>
      <c r="Y315" s="157"/>
      <c r="Z315" s="157"/>
    </row>
    <row r="317" spans="1:26" s="125" customFormat="1" ht="16.5" x14ac:dyDescent="0.35">
      <c r="A317" s="461">
        <v>33</v>
      </c>
      <c r="B317" s="127" t="s">
        <v>613</v>
      </c>
      <c r="C317" s="611"/>
      <c r="D317" s="179"/>
      <c r="E317" s="179"/>
      <c r="F317" s="179"/>
      <c r="G317" s="179"/>
      <c r="H317" s="179"/>
      <c r="I317" s="179"/>
      <c r="J317" s="179"/>
      <c r="K317" s="179"/>
      <c r="L317" s="179"/>
      <c r="M317" s="179"/>
      <c r="N317" s="179"/>
      <c r="O317" s="179"/>
      <c r="R317" s="149"/>
      <c r="S317" s="150"/>
      <c r="T317" s="127" t="s">
        <v>613</v>
      </c>
      <c r="U317" s="181"/>
      <c r="V317" s="150"/>
      <c r="Y317" s="157"/>
      <c r="Z317" s="157"/>
    </row>
    <row r="318" spans="1:26" s="125" customFormat="1" x14ac:dyDescent="0.25">
      <c r="A318" s="461"/>
      <c r="B318" s="130" t="s">
        <v>337</v>
      </c>
      <c r="C318" s="131">
        <v>42156</v>
      </c>
      <c r="D318" s="131">
        <v>42186</v>
      </c>
      <c r="E318" s="131">
        <v>42217</v>
      </c>
      <c r="F318" s="131">
        <v>42248</v>
      </c>
      <c r="G318" s="131">
        <v>42278</v>
      </c>
      <c r="H318" s="131">
        <v>42309</v>
      </c>
      <c r="I318" s="131">
        <v>42339</v>
      </c>
      <c r="J318" s="131">
        <v>42370</v>
      </c>
      <c r="K318" s="131">
        <v>42401</v>
      </c>
      <c r="L318" s="131">
        <v>42430</v>
      </c>
      <c r="M318" s="131">
        <v>42461</v>
      </c>
      <c r="N318" s="131">
        <v>42491</v>
      </c>
      <c r="O318" s="131">
        <v>42522</v>
      </c>
      <c r="P318" s="131">
        <v>42552</v>
      </c>
      <c r="Q318" s="151">
        <v>42583</v>
      </c>
      <c r="R318" s="131">
        <v>42627</v>
      </c>
      <c r="S318" s="132"/>
      <c r="T318" s="133" t="s">
        <v>338</v>
      </c>
      <c r="U318" s="134" t="s">
        <v>339</v>
      </c>
      <c r="V318" s="132"/>
      <c r="W318" s="133" t="s">
        <v>338</v>
      </c>
      <c r="X318" s="134" t="s">
        <v>339</v>
      </c>
      <c r="Y318" s="157"/>
      <c r="Z318" s="157"/>
    </row>
    <row r="319" spans="1:26" s="125" customFormat="1" x14ac:dyDescent="0.25">
      <c r="A319" s="461"/>
      <c r="B319" s="135" t="s">
        <v>340</v>
      </c>
      <c r="C319" s="612"/>
      <c r="D319" s="454">
        <v>74600</v>
      </c>
      <c r="E319" s="454">
        <v>75300</v>
      </c>
      <c r="F319" s="454">
        <v>90000</v>
      </c>
      <c r="G319" s="454">
        <v>64800</v>
      </c>
      <c r="H319" s="454">
        <v>59400</v>
      </c>
      <c r="I319" s="454">
        <v>53600</v>
      </c>
      <c r="J319" s="454">
        <v>54300</v>
      </c>
      <c r="K319" s="454">
        <v>38300</v>
      </c>
      <c r="L319" s="454">
        <v>54900</v>
      </c>
      <c r="M319" s="454">
        <v>58000</v>
      </c>
      <c r="N319" s="454">
        <v>71300</v>
      </c>
      <c r="O319" s="454">
        <v>77300</v>
      </c>
      <c r="P319" s="456"/>
      <c r="T319" s="137">
        <f>SUM(D319:Q319)</f>
        <v>771800</v>
      </c>
      <c r="U319" s="138" t="s">
        <v>341</v>
      </c>
      <c r="V319" s="139"/>
      <c r="W319" s="140">
        <f>T319*3413/1000000</f>
        <v>2634.1534000000001</v>
      </c>
      <c r="X319" s="138" t="s">
        <v>342</v>
      </c>
      <c r="Y319" s="157"/>
      <c r="Z319" s="157"/>
    </row>
    <row r="320" spans="1:26" s="125" customFormat="1" x14ac:dyDescent="0.25">
      <c r="A320" s="461"/>
      <c r="B320" s="135" t="s">
        <v>372</v>
      </c>
      <c r="C320" s="612"/>
      <c r="D320" s="454">
        <v>401</v>
      </c>
      <c r="E320" s="454">
        <v>287</v>
      </c>
      <c r="F320" s="454">
        <v>599</v>
      </c>
      <c r="G320" s="454">
        <v>605</v>
      </c>
      <c r="H320" s="454">
        <v>871</v>
      </c>
      <c r="I320" s="454">
        <v>1332</v>
      </c>
      <c r="J320" s="454">
        <v>1226</v>
      </c>
      <c r="K320" s="454">
        <v>829</v>
      </c>
      <c r="L320" s="454">
        <v>787</v>
      </c>
      <c r="M320" s="454">
        <v>907</v>
      </c>
      <c r="N320" s="454">
        <v>734</v>
      </c>
      <c r="O320" s="454">
        <v>513</v>
      </c>
      <c r="P320" s="456"/>
      <c r="T320" s="137">
        <f>SUM(D320:Q320)</f>
        <v>9091</v>
      </c>
      <c r="U320" s="138" t="s">
        <v>354</v>
      </c>
      <c r="V320" s="139"/>
      <c r="W320" s="140">
        <f>T320*99976.124488/1000000</f>
        <v>908.88294772040797</v>
      </c>
      <c r="X320" s="138" t="s">
        <v>342</v>
      </c>
      <c r="Y320" s="495">
        <f>W320+W319</f>
        <v>3543.0363477204082</v>
      </c>
      <c r="Z320" s="138" t="s">
        <v>342</v>
      </c>
    </row>
    <row r="321" spans="1:26" s="125" customFormat="1" x14ac:dyDescent="0.25">
      <c r="A321" s="461"/>
      <c r="B321" s="135" t="s">
        <v>373</v>
      </c>
      <c r="C321" s="201"/>
      <c r="D321" s="441">
        <v>810</v>
      </c>
      <c r="E321" s="441">
        <v>410</v>
      </c>
      <c r="F321" s="441">
        <v>270</v>
      </c>
      <c r="G321" s="441">
        <v>240</v>
      </c>
      <c r="H321" s="441">
        <v>230</v>
      </c>
      <c r="I321" s="441">
        <v>90</v>
      </c>
      <c r="J321" s="441">
        <v>160</v>
      </c>
      <c r="K321" s="441">
        <v>510</v>
      </c>
      <c r="L321" s="441">
        <v>260</v>
      </c>
      <c r="M321" s="441">
        <v>390</v>
      </c>
      <c r="N321" s="441">
        <v>150</v>
      </c>
      <c r="O321" s="441">
        <v>130</v>
      </c>
      <c r="P321" s="456"/>
      <c r="T321" s="137">
        <f>SUM(D321:Q321)</f>
        <v>3650</v>
      </c>
      <c r="U321" s="138" t="s">
        <v>367</v>
      </c>
      <c r="V321" s="139"/>
      <c r="W321" s="137">
        <f>T321*7.48</f>
        <v>27302</v>
      </c>
      <c r="X321" s="138" t="s">
        <v>346</v>
      </c>
      <c r="Y321" s="157"/>
      <c r="Z321" s="157"/>
    </row>
    <row r="322" spans="1:26" s="125" customFormat="1" x14ac:dyDescent="0.25">
      <c r="A322" s="461"/>
      <c r="B322" s="135" t="s">
        <v>324</v>
      </c>
      <c r="C322" s="613"/>
      <c r="D322" s="455">
        <v>7496.84</v>
      </c>
      <c r="E322" s="455">
        <v>7587.43</v>
      </c>
      <c r="F322" s="455">
        <v>8516.99</v>
      </c>
      <c r="G322" s="455">
        <v>5789.7999999999993</v>
      </c>
      <c r="H322" s="455">
        <v>5453.97</v>
      </c>
      <c r="I322" s="455">
        <v>4920.4299999999994</v>
      </c>
      <c r="J322" s="455">
        <v>4698.4900000000007</v>
      </c>
      <c r="K322" s="455">
        <v>4079.0499999999997</v>
      </c>
      <c r="L322" s="455">
        <v>5175.72</v>
      </c>
      <c r="M322" s="455">
        <v>5182.37</v>
      </c>
      <c r="N322" s="455">
        <v>6051.77</v>
      </c>
      <c r="O322" s="455">
        <v>6665.9500000000007</v>
      </c>
      <c r="P322" s="176"/>
      <c r="T322" s="143">
        <f>SUM(D322:Q322)</f>
        <v>71618.81</v>
      </c>
      <c r="U322" s="138"/>
      <c r="V322" s="139"/>
      <c r="W322" s="143">
        <f>T322</f>
        <v>71618.81</v>
      </c>
      <c r="X322" s="138"/>
      <c r="Y322" s="157"/>
      <c r="Z322" s="157"/>
    </row>
    <row r="323" spans="1:26" s="125" customFormat="1" ht="16.5" x14ac:dyDescent="0.35">
      <c r="A323" s="461"/>
      <c r="B323" s="144" t="s">
        <v>374</v>
      </c>
      <c r="C323" s="611"/>
      <c r="D323" s="455">
        <v>324.19</v>
      </c>
      <c r="E323" s="455">
        <v>238.72</v>
      </c>
      <c r="F323" s="455">
        <v>472.64000000000004</v>
      </c>
      <c r="G323" s="455">
        <v>488.86</v>
      </c>
      <c r="H323" s="455">
        <v>662.31000000000006</v>
      </c>
      <c r="I323" s="455">
        <v>1000.3</v>
      </c>
      <c r="J323" s="455">
        <v>900.56999999999994</v>
      </c>
      <c r="K323" s="455">
        <v>616.58000000000004</v>
      </c>
      <c r="L323" s="455">
        <v>567.61</v>
      </c>
      <c r="M323" s="455">
        <v>686.82999999999993</v>
      </c>
      <c r="N323" s="455">
        <v>560.46999999999991</v>
      </c>
      <c r="O323" s="455">
        <v>400.31</v>
      </c>
      <c r="P323" s="179"/>
      <c r="T323" s="143">
        <f>SUM(D323:Q323)</f>
        <v>6919.3899999999994</v>
      </c>
      <c r="U323" s="138"/>
      <c r="V323" s="139"/>
      <c r="W323" s="146">
        <f>T323</f>
        <v>6919.3899999999994</v>
      </c>
      <c r="X323" s="138"/>
      <c r="Y323" s="157"/>
      <c r="Z323" s="157"/>
    </row>
    <row r="324" spans="1:26" s="125" customFormat="1" x14ac:dyDescent="0.25">
      <c r="A324" s="461"/>
      <c r="B324" s="180"/>
      <c r="C324" s="611"/>
      <c r="D324" s="179"/>
      <c r="E324" s="179"/>
      <c r="F324" s="179"/>
      <c r="G324" s="179"/>
      <c r="H324" s="179"/>
      <c r="I324" s="179"/>
      <c r="J324" s="179"/>
      <c r="K324" s="179"/>
      <c r="L324" s="179"/>
      <c r="M324" s="179"/>
      <c r="N324" s="179"/>
      <c r="O324" s="179"/>
      <c r="T324" s="149"/>
      <c r="U324" s="150"/>
      <c r="V324" s="139"/>
      <c r="W324" s="143">
        <f>SUM(W322:W323)</f>
        <v>78538.2</v>
      </c>
      <c r="X324" s="138"/>
      <c r="Y324" s="157"/>
      <c r="Z324" s="157"/>
    </row>
    <row r="326" spans="1:26" s="128" customFormat="1" x14ac:dyDescent="0.25">
      <c r="A326" s="459">
        <v>34</v>
      </c>
      <c r="B326" s="127" t="s">
        <v>615</v>
      </c>
      <c r="C326" s="602"/>
      <c r="T326" s="127" t="s">
        <v>615</v>
      </c>
      <c r="U326" s="129"/>
      <c r="X326" s="129"/>
      <c r="Y326" s="166"/>
      <c r="Z326" s="166"/>
    </row>
    <row r="327" spans="1:26" s="125" customFormat="1" x14ac:dyDescent="0.25">
      <c r="A327" s="461"/>
      <c r="B327" s="130" t="s">
        <v>337</v>
      </c>
      <c r="C327" s="131">
        <v>42156</v>
      </c>
      <c r="D327" s="131">
        <v>42186</v>
      </c>
      <c r="E327" s="131">
        <v>42217</v>
      </c>
      <c r="F327" s="131">
        <v>42248</v>
      </c>
      <c r="G327" s="131">
        <v>42278</v>
      </c>
      <c r="H327" s="131">
        <v>42309</v>
      </c>
      <c r="I327" s="131">
        <v>42339</v>
      </c>
      <c r="J327" s="131">
        <v>42370</v>
      </c>
      <c r="K327" s="131">
        <v>42401</v>
      </c>
      <c r="L327" s="131">
        <v>42430</v>
      </c>
      <c r="M327" s="131">
        <v>42461</v>
      </c>
      <c r="N327" s="131">
        <v>42491</v>
      </c>
      <c r="O327" s="131">
        <v>42522</v>
      </c>
      <c r="P327" s="131">
        <v>42552</v>
      </c>
      <c r="Q327" s="131">
        <v>42583</v>
      </c>
      <c r="R327" s="131">
        <v>42627</v>
      </c>
      <c r="S327" s="132"/>
      <c r="T327" s="133" t="s">
        <v>338</v>
      </c>
      <c r="U327" s="134" t="s">
        <v>339</v>
      </c>
      <c r="V327" s="132"/>
      <c r="W327" s="133" t="s">
        <v>338</v>
      </c>
      <c r="X327" s="134" t="s">
        <v>339</v>
      </c>
      <c r="Y327" s="157"/>
      <c r="Z327" s="157"/>
    </row>
    <row r="328" spans="1:26" s="125" customFormat="1" x14ac:dyDescent="0.25">
      <c r="A328" s="461"/>
      <c r="B328" s="135" t="s">
        <v>340</v>
      </c>
      <c r="C328" s="606"/>
      <c r="D328" s="136">
        <v>126492.56</v>
      </c>
      <c r="E328" s="136">
        <v>131062.95999999999</v>
      </c>
      <c r="F328" s="136">
        <v>176404.16</v>
      </c>
      <c r="G328" s="136">
        <v>167466.7200459</v>
      </c>
      <c r="H328" s="136">
        <v>120254</v>
      </c>
      <c r="I328" s="136">
        <v>123945.44</v>
      </c>
      <c r="J328" s="136">
        <v>113920.48</v>
      </c>
      <c r="K328" s="136">
        <v>131483.76004590001</v>
      </c>
      <c r="L328" s="136">
        <v>147519.64000000001</v>
      </c>
      <c r="M328" s="136">
        <v>134698.84</v>
      </c>
      <c r="N328" s="136">
        <v>141380.32004590001</v>
      </c>
      <c r="O328" s="136">
        <v>111725.04004590001</v>
      </c>
      <c r="P328" s="174"/>
      <c r="Q328" s="174"/>
      <c r="R328" s="174"/>
      <c r="T328" s="137">
        <f>SUM(D328:Q328)</f>
        <v>1626353.9201836004</v>
      </c>
      <c r="U328" s="138" t="s">
        <v>341</v>
      </c>
      <c r="V328" s="139"/>
      <c r="W328" s="140">
        <f>T328*3413/1000000</f>
        <v>5550.7459295866283</v>
      </c>
      <c r="X328" s="138" t="s">
        <v>342</v>
      </c>
      <c r="Y328" s="157"/>
      <c r="Z328" s="157"/>
    </row>
    <row r="329" spans="1:26" s="125" customFormat="1" x14ac:dyDescent="0.25">
      <c r="A329" s="461"/>
      <c r="B329" s="135" t="s">
        <v>343</v>
      </c>
      <c r="C329" s="606"/>
      <c r="D329" s="136">
        <v>271115</v>
      </c>
      <c r="E329" s="136">
        <v>312825</v>
      </c>
      <c r="F329" s="136">
        <v>280291.20000000001</v>
      </c>
      <c r="G329" s="136">
        <v>475494.00000000006</v>
      </c>
      <c r="H329" s="136">
        <v>413763.2</v>
      </c>
      <c r="I329" s="136">
        <v>394576.60000000003</v>
      </c>
      <c r="J329" s="136">
        <v>684044</v>
      </c>
      <c r="K329" s="136">
        <v>611468.60000000009</v>
      </c>
      <c r="L329" s="136">
        <v>436286.60000000003</v>
      </c>
      <c r="M329" s="136">
        <v>301146.2</v>
      </c>
      <c r="N329" s="136">
        <v>307819.80000000005</v>
      </c>
      <c r="O329" s="136">
        <v>281125.40000000002</v>
      </c>
      <c r="P329" s="174"/>
      <c r="Q329" s="174"/>
      <c r="R329" s="174"/>
      <c r="T329" s="137">
        <f>SUM(D329:Q329)</f>
        <v>4769955.6000000006</v>
      </c>
      <c r="U329" s="138" t="s">
        <v>344</v>
      </c>
      <c r="V329" s="139"/>
      <c r="W329" s="140">
        <f>T329/1000</f>
        <v>4769.9556000000002</v>
      </c>
      <c r="X329" s="138" t="s">
        <v>342</v>
      </c>
      <c r="Y329" s="495">
        <f>W328+W329</f>
        <v>10320.701529586629</v>
      </c>
      <c r="Z329" s="138" t="s">
        <v>342</v>
      </c>
    </row>
    <row r="330" spans="1:26" s="125" customFormat="1" x14ac:dyDescent="0.25">
      <c r="A330" s="461"/>
      <c r="B330" s="135" t="s">
        <v>345</v>
      </c>
      <c r="C330" s="606"/>
      <c r="D330" s="141">
        <v>252014</v>
      </c>
      <c r="E330" s="141">
        <v>322375</v>
      </c>
      <c r="F330" s="141">
        <v>368441</v>
      </c>
      <c r="G330" s="141">
        <v>253901</v>
      </c>
      <c r="H330" s="141">
        <v>185426</v>
      </c>
      <c r="I330" s="141">
        <v>92000</v>
      </c>
      <c r="J330" s="141">
        <v>603000</v>
      </c>
      <c r="K330" s="141">
        <v>290000</v>
      </c>
      <c r="L330" s="141">
        <v>231245</v>
      </c>
      <c r="M330" s="141">
        <v>300786</v>
      </c>
      <c r="N330" s="141">
        <v>189327</v>
      </c>
      <c r="O330" s="141">
        <v>314358</v>
      </c>
      <c r="P330" s="178"/>
      <c r="Q330" s="178"/>
      <c r="R330" s="178"/>
      <c r="T330" s="137">
        <f>SUM(D330:Q330)</f>
        <v>3402873</v>
      </c>
      <c r="U330" s="138" t="s">
        <v>346</v>
      </c>
      <c r="V330" s="139"/>
      <c r="W330" s="137">
        <f>T330</f>
        <v>3402873</v>
      </c>
      <c r="X330" s="138" t="s">
        <v>346</v>
      </c>
      <c r="Y330" s="157"/>
      <c r="Z330" s="157"/>
    </row>
    <row r="331" spans="1:26" s="125" customFormat="1" x14ac:dyDescent="0.25">
      <c r="A331" s="461"/>
      <c r="B331" s="135" t="s">
        <v>347</v>
      </c>
      <c r="C331" s="606"/>
      <c r="D331" s="142">
        <v>11291.261990000001</v>
      </c>
      <c r="E331" s="142">
        <v>11697.67022</v>
      </c>
      <c r="F331" s="142">
        <v>15729.616019999999</v>
      </c>
      <c r="G331" s="142">
        <v>14934.850690000001</v>
      </c>
      <c r="H331" s="142">
        <v>10736.50029</v>
      </c>
      <c r="I331" s="142">
        <v>11064.75036</v>
      </c>
      <c r="J331" s="142">
        <v>10173.296300000002</v>
      </c>
      <c r="K331" s="142">
        <v>11123.407719999999</v>
      </c>
      <c r="L331" s="142">
        <v>11925.77434</v>
      </c>
      <c r="M331" s="142">
        <v>10893.0468</v>
      </c>
      <c r="N331" s="142">
        <v>11431.24749</v>
      </c>
      <c r="O331" s="142">
        <v>9042.4920299999994</v>
      </c>
      <c r="P331" s="176"/>
      <c r="Q331" s="176"/>
      <c r="R331" s="176"/>
      <c r="T331" s="137">
        <f>SUM(D331:Q331)</f>
        <v>140043.91425</v>
      </c>
      <c r="U331" s="138"/>
      <c r="V331" s="139"/>
      <c r="W331" s="143">
        <f>T331</f>
        <v>140043.91425</v>
      </c>
      <c r="X331" s="138"/>
      <c r="Y331" s="157"/>
      <c r="Z331" s="157"/>
    </row>
    <row r="332" spans="1:26" s="125" customFormat="1" ht="16.5" x14ac:dyDescent="0.35">
      <c r="A332" s="461"/>
      <c r="B332" s="144" t="s">
        <v>348</v>
      </c>
      <c r="C332" s="607"/>
      <c r="D332" s="145">
        <v>5694</v>
      </c>
      <c r="E332" s="145">
        <v>6570</v>
      </c>
      <c r="F332" s="145">
        <v>5886.72</v>
      </c>
      <c r="G332" s="145">
        <v>9986.4</v>
      </c>
      <c r="H332" s="145">
        <v>8689.92</v>
      </c>
      <c r="I332" s="145">
        <v>8286.9599999999991</v>
      </c>
      <c r="J332" s="145">
        <v>14366.4</v>
      </c>
      <c r="K332" s="145">
        <v>12842.16</v>
      </c>
      <c r="L332" s="145">
        <v>9162.9599999999991</v>
      </c>
      <c r="M332" s="145">
        <v>6324.72</v>
      </c>
      <c r="N332" s="145">
        <v>6464.88</v>
      </c>
      <c r="O332" s="145">
        <v>5904.24</v>
      </c>
      <c r="P332" s="179"/>
      <c r="Q332" s="179"/>
      <c r="R332" s="179"/>
      <c r="T332" s="137">
        <f>SUM(D332:Q332)</f>
        <v>100179.36</v>
      </c>
      <c r="U332" s="138"/>
      <c r="V332" s="139"/>
      <c r="W332" s="146">
        <f>T332</f>
        <v>100179.36</v>
      </c>
      <c r="X332" s="138"/>
      <c r="Y332" s="157"/>
      <c r="Z332" s="157"/>
    </row>
    <row r="333" spans="1:26" x14ac:dyDescent="0.25">
      <c r="W333" s="143">
        <f>SUM(W331:W332)</f>
        <v>240223.27425000002</v>
      </c>
      <c r="X333" s="138"/>
    </row>
    <row r="335" spans="1:26" s="128" customFormat="1" x14ac:dyDescent="0.25">
      <c r="A335" s="459">
        <v>35</v>
      </c>
      <c r="B335" s="127" t="s">
        <v>912</v>
      </c>
      <c r="C335" s="602"/>
      <c r="T335" s="127" t="s">
        <v>912</v>
      </c>
      <c r="U335" s="129"/>
      <c r="X335" s="129"/>
      <c r="Y335" s="166"/>
      <c r="Z335" s="166"/>
    </row>
    <row r="336" spans="1:26" s="125" customFormat="1" x14ac:dyDescent="0.25">
      <c r="A336" s="461"/>
      <c r="B336" s="130" t="s">
        <v>337</v>
      </c>
      <c r="C336" s="131">
        <v>42156</v>
      </c>
      <c r="D336" s="131">
        <v>42186</v>
      </c>
      <c r="E336" s="131">
        <v>42217</v>
      </c>
      <c r="F336" s="131">
        <v>42248</v>
      </c>
      <c r="G336" s="131">
        <v>42278</v>
      </c>
      <c r="H336" s="131">
        <v>42309</v>
      </c>
      <c r="I336" s="131">
        <v>42339</v>
      </c>
      <c r="J336" s="131">
        <v>42370</v>
      </c>
      <c r="K336" s="131">
        <v>42401</v>
      </c>
      <c r="L336" s="131">
        <v>42430</v>
      </c>
      <c r="M336" s="131">
        <v>42461</v>
      </c>
      <c r="N336" s="131">
        <v>42491</v>
      </c>
      <c r="O336" s="131">
        <v>42522</v>
      </c>
      <c r="P336" s="131">
        <v>42552</v>
      </c>
      <c r="Q336" s="131">
        <v>42583</v>
      </c>
      <c r="R336" s="131">
        <v>42627</v>
      </c>
      <c r="S336" s="132"/>
      <c r="T336" s="133" t="s">
        <v>338</v>
      </c>
      <c r="U336" s="134" t="s">
        <v>339</v>
      </c>
      <c r="V336" s="132"/>
      <c r="W336" s="133" t="s">
        <v>338</v>
      </c>
      <c r="X336" s="134" t="s">
        <v>339</v>
      </c>
      <c r="Y336" s="157"/>
      <c r="Z336" s="157"/>
    </row>
    <row r="337" spans="1:26" s="125" customFormat="1" x14ac:dyDescent="0.25">
      <c r="A337" s="461"/>
      <c r="B337" s="135" t="s">
        <v>340</v>
      </c>
      <c r="C337" s="606"/>
      <c r="D337" s="136">
        <v>95653.119999999995</v>
      </c>
      <c r="E337" s="136">
        <v>104193.92000000001</v>
      </c>
      <c r="F337" s="136">
        <v>115816.32000000001</v>
      </c>
      <c r="G337" s="136">
        <v>104813.44003679999</v>
      </c>
      <c r="H337" s="136">
        <v>91664</v>
      </c>
      <c r="I337" s="136">
        <v>78922.87999999999</v>
      </c>
      <c r="J337" s="136">
        <v>80144.959999999992</v>
      </c>
      <c r="K337" s="136">
        <v>80595.520036799993</v>
      </c>
      <c r="L337" s="136">
        <v>79393.279999999999</v>
      </c>
      <c r="M337" s="136">
        <v>96367.679999999993</v>
      </c>
      <c r="N337" s="136">
        <v>92576.640036799989</v>
      </c>
      <c r="O337" s="136">
        <v>83022.080036799991</v>
      </c>
      <c r="P337" s="174"/>
      <c r="Q337" s="174"/>
      <c r="R337" s="174"/>
      <c r="T337" s="137">
        <f>SUM(D337:Q337)</f>
        <v>1103163.8401471998</v>
      </c>
      <c r="U337" s="138" t="s">
        <v>341</v>
      </c>
      <c r="V337" s="139"/>
      <c r="W337" s="164">
        <f>T337*3413/1000000</f>
        <v>3765.0981864223927</v>
      </c>
      <c r="X337" s="162" t="s">
        <v>342</v>
      </c>
      <c r="Y337" s="166"/>
      <c r="Z337" s="157"/>
    </row>
    <row r="338" spans="1:26" s="125" customFormat="1" x14ac:dyDescent="0.25">
      <c r="A338" s="461"/>
      <c r="B338" s="135" t="s">
        <v>343</v>
      </c>
      <c r="C338" s="606"/>
      <c r="D338" s="136">
        <v>180187.2</v>
      </c>
      <c r="E338" s="136">
        <v>238581.2</v>
      </c>
      <c r="F338" s="136">
        <v>311990.8</v>
      </c>
      <c r="G338" s="136">
        <v>301980.40000000002</v>
      </c>
      <c r="H338" s="136">
        <v>437120.80000000005</v>
      </c>
      <c r="I338" s="136">
        <v>430447.2</v>
      </c>
      <c r="J338" s="136">
        <v>718246.20000000007</v>
      </c>
      <c r="K338" s="136">
        <v>713241.00000000012</v>
      </c>
      <c r="L338" s="136">
        <v>376224.2</v>
      </c>
      <c r="M338" s="136">
        <v>385400.4</v>
      </c>
      <c r="N338" s="136">
        <v>283628</v>
      </c>
      <c r="O338" s="136">
        <v>251928.40000000002</v>
      </c>
      <c r="P338" s="174"/>
      <c r="Q338" s="174"/>
      <c r="R338" s="174"/>
      <c r="T338" s="137">
        <f>SUM(D338:Q338)</f>
        <v>4628975.8000000007</v>
      </c>
      <c r="U338" s="138" t="s">
        <v>344</v>
      </c>
      <c r="V338" s="139"/>
      <c r="W338" s="164">
        <f>T338/1000</f>
        <v>4628.9758000000011</v>
      </c>
      <c r="X338" s="162" t="s">
        <v>342</v>
      </c>
      <c r="Y338" s="1093">
        <f>W337+W338</f>
        <v>8394.0739864223942</v>
      </c>
      <c r="Z338" s="138" t="s">
        <v>342</v>
      </c>
    </row>
    <row r="339" spans="1:26" s="125" customFormat="1" x14ac:dyDescent="0.25">
      <c r="A339" s="461"/>
      <c r="B339" s="135" t="s">
        <v>345</v>
      </c>
      <c r="C339" s="606"/>
      <c r="D339" s="141">
        <v>98728</v>
      </c>
      <c r="E339" s="141">
        <v>214000</v>
      </c>
      <c r="F339" s="141">
        <v>289432</v>
      </c>
      <c r="G339" s="141">
        <v>263352</v>
      </c>
      <c r="H339" s="141">
        <v>217152</v>
      </c>
      <c r="I339" s="141">
        <v>96000</v>
      </c>
      <c r="J339" s="141">
        <v>201000</v>
      </c>
      <c r="K339" s="141">
        <v>258000</v>
      </c>
      <c r="L339" s="141">
        <v>203240</v>
      </c>
      <c r="M339" s="141">
        <v>310872</v>
      </c>
      <c r="N339" s="141">
        <v>123504</v>
      </c>
      <c r="O339" s="141">
        <v>88616</v>
      </c>
      <c r="P339" s="178"/>
      <c r="Q339" s="178"/>
      <c r="R339" s="178"/>
      <c r="T339" s="137">
        <f>SUM(D339:Q339)</f>
        <v>2363896</v>
      </c>
      <c r="U339" s="138" t="s">
        <v>346</v>
      </c>
      <c r="V339" s="139"/>
      <c r="W339" s="170">
        <f>T339</f>
        <v>2363896</v>
      </c>
      <c r="X339" s="162" t="s">
        <v>346</v>
      </c>
      <c r="Y339" s="166"/>
      <c r="Z339" s="157"/>
    </row>
    <row r="340" spans="1:26" s="125" customFormat="1" x14ac:dyDescent="0.25">
      <c r="A340" s="461"/>
      <c r="B340" s="135" t="s">
        <v>347</v>
      </c>
      <c r="C340" s="606"/>
      <c r="D340" s="142">
        <v>8535.3184799999999</v>
      </c>
      <c r="E340" s="142">
        <v>9294.8014399999993</v>
      </c>
      <c r="F340" s="142">
        <v>10328.33304</v>
      </c>
      <c r="G340" s="142">
        <v>9349.9008799999992</v>
      </c>
      <c r="H340" s="142">
        <v>8180.5800800000006</v>
      </c>
      <c r="I340" s="142">
        <v>7047.5987200000009</v>
      </c>
      <c r="J340" s="142">
        <v>7156.2676000000001</v>
      </c>
      <c r="K340" s="142">
        <v>6821.3914400000003</v>
      </c>
      <c r="L340" s="142">
        <v>6424.5956799999994</v>
      </c>
      <c r="M340" s="142">
        <v>7791.8935999999994</v>
      </c>
      <c r="N340" s="142">
        <v>7486.5244799999991</v>
      </c>
      <c r="O340" s="142">
        <v>6716.9105600000012</v>
      </c>
      <c r="P340" s="176"/>
      <c r="Q340" s="176"/>
      <c r="R340" s="176"/>
      <c r="T340" s="137">
        <f>SUM(D340:Q340)</f>
        <v>95134.115999999995</v>
      </c>
      <c r="U340" s="138"/>
      <c r="V340" s="139"/>
      <c r="W340" s="1095">
        <f>T340</f>
        <v>95134.115999999995</v>
      </c>
      <c r="X340" s="162"/>
      <c r="Y340" s="166"/>
      <c r="Z340" s="157"/>
    </row>
    <row r="341" spans="1:26" s="125" customFormat="1" ht="16.5" x14ac:dyDescent="0.35">
      <c r="A341" s="461"/>
      <c r="B341" s="144" t="s">
        <v>348</v>
      </c>
      <c r="C341" s="607"/>
      <c r="D341" s="145">
        <v>4406.07</v>
      </c>
      <c r="E341" s="145">
        <v>5833.9699999999993</v>
      </c>
      <c r="F341" s="145">
        <v>7629.0399999999991</v>
      </c>
      <c r="G341" s="145">
        <v>7384.25</v>
      </c>
      <c r="H341" s="145">
        <v>10688.82</v>
      </c>
      <c r="I341" s="145">
        <v>10525.62</v>
      </c>
      <c r="J341" s="145">
        <v>17563.11</v>
      </c>
      <c r="K341" s="145">
        <v>17440.72</v>
      </c>
      <c r="L341" s="145">
        <v>9199.7199999999993</v>
      </c>
      <c r="M341" s="145">
        <v>9424.1</v>
      </c>
      <c r="N341" s="145">
        <v>6935.49</v>
      </c>
      <c r="O341" s="145">
        <v>6160.34</v>
      </c>
      <c r="P341" s="179"/>
      <c r="Q341" s="179"/>
      <c r="R341" s="179"/>
      <c r="T341" s="137">
        <f>SUM(D341:Q341)</f>
        <v>113191.25000000001</v>
      </c>
      <c r="U341" s="138"/>
      <c r="V341" s="139"/>
      <c r="W341" s="1096">
        <f>T341</f>
        <v>113191.25000000001</v>
      </c>
      <c r="X341" s="162"/>
      <c r="Y341" s="166"/>
      <c r="Z341" s="157"/>
    </row>
    <row r="342" spans="1:26" x14ac:dyDescent="0.25">
      <c r="W342" s="1095">
        <f>SUM(W340:W341)</f>
        <v>208325.36600000001</v>
      </c>
      <c r="X342" s="162"/>
      <c r="Y342" s="1256"/>
    </row>
    <row r="344" spans="1:26" s="128" customFormat="1" ht="16.5" x14ac:dyDescent="0.35">
      <c r="A344" s="459">
        <v>36</v>
      </c>
      <c r="B344" s="127" t="s">
        <v>617</v>
      </c>
      <c r="C344" s="613"/>
      <c r="D344" s="177"/>
      <c r="E344" s="177"/>
      <c r="F344" s="177"/>
      <c r="G344" s="177"/>
      <c r="H344" s="177"/>
      <c r="I344" s="177"/>
      <c r="J344" s="177"/>
      <c r="K344" s="177"/>
      <c r="L344" s="177"/>
      <c r="M344" s="177"/>
      <c r="N344" s="177"/>
      <c r="O344" s="177"/>
      <c r="R344" s="1261"/>
      <c r="S344" s="1262"/>
      <c r="T344" s="127" t="s">
        <v>617</v>
      </c>
      <c r="U344" s="1263"/>
      <c r="V344" s="1262"/>
      <c r="Y344" s="166"/>
      <c r="Z344" s="166"/>
    </row>
    <row r="345" spans="1:26" s="125" customFormat="1" x14ac:dyDescent="0.25">
      <c r="A345" s="461"/>
      <c r="B345" s="130" t="s">
        <v>337</v>
      </c>
      <c r="C345" s="131">
        <v>42156</v>
      </c>
      <c r="D345" s="131">
        <v>42186</v>
      </c>
      <c r="E345" s="131">
        <v>42217</v>
      </c>
      <c r="F345" s="131">
        <v>42248</v>
      </c>
      <c r="G345" s="131">
        <v>42278</v>
      </c>
      <c r="H345" s="131">
        <v>42309</v>
      </c>
      <c r="I345" s="131">
        <v>42339</v>
      </c>
      <c r="J345" s="131">
        <v>42370</v>
      </c>
      <c r="K345" s="131">
        <v>42401</v>
      </c>
      <c r="L345" s="131">
        <v>42430</v>
      </c>
      <c r="M345" s="131">
        <v>42461</v>
      </c>
      <c r="N345" s="131">
        <v>42491</v>
      </c>
      <c r="O345" s="131">
        <v>42522</v>
      </c>
      <c r="P345" s="131">
        <v>42552</v>
      </c>
      <c r="Q345" s="151">
        <v>42583</v>
      </c>
      <c r="R345" s="131">
        <v>42627</v>
      </c>
      <c r="S345" s="132"/>
      <c r="T345" s="133" t="s">
        <v>338</v>
      </c>
      <c r="U345" s="134" t="s">
        <v>339</v>
      </c>
      <c r="V345" s="132"/>
      <c r="W345" s="133" t="s">
        <v>338</v>
      </c>
      <c r="X345" s="134" t="s">
        <v>339</v>
      </c>
      <c r="Y345" s="157"/>
      <c r="Z345" s="157"/>
    </row>
    <row r="346" spans="1:26" s="125" customFormat="1" x14ac:dyDescent="0.25">
      <c r="A346" s="461"/>
      <c r="B346" s="135" t="s">
        <v>340</v>
      </c>
      <c r="C346" s="612"/>
      <c r="D346" s="1258"/>
      <c r="E346" s="1258"/>
      <c r="F346" s="160"/>
      <c r="G346" s="160"/>
      <c r="H346" s="160"/>
      <c r="I346" s="160"/>
      <c r="J346" s="160"/>
      <c r="K346" s="160"/>
      <c r="L346" s="160"/>
      <c r="M346" s="160"/>
      <c r="N346" s="160"/>
      <c r="O346" s="160"/>
      <c r="P346" s="456"/>
      <c r="T346" s="137">
        <f>SUM(D346:O346)</f>
        <v>0</v>
      </c>
      <c r="U346" s="138" t="s">
        <v>341</v>
      </c>
      <c r="V346" s="139"/>
      <c r="W346" s="140">
        <f>T346*3413/1000000</f>
        <v>0</v>
      </c>
      <c r="X346" s="138" t="s">
        <v>342</v>
      </c>
      <c r="Y346" s="157"/>
      <c r="Z346" s="157"/>
    </row>
    <row r="347" spans="1:26" s="125" customFormat="1" x14ac:dyDescent="0.25">
      <c r="A347" s="461"/>
      <c r="B347" s="135" t="s">
        <v>821</v>
      </c>
      <c r="C347" s="612"/>
      <c r="D347" s="140"/>
      <c r="E347" s="140"/>
      <c r="F347" s="140"/>
      <c r="G347" s="140"/>
      <c r="H347" s="140"/>
      <c r="I347" s="140"/>
      <c r="J347" s="140"/>
      <c r="K347" s="140"/>
      <c r="L347" s="140"/>
      <c r="M347" s="140"/>
      <c r="N347" s="140"/>
      <c r="O347" s="140"/>
      <c r="P347" s="456"/>
      <c r="T347" s="137">
        <f>SUM(D347:O347)</f>
        <v>0</v>
      </c>
      <c r="U347" s="138" t="s">
        <v>822</v>
      </c>
      <c r="V347" s="139"/>
      <c r="W347" s="140">
        <f>T347*1000*1027/1000000</f>
        <v>0</v>
      </c>
      <c r="X347" s="138" t="s">
        <v>342</v>
      </c>
      <c r="Y347" s="495">
        <f>W346+W347</f>
        <v>0</v>
      </c>
      <c r="Z347" s="138" t="s">
        <v>342</v>
      </c>
    </row>
    <row r="348" spans="1:26" s="125" customFormat="1" x14ac:dyDescent="0.25">
      <c r="A348" s="461"/>
      <c r="B348" s="135" t="s">
        <v>373</v>
      </c>
      <c r="C348" s="201"/>
      <c r="D348" s="1092"/>
      <c r="E348" s="1092"/>
      <c r="F348" s="1092"/>
      <c r="G348" s="1092"/>
      <c r="H348" s="1092"/>
      <c r="I348" s="1092"/>
      <c r="J348" s="1092"/>
      <c r="K348" s="1092"/>
      <c r="L348" s="1092"/>
      <c r="M348" s="1092"/>
      <c r="N348" s="1092"/>
      <c r="O348" s="1092"/>
      <c r="P348" s="456"/>
      <c r="T348" s="137">
        <f>SUM(D348:O348)</f>
        <v>0</v>
      </c>
      <c r="U348" s="138" t="s">
        <v>367</v>
      </c>
      <c r="V348" s="139"/>
      <c r="W348" s="137">
        <f>T348*7.48</f>
        <v>0</v>
      </c>
      <c r="X348" s="138" t="s">
        <v>346</v>
      </c>
      <c r="Y348" s="157"/>
      <c r="Z348" s="157"/>
    </row>
    <row r="349" spans="1:26" s="125" customFormat="1" x14ac:dyDescent="0.25">
      <c r="A349" s="461"/>
      <c r="B349" s="135" t="s">
        <v>324</v>
      </c>
      <c r="C349" s="613"/>
      <c r="D349" s="145"/>
      <c r="E349" s="145"/>
      <c r="F349" s="145"/>
      <c r="G349" s="145"/>
      <c r="H349" s="145"/>
      <c r="I349" s="145"/>
      <c r="J349" s="145"/>
      <c r="K349" s="145"/>
      <c r="L349" s="145"/>
      <c r="M349" s="145"/>
      <c r="N349" s="145"/>
      <c r="O349" s="145"/>
      <c r="P349" s="176"/>
      <c r="T349" s="1260">
        <f>SUM(D349:O349)</f>
        <v>0</v>
      </c>
      <c r="U349" s="138"/>
      <c r="V349" s="139"/>
      <c r="W349" s="143">
        <f>T349</f>
        <v>0</v>
      </c>
      <c r="X349" s="138"/>
      <c r="Y349" s="157"/>
      <c r="Z349" s="157"/>
    </row>
    <row r="350" spans="1:26" s="125" customFormat="1" ht="16.5" x14ac:dyDescent="0.35">
      <c r="A350" s="461"/>
      <c r="B350" s="144" t="s">
        <v>374</v>
      </c>
      <c r="C350" s="611"/>
      <c r="D350" s="145"/>
      <c r="E350" s="145"/>
      <c r="F350" s="145"/>
      <c r="G350" s="145"/>
      <c r="H350" s="145"/>
      <c r="I350" s="145"/>
      <c r="J350" s="145"/>
      <c r="K350" s="145"/>
      <c r="L350" s="145"/>
      <c r="M350" s="145"/>
      <c r="N350" s="145"/>
      <c r="O350" s="145"/>
      <c r="P350" s="179"/>
      <c r="T350" s="1260">
        <f>SUM(D350:O350)</f>
        <v>0</v>
      </c>
      <c r="U350" s="138"/>
      <c r="V350" s="139"/>
      <c r="W350" s="146">
        <f>T350</f>
        <v>0</v>
      </c>
      <c r="X350" s="138"/>
      <c r="Y350" s="157"/>
      <c r="Z350" s="157" t="s">
        <v>824</v>
      </c>
    </row>
    <row r="351" spans="1:26" s="125" customFormat="1" x14ac:dyDescent="0.25">
      <c r="A351" s="461"/>
      <c r="B351" s="180"/>
      <c r="C351" s="611"/>
      <c r="D351" s="611"/>
      <c r="E351" s="179"/>
      <c r="F351" s="179"/>
      <c r="G351" s="179"/>
      <c r="H351" s="179"/>
      <c r="I351" s="179"/>
      <c r="J351" s="179"/>
      <c r="K351" s="179"/>
      <c r="L351" s="179"/>
      <c r="M351" s="179"/>
      <c r="N351" s="179"/>
      <c r="O351" s="179"/>
      <c r="T351" s="149"/>
      <c r="U351" s="150"/>
      <c r="V351" s="139"/>
      <c r="W351" s="143">
        <f>SUM(W349:W350)</f>
        <v>0</v>
      </c>
      <c r="X351" s="138"/>
      <c r="Y351" s="157"/>
      <c r="Z351" s="674" t="s">
        <v>825</v>
      </c>
    </row>
    <row r="353" spans="1:26" s="125" customFormat="1" ht="16.5" x14ac:dyDescent="0.35">
      <c r="A353" s="461">
        <v>37</v>
      </c>
      <c r="B353" s="127" t="s">
        <v>618</v>
      </c>
      <c r="C353" s="611"/>
      <c r="D353" s="179"/>
      <c r="E353" s="179"/>
      <c r="F353" s="179"/>
      <c r="G353" s="179"/>
      <c r="H353" s="179"/>
      <c r="I353" s="179"/>
      <c r="J353" s="179"/>
      <c r="K353" s="179"/>
      <c r="L353" s="179"/>
      <c r="M353" s="179"/>
      <c r="N353" s="179"/>
      <c r="O353" s="179"/>
      <c r="R353" s="149"/>
      <c r="S353" s="150"/>
      <c r="T353" s="127" t="s">
        <v>618</v>
      </c>
      <c r="U353" s="181"/>
      <c r="V353" s="150"/>
      <c r="Y353" s="157"/>
      <c r="Z353" s="157"/>
    </row>
    <row r="354" spans="1:26" s="125" customFormat="1" x14ac:dyDescent="0.25">
      <c r="A354" s="461"/>
      <c r="B354" s="130" t="s">
        <v>337</v>
      </c>
      <c r="C354" s="131">
        <v>42156</v>
      </c>
      <c r="D354" s="131">
        <v>42186</v>
      </c>
      <c r="E354" s="131">
        <v>42217</v>
      </c>
      <c r="F354" s="131">
        <v>42248</v>
      </c>
      <c r="G354" s="131">
        <v>42278</v>
      </c>
      <c r="H354" s="131">
        <v>42309</v>
      </c>
      <c r="I354" s="131">
        <v>42339</v>
      </c>
      <c r="J354" s="131">
        <v>42370</v>
      </c>
      <c r="K354" s="131">
        <v>42401</v>
      </c>
      <c r="L354" s="131">
        <v>42430</v>
      </c>
      <c r="M354" s="131">
        <v>42461</v>
      </c>
      <c r="N354" s="131">
        <v>42491</v>
      </c>
      <c r="O354" s="131">
        <v>42522</v>
      </c>
      <c r="P354" s="131">
        <v>42552</v>
      </c>
      <c r="Q354" s="151">
        <v>42583</v>
      </c>
      <c r="R354" s="131">
        <v>42627</v>
      </c>
      <c r="S354" s="132"/>
      <c r="T354" s="133" t="s">
        <v>338</v>
      </c>
      <c r="U354" s="134" t="s">
        <v>339</v>
      </c>
      <c r="V354" s="132"/>
      <c r="W354" s="133" t="s">
        <v>338</v>
      </c>
      <c r="X354" s="134" t="s">
        <v>339</v>
      </c>
      <c r="Y354" s="157"/>
      <c r="Z354" s="157"/>
    </row>
    <row r="355" spans="1:26" s="125" customFormat="1" x14ac:dyDescent="0.25">
      <c r="A355" s="461"/>
      <c r="B355" s="135" t="s">
        <v>340</v>
      </c>
      <c r="C355" s="612"/>
      <c r="D355" s="160">
        <v>77200</v>
      </c>
      <c r="E355" s="160">
        <v>67600</v>
      </c>
      <c r="F355" s="160">
        <v>68400</v>
      </c>
      <c r="G355" s="160">
        <v>81800</v>
      </c>
      <c r="H355" s="160">
        <v>67800</v>
      </c>
      <c r="I355" s="160">
        <v>84600</v>
      </c>
      <c r="J355" s="160">
        <v>87200</v>
      </c>
      <c r="K355" s="160">
        <v>81400</v>
      </c>
      <c r="L355" s="160">
        <v>83000</v>
      </c>
      <c r="M355" s="160">
        <v>85600</v>
      </c>
      <c r="N355" s="160">
        <v>78800</v>
      </c>
      <c r="O355" s="160">
        <v>74800</v>
      </c>
      <c r="P355" s="456"/>
      <c r="Q355" s="991"/>
      <c r="R355" s="991"/>
      <c r="T355" s="137">
        <f>SUM(D355:R355)</f>
        <v>938200</v>
      </c>
      <c r="U355" s="138" t="s">
        <v>341</v>
      </c>
      <c r="V355" s="139"/>
      <c r="W355" s="140">
        <f>T355*3413/1000000</f>
        <v>3202.0765999999999</v>
      </c>
      <c r="X355" s="138" t="s">
        <v>342</v>
      </c>
      <c r="Y355" s="157"/>
      <c r="Z355" s="157"/>
    </row>
    <row r="356" spans="1:26" s="125" customFormat="1" x14ac:dyDescent="0.25">
      <c r="A356" s="461"/>
      <c r="B356" s="135" t="s">
        <v>614</v>
      </c>
      <c r="C356" s="201"/>
      <c r="D356" s="153">
        <v>37</v>
      </c>
      <c r="E356" s="160">
        <v>20</v>
      </c>
      <c r="F356" s="160">
        <v>19</v>
      </c>
      <c r="G356" s="160">
        <v>19</v>
      </c>
      <c r="H356" s="160">
        <v>23</v>
      </c>
      <c r="I356" s="160">
        <v>25</v>
      </c>
      <c r="J356" s="160">
        <v>23</v>
      </c>
      <c r="K356" s="160">
        <v>25</v>
      </c>
      <c r="L356" s="160">
        <v>27</v>
      </c>
      <c r="M356" s="160">
        <v>28</v>
      </c>
      <c r="N356" s="160">
        <v>29</v>
      </c>
      <c r="O356" s="160">
        <v>32</v>
      </c>
      <c r="P356" s="456"/>
      <c r="Q356" s="444"/>
      <c r="R356" s="444"/>
      <c r="T356" s="137">
        <f>SUM(D356:R356)</f>
        <v>307</v>
      </c>
      <c r="U356" s="138" t="s">
        <v>379</v>
      </c>
      <c r="V356" s="139"/>
      <c r="W356" s="137">
        <f>T356*748</f>
        <v>229636</v>
      </c>
      <c r="X356" s="138" t="s">
        <v>346</v>
      </c>
      <c r="Y356" s="157"/>
      <c r="Z356" s="157"/>
    </row>
    <row r="357" spans="1:26" s="157" customFormat="1" ht="12.75" x14ac:dyDescent="0.2">
      <c r="A357" s="1153"/>
      <c r="B357" s="135" t="s">
        <v>347</v>
      </c>
      <c r="C357" s="613"/>
      <c r="D357" s="171">
        <v>6845.41</v>
      </c>
      <c r="E357" s="142">
        <v>6114.04</v>
      </c>
      <c r="F357" s="142">
        <v>6267.63</v>
      </c>
      <c r="G357" s="142">
        <v>7319.38</v>
      </c>
      <c r="H357" s="142">
        <v>6252.8</v>
      </c>
      <c r="I357" s="142">
        <v>7471.3</v>
      </c>
      <c r="J357" s="142">
        <v>7540.61</v>
      </c>
      <c r="K357" s="142">
        <v>7276.39</v>
      </c>
      <c r="L357" s="142">
        <v>7457.85</v>
      </c>
      <c r="M357" s="142">
        <v>7520.86</v>
      </c>
      <c r="N357" s="142">
        <v>7030.4</v>
      </c>
      <c r="O357" s="142">
        <v>6664.63</v>
      </c>
      <c r="P357" s="176"/>
      <c r="Q357" s="554"/>
      <c r="R357" s="554"/>
      <c r="T357" s="143">
        <f>SUM(D357:R357)</f>
        <v>83761.3</v>
      </c>
      <c r="U357" s="138"/>
      <c r="V357" s="139"/>
      <c r="W357" s="143">
        <f>T357</f>
        <v>83761.3</v>
      </c>
      <c r="X357" s="138"/>
    </row>
    <row r="358" spans="1:26" s="125" customFormat="1" x14ac:dyDescent="0.25">
      <c r="A358" s="461"/>
      <c r="B358" s="180"/>
      <c r="C358" s="611"/>
      <c r="D358" s="179"/>
      <c r="E358" s="179"/>
      <c r="F358" s="179"/>
      <c r="G358" s="179"/>
      <c r="H358" s="179"/>
      <c r="I358" s="179"/>
      <c r="J358" s="179"/>
      <c r="K358" s="179"/>
      <c r="L358" s="179"/>
      <c r="M358" s="179"/>
      <c r="N358" s="179"/>
      <c r="O358" s="179"/>
      <c r="T358" s="149"/>
      <c r="U358" s="150"/>
      <c r="V358" s="139"/>
      <c r="W358" s="143">
        <f>SUM(W357:W357)</f>
        <v>83761.3</v>
      </c>
      <c r="X358" s="138"/>
      <c r="Y358" s="157"/>
      <c r="Z358" s="157"/>
    </row>
    <row r="360" spans="1:26" s="128" customFormat="1" x14ac:dyDescent="0.25">
      <c r="A360" s="459">
        <v>38</v>
      </c>
      <c r="B360" s="127" t="s">
        <v>621</v>
      </c>
      <c r="C360" s="173"/>
      <c r="S360" s="129"/>
      <c r="T360" s="127" t="s">
        <v>621</v>
      </c>
      <c r="V360" s="129"/>
      <c r="Y360" s="166"/>
      <c r="Z360" s="166"/>
    </row>
    <row r="361" spans="1:26" s="125" customFormat="1" x14ac:dyDescent="0.25">
      <c r="A361" s="461"/>
      <c r="B361" s="130" t="s">
        <v>337</v>
      </c>
      <c r="C361" s="131">
        <v>42156</v>
      </c>
      <c r="D361" s="131">
        <v>42186</v>
      </c>
      <c r="E361" s="131">
        <v>42217</v>
      </c>
      <c r="F361" s="131">
        <v>42248</v>
      </c>
      <c r="G361" s="131">
        <v>42278</v>
      </c>
      <c r="H361" s="131">
        <v>42309</v>
      </c>
      <c r="I361" s="131">
        <v>42339</v>
      </c>
      <c r="J361" s="131">
        <v>42370</v>
      </c>
      <c r="K361" s="131">
        <v>42401</v>
      </c>
      <c r="L361" s="131">
        <v>42430</v>
      </c>
      <c r="M361" s="131">
        <v>42461</v>
      </c>
      <c r="N361" s="131">
        <v>42491</v>
      </c>
      <c r="O361" s="131">
        <v>42522</v>
      </c>
      <c r="P361" s="131">
        <v>42552</v>
      </c>
      <c r="Q361" s="151">
        <v>42583</v>
      </c>
      <c r="R361" s="131">
        <v>42627</v>
      </c>
      <c r="S361" s="132"/>
      <c r="T361" s="133" t="s">
        <v>338</v>
      </c>
      <c r="U361" s="134" t="s">
        <v>339</v>
      </c>
      <c r="V361" s="132"/>
      <c r="W361" s="133" t="s">
        <v>338</v>
      </c>
      <c r="X361" s="134" t="s">
        <v>339</v>
      </c>
      <c r="Y361" s="157"/>
      <c r="Z361" s="157"/>
    </row>
    <row r="362" spans="1:26" s="125" customFormat="1" x14ac:dyDescent="0.25">
      <c r="A362" s="461"/>
      <c r="B362" s="135" t="s">
        <v>340</v>
      </c>
      <c r="C362" s="556"/>
      <c r="D362" s="457"/>
      <c r="E362" s="448"/>
      <c r="F362" s="136"/>
      <c r="G362" s="136"/>
      <c r="H362" s="136"/>
      <c r="I362" s="136"/>
      <c r="J362" s="136"/>
      <c r="K362" s="136"/>
      <c r="L362" s="136"/>
      <c r="M362" s="136"/>
      <c r="N362" s="136"/>
      <c r="O362" s="136"/>
      <c r="P362" s="136"/>
      <c r="Q362" s="174"/>
      <c r="T362" s="187">
        <f>SUM(F362:Q362)</f>
        <v>0</v>
      </c>
      <c r="U362" s="188" t="s">
        <v>341</v>
      </c>
      <c r="V362" s="157"/>
      <c r="W362" s="140">
        <f>T362*3413/1000000</f>
        <v>0</v>
      </c>
      <c r="X362" s="138" t="s">
        <v>342</v>
      </c>
      <c r="Y362" s="157"/>
      <c r="Z362" s="157"/>
    </row>
    <row r="363" spans="1:26" s="125" customFormat="1" x14ac:dyDescent="0.25">
      <c r="A363" s="461"/>
      <c r="B363" s="135" t="s">
        <v>345</v>
      </c>
      <c r="C363" s="556"/>
      <c r="D363" s="458"/>
      <c r="E363" s="440"/>
      <c r="F363" s="141"/>
      <c r="G363" s="141"/>
      <c r="H363" s="154"/>
      <c r="I363" s="154"/>
      <c r="J363" s="154"/>
      <c r="K363" s="141"/>
      <c r="L363" s="154"/>
      <c r="M363" s="141"/>
      <c r="N363" s="141"/>
      <c r="O363" s="141"/>
      <c r="P363" s="141"/>
      <c r="Q363" s="178"/>
      <c r="T363" s="187">
        <f>SUM(F363:Q363)</f>
        <v>0</v>
      </c>
      <c r="U363" s="188" t="s">
        <v>346</v>
      </c>
      <c r="V363" s="157"/>
      <c r="W363" s="141">
        <f>T363</f>
        <v>0</v>
      </c>
      <c r="X363" s="188" t="s">
        <v>346</v>
      </c>
      <c r="Y363" s="157"/>
      <c r="Z363" s="157"/>
    </row>
    <row r="364" spans="1:26" s="125" customFormat="1" x14ac:dyDescent="0.25">
      <c r="A364" s="461"/>
      <c r="B364" s="135" t="s">
        <v>324</v>
      </c>
      <c r="C364" s="556"/>
      <c r="D364" s="458"/>
      <c r="E364" s="440"/>
      <c r="F364" s="142"/>
      <c r="G364" s="142"/>
      <c r="H364" s="142"/>
      <c r="I364" s="142"/>
      <c r="J364" s="142"/>
      <c r="K364" s="142"/>
      <c r="L364" s="142"/>
      <c r="M364" s="142"/>
      <c r="N364" s="142"/>
      <c r="O364" s="142"/>
      <c r="P364" s="142"/>
      <c r="Q364" s="176"/>
      <c r="T364" s="189">
        <f>SUM(F364:Q364)</f>
        <v>0</v>
      </c>
      <c r="U364" s="188"/>
      <c r="V364" s="157"/>
      <c r="W364" s="190">
        <f>T364</f>
        <v>0</v>
      </c>
      <c r="X364" s="188"/>
      <c r="Y364" s="157"/>
      <c r="Z364" s="157"/>
    </row>
    <row r="366" spans="1:26" s="125" customFormat="1" ht="16.5" x14ac:dyDescent="0.35">
      <c r="A366" s="461">
        <v>39</v>
      </c>
      <c r="B366" s="127" t="s">
        <v>622</v>
      </c>
      <c r="C366" s="611"/>
      <c r="D366" s="179"/>
      <c r="E366" s="179"/>
      <c r="F366" s="179"/>
      <c r="G366" s="179"/>
      <c r="H366" s="179"/>
      <c r="I366" s="179"/>
      <c r="J366" s="179"/>
      <c r="K366" s="179"/>
      <c r="L366" s="179"/>
      <c r="M366" s="179"/>
      <c r="N366" s="179"/>
      <c r="O366" s="179"/>
      <c r="R366" s="149"/>
      <c r="S366" s="150"/>
      <c r="T366" s="127" t="s">
        <v>622</v>
      </c>
      <c r="U366" s="181"/>
      <c r="V366" s="150"/>
      <c r="Y366" s="157"/>
      <c r="Z366" s="157"/>
    </row>
    <row r="367" spans="1:26" s="125" customFormat="1" x14ac:dyDescent="0.25">
      <c r="A367" s="461"/>
      <c r="B367" s="130" t="s">
        <v>337</v>
      </c>
      <c r="C367" s="131">
        <v>42156</v>
      </c>
      <c r="D367" s="131">
        <v>42186</v>
      </c>
      <c r="E367" s="131">
        <v>42217</v>
      </c>
      <c r="F367" s="131">
        <v>42248</v>
      </c>
      <c r="G367" s="131">
        <v>42278</v>
      </c>
      <c r="H367" s="131">
        <v>42309</v>
      </c>
      <c r="I367" s="131">
        <v>42339</v>
      </c>
      <c r="J367" s="131">
        <v>42370</v>
      </c>
      <c r="K367" s="131">
        <v>42401</v>
      </c>
      <c r="L367" s="131">
        <v>42430</v>
      </c>
      <c r="M367" s="131">
        <v>42461</v>
      </c>
      <c r="N367" s="131">
        <v>42491</v>
      </c>
      <c r="O367" s="131">
        <v>42522</v>
      </c>
      <c r="P367" s="131">
        <v>42552</v>
      </c>
      <c r="Q367" s="151">
        <v>42583</v>
      </c>
      <c r="R367" s="131">
        <v>42627</v>
      </c>
      <c r="S367" s="132"/>
      <c r="T367" s="133" t="s">
        <v>338</v>
      </c>
      <c r="U367" s="134" t="s">
        <v>339</v>
      </c>
      <c r="V367" s="132"/>
      <c r="W367" s="133" t="s">
        <v>338</v>
      </c>
      <c r="X367" s="134" t="s">
        <v>339</v>
      </c>
      <c r="Y367" s="157"/>
      <c r="Z367" s="157"/>
    </row>
    <row r="368" spans="1:26" s="125" customFormat="1" x14ac:dyDescent="0.25">
      <c r="A368" s="461"/>
      <c r="B368" s="135" t="s">
        <v>340</v>
      </c>
      <c r="C368" s="612"/>
      <c r="D368" s="160"/>
      <c r="E368" s="160"/>
      <c r="F368" s="160"/>
      <c r="G368" s="160"/>
      <c r="H368" s="160"/>
      <c r="I368" s="160"/>
      <c r="J368" s="160"/>
      <c r="K368" s="160"/>
      <c r="L368" s="160"/>
      <c r="M368" s="160"/>
      <c r="N368" s="160"/>
      <c r="O368" s="160"/>
      <c r="P368" s="456"/>
      <c r="T368" s="137">
        <f>SUM(D368:O368)</f>
        <v>0</v>
      </c>
      <c r="U368" s="138" t="s">
        <v>341</v>
      </c>
      <c r="V368" s="139"/>
      <c r="W368" s="140">
        <f>T368*3413/1000000</f>
        <v>0</v>
      </c>
      <c r="X368" s="138" t="s">
        <v>342</v>
      </c>
      <c r="Y368" s="157"/>
      <c r="Z368" s="157"/>
    </row>
    <row r="369" spans="1:26" s="125" customFormat="1" x14ac:dyDescent="0.25">
      <c r="A369" s="461"/>
      <c r="B369" s="135" t="s">
        <v>821</v>
      </c>
      <c r="C369" s="612"/>
      <c r="D369" s="153"/>
      <c r="E369" s="160"/>
      <c r="F369" s="160"/>
      <c r="G369" s="160"/>
      <c r="H369" s="160"/>
      <c r="I369" s="160"/>
      <c r="J369" s="160"/>
      <c r="K369" s="160"/>
      <c r="L369" s="160"/>
      <c r="M369" s="160"/>
      <c r="N369" s="160"/>
      <c r="O369" s="160"/>
      <c r="P369" s="456"/>
      <c r="T369" s="137">
        <f>SUM(D369:O369)</f>
        <v>0</v>
      </c>
      <c r="U369" s="138" t="s">
        <v>822</v>
      </c>
      <c r="V369" s="139"/>
      <c r="W369" s="140">
        <f>T369*1000*1027/1000000</f>
        <v>0</v>
      </c>
      <c r="X369" s="138" t="s">
        <v>342</v>
      </c>
      <c r="Y369" s="765"/>
      <c r="Z369" s="150"/>
    </row>
    <row r="370" spans="1:26" s="157" customFormat="1" x14ac:dyDescent="0.25">
      <c r="A370" s="461"/>
      <c r="B370" s="135" t="s">
        <v>1207</v>
      </c>
      <c r="C370" s="599"/>
      <c r="D370" s="557"/>
      <c r="E370" s="557"/>
      <c r="F370" s="557"/>
      <c r="G370" s="557"/>
      <c r="H370" s="557"/>
      <c r="I370" s="557"/>
      <c r="J370" s="557"/>
      <c r="K370" s="557"/>
      <c r="L370" s="557"/>
      <c r="M370" s="557"/>
      <c r="N370" s="557"/>
      <c r="O370" s="557"/>
      <c r="P370" s="174"/>
      <c r="Q370" s="174"/>
      <c r="T370" s="141">
        <f>SUM(D370:O370)</f>
        <v>0</v>
      </c>
      <c r="U370" s="138" t="s">
        <v>497</v>
      </c>
      <c r="W370" s="160">
        <f>T370/1000</f>
        <v>0</v>
      </c>
      <c r="X370" s="138" t="s">
        <v>342</v>
      </c>
    </row>
    <row r="371" spans="1:26" s="157" customFormat="1" x14ac:dyDescent="0.25">
      <c r="A371" s="461"/>
      <c r="B371" s="192" t="s">
        <v>323</v>
      </c>
      <c r="C371" s="599"/>
      <c r="D371" s="557"/>
      <c r="E371" s="557"/>
      <c r="F371" s="557"/>
      <c r="G371" s="557"/>
      <c r="H371" s="557"/>
      <c r="I371" s="557"/>
      <c r="J371" s="557"/>
      <c r="K371" s="557"/>
      <c r="L371" s="557"/>
      <c r="M371" s="557"/>
      <c r="N371" s="557"/>
      <c r="O371" s="557"/>
      <c r="P371" s="178"/>
      <c r="Q371" s="178"/>
      <c r="T371" s="141">
        <f>SUM(D371:O371)</f>
        <v>0</v>
      </c>
      <c r="U371" s="188" t="s">
        <v>397</v>
      </c>
      <c r="W371" s="160">
        <f>T371*0.012</f>
        <v>0</v>
      </c>
      <c r="X371" s="138" t="s">
        <v>342</v>
      </c>
      <c r="Y371" s="495">
        <f>W368+W369+W370+W371</f>
        <v>0</v>
      </c>
      <c r="Z371" s="138" t="s">
        <v>342</v>
      </c>
    </row>
    <row r="372" spans="1:26" s="125" customFormat="1" x14ac:dyDescent="0.25">
      <c r="A372" s="461"/>
      <c r="B372" s="135" t="s">
        <v>322</v>
      </c>
      <c r="C372" s="201"/>
      <c r="D372" s="160"/>
      <c r="E372" s="160"/>
      <c r="F372" s="160"/>
      <c r="G372" s="160"/>
      <c r="H372" s="160"/>
      <c r="I372" s="160"/>
      <c r="J372" s="160"/>
      <c r="K372" s="160"/>
      <c r="L372" s="160"/>
      <c r="M372" s="160"/>
      <c r="N372" s="160"/>
      <c r="O372" s="160"/>
      <c r="P372" s="456"/>
      <c r="T372" s="137">
        <f>SUM(D372:O372)</f>
        <v>0</v>
      </c>
      <c r="U372" s="138" t="s">
        <v>346</v>
      </c>
      <c r="V372" s="139"/>
      <c r="W372" s="137">
        <f>T372</f>
        <v>0</v>
      </c>
      <c r="X372" s="138" t="s">
        <v>346</v>
      </c>
      <c r="Y372" s="157"/>
      <c r="Z372" s="157"/>
    </row>
    <row r="373" spans="1:26" s="125" customFormat="1" x14ac:dyDescent="0.25">
      <c r="A373" s="461"/>
      <c r="B373" s="135" t="s">
        <v>324</v>
      </c>
      <c r="C373" s="613"/>
      <c r="D373" s="171"/>
      <c r="E373" s="142"/>
      <c r="F373" s="142"/>
      <c r="G373" s="142"/>
      <c r="H373" s="142"/>
      <c r="I373" s="142"/>
      <c r="J373" s="142"/>
      <c r="K373" s="142"/>
      <c r="L373" s="142"/>
      <c r="M373" s="142"/>
      <c r="N373" s="142"/>
      <c r="O373" s="142"/>
      <c r="P373" s="176"/>
      <c r="T373" s="143">
        <f>SUM(D373:Q373)</f>
        <v>0</v>
      </c>
      <c r="U373" s="138"/>
      <c r="V373" s="139"/>
      <c r="W373" s="143">
        <f>T373</f>
        <v>0</v>
      </c>
      <c r="X373" s="138"/>
      <c r="Y373" s="157"/>
      <c r="Z373" s="157"/>
    </row>
    <row r="374" spans="1:26" s="125" customFormat="1" x14ac:dyDescent="0.25">
      <c r="A374" s="461"/>
      <c r="B374" s="144" t="s">
        <v>374</v>
      </c>
      <c r="C374" s="611"/>
      <c r="D374" s="171"/>
      <c r="E374" s="145"/>
      <c r="F374" s="145"/>
      <c r="G374" s="145"/>
      <c r="H374" s="145"/>
      <c r="I374" s="145"/>
      <c r="J374" s="145"/>
      <c r="K374" s="145"/>
      <c r="L374" s="145"/>
      <c r="M374" s="145"/>
      <c r="N374" s="145"/>
      <c r="O374" s="145"/>
      <c r="P374" s="179"/>
      <c r="T374" s="143">
        <f>SUM(D374:Q374)</f>
        <v>0</v>
      </c>
      <c r="U374" s="138"/>
      <c r="V374" s="139"/>
      <c r="W374" s="143">
        <f>T374</f>
        <v>0</v>
      </c>
      <c r="X374" s="138"/>
      <c r="Y374" s="157"/>
      <c r="Z374" s="157" t="s">
        <v>824</v>
      </c>
    </row>
    <row r="375" spans="1:26" s="157" customFormat="1" x14ac:dyDescent="0.25">
      <c r="A375" s="461"/>
      <c r="B375" s="204" t="s">
        <v>819</v>
      </c>
      <c r="C375" s="599"/>
      <c r="D375" s="145"/>
      <c r="E375" s="145"/>
      <c r="F375" s="145"/>
      <c r="G375" s="145"/>
      <c r="H375" s="145"/>
      <c r="I375" s="145"/>
      <c r="J375" s="145"/>
      <c r="K375" s="145"/>
      <c r="L375" s="145"/>
      <c r="M375" s="145"/>
      <c r="N375" s="145"/>
      <c r="O375" s="145"/>
      <c r="P375" s="184"/>
      <c r="Q375" s="184"/>
      <c r="T375" s="171">
        <f>SUM(D375:O375)</f>
        <v>0</v>
      </c>
      <c r="U375" s="188"/>
      <c r="W375" s="190">
        <f>T375</f>
        <v>0</v>
      </c>
      <c r="X375" s="188"/>
    </row>
    <row r="376" spans="1:26" s="157" customFormat="1" ht="16.5" x14ac:dyDescent="0.35">
      <c r="A376" s="461"/>
      <c r="B376" s="195" t="s">
        <v>398</v>
      </c>
      <c r="C376" s="599"/>
      <c r="D376" s="145"/>
      <c r="E376" s="145"/>
      <c r="F376" s="145"/>
      <c r="G376" s="145"/>
      <c r="H376" s="145"/>
      <c r="I376" s="145"/>
      <c r="J376" s="145"/>
      <c r="K376" s="145"/>
      <c r="L376" s="145"/>
      <c r="M376" s="145"/>
      <c r="N376" s="145"/>
      <c r="O376" s="145"/>
      <c r="P376" s="446"/>
      <c r="Q376" s="446"/>
      <c r="T376" s="171">
        <f>SUM(D376:O376)</f>
        <v>0</v>
      </c>
      <c r="U376" s="188"/>
      <c r="W376" s="197">
        <f>T376</f>
        <v>0</v>
      </c>
      <c r="X376" s="188"/>
    </row>
    <row r="377" spans="1:26" s="125" customFormat="1" x14ac:dyDescent="0.25">
      <c r="A377" s="461"/>
      <c r="B377" s="180"/>
      <c r="C377" s="611"/>
      <c r="D377" s="179"/>
      <c r="E377" s="179"/>
      <c r="F377" s="179"/>
      <c r="G377" s="179"/>
      <c r="H377" s="179"/>
      <c r="I377" s="179"/>
      <c r="J377" s="179"/>
      <c r="K377" s="179"/>
      <c r="L377" s="179"/>
      <c r="M377" s="179"/>
      <c r="N377" s="179"/>
      <c r="O377" s="179"/>
      <c r="T377" s="149"/>
      <c r="U377" s="150"/>
      <c r="V377" s="139"/>
      <c r="W377" s="143">
        <f>SUM(W373:W376)</f>
        <v>0</v>
      </c>
      <c r="X377" s="138"/>
      <c r="Y377" s="157"/>
      <c r="Z377" s="674" t="s">
        <v>825</v>
      </c>
    </row>
    <row r="379" spans="1:26" s="128" customFormat="1" x14ac:dyDescent="0.25">
      <c r="A379" s="459">
        <v>40</v>
      </c>
      <c r="B379" s="127" t="s">
        <v>623</v>
      </c>
      <c r="C379" s="602"/>
      <c r="T379" s="127" t="s">
        <v>623</v>
      </c>
      <c r="U379" s="129"/>
      <c r="X379" s="129"/>
      <c r="Y379" s="166"/>
      <c r="Z379" s="166"/>
    </row>
    <row r="380" spans="1:26" s="125" customFormat="1" x14ac:dyDescent="0.25">
      <c r="A380" s="461"/>
      <c r="B380" s="130" t="s">
        <v>337</v>
      </c>
      <c r="C380" s="131">
        <v>42156</v>
      </c>
      <c r="D380" s="131">
        <v>42186</v>
      </c>
      <c r="E380" s="131">
        <v>42217</v>
      </c>
      <c r="F380" s="131">
        <v>42248</v>
      </c>
      <c r="G380" s="131">
        <v>42278</v>
      </c>
      <c r="H380" s="131">
        <v>42309</v>
      </c>
      <c r="I380" s="131">
        <v>42339</v>
      </c>
      <c r="J380" s="131">
        <v>42370</v>
      </c>
      <c r="K380" s="131">
        <v>42401</v>
      </c>
      <c r="L380" s="131">
        <v>42430</v>
      </c>
      <c r="M380" s="131">
        <v>42461</v>
      </c>
      <c r="N380" s="131">
        <v>42491</v>
      </c>
      <c r="O380" s="131">
        <v>42522</v>
      </c>
      <c r="P380" s="131">
        <v>42552</v>
      </c>
      <c r="Q380" s="151">
        <v>42583</v>
      </c>
      <c r="R380" s="131">
        <v>42627</v>
      </c>
      <c r="S380" s="132"/>
      <c r="T380" s="133" t="s">
        <v>338</v>
      </c>
      <c r="U380" s="134" t="s">
        <v>339</v>
      </c>
      <c r="V380" s="132"/>
      <c r="W380" s="133" t="s">
        <v>338</v>
      </c>
      <c r="X380" s="134" t="s">
        <v>339</v>
      </c>
      <c r="Y380" s="157"/>
      <c r="Z380" s="157"/>
    </row>
    <row r="381" spans="1:26" s="125" customFormat="1" x14ac:dyDescent="0.25">
      <c r="A381" s="461"/>
      <c r="B381" s="135" t="s">
        <v>340</v>
      </c>
      <c r="C381" s="606"/>
      <c r="D381" s="136">
        <v>68049</v>
      </c>
      <c r="E381" s="136">
        <v>94819</v>
      </c>
      <c r="F381" s="136">
        <v>105441</v>
      </c>
      <c r="G381" s="136">
        <v>110223</v>
      </c>
      <c r="H381" s="136">
        <v>95645</v>
      </c>
      <c r="I381" s="136">
        <v>74913</v>
      </c>
      <c r="J381" s="136">
        <v>102885</v>
      </c>
      <c r="K381" s="136">
        <v>104979</v>
      </c>
      <c r="L381" s="136">
        <v>103536</v>
      </c>
      <c r="M381" s="136">
        <v>106757</v>
      </c>
      <c r="N381" s="136">
        <v>64417</v>
      </c>
      <c r="O381" s="136">
        <v>69747</v>
      </c>
      <c r="P381" s="174"/>
      <c r="Q381" s="174"/>
      <c r="R381" s="174"/>
      <c r="T381" s="140">
        <f>SUM(D381:P381)</f>
        <v>1101411</v>
      </c>
      <c r="U381" s="138" t="s">
        <v>341</v>
      </c>
      <c r="V381" s="139"/>
      <c r="W381" s="140">
        <f>T381*3413/1000000</f>
        <v>3759.1157429999998</v>
      </c>
      <c r="X381" s="138" t="s">
        <v>342</v>
      </c>
      <c r="Y381" s="157"/>
      <c r="Z381" s="157"/>
    </row>
    <row r="382" spans="1:26" s="125" customFormat="1" x14ac:dyDescent="0.25">
      <c r="A382" s="461"/>
      <c r="B382" s="135" t="s">
        <v>921</v>
      </c>
      <c r="C382" s="606"/>
      <c r="D382" s="136">
        <v>0</v>
      </c>
      <c r="E382" s="136">
        <v>0</v>
      </c>
      <c r="F382" s="136">
        <v>0</v>
      </c>
      <c r="G382" s="136">
        <v>0</v>
      </c>
      <c r="H382" s="136">
        <v>0</v>
      </c>
      <c r="I382" s="136">
        <v>7394.5530000000008</v>
      </c>
      <c r="J382" s="136">
        <v>9386.719000000001</v>
      </c>
      <c r="K382" s="136">
        <v>7926.5830000000005</v>
      </c>
      <c r="L382" s="136">
        <v>7099.1559999999999</v>
      </c>
      <c r="M382" s="136">
        <v>5846.0219999999999</v>
      </c>
      <c r="N382" s="136">
        <v>2908.0710000000004</v>
      </c>
      <c r="O382" s="136">
        <v>0</v>
      </c>
      <c r="P382" s="174"/>
      <c r="Q382" s="174"/>
      <c r="R382" s="174"/>
      <c r="T382" s="140">
        <f t="shared" ref="T382:T389" si="15">SUM(D382:P382)</f>
        <v>40561.104000000007</v>
      </c>
      <c r="U382" s="138" t="s">
        <v>354</v>
      </c>
      <c r="V382" s="139"/>
      <c r="W382" s="140">
        <f>T382*99976.124488/1000000</f>
        <v>4055.1419828747153</v>
      </c>
      <c r="X382" s="138" t="s">
        <v>342</v>
      </c>
      <c r="Y382" s="157"/>
      <c r="Z382" s="157"/>
    </row>
    <row r="383" spans="1:26" s="125" customFormat="1" x14ac:dyDescent="0.25">
      <c r="A383" s="461"/>
      <c r="B383" s="135" t="s">
        <v>1231</v>
      </c>
      <c r="C383" s="606"/>
      <c r="D383" s="136">
        <v>124193.43089999999</v>
      </c>
      <c r="E383" s="136">
        <v>144505.69209999999</v>
      </c>
      <c r="F383" s="136">
        <v>109863.1534</v>
      </c>
      <c r="G383" s="136">
        <v>63533.9859</v>
      </c>
      <c r="H383" s="136">
        <v>42945.055999999997</v>
      </c>
      <c r="I383" s="136">
        <v>59940.865599999997</v>
      </c>
      <c r="J383" s="136">
        <v>56182.726600000002</v>
      </c>
      <c r="K383" s="136">
        <v>88921.186199999996</v>
      </c>
      <c r="L383" s="136">
        <v>75964.873600000006</v>
      </c>
      <c r="M383" s="136">
        <v>138779.1636</v>
      </c>
      <c r="N383" s="136">
        <v>115908.7776</v>
      </c>
      <c r="O383" s="136">
        <v>144395.1586</v>
      </c>
      <c r="P383" s="174"/>
      <c r="Q383" s="174"/>
      <c r="R383" s="174"/>
      <c r="T383" s="140">
        <f t="shared" si="15"/>
        <v>1165134.0701000001</v>
      </c>
      <c r="U383" s="138" t="s">
        <v>341</v>
      </c>
      <c r="V383" s="139"/>
      <c r="W383" s="140">
        <f>T383*3413/1000000</f>
        <v>3976.6025812513003</v>
      </c>
      <c r="X383" s="138" t="s">
        <v>342</v>
      </c>
      <c r="Y383" s="157"/>
      <c r="Z383" s="157"/>
    </row>
    <row r="384" spans="1:26" s="125" customFormat="1" x14ac:dyDescent="0.25">
      <c r="A384" s="461"/>
      <c r="B384" s="135" t="s">
        <v>372</v>
      </c>
      <c r="C384" s="612"/>
      <c r="D384" s="160">
        <v>2270</v>
      </c>
      <c r="E384" s="160">
        <v>1660</v>
      </c>
      <c r="F384" s="160">
        <v>2451</v>
      </c>
      <c r="G384" s="160">
        <v>2683</v>
      </c>
      <c r="H384" s="160">
        <v>2616</v>
      </c>
      <c r="I384" s="160">
        <v>866</v>
      </c>
      <c r="J384" s="160">
        <v>993</v>
      </c>
      <c r="K384" s="160">
        <v>1519</v>
      </c>
      <c r="L384" s="160">
        <v>710</v>
      </c>
      <c r="M384" s="160">
        <v>640</v>
      </c>
      <c r="N384" s="160">
        <v>1246</v>
      </c>
      <c r="O384" s="160">
        <v>1849</v>
      </c>
      <c r="P384" s="456"/>
      <c r="Q384" s="554"/>
      <c r="R384" s="444"/>
      <c r="T384" s="140">
        <f t="shared" si="15"/>
        <v>19503</v>
      </c>
      <c r="U384" s="138" t="s">
        <v>354</v>
      </c>
      <c r="V384" s="139"/>
      <c r="W384" s="140">
        <f>T384*99976.124488/1000000</f>
        <v>1949.8343558894642</v>
      </c>
      <c r="X384" s="138" t="s">
        <v>342</v>
      </c>
      <c r="Y384" s="495">
        <f>W381+W382+W384</f>
        <v>9764.09208176418</v>
      </c>
      <c r="Z384" s="153" t="s">
        <v>677</v>
      </c>
    </row>
    <row r="385" spans="1:26" s="125" customFormat="1" x14ac:dyDescent="0.25">
      <c r="A385" s="461"/>
      <c r="B385" s="135" t="s">
        <v>864</v>
      </c>
      <c r="C385" s="606"/>
      <c r="D385" s="141">
        <v>23.01</v>
      </c>
      <c r="E385" s="141">
        <v>78.56</v>
      </c>
      <c r="F385" s="141">
        <v>101.36</v>
      </c>
      <c r="G385" s="141">
        <v>90.88</v>
      </c>
      <c r="H385" s="141">
        <v>89.03</v>
      </c>
      <c r="I385" s="141">
        <v>30.44</v>
      </c>
      <c r="J385" s="141">
        <v>79.81</v>
      </c>
      <c r="K385" s="141">
        <v>99.14</v>
      </c>
      <c r="L385" s="141">
        <v>47.85</v>
      </c>
      <c r="M385" s="141">
        <v>102.66</v>
      </c>
      <c r="N385" s="141">
        <v>32.369999999999997</v>
      </c>
      <c r="O385" s="141">
        <v>23.2</v>
      </c>
      <c r="P385" s="178"/>
      <c r="Q385" s="178"/>
      <c r="R385" s="178"/>
      <c r="T385" s="140">
        <f t="shared" si="15"/>
        <v>798.31000000000006</v>
      </c>
      <c r="U385" s="138" t="s">
        <v>379</v>
      </c>
      <c r="V385" s="139"/>
      <c r="W385" s="137">
        <f>T385*748</f>
        <v>597135.88</v>
      </c>
      <c r="X385" s="138" t="s">
        <v>346</v>
      </c>
      <c r="Y385" s="157"/>
      <c r="Z385" s="157"/>
    </row>
    <row r="386" spans="1:26" s="125" customFormat="1" x14ac:dyDescent="0.25">
      <c r="A386" s="461"/>
      <c r="B386" s="135" t="s">
        <v>324</v>
      </c>
      <c r="C386" s="606"/>
      <c r="D386" s="142">
        <v>4845.0887999999995</v>
      </c>
      <c r="E386" s="142">
        <v>6751.1127999999999</v>
      </c>
      <c r="F386" s="142">
        <v>7507.3991999999998</v>
      </c>
      <c r="G386" s="142">
        <v>7847.8775999999998</v>
      </c>
      <c r="H386" s="142">
        <v>6809.924</v>
      </c>
      <c r="I386" s="142">
        <v>5333.8055999999997</v>
      </c>
      <c r="J386" s="142">
        <v>7325.4120000000003</v>
      </c>
      <c r="K386" s="142">
        <v>7474.5047999999997</v>
      </c>
      <c r="L386" s="142">
        <v>7371.7632000000003</v>
      </c>
      <c r="M386" s="142">
        <v>7601.0983999999999</v>
      </c>
      <c r="N386" s="142">
        <v>4586.4903999999997</v>
      </c>
      <c r="O386" s="142">
        <v>4965.9863999999998</v>
      </c>
      <c r="P386" s="176"/>
      <c r="Q386" s="176"/>
      <c r="R386" s="176"/>
      <c r="T386" s="140">
        <f t="shared" si="15"/>
        <v>78420.463199999984</v>
      </c>
      <c r="U386" s="138"/>
      <c r="V386" s="139"/>
      <c r="W386" s="143">
        <f>T386</f>
        <v>78420.463199999984</v>
      </c>
      <c r="X386" s="138"/>
      <c r="Y386" s="157"/>
      <c r="Z386" s="157"/>
    </row>
    <row r="387" spans="1:26" s="125" customFormat="1" x14ac:dyDescent="0.25">
      <c r="A387" s="461"/>
      <c r="B387" s="144" t="s">
        <v>922</v>
      </c>
      <c r="C387" s="607"/>
      <c r="D387" s="145">
        <v>0</v>
      </c>
      <c r="E387" s="145">
        <v>0</v>
      </c>
      <c r="F387" s="145">
        <v>0</v>
      </c>
      <c r="G387" s="145">
        <v>0</v>
      </c>
      <c r="H387" s="145">
        <v>0</v>
      </c>
      <c r="I387" s="145">
        <v>3140.6444700000006</v>
      </c>
      <c r="J387" s="145">
        <v>4000.4680300000005</v>
      </c>
      <c r="K387" s="145">
        <v>3244.9455899999998</v>
      </c>
      <c r="L387" s="145">
        <v>2574.7562800000001</v>
      </c>
      <c r="M387" s="145">
        <v>2300.8263999999999</v>
      </c>
      <c r="N387" s="145">
        <v>1213.8501000000001</v>
      </c>
      <c r="O387" s="145">
        <v>0</v>
      </c>
      <c r="P387" s="179"/>
      <c r="Q387" s="179"/>
      <c r="R387" s="179"/>
      <c r="T387" s="140">
        <f t="shared" si="15"/>
        <v>16475.490870000001</v>
      </c>
      <c r="U387" s="138"/>
      <c r="V387" s="139"/>
      <c r="W387" s="143">
        <f>T387</f>
        <v>16475.490870000001</v>
      </c>
      <c r="X387" s="138"/>
      <c r="Y387" s="157"/>
      <c r="Z387" s="157"/>
    </row>
    <row r="388" spans="1:26" s="125" customFormat="1" x14ac:dyDescent="0.25">
      <c r="A388" s="461"/>
      <c r="B388" s="144" t="s">
        <v>1232</v>
      </c>
      <c r="C388" s="607"/>
      <c r="D388" s="145">
        <v>8842.5722800799995</v>
      </c>
      <c r="E388" s="145">
        <v>10288.805277519999</v>
      </c>
      <c r="F388" s="145">
        <v>7822.2565220799997</v>
      </c>
      <c r="G388" s="145">
        <v>4523.61979608</v>
      </c>
      <c r="H388" s="145">
        <v>3057.6879872</v>
      </c>
      <c r="I388" s="145">
        <v>4267.7896307199999</v>
      </c>
      <c r="J388" s="145">
        <v>4000.2101339200003</v>
      </c>
      <c r="K388" s="145">
        <v>6331.1884574400001</v>
      </c>
      <c r="L388" s="145">
        <v>5408.6990003200008</v>
      </c>
      <c r="M388" s="145">
        <v>9881.0764483200001</v>
      </c>
      <c r="N388" s="145">
        <v>8252.7049651199995</v>
      </c>
      <c r="O388" s="145">
        <v>10280.93529232</v>
      </c>
      <c r="P388" s="179"/>
      <c r="Q388" s="179"/>
      <c r="R388" s="179"/>
      <c r="T388" s="140">
        <f t="shared" si="15"/>
        <v>82957.545791120006</v>
      </c>
      <c r="U388" s="138"/>
      <c r="V388" s="139"/>
      <c r="W388" s="143">
        <f>T388</f>
        <v>82957.545791120006</v>
      </c>
      <c r="X388" s="138"/>
      <c r="Y388" s="157"/>
      <c r="Z388" s="157"/>
    </row>
    <row r="389" spans="1:26" s="125" customFormat="1" ht="16.5" x14ac:dyDescent="0.35">
      <c r="A389" s="461"/>
      <c r="B389" s="144" t="s">
        <v>374</v>
      </c>
      <c r="C389" s="611"/>
      <c r="D389" s="440">
        <v>1612.59</v>
      </c>
      <c r="E389" s="145">
        <v>1185.1600000000001</v>
      </c>
      <c r="F389" s="145">
        <v>1739.42</v>
      </c>
      <c r="G389" s="145">
        <v>1960.98</v>
      </c>
      <c r="H389" s="145">
        <v>1814.46</v>
      </c>
      <c r="I389" s="145">
        <v>616.04999999999995</v>
      </c>
      <c r="J389" s="145">
        <v>685.88</v>
      </c>
      <c r="K389" s="145">
        <v>1037.54</v>
      </c>
      <c r="L389" s="145">
        <v>477.13</v>
      </c>
      <c r="M389" s="145">
        <v>459.41</v>
      </c>
      <c r="N389" s="145">
        <v>873.7</v>
      </c>
      <c r="O389" s="145">
        <v>1291.1400000000001</v>
      </c>
      <c r="P389" s="179"/>
      <c r="Q389" s="184"/>
      <c r="R389" s="444"/>
      <c r="T389" s="140">
        <f t="shared" si="15"/>
        <v>13753.459999999997</v>
      </c>
      <c r="U389" s="138"/>
      <c r="V389" s="139"/>
      <c r="W389" s="146">
        <f>T389</f>
        <v>13753.459999999997</v>
      </c>
      <c r="X389" s="138"/>
      <c r="Y389" s="157"/>
      <c r="Z389" s="157"/>
    </row>
    <row r="390" spans="1:26" x14ac:dyDescent="0.25">
      <c r="W390" s="143">
        <f>SUM(W386:W389)</f>
        <v>191606.95986111998</v>
      </c>
      <c r="X390" s="138"/>
    </row>
    <row r="391" spans="1:26" x14ac:dyDescent="0.25">
      <c r="W391" s="149"/>
      <c r="X391" s="150"/>
    </row>
    <row r="392" spans="1:26" x14ac:dyDescent="0.25">
      <c r="A392" s="462">
        <v>41</v>
      </c>
      <c r="B392" s="460" t="s">
        <v>1008</v>
      </c>
      <c r="T392" s="666" t="s">
        <v>1008</v>
      </c>
      <c r="W392" s="149"/>
      <c r="X392" s="150"/>
    </row>
    <row r="393" spans="1:26" s="125" customFormat="1" x14ac:dyDescent="0.25">
      <c r="A393" s="461"/>
      <c r="B393" s="130" t="s">
        <v>337</v>
      </c>
      <c r="C393" s="131">
        <v>42156</v>
      </c>
      <c r="D393" s="131">
        <v>42186</v>
      </c>
      <c r="E393" s="131">
        <v>42217</v>
      </c>
      <c r="F393" s="131">
        <v>42248</v>
      </c>
      <c r="G393" s="131">
        <v>42278</v>
      </c>
      <c r="H393" s="131">
        <v>42309</v>
      </c>
      <c r="I393" s="131">
        <v>42339</v>
      </c>
      <c r="J393" s="131">
        <v>42370</v>
      </c>
      <c r="K393" s="131">
        <v>42401</v>
      </c>
      <c r="L393" s="131">
        <v>42430</v>
      </c>
      <c r="M393" s="131">
        <v>42461</v>
      </c>
      <c r="N393" s="131">
        <v>42491</v>
      </c>
      <c r="O393" s="131">
        <v>42522</v>
      </c>
      <c r="P393" s="131">
        <v>42552</v>
      </c>
      <c r="Q393" s="151">
        <v>42583</v>
      </c>
      <c r="R393" s="131">
        <v>42627</v>
      </c>
      <c r="S393" s="132"/>
      <c r="T393" s="133" t="s">
        <v>338</v>
      </c>
      <c r="U393" s="134" t="s">
        <v>339</v>
      </c>
      <c r="V393" s="132"/>
      <c r="W393" s="133" t="s">
        <v>338</v>
      </c>
      <c r="X393" s="134" t="s">
        <v>339</v>
      </c>
      <c r="Y393" s="157"/>
      <c r="Z393" s="157"/>
    </row>
    <row r="394" spans="1:26" s="125" customFormat="1" x14ac:dyDescent="0.25">
      <c r="A394" s="461"/>
      <c r="B394" s="135" t="s">
        <v>340</v>
      </c>
      <c r="C394" s="612"/>
      <c r="D394" s="615"/>
      <c r="E394" s="615"/>
      <c r="F394" s="160">
        <v>27170.48</v>
      </c>
      <c r="G394" s="160">
        <v>22042</v>
      </c>
      <c r="H394" s="160">
        <v>20689.61</v>
      </c>
      <c r="I394" s="160">
        <v>19381</v>
      </c>
      <c r="J394" s="160">
        <v>17218.59</v>
      </c>
      <c r="K394" s="160">
        <v>20494.68</v>
      </c>
      <c r="L394" s="160">
        <v>22876.240000000002</v>
      </c>
      <c r="M394" s="160">
        <v>22344</v>
      </c>
      <c r="N394" s="160">
        <v>18131</v>
      </c>
      <c r="O394" s="160">
        <v>22855.599999999999</v>
      </c>
      <c r="P394" s="160">
        <v>23879.83</v>
      </c>
      <c r="Q394" s="153">
        <v>27520.965</v>
      </c>
      <c r="T394" s="137">
        <v>282277</v>
      </c>
      <c r="U394" s="138" t="s">
        <v>341</v>
      </c>
      <c r="V394" s="139"/>
      <c r="W394" s="140">
        <f>T394*3413/1000000</f>
        <v>963.41140099999996</v>
      </c>
      <c r="X394" s="138" t="s">
        <v>342</v>
      </c>
      <c r="Y394" s="157"/>
      <c r="Z394" s="157"/>
    </row>
    <row r="395" spans="1:26" s="125" customFormat="1" x14ac:dyDescent="0.25">
      <c r="A395" s="461"/>
      <c r="B395" s="135" t="s">
        <v>1221</v>
      </c>
      <c r="C395" s="612"/>
      <c r="D395" s="615"/>
      <c r="E395" s="456"/>
      <c r="F395" s="160">
        <v>270</v>
      </c>
      <c r="G395" s="160">
        <v>593</v>
      </c>
      <c r="H395" s="160">
        <v>1089</v>
      </c>
      <c r="I395" s="160">
        <v>1466</v>
      </c>
      <c r="J395" s="160">
        <v>2214</v>
      </c>
      <c r="K395" s="160">
        <v>1547</v>
      </c>
      <c r="L395" s="160">
        <v>1029</v>
      </c>
      <c r="M395" s="160">
        <v>498</v>
      </c>
      <c r="N395" s="160">
        <v>217</v>
      </c>
      <c r="O395" s="160">
        <v>0</v>
      </c>
      <c r="P395" s="160">
        <v>0</v>
      </c>
      <c r="Q395" s="153">
        <v>39</v>
      </c>
      <c r="T395" s="137">
        <f>SUM(E395:Q395)</f>
        <v>8962</v>
      </c>
      <c r="U395" s="138" t="s">
        <v>354</v>
      </c>
      <c r="V395" s="139"/>
      <c r="W395" s="140">
        <f>T395*99976.124488/1000000</f>
        <v>895.98602766145598</v>
      </c>
      <c r="X395" s="138" t="s">
        <v>342</v>
      </c>
      <c r="Y395" s="495">
        <f>W394+W395</f>
        <v>1859.3974286614559</v>
      </c>
      <c r="Z395" s="138" t="s">
        <v>342</v>
      </c>
    </row>
    <row r="396" spans="1:26" s="125" customFormat="1" x14ac:dyDescent="0.25">
      <c r="A396" s="461"/>
      <c r="B396" s="135" t="s">
        <v>373</v>
      </c>
      <c r="C396" s="201"/>
      <c r="D396" s="615"/>
      <c r="E396" s="615"/>
      <c r="F396" s="140">
        <v>27350</v>
      </c>
      <c r="G396" s="140">
        <v>9686.76</v>
      </c>
      <c r="H396" s="140">
        <v>7171.1239999999998</v>
      </c>
      <c r="I396" s="140">
        <v>4935</v>
      </c>
      <c r="J396" s="140">
        <v>7080</v>
      </c>
      <c r="K396" s="140">
        <v>7742</v>
      </c>
      <c r="L396" s="140">
        <v>7905.5</v>
      </c>
      <c r="M396" s="140">
        <v>9036.81</v>
      </c>
      <c r="N396" s="140">
        <v>6305.3</v>
      </c>
      <c r="O396" s="140">
        <v>11924</v>
      </c>
      <c r="P396" s="140">
        <v>13898.476000000001</v>
      </c>
      <c r="Q396" s="140">
        <v>2851</v>
      </c>
      <c r="T396" s="137">
        <v>154338</v>
      </c>
      <c r="U396" s="138" t="s">
        <v>346</v>
      </c>
      <c r="V396" s="139"/>
      <c r="W396" s="137">
        <f>T396</f>
        <v>154338</v>
      </c>
      <c r="X396" s="138" t="s">
        <v>346</v>
      </c>
      <c r="Y396" s="157"/>
      <c r="Z396" s="157"/>
    </row>
    <row r="397" spans="1:26" s="125" customFormat="1" x14ac:dyDescent="0.25">
      <c r="A397" s="461"/>
      <c r="B397" s="135" t="s">
        <v>347</v>
      </c>
      <c r="C397" s="613"/>
      <c r="D397" s="615"/>
      <c r="E397" s="615"/>
      <c r="F397" s="142">
        <v>2717.0480000000002</v>
      </c>
      <c r="G397" s="142">
        <v>2204.2000000000003</v>
      </c>
      <c r="H397" s="142">
        <v>2068.9610000000002</v>
      </c>
      <c r="I397" s="142">
        <v>1938.1000000000001</v>
      </c>
      <c r="J397" s="142">
        <v>1721.8590000000002</v>
      </c>
      <c r="K397" s="142">
        <v>2049.4680000000003</v>
      </c>
      <c r="L397" s="142">
        <v>2287.6240000000003</v>
      </c>
      <c r="M397" s="142">
        <v>2234.4</v>
      </c>
      <c r="N397" s="142">
        <v>1813.1000000000001</v>
      </c>
      <c r="O397" s="142">
        <v>2285.56</v>
      </c>
      <c r="P397" s="142">
        <v>2387.9830000000002</v>
      </c>
      <c r="Q397" s="153">
        <v>2752.0965000000001</v>
      </c>
      <c r="T397" s="143">
        <v>16996</v>
      </c>
      <c r="U397" s="138"/>
      <c r="V397" s="139"/>
      <c r="W397" s="143">
        <f>T397</f>
        <v>16996</v>
      </c>
      <c r="X397" s="138"/>
      <c r="Y397" s="157"/>
      <c r="Z397" s="157"/>
    </row>
    <row r="398" spans="1:26" s="125" customFormat="1" ht="16.5" x14ac:dyDescent="0.35">
      <c r="A398" s="461"/>
      <c r="B398" s="144" t="s">
        <v>374</v>
      </c>
      <c r="C398" s="611"/>
      <c r="D398" s="615"/>
      <c r="E398" s="179"/>
      <c r="F398" s="145">
        <v>224.54</v>
      </c>
      <c r="G398" s="145">
        <v>450.62</v>
      </c>
      <c r="H398" s="145">
        <v>751.28</v>
      </c>
      <c r="I398" s="145">
        <v>958.61</v>
      </c>
      <c r="J398" s="145">
        <v>1357.35</v>
      </c>
      <c r="K398" s="145">
        <v>963.8</v>
      </c>
      <c r="L398" s="145">
        <v>672</v>
      </c>
      <c r="M398" s="145">
        <v>359.33</v>
      </c>
      <c r="N398" s="145">
        <v>167.13</v>
      </c>
      <c r="O398" s="145">
        <v>15.63</v>
      </c>
      <c r="P398" s="145">
        <v>16</v>
      </c>
      <c r="Q398" s="171">
        <v>45.4</v>
      </c>
      <c r="T398" s="143">
        <v>5924.42</v>
      </c>
      <c r="U398" s="138"/>
      <c r="V398" s="139"/>
      <c r="W398" s="146">
        <f>T398</f>
        <v>5924.42</v>
      </c>
      <c r="X398" s="138"/>
      <c r="Y398" s="157"/>
      <c r="Z398" s="157"/>
    </row>
    <row r="399" spans="1:26" s="125" customFormat="1" x14ac:dyDescent="0.25">
      <c r="A399" s="461"/>
      <c r="B399" s="180"/>
      <c r="C399" s="611"/>
      <c r="D399" s="611"/>
      <c r="E399" s="179"/>
      <c r="F399" s="179"/>
      <c r="G399" s="179"/>
      <c r="H399" s="179"/>
      <c r="I399" s="179"/>
      <c r="J399" s="179"/>
      <c r="K399" s="179"/>
      <c r="L399" s="179"/>
      <c r="M399" s="179"/>
      <c r="N399" s="179"/>
      <c r="O399" s="179"/>
      <c r="T399" s="149"/>
      <c r="U399" s="150"/>
      <c r="V399" s="139"/>
      <c r="W399" s="143">
        <f>SUM(W397:W398)</f>
        <v>22920.42</v>
      </c>
      <c r="X399" s="138"/>
      <c r="Y399" s="157"/>
      <c r="Z399" s="674"/>
    </row>
    <row r="400" spans="1:26" x14ac:dyDescent="0.25">
      <c r="W400" s="149"/>
      <c r="X400" s="150"/>
    </row>
    <row r="401" spans="1:26" s="128" customFormat="1" x14ac:dyDescent="0.25">
      <c r="A401" s="459">
        <v>42</v>
      </c>
      <c r="B401" s="127" t="s">
        <v>624</v>
      </c>
      <c r="C401" s="173"/>
      <c r="S401" s="173"/>
      <c r="T401" s="127" t="s">
        <v>624</v>
      </c>
      <c r="W401" s="129"/>
      <c r="Y401" s="166"/>
      <c r="Z401" s="166"/>
    </row>
    <row r="402" spans="1:26" s="125" customFormat="1" x14ac:dyDescent="0.25">
      <c r="A402" s="461"/>
      <c r="B402" s="130" t="s">
        <v>337</v>
      </c>
      <c r="C402" s="131">
        <v>42156</v>
      </c>
      <c r="D402" s="131">
        <v>42186</v>
      </c>
      <c r="E402" s="131">
        <v>42217</v>
      </c>
      <c r="F402" s="131">
        <v>42248</v>
      </c>
      <c r="G402" s="131">
        <v>42278</v>
      </c>
      <c r="H402" s="131">
        <v>42309</v>
      </c>
      <c r="I402" s="131">
        <v>42339</v>
      </c>
      <c r="J402" s="131">
        <v>42370</v>
      </c>
      <c r="K402" s="131">
        <v>42401</v>
      </c>
      <c r="L402" s="131">
        <v>42430</v>
      </c>
      <c r="M402" s="131">
        <v>42461</v>
      </c>
      <c r="N402" s="131">
        <v>42491</v>
      </c>
      <c r="O402" s="131">
        <v>42522</v>
      </c>
      <c r="P402" s="131">
        <v>42552</v>
      </c>
      <c r="Q402" s="151">
        <v>42583</v>
      </c>
      <c r="R402" s="131">
        <v>42627</v>
      </c>
      <c r="S402" s="132"/>
      <c r="T402" s="133" t="s">
        <v>338</v>
      </c>
      <c r="U402" s="134" t="s">
        <v>339</v>
      </c>
      <c r="V402" s="132"/>
      <c r="W402" s="133" t="s">
        <v>338</v>
      </c>
      <c r="X402" s="134" t="s">
        <v>339</v>
      </c>
      <c r="Y402" s="157"/>
      <c r="Z402" s="157"/>
    </row>
    <row r="403" spans="1:26" s="125" customFormat="1" x14ac:dyDescent="0.25">
      <c r="A403" s="461"/>
      <c r="B403" s="135" t="s">
        <v>340</v>
      </c>
      <c r="C403" s="606"/>
      <c r="D403" s="454">
        <v>198506</v>
      </c>
      <c r="E403" s="454">
        <v>163733</v>
      </c>
      <c r="F403" s="454">
        <v>163642</v>
      </c>
      <c r="G403" s="454">
        <v>152567.20000000001</v>
      </c>
      <c r="H403" s="454">
        <v>142257</v>
      </c>
      <c r="I403" s="454">
        <v>131679.1</v>
      </c>
      <c r="J403" s="454">
        <v>136880</v>
      </c>
      <c r="K403" s="454">
        <v>135495</v>
      </c>
      <c r="L403" s="454">
        <v>143859.79999999999</v>
      </c>
      <c r="M403" s="454">
        <v>156668.79999999999</v>
      </c>
      <c r="N403" s="454">
        <v>148419.1</v>
      </c>
      <c r="O403" s="454">
        <v>158055</v>
      </c>
      <c r="P403" s="174"/>
      <c r="Q403" s="174"/>
      <c r="R403" s="174"/>
      <c r="T403" s="140">
        <f>SUM(C403:S403)</f>
        <v>1831762</v>
      </c>
      <c r="U403" s="138" t="s">
        <v>341</v>
      </c>
      <c r="V403" s="139"/>
      <c r="W403" s="140">
        <f>T403*3413/1000000</f>
        <v>6251.8037059999997</v>
      </c>
      <c r="X403" s="138" t="s">
        <v>342</v>
      </c>
      <c r="Y403" s="157"/>
      <c r="Z403" s="157"/>
    </row>
    <row r="404" spans="1:26" s="125" customFormat="1" x14ac:dyDescent="0.25">
      <c r="A404" s="461"/>
      <c r="B404" s="135" t="s">
        <v>372</v>
      </c>
      <c r="C404" s="606"/>
      <c r="D404" s="454">
        <v>2684</v>
      </c>
      <c r="E404" s="454">
        <v>2067</v>
      </c>
      <c r="F404" s="454">
        <v>2465</v>
      </c>
      <c r="G404" s="454">
        <v>2291</v>
      </c>
      <c r="H404" s="454">
        <v>1827</v>
      </c>
      <c r="I404" s="454">
        <v>2694</v>
      </c>
      <c r="J404" s="454">
        <v>3702</v>
      </c>
      <c r="K404" s="454">
        <v>3920</v>
      </c>
      <c r="L404" s="454">
        <v>2632</v>
      </c>
      <c r="M404" s="454">
        <v>2129</v>
      </c>
      <c r="N404" s="454">
        <v>2308</v>
      </c>
      <c r="O404" s="454">
        <v>1587</v>
      </c>
      <c r="P404" s="174"/>
      <c r="Q404" s="174"/>
      <c r="R404" s="174"/>
      <c r="T404" s="140">
        <f>SUM(C404:S404)</f>
        <v>30306</v>
      </c>
      <c r="U404" s="138" t="s">
        <v>354</v>
      </c>
      <c r="V404" s="139"/>
      <c r="W404" s="140">
        <f>T404*99976.124488/1000000</f>
        <v>3029.8764287333279</v>
      </c>
      <c r="X404" s="138" t="s">
        <v>342</v>
      </c>
      <c r="Y404" s="495">
        <f>W403+W404</f>
        <v>9281.6801347333276</v>
      </c>
      <c r="Z404" s="153" t="s">
        <v>677</v>
      </c>
    </row>
    <row r="405" spans="1:26" s="125" customFormat="1" x14ac:dyDescent="0.25">
      <c r="A405" s="461"/>
      <c r="B405" s="135" t="s">
        <v>366</v>
      </c>
      <c r="C405" s="606"/>
      <c r="D405" s="454">
        <v>14453.208556149732</v>
      </c>
      <c r="E405" s="454">
        <v>85831.550802139027</v>
      </c>
      <c r="F405" s="454">
        <v>89032.085561497326</v>
      </c>
      <c r="G405" s="454">
        <v>83711.229946524065</v>
      </c>
      <c r="H405" s="454">
        <v>59041.443850267373</v>
      </c>
      <c r="I405" s="454">
        <v>36978.609625668447</v>
      </c>
      <c r="J405" s="454">
        <v>81380</v>
      </c>
      <c r="K405" s="454">
        <v>33919</v>
      </c>
      <c r="L405" s="454">
        <v>94720</v>
      </c>
      <c r="M405" s="454">
        <v>68565</v>
      </c>
      <c r="N405" s="454">
        <v>29394</v>
      </c>
      <c r="O405" s="454">
        <v>79588</v>
      </c>
      <c r="P405" s="178"/>
      <c r="Q405" s="178"/>
      <c r="R405" s="178"/>
      <c r="T405" s="140">
        <f>SUM(C405:S405)</f>
        <v>756614.12834224594</v>
      </c>
      <c r="U405" s="138" t="s">
        <v>367</v>
      </c>
      <c r="V405" s="139"/>
      <c r="W405" s="137">
        <f>T405*7.48</f>
        <v>5659473.6799999997</v>
      </c>
      <c r="X405" s="138" t="s">
        <v>346</v>
      </c>
      <c r="Y405" s="157"/>
      <c r="Z405" s="157"/>
    </row>
    <row r="406" spans="1:26" s="125" customFormat="1" x14ac:dyDescent="0.25">
      <c r="A406" s="461"/>
      <c r="B406" s="135" t="s">
        <v>324</v>
      </c>
      <c r="C406" s="606"/>
      <c r="D406" s="455">
        <v>13252.358053195036</v>
      </c>
      <c r="E406" s="455">
        <v>10935.93328037123</v>
      </c>
      <c r="F406" s="455">
        <v>10936.80288761468</v>
      </c>
      <c r="G406" s="455">
        <v>9323.1049820686967</v>
      </c>
      <c r="H406" s="455">
        <v>8003.9337054912285</v>
      </c>
      <c r="I406" s="455">
        <v>7414.7426985763159</v>
      </c>
      <c r="J406" s="455">
        <v>7750.2734600543481</v>
      </c>
      <c r="K406" s="455">
        <v>7911.3544293069945</v>
      </c>
      <c r="L406" s="455">
        <v>8467.7842020114476</v>
      </c>
      <c r="M406" s="455">
        <v>8990.3523651336545</v>
      </c>
      <c r="N406" s="455">
        <v>8691.5358471026266</v>
      </c>
      <c r="O406" s="455">
        <v>10207.886560376557</v>
      </c>
      <c r="P406" s="176"/>
      <c r="Q406" s="176"/>
      <c r="R406" s="176"/>
      <c r="T406" s="143">
        <f>SUM(C406:S406)</f>
        <v>111886.06247130282</v>
      </c>
      <c r="U406" s="138"/>
      <c r="V406" s="139"/>
      <c r="W406" s="143">
        <f>T406</f>
        <v>111886.06247130282</v>
      </c>
      <c r="X406" s="138"/>
      <c r="Y406" s="157"/>
      <c r="Z406" s="157"/>
    </row>
    <row r="407" spans="1:26" s="125" customFormat="1" ht="16.5" x14ac:dyDescent="0.35">
      <c r="A407" s="461"/>
      <c r="B407" s="144" t="s">
        <v>374</v>
      </c>
      <c r="C407" s="607"/>
      <c r="D407" s="455">
        <v>1902.68</v>
      </c>
      <c r="E407" s="455">
        <v>1470.35</v>
      </c>
      <c r="F407" s="455">
        <v>1749.23</v>
      </c>
      <c r="G407" s="455">
        <v>1627.3</v>
      </c>
      <c r="H407" s="455">
        <v>1293.1099999999999</v>
      </c>
      <c r="I407" s="455">
        <v>1874.09</v>
      </c>
      <c r="J407" s="455">
        <v>2516.86</v>
      </c>
      <c r="K407" s="455">
        <v>2642.76</v>
      </c>
      <c r="L407" s="455">
        <v>1781.65</v>
      </c>
      <c r="M407" s="455">
        <v>1451.36</v>
      </c>
      <c r="N407" s="455">
        <v>1599.43</v>
      </c>
      <c r="O407" s="455">
        <v>1110.06</v>
      </c>
      <c r="P407" s="179"/>
      <c r="Q407" s="179"/>
      <c r="R407" s="179"/>
      <c r="T407" s="143">
        <f>SUM(C407:S407)</f>
        <v>21018.880000000005</v>
      </c>
      <c r="U407" s="138"/>
      <c r="V407" s="139"/>
      <c r="W407" s="146">
        <f>T407</f>
        <v>21018.880000000005</v>
      </c>
      <c r="X407" s="138"/>
      <c r="Y407" s="157"/>
      <c r="Z407" s="157"/>
    </row>
    <row r="408" spans="1:26" x14ac:dyDescent="0.25">
      <c r="W408" s="143">
        <f>SUM(W406:W407)</f>
        <v>132904.94247130281</v>
      </c>
      <c r="X408" s="138"/>
    </row>
    <row r="410" spans="1:26" s="128" customFormat="1" x14ac:dyDescent="0.25">
      <c r="A410" s="459">
        <v>43</v>
      </c>
      <c r="B410" s="127" t="s">
        <v>625</v>
      </c>
      <c r="C410" s="173"/>
      <c r="S410" s="173"/>
      <c r="T410" s="127" t="s">
        <v>625</v>
      </c>
      <c r="W410" s="129"/>
      <c r="Y410" s="166"/>
      <c r="Z410" s="166"/>
    </row>
    <row r="411" spans="1:26" s="125" customFormat="1" x14ac:dyDescent="0.25">
      <c r="A411" s="461"/>
      <c r="B411" s="130" t="s">
        <v>337</v>
      </c>
      <c r="C411" s="131">
        <v>42156</v>
      </c>
      <c r="D411" s="131">
        <v>42186</v>
      </c>
      <c r="E411" s="131">
        <v>42217</v>
      </c>
      <c r="F411" s="131">
        <v>42248</v>
      </c>
      <c r="G411" s="131">
        <v>42278</v>
      </c>
      <c r="H411" s="131">
        <v>42309</v>
      </c>
      <c r="I411" s="131">
        <v>42339</v>
      </c>
      <c r="J411" s="131">
        <v>42370</v>
      </c>
      <c r="K411" s="131">
        <v>42401</v>
      </c>
      <c r="L411" s="131">
        <v>42430</v>
      </c>
      <c r="M411" s="131">
        <v>42461</v>
      </c>
      <c r="N411" s="131">
        <v>42491</v>
      </c>
      <c r="O411" s="131">
        <v>42522</v>
      </c>
      <c r="P411" s="131">
        <v>42552</v>
      </c>
      <c r="Q411" s="151">
        <v>42583</v>
      </c>
      <c r="R411" s="131">
        <v>42627</v>
      </c>
      <c r="S411" s="132"/>
      <c r="T411" s="133" t="s">
        <v>338</v>
      </c>
      <c r="U411" s="134" t="s">
        <v>339</v>
      </c>
      <c r="V411" s="132"/>
      <c r="W411" s="133" t="s">
        <v>338</v>
      </c>
      <c r="X411" s="134" t="s">
        <v>339</v>
      </c>
      <c r="Y411" s="157"/>
      <c r="Z411" s="157"/>
    </row>
    <row r="412" spans="1:26" s="125" customFormat="1" x14ac:dyDescent="0.25">
      <c r="A412" s="461"/>
      <c r="B412" s="135" t="s">
        <v>340</v>
      </c>
      <c r="C412" s="606"/>
      <c r="D412" s="174"/>
      <c r="E412" s="136">
        <v>30902.954101561932</v>
      </c>
      <c r="F412" s="734">
        <v>29335.021972657047</v>
      </c>
      <c r="G412" s="734">
        <v>22770.01953125</v>
      </c>
      <c r="H412" s="734">
        <v>23882.995605467953</v>
      </c>
      <c r="I412" s="734">
        <v>21528.015136719092</v>
      </c>
      <c r="J412" s="734">
        <v>27824.951171875</v>
      </c>
      <c r="K412" s="736">
        <v>28780.029296875</v>
      </c>
      <c r="L412" s="736">
        <v>28239.990234375</v>
      </c>
      <c r="M412" s="736">
        <v>28801.025390625</v>
      </c>
      <c r="N412" s="736">
        <v>29156.005859375</v>
      </c>
      <c r="O412" s="736">
        <v>30916.9921875</v>
      </c>
      <c r="P412" s="736">
        <v>31935.974121093976</v>
      </c>
      <c r="Q412" s="1178"/>
      <c r="R412" s="174"/>
      <c r="T412" s="140">
        <f>SUM(E412:P412)</f>
        <v>334073.974609375</v>
      </c>
      <c r="U412" s="138" t="s">
        <v>341</v>
      </c>
      <c r="V412" s="139"/>
      <c r="W412" s="140">
        <f>T412*3413/1000000</f>
        <v>1140.194475341797</v>
      </c>
      <c r="X412" s="138" t="s">
        <v>342</v>
      </c>
      <c r="Y412" s="157"/>
      <c r="Z412" s="157"/>
    </row>
    <row r="413" spans="1:26" s="125" customFormat="1" x14ac:dyDescent="0.25">
      <c r="A413" s="461"/>
      <c r="B413" s="135" t="s">
        <v>372</v>
      </c>
      <c r="C413" s="606"/>
      <c r="D413" s="174"/>
      <c r="E413" s="1670">
        <v>52.882352941176471</v>
      </c>
      <c r="F413" s="1671">
        <v>113.53781512605042</v>
      </c>
      <c r="G413" s="1671">
        <v>230.96992481203006</v>
      </c>
      <c r="H413" s="1671">
        <v>184.73684210526315</v>
      </c>
      <c r="I413" s="1671">
        <v>558.45394736842104</v>
      </c>
      <c r="J413" s="1671">
        <v>1281.6964285714287</v>
      </c>
      <c r="K413" s="1671">
        <v>1331.6009852216748</v>
      </c>
      <c r="L413" s="1672">
        <v>707.82758620689651</v>
      </c>
      <c r="M413" s="1672">
        <v>295.17857142857144</v>
      </c>
      <c r="N413" s="1672">
        <v>218.94642857142856</v>
      </c>
      <c r="O413" s="1672">
        <v>176.01785714285714</v>
      </c>
      <c r="P413" s="1672">
        <v>130.8941798941799</v>
      </c>
      <c r="Q413" s="174"/>
      <c r="R413" s="174"/>
      <c r="T413" s="137">
        <f>SUM(E413:P413)</f>
        <v>5282.7429193899779</v>
      </c>
      <c r="U413" s="138" t="s">
        <v>354</v>
      </c>
      <c r="V413" s="139"/>
      <c r="W413" s="140">
        <f>T413*99976.124488/1000000</f>
        <v>528.14816374703298</v>
      </c>
      <c r="X413" s="138" t="s">
        <v>342</v>
      </c>
      <c r="Y413" s="495">
        <f>W412+W413</f>
        <v>1668.3426390888299</v>
      </c>
      <c r="Z413" s="153" t="s">
        <v>677</v>
      </c>
    </row>
    <row r="414" spans="1:26" s="125" customFormat="1" x14ac:dyDescent="0.25">
      <c r="A414" s="461"/>
      <c r="B414" s="135" t="s">
        <v>864</v>
      </c>
      <c r="C414" s="606"/>
      <c r="D414" s="178"/>
      <c r="E414" s="1172">
        <v>18.818181818181817</v>
      </c>
      <c r="F414" s="1669">
        <v>14.533333333333333</v>
      </c>
      <c r="G414" s="1669">
        <v>11.919047619047619</v>
      </c>
      <c r="H414" s="1669">
        <v>12.014285714285714</v>
      </c>
      <c r="I414" s="1669">
        <v>7.6</v>
      </c>
      <c r="J414" s="1669">
        <v>7.6689655172413786</v>
      </c>
      <c r="K414" s="1669">
        <v>9.5453201970443349</v>
      </c>
      <c r="L414" s="1172">
        <v>10.367532467532468</v>
      </c>
      <c r="M414" s="1173">
        <v>11.41818181818182</v>
      </c>
      <c r="N414" s="1173">
        <v>12.403225806451612</v>
      </c>
      <c r="O414" s="1172">
        <v>10.842928039702233</v>
      </c>
      <c r="P414" s="1172">
        <v>7</v>
      </c>
      <c r="Q414" s="730"/>
      <c r="R414" s="178"/>
      <c r="T414" s="1177">
        <f>SUM(C414:S414)</f>
        <v>134.13100233100232</v>
      </c>
      <c r="U414" s="138" t="s">
        <v>379</v>
      </c>
      <c r="V414" s="139"/>
      <c r="W414" s="137">
        <f>T414*748</f>
        <v>100329.98974358973</v>
      </c>
      <c r="X414" s="138" t="s">
        <v>346</v>
      </c>
      <c r="Y414" s="157"/>
      <c r="Z414" s="157"/>
    </row>
    <row r="415" spans="1:26" s="125" customFormat="1" x14ac:dyDescent="0.25">
      <c r="A415" s="461"/>
      <c r="B415" s="135" t="s">
        <v>324</v>
      </c>
      <c r="C415" s="606"/>
      <c r="D415" s="176"/>
      <c r="E415" s="455">
        <v>2657.6540527343259</v>
      </c>
      <c r="F415" s="731">
        <v>2522.8118896485057</v>
      </c>
      <c r="G415" s="731">
        <v>1958.2216796874998</v>
      </c>
      <c r="H415" s="731">
        <v>2053.9376220702438</v>
      </c>
      <c r="I415" s="731">
        <v>1851.4093017578418</v>
      </c>
      <c r="J415" s="731">
        <v>2392.94580078125</v>
      </c>
      <c r="K415" s="731">
        <v>2475.08251953125</v>
      </c>
      <c r="L415" s="455">
        <v>2428.63916015625</v>
      </c>
      <c r="M415" s="455">
        <v>2476.88818359375</v>
      </c>
      <c r="N415" s="455">
        <v>2507.41650390625</v>
      </c>
      <c r="O415" s="455">
        <v>2658.861328125</v>
      </c>
      <c r="P415" s="455">
        <v>2778.4297485351758</v>
      </c>
      <c r="Q415" s="1179"/>
      <c r="R415" s="176"/>
      <c r="T415" s="143">
        <f>SUM(C415:S415)</f>
        <v>28762.29779052734</v>
      </c>
      <c r="U415" s="138"/>
      <c r="V415" s="139"/>
      <c r="W415" s="143">
        <f>T415</f>
        <v>28762.29779052734</v>
      </c>
      <c r="X415" s="138"/>
      <c r="Y415" s="157"/>
      <c r="Z415" s="157"/>
    </row>
    <row r="416" spans="1:26" s="125" customFormat="1" ht="16.5" x14ac:dyDescent="0.35">
      <c r="A416" s="461"/>
      <c r="B416" s="144" t="s">
        <v>374</v>
      </c>
      <c r="C416" s="607"/>
      <c r="D416" s="179"/>
      <c r="E416" s="1181">
        <v>51.727450980392149</v>
      </c>
      <c r="F416" s="455">
        <v>101.42212885154061</v>
      </c>
      <c r="G416" s="751">
        <v>255.41115288220553</v>
      </c>
      <c r="H416" s="455">
        <v>260.36842105263156</v>
      </c>
      <c r="I416" s="455">
        <v>428.60197368421052</v>
      </c>
      <c r="J416" s="751">
        <v>818.22535714285721</v>
      </c>
      <c r="K416" s="455">
        <v>835.57628078817743</v>
      </c>
      <c r="L416" s="455">
        <v>465.70037819799779</v>
      </c>
      <c r="M416" s="455">
        <v>217.86369815668201</v>
      </c>
      <c r="N416" s="455">
        <v>168.21678571428572</v>
      </c>
      <c r="O416" s="455">
        <v>138.69071428571431</v>
      </c>
      <c r="P416" s="1176">
        <v>108.64576719576721</v>
      </c>
      <c r="Q416" s="179"/>
      <c r="R416" s="179"/>
      <c r="T416" s="143">
        <f>SUM(C416:S416)</f>
        <v>3850.4501089324626</v>
      </c>
      <c r="U416" s="138"/>
      <c r="V416" s="139"/>
      <c r="W416" s="146">
        <f>T416</f>
        <v>3850.4501089324626</v>
      </c>
      <c r="X416" s="138"/>
      <c r="Y416" s="157"/>
      <c r="Z416" s="157"/>
    </row>
    <row r="417" spans="1:26" x14ac:dyDescent="0.25">
      <c r="E417" s="1182"/>
      <c r="W417" s="143">
        <f>SUM(W415:W416)</f>
        <v>32612.747899459802</v>
      </c>
      <c r="X417" s="138"/>
    </row>
    <row r="419" spans="1:26" s="128" customFormat="1" x14ac:dyDescent="0.25">
      <c r="A419" s="459">
        <v>44</v>
      </c>
      <c r="B419" s="127" t="s">
        <v>626</v>
      </c>
      <c r="C419" s="173"/>
      <c r="S419" s="173"/>
      <c r="T419" s="127" t="s">
        <v>626</v>
      </c>
      <c r="W419" s="129"/>
      <c r="Y419" s="166"/>
      <c r="Z419" s="166"/>
    </row>
    <row r="420" spans="1:26" s="125" customFormat="1" x14ac:dyDescent="0.25">
      <c r="A420" s="461"/>
      <c r="B420" s="130" t="s">
        <v>337</v>
      </c>
      <c r="C420" s="131">
        <v>42156</v>
      </c>
      <c r="D420" s="131">
        <v>42186</v>
      </c>
      <c r="E420" s="131">
        <v>42217</v>
      </c>
      <c r="F420" s="131">
        <v>42248</v>
      </c>
      <c r="G420" s="131">
        <v>42278</v>
      </c>
      <c r="H420" s="131">
        <v>42309</v>
      </c>
      <c r="I420" s="131">
        <v>42339</v>
      </c>
      <c r="J420" s="131">
        <v>42370</v>
      </c>
      <c r="K420" s="131">
        <v>42401</v>
      </c>
      <c r="L420" s="131">
        <v>42430</v>
      </c>
      <c r="M420" s="131">
        <v>42461</v>
      </c>
      <c r="N420" s="131">
        <v>42491</v>
      </c>
      <c r="O420" s="131">
        <v>42522</v>
      </c>
      <c r="P420" s="131">
        <v>42552</v>
      </c>
      <c r="Q420" s="151">
        <v>42583</v>
      </c>
      <c r="R420" s="131">
        <v>42627</v>
      </c>
      <c r="S420" s="132"/>
      <c r="T420" s="133" t="s">
        <v>338</v>
      </c>
      <c r="U420" s="134" t="s">
        <v>339</v>
      </c>
      <c r="V420" s="132"/>
      <c r="W420" s="133" t="s">
        <v>338</v>
      </c>
      <c r="X420" s="134" t="s">
        <v>339</v>
      </c>
      <c r="Y420" s="157"/>
      <c r="Z420" s="157"/>
    </row>
    <row r="421" spans="1:26" s="125" customFormat="1" x14ac:dyDescent="0.25">
      <c r="A421" s="461"/>
      <c r="B421" s="135" t="s">
        <v>340</v>
      </c>
      <c r="C421" s="606"/>
      <c r="D421" s="454">
        <v>72541</v>
      </c>
      <c r="E421" s="454">
        <v>83889</v>
      </c>
      <c r="F421" s="454">
        <v>100939</v>
      </c>
      <c r="G421" s="454">
        <v>102210</v>
      </c>
      <c r="H421" s="454">
        <v>97671</v>
      </c>
      <c r="I421" s="454">
        <v>93457</v>
      </c>
      <c r="J421" s="454">
        <v>93202</v>
      </c>
      <c r="K421" s="454">
        <v>92374</v>
      </c>
      <c r="L421" s="454">
        <v>91453</v>
      </c>
      <c r="M421" s="454">
        <v>90879</v>
      </c>
      <c r="N421" s="454">
        <v>73565</v>
      </c>
      <c r="O421" s="454">
        <v>27670</v>
      </c>
      <c r="P421" s="174"/>
      <c r="Q421" s="174"/>
      <c r="R421" s="174"/>
      <c r="T421" s="140">
        <f>SUM(C421:S421)</f>
        <v>1019850</v>
      </c>
      <c r="U421" s="138" t="s">
        <v>341</v>
      </c>
      <c r="V421" s="139"/>
      <c r="W421" s="140">
        <f>T421*3413/1000000</f>
        <v>3480.7480500000001</v>
      </c>
      <c r="X421" s="138" t="s">
        <v>342</v>
      </c>
      <c r="Y421" s="157"/>
      <c r="Z421" s="157"/>
    </row>
    <row r="422" spans="1:26" s="125" customFormat="1" x14ac:dyDescent="0.25">
      <c r="A422" s="461"/>
      <c r="B422" s="135" t="s">
        <v>372</v>
      </c>
      <c r="C422" s="606"/>
      <c r="D422" s="454">
        <v>111</v>
      </c>
      <c r="E422" s="454">
        <v>237</v>
      </c>
      <c r="F422" s="454">
        <v>226</v>
      </c>
      <c r="G422" s="454">
        <v>710</v>
      </c>
      <c r="H422" s="454">
        <v>870</v>
      </c>
      <c r="I422" s="454">
        <v>725</v>
      </c>
      <c r="J422" s="454">
        <v>669</v>
      </c>
      <c r="K422" s="454">
        <v>1016</v>
      </c>
      <c r="L422" s="454">
        <v>893</v>
      </c>
      <c r="M422" s="454">
        <v>856</v>
      </c>
      <c r="N422" s="454">
        <v>691</v>
      </c>
      <c r="O422" s="454">
        <v>228</v>
      </c>
      <c r="P422" s="174"/>
      <c r="Q422" s="174"/>
      <c r="R422" s="174"/>
      <c r="T422" s="140">
        <f t="shared" ref="T422:T428" si="16">SUM(C422:S422)</f>
        <v>7232</v>
      </c>
      <c r="U422" s="138" t="s">
        <v>354</v>
      </c>
      <c r="V422" s="139"/>
      <c r="W422" s="140">
        <f>T422*99976.124488/1000000</f>
        <v>723.02733229721605</v>
      </c>
      <c r="X422" s="138" t="s">
        <v>342</v>
      </c>
      <c r="Y422" s="765"/>
      <c r="Z422" s="554"/>
    </row>
    <row r="423" spans="1:26" s="125" customFormat="1" x14ac:dyDescent="0.25">
      <c r="A423" s="461"/>
      <c r="B423" s="135" t="s">
        <v>1059</v>
      </c>
      <c r="C423" s="606"/>
      <c r="D423" s="454">
        <v>489</v>
      </c>
      <c r="E423" s="454">
        <v>472</v>
      </c>
      <c r="F423" s="454">
        <v>428</v>
      </c>
      <c r="G423" s="454">
        <v>211</v>
      </c>
      <c r="H423" s="454">
        <v>136</v>
      </c>
      <c r="I423" s="454">
        <v>120</v>
      </c>
      <c r="J423" s="454">
        <v>53</v>
      </c>
      <c r="K423" s="454">
        <v>79</v>
      </c>
      <c r="L423" s="454">
        <v>191</v>
      </c>
      <c r="M423" s="454">
        <v>244</v>
      </c>
      <c r="N423" s="454">
        <v>260</v>
      </c>
      <c r="O423" s="454">
        <v>384</v>
      </c>
      <c r="P423" s="174"/>
      <c r="Q423" s="174"/>
      <c r="R423" s="174"/>
      <c r="T423" s="140">
        <f>SUM(C423:S423)</f>
        <v>3067</v>
      </c>
      <c r="U423" s="138" t="s">
        <v>342</v>
      </c>
      <c r="V423" s="139"/>
      <c r="W423" s="140">
        <f>T423</f>
        <v>3067</v>
      </c>
      <c r="X423" s="138" t="s">
        <v>342</v>
      </c>
    </row>
    <row r="424" spans="1:26" s="125" customFormat="1" x14ac:dyDescent="0.25">
      <c r="A424" s="461"/>
      <c r="B424" s="135" t="s">
        <v>1060</v>
      </c>
      <c r="C424" s="606"/>
      <c r="D424" s="454">
        <v>41</v>
      </c>
      <c r="E424" s="454">
        <v>21</v>
      </c>
      <c r="F424" s="454">
        <v>17</v>
      </c>
      <c r="G424" s="454">
        <v>86</v>
      </c>
      <c r="H424" s="454">
        <v>87</v>
      </c>
      <c r="I424" s="454">
        <v>73</v>
      </c>
      <c r="J424" s="454">
        <v>28</v>
      </c>
      <c r="K424" s="454">
        <v>15</v>
      </c>
      <c r="L424" s="454">
        <v>27</v>
      </c>
      <c r="M424" s="454">
        <v>91</v>
      </c>
      <c r="N424" s="454">
        <v>85</v>
      </c>
      <c r="O424" s="454">
        <v>82</v>
      </c>
      <c r="P424" s="174"/>
      <c r="Q424" s="174"/>
      <c r="R424" s="174"/>
      <c r="T424" s="140">
        <f>SUM(C424:S424)</f>
        <v>653</v>
      </c>
      <c r="U424" s="138" t="s">
        <v>342</v>
      </c>
      <c r="V424" s="139"/>
      <c r="W424" s="140">
        <f>T424</f>
        <v>653</v>
      </c>
      <c r="X424" s="138" t="s">
        <v>342</v>
      </c>
      <c r="Y424" s="495">
        <f>W421+W422+W423+W424</f>
        <v>7923.7753822972163</v>
      </c>
      <c r="Z424" s="153" t="s">
        <v>342</v>
      </c>
    </row>
    <row r="425" spans="1:26" s="125" customFormat="1" x14ac:dyDescent="0.25">
      <c r="A425" s="461"/>
      <c r="B425" s="135" t="s">
        <v>366</v>
      </c>
      <c r="C425" s="606"/>
      <c r="D425" s="454">
        <v>3009</v>
      </c>
      <c r="E425" s="454">
        <v>20503</v>
      </c>
      <c r="F425" s="454">
        <v>42490</v>
      </c>
      <c r="G425" s="454">
        <v>40544</v>
      </c>
      <c r="H425" s="454">
        <v>37565</v>
      </c>
      <c r="I425" s="454">
        <v>27110</v>
      </c>
      <c r="J425" s="454">
        <v>33128</v>
      </c>
      <c r="K425" s="454">
        <v>42047</v>
      </c>
      <c r="L425" s="454">
        <v>35614</v>
      </c>
      <c r="M425" s="454">
        <v>42330</v>
      </c>
      <c r="N425" s="454">
        <v>22460</v>
      </c>
      <c r="O425" s="454">
        <v>8959</v>
      </c>
      <c r="P425" s="178"/>
      <c r="Q425" s="178"/>
      <c r="R425" s="178"/>
      <c r="T425" s="140">
        <f t="shared" si="16"/>
        <v>355759</v>
      </c>
      <c r="U425" s="138" t="s">
        <v>367</v>
      </c>
      <c r="V425" s="139"/>
      <c r="W425" s="137">
        <f>T425*7.48</f>
        <v>2661077.3200000003</v>
      </c>
      <c r="X425" s="138" t="s">
        <v>346</v>
      </c>
      <c r="Y425" s="157"/>
      <c r="Z425" s="157"/>
    </row>
    <row r="426" spans="1:26" s="125" customFormat="1" x14ac:dyDescent="0.25">
      <c r="A426" s="461"/>
      <c r="B426" s="135" t="s">
        <v>324</v>
      </c>
      <c r="C426" s="606"/>
      <c r="D426" s="455">
        <v>4842.8727874060278</v>
      </c>
      <c r="E426" s="455">
        <v>5603.0519623842602</v>
      </c>
      <c r="F426" s="455">
        <v>6746.1284185779823</v>
      </c>
      <c r="G426" s="455">
        <v>6245.8677895199062</v>
      </c>
      <c r="H426" s="455">
        <v>5495.3514340175443</v>
      </c>
      <c r="I426" s="455">
        <v>5262.4874287631583</v>
      </c>
      <c r="J426" s="455">
        <v>5277.1843002921196</v>
      </c>
      <c r="K426" s="455">
        <v>5393.5824499265973</v>
      </c>
      <c r="L426" s="455">
        <v>5383.0484167679442</v>
      </c>
      <c r="M426" s="455">
        <v>5215.0411095954105</v>
      </c>
      <c r="N426" s="455">
        <v>4308.0225832935566</v>
      </c>
      <c r="O426" s="455">
        <v>1787.0502111645903</v>
      </c>
      <c r="P426" s="176"/>
      <c r="Q426" s="176"/>
      <c r="R426" s="176"/>
      <c r="T426" s="143">
        <f t="shared" si="16"/>
        <v>61559.688891709106</v>
      </c>
      <c r="U426" s="138"/>
      <c r="V426" s="139"/>
      <c r="W426" s="143">
        <f>T426</f>
        <v>61559.688891709106</v>
      </c>
      <c r="X426" s="138"/>
      <c r="Y426" s="157"/>
      <c r="Z426" s="157"/>
    </row>
    <row r="427" spans="1:26" s="125" customFormat="1" x14ac:dyDescent="0.25">
      <c r="A427" s="461"/>
      <c r="B427" s="144" t="s">
        <v>374</v>
      </c>
      <c r="C427" s="607"/>
      <c r="D427" s="455">
        <v>99.78</v>
      </c>
      <c r="E427" s="455">
        <v>188.07</v>
      </c>
      <c r="F427" s="455">
        <v>490.77</v>
      </c>
      <c r="G427" s="455">
        <v>519.5</v>
      </c>
      <c r="H427" s="455">
        <v>627.29</v>
      </c>
      <c r="I427" s="455">
        <v>520.42999999999995</v>
      </c>
      <c r="J427" s="455">
        <v>472.85</v>
      </c>
      <c r="K427" s="455">
        <v>701.26</v>
      </c>
      <c r="L427" s="455">
        <v>619.02</v>
      </c>
      <c r="M427" s="455">
        <v>596.70000000000005</v>
      </c>
      <c r="N427" s="455">
        <v>494.27</v>
      </c>
      <c r="O427" s="455">
        <v>178.32</v>
      </c>
      <c r="P427" s="179"/>
      <c r="Q427" s="179"/>
      <c r="R427" s="179"/>
      <c r="T427" s="143">
        <f t="shared" si="16"/>
        <v>5508.2599999999984</v>
      </c>
      <c r="U427" s="138"/>
      <c r="V427" s="139"/>
      <c r="W427" s="143">
        <f>T427</f>
        <v>5508.2599999999984</v>
      </c>
      <c r="X427" s="138"/>
      <c r="Y427" s="157"/>
      <c r="Z427" s="157"/>
    </row>
    <row r="428" spans="1:26" s="125" customFormat="1" x14ac:dyDescent="0.25">
      <c r="A428" s="461"/>
      <c r="B428" s="204" t="s">
        <v>398</v>
      </c>
      <c r="C428" s="607"/>
      <c r="D428" s="455">
        <v>2690.5656462661759</v>
      </c>
      <c r="E428" s="455">
        <v>2554.7928630391807</v>
      </c>
      <c r="F428" s="455">
        <v>2087.9206645923377</v>
      </c>
      <c r="G428" s="455">
        <v>915.36092348266686</v>
      </c>
      <c r="H428" s="455">
        <v>589.2054341274727</v>
      </c>
      <c r="I428" s="455">
        <v>554.97291565754733</v>
      </c>
      <c r="J428" s="455">
        <v>442.91615248882687</v>
      </c>
      <c r="K428" s="455">
        <v>460.05094939155242</v>
      </c>
      <c r="L428" s="455">
        <v>887.31978544401841</v>
      </c>
      <c r="M428" s="455">
        <v>1159.8198850133174</v>
      </c>
      <c r="N428" s="455">
        <v>1224.8984746776132</v>
      </c>
      <c r="O428" s="455">
        <v>2269.6412516089822</v>
      </c>
      <c r="P428" s="179"/>
      <c r="Q428" s="179"/>
      <c r="R428" s="179"/>
      <c r="T428" s="143">
        <f t="shared" si="16"/>
        <v>15837.464945789692</v>
      </c>
      <c r="U428" s="138"/>
      <c r="V428" s="139"/>
      <c r="W428" s="143">
        <f>T428</f>
        <v>15837.464945789692</v>
      </c>
      <c r="X428" s="138"/>
      <c r="Y428" s="157"/>
      <c r="Z428" s="157"/>
    </row>
    <row r="429" spans="1:26" s="125" customFormat="1" ht="16.5" x14ac:dyDescent="0.35">
      <c r="A429" s="461"/>
      <c r="B429" s="204" t="s">
        <v>1058</v>
      </c>
      <c r="C429" s="607"/>
      <c r="D429" s="455">
        <v>723.01441951141169</v>
      </c>
      <c r="E429" s="455">
        <v>399.09889459271363</v>
      </c>
      <c r="F429" s="455">
        <v>428.97590632515369</v>
      </c>
      <c r="G429" s="455">
        <v>1925.1979893647497</v>
      </c>
      <c r="H429" s="455">
        <v>1778.2183849528396</v>
      </c>
      <c r="I429" s="455">
        <v>1559.7604531672278</v>
      </c>
      <c r="J429" s="455">
        <v>378.22530739777147</v>
      </c>
      <c r="K429" s="455">
        <v>232.86433608415291</v>
      </c>
      <c r="L429" s="455">
        <v>595.22360135878216</v>
      </c>
      <c r="M429" s="455">
        <v>1534.9939750181736</v>
      </c>
      <c r="N429" s="455">
        <v>1609.4198420852463</v>
      </c>
      <c r="O429" s="455">
        <v>1536.4863700222083</v>
      </c>
      <c r="P429" s="179"/>
      <c r="Q429" s="179"/>
      <c r="R429" s="179"/>
      <c r="T429" s="143">
        <f>SUM(C429:S429)</f>
        <v>12701.479479880431</v>
      </c>
      <c r="U429" s="138"/>
      <c r="V429" s="139"/>
      <c r="W429" s="597">
        <f>T429</f>
        <v>12701.479479880431</v>
      </c>
      <c r="X429" s="138"/>
      <c r="Y429" s="157"/>
      <c r="Z429" s="157"/>
    </row>
    <row r="430" spans="1:26" x14ac:dyDescent="0.25">
      <c r="W430" s="143">
        <f>SUM(W426:W429)</f>
        <v>95606.893317379232</v>
      </c>
      <c r="X430" s="138"/>
    </row>
    <row r="432" spans="1:26" s="125" customFormat="1" x14ac:dyDescent="0.25">
      <c r="A432" s="461">
        <v>45</v>
      </c>
      <c r="B432" s="148" t="s">
        <v>976</v>
      </c>
      <c r="C432" s="152"/>
      <c r="E432" s="157"/>
      <c r="F432" s="157"/>
      <c r="G432" s="157"/>
      <c r="H432" s="157"/>
      <c r="I432" s="157"/>
      <c r="J432" s="157"/>
      <c r="K432" s="157"/>
      <c r="L432" s="157"/>
      <c r="M432" s="157"/>
      <c r="N432" s="157"/>
      <c r="O432" s="157"/>
      <c r="P432" s="157"/>
      <c r="S432" s="126"/>
      <c r="T432" s="148" t="s">
        <v>1442</v>
      </c>
      <c r="V432" s="126"/>
      <c r="Y432" s="157"/>
      <c r="Z432" s="157"/>
    </row>
    <row r="433" spans="1:26" s="125" customFormat="1" x14ac:dyDescent="0.25">
      <c r="A433" s="461"/>
      <c r="B433" s="130" t="s">
        <v>337</v>
      </c>
      <c r="C433" s="131">
        <v>42156</v>
      </c>
      <c r="D433" s="131">
        <v>42186</v>
      </c>
      <c r="E433" s="131">
        <v>42217</v>
      </c>
      <c r="F433" s="131">
        <v>42248</v>
      </c>
      <c r="G433" s="131">
        <v>42278</v>
      </c>
      <c r="H433" s="131">
        <v>42309</v>
      </c>
      <c r="I433" s="131">
        <v>42339</v>
      </c>
      <c r="J433" s="131">
        <v>42370</v>
      </c>
      <c r="K433" s="131">
        <v>42401</v>
      </c>
      <c r="L433" s="131">
        <v>42430</v>
      </c>
      <c r="M433" s="131">
        <v>42461</v>
      </c>
      <c r="N433" s="131">
        <v>42491</v>
      </c>
      <c r="O433" s="131">
        <v>42522</v>
      </c>
      <c r="P433" s="131">
        <v>42552</v>
      </c>
      <c r="Q433" s="151">
        <v>42583</v>
      </c>
      <c r="R433" s="131">
        <v>42627</v>
      </c>
      <c r="S433" s="132"/>
      <c r="T433" s="133" t="s">
        <v>338</v>
      </c>
      <c r="U433" s="134" t="s">
        <v>339</v>
      </c>
      <c r="V433" s="132"/>
      <c r="W433" s="133" t="s">
        <v>338</v>
      </c>
      <c r="X433" s="134" t="s">
        <v>339</v>
      </c>
      <c r="Y433" s="157"/>
      <c r="Z433" s="157"/>
    </row>
    <row r="434" spans="1:26" s="157" customFormat="1" x14ac:dyDescent="0.25">
      <c r="A434" s="461"/>
      <c r="B434" s="135" t="s">
        <v>319</v>
      </c>
      <c r="C434" s="599"/>
      <c r="E434" s="160">
        <v>36510.986328125</v>
      </c>
      <c r="F434" s="1170">
        <v>36674.987792969034</v>
      </c>
      <c r="G434" s="1170">
        <v>37328.002929686991</v>
      </c>
      <c r="H434" s="1185">
        <v>35902.984619141025</v>
      </c>
      <c r="I434" s="1186">
        <v>34626.037597656024</v>
      </c>
      <c r="J434" s="1186">
        <v>36817.016601562951</v>
      </c>
      <c r="K434" s="1186">
        <v>35030.944824217957</v>
      </c>
      <c r="L434" s="1186">
        <v>35036.010742188068</v>
      </c>
      <c r="M434" s="1186">
        <v>35270.01953125</v>
      </c>
      <c r="N434" s="1186">
        <v>31382.019042968976</v>
      </c>
      <c r="O434" s="1186">
        <v>29618.957519531024</v>
      </c>
      <c r="P434" s="756">
        <v>30471.008300781024</v>
      </c>
      <c r="Q434" s="174"/>
      <c r="T434" s="141">
        <f t="shared" ref="T434:T440" si="17">SUM(E434:P434)</f>
        <v>414668.97583007807</v>
      </c>
      <c r="U434" s="188" t="s">
        <v>341</v>
      </c>
      <c r="W434" s="140">
        <f>T434*3413/1000000</f>
        <v>1415.2652145080565</v>
      </c>
      <c r="X434" s="138" t="s">
        <v>342</v>
      </c>
    </row>
    <row r="435" spans="1:26" s="157" customFormat="1" x14ac:dyDescent="0.25">
      <c r="A435" s="461"/>
      <c r="B435" s="135" t="s">
        <v>1137</v>
      </c>
      <c r="C435" s="599"/>
      <c r="E435" s="160">
        <v>104.81996799999979</v>
      </c>
      <c r="F435" s="1188">
        <v>96.870143999999868</v>
      </c>
      <c r="G435" s="1188">
        <v>192.7797760000006</v>
      </c>
      <c r="H435" s="1188">
        <v>213.35001599999944</v>
      </c>
      <c r="I435" s="1188">
        <v>211.92012800000012</v>
      </c>
      <c r="J435" s="1188">
        <v>322.62015999999971</v>
      </c>
      <c r="K435" s="1188">
        <v>230.69990400000052</v>
      </c>
      <c r="L435" s="1188">
        <v>219.12991999999971</v>
      </c>
      <c r="M435" s="1188">
        <v>195</v>
      </c>
      <c r="N435" s="1188">
        <v>141</v>
      </c>
      <c r="O435" s="1189">
        <v>89</v>
      </c>
      <c r="P435" s="1188">
        <v>58</v>
      </c>
      <c r="Q435" s="174"/>
      <c r="T435" s="141">
        <f t="shared" si="17"/>
        <v>2075.1900159999996</v>
      </c>
      <c r="U435" s="188" t="s">
        <v>1138</v>
      </c>
      <c r="W435" s="160">
        <f>T435</f>
        <v>2075.1900159999996</v>
      </c>
      <c r="X435" s="138" t="s">
        <v>342</v>
      </c>
    </row>
    <row r="436" spans="1:26" s="157" customFormat="1" x14ac:dyDescent="0.25">
      <c r="A436" s="461"/>
      <c r="B436" s="153" t="s">
        <v>362</v>
      </c>
      <c r="C436" s="599"/>
      <c r="E436" s="153">
        <v>391</v>
      </c>
      <c r="F436" s="1170">
        <v>326</v>
      </c>
      <c r="G436" s="1170">
        <v>246</v>
      </c>
      <c r="H436" s="1170">
        <v>213</v>
      </c>
      <c r="I436" s="1170">
        <v>222</v>
      </c>
      <c r="J436" s="1170">
        <v>175</v>
      </c>
      <c r="K436" s="1170">
        <v>163</v>
      </c>
      <c r="L436" s="1170">
        <v>222</v>
      </c>
      <c r="M436" s="1170">
        <v>230</v>
      </c>
      <c r="N436" s="1170">
        <v>262</v>
      </c>
      <c r="O436" s="756">
        <v>333</v>
      </c>
      <c r="P436" s="756">
        <v>388</v>
      </c>
      <c r="Q436" s="178"/>
      <c r="T436" s="141">
        <f t="shared" si="17"/>
        <v>3171</v>
      </c>
      <c r="U436" s="188" t="s">
        <v>870</v>
      </c>
      <c r="W436" s="140">
        <f>T436*99976.124488/100000</f>
        <v>3170.2429075144796</v>
      </c>
      <c r="X436" s="138" t="s">
        <v>342</v>
      </c>
      <c r="Y436" s="495">
        <f>W434+W435+W436</f>
        <v>6660.6981380225352</v>
      </c>
      <c r="Z436" s="153" t="s">
        <v>677</v>
      </c>
    </row>
    <row r="437" spans="1:26" s="157" customFormat="1" x14ac:dyDescent="0.25">
      <c r="A437" s="461"/>
      <c r="B437" s="135" t="s">
        <v>864</v>
      </c>
      <c r="C437" s="599"/>
      <c r="E437" s="153">
        <v>57</v>
      </c>
      <c r="F437" s="759">
        <v>81</v>
      </c>
      <c r="G437" s="760">
        <v>70</v>
      </c>
      <c r="H437" s="760">
        <v>71</v>
      </c>
      <c r="I437" s="760">
        <v>58</v>
      </c>
      <c r="J437" s="760">
        <v>57</v>
      </c>
      <c r="K437" s="760">
        <v>69</v>
      </c>
      <c r="L437" s="750">
        <v>74</v>
      </c>
      <c r="M437" s="750">
        <v>72</v>
      </c>
      <c r="N437" s="750">
        <v>41</v>
      </c>
      <c r="O437" s="750">
        <v>22</v>
      </c>
      <c r="P437" s="750">
        <v>20</v>
      </c>
      <c r="Q437" s="730"/>
      <c r="T437" s="141">
        <f t="shared" si="17"/>
        <v>692</v>
      </c>
      <c r="U437" s="188" t="s">
        <v>379</v>
      </c>
      <c r="W437" s="141">
        <f>T437*748</f>
        <v>517616</v>
      </c>
      <c r="X437" s="188" t="s">
        <v>346</v>
      </c>
    </row>
    <row r="438" spans="1:26" s="157" customFormat="1" x14ac:dyDescent="0.25">
      <c r="A438" s="461"/>
      <c r="B438" s="135" t="s">
        <v>324</v>
      </c>
      <c r="C438" s="599"/>
      <c r="E438" s="171">
        <v>3139.9448242187495</v>
      </c>
      <c r="F438" s="731">
        <v>3154.0489501953366</v>
      </c>
      <c r="G438" s="731">
        <v>3210.2082519530809</v>
      </c>
      <c r="H438" s="731">
        <v>3087.6566772461279</v>
      </c>
      <c r="I438" s="731">
        <v>2977.8392333984179</v>
      </c>
      <c r="J438" s="731">
        <v>3166.2634277344137</v>
      </c>
      <c r="K438" s="731">
        <v>3012.6612548827438</v>
      </c>
      <c r="L438" s="731">
        <v>3013.0969238281737</v>
      </c>
      <c r="M438" s="731">
        <v>3033.2216796874995</v>
      </c>
      <c r="N438" s="731">
        <v>2698.8536376953316</v>
      </c>
      <c r="O438" s="731">
        <v>2547.2303466796679</v>
      </c>
      <c r="P438" s="731">
        <v>2650.9777221679487</v>
      </c>
      <c r="Q438" s="1162"/>
      <c r="T438" s="171">
        <f t="shared" si="17"/>
        <v>35692.002929687485</v>
      </c>
      <c r="U438" s="188"/>
      <c r="W438" s="190">
        <f>T438</f>
        <v>35692.002929687485</v>
      </c>
      <c r="X438" s="188"/>
    </row>
    <row r="439" spans="1:26" s="157" customFormat="1" x14ac:dyDescent="0.25">
      <c r="A439" s="461"/>
      <c r="B439" s="144" t="s">
        <v>348</v>
      </c>
      <c r="C439" s="599"/>
      <c r="E439" s="171">
        <v>1403.5393715199973</v>
      </c>
      <c r="F439" s="731">
        <v>1297.0912281599983</v>
      </c>
      <c r="G439" s="731">
        <v>2581.3212006400081</v>
      </c>
      <c r="H439" s="731">
        <v>2856.7567142399926</v>
      </c>
      <c r="I439" s="731">
        <v>2837.6105139200017</v>
      </c>
      <c r="J439" s="731">
        <v>4319.8839423999962</v>
      </c>
      <c r="K439" s="731">
        <v>3089.071714560007</v>
      </c>
      <c r="L439" s="731">
        <v>2934.1496287999962</v>
      </c>
      <c r="M439" s="731">
        <v>2611.0500000000002</v>
      </c>
      <c r="N439" s="731">
        <v>1887.99</v>
      </c>
      <c r="O439" s="731">
        <v>1191.71</v>
      </c>
      <c r="P439" s="731">
        <v>697.16</v>
      </c>
      <c r="Q439" s="1162"/>
      <c r="T439" s="171">
        <f t="shared" si="17"/>
        <v>27707.334314239994</v>
      </c>
      <c r="U439" s="188"/>
      <c r="W439" s="190">
        <f>T439</f>
        <v>27707.334314239994</v>
      </c>
      <c r="X439" s="188"/>
    </row>
    <row r="440" spans="1:26" s="157" customFormat="1" ht="16.5" x14ac:dyDescent="0.35">
      <c r="A440" s="461"/>
      <c r="B440" s="195" t="s">
        <v>398</v>
      </c>
      <c r="C440" s="599"/>
      <c r="E440" s="171">
        <v>5462.27</v>
      </c>
      <c r="F440" s="731">
        <v>4554.22</v>
      </c>
      <c r="G440" s="731">
        <v>3436.6200000000003</v>
      </c>
      <c r="H440" s="731">
        <v>2975.61</v>
      </c>
      <c r="I440" s="731">
        <v>3101.34</v>
      </c>
      <c r="J440" s="731">
        <v>2444.75</v>
      </c>
      <c r="K440" s="731">
        <v>2277.11</v>
      </c>
      <c r="L440" s="731">
        <v>3101.34</v>
      </c>
      <c r="M440" s="731">
        <v>3213.1000000000004</v>
      </c>
      <c r="N440" s="731">
        <v>3660.1400000000003</v>
      </c>
      <c r="O440" s="731">
        <v>4652.01</v>
      </c>
      <c r="P440" s="731">
        <v>5024.5999999999995</v>
      </c>
      <c r="Q440" s="1162"/>
      <c r="T440" s="171">
        <f t="shared" si="17"/>
        <v>43903.11</v>
      </c>
      <c r="U440" s="188"/>
      <c r="W440" s="197">
        <f>T440</f>
        <v>43903.11</v>
      </c>
      <c r="X440" s="188"/>
    </row>
    <row r="441" spans="1:26" s="125" customFormat="1" x14ac:dyDescent="0.25">
      <c r="A441" s="461"/>
      <c r="B441" s="205"/>
      <c r="C441" s="152"/>
      <c r="E441" s="201"/>
      <c r="F441" s="206"/>
      <c r="G441" s="202"/>
      <c r="H441" s="203"/>
      <c r="I441" s="203"/>
      <c r="J441" s="203"/>
      <c r="K441" s="203"/>
      <c r="L441" s="203"/>
      <c r="M441" s="203"/>
      <c r="N441" s="203"/>
      <c r="O441" s="203"/>
      <c r="P441" s="203"/>
      <c r="U441" s="126"/>
      <c r="W441" s="190">
        <f>SUM(W438:W440)</f>
        <v>107302.44724392748</v>
      </c>
      <c r="X441" s="450"/>
      <c r="Y441" s="157"/>
      <c r="Z441" s="157"/>
    </row>
    <row r="443" spans="1:26" s="125" customFormat="1" x14ac:dyDescent="0.25">
      <c r="A443" s="461">
        <v>46</v>
      </c>
      <c r="B443" s="148" t="s">
        <v>975</v>
      </c>
      <c r="C443" s="152"/>
      <c r="E443" s="157"/>
      <c r="F443" s="157"/>
      <c r="G443" s="157"/>
      <c r="H443" s="157"/>
      <c r="I443" s="157"/>
      <c r="J443" s="157"/>
      <c r="K443" s="157"/>
      <c r="L443" s="157"/>
      <c r="M443" s="157"/>
      <c r="N443" s="157"/>
      <c r="O443" s="157"/>
      <c r="P443" s="157"/>
      <c r="S443" s="126"/>
      <c r="T443" s="148" t="s">
        <v>1441</v>
      </c>
      <c r="V443" s="126"/>
      <c r="Y443" s="157"/>
      <c r="Z443" s="157"/>
    </row>
    <row r="444" spans="1:26" s="125" customFormat="1" x14ac:dyDescent="0.25">
      <c r="A444" s="461"/>
      <c r="B444" s="130" t="s">
        <v>337</v>
      </c>
      <c r="C444" s="131">
        <v>42156</v>
      </c>
      <c r="D444" s="131">
        <v>42186</v>
      </c>
      <c r="E444" s="131">
        <v>42217</v>
      </c>
      <c r="F444" s="131">
        <v>42248</v>
      </c>
      <c r="G444" s="131">
        <v>42278</v>
      </c>
      <c r="H444" s="131">
        <v>42309</v>
      </c>
      <c r="I444" s="131">
        <v>42339</v>
      </c>
      <c r="J444" s="131">
        <v>42370</v>
      </c>
      <c r="K444" s="131">
        <v>42401</v>
      </c>
      <c r="L444" s="131">
        <v>42430</v>
      </c>
      <c r="M444" s="131">
        <v>42461</v>
      </c>
      <c r="N444" s="131">
        <v>42491</v>
      </c>
      <c r="O444" s="131">
        <v>42522</v>
      </c>
      <c r="P444" s="131">
        <v>42552</v>
      </c>
      <c r="Q444" s="151">
        <v>42583</v>
      </c>
      <c r="R444" s="131">
        <v>42627</v>
      </c>
      <c r="S444" s="132"/>
      <c r="T444" s="133" t="s">
        <v>338</v>
      </c>
      <c r="U444" s="134" t="s">
        <v>339</v>
      </c>
      <c r="V444" s="132"/>
      <c r="W444" s="133" t="s">
        <v>338</v>
      </c>
      <c r="X444" s="134" t="s">
        <v>339</v>
      </c>
      <c r="Y444" s="157"/>
      <c r="Z444" s="157"/>
    </row>
    <row r="445" spans="1:26" s="157" customFormat="1" x14ac:dyDescent="0.25">
      <c r="A445" s="461"/>
      <c r="B445" s="135" t="s">
        <v>319</v>
      </c>
      <c r="C445" s="599"/>
      <c r="E445" s="753">
        <v>127816.95556640119</v>
      </c>
      <c r="F445" s="454">
        <v>137784.9655151364</v>
      </c>
      <c r="G445" s="1170">
        <v>139607.83386231001</v>
      </c>
      <c r="H445" s="1192">
        <v>133268.14270019499</v>
      </c>
      <c r="I445" s="1192">
        <v>123161.92626952598</v>
      </c>
      <c r="J445" s="1192">
        <v>138121.15478516102</v>
      </c>
      <c r="K445" s="1192">
        <v>135089.84374999499</v>
      </c>
      <c r="L445" s="754">
        <v>133420.16601563001</v>
      </c>
      <c r="M445" s="754">
        <v>132151.79443358898</v>
      </c>
      <c r="N445" s="754">
        <v>118179.3656782741</v>
      </c>
      <c r="O445" s="754">
        <v>125991.91284179705</v>
      </c>
      <c r="P445" s="754">
        <v>127717.04101561999</v>
      </c>
      <c r="Q445" s="1203"/>
      <c r="T445" s="141">
        <f>SUM(E445:P445)</f>
        <v>1572311.1024336349</v>
      </c>
      <c r="U445" s="188" t="s">
        <v>341</v>
      </c>
      <c r="W445" s="140">
        <f>T445*3413/1000000</f>
        <v>5366.2977926059957</v>
      </c>
      <c r="X445" s="138" t="s">
        <v>342</v>
      </c>
    </row>
    <row r="446" spans="1:26" s="157" customFormat="1" x14ac:dyDescent="0.25">
      <c r="A446" s="461"/>
      <c r="B446" s="135" t="s">
        <v>1137</v>
      </c>
      <c r="C446" s="599"/>
      <c r="E446" s="838">
        <v>152.25647417187929</v>
      </c>
      <c r="F446" s="1188">
        <v>173.65336979687095</v>
      </c>
      <c r="G446" s="1188">
        <v>311.15384468750005</v>
      </c>
      <c r="H446" s="1188">
        <v>351.66805354687972</v>
      </c>
      <c r="I446" s="1188">
        <v>416.46823765625101</v>
      </c>
      <c r="J446" s="1188">
        <v>705.88453473437085</v>
      </c>
      <c r="K446" s="1188">
        <v>594.02028865624811</v>
      </c>
      <c r="L446" s="723">
        <v>337.19204598438029</v>
      </c>
      <c r="M446" s="723">
        <v>316.9560613124998</v>
      </c>
      <c r="N446" s="723">
        <v>271.726562765621</v>
      </c>
      <c r="O446" s="723">
        <v>182.95891199999838</v>
      </c>
      <c r="P446" s="756">
        <v>175.45450095313052</v>
      </c>
      <c r="Q446" s="1204"/>
      <c r="T446" s="141">
        <f t="shared" ref="T446:T452" si="18">SUM(E446:P446)</f>
        <v>3989.3928862656308</v>
      </c>
      <c r="U446" s="188" t="s">
        <v>1138</v>
      </c>
      <c r="W446" s="160">
        <f>T446</f>
        <v>3989.3928862656308</v>
      </c>
      <c r="X446" s="138" t="s">
        <v>342</v>
      </c>
    </row>
    <row r="447" spans="1:26" s="157" customFormat="1" x14ac:dyDescent="0.25">
      <c r="A447" s="461"/>
      <c r="B447" s="192" t="s">
        <v>911</v>
      </c>
      <c r="C447" s="599"/>
      <c r="E447" s="753">
        <v>938.43505859375</v>
      </c>
      <c r="F447" s="1170">
        <v>831.11279296875</v>
      </c>
      <c r="G447" s="1170">
        <v>391.9482421875</v>
      </c>
      <c r="H447" s="1170">
        <v>294.255859375</v>
      </c>
      <c r="I447" s="1170">
        <v>312.6806640625</v>
      </c>
      <c r="J447" s="1170">
        <v>112.03564453125</v>
      </c>
      <c r="K447" s="1170">
        <v>147.841796875</v>
      </c>
      <c r="L447" s="1170">
        <v>333.740234375</v>
      </c>
      <c r="M447" s="1170">
        <v>375.05615234375</v>
      </c>
      <c r="N447" s="1170">
        <v>561.267578125</v>
      </c>
      <c r="O447" s="756">
        <v>888.51318359375</v>
      </c>
      <c r="P447" s="756">
        <v>1188.39892578125</v>
      </c>
      <c r="Q447" s="1149"/>
      <c r="T447" s="141">
        <f t="shared" si="18"/>
        <v>6375.2861328125</v>
      </c>
      <c r="U447" s="188" t="s">
        <v>870</v>
      </c>
      <c r="W447" s="140">
        <f>T447*99976.124488/100000</f>
        <v>6373.7640006068268</v>
      </c>
      <c r="X447" s="138" t="s">
        <v>342</v>
      </c>
    </row>
    <row r="448" spans="1:26" s="157" customFormat="1" x14ac:dyDescent="0.25">
      <c r="A448" s="461"/>
      <c r="B448" s="728" t="s">
        <v>1130</v>
      </c>
      <c r="C448" s="599"/>
      <c r="E448" s="1206">
        <v>980</v>
      </c>
      <c r="F448" s="759">
        <v>1242</v>
      </c>
      <c r="G448" s="760">
        <v>1114</v>
      </c>
      <c r="H448" s="760">
        <v>1123</v>
      </c>
      <c r="I448" s="760">
        <v>737</v>
      </c>
      <c r="J448" s="760">
        <v>1103</v>
      </c>
      <c r="K448" s="760">
        <v>1196</v>
      </c>
      <c r="L448" s="750">
        <v>1165</v>
      </c>
      <c r="M448" s="750">
        <v>1261</v>
      </c>
      <c r="N448" s="750">
        <v>580</v>
      </c>
      <c r="O448" s="750">
        <v>1580</v>
      </c>
      <c r="P448" s="750"/>
      <c r="Q448" s="1149"/>
      <c r="T448" s="141">
        <f t="shared" si="18"/>
        <v>12081</v>
      </c>
      <c r="U448" s="188" t="s">
        <v>354</v>
      </c>
      <c r="W448" s="140">
        <f>T448*99976.124488/1000000</f>
        <v>1207.811559939528</v>
      </c>
      <c r="X448" s="138" t="s">
        <v>342</v>
      </c>
      <c r="Y448" s="495">
        <f>W445+W446+W447</f>
        <v>15729.454679478453</v>
      </c>
      <c r="Z448" s="153" t="s">
        <v>677</v>
      </c>
    </row>
    <row r="449" spans="1:26" s="157" customFormat="1" x14ac:dyDescent="0.25">
      <c r="A449" s="461"/>
      <c r="B449" s="135" t="s">
        <v>864</v>
      </c>
      <c r="C449" s="599"/>
      <c r="E449" s="760">
        <v>185</v>
      </c>
      <c r="F449" s="1193">
        <v>310</v>
      </c>
      <c r="G449" s="1194">
        <v>280</v>
      </c>
      <c r="H449" s="1194">
        <v>295</v>
      </c>
      <c r="I449" s="1194">
        <v>205</v>
      </c>
      <c r="J449" s="1194">
        <v>255</v>
      </c>
      <c r="K449" s="1194">
        <v>345</v>
      </c>
      <c r="L449" s="1195">
        <v>300</v>
      </c>
      <c r="M449" s="750">
        <v>330</v>
      </c>
      <c r="N449" s="750">
        <v>150</v>
      </c>
      <c r="O449" s="750">
        <v>90</v>
      </c>
      <c r="P449" s="750">
        <v>85</v>
      </c>
      <c r="Q449" s="730"/>
      <c r="T449" s="141">
        <f t="shared" si="18"/>
        <v>2830</v>
      </c>
      <c r="U449" s="188" t="s">
        <v>379</v>
      </c>
      <c r="W449" s="141">
        <f>T449*748</f>
        <v>2116840</v>
      </c>
      <c r="X449" s="188" t="s">
        <v>346</v>
      </c>
    </row>
    <row r="450" spans="1:26" s="157" customFormat="1" x14ac:dyDescent="0.25">
      <c r="A450" s="461"/>
      <c r="B450" s="135" t="s">
        <v>324</v>
      </c>
      <c r="C450" s="599"/>
      <c r="E450" s="171">
        <v>10992.258178710501</v>
      </c>
      <c r="F450" s="731">
        <v>11849.507034301729</v>
      </c>
      <c r="G450" s="731">
        <v>12006.27371215866</v>
      </c>
      <c r="H450" s="731">
        <v>11461.060272216768</v>
      </c>
      <c r="I450" s="731">
        <v>10591.925659179233</v>
      </c>
      <c r="J450" s="731">
        <v>11878.419311523847</v>
      </c>
      <c r="K450" s="731">
        <v>11617.726562499569</v>
      </c>
      <c r="L450" s="731">
        <v>11474.134277344179</v>
      </c>
      <c r="M450" s="731">
        <v>11365.054321288651</v>
      </c>
      <c r="N450" s="731">
        <v>10163.425448331573</v>
      </c>
      <c r="O450" s="731">
        <v>10835.304504394546</v>
      </c>
      <c r="P450" s="731">
        <v>11111.382568358938</v>
      </c>
      <c r="Q450" s="1162"/>
      <c r="T450" s="171">
        <f>SUM(E450:P450)</f>
        <v>135346.47185030818</v>
      </c>
      <c r="U450" s="188"/>
      <c r="W450" s="190">
        <f>T450</f>
        <v>135346.47185030818</v>
      </c>
      <c r="X450" s="188"/>
    </row>
    <row r="451" spans="1:26" s="157" customFormat="1" x14ac:dyDescent="0.25">
      <c r="A451" s="461"/>
      <c r="B451" s="144" t="s">
        <v>348</v>
      </c>
      <c r="C451" s="599"/>
      <c r="E451" s="171">
        <v>2038.7141891614638</v>
      </c>
      <c r="F451" s="731">
        <v>2325.2186215801021</v>
      </c>
      <c r="G451" s="731">
        <v>4166.3499803656259</v>
      </c>
      <c r="H451" s="731">
        <v>4708.8352369927197</v>
      </c>
      <c r="I451" s="731">
        <v>5576.5097022172013</v>
      </c>
      <c r="J451" s="731">
        <v>9451.7939200932269</v>
      </c>
      <c r="K451" s="731">
        <v>7953.9316651071622</v>
      </c>
      <c r="L451" s="731">
        <v>4515.0014957308522</v>
      </c>
      <c r="M451" s="731">
        <v>4244.0416609743725</v>
      </c>
      <c r="N451" s="731">
        <v>3638.4186754316652</v>
      </c>
      <c r="O451" s="731">
        <v>2449.8198316799785</v>
      </c>
      <c r="P451" s="731">
        <v>2108.9631014566289</v>
      </c>
      <c r="Q451" s="1162"/>
      <c r="T451" s="171">
        <f>SUM(E451:P451)</f>
        <v>53177.598080790987</v>
      </c>
      <c r="U451" s="188"/>
      <c r="W451" s="190">
        <f>T451</f>
        <v>53177.598080790987</v>
      </c>
      <c r="X451" s="188"/>
    </row>
    <row r="452" spans="1:26" s="157" customFormat="1" x14ac:dyDescent="0.25">
      <c r="A452" s="461"/>
      <c r="B452" s="195" t="s">
        <v>398</v>
      </c>
      <c r="C452" s="599"/>
      <c r="E452" s="171">
        <v>13109.937768554688</v>
      </c>
      <c r="F452" s="731">
        <v>11610.645717773437</v>
      </c>
      <c r="G452" s="731">
        <v>5475.5169433593755</v>
      </c>
      <c r="H452" s="731">
        <v>4110.75435546875</v>
      </c>
      <c r="I452" s="731">
        <v>4368.1488769531252</v>
      </c>
      <c r="J452" s="731">
        <v>1565.1379541015626</v>
      </c>
      <c r="K452" s="731">
        <v>2065.3499023437503</v>
      </c>
      <c r="L452" s="731">
        <v>4662.35107421875</v>
      </c>
      <c r="M452" s="731">
        <v>5239.5344482421879</v>
      </c>
      <c r="N452" s="731">
        <v>7840.9080664062503</v>
      </c>
      <c r="O452" s="731">
        <v>12412.529174804688</v>
      </c>
      <c r="P452" s="731">
        <v>15389.766088867187</v>
      </c>
      <c r="Q452" s="1162"/>
      <c r="T452" s="171">
        <f t="shared" si="18"/>
        <v>87850.580371093747</v>
      </c>
      <c r="U452" s="188"/>
      <c r="W452" s="190">
        <f>T452</f>
        <v>87850.580371093747</v>
      </c>
      <c r="X452" s="188"/>
    </row>
    <row r="453" spans="1:26" s="157" customFormat="1" ht="16.5" x14ac:dyDescent="0.35">
      <c r="A453" s="461"/>
      <c r="B453" s="195" t="s">
        <v>829</v>
      </c>
      <c r="C453" s="599"/>
      <c r="E453" s="1092">
        <v>735.37</v>
      </c>
      <c r="F453" s="731">
        <v>918.08</v>
      </c>
      <c r="G453" s="731">
        <v>823.2</v>
      </c>
      <c r="H453" s="731">
        <v>773.14</v>
      </c>
      <c r="I453" s="731">
        <v>520.20000000000005</v>
      </c>
      <c r="J453" s="731">
        <v>701.82</v>
      </c>
      <c r="K453" s="731">
        <v>763.72</v>
      </c>
      <c r="L453" s="731">
        <v>742.69</v>
      </c>
      <c r="M453" s="731">
        <v>832.05</v>
      </c>
      <c r="N453" s="731">
        <v>410.25</v>
      </c>
      <c r="O453" s="731">
        <v>567.77</v>
      </c>
      <c r="P453" s="731"/>
      <c r="Q453" s="1162"/>
      <c r="T453" s="171">
        <f>SUM(E453:P453)</f>
        <v>7788.2899999999991</v>
      </c>
      <c r="U453" s="188"/>
      <c r="W453" s="197">
        <f>T453</f>
        <v>7788.2899999999991</v>
      </c>
      <c r="X453" s="188"/>
      <c r="Y453" s="157" t="s">
        <v>38</v>
      </c>
    </row>
    <row r="454" spans="1:26" s="125" customFormat="1" x14ac:dyDescent="0.25">
      <c r="A454" s="461"/>
      <c r="B454" s="205"/>
      <c r="C454" s="152"/>
      <c r="E454" s="1182"/>
      <c r="F454" s="206"/>
      <c r="G454" s="202"/>
      <c r="H454" s="203"/>
      <c r="I454" s="203"/>
      <c r="J454" s="203"/>
      <c r="K454" s="203"/>
      <c r="L454" s="203"/>
      <c r="M454" s="203"/>
      <c r="N454" s="203"/>
      <c r="O454" s="203"/>
      <c r="P454" s="203"/>
      <c r="U454" s="126"/>
      <c r="W454" s="190">
        <f>SUM(W450:W452)</f>
        <v>276374.65030219289</v>
      </c>
      <c r="X454" s="450"/>
      <c r="Y454" s="157"/>
      <c r="Z454" s="157"/>
    </row>
    <row r="456" spans="1:26" s="128" customFormat="1" x14ac:dyDescent="0.25">
      <c r="A456" s="459">
        <v>47</v>
      </c>
      <c r="B456" s="127" t="s">
        <v>1009</v>
      </c>
      <c r="C456" s="173"/>
      <c r="S456" s="173"/>
      <c r="T456" s="127" t="s">
        <v>629</v>
      </c>
      <c r="W456" s="129"/>
      <c r="Y456" s="166"/>
      <c r="Z456" s="166"/>
    </row>
    <row r="457" spans="1:26" s="125" customFormat="1" x14ac:dyDescent="0.25">
      <c r="A457" s="461"/>
      <c r="B457" s="130" t="s">
        <v>337</v>
      </c>
      <c r="C457" s="131">
        <v>42156</v>
      </c>
      <c r="D457" s="131">
        <v>42186</v>
      </c>
      <c r="E457" s="131">
        <v>42217</v>
      </c>
      <c r="F457" s="131">
        <v>42248</v>
      </c>
      <c r="G457" s="131">
        <v>42278</v>
      </c>
      <c r="H457" s="131">
        <v>42309</v>
      </c>
      <c r="I457" s="131">
        <v>42339</v>
      </c>
      <c r="J457" s="131">
        <v>42370</v>
      </c>
      <c r="K457" s="131">
        <v>42401</v>
      </c>
      <c r="L457" s="131">
        <v>42430</v>
      </c>
      <c r="M457" s="131">
        <v>42461</v>
      </c>
      <c r="N457" s="131">
        <v>42491</v>
      </c>
      <c r="O457" s="131">
        <v>42522</v>
      </c>
      <c r="P457" s="131">
        <v>42552</v>
      </c>
      <c r="Q457" s="151">
        <v>42583</v>
      </c>
      <c r="R457" s="131">
        <v>42627</v>
      </c>
      <c r="S457" s="132"/>
      <c r="T457" s="133" t="s">
        <v>338</v>
      </c>
      <c r="U457" s="134" t="s">
        <v>339</v>
      </c>
      <c r="V457" s="132"/>
      <c r="W457" s="133" t="s">
        <v>338</v>
      </c>
      <c r="X457" s="134" t="s">
        <v>339</v>
      </c>
      <c r="Y457" s="157"/>
      <c r="Z457" s="157"/>
    </row>
    <row r="458" spans="1:26" s="125" customFormat="1" x14ac:dyDescent="0.25">
      <c r="A458" s="461"/>
      <c r="B458" s="135" t="s">
        <v>340</v>
      </c>
      <c r="C458" s="606"/>
      <c r="D458" s="136">
        <v>87080</v>
      </c>
      <c r="E458" s="136">
        <v>66054</v>
      </c>
      <c r="F458" s="617">
        <v>71936</v>
      </c>
      <c r="G458" s="136">
        <v>55367</v>
      </c>
      <c r="H458" s="136">
        <v>60814</v>
      </c>
      <c r="I458" s="136">
        <v>55142</v>
      </c>
      <c r="J458" s="136">
        <v>84371</v>
      </c>
      <c r="K458" s="136">
        <v>80199</v>
      </c>
      <c r="L458" s="136">
        <v>59713</v>
      </c>
      <c r="M458" s="136">
        <v>60841</v>
      </c>
      <c r="N458" s="136">
        <v>44681</v>
      </c>
      <c r="O458" s="136">
        <v>46658</v>
      </c>
      <c r="P458" s="174"/>
      <c r="Q458" s="174"/>
      <c r="R458" s="174"/>
      <c r="T458" s="140">
        <f>SUM(D458:O458)</f>
        <v>772856</v>
      </c>
      <c r="U458" s="138" t="s">
        <v>341</v>
      </c>
      <c r="V458" s="139"/>
      <c r="W458" s="140">
        <f>T458*3413/1000000</f>
        <v>2637.7575280000001</v>
      </c>
      <c r="X458" s="138" t="s">
        <v>342</v>
      </c>
      <c r="Y458" s="157"/>
      <c r="Z458" s="157"/>
    </row>
    <row r="459" spans="1:26" s="125" customFormat="1" x14ac:dyDescent="0.25">
      <c r="A459" s="461"/>
      <c r="B459" s="135" t="s">
        <v>372</v>
      </c>
      <c r="C459" s="606"/>
      <c r="D459" s="136">
        <v>451</v>
      </c>
      <c r="E459" s="136">
        <v>285</v>
      </c>
      <c r="F459" s="136">
        <v>482</v>
      </c>
      <c r="G459" s="136">
        <v>470</v>
      </c>
      <c r="H459" s="136">
        <v>586</v>
      </c>
      <c r="I459" s="136">
        <v>521</v>
      </c>
      <c r="J459" s="136">
        <v>378</v>
      </c>
      <c r="K459" s="136">
        <v>708</v>
      </c>
      <c r="L459" s="136">
        <v>676</v>
      </c>
      <c r="M459" s="136">
        <v>630</v>
      </c>
      <c r="N459" s="136">
        <v>499</v>
      </c>
      <c r="O459" s="136">
        <v>161</v>
      </c>
      <c r="P459" s="174"/>
      <c r="Q459" s="174"/>
      <c r="R459" s="174"/>
      <c r="T459" s="140">
        <f>SUM(D459:O459)</f>
        <v>5847</v>
      </c>
      <c r="U459" s="138" t="s">
        <v>354</v>
      </c>
      <c r="V459" s="139"/>
      <c r="W459" s="140">
        <f>T459*99976.124488/1000000</f>
        <v>584.56039988133602</v>
      </c>
      <c r="X459" s="138" t="s">
        <v>342</v>
      </c>
      <c r="Y459" s="495">
        <f>W458+W459</f>
        <v>3222.3179278813359</v>
      </c>
      <c r="Z459" s="153" t="s">
        <v>677</v>
      </c>
    </row>
    <row r="460" spans="1:26" s="125" customFormat="1" x14ac:dyDescent="0.25">
      <c r="A460" s="461"/>
      <c r="B460" s="135" t="s">
        <v>345</v>
      </c>
      <c r="C460" s="606"/>
      <c r="D460" s="141">
        <v>123420</v>
      </c>
      <c r="E460" s="1248">
        <v>98736</v>
      </c>
      <c r="F460" s="141">
        <v>168300</v>
      </c>
      <c r="G460" s="141">
        <v>189244</v>
      </c>
      <c r="H460" s="141">
        <v>202708</v>
      </c>
      <c r="I460" s="141">
        <v>132396</v>
      </c>
      <c r="J460" s="141">
        <v>45628</v>
      </c>
      <c r="K460" s="141">
        <v>191488</v>
      </c>
      <c r="L460" s="141">
        <v>178772</v>
      </c>
      <c r="M460" s="141">
        <v>179520</v>
      </c>
      <c r="N460" s="141">
        <v>160820</v>
      </c>
      <c r="O460" s="141">
        <v>5984</v>
      </c>
      <c r="P460" s="1641"/>
      <c r="Q460" s="178"/>
      <c r="R460" s="178"/>
      <c r="T460" s="140">
        <f>SUM(D460:O460)</f>
        <v>1677016</v>
      </c>
      <c r="U460" s="138" t="s">
        <v>346</v>
      </c>
      <c r="V460" s="139"/>
      <c r="W460" s="137">
        <f>T460</f>
        <v>1677016</v>
      </c>
      <c r="X460" s="138" t="s">
        <v>346</v>
      </c>
      <c r="Y460" s="157"/>
      <c r="Z460" s="157"/>
    </row>
    <row r="461" spans="1:26" s="125" customFormat="1" x14ac:dyDescent="0.25">
      <c r="A461" s="461"/>
      <c r="B461" s="135" t="s">
        <v>324</v>
      </c>
      <c r="C461" s="606"/>
      <c r="D461" s="142">
        <v>7073.86</v>
      </c>
      <c r="E461" s="142">
        <v>5781.09</v>
      </c>
      <c r="F461" s="142">
        <v>6135.4</v>
      </c>
      <c r="G461" s="142">
        <v>5150.7</v>
      </c>
      <c r="H461" s="142">
        <v>5485.92</v>
      </c>
      <c r="I461" s="142">
        <v>5136.8599999999997</v>
      </c>
      <c r="J461" s="142">
        <v>6910.1</v>
      </c>
      <c r="K461" s="142">
        <v>6645.51</v>
      </c>
      <c r="L461" s="142">
        <v>5393.3</v>
      </c>
      <c r="M461" s="142">
        <v>5462.25</v>
      </c>
      <c r="N461" s="142">
        <v>4474.4799999999996</v>
      </c>
      <c r="O461" s="142">
        <v>4595.32</v>
      </c>
      <c r="P461" s="176"/>
      <c r="Q461" s="176"/>
      <c r="R461" s="176"/>
      <c r="T461" s="156">
        <f>SUM(D461:O461)</f>
        <v>68244.790000000008</v>
      </c>
      <c r="U461" s="138"/>
      <c r="V461" s="139"/>
      <c r="W461" s="143">
        <f>T461</f>
        <v>68244.790000000008</v>
      </c>
      <c r="X461" s="138"/>
      <c r="Y461" s="157"/>
      <c r="Z461" s="157"/>
    </row>
    <row r="462" spans="1:26" s="125" customFormat="1" ht="16.5" x14ac:dyDescent="0.35">
      <c r="A462" s="461"/>
      <c r="B462" s="144" t="s">
        <v>374</v>
      </c>
      <c r="C462" s="607"/>
      <c r="D462" s="145">
        <v>361.68</v>
      </c>
      <c r="E462" s="145">
        <v>237.22</v>
      </c>
      <c r="F462" s="145">
        <v>384.92</v>
      </c>
      <c r="G462" s="145">
        <v>379.77</v>
      </c>
      <c r="H462" s="145">
        <v>467.28</v>
      </c>
      <c r="I462" s="145">
        <v>406.12</v>
      </c>
      <c r="J462" s="145">
        <v>298.86</v>
      </c>
      <c r="K462" s="145">
        <v>530.01</v>
      </c>
      <c r="L462" s="145">
        <v>507.13</v>
      </c>
      <c r="M462" s="145">
        <v>472.19</v>
      </c>
      <c r="N462" s="145">
        <v>388.46</v>
      </c>
      <c r="O462" s="145">
        <v>141.5</v>
      </c>
      <c r="P462" s="179"/>
      <c r="Q462" s="179"/>
      <c r="R462" s="179"/>
      <c r="T462" s="156">
        <f>SUM(D462:O462)</f>
        <v>4575.1399999999994</v>
      </c>
      <c r="U462" s="138"/>
      <c r="V462" s="139"/>
      <c r="W462" s="146">
        <f>T462</f>
        <v>4575.1399999999994</v>
      </c>
      <c r="X462" s="138"/>
      <c r="Y462" s="157"/>
      <c r="Z462" s="157"/>
    </row>
    <row r="463" spans="1:26" x14ac:dyDescent="0.25">
      <c r="W463" s="143">
        <f>SUM(W461:W462)</f>
        <v>72819.930000000008</v>
      </c>
      <c r="X463" s="138"/>
    </row>
    <row r="465" spans="1:26" s="128" customFormat="1" x14ac:dyDescent="0.25">
      <c r="A465" s="459">
        <v>48</v>
      </c>
      <c r="B465" s="127" t="s">
        <v>736</v>
      </c>
      <c r="C465" s="173"/>
      <c r="S465" s="173"/>
      <c r="T465" s="127" t="s">
        <v>630</v>
      </c>
      <c r="W465" s="129"/>
      <c r="Y465" s="166"/>
      <c r="Z465" s="166"/>
    </row>
    <row r="466" spans="1:26" s="125" customFormat="1" x14ac:dyDescent="0.25">
      <c r="A466" s="461"/>
      <c r="B466" s="130" t="s">
        <v>337</v>
      </c>
      <c r="C466" s="131">
        <v>42156</v>
      </c>
      <c r="D466" s="131">
        <v>42186</v>
      </c>
      <c r="E466" s="131">
        <v>42217</v>
      </c>
      <c r="F466" s="131">
        <v>42248</v>
      </c>
      <c r="G466" s="131">
        <v>42278</v>
      </c>
      <c r="H466" s="131">
        <v>42309</v>
      </c>
      <c r="I466" s="131">
        <v>42339</v>
      </c>
      <c r="J466" s="131">
        <v>42370</v>
      </c>
      <c r="K466" s="131">
        <v>42401</v>
      </c>
      <c r="L466" s="131">
        <v>42430</v>
      </c>
      <c r="M466" s="131">
        <v>42461</v>
      </c>
      <c r="N466" s="131">
        <v>42491</v>
      </c>
      <c r="O466" s="131">
        <v>42522</v>
      </c>
      <c r="P466" s="131">
        <v>42552</v>
      </c>
      <c r="Q466" s="151">
        <v>42583</v>
      </c>
      <c r="R466" s="131">
        <v>42627</v>
      </c>
      <c r="S466" s="132"/>
      <c r="T466" s="133" t="s">
        <v>338</v>
      </c>
      <c r="U466" s="134" t="s">
        <v>339</v>
      </c>
      <c r="V466" s="132"/>
      <c r="W466" s="133" t="s">
        <v>338</v>
      </c>
      <c r="X466" s="134" t="s">
        <v>339</v>
      </c>
      <c r="Y466" s="157"/>
      <c r="Z466" s="157"/>
    </row>
    <row r="467" spans="1:26" s="125" customFormat="1" x14ac:dyDescent="0.25">
      <c r="A467" s="461"/>
      <c r="B467" s="135" t="s">
        <v>340</v>
      </c>
      <c r="C467" s="606"/>
      <c r="D467" s="136">
        <v>34899</v>
      </c>
      <c r="E467" s="136">
        <v>35352</v>
      </c>
      <c r="F467" s="617">
        <v>42931</v>
      </c>
      <c r="G467" s="136">
        <v>35078</v>
      </c>
      <c r="H467" s="136">
        <v>40217</v>
      </c>
      <c r="I467" s="136">
        <v>37592</v>
      </c>
      <c r="J467" s="136">
        <v>55586</v>
      </c>
      <c r="K467" s="136">
        <v>4273.1400000000003</v>
      </c>
      <c r="L467" s="136">
        <v>39018</v>
      </c>
      <c r="M467" s="136">
        <v>36408</v>
      </c>
      <c r="N467" s="136">
        <v>28469</v>
      </c>
      <c r="O467" s="136">
        <v>34907</v>
      </c>
      <c r="P467" s="174"/>
      <c r="Q467" s="174"/>
      <c r="R467" s="174"/>
      <c r="T467" s="140">
        <f>SUM(D467:O467)</f>
        <v>424730.14</v>
      </c>
      <c r="U467" s="138" t="s">
        <v>341</v>
      </c>
      <c r="V467" s="139"/>
      <c r="W467" s="140">
        <f>T467*3413/1000000</f>
        <v>1449.60396782</v>
      </c>
      <c r="X467" s="138" t="s">
        <v>342</v>
      </c>
      <c r="Y467" s="157"/>
      <c r="Z467" s="157"/>
    </row>
    <row r="468" spans="1:26" s="125" customFormat="1" x14ac:dyDescent="0.25">
      <c r="A468" s="461"/>
      <c r="B468" s="135" t="s">
        <v>372</v>
      </c>
      <c r="C468" s="606"/>
      <c r="D468" s="136">
        <v>82</v>
      </c>
      <c r="E468" s="136">
        <v>74</v>
      </c>
      <c r="F468" s="136">
        <v>230</v>
      </c>
      <c r="G468" s="136">
        <v>242</v>
      </c>
      <c r="H468" s="136">
        <v>323</v>
      </c>
      <c r="I468" s="136">
        <v>302</v>
      </c>
      <c r="J468" s="136">
        <v>201</v>
      </c>
      <c r="K468" s="136">
        <v>406</v>
      </c>
      <c r="L468" s="136">
        <v>402</v>
      </c>
      <c r="M468" s="136">
        <v>355</v>
      </c>
      <c r="N468" s="136">
        <v>280</v>
      </c>
      <c r="O468" s="136">
        <v>107</v>
      </c>
      <c r="P468" s="174"/>
      <c r="Q468" s="174"/>
      <c r="R468" s="174"/>
      <c r="T468" s="140">
        <f>SUM(D468:O468)</f>
        <v>3004</v>
      </c>
      <c r="U468" s="138" t="s">
        <v>354</v>
      </c>
      <c r="V468" s="139"/>
      <c r="W468" s="140">
        <f>T468*99976.124488/1000000</f>
        <v>300.32827796195204</v>
      </c>
      <c r="X468" s="138" t="s">
        <v>342</v>
      </c>
      <c r="Y468" s="495">
        <f>W467+W468</f>
        <v>1749.9322457819521</v>
      </c>
      <c r="Z468" s="153" t="s">
        <v>677</v>
      </c>
    </row>
    <row r="469" spans="1:26" s="125" customFormat="1" x14ac:dyDescent="0.25">
      <c r="A469" s="461"/>
      <c r="B469" s="135" t="s">
        <v>345</v>
      </c>
      <c r="C469" s="606"/>
      <c r="D469" s="141">
        <v>2992</v>
      </c>
      <c r="E469" s="1248">
        <v>2992</v>
      </c>
      <c r="F469" s="141">
        <v>79288</v>
      </c>
      <c r="G469" s="141">
        <v>94996</v>
      </c>
      <c r="H469" s="141">
        <v>97240</v>
      </c>
      <c r="I469" s="141">
        <v>68816</v>
      </c>
      <c r="J469" s="141">
        <v>20944</v>
      </c>
      <c r="K469" s="141">
        <v>94248</v>
      </c>
      <c r="L469" s="141">
        <v>92004</v>
      </c>
      <c r="M469" s="141">
        <v>153340</v>
      </c>
      <c r="N469" s="141">
        <v>108460</v>
      </c>
      <c r="O469" s="141">
        <v>16456</v>
      </c>
      <c r="P469" s="1641"/>
      <c r="Q469" s="178"/>
      <c r="R469" s="178"/>
      <c r="T469" s="140">
        <f>SUM(D469:O469)</f>
        <v>831776</v>
      </c>
      <c r="U469" s="138" t="s">
        <v>346</v>
      </c>
      <c r="V469" s="139"/>
      <c r="W469" s="137">
        <f>T469</f>
        <v>831776</v>
      </c>
      <c r="X469" s="138" t="s">
        <v>346</v>
      </c>
      <c r="Y469" s="157"/>
      <c r="Z469" s="157"/>
    </row>
    <row r="470" spans="1:26" s="125" customFormat="1" x14ac:dyDescent="0.25">
      <c r="A470" s="461"/>
      <c r="B470" s="135" t="s">
        <v>324</v>
      </c>
      <c r="C470" s="606"/>
      <c r="D470" s="142">
        <v>3164.91</v>
      </c>
      <c r="E470" s="142">
        <v>3189.93</v>
      </c>
      <c r="F470" s="142">
        <v>3651.01</v>
      </c>
      <c r="G470" s="142">
        <v>3188.84</v>
      </c>
      <c r="H470" s="142">
        <v>3505.1</v>
      </c>
      <c r="I470" s="142">
        <v>3343.56</v>
      </c>
      <c r="J470" s="142">
        <v>4434.09</v>
      </c>
      <c r="K470" s="142">
        <v>144</v>
      </c>
      <c r="L470" s="142">
        <v>3415.07</v>
      </c>
      <c r="M470" s="142">
        <v>3255.53</v>
      </c>
      <c r="N470" s="142">
        <v>2770.26</v>
      </c>
      <c r="O470" s="142">
        <v>3163.79</v>
      </c>
      <c r="P470" s="176"/>
      <c r="Q470" s="176"/>
      <c r="R470" s="176"/>
      <c r="T470" s="156">
        <f>SUM(D470:O470)</f>
        <v>37226.090000000004</v>
      </c>
      <c r="U470" s="138"/>
      <c r="V470" s="139"/>
      <c r="W470" s="143">
        <f>T470</f>
        <v>37226.090000000004</v>
      </c>
      <c r="X470" s="138"/>
      <c r="Y470" s="157"/>
      <c r="Z470" s="157"/>
    </row>
    <row r="471" spans="1:26" s="125" customFormat="1" ht="16.5" x14ac:dyDescent="0.35">
      <c r="A471" s="461"/>
      <c r="B471" s="144" t="s">
        <v>374</v>
      </c>
      <c r="C471" s="607"/>
      <c r="D471" s="145">
        <v>85.02</v>
      </c>
      <c r="E471" s="145">
        <v>79.02</v>
      </c>
      <c r="F471" s="145">
        <v>195.98</v>
      </c>
      <c r="G471" s="145">
        <v>402.92</v>
      </c>
      <c r="H471" s="145">
        <v>268.12</v>
      </c>
      <c r="I471" s="145">
        <v>245.3</v>
      </c>
      <c r="J471" s="145">
        <v>169.94</v>
      </c>
      <c r="K471" s="145">
        <v>313.98</v>
      </c>
      <c r="L471" s="145">
        <v>311.11</v>
      </c>
      <c r="M471" s="145">
        <v>276.60000000000002</v>
      </c>
      <c r="N471" s="145">
        <v>228.31</v>
      </c>
      <c r="O471" s="145">
        <v>101.93</v>
      </c>
      <c r="P471" s="179"/>
      <c r="Q471" s="179"/>
      <c r="R471" s="179"/>
      <c r="T471" s="156">
        <f>SUM(D471:O471)</f>
        <v>2678.2299999999996</v>
      </c>
      <c r="U471" s="138"/>
      <c r="V471" s="139"/>
      <c r="W471" s="146">
        <f>T471</f>
        <v>2678.2299999999996</v>
      </c>
      <c r="X471" s="138"/>
      <c r="Y471" s="157"/>
      <c r="Z471" s="157"/>
    </row>
    <row r="472" spans="1:26" x14ac:dyDescent="0.25">
      <c r="W472" s="143">
        <f>SUM(W470:W471)</f>
        <v>39904.320000000007</v>
      </c>
      <c r="X472" s="138"/>
    </row>
    <row r="474" spans="1:26" s="128" customFormat="1" x14ac:dyDescent="0.25">
      <c r="A474" s="459">
        <v>49</v>
      </c>
      <c r="B474" s="127" t="s">
        <v>1440</v>
      </c>
      <c r="C474" s="173"/>
      <c r="S474" s="173"/>
      <c r="T474" s="127" t="s">
        <v>631</v>
      </c>
      <c r="W474" s="129"/>
      <c r="Y474" s="166"/>
      <c r="Z474" s="166"/>
    </row>
    <row r="475" spans="1:26" s="125" customFormat="1" x14ac:dyDescent="0.25">
      <c r="A475" s="461"/>
      <c r="B475" s="130" t="s">
        <v>337</v>
      </c>
      <c r="C475" s="131">
        <v>42156</v>
      </c>
      <c r="D475" s="131">
        <v>42186</v>
      </c>
      <c r="E475" s="131">
        <v>42217</v>
      </c>
      <c r="F475" s="131">
        <v>42248</v>
      </c>
      <c r="G475" s="131">
        <v>42278</v>
      </c>
      <c r="H475" s="131">
        <v>42309</v>
      </c>
      <c r="I475" s="131">
        <v>42339</v>
      </c>
      <c r="J475" s="131">
        <v>42370</v>
      </c>
      <c r="K475" s="131">
        <v>42401</v>
      </c>
      <c r="L475" s="131">
        <v>42430</v>
      </c>
      <c r="M475" s="131">
        <v>42461</v>
      </c>
      <c r="N475" s="131">
        <v>42491</v>
      </c>
      <c r="O475" s="131">
        <v>42522</v>
      </c>
      <c r="P475" s="131">
        <v>42552</v>
      </c>
      <c r="Q475" s="151">
        <v>42583</v>
      </c>
      <c r="R475" s="131">
        <v>42627</v>
      </c>
      <c r="S475" s="132"/>
      <c r="T475" s="133" t="s">
        <v>338</v>
      </c>
      <c r="U475" s="134" t="s">
        <v>339</v>
      </c>
      <c r="V475" s="132"/>
      <c r="W475" s="133" t="s">
        <v>338</v>
      </c>
      <c r="X475" s="134" t="s">
        <v>339</v>
      </c>
      <c r="Y475" s="157"/>
      <c r="Z475" s="157"/>
    </row>
    <row r="476" spans="1:26" s="125" customFormat="1" x14ac:dyDescent="0.25">
      <c r="A476" s="461"/>
      <c r="B476" s="135" t="s">
        <v>340</v>
      </c>
      <c r="C476" s="606"/>
      <c r="D476" s="136">
        <v>47471</v>
      </c>
      <c r="E476" s="136">
        <v>47413</v>
      </c>
      <c r="F476" s="617">
        <v>58833</v>
      </c>
      <c r="G476" s="136">
        <v>49656</v>
      </c>
      <c r="H476" s="136">
        <v>54502</v>
      </c>
      <c r="I476" s="136">
        <v>48126</v>
      </c>
      <c r="J476" s="136">
        <v>70496</v>
      </c>
      <c r="K476" s="136">
        <v>64777</v>
      </c>
      <c r="L476" s="136">
        <v>46794</v>
      </c>
      <c r="M476" s="136">
        <v>49320</v>
      </c>
      <c r="N476" s="136">
        <v>35860</v>
      </c>
      <c r="O476" s="136">
        <v>39368</v>
      </c>
      <c r="P476" s="174"/>
      <c r="Q476" s="174"/>
      <c r="R476" s="174"/>
      <c r="T476" s="140">
        <f>SUM(D476:O476)</f>
        <v>612616</v>
      </c>
      <c r="U476" s="138" t="s">
        <v>341</v>
      </c>
      <c r="V476" s="139"/>
      <c r="W476" s="140">
        <f>T476*3413/1000000</f>
        <v>2090.8584080000001</v>
      </c>
      <c r="X476" s="138" t="s">
        <v>342</v>
      </c>
      <c r="Y476" s="157"/>
      <c r="Z476" s="157"/>
    </row>
    <row r="477" spans="1:26" s="125" customFormat="1" x14ac:dyDescent="0.25">
      <c r="A477" s="461"/>
      <c r="B477" s="135" t="s">
        <v>372</v>
      </c>
      <c r="C477" s="606"/>
      <c r="D477" s="136">
        <v>143</v>
      </c>
      <c r="E477" s="136">
        <v>120</v>
      </c>
      <c r="F477" s="136">
        <v>397</v>
      </c>
      <c r="G477" s="136">
        <v>400</v>
      </c>
      <c r="H477" s="136">
        <v>486</v>
      </c>
      <c r="I477" s="136">
        <v>435</v>
      </c>
      <c r="J477" s="136">
        <v>311</v>
      </c>
      <c r="K477" s="136">
        <v>602</v>
      </c>
      <c r="L477" s="136">
        <v>575</v>
      </c>
      <c r="M477" s="136">
        <v>531</v>
      </c>
      <c r="N477" s="136">
        <v>396</v>
      </c>
      <c r="O477" s="136">
        <v>140</v>
      </c>
      <c r="P477" s="174"/>
      <c r="Q477" s="174"/>
      <c r="R477" s="174"/>
      <c r="T477" s="140">
        <f>SUM(D477:O477)</f>
        <v>4536</v>
      </c>
      <c r="U477" s="138" t="s">
        <v>354</v>
      </c>
      <c r="V477" s="139"/>
      <c r="W477" s="140">
        <f>T477*99976.124488/1000000</f>
        <v>453.49170067756802</v>
      </c>
      <c r="X477" s="138" t="s">
        <v>342</v>
      </c>
      <c r="Y477" s="495">
        <f>W476+W477</f>
        <v>2544.3501086775682</v>
      </c>
      <c r="Z477" s="153" t="s">
        <v>677</v>
      </c>
    </row>
    <row r="478" spans="1:26" s="125" customFormat="1" x14ac:dyDescent="0.25">
      <c r="A478" s="461"/>
      <c r="B478" s="135" t="s">
        <v>345</v>
      </c>
      <c r="C478" s="606"/>
      <c r="D478" s="141">
        <v>6732</v>
      </c>
      <c r="E478" s="1248">
        <v>17204</v>
      </c>
      <c r="F478" s="141">
        <v>153340</v>
      </c>
      <c r="G478" s="141">
        <v>169048</v>
      </c>
      <c r="H478" s="141">
        <v>183260</v>
      </c>
      <c r="I478" s="141">
        <v>117436</v>
      </c>
      <c r="J478" s="141">
        <v>39644</v>
      </c>
      <c r="K478" s="141">
        <v>169048</v>
      </c>
      <c r="L478" s="141">
        <v>166056</v>
      </c>
      <c r="M478" s="141">
        <v>171292</v>
      </c>
      <c r="N478" s="141">
        <v>148104</v>
      </c>
      <c r="O478" s="141">
        <v>4488</v>
      </c>
      <c r="P478" s="1641"/>
      <c r="Q478" s="178"/>
      <c r="R478" s="178"/>
      <c r="T478" s="140">
        <f>SUM(D478:O478)</f>
        <v>1345652</v>
      </c>
      <c r="U478" s="138" t="s">
        <v>346</v>
      </c>
      <c r="V478" s="139"/>
      <c r="W478" s="137">
        <f>T478</f>
        <v>1345652</v>
      </c>
      <c r="X478" s="138" t="s">
        <v>346</v>
      </c>
      <c r="Y478" s="157"/>
      <c r="Z478" s="157"/>
    </row>
    <row r="479" spans="1:26" s="125" customFormat="1" x14ac:dyDescent="0.25">
      <c r="A479" s="461"/>
      <c r="B479" s="135" t="s">
        <v>324</v>
      </c>
      <c r="C479" s="606"/>
      <c r="D479" s="142">
        <v>4231.5600000000004</v>
      </c>
      <c r="E479" s="142">
        <v>4224.3599999999997</v>
      </c>
      <c r="F479" s="142">
        <v>4918.76</v>
      </c>
      <c r="G479" s="142">
        <v>4382.7</v>
      </c>
      <c r="H479" s="142">
        <v>4680.93</v>
      </c>
      <c r="I479" s="142">
        <v>4288.54</v>
      </c>
      <c r="J479" s="142">
        <v>5643.88</v>
      </c>
      <c r="K479" s="142">
        <v>5289.3</v>
      </c>
      <c r="L479" s="142">
        <v>4187.09</v>
      </c>
      <c r="M479" s="142">
        <v>4341.49</v>
      </c>
      <c r="N479" s="142">
        <v>3518.75</v>
      </c>
      <c r="O479" s="142">
        <v>3733.18</v>
      </c>
      <c r="P479" s="176"/>
      <c r="Q479" s="176"/>
      <c r="R479" s="176"/>
      <c r="T479" s="156">
        <f>SUM(D479:O479)</f>
        <v>53440.540000000008</v>
      </c>
      <c r="U479" s="138"/>
      <c r="V479" s="139"/>
      <c r="W479" s="143">
        <f>T479</f>
        <v>53440.540000000008</v>
      </c>
      <c r="X479" s="138"/>
      <c r="Y479" s="157"/>
      <c r="Z479" s="157"/>
    </row>
    <row r="480" spans="1:26" s="125" customFormat="1" ht="16.5" x14ac:dyDescent="0.35">
      <c r="A480" s="461"/>
      <c r="B480" s="144" t="s">
        <v>374</v>
      </c>
      <c r="C480" s="607"/>
      <c r="D480" s="145">
        <v>130.75</v>
      </c>
      <c r="E480" s="145">
        <v>113.51</v>
      </c>
      <c r="F480" s="145">
        <v>321.19</v>
      </c>
      <c r="G480" s="145">
        <v>326.64999999999998</v>
      </c>
      <c r="H480" s="145">
        <v>391.56</v>
      </c>
      <c r="I480" s="145">
        <v>342.97</v>
      </c>
      <c r="J480" s="145">
        <v>250.06</v>
      </c>
      <c r="K480" s="145">
        <v>454.18</v>
      </c>
      <c r="L480" s="145">
        <v>434.87</v>
      </c>
      <c r="M480" s="145">
        <v>397.41</v>
      </c>
      <c r="N480" s="145">
        <v>313.14</v>
      </c>
      <c r="O480" s="145">
        <v>126.11</v>
      </c>
      <c r="P480" s="179"/>
      <c r="Q480" s="179"/>
      <c r="R480" s="179"/>
      <c r="T480" s="156">
        <f>SUM(D480:O480)</f>
        <v>3602.3999999999996</v>
      </c>
      <c r="U480" s="138"/>
      <c r="V480" s="139"/>
      <c r="W480" s="146">
        <f>T480</f>
        <v>3602.3999999999996</v>
      </c>
      <c r="X480" s="138"/>
      <c r="Y480" s="157"/>
      <c r="Z480" s="157"/>
    </row>
    <row r="481" spans="1:26" x14ac:dyDescent="0.25">
      <c r="W481" s="143">
        <f>SUM(W479:W480)</f>
        <v>57042.94000000001</v>
      </c>
      <c r="X481" s="138"/>
    </row>
    <row r="483" spans="1:26" s="128" customFormat="1" x14ac:dyDescent="0.25">
      <c r="A483" s="459">
        <v>50</v>
      </c>
      <c r="B483" s="127" t="s">
        <v>632</v>
      </c>
      <c r="C483" s="602"/>
      <c r="T483" s="127" t="s">
        <v>632</v>
      </c>
      <c r="U483" s="129"/>
      <c r="X483" s="129"/>
      <c r="Y483" s="166"/>
      <c r="Z483" s="166"/>
    </row>
    <row r="484" spans="1:26" s="125" customFormat="1" x14ac:dyDescent="0.25">
      <c r="A484" s="461"/>
      <c r="B484" s="130" t="s">
        <v>337</v>
      </c>
      <c r="C484" s="131">
        <v>42156</v>
      </c>
      <c r="D484" s="131">
        <v>42186</v>
      </c>
      <c r="E484" s="131">
        <v>42217</v>
      </c>
      <c r="F484" s="131">
        <v>42248</v>
      </c>
      <c r="G484" s="131">
        <v>42278</v>
      </c>
      <c r="H484" s="131">
        <v>42309</v>
      </c>
      <c r="I484" s="131">
        <v>42339</v>
      </c>
      <c r="J484" s="131">
        <v>42370</v>
      </c>
      <c r="K484" s="131">
        <v>42401</v>
      </c>
      <c r="L484" s="131">
        <v>42430</v>
      </c>
      <c r="M484" s="131">
        <v>42461</v>
      </c>
      <c r="N484" s="131">
        <v>42491</v>
      </c>
      <c r="O484" s="131">
        <v>42522</v>
      </c>
      <c r="P484" s="131">
        <v>42552</v>
      </c>
      <c r="Q484" s="151">
        <v>42583</v>
      </c>
      <c r="R484" s="131">
        <v>42627</v>
      </c>
      <c r="S484" s="132"/>
      <c r="T484" s="133" t="s">
        <v>338</v>
      </c>
      <c r="U484" s="134" t="s">
        <v>339</v>
      </c>
      <c r="V484" s="132"/>
      <c r="W484" s="133" t="s">
        <v>338</v>
      </c>
      <c r="X484" s="134" t="s">
        <v>339</v>
      </c>
      <c r="Y484" s="157"/>
      <c r="Z484" s="157"/>
    </row>
    <row r="485" spans="1:26" s="125" customFormat="1" x14ac:dyDescent="0.25">
      <c r="A485" s="461"/>
      <c r="B485" s="135" t="s">
        <v>340</v>
      </c>
      <c r="C485" s="606"/>
      <c r="D485" s="136">
        <v>36421</v>
      </c>
      <c r="E485" s="136">
        <v>49419.8</v>
      </c>
      <c r="F485" s="136">
        <v>52487</v>
      </c>
      <c r="G485" s="136">
        <v>51882</v>
      </c>
      <c r="H485" s="136">
        <v>46191</v>
      </c>
      <c r="I485" s="136">
        <v>36899</v>
      </c>
      <c r="J485" s="136">
        <v>49331</v>
      </c>
      <c r="K485" s="136">
        <v>46857</v>
      </c>
      <c r="L485" s="136">
        <v>50816</v>
      </c>
      <c r="M485" s="136">
        <v>52531</v>
      </c>
      <c r="N485" s="136">
        <v>28283</v>
      </c>
      <c r="O485" s="136">
        <v>29786</v>
      </c>
      <c r="P485" s="174"/>
      <c r="Q485" s="174"/>
      <c r="R485" s="174"/>
      <c r="T485" s="140">
        <f>SUM(D485:O485)</f>
        <v>530903.80000000005</v>
      </c>
      <c r="U485" s="138" t="s">
        <v>341</v>
      </c>
      <c r="V485" s="139"/>
      <c r="W485" s="140">
        <f>T485*3413/1000000</f>
        <v>1811.9746694</v>
      </c>
      <c r="X485" s="138" t="s">
        <v>342</v>
      </c>
      <c r="Y485" s="157"/>
      <c r="Z485" s="157"/>
    </row>
    <row r="486" spans="1:26" s="125" customFormat="1" x14ac:dyDescent="0.25">
      <c r="A486" s="461"/>
      <c r="B486" s="135" t="s">
        <v>1237</v>
      </c>
      <c r="C486" s="612"/>
      <c r="D486" s="160">
        <v>2198.5920000000001</v>
      </c>
      <c r="E486" s="160">
        <v>2148.672</v>
      </c>
      <c r="F486" s="160">
        <v>2502.3360000000002</v>
      </c>
      <c r="G486" s="160">
        <v>3130.3679999999999</v>
      </c>
      <c r="H486" s="160">
        <v>3577.9679999999998</v>
      </c>
      <c r="I486" s="160">
        <v>4276.3680000000004</v>
      </c>
      <c r="J486" s="160">
        <v>5428.4639999999999</v>
      </c>
      <c r="K486" s="160">
        <v>4584.0479999999998</v>
      </c>
      <c r="L486" s="160">
        <v>4105.5360000000001</v>
      </c>
      <c r="M486" s="160">
        <v>3380.8319999999999</v>
      </c>
      <c r="N486" s="160">
        <v>1681.7760000000001</v>
      </c>
      <c r="O486" s="160">
        <v>2077.8719999999998</v>
      </c>
      <c r="P486" s="456"/>
      <c r="Q486" s="456"/>
      <c r="R486" s="444"/>
      <c r="T486" s="140">
        <f t="shared" ref="T486:T491" si="19">SUM(D486:O486)</f>
        <v>39092.832000000002</v>
      </c>
      <c r="U486" s="138" t="s">
        <v>354</v>
      </c>
      <c r="V486" s="139"/>
      <c r="W486" s="140">
        <f>T486*99976.124488/1000000</f>
        <v>3908.3498386204701</v>
      </c>
      <c r="X486" s="138" t="s">
        <v>342</v>
      </c>
    </row>
    <row r="487" spans="1:26" s="125" customFormat="1" x14ac:dyDescent="0.25">
      <c r="A487" s="461"/>
      <c r="B487" s="135" t="s">
        <v>1236</v>
      </c>
      <c r="C487" s="612"/>
      <c r="D487" s="160">
        <v>72135.638100000011</v>
      </c>
      <c r="E487" s="160">
        <v>83933.668900000004</v>
      </c>
      <c r="F487" s="160">
        <v>63812.140600000006</v>
      </c>
      <c r="G487" s="160">
        <v>36902.633100000006</v>
      </c>
      <c r="H487" s="160">
        <v>24943.904000000002</v>
      </c>
      <c r="I487" s="160">
        <v>34815.630400000002</v>
      </c>
      <c r="J487" s="160">
        <v>32632.779400000003</v>
      </c>
      <c r="K487" s="160">
        <v>51648.355800000005</v>
      </c>
      <c r="L487" s="160">
        <v>44122.902400000006</v>
      </c>
      <c r="M487" s="160">
        <v>80607.512400000007</v>
      </c>
      <c r="N487" s="160">
        <v>67323.638400000011</v>
      </c>
      <c r="O487" s="160">
        <v>83869.467400000009</v>
      </c>
      <c r="P487" s="456"/>
      <c r="Q487" s="456"/>
      <c r="R487" s="444"/>
      <c r="T487" s="140">
        <f t="shared" si="19"/>
        <v>676748.27090000012</v>
      </c>
      <c r="U487" s="138" t="s">
        <v>341</v>
      </c>
      <c r="V487" s="139"/>
      <c r="W487" s="140">
        <f>T487*3413/1000000</f>
        <v>2309.7418485817002</v>
      </c>
      <c r="X487" s="138" t="s">
        <v>342</v>
      </c>
      <c r="Y487" s="495">
        <f>W485+W486+W487</f>
        <v>8030.0663566021703</v>
      </c>
      <c r="Z487" s="153" t="s">
        <v>677</v>
      </c>
    </row>
    <row r="488" spans="1:26" s="125" customFormat="1" x14ac:dyDescent="0.25">
      <c r="A488" s="461"/>
      <c r="B488" s="135" t="s">
        <v>864</v>
      </c>
      <c r="C488" s="606"/>
      <c r="D488" s="141">
        <v>206.02</v>
      </c>
      <c r="E488" s="141">
        <v>407.3</v>
      </c>
      <c r="F488" s="141">
        <v>545.46</v>
      </c>
      <c r="G488" s="141">
        <v>451.07</v>
      </c>
      <c r="H488" s="141">
        <v>436.15</v>
      </c>
      <c r="I488" s="141">
        <v>208.76</v>
      </c>
      <c r="J488" s="141">
        <v>509.03</v>
      </c>
      <c r="K488" s="141">
        <v>557.9</v>
      </c>
      <c r="L488" s="141">
        <v>322.89</v>
      </c>
      <c r="M488" s="141">
        <v>761.14</v>
      </c>
      <c r="N488" s="141">
        <v>852.68</v>
      </c>
      <c r="O488" s="141">
        <v>329.01</v>
      </c>
      <c r="P488" s="178"/>
      <c r="Q488" s="178"/>
      <c r="R488" s="178"/>
      <c r="T488" s="140">
        <f t="shared" si="19"/>
        <v>5587.4100000000008</v>
      </c>
      <c r="U488" s="138" t="s">
        <v>379</v>
      </c>
      <c r="V488" s="139"/>
      <c r="W488" s="137">
        <f>T488*748</f>
        <v>4179382.6800000006</v>
      </c>
      <c r="X488" s="138" t="s">
        <v>346</v>
      </c>
      <c r="Y488" s="157"/>
      <c r="Z488" s="157"/>
    </row>
    <row r="489" spans="1:26" s="125" customFormat="1" x14ac:dyDescent="0.25">
      <c r="A489" s="461"/>
      <c r="B489" s="135" t="s">
        <v>324</v>
      </c>
      <c r="C489" s="606"/>
      <c r="D489" s="142">
        <v>2593.1752000000001</v>
      </c>
      <c r="E489" s="142">
        <v>3518.6897600000002</v>
      </c>
      <c r="F489" s="142">
        <v>3737.0744</v>
      </c>
      <c r="G489" s="142">
        <v>3693.9983999999999</v>
      </c>
      <c r="H489" s="142">
        <v>3288.7991999999999</v>
      </c>
      <c r="I489" s="142">
        <v>2627.2087999999999</v>
      </c>
      <c r="J489" s="142">
        <v>3512.3672000000001</v>
      </c>
      <c r="K489" s="142">
        <v>3336.2183999999997</v>
      </c>
      <c r="L489" s="142">
        <v>3618.0992000000001</v>
      </c>
      <c r="M489" s="142">
        <v>3740.2071999999998</v>
      </c>
      <c r="N489" s="142">
        <v>2013.7495999999999</v>
      </c>
      <c r="O489" s="142">
        <v>2120.7631999999999</v>
      </c>
      <c r="P489" s="176"/>
      <c r="Q489" s="176"/>
      <c r="R489" s="176"/>
      <c r="T489" s="140">
        <f t="shared" si="19"/>
        <v>37800.350560000006</v>
      </c>
      <c r="U489" s="138"/>
      <c r="V489" s="139"/>
      <c r="W489" s="143">
        <f>T489</f>
        <v>37800.350560000006</v>
      </c>
      <c r="X489" s="138"/>
      <c r="Y489" s="157"/>
      <c r="Z489" s="157"/>
    </row>
    <row r="490" spans="1:26" s="125" customFormat="1" x14ac:dyDescent="0.25">
      <c r="A490" s="461"/>
      <c r="B490" s="144" t="s">
        <v>1238</v>
      </c>
      <c r="C490" s="611"/>
      <c r="D490" s="171">
        <v>881.59775999999999</v>
      </c>
      <c r="E490" s="145">
        <v>885.05808000000002</v>
      </c>
      <c r="F490" s="145">
        <v>961.99343999999996</v>
      </c>
      <c r="G490" s="145">
        <v>1166.1148799999999</v>
      </c>
      <c r="H490" s="145">
        <v>1070.6313600000001</v>
      </c>
      <c r="I490" s="145">
        <v>1816.2763200000002</v>
      </c>
      <c r="J490" s="145">
        <v>2313.5236800000002</v>
      </c>
      <c r="K490" s="145">
        <v>1876.5950399999999</v>
      </c>
      <c r="L490" s="145">
        <v>1489.01568</v>
      </c>
      <c r="M490" s="145">
        <v>1330.5984000000001</v>
      </c>
      <c r="N490" s="145">
        <v>701.98560000000009</v>
      </c>
      <c r="O490" s="145">
        <v>853.22400000000005</v>
      </c>
      <c r="P490" s="179"/>
      <c r="Q490" s="184"/>
      <c r="R490" s="444"/>
      <c r="T490" s="140">
        <f t="shared" si="19"/>
        <v>15346.614240000003</v>
      </c>
      <c r="U490" s="138"/>
      <c r="V490" s="139"/>
      <c r="W490" s="156">
        <f>T490</f>
        <v>15346.614240000003</v>
      </c>
      <c r="X490" s="138"/>
      <c r="Y490" s="157"/>
      <c r="Z490" s="157"/>
    </row>
    <row r="491" spans="1:26" s="125" customFormat="1" ht="16.5" x14ac:dyDescent="0.35">
      <c r="A491" s="461"/>
      <c r="B491" s="204" t="s">
        <v>1239</v>
      </c>
      <c r="C491" s="611"/>
      <c r="D491" s="171">
        <v>5136.0574327200011</v>
      </c>
      <c r="E491" s="145">
        <v>5976.0772256800001</v>
      </c>
      <c r="F491" s="145">
        <v>4543.4244107200002</v>
      </c>
      <c r="G491" s="145">
        <v>2627.4674767200004</v>
      </c>
      <c r="H491" s="145">
        <v>1776.0059648000001</v>
      </c>
      <c r="I491" s="145">
        <v>2478.8728844800003</v>
      </c>
      <c r="J491" s="145">
        <v>2323.4538932800001</v>
      </c>
      <c r="K491" s="145">
        <v>3677.3629329600003</v>
      </c>
      <c r="L491" s="145">
        <v>3141.5506508800004</v>
      </c>
      <c r="M491" s="145">
        <v>5739.2548828800009</v>
      </c>
      <c r="N491" s="145">
        <v>4793.4430540800004</v>
      </c>
      <c r="O491" s="145">
        <v>5971.5060788800001</v>
      </c>
      <c r="P491" s="179"/>
      <c r="Q491" s="184"/>
      <c r="R491" s="444"/>
      <c r="T491" s="140">
        <f t="shared" si="19"/>
        <v>48184.476888079997</v>
      </c>
      <c r="U491" s="138"/>
      <c r="V491" s="139"/>
      <c r="W491" s="597">
        <f>T491</f>
        <v>48184.476888079997</v>
      </c>
      <c r="X491" s="138"/>
      <c r="Y491" s="157"/>
      <c r="Z491" s="157"/>
    </row>
    <row r="492" spans="1:26" x14ac:dyDescent="0.25">
      <c r="W492" s="143">
        <f>SUM(W489:W491)</f>
        <v>101331.44168808</v>
      </c>
      <c r="X492" s="138"/>
    </row>
    <row r="494" spans="1:26" s="460" customFormat="1" x14ac:dyDescent="0.25">
      <c r="A494" s="462">
        <v>51</v>
      </c>
      <c r="B494" s="460" t="s">
        <v>634</v>
      </c>
      <c r="C494" s="462"/>
      <c r="T494" s="460" t="s">
        <v>634</v>
      </c>
      <c r="Y494" s="666"/>
      <c r="Z494" s="666"/>
    </row>
    <row r="495" spans="1:26" s="125" customFormat="1" x14ac:dyDescent="0.25">
      <c r="A495" s="461"/>
      <c r="B495" s="130" t="s">
        <v>337</v>
      </c>
      <c r="C495" s="131">
        <v>42156</v>
      </c>
      <c r="D495" s="131">
        <v>42186</v>
      </c>
      <c r="E495" s="131">
        <v>42217</v>
      </c>
      <c r="F495" s="131">
        <v>42248</v>
      </c>
      <c r="G495" s="131">
        <v>42278</v>
      </c>
      <c r="H495" s="131">
        <v>42309</v>
      </c>
      <c r="I495" s="131">
        <v>42339</v>
      </c>
      <c r="J495" s="131">
        <v>42370</v>
      </c>
      <c r="K495" s="131">
        <v>42401</v>
      </c>
      <c r="L495" s="131">
        <v>42430</v>
      </c>
      <c r="M495" s="131">
        <v>42461</v>
      </c>
      <c r="N495" s="131">
        <v>42491</v>
      </c>
      <c r="O495" s="131">
        <v>42522</v>
      </c>
      <c r="P495" s="131">
        <v>42552</v>
      </c>
      <c r="Q495" s="151">
        <v>42583</v>
      </c>
      <c r="R495" s="131">
        <v>42627</v>
      </c>
      <c r="S495" s="132"/>
      <c r="T495" s="133" t="s">
        <v>338</v>
      </c>
      <c r="U495" s="134" t="s">
        <v>339</v>
      </c>
      <c r="V495" s="132"/>
      <c r="W495" s="133" t="s">
        <v>338</v>
      </c>
      <c r="X495" s="134" t="s">
        <v>339</v>
      </c>
      <c r="Y495" s="157"/>
      <c r="Z495" s="157"/>
    </row>
    <row r="496" spans="1:26" s="125" customFormat="1" x14ac:dyDescent="0.25">
      <c r="A496" s="461"/>
      <c r="B496" s="135" t="s">
        <v>340</v>
      </c>
      <c r="C496" s="1819">
        <v>402725</v>
      </c>
      <c r="D496" s="136">
        <v>382700</v>
      </c>
      <c r="E496" s="136">
        <v>391650</v>
      </c>
      <c r="F496" s="136">
        <v>307450</v>
      </c>
      <c r="G496" s="136">
        <v>295100</v>
      </c>
      <c r="H496" s="136">
        <v>297825</v>
      </c>
      <c r="I496" s="136">
        <v>303025</v>
      </c>
      <c r="J496" s="136">
        <v>227825</v>
      </c>
      <c r="K496" s="136">
        <v>301550</v>
      </c>
      <c r="L496" s="136">
        <v>301125</v>
      </c>
      <c r="M496" s="136">
        <v>337450</v>
      </c>
      <c r="N496" s="136">
        <v>358325</v>
      </c>
      <c r="O496" s="174"/>
      <c r="P496" s="174"/>
      <c r="Q496" s="174"/>
      <c r="R496" s="174"/>
      <c r="T496" s="140">
        <f>SUM(C496:N496)</f>
        <v>3906750</v>
      </c>
      <c r="U496" s="138" t="s">
        <v>341</v>
      </c>
      <c r="V496" s="139"/>
      <c r="W496" s="140">
        <f>T496*3413/1000000</f>
        <v>13333.73775</v>
      </c>
      <c r="X496" s="138" t="s">
        <v>342</v>
      </c>
      <c r="Y496" s="157"/>
      <c r="Z496" s="157"/>
    </row>
    <row r="497" spans="1:26" s="125" customFormat="1" x14ac:dyDescent="0.25">
      <c r="A497" s="461"/>
      <c r="B497" s="135" t="s">
        <v>372</v>
      </c>
      <c r="C497" s="1819">
        <v>10246</v>
      </c>
      <c r="D497" s="136">
        <v>10824</v>
      </c>
      <c r="E497" s="136">
        <v>9645</v>
      </c>
      <c r="F497" s="136">
        <v>10015</v>
      </c>
      <c r="G497" s="136">
        <v>12258</v>
      </c>
      <c r="H497" s="136">
        <v>12572</v>
      </c>
      <c r="I497" s="136">
        <v>13897</v>
      </c>
      <c r="J497" s="136">
        <v>18428</v>
      </c>
      <c r="K497" s="136">
        <v>15704</v>
      </c>
      <c r="L497" s="136">
        <v>15110</v>
      </c>
      <c r="M497" s="136">
        <v>12862</v>
      </c>
      <c r="N497" s="136">
        <v>10686</v>
      </c>
      <c r="O497" s="174"/>
      <c r="P497" s="174"/>
      <c r="Q497" s="174"/>
      <c r="R497" s="174"/>
      <c r="T497" s="140">
        <f>SUM(C497:N497)</f>
        <v>152247</v>
      </c>
      <c r="U497" s="138" t="s">
        <v>354</v>
      </c>
      <c r="V497" s="139"/>
      <c r="W497" s="140">
        <f>T497*99976.124488/1000000</f>
        <v>15221.065024924535</v>
      </c>
      <c r="X497" s="138" t="s">
        <v>342</v>
      </c>
      <c r="Y497" s="495">
        <f>W496+W497</f>
        <v>28554.802774924538</v>
      </c>
      <c r="Z497" s="1323" t="s">
        <v>342</v>
      </c>
    </row>
    <row r="498" spans="1:26" s="125" customFormat="1" x14ac:dyDescent="0.25">
      <c r="A498" s="461"/>
      <c r="B498" s="135" t="s">
        <v>864</v>
      </c>
      <c r="C498" s="1819">
        <v>593</v>
      </c>
      <c r="D498" s="141">
        <v>593</v>
      </c>
      <c r="E498" s="141">
        <v>805</v>
      </c>
      <c r="F498" s="141">
        <v>559</v>
      </c>
      <c r="G498" s="141">
        <v>559</v>
      </c>
      <c r="H498" s="141">
        <v>345</v>
      </c>
      <c r="I498" s="141">
        <v>345</v>
      </c>
      <c r="J498" s="141">
        <v>284</v>
      </c>
      <c r="K498" s="141">
        <v>284</v>
      </c>
      <c r="L498" s="141">
        <v>305</v>
      </c>
      <c r="M498" s="141">
        <v>305</v>
      </c>
      <c r="N498" s="141">
        <v>510</v>
      </c>
      <c r="O498" s="178"/>
      <c r="P498" s="178"/>
      <c r="Q498" s="178"/>
      <c r="R498" s="178"/>
      <c r="T498" s="140">
        <f>SUM(C498:N498)</f>
        <v>5487</v>
      </c>
      <c r="U498" s="138" t="s">
        <v>379</v>
      </c>
      <c r="V498" s="139"/>
      <c r="W498" s="137">
        <f>T498*748</f>
        <v>4104276</v>
      </c>
      <c r="X498" s="138" t="s">
        <v>346</v>
      </c>
      <c r="Z498" s="157"/>
    </row>
    <row r="499" spans="1:26" s="125" customFormat="1" x14ac:dyDescent="0.25">
      <c r="A499" s="461"/>
      <c r="B499" s="135" t="s">
        <v>324</v>
      </c>
      <c r="C499" s="1181">
        <v>30185.84</v>
      </c>
      <c r="D499" s="142">
        <v>29058.39</v>
      </c>
      <c r="E499" s="142">
        <v>29743.3</v>
      </c>
      <c r="F499" s="142">
        <v>22657.74</v>
      </c>
      <c r="G499" s="142">
        <v>21425.02</v>
      </c>
      <c r="H499" s="142">
        <v>20909.88</v>
      </c>
      <c r="I499" s="142">
        <v>19677.22</v>
      </c>
      <c r="J499" s="142">
        <v>16754.240000000002</v>
      </c>
      <c r="K499" s="142">
        <v>20472.96</v>
      </c>
      <c r="L499" s="142">
        <v>20183.689999999999</v>
      </c>
      <c r="M499" s="142">
        <v>23005.53</v>
      </c>
      <c r="N499" s="142">
        <v>25594.84</v>
      </c>
      <c r="O499" s="176"/>
      <c r="P499" s="176"/>
      <c r="Q499" s="176"/>
      <c r="R499" s="176"/>
      <c r="T499" s="156">
        <f>SUM(C499:N499)</f>
        <v>279668.65000000002</v>
      </c>
      <c r="U499" s="138"/>
      <c r="V499" s="139"/>
      <c r="W499" s="143">
        <f>T499</f>
        <v>279668.65000000002</v>
      </c>
      <c r="X499" s="138"/>
      <c r="Y499" s="157"/>
      <c r="Z499" s="157"/>
    </row>
    <row r="500" spans="1:26" s="125" customFormat="1" ht="16.5" x14ac:dyDescent="0.35">
      <c r="A500" s="461"/>
      <c r="B500" s="144" t="s">
        <v>374</v>
      </c>
      <c r="C500" s="1181">
        <v>7600.68</v>
      </c>
      <c r="D500" s="145">
        <v>8138.83</v>
      </c>
      <c r="E500" s="145">
        <v>7254.87</v>
      </c>
      <c r="F500" s="145">
        <v>7532.28</v>
      </c>
      <c r="G500" s="145">
        <v>9213.9599999999991</v>
      </c>
      <c r="H500" s="145">
        <v>9240.74</v>
      </c>
      <c r="I500" s="145">
        <v>10257.219999999999</v>
      </c>
      <c r="J500" s="145">
        <v>13219.12</v>
      </c>
      <c r="K500" s="145">
        <v>10073.26</v>
      </c>
      <c r="L500" s="145">
        <v>10365.370000000001</v>
      </c>
      <c r="M500" s="145">
        <v>9408.26</v>
      </c>
      <c r="N500" s="145">
        <v>7016.14</v>
      </c>
      <c r="O500" s="179"/>
      <c r="P500" s="179"/>
      <c r="Q500" s="179"/>
      <c r="R500" s="179"/>
      <c r="T500" s="156">
        <f t="shared" ref="T500" si="20">SUM(C500:N500)</f>
        <v>109320.72999999998</v>
      </c>
      <c r="U500" s="138"/>
      <c r="V500" s="139"/>
      <c r="W500" s="146">
        <f>T500</f>
        <v>109320.72999999998</v>
      </c>
      <c r="X500" s="138"/>
      <c r="Y500" s="157"/>
      <c r="Z500" s="157"/>
    </row>
    <row r="501" spans="1:26" x14ac:dyDescent="0.25">
      <c r="W501" s="143">
        <f>SUM(W499:W500)</f>
        <v>388989.38</v>
      </c>
      <c r="X501" s="138"/>
    </row>
    <row r="503" spans="1:26" s="128" customFormat="1" x14ac:dyDescent="0.25">
      <c r="A503" s="459">
        <v>52</v>
      </c>
      <c r="B503" s="127" t="s">
        <v>635</v>
      </c>
      <c r="C503" s="602"/>
      <c r="T503" s="1344" t="s">
        <v>635</v>
      </c>
      <c r="U503" s="129"/>
      <c r="X503" s="129"/>
      <c r="Y503" s="166"/>
      <c r="Z503" s="166"/>
    </row>
    <row r="504" spans="1:26" s="125" customFormat="1" x14ac:dyDescent="0.25">
      <c r="A504" s="461"/>
      <c r="B504" s="130" t="s">
        <v>337</v>
      </c>
      <c r="C504" s="131">
        <v>42156</v>
      </c>
      <c r="D504" s="131">
        <v>42186</v>
      </c>
      <c r="E504" s="131">
        <v>42217</v>
      </c>
      <c r="F504" s="131">
        <v>42248</v>
      </c>
      <c r="G504" s="131">
        <v>42278</v>
      </c>
      <c r="H504" s="131">
        <v>42309</v>
      </c>
      <c r="I504" s="131">
        <v>42339</v>
      </c>
      <c r="J504" s="131">
        <v>42370</v>
      </c>
      <c r="K504" s="131">
        <v>42401</v>
      </c>
      <c r="L504" s="131">
        <v>42430</v>
      </c>
      <c r="M504" s="131">
        <v>42461</v>
      </c>
      <c r="N504" s="131">
        <v>42491</v>
      </c>
      <c r="O504" s="131">
        <v>42522</v>
      </c>
      <c r="P504" s="131">
        <v>42552</v>
      </c>
      <c r="Q504" s="131">
        <v>42583</v>
      </c>
      <c r="R504" s="131">
        <v>42627</v>
      </c>
      <c r="S504" s="132"/>
      <c r="T504" s="133" t="s">
        <v>338</v>
      </c>
      <c r="U504" s="134" t="s">
        <v>339</v>
      </c>
      <c r="V504" s="132"/>
      <c r="W504" s="133" t="s">
        <v>338</v>
      </c>
      <c r="X504" s="134" t="s">
        <v>339</v>
      </c>
      <c r="Y504" s="157"/>
      <c r="Z504" s="157"/>
    </row>
    <row r="505" spans="1:26" s="125" customFormat="1" x14ac:dyDescent="0.25">
      <c r="A505" s="461"/>
      <c r="B505" s="135" t="s">
        <v>340</v>
      </c>
      <c r="C505" s="606"/>
      <c r="D505" s="174"/>
      <c r="E505" s="136">
        <v>43438</v>
      </c>
      <c r="F505" s="136">
        <v>32746</v>
      </c>
      <c r="G505" s="136">
        <v>46886</v>
      </c>
      <c r="H505" s="136">
        <v>38945</v>
      </c>
      <c r="I505" s="136">
        <v>44107</v>
      </c>
      <c r="J505" s="136">
        <v>33601</v>
      </c>
      <c r="K505" s="136">
        <v>34815</v>
      </c>
      <c r="L505" s="136">
        <v>43808</v>
      </c>
      <c r="M505" s="136">
        <v>40223</v>
      </c>
      <c r="N505" s="136">
        <v>31585</v>
      </c>
      <c r="O505" s="136">
        <v>36781</v>
      </c>
      <c r="P505" s="136">
        <v>38470</v>
      </c>
      <c r="Q505" s="174"/>
      <c r="R505" s="174"/>
      <c r="T505" s="140">
        <f>SUM(C505:S505)</f>
        <v>465405</v>
      </c>
      <c r="U505" s="138" t="s">
        <v>341</v>
      </c>
      <c r="V505" s="139"/>
      <c r="W505" s="140">
        <f>T505*3413/1000000</f>
        <v>1588.427265</v>
      </c>
      <c r="X505" s="138" t="s">
        <v>342</v>
      </c>
      <c r="Y505" s="157"/>
      <c r="Z505" s="157"/>
    </row>
    <row r="506" spans="1:26" s="125" customFormat="1" x14ac:dyDescent="0.25">
      <c r="A506" s="461"/>
      <c r="B506" s="135" t="s">
        <v>1060</v>
      </c>
      <c r="C506" s="1595" t="s">
        <v>1388</v>
      </c>
      <c r="D506" s="174"/>
      <c r="E506" s="136"/>
      <c r="F506" s="136"/>
      <c r="G506" s="136"/>
      <c r="H506" s="136"/>
      <c r="I506" s="136"/>
      <c r="J506" s="136"/>
      <c r="K506" s="136"/>
      <c r="L506" s="136"/>
      <c r="M506" s="136"/>
      <c r="N506" s="136"/>
      <c r="O506" s="136"/>
      <c r="P506" s="136"/>
      <c r="Q506" s="174"/>
      <c r="R506" s="174"/>
      <c r="T506" s="140">
        <f>SUM(C506:S506)</f>
        <v>0</v>
      </c>
      <c r="U506" s="138" t="s">
        <v>344</v>
      </c>
      <c r="V506" s="139"/>
      <c r="W506" s="140">
        <f>T506/1000</f>
        <v>0</v>
      </c>
      <c r="X506" s="138" t="s">
        <v>342</v>
      </c>
      <c r="Y506" s="157"/>
      <c r="Z506" s="157"/>
    </row>
    <row r="507" spans="1:26" s="125" customFormat="1" x14ac:dyDescent="0.25">
      <c r="A507" s="461"/>
      <c r="B507" s="135" t="s">
        <v>1389</v>
      </c>
      <c r="C507" s="606"/>
      <c r="D507" s="444"/>
      <c r="E507" s="160">
        <v>24886.145833333299</v>
      </c>
      <c r="F507" s="160">
        <v>20179.374999999902</v>
      </c>
      <c r="G507" s="160">
        <v>11632.291666666801</v>
      </c>
      <c r="H507" s="160">
        <v>10289.986418786044</v>
      </c>
      <c r="I507" s="160">
        <v>10582.686629806672</v>
      </c>
      <c r="J507" s="160">
        <v>3631.0859787230124</v>
      </c>
      <c r="K507" s="160">
        <v>4267.5363444539953</v>
      </c>
      <c r="L507" s="160">
        <v>8632.7582800763375</v>
      </c>
      <c r="M507" s="160">
        <v>13117.630253658208</v>
      </c>
      <c r="N507" s="160">
        <v>17418.677793725848</v>
      </c>
      <c r="O507" s="160">
        <v>24730</v>
      </c>
      <c r="P507" s="160">
        <v>29075</v>
      </c>
      <c r="Q507" s="444"/>
      <c r="R507" s="444"/>
      <c r="T507" s="140">
        <f>SUM(E507:P507)</f>
        <v>178443.17419923012</v>
      </c>
      <c r="U507" s="138" t="s">
        <v>397</v>
      </c>
      <c r="V507" s="139"/>
      <c r="W507" s="160">
        <f>T507*0.012</f>
        <v>2141.3180903907614</v>
      </c>
      <c r="X507" s="138" t="s">
        <v>342</v>
      </c>
      <c r="Y507" s="495">
        <f>W505+W506+W507</f>
        <v>3729.7453553907617</v>
      </c>
      <c r="Z507" s="153" t="s">
        <v>342</v>
      </c>
    </row>
    <row r="508" spans="1:26" s="125" customFormat="1" x14ac:dyDescent="0.25">
      <c r="A508" s="461"/>
      <c r="B508" s="135" t="s">
        <v>345</v>
      </c>
      <c r="C508" s="1595" t="s">
        <v>1374</v>
      </c>
      <c r="D508" s="178"/>
      <c r="E508" s="141"/>
      <c r="F508" s="141"/>
      <c r="G508" s="141"/>
      <c r="H508" s="141"/>
      <c r="I508" s="141"/>
      <c r="J508" s="141"/>
      <c r="K508" s="141"/>
      <c r="L508" s="141"/>
      <c r="M508" s="141"/>
      <c r="N508" s="141"/>
      <c r="O508" s="141"/>
      <c r="P508" s="141"/>
      <c r="Q508" s="178"/>
      <c r="R508" s="178"/>
      <c r="T508" s="140">
        <f>SUM(C508:S508)</f>
        <v>0</v>
      </c>
      <c r="U508" s="138" t="s">
        <v>346</v>
      </c>
      <c r="V508" s="139"/>
      <c r="W508" s="137">
        <f>T508</f>
        <v>0</v>
      </c>
      <c r="X508" s="138" t="s">
        <v>346</v>
      </c>
      <c r="Y508" s="157"/>
      <c r="Z508" s="157"/>
    </row>
    <row r="509" spans="1:26" s="125" customFormat="1" x14ac:dyDescent="0.25">
      <c r="A509" s="461"/>
      <c r="B509" s="135" t="s">
        <v>324</v>
      </c>
      <c r="C509" s="606"/>
      <c r="D509" s="176"/>
      <c r="E509" s="142">
        <v>3811.6844999999998</v>
      </c>
      <c r="F509" s="142">
        <v>2873.4614999999999</v>
      </c>
      <c r="G509" s="142">
        <v>4114.2465000000002</v>
      </c>
      <c r="H509" s="142">
        <v>3417.4237499999999</v>
      </c>
      <c r="I509" s="142">
        <v>3870.3892499999997</v>
      </c>
      <c r="J509" s="142">
        <v>2948.4877499999998</v>
      </c>
      <c r="K509" s="142">
        <v>3055.0162499999997</v>
      </c>
      <c r="L509" s="142">
        <v>3844.1519999999996</v>
      </c>
      <c r="M509" s="142">
        <v>3529.5682499999998</v>
      </c>
      <c r="N509" s="142">
        <v>2771.5837499999998</v>
      </c>
      <c r="O509" s="142">
        <v>3227.5327499999999</v>
      </c>
      <c r="P509" s="142">
        <v>3375.7424999999998</v>
      </c>
      <c r="Q509" s="176"/>
      <c r="R509" s="176"/>
      <c r="T509" s="143">
        <f>SUM(C509:S509)</f>
        <v>40839.28875</v>
      </c>
      <c r="U509" s="138"/>
      <c r="V509" s="139"/>
      <c r="W509" s="143">
        <f>T509</f>
        <v>40839.28875</v>
      </c>
      <c r="X509" s="138"/>
      <c r="Y509" s="157"/>
      <c r="Z509" s="157"/>
    </row>
    <row r="510" spans="1:26" s="125" customFormat="1" x14ac:dyDescent="0.25">
      <c r="A510" s="461"/>
      <c r="B510" s="144" t="s">
        <v>1058</v>
      </c>
      <c r="C510" s="1595" t="s">
        <v>1388</v>
      </c>
      <c r="D510" s="179"/>
      <c r="E510" s="145"/>
      <c r="F510" s="145"/>
      <c r="G510" s="145"/>
      <c r="H510" s="145"/>
      <c r="I510" s="145"/>
      <c r="J510" s="145"/>
      <c r="K510" s="145"/>
      <c r="L510" s="145"/>
      <c r="M510" s="145"/>
      <c r="N510" s="145"/>
      <c r="O510" s="145"/>
      <c r="P510" s="145"/>
      <c r="Q510" s="179"/>
      <c r="R510" s="179"/>
      <c r="T510" s="143">
        <f>SUM(C510:S510)</f>
        <v>0</v>
      </c>
      <c r="U510" s="138"/>
      <c r="V510" s="139"/>
      <c r="W510" s="143">
        <f>T510</f>
        <v>0</v>
      </c>
      <c r="X510" s="138"/>
      <c r="Y510" s="157"/>
      <c r="Z510" s="157"/>
    </row>
    <row r="511" spans="1:26" s="125" customFormat="1" ht="16.5" x14ac:dyDescent="0.35">
      <c r="A511" s="461"/>
      <c r="B511" s="144" t="s">
        <v>398</v>
      </c>
      <c r="C511" s="1595" t="s">
        <v>321</v>
      </c>
      <c r="D511" s="444"/>
      <c r="E511" s="145"/>
      <c r="F511" s="145"/>
      <c r="G511" s="145"/>
      <c r="H511" s="145"/>
      <c r="I511" s="145"/>
      <c r="J511" s="145"/>
      <c r="K511" s="145"/>
      <c r="L511" s="145"/>
      <c r="M511" s="145"/>
      <c r="N511" s="145"/>
      <c r="O511" s="145"/>
      <c r="P511" s="145"/>
      <c r="Q511" s="444"/>
      <c r="R511" s="444"/>
      <c r="T511" s="143">
        <f>SUM(E511:Q511)</f>
        <v>0</v>
      </c>
      <c r="U511" s="138"/>
      <c r="V511" s="139"/>
      <c r="W511" s="146">
        <f>T511</f>
        <v>0</v>
      </c>
      <c r="X511" s="138"/>
      <c r="Y511" s="157"/>
      <c r="Z511" s="157"/>
    </row>
    <row r="512" spans="1:26" x14ac:dyDescent="0.25">
      <c r="W512" s="143">
        <f>SUM(W509:W510)</f>
        <v>40839.28875</v>
      </c>
      <c r="X512" s="138"/>
    </row>
    <row r="514" spans="1:26" x14ac:dyDescent="0.25">
      <c r="A514" s="462">
        <v>53</v>
      </c>
      <c r="B514" s="666" t="s">
        <v>974</v>
      </c>
      <c r="T514" s="666" t="s">
        <v>974</v>
      </c>
    </row>
    <row r="515" spans="1:26" s="125" customFormat="1" x14ac:dyDescent="0.25">
      <c r="A515" s="461"/>
      <c r="B515" s="130" t="s">
        <v>337</v>
      </c>
      <c r="C515" s="131">
        <v>42156</v>
      </c>
      <c r="D515" s="131">
        <v>42186</v>
      </c>
      <c r="E515" s="131">
        <v>42217</v>
      </c>
      <c r="F515" s="131">
        <v>42248</v>
      </c>
      <c r="G515" s="131">
        <v>42278</v>
      </c>
      <c r="H515" s="131">
        <v>42309</v>
      </c>
      <c r="I515" s="131">
        <v>42339</v>
      </c>
      <c r="J515" s="131">
        <v>42370</v>
      </c>
      <c r="K515" s="131">
        <v>42401</v>
      </c>
      <c r="L515" s="131">
        <v>42430</v>
      </c>
      <c r="M515" s="131">
        <v>42461</v>
      </c>
      <c r="N515" s="131">
        <v>42491</v>
      </c>
      <c r="O515" s="131">
        <v>42522</v>
      </c>
      <c r="P515" s="131">
        <v>42552</v>
      </c>
      <c r="Q515" s="151">
        <v>42583</v>
      </c>
      <c r="R515" s="131">
        <v>42627</v>
      </c>
      <c r="S515" s="132"/>
      <c r="T515" s="133" t="s">
        <v>338</v>
      </c>
      <c r="U515" s="134" t="s">
        <v>339</v>
      </c>
      <c r="V515" s="132"/>
      <c r="W515" s="133" t="s">
        <v>338</v>
      </c>
      <c r="X515" s="134" t="s">
        <v>339</v>
      </c>
      <c r="Y515" s="157"/>
      <c r="Z515" s="157"/>
    </row>
    <row r="516" spans="1:26" s="157" customFormat="1" x14ac:dyDescent="0.25">
      <c r="A516" s="461"/>
      <c r="B516" s="135" t="s">
        <v>319</v>
      </c>
      <c r="C516" s="599"/>
      <c r="E516" s="1170">
        <v>48640.991210938068</v>
      </c>
      <c r="F516" s="1170">
        <v>49838.012695311932</v>
      </c>
      <c r="G516" s="1170">
        <v>49971.984863282043</v>
      </c>
      <c r="H516" s="1185">
        <v>47547.973632809997</v>
      </c>
      <c r="I516" s="1186">
        <v>44005.004882809997</v>
      </c>
      <c r="J516" s="1186">
        <v>47034.057617190003</v>
      </c>
      <c r="K516" s="1186">
        <v>44637.939453119994</v>
      </c>
      <c r="L516" s="1186">
        <v>45383.056640630006</v>
      </c>
      <c r="M516" s="1196">
        <v>45377.9296875</v>
      </c>
      <c r="N516" s="1196">
        <v>39505.981445309997</v>
      </c>
      <c r="O516" s="1196">
        <v>35999.0234375</v>
      </c>
      <c r="P516" s="756">
        <v>27633.056640630002</v>
      </c>
      <c r="Q516" s="174"/>
      <c r="T516" s="141">
        <f t="shared" ref="T516:T522" si="21">SUM(E516:P516)</f>
        <v>525575.01220703195</v>
      </c>
      <c r="U516" s="188" t="s">
        <v>341</v>
      </c>
      <c r="W516" s="140">
        <f>T516*3413/1000000</f>
        <v>1793.7875166626</v>
      </c>
      <c r="X516" s="138" t="s">
        <v>342</v>
      </c>
    </row>
    <row r="517" spans="1:26" s="157" customFormat="1" x14ac:dyDescent="0.25">
      <c r="A517" s="461"/>
      <c r="B517" s="135" t="s">
        <v>1137</v>
      </c>
      <c r="C517" s="599"/>
      <c r="E517" s="1188">
        <v>40.409856000000303</v>
      </c>
      <c r="F517" s="1188">
        <v>39.639808000000116</v>
      </c>
      <c r="G517" s="1188">
        <v>98.609920000000116</v>
      </c>
      <c r="H517" s="1188">
        <v>125.60025600000023</v>
      </c>
      <c r="I517" s="1188">
        <v>114.25971199999898</v>
      </c>
      <c r="J517" s="1188">
        <v>267.63059200000072</v>
      </c>
      <c r="K517" s="1188">
        <v>216.47974399999924</v>
      </c>
      <c r="L517" s="1188">
        <v>108.91008000000087</v>
      </c>
      <c r="M517" s="1198">
        <v>106</v>
      </c>
      <c r="N517" s="1198">
        <v>113.58003199999889</v>
      </c>
      <c r="O517" s="1198">
        <v>59.360255999999922</v>
      </c>
      <c r="P517" s="1198">
        <v>101.42976000000068</v>
      </c>
      <c r="Q517" s="174"/>
      <c r="T517" s="141">
        <f t="shared" si="21"/>
        <v>1391.910016</v>
      </c>
      <c r="U517" s="188" t="s">
        <v>1138</v>
      </c>
      <c r="W517" s="160">
        <f>T517</f>
        <v>1391.910016</v>
      </c>
      <c r="X517" s="138" t="s">
        <v>342</v>
      </c>
    </row>
    <row r="518" spans="1:26" s="157" customFormat="1" x14ac:dyDescent="0.25">
      <c r="A518" s="461"/>
      <c r="B518" s="153" t="s">
        <v>362</v>
      </c>
      <c r="C518" s="599"/>
      <c r="E518" s="1170">
        <v>461.84545898438</v>
      </c>
      <c r="F518" s="1170">
        <v>376.87109375</v>
      </c>
      <c r="G518" s="1170">
        <v>158.751953125</v>
      </c>
      <c r="H518" s="1170">
        <v>108.439453125</v>
      </c>
      <c r="I518" s="1170">
        <v>55.04638671875</v>
      </c>
      <c r="J518" s="1170">
        <v>37.6669921875</v>
      </c>
      <c r="K518" s="1170">
        <v>56.22607421875</v>
      </c>
      <c r="L518" s="1170">
        <v>130.2666015625</v>
      </c>
      <c r="M518" s="1197">
        <v>221.10498046875</v>
      </c>
      <c r="N518" s="1197">
        <v>297.3046875</v>
      </c>
      <c r="O518" s="756">
        <v>443.3623046875</v>
      </c>
      <c r="P518" s="756">
        <v>579.4775390625</v>
      </c>
      <c r="Q518" s="178"/>
      <c r="T518" s="141">
        <f t="shared" si="21"/>
        <v>2926.36352539063</v>
      </c>
      <c r="U518" s="188" t="s">
        <v>870</v>
      </c>
      <c r="W518" s="140">
        <f>T518*99976.124488/100000</f>
        <v>2925.6648411159617</v>
      </c>
      <c r="X518" s="138" t="s">
        <v>342</v>
      </c>
      <c r="Y518" s="495">
        <f>W516+W517+W518</f>
        <v>6111.362373778562</v>
      </c>
      <c r="Z518" s="153" t="s">
        <v>677</v>
      </c>
    </row>
    <row r="519" spans="1:26" s="157" customFormat="1" x14ac:dyDescent="0.25">
      <c r="A519" s="461"/>
      <c r="B519" s="135" t="s">
        <v>864</v>
      </c>
      <c r="C519" s="599"/>
      <c r="E519" s="1193">
        <v>271</v>
      </c>
      <c r="F519" s="1193">
        <v>215</v>
      </c>
      <c r="G519" s="1194">
        <v>137</v>
      </c>
      <c r="H519" s="1194">
        <v>132</v>
      </c>
      <c r="I519" s="1194">
        <v>107</v>
      </c>
      <c r="J519" s="1194">
        <v>103</v>
      </c>
      <c r="K519" s="1194">
        <v>120</v>
      </c>
      <c r="L519" s="1200">
        <v>105</v>
      </c>
      <c r="M519" s="1200">
        <v>106</v>
      </c>
      <c r="N519" s="1200">
        <v>65</v>
      </c>
      <c r="O519" s="1200">
        <v>32</v>
      </c>
      <c r="P519" s="1200">
        <v>33</v>
      </c>
      <c r="Q519" s="730"/>
      <c r="T519" s="141">
        <f t="shared" si="21"/>
        <v>1426</v>
      </c>
      <c r="U519" s="188" t="s">
        <v>379</v>
      </c>
      <c r="W519" s="141">
        <f>T519*748</f>
        <v>1066648</v>
      </c>
      <c r="X519" s="188" t="s">
        <v>346</v>
      </c>
    </row>
    <row r="520" spans="1:26" s="157" customFormat="1" x14ac:dyDescent="0.25">
      <c r="A520" s="461"/>
      <c r="B520" s="135" t="s">
        <v>324</v>
      </c>
      <c r="C520" s="599"/>
      <c r="E520" s="731">
        <v>4183.1252441406732</v>
      </c>
      <c r="F520" s="731">
        <v>4286.0690917968259</v>
      </c>
      <c r="G520" s="731">
        <v>4297.5906982422557</v>
      </c>
      <c r="H520" s="731">
        <v>4089.1257324216594</v>
      </c>
      <c r="I520" s="731">
        <v>3784.4304199216594</v>
      </c>
      <c r="J520" s="731">
        <v>4044.9289550783401</v>
      </c>
      <c r="K520" s="731">
        <v>3838.8627929683194</v>
      </c>
      <c r="L520" s="731">
        <v>3902.9428710941802</v>
      </c>
      <c r="M520" s="731">
        <v>3902.5019531249995</v>
      </c>
      <c r="N520" s="731">
        <v>3397.5144042966594</v>
      </c>
      <c r="O520" s="731">
        <v>3095.9160156249995</v>
      </c>
      <c r="P520" s="731">
        <v>2404.0759277348102</v>
      </c>
      <c r="Q520" s="1162"/>
      <c r="T520" s="141">
        <f t="shared" si="21"/>
        <v>45227.084106445385</v>
      </c>
      <c r="U520" s="188"/>
      <c r="W520" s="190">
        <f>T520</f>
        <v>45227.084106445385</v>
      </c>
      <c r="X520" s="188"/>
    </row>
    <row r="521" spans="1:26" s="157" customFormat="1" x14ac:dyDescent="0.25">
      <c r="A521" s="461"/>
      <c r="B521" s="144" t="s">
        <v>348</v>
      </c>
      <c r="C521" s="599"/>
      <c r="E521" s="731">
        <v>541.08797184000412</v>
      </c>
      <c r="F521" s="731">
        <v>530.77702912000154</v>
      </c>
      <c r="G521" s="731">
        <v>1320.3868288000017</v>
      </c>
      <c r="H521" s="731">
        <v>1681.7874278400031</v>
      </c>
      <c r="I521" s="731">
        <v>1529.9375436799864</v>
      </c>
      <c r="J521" s="731">
        <v>3583.5736268800097</v>
      </c>
      <c r="K521" s="731">
        <v>2898.66377215999</v>
      </c>
      <c r="L521" s="731">
        <v>1458.3059712000118</v>
      </c>
      <c r="M521" s="731">
        <v>1419.3400000000001</v>
      </c>
      <c r="N521" s="731">
        <v>1520.8366284799852</v>
      </c>
      <c r="O521" s="731">
        <v>794.833827839999</v>
      </c>
      <c r="P521" s="731">
        <v>1219.1857152000082</v>
      </c>
      <c r="Q521" s="1162"/>
      <c r="T521" s="141">
        <f t="shared" si="21"/>
        <v>18498.716343040003</v>
      </c>
      <c r="U521" s="188"/>
      <c r="W521" s="190">
        <f>T521</f>
        <v>18498.716343040003</v>
      </c>
      <c r="X521" s="188"/>
    </row>
    <row r="522" spans="1:26" s="157" customFormat="1" ht="16.5" x14ac:dyDescent="0.35">
      <c r="A522" s="461"/>
      <c r="B522" s="195" t="s">
        <v>398</v>
      </c>
      <c r="C522" s="599"/>
      <c r="E522" s="731">
        <v>6451.9810620117887</v>
      </c>
      <c r="F522" s="731">
        <v>5264.8891796875005</v>
      </c>
      <c r="G522" s="731">
        <v>2217.7647851562501</v>
      </c>
      <c r="H522" s="731">
        <v>1514.89916015625</v>
      </c>
      <c r="I522" s="731">
        <v>768.99802246093759</v>
      </c>
      <c r="J522" s="731">
        <v>526.207880859375</v>
      </c>
      <c r="K522" s="731">
        <v>785.47825683593749</v>
      </c>
      <c r="L522" s="731">
        <v>1819.8244238281252</v>
      </c>
      <c r="M522" s="731">
        <v>3088.8365771484378</v>
      </c>
      <c r="N522" s="731">
        <v>4153.3464843749998</v>
      </c>
      <c r="O522" s="731">
        <v>6193.7713964843751</v>
      </c>
      <c r="P522" s="731">
        <v>7504.234130859375</v>
      </c>
      <c r="Q522" s="1162"/>
      <c r="T522" s="141">
        <f t="shared" si="21"/>
        <v>40290.231359863355</v>
      </c>
      <c r="U522" s="188"/>
      <c r="W522" s="197">
        <f>T522</f>
        <v>40290.231359863355</v>
      </c>
      <c r="X522" s="188"/>
    </row>
    <row r="523" spans="1:26" s="125" customFormat="1" x14ac:dyDescent="0.25">
      <c r="A523" s="461"/>
      <c r="B523" s="205"/>
      <c r="C523" s="152"/>
      <c r="E523" s="201"/>
      <c r="F523" s="206"/>
      <c r="G523" s="202"/>
      <c r="H523" s="203"/>
      <c r="I523" s="203"/>
      <c r="J523" s="203"/>
      <c r="K523" s="203"/>
      <c r="L523" s="203"/>
      <c r="M523" s="203"/>
      <c r="N523" s="203"/>
      <c r="O523" s="203"/>
      <c r="P523" s="203"/>
      <c r="U523" s="126"/>
      <c r="W523" s="190">
        <f>SUM(W520:W522)</f>
        <v>104016.03180934874</v>
      </c>
      <c r="X523" s="450"/>
      <c r="Y523" s="157"/>
      <c r="Z523" s="157"/>
    </row>
    <row r="525" spans="1:26" s="666" customFormat="1" x14ac:dyDescent="0.25">
      <c r="A525" s="462">
        <v>54</v>
      </c>
      <c r="B525" s="666" t="s">
        <v>1413</v>
      </c>
      <c r="C525" s="930"/>
      <c r="T525" s="666" t="s">
        <v>1413</v>
      </c>
    </row>
    <row r="526" spans="1:26" s="125" customFormat="1" x14ac:dyDescent="0.25">
      <c r="A526" s="461"/>
      <c r="B526" s="130" t="s">
        <v>337</v>
      </c>
      <c r="C526" s="131">
        <v>42156</v>
      </c>
      <c r="D526" s="131">
        <v>42186</v>
      </c>
      <c r="E526" s="131">
        <v>42217</v>
      </c>
      <c r="F526" s="131">
        <v>42248</v>
      </c>
      <c r="G526" s="131">
        <v>42278</v>
      </c>
      <c r="H526" s="131">
        <v>42309</v>
      </c>
      <c r="I526" s="131">
        <v>42339</v>
      </c>
      <c r="J526" s="131">
        <v>42370</v>
      </c>
      <c r="K526" s="131">
        <v>42401</v>
      </c>
      <c r="L526" s="131">
        <v>42430</v>
      </c>
      <c r="M526" s="131">
        <v>42461</v>
      </c>
      <c r="N526" s="131">
        <v>42491</v>
      </c>
      <c r="O526" s="131">
        <v>42522</v>
      </c>
      <c r="P526" s="131">
        <v>42552</v>
      </c>
      <c r="Q526" s="151">
        <v>42583</v>
      </c>
      <c r="R526" s="131">
        <v>42627</v>
      </c>
      <c r="S526" s="132"/>
      <c r="T526" s="133" t="s">
        <v>338</v>
      </c>
      <c r="U526" s="134" t="s">
        <v>339</v>
      </c>
      <c r="V526" s="132"/>
      <c r="W526" s="133" t="s">
        <v>338</v>
      </c>
      <c r="X526" s="134" t="s">
        <v>339</v>
      </c>
      <c r="Y526" s="157"/>
      <c r="Z526" s="157"/>
    </row>
    <row r="527" spans="1:26" s="125" customFormat="1" x14ac:dyDescent="0.25">
      <c r="A527" s="461"/>
      <c r="B527" s="135" t="s">
        <v>340</v>
      </c>
      <c r="C527" s="606"/>
      <c r="D527" s="136">
        <v>54581</v>
      </c>
      <c r="E527" s="136">
        <v>60418</v>
      </c>
      <c r="F527" s="617">
        <v>77125</v>
      </c>
      <c r="G527" s="136">
        <v>63722</v>
      </c>
      <c r="H527" s="136">
        <v>69467</v>
      </c>
      <c r="I527" s="136">
        <v>62518</v>
      </c>
      <c r="J527" s="136">
        <v>86863</v>
      </c>
      <c r="K527" s="136">
        <v>85967</v>
      </c>
      <c r="L527" s="136">
        <v>67171</v>
      </c>
      <c r="M527" s="136">
        <v>71204</v>
      </c>
      <c r="N527" s="136">
        <v>59045</v>
      </c>
      <c r="O527" s="136">
        <v>75766</v>
      </c>
      <c r="P527" s="174"/>
      <c r="Q527" s="174"/>
      <c r="R527" s="174"/>
      <c r="T527" s="140">
        <f>SUM(D527:O527)</f>
        <v>833847</v>
      </c>
      <c r="U527" s="138" t="s">
        <v>341</v>
      </c>
      <c r="V527" s="139"/>
      <c r="W527" s="140">
        <f>T527*3413/1000000</f>
        <v>2845.9198110000002</v>
      </c>
      <c r="X527" s="138" t="s">
        <v>342</v>
      </c>
      <c r="Y527" s="157"/>
      <c r="Z527" s="157"/>
    </row>
    <row r="528" spans="1:26" s="125" customFormat="1" x14ac:dyDescent="0.25">
      <c r="A528" s="461"/>
      <c r="B528" s="135" t="s">
        <v>372</v>
      </c>
      <c r="C528" s="606"/>
      <c r="D528" s="136">
        <v>84</v>
      </c>
      <c r="E528" s="136">
        <v>80</v>
      </c>
      <c r="F528" s="136">
        <v>376</v>
      </c>
      <c r="G528" s="136">
        <v>395</v>
      </c>
      <c r="H528" s="136">
        <v>525</v>
      </c>
      <c r="I528" s="136">
        <v>490</v>
      </c>
      <c r="J528" s="136">
        <v>331</v>
      </c>
      <c r="K528" s="136">
        <v>682</v>
      </c>
      <c r="L528" s="136">
        <v>656</v>
      </c>
      <c r="M528" s="136">
        <v>590</v>
      </c>
      <c r="N528" s="136">
        <v>450</v>
      </c>
      <c r="O528" s="136">
        <v>374</v>
      </c>
      <c r="P528" s="174"/>
      <c r="Q528" s="174"/>
      <c r="R528" s="174"/>
      <c r="T528" s="140">
        <f>SUM(D528:O528)</f>
        <v>5033</v>
      </c>
      <c r="U528" s="138" t="s">
        <v>354</v>
      </c>
      <c r="V528" s="139"/>
      <c r="W528" s="140">
        <f>T528*99976.124488/1000000</f>
        <v>503.179834548104</v>
      </c>
      <c r="X528" s="138" t="s">
        <v>342</v>
      </c>
      <c r="Y528" s="495">
        <f>W527+W528</f>
        <v>3349.099645548104</v>
      </c>
      <c r="Z528" s="153" t="s">
        <v>677</v>
      </c>
    </row>
    <row r="529" spans="1:26" s="125" customFormat="1" x14ac:dyDescent="0.25">
      <c r="A529" s="461"/>
      <c r="B529" s="135" t="s">
        <v>345</v>
      </c>
      <c r="C529" s="606"/>
      <c r="D529" s="141">
        <v>5236</v>
      </c>
      <c r="E529" s="1248">
        <v>35904</v>
      </c>
      <c r="F529" s="141">
        <v>142120</v>
      </c>
      <c r="G529" s="141">
        <v>203456</v>
      </c>
      <c r="H529" s="141">
        <v>216920</v>
      </c>
      <c r="I529" s="141">
        <v>143616</v>
      </c>
      <c r="J529" s="141">
        <v>64328</v>
      </c>
      <c r="K529" s="141">
        <v>211684</v>
      </c>
      <c r="L529" s="141">
        <v>215424</v>
      </c>
      <c r="M529" s="141">
        <v>227392</v>
      </c>
      <c r="N529" s="141">
        <v>164560</v>
      </c>
      <c r="O529" s="141">
        <v>125664</v>
      </c>
      <c r="P529" s="1641"/>
      <c r="Q529" s="178"/>
      <c r="R529" s="178"/>
      <c r="T529" s="140">
        <f>SUM(D529:O529)</f>
        <v>1756304</v>
      </c>
      <c r="U529" s="138" t="s">
        <v>346</v>
      </c>
      <c r="V529" s="139"/>
      <c r="W529" s="137">
        <f>T529</f>
        <v>1756304</v>
      </c>
      <c r="X529" s="138" t="s">
        <v>346</v>
      </c>
      <c r="Y529" s="157"/>
      <c r="Z529" s="157"/>
    </row>
    <row r="530" spans="1:26" s="125" customFormat="1" x14ac:dyDescent="0.25">
      <c r="A530" s="461"/>
      <c r="B530" s="135" t="s">
        <v>324</v>
      </c>
      <c r="C530" s="606"/>
      <c r="D530" s="142">
        <v>5102.08</v>
      </c>
      <c r="E530" s="142">
        <v>5449.56</v>
      </c>
      <c r="F530" s="142">
        <v>6450.17</v>
      </c>
      <c r="G530" s="142">
        <v>5675.06</v>
      </c>
      <c r="H530" s="142">
        <v>6023.35</v>
      </c>
      <c r="I530" s="142">
        <v>5602.06</v>
      </c>
      <c r="J530" s="142">
        <v>7083.82</v>
      </c>
      <c r="K530" s="142">
        <v>7031.59</v>
      </c>
      <c r="L530" s="142">
        <v>5890.34</v>
      </c>
      <c r="M530" s="142">
        <v>6135.21</v>
      </c>
      <c r="N530" s="142">
        <v>5396.94</v>
      </c>
      <c r="O530" s="142">
        <v>6412.21</v>
      </c>
      <c r="P530" s="176"/>
      <c r="Q530" s="176"/>
      <c r="R530" s="176"/>
      <c r="T530" s="156">
        <f>SUM(D530:O530)</f>
        <v>72252.39</v>
      </c>
      <c r="U530" s="138"/>
      <c r="V530" s="139"/>
      <c r="W530" s="143">
        <f>T530</f>
        <v>72252.39</v>
      </c>
      <c r="X530" s="138"/>
      <c r="Y530" s="157"/>
      <c r="Z530" s="157"/>
    </row>
    <row r="531" spans="1:26" s="125" customFormat="1" ht="16.5" x14ac:dyDescent="0.35">
      <c r="A531" s="461"/>
      <c r="B531" s="144" t="s">
        <v>374</v>
      </c>
      <c r="C531" s="607"/>
      <c r="D531" s="145">
        <v>86.52</v>
      </c>
      <c r="E531" s="145">
        <v>83.52</v>
      </c>
      <c r="F531" s="145">
        <v>305.44</v>
      </c>
      <c r="G531" s="145">
        <v>322.74</v>
      </c>
      <c r="H531" s="145">
        <v>421.09</v>
      </c>
      <c r="I531" s="145">
        <v>383.35</v>
      </c>
      <c r="J531" s="145">
        <v>264.62</v>
      </c>
      <c r="K531" s="145">
        <v>511.42</v>
      </c>
      <c r="L531" s="145">
        <v>492.82</v>
      </c>
      <c r="M531" s="145">
        <v>443.88000000000005</v>
      </c>
      <c r="N531" s="145">
        <v>352.63</v>
      </c>
      <c r="O531" s="145">
        <v>297.55</v>
      </c>
      <c r="P531" s="179"/>
      <c r="Q531" s="179"/>
      <c r="R531" s="179"/>
      <c r="T531" s="156">
        <f>SUM(D531:O531)</f>
        <v>3965.5800000000004</v>
      </c>
      <c r="U531" s="138"/>
      <c r="V531" s="139"/>
      <c r="W531" s="146">
        <f>T531</f>
        <v>3965.5800000000004</v>
      </c>
      <c r="X531" s="138"/>
      <c r="Y531" s="157"/>
      <c r="Z531" s="157"/>
    </row>
    <row r="532" spans="1:26" x14ac:dyDescent="0.25">
      <c r="W532" s="143">
        <f>SUM(W530:W531)</f>
        <v>76217.97</v>
      </c>
      <c r="X532" s="138"/>
    </row>
    <row r="534" spans="1:26" x14ac:dyDescent="0.25">
      <c r="A534" s="462">
        <v>55</v>
      </c>
      <c r="B534" s="666" t="s">
        <v>979</v>
      </c>
      <c r="T534" s="666" t="s">
        <v>979</v>
      </c>
    </row>
    <row r="535" spans="1:26" s="125" customFormat="1" x14ac:dyDescent="0.25">
      <c r="A535" s="461"/>
      <c r="B535" s="130" t="s">
        <v>337</v>
      </c>
      <c r="C535" s="131">
        <v>42156</v>
      </c>
      <c r="D535" s="131">
        <v>42186</v>
      </c>
      <c r="E535" s="131">
        <v>42217</v>
      </c>
      <c r="F535" s="131">
        <v>42248</v>
      </c>
      <c r="G535" s="131">
        <v>42278</v>
      </c>
      <c r="H535" s="131">
        <v>42309</v>
      </c>
      <c r="I535" s="131">
        <v>42339</v>
      </c>
      <c r="J535" s="131">
        <v>42370</v>
      </c>
      <c r="K535" s="131">
        <v>42401</v>
      </c>
      <c r="L535" s="131">
        <v>42430</v>
      </c>
      <c r="M535" s="131">
        <v>42461</v>
      </c>
      <c r="N535" s="131">
        <v>42491</v>
      </c>
      <c r="O535" s="131">
        <v>42522</v>
      </c>
      <c r="P535" s="131">
        <v>42552</v>
      </c>
      <c r="Q535" s="151">
        <v>42583</v>
      </c>
      <c r="R535" s="131">
        <v>42627</v>
      </c>
      <c r="S535" s="132"/>
      <c r="T535" s="133" t="s">
        <v>338</v>
      </c>
      <c r="U535" s="134" t="s">
        <v>339</v>
      </c>
      <c r="V535" s="132"/>
      <c r="W535" s="133" t="s">
        <v>338</v>
      </c>
      <c r="X535" s="134" t="s">
        <v>339</v>
      </c>
      <c r="Y535" s="157"/>
      <c r="Z535" s="157"/>
    </row>
    <row r="536" spans="1:26" s="125" customFormat="1" x14ac:dyDescent="0.25">
      <c r="A536" s="461"/>
      <c r="B536" s="135" t="s">
        <v>340</v>
      </c>
      <c r="C536" s="606"/>
      <c r="D536" s="454">
        <v>76766</v>
      </c>
      <c r="E536" s="454">
        <v>80807</v>
      </c>
      <c r="F536" s="454">
        <v>72885.399999999994</v>
      </c>
      <c r="G536" s="454">
        <v>70898.8</v>
      </c>
      <c r="H536" s="454">
        <v>71999.600000000006</v>
      </c>
      <c r="I536" s="454">
        <v>73852.2</v>
      </c>
      <c r="J536" s="454">
        <v>75118</v>
      </c>
      <c r="K536" s="454">
        <v>68766</v>
      </c>
      <c r="L536" s="454">
        <v>77821</v>
      </c>
      <c r="M536" s="454">
        <v>78207.199999999997</v>
      </c>
      <c r="N536" s="454">
        <v>85712.8</v>
      </c>
      <c r="O536" s="454">
        <v>87298.8</v>
      </c>
      <c r="P536" s="174"/>
      <c r="Q536" s="174"/>
      <c r="R536" s="174"/>
      <c r="T536" s="140">
        <f t="shared" ref="T536:T544" si="22">SUM(C536:S536)</f>
        <v>920132.8</v>
      </c>
      <c r="U536" s="138" t="s">
        <v>341</v>
      </c>
      <c r="V536" s="139"/>
      <c r="W536" s="140">
        <f>T536*3413/1000000</f>
        <v>3140.4132463999999</v>
      </c>
      <c r="X536" s="138" t="s">
        <v>342</v>
      </c>
      <c r="Y536" s="157"/>
      <c r="Z536" s="157"/>
    </row>
    <row r="537" spans="1:26" s="125" customFormat="1" x14ac:dyDescent="0.25">
      <c r="A537" s="461"/>
      <c r="B537" s="135" t="s">
        <v>372</v>
      </c>
      <c r="C537" s="606"/>
      <c r="D537" s="454">
        <v>37</v>
      </c>
      <c r="E537" s="454">
        <v>35</v>
      </c>
      <c r="F537" s="454">
        <v>119</v>
      </c>
      <c r="G537" s="454">
        <v>137</v>
      </c>
      <c r="H537" s="454">
        <v>213</v>
      </c>
      <c r="I537" s="454">
        <v>196</v>
      </c>
      <c r="J537" s="454">
        <v>188</v>
      </c>
      <c r="K537" s="454">
        <v>206</v>
      </c>
      <c r="L537" s="454">
        <v>197</v>
      </c>
      <c r="M537" s="454">
        <v>156</v>
      </c>
      <c r="N537" s="454">
        <v>119</v>
      </c>
      <c r="O537" s="454">
        <v>100</v>
      </c>
      <c r="P537" s="174"/>
      <c r="Q537" s="174"/>
      <c r="R537" s="174"/>
      <c r="T537" s="140">
        <f t="shared" si="22"/>
        <v>1703</v>
      </c>
      <c r="U537" s="138" t="s">
        <v>354</v>
      </c>
      <c r="V537" s="139"/>
      <c r="W537" s="140">
        <f>T537*99976.124488/1000000</f>
        <v>170.25934000306401</v>
      </c>
      <c r="X537" s="138" t="s">
        <v>342</v>
      </c>
      <c r="Y537" s="765"/>
      <c r="Z537" s="554"/>
    </row>
    <row r="538" spans="1:26" s="125" customFormat="1" x14ac:dyDescent="0.25">
      <c r="A538" s="461"/>
      <c r="B538" s="135" t="s">
        <v>1056</v>
      </c>
      <c r="C538" s="606"/>
      <c r="D538" s="454">
        <v>424</v>
      </c>
      <c r="E538" s="454">
        <v>343</v>
      </c>
      <c r="F538" s="454">
        <v>174</v>
      </c>
      <c r="G538" s="454">
        <v>122</v>
      </c>
      <c r="H538" s="454">
        <v>163</v>
      </c>
      <c r="I538" s="454">
        <v>239</v>
      </c>
      <c r="J538" s="454">
        <v>137</v>
      </c>
      <c r="K538" s="454">
        <v>148</v>
      </c>
      <c r="L538" s="454">
        <v>174</v>
      </c>
      <c r="M538" s="454">
        <v>273.7</v>
      </c>
      <c r="N538" s="454">
        <v>337.2</v>
      </c>
      <c r="O538" s="454">
        <v>411.8</v>
      </c>
      <c r="P538" s="174"/>
      <c r="Q538" s="174"/>
      <c r="R538" s="174"/>
      <c r="T538" s="140">
        <f t="shared" si="22"/>
        <v>2946.7</v>
      </c>
      <c r="U538" s="138" t="s">
        <v>342</v>
      </c>
      <c r="V538" s="139"/>
      <c r="W538" s="140">
        <f>T538</f>
        <v>2946.7</v>
      </c>
      <c r="X538" s="138" t="s">
        <v>342</v>
      </c>
      <c r="Y538" s="765"/>
      <c r="Z538" s="554"/>
    </row>
    <row r="539" spans="1:26" s="125" customFormat="1" x14ac:dyDescent="0.25">
      <c r="A539" s="461"/>
      <c r="B539" s="135" t="s">
        <v>1057</v>
      </c>
      <c r="C539" s="606"/>
      <c r="D539" s="454">
        <v>135</v>
      </c>
      <c r="E539" s="454">
        <v>115</v>
      </c>
      <c r="F539" s="454">
        <v>77</v>
      </c>
      <c r="G539" s="454">
        <v>147</v>
      </c>
      <c r="H539" s="454">
        <v>242</v>
      </c>
      <c r="I539" s="454">
        <v>208</v>
      </c>
      <c r="J539" s="454">
        <v>314</v>
      </c>
      <c r="K539" s="454">
        <v>276</v>
      </c>
      <c r="L539" s="454">
        <v>177</v>
      </c>
      <c r="M539" s="454">
        <v>156.6</v>
      </c>
      <c r="N539" s="454">
        <v>152.4</v>
      </c>
      <c r="O539" s="454">
        <v>113</v>
      </c>
      <c r="P539" s="174"/>
      <c r="Q539" s="174"/>
      <c r="R539" s="174"/>
      <c r="T539" s="140">
        <f t="shared" si="22"/>
        <v>2113</v>
      </c>
      <c r="U539" s="138" t="s">
        <v>342</v>
      </c>
      <c r="V539" s="139"/>
      <c r="W539" s="140">
        <f>T539</f>
        <v>2113</v>
      </c>
      <c r="X539" s="138" t="s">
        <v>342</v>
      </c>
      <c r="Y539" s="495">
        <f>W536+W537+W538+W539</f>
        <v>8370.3725864030639</v>
      </c>
      <c r="Z539" s="153" t="s">
        <v>677</v>
      </c>
    </row>
    <row r="540" spans="1:26" s="125" customFormat="1" x14ac:dyDescent="0.25">
      <c r="A540" s="461"/>
      <c r="B540" s="135" t="s">
        <v>366</v>
      </c>
      <c r="C540" s="606"/>
      <c r="D540" s="454">
        <v>150</v>
      </c>
      <c r="E540" s="454">
        <v>2400</v>
      </c>
      <c r="F540" s="454">
        <v>4050</v>
      </c>
      <c r="G540" s="454">
        <v>2530</v>
      </c>
      <c r="H540" s="454">
        <v>2470</v>
      </c>
      <c r="I540" s="454">
        <v>1570</v>
      </c>
      <c r="J540" s="454">
        <v>2750</v>
      </c>
      <c r="K540" s="454">
        <v>2900</v>
      </c>
      <c r="L540" s="454">
        <v>3090</v>
      </c>
      <c r="M540" s="454">
        <v>3060</v>
      </c>
      <c r="N540" s="454">
        <v>2700</v>
      </c>
      <c r="O540" s="454">
        <v>1950</v>
      </c>
      <c r="P540" s="178"/>
      <c r="Q540" s="178"/>
      <c r="R540" s="178"/>
      <c r="T540" s="140">
        <f t="shared" si="22"/>
        <v>29620</v>
      </c>
      <c r="U540" s="138" t="s">
        <v>367</v>
      </c>
      <c r="V540" s="139"/>
      <c r="W540" s="137">
        <f>T540*7.48</f>
        <v>221557.6</v>
      </c>
      <c r="X540" s="138" t="s">
        <v>346</v>
      </c>
      <c r="Y540" s="157"/>
      <c r="Z540" s="157"/>
    </row>
    <row r="541" spans="1:26" s="125" customFormat="1" x14ac:dyDescent="0.25">
      <c r="A541" s="461"/>
      <c r="B541" s="135" t="s">
        <v>324</v>
      </c>
      <c r="C541" s="606"/>
      <c r="D541" s="455">
        <v>5124.9358624503548</v>
      </c>
      <c r="E541" s="455">
        <v>5397.2013008187587</v>
      </c>
      <c r="F541" s="455">
        <v>4871.2020947247702</v>
      </c>
      <c r="G541" s="455">
        <v>4332.4971258743171</v>
      </c>
      <c r="H541" s="455">
        <v>4050.9783365450294</v>
      </c>
      <c r="I541" s="455">
        <v>4158.5571341526311</v>
      </c>
      <c r="J541" s="455">
        <v>4253.25132796875</v>
      </c>
      <c r="K541" s="455">
        <v>4015.1459366450777</v>
      </c>
      <c r="L541" s="455">
        <v>4580.650288577719</v>
      </c>
      <c r="M541" s="455">
        <v>4487.8768809774556</v>
      </c>
      <c r="N541" s="455">
        <v>5019.4070288496423</v>
      </c>
      <c r="O541" s="455">
        <v>5638.1401870045302</v>
      </c>
      <c r="P541" s="176"/>
      <c r="Q541" s="176"/>
      <c r="R541" s="176"/>
      <c r="T541" s="143">
        <f t="shared" si="22"/>
        <v>55929.843504589036</v>
      </c>
      <c r="U541" s="138"/>
      <c r="V541" s="139"/>
      <c r="W541" s="143">
        <f>T541</f>
        <v>55929.843504589036</v>
      </c>
      <c r="X541" s="138"/>
      <c r="Y541" s="157"/>
      <c r="Z541" s="157"/>
    </row>
    <row r="542" spans="1:26" s="125" customFormat="1" x14ac:dyDescent="0.25">
      <c r="A542" s="461"/>
      <c r="B542" s="144" t="s">
        <v>374</v>
      </c>
      <c r="C542" s="607"/>
      <c r="D542" s="455">
        <v>47.93</v>
      </c>
      <c r="E542" s="455">
        <v>46.52</v>
      </c>
      <c r="F542" s="455">
        <v>105.38</v>
      </c>
      <c r="G542" s="455">
        <v>118</v>
      </c>
      <c r="H542" s="455">
        <v>170.19</v>
      </c>
      <c r="I542" s="455">
        <v>156.75</v>
      </c>
      <c r="J542" s="455">
        <v>148.69999999999999</v>
      </c>
      <c r="K542" s="455">
        <v>159.72</v>
      </c>
      <c r="L542" s="455">
        <v>153.71</v>
      </c>
      <c r="M542" s="455">
        <v>126.73</v>
      </c>
      <c r="N542" s="455">
        <v>103.33</v>
      </c>
      <c r="O542" s="455">
        <v>90.56</v>
      </c>
      <c r="P542" s="179"/>
      <c r="Q542" s="179"/>
      <c r="R542" s="179"/>
      <c r="T542" s="143">
        <f t="shared" si="22"/>
        <v>1427.52</v>
      </c>
      <c r="U542" s="138"/>
      <c r="V542" s="139"/>
      <c r="W542" s="143">
        <f>T542</f>
        <v>1427.52</v>
      </c>
      <c r="X542" s="138"/>
      <c r="Y542" s="157"/>
      <c r="Z542" s="157"/>
    </row>
    <row r="543" spans="1:26" s="125" customFormat="1" x14ac:dyDescent="0.25">
      <c r="A543" s="461"/>
      <c r="B543" s="204" t="s">
        <v>398</v>
      </c>
      <c r="C543" s="607"/>
      <c r="D543" s="455">
        <v>2185.7344028161547</v>
      </c>
      <c r="E543" s="455">
        <v>1780.3730732400099</v>
      </c>
      <c r="F543" s="455">
        <v>921.07541783097645</v>
      </c>
      <c r="G543" s="455">
        <v>608.1085902545633</v>
      </c>
      <c r="H543" s="455">
        <v>852.12279201453055</v>
      </c>
      <c r="I543" s="455">
        <v>1045.3704620704998</v>
      </c>
      <c r="J543" s="455">
        <v>815.65551111207628</v>
      </c>
      <c r="K543" s="455">
        <v>879.39757493513684</v>
      </c>
      <c r="L543" s="455">
        <v>848.44114283662157</v>
      </c>
      <c r="M543" s="455">
        <v>885.77078578290104</v>
      </c>
      <c r="N543" s="455">
        <v>1373.5244182130282</v>
      </c>
      <c r="O543" s="455">
        <v>1819.8867791260102</v>
      </c>
      <c r="P543" s="179"/>
      <c r="Q543" s="179"/>
      <c r="R543" s="179"/>
      <c r="T543" s="143">
        <f t="shared" si="22"/>
        <v>14015.460950232509</v>
      </c>
      <c r="U543" s="138"/>
      <c r="V543" s="139"/>
      <c r="W543" s="143">
        <f>T543</f>
        <v>14015.460950232509</v>
      </c>
      <c r="X543" s="138"/>
      <c r="Y543" s="157"/>
      <c r="Z543" s="157"/>
    </row>
    <row r="544" spans="1:26" s="125" customFormat="1" x14ac:dyDescent="0.25">
      <c r="A544" s="461"/>
      <c r="B544" s="204" t="s">
        <v>1058</v>
      </c>
      <c r="C544" s="607"/>
      <c r="D544" s="455">
        <v>605.37959111707085</v>
      </c>
      <c r="E544" s="455">
        <v>670.12768569319917</v>
      </c>
      <c r="F544" s="455">
        <v>425.22966472380216</v>
      </c>
      <c r="G544" s="455">
        <v>603.73277796341006</v>
      </c>
      <c r="H544" s="455">
        <v>814.78069838263445</v>
      </c>
      <c r="I544" s="455">
        <v>943.17685742899357</v>
      </c>
      <c r="J544" s="455">
        <v>1373.5986164948772</v>
      </c>
      <c r="K544" s="455">
        <v>1041.2887674998328</v>
      </c>
      <c r="L544" s="455">
        <v>717.13325585519715</v>
      </c>
      <c r="M544" s="455">
        <v>732.64298930127404</v>
      </c>
      <c r="N544" s="455">
        <v>773.08765027670358</v>
      </c>
      <c r="O544" s="455">
        <v>1010.6758065306014</v>
      </c>
      <c r="P544" s="179"/>
      <c r="Q544" s="179"/>
      <c r="R544" s="179"/>
      <c r="T544" s="143">
        <f t="shared" si="22"/>
        <v>9710.8543612675967</v>
      </c>
      <c r="U544" s="138"/>
      <c r="V544" s="139"/>
      <c r="W544" s="143">
        <f>T544</f>
        <v>9710.8543612675967</v>
      </c>
      <c r="X544" s="138"/>
      <c r="Y544" s="157"/>
      <c r="Z544" s="157"/>
    </row>
    <row r="545" spans="1:26" x14ac:dyDescent="0.25">
      <c r="W545" s="143">
        <f>SUM(W541:W544)</f>
        <v>81083.678816089145</v>
      </c>
      <c r="X545" s="138"/>
    </row>
    <row r="547" spans="1:26" x14ac:dyDescent="0.25">
      <c r="A547" s="462">
        <v>56</v>
      </c>
      <c r="B547" s="666" t="s">
        <v>980</v>
      </c>
      <c r="T547" s="666" t="s">
        <v>980</v>
      </c>
    </row>
    <row r="548" spans="1:26" s="125" customFormat="1" x14ac:dyDescent="0.25">
      <c r="A548" s="461"/>
      <c r="B548" s="130" t="s">
        <v>337</v>
      </c>
      <c r="C548" s="131">
        <v>42156</v>
      </c>
      <c r="D548" s="131">
        <v>42186</v>
      </c>
      <c r="E548" s="131">
        <v>42217</v>
      </c>
      <c r="F548" s="131">
        <v>42248</v>
      </c>
      <c r="G548" s="131">
        <v>42278</v>
      </c>
      <c r="H548" s="131">
        <v>42309</v>
      </c>
      <c r="I548" s="131">
        <v>42339</v>
      </c>
      <c r="J548" s="131">
        <v>42370</v>
      </c>
      <c r="K548" s="131">
        <v>42401</v>
      </c>
      <c r="L548" s="131">
        <v>42430</v>
      </c>
      <c r="M548" s="131">
        <v>42461</v>
      </c>
      <c r="N548" s="131">
        <v>42491</v>
      </c>
      <c r="O548" s="131">
        <v>42522</v>
      </c>
      <c r="P548" s="131">
        <v>42552</v>
      </c>
      <c r="Q548" s="151">
        <v>42583</v>
      </c>
      <c r="R548" s="131">
        <v>42627</v>
      </c>
      <c r="S548" s="132"/>
      <c r="T548" s="133" t="s">
        <v>338</v>
      </c>
      <c r="U548" s="134" t="s">
        <v>339</v>
      </c>
      <c r="V548" s="132"/>
      <c r="W548" s="133" t="s">
        <v>338</v>
      </c>
      <c r="X548" s="134" t="s">
        <v>339</v>
      </c>
      <c r="Y548" s="157"/>
      <c r="Z548" s="157"/>
    </row>
    <row r="549" spans="1:26" s="157" customFormat="1" x14ac:dyDescent="0.25">
      <c r="A549" s="461"/>
      <c r="B549" s="135" t="s">
        <v>319</v>
      </c>
      <c r="C549" s="599"/>
      <c r="E549" s="1170">
        <v>42022.033691406024</v>
      </c>
      <c r="F549" s="1170">
        <v>41414.001464843976</v>
      </c>
      <c r="G549" s="1170">
        <v>40640.991210936932</v>
      </c>
      <c r="H549" s="1185">
        <v>39221.984863282043</v>
      </c>
      <c r="I549" s="1186">
        <v>38379.028320312049</v>
      </c>
      <c r="J549" s="1186">
        <v>41500</v>
      </c>
      <c r="K549" s="1186">
        <v>39580.993652343976</v>
      </c>
      <c r="L549" s="1186">
        <v>40283.996582031024</v>
      </c>
      <c r="M549" s="1186">
        <v>39995.971679682953</v>
      </c>
      <c r="N549" s="1186">
        <v>37370.971679690003</v>
      </c>
      <c r="O549" s="1186">
        <v>36082.03125</v>
      </c>
      <c r="P549" s="756">
        <v>37901.977539059997</v>
      </c>
      <c r="Q549" s="174"/>
      <c r="T549" s="141">
        <f t="shared" ref="T549:T555" si="23">SUM(E549:P549)</f>
        <v>474393.98193358898</v>
      </c>
      <c r="U549" s="188" t="s">
        <v>341</v>
      </c>
      <c r="W549" s="140">
        <f>T549*3413/1000000</f>
        <v>1619.1066603393392</v>
      </c>
      <c r="X549" s="138" t="s">
        <v>342</v>
      </c>
    </row>
    <row r="550" spans="1:26" s="157" customFormat="1" x14ac:dyDescent="0.25">
      <c r="A550" s="461"/>
      <c r="B550" s="135" t="s">
        <v>1137</v>
      </c>
      <c r="C550" s="599"/>
      <c r="E550" s="1192">
        <v>51.510143999999769</v>
      </c>
      <c r="F550" s="1192">
        <v>43.509888000000501</v>
      </c>
      <c r="G550" s="1192">
        <v>106.04991999999999</v>
      </c>
      <c r="H550" s="1192">
        <v>143.31020799999959</v>
      </c>
      <c r="I550" s="1192">
        <v>148.6300160000001</v>
      </c>
      <c r="J550" s="1192">
        <v>312.67020799999972</v>
      </c>
      <c r="K550" s="1192">
        <v>246.95961600000021</v>
      </c>
      <c r="L550" s="1192">
        <v>128.52019200000049</v>
      </c>
      <c r="M550" s="1192">
        <v>94.590207999999535</v>
      </c>
      <c r="N550" s="1192">
        <v>45.899775999999832</v>
      </c>
      <c r="O550" s="1207">
        <v>25.039616000000365</v>
      </c>
      <c r="P550" s="1192">
        <v>28.800255999999791</v>
      </c>
      <c r="Q550" s="174"/>
      <c r="T550" s="141">
        <f t="shared" si="23"/>
        <v>1375.4900479999999</v>
      </c>
      <c r="U550" s="188" t="s">
        <v>1138</v>
      </c>
      <c r="W550" s="160">
        <f>T550</f>
        <v>1375.4900479999999</v>
      </c>
      <c r="X550" s="138" t="s">
        <v>342</v>
      </c>
    </row>
    <row r="551" spans="1:26" s="157" customFormat="1" x14ac:dyDescent="0.25">
      <c r="A551" s="461"/>
      <c r="B551" s="153" t="s">
        <v>362</v>
      </c>
      <c r="C551" s="599"/>
      <c r="E551" s="1170">
        <v>376.03979492188</v>
      </c>
      <c r="F551" s="1170">
        <v>279.25512695312</v>
      </c>
      <c r="G551" s="1170">
        <v>93.26708984375</v>
      </c>
      <c r="H551" s="1170">
        <v>59.839111328130002</v>
      </c>
      <c r="I551" s="1170">
        <v>70.08203125</v>
      </c>
      <c r="J551" s="1170">
        <v>27.11279296875</v>
      </c>
      <c r="K551" s="1170">
        <v>33.91796875</v>
      </c>
      <c r="L551" s="1170">
        <v>86.2431640625</v>
      </c>
      <c r="M551" s="1170">
        <v>97.43994140625</v>
      </c>
      <c r="N551" s="1170">
        <v>153.28369140625</v>
      </c>
      <c r="O551" s="756">
        <v>310.91796875</v>
      </c>
      <c r="P551" s="756">
        <v>437.7861328125</v>
      </c>
      <c r="Q551" s="178"/>
      <c r="T551" s="141">
        <f t="shared" si="23"/>
        <v>2025.18481445313</v>
      </c>
      <c r="U551" s="188" t="s">
        <v>870</v>
      </c>
      <c r="W551" s="140">
        <f>T551*99976.124488/100000</f>
        <v>2024.7012912097332</v>
      </c>
      <c r="X551" s="138" t="s">
        <v>342</v>
      </c>
      <c r="Y551" s="495">
        <f>W549+W550+W551</f>
        <v>5019.2979995490723</v>
      </c>
      <c r="Z551" s="153" t="s">
        <v>677</v>
      </c>
    </row>
    <row r="552" spans="1:26" s="157" customFormat="1" x14ac:dyDescent="0.25">
      <c r="A552" s="461"/>
      <c r="B552" s="135" t="s">
        <v>864</v>
      </c>
      <c r="C552" s="599"/>
      <c r="E552" s="1193">
        <v>56</v>
      </c>
      <c r="F552" s="1193">
        <v>78</v>
      </c>
      <c r="G552" s="1194">
        <v>65</v>
      </c>
      <c r="H552" s="1194">
        <v>63</v>
      </c>
      <c r="I552" s="1194">
        <v>56</v>
      </c>
      <c r="J552" s="1194">
        <v>63</v>
      </c>
      <c r="K552" s="1194">
        <v>75</v>
      </c>
      <c r="L552" s="1200">
        <v>72</v>
      </c>
      <c r="M552" s="1200">
        <v>72</v>
      </c>
      <c r="N552" s="1200">
        <v>44</v>
      </c>
      <c r="O552" s="750">
        <v>22</v>
      </c>
      <c r="P552" s="750">
        <v>21</v>
      </c>
      <c r="Q552" s="730"/>
      <c r="T552" s="141">
        <f t="shared" si="23"/>
        <v>687</v>
      </c>
      <c r="U552" s="188" t="s">
        <v>379</v>
      </c>
      <c r="W552" s="141">
        <f>T552*748</f>
        <v>513876</v>
      </c>
      <c r="X552" s="188" t="s">
        <v>346</v>
      </c>
    </row>
    <row r="553" spans="1:26" s="157" customFormat="1" x14ac:dyDescent="0.25">
      <c r="A553" s="461"/>
      <c r="B553" s="135" t="s">
        <v>324</v>
      </c>
      <c r="C553" s="599"/>
      <c r="E553" s="1208">
        <v>3613.8948974609179</v>
      </c>
      <c r="F553" s="1208">
        <v>3561.6041259765816</v>
      </c>
      <c r="G553" s="1208">
        <v>3495.1252441405759</v>
      </c>
      <c r="H553" s="1208">
        <v>3373.0906982422553</v>
      </c>
      <c r="I553" s="1208">
        <v>3300.5964355468359</v>
      </c>
      <c r="J553" s="1208">
        <v>3568.9999999999995</v>
      </c>
      <c r="K553" s="1208">
        <v>3403.9654541015816</v>
      </c>
      <c r="L553" s="1208">
        <v>3464.4237060546679</v>
      </c>
      <c r="M553" s="1208">
        <v>3439.6535644527335</v>
      </c>
      <c r="N553" s="1208">
        <v>3213.9035644533401</v>
      </c>
      <c r="O553" s="1208">
        <v>3103.0546874999995</v>
      </c>
      <c r="P553" s="1208">
        <v>3297.4720458982197</v>
      </c>
      <c r="Q553" s="1162"/>
      <c r="T553" s="171">
        <f t="shared" si="23"/>
        <v>40835.78442382771</v>
      </c>
      <c r="U553" s="188"/>
      <c r="W553" s="190">
        <f>T553</f>
        <v>40835.78442382771</v>
      </c>
      <c r="X553" s="188"/>
    </row>
    <row r="554" spans="1:26" s="157" customFormat="1" x14ac:dyDescent="0.25">
      <c r="A554" s="461"/>
      <c r="B554" s="144" t="s">
        <v>348</v>
      </c>
      <c r="C554" s="599"/>
      <c r="E554" s="1208">
        <v>689.72082815999693</v>
      </c>
      <c r="F554" s="1208">
        <v>582.59740032000673</v>
      </c>
      <c r="G554" s="1208">
        <v>1420.0084287999998</v>
      </c>
      <c r="H554" s="1208">
        <v>1918.9236851199946</v>
      </c>
      <c r="I554" s="1208">
        <v>1990.1559142400015</v>
      </c>
      <c r="J554" s="1208">
        <v>4186.6540851199961</v>
      </c>
      <c r="K554" s="1208">
        <v>3306.7892582400032</v>
      </c>
      <c r="L554" s="1208">
        <v>1720.8853708800066</v>
      </c>
      <c r="M554" s="1208">
        <v>1266.5628851199938</v>
      </c>
      <c r="N554" s="1208">
        <v>614.59800063999774</v>
      </c>
      <c r="O554" s="1208">
        <v>335.28045824000492</v>
      </c>
      <c r="P554" s="1208">
        <v>346.17907711999749</v>
      </c>
      <c r="Q554" s="1162"/>
      <c r="T554" s="171">
        <f t="shared" si="23"/>
        <v>18378.355392000001</v>
      </c>
      <c r="U554" s="188"/>
      <c r="W554" s="190">
        <f>T554</f>
        <v>18378.355392000001</v>
      </c>
      <c r="X554" s="188"/>
    </row>
    <row r="555" spans="1:26" s="157" customFormat="1" ht="16.5" x14ac:dyDescent="0.35">
      <c r="A555" s="461"/>
      <c r="B555" s="195" t="s">
        <v>398</v>
      </c>
      <c r="C555" s="599"/>
      <c r="E555" s="1208">
        <v>5253.2759350586639</v>
      </c>
      <c r="F555" s="1208">
        <v>3901.1941235350864</v>
      </c>
      <c r="G555" s="1208">
        <v>1302.9412451171875</v>
      </c>
      <c r="H555" s="1208">
        <v>835.95238525397622</v>
      </c>
      <c r="I555" s="1208">
        <v>979.04597656250007</v>
      </c>
      <c r="J555" s="1208">
        <v>378.76571777343753</v>
      </c>
      <c r="K555" s="1208">
        <v>473.83402343750004</v>
      </c>
      <c r="L555" s="1208">
        <v>1204.8170019531251</v>
      </c>
      <c r="M555" s="1208">
        <v>1361.2359814453125</v>
      </c>
      <c r="N555" s="1208">
        <v>2141.3731689453125</v>
      </c>
      <c r="O555" s="1208">
        <v>4343.5240234375005</v>
      </c>
      <c r="P555" s="1208">
        <v>5669.3304199218746</v>
      </c>
      <c r="Q555" s="1162"/>
      <c r="T555" s="171">
        <f t="shared" si="23"/>
        <v>27845.290002441478</v>
      </c>
      <c r="U555" s="188"/>
      <c r="W555" s="197">
        <f>T555</f>
        <v>27845.290002441478</v>
      </c>
      <c r="X555" s="188"/>
    </row>
    <row r="556" spans="1:26" s="125" customFormat="1" x14ac:dyDescent="0.25">
      <c r="A556" s="461"/>
      <c r="B556" s="205"/>
      <c r="C556" s="152"/>
      <c r="E556" s="201"/>
      <c r="F556" s="206"/>
      <c r="G556" s="202"/>
      <c r="H556" s="203"/>
      <c r="I556" s="203"/>
      <c r="J556" s="203"/>
      <c r="K556" s="203"/>
      <c r="L556" s="203"/>
      <c r="M556" s="203"/>
      <c r="N556" s="203"/>
      <c r="O556" s="203"/>
      <c r="P556" s="203"/>
      <c r="U556" s="126"/>
      <c r="W556" s="190">
        <f>SUM(W553:W555)</f>
        <v>87059.429818269185</v>
      </c>
      <c r="X556" s="450"/>
      <c r="Y556" s="157"/>
      <c r="Z556" s="157"/>
    </row>
    <row r="557" spans="1:26" s="125" customFormat="1" x14ac:dyDescent="0.25">
      <c r="A557" s="461"/>
      <c r="B557" s="205"/>
      <c r="C557" s="152"/>
      <c r="E557" s="201"/>
      <c r="F557" s="206"/>
      <c r="G557" s="202"/>
      <c r="H557" s="203"/>
      <c r="I557" s="203"/>
      <c r="J557" s="203"/>
      <c r="K557" s="203"/>
      <c r="L557" s="203"/>
      <c r="M557" s="203"/>
      <c r="N557" s="203"/>
      <c r="O557" s="203"/>
      <c r="P557" s="203"/>
      <c r="U557" s="126"/>
      <c r="W557" s="447"/>
      <c r="X557" s="458"/>
      <c r="Y557" s="157"/>
      <c r="Z557" s="157"/>
    </row>
    <row r="558" spans="1:26" s="125" customFormat="1" x14ac:dyDescent="0.25">
      <c r="A558" s="461">
        <v>57</v>
      </c>
      <c r="B558" s="931" t="s">
        <v>1011</v>
      </c>
      <c r="C558" s="152"/>
      <c r="E558" s="201"/>
      <c r="F558" s="206"/>
      <c r="G558" s="202"/>
      <c r="H558" s="203"/>
      <c r="I558" s="203"/>
      <c r="J558" s="203"/>
      <c r="K558" s="203"/>
      <c r="L558" s="203"/>
      <c r="M558" s="203"/>
      <c r="N558" s="203"/>
      <c r="O558" s="203"/>
      <c r="P558" s="203"/>
      <c r="T558" s="931" t="s">
        <v>1011</v>
      </c>
      <c r="U558" s="126"/>
      <c r="W558" s="447"/>
      <c r="X558" s="458"/>
      <c r="Y558" s="157"/>
      <c r="Z558" s="157"/>
    </row>
    <row r="559" spans="1:26" s="125" customFormat="1" x14ac:dyDescent="0.25">
      <c r="A559" s="461"/>
      <c r="B559" s="130" t="s">
        <v>337</v>
      </c>
      <c r="C559" s="131">
        <v>42156</v>
      </c>
      <c r="D559" s="131">
        <v>42186</v>
      </c>
      <c r="E559" s="131">
        <v>42217</v>
      </c>
      <c r="F559" s="131">
        <v>42248</v>
      </c>
      <c r="G559" s="131">
        <v>42278</v>
      </c>
      <c r="H559" s="131">
        <v>42309</v>
      </c>
      <c r="I559" s="131">
        <v>42339</v>
      </c>
      <c r="J559" s="131">
        <v>42370</v>
      </c>
      <c r="K559" s="131">
        <v>42401</v>
      </c>
      <c r="L559" s="131">
        <v>42430</v>
      </c>
      <c r="M559" s="131">
        <v>42461</v>
      </c>
      <c r="N559" s="131">
        <v>42491</v>
      </c>
      <c r="O559" s="131">
        <v>42522</v>
      </c>
      <c r="P559" s="131">
        <v>42552</v>
      </c>
      <c r="Q559" s="151">
        <v>42583</v>
      </c>
      <c r="R559" s="131">
        <v>42627</v>
      </c>
      <c r="S559" s="132"/>
      <c r="T559" s="133" t="s">
        <v>338</v>
      </c>
      <c r="U559" s="134" t="s">
        <v>339</v>
      </c>
      <c r="V559" s="132"/>
      <c r="W559" s="133" t="s">
        <v>338</v>
      </c>
      <c r="X559" s="134" t="s">
        <v>339</v>
      </c>
      <c r="Y559" s="157"/>
      <c r="Z559" s="157"/>
    </row>
    <row r="560" spans="1:26" s="125" customFormat="1" x14ac:dyDescent="0.25">
      <c r="A560" s="461"/>
      <c r="B560" s="135" t="s">
        <v>340</v>
      </c>
      <c r="C560" s="606"/>
      <c r="D560" s="136">
        <v>36485</v>
      </c>
      <c r="E560" s="136">
        <v>43096</v>
      </c>
      <c r="F560" s="136">
        <v>39521</v>
      </c>
      <c r="G560" s="136">
        <v>42293</v>
      </c>
      <c r="H560" s="136">
        <v>35250</v>
      </c>
      <c r="I560" s="136">
        <v>29593</v>
      </c>
      <c r="J560" s="136">
        <v>39198</v>
      </c>
      <c r="K560" s="136">
        <v>37209</v>
      </c>
      <c r="L560" s="136">
        <v>48237</v>
      </c>
      <c r="M560" s="136">
        <v>48818</v>
      </c>
      <c r="N560" s="136">
        <v>41529</v>
      </c>
      <c r="O560" s="136">
        <v>40109</v>
      </c>
      <c r="P560" s="174"/>
      <c r="Q560" s="174"/>
      <c r="R560" s="174"/>
      <c r="T560" s="140">
        <f>SUM(D560:O560)</f>
        <v>481338</v>
      </c>
      <c r="U560" s="138" t="s">
        <v>341</v>
      </c>
      <c r="V560" s="139"/>
      <c r="W560" s="140">
        <f>T560*3413/1000000</f>
        <v>1642.8065939999999</v>
      </c>
      <c r="X560" s="138" t="s">
        <v>342</v>
      </c>
      <c r="Y560" s="157"/>
      <c r="Z560" s="157"/>
    </row>
    <row r="561" spans="1:26" s="125" customFormat="1" x14ac:dyDescent="0.25">
      <c r="A561" s="461"/>
      <c r="B561" s="135" t="s">
        <v>921</v>
      </c>
      <c r="C561" s="612"/>
      <c r="D561" s="160">
        <v>1511.5320000000002</v>
      </c>
      <c r="E561" s="160">
        <v>1477.212</v>
      </c>
      <c r="F561" s="160">
        <v>1720.356</v>
      </c>
      <c r="G561" s="160">
        <v>2152.1280000000002</v>
      </c>
      <c r="H561" s="160">
        <v>2459.8530000000001</v>
      </c>
      <c r="I561" s="160">
        <v>2940.0030000000002</v>
      </c>
      <c r="J561" s="160">
        <v>3732.069</v>
      </c>
      <c r="K561" s="160">
        <v>3151.5330000000004</v>
      </c>
      <c r="L561" s="160">
        <v>2822.556</v>
      </c>
      <c r="M561" s="160">
        <v>2324.3220000000001</v>
      </c>
      <c r="N561" s="160">
        <v>1156.221</v>
      </c>
      <c r="O561" s="160">
        <v>1428.537</v>
      </c>
      <c r="P561" s="456"/>
      <c r="Q561" s="456"/>
      <c r="R561" s="444"/>
      <c r="T561" s="140">
        <f t="shared" ref="T561:T566" si="24">SUM(D561:O561)</f>
        <v>26876.322000000004</v>
      </c>
      <c r="U561" s="138" t="s">
        <v>354</v>
      </c>
      <c r="V561" s="139"/>
      <c r="W561" s="140">
        <f>T561*99976.124488/1000000</f>
        <v>2686.9905140515739</v>
      </c>
      <c r="X561" s="138" t="s">
        <v>342</v>
      </c>
    </row>
    <row r="562" spans="1:26" s="125" customFormat="1" x14ac:dyDescent="0.25">
      <c r="A562" s="461"/>
      <c r="B562" s="135" t="s">
        <v>1236</v>
      </c>
      <c r="C562" s="612"/>
      <c r="D562" s="160">
        <v>49165.693200000002</v>
      </c>
      <c r="E562" s="160">
        <v>57206.910800000005</v>
      </c>
      <c r="F562" s="160">
        <v>43492.623200000002</v>
      </c>
      <c r="G562" s="160">
        <v>25151.833200000001</v>
      </c>
      <c r="H562" s="160">
        <v>17001.088</v>
      </c>
      <c r="I562" s="160">
        <v>23729.388800000001</v>
      </c>
      <c r="J562" s="160">
        <v>22241.6168</v>
      </c>
      <c r="K562" s="160">
        <v>35202.117600000005</v>
      </c>
      <c r="L562" s="160">
        <v>30072.972800000003</v>
      </c>
      <c r="M562" s="160">
        <v>54939.892800000001</v>
      </c>
      <c r="N562" s="160">
        <v>45885.964800000002</v>
      </c>
      <c r="O562" s="160">
        <v>57163.152800000003</v>
      </c>
      <c r="P562" s="456"/>
      <c r="Q562" s="456"/>
      <c r="R562" s="444"/>
      <c r="T562" s="140">
        <f t="shared" si="24"/>
        <v>461253.2548</v>
      </c>
      <c r="U562" s="138" t="s">
        <v>341</v>
      </c>
      <c r="V562" s="139"/>
      <c r="W562" s="140">
        <f>T562*3413/1000000</f>
        <v>1574.2573586323999</v>
      </c>
      <c r="X562" s="138" t="s">
        <v>342</v>
      </c>
      <c r="Y562" s="495">
        <f>W560+W561+W562</f>
        <v>5904.0544666839733</v>
      </c>
      <c r="Z562" s="153" t="s">
        <v>677</v>
      </c>
    </row>
    <row r="563" spans="1:26" s="125" customFormat="1" x14ac:dyDescent="0.25">
      <c r="A563" s="461"/>
      <c r="B563" s="135" t="s">
        <v>864</v>
      </c>
      <c r="C563" s="606"/>
      <c r="D563" s="141">
        <v>11.4</v>
      </c>
      <c r="E563" s="141">
        <v>25.6</v>
      </c>
      <c r="F563" s="141">
        <v>47.4</v>
      </c>
      <c r="G563" s="141">
        <v>46.1</v>
      </c>
      <c r="H563" s="141">
        <v>43.1</v>
      </c>
      <c r="I563" s="141">
        <v>11.4</v>
      </c>
      <c r="J563" s="141">
        <v>25.1</v>
      </c>
      <c r="K563" s="141">
        <v>34.799999999999997</v>
      </c>
      <c r="L563" s="141">
        <v>21.3</v>
      </c>
      <c r="M563" s="141">
        <v>30.7</v>
      </c>
      <c r="N563" s="141">
        <v>11.7</v>
      </c>
      <c r="O563" s="141">
        <v>10.4</v>
      </c>
      <c r="P563" s="178"/>
      <c r="Q563" s="178"/>
      <c r="R563" s="178"/>
      <c r="T563" s="140">
        <f t="shared" si="24"/>
        <v>318.99999999999994</v>
      </c>
      <c r="U563" s="138" t="s">
        <v>379</v>
      </c>
      <c r="V563" s="139"/>
      <c r="W563" s="137">
        <f>T563*748</f>
        <v>238611.99999999997</v>
      </c>
      <c r="X563" s="138" t="s">
        <v>346</v>
      </c>
      <c r="Y563" s="157"/>
      <c r="Z563" s="157"/>
    </row>
    <row r="564" spans="1:26" s="125" customFormat="1" x14ac:dyDescent="0.25">
      <c r="A564" s="461"/>
      <c r="B564" s="135" t="s">
        <v>324</v>
      </c>
      <c r="C564" s="606"/>
      <c r="D564" s="142">
        <v>2597.732</v>
      </c>
      <c r="E564" s="142">
        <v>3068.4351999999999</v>
      </c>
      <c r="F564" s="142">
        <v>2813.8951999999999</v>
      </c>
      <c r="G564" s="142">
        <v>3011.2615999999998</v>
      </c>
      <c r="H564" s="142">
        <v>2509.8000000000002</v>
      </c>
      <c r="I564" s="142">
        <v>2107.0216</v>
      </c>
      <c r="J564" s="142">
        <v>2790.8975999999998</v>
      </c>
      <c r="K564" s="142">
        <v>2649.2808</v>
      </c>
      <c r="L564" s="142">
        <v>3434.4744000000001</v>
      </c>
      <c r="M564" s="142">
        <v>3475.8415999999997</v>
      </c>
      <c r="N564" s="142">
        <v>2956.8647999999998</v>
      </c>
      <c r="O564" s="142">
        <v>2855.7608</v>
      </c>
      <c r="P564" s="176"/>
      <c r="Q564" s="176"/>
      <c r="R564" s="176"/>
      <c r="T564" s="140">
        <f t="shared" si="24"/>
        <v>34271.265599999999</v>
      </c>
      <c r="U564" s="138"/>
      <c r="V564" s="139"/>
      <c r="W564" s="143">
        <f>T564</f>
        <v>34271.265599999999</v>
      </c>
      <c r="X564" s="138"/>
      <c r="Y564" s="157"/>
      <c r="Z564" s="157"/>
    </row>
    <row r="565" spans="1:26" s="125" customFormat="1" x14ac:dyDescent="0.25">
      <c r="A565" s="461"/>
      <c r="B565" s="135" t="s">
        <v>1238</v>
      </c>
      <c r="C565" s="606"/>
      <c r="D565" s="142">
        <v>606.09846000000005</v>
      </c>
      <c r="E565" s="142">
        <v>608.47743000000003</v>
      </c>
      <c r="F565" s="142">
        <v>661.37049000000002</v>
      </c>
      <c r="G565" s="142">
        <v>801.70398</v>
      </c>
      <c r="H565" s="142">
        <v>736.05906000000004</v>
      </c>
      <c r="I565" s="142">
        <v>1248.6899700000001</v>
      </c>
      <c r="J565" s="142">
        <v>1590.5475300000003</v>
      </c>
      <c r="K565" s="142">
        <v>1290.1590899999999</v>
      </c>
      <c r="L565" s="142">
        <v>1023.6982800000001</v>
      </c>
      <c r="M565" s="142">
        <v>914.78640000000007</v>
      </c>
      <c r="N565" s="142">
        <v>482.61510000000004</v>
      </c>
      <c r="O565" s="142">
        <v>586.5915</v>
      </c>
      <c r="P565" s="176"/>
      <c r="Q565" s="176"/>
      <c r="R565" s="176"/>
      <c r="T565" s="140">
        <f t="shared" si="24"/>
        <v>10550.797290000002</v>
      </c>
      <c r="U565" s="138"/>
      <c r="V565" s="139"/>
      <c r="W565" s="143">
        <f>T565</f>
        <v>10550.797290000002</v>
      </c>
      <c r="X565" s="138"/>
      <c r="Y565" s="157"/>
      <c r="Z565" s="157"/>
    </row>
    <row r="566" spans="1:26" s="125" customFormat="1" ht="16.5" x14ac:dyDescent="0.35">
      <c r="A566" s="461"/>
      <c r="B566" s="144" t="s">
        <v>398</v>
      </c>
      <c r="C566" s="611"/>
      <c r="D566" s="171">
        <v>3500.5973558400001</v>
      </c>
      <c r="E566" s="145">
        <v>4073.1320489600002</v>
      </c>
      <c r="F566" s="145">
        <v>3096.6747718400002</v>
      </c>
      <c r="G566" s="145">
        <v>1790.8105238400001</v>
      </c>
      <c r="H566" s="145">
        <v>1210.4774656</v>
      </c>
      <c r="I566" s="145">
        <v>1689.5324825600001</v>
      </c>
      <c r="J566" s="145">
        <v>1583.6031161599999</v>
      </c>
      <c r="K566" s="145">
        <v>2506.3907731200002</v>
      </c>
      <c r="L566" s="145">
        <v>2141.1956633600003</v>
      </c>
      <c r="M566" s="145">
        <v>3911.7203673600002</v>
      </c>
      <c r="N566" s="145">
        <v>3267.08069376</v>
      </c>
      <c r="O566" s="145">
        <v>4070.0164793600002</v>
      </c>
      <c r="P566" s="179"/>
      <c r="Q566" s="184"/>
      <c r="R566" s="444"/>
      <c r="T566" s="140">
        <f t="shared" si="24"/>
        <v>32841.231741759999</v>
      </c>
      <c r="U566" s="138"/>
      <c r="V566" s="139"/>
      <c r="W566" s="146">
        <f>T566</f>
        <v>32841.231741759999</v>
      </c>
      <c r="X566" s="138"/>
      <c r="Y566" s="157"/>
      <c r="Z566" s="157"/>
    </row>
    <row r="567" spans="1:26" s="125" customFormat="1" x14ac:dyDescent="0.25">
      <c r="A567" s="461"/>
      <c r="B567" s="205"/>
      <c r="C567" s="152"/>
      <c r="E567" s="201"/>
      <c r="F567" s="206"/>
      <c r="G567" s="202"/>
      <c r="H567" s="203"/>
      <c r="I567" s="203"/>
      <c r="J567" s="203"/>
      <c r="K567" s="203"/>
      <c r="L567" s="203"/>
      <c r="M567" s="203"/>
      <c r="N567" s="203"/>
      <c r="O567" s="203"/>
      <c r="P567" s="203"/>
      <c r="U567" s="126"/>
      <c r="W567" s="190">
        <f>SUM(W564:W566)</f>
        <v>77663.29463176</v>
      </c>
      <c r="X567" s="450"/>
      <c r="Y567" s="157"/>
      <c r="Z567" s="157"/>
    </row>
    <row r="569" spans="1:26" x14ac:dyDescent="0.25">
      <c r="A569" s="462">
        <v>58</v>
      </c>
      <c r="B569" s="666" t="s">
        <v>1012</v>
      </c>
      <c r="T569" s="666" t="s">
        <v>1012</v>
      </c>
    </row>
    <row r="570" spans="1:26" s="125" customFormat="1" x14ac:dyDescent="0.25">
      <c r="A570" s="461"/>
      <c r="B570" s="130" t="s">
        <v>337</v>
      </c>
      <c r="C570" s="131">
        <v>42156</v>
      </c>
      <c r="D570" s="131">
        <v>42186</v>
      </c>
      <c r="E570" s="131">
        <v>42217</v>
      </c>
      <c r="F570" s="131">
        <v>42248</v>
      </c>
      <c r="G570" s="131">
        <v>42278</v>
      </c>
      <c r="H570" s="131">
        <v>42309</v>
      </c>
      <c r="I570" s="131">
        <v>42339</v>
      </c>
      <c r="J570" s="131">
        <v>42370</v>
      </c>
      <c r="K570" s="131">
        <v>42401</v>
      </c>
      <c r="L570" s="131">
        <v>42430</v>
      </c>
      <c r="M570" s="131">
        <v>42461</v>
      </c>
      <c r="N570" s="131">
        <v>42491</v>
      </c>
      <c r="O570" s="131">
        <v>42522</v>
      </c>
      <c r="P570" s="131">
        <v>42552</v>
      </c>
      <c r="Q570" s="151">
        <v>42583</v>
      </c>
      <c r="R570" s="131">
        <v>42627</v>
      </c>
      <c r="S570" s="132"/>
      <c r="T570" s="133" t="s">
        <v>338</v>
      </c>
      <c r="U570" s="134" t="s">
        <v>339</v>
      </c>
      <c r="V570" s="132"/>
      <c r="W570" s="133" t="s">
        <v>338</v>
      </c>
      <c r="X570" s="134" t="s">
        <v>339</v>
      </c>
      <c r="Y570" s="157"/>
      <c r="Z570" s="157"/>
    </row>
    <row r="571" spans="1:26" s="166" customFormat="1" x14ac:dyDescent="0.25">
      <c r="A571" s="459"/>
      <c r="B571" s="204" t="s">
        <v>319</v>
      </c>
      <c r="C571" s="610"/>
      <c r="E571" s="1170">
        <v>34236.999511718008</v>
      </c>
      <c r="F571" s="1170">
        <v>36642.990112305</v>
      </c>
      <c r="G571" s="1170">
        <v>37118.011474610001</v>
      </c>
      <c r="H571" s="1218">
        <v>35600.006103514999</v>
      </c>
      <c r="I571" s="1186">
        <v>33330.993652343976</v>
      </c>
      <c r="J571" s="1186">
        <v>37289.978027344034</v>
      </c>
      <c r="K571" s="1186">
        <v>32999.0234375</v>
      </c>
      <c r="L571" s="1186">
        <v>28028.991699218011</v>
      </c>
      <c r="M571" s="1186">
        <v>33976.013183593976</v>
      </c>
      <c r="N571" s="1186">
        <v>31752.990722656024</v>
      </c>
      <c r="O571" s="1186">
        <v>27868.988037110001</v>
      </c>
      <c r="P571" s="756">
        <v>29325.012207031024</v>
      </c>
      <c r="Q571" s="174"/>
      <c r="T571" s="1094">
        <f>SUM(E571:P571)</f>
        <v>398169.99816894508</v>
      </c>
      <c r="U571" s="1223" t="s">
        <v>341</v>
      </c>
      <c r="W571" s="164">
        <f>T571*3413/1000000</f>
        <v>1358.9542037506096</v>
      </c>
      <c r="X571" s="162" t="s">
        <v>342</v>
      </c>
    </row>
    <row r="572" spans="1:26" s="157" customFormat="1" x14ac:dyDescent="0.25">
      <c r="A572" s="461"/>
      <c r="B572" s="135" t="s">
        <v>1137</v>
      </c>
      <c r="C572" s="599"/>
      <c r="E572" s="1188">
        <v>55.777971199999968</v>
      </c>
      <c r="F572" s="1188">
        <v>52.872012800000007</v>
      </c>
      <c r="G572" s="1188">
        <v>122.9539071999999</v>
      </c>
      <c r="H572" s="1188">
        <v>152.87403520000007</v>
      </c>
      <c r="I572" s="1188">
        <v>160.0262144000003</v>
      </c>
      <c r="J572" s="1188">
        <v>297.26371839999956</v>
      </c>
      <c r="K572" s="1188">
        <v>203.80820480000014</v>
      </c>
      <c r="L572" s="1188">
        <v>85.277875199999869</v>
      </c>
      <c r="M572" s="1188">
        <v>149.71980800000011</v>
      </c>
      <c r="N572" s="1188">
        <v>280.09011200000032</v>
      </c>
      <c r="O572" s="1189">
        <v>249.31020799999953</v>
      </c>
      <c r="P572" s="1188">
        <v>212.08985600000028</v>
      </c>
      <c r="Q572" s="174"/>
      <c r="T572" s="1094">
        <f>SUM(E572:P572)</f>
        <v>2022.0639232000001</v>
      </c>
      <c r="U572" s="188" t="s">
        <v>1138</v>
      </c>
      <c r="W572" s="160">
        <f>T572</f>
        <v>2022.0639232000001</v>
      </c>
      <c r="X572" s="138" t="s">
        <v>342</v>
      </c>
    </row>
    <row r="573" spans="1:26" s="157" customFormat="1" x14ac:dyDescent="0.25">
      <c r="A573" s="461"/>
      <c r="B573" s="153" t="s">
        <v>362</v>
      </c>
      <c r="C573" s="599"/>
      <c r="E573" s="1170">
        <v>325.45288085937</v>
      </c>
      <c r="F573" s="1170">
        <v>237.68408203125</v>
      </c>
      <c r="G573" s="1170">
        <v>66.031982421880002</v>
      </c>
      <c r="H573" s="1170">
        <v>37.02490234375</v>
      </c>
      <c r="I573" s="1170">
        <v>42.360107421869998</v>
      </c>
      <c r="J573" s="1170">
        <v>13.324951171880002</v>
      </c>
      <c r="K573" s="1170">
        <v>16.800048828119998</v>
      </c>
      <c r="L573" s="1170">
        <v>68.548828125</v>
      </c>
      <c r="M573" s="1170">
        <v>65.864990234380002</v>
      </c>
      <c r="N573" s="1170">
        <v>129.99609375</v>
      </c>
      <c r="O573" s="756">
        <v>277.84204101562</v>
      </c>
      <c r="P573" s="756">
        <v>417.53393554688</v>
      </c>
      <c r="Q573" s="178"/>
      <c r="T573" s="1094">
        <f t="shared" ref="T573:T577" si="25">SUM(E573:P573)</f>
        <v>1698.46484375</v>
      </c>
      <c r="U573" s="188" t="s">
        <v>870</v>
      </c>
      <c r="W573" s="140">
        <f>T573*99976.124488/100000</f>
        <v>1698.0593265724146</v>
      </c>
      <c r="X573" s="138" t="s">
        <v>342</v>
      </c>
      <c r="Y573" s="495">
        <f>W571+W572+W573</f>
        <v>5079.0774535230248</v>
      </c>
      <c r="Z573" s="153" t="s">
        <v>677</v>
      </c>
    </row>
    <row r="574" spans="1:26" s="157" customFormat="1" x14ac:dyDescent="0.25">
      <c r="A574" s="461"/>
      <c r="B574" s="135" t="s">
        <v>864</v>
      </c>
      <c r="C574" s="599"/>
      <c r="E574" s="1193">
        <v>49</v>
      </c>
      <c r="F574" s="1193">
        <v>83</v>
      </c>
      <c r="G574" s="1194">
        <v>70</v>
      </c>
      <c r="H574" s="1194">
        <v>70</v>
      </c>
      <c r="I574" s="1194">
        <v>53</v>
      </c>
      <c r="J574" s="1194">
        <v>60</v>
      </c>
      <c r="K574" s="1194">
        <v>75</v>
      </c>
      <c r="L574" s="1200">
        <v>66</v>
      </c>
      <c r="M574" s="750">
        <v>68</v>
      </c>
      <c r="N574" s="750">
        <v>36</v>
      </c>
      <c r="O574" s="750">
        <v>11</v>
      </c>
      <c r="P574" s="750">
        <v>12</v>
      </c>
      <c r="Q574" s="730"/>
      <c r="T574" s="1094">
        <f>SUM(E574:P574)</f>
        <v>653</v>
      </c>
      <c r="U574" s="188" t="s">
        <v>379</v>
      </c>
      <c r="W574" s="141">
        <f>T574*748</f>
        <v>488444</v>
      </c>
      <c r="X574" s="188" t="s">
        <v>346</v>
      </c>
    </row>
    <row r="575" spans="1:26" s="157" customFormat="1" x14ac:dyDescent="0.25">
      <c r="A575" s="461"/>
      <c r="B575" s="135" t="s">
        <v>324</v>
      </c>
      <c r="C575" s="599"/>
      <c r="E575" s="731">
        <v>2944.3819580077484</v>
      </c>
      <c r="F575" s="731">
        <v>3151.29714965823</v>
      </c>
      <c r="G575" s="731">
        <v>3192.1489868164599</v>
      </c>
      <c r="H575" s="731">
        <v>3061.6005249022896</v>
      </c>
      <c r="I575" s="731">
        <v>2866.4654541015816</v>
      </c>
      <c r="J575" s="731">
        <v>3206.9381103515866</v>
      </c>
      <c r="K575" s="731">
        <v>2837.916015625</v>
      </c>
      <c r="L575" s="731">
        <v>2410.4932861327488</v>
      </c>
      <c r="M575" s="731">
        <v>2921.9371337890816</v>
      </c>
      <c r="N575" s="731">
        <v>2730.7572021484179</v>
      </c>
      <c r="O575" s="731">
        <v>2396.7329711914599</v>
      </c>
      <c r="P575" s="731">
        <v>2551.2760620116987</v>
      </c>
      <c r="Q575" s="1162"/>
      <c r="T575" s="775">
        <f t="shared" si="25"/>
        <v>34271.944854736306</v>
      </c>
      <c r="U575" s="188"/>
      <c r="W575" s="190">
        <f>T575</f>
        <v>34271.944854736306</v>
      </c>
      <c r="X575" s="188"/>
    </row>
    <row r="576" spans="1:26" s="157" customFormat="1" x14ac:dyDescent="0.25">
      <c r="A576" s="461"/>
      <c r="B576" s="144" t="s">
        <v>348</v>
      </c>
      <c r="C576" s="599"/>
      <c r="E576" s="731">
        <v>749.57262848000107</v>
      </c>
      <c r="F576" s="731">
        <v>819.59997184000201</v>
      </c>
      <c r="G576" s="731">
        <v>1501.1539711999994</v>
      </c>
      <c r="H576" s="731">
        <v>1797.7392575999977</v>
      </c>
      <c r="I576" s="731">
        <v>1889.4665420800036</v>
      </c>
      <c r="J576" s="731">
        <v>3289.1170291199996</v>
      </c>
      <c r="K576" s="731">
        <v>2410.4690854399973</v>
      </c>
      <c r="L576" s="731">
        <v>1078.5612864000002</v>
      </c>
      <c r="M576" s="731">
        <v>1097.98</v>
      </c>
      <c r="N576" s="731">
        <v>843.57</v>
      </c>
      <c r="O576" s="731">
        <v>535.6</v>
      </c>
      <c r="P576" s="731">
        <v>489.09283840000325</v>
      </c>
      <c r="Q576" s="1162"/>
      <c r="T576" s="775">
        <f t="shared" si="25"/>
        <v>16501.922610560003</v>
      </c>
      <c r="U576" s="188"/>
      <c r="W576" s="190">
        <f>T576</f>
        <v>16501.922610560003</v>
      </c>
      <c r="X576" s="188"/>
    </row>
    <row r="577" spans="1:26" s="157" customFormat="1" ht="16.5" x14ac:dyDescent="0.35">
      <c r="A577" s="461"/>
      <c r="B577" s="195" t="s">
        <v>398</v>
      </c>
      <c r="C577" s="599"/>
      <c r="E577" s="731">
        <v>4337.364399414063</v>
      </c>
      <c r="F577" s="731">
        <v>3703.3494555664761</v>
      </c>
      <c r="G577" s="731">
        <v>1439.1896728515626</v>
      </c>
      <c r="H577" s="731">
        <v>1011.3277270507114</v>
      </c>
      <c r="I577" s="731">
        <v>1102.5420043946012</v>
      </c>
      <c r="J577" s="731">
        <v>409.71049560539888</v>
      </c>
      <c r="K577" s="731">
        <v>503.07347900397616</v>
      </c>
      <c r="L577" s="731">
        <v>1063.916455078125</v>
      </c>
      <c r="M577" s="731">
        <v>1440.6255541991488</v>
      </c>
      <c r="N577" s="731">
        <v>1989.7768408203126</v>
      </c>
      <c r="O577" s="731">
        <v>3558.9257128906252</v>
      </c>
      <c r="P577" s="731">
        <v>4747.6514770508456</v>
      </c>
      <c r="Q577" s="1162"/>
      <c r="T577" s="775">
        <f t="shared" si="25"/>
        <v>25307.453273925843</v>
      </c>
      <c r="U577" s="188"/>
      <c r="W577" s="197">
        <f>T577</f>
        <v>25307.453273925843</v>
      </c>
      <c r="X577" s="188"/>
    </row>
    <row r="578" spans="1:26" s="125" customFormat="1" x14ac:dyDescent="0.25">
      <c r="A578" s="461"/>
      <c r="B578" s="205"/>
      <c r="C578" s="152"/>
      <c r="E578" s="201"/>
      <c r="F578" s="206"/>
      <c r="G578" s="202"/>
      <c r="H578" s="203"/>
      <c r="I578" s="203"/>
      <c r="J578" s="203"/>
      <c r="K578" s="203"/>
      <c r="L578" s="203"/>
      <c r="M578" s="203"/>
      <c r="N578" s="203"/>
      <c r="O578" s="203"/>
      <c r="P578" s="203"/>
      <c r="U578" s="126"/>
      <c r="W578" s="190">
        <f>SUM(W575:W577)</f>
        <v>76081.320739222152</v>
      </c>
      <c r="X578" s="450"/>
      <c r="Y578" s="157"/>
      <c r="Z578" s="157"/>
    </row>
    <row r="580" spans="1:26" x14ac:dyDescent="0.25">
      <c r="A580" s="462">
        <v>59</v>
      </c>
      <c r="B580" s="666" t="s">
        <v>1013</v>
      </c>
      <c r="T580" s="666" t="s">
        <v>1013</v>
      </c>
    </row>
    <row r="581" spans="1:26" s="125" customFormat="1" x14ac:dyDescent="0.25">
      <c r="A581" s="461"/>
      <c r="B581" s="130" t="s">
        <v>337</v>
      </c>
      <c r="C581" s="131">
        <v>42156</v>
      </c>
      <c r="D581" s="131">
        <v>42186</v>
      </c>
      <c r="E581" s="131">
        <v>42217</v>
      </c>
      <c r="F581" s="131">
        <v>42248</v>
      </c>
      <c r="G581" s="131">
        <v>42278</v>
      </c>
      <c r="H581" s="131">
        <v>42309</v>
      </c>
      <c r="I581" s="131">
        <v>42339</v>
      </c>
      <c r="J581" s="131">
        <v>42370</v>
      </c>
      <c r="K581" s="131">
        <v>42401</v>
      </c>
      <c r="L581" s="131">
        <v>42430</v>
      </c>
      <c r="M581" s="131">
        <v>42461</v>
      </c>
      <c r="N581" s="131">
        <v>42491</v>
      </c>
      <c r="O581" s="131">
        <v>42522</v>
      </c>
      <c r="P581" s="131">
        <v>42552</v>
      </c>
      <c r="Q581" s="151">
        <v>42583</v>
      </c>
      <c r="R581" s="131">
        <v>42627</v>
      </c>
      <c r="S581" s="132"/>
      <c r="T581" s="133" t="s">
        <v>338</v>
      </c>
      <c r="U581" s="134" t="s">
        <v>339</v>
      </c>
      <c r="V581" s="132"/>
      <c r="W581" s="133" t="s">
        <v>338</v>
      </c>
      <c r="X581" s="134" t="s">
        <v>339</v>
      </c>
      <c r="Y581" s="157"/>
      <c r="Z581" s="157"/>
    </row>
    <row r="582" spans="1:26" s="157" customFormat="1" x14ac:dyDescent="0.25">
      <c r="A582" s="461"/>
      <c r="B582" s="135" t="s">
        <v>319</v>
      </c>
      <c r="C582" s="599"/>
      <c r="E582" s="1170">
        <v>36541.9921875</v>
      </c>
      <c r="F582" s="1170">
        <v>32219.970703125</v>
      </c>
      <c r="G582" s="1170">
        <v>32330.017089843976</v>
      </c>
      <c r="H582" s="1202">
        <v>28742.980957031024</v>
      </c>
      <c r="I582" s="1186">
        <v>30244.995117187955</v>
      </c>
      <c r="J582" s="1186">
        <v>32134.051895141147</v>
      </c>
      <c r="K582" s="1186">
        <v>30700.9983062744</v>
      </c>
      <c r="L582" s="1186">
        <v>35416.004180908203</v>
      </c>
      <c r="M582" s="1186">
        <v>36603.996276855301</v>
      </c>
      <c r="N582" s="1186">
        <v>32574.996948242002</v>
      </c>
      <c r="O582" s="1186">
        <v>32916.000366210996</v>
      </c>
      <c r="P582" s="756">
        <v>37680.00793457</v>
      </c>
      <c r="Q582" s="174"/>
      <c r="T582" s="141">
        <f>SUM(E582:P582)</f>
        <v>398106.01196289004</v>
      </c>
      <c r="U582" s="188" t="s">
        <v>341</v>
      </c>
      <c r="W582" s="140">
        <f>T582*3413/1000000</f>
        <v>1358.7358188293438</v>
      </c>
      <c r="X582" s="138" t="s">
        <v>342</v>
      </c>
    </row>
    <row r="583" spans="1:26" s="157" customFormat="1" x14ac:dyDescent="0.25">
      <c r="A583" s="461"/>
      <c r="B583" s="135" t="s">
        <v>1137</v>
      </c>
      <c r="C583" s="599"/>
      <c r="E583" s="1188">
        <v>55.777971199999968</v>
      </c>
      <c r="F583" s="1188">
        <v>52.872012800000007</v>
      </c>
      <c r="G583" s="1188">
        <v>122.9539071999999</v>
      </c>
      <c r="H583" s="1188">
        <v>152.87403520000007</v>
      </c>
      <c r="I583" s="1188">
        <v>160.0262144000003</v>
      </c>
      <c r="J583" s="1188">
        <v>297.26371839999956</v>
      </c>
      <c r="K583" s="1188">
        <v>203.80820480000014</v>
      </c>
      <c r="L583" s="1188">
        <v>85.277875199999869</v>
      </c>
      <c r="M583" s="1188">
        <v>149.71980800000011</v>
      </c>
      <c r="N583" s="1188">
        <v>280.09011200000032</v>
      </c>
      <c r="O583" s="1189">
        <v>249.31020799999953</v>
      </c>
      <c r="P583" s="1188">
        <v>212.08985600000028</v>
      </c>
      <c r="Q583" s="174"/>
      <c r="T583" s="141">
        <f>SUM(E583:P583)</f>
        <v>2022.0639232000001</v>
      </c>
      <c r="U583" s="188" t="s">
        <v>1138</v>
      </c>
      <c r="W583" s="160">
        <f>T583</f>
        <v>2022.0639232000001</v>
      </c>
      <c r="X583" s="138" t="s">
        <v>342</v>
      </c>
    </row>
    <row r="584" spans="1:26" s="157" customFormat="1" x14ac:dyDescent="0.25">
      <c r="A584" s="461"/>
      <c r="B584" s="153" t="s">
        <v>362</v>
      </c>
      <c r="C584" s="599"/>
      <c r="E584" s="1170">
        <v>325.45288085937</v>
      </c>
      <c r="F584" s="1170">
        <v>237.68408203125</v>
      </c>
      <c r="G584" s="1170">
        <v>66.031982421880002</v>
      </c>
      <c r="H584" s="1170">
        <v>37.02490234375</v>
      </c>
      <c r="I584" s="1170">
        <v>42.360107421869998</v>
      </c>
      <c r="J584" s="1170">
        <v>13.324951171880002</v>
      </c>
      <c r="K584" s="1170">
        <v>16.800048828119998</v>
      </c>
      <c r="L584" s="1170">
        <v>68.548828125</v>
      </c>
      <c r="M584" s="1170">
        <v>65.864990234380002</v>
      </c>
      <c r="N584" s="1170">
        <v>129.99609375</v>
      </c>
      <c r="O584" s="756">
        <v>277.84204101562</v>
      </c>
      <c r="P584" s="756">
        <v>417.53393554688</v>
      </c>
      <c r="Q584" s="178"/>
      <c r="T584" s="141">
        <f t="shared" ref="T584:T588" si="26">SUM(E584:P584)</f>
        <v>1698.46484375</v>
      </c>
      <c r="U584" s="188" t="s">
        <v>870</v>
      </c>
      <c r="W584" s="140">
        <f>T584*99976.124488/100000</f>
        <v>1698.0593265724146</v>
      </c>
      <c r="X584" s="138" t="s">
        <v>342</v>
      </c>
      <c r="Y584" s="495">
        <f>W582+W583+W584</f>
        <v>5078.8590686017587</v>
      </c>
      <c r="Z584" s="153" t="s">
        <v>677</v>
      </c>
    </row>
    <row r="585" spans="1:26" s="157" customFormat="1" x14ac:dyDescent="0.25">
      <c r="A585" s="461"/>
      <c r="B585" s="135" t="s">
        <v>864</v>
      </c>
      <c r="C585" s="599"/>
      <c r="E585" s="1193">
        <v>35</v>
      </c>
      <c r="F585" s="1193">
        <v>12</v>
      </c>
      <c r="G585" s="1194">
        <v>12</v>
      </c>
      <c r="H585" s="1194">
        <v>11</v>
      </c>
      <c r="I585" s="1194">
        <v>9</v>
      </c>
      <c r="J585" s="1194">
        <v>4</v>
      </c>
      <c r="K585" s="1194">
        <v>18</v>
      </c>
      <c r="L585" s="1200">
        <v>20</v>
      </c>
      <c r="M585" s="750">
        <v>18</v>
      </c>
      <c r="N585" s="750">
        <v>11</v>
      </c>
      <c r="O585" s="750">
        <v>22</v>
      </c>
      <c r="P585" s="750">
        <v>34</v>
      </c>
      <c r="Q585" s="730"/>
      <c r="T585" s="141">
        <f t="shared" si="26"/>
        <v>206</v>
      </c>
      <c r="U585" s="188" t="s">
        <v>379</v>
      </c>
      <c r="W585" s="141">
        <f>T585*748</f>
        <v>154088</v>
      </c>
      <c r="X585" s="188" t="s">
        <v>346</v>
      </c>
    </row>
    <row r="586" spans="1:26" s="157" customFormat="1" x14ac:dyDescent="0.25">
      <c r="A586" s="461"/>
      <c r="B586" s="135" t="s">
        <v>324</v>
      </c>
      <c r="C586" s="599"/>
      <c r="E586" s="731">
        <v>3142.6113281249995</v>
      </c>
      <c r="F586" s="731">
        <v>2770.91748046875</v>
      </c>
      <c r="G586" s="731">
        <v>2780.3814697265816</v>
      </c>
      <c r="H586" s="731">
        <v>2471.8963623046679</v>
      </c>
      <c r="I586" s="731">
        <v>2601.0695800781641</v>
      </c>
      <c r="J586" s="731">
        <v>2763.5284629821385</v>
      </c>
      <c r="K586" s="731">
        <v>2640.2858543395982</v>
      </c>
      <c r="L586" s="731">
        <v>3045.776359558105</v>
      </c>
      <c r="M586" s="731">
        <v>3147.9436798095558</v>
      </c>
      <c r="N586" s="731">
        <v>2801.4497375488118</v>
      </c>
      <c r="O586" s="731">
        <v>2830.7760314941456</v>
      </c>
      <c r="P586" s="731">
        <v>3278.1606903075899</v>
      </c>
      <c r="Q586" s="1162"/>
      <c r="T586" s="141">
        <f t="shared" si="26"/>
        <v>34274.797036743112</v>
      </c>
      <c r="U586" s="188"/>
      <c r="W586" s="190">
        <f>T586</f>
        <v>34274.797036743112</v>
      </c>
      <c r="X586" s="188"/>
    </row>
    <row r="587" spans="1:26" s="157" customFormat="1" x14ac:dyDescent="0.25">
      <c r="A587" s="461"/>
      <c r="B587" s="144" t="s">
        <v>348</v>
      </c>
      <c r="C587" s="599"/>
      <c r="E587" s="731">
        <v>746.86703436799962</v>
      </c>
      <c r="F587" s="731">
        <v>707.95625139200013</v>
      </c>
      <c r="G587" s="731">
        <v>1646.3528174079988</v>
      </c>
      <c r="H587" s="731">
        <v>2046.983331328001</v>
      </c>
      <c r="I587" s="731">
        <v>2142.7510108160041</v>
      </c>
      <c r="J587" s="731">
        <v>3980.3611893759944</v>
      </c>
      <c r="K587" s="731">
        <v>2728.991862272002</v>
      </c>
      <c r="L587" s="731">
        <v>1141.8707489279982</v>
      </c>
      <c r="M587" s="731">
        <v>2004.7482291200017</v>
      </c>
      <c r="N587" s="731">
        <v>3750.4065996800045</v>
      </c>
      <c r="O587" s="731">
        <v>3338.2636851199941</v>
      </c>
      <c r="P587" s="731">
        <v>2549.3200691200032</v>
      </c>
      <c r="Q587" s="1162"/>
      <c r="T587" s="141">
        <f t="shared" si="26"/>
        <v>26784.872828928001</v>
      </c>
      <c r="U587" s="188"/>
      <c r="W587" s="190">
        <f>T587</f>
        <v>26784.872828928001</v>
      </c>
      <c r="X587" s="188"/>
    </row>
    <row r="588" spans="1:26" s="157" customFormat="1" ht="16.5" x14ac:dyDescent="0.35">
      <c r="A588" s="461"/>
      <c r="B588" s="195" t="s">
        <v>398</v>
      </c>
      <c r="C588" s="599"/>
      <c r="E588" s="731">
        <v>4546.5767456053991</v>
      </c>
      <c r="F588" s="731">
        <v>3320.4466259765627</v>
      </c>
      <c r="G588" s="731">
        <v>922.46679443366372</v>
      </c>
      <c r="H588" s="731">
        <v>517.23788574218747</v>
      </c>
      <c r="I588" s="731">
        <v>591.77070068352384</v>
      </c>
      <c r="J588" s="731">
        <v>186.14956787116364</v>
      </c>
      <c r="K588" s="731">
        <v>234.69668212883639</v>
      </c>
      <c r="L588" s="731">
        <v>957.62712890625005</v>
      </c>
      <c r="M588" s="731">
        <v>920.13391357428873</v>
      </c>
      <c r="N588" s="731">
        <v>1816.0454296875</v>
      </c>
      <c r="O588" s="731">
        <v>3881.4533129882116</v>
      </c>
      <c r="P588" s="731">
        <v>5407.064465332096</v>
      </c>
      <c r="Q588" s="1162"/>
      <c r="T588" s="141">
        <f t="shared" si="26"/>
        <v>23301.669252929685</v>
      </c>
      <c r="U588" s="188"/>
      <c r="W588" s="197">
        <f>T588</f>
        <v>23301.669252929685</v>
      </c>
      <c r="X588" s="188"/>
    </row>
    <row r="589" spans="1:26" s="125" customFormat="1" x14ac:dyDescent="0.25">
      <c r="A589" s="461"/>
      <c r="B589" s="205"/>
      <c r="C589" s="152"/>
      <c r="E589" s="201"/>
      <c r="F589" s="206"/>
      <c r="G589" s="202"/>
      <c r="H589" s="203"/>
      <c r="I589" s="203"/>
      <c r="J589" s="203"/>
      <c r="K589" s="203"/>
      <c r="L589" s="203"/>
      <c r="M589" s="203"/>
      <c r="N589" s="203"/>
      <c r="O589" s="203"/>
      <c r="P589" s="203"/>
      <c r="U589" s="126"/>
      <c r="W589" s="190">
        <f>SUM(W586:W588)</f>
        <v>84361.339118600794</v>
      </c>
      <c r="X589" s="450"/>
      <c r="Y589" s="157"/>
      <c r="Z589" s="157"/>
    </row>
    <row r="591" spans="1:26" x14ac:dyDescent="0.25">
      <c r="A591" s="462">
        <v>60</v>
      </c>
      <c r="B591" s="666" t="s">
        <v>1014</v>
      </c>
      <c r="T591" s="666" t="s">
        <v>1014</v>
      </c>
    </row>
    <row r="592" spans="1:26" s="125" customFormat="1" x14ac:dyDescent="0.25">
      <c r="A592" s="461"/>
      <c r="B592" s="130" t="s">
        <v>337</v>
      </c>
      <c r="C592" s="131">
        <v>42156</v>
      </c>
      <c r="D592" s="131">
        <v>42186</v>
      </c>
      <c r="E592" s="131">
        <v>42217</v>
      </c>
      <c r="F592" s="131">
        <v>42248</v>
      </c>
      <c r="G592" s="131">
        <v>42278</v>
      </c>
      <c r="H592" s="131">
        <v>42309</v>
      </c>
      <c r="I592" s="131">
        <v>42339</v>
      </c>
      <c r="J592" s="131">
        <v>42370</v>
      </c>
      <c r="K592" s="131">
        <v>42401</v>
      </c>
      <c r="L592" s="131">
        <v>42430</v>
      </c>
      <c r="M592" s="131">
        <v>42461</v>
      </c>
      <c r="N592" s="131">
        <v>42491</v>
      </c>
      <c r="O592" s="131">
        <v>42522</v>
      </c>
      <c r="P592" s="131">
        <v>42552</v>
      </c>
      <c r="Q592" s="151">
        <v>42583</v>
      </c>
      <c r="R592" s="131">
        <v>42627</v>
      </c>
      <c r="S592" s="132"/>
      <c r="T592" s="133" t="s">
        <v>338</v>
      </c>
      <c r="U592" s="134" t="s">
        <v>339</v>
      </c>
      <c r="V592" s="132"/>
      <c r="W592" s="133" t="s">
        <v>338</v>
      </c>
      <c r="X592" s="134" t="s">
        <v>339</v>
      </c>
      <c r="Y592" s="157"/>
      <c r="Z592" s="157"/>
    </row>
    <row r="593" spans="1:26" s="125" customFormat="1" x14ac:dyDescent="0.25">
      <c r="A593" s="461"/>
      <c r="B593" s="135" t="s">
        <v>340</v>
      </c>
      <c r="C593" s="606"/>
      <c r="D593" s="593">
        <v>44997</v>
      </c>
      <c r="E593" s="593">
        <v>41362</v>
      </c>
      <c r="F593" s="593">
        <v>31658</v>
      </c>
      <c r="G593" s="593">
        <v>33749</v>
      </c>
      <c r="H593" s="593">
        <v>24073</v>
      </c>
      <c r="I593" s="593">
        <v>24187</v>
      </c>
      <c r="J593" s="593">
        <v>26355</v>
      </c>
      <c r="K593" s="593">
        <v>25999</v>
      </c>
      <c r="L593" s="593">
        <v>28659</v>
      </c>
      <c r="M593" s="593">
        <v>31857</v>
      </c>
      <c r="N593" s="593">
        <v>33705</v>
      </c>
      <c r="O593" s="1597">
        <v>36789</v>
      </c>
      <c r="P593" s="174"/>
      <c r="Q593" s="174"/>
      <c r="R593" s="174"/>
      <c r="T593" s="140">
        <f>SUM(C593:S593)</f>
        <v>383390</v>
      </c>
      <c r="U593" s="138" t="s">
        <v>341</v>
      </c>
      <c r="V593" s="139"/>
      <c r="W593" s="140">
        <f>T593*3413/1000000</f>
        <v>1308.51007</v>
      </c>
      <c r="X593" s="138" t="s">
        <v>342</v>
      </c>
      <c r="Y593" s="157"/>
      <c r="Z593" s="157"/>
    </row>
    <row r="594" spans="1:26" s="125" customFormat="1" x14ac:dyDescent="0.25">
      <c r="A594" s="461"/>
      <c r="B594" s="135" t="s">
        <v>372</v>
      </c>
      <c r="C594" s="606"/>
      <c r="D594" s="593">
        <v>117</v>
      </c>
      <c r="E594" s="593">
        <v>148</v>
      </c>
      <c r="F594" s="593">
        <v>346</v>
      </c>
      <c r="G594" s="593">
        <v>663</v>
      </c>
      <c r="H594" s="593">
        <v>978</v>
      </c>
      <c r="I594" s="593">
        <v>782</v>
      </c>
      <c r="J594" s="593">
        <v>1915</v>
      </c>
      <c r="K594" s="593">
        <v>1732</v>
      </c>
      <c r="L594" s="593">
        <v>455</v>
      </c>
      <c r="M594" s="593">
        <v>305</v>
      </c>
      <c r="N594" s="593">
        <v>232</v>
      </c>
      <c r="O594" s="593">
        <v>133</v>
      </c>
      <c r="P594" s="174"/>
      <c r="Q594" s="174"/>
      <c r="R594" s="174"/>
      <c r="T594" s="140">
        <f>SUM(C594:S594)</f>
        <v>7806</v>
      </c>
      <c r="U594" s="138" t="s">
        <v>354</v>
      </c>
      <c r="V594" s="139"/>
      <c r="W594" s="140">
        <f>T594*99976.124488/1000000</f>
        <v>780.413627753328</v>
      </c>
      <c r="X594" s="138" t="s">
        <v>342</v>
      </c>
      <c r="Y594" s="495">
        <f>W593+W594</f>
        <v>2088.9236977533283</v>
      </c>
      <c r="Z594" s="153" t="s">
        <v>677</v>
      </c>
    </row>
    <row r="595" spans="1:26" s="125" customFormat="1" x14ac:dyDescent="0.25">
      <c r="A595" s="461"/>
      <c r="B595" s="135" t="s">
        <v>345</v>
      </c>
      <c r="C595" s="606"/>
      <c r="D595" s="593">
        <v>2244</v>
      </c>
      <c r="E595" s="593">
        <v>7480</v>
      </c>
      <c r="F595" s="593">
        <v>6732</v>
      </c>
      <c r="G595" s="593">
        <v>20944</v>
      </c>
      <c r="H595" s="593">
        <v>4488</v>
      </c>
      <c r="I595" s="593">
        <v>1496</v>
      </c>
      <c r="J595" s="593">
        <v>2992</v>
      </c>
      <c r="K595" s="593">
        <v>3740</v>
      </c>
      <c r="L595" s="593">
        <v>3740</v>
      </c>
      <c r="M595" s="593">
        <v>4488</v>
      </c>
      <c r="N595" s="593">
        <v>2244</v>
      </c>
      <c r="O595" s="1598">
        <v>2992</v>
      </c>
      <c r="P595" s="178"/>
      <c r="Q595" s="178"/>
      <c r="R595" s="178"/>
      <c r="T595" s="140">
        <f>SUM(C595:S595)</f>
        <v>63580</v>
      </c>
      <c r="U595" s="138" t="s">
        <v>346</v>
      </c>
      <c r="V595" s="139"/>
      <c r="W595" s="137">
        <f>T595</f>
        <v>63580</v>
      </c>
      <c r="X595" s="138" t="s">
        <v>346</v>
      </c>
      <c r="Y595" s="157"/>
      <c r="Z595" s="157"/>
    </row>
    <row r="596" spans="1:26" s="125" customFormat="1" x14ac:dyDescent="0.25">
      <c r="A596" s="461"/>
      <c r="B596" s="135" t="s">
        <v>324</v>
      </c>
      <c r="C596" s="606"/>
      <c r="D596" s="1489">
        <v>3935.36</v>
      </c>
      <c r="E596" s="1489">
        <v>3578.18</v>
      </c>
      <c r="F596" s="1489">
        <v>2741.16</v>
      </c>
      <c r="G596" s="1489">
        <v>2819.97</v>
      </c>
      <c r="H596" s="1489">
        <v>2196.4</v>
      </c>
      <c r="I596" s="1489">
        <v>2245.9699999999998</v>
      </c>
      <c r="J596" s="1489">
        <v>2422.46</v>
      </c>
      <c r="K596" s="1489">
        <v>2353.69</v>
      </c>
      <c r="L596" s="1489">
        <v>2509.35</v>
      </c>
      <c r="M596" s="1489">
        <v>2734.19</v>
      </c>
      <c r="N596" s="1489">
        <v>3138.44</v>
      </c>
      <c r="O596" s="1599">
        <v>3332.3</v>
      </c>
      <c r="P596" s="176"/>
      <c r="Q596" s="176"/>
      <c r="R596" s="176"/>
      <c r="T596" s="143">
        <f>SUM(C596:S596)</f>
        <v>34007.469999999994</v>
      </c>
      <c r="U596" s="138"/>
      <c r="V596" s="139"/>
      <c r="W596" s="143">
        <f>T596</f>
        <v>34007.469999999994</v>
      </c>
      <c r="X596" s="138"/>
      <c r="Y596" s="157"/>
      <c r="Z596" s="157"/>
    </row>
    <row r="597" spans="1:26" s="125" customFormat="1" ht="16.5" x14ac:dyDescent="0.35">
      <c r="A597" s="461"/>
      <c r="B597" s="144" t="s">
        <v>374</v>
      </c>
      <c r="C597" s="607"/>
      <c r="D597" s="1489">
        <v>110.51</v>
      </c>
      <c r="E597" s="1489">
        <v>134.5</v>
      </c>
      <c r="F597" s="1489">
        <v>282.95</v>
      </c>
      <c r="G597" s="1489">
        <v>534.5</v>
      </c>
      <c r="H597" s="1489">
        <v>740.98</v>
      </c>
      <c r="I597" s="1489">
        <v>596.41</v>
      </c>
      <c r="J597" s="1489">
        <v>1393.45</v>
      </c>
      <c r="K597" s="1489">
        <v>1262.55</v>
      </c>
      <c r="L597" s="1489">
        <v>338.18</v>
      </c>
      <c r="M597" s="1489">
        <v>246.59</v>
      </c>
      <c r="N597" s="1489">
        <v>193.27</v>
      </c>
      <c r="O597" s="1489">
        <v>121.22</v>
      </c>
      <c r="P597" s="179"/>
      <c r="Q597" s="179"/>
      <c r="R597" s="179"/>
      <c r="T597" s="143">
        <f>SUM(C597:S597)</f>
        <v>5955.1100000000015</v>
      </c>
      <c r="U597" s="138"/>
      <c r="V597" s="139"/>
      <c r="W597" s="146">
        <f>T597</f>
        <v>5955.1100000000015</v>
      </c>
      <c r="X597" s="138"/>
      <c r="Y597" s="157"/>
      <c r="Z597" s="157"/>
    </row>
    <row r="598" spans="1:26" x14ac:dyDescent="0.25">
      <c r="W598" s="143">
        <f>SUM(W596:W597)</f>
        <v>39962.579999999994</v>
      </c>
      <c r="X598" s="138"/>
    </row>
    <row r="600" spans="1:26" x14ac:dyDescent="0.25">
      <c r="A600" s="462">
        <v>61</v>
      </c>
      <c r="B600" s="666" t="s">
        <v>1015</v>
      </c>
      <c r="T600" s="666" t="s">
        <v>1015</v>
      </c>
    </row>
    <row r="601" spans="1:26" s="125" customFormat="1" x14ac:dyDescent="0.25">
      <c r="A601" s="461"/>
      <c r="B601" s="130" t="s">
        <v>337</v>
      </c>
      <c r="C601" s="131">
        <v>42156</v>
      </c>
      <c r="D601" s="131">
        <v>42186</v>
      </c>
      <c r="E601" s="131">
        <v>42217</v>
      </c>
      <c r="F601" s="131">
        <v>42248</v>
      </c>
      <c r="G601" s="131">
        <v>42278</v>
      </c>
      <c r="H601" s="131">
        <v>42309</v>
      </c>
      <c r="I601" s="131">
        <v>42339</v>
      </c>
      <c r="J601" s="131">
        <v>42370</v>
      </c>
      <c r="K601" s="131">
        <v>42401</v>
      </c>
      <c r="L601" s="131">
        <v>42430</v>
      </c>
      <c r="M601" s="131">
        <v>42461</v>
      </c>
      <c r="N601" s="131">
        <v>42491</v>
      </c>
      <c r="O601" s="131">
        <v>42522</v>
      </c>
      <c r="P601" s="131">
        <v>42552</v>
      </c>
      <c r="Q601" s="151">
        <v>42583</v>
      </c>
      <c r="R601" s="131">
        <v>42627</v>
      </c>
      <c r="S601" s="132"/>
      <c r="T601" s="133" t="s">
        <v>338</v>
      </c>
      <c r="U601" s="134" t="s">
        <v>339</v>
      </c>
      <c r="V601" s="132"/>
      <c r="W601" s="133" t="s">
        <v>338</v>
      </c>
      <c r="X601" s="134" t="s">
        <v>339</v>
      </c>
      <c r="Y601" s="157"/>
      <c r="Z601" s="157"/>
    </row>
    <row r="602" spans="1:26" s="125" customFormat="1" x14ac:dyDescent="0.25">
      <c r="A602" s="461"/>
      <c r="B602" s="135" t="s">
        <v>340</v>
      </c>
      <c r="C602" s="606"/>
      <c r="D602" s="454">
        <v>186825</v>
      </c>
      <c r="E602" s="454">
        <v>183184</v>
      </c>
      <c r="F602" s="454">
        <v>161861</v>
      </c>
      <c r="G602" s="454">
        <v>129523</v>
      </c>
      <c r="H602" s="454">
        <v>130154</v>
      </c>
      <c r="I602" s="454">
        <v>131739</v>
      </c>
      <c r="J602" s="454">
        <v>106152</v>
      </c>
      <c r="K602" s="454">
        <v>121893</v>
      </c>
      <c r="L602" s="454">
        <v>138818</v>
      </c>
      <c r="M602" s="454">
        <v>148064</v>
      </c>
      <c r="N602" s="454">
        <v>134975</v>
      </c>
      <c r="O602" s="136">
        <v>163897</v>
      </c>
      <c r="Q602" s="174"/>
      <c r="R602" s="174"/>
      <c r="T602" s="140">
        <f>SUM(C602:S602)</f>
        <v>1737085</v>
      </c>
      <c r="U602" s="138" t="s">
        <v>341</v>
      </c>
      <c r="V602" s="139"/>
      <c r="W602" s="140">
        <f>T602*3413/1000000</f>
        <v>5928.6711050000004</v>
      </c>
      <c r="X602" s="138" t="s">
        <v>342</v>
      </c>
      <c r="Y602" s="157"/>
      <c r="Z602" s="157"/>
    </row>
    <row r="603" spans="1:26" s="125" customFormat="1" x14ac:dyDescent="0.25">
      <c r="A603" s="461"/>
      <c r="B603" s="135" t="s">
        <v>372</v>
      </c>
      <c r="C603" s="606"/>
      <c r="D603" s="454">
        <v>1390</v>
      </c>
      <c r="E603" s="454">
        <v>968</v>
      </c>
      <c r="F603" s="454">
        <v>1881</v>
      </c>
      <c r="G603" s="454">
        <v>2020</v>
      </c>
      <c r="H603" s="454">
        <v>2621</v>
      </c>
      <c r="I603" s="454">
        <v>3487</v>
      </c>
      <c r="J603" s="454">
        <v>3868</v>
      </c>
      <c r="K603" s="454">
        <v>4816</v>
      </c>
      <c r="L603" s="454">
        <v>3136</v>
      </c>
      <c r="M603" s="454">
        <v>2768</v>
      </c>
      <c r="N603" s="454">
        <v>2998</v>
      </c>
      <c r="O603" s="136">
        <v>1892</v>
      </c>
      <c r="Q603" s="174"/>
      <c r="R603" s="174"/>
      <c r="T603" s="140">
        <f>SUM(C603:S603)</f>
        <v>31845</v>
      </c>
      <c r="U603" s="138" t="s">
        <v>354</v>
      </c>
      <c r="V603" s="139"/>
      <c r="W603" s="140">
        <f>T603*99976.124488/1000000</f>
        <v>3183.7396843203601</v>
      </c>
      <c r="X603" s="138" t="s">
        <v>342</v>
      </c>
      <c r="Y603" s="495">
        <f>W602+W603</f>
        <v>9112.41078932036</v>
      </c>
      <c r="Z603" s="153" t="s">
        <v>677</v>
      </c>
    </row>
    <row r="604" spans="1:26" s="125" customFormat="1" x14ac:dyDescent="0.25">
      <c r="A604" s="461"/>
      <c r="B604" s="135" t="s">
        <v>366</v>
      </c>
      <c r="C604" s="606"/>
      <c r="D604" s="454">
        <v>26755</v>
      </c>
      <c r="E604" s="454">
        <v>65503</v>
      </c>
      <c r="F604" s="454">
        <v>67495</v>
      </c>
      <c r="G604" s="454">
        <v>65577</v>
      </c>
      <c r="H604" s="454">
        <v>65709</v>
      </c>
      <c r="I604" s="454">
        <v>40024</v>
      </c>
      <c r="J604" s="454">
        <v>50489</v>
      </c>
      <c r="K604" s="454">
        <v>59711</v>
      </c>
      <c r="L604" s="454">
        <v>55065</v>
      </c>
      <c r="M604" s="454">
        <v>68618</v>
      </c>
      <c r="N604" s="454">
        <v>60481</v>
      </c>
      <c r="O604" s="136">
        <v>43399</v>
      </c>
      <c r="Q604" s="178"/>
      <c r="R604" s="178"/>
      <c r="T604" s="140">
        <f>SUM(C604:S604)</f>
        <v>668826</v>
      </c>
      <c r="U604" s="138" t="s">
        <v>367</v>
      </c>
      <c r="V604" s="139"/>
      <c r="W604" s="137">
        <f>T604*7.48</f>
        <v>5002818.4800000004</v>
      </c>
      <c r="X604" s="138" t="s">
        <v>346</v>
      </c>
      <c r="Y604" s="157"/>
      <c r="Z604" s="157"/>
    </row>
    <row r="605" spans="1:26" s="125" customFormat="1" x14ac:dyDescent="0.25">
      <c r="A605" s="461"/>
      <c r="B605" s="135" t="s">
        <v>324</v>
      </c>
      <c r="C605" s="606"/>
      <c r="D605" s="455">
        <v>12472.52875625</v>
      </c>
      <c r="E605" s="455">
        <v>12235.0900675583</v>
      </c>
      <c r="F605" s="455">
        <v>10817.772040137615</v>
      </c>
      <c r="G605" s="455">
        <v>7914.9157000487894</v>
      </c>
      <c r="H605" s="455">
        <v>7322.9717167134504</v>
      </c>
      <c r="I605" s="455">
        <v>7418.1156187105262</v>
      </c>
      <c r="J605" s="455">
        <v>6010.4253969293477</v>
      </c>
      <c r="K605" s="455">
        <v>7117.1535883354918</v>
      </c>
      <c r="L605" s="455">
        <v>8171.0169717657427</v>
      </c>
      <c r="M605" s="455">
        <v>8496.5706802576478</v>
      </c>
      <c r="N605" s="455">
        <v>7904.2390835322203</v>
      </c>
      <c r="O605" s="136">
        <v>10585.188596286334</v>
      </c>
      <c r="Q605" s="176"/>
      <c r="R605" s="176"/>
      <c r="T605" s="143">
        <f>SUM(C605:S605)</f>
        <v>106465.98821652545</v>
      </c>
      <c r="U605" s="138"/>
      <c r="V605" s="139"/>
      <c r="W605" s="143">
        <f>T605</f>
        <v>106465.98821652545</v>
      </c>
      <c r="X605" s="138"/>
      <c r="Y605" s="157"/>
      <c r="Z605" s="157"/>
    </row>
    <row r="606" spans="1:26" s="125" customFormat="1" x14ac:dyDescent="0.25">
      <c r="A606" s="461"/>
      <c r="B606" s="144" t="s">
        <v>374</v>
      </c>
      <c r="C606" s="607"/>
      <c r="D606" s="455">
        <v>995.97</v>
      </c>
      <c r="E606" s="455">
        <v>700.28</v>
      </c>
      <c r="F606" s="455">
        <v>1340.02</v>
      </c>
      <c r="G606" s="455">
        <v>1437.41</v>
      </c>
      <c r="H606" s="455">
        <v>1845.53</v>
      </c>
      <c r="I606" s="455">
        <v>2419.27</v>
      </c>
      <c r="J606" s="455">
        <v>2628.74</v>
      </c>
      <c r="K606" s="455">
        <v>3241.78</v>
      </c>
      <c r="L606" s="455">
        <v>2118.6</v>
      </c>
      <c r="M606" s="455">
        <v>1878.35</v>
      </c>
      <c r="N606" s="455">
        <v>2071.0100000000002</v>
      </c>
      <c r="O606" s="136">
        <v>1319.17</v>
      </c>
      <c r="Q606" s="179"/>
      <c r="R606" s="179"/>
      <c r="T606" s="143">
        <f>SUM(C606:S606)</f>
        <v>21996.129999999997</v>
      </c>
      <c r="U606" s="138"/>
      <c r="V606" s="139"/>
      <c r="W606" s="143">
        <f>T606</f>
        <v>21996.129999999997</v>
      </c>
      <c r="X606" s="138"/>
      <c r="Y606" s="157"/>
      <c r="Z606" s="157"/>
    </row>
    <row r="607" spans="1:26" x14ac:dyDescent="0.25">
      <c r="P607" s="345"/>
      <c r="W607" s="143">
        <f>SUM(W605:W606)</f>
        <v>128462.11821652544</v>
      </c>
      <c r="X607" s="138"/>
    </row>
    <row r="609" spans="1:26" x14ac:dyDescent="0.25">
      <c r="A609" s="462">
        <v>62</v>
      </c>
      <c r="B609" s="666" t="s">
        <v>1278</v>
      </c>
      <c r="T609" s="666" t="s">
        <v>1278</v>
      </c>
    </row>
    <row r="610" spans="1:26" s="125" customFormat="1" x14ac:dyDescent="0.25">
      <c r="A610" s="461"/>
      <c r="B610" s="130" t="s">
        <v>337</v>
      </c>
      <c r="C610" s="131">
        <v>42156</v>
      </c>
      <c r="D610" s="131">
        <v>42186</v>
      </c>
      <c r="E610" s="131">
        <v>42217</v>
      </c>
      <c r="F610" s="131">
        <v>42248</v>
      </c>
      <c r="G610" s="131">
        <v>42278</v>
      </c>
      <c r="H610" s="131">
        <v>42309</v>
      </c>
      <c r="I610" s="131">
        <v>42339</v>
      </c>
      <c r="J610" s="131">
        <v>42370</v>
      </c>
      <c r="K610" s="131">
        <v>42401</v>
      </c>
      <c r="L610" s="131">
        <v>42430</v>
      </c>
      <c r="M610" s="131">
        <v>42461</v>
      </c>
      <c r="N610" s="131">
        <v>42491</v>
      </c>
      <c r="O610" s="131">
        <v>42522</v>
      </c>
      <c r="P610" s="131">
        <v>42552</v>
      </c>
      <c r="Q610" s="151">
        <v>42583</v>
      </c>
      <c r="R610" s="131">
        <v>42627</v>
      </c>
      <c r="S610" s="132"/>
      <c r="T610" s="133" t="s">
        <v>338</v>
      </c>
      <c r="U610" s="134" t="s">
        <v>339</v>
      </c>
      <c r="V610" s="132"/>
      <c r="W610" s="133" t="s">
        <v>338</v>
      </c>
      <c r="X610" s="134" t="s">
        <v>339</v>
      </c>
      <c r="Y610" s="157"/>
      <c r="Z610" s="157"/>
    </row>
    <row r="611" spans="1:26" s="125" customFormat="1" x14ac:dyDescent="0.25">
      <c r="A611" s="461"/>
      <c r="B611" s="135" t="s">
        <v>340</v>
      </c>
      <c r="C611" s="606"/>
      <c r="D611" s="174"/>
      <c r="E611" s="454"/>
      <c r="F611" s="454"/>
      <c r="G611" s="454"/>
      <c r="H611" s="454"/>
      <c r="I611" s="454"/>
      <c r="J611" s="454"/>
      <c r="K611" s="454"/>
      <c r="L611" s="454"/>
      <c r="M611" s="454"/>
      <c r="N611" s="454"/>
      <c r="O611" s="454"/>
      <c r="P611" s="136"/>
      <c r="Q611" s="174"/>
      <c r="R611" s="174"/>
      <c r="T611" s="140">
        <f>SUM(C611:S611)</f>
        <v>0</v>
      </c>
      <c r="U611" s="138" t="s">
        <v>341</v>
      </c>
      <c r="V611" s="139"/>
      <c r="W611" s="140">
        <f>T611*3413/1000000</f>
        <v>0</v>
      </c>
      <c r="X611" s="138" t="s">
        <v>342</v>
      </c>
      <c r="Y611" s="157"/>
      <c r="Z611" s="157"/>
    </row>
    <row r="612" spans="1:26" s="125" customFormat="1" x14ac:dyDescent="0.25">
      <c r="A612" s="461"/>
      <c r="B612" s="135" t="s">
        <v>372</v>
      </c>
      <c r="C612" s="606"/>
      <c r="D612" s="174"/>
      <c r="E612" s="454"/>
      <c r="F612" s="454"/>
      <c r="G612" s="454"/>
      <c r="H612" s="454"/>
      <c r="I612" s="454"/>
      <c r="J612" s="454"/>
      <c r="K612" s="454"/>
      <c r="L612" s="454"/>
      <c r="M612" s="454"/>
      <c r="N612" s="454"/>
      <c r="O612" s="454"/>
      <c r="P612" s="136"/>
      <c r="Q612" s="174"/>
      <c r="R612" s="174"/>
      <c r="T612" s="140">
        <f>SUM(C612:S612)</f>
        <v>0</v>
      </c>
      <c r="U612" s="138" t="s">
        <v>354</v>
      </c>
      <c r="V612" s="139"/>
      <c r="W612" s="140">
        <f>T612*99976.124488/1000000</f>
        <v>0</v>
      </c>
      <c r="X612" s="138" t="s">
        <v>342</v>
      </c>
      <c r="Y612" s="495">
        <f>W611+W612</f>
        <v>0</v>
      </c>
      <c r="Z612" s="153" t="s">
        <v>677</v>
      </c>
    </row>
    <row r="613" spans="1:26" s="125" customFormat="1" x14ac:dyDescent="0.25">
      <c r="A613" s="461"/>
      <c r="B613" s="135" t="s">
        <v>366</v>
      </c>
      <c r="C613" s="606"/>
      <c r="D613" s="178"/>
      <c r="E613" s="454"/>
      <c r="F613" s="454"/>
      <c r="G613" s="454"/>
      <c r="H613" s="454"/>
      <c r="I613" s="454"/>
      <c r="J613" s="454"/>
      <c r="K613" s="454"/>
      <c r="L613" s="454"/>
      <c r="M613" s="454"/>
      <c r="N613" s="454"/>
      <c r="O613" s="454"/>
      <c r="P613" s="136"/>
      <c r="Q613" s="178"/>
      <c r="R613" s="178"/>
      <c r="T613" s="140">
        <f>SUM(C613:S613)</f>
        <v>0</v>
      </c>
      <c r="U613" s="138" t="s">
        <v>367</v>
      </c>
      <c r="V613" s="139"/>
      <c r="W613" s="137">
        <f>T613*7.48</f>
        <v>0</v>
      </c>
      <c r="X613" s="138" t="s">
        <v>346</v>
      </c>
      <c r="Y613" s="157"/>
      <c r="Z613" s="157"/>
    </row>
    <row r="614" spans="1:26" s="125" customFormat="1" x14ac:dyDescent="0.25">
      <c r="A614" s="461"/>
      <c r="B614" s="135" t="s">
        <v>324</v>
      </c>
      <c r="C614" s="606"/>
      <c r="D614" s="176"/>
      <c r="E614" s="455"/>
      <c r="F614" s="455"/>
      <c r="G614" s="455"/>
      <c r="H614" s="455"/>
      <c r="I614" s="455"/>
      <c r="J614" s="455"/>
      <c r="K614" s="455"/>
      <c r="L614" s="455"/>
      <c r="M614" s="455"/>
      <c r="N614" s="455"/>
      <c r="O614" s="455"/>
      <c r="P614" s="136"/>
      <c r="Q614" s="176"/>
      <c r="R614" s="176"/>
      <c r="T614" s="143">
        <f>SUM(C614:S614)</f>
        <v>0</v>
      </c>
      <c r="U614" s="138"/>
      <c r="V614" s="139"/>
      <c r="W614" s="143">
        <f>T614</f>
        <v>0</v>
      </c>
      <c r="X614" s="138"/>
      <c r="Y614" s="157"/>
      <c r="Z614" s="157"/>
    </row>
    <row r="615" spans="1:26" s="125" customFormat="1" x14ac:dyDescent="0.25">
      <c r="A615" s="461"/>
      <c r="B615" s="144" t="s">
        <v>374</v>
      </c>
      <c r="C615" s="607"/>
      <c r="D615" s="179"/>
      <c r="E615" s="455"/>
      <c r="F615" s="455"/>
      <c r="G615" s="455"/>
      <c r="H615" s="455"/>
      <c r="I615" s="455"/>
      <c r="J615" s="455"/>
      <c r="K615" s="455"/>
      <c r="L615" s="455"/>
      <c r="M615" s="455"/>
      <c r="N615" s="455"/>
      <c r="O615" s="455"/>
      <c r="P615" s="136"/>
      <c r="Q615" s="179"/>
      <c r="R615" s="179"/>
      <c r="T615" s="143">
        <f>SUM(C615:S615)</f>
        <v>0</v>
      </c>
      <c r="U615" s="138"/>
      <c r="V615" s="139"/>
      <c r="W615" s="143">
        <f>T615</f>
        <v>0</v>
      </c>
      <c r="X615" s="138"/>
      <c r="Y615" s="157"/>
      <c r="Z615" s="157"/>
    </row>
    <row r="616" spans="1:26" x14ac:dyDescent="0.25">
      <c r="P616" s="345"/>
      <c r="W616" s="143">
        <f>SUM(W614:W615)</f>
        <v>0</v>
      </c>
      <c r="X616" s="138"/>
    </row>
    <row r="617" spans="1:26" x14ac:dyDescent="0.25">
      <c r="B617" s="666"/>
    </row>
    <row r="618" spans="1:26" x14ac:dyDescent="0.25">
      <c r="A618" s="462">
        <v>63</v>
      </c>
      <c r="B618" s="666" t="s">
        <v>1276</v>
      </c>
      <c r="T618" s="666" t="s">
        <v>1276</v>
      </c>
    </row>
    <row r="619" spans="1:26" s="125" customFormat="1" x14ac:dyDescent="0.25">
      <c r="A619" s="461"/>
      <c r="B619" s="130" t="s">
        <v>337</v>
      </c>
      <c r="C619" s="131">
        <v>42156</v>
      </c>
      <c r="D619" s="131">
        <v>42186</v>
      </c>
      <c r="E619" s="131">
        <v>42217</v>
      </c>
      <c r="F619" s="131">
        <v>42248</v>
      </c>
      <c r="G619" s="131">
        <v>42278</v>
      </c>
      <c r="H619" s="131">
        <v>42309</v>
      </c>
      <c r="I619" s="131">
        <v>42339</v>
      </c>
      <c r="J619" s="131">
        <v>42370</v>
      </c>
      <c r="K619" s="131">
        <v>42401</v>
      </c>
      <c r="L619" s="131">
        <v>42430</v>
      </c>
      <c r="M619" s="131">
        <v>42461</v>
      </c>
      <c r="N619" s="131">
        <v>42491</v>
      </c>
      <c r="O619" s="131">
        <v>42522</v>
      </c>
      <c r="P619" s="131">
        <v>42552</v>
      </c>
      <c r="Q619" s="151">
        <v>42583</v>
      </c>
      <c r="R619" s="131">
        <v>42627</v>
      </c>
      <c r="S619" s="132"/>
      <c r="T619" s="133" t="s">
        <v>338</v>
      </c>
      <c r="U619" s="134" t="s">
        <v>339</v>
      </c>
      <c r="V619" s="132"/>
      <c r="W619" s="133" t="s">
        <v>338</v>
      </c>
      <c r="X619" s="134" t="s">
        <v>339</v>
      </c>
      <c r="Y619" s="157"/>
      <c r="Z619" s="157"/>
    </row>
    <row r="620" spans="1:26" s="125" customFormat="1" x14ac:dyDescent="0.25">
      <c r="A620" s="461"/>
      <c r="B620" s="135" t="s">
        <v>340</v>
      </c>
      <c r="C620" s="606"/>
      <c r="D620" s="454">
        <v>32571</v>
      </c>
      <c r="E620" s="454">
        <v>33777</v>
      </c>
      <c r="F620" s="454">
        <v>26945</v>
      </c>
      <c r="G620" s="454">
        <v>20269</v>
      </c>
      <c r="H620" s="454">
        <v>19441</v>
      </c>
      <c r="I620" s="454">
        <v>17141</v>
      </c>
      <c r="J620" s="454">
        <v>17406</v>
      </c>
      <c r="K620" s="454">
        <v>20710</v>
      </c>
      <c r="L620" s="454">
        <v>19561</v>
      </c>
      <c r="M620" s="454">
        <v>20052</v>
      </c>
      <c r="N620" s="454">
        <v>23035</v>
      </c>
      <c r="O620" s="136">
        <v>29474</v>
      </c>
      <c r="Q620" s="174"/>
      <c r="R620" s="174"/>
      <c r="T620" s="140">
        <f>SUM(C620:S620)</f>
        <v>280382</v>
      </c>
      <c r="U620" s="138" t="s">
        <v>341</v>
      </c>
      <c r="V620" s="139"/>
      <c r="W620" s="140">
        <f>T620*3413/1000000</f>
        <v>956.94376599999998</v>
      </c>
      <c r="X620" s="138" t="s">
        <v>342</v>
      </c>
      <c r="Y620" s="157"/>
      <c r="Z620" s="157"/>
    </row>
    <row r="621" spans="1:26" s="125" customFormat="1" x14ac:dyDescent="0.25">
      <c r="A621" s="461"/>
      <c r="B621" s="135" t="s">
        <v>372</v>
      </c>
      <c r="C621" s="606"/>
      <c r="D621" s="454">
        <v>156</v>
      </c>
      <c r="E621" s="454">
        <v>324</v>
      </c>
      <c r="F621" s="454">
        <v>490</v>
      </c>
      <c r="G621" s="454">
        <v>608</v>
      </c>
      <c r="H621" s="454">
        <v>962</v>
      </c>
      <c r="I621" s="454">
        <v>777</v>
      </c>
      <c r="J621" s="454">
        <v>873</v>
      </c>
      <c r="K621" s="454">
        <v>1467</v>
      </c>
      <c r="L621" s="454">
        <v>631</v>
      </c>
      <c r="M621" s="454">
        <v>491</v>
      </c>
      <c r="N621" s="454">
        <v>512</v>
      </c>
      <c r="O621" s="136">
        <v>764</v>
      </c>
      <c r="Q621" s="174"/>
      <c r="R621" s="174"/>
      <c r="T621" s="140">
        <f>SUM(C621:S621)</f>
        <v>8055</v>
      </c>
      <c r="U621" s="138" t="s">
        <v>354</v>
      </c>
      <c r="V621" s="139"/>
      <c r="W621" s="140">
        <f>T621*99976.124488/1000000</f>
        <v>805.30768275084006</v>
      </c>
      <c r="X621" s="138" t="s">
        <v>342</v>
      </c>
      <c r="Y621" s="495">
        <f>W620+W621</f>
        <v>1762.2514487508402</v>
      </c>
      <c r="Z621" s="153" t="s">
        <v>677</v>
      </c>
    </row>
    <row r="622" spans="1:26" s="125" customFormat="1" x14ac:dyDescent="0.25">
      <c r="A622" s="461"/>
      <c r="B622" s="135" t="s">
        <v>864</v>
      </c>
      <c r="C622" s="606"/>
      <c r="D622" s="454">
        <v>13</v>
      </c>
      <c r="E622" s="454">
        <v>12</v>
      </c>
      <c r="F622" s="454">
        <v>12</v>
      </c>
      <c r="G622" s="454">
        <v>14</v>
      </c>
      <c r="H622" s="454">
        <v>12</v>
      </c>
      <c r="I622" s="454">
        <v>10</v>
      </c>
      <c r="J622" s="454">
        <v>9</v>
      </c>
      <c r="K622" s="454">
        <v>14</v>
      </c>
      <c r="L622" s="454">
        <v>11</v>
      </c>
      <c r="M622" s="454">
        <v>14</v>
      </c>
      <c r="N622" s="454">
        <v>12</v>
      </c>
      <c r="O622" s="136">
        <v>13</v>
      </c>
      <c r="Q622" s="178"/>
      <c r="R622" s="178"/>
      <c r="T622" s="140">
        <f>SUM(C622:S622)</f>
        <v>146</v>
      </c>
      <c r="U622" s="138" t="s">
        <v>379</v>
      </c>
      <c r="V622" s="139"/>
      <c r="W622" s="137">
        <f>T622*748</f>
        <v>109208</v>
      </c>
      <c r="X622" s="138" t="s">
        <v>346</v>
      </c>
      <c r="Y622" s="157"/>
      <c r="Z622" s="157"/>
    </row>
    <row r="623" spans="1:26" s="125" customFormat="1" x14ac:dyDescent="0.25">
      <c r="A623" s="461"/>
      <c r="B623" s="135" t="s">
        <v>324</v>
      </c>
      <c r="C623" s="606"/>
      <c r="D623" s="455">
        <v>2279.9700000000003</v>
      </c>
      <c r="E623" s="455">
        <v>2364.3900000000003</v>
      </c>
      <c r="F623" s="455">
        <v>1886.15</v>
      </c>
      <c r="G623" s="455">
        <v>1418.8300000000002</v>
      </c>
      <c r="H623" s="455">
        <v>1360.8700000000001</v>
      </c>
      <c r="I623" s="455">
        <v>1199.8700000000001</v>
      </c>
      <c r="J623" s="455">
        <v>1218.42</v>
      </c>
      <c r="K623" s="455">
        <v>1449.7</v>
      </c>
      <c r="L623" s="455">
        <v>1369.2700000000002</v>
      </c>
      <c r="M623" s="455">
        <v>1403.64</v>
      </c>
      <c r="N623" s="455">
        <v>1612.45</v>
      </c>
      <c r="O623" s="136">
        <v>2063.1800000000003</v>
      </c>
      <c r="Q623" s="176"/>
      <c r="R623" s="176"/>
      <c r="T623" s="143">
        <f>SUM(C623:S623)</f>
        <v>19626.740000000002</v>
      </c>
      <c r="U623" s="138"/>
      <c r="V623" s="139"/>
      <c r="W623" s="143">
        <f>T623</f>
        <v>19626.740000000002</v>
      </c>
      <c r="X623" s="138"/>
      <c r="Y623" s="157"/>
      <c r="Z623" s="157"/>
    </row>
    <row r="624" spans="1:26" s="125" customFormat="1" x14ac:dyDescent="0.25">
      <c r="A624" s="461"/>
      <c r="B624" s="144" t="s">
        <v>374</v>
      </c>
      <c r="C624" s="607"/>
      <c r="D624" s="455">
        <v>140.5</v>
      </c>
      <c r="E624" s="455">
        <v>266.45999999999998</v>
      </c>
      <c r="F624" s="455">
        <v>390.91</v>
      </c>
      <c r="G624" s="455">
        <v>479.39</v>
      </c>
      <c r="H624" s="455">
        <v>699.74</v>
      </c>
      <c r="I624" s="455">
        <v>555.61</v>
      </c>
      <c r="J624" s="455">
        <v>614.80999999999995</v>
      </c>
      <c r="K624" s="455">
        <v>1002.78</v>
      </c>
      <c r="L624" s="455">
        <v>443.86</v>
      </c>
      <c r="M624" s="455">
        <v>345.71</v>
      </c>
      <c r="N624" s="455">
        <v>371.93</v>
      </c>
      <c r="O624" s="136">
        <v>545.32000000000005</v>
      </c>
      <c r="Q624" s="179"/>
      <c r="R624" s="179"/>
      <c r="T624" s="143">
        <f>SUM(C624:S624)</f>
        <v>5857.0199999999995</v>
      </c>
      <c r="U624" s="138"/>
      <c r="V624" s="139"/>
      <c r="W624" s="143">
        <f>T624</f>
        <v>5857.0199999999995</v>
      </c>
      <c r="X624" s="138"/>
      <c r="Y624" s="157"/>
      <c r="Z624" s="157"/>
    </row>
    <row r="625" spans="1:26" x14ac:dyDescent="0.25">
      <c r="P625" s="345"/>
      <c r="W625" s="143">
        <f>SUM(W623:W624)</f>
        <v>25483.760000000002</v>
      </c>
      <c r="X625" s="138"/>
    </row>
    <row r="626" spans="1:26" x14ac:dyDescent="0.25">
      <c r="B626" s="666"/>
    </row>
    <row r="627" spans="1:26" x14ac:dyDescent="0.25">
      <c r="A627" s="462">
        <v>64</v>
      </c>
      <c r="B627" s="666" t="s">
        <v>1277</v>
      </c>
      <c r="T627" s="666" t="s">
        <v>1277</v>
      </c>
    </row>
    <row r="628" spans="1:26" s="125" customFormat="1" x14ac:dyDescent="0.25">
      <c r="A628" s="461"/>
      <c r="B628" s="130" t="s">
        <v>337</v>
      </c>
      <c r="C628" s="131">
        <v>42156</v>
      </c>
      <c r="D628" s="131">
        <v>42186</v>
      </c>
      <c r="E628" s="131">
        <v>42217</v>
      </c>
      <c r="F628" s="131">
        <v>42248</v>
      </c>
      <c r="G628" s="131">
        <v>42278</v>
      </c>
      <c r="H628" s="131">
        <v>42309</v>
      </c>
      <c r="I628" s="131">
        <v>42339</v>
      </c>
      <c r="J628" s="131">
        <v>42370</v>
      </c>
      <c r="K628" s="131">
        <v>42401</v>
      </c>
      <c r="L628" s="131">
        <v>42430</v>
      </c>
      <c r="M628" s="131">
        <v>42461</v>
      </c>
      <c r="N628" s="131">
        <v>42491</v>
      </c>
      <c r="O628" s="131">
        <v>42522</v>
      </c>
      <c r="P628" s="131">
        <v>42552</v>
      </c>
      <c r="Q628" s="151">
        <v>42583</v>
      </c>
      <c r="R628" s="131">
        <v>42627</v>
      </c>
      <c r="S628" s="132"/>
      <c r="T628" s="133" t="s">
        <v>338</v>
      </c>
      <c r="U628" s="134" t="s">
        <v>339</v>
      </c>
      <c r="V628" s="132"/>
      <c r="W628" s="133" t="s">
        <v>338</v>
      </c>
      <c r="X628" s="134" t="s">
        <v>339</v>
      </c>
      <c r="Y628" s="157"/>
      <c r="Z628" s="157"/>
    </row>
    <row r="629" spans="1:26" s="125" customFormat="1" x14ac:dyDescent="0.25">
      <c r="A629" s="461"/>
      <c r="B629" s="135" t="s">
        <v>340</v>
      </c>
      <c r="C629" s="606"/>
      <c r="D629" s="454">
        <v>58911</v>
      </c>
      <c r="E629" s="454">
        <v>50302</v>
      </c>
      <c r="F629" s="454">
        <v>45092</v>
      </c>
      <c r="G629" s="454">
        <v>37399</v>
      </c>
      <c r="H629" s="454">
        <v>37572</v>
      </c>
      <c r="I629" s="454">
        <v>32861</v>
      </c>
      <c r="J629" s="454">
        <v>36614</v>
      </c>
      <c r="K629" s="454">
        <v>34312</v>
      </c>
      <c r="L629" s="454">
        <v>37139</v>
      </c>
      <c r="M629" s="454">
        <v>40184</v>
      </c>
      <c r="N629" s="454">
        <v>35306</v>
      </c>
      <c r="O629" s="454">
        <v>46821</v>
      </c>
      <c r="P629" s="174"/>
      <c r="Q629" s="174"/>
      <c r="R629" s="174"/>
      <c r="T629" s="140">
        <f>SUM(C629:S629)</f>
        <v>492513</v>
      </c>
      <c r="U629" s="138" t="s">
        <v>341</v>
      </c>
      <c r="V629" s="139"/>
      <c r="W629" s="140">
        <f>T629*3413/1000000</f>
        <v>1680.9468690000001</v>
      </c>
      <c r="X629" s="138" t="s">
        <v>342</v>
      </c>
      <c r="Y629" s="157"/>
      <c r="Z629" s="157"/>
    </row>
    <row r="630" spans="1:26" s="125" customFormat="1" x14ac:dyDescent="0.25">
      <c r="A630" s="461"/>
      <c r="B630" s="135" t="s">
        <v>372</v>
      </c>
      <c r="C630" s="606"/>
      <c r="D630" s="454">
        <v>334</v>
      </c>
      <c r="E630" s="454">
        <v>312</v>
      </c>
      <c r="F630" s="454">
        <v>374</v>
      </c>
      <c r="G630" s="454">
        <v>690</v>
      </c>
      <c r="H630" s="454">
        <v>947</v>
      </c>
      <c r="I630" s="454">
        <v>1113</v>
      </c>
      <c r="J630" s="454">
        <v>1514</v>
      </c>
      <c r="K630" s="454">
        <v>1745</v>
      </c>
      <c r="L630" s="454">
        <v>1265</v>
      </c>
      <c r="M630" s="454">
        <v>1100</v>
      </c>
      <c r="N630" s="454">
        <v>714</v>
      </c>
      <c r="O630" s="454">
        <v>598</v>
      </c>
      <c r="P630" s="174"/>
      <c r="Q630" s="174"/>
      <c r="R630" s="174"/>
      <c r="T630" s="140">
        <f>SUM(C630:S630)</f>
        <v>10706</v>
      </c>
      <c r="U630" s="138" t="s">
        <v>354</v>
      </c>
      <c r="V630" s="139"/>
      <c r="W630" s="140">
        <f>T630*99976.124488/1000000</f>
        <v>1070.344388768528</v>
      </c>
      <c r="X630" s="138" t="s">
        <v>342</v>
      </c>
      <c r="Y630" s="495">
        <f>W629+W630</f>
        <v>2751.2912577685283</v>
      </c>
      <c r="Z630" s="153" t="s">
        <v>677</v>
      </c>
    </row>
    <row r="631" spans="1:26" s="125" customFormat="1" x14ac:dyDescent="0.25">
      <c r="A631" s="461"/>
      <c r="B631" s="135" t="s">
        <v>345</v>
      </c>
      <c r="C631" s="606"/>
      <c r="D631" s="454">
        <v>4488</v>
      </c>
      <c r="E631" s="454">
        <v>20196</v>
      </c>
      <c r="F631" s="454">
        <v>5984</v>
      </c>
      <c r="G631" s="454">
        <v>12716</v>
      </c>
      <c r="H631" s="454">
        <v>11220</v>
      </c>
      <c r="I631" s="454">
        <v>8976</v>
      </c>
      <c r="J631" s="454">
        <v>5984</v>
      </c>
      <c r="K631" s="454">
        <v>6732</v>
      </c>
      <c r="L631" s="454">
        <v>8228</v>
      </c>
      <c r="M631" s="454">
        <v>748</v>
      </c>
      <c r="N631" s="454">
        <v>14960</v>
      </c>
      <c r="O631" s="454">
        <v>6732</v>
      </c>
      <c r="P631" s="178"/>
      <c r="Q631" s="178"/>
      <c r="R631" s="178"/>
      <c r="T631" s="140">
        <f>SUM(C631:S631)</f>
        <v>106964</v>
      </c>
      <c r="U631" s="138" t="s">
        <v>346</v>
      </c>
      <c r="V631" s="139"/>
      <c r="W631" s="137">
        <f>T631</f>
        <v>106964</v>
      </c>
      <c r="X631" s="138" t="s">
        <v>346</v>
      </c>
      <c r="Y631" s="157"/>
      <c r="Z631" s="157"/>
    </row>
    <row r="632" spans="1:26" s="125" customFormat="1" x14ac:dyDescent="0.25">
      <c r="A632" s="461"/>
      <c r="B632" s="135" t="s">
        <v>324</v>
      </c>
      <c r="C632" s="606"/>
      <c r="D632" s="455">
        <v>4466.9060454523424</v>
      </c>
      <c r="E632" s="455">
        <v>3967.1217485272596</v>
      </c>
      <c r="F632" s="455">
        <v>3549.9743991769551</v>
      </c>
      <c r="G632" s="455">
        <v>3074.1881832957333</v>
      </c>
      <c r="H632" s="455">
        <v>3082.2607616483147</v>
      </c>
      <c r="I632" s="455">
        <v>2768.1072646416733</v>
      </c>
      <c r="J632" s="455">
        <v>3046.6538507213663</v>
      </c>
      <c r="K632" s="455">
        <v>2911.5942924813812</v>
      </c>
      <c r="L632" s="455">
        <v>3101.1834687170435</v>
      </c>
      <c r="M632" s="455">
        <v>3310.5721679804547</v>
      </c>
      <c r="N632" s="455">
        <v>2988.9500297029704</v>
      </c>
      <c r="O632" s="455">
        <v>3742.7906308232164</v>
      </c>
      <c r="P632" s="176"/>
      <c r="Q632" s="176"/>
      <c r="R632" s="176"/>
      <c r="T632" s="143">
        <f>SUM(C632:S632)</f>
        <v>40010.30284316872</v>
      </c>
      <c r="U632" s="138"/>
      <c r="V632" s="139"/>
      <c r="W632" s="143">
        <f>T632</f>
        <v>40010.30284316872</v>
      </c>
      <c r="X632" s="138"/>
      <c r="Y632" s="157"/>
      <c r="Z632" s="157"/>
    </row>
    <row r="633" spans="1:26" s="125" customFormat="1" x14ac:dyDescent="0.25">
      <c r="A633" s="461"/>
      <c r="B633" s="144" t="s">
        <v>374</v>
      </c>
      <c r="C633" s="607"/>
      <c r="D633" s="455">
        <v>273.95</v>
      </c>
      <c r="E633" s="455">
        <v>257.45999999999998</v>
      </c>
      <c r="F633" s="455">
        <v>303.94</v>
      </c>
      <c r="G633" s="455">
        <v>847.84</v>
      </c>
      <c r="H633" s="455">
        <v>740.63</v>
      </c>
      <c r="I633" s="455">
        <v>840.83</v>
      </c>
      <c r="J633" s="455">
        <v>1125.27</v>
      </c>
      <c r="K633" s="455">
        <v>1271.8399999999999</v>
      </c>
      <c r="L633" s="455">
        <v>928.47</v>
      </c>
      <c r="M633" s="455">
        <v>807.32</v>
      </c>
      <c r="N633" s="455">
        <v>545.69000000000005</v>
      </c>
      <c r="O633" s="455">
        <v>461.65</v>
      </c>
      <c r="P633" s="179"/>
      <c r="Q633" s="179"/>
      <c r="R633" s="179"/>
      <c r="T633" s="143">
        <f>SUM(C633:S633)</f>
        <v>8404.89</v>
      </c>
      <c r="U633" s="138"/>
      <c r="V633" s="139"/>
      <c r="W633" s="143">
        <f>T633</f>
        <v>8404.89</v>
      </c>
      <c r="X633" s="138"/>
      <c r="Y633" s="157"/>
      <c r="Z633" s="157"/>
    </row>
    <row r="634" spans="1:26" x14ac:dyDescent="0.25">
      <c r="W634" s="143">
        <f>SUM(W632:W633)</f>
        <v>48415.192843168719</v>
      </c>
      <c r="X634" s="138"/>
    </row>
    <row r="635" spans="1:26" x14ac:dyDescent="0.25">
      <c r="B635" s="666"/>
    </row>
    <row r="636" spans="1:26" x14ac:dyDescent="0.25">
      <c r="B636" s="666"/>
    </row>
    <row r="637" spans="1:26" x14ac:dyDescent="0.25">
      <c r="A637" s="462">
        <v>65</v>
      </c>
      <c r="B637" s="666" t="s">
        <v>1279</v>
      </c>
      <c r="T637" s="666" t="s">
        <v>1279</v>
      </c>
    </row>
    <row r="638" spans="1:26" s="125" customFormat="1" x14ac:dyDescent="0.25">
      <c r="A638" s="461"/>
      <c r="B638" s="130" t="s">
        <v>337</v>
      </c>
      <c r="C638" s="131">
        <v>42156</v>
      </c>
      <c r="D638" s="131">
        <v>42186</v>
      </c>
      <c r="E638" s="131">
        <v>42217</v>
      </c>
      <c r="F638" s="131">
        <v>42248</v>
      </c>
      <c r="G638" s="131">
        <v>42278</v>
      </c>
      <c r="H638" s="131">
        <v>42309</v>
      </c>
      <c r="I638" s="131">
        <v>42339</v>
      </c>
      <c r="J638" s="131">
        <v>42370</v>
      </c>
      <c r="K638" s="131">
        <v>42401</v>
      </c>
      <c r="L638" s="131">
        <v>42430</v>
      </c>
      <c r="M638" s="131">
        <v>42461</v>
      </c>
      <c r="N638" s="131">
        <v>42491</v>
      </c>
      <c r="O638" s="131">
        <v>42522</v>
      </c>
      <c r="P638" s="131">
        <v>42552</v>
      </c>
      <c r="Q638" s="151">
        <v>42583</v>
      </c>
      <c r="R638" s="131">
        <v>42627</v>
      </c>
      <c r="S638" s="132"/>
      <c r="T638" s="133" t="s">
        <v>338</v>
      </c>
      <c r="U638" s="134" t="s">
        <v>339</v>
      </c>
      <c r="V638" s="132"/>
      <c r="W638" s="133" t="s">
        <v>338</v>
      </c>
      <c r="X638" s="134" t="s">
        <v>339</v>
      </c>
      <c r="Y638" s="157"/>
      <c r="Z638" s="157"/>
    </row>
    <row r="639" spans="1:26" s="125" customFormat="1" x14ac:dyDescent="0.25">
      <c r="A639" s="461"/>
      <c r="B639" s="135" t="s">
        <v>340</v>
      </c>
      <c r="C639" s="606"/>
      <c r="D639" s="454">
        <v>125849</v>
      </c>
      <c r="E639" s="454">
        <v>187598</v>
      </c>
      <c r="F639" s="454">
        <v>177291</v>
      </c>
      <c r="G639" s="454">
        <v>187480</v>
      </c>
      <c r="H639" s="454">
        <v>178291</v>
      </c>
      <c r="I639" s="454">
        <v>169137</v>
      </c>
      <c r="J639" s="454">
        <v>164254</v>
      </c>
      <c r="K639" s="454">
        <v>171012</v>
      </c>
      <c r="L639" s="454">
        <v>169281.8</v>
      </c>
      <c r="M639" s="454">
        <v>183634.8</v>
      </c>
      <c r="N639" s="454">
        <v>141157.6</v>
      </c>
      <c r="O639" s="454">
        <v>124718.7</v>
      </c>
      <c r="P639" s="174"/>
      <c r="Q639" s="174"/>
      <c r="R639" s="174"/>
      <c r="T639" s="140">
        <f t="shared" ref="T639:T647" si="27">SUM(C639:S639)</f>
        <v>1979704.9000000001</v>
      </c>
      <c r="U639" s="138" t="s">
        <v>341</v>
      </c>
      <c r="V639" s="139"/>
      <c r="W639" s="140">
        <f>T639*3413/1000000</f>
        <v>6756.7328237000011</v>
      </c>
      <c r="X639" s="138" t="s">
        <v>342</v>
      </c>
      <c r="Y639" s="157"/>
      <c r="Z639" s="157"/>
    </row>
    <row r="640" spans="1:26" s="125" customFormat="1" x14ac:dyDescent="0.25">
      <c r="A640" s="461"/>
      <c r="B640" s="135" t="s">
        <v>372</v>
      </c>
      <c r="C640" s="606"/>
      <c r="D640" s="454">
        <v>616</v>
      </c>
      <c r="E640" s="454">
        <v>1307</v>
      </c>
      <c r="F640" s="454">
        <v>3678</v>
      </c>
      <c r="G640" s="454">
        <v>4293</v>
      </c>
      <c r="H640" s="454">
        <v>5631</v>
      </c>
      <c r="I640" s="454">
        <v>5544</v>
      </c>
      <c r="J640" s="454">
        <v>6329</v>
      </c>
      <c r="K640" s="454">
        <v>7429</v>
      </c>
      <c r="L640" s="454">
        <v>5019</v>
      </c>
      <c r="M640" s="454">
        <v>4479</v>
      </c>
      <c r="N640" s="454">
        <v>3493</v>
      </c>
      <c r="O640" s="454">
        <v>287</v>
      </c>
      <c r="P640" s="174"/>
      <c r="Q640" s="174"/>
      <c r="R640" s="174"/>
      <c r="T640" s="140">
        <f t="shared" si="27"/>
        <v>48105</v>
      </c>
      <c r="U640" s="138" t="s">
        <v>354</v>
      </c>
      <c r="V640" s="139"/>
      <c r="W640" s="140">
        <f>T640*99976.124488/1000000</f>
        <v>4809.3514684952406</v>
      </c>
      <c r="X640" s="138" t="s">
        <v>342</v>
      </c>
      <c r="Y640" s="765"/>
      <c r="Z640" s="554"/>
    </row>
    <row r="641" spans="1:26" s="125" customFormat="1" x14ac:dyDescent="0.25">
      <c r="A641" s="461"/>
      <c r="B641" s="135" t="s">
        <v>1056</v>
      </c>
      <c r="C641" s="606"/>
      <c r="D641" s="454">
        <v>505</v>
      </c>
      <c r="E641" s="454">
        <v>698</v>
      </c>
      <c r="F641" s="454">
        <v>535</v>
      </c>
      <c r="G641" s="454">
        <v>279</v>
      </c>
      <c r="H641" s="454">
        <v>216</v>
      </c>
      <c r="I641" s="454">
        <v>236</v>
      </c>
      <c r="J641" s="454">
        <v>37</v>
      </c>
      <c r="K641" s="454">
        <v>95</v>
      </c>
      <c r="L641" s="454">
        <v>280</v>
      </c>
      <c r="M641" s="454">
        <v>363</v>
      </c>
      <c r="N641" s="454">
        <v>414</v>
      </c>
      <c r="O641" s="454">
        <v>505</v>
      </c>
      <c r="P641" s="174"/>
      <c r="Q641" s="174"/>
      <c r="R641" s="174"/>
      <c r="T641" s="140">
        <f t="shared" si="27"/>
        <v>4163</v>
      </c>
      <c r="U641" s="138" t="s">
        <v>342</v>
      </c>
      <c r="V641" s="139"/>
      <c r="W641" s="140">
        <f>T641</f>
        <v>4163</v>
      </c>
      <c r="X641" s="138" t="s">
        <v>342</v>
      </c>
      <c r="Y641" s="765"/>
      <c r="Z641" s="554"/>
    </row>
    <row r="642" spans="1:26" s="125" customFormat="1" x14ac:dyDescent="0.25">
      <c r="A642" s="461"/>
      <c r="B642" s="135" t="s">
        <v>1057</v>
      </c>
      <c r="C642" s="606"/>
      <c r="D642" s="454">
        <v>78</v>
      </c>
      <c r="E642" s="454">
        <v>42</v>
      </c>
      <c r="F642" s="454">
        <v>46</v>
      </c>
      <c r="G642" s="454">
        <v>75</v>
      </c>
      <c r="H642" s="454">
        <v>92</v>
      </c>
      <c r="I642" s="454">
        <v>52</v>
      </c>
      <c r="J642" s="454">
        <v>178</v>
      </c>
      <c r="K642" s="454">
        <v>154</v>
      </c>
      <c r="L642" s="454">
        <v>97</v>
      </c>
      <c r="M642" s="454">
        <v>76</v>
      </c>
      <c r="N642" s="454">
        <v>71</v>
      </c>
      <c r="O642" s="454">
        <v>48</v>
      </c>
      <c r="P642" s="174"/>
      <c r="Q642" s="174"/>
      <c r="R642" s="174"/>
      <c r="T642" s="140">
        <f t="shared" si="27"/>
        <v>1009</v>
      </c>
      <c r="U642" s="138" t="s">
        <v>342</v>
      </c>
      <c r="V642" s="139"/>
      <c r="W642" s="140">
        <f>T642</f>
        <v>1009</v>
      </c>
      <c r="X642" s="138" t="s">
        <v>342</v>
      </c>
      <c r="Y642" s="495">
        <f>W639+W640+W641+W642</f>
        <v>16738.084292195243</v>
      </c>
      <c r="Z642" s="153" t="s">
        <v>677</v>
      </c>
    </row>
    <row r="643" spans="1:26" s="125" customFormat="1" x14ac:dyDescent="0.25">
      <c r="A643" s="461"/>
      <c r="B643" s="135" t="s">
        <v>366</v>
      </c>
      <c r="C643" s="606"/>
      <c r="D643" s="454">
        <v>7522</v>
      </c>
      <c r="E643" s="454">
        <v>52053</v>
      </c>
      <c r="F643" s="454">
        <v>70851</v>
      </c>
      <c r="G643" s="454">
        <v>65585</v>
      </c>
      <c r="H643" s="454">
        <v>58110</v>
      </c>
      <c r="I643" s="454">
        <v>40236</v>
      </c>
      <c r="J643" s="454">
        <v>48273</v>
      </c>
      <c r="K643" s="454">
        <v>63411</v>
      </c>
      <c r="L643" s="454">
        <v>50103</v>
      </c>
      <c r="M643" s="454">
        <v>65019</v>
      </c>
      <c r="N643" s="454">
        <v>29891</v>
      </c>
      <c r="O643" s="454">
        <v>9697</v>
      </c>
      <c r="P643" s="178"/>
      <c r="Q643" s="178"/>
      <c r="R643" s="178"/>
      <c r="T643" s="140">
        <f t="shared" si="27"/>
        <v>560751</v>
      </c>
      <c r="U643" s="138" t="s">
        <v>367</v>
      </c>
      <c r="V643" s="139"/>
      <c r="W643" s="137">
        <f>T643*7.48</f>
        <v>4194417.4800000004</v>
      </c>
      <c r="X643" s="138" t="s">
        <v>346</v>
      </c>
      <c r="Y643" s="157"/>
      <c r="Z643" s="157"/>
    </row>
    <row r="644" spans="1:26" s="125" customFormat="1" x14ac:dyDescent="0.25">
      <c r="A644" s="461"/>
      <c r="B644" s="135" t="s">
        <v>324</v>
      </c>
      <c r="C644" s="606"/>
      <c r="D644" s="455">
        <v>8401.7410488173755</v>
      </c>
      <c r="E644" s="455">
        <v>12529.90668668553</v>
      </c>
      <c r="F644" s="455">
        <v>11849.016271788991</v>
      </c>
      <c r="G644" s="455">
        <v>11456.562891881342</v>
      </c>
      <c r="H644" s="455">
        <v>10031.347099163742</v>
      </c>
      <c r="I644" s="455">
        <v>9523.9664898157898</v>
      </c>
      <c r="J644" s="455">
        <v>9300.2149101970117</v>
      </c>
      <c r="K644" s="455">
        <v>9985.1399953108812</v>
      </c>
      <c r="L644" s="455">
        <v>9964.1578239929549</v>
      </c>
      <c r="M644" s="455">
        <v>10537.781348301931</v>
      </c>
      <c r="N644" s="455">
        <v>8266.2968613269695</v>
      </c>
      <c r="O644" s="455">
        <v>8054.8817915133068</v>
      </c>
      <c r="P644" s="176"/>
      <c r="Q644" s="176"/>
      <c r="R644" s="176"/>
      <c r="T644" s="143">
        <f t="shared" si="27"/>
        <v>119901.01321879584</v>
      </c>
      <c r="U644" s="138"/>
      <c r="V644" s="139"/>
      <c r="W644" s="143">
        <f>T644</f>
        <v>119901.01321879584</v>
      </c>
      <c r="X644" s="138"/>
      <c r="Y644" s="157"/>
      <c r="Z644" s="157"/>
    </row>
    <row r="645" spans="1:26" s="125" customFormat="1" x14ac:dyDescent="0.25">
      <c r="A645" s="461"/>
      <c r="B645" s="144" t="s">
        <v>374</v>
      </c>
      <c r="C645" s="607"/>
      <c r="D645" s="455">
        <v>453.63</v>
      </c>
      <c r="E645" s="455">
        <v>937.81</v>
      </c>
      <c r="F645" s="455">
        <v>2599.17</v>
      </c>
      <c r="G645" s="455">
        <v>3030.11</v>
      </c>
      <c r="H645" s="455">
        <v>3939.7</v>
      </c>
      <c r="I645" s="455">
        <v>3833.44</v>
      </c>
      <c r="J645" s="455">
        <v>4287.26</v>
      </c>
      <c r="K645" s="455">
        <v>4988.7299999999996</v>
      </c>
      <c r="L645" s="455">
        <v>3377.5</v>
      </c>
      <c r="M645" s="455">
        <v>3029.09</v>
      </c>
      <c r="N645" s="455">
        <v>2409.33</v>
      </c>
      <c r="O645" s="455">
        <v>218.77</v>
      </c>
      <c r="P645" s="179"/>
      <c r="Q645" s="179"/>
      <c r="R645" s="179"/>
      <c r="T645" s="143">
        <f t="shared" si="27"/>
        <v>33104.54</v>
      </c>
      <c r="U645" s="138"/>
      <c r="V645" s="139"/>
      <c r="W645" s="143">
        <f>T645</f>
        <v>33104.54</v>
      </c>
      <c r="X645" s="138"/>
      <c r="Y645" s="157"/>
      <c r="Z645" s="157"/>
    </row>
    <row r="646" spans="1:26" s="125" customFormat="1" x14ac:dyDescent="0.25">
      <c r="A646" s="461"/>
      <c r="B646" s="204" t="s">
        <v>398</v>
      </c>
      <c r="C646" s="607"/>
      <c r="D646" s="455">
        <v>2778.600514037666</v>
      </c>
      <c r="E646" s="455">
        <v>3778.0623271215004</v>
      </c>
      <c r="F646" s="455">
        <v>2609.9008307404224</v>
      </c>
      <c r="G646" s="455">
        <v>1210.3587566429576</v>
      </c>
      <c r="H646" s="455">
        <v>935.79686596716238</v>
      </c>
      <c r="I646" s="455">
        <v>1091.4467341265099</v>
      </c>
      <c r="J646" s="455">
        <v>309.20561588842628</v>
      </c>
      <c r="K646" s="455">
        <v>553.22582521768959</v>
      </c>
      <c r="L646" s="455">
        <v>1300.7829315409695</v>
      </c>
      <c r="M646" s="455">
        <v>1725.4697469665336</v>
      </c>
      <c r="N646" s="455">
        <v>1950.4152635251223</v>
      </c>
      <c r="O646" s="455">
        <v>2984.8146668295212</v>
      </c>
      <c r="P646" s="179"/>
      <c r="Q646" s="179"/>
      <c r="R646" s="179"/>
      <c r="T646" s="143">
        <f t="shared" si="27"/>
        <v>21228.080078604478</v>
      </c>
      <c r="U646" s="138"/>
      <c r="V646" s="139"/>
      <c r="W646" s="143">
        <f>T646</f>
        <v>21228.080078604478</v>
      </c>
      <c r="X646" s="138"/>
      <c r="Y646" s="157"/>
      <c r="Z646" s="157"/>
    </row>
    <row r="647" spans="1:26" s="125" customFormat="1" x14ac:dyDescent="0.25">
      <c r="A647" s="461"/>
      <c r="B647" s="204" t="s">
        <v>1058</v>
      </c>
      <c r="C647" s="607"/>
      <c r="D647" s="455">
        <v>1375.4908468753686</v>
      </c>
      <c r="E647" s="455">
        <v>798.19778918542727</v>
      </c>
      <c r="F647" s="455">
        <v>1160.7583347621805</v>
      </c>
      <c r="G647" s="455">
        <v>1678.951734911119</v>
      </c>
      <c r="H647" s="455">
        <v>1880.4148438581753</v>
      </c>
      <c r="I647" s="455">
        <v>1111.0622406122718</v>
      </c>
      <c r="J647" s="455">
        <v>2404.4323113144046</v>
      </c>
      <c r="K647" s="455">
        <v>2390.7405171306368</v>
      </c>
      <c r="L647" s="455">
        <v>2138.395901177847</v>
      </c>
      <c r="M647" s="455">
        <v>1281.9729901250682</v>
      </c>
      <c r="N647" s="455">
        <v>1344.3389269182646</v>
      </c>
      <c r="O647" s="455">
        <v>899.40665562275615</v>
      </c>
      <c r="P647" s="179"/>
      <c r="Q647" s="179"/>
      <c r="R647" s="179"/>
      <c r="T647" s="143">
        <f t="shared" si="27"/>
        <v>18464.16309249352</v>
      </c>
      <c r="U647" s="138"/>
      <c r="V647" s="139"/>
      <c r="W647" s="143">
        <f>T647</f>
        <v>18464.16309249352</v>
      </c>
      <c r="X647" s="138"/>
      <c r="Y647" s="157"/>
      <c r="Z647" s="157"/>
    </row>
    <row r="648" spans="1:26" x14ac:dyDescent="0.25">
      <c r="W648" s="143">
        <f>SUM(W644:W647)</f>
        <v>192697.79638989383</v>
      </c>
      <c r="X648" s="138"/>
    </row>
    <row r="649" spans="1:26" x14ac:dyDescent="0.25">
      <c r="B649" s="666"/>
    </row>
    <row r="650" spans="1:26" x14ac:dyDescent="0.25">
      <c r="A650" s="462">
        <v>66</v>
      </c>
      <c r="B650" s="666" t="s">
        <v>1280</v>
      </c>
      <c r="T650" s="666" t="s">
        <v>1280</v>
      </c>
    </row>
    <row r="651" spans="1:26" s="125" customFormat="1" x14ac:dyDescent="0.25">
      <c r="A651" s="461"/>
      <c r="B651" s="130" t="s">
        <v>337</v>
      </c>
      <c r="C651" s="131">
        <v>42156</v>
      </c>
      <c r="D651" s="131">
        <v>42186</v>
      </c>
      <c r="E651" s="131">
        <v>42217</v>
      </c>
      <c r="F651" s="131">
        <v>42248</v>
      </c>
      <c r="G651" s="131">
        <v>42278</v>
      </c>
      <c r="H651" s="131">
        <v>42309</v>
      </c>
      <c r="I651" s="131">
        <v>42339</v>
      </c>
      <c r="J651" s="131">
        <v>42370</v>
      </c>
      <c r="K651" s="131">
        <v>42401</v>
      </c>
      <c r="L651" s="131">
        <v>42430</v>
      </c>
      <c r="M651" s="131">
        <v>42461</v>
      </c>
      <c r="N651" s="131">
        <v>42491</v>
      </c>
      <c r="O651" s="131">
        <v>42522</v>
      </c>
      <c r="P651" s="131">
        <v>42552</v>
      </c>
      <c r="Q651" s="151">
        <v>42583</v>
      </c>
      <c r="R651" s="131">
        <v>42627</v>
      </c>
      <c r="S651" s="132"/>
      <c r="T651" s="133" t="s">
        <v>338</v>
      </c>
      <c r="U651" s="134" t="s">
        <v>339</v>
      </c>
      <c r="V651" s="132"/>
      <c r="W651" s="133" t="s">
        <v>338</v>
      </c>
      <c r="X651" s="134" t="s">
        <v>339</v>
      </c>
      <c r="Y651" s="157"/>
      <c r="Z651" s="157"/>
    </row>
    <row r="652" spans="1:26" s="125" customFormat="1" x14ac:dyDescent="0.25">
      <c r="A652" s="461"/>
      <c r="B652" s="135" t="s">
        <v>340</v>
      </c>
      <c r="C652" s="606"/>
      <c r="D652" s="454">
        <v>237396</v>
      </c>
      <c r="E652" s="454">
        <v>296404</v>
      </c>
      <c r="F652" s="454">
        <v>292447</v>
      </c>
      <c r="G652" s="454">
        <v>298357</v>
      </c>
      <c r="H652" s="454">
        <v>271644</v>
      </c>
      <c r="I652" s="454">
        <v>220151</v>
      </c>
      <c r="J652" s="454">
        <v>256814</v>
      </c>
      <c r="K652" s="454">
        <v>261897</v>
      </c>
      <c r="L652" s="454">
        <v>277239</v>
      </c>
      <c r="M652" s="454">
        <v>283360</v>
      </c>
      <c r="N652" s="454">
        <v>213393</v>
      </c>
      <c r="O652" s="454">
        <v>272438</v>
      </c>
      <c r="P652" s="174"/>
      <c r="Q652" s="174"/>
      <c r="R652" s="174"/>
      <c r="T652" s="140">
        <f t="shared" ref="T652:T660" si="28">SUM(C652:S652)</f>
        <v>3181540</v>
      </c>
      <c r="U652" s="138" t="s">
        <v>341</v>
      </c>
      <c r="V652" s="139"/>
      <c r="W652" s="140">
        <f>T652*3413/1000000</f>
        <v>10858.596020000001</v>
      </c>
      <c r="X652" s="138" t="s">
        <v>342</v>
      </c>
      <c r="Y652" s="157"/>
      <c r="Z652" s="157"/>
    </row>
    <row r="653" spans="1:26" s="125" customFormat="1" x14ac:dyDescent="0.25">
      <c r="A653" s="461"/>
      <c r="B653" s="135" t="s">
        <v>372</v>
      </c>
      <c r="C653" s="606"/>
      <c r="D653" s="454">
        <v>1818</v>
      </c>
      <c r="E653" s="454">
        <v>1950</v>
      </c>
      <c r="F653" s="454">
        <v>4943</v>
      </c>
      <c r="G653" s="454">
        <v>4312</v>
      </c>
      <c r="H653" s="454">
        <v>5211</v>
      </c>
      <c r="I653" s="454">
        <v>3111</v>
      </c>
      <c r="J653" s="454">
        <v>1468</v>
      </c>
      <c r="K653" s="454">
        <v>4609</v>
      </c>
      <c r="L653" s="454">
        <v>3236</v>
      </c>
      <c r="M653" s="454">
        <v>4627</v>
      </c>
      <c r="N653" s="454">
        <v>3701</v>
      </c>
      <c r="O653" s="454">
        <v>949</v>
      </c>
      <c r="P653" s="174"/>
      <c r="Q653" s="174"/>
      <c r="R653" s="174"/>
      <c r="T653" s="140">
        <f t="shared" si="28"/>
        <v>39935</v>
      </c>
      <c r="U653" s="138" t="s">
        <v>354</v>
      </c>
      <c r="V653" s="139"/>
      <c r="W653" s="140">
        <f>T653*99976.124488/1000000</f>
        <v>3992.5465314282796</v>
      </c>
      <c r="X653" s="138" t="s">
        <v>342</v>
      </c>
      <c r="Y653" s="765"/>
      <c r="Z653" s="554"/>
    </row>
    <row r="654" spans="1:26" s="125" customFormat="1" x14ac:dyDescent="0.25">
      <c r="A654" s="461"/>
      <c r="B654" s="135" t="s">
        <v>1389</v>
      </c>
      <c r="C654" s="606"/>
      <c r="D654" s="1708" t="s">
        <v>1419</v>
      </c>
      <c r="E654" s="1708" t="s">
        <v>1419</v>
      </c>
      <c r="F654" s="454">
        <v>275675.47291666665</v>
      </c>
      <c r="G654" s="454">
        <v>188795.41145833305</v>
      </c>
      <c r="H654" s="454">
        <v>170295.50937500005</v>
      </c>
      <c r="I654" s="454">
        <v>127155.06458333298</v>
      </c>
      <c r="J654" s="454">
        <v>122574.7364583327</v>
      </c>
      <c r="K654" s="1708" t="s">
        <v>1419</v>
      </c>
      <c r="L654" s="1708" t="s">
        <v>1419</v>
      </c>
      <c r="M654" s="1708" t="s">
        <v>1419</v>
      </c>
      <c r="N654" s="1708" t="s">
        <v>1419</v>
      </c>
      <c r="O654" s="1708" t="s">
        <v>1419</v>
      </c>
      <c r="P654" s="174"/>
      <c r="Q654" s="174"/>
      <c r="R654" s="174"/>
      <c r="T654" s="140">
        <f t="shared" si="28"/>
        <v>884496.19479166542</v>
      </c>
      <c r="U654" s="138" t="s">
        <v>397</v>
      </c>
      <c r="V654" s="139"/>
      <c r="W654" s="140">
        <f>T654*0.012</f>
        <v>10613.954337499985</v>
      </c>
      <c r="X654" s="138" t="s">
        <v>342</v>
      </c>
      <c r="Y654" s="765"/>
      <c r="Z654" s="554"/>
    </row>
    <row r="655" spans="1:26" s="125" customFormat="1" x14ac:dyDescent="0.25">
      <c r="A655" s="461"/>
      <c r="B655" s="135" t="s">
        <v>320</v>
      </c>
      <c r="C655" s="606"/>
      <c r="D655" s="1708" t="s">
        <v>1410</v>
      </c>
      <c r="E655" s="1708" t="s">
        <v>1410</v>
      </c>
      <c r="F655" s="1708" t="s">
        <v>1410</v>
      </c>
      <c r="G655" s="1708" t="s">
        <v>1410</v>
      </c>
      <c r="H655" s="1708" t="s">
        <v>1410</v>
      </c>
      <c r="I655" s="1708" t="s">
        <v>1410</v>
      </c>
      <c r="J655" s="1708" t="s">
        <v>1410</v>
      </c>
      <c r="K655" s="1708" t="s">
        <v>1410</v>
      </c>
      <c r="L655" s="1708" t="s">
        <v>1410</v>
      </c>
      <c r="M655" s="1708" t="s">
        <v>1410</v>
      </c>
      <c r="N655" s="1708" t="s">
        <v>1410</v>
      </c>
      <c r="O655" s="1708" t="s">
        <v>1410</v>
      </c>
      <c r="P655" s="174"/>
      <c r="Q655" s="174"/>
      <c r="R655" s="174"/>
      <c r="T655" s="140">
        <f t="shared" si="28"/>
        <v>0</v>
      </c>
      <c r="U655" s="138" t="s">
        <v>342</v>
      </c>
      <c r="V655" s="139"/>
      <c r="W655" s="140">
        <f t="shared" ref="W655:W660" si="29">T655</f>
        <v>0</v>
      </c>
      <c r="X655" s="138" t="s">
        <v>342</v>
      </c>
      <c r="Y655" s="495">
        <f>W652+W653+W654+W655</f>
        <v>25465.096888928267</v>
      </c>
      <c r="Z655" s="153" t="s">
        <v>677</v>
      </c>
    </row>
    <row r="656" spans="1:26" s="125" customFormat="1" x14ac:dyDescent="0.25">
      <c r="A656" s="461"/>
      <c r="B656" s="135" t="s">
        <v>345</v>
      </c>
      <c r="C656" s="606"/>
      <c r="D656" s="454">
        <v>312903.36000000004</v>
      </c>
      <c r="E656" s="454">
        <v>519515.92000000004</v>
      </c>
      <c r="F656" s="454">
        <v>662997.28</v>
      </c>
      <c r="G656" s="454">
        <v>636368.48</v>
      </c>
      <c r="H656" s="454">
        <v>546099.84000000008</v>
      </c>
      <c r="I656" s="454">
        <v>196724</v>
      </c>
      <c r="J656" s="454">
        <v>552203.52000000002</v>
      </c>
      <c r="K656" s="454">
        <v>589468.88</v>
      </c>
      <c r="L656" s="454">
        <v>490186.84</v>
      </c>
      <c r="M656" s="454">
        <v>596380.4</v>
      </c>
      <c r="N656" s="454">
        <v>108998.56000000001</v>
      </c>
      <c r="O656" s="454">
        <v>175450.88</v>
      </c>
      <c r="P656" s="178"/>
      <c r="Q656" s="178"/>
      <c r="R656" s="178"/>
      <c r="T656" s="140">
        <f t="shared" si="28"/>
        <v>5387297.96</v>
      </c>
      <c r="U656" s="138" t="s">
        <v>346</v>
      </c>
      <c r="V656" s="139"/>
      <c r="W656" s="137">
        <f t="shared" si="29"/>
        <v>5387297.96</v>
      </c>
      <c r="X656" s="138" t="s">
        <v>346</v>
      </c>
      <c r="Y656" s="157"/>
      <c r="Z656" s="157"/>
    </row>
    <row r="657" spans="1:26" s="125" customFormat="1" x14ac:dyDescent="0.25">
      <c r="A657" s="461"/>
      <c r="B657" s="135" t="s">
        <v>324</v>
      </c>
      <c r="C657" s="606"/>
      <c r="D657" s="455">
        <v>16623.525880434783</v>
      </c>
      <c r="E657" s="455">
        <v>21067.168446810589</v>
      </c>
      <c r="F657" s="455">
        <v>20124.586810718232</v>
      </c>
      <c r="G657" s="455">
        <v>18997.433185118345</v>
      </c>
      <c r="H657" s="455">
        <v>17296.523091927749</v>
      </c>
      <c r="I657" s="455">
        <v>12952.738423664023</v>
      </c>
      <c r="J657" s="455">
        <v>15235.571594371744</v>
      </c>
      <c r="K657" s="455">
        <v>15466.971127102788</v>
      </c>
      <c r="L657" s="455">
        <v>16570.612015466009</v>
      </c>
      <c r="M657" s="455">
        <v>16453.474382464297</v>
      </c>
      <c r="N657" s="455">
        <v>12697.883162442578</v>
      </c>
      <c r="O657" s="455">
        <v>17775.545691310967</v>
      </c>
      <c r="P657" s="176"/>
      <c r="Q657" s="176"/>
      <c r="R657" s="176"/>
      <c r="T657" s="143">
        <f t="shared" si="28"/>
        <v>201262.03381183208</v>
      </c>
      <c r="U657" s="138"/>
      <c r="V657" s="139"/>
      <c r="W657" s="143">
        <f t="shared" si="29"/>
        <v>201262.03381183208</v>
      </c>
      <c r="X657" s="138"/>
      <c r="Y657" s="157"/>
      <c r="Z657" s="157"/>
    </row>
    <row r="658" spans="1:26" s="125" customFormat="1" x14ac:dyDescent="0.25">
      <c r="A658" s="461"/>
      <c r="B658" s="144" t="s">
        <v>374</v>
      </c>
      <c r="C658" s="607"/>
      <c r="D658" s="455">
        <v>1386.58</v>
      </c>
      <c r="E658" s="455">
        <v>1485.56</v>
      </c>
      <c r="F658" s="455">
        <v>3729.55</v>
      </c>
      <c r="G658" s="455">
        <v>3256.46</v>
      </c>
      <c r="H658" s="455">
        <v>3951.72</v>
      </c>
      <c r="I658" s="455">
        <v>2309.6</v>
      </c>
      <c r="J658" s="455">
        <v>1090.1600000000001</v>
      </c>
      <c r="K658" s="455">
        <v>3320.63</v>
      </c>
      <c r="L658" s="455">
        <v>2338.44</v>
      </c>
      <c r="M658" s="455">
        <v>3287.62</v>
      </c>
      <c r="N658" s="455">
        <v>2730.09</v>
      </c>
      <c r="O658" s="455">
        <v>719.08</v>
      </c>
      <c r="P658" s="179"/>
      <c r="Q658" s="179"/>
      <c r="R658" s="179"/>
      <c r="T658" s="143">
        <f t="shared" si="28"/>
        <v>29605.49</v>
      </c>
      <c r="U658" s="138"/>
      <c r="V658" s="139"/>
      <c r="W658" s="143">
        <f t="shared" si="29"/>
        <v>29605.49</v>
      </c>
      <c r="X658" s="138"/>
      <c r="Y658" s="157"/>
      <c r="Z658" s="157"/>
    </row>
    <row r="659" spans="1:26" s="125" customFormat="1" x14ac:dyDescent="0.25">
      <c r="A659" s="461"/>
      <c r="B659" s="204" t="s">
        <v>398</v>
      </c>
      <c r="C659" s="607" t="s">
        <v>352</v>
      </c>
      <c r="D659" s="455"/>
      <c r="E659" s="455"/>
      <c r="F659" s="455"/>
      <c r="G659" s="455"/>
      <c r="H659" s="455"/>
      <c r="I659" s="455"/>
      <c r="J659" s="455"/>
      <c r="K659" s="455"/>
      <c r="L659" s="455"/>
      <c r="M659" s="455"/>
      <c r="N659" s="455"/>
      <c r="O659" s="455"/>
      <c r="P659" s="179"/>
      <c r="Q659" s="179"/>
      <c r="R659" s="179"/>
      <c r="T659" s="143">
        <f t="shared" si="28"/>
        <v>0</v>
      </c>
      <c r="U659" s="138"/>
      <c r="V659" s="139"/>
      <c r="W659" s="143">
        <f t="shared" si="29"/>
        <v>0</v>
      </c>
      <c r="X659" s="138"/>
      <c r="Y659" s="157"/>
      <c r="Z659" s="157"/>
    </row>
    <row r="660" spans="1:26" s="125" customFormat="1" x14ac:dyDescent="0.25">
      <c r="A660" s="461"/>
      <c r="B660" s="204" t="s">
        <v>1058</v>
      </c>
      <c r="C660" s="607" t="s">
        <v>352</v>
      </c>
      <c r="D660" s="455"/>
      <c r="E660" s="455"/>
      <c r="F660" s="455"/>
      <c r="G660" s="455"/>
      <c r="H660" s="455"/>
      <c r="I660" s="455"/>
      <c r="J660" s="455"/>
      <c r="K660" s="455"/>
      <c r="L660" s="455"/>
      <c r="M660" s="455"/>
      <c r="N660" s="455"/>
      <c r="O660" s="455"/>
      <c r="P660" s="179"/>
      <c r="Q660" s="179"/>
      <c r="R660" s="179"/>
      <c r="T660" s="143">
        <f t="shared" si="28"/>
        <v>0</v>
      </c>
      <c r="U660" s="138"/>
      <c r="V660" s="139"/>
      <c r="W660" s="143">
        <f t="shared" si="29"/>
        <v>0</v>
      </c>
      <c r="X660" s="138"/>
      <c r="Y660" s="157"/>
      <c r="Z660" s="157"/>
    </row>
    <row r="661" spans="1:26" x14ac:dyDescent="0.25">
      <c r="W661" s="143">
        <f>SUM(W657:W660)</f>
        <v>230867.52381183207</v>
      </c>
      <c r="X661" s="138"/>
    </row>
    <row r="662" spans="1:26" x14ac:dyDescent="0.25">
      <c r="B662" s="666"/>
    </row>
    <row r="663" spans="1:26" x14ac:dyDescent="0.25">
      <c r="B663" s="666"/>
    </row>
    <row r="664" spans="1:26" x14ac:dyDescent="0.25">
      <c r="A664" s="462">
        <v>67</v>
      </c>
      <c r="B664" s="666" t="s">
        <v>1281</v>
      </c>
      <c r="T664" s="666" t="s">
        <v>1281</v>
      </c>
    </row>
    <row r="665" spans="1:26" s="125" customFormat="1" x14ac:dyDescent="0.25">
      <c r="A665" s="461"/>
      <c r="B665" s="130" t="s">
        <v>337</v>
      </c>
      <c r="C665" s="131">
        <v>42156</v>
      </c>
      <c r="D665" s="131">
        <v>42186</v>
      </c>
      <c r="E665" s="131">
        <v>42217</v>
      </c>
      <c r="F665" s="131">
        <v>42248</v>
      </c>
      <c r="G665" s="131">
        <v>42278</v>
      </c>
      <c r="H665" s="131">
        <v>42309</v>
      </c>
      <c r="I665" s="131">
        <v>42339</v>
      </c>
      <c r="J665" s="131">
        <v>42370</v>
      </c>
      <c r="K665" s="131">
        <v>42401</v>
      </c>
      <c r="L665" s="131">
        <v>42430</v>
      </c>
      <c r="M665" s="131">
        <v>42461</v>
      </c>
      <c r="N665" s="131">
        <v>42491</v>
      </c>
      <c r="O665" s="131">
        <v>42522</v>
      </c>
      <c r="P665" s="131">
        <v>42552</v>
      </c>
      <c r="Q665" s="151">
        <v>42583</v>
      </c>
      <c r="R665" s="131">
        <v>42627</v>
      </c>
      <c r="S665" s="132"/>
      <c r="T665" s="133" t="s">
        <v>338</v>
      </c>
      <c r="U665" s="134" t="s">
        <v>339</v>
      </c>
      <c r="V665" s="132"/>
      <c r="W665" s="133" t="s">
        <v>338</v>
      </c>
      <c r="X665" s="134" t="s">
        <v>339</v>
      </c>
      <c r="Y665" s="157"/>
      <c r="Z665" s="157"/>
    </row>
    <row r="666" spans="1:26" s="125" customFormat="1" x14ac:dyDescent="0.25">
      <c r="A666" s="461"/>
      <c r="B666" s="135" t="s">
        <v>340</v>
      </c>
      <c r="C666" s="606"/>
      <c r="D666" s="136">
        <v>47920</v>
      </c>
      <c r="E666" s="136">
        <v>46518</v>
      </c>
      <c r="F666" s="136">
        <v>44399</v>
      </c>
      <c r="G666" s="136">
        <v>41897</v>
      </c>
      <c r="H666" s="136">
        <v>44113</v>
      </c>
      <c r="I666" s="136">
        <v>39258</v>
      </c>
      <c r="J666" s="136">
        <v>48881</v>
      </c>
      <c r="K666" s="136">
        <v>54626</v>
      </c>
      <c r="L666" s="136">
        <v>34601</v>
      </c>
      <c r="M666" s="136">
        <v>29667</v>
      </c>
      <c r="N666" s="136">
        <v>26960</v>
      </c>
      <c r="O666" s="136">
        <v>31878</v>
      </c>
      <c r="P666" s="174"/>
      <c r="Q666" s="174"/>
      <c r="R666" s="174"/>
      <c r="T666" s="140">
        <f>SUM(D666:O666)</f>
        <v>490718</v>
      </c>
      <c r="U666" s="138" t="s">
        <v>341</v>
      </c>
      <c r="V666" s="139"/>
      <c r="W666" s="140">
        <f>T666*3413/1000000</f>
        <v>1674.820534</v>
      </c>
      <c r="X666" s="138" t="s">
        <v>342</v>
      </c>
      <c r="Y666" s="495">
        <f>W666</f>
        <v>1674.820534</v>
      </c>
      <c r="Z666" s="153" t="s">
        <v>677</v>
      </c>
    </row>
    <row r="667" spans="1:26" s="125" customFormat="1" x14ac:dyDescent="0.25">
      <c r="A667" s="461"/>
      <c r="B667" s="135" t="s">
        <v>864</v>
      </c>
      <c r="C667" s="606"/>
      <c r="D667" s="1427">
        <v>0.36</v>
      </c>
      <c r="E667" s="1427">
        <v>0.6</v>
      </c>
      <c r="F667" s="1427">
        <v>1.1000000000000001</v>
      </c>
      <c r="G667" s="1427">
        <v>0.8</v>
      </c>
      <c r="H667" s="1427">
        <v>0.9</v>
      </c>
      <c r="I667" s="1427">
        <v>1.05</v>
      </c>
      <c r="J667" s="1427">
        <v>0.76</v>
      </c>
      <c r="K667" s="1427">
        <v>0.5</v>
      </c>
      <c r="L667" s="1427">
        <v>0.8</v>
      </c>
      <c r="M667" s="1427">
        <v>0.68</v>
      </c>
      <c r="N667" s="1427">
        <v>2.12</v>
      </c>
      <c r="O667" s="1427">
        <v>1.9</v>
      </c>
      <c r="P667" s="178"/>
      <c r="Q667" s="178"/>
      <c r="R667" s="178"/>
      <c r="T667" s="140">
        <f>SUM(D667:O667)</f>
        <v>11.57</v>
      </c>
      <c r="U667" s="138" t="s">
        <v>379</v>
      </c>
      <c r="V667" s="139"/>
      <c r="W667" s="137">
        <f>T667*748</f>
        <v>8654.36</v>
      </c>
      <c r="X667" s="138" t="s">
        <v>346</v>
      </c>
      <c r="Y667" s="157"/>
      <c r="Z667" s="157"/>
    </row>
    <row r="668" spans="1:26" s="125" customFormat="1" x14ac:dyDescent="0.25">
      <c r="A668" s="461"/>
      <c r="B668" s="135" t="s">
        <v>324</v>
      </c>
      <c r="C668" s="606"/>
      <c r="D668" s="142">
        <v>3837.92</v>
      </c>
      <c r="E668" s="142">
        <v>3704.59</v>
      </c>
      <c r="F668" s="142">
        <v>3562.8</v>
      </c>
      <c r="G668" s="142">
        <v>3704.31</v>
      </c>
      <c r="H668" s="142">
        <v>3394.29</v>
      </c>
      <c r="I668" s="142">
        <v>4060.68</v>
      </c>
      <c r="J668" s="142">
        <v>4435.71</v>
      </c>
      <c r="K668" s="142">
        <v>3134.97</v>
      </c>
      <c r="L668" s="142">
        <v>2814.49</v>
      </c>
      <c r="M668" s="142">
        <v>2638.65</v>
      </c>
      <c r="N668" s="142">
        <v>2962.44</v>
      </c>
      <c r="O668" s="142">
        <v>2590.4349999999999</v>
      </c>
      <c r="P668" s="176"/>
      <c r="Q668" s="176"/>
      <c r="R668" s="176"/>
      <c r="T668" s="140">
        <f>SUM(D668:O668)</f>
        <v>40841.285000000003</v>
      </c>
      <c r="U668" s="138"/>
      <c r="V668" s="139"/>
      <c r="W668" s="143">
        <f>T668</f>
        <v>40841.285000000003</v>
      </c>
      <c r="X668" s="138"/>
      <c r="Y668" s="157"/>
      <c r="Z668" s="157"/>
    </row>
    <row r="669" spans="1:26" s="125" customFormat="1" x14ac:dyDescent="0.25">
      <c r="A669" s="461"/>
      <c r="B669" s="205"/>
      <c r="C669" s="152"/>
      <c r="E669" s="201"/>
      <c r="F669" s="206"/>
      <c r="G669" s="202"/>
      <c r="H669" s="203"/>
      <c r="I669" s="203"/>
      <c r="J669" s="203"/>
      <c r="K669" s="203"/>
      <c r="L669" s="203"/>
      <c r="M669" s="203"/>
      <c r="N669" s="203"/>
      <c r="O669" s="203"/>
      <c r="P669" s="203"/>
      <c r="U669" s="126"/>
      <c r="W669" s="190">
        <f>SUM(W668:W668)</f>
        <v>40841.285000000003</v>
      </c>
      <c r="X669" s="450"/>
      <c r="Y669" s="157"/>
      <c r="Z669" s="157"/>
    </row>
    <row r="670" spans="1:26" s="125" customFormat="1" x14ac:dyDescent="0.25">
      <c r="A670" s="461"/>
      <c r="B670" s="205"/>
      <c r="C670" s="152"/>
      <c r="E670" s="201"/>
      <c r="F670" s="206"/>
      <c r="G670" s="202"/>
      <c r="H670" s="203"/>
      <c r="I670" s="203"/>
      <c r="J670" s="203"/>
      <c r="K670" s="203"/>
      <c r="L670" s="203"/>
      <c r="M670" s="203"/>
      <c r="N670" s="203"/>
      <c r="O670" s="203"/>
      <c r="P670" s="203"/>
      <c r="U670" s="126"/>
      <c r="W670" s="447"/>
      <c r="X670" s="458"/>
      <c r="Y670" s="157"/>
      <c r="Z670" s="157"/>
    </row>
    <row r="671" spans="1:26" x14ac:dyDescent="0.25">
      <c r="A671" s="462">
        <v>68</v>
      </c>
      <c r="B671" s="666" t="s">
        <v>1282</v>
      </c>
      <c r="T671" s="666" t="s">
        <v>1282</v>
      </c>
    </row>
    <row r="672" spans="1:26" s="125" customFormat="1" x14ac:dyDescent="0.25">
      <c r="A672" s="461"/>
      <c r="B672" s="130" t="s">
        <v>337</v>
      </c>
      <c r="C672" s="131">
        <v>42156</v>
      </c>
      <c r="D672" s="131">
        <v>42186</v>
      </c>
      <c r="E672" s="131">
        <v>42217</v>
      </c>
      <c r="F672" s="131">
        <v>42248</v>
      </c>
      <c r="G672" s="131">
        <v>42278</v>
      </c>
      <c r="H672" s="131">
        <v>42309</v>
      </c>
      <c r="I672" s="131">
        <v>42339</v>
      </c>
      <c r="J672" s="131">
        <v>42370</v>
      </c>
      <c r="K672" s="131">
        <v>42401</v>
      </c>
      <c r="L672" s="131">
        <v>42430</v>
      </c>
      <c r="M672" s="131">
        <v>42461</v>
      </c>
      <c r="N672" s="131">
        <v>42491</v>
      </c>
      <c r="O672" s="131">
        <v>42522</v>
      </c>
      <c r="P672" s="131">
        <v>42552</v>
      </c>
      <c r="Q672" s="151">
        <v>42583</v>
      </c>
      <c r="R672" s="131">
        <v>42627</v>
      </c>
      <c r="S672" s="132"/>
      <c r="T672" s="133" t="s">
        <v>338</v>
      </c>
      <c r="U672" s="134" t="s">
        <v>339</v>
      </c>
      <c r="V672" s="132"/>
      <c r="W672" s="133" t="s">
        <v>338</v>
      </c>
      <c r="X672" s="134" t="s">
        <v>339</v>
      </c>
      <c r="Y672" s="157"/>
      <c r="Z672" s="157"/>
    </row>
    <row r="673" spans="1:26" s="125" customFormat="1" x14ac:dyDescent="0.25">
      <c r="A673" s="461"/>
      <c r="B673" s="135" t="s">
        <v>340</v>
      </c>
      <c r="C673" s="556"/>
      <c r="D673" s="457"/>
      <c r="E673" s="448"/>
      <c r="F673" s="136"/>
      <c r="G673" s="136"/>
      <c r="H673" s="136"/>
      <c r="I673" s="136"/>
      <c r="J673" s="136"/>
      <c r="K673" s="136"/>
      <c r="L673" s="136"/>
      <c r="M673" s="136"/>
      <c r="N673" s="136"/>
      <c r="O673" s="136"/>
      <c r="P673" s="136"/>
      <c r="Q673" s="174"/>
      <c r="T673" s="187">
        <f>SUM(F673:Q673)</f>
        <v>0</v>
      </c>
      <c r="U673" s="188" t="s">
        <v>341</v>
      </c>
      <c r="V673" s="157"/>
      <c r="W673" s="140">
        <f>T673*3413/1000000</f>
        <v>0</v>
      </c>
      <c r="X673" s="138" t="s">
        <v>342</v>
      </c>
      <c r="Y673" s="157"/>
      <c r="Z673" s="157"/>
    </row>
    <row r="674" spans="1:26" s="125" customFormat="1" x14ac:dyDescent="0.25">
      <c r="A674" s="461"/>
      <c r="B674" s="135" t="s">
        <v>345</v>
      </c>
      <c r="C674" s="556"/>
      <c r="D674" s="458"/>
      <c r="E674" s="440"/>
      <c r="F674" s="141"/>
      <c r="G674" s="141"/>
      <c r="H674" s="154"/>
      <c r="I674" s="154"/>
      <c r="J674" s="154"/>
      <c r="K674" s="141"/>
      <c r="L674" s="154"/>
      <c r="M674" s="141"/>
      <c r="N674" s="141"/>
      <c r="O674" s="141"/>
      <c r="P674" s="141"/>
      <c r="Q674" s="178"/>
      <c r="T674" s="187">
        <f>SUM(F674:Q674)</f>
        <v>0</v>
      </c>
      <c r="U674" s="188" t="s">
        <v>346</v>
      </c>
      <c r="V674" s="157"/>
      <c r="W674" s="141">
        <f>T674</f>
        <v>0</v>
      </c>
      <c r="X674" s="188" t="s">
        <v>346</v>
      </c>
      <c r="Y674" s="157"/>
      <c r="Z674" s="157"/>
    </row>
    <row r="675" spans="1:26" s="125" customFormat="1" x14ac:dyDescent="0.25">
      <c r="A675" s="461"/>
      <c r="B675" s="135" t="s">
        <v>324</v>
      </c>
      <c r="C675" s="556"/>
      <c r="D675" s="458"/>
      <c r="E675" s="440"/>
      <c r="F675" s="142"/>
      <c r="G675" s="142"/>
      <c r="H675" s="142"/>
      <c r="I675" s="142"/>
      <c r="J675" s="142"/>
      <c r="K675" s="142"/>
      <c r="L675" s="142"/>
      <c r="M675" s="142"/>
      <c r="N675" s="142"/>
      <c r="O675" s="142"/>
      <c r="P675" s="142"/>
      <c r="Q675" s="176"/>
      <c r="T675" s="189">
        <f>SUM(F675:Q675)</f>
        <v>0</v>
      </c>
      <c r="U675" s="188"/>
      <c r="V675" s="157"/>
      <c r="W675" s="190">
        <f>T675</f>
        <v>0</v>
      </c>
      <c r="X675" s="188"/>
      <c r="Y675" s="157"/>
      <c r="Z675" s="157"/>
    </row>
    <row r="677" spans="1:26" x14ac:dyDescent="0.25">
      <c r="B677" s="666"/>
    </row>
    <row r="678" spans="1:26" x14ac:dyDescent="0.25">
      <c r="A678" s="462">
        <v>69</v>
      </c>
      <c r="B678" s="666" t="s">
        <v>1283</v>
      </c>
      <c r="T678" s="666" t="s">
        <v>1283</v>
      </c>
    </row>
    <row r="679" spans="1:26" x14ac:dyDescent="0.25">
      <c r="B679" s="666"/>
    </row>
    <row r="680" spans="1:26" x14ac:dyDescent="0.25">
      <c r="B680" s="666"/>
    </row>
    <row r="681" spans="1:26" x14ac:dyDescent="0.25">
      <c r="B681" s="666"/>
    </row>
    <row r="682" spans="1:26" x14ac:dyDescent="0.25">
      <c r="B682" s="666"/>
    </row>
    <row r="683" spans="1:26" x14ac:dyDescent="0.25">
      <c r="B683" s="666"/>
    </row>
    <row r="684" spans="1:26" x14ac:dyDescent="0.25">
      <c r="B684" s="666"/>
    </row>
    <row r="685" spans="1:26" x14ac:dyDescent="0.25">
      <c r="B685" s="666"/>
    </row>
    <row r="686" spans="1:26" x14ac:dyDescent="0.25">
      <c r="B686" s="666"/>
    </row>
    <row r="687" spans="1:26" x14ac:dyDescent="0.25">
      <c r="B687" s="666"/>
    </row>
    <row r="688" spans="1:26" x14ac:dyDescent="0.25">
      <c r="B688" s="666"/>
    </row>
    <row r="689" spans="1:26" x14ac:dyDescent="0.25">
      <c r="A689" s="462">
        <v>70</v>
      </c>
      <c r="B689" s="666" t="s">
        <v>1284</v>
      </c>
      <c r="T689" s="666" t="s">
        <v>1284</v>
      </c>
    </row>
    <row r="690" spans="1:26" x14ac:dyDescent="0.25">
      <c r="B690" s="666"/>
    </row>
    <row r="691" spans="1:26" x14ac:dyDescent="0.25">
      <c r="B691" s="666"/>
    </row>
    <row r="692" spans="1:26" x14ac:dyDescent="0.25">
      <c r="B692" s="666"/>
    </row>
    <row r="693" spans="1:26" x14ac:dyDescent="0.25">
      <c r="B693" s="666"/>
    </row>
    <row r="694" spans="1:26" x14ac:dyDescent="0.25">
      <c r="B694" s="666"/>
    </row>
    <row r="695" spans="1:26" x14ac:dyDescent="0.25">
      <c r="B695" s="666"/>
    </row>
    <row r="696" spans="1:26" x14ac:dyDescent="0.25">
      <c r="B696" s="666"/>
    </row>
    <row r="697" spans="1:26" x14ac:dyDescent="0.25">
      <c r="B697" s="666"/>
    </row>
    <row r="698" spans="1:26" x14ac:dyDescent="0.25">
      <c r="B698" s="666"/>
    </row>
    <row r="699" spans="1:26" x14ac:dyDescent="0.25">
      <c r="B699" s="666"/>
    </row>
    <row r="700" spans="1:26" x14ac:dyDescent="0.25">
      <c r="A700" s="462">
        <v>71</v>
      </c>
      <c r="B700" s="666" t="s">
        <v>1285</v>
      </c>
      <c r="T700" s="666" t="s">
        <v>1285</v>
      </c>
    </row>
    <row r="701" spans="1:26" s="125" customFormat="1" x14ac:dyDescent="0.25">
      <c r="A701" s="461"/>
      <c r="B701" s="130" t="s">
        <v>337</v>
      </c>
      <c r="C701" s="131">
        <v>42156</v>
      </c>
      <c r="D701" s="131">
        <v>42186</v>
      </c>
      <c r="E701" s="131">
        <v>42217</v>
      </c>
      <c r="F701" s="131">
        <v>42248</v>
      </c>
      <c r="G701" s="131">
        <v>42278</v>
      </c>
      <c r="H701" s="131">
        <v>42309</v>
      </c>
      <c r="I701" s="131">
        <v>42339</v>
      </c>
      <c r="J701" s="131">
        <v>42370</v>
      </c>
      <c r="K701" s="131">
        <v>42401</v>
      </c>
      <c r="L701" s="131">
        <v>42430</v>
      </c>
      <c r="M701" s="131">
        <v>42461</v>
      </c>
      <c r="N701" s="131">
        <v>42491</v>
      </c>
      <c r="O701" s="131">
        <v>42522</v>
      </c>
      <c r="P701" s="131">
        <v>42552</v>
      </c>
      <c r="Q701" s="151">
        <v>42583</v>
      </c>
      <c r="R701" s="131">
        <v>42627</v>
      </c>
      <c r="S701" s="132"/>
      <c r="T701" s="133" t="s">
        <v>338</v>
      </c>
      <c r="U701" s="134" t="s">
        <v>339</v>
      </c>
      <c r="V701" s="132"/>
      <c r="W701" s="133" t="s">
        <v>338</v>
      </c>
      <c r="X701" s="134" t="s">
        <v>339</v>
      </c>
      <c r="Y701" s="157"/>
      <c r="Z701" s="157"/>
    </row>
    <row r="702" spans="1:26" s="157" customFormat="1" x14ac:dyDescent="0.25">
      <c r="A702" s="461"/>
      <c r="B702" s="135" t="s">
        <v>319</v>
      </c>
      <c r="C702" s="599"/>
      <c r="E702" s="1170">
        <v>388256.66080729669</v>
      </c>
      <c r="F702" s="1170">
        <v>401822.68254206231</v>
      </c>
      <c r="G702" s="1170">
        <v>401297.66842858162</v>
      </c>
      <c r="H702" s="1202">
        <v>373326.61965435604</v>
      </c>
      <c r="I702" s="1186">
        <v>344497.62498263887</v>
      </c>
      <c r="J702" s="1186">
        <v>368648.90137553419</v>
      </c>
      <c r="K702" s="1186">
        <v>368706.30119570624</v>
      </c>
      <c r="L702" s="1186">
        <v>377279.10329433496</v>
      </c>
      <c r="M702" s="1186">
        <v>398226.43415178574</v>
      </c>
      <c r="N702" s="1186">
        <v>344496.56897321431</v>
      </c>
      <c r="O702" s="1186">
        <v>337694.25133928569</v>
      </c>
      <c r="P702" s="756">
        <v>346360.3196824597</v>
      </c>
      <c r="Q702" s="174"/>
      <c r="T702" s="141">
        <f t="shared" ref="T702:T710" si="30">SUM(E702:P702)</f>
        <v>4450613.1364272563</v>
      </c>
      <c r="U702" s="188" t="s">
        <v>341</v>
      </c>
      <c r="W702" s="140">
        <f>T702*3413/1000000</f>
        <v>15189.942634626226</v>
      </c>
      <c r="X702" s="138" t="s">
        <v>342</v>
      </c>
    </row>
    <row r="703" spans="1:26" s="125" customFormat="1" x14ac:dyDescent="0.25">
      <c r="A703" s="461"/>
      <c r="B703" s="135" t="s">
        <v>372</v>
      </c>
      <c r="C703" s="606"/>
      <c r="D703" s="1709"/>
      <c r="E703" s="454">
        <v>2568</v>
      </c>
      <c r="F703" s="454">
        <v>3948</v>
      </c>
      <c r="G703" s="454">
        <v>3553</v>
      </c>
      <c r="H703" s="454">
        <v>3645</v>
      </c>
      <c r="I703" s="454">
        <v>2396</v>
      </c>
      <c r="J703" s="454">
        <v>3635</v>
      </c>
      <c r="K703" s="454">
        <v>3761</v>
      </c>
      <c r="L703" s="454">
        <v>3131</v>
      </c>
      <c r="M703" s="454">
        <v>3758</v>
      </c>
      <c r="N703" s="454">
        <v>1767</v>
      </c>
      <c r="O703" s="454">
        <v>1580</v>
      </c>
      <c r="P703" s="136">
        <v>2029</v>
      </c>
      <c r="Q703" s="174"/>
      <c r="R703" s="174"/>
      <c r="T703" s="140">
        <f t="shared" si="30"/>
        <v>35771</v>
      </c>
      <c r="U703" s="138" t="s">
        <v>354</v>
      </c>
      <c r="V703" s="139"/>
      <c r="W703" s="140">
        <f>T703*99976.124488/1000000</f>
        <v>3576.2459490602478</v>
      </c>
      <c r="X703" s="138" t="s">
        <v>342</v>
      </c>
      <c r="Y703" s="765"/>
      <c r="Z703" s="554"/>
    </row>
    <row r="704" spans="1:26" s="157" customFormat="1" x14ac:dyDescent="0.25">
      <c r="A704" s="461"/>
      <c r="B704" s="135" t="s">
        <v>1137</v>
      </c>
      <c r="C704" s="599"/>
      <c r="E704" s="1188">
        <v>495.7705078125</v>
      </c>
      <c r="F704" s="1188">
        <v>589.2001953125</v>
      </c>
      <c r="G704" s="1188">
        <v>940.5302734375</v>
      </c>
      <c r="H704" s="1188">
        <v>1062.16015625</v>
      </c>
      <c r="I704" s="1188">
        <v>1047.5390625</v>
      </c>
      <c r="J704" s="1188">
        <v>1897.791015625</v>
      </c>
      <c r="K704" s="1188">
        <v>1572.4190735594375</v>
      </c>
      <c r="L704" s="1188">
        <v>1016.0754783442983</v>
      </c>
      <c r="M704" s="1188">
        <v>955.70538589015155</v>
      </c>
      <c r="N704" s="1188">
        <v>605.16015625</v>
      </c>
      <c r="O704" s="1189">
        <v>462.359375</v>
      </c>
      <c r="P704" s="1188">
        <v>385.10546875</v>
      </c>
      <c r="Q704" s="174"/>
      <c r="T704" s="141">
        <f t="shared" si="30"/>
        <v>11029.816148731386</v>
      </c>
      <c r="U704" s="188" t="s">
        <v>1138</v>
      </c>
      <c r="W704" s="160">
        <f>T704</f>
        <v>11029.816148731386</v>
      </c>
      <c r="X704" s="138" t="s">
        <v>342</v>
      </c>
    </row>
    <row r="705" spans="1:26" s="157" customFormat="1" x14ac:dyDescent="0.25">
      <c r="A705" s="461"/>
      <c r="B705" s="153" t="s">
        <v>362</v>
      </c>
      <c r="C705" s="599"/>
      <c r="E705" s="1170">
        <v>2989.47</v>
      </c>
      <c r="F705" s="1170">
        <v>2818.7938125000001</v>
      </c>
      <c r="G705" s="1170">
        <v>984.34468749999996</v>
      </c>
      <c r="H705" s="1170">
        <v>1134.2844375</v>
      </c>
      <c r="I705" s="1170">
        <v>1098.026875</v>
      </c>
      <c r="J705" s="1170">
        <v>420.6158125</v>
      </c>
      <c r="K705" s="1170">
        <v>312.22643749999997</v>
      </c>
      <c r="L705" s="1170">
        <v>565.59718750000002</v>
      </c>
      <c r="M705" s="1170">
        <v>704.34024999999997</v>
      </c>
      <c r="N705" s="1170">
        <v>746.4358749999999</v>
      </c>
      <c r="O705" s="756">
        <v>2103.3341250000003</v>
      </c>
      <c r="P705" s="756">
        <v>3060.2535000000003</v>
      </c>
      <c r="Q705" s="178"/>
      <c r="T705" s="141">
        <f t="shared" si="30"/>
        <v>16937.722999999994</v>
      </c>
      <c r="U705" s="188" t="s">
        <v>870</v>
      </c>
      <c r="W705" s="140">
        <f>T705*99976.124488/100000</f>
        <v>16933.679031912605</v>
      </c>
      <c r="X705" s="138" t="s">
        <v>342</v>
      </c>
      <c r="Y705" s="495">
        <f>W702+W704+W705</f>
        <v>43153.437815270212</v>
      </c>
      <c r="Z705" s="153" t="s">
        <v>677</v>
      </c>
    </row>
    <row r="706" spans="1:26" s="157" customFormat="1" x14ac:dyDescent="0.25">
      <c r="A706" s="461"/>
      <c r="B706" s="135" t="s">
        <v>864</v>
      </c>
      <c r="C706" s="599"/>
      <c r="E706" s="1193">
        <v>595.28342245989302</v>
      </c>
      <c r="F706" s="1193">
        <v>713.02803308823525</v>
      </c>
      <c r="G706" s="1194">
        <v>726.20187165775405</v>
      </c>
      <c r="H706" s="1194">
        <v>698.27139037433153</v>
      </c>
      <c r="I706" s="1194">
        <v>426.4317764037433</v>
      </c>
      <c r="J706" s="1194">
        <v>615.84224598930484</v>
      </c>
      <c r="K706" s="1194">
        <v>705.97593582887703</v>
      </c>
      <c r="L706" s="1200">
        <v>656.95721925133694</v>
      </c>
      <c r="M706" s="750">
        <v>816.87299465240642</v>
      </c>
      <c r="N706" s="750">
        <v>395.69117647058823</v>
      </c>
      <c r="O706" s="750">
        <v>357.40491310160428</v>
      </c>
      <c r="P706" s="750">
        <v>422.05347593582889</v>
      </c>
      <c r="Q706" s="730"/>
      <c r="T706" s="141">
        <f t="shared" si="30"/>
        <v>7130.0144552139036</v>
      </c>
      <c r="U706" s="188" t="s">
        <v>379</v>
      </c>
      <c r="W706" s="141">
        <f>T706*748</f>
        <v>5333250.8125</v>
      </c>
      <c r="X706" s="188" t="s">
        <v>346</v>
      </c>
    </row>
    <row r="707" spans="1:26" s="157" customFormat="1" x14ac:dyDescent="0.25">
      <c r="A707" s="461"/>
      <c r="B707" s="135" t="s">
        <v>324</v>
      </c>
      <c r="C707" s="599"/>
      <c r="E707" s="731">
        <v>33390.07282942751</v>
      </c>
      <c r="F707" s="731">
        <v>34556.750698617354</v>
      </c>
      <c r="G707" s="731">
        <v>34511.599484858016</v>
      </c>
      <c r="H707" s="731">
        <v>32106.089290274616</v>
      </c>
      <c r="I707" s="731">
        <v>29626.795748506942</v>
      </c>
      <c r="J707" s="731">
        <v>31703.805518295936</v>
      </c>
      <c r="K707" s="731">
        <v>31708.741902830734</v>
      </c>
      <c r="L707" s="731">
        <v>32446.002883312805</v>
      </c>
      <c r="M707" s="731">
        <v>34247.473337053569</v>
      </c>
      <c r="N707" s="731">
        <v>29626.704931696429</v>
      </c>
      <c r="O707" s="731">
        <v>29041.705615178565</v>
      </c>
      <c r="P707" s="731">
        <v>30133.347812373991</v>
      </c>
      <c r="Q707" s="1162"/>
      <c r="T707" s="171">
        <f t="shared" si="30"/>
        <v>383099.09005242644</v>
      </c>
      <c r="U707" s="188"/>
      <c r="W707" s="190">
        <f>T707</f>
        <v>383099.09005242644</v>
      </c>
      <c r="X707" s="188"/>
    </row>
    <row r="708" spans="1:26" s="125" customFormat="1" x14ac:dyDescent="0.25">
      <c r="A708" s="461"/>
      <c r="B708" s="144" t="s">
        <v>374</v>
      </c>
      <c r="C708" s="607"/>
      <c r="E708" s="455">
        <v>1844.29</v>
      </c>
      <c r="F708" s="455">
        <v>2807.19</v>
      </c>
      <c r="G708" s="455">
        <v>2513.7800000000002</v>
      </c>
      <c r="H708" s="455">
        <v>2394.85</v>
      </c>
      <c r="I708" s="455">
        <v>1576.31</v>
      </c>
      <c r="J708" s="455">
        <v>2136.7800000000002</v>
      </c>
      <c r="K708" s="455">
        <v>2270.12</v>
      </c>
      <c r="L708" s="455">
        <v>1909.88</v>
      </c>
      <c r="M708" s="455">
        <v>2378.54</v>
      </c>
      <c r="N708" s="455">
        <v>1145.4100000000001</v>
      </c>
      <c r="O708" s="455">
        <v>1029.5999999999999</v>
      </c>
      <c r="P708" s="455">
        <v>1307.68</v>
      </c>
      <c r="Q708" s="179"/>
      <c r="R708" s="179"/>
      <c r="T708" s="156">
        <f t="shared" si="30"/>
        <v>23314.43</v>
      </c>
      <c r="U708" s="138"/>
      <c r="V708" s="139"/>
      <c r="W708" s="143">
        <f>T708</f>
        <v>23314.43</v>
      </c>
      <c r="X708" s="138"/>
      <c r="Y708" s="157"/>
      <c r="Z708" s="157"/>
    </row>
    <row r="709" spans="1:26" s="157" customFormat="1" x14ac:dyDescent="0.25">
      <c r="A709" s="461"/>
      <c r="B709" s="144" t="s">
        <v>348</v>
      </c>
      <c r="C709" s="599"/>
      <c r="E709" s="731">
        <v>6638.3670996093751</v>
      </c>
      <c r="F709" s="731">
        <v>7889.3906152343752</v>
      </c>
      <c r="G709" s="731">
        <v>12593.700361328125</v>
      </c>
      <c r="H709" s="731">
        <v>14222.324492187501</v>
      </c>
      <c r="I709" s="731">
        <v>14026.548046875001</v>
      </c>
      <c r="J709" s="731">
        <v>25411.42169921875</v>
      </c>
      <c r="K709" s="731">
        <v>21054.691394960868</v>
      </c>
      <c r="L709" s="731">
        <v>13605.250655030155</v>
      </c>
      <c r="M709" s="731">
        <v>12796.895117069129</v>
      </c>
      <c r="N709" s="731">
        <v>8103.0944921875007</v>
      </c>
      <c r="O709" s="731">
        <v>6190.9920312499999</v>
      </c>
      <c r="P709" s="731">
        <v>4628.967734375</v>
      </c>
      <c r="Q709" s="1162"/>
      <c r="T709" s="171">
        <f t="shared" si="30"/>
        <v>147161.64373932578</v>
      </c>
      <c r="U709" s="188"/>
      <c r="W709" s="190">
        <f>T709</f>
        <v>147161.64373932578</v>
      </c>
      <c r="X709" s="188"/>
    </row>
    <row r="710" spans="1:26" s="157" customFormat="1" ht="16.5" x14ac:dyDescent="0.35">
      <c r="A710" s="461"/>
      <c r="B710" s="195" t="s">
        <v>398</v>
      </c>
      <c r="C710" s="599"/>
      <c r="E710" s="731">
        <v>41762.895899999996</v>
      </c>
      <c r="F710" s="731">
        <v>39378.549560625004</v>
      </c>
      <c r="G710" s="731">
        <v>13751.295284375001</v>
      </c>
      <c r="H710" s="731">
        <v>15845.953591875001</v>
      </c>
      <c r="I710" s="731">
        <v>15339.435443750001</v>
      </c>
      <c r="J710" s="731">
        <v>5876.0029006250006</v>
      </c>
      <c r="K710" s="731">
        <v>4361.8033318749995</v>
      </c>
      <c r="L710" s="731">
        <v>7901.3927093750008</v>
      </c>
      <c r="M710" s="731">
        <v>9839.6332925000006</v>
      </c>
      <c r="N710" s="731">
        <v>10427.70917375</v>
      </c>
      <c r="O710" s="731">
        <v>29383.577726250005</v>
      </c>
      <c r="P710" s="731">
        <v>39630.282825000002</v>
      </c>
      <c r="Q710" s="1162"/>
      <c r="T710" s="171">
        <f t="shared" si="30"/>
        <v>233498.53174000001</v>
      </c>
      <c r="U710" s="188"/>
      <c r="W710" s="197">
        <f>T710</f>
        <v>233498.53174000001</v>
      </c>
      <c r="X710" s="188"/>
    </row>
    <row r="711" spans="1:26" s="125" customFormat="1" x14ac:dyDescent="0.25">
      <c r="A711" s="461"/>
      <c r="B711" s="205"/>
      <c r="C711" s="152"/>
      <c r="E711" s="201"/>
      <c r="F711" s="206"/>
      <c r="G711" s="202"/>
      <c r="H711" s="203"/>
      <c r="I711" s="203"/>
      <c r="J711" s="203"/>
      <c r="K711" s="203"/>
      <c r="L711" s="203"/>
      <c r="M711" s="203"/>
      <c r="N711" s="203"/>
      <c r="O711" s="203"/>
      <c r="P711" s="203"/>
      <c r="U711" s="126"/>
      <c r="W711" s="190">
        <f>SUM(W707:W710)</f>
        <v>787073.69553175219</v>
      </c>
      <c r="X711" s="450"/>
      <c r="Y711" s="157"/>
      <c r="Z711" s="157"/>
    </row>
    <row r="712" spans="1:26" x14ac:dyDescent="0.25">
      <c r="B712" s="666"/>
    </row>
    <row r="713" spans="1:26" x14ac:dyDescent="0.25">
      <c r="A713" s="462">
        <v>72</v>
      </c>
      <c r="B713" s="666" t="s">
        <v>1286</v>
      </c>
      <c r="T713" s="666" t="s">
        <v>1286</v>
      </c>
    </row>
    <row r="714" spans="1:26" s="125" customFormat="1" x14ac:dyDescent="0.25">
      <c r="A714" s="461"/>
      <c r="B714" s="130" t="s">
        <v>337</v>
      </c>
      <c r="C714" s="131">
        <v>42156</v>
      </c>
      <c r="D714" s="131">
        <v>42186</v>
      </c>
      <c r="E714" s="131">
        <v>42217</v>
      </c>
      <c r="F714" s="131">
        <v>42248</v>
      </c>
      <c r="G714" s="131">
        <v>42278</v>
      </c>
      <c r="H714" s="131">
        <v>42309</v>
      </c>
      <c r="I714" s="131">
        <v>42339</v>
      </c>
      <c r="J714" s="131">
        <v>42370</v>
      </c>
      <c r="K714" s="131">
        <v>42401</v>
      </c>
      <c r="L714" s="131">
        <v>42430</v>
      </c>
      <c r="M714" s="131">
        <v>42461</v>
      </c>
      <c r="N714" s="131">
        <v>42491</v>
      </c>
      <c r="O714" s="131">
        <v>42522</v>
      </c>
      <c r="P714" s="131">
        <v>42552</v>
      </c>
      <c r="Q714" s="151">
        <v>42583</v>
      </c>
      <c r="R714" s="131">
        <v>42627</v>
      </c>
      <c r="S714" s="132"/>
      <c r="T714" s="133" t="s">
        <v>338</v>
      </c>
      <c r="U714" s="134" t="s">
        <v>339</v>
      </c>
      <c r="V714" s="132"/>
      <c r="W714" s="133" t="s">
        <v>338</v>
      </c>
      <c r="X714" s="134" t="s">
        <v>339</v>
      </c>
      <c r="Y714" s="157"/>
      <c r="Z714" s="157"/>
    </row>
    <row r="715" spans="1:26" s="125" customFormat="1" x14ac:dyDescent="0.25">
      <c r="A715" s="461"/>
      <c r="B715" s="135" t="s">
        <v>340</v>
      </c>
      <c r="C715" s="606"/>
      <c r="D715" s="136" t="s">
        <v>38</v>
      </c>
      <c r="E715" s="136">
        <v>68480</v>
      </c>
      <c r="F715" s="136">
        <v>102000</v>
      </c>
      <c r="G715" s="136">
        <v>85760</v>
      </c>
      <c r="H715" s="136">
        <v>62880</v>
      </c>
      <c r="I715" s="136">
        <v>62400</v>
      </c>
      <c r="J715" s="136">
        <v>66240</v>
      </c>
      <c r="K715" s="136">
        <v>46000</v>
      </c>
      <c r="L715" s="136">
        <v>60080</v>
      </c>
      <c r="M715" s="136">
        <v>59840</v>
      </c>
      <c r="N715" s="136">
        <v>82000</v>
      </c>
      <c r="O715" s="136">
        <v>89840</v>
      </c>
      <c r="P715" s="174"/>
      <c r="Q715" s="174"/>
      <c r="R715" s="174"/>
      <c r="T715" s="140">
        <f>SUM(D715:O715)</f>
        <v>785520</v>
      </c>
      <c r="U715" s="138" t="s">
        <v>341</v>
      </c>
      <c r="V715" s="139"/>
      <c r="W715" s="140">
        <f>T715*3413/1000000</f>
        <v>2680.9797600000002</v>
      </c>
      <c r="X715" s="138" t="s">
        <v>342</v>
      </c>
      <c r="Y715" s="157"/>
      <c r="Z715" s="157"/>
    </row>
    <row r="716" spans="1:26" s="125" customFormat="1" x14ac:dyDescent="0.25">
      <c r="A716" s="461"/>
      <c r="B716" s="135" t="s">
        <v>372</v>
      </c>
      <c r="C716" s="606"/>
      <c r="D716" s="153">
        <v>244</v>
      </c>
      <c r="E716" s="153">
        <v>479</v>
      </c>
      <c r="F716" s="141">
        <v>724</v>
      </c>
      <c r="G716" s="141">
        <v>1416</v>
      </c>
      <c r="H716" s="141">
        <v>2857</v>
      </c>
      <c r="I716" s="141">
        <v>4292</v>
      </c>
      <c r="J716" s="141">
        <v>4199</v>
      </c>
      <c r="K716" s="141">
        <v>6262</v>
      </c>
      <c r="L716" s="141">
        <v>5811</v>
      </c>
      <c r="M716" s="141">
        <v>2043</v>
      </c>
      <c r="N716" s="141">
        <v>1464</v>
      </c>
      <c r="O716" s="141">
        <v>1040</v>
      </c>
      <c r="P716" s="174"/>
      <c r="Q716" s="174"/>
      <c r="R716" s="174"/>
      <c r="T716" s="140">
        <f>SUM(D716:O716)</f>
        <v>30831</v>
      </c>
      <c r="U716" s="138" t="s">
        <v>354</v>
      </c>
      <c r="V716" s="139"/>
      <c r="W716" s="140">
        <f>T716*99976.124488/1000000</f>
        <v>3082.363894089528</v>
      </c>
      <c r="X716" s="138" t="s">
        <v>342</v>
      </c>
      <c r="Y716" s="495">
        <f>W715+W716</f>
        <v>5763.3436540895282</v>
      </c>
      <c r="Z716" s="1323" t="s">
        <v>342</v>
      </c>
    </row>
    <row r="717" spans="1:26" s="125" customFormat="1" x14ac:dyDescent="0.25">
      <c r="A717" s="461"/>
      <c r="B717" s="135" t="s">
        <v>864</v>
      </c>
      <c r="C717" s="606"/>
      <c r="D717" s="141">
        <v>320</v>
      </c>
      <c r="E717" s="141">
        <v>300</v>
      </c>
      <c r="F717" s="141">
        <v>295</v>
      </c>
      <c r="G717" s="141">
        <v>33</v>
      </c>
      <c r="H717" s="141">
        <v>31</v>
      </c>
      <c r="I717" s="141">
        <v>21</v>
      </c>
      <c r="J717" s="141">
        <v>13</v>
      </c>
      <c r="K717" s="141">
        <v>23</v>
      </c>
      <c r="L717" s="141">
        <v>38</v>
      </c>
      <c r="M717" s="141">
        <v>31</v>
      </c>
      <c r="N717" s="141">
        <v>29</v>
      </c>
      <c r="O717" s="141">
        <v>137</v>
      </c>
      <c r="P717" s="178"/>
      <c r="Q717" s="178"/>
      <c r="R717" s="178"/>
      <c r="T717" s="140">
        <f>SUM(D717:O717)</f>
        <v>1271</v>
      </c>
      <c r="U717" s="138" t="s">
        <v>379</v>
      </c>
      <c r="V717" s="139"/>
      <c r="W717" s="137">
        <f>T717*748</f>
        <v>950708</v>
      </c>
      <c r="X717" s="138" t="s">
        <v>346</v>
      </c>
      <c r="Z717" s="157"/>
    </row>
    <row r="718" spans="1:26" s="125" customFormat="1" x14ac:dyDescent="0.25">
      <c r="A718" s="461"/>
      <c r="B718" s="135" t="s">
        <v>324</v>
      </c>
      <c r="C718" s="606"/>
      <c r="D718" s="142">
        <v>75.84</v>
      </c>
      <c r="E718" s="142">
        <v>7149.64</v>
      </c>
      <c r="F718" s="142">
        <v>10385.950000000001</v>
      </c>
      <c r="G718" s="142">
        <v>8599.1200000000008</v>
      </c>
      <c r="H718" s="142">
        <v>6849.76</v>
      </c>
      <c r="I718" s="142">
        <v>6747.39</v>
      </c>
      <c r="J718" s="142">
        <v>7022.24</v>
      </c>
      <c r="K718" s="142">
        <v>5657.86</v>
      </c>
      <c r="L718" s="142">
        <v>6744.76</v>
      </c>
      <c r="M718" s="142">
        <v>6727.04</v>
      </c>
      <c r="N718" s="142">
        <v>8476.17</v>
      </c>
      <c r="O718" s="142">
        <v>8942.58</v>
      </c>
      <c r="P718" s="176"/>
      <c r="Q718" s="176"/>
      <c r="R718" s="176"/>
      <c r="T718" s="156">
        <f>SUM(D718:O718)</f>
        <v>83378.350000000006</v>
      </c>
      <c r="U718" s="138"/>
      <c r="V718" s="139"/>
      <c r="W718" s="143">
        <f>T718</f>
        <v>83378.350000000006</v>
      </c>
      <c r="X718" s="138"/>
      <c r="Y718" s="157"/>
      <c r="Z718" s="157"/>
    </row>
    <row r="719" spans="1:26" s="125" customFormat="1" ht="16.5" x14ac:dyDescent="0.35">
      <c r="A719" s="461"/>
      <c r="B719" s="144" t="s">
        <v>374</v>
      </c>
      <c r="C719" s="607"/>
      <c r="D719" s="145">
        <v>323.85000000000002</v>
      </c>
      <c r="E719" s="145">
        <v>638.73</v>
      </c>
      <c r="F719" s="145">
        <v>897.5</v>
      </c>
      <c r="G719" s="145">
        <v>1458.84</v>
      </c>
      <c r="H719" s="145">
        <v>2901.99</v>
      </c>
      <c r="I719" s="145">
        <v>4313.7</v>
      </c>
      <c r="J719" s="145">
        <v>4221.68</v>
      </c>
      <c r="K719" s="145">
        <v>6326.38</v>
      </c>
      <c r="L719" s="145">
        <v>5807.43</v>
      </c>
      <c r="M719" s="145">
        <v>2093.56</v>
      </c>
      <c r="N719" s="145">
        <v>1499.91</v>
      </c>
      <c r="O719" s="145">
        <v>1082.29</v>
      </c>
      <c r="P719" s="179"/>
      <c r="Q719" s="179"/>
      <c r="R719" s="179"/>
      <c r="T719" s="156">
        <f>SUM(D719:O719)</f>
        <v>31565.860000000004</v>
      </c>
      <c r="U719" s="138"/>
      <c r="V719" s="139"/>
      <c r="W719" s="146">
        <f>T719</f>
        <v>31565.860000000004</v>
      </c>
      <c r="X719" s="138"/>
      <c r="Y719" s="157"/>
      <c r="Z719" s="157"/>
    </row>
    <row r="720" spans="1:26" x14ac:dyDescent="0.25">
      <c r="W720" s="143">
        <f>SUM(W718:W719)</f>
        <v>114944.21</v>
      </c>
      <c r="X720" s="138"/>
    </row>
    <row r="721" spans="1:26" x14ac:dyDescent="0.25">
      <c r="B721" s="666"/>
    </row>
    <row r="722" spans="1:26" x14ac:dyDescent="0.25">
      <c r="A722" s="462">
        <v>73</v>
      </c>
      <c r="B722" s="666" t="s">
        <v>1287</v>
      </c>
      <c r="T722" s="666" t="s">
        <v>1287</v>
      </c>
    </row>
    <row r="723" spans="1:26" x14ac:dyDescent="0.25">
      <c r="B723" s="666"/>
    </row>
    <row r="724" spans="1:26" x14ac:dyDescent="0.25">
      <c r="B724" s="666"/>
    </row>
    <row r="725" spans="1:26" x14ac:dyDescent="0.25">
      <c r="B725" s="666"/>
    </row>
    <row r="726" spans="1:26" x14ac:dyDescent="0.25">
      <c r="B726" s="666"/>
    </row>
    <row r="727" spans="1:26" x14ac:dyDescent="0.25">
      <c r="B727" s="666"/>
    </row>
    <row r="728" spans="1:26" x14ac:dyDescent="0.25">
      <c r="B728" s="666"/>
    </row>
    <row r="729" spans="1:26" x14ac:dyDescent="0.25">
      <c r="B729" s="666"/>
    </row>
    <row r="730" spans="1:26" x14ac:dyDescent="0.25">
      <c r="B730" s="666"/>
    </row>
    <row r="731" spans="1:26" x14ac:dyDescent="0.25">
      <c r="B731" s="666"/>
    </row>
    <row r="732" spans="1:26" x14ac:dyDescent="0.25">
      <c r="B732" s="666"/>
    </row>
    <row r="733" spans="1:26" x14ac:dyDescent="0.25">
      <c r="A733" s="462">
        <v>74</v>
      </c>
      <c r="B733" s="666" t="s">
        <v>1288</v>
      </c>
      <c r="T733" s="666" t="s">
        <v>1288</v>
      </c>
    </row>
    <row r="734" spans="1:26" s="125" customFormat="1" x14ac:dyDescent="0.25">
      <c r="A734" s="461"/>
      <c r="B734" s="130" t="s">
        <v>337</v>
      </c>
      <c r="C734" s="131">
        <v>42156</v>
      </c>
      <c r="D734" s="131">
        <v>42186</v>
      </c>
      <c r="E734" s="131">
        <v>42217</v>
      </c>
      <c r="F734" s="131">
        <v>42248</v>
      </c>
      <c r="G734" s="131">
        <v>42278</v>
      </c>
      <c r="H734" s="131">
        <v>42309</v>
      </c>
      <c r="I734" s="131">
        <v>42339</v>
      </c>
      <c r="J734" s="131">
        <v>42370</v>
      </c>
      <c r="K734" s="131">
        <v>42401</v>
      </c>
      <c r="L734" s="131">
        <v>42430</v>
      </c>
      <c r="M734" s="131">
        <v>42461</v>
      </c>
      <c r="N734" s="131">
        <v>42491</v>
      </c>
      <c r="O734" s="131">
        <v>42522</v>
      </c>
      <c r="P734" s="131">
        <v>42552</v>
      </c>
      <c r="Q734" s="151">
        <v>42583</v>
      </c>
      <c r="R734" s="131">
        <v>42627</v>
      </c>
      <c r="S734" s="132"/>
      <c r="T734" s="133" t="s">
        <v>338</v>
      </c>
      <c r="U734" s="134" t="s">
        <v>339</v>
      </c>
      <c r="V734" s="132"/>
      <c r="W734" s="133" t="s">
        <v>338</v>
      </c>
      <c r="X734" s="134" t="s">
        <v>339</v>
      </c>
      <c r="Y734" s="157"/>
      <c r="Z734" s="157"/>
    </row>
    <row r="735" spans="1:26" s="125" customFormat="1" x14ac:dyDescent="0.25">
      <c r="A735" s="461"/>
      <c r="B735" s="135" t="s">
        <v>340</v>
      </c>
      <c r="C735" s="606"/>
      <c r="D735" s="454"/>
      <c r="E735" s="454"/>
      <c r="F735" s="454"/>
      <c r="G735" s="454"/>
      <c r="H735" s="454"/>
      <c r="I735" s="454"/>
      <c r="J735" s="454"/>
      <c r="K735" s="454"/>
      <c r="L735" s="454"/>
      <c r="M735" s="454"/>
      <c r="N735" s="454"/>
      <c r="O735" s="454"/>
      <c r="P735" s="174"/>
      <c r="Q735" s="174"/>
      <c r="R735" s="174"/>
      <c r="T735" s="140">
        <f t="shared" ref="T735:T743" si="31">SUM(C735:S735)</f>
        <v>0</v>
      </c>
      <c r="U735" s="138" t="s">
        <v>341</v>
      </c>
      <c r="V735" s="139"/>
      <c r="W735" s="140">
        <f>T735*3413/1000000</f>
        <v>0</v>
      </c>
      <c r="X735" s="138" t="s">
        <v>342</v>
      </c>
      <c r="Y735" s="157"/>
      <c r="Z735" s="157"/>
    </row>
    <row r="736" spans="1:26" s="125" customFormat="1" x14ac:dyDescent="0.25">
      <c r="A736" s="461"/>
      <c r="B736" s="135" t="s">
        <v>372</v>
      </c>
      <c r="C736" s="606"/>
      <c r="D736" s="454"/>
      <c r="E736" s="454"/>
      <c r="F736" s="454"/>
      <c r="G736" s="454"/>
      <c r="H736" s="454"/>
      <c r="I736" s="454"/>
      <c r="J736" s="454"/>
      <c r="K736" s="454"/>
      <c r="L736" s="454"/>
      <c r="M736" s="454"/>
      <c r="N736" s="454"/>
      <c r="O736" s="454"/>
      <c r="P736" s="174"/>
      <c r="Q736" s="174"/>
      <c r="R736" s="174"/>
      <c r="T736" s="140">
        <f t="shared" si="31"/>
        <v>0</v>
      </c>
      <c r="U736" s="138" t="s">
        <v>354</v>
      </c>
      <c r="V736" s="139"/>
      <c r="W736" s="140">
        <f>T736*99976.124488/1000000</f>
        <v>0</v>
      </c>
      <c r="X736" s="138" t="s">
        <v>342</v>
      </c>
      <c r="Y736" s="765"/>
      <c r="Z736" s="554"/>
    </row>
    <row r="737" spans="1:26" s="125" customFormat="1" x14ac:dyDescent="0.25">
      <c r="A737" s="461"/>
      <c r="B737" s="135" t="s">
        <v>1056</v>
      </c>
      <c r="C737" s="606"/>
      <c r="D737" s="454"/>
      <c r="E737" s="454"/>
      <c r="F737" s="454"/>
      <c r="G737" s="454"/>
      <c r="H737" s="454"/>
      <c r="I737" s="454"/>
      <c r="J737" s="454"/>
      <c r="K737" s="454"/>
      <c r="L737" s="454"/>
      <c r="M737" s="454"/>
      <c r="N737" s="454"/>
      <c r="O737" s="454"/>
      <c r="P737" s="174"/>
      <c r="Q737" s="174"/>
      <c r="R737" s="174"/>
      <c r="T737" s="140">
        <f t="shared" si="31"/>
        <v>0</v>
      </c>
      <c r="U737" s="138" t="s">
        <v>342</v>
      </c>
      <c r="V737" s="139"/>
      <c r="W737" s="140">
        <f>T737</f>
        <v>0</v>
      </c>
      <c r="X737" s="138" t="s">
        <v>342</v>
      </c>
      <c r="Y737" s="765"/>
      <c r="Z737" s="554"/>
    </row>
    <row r="738" spans="1:26" s="125" customFormat="1" x14ac:dyDescent="0.25">
      <c r="A738" s="461"/>
      <c r="B738" s="135" t="s">
        <v>1057</v>
      </c>
      <c r="C738" s="606"/>
      <c r="D738" s="454"/>
      <c r="E738" s="454"/>
      <c r="F738" s="454"/>
      <c r="G738" s="454"/>
      <c r="H738" s="454"/>
      <c r="I738" s="454"/>
      <c r="J738" s="454"/>
      <c r="K738" s="454"/>
      <c r="L738" s="454"/>
      <c r="M738" s="454"/>
      <c r="N738" s="454"/>
      <c r="O738" s="454"/>
      <c r="P738" s="174"/>
      <c r="Q738" s="174"/>
      <c r="R738" s="174"/>
      <c r="T738" s="140">
        <f t="shared" si="31"/>
        <v>0</v>
      </c>
      <c r="U738" s="138" t="s">
        <v>342</v>
      </c>
      <c r="V738" s="139"/>
      <c r="W738" s="140">
        <f>T738</f>
        <v>0</v>
      </c>
      <c r="X738" s="138" t="s">
        <v>342</v>
      </c>
      <c r="Y738" s="495">
        <f>W735+W736+W737+W738</f>
        <v>0</v>
      </c>
      <c r="Z738" s="153" t="s">
        <v>677</v>
      </c>
    </row>
    <row r="739" spans="1:26" s="125" customFormat="1" x14ac:dyDescent="0.25">
      <c r="A739" s="461"/>
      <c r="B739" s="135" t="s">
        <v>366</v>
      </c>
      <c r="C739" s="606"/>
      <c r="D739" s="454"/>
      <c r="E739" s="454"/>
      <c r="F739" s="454"/>
      <c r="G739" s="454"/>
      <c r="H739" s="454"/>
      <c r="I739" s="454"/>
      <c r="J739" s="454"/>
      <c r="K739" s="454"/>
      <c r="L739" s="454"/>
      <c r="M739" s="454"/>
      <c r="N739" s="454"/>
      <c r="O739" s="454"/>
      <c r="P739" s="178"/>
      <c r="Q739" s="178"/>
      <c r="R739" s="178"/>
      <c r="T739" s="140">
        <f t="shared" si="31"/>
        <v>0</v>
      </c>
      <c r="U739" s="138" t="s">
        <v>367</v>
      </c>
      <c r="V739" s="139"/>
      <c r="W739" s="137">
        <f>T739*7.48</f>
        <v>0</v>
      </c>
      <c r="X739" s="138" t="s">
        <v>346</v>
      </c>
      <c r="Y739" s="157"/>
      <c r="Z739" s="157"/>
    </row>
    <row r="740" spans="1:26" s="125" customFormat="1" x14ac:dyDescent="0.25">
      <c r="A740" s="461"/>
      <c r="B740" s="135" t="s">
        <v>324</v>
      </c>
      <c r="C740" s="606"/>
      <c r="D740" s="455"/>
      <c r="E740" s="455"/>
      <c r="F740" s="455"/>
      <c r="G740" s="455"/>
      <c r="H740" s="455"/>
      <c r="I740" s="455"/>
      <c r="J740" s="455"/>
      <c r="K740" s="455"/>
      <c r="L740" s="455"/>
      <c r="M740" s="455"/>
      <c r="N740" s="455"/>
      <c r="O740" s="455"/>
      <c r="P740" s="176"/>
      <c r="Q740" s="176"/>
      <c r="R740" s="176"/>
      <c r="T740" s="143">
        <f t="shared" si="31"/>
        <v>0</v>
      </c>
      <c r="U740" s="138"/>
      <c r="V740" s="139"/>
      <c r="W740" s="143">
        <f>T740</f>
        <v>0</v>
      </c>
      <c r="X740" s="138"/>
      <c r="Y740" s="157"/>
      <c r="Z740" s="157"/>
    </row>
    <row r="741" spans="1:26" s="125" customFormat="1" x14ac:dyDescent="0.25">
      <c r="A741" s="461"/>
      <c r="B741" s="144" t="s">
        <v>374</v>
      </c>
      <c r="C741" s="607"/>
      <c r="D741" s="455"/>
      <c r="E741" s="455"/>
      <c r="F741" s="455"/>
      <c r="G741" s="455"/>
      <c r="H741" s="455"/>
      <c r="I741" s="455"/>
      <c r="J741" s="455"/>
      <c r="K741" s="455"/>
      <c r="L741" s="455"/>
      <c r="M741" s="455"/>
      <c r="N741" s="455"/>
      <c r="O741" s="455"/>
      <c r="P741" s="179"/>
      <c r="Q741" s="179"/>
      <c r="R741" s="179"/>
      <c r="T741" s="143">
        <f t="shared" si="31"/>
        <v>0</v>
      </c>
      <c r="U741" s="138"/>
      <c r="V741" s="139"/>
      <c r="W741" s="143">
        <f>T741</f>
        <v>0</v>
      </c>
      <c r="X741" s="138"/>
      <c r="Y741" s="157"/>
      <c r="Z741" s="157"/>
    </row>
    <row r="742" spans="1:26" s="125" customFormat="1" x14ac:dyDescent="0.25">
      <c r="A742" s="461"/>
      <c r="B742" s="204" t="s">
        <v>398</v>
      </c>
      <c r="C742" s="607"/>
      <c r="D742" s="455"/>
      <c r="E742" s="455"/>
      <c r="F742" s="455"/>
      <c r="G742" s="455"/>
      <c r="H742" s="455"/>
      <c r="I742" s="455"/>
      <c r="J742" s="455"/>
      <c r="K742" s="455"/>
      <c r="L742" s="455"/>
      <c r="M742" s="455"/>
      <c r="N742" s="455"/>
      <c r="O742" s="455"/>
      <c r="P742" s="179"/>
      <c r="Q742" s="179"/>
      <c r="R742" s="179"/>
      <c r="T742" s="143">
        <f t="shared" si="31"/>
        <v>0</v>
      </c>
      <c r="U742" s="138"/>
      <c r="V742" s="139"/>
      <c r="W742" s="143">
        <f>T742</f>
        <v>0</v>
      </c>
      <c r="X742" s="138"/>
      <c r="Y742" s="157"/>
      <c r="Z742" s="157"/>
    </row>
    <row r="743" spans="1:26" s="125" customFormat="1" x14ac:dyDescent="0.25">
      <c r="A743" s="461"/>
      <c r="B743" s="204" t="s">
        <v>1058</v>
      </c>
      <c r="C743" s="607"/>
      <c r="D743" s="455"/>
      <c r="E743" s="455"/>
      <c r="F743" s="455"/>
      <c r="G743" s="455"/>
      <c r="H743" s="455"/>
      <c r="I743" s="455"/>
      <c r="J743" s="455"/>
      <c r="K743" s="455"/>
      <c r="L743" s="455"/>
      <c r="M743" s="455"/>
      <c r="N743" s="455"/>
      <c r="O743" s="455"/>
      <c r="P743" s="179"/>
      <c r="Q743" s="179"/>
      <c r="R743" s="179"/>
      <c r="T743" s="143">
        <f t="shared" si="31"/>
        <v>0</v>
      </c>
      <c r="U743" s="138"/>
      <c r="V743" s="139"/>
      <c r="W743" s="143">
        <f>T743</f>
        <v>0</v>
      </c>
      <c r="X743" s="138"/>
      <c r="Y743" s="157"/>
      <c r="Z743" s="157"/>
    </row>
    <row r="744" spans="1:26" x14ac:dyDescent="0.25">
      <c r="W744" s="143">
        <f>SUM(W740:W743)</f>
        <v>0</v>
      </c>
      <c r="X744" s="138"/>
    </row>
    <row r="745" spans="1:26" x14ac:dyDescent="0.25">
      <c r="B745" s="666"/>
    </row>
    <row r="746" spans="1:26" x14ac:dyDescent="0.25">
      <c r="A746" s="462">
        <v>75</v>
      </c>
      <c r="B746" s="666" t="s">
        <v>1443</v>
      </c>
      <c r="T746" s="666" t="s">
        <v>1289</v>
      </c>
    </row>
    <row r="747" spans="1:26" s="125" customFormat="1" x14ac:dyDescent="0.25">
      <c r="A747" s="461"/>
      <c r="B747" s="130" t="s">
        <v>337</v>
      </c>
      <c r="C747" s="131">
        <v>42156</v>
      </c>
      <c r="D747" s="131">
        <v>42186</v>
      </c>
      <c r="E747" s="131">
        <v>42217</v>
      </c>
      <c r="F747" s="131">
        <v>42248</v>
      </c>
      <c r="G747" s="131">
        <v>42278</v>
      </c>
      <c r="H747" s="131">
        <v>42309</v>
      </c>
      <c r="I747" s="131">
        <v>42339</v>
      </c>
      <c r="J747" s="131">
        <v>42370</v>
      </c>
      <c r="K747" s="131">
        <v>42401</v>
      </c>
      <c r="L747" s="131">
        <v>42430</v>
      </c>
      <c r="M747" s="131">
        <v>42461</v>
      </c>
      <c r="N747" s="131">
        <v>42491</v>
      </c>
      <c r="O747" s="131">
        <v>42522</v>
      </c>
      <c r="P747" s="131">
        <v>42552</v>
      </c>
      <c r="Q747" s="151">
        <v>42583</v>
      </c>
      <c r="R747" s="131">
        <v>42627</v>
      </c>
      <c r="S747" s="132"/>
      <c r="T747" s="133" t="s">
        <v>338</v>
      </c>
      <c r="U747" s="134" t="s">
        <v>339</v>
      </c>
      <c r="V747" s="132"/>
      <c r="W747" s="133" t="s">
        <v>338</v>
      </c>
      <c r="X747" s="134" t="s">
        <v>339</v>
      </c>
      <c r="Y747" s="157"/>
      <c r="Z747" s="157"/>
    </row>
    <row r="748" spans="1:26" s="125" customFormat="1" x14ac:dyDescent="0.25">
      <c r="A748" s="461"/>
      <c r="B748" s="135" t="s">
        <v>340</v>
      </c>
      <c r="C748" s="606"/>
      <c r="D748" s="454"/>
      <c r="E748" s="454"/>
      <c r="F748" s="454"/>
      <c r="G748" s="454"/>
      <c r="H748" s="454"/>
      <c r="I748" s="454"/>
      <c r="J748" s="454"/>
      <c r="K748" s="454"/>
      <c r="L748" s="454"/>
      <c r="M748" s="454"/>
      <c r="N748" s="454"/>
      <c r="O748" s="454"/>
      <c r="P748" s="174"/>
      <c r="Q748" s="174"/>
      <c r="R748" s="174"/>
      <c r="T748" s="140">
        <f t="shared" ref="T748:T756" si="32">SUM(C748:S748)</f>
        <v>0</v>
      </c>
      <c r="U748" s="138" t="s">
        <v>341</v>
      </c>
      <c r="V748" s="139"/>
      <c r="W748" s="140">
        <f>T748*3413/1000000</f>
        <v>0</v>
      </c>
      <c r="X748" s="138" t="s">
        <v>342</v>
      </c>
      <c r="Y748" s="157"/>
      <c r="Z748" s="157"/>
    </row>
    <row r="749" spans="1:26" s="125" customFormat="1" x14ac:dyDescent="0.25">
      <c r="A749" s="461"/>
      <c r="B749" s="135" t="s">
        <v>372</v>
      </c>
      <c r="C749" s="606"/>
      <c r="D749" s="454"/>
      <c r="E749" s="454"/>
      <c r="F749" s="454"/>
      <c r="G749" s="454"/>
      <c r="H749" s="454"/>
      <c r="I749" s="454"/>
      <c r="J749" s="454"/>
      <c r="K749" s="454"/>
      <c r="L749" s="454"/>
      <c r="M749" s="454"/>
      <c r="N749" s="454"/>
      <c r="O749" s="454"/>
      <c r="P749" s="174"/>
      <c r="Q749" s="174"/>
      <c r="R749" s="174"/>
      <c r="T749" s="140">
        <f t="shared" si="32"/>
        <v>0</v>
      </c>
      <c r="U749" s="138" t="s">
        <v>354</v>
      </c>
      <c r="V749" s="139"/>
      <c r="W749" s="140">
        <f>T749*99976.124488/1000000</f>
        <v>0</v>
      </c>
      <c r="X749" s="138" t="s">
        <v>342</v>
      </c>
      <c r="Y749" s="765"/>
      <c r="Z749" s="554"/>
    </row>
    <row r="750" spans="1:26" s="125" customFormat="1" x14ac:dyDescent="0.25">
      <c r="A750" s="461"/>
      <c r="B750" s="135" t="s">
        <v>1056</v>
      </c>
      <c r="C750" s="606"/>
      <c r="D750" s="454"/>
      <c r="E750" s="454"/>
      <c r="F750" s="454"/>
      <c r="G750" s="454"/>
      <c r="H750" s="454"/>
      <c r="I750" s="454"/>
      <c r="J750" s="454"/>
      <c r="K750" s="454"/>
      <c r="L750" s="454"/>
      <c r="M750" s="454"/>
      <c r="N750" s="454"/>
      <c r="O750" s="454"/>
      <c r="P750" s="174"/>
      <c r="Q750" s="174"/>
      <c r="R750" s="174"/>
      <c r="T750" s="140">
        <f t="shared" si="32"/>
        <v>0</v>
      </c>
      <c r="U750" s="138" t="s">
        <v>342</v>
      </c>
      <c r="V750" s="139"/>
      <c r="W750" s="140">
        <f>T750</f>
        <v>0</v>
      </c>
      <c r="X750" s="138" t="s">
        <v>342</v>
      </c>
      <c r="Y750" s="765"/>
      <c r="Z750" s="554"/>
    </row>
    <row r="751" spans="1:26" s="125" customFormat="1" x14ac:dyDescent="0.25">
      <c r="A751" s="461"/>
      <c r="B751" s="135" t="s">
        <v>1057</v>
      </c>
      <c r="C751" s="606"/>
      <c r="D751" s="454"/>
      <c r="E751" s="454"/>
      <c r="F751" s="454"/>
      <c r="G751" s="454"/>
      <c r="H751" s="454"/>
      <c r="I751" s="454"/>
      <c r="J751" s="454"/>
      <c r="K751" s="454"/>
      <c r="L751" s="454"/>
      <c r="M751" s="454"/>
      <c r="N751" s="454"/>
      <c r="O751" s="454"/>
      <c r="P751" s="174"/>
      <c r="Q751" s="174"/>
      <c r="R751" s="174"/>
      <c r="T751" s="140">
        <f t="shared" si="32"/>
        <v>0</v>
      </c>
      <c r="U751" s="138" t="s">
        <v>342</v>
      </c>
      <c r="V751" s="139"/>
      <c r="W751" s="140">
        <f>T751</f>
        <v>0</v>
      </c>
      <c r="X751" s="138" t="s">
        <v>342</v>
      </c>
      <c r="Y751" s="495">
        <f>W748+W749+W750+W751</f>
        <v>0</v>
      </c>
      <c r="Z751" s="153" t="s">
        <v>677</v>
      </c>
    </row>
    <row r="752" spans="1:26" s="125" customFormat="1" x14ac:dyDescent="0.25">
      <c r="A752" s="461"/>
      <c r="B752" s="135" t="s">
        <v>366</v>
      </c>
      <c r="C752" s="606"/>
      <c r="D752" s="454"/>
      <c r="E752" s="454"/>
      <c r="F752" s="454"/>
      <c r="G752" s="454"/>
      <c r="H752" s="454"/>
      <c r="I752" s="454"/>
      <c r="J752" s="454"/>
      <c r="K752" s="454"/>
      <c r="L752" s="454"/>
      <c r="M752" s="454"/>
      <c r="N752" s="454"/>
      <c r="O752" s="454"/>
      <c r="P752" s="178"/>
      <c r="Q752" s="178"/>
      <c r="R752" s="178"/>
      <c r="T752" s="140">
        <f t="shared" si="32"/>
        <v>0</v>
      </c>
      <c r="U752" s="138" t="s">
        <v>367</v>
      </c>
      <c r="V752" s="139"/>
      <c r="W752" s="137">
        <f>T752*7.48</f>
        <v>0</v>
      </c>
      <c r="X752" s="138" t="s">
        <v>346</v>
      </c>
      <c r="Y752" s="157"/>
      <c r="Z752" s="157"/>
    </row>
    <row r="753" spans="1:26" s="125" customFormat="1" x14ac:dyDescent="0.25">
      <c r="A753" s="461"/>
      <c r="B753" s="135" t="s">
        <v>324</v>
      </c>
      <c r="C753" s="606"/>
      <c r="D753" s="455"/>
      <c r="E753" s="455"/>
      <c r="F753" s="455"/>
      <c r="G753" s="455"/>
      <c r="H753" s="455"/>
      <c r="I753" s="455"/>
      <c r="J753" s="455"/>
      <c r="K753" s="455"/>
      <c r="L753" s="455"/>
      <c r="M753" s="455"/>
      <c r="N753" s="455"/>
      <c r="O753" s="455"/>
      <c r="P753" s="176"/>
      <c r="Q753" s="176"/>
      <c r="R753" s="176"/>
      <c r="T753" s="143">
        <f t="shared" si="32"/>
        <v>0</v>
      </c>
      <c r="U753" s="138"/>
      <c r="V753" s="139"/>
      <c r="W753" s="143">
        <f>T753</f>
        <v>0</v>
      </c>
      <c r="X753" s="138"/>
      <c r="Y753" s="157"/>
      <c r="Z753" s="157"/>
    </row>
    <row r="754" spans="1:26" s="125" customFormat="1" x14ac:dyDescent="0.25">
      <c r="A754" s="461"/>
      <c r="B754" s="144" t="s">
        <v>374</v>
      </c>
      <c r="C754" s="607"/>
      <c r="D754" s="455"/>
      <c r="E754" s="455"/>
      <c r="F754" s="455"/>
      <c r="G754" s="455"/>
      <c r="H754" s="455"/>
      <c r="I754" s="455"/>
      <c r="J754" s="455"/>
      <c r="K754" s="455"/>
      <c r="L754" s="455"/>
      <c r="M754" s="455"/>
      <c r="N754" s="455"/>
      <c r="O754" s="455"/>
      <c r="P754" s="179"/>
      <c r="Q754" s="179"/>
      <c r="R754" s="179"/>
      <c r="T754" s="143">
        <f t="shared" si="32"/>
        <v>0</v>
      </c>
      <c r="U754" s="138"/>
      <c r="V754" s="139"/>
      <c r="W754" s="143">
        <f>T754</f>
        <v>0</v>
      </c>
      <c r="X754" s="138"/>
      <c r="Y754" s="157"/>
      <c r="Z754" s="157"/>
    </row>
    <row r="755" spans="1:26" s="125" customFormat="1" x14ac:dyDescent="0.25">
      <c r="A755" s="461"/>
      <c r="B755" s="204" t="s">
        <v>398</v>
      </c>
      <c r="C755" s="607"/>
      <c r="D755" s="455"/>
      <c r="E755" s="455"/>
      <c r="F755" s="455"/>
      <c r="G755" s="455"/>
      <c r="H755" s="455"/>
      <c r="I755" s="455"/>
      <c r="J755" s="455"/>
      <c r="K755" s="455"/>
      <c r="L755" s="455"/>
      <c r="M755" s="455"/>
      <c r="N755" s="455"/>
      <c r="O755" s="455"/>
      <c r="P755" s="179"/>
      <c r="Q755" s="179"/>
      <c r="R755" s="179"/>
      <c r="T755" s="143">
        <f t="shared" si="32"/>
        <v>0</v>
      </c>
      <c r="U755" s="138"/>
      <c r="V755" s="139"/>
      <c r="W755" s="143">
        <f>T755</f>
        <v>0</v>
      </c>
      <c r="X755" s="138"/>
      <c r="Y755" s="157"/>
      <c r="Z755" s="157"/>
    </row>
    <row r="756" spans="1:26" s="125" customFormat="1" x14ac:dyDescent="0.25">
      <c r="A756" s="461"/>
      <c r="B756" s="204" t="s">
        <v>1058</v>
      </c>
      <c r="C756" s="607"/>
      <c r="D756" s="455"/>
      <c r="E756" s="455"/>
      <c r="F756" s="455"/>
      <c r="G756" s="455"/>
      <c r="H756" s="455"/>
      <c r="I756" s="455"/>
      <c r="J756" s="455"/>
      <c r="K756" s="455"/>
      <c r="L756" s="455"/>
      <c r="M756" s="455"/>
      <c r="N756" s="455"/>
      <c r="O756" s="455"/>
      <c r="P756" s="179"/>
      <c r="Q756" s="179"/>
      <c r="R756" s="179"/>
      <c r="T756" s="143">
        <f t="shared" si="32"/>
        <v>0</v>
      </c>
      <c r="U756" s="138"/>
      <c r="V756" s="139"/>
      <c r="W756" s="143">
        <f>T756</f>
        <v>0</v>
      </c>
      <c r="X756" s="138"/>
      <c r="Y756" s="157"/>
      <c r="Z756" s="157"/>
    </row>
    <row r="757" spans="1:26" x14ac:dyDescent="0.25">
      <c r="W757" s="143">
        <f>SUM(W753:W756)</f>
        <v>0</v>
      </c>
      <c r="X757" s="138"/>
    </row>
    <row r="758" spans="1:26" x14ac:dyDescent="0.25">
      <c r="B758" s="666"/>
    </row>
    <row r="759" spans="1:26" x14ac:dyDescent="0.25">
      <c r="A759" s="462">
        <v>76</v>
      </c>
      <c r="B759" s="666" t="s">
        <v>1290</v>
      </c>
      <c r="T759" s="666" t="s">
        <v>1290</v>
      </c>
    </row>
    <row r="760" spans="1:26" s="125" customFormat="1" x14ac:dyDescent="0.25">
      <c r="A760" s="461"/>
      <c r="B760" s="130" t="s">
        <v>337</v>
      </c>
      <c r="C760" s="131">
        <v>42156</v>
      </c>
      <c r="D760" s="131">
        <v>42186</v>
      </c>
      <c r="E760" s="131">
        <v>42217</v>
      </c>
      <c r="F760" s="131">
        <v>42248</v>
      </c>
      <c r="G760" s="131">
        <v>42278</v>
      </c>
      <c r="H760" s="131">
        <v>42309</v>
      </c>
      <c r="I760" s="131">
        <v>42339</v>
      </c>
      <c r="J760" s="131">
        <v>42370</v>
      </c>
      <c r="K760" s="131">
        <v>42401</v>
      </c>
      <c r="L760" s="131">
        <v>42430</v>
      </c>
      <c r="M760" s="131">
        <v>42461</v>
      </c>
      <c r="N760" s="131">
        <v>42491</v>
      </c>
      <c r="O760" s="131">
        <v>42522</v>
      </c>
      <c r="P760" s="131">
        <v>42552</v>
      </c>
      <c r="Q760" s="131">
        <v>42583</v>
      </c>
      <c r="R760" s="131">
        <v>42627</v>
      </c>
      <c r="S760" s="132"/>
      <c r="T760" s="133" t="s">
        <v>338</v>
      </c>
      <c r="U760" s="134" t="s">
        <v>339</v>
      </c>
      <c r="V760" s="132"/>
      <c r="W760" s="133" t="s">
        <v>338</v>
      </c>
      <c r="X760" s="134" t="s">
        <v>339</v>
      </c>
      <c r="Y760" s="157"/>
      <c r="Z760" s="157"/>
    </row>
    <row r="761" spans="1:26" s="125" customFormat="1" x14ac:dyDescent="0.25">
      <c r="A761" s="461"/>
      <c r="B761" s="135" t="s">
        <v>340</v>
      </c>
      <c r="C761" s="606"/>
      <c r="D761" s="136">
        <v>48240</v>
      </c>
      <c r="E761" s="136">
        <v>51720</v>
      </c>
      <c r="F761" s="136">
        <v>54840</v>
      </c>
      <c r="G761" s="136">
        <v>46320</v>
      </c>
      <c r="H761" s="136">
        <v>38280</v>
      </c>
      <c r="I761" s="136">
        <v>31800</v>
      </c>
      <c r="J761" s="136">
        <v>30720</v>
      </c>
      <c r="K761" s="136">
        <v>36120</v>
      </c>
      <c r="L761" s="136">
        <v>35040</v>
      </c>
      <c r="M761" s="136">
        <v>38760</v>
      </c>
      <c r="N761" s="136">
        <v>36240</v>
      </c>
      <c r="O761" s="136">
        <v>28800</v>
      </c>
      <c r="P761" s="499"/>
      <c r="Q761" s="174"/>
      <c r="R761" s="174"/>
      <c r="T761" s="140">
        <f>SUM(D761:O761)</f>
        <v>476880</v>
      </c>
      <c r="U761" s="138" t="s">
        <v>341</v>
      </c>
      <c r="V761" s="139"/>
      <c r="W761" s="140">
        <f>T761*3413/1000000</f>
        <v>1627.5914399999999</v>
      </c>
      <c r="X761" s="138" t="s">
        <v>342</v>
      </c>
      <c r="Y761" s="157"/>
      <c r="Z761" s="157"/>
    </row>
    <row r="762" spans="1:26" s="125" customFormat="1" x14ac:dyDescent="0.25">
      <c r="A762" s="461"/>
      <c r="B762" s="135" t="s">
        <v>343</v>
      </c>
      <c r="C762" s="606"/>
      <c r="D762" s="136">
        <v>133472</v>
      </c>
      <c r="E762" s="136">
        <v>125130.00000000001</v>
      </c>
      <c r="F762" s="136">
        <v>108446</v>
      </c>
      <c r="G762" s="136">
        <v>133472</v>
      </c>
      <c r="H762" s="136">
        <v>165171.6</v>
      </c>
      <c r="I762" s="136">
        <v>250260.00000000003</v>
      </c>
      <c r="J762" s="136">
        <v>107611.8</v>
      </c>
      <c r="K762" s="136">
        <v>125964.20000000001</v>
      </c>
      <c r="L762" s="136">
        <v>80083.200000000012</v>
      </c>
      <c r="M762" s="136">
        <v>69238.600000000006</v>
      </c>
      <c r="N762" s="136">
        <v>36704.800000000003</v>
      </c>
      <c r="O762" s="136">
        <v>35036.400000000001</v>
      </c>
      <c r="P762" s="499"/>
      <c r="Q762" s="174"/>
      <c r="R762" s="174"/>
      <c r="T762" s="140">
        <f>SUM(D762:O762)</f>
        <v>1370590.6</v>
      </c>
      <c r="U762" s="138" t="s">
        <v>344</v>
      </c>
      <c r="V762" s="139"/>
      <c r="W762" s="140">
        <f>T762/1000</f>
        <v>1370.5906</v>
      </c>
      <c r="X762" s="138" t="s">
        <v>342</v>
      </c>
      <c r="Y762" s="495">
        <f>W762+W761</f>
        <v>2998.1820399999997</v>
      </c>
      <c r="Z762" s="138" t="s">
        <v>342</v>
      </c>
    </row>
    <row r="763" spans="1:26" s="125" customFormat="1" x14ac:dyDescent="0.25">
      <c r="A763" s="461"/>
      <c r="B763" s="135" t="s">
        <v>345</v>
      </c>
      <c r="C763" s="606"/>
      <c r="D763" s="141">
        <v>44000</v>
      </c>
      <c r="E763" s="141">
        <v>110000</v>
      </c>
      <c r="F763" s="141">
        <v>162000</v>
      </c>
      <c r="G763" s="141">
        <v>144000</v>
      </c>
      <c r="H763" s="141">
        <v>114000</v>
      </c>
      <c r="I763" s="141">
        <v>37000</v>
      </c>
      <c r="J763" s="141">
        <v>94000</v>
      </c>
      <c r="K763" s="141">
        <v>104000</v>
      </c>
      <c r="L763" s="141">
        <v>81000</v>
      </c>
      <c r="M763" s="141">
        <v>110000</v>
      </c>
      <c r="N763" s="141">
        <v>50000</v>
      </c>
      <c r="O763" s="141">
        <v>53000</v>
      </c>
      <c r="P763" s="618"/>
      <c r="Q763" s="178"/>
      <c r="R763" s="178"/>
      <c r="T763" s="140">
        <f>SUM(D763:O763)</f>
        <v>1103000</v>
      </c>
      <c r="U763" s="138" t="s">
        <v>346</v>
      </c>
      <c r="V763" s="139"/>
      <c r="W763" s="137">
        <f>T763</f>
        <v>1103000</v>
      </c>
      <c r="X763" s="138" t="s">
        <v>346</v>
      </c>
      <c r="Y763" s="157"/>
      <c r="Z763" s="157"/>
    </row>
    <row r="764" spans="1:26" s="125" customFormat="1" x14ac:dyDescent="0.25">
      <c r="A764" s="461"/>
      <c r="B764" s="135" t="s">
        <v>324</v>
      </c>
      <c r="C764" s="606"/>
      <c r="D764" s="142">
        <v>4302.1400000000003</v>
      </c>
      <c r="E764" s="142">
        <v>4611.59</v>
      </c>
      <c r="F764" s="142">
        <v>4889.04</v>
      </c>
      <c r="G764" s="142">
        <v>4131.41</v>
      </c>
      <c r="H764" s="142">
        <v>3416.46</v>
      </c>
      <c r="I764" s="142">
        <v>2840.22</v>
      </c>
      <c r="J764" s="142">
        <v>2744.19</v>
      </c>
      <c r="K764" s="142">
        <v>3062.34</v>
      </c>
      <c r="L764" s="142">
        <v>2834.92</v>
      </c>
      <c r="M764" s="142">
        <v>3134.57</v>
      </c>
      <c r="N764" s="142">
        <v>2931.58</v>
      </c>
      <c r="O764" s="142">
        <v>2332.2800000000002</v>
      </c>
      <c r="P764" s="1555"/>
      <c r="Q764" s="176"/>
      <c r="R764" s="176"/>
      <c r="T764" s="156">
        <f>SUM(D764:O764)</f>
        <v>41230.74</v>
      </c>
      <c r="U764" s="138"/>
      <c r="V764" s="139"/>
      <c r="W764" s="143">
        <f>T764</f>
        <v>41230.74</v>
      </c>
      <c r="X764" s="138"/>
      <c r="Y764" s="157"/>
      <c r="Z764" s="157"/>
    </row>
    <row r="765" spans="1:26" s="1586" customFormat="1" ht="13.9" customHeight="1" x14ac:dyDescent="0.2">
      <c r="A765" s="1322"/>
      <c r="B765" s="1581" t="s">
        <v>348</v>
      </c>
      <c r="C765" s="1582"/>
      <c r="D765" s="1583">
        <v>2803.2</v>
      </c>
      <c r="E765" s="1583">
        <v>2628</v>
      </c>
      <c r="F765" s="1583">
        <v>2277.6</v>
      </c>
      <c r="G765" s="1583">
        <v>2803.2</v>
      </c>
      <c r="H765" s="1583">
        <v>3468.96</v>
      </c>
      <c r="I765" s="1583">
        <v>5256</v>
      </c>
      <c r="J765" s="1583">
        <v>2260.08</v>
      </c>
      <c r="K765" s="1583">
        <v>2645.52</v>
      </c>
      <c r="L765" s="1583">
        <v>1681.92</v>
      </c>
      <c r="M765" s="1583">
        <v>1454.16</v>
      </c>
      <c r="N765" s="1583">
        <v>770.88</v>
      </c>
      <c r="O765" s="1583">
        <v>735.84</v>
      </c>
      <c r="P765" s="1584"/>
      <c r="Q765" s="1585"/>
      <c r="R765" s="1585"/>
      <c r="T765" s="1587">
        <f>SUM(D765:O765)</f>
        <v>28785.360000000004</v>
      </c>
      <c r="U765" s="138"/>
      <c r="V765" s="147"/>
      <c r="W765" s="1588">
        <f>T765</f>
        <v>28785.360000000004</v>
      </c>
      <c r="X765" s="138"/>
      <c r="Y765" s="1589"/>
      <c r="Z765" s="1589"/>
    </row>
    <row r="766" spans="1:26" x14ac:dyDescent="0.25">
      <c r="W766" s="143">
        <f>SUM(W764:W765)</f>
        <v>70016.100000000006</v>
      </c>
      <c r="X766" s="138"/>
    </row>
    <row r="767" spans="1:26" x14ac:dyDescent="0.25">
      <c r="B767" s="666"/>
    </row>
    <row r="768" spans="1:26" x14ac:dyDescent="0.25">
      <c r="A768" s="462">
        <v>77</v>
      </c>
      <c r="B768" s="666" t="s">
        <v>1291</v>
      </c>
      <c r="T768" s="666" t="s">
        <v>1291</v>
      </c>
    </row>
    <row r="769" spans="1:26" s="125" customFormat="1" x14ac:dyDescent="0.25">
      <c r="A769" s="461"/>
      <c r="B769" s="130" t="s">
        <v>337</v>
      </c>
      <c r="C769" s="131">
        <v>42156</v>
      </c>
      <c r="D769" s="131">
        <v>42186</v>
      </c>
      <c r="E769" s="131">
        <v>42217</v>
      </c>
      <c r="F769" s="131">
        <v>42248</v>
      </c>
      <c r="G769" s="131">
        <v>42278</v>
      </c>
      <c r="H769" s="131">
        <v>42309</v>
      </c>
      <c r="I769" s="131">
        <v>42339</v>
      </c>
      <c r="J769" s="131">
        <v>42370</v>
      </c>
      <c r="K769" s="131">
        <v>42401</v>
      </c>
      <c r="L769" s="131">
        <v>42430</v>
      </c>
      <c r="M769" s="131">
        <v>42461</v>
      </c>
      <c r="N769" s="131">
        <v>42491</v>
      </c>
      <c r="O769" s="131">
        <v>42522</v>
      </c>
      <c r="P769" s="131">
        <v>42552</v>
      </c>
      <c r="Q769" s="151">
        <v>42583</v>
      </c>
      <c r="R769" s="131">
        <v>42627</v>
      </c>
      <c r="S769" s="132"/>
      <c r="T769" s="133" t="s">
        <v>338</v>
      </c>
      <c r="U769" s="134" t="s">
        <v>339</v>
      </c>
      <c r="V769" s="132"/>
      <c r="W769" s="133" t="s">
        <v>338</v>
      </c>
      <c r="X769" s="134" t="s">
        <v>339</v>
      </c>
      <c r="Y769" s="157"/>
      <c r="Z769" s="157"/>
    </row>
    <row r="770" spans="1:26" s="125" customFormat="1" x14ac:dyDescent="0.25">
      <c r="A770" s="461"/>
      <c r="B770" s="135" t="s">
        <v>340</v>
      </c>
      <c r="C770" s="612"/>
      <c r="D770" s="160"/>
      <c r="E770" s="160"/>
      <c r="F770" s="160"/>
      <c r="G770" s="160"/>
      <c r="H770" s="160"/>
      <c r="I770" s="160"/>
      <c r="J770" s="160"/>
      <c r="K770" s="160"/>
      <c r="L770" s="160"/>
      <c r="M770" s="160"/>
      <c r="N770" s="160"/>
      <c r="O770" s="160"/>
      <c r="P770" s="456"/>
      <c r="T770" s="137">
        <f>SUM(D770:O770)</f>
        <v>0</v>
      </c>
      <c r="U770" s="138" t="s">
        <v>341</v>
      </c>
      <c r="V770" s="139"/>
      <c r="W770" s="140">
        <f>T770*3413/1000000</f>
        <v>0</v>
      </c>
      <c r="X770" s="138" t="s">
        <v>342</v>
      </c>
      <c r="Y770" s="157"/>
      <c r="Z770" s="157"/>
    </row>
    <row r="771" spans="1:26" s="125" customFormat="1" x14ac:dyDescent="0.25">
      <c r="A771" s="461"/>
      <c r="B771" s="135" t="s">
        <v>821</v>
      </c>
      <c r="C771" s="612"/>
      <c r="D771" s="153"/>
      <c r="E771" s="160"/>
      <c r="F771" s="160"/>
      <c r="G771" s="160"/>
      <c r="H771" s="160"/>
      <c r="I771" s="160"/>
      <c r="J771" s="160"/>
      <c r="K771" s="160"/>
      <c r="L771" s="160"/>
      <c r="M771" s="160"/>
      <c r="N771" s="160"/>
      <c r="O771" s="160"/>
      <c r="P771" s="456"/>
      <c r="T771" s="137">
        <f>SUM(D771:O771)</f>
        <v>0</v>
      </c>
      <c r="U771" s="138" t="s">
        <v>822</v>
      </c>
      <c r="V771" s="139"/>
      <c r="W771" s="140">
        <f>T771*1000*1027/1000000</f>
        <v>0</v>
      </c>
      <c r="X771" s="138" t="s">
        <v>342</v>
      </c>
      <c r="Y771" s="765"/>
      <c r="Z771" s="150"/>
    </row>
    <row r="772" spans="1:26" s="157" customFormat="1" x14ac:dyDescent="0.25">
      <c r="A772" s="461"/>
      <c r="B772" s="135" t="s">
        <v>1207</v>
      </c>
      <c r="C772" s="599"/>
      <c r="D772" s="557"/>
      <c r="E772" s="557"/>
      <c r="F772" s="557"/>
      <c r="G772" s="557"/>
      <c r="H772" s="557"/>
      <c r="I772" s="557"/>
      <c r="J772" s="557"/>
      <c r="K772" s="557"/>
      <c r="L772" s="557"/>
      <c r="M772" s="557"/>
      <c r="N772" s="557"/>
      <c r="O772" s="557"/>
      <c r="P772" s="174"/>
      <c r="Q772" s="174"/>
      <c r="T772" s="141">
        <f>SUM(D772:O772)</f>
        <v>0</v>
      </c>
      <c r="U772" s="138" t="s">
        <v>497</v>
      </c>
      <c r="W772" s="160">
        <f>T772/1000</f>
        <v>0</v>
      </c>
      <c r="X772" s="138" t="s">
        <v>342</v>
      </c>
    </row>
    <row r="773" spans="1:26" s="157" customFormat="1" x14ac:dyDescent="0.25">
      <c r="A773" s="461"/>
      <c r="B773" s="192" t="s">
        <v>323</v>
      </c>
      <c r="C773" s="599"/>
      <c r="D773" s="557"/>
      <c r="E773" s="557"/>
      <c r="F773" s="557"/>
      <c r="G773" s="557"/>
      <c r="H773" s="557"/>
      <c r="I773" s="557"/>
      <c r="J773" s="557"/>
      <c r="K773" s="557"/>
      <c r="L773" s="557"/>
      <c r="M773" s="557"/>
      <c r="N773" s="557"/>
      <c r="O773" s="557"/>
      <c r="P773" s="178"/>
      <c r="Q773" s="178"/>
      <c r="T773" s="141">
        <f>SUM(D773:O773)</f>
        <v>0</v>
      </c>
      <c r="U773" s="188" t="s">
        <v>397</v>
      </c>
      <c r="W773" s="160">
        <f>T773*0.012</f>
        <v>0</v>
      </c>
      <c r="X773" s="138" t="s">
        <v>342</v>
      </c>
      <c r="Y773" s="495">
        <f>W770+W771+W772+W773</f>
        <v>0</v>
      </c>
      <c r="Z773" s="138" t="s">
        <v>342</v>
      </c>
    </row>
    <row r="774" spans="1:26" s="125" customFormat="1" x14ac:dyDescent="0.25">
      <c r="A774" s="461"/>
      <c r="B774" s="135" t="s">
        <v>322</v>
      </c>
      <c r="C774" s="201"/>
      <c r="D774" s="160"/>
      <c r="E774" s="160"/>
      <c r="F774" s="160"/>
      <c r="G774" s="160"/>
      <c r="H774" s="160"/>
      <c r="I774" s="160"/>
      <c r="J774" s="160"/>
      <c r="K774" s="160"/>
      <c r="L774" s="160"/>
      <c r="M774" s="160"/>
      <c r="N774" s="160"/>
      <c r="O774" s="160"/>
      <c r="P774" s="456"/>
      <c r="T774" s="137">
        <f>SUM(D774:O774)</f>
        <v>0</v>
      </c>
      <c r="U774" s="138" t="s">
        <v>346</v>
      </c>
      <c r="V774" s="139"/>
      <c r="W774" s="137">
        <f>T774</f>
        <v>0</v>
      </c>
      <c r="X774" s="138" t="s">
        <v>346</v>
      </c>
      <c r="Y774" s="157"/>
      <c r="Z774" s="157"/>
    </row>
    <row r="775" spans="1:26" s="125" customFormat="1" x14ac:dyDescent="0.25">
      <c r="A775" s="461"/>
      <c r="B775" s="135" t="s">
        <v>324</v>
      </c>
      <c r="C775" s="613"/>
      <c r="D775" s="171"/>
      <c r="E775" s="142"/>
      <c r="F775" s="142"/>
      <c r="G775" s="142"/>
      <c r="H775" s="142"/>
      <c r="I775" s="142"/>
      <c r="J775" s="142"/>
      <c r="K775" s="142"/>
      <c r="L775" s="142"/>
      <c r="M775" s="142"/>
      <c r="N775" s="142"/>
      <c r="O775" s="142"/>
      <c r="P775" s="176"/>
      <c r="T775" s="143">
        <f>SUM(D775:Q775)</f>
        <v>0</v>
      </c>
      <c r="U775" s="138"/>
      <c r="V775" s="139"/>
      <c r="W775" s="143">
        <f>T775</f>
        <v>0</v>
      </c>
      <c r="X775" s="138"/>
      <c r="Y775" s="157"/>
      <c r="Z775" s="157"/>
    </row>
    <row r="776" spans="1:26" s="125" customFormat="1" x14ac:dyDescent="0.25">
      <c r="A776" s="461"/>
      <c r="B776" s="144" t="s">
        <v>374</v>
      </c>
      <c r="C776" s="611"/>
      <c r="D776" s="171"/>
      <c r="E776" s="145"/>
      <c r="F776" s="145"/>
      <c r="G776" s="145"/>
      <c r="H776" s="145"/>
      <c r="I776" s="145"/>
      <c r="J776" s="145"/>
      <c r="K776" s="145"/>
      <c r="L776" s="145"/>
      <c r="M776" s="145"/>
      <c r="N776" s="145"/>
      <c r="O776" s="145"/>
      <c r="P776" s="179"/>
      <c r="T776" s="143">
        <f>SUM(D776:Q776)</f>
        <v>0</v>
      </c>
      <c r="U776" s="138"/>
      <c r="V776" s="139"/>
      <c r="W776" s="143">
        <f>T776</f>
        <v>0</v>
      </c>
      <c r="X776" s="138"/>
      <c r="Y776" s="157"/>
      <c r="Z776" s="157" t="s">
        <v>824</v>
      </c>
    </row>
    <row r="777" spans="1:26" s="157" customFormat="1" x14ac:dyDescent="0.25">
      <c r="A777" s="461"/>
      <c r="B777" s="204" t="s">
        <v>819</v>
      </c>
      <c r="C777" s="599"/>
      <c r="D777" s="145"/>
      <c r="E777" s="145"/>
      <c r="F777" s="145"/>
      <c r="G777" s="145"/>
      <c r="H777" s="145"/>
      <c r="I777" s="145"/>
      <c r="J777" s="145"/>
      <c r="K777" s="145"/>
      <c r="L777" s="145"/>
      <c r="M777" s="145"/>
      <c r="N777" s="145"/>
      <c r="O777" s="145"/>
      <c r="P777" s="184"/>
      <c r="Q777" s="184"/>
      <c r="T777" s="171">
        <f>SUM(D777:O777)</f>
        <v>0</v>
      </c>
      <c r="U777" s="188"/>
      <c r="W777" s="190">
        <f>T777</f>
        <v>0</v>
      </c>
      <c r="X777" s="188"/>
    </row>
    <row r="778" spans="1:26" s="157" customFormat="1" ht="16.5" x14ac:dyDescent="0.35">
      <c r="A778" s="461"/>
      <c r="B778" s="195" t="s">
        <v>398</v>
      </c>
      <c r="C778" s="599"/>
      <c r="D778" s="145"/>
      <c r="E778" s="145"/>
      <c r="F778" s="145"/>
      <c r="G778" s="145"/>
      <c r="H778" s="145"/>
      <c r="I778" s="145"/>
      <c r="J778" s="145"/>
      <c r="K778" s="145"/>
      <c r="L778" s="145"/>
      <c r="M778" s="145"/>
      <c r="N778" s="145"/>
      <c r="O778" s="145"/>
      <c r="P778" s="446"/>
      <c r="Q778" s="446"/>
      <c r="T778" s="171">
        <f>SUM(D778:O778)</f>
        <v>0</v>
      </c>
      <c r="U778" s="188"/>
      <c r="W778" s="197">
        <f>T778</f>
        <v>0</v>
      </c>
      <c r="X778" s="188"/>
    </row>
    <row r="779" spans="1:26" s="157" customFormat="1" x14ac:dyDescent="0.25">
      <c r="A779" s="461"/>
      <c r="B779" s="200"/>
      <c r="C779" s="599"/>
      <c r="D779" s="179"/>
      <c r="E779" s="179"/>
      <c r="F779" s="179"/>
      <c r="G779" s="179"/>
      <c r="H779" s="179"/>
      <c r="I779" s="179"/>
      <c r="J779" s="179"/>
      <c r="K779" s="179"/>
      <c r="L779" s="179"/>
      <c r="M779" s="179"/>
      <c r="N779" s="179"/>
      <c r="O779" s="179"/>
      <c r="P779" s="446"/>
      <c r="Q779" s="446"/>
      <c r="T779" s="184"/>
      <c r="U779" s="199"/>
      <c r="W779" s="143">
        <f>SUM(W777:W778)</f>
        <v>0</v>
      </c>
      <c r="X779" s="138"/>
    </row>
    <row r="780" spans="1:26" x14ac:dyDescent="0.25">
      <c r="B780" s="666"/>
    </row>
    <row r="781" spans="1:26" x14ac:dyDescent="0.25">
      <c r="A781" s="462">
        <v>78</v>
      </c>
      <c r="B781" s="666" t="s">
        <v>1292</v>
      </c>
      <c r="T781" s="666" t="s">
        <v>1292</v>
      </c>
    </row>
    <row r="782" spans="1:26" s="125" customFormat="1" x14ac:dyDescent="0.25">
      <c r="A782" s="461"/>
      <c r="B782" s="130" t="s">
        <v>337</v>
      </c>
      <c r="C782" s="131">
        <v>42156</v>
      </c>
      <c r="D782" s="131">
        <v>42186</v>
      </c>
      <c r="E782" s="131">
        <v>42217</v>
      </c>
      <c r="F782" s="131">
        <v>42248</v>
      </c>
      <c r="G782" s="131">
        <v>42278</v>
      </c>
      <c r="H782" s="131">
        <v>42309</v>
      </c>
      <c r="I782" s="131">
        <v>42339</v>
      </c>
      <c r="J782" s="131">
        <v>42370</v>
      </c>
      <c r="K782" s="131">
        <v>42401</v>
      </c>
      <c r="L782" s="131">
        <v>42430</v>
      </c>
      <c r="M782" s="131">
        <v>42461</v>
      </c>
      <c r="N782" s="131">
        <v>42491</v>
      </c>
      <c r="O782" s="131">
        <v>42522</v>
      </c>
      <c r="P782" s="131">
        <v>42552</v>
      </c>
      <c r="Q782" s="151">
        <v>42583</v>
      </c>
      <c r="R782" s="131">
        <v>42627</v>
      </c>
      <c r="S782" s="132"/>
      <c r="T782" s="133" t="s">
        <v>338</v>
      </c>
      <c r="U782" s="134" t="s">
        <v>339</v>
      </c>
      <c r="V782" s="132"/>
      <c r="W782" s="133" t="s">
        <v>338</v>
      </c>
      <c r="X782" s="134" t="s">
        <v>339</v>
      </c>
      <c r="Y782" s="157"/>
      <c r="Z782" s="157"/>
    </row>
    <row r="783" spans="1:26" s="125" customFormat="1" x14ac:dyDescent="0.25">
      <c r="A783" s="461"/>
      <c r="B783" s="135" t="s">
        <v>340</v>
      </c>
      <c r="C783" s="606"/>
      <c r="D783" s="174"/>
      <c r="E783" s="136">
        <v>270712.90999999997</v>
      </c>
      <c r="F783" s="136">
        <v>280841.82999999996</v>
      </c>
      <c r="G783" s="136">
        <v>227735.55</v>
      </c>
      <c r="H783" s="136">
        <v>202331.36</v>
      </c>
      <c r="I783" s="136">
        <v>182200.91</v>
      </c>
      <c r="J783" s="136">
        <v>160156.85</v>
      </c>
      <c r="K783" s="136">
        <v>175411.62</v>
      </c>
      <c r="L783" s="136">
        <v>187663.05</v>
      </c>
      <c r="M783" s="136">
        <v>196419.51</v>
      </c>
      <c r="N783" s="136">
        <v>183772.96000000002</v>
      </c>
      <c r="O783" s="136">
        <v>197344.59</v>
      </c>
      <c r="P783" s="136">
        <v>271022.3</v>
      </c>
      <c r="R783" s="174"/>
      <c r="T783" s="140">
        <f>SUM(C783:S783)</f>
        <v>2535613.4399999999</v>
      </c>
      <c r="U783" s="138" t="s">
        <v>341</v>
      </c>
      <c r="V783" s="139"/>
      <c r="W783" s="140">
        <f>T783*3413/1000000</f>
        <v>8654.0486707199998</v>
      </c>
      <c r="X783" s="138" t="s">
        <v>342</v>
      </c>
      <c r="Y783" s="157"/>
      <c r="Z783" s="157"/>
    </row>
    <row r="784" spans="1:26" s="125" customFormat="1" x14ac:dyDescent="0.25">
      <c r="A784" s="461"/>
      <c r="B784" s="135" t="s">
        <v>343</v>
      </c>
      <c r="C784" s="1595" t="s">
        <v>1393</v>
      </c>
      <c r="D784" s="174"/>
      <c r="E784" s="136"/>
      <c r="F784" s="136"/>
      <c r="G784" s="136"/>
      <c r="H784" s="136"/>
      <c r="I784" s="136"/>
      <c r="J784" s="136"/>
      <c r="K784" s="136"/>
      <c r="L784" s="136"/>
      <c r="M784" s="136"/>
      <c r="N784" s="136"/>
      <c r="O784" s="136"/>
      <c r="P784" s="136"/>
      <c r="R784" s="174"/>
      <c r="T784" s="140">
        <f>SUM(C784:S784)</f>
        <v>0</v>
      </c>
      <c r="U784" s="138" t="s">
        <v>344</v>
      </c>
      <c r="V784" s="139"/>
      <c r="W784" s="140">
        <f>T784/1000</f>
        <v>0</v>
      </c>
      <c r="X784" s="138" t="s">
        <v>342</v>
      </c>
      <c r="Y784" s="495">
        <f>W783+W784</f>
        <v>8654.0486707199998</v>
      </c>
      <c r="Z784" s="153" t="s">
        <v>342</v>
      </c>
    </row>
    <row r="785" spans="1:26" s="125" customFormat="1" x14ac:dyDescent="0.25">
      <c r="A785" s="461"/>
      <c r="B785" s="135" t="s">
        <v>1392</v>
      </c>
      <c r="C785" s="606"/>
      <c r="D785" s="178"/>
      <c r="E785" s="141"/>
      <c r="F785" s="141">
        <v>1059.1600000000001</v>
      </c>
      <c r="G785" s="141">
        <v>851.97</v>
      </c>
      <c r="H785" s="141">
        <v>709.1</v>
      </c>
      <c r="I785" s="141">
        <v>532.57000000000005</v>
      </c>
      <c r="J785" s="141">
        <v>202.7</v>
      </c>
      <c r="K785" s="141">
        <v>667.21</v>
      </c>
      <c r="L785" s="141">
        <v>525.83000000000004</v>
      </c>
      <c r="M785" s="141">
        <v>724.05</v>
      </c>
      <c r="N785" s="141">
        <v>488.43</v>
      </c>
      <c r="O785" s="141">
        <v>213</v>
      </c>
      <c r="P785" s="141"/>
      <c r="R785" s="178"/>
      <c r="T785" s="140">
        <f>SUM(C785:S785)</f>
        <v>5974.02</v>
      </c>
      <c r="U785" s="138" t="s">
        <v>863</v>
      </c>
      <c r="V785" s="139"/>
      <c r="W785" s="137">
        <f>T785*1000</f>
        <v>5974020</v>
      </c>
      <c r="X785" s="138" t="s">
        <v>346</v>
      </c>
      <c r="Y785" s="157"/>
      <c r="Z785" s="157"/>
    </row>
    <row r="786" spans="1:26" s="125" customFormat="1" x14ac:dyDescent="0.25">
      <c r="A786" s="461"/>
      <c r="B786" s="135" t="s">
        <v>324</v>
      </c>
      <c r="C786" s="606"/>
      <c r="D786" s="176"/>
      <c r="E786" s="142">
        <v>23755.057852499995</v>
      </c>
      <c r="F786" s="142">
        <v>24643.870582499996</v>
      </c>
      <c r="G786" s="142">
        <v>19983.794512499997</v>
      </c>
      <c r="H786" s="142">
        <v>17754.576839999998</v>
      </c>
      <c r="I786" s="142">
        <v>15988.1298525</v>
      </c>
      <c r="J786" s="142">
        <v>14053.7635875</v>
      </c>
      <c r="K786" s="142">
        <v>15392.369654999999</v>
      </c>
      <c r="L786" s="142">
        <v>16467.432637499998</v>
      </c>
      <c r="M786" s="142">
        <v>17235.812002499999</v>
      </c>
      <c r="N786" s="142">
        <v>16126.077240000001</v>
      </c>
      <c r="O786" s="142">
        <v>17316.987772499997</v>
      </c>
      <c r="P786" s="142">
        <v>23782.206824999997</v>
      </c>
      <c r="R786" s="176"/>
      <c r="T786" s="143">
        <f>SUM(C786:S786)</f>
        <v>222500.07935999997</v>
      </c>
      <c r="U786" s="138"/>
      <c r="V786" s="139"/>
      <c r="W786" s="143">
        <f>T786</f>
        <v>222500.07935999997</v>
      </c>
      <c r="X786" s="138"/>
      <c r="Y786" s="157"/>
      <c r="Z786" s="157"/>
    </row>
    <row r="787" spans="1:26" s="125" customFormat="1" ht="16.5" x14ac:dyDescent="0.35">
      <c r="A787" s="461"/>
      <c r="B787" s="144" t="s">
        <v>348</v>
      </c>
      <c r="C787" s="1595" t="s">
        <v>1393</v>
      </c>
      <c r="D787" s="179"/>
      <c r="E787" s="145"/>
      <c r="F787" s="145"/>
      <c r="G787" s="145"/>
      <c r="H787" s="145"/>
      <c r="I787" s="145"/>
      <c r="J787" s="145"/>
      <c r="K787" s="145"/>
      <c r="L787" s="145"/>
      <c r="M787" s="145"/>
      <c r="N787" s="145"/>
      <c r="O787" s="145"/>
      <c r="P787" s="145"/>
      <c r="R787" s="179"/>
      <c r="T787" s="143">
        <f>SUM(C787:S787)</f>
        <v>0</v>
      </c>
      <c r="U787" s="138"/>
      <c r="V787" s="139"/>
      <c r="W787" s="146">
        <f>T787</f>
        <v>0</v>
      </c>
      <c r="X787" s="138"/>
      <c r="Y787" s="157"/>
      <c r="Z787" s="157"/>
    </row>
    <row r="788" spans="1:26" x14ac:dyDescent="0.25">
      <c r="W788" s="143">
        <f>SUM(W786:W787)</f>
        <v>222500.07935999997</v>
      </c>
      <c r="X788" s="138"/>
    </row>
    <row r="789" spans="1:26" x14ac:dyDescent="0.25">
      <c r="B789" s="666"/>
    </row>
    <row r="790" spans="1:26" x14ac:dyDescent="0.25">
      <c r="A790" s="462">
        <v>79</v>
      </c>
      <c r="B790" s="666" t="s">
        <v>1293</v>
      </c>
      <c r="T790" s="666" t="s">
        <v>1293</v>
      </c>
    </row>
    <row r="791" spans="1:26" s="125" customFormat="1" x14ac:dyDescent="0.25">
      <c r="A791" s="461"/>
      <c r="B791" s="130" t="s">
        <v>337</v>
      </c>
      <c r="C791" s="131">
        <v>42156</v>
      </c>
      <c r="D791" s="131">
        <v>42186</v>
      </c>
      <c r="E791" s="131">
        <v>42217</v>
      </c>
      <c r="F791" s="131">
        <v>42248</v>
      </c>
      <c r="G791" s="131">
        <v>42278</v>
      </c>
      <c r="H791" s="131">
        <v>42309</v>
      </c>
      <c r="I791" s="131">
        <v>42339</v>
      </c>
      <c r="J791" s="131">
        <v>42370</v>
      </c>
      <c r="K791" s="131">
        <v>42401</v>
      </c>
      <c r="L791" s="131">
        <v>42430</v>
      </c>
      <c r="M791" s="131">
        <v>42461</v>
      </c>
      <c r="N791" s="131">
        <v>42491</v>
      </c>
      <c r="O791" s="131">
        <v>42522</v>
      </c>
      <c r="P791" s="131">
        <v>42552</v>
      </c>
      <c r="Q791" s="151">
        <v>42583</v>
      </c>
      <c r="R791" s="131">
        <v>42627</v>
      </c>
      <c r="S791" s="132"/>
      <c r="T791" s="133" t="s">
        <v>338</v>
      </c>
      <c r="U791" s="134" t="s">
        <v>339</v>
      </c>
      <c r="V791" s="132"/>
      <c r="W791" s="133" t="s">
        <v>338</v>
      </c>
      <c r="X791" s="134" t="s">
        <v>339</v>
      </c>
      <c r="Y791" s="157"/>
      <c r="Z791" s="157"/>
    </row>
    <row r="792" spans="1:26" s="125" customFormat="1" x14ac:dyDescent="0.25">
      <c r="A792" s="461"/>
      <c r="B792" s="135" t="s">
        <v>340</v>
      </c>
      <c r="C792" s="606"/>
      <c r="D792" s="454"/>
      <c r="E792" s="454"/>
      <c r="F792" s="454"/>
      <c r="G792" s="454"/>
      <c r="H792" s="454"/>
      <c r="I792" s="454"/>
      <c r="J792" s="454"/>
      <c r="K792" s="454"/>
      <c r="L792" s="454"/>
      <c r="M792" s="454"/>
      <c r="N792" s="454"/>
      <c r="O792" s="454"/>
      <c r="P792" s="174"/>
      <c r="Q792" s="174"/>
      <c r="R792" s="174"/>
      <c r="T792" s="140">
        <f t="shared" ref="T792:T800" si="33">SUM(C792:S792)</f>
        <v>0</v>
      </c>
      <c r="U792" s="138" t="s">
        <v>341</v>
      </c>
      <c r="V792" s="139"/>
      <c r="W792" s="140">
        <f>T792*3413/1000000</f>
        <v>0</v>
      </c>
      <c r="X792" s="138" t="s">
        <v>342</v>
      </c>
      <c r="Y792" s="157"/>
      <c r="Z792" s="157"/>
    </row>
    <row r="793" spans="1:26" s="125" customFormat="1" x14ac:dyDescent="0.25">
      <c r="A793" s="461"/>
      <c r="B793" s="135" t="s">
        <v>372</v>
      </c>
      <c r="C793" s="606"/>
      <c r="D793" s="454"/>
      <c r="E793" s="454"/>
      <c r="F793" s="454"/>
      <c r="G793" s="454"/>
      <c r="H793" s="454"/>
      <c r="I793" s="454"/>
      <c r="J793" s="454"/>
      <c r="K793" s="454"/>
      <c r="L793" s="454"/>
      <c r="M793" s="454"/>
      <c r="N793" s="454"/>
      <c r="O793" s="454"/>
      <c r="P793" s="174"/>
      <c r="Q793" s="174"/>
      <c r="R793" s="174"/>
      <c r="T793" s="140">
        <f t="shared" si="33"/>
        <v>0</v>
      </c>
      <c r="U793" s="138" t="s">
        <v>354</v>
      </c>
      <c r="V793" s="139"/>
      <c r="W793" s="140">
        <f>T793*99976.124488/1000000</f>
        <v>0</v>
      </c>
      <c r="X793" s="138" t="s">
        <v>342</v>
      </c>
      <c r="Y793" s="765"/>
      <c r="Z793" s="554"/>
    </row>
    <row r="794" spans="1:26" s="125" customFormat="1" x14ac:dyDescent="0.25">
      <c r="A794" s="461"/>
      <c r="B794" s="135" t="s">
        <v>1059</v>
      </c>
      <c r="C794" s="606"/>
      <c r="D794" s="454"/>
      <c r="E794" s="454"/>
      <c r="F794" s="454"/>
      <c r="G794" s="454"/>
      <c r="H794" s="454"/>
      <c r="I794" s="454"/>
      <c r="J794" s="454"/>
      <c r="K794" s="454"/>
      <c r="L794" s="454"/>
      <c r="M794" s="454"/>
      <c r="N794" s="454"/>
      <c r="O794" s="454"/>
      <c r="P794" s="174"/>
      <c r="Q794" s="174"/>
      <c r="R794" s="174"/>
      <c r="T794" s="140">
        <f t="shared" si="33"/>
        <v>0</v>
      </c>
      <c r="U794" s="138" t="s">
        <v>342</v>
      </c>
      <c r="V794" s="139"/>
      <c r="W794" s="140">
        <f>T794</f>
        <v>0</v>
      </c>
      <c r="X794" s="138" t="s">
        <v>342</v>
      </c>
    </row>
    <row r="795" spans="1:26" s="125" customFormat="1" x14ac:dyDescent="0.25">
      <c r="A795" s="461"/>
      <c r="B795" s="135" t="s">
        <v>1060</v>
      </c>
      <c r="C795" s="606"/>
      <c r="D795" s="454"/>
      <c r="E795" s="454"/>
      <c r="F795" s="454"/>
      <c r="G795" s="454"/>
      <c r="H795" s="454"/>
      <c r="I795" s="454"/>
      <c r="J795" s="454"/>
      <c r="K795" s="454"/>
      <c r="L795" s="454"/>
      <c r="M795" s="454"/>
      <c r="N795" s="454"/>
      <c r="O795" s="454"/>
      <c r="P795" s="174"/>
      <c r="Q795" s="174"/>
      <c r="R795" s="174"/>
      <c r="T795" s="140">
        <f t="shared" si="33"/>
        <v>0</v>
      </c>
      <c r="U795" s="138" t="s">
        <v>342</v>
      </c>
      <c r="V795" s="139"/>
      <c r="W795" s="140">
        <f>T795</f>
        <v>0</v>
      </c>
      <c r="X795" s="138" t="s">
        <v>342</v>
      </c>
      <c r="Y795" s="495">
        <f>W792+W793+W794+W795</f>
        <v>0</v>
      </c>
      <c r="Z795" s="153" t="s">
        <v>342</v>
      </c>
    </row>
    <row r="796" spans="1:26" s="125" customFormat="1" x14ac:dyDescent="0.25">
      <c r="A796" s="461"/>
      <c r="B796" s="135" t="s">
        <v>366</v>
      </c>
      <c r="C796" s="606"/>
      <c r="D796" s="454"/>
      <c r="E796" s="454"/>
      <c r="F796" s="454"/>
      <c r="G796" s="454"/>
      <c r="H796" s="454"/>
      <c r="I796" s="454"/>
      <c r="J796" s="454"/>
      <c r="K796" s="454"/>
      <c r="L796" s="454"/>
      <c r="M796" s="454"/>
      <c r="N796" s="454"/>
      <c r="O796" s="454"/>
      <c r="P796" s="178"/>
      <c r="Q796" s="178"/>
      <c r="R796" s="178"/>
      <c r="T796" s="140">
        <f t="shared" si="33"/>
        <v>0</v>
      </c>
      <c r="U796" s="138" t="s">
        <v>367</v>
      </c>
      <c r="V796" s="139"/>
      <c r="W796" s="137">
        <f>T796*7.48</f>
        <v>0</v>
      </c>
      <c r="X796" s="138" t="s">
        <v>346</v>
      </c>
      <c r="Y796" s="157"/>
      <c r="Z796" s="157"/>
    </row>
    <row r="797" spans="1:26" s="125" customFormat="1" x14ac:dyDescent="0.25">
      <c r="A797" s="461"/>
      <c r="B797" s="135" t="s">
        <v>324</v>
      </c>
      <c r="C797" s="606"/>
      <c r="D797" s="455"/>
      <c r="E797" s="455"/>
      <c r="F797" s="455"/>
      <c r="G797" s="455"/>
      <c r="H797" s="455"/>
      <c r="I797" s="455"/>
      <c r="J797" s="455"/>
      <c r="K797" s="455"/>
      <c r="L797" s="455"/>
      <c r="M797" s="455"/>
      <c r="N797" s="455"/>
      <c r="O797" s="455"/>
      <c r="P797" s="176"/>
      <c r="Q797" s="176"/>
      <c r="R797" s="176"/>
      <c r="T797" s="143">
        <f t="shared" si="33"/>
        <v>0</v>
      </c>
      <c r="U797" s="138"/>
      <c r="V797" s="139"/>
      <c r="W797" s="143">
        <f>T797</f>
        <v>0</v>
      </c>
      <c r="X797" s="138"/>
      <c r="Y797" s="157"/>
      <c r="Z797" s="157"/>
    </row>
    <row r="798" spans="1:26" s="125" customFormat="1" x14ac:dyDescent="0.25">
      <c r="A798" s="461"/>
      <c r="B798" s="144" t="s">
        <v>374</v>
      </c>
      <c r="C798" s="607"/>
      <c r="D798" s="455"/>
      <c r="E798" s="455"/>
      <c r="F798" s="455"/>
      <c r="G798" s="455"/>
      <c r="H798" s="455"/>
      <c r="I798" s="455"/>
      <c r="J798" s="455"/>
      <c r="K798" s="455"/>
      <c r="L798" s="455"/>
      <c r="M798" s="455"/>
      <c r="N798" s="455"/>
      <c r="O798" s="455"/>
      <c r="P798" s="179"/>
      <c r="Q798" s="179"/>
      <c r="R798" s="179"/>
      <c r="T798" s="143">
        <f t="shared" si="33"/>
        <v>0</v>
      </c>
      <c r="U798" s="138"/>
      <c r="V798" s="139"/>
      <c r="W798" s="143">
        <f>T798</f>
        <v>0</v>
      </c>
      <c r="X798" s="138"/>
      <c r="Y798" s="157"/>
      <c r="Z798" s="157"/>
    </row>
    <row r="799" spans="1:26" s="125" customFormat="1" x14ac:dyDescent="0.25">
      <c r="A799" s="461"/>
      <c r="B799" s="204" t="s">
        <v>398</v>
      </c>
      <c r="C799" s="607"/>
      <c r="D799" s="455"/>
      <c r="E799" s="455"/>
      <c r="F799" s="455"/>
      <c r="G799" s="455"/>
      <c r="H799" s="455"/>
      <c r="I799" s="455"/>
      <c r="J799" s="455"/>
      <c r="K799" s="455"/>
      <c r="L799" s="455"/>
      <c r="M799" s="455"/>
      <c r="N799" s="455"/>
      <c r="O799" s="455"/>
      <c r="P799" s="179"/>
      <c r="Q799" s="179"/>
      <c r="R799" s="179"/>
      <c r="T799" s="143">
        <f t="shared" si="33"/>
        <v>0</v>
      </c>
      <c r="U799" s="138"/>
      <c r="V799" s="139"/>
      <c r="W799" s="143">
        <f>T799</f>
        <v>0</v>
      </c>
      <c r="X799" s="138"/>
      <c r="Y799" s="157"/>
      <c r="Z799" s="157"/>
    </row>
    <row r="800" spans="1:26" s="125" customFormat="1" ht="16.5" x14ac:dyDescent="0.35">
      <c r="A800" s="461"/>
      <c r="B800" s="204" t="s">
        <v>1058</v>
      </c>
      <c r="C800" s="607"/>
      <c r="D800" s="455"/>
      <c r="E800" s="455"/>
      <c r="F800" s="455"/>
      <c r="G800" s="455"/>
      <c r="H800" s="455"/>
      <c r="I800" s="455"/>
      <c r="J800" s="455"/>
      <c r="K800" s="455"/>
      <c r="L800" s="455"/>
      <c r="M800" s="455"/>
      <c r="N800" s="455"/>
      <c r="O800" s="455"/>
      <c r="P800" s="179"/>
      <c r="Q800" s="179"/>
      <c r="R800" s="179"/>
      <c r="T800" s="143">
        <f t="shared" si="33"/>
        <v>0</v>
      </c>
      <c r="U800" s="138"/>
      <c r="V800" s="139"/>
      <c r="W800" s="597">
        <f>T800</f>
        <v>0</v>
      </c>
      <c r="X800" s="138"/>
      <c r="Y800" s="157"/>
      <c r="Z800" s="157"/>
    </row>
    <row r="801" spans="23:24" x14ac:dyDescent="0.25">
      <c r="W801" s="143">
        <f>SUM(W797:W800)</f>
        <v>0</v>
      </c>
      <c r="X801" s="138"/>
    </row>
  </sheetData>
  <pageMargins left="0.7" right="0.7" top="0.75" bottom="0.75" header="0.3" footer="0.3"/>
  <pageSetup paperSize="17" scale="64" orientation="landscape" r:id="rId1"/>
  <colBreaks count="1" manualBreakCount="1">
    <brk id="26" max="1048575" man="1"/>
  </colBreaks>
  <ignoredErrors>
    <ignoredError sqref="W81 W293 T236 W643" 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149"/>
  <sheetViews>
    <sheetView topLeftCell="A729" zoomScale="88" zoomScaleNormal="88" workbookViewId="0">
      <selection activeCell="B496" sqref="B496:R509"/>
    </sheetView>
  </sheetViews>
  <sheetFormatPr defaultRowHeight="15" x14ac:dyDescent="0.25"/>
  <cols>
    <col min="1" max="1" width="8.85546875" style="462"/>
    <col min="2" max="2" width="17.5703125" customWidth="1"/>
    <col min="3" max="3" width="11.7109375" style="497" customWidth="1"/>
    <col min="4" max="5" width="12.5703125" bestFit="1" customWidth="1"/>
    <col min="6" max="6" width="11.85546875" bestFit="1" customWidth="1"/>
    <col min="7" max="8" width="12.28515625" bestFit="1" customWidth="1"/>
    <col min="9" max="9" width="11.85546875" bestFit="1" customWidth="1"/>
    <col min="10" max="10" width="14.28515625" bestFit="1" customWidth="1"/>
    <col min="11" max="13" width="12.28515625" bestFit="1" customWidth="1"/>
    <col min="14" max="14" width="11.85546875" bestFit="1" customWidth="1"/>
    <col min="15" max="15" width="12.28515625" bestFit="1" customWidth="1"/>
    <col min="16" max="16" width="11.5703125" bestFit="1" customWidth="1"/>
    <col min="17" max="17" width="12.7109375" bestFit="1" customWidth="1"/>
    <col min="18" max="18" width="11.42578125" bestFit="1" customWidth="1"/>
    <col min="20" max="20" width="14.28515625" bestFit="1" customWidth="1"/>
    <col min="23" max="23" width="14.140625" bestFit="1" customWidth="1"/>
    <col min="25" max="25" width="9.85546875" style="345" bestFit="1" customWidth="1"/>
    <col min="26" max="26" width="8.85546875" style="345"/>
    <col min="62" max="74" width="10.42578125" bestFit="1" customWidth="1"/>
  </cols>
  <sheetData>
    <row r="1" spans="1:74" s="125" customFormat="1" ht="18" x14ac:dyDescent="0.25">
      <c r="A1" s="461"/>
      <c r="B1" s="124" t="s">
        <v>1275</v>
      </c>
      <c r="C1" s="601"/>
      <c r="U1" s="126"/>
      <c r="X1" s="126"/>
      <c r="Y1" s="157"/>
      <c r="Z1" s="157"/>
    </row>
    <row r="2" spans="1:74" s="125" customFormat="1" x14ac:dyDescent="0.25">
      <c r="A2" s="461"/>
      <c r="C2" s="152"/>
      <c r="U2" s="126"/>
      <c r="X2" s="126"/>
      <c r="Y2" s="157"/>
      <c r="Z2" s="157"/>
    </row>
    <row r="3" spans="1:74" s="128" customFormat="1" x14ac:dyDescent="0.25">
      <c r="A3" s="459">
        <v>1</v>
      </c>
      <c r="B3" s="127" t="s">
        <v>336</v>
      </c>
      <c r="C3" s="602"/>
      <c r="T3" s="127" t="s">
        <v>336</v>
      </c>
      <c r="U3" s="129"/>
      <c r="X3" s="129"/>
      <c r="Y3" s="166"/>
      <c r="Z3" s="166"/>
    </row>
    <row r="4" spans="1:74" ht="18.75" x14ac:dyDescent="0.2">
      <c r="A4" s="823" t="s">
        <v>887</v>
      </c>
      <c r="C4"/>
      <c r="Y4"/>
      <c r="Z4"/>
    </row>
    <row r="5" spans="1:74" ht="12.75" x14ac:dyDescent="0.2">
      <c r="A5" s="2256" t="s">
        <v>888</v>
      </c>
      <c r="B5" s="2257"/>
      <c r="C5" s="2257"/>
      <c r="D5" s="2257"/>
      <c r="E5" s="2257"/>
      <c r="F5" s="2257"/>
      <c r="G5" s="2257"/>
      <c r="H5" s="2257"/>
      <c r="I5" s="2257"/>
      <c r="J5" s="2257"/>
      <c r="K5" s="2257"/>
      <c r="L5" s="2257"/>
      <c r="M5" s="2257"/>
      <c r="N5" s="2257"/>
      <c r="O5" s="2257"/>
      <c r="P5" s="2257"/>
      <c r="Q5" s="2257"/>
      <c r="R5" s="2257"/>
      <c r="S5" s="2257"/>
      <c r="T5" s="2257"/>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c r="AT5" s="2257"/>
      <c r="AU5" s="2257"/>
      <c r="AV5" s="2257"/>
      <c r="AW5" s="2257"/>
      <c r="AX5" s="2257"/>
      <c r="AY5" s="2258"/>
    </row>
    <row r="6" spans="1:74" s="94" customFormat="1" ht="12.75" x14ac:dyDescent="0.2">
      <c r="A6" s="824" t="s">
        <v>654</v>
      </c>
      <c r="B6" s="825" t="s">
        <v>655</v>
      </c>
      <c r="C6" s="826">
        <v>40360</v>
      </c>
      <c r="D6" s="826">
        <v>40391</v>
      </c>
      <c r="E6" s="826">
        <v>40422</v>
      </c>
      <c r="F6" s="826">
        <v>40452</v>
      </c>
      <c r="G6" s="826">
        <v>40483</v>
      </c>
      <c r="H6" s="826">
        <v>40513</v>
      </c>
      <c r="I6" s="826">
        <v>40544</v>
      </c>
      <c r="J6" s="826">
        <v>40575</v>
      </c>
      <c r="K6" s="826">
        <v>40603</v>
      </c>
      <c r="L6" s="826">
        <v>40634</v>
      </c>
      <c r="M6" s="826">
        <v>40664</v>
      </c>
      <c r="N6" s="826">
        <v>40695</v>
      </c>
      <c r="O6" s="826">
        <v>40725</v>
      </c>
      <c r="P6" s="826">
        <v>40756</v>
      </c>
      <c r="Q6" s="826">
        <v>40787</v>
      </c>
      <c r="R6" s="826">
        <v>40817</v>
      </c>
      <c r="S6" s="826">
        <v>40848</v>
      </c>
      <c r="T6" s="826">
        <v>40878</v>
      </c>
      <c r="U6" s="826">
        <v>40909</v>
      </c>
      <c r="V6" s="826">
        <v>40940</v>
      </c>
      <c r="W6" s="826">
        <v>40969</v>
      </c>
      <c r="X6" s="826">
        <v>41000</v>
      </c>
      <c r="Y6" s="826">
        <v>41030</v>
      </c>
      <c r="Z6" s="826">
        <v>41061</v>
      </c>
      <c r="AA6" s="826">
        <v>41091</v>
      </c>
      <c r="AB6" s="826">
        <v>41122</v>
      </c>
      <c r="AC6" s="826">
        <v>41153</v>
      </c>
      <c r="AD6" s="826">
        <v>41183</v>
      </c>
      <c r="AE6" s="826">
        <v>41214</v>
      </c>
      <c r="AF6" s="826">
        <v>41244</v>
      </c>
      <c r="AG6" s="826">
        <v>41275</v>
      </c>
      <c r="AH6" s="826">
        <v>41306</v>
      </c>
      <c r="AI6" s="826">
        <v>41334</v>
      </c>
      <c r="AJ6" s="826">
        <v>41365</v>
      </c>
      <c r="AK6" s="826">
        <v>41395</v>
      </c>
      <c r="AL6" s="826">
        <v>41426</v>
      </c>
      <c r="AM6" s="826">
        <v>41456</v>
      </c>
      <c r="AN6" s="826">
        <v>41487</v>
      </c>
      <c r="AO6" s="826">
        <v>41518</v>
      </c>
      <c r="AP6" s="826">
        <v>41548</v>
      </c>
      <c r="AQ6" s="826">
        <v>41579</v>
      </c>
      <c r="AR6" s="826">
        <v>41609</v>
      </c>
      <c r="AS6" s="826">
        <v>41640</v>
      </c>
      <c r="AT6" s="826">
        <v>41671</v>
      </c>
      <c r="AU6" s="826">
        <v>41699</v>
      </c>
      <c r="AV6" s="826">
        <v>41730</v>
      </c>
      <c r="AW6" s="826">
        <v>41760</v>
      </c>
      <c r="AX6" s="826">
        <v>41791</v>
      </c>
      <c r="AY6" s="826">
        <v>41821</v>
      </c>
      <c r="AZ6" s="826">
        <v>41852</v>
      </c>
      <c r="BA6" s="826">
        <v>41883</v>
      </c>
      <c r="BB6" s="826">
        <v>41913</v>
      </c>
      <c r="BC6" s="826">
        <v>41944</v>
      </c>
      <c r="BD6" s="826">
        <v>41974</v>
      </c>
      <c r="BE6" s="826">
        <v>42005</v>
      </c>
      <c r="BF6" s="826">
        <v>42036</v>
      </c>
      <c r="BG6" s="826">
        <v>42064</v>
      </c>
      <c r="BH6" s="826">
        <v>42095</v>
      </c>
      <c r="BI6" s="826">
        <v>42125</v>
      </c>
      <c r="BJ6" s="826">
        <v>42156</v>
      </c>
      <c r="BK6" s="826">
        <v>42186</v>
      </c>
      <c r="BL6" s="826">
        <v>42217</v>
      </c>
      <c r="BM6" s="826">
        <v>42248</v>
      </c>
      <c r="BN6" s="826">
        <v>42278</v>
      </c>
      <c r="BO6" s="826">
        <v>42309</v>
      </c>
      <c r="BP6" s="826">
        <v>42339</v>
      </c>
      <c r="BQ6" s="826">
        <v>42370</v>
      </c>
      <c r="BR6" s="826">
        <v>42401</v>
      </c>
      <c r="BS6" s="826">
        <v>42430</v>
      </c>
      <c r="BT6" s="826">
        <v>42461</v>
      </c>
      <c r="BU6" s="826">
        <v>42491</v>
      </c>
      <c r="BV6" s="826">
        <v>42522</v>
      </c>
    </row>
    <row r="7" spans="1:74" s="500" customFormat="1" ht="12.75" x14ac:dyDescent="0.2">
      <c r="A7" s="827" t="s">
        <v>889</v>
      </c>
      <c r="B7" s="828" t="s">
        <v>890</v>
      </c>
      <c r="C7" s="829">
        <v>227800</v>
      </c>
      <c r="D7" s="829">
        <v>214280</v>
      </c>
      <c r="E7" s="829">
        <v>225000</v>
      </c>
      <c r="F7" s="829">
        <v>221480</v>
      </c>
      <c r="G7" s="829">
        <v>190120</v>
      </c>
      <c r="H7" s="829">
        <v>186400</v>
      </c>
      <c r="I7" s="829">
        <v>149800</v>
      </c>
      <c r="J7" s="829">
        <v>169880</v>
      </c>
      <c r="K7" s="829">
        <v>176080</v>
      </c>
      <c r="L7" s="829">
        <v>194280</v>
      </c>
      <c r="M7" s="829">
        <v>202520</v>
      </c>
      <c r="N7" s="829">
        <v>204080</v>
      </c>
      <c r="O7" s="829">
        <v>185200</v>
      </c>
      <c r="P7" s="829">
        <v>182360</v>
      </c>
      <c r="Q7" s="829">
        <v>221240</v>
      </c>
      <c r="R7" s="829">
        <v>184480</v>
      </c>
      <c r="S7" s="829">
        <v>192240</v>
      </c>
      <c r="T7" s="829">
        <v>159400</v>
      </c>
      <c r="U7" s="829">
        <v>93960</v>
      </c>
      <c r="V7" s="829">
        <v>150160</v>
      </c>
      <c r="W7" s="829">
        <v>161304.79999999999</v>
      </c>
      <c r="X7" s="829">
        <v>184936.24</v>
      </c>
      <c r="Y7" s="829">
        <v>200038.48</v>
      </c>
      <c r="Z7" s="829">
        <v>212508.96</v>
      </c>
      <c r="AA7" s="829">
        <v>164809.91999999998</v>
      </c>
      <c r="AB7" s="829">
        <v>171163.76</v>
      </c>
      <c r="AC7" s="829">
        <v>191234.64</v>
      </c>
      <c r="AD7" s="829">
        <v>181865.2</v>
      </c>
      <c r="AE7" s="829">
        <v>160043.51999999999</v>
      </c>
      <c r="AF7" s="829">
        <v>158691.04</v>
      </c>
      <c r="AG7" s="829">
        <v>162637.92000000001</v>
      </c>
      <c r="AH7" s="829">
        <v>156600.48000000001</v>
      </c>
      <c r="AI7" s="829">
        <v>163100.79999999999</v>
      </c>
      <c r="AJ7" s="829">
        <v>182870.39999999999</v>
      </c>
      <c r="AK7" s="829">
        <v>170412.48</v>
      </c>
      <c r="AL7" s="829">
        <v>195797.84</v>
      </c>
      <c r="AM7" s="829">
        <v>172848.4</v>
      </c>
      <c r="AN7" s="829">
        <v>181802.96</v>
      </c>
      <c r="AO7" s="829">
        <v>239736.72</v>
      </c>
      <c r="AP7" s="829">
        <v>193410.72</v>
      </c>
      <c r="AQ7" s="829">
        <v>167832.32000000001</v>
      </c>
      <c r="AR7" s="829">
        <v>158616.24</v>
      </c>
      <c r="AS7" s="829">
        <v>151638.48000000001</v>
      </c>
      <c r="AT7" s="829">
        <v>173009.88</v>
      </c>
      <c r="AU7" s="829">
        <v>145604.07999999999</v>
      </c>
      <c r="AV7" s="829">
        <v>167482.6</v>
      </c>
      <c r="AW7" s="829">
        <v>163268.20000000001</v>
      </c>
      <c r="AX7" s="829">
        <v>150024.64000000001</v>
      </c>
      <c r="AY7" s="829">
        <v>154229.68</v>
      </c>
      <c r="AZ7" s="829">
        <v>183066.16</v>
      </c>
      <c r="BA7" s="829">
        <v>210823.36</v>
      </c>
      <c r="BB7" s="829">
        <v>180406.31995410001</v>
      </c>
      <c r="BC7" s="829">
        <v>182160</v>
      </c>
      <c r="BD7" s="829">
        <v>137900.1600459</v>
      </c>
      <c r="BE7" s="829">
        <v>104936.88</v>
      </c>
      <c r="BF7" s="829">
        <v>162981.44</v>
      </c>
      <c r="BG7" s="829">
        <v>159770.63995410001</v>
      </c>
      <c r="BH7" s="829">
        <v>159117.59995410001</v>
      </c>
      <c r="BI7" s="829">
        <v>129846.64</v>
      </c>
      <c r="BJ7" s="829">
        <v>117536.08</v>
      </c>
      <c r="BK7" s="829">
        <v>126492.56</v>
      </c>
      <c r="BL7" s="829">
        <v>131062.95999999999</v>
      </c>
      <c r="BM7" s="829">
        <v>176404.16</v>
      </c>
      <c r="BN7" s="829">
        <v>167466.7200459</v>
      </c>
      <c r="BO7" s="829">
        <v>120254</v>
      </c>
      <c r="BP7" s="829">
        <v>123945.44</v>
      </c>
      <c r="BQ7" s="829">
        <v>113920.48</v>
      </c>
      <c r="BR7" s="829">
        <v>131483.76004590001</v>
      </c>
      <c r="BS7" s="829">
        <v>147519.64000000001</v>
      </c>
      <c r="BT7" s="829">
        <v>134698.84</v>
      </c>
      <c r="BU7" s="829">
        <v>141380.32004590001</v>
      </c>
      <c r="BV7" s="829">
        <v>111725.04004590001</v>
      </c>
    </row>
    <row r="8" spans="1:74" s="500" customFormat="1" ht="12.75" x14ac:dyDescent="0.2">
      <c r="A8" s="830">
        <v>315</v>
      </c>
      <c r="B8" s="831" t="s">
        <v>891</v>
      </c>
      <c r="C8" s="832">
        <v>30920</v>
      </c>
      <c r="D8" s="832">
        <v>42883</v>
      </c>
      <c r="E8" s="832">
        <v>87000</v>
      </c>
      <c r="F8" s="832">
        <v>89330</v>
      </c>
      <c r="G8" s="832">
        <v>74095</v>
      </c>
      <c r="H8" s="832">
        <v>65520</v>
      </c>
      <c r="I8" s="832">
        <v>51680</v>
      </c>
      <c r="J8" s="832">
        <v>65760</v>
      </c>
      <c r="K8" s="832">
        <v>67200</v>
      </c>
      <c r="L8" s="832">
        <v>67922</v>
      </c>
      <c r="M8" s="832">
        <v>67325</v>
      </c>
      <c r="N8" s="832">
        <v>54118</v>
      </c>
      <c r="O8" s="832">
        <v>61002</v>
      </c>
      <c r="P8" s="832">
        <v>47297</v>
      </c>
      <c r="Q8" s="832">
        <v>97209</v>
      </c>
      <c r="R8" s="832">
        <v>82790</v>
      </c>
      <c r="S8" s="832">
        <v>74640</v>
      </c>
      <c r="T8" s="832">
        <v>78640</v>
      </c>
      <c r="U8" s="832">
        <v>59040</v>
      </c>
      <c r="V8" s="832">
        <v>75280</v>
      </c>
      <c r="W8" s="832">
        <v>68445.600000000006</v>
      </c>
      <c r="X8" s="832">
        <v>81539.28</v>
      </c>
      <c r="Y8" s="832">
        <v>78760.56</v>
      </c>
      <c r="Z8" s="832">
        <v>70425.119999999995</v>
      </c>
      <c r="AA8" s="832">
        <v>83354.240000000005</v>
      </c>
      <c r="AB8" s="832">
        <v>95440.72</v>
      </c>
      <c r="AC8" s="832">
        <v>106644.08</v>
      </c>
      <c r="AD8" s="832">
        <v>90944.4</v>
      </c>
      <c r="AE8" s="832">
        <v>79893.440000000002</v>
      </c>
      <c r="AF8" s="832">
        <v>75534.880000000005</v>
      </c>
      <c r="AG8" s="832">
        <v>61110.239999999998</v>
      </c>
      <c r="AH8" s="832">
        <v>77534.559999999998</v>
      </c>
      <c r="AI8" s="832">
        <v>66657.600000000006</v>
      </c>
      <c r="AJ8" s="832">
        <v>76348.800000000003</v>
      </c>
      <c r="AK8" s="832">
        <v>74618.559999999998</v>
      </c>
      <c r="AL8" s="832">
        <v>100114.48</v>
      </c>
      <c r="AM8" s="832">
        <v>92674.8</v>
      </c>
      <c r="AN8" s="832">
        <v>96643.12</v>
      </c>
      <c r="AO8" s="832">
        <v>114833.84</v>
      </c>
      <c r="AP8" s="832">
        <v>95351.84</v>
      </c>
      <c r="AQ8" s="832">
        <v>74287.039999999994</v>
      </c>
      <c r="AR8" s="832">
        <v>71859.28</v>
      </c>
      <c r="AS8" s="832">
        <v>63800.56</v>
      </c>
      <c r="AT8" s="832">
        <v>84077.36</v>
      </c>
      <c r="AU8" s="832">
        <v>66297.759999999995</v>
      </c>
      <c r="AV8" s="832">
        <v>75581.2</v>
      </c>
      <c r="AW8" s="832">
        <v>80548.399999999994</v>
      </c>
      <c r="AX8" s="832">
        <v>73478.080000000002</v>
      </c>
      <c r="AY8" s="832">
        <v>82502.959999999992</v>
      </c>
      <c r="AZ8" s="832">
        <v>96093.52</v>
      </c>
      <c r="BA8" s="832">
        <v>107641.92</v>
      </c>
      <c r="BB8" s="832">
        <v>86785.039982699993</v>
      </c>
      <c r="BC8" s="832">
        <v>87720</v>
      </c>
      <c r="BD8" s="832">
        <v>67851.520017300005</v>
      </c>
      <c r="BE8" s="832">
        <v>49305.36</v>
      </c>
      <c r="BF8" s="832">
        <v>64223.68</v>
      </c>
      <c r="BG8" s="832">
        <v>71256.079982700001</v>
      </c>
      <c r="BH8" s="832">
        <v>72487.199982699996</v>
      </c>
      <c r="BI8" s="832">
        <v>59208.08</v>
      </c>
      <c r="BJ8" s="832">
        <v>61667.759999999995</v>
      </c>
      <c r="BK8" s="832">
        <v>85574.32</v>
      </c>
      <c r="BL8" s="832">
        <v>64583.119999999995</v>
      </c>
      <c r="BM8" s="832">
        <v>90419.520000000004</v>
      </c>
      <c r="BN8" s="832">
        <v>94077.840017299997</v>
      </c>
      <c r="BO8" s="832">
        <v>56724</v>
      </c>
      <c r="BP8" s="832">
        <v>57251.68</v>
      </c>
      <c r="BQ8" s="832">
        <v>55614.559999999998</v>
      </c>
      <c r="BR8" s="832">
        <v>56960.720017300002</v>
      </c>
      <c r="BS8" s="832">
        <v>68456.08</v>
      </c>
      <c r="BT8" s="832">
        <v>57964.479999999996</v>
      </c>
      <c r="BU8" s="832">
        <v>68523.040017299994</v>
      </c>
      <c r="BV8" s="832">
        <v>67612.880017299991</v>
      </c>
    </row>
    <row r="9" spans="1:74" s="500" customFormat="1" ht="12.75" x14ac:dyDescent="0.2">
      <c r="A9" s="830" t="s">
        <v>892</v>
      </c>
      <c r="B9" s="831" t="s">
        <v>893</v>
      </c>
      <c r="C9" s="832">
        <v>0</v>
      </c>
      <c r="D9" s="832">
        <v>0</v>
      </c>
      <c r="E9" s="832">
        <v>0</v>
      </c>
      <c r="F9" s="832">
        <v>0</v>
      </c>
      <c r="G9" s="832">
        <v>0</v>
      </c>
      <c r="H9" s="832">
        <v>0</v>
      </c>
      <c r="I9" s="832">
        <v>0</v>
      </c>
      <c r="J9" s="832">
        <v>0</v>
      </c>
      <c r="K9" s="832">
        <v>0</v>
      </c>
      <c r="L9" s="832">
        <v>0</v>
      </c>
      <c r="M9" s="832">
        <v>0</v>
      </c>
      <c r="N9" s="832">
        <v>0</v>
      </c>
      <c r="O9" s="832">
        <v>0</v>
      </c>
      <c r="P9" s="832">
        <v>0</v>
      </c>
      <c r="Q9" s="832">
        <v>0</v>
      </c>
      <c r="R9" s="832">
        <v>0</v>
      </c>
      <c r="S9" s="832">
        <v>0</v>
      </c>
      <c r="T9" s="832">
        <v>0</v>
      </c>
      <c r="U9" s="832">
        <v>0</v>
      </c>
      <c r="V9" s="832">
        <v>0</v>
      </c>
      <c r="W9" s="832">
        <v>2649.6</v>
      </c>
      <c r="X9" s="832">
        <v>3444.48</v>
      </c>
      <c r="Y9" s="832">
        <v>4680.96</v>
      </c>
      <c r="Z9" s="832">
        <v>12305.92</v>
      </c>
      <c r="AA9" s="832">
        <v>75868.84</v>
      </c>
      <c r="AB9" s="832">
        <v>94233.51999999999</v>
      </c>
      <c r="AC9" s="832">
        <v>103495.28</v>
      </c>
      <c r="AD9" s="832">
        <v>93234.4</v>
      </c>
      <c r="AE9" s="832">
        <v>90349.04</v>
      </c>
      <c r="AF9" s="832">
        <v>82741.08</v>
      </c>
      <c r="AG9" s="832">
        <v>67491.839999999997</v>
      </c>
      <c r="AH9" s="832">
        <v>96344.960000000006</v>
      </c>
      <c r="AI9" s="832">
        <v>85841.600000000006</v>
      </c>
      <c r="AJ9" s="832">
        <v>96620.800000000003</v>
      </c>
      <c r="AK9" s="832">
        <v>94928.959999999992</v>
      </c>
      <c r="AL9" s="832">
        <v>110927.67999999999</v>
      </c>
      <c r="AM9" s="832">
        <v>86316.800000000003</v>
      </c>
      <c r="AN9" s="832">
        <v>107513.92</v>
      </c>
      <c r="AO9" s="832">
        <v>140709.44</v>
      </c>
      <c r="AP9" s="832">
        <v>116877.44</v>
      </c>
      <c r="AQ9" s="832">
        <v>96720.639999999999</v>
      </c>
      <c r="AR9" s="832">
        <v>88444.479999999996</v>
      </c>
      <c r="AS9" s="832">
        <v>70200.960000000006</v>
      </c>
      <c r="AT9" s="832">
        <v>106069.75999999999</v>
      </c>
      <c r="AU9" s="832">
        <v>76516.160000000003</v>
      </c>
      <c r="AV9" s="832">
        <v>90139.199999999997</v>
      </c>
      <c r="AW9" s="832">
        <v>97414.399999999994</v>
      </c>
      <c r="AX9" s="832">
        <v>90465.279999999999</v>
      </c>
      <c r="AY9" s="832">
        <v>92359.360000000001</v>
      </c>
      <c r="AZ9" s="832">
        <v>103320.32000000001</v>
      </c>
      <c r="BA9" s="832">
        <v>119614.72</v>
      </c>
      <c r="BB9" s="832">
        <v>100688.6399632</v>
      </c>
      <c r="BC9" s="832">
        <v>105280</v>
      </c>
      <c r="BD9" s="832">
        <v>82288.320036799996</v>
      </c>
      <c r="BE9" s="832">
        <v>57837.760000000002</v>
      </c>
      <c r="BF9" s="832">
        <v>96834.880000000005</v>
      </c>
      <c r="BG9" s="832">
        <v>87713.279963199995</v>
      </c>
      <c r="BH9" s="832">
        <v>101035.19996320001</v>
      </c>
      <c r="BI9" s="832">
        <v>86505.279999999999</v>
      </c>
      <c r="BJ9" s="832">
        <v>86756.160000000003</v>
      </c>
      <c r="BK9" s="832">
        <v>95653.119999999995</v>
      </c>
      <c r="BL9" s="832">
        <v>104193.92000000001</v>
      </c>
      <c r="BM9" s="832">
        <v>115816.32000000001</v>
      </c>
      <c r="BN9" s="832">
        <v>104813.44003679999</v>
      </c>
      <c r="BO9" s="832">
        <v>91664</v>
      </c>
      <c r="BP9" s="832">
        <v>78922.87999999999</v>
      </c>
      <c r="BQ9" s="832">
        <v>80144.959999999992</v>
      </c>
      <c r="BR9" s="832">
        <v>80595.520036799993</v>
      </c>
      <c r="BS9" s="832">
        <v>79393.279999999999</v>
      </c>
      <c r="BT9" s="832">
        <v>96367.679999999993</v>
      </c>
      <c r="BU9" s="832">
        <v>92576.640036799989</v>
      </c>
      <c r="BV9" s="832">
        <v>83022.080036799991</v>
      </c>
    </row>
    <row r="10" spans="1:74" s="501" customFormat="1" ht="12.75" x14ac:dyDescent="0.2">
      <c r="A10" s="833" t="s">
        <v>889</v>
      </c>
      <c r="B10" s="834" t="s">
        <v>894</v>
      </c>
      <c r="C10" s="835">
        <v>15780.47</v>
      </c>
      <c r="D10" s="835">
        <v>14844.63</v>
      </c>
      <c r="E10" s="835">
        <v>15586.66</v>
      </c>
      <c r="F10" s="835">
        <v>15343</v>
      </c>
      <c r="G10" s="835">
        <v>13172.29</v>
      </c>
      <c r="H10" s="835">
        <v>12914.8</v>
      </c>
      <c r="I10" s="835">
        <v>11564.69</v>
      </c>
      <c r="J10" s="835">
        <v>14007.85</v>
      </c>
      <c r="K10" s="835">
        <v>14518.63</v>
      </c>
      <c r="L10" s="835">
        <v>16018.03</v>
      </c>
      <c r="M10" s="835">
        <v>16696.88</v>
      </c>
      <c r="N10" s="835">
        <v>16825.400000000001</v>
      </c>
      <c r="O10" s="835">
        <v>15269.98</v>
      </c>
      <c r="P10" s="835">
        <v>15036</v>
      </c>
      <c r="Q10" s="835">
        <v>18239.12</v>
      </c>
      <c r="R10" s="835">
        <v>15210.66</v>
      </c>
      <c r="S10" s="835">
        <v>15849.97</v>
      </c>
      <c r="T10" s="835">
        <v>13144.46</v>
      </c>
      <c r="U10" s="835">
        <v>7847.46</v>
      </c>
      <c r="V10" s="835">
        <v>13989.73</v>
      </c>
      <c r="W10" s="835">
        <v>14719.5</v>
      </c>
      <c r="X10" s="835">
        <v>17232.48158</v>
      </c>
      <c r="Y10" s="835">
        <v>18638.24842</v>
      </c>
      <c r="Z10" s="835">
        <v>19799.03254</v>
      </c>
      <c r="AA10" s="835">
        <v>15359.055370000002</v>
      </c>
      <c r="AB10" s="835">
        <v>15950.503779999999</v>
      </c>
      <c r="AC10" s="835">
        <v>17818.75333</v>
      </c>
      <c r="AD10" s="835">
        <v>16946.622820000001</v>
      </c>
      <c r="AE10" s="835">
        <v>14915.3845</v>
      </c>
      <c r="AF10" s="835">
        <v>14789.492410000001</v>
      </c>
      <c r="AG10" s="835">
        <v>12597.11184</v>
      </c>
      <c r="AH10" s="835">
        <v>14489.810740000001</v>
      </c>
      <c r="AI10" s="835">
        <v>15087.03465</v>
      </c>
      <c r="AJ10" s="835">
        <v>16885.891930000002</v>
      </c>
      <c r="AK10" s="835">
        <v>15705.20253</v>
      </c>
      <c r="AL10" s="835">
        <v>17941.66691</v>
      </c>
      <c r="AM10" s="835">
        <v>15826.80602</v>
      </c>
      <c r="AN10" s="835">
        <v>16105.9043</v>
      </c>
      <c r="AO10" s="835">
        <v>21296.445209999998</v>
      </c>
      <c r="AP10" s="835">
        <v>17214.780039999998</v>
      </c>
      <c r="AQ10" s="835">
        <v>14999.84137</v>
      </c>
      <c r="AR10" s="835">
        <v>14213.246580000001</v>
      </c>
      <c r="AS10" s="835">
        <v>14023.096230000001</v>
      </c>
      <c r="AT10" s="835">
        <v>15671.561230000001</v>
      </c>
      <c r="AU10" s="835">
        <v>12939.797839999999</v>
      </c>
      <c r="AV10" s="835">
        <v>14853.098330000001</v>
      </c>
      <c r="AW10" s="835">
        <v>14424.69392</v>
      </c>
      <c r="AX10" s="835">
        <v>13218.781370000001</v>
      </c>
      <c r="AY10" s="835">
        <v>13631.797020000002</v>
      </c>
      <c r="AZ10" s="835">
        <v>16400.783940000001</v>
      </c>
      <c r="BA10" s="835">
        <v>18881.012710000003</v>
      </c>
      <c r="BB10" s="835">
        <v>16163.111139999999</v>
      </c>
      <c r="BC10" s="835">
        <v>16319.823990000001</v>
      </c>
      <c r="BD10" s="835">
        <v>12364.981189999999</v>
      </c>
      <c r="BE10" s="835">
        <v>9731.4951600000004</v>
      </c>
      <c r="BF10" s="835">
        <v>14281.827740000001</v>
      </c>
      <c r="BG10" s="835">
        <v>12335.056770000001</v>
      </c>
      <c r="BH10" s="835">
        <v>14192.419180000001</v>
      </c>
      <c r="BI10" s="835">
        <v>11589.509980000001</v>
      </c>
      <c r="BJ10" s="835">
        <v>10494.794760000001</v>
      </c>
      <c r="BK10" s="835">
        <v>11291.261990000001</v>
      </c>
      <c r="BL10" s="835">
        <v>11697.67022</v>
      </c>
      <c r="BM10" s="835">
        <v>15729.616019999999</v>
      </c>
      <c r="BN10" s="835">
        <v>14934.850690000001</v>
      </c>
      <c r="BO10" s="835">
        <v>10736.50029</v>
      </c>
      <c r="BP10" s="835">
        <v>11064.75036</v>
      </c>
      <c r="BQ10" s="835">
        <v>10173.296300000002</v>
      </c>
      <c r="BR10" s="835">
        <v>11123.407719999999</v>
      </c>
      <c r="BS10" s="835">
        <v>11925.77434</v>
      </c>
      <c r="BT10" s="835">
        <v>10893.0468</v>
      </c>
      <c r="BU10" s="835">
        <v>11431.24749</v>
      </c>
      <c r="BV10" s="835">
        <v>9042.4920299999994</v>
      </c>
    </row>
    <row r="11" spans="1:74" s="500" customFormat="1" ht="12.75" x14ac:dyDescent="0.2">
      <c r="A11" s="833">
        <v>315</v>
      </c>
      <c r="B11" s="834" t="s">
        <v>895</v>
      </c>
      <c r="C11" s="835">
        <v>2171.15</v>
      </c>
      <c r="D11" s="835">
        <v>3005.4</v>
      </c>
      <c r="E11" s="835">
        <v>6059.1399999999994</v>
      </c>
      <c r="F11" s="835">
        <v>6220.42</v>
      </c>
      <c r="G11" s="835">
        <v>5153.51</v>
      </c>
      <c r="H11" s="835">
        <v>4559.95</v>
      </c>
      <c r="I11" s="835">
        <v>4010.19</v>
      </c>
      <c r="J11" s="835">
        <v>5442.32</v>
      </c>
      <c r="K11" s="835">
        <v>5560.96</v>
      </c>
      <c r="L11" s="835">
        <v>5620.45</v>
      </c>
      <c r="M11" s="835">
        <v>5571.26</v>
      </c>
      <c r="N11" s="835">
        <v>4483.21</v>
      </c>
      <c r="O11" s="835">
        <v>5050.33</v>
      </c>
      <c r="P11" s="835">
        <v>3921.26</v>
      </c>
      <c r="Q11" s="835">
        <v>8033.24</v>
      </c>
      <c r="R11" s="835">
        <v>6845.34</v>
      </c>
      <c r="S11" s="835">
        <v>6173.9</v>
      </c>
      <c r="T11" s="835">
        <v>6503.44</v>
      </c>
      <c r="U11" s="835">
        <v>4947.92</v>
      </c>
      <c r="V11" s="835">
        <v>7032.02</v>
      </c>
      <c r="W11" s="835">
        <v>6267.55</v>
      </c>
      <c r="X11" s="835">
        <v>7604.4362599999995</v>
      </c>
      <c r="Y11" s="835">
        <v>7345.7837400000008</v>
      </c>
      <c r="Z11" s="835">
        <v>6569.8953799999999</v>
      </c>
      <c r="AA11" s="835">
        <v>7773.3803900000003</v>
      </c>
      <c r="AB11" s="835">
        <v>8898.4196599999996</v>
      </c>
      <c r="AC11" s="835">
        <v>9941.2685099999999</v>
      </c>
      <c r="AD11" s="835">
        <v>8479.8905400000003</v>
      </c>
      <c r="AE11" s="835">
        <v>7451.2314999999999</v>
      </c>
      <c r="AF11" s="835">
        <v>7045.5272699999996</v>
      </c>
      <c r="AG11" s="835">
        <v>4741.0024800000001</v>
      </c>
      <c r="AH11" s="835">
        <v>7186.1607800000002</v>
      </c>
      <c r="AI11" s="835">
        <v>6173.8085499999997</v>
      </c>
      <c r="AJ11" s="835">
        <v>7059.0927099999999</v>
      </c>
      <c r="AK11" s="835">
        <v>6888.47091</v>
      </c>
      <c r="AL11" s="835">
        <v>9205.3587699999989</v>
      </c>
      <c r="AM11" s="835">
        <v>8520.2409399999997</v>
      </c>
      <c r="AN11" s="835">
        <v>8598.2021000000004</v>
      </c>
      <c r="AO11" s="835">
        <v>10227.898870000001</v>
      </c>
      <c r="AP11" s="835">
        <v>8508.3278799999989</v>
      </c>
      <c r="AQ11" s="835">
        <v>6649.7123899999997</v>
      </c>
      <c r="AR11" s="835">
        <v>6446.96126</v>
      </c>
      <c r="AS11" s="835">
        <v>5908.2048100000002</v>
      </c>
      <c r="AT11" s="835">
        <v>7624.8998100000008</v>
      </c>
      <c r="AU11" s="835">
        <v>5899.6244800000004</v>
      </c>
      <c r="AV11" s="835">
        <v>6712.9535100000003</v>
      </c>
      <c r="AW11" s="835">
        <v>7134.1322399999999</v>
      </c>
      <c r="AX11" s="835">
        <v>6494.8623899999993</v>
      </c>
      <c r="AY11" s="835">
        <v>7323.4779399999998</v>
      </c>
      <c r="AZ11" s="835">
        <v>8600.9711800000005</v>
      </c>
      <c r="BA11" s="835">
        <v>9632.8713700000008</v>
      </c>
      <c r="BB11" s="835">
        <v>7769.21958</v>
      </c>
      <c r="BC11" s="835">
        <v>7852.7635300000002</v>
      </c>
      <c r="BD11" s="835">
        <v>6077.4119300000002</v>
      </c>
      <c r="BE11" s="835">
        <v>4566.7965200000008</v>
      </c>
      <c r="BF11" s="835">
        <v>5603.32978</v>
      </c>
      <c r="BG11" s="835">
        <v>5155.8261899999998</v>
      </c>
      <c r="BH11" s="835">
        <v>6460.4634599999999</v>
      </c>
      <c r="BI11" s="835">
        <v>5279.6210599999995</v>
      </c>
      <c r="BJ11" s="835">
        <v>5498.3377199999995</v>
      </c>
      <c r="BK11" s="835">
        <v>7624.2295300000005</v>
      </c>
      <c r="BL11" s="835">
        <v>5757.5883400000002</v>
      </c>
      <c r="BM11" s="835">
        <v>8055.0809399999998</v>
      </c>
      <c r="BN11" s="835">
        <v>8380.3984299999993</v>
      </c>
      <c r="BO11" s="835">
        <v>5058.7196299999996</v>
      </c>
      <c r="BP11" s="835">
        <v>5105.6409199999998</v>
      </c>
      <c r="BQ11" s="835">
        <v>4960.0661</v>
      </c>
      <c r="BR11" s="835">
        <v>4814.7908400000006</v>
      </c>
      <c r="BS11" s="835">
        <v>5528.7499799999996</v>
      </c>
      <c r="BT11" s="835">
        <v>4683.6496000000006</v>
      </c>
      <c r="BU11" s="835">
        <v>5534.1480299999994</v>
      </c>
      <c r="BV11" s="835">
        <v>5460.8274099999999</v>
      </c>
    </row>
    <row r="12" spans="1:74" s="500" customFormat="1" ht="12.75" x14ac:dyDescent="0.2">
      <c r="A12" s="833" t="s">
        <v>892</v>
      </c>
      <c r="B12" s="834" t="s">
        <v>896</v>
      </c>
      <c r="C12" s="835">
        <v>0</v>
      </c>
      <c r="D12" s="835">
        <v>0</v>
      </c>
      <c r="E12" s="835">
        <v>0</v>
      </c>
      <c r="F12" s="835">
        <v>0</v>
      </c>
      <c r="G12" s="835">
        <v>0</v>
      </c>
      <c r="H12" s="835">
        <v>0</v>
      </c>
      <c r="I12" s="835">
        <v>0</v>
      </c>
      <c r="J12" s="835">
        <v>0</v>
      </c>
      <c r="K12" s="835">
        <v>0</v>
      </c>
      <c r="L12" s="835">
        <v>0</v>
      </c>
      <c r="M12" s="835">
        <v>0</v>
      </c>
      <c r="N12" s="835">
        <v>0</v>
      </c>
      <c r="O12" s="835">
        <v>0</v>
      </c>
      <c r="P12" s="835">
        <v>0</v>
      </c>
      <c r="Q12" s="835">
        <v>0</v>
      </c>
      <c r="R12" s="835">
        <v>0</v>
      </c>
      <c r="S12" s="835">
        <v>0</v>
      </c>
      <c r="T12" s="835">
        <v>0</v>
      </c>
      <c r="U12" s="835">
        <v>0</v>
      </c>
      <c r="V12" s="835">
        <v>0</v>
      </c>
      <c r="W12" s="835">
        <v>2.0699999999999998</v>
      </c>
      <c r="X12" s="835">
        <v>392.96216000000004</v>
      </c>
      <c r="Y12" s="835">
        <v>890.98784000000001</v>
      </c>
      <c r="Z12" s="835">
        <v>1979.8020799999999</v>
      </c>
      <c r="AA12" s="835">
        <v>7087.7942400000002</v>
      </c>
      <c r="AB12" s="835">
        <v>8797.3265599999995</v>
      </c>
      <c r="AC12" s="835">
        <v>9659.2981600000003</v>
      </c>
      <c r="AD12" s="835">
        <v>8704.2166399999987</v>
      </c>
      <c r="AE12" s="835">
        <v>8435.6840000000011</v>
      </c>
      <c r="AF12" s="835">
        <v>7727.5203200000005</v>
      </c>
      <c r="AG12" s="835">
        <v>5244.5256799999997</v>
      </c>
      <c r="AH12" s="835">
        <v>8933.1384799999996</v>
      </c>
      <c r="AI12" s="835">
        <v>7953.5968000000003</v>
      </c>
      <c r="AJ12" s="835">
        <v>8926.5753600000007</v>
      </c>
      <c r="AK12" s="835">
        <v>8747.6765599999999</v>
      </c>
      <c r="AL12" s="835">
        <v>10137.864320000001</v>
      </c>
      <c r="AM12" s="835">
        <v>7867.4930399999994</v>
      </c>
      <c r="AN12" s="835">
        <v>9500.1636000000017</v>
      </c>
      <c r="AO12" s="835">
        <v>12473.995919999999</v>
      </c>
      <c r="AP12" s="835">
        <v>10394.32208</v>
      </c>
      <c r="AQ12" s="835">
        <v>8649.9062400000003</v>
      </c>
      <c r="AR12" s="835">
        <v>7939.75216</v>
      </c>
      <c r="AS12" s="835">
        <v>6503.6489599999995</v>
      </c>
      <c r="AT12" s="835">
        <v>9620.5389599999999</v>
      </c>
      <c r="AU12" s="835">
        <v>6814.5476799999997</v>
      </c>
      <c r="AV12" s="835">
        <v>8000.3181599999998</v>
      </c>
      <c r="AW12" s="835">
        <v>8603.7338400000008</v>
      </c>
      <c r="AX12" s="835">
        <v>7962.9562399999995</v>
      </c>
      <c r="AY12" s="835">
        <v>8147.8950400000003</v>
      </c>
      <c r="AZ12" s="835">
        <v>9261.5648799999999</v>
      </c>
      <c r="BA12" s="835">
        <v>10717.54592</v>
      </c>
      <c r="BB12" s="835">
        <v>9026.3992799999996</v>
      </c>
      <c r="BC12" s="835">
        <v>9436.6724799999993</v>
      </c>
      <c r="BD12" s="835">
        <v>7382.2668800000001</v>
      </c>
      <c r="BE12" s="835">
        <v>5369.4083199999995</v>
      </c>
      <c r="BF12" s="835">
        <v>8501.87248</v>
      </c>
      <c r="BG12" s="835">
        <v>7829.2870399999993</v>
      </c>
      <c r="BH12" s="835">
        <v>9013.9173599999995</v>
      </c>
      <c r="BI12" s="835">
        <v>7721.8589599999996</v>
      </c>
      <c r="BJ12" s="835">
        <v>7744.16752</v>
      </c>
      <c r="BK12" s="835">
        <v>8535.3184799999999</v>
      </c>
      <c r="BL12" s="835">
        <v>9294.8014399999993</v>
      </c>
      <c r="BM12" s="835">
        <v>10328.33304</v>
      </c>
      <c r="BN12" s="835">
        <v>9349.9008799999992</v>
      </c>
      <c r="BO12" s="835">
        <v>8180.5800800000006</v>
      </c>
      <c r="BP12" s="835">
        <v>7047.5987200000009</v>
      </c>
      <c r="BQ12" s="835">
        <v>7156.2676000000001</v>
      </c>
      <c r="BR12" s="835">
        <v>6821.3914400000003</v>
      </c>
      <c r="BS12" s="835">
        <v>6424.5956799999994</v>
      </c>
      <c r="BT12" s="835">
        <v>7791.8935999999994</v>
      </c>
      <c r="BU12" s="835">
        <v>7486.5244799999991</v>
      </c>
      <c r="BV12" s="835">
        <v>6716.9105600000012</v>
      </c>
    </row>
    <row r="13" spans="1:74" s="26" customFormat="1" ht="12.75" x14ac:dyDescent="0.2">
      <c r="A13" s="107"/>
      <c r="B13" s="500"/>
      <c r="C13" s="836"/>
      <c r="D13" s="836"/>
      <c r="E13" s="836"/>
      <c r="F13" s="836"/>
      <c r="G13" s="836"/>
      <c r="H13" s="836"/>
      <c r="I13" s="836"/>
      <c r="J13" s="836"/>
      <c r="K13" s="836"/>
      <c r="L13" s="836"/>
      <c r="M13" s="836"/>
      <c r="N13" s="836"/>
      <c r="O13" s="836"/>
      <c r="P13" s="836"/>
      <c r="Q13" s="836"/>
      <c r="R13" s="836"/>
      <c r="S13" s="836"/>
      <c r="T13" s="836"/>
      <c r="U13" s="836"/>
      <c r="V13" s="836"/>
      <c r="W13" s="836"/>
      <c r="X13" s="836"/>
      <c r="Y13" s="836"/>
      <c r="Z13" s="836"/>
      <c r="AA13" s="836"/>
      <c r="AB13" s="836"/>
      <c r="AC13" s="836"/>
      <c r="AD13" s="836"/>
      <c r="AE13" s="836"/>
      <c r="AF13" s="836"/>
      <c r="AG13" s="836"/>
      <c r="AH13" s="836"/>
      <c r="AI13" s="836"/>
      <c r="AJ13" s="836"/>
      <c r="AK13" s="836"/>
      <c r="AL13" s="836"/>
      <c r="AM13" s="836"/>
      <c r="AN13" s="836"/>
      <c r="AO13" s="836"/>
      <c r="AP13" s="836"/>
      <c r="AQ13" s="836"/>
      <c r="AR13" s="836"/>
      <c r="AS13" s="836"/>
      <c r="AT13" s="836"/>
      <c r="AU13" s="836"/>
      <c r="AV13" s="836"/>
      <c r="AW13" s="836"/>
      <c r="AX13" s="836"/>
      <c r="AY13" s="836"/>
    </row>
    <row r="14" spans="1:74" s="26" customFormat="1" ht="12.75" x14ac:dyDescent="0.2">
      <c r="A14" s="2256" t="s">
        <v>897</v>
      </c>
      <c r="B14" s="2257"/>
      <c r="C14" s="2257"/>
      <c r="D14" s="2257"/>
      <c r="E14" s="2257"/>
      <c r="F14" s="2257"/>
      <c r="G14" s="2257"/>
      <c r="H14" s="2257"/>
      <c r="I14" s="2257"/>
      <c r="J14" s="2257"/>
      <c r="K14" s="2257"/>
      <c r="L14" s="2257"/>
      <c r="M14" s="2257"/>
      <c r="N14" s="2257"/>
      <c r="O14" s="2257"/>
      <c r="P14" s="2257"/>
      <c r="Q14" s="2257"/>
      <c r="R14" s="2257"/>
      <c r="S14" s="2257"/>
      <c r="T14" s="2257"/>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c r="AT14" s="2257"/>
      <c r="AU14" s="2257"/>
      <c r="AV14" s="2257"/>
      <c r="AW14" s="2257"/>
      <c r="AX14" s="2257"/>
      <c r="AY14" s="2258"/>
    </row>
    <row r="15" spans="1:74" s="26" customFormat="1" ht="12.75" x14ac:dyDescent="0.2">
      <c r="A15" s="824" t="s">
        <v>654</v>
      </c>
      <c r="B15" s="825" t="s">
        <v>655</v>
      </c>
      <c r="C15" s="826">
        <v>40360</v>
      </c>
      <c r="D15" s="826">
        <v>40391</v>
      </c>
      <c r="E15" s="826">
        <v>40422</v>
      </c>
      <c r="F15" s="826">
        <v>40452</v>
      </c>
      <c r="G15" s="826">
        <v>40483</v>
      </c>
      <c r="H15" s="826">
        <v>40513</v>
      </c>
      <c r="I15" s="826">
        <v>40544</v>
      </c>
      <c r="J15" s="826">
        <v>40575</v>
      </c>
      <c r="K15" s="826">
        <v>40603</v>
      </c>
      <c r="L15" s="826">
        <v>40634</v>
      </c>
      <c r="M15" s="826">
        <v>40664</v>
      </c>
      <c r="N15" s="826">
        <v>40695</v>
      </c>
      <c r="O15" s="826">
        <v>40725</v>
      </c>
      <c r="P15" s="826">
        <v>40756</v>
      </c>
      <c r="Q15" s="826">
        <v>40787</v>
      </c>
      <c r="R15" s="826">
        <v>40817</v>
      </c>
      <c r="S15" s="826">
        <v>40848</v>
      </c>
      <c r="T15" s="826">
        <v>40878</v>
      </c>
      <c r="U15" s="826">
        <v>40909</v>
      </c>
      <c r="V15" s="826">
        <v>40940</v>
      </c>
      <c r="W15" s="826">
        <v>40969</v>
      </c>
      <c r="X15" s="826">
        <v>41000</v>
      </c>
      <c r="Y15" s="826">
        <v>41030</v>
      </c>
      <c r="Z15" s="826">
        <v>41061</v>
      </c>
      <c r="AA15" s="826">
        <v>41091</v>
      </c>
      <c r="AB15" s="826">
        <v>41122</v>
      </c>
      <c r="AC15" s="826">
        <v>41153</v>
      </c>
      <c r="AD15" s="826">
        <v>41183</v>
      </c>
      <c r="AE15" s="826">
        <v>41214</v>
      </c>
      <c r="AF15" s="826">
        <v>41244</v>
      </c>
      <c r="AG15" s="826">
        <v>41275</v>
      </c>
      <c r="AH15" s="826">
        <v>41306</v>
      </c>
      <c r="AI15" s="826">
        <v>41334</v>
      </c>
      <c r="AJ15" s="826">
        <v>41365</v>
      </c>
      <c r="AK15" s="826">
        <v>41395</v>
      </c>
      <c r="AL15" s="826">
        <v>41426</v>
      </c>
      <c r="AM15" s="826">
        <v>41456</v>
      </c>
      <c r="AN15" s="826">
        <v>41487</v>
      </c>
      <c r="AO15" s="826">
        <v>41518</v>
      </c>
      <c r="AP15" s="826">
        <v>41548</v>
      </c>
      <c r="AQ15" s="826">
        <v>41579</v>
      </c>
      <c r="AR15" s="826">
        <v>41609</v>
      </c>
      <c r="AS15" s="826">
        <v>41640</v>
      </c>
      <c r="AT15" s="826">
        <v>41671</v>
      </c>
      <c r="AU15" s="826">
        <v>41699</v>
      </c>
      <c r="AV15" s="826">
        <v>41730</v>
      </c>
      <c r="AW15" s="826">
        <v>41760</v>
      </c>
      <c r="AX15" s="826">
        <v>41791</v>
      </c>
      <c r="AY15" s="826">
        <v>41821</v>
      </c>
      <c r="AZ15" s="826">
        <v>41852</v>
      </c>
      <c r="BA15" s="826">
        <v>41883</v>
      </c>
      <c r="BB15" s="826">
        <v>41913</v>
      </c>
      <c r="BC15" s="826">
        <v>41944</v>
      </c>
      <c r="BD15" s="826">
        <v>41974</v>
      </c>
      <c r="BE15" s="826">
        <v>42005</v>
      </c>
      <c r="BF15" s="826">
        <v>42036</v>
      </c>
      <c r="BG15" s="826">
        <v>42064</v>
      </c>
      <c r="BH15" s="826">
        <v>42095</v>
      </c>
      <c r="BI15" s="826">
        <v>42125</v>
      </c>
      <c r="BJ15" s="826">
        <v>42156</v>
      </c>
      <c r="BK15" s="826">
        <v>42186</v>
      </c>
      <c r="BL15" s="826">
        <v>42217</v>
      </c>
      <c r="BM15" s="826">
        <v>42248</v>
      </c>
      <c r="BN15" s="826">
        <v>42278</v>
      </c>
      <c r="BO15" s="826">
        <v>42309</v>
      </c>
      <c r="BP15" s="826">
        <v>42339</v>
      </c>
      <c r="BQ15" s="826">
        <v>42370</v>
      </c>
      <c r="BR15" s="826">
        <v>42401</v>
      </c>
      <c r="BS15" s="826">
        <v>42430</v>
      </c>
      <c r="BT15" s="826">
        <v>42461</v>
      </c>
      <c r="BU15" s="826">
        <v>42491</v>
      </c>
      <c r="BV15" s="826">
        <v>42522</v>
      </c>
    </row>
    <row r="16" spans="1:74" s="500" customFormat="1" ht="12.75" x14ac:dyDescent="0.2">
      <c r="A16" s="827" t="s">
        <v>889</v>
      </c>
      <c r="B16" s="828" t="s">
        <v>898</v>
      </c>
      <c r="C16" s="829">
        <v>519706.60000000003</v>
      </c>
      <c r="D16" s="829">
        <v>395410.80000000005</v>
      </c>
      <c r="E16" s="829">
        <v>316161.80000000005</v>
      </c>
      <c r="F16" s="829">
        <v>308654</v>
      </c>
      <c r="G16" s="829">
        <v>493012.2</v>
      </c>
      <c r="H16" s="829">
        <v>947651.20000000007</v>
      </c>
      <c r="I16" s="829">
        <v>982687.60000000009</v>
      </c>
      <c r="J16" s="829">
        <v>474659.80000000005</v>
      </c>
      <c r="K16" s="829">
        <v>401250.2</v>
      </c>
      <c r="L16" s="829">
        <v>322001.2</v>
      </c>
      <c r="M16" s="829">
        <v>351198.2</v>
      </c>
      <c r="N16" s="829">
        <v>274451.8</v>
      </c>
      <c r="O16" s="829">
        <v>37539</v>
      </c>
      <c r="P16" s="829">
        <v>404587</v>
      </c>
      <c r="Q16" s="829">
        <v>459644.2</v>
      </c>
      <c r="R16" s="829">
        <v>527214.4</v>
      </c>
      <c r="S16" s="829">
        <v>569758.60000000009</v>
      </c>
      <c r="T16" s="829">
        <v>608966</v>
      </c>
      <c r="U16" s="829">
        <v>654847</v>
      </c>
      <c r="V16" s="829">
        <v>620644.80000000005</v>
      </c>
      <c r="W16" s="829">
        <v>524711.80000000005</v>
      </c>
      <c r="X16" s="829">
        <v>1393948.2000000002</v>
      </c>
      <c r="Y16" s="829">
        <v>601458.20000000007</v>
      </c>
      <c r="Z16" s="829">
        <v>583105.80000000005</v>
      </c>
      <c r="AA16" s="829">
        <v>642334</v>
      </c>
      <c r="AB16" s="829">
        <v>733261.8</v>
      </c>
      <c r="AC16" s="829">
        <v>677370.4</v>
      </c>
      <c r="AD16" s="829">
        <v>742438</v>
      </c>
      <c r="AE16" s="829">
        <v>886754.60000000009</v>
      </c>
      <c r="AF16" s="829">
        <v>978516.60000000009</v>
      </c>
      <c r="AG16" s="829">
        <v>1117828</v>
      </c>
      <c r="AH16" s="829">
        <v>953490.60000000009</v>
      </c>
      <c r="AI16" s="829">
        <v>797495.20000000007</v>
      </c>
      <c r="AJ16" s="829">
        <v>533888</v>
      </c>
      <c r="AK16" s="829">
        <v>681541.4</v>
      </c>
      <c r="AL16" s="829">
        <v>413763.2</v>
      </c>
      <c r="AM16" s="829">
        <v>726588.20000000007</v>
      </c>
      <c r="AN16" s="829">
        <v>731593.4</v>
      </c>
      <c r="AO16" s="829">
        <v>461312.60000000003</v>
      </c>
      <c r="AP16" s="829">
        <v>842542</v>
      </c>
      <c r="AQ16" s="829">
        <v>674867.8</v>
      </c>
      <c r="AR16" s="829">
        <v>809174</v>
      </c>
      <c r="AS16" s="829">
        <v>1115325.4000000001</v>
      </c>
      <c r="AT16" s="829">
        <v>682375.60000000009</v>
      </c>
      <c r="AU16" s="829">
        <v>902604.4</v>
      </c>
      <c r="AV16" s="829">
        <v>724919.8</v>
      </c>
      <c r="AW16" s="829">
        <v>504691.00000000006</v>
      </c>
      <c r="AX16" s="829">
        <v>397913.4</v>
      </c>
      <c r="AY16" s="829">
        <v>470488.80000000005</v>
      </c>
      <c r="AZ16" s="829">
        <v>685712.4</v>
      </c>
      <c r="BA16" s="829">
        <v>530551.20000000007</v>
      </c>
      <c r="BB16" s="829">
        <v>722417.20000000007</v>
      </c>
      <c r="BC16" s="829">
        <v>623981.60000000009</v>
      </c>
      <c r="BD16" s="829">
        <v>528048.6</v>
      </c>
      <c r="BE16" s="829">
        <v>789153.20000000007</v>
      </c>
      <c r="BF16" s="829">
        <v>609800.20000000007</v>
      </c>
      <c r="BG16" s="829">
        <v>358706</v>
      </c>
      <c r="BH16" s="829">
        <v>418768.4</v>
      </c>
      <c r="BI16" s="829">
        <v>278622.80000000005</v>
      </c>
      <c r="BJ16" s="829">
        <v>205213.2</v>
      </c>
      <c r="BK16" s="829">
        <v>271115</v>
      </c>
      <c r="BL16" s="829">
        <v>312825</v>
      </c>
      <c r="BM16" s="829">
        <v>280291.20000000001</v>
      </c>
      <c r="BN16" s="829">
        <v>475494.00000000006</v>
      </c>
      <c r="BO16" s="829">
        <v>413763.2</v>
      </c>
      <c r="BP16" s="829">
        <v>394576.60000000003</v>
      </c>
      <c r="BQ16" s="829">
        <v>684044</v>
      </c>
      <c r="BR16" s="829">
        <v>611468.60000000009</v>
      </c>
      <c r="BS16" s="829">
        <v>436286.60000000003</v>
      </c>
      <c r="BT16" s="829">
        <v>301146.2</v>
      </c>
      <c r="BU16" s="829">
        <v>307819.80000000005</v>
      </c>
      <c r="BV16" s="829">
        <v>281125.40000000002</v>
      </c>
    </row>
    <row r="17" spans="1:74" s="500" customFormat="1" ht="12.75" x14ac:dyDescent="0.2">
      <c r="A17" s="830">
        <v>315</v>
      </c>
      <c r="B17" s="831" t="s">
        <v>899</v>
      </c>
      <c r="C17" s="832">
        <v>41710</v>
      </c>
      <c r="D17" s="832">
        <v>62565.000000000007</v>
      </c>
      <c r="E17" s="832">
        <v>100104</v>
      </c>
      <c r="F17" s="832">
        <v>153492.80000000002</v>
      </c>
      <c r="G17" s="832">
        <v>163503.20000000001</v>
      </c>
      <c r="H17" s="832">
        <v>216892</v>
      </c>
      <c r="I17" s="832">
        <v>296141</v>
      </c>
      <c r="J17" s="832">
        <v>200208</v>
      </c>
      <c r="K17" s="832">
        <v>166840</v>
      </c>
      <c r="L17" s="832">
        <v>135140.4</v>
      </c>
      <c r="M17" s="832">
        <v>94264.6</v>
      </c>
      <c r="N17" s="832">
        <v>101772.40000000001</v>
      </c>
      <c r="O17" s="832">
        <v>79249</v>
      </c>
      <c r="P17" s="832">
        <v>165171.6</v>
      </c>
      <c r="Q17" s="832">
        <v>141814</v>
      </c>
      <c r="R17" s="832">
        <v>164337.40000000002</v>
      </c>
      <c r="S17" s="832">
        <v>206881.6</v>
      </c>
      <c r="T17" s="832">
        <v>207048.44</v>
      </c>
      <c r="U17" s="832">
        <v>208216.32000000001</v>
      </c>
      <c r="V17" s="832">
        <v>242752.2</v>
      </c>
      <c r="W17" s="832">
        <v>211052.6</v>
      </c>
      <c r="X17" s="832">
        <v>160166.40000000002</v>
      </c>
      <c r="Y17" s="832">
        <v>82585.8</v>
      </c>
      <c r="Z17" s="832">
        <v>59228.200000000004</v>
      </c>
      <c r="AA17" s="832">
        <v>65901.8</v>
      </c>
      <c r="AB17" s="832">
        <v>85922.6</v>
      </c>
      <c r="AC17" s="832">
        <v>171011</v>
      </c>
      <c r="AD17" s="832">
        <v>170176.80000000002</v>
      </c>
      <c r="AE17" s="832">
        <v>208550</v>
      </c>
      <c r="AF17" s="832">
        <v>219394.6</v>
      </c>
      <c r="AG17" s="832">
        <v>291970</v>
      </c>
      <c r="AH17" s="832">
        <v>254848.1</v>
      </c>
      <c r="AI17" s="832">
        <v>229405</v>
      </c>
      <c r="AJ17" s="832">
        <v>171011</v>
      </c>
      <c r="AK17" s="832">
        <v>145985</v>
      </c>
      <c r="AL17" s="832">
        <v>52554.600000000006</v>
      </c>
      <c r="AM17" s="832">
        <v>59228.200000000004</v>
      </c>
      <c r="AN17" s="832">
        <v>95933</v>
      </c>
      <c r="AO17" s="832">
        <v>132637.80000000002</v>
      </c>
      <c r="AP17" s="832">
        <v>192700.2</v>
      </c>
      <c r="AQ17" s="832">
        <v>214389.40000000002</v>
      </c>
      <c r="AR17" s="832">
        <v>207715.80000000002</v>
      </c>
      <c r="AS17" s="832">
        <v>381229.4</v>
      </c>
      <c r="AT17" s="832">
        <v>204379</v>
      </c>
      <c r="AU17" s="832">
        <v>255265.2</v>
      </c>
      <c r="AV17" s="832">
        <v>206881.6</v>
      </c>
      <c r="AW17" s="832">
        <v>81751.600000000006</v>
      </c>
      <c r="AX17" s="832">
        <v>45881</v>
      </c>
      <c r="AY17" s="832">
        <v>58394.000000000007</v>
      </c>
      <c r="AZ17" s="832">
        <v>104275</v>
      </c>
      <c r="BA17" s="832">
        <v>66736</v>
      </c>
      <c r="BB17" s="832">
        <v>96767.200000000012</v>
      </c>
      <c r="BC17" s="832">
        <v>230239.2</v>
      </c>
      <c r="BD17" s="832">
        <v>235244.40000000002</v>
      </c>
      <c r="BE17" s="832">
        <v>264441.40000000002</v>
      </c>
      <c r="BF17" s="832">
        <v>285296.40000000002</v>
      </c>
      <c r="BG17" s="832">
        <v>182689.80000000002</v>
      </c>
      <c r="BH17" s="832">
        <v>178518.80000000002</v>
      </c>
      <c r="BI17" s="832">
        <v>96767.200000000012</v>
      </c>
      <c r="BJ17" s="832">
        <v>83420</v>
      </c>
      <c r="BK17" s="832">
        <v>45881</v>
      </c>
      <c r="BL17" s="832">
        <v>66736</v>
      </c>
      <c r="BM17" s="832">
        <v>118456.40000000001</v>
      </c>
      <c r="BN17" s="832">
        <v>211886.80000000002</v>
      </c>
      <c r="BO17" s="832">
        <v>203544.80000000002</v>
      </c>
      <c r="BP17" s="832">
        <v>191031.80000000002</v>
      </c>
      <c r="BQ17" s="832">
        <v>271115</v>
      </c>
      <c r="BR17" s="832">
        <v>274451.8</v>
      </c>
      <c r="BS17" s="832">
        <v>215223.6</v>
      </c>
      <c r="BT17" s="832">
        <v>182689.80000000002</v>
      </c>
      <c r="BU17" s="832">
        <v>118456.40000000001</v>
      </c>
      <c r="BV17" s="832">
        <v>75078</v>
      </c>
    </row>
    <row r="18" spans="1:74" s="500" customFormat="1" ht="12.75" x14ac:dyDescent="0.2">
      <c r="A18" s="830" t="s">
        <v>892</v>
      </c>
      <c r="B18" s="831" t="s">
        <v>900</v>
      </c>
      <c r="C18" s="832">
        <v>0</v>
      </c>
      <c r="D18" s="832">
        <v>0</v>
      </c>
      <c r="E18" s="832">
        <v>0</v>
      </c>
      <c r="F18" s="832">
        <v>0</v>
      </c>
      <c r="G18" s="832">
        <v>0</v>
      </c>
      <c r="H18" s="832">
        <v>0</v>
      </c>
      <c r="I18" s="832">
        <v>0</v>
      </c>
      <c r="J18" s="832">
        <v>0</v>
      </c>
      <c r="K18" s="832">
        <v>0</v>
      </c>
      <c r="L18" s="832">
        <v>0</v>
      </c>
      <c r="M18" s="832">
        <v>0</v>
      </c>
      <c r="N18" s="832">
        <v>0</v>
      </c>
      <c r="O18" s="832">
        <v>0</v>
      </c>
      <c r="P18" s="832">
        <v>0</v>
      </c>
      <c r="Q18" s="832">
        <v>0</v>
      </c>
      <c r="R18" s="832">
        <v>0</v>
      </c>
      <c r="S18" s="832">
        <v>0</v>
      </c>
      <c r="T18" s="832">
        <v>0</v>
      </c>
      <c r="U18" s="832">
        <v>0</v>
      </c>
      <c r="V18" s="832">
        <v>0</v>
      </c>
      <c r="W18" s="832">
        <v>0</v>
      </c>
      <c r="X18" s="832">
        <v>0</v>
      </c>
      <c r="Y18" s="832">
        <v>210652.18400000001</v>
      </c>
      <c r="Z18" s="832">
        <v>60696.392000000007</v>
      </c>
      <c r="AA18" s="832">
        <v>83545.13</v>
      </c>
      <c r="AB18" s="832">
        <v>170660.636</v>
      </c>
      <c r="AC18" s="832">
        <v>189229.92800000001</v>
      </c>
      <c r="AD18" s="832">
        <v>343473.50800000003</v>
      </c>
      <c r="AE18" s="832">
        <v>382747.64400000003</v>
      </c>
      <c r="AF18" s="832">
        <v>356320.18800000002</v>
      </c>
      <c r="AG18" s="832">
        <v>498426.15800000005</v>
      </c>
      <c r="AH18" s="832">
        <v>606463.4</v>
      </c>
      <c r="AI18" s="832">
        <v>623147.4</v>
      </c>
      <c r="AJ18" s="832">
        <v>367048</v>
      </c>
      <c r="AK18" s="832">
        <v>385400.4</v>
      </c>
      <c r="AL18" s="832">
        <v>272783.40000000002</v>
      </c>
      <c r="AM18" s="832">
        <v>340353.60000000003</v>
      </c>
      <c r="AN18" s="832">
        <v>437120.80000000005</v>
      </c>
      <c r="AO18" s="832">
        <v>359540.2</v>
      </c>
      <c r="AP18" s="832">
        <v>462981.00000000006</v>
      </c>
      <c r="AQ18" s="832">
        <v>530551.20000000007</v>
      </c>
      <c r="AR18" s="832">
        <v>387068.80000000005</v>
      </c>
      <c r="AS18" s="832">
        <v>846713</v>
      </c>
      <c r="AT18" s="832">
        <v>451302.2</v>
      </c>
      <c r="AU18" s="832">
        <v>542230</v>
      </c>
      <c r="AV18" s="832">
        <v>358706</v>
      </c>
      <c r="AW18" s="832">
        <v>216892</v>
      </c>
      <c r="AX18" s="832">
        <v>246923.2</v>
      </c>
      <c r="AY18" s="832">
        <v>286964.80000000005</v>
      </c>
      <c r="AZ18" s="832">
        <v>338685.20000000007</v>
      </c>
      <c r="BA18" s="832">
        <v>325338</v>
      </c>
      <c r="BB18" s="832">
        <v>401250.20000000007</v>
      </c>
      <c r="BC18" s="832">
        <v>513867.20000000007</v>
      </c>
      <c r="BD18" s="832">
        <v>392074</v>
      </c>
      <c r="BE18" s="832">
        <v>658183.80000000005</v>
      </c>
      <c r="BF18" s="832">
        <v>706567.4</v>
      </c>
      <c r="BG18" s="832">
        <v>491343.80000000005</v>
      </c>
      <c r="BH18" s="832">
        <v>368716.4</v>
      </c>
      <c r="BI18" s="832">
        <v>207715.80000000002</v>
      </c>
      <c r="BJ18" s="832">
        <v>210218.40000000002</v>
      </c>
      <c r="BK18" s="832">
        <v>180187.2</v>
      </c>
      <c r="BL18" s="832">
        <v>238581.2</v>
      </c>
      <c r="BM18" s="832">
        <v>311990.8</v>
      </c>
      <c r="BN18" s="832">
        <v>301980.40000000002</v>
      </c>
      <c r="BO18" s="832">
        <v>437120.80000000005</v>
      </c>
      <c r="BP18" s="832">
        <v>430447.2</v>
      </c>
      <c r="BQ18" s="832">
        <v>718246.20000000007</v>
      </c>
      <c r="BR18" s="832">
        <v>713241.00000000012</v>
      </c>
      <c r="BS18" s="832">
        <v>376224.2</v>
      </c>
      <c r="BT18" s="832">
        <v>385400.4</v>
      </c>
      <c r="BU18" s="832">
        <v>283628</v>
      </c>
      <c r="BV18" s="832">
        <v>251928.40000000002</v>
      </c>
    </row>
    <row r="19" spans="1:74" s="501" customFormat="1" ht="12.75" x14ac:dyDescent="0.2">
      <c r="A19" s="833" t="s">
        <v>889</v>
      </c>
      <c r="B19" s="834" t="s">
        <v>901</v>
      </c>
      <c r="C19" s="835">
        <v>22867.09</v>
      </c>
      <c r="D19" s="835">
        <v>17398.079999999998</v>
      </c>
      <c r="E19" s="835">
        <v>13911.12</v>
      </c>
      <c r="F19" s="835">
        <v>13580.779999999999</v>
      </c>
      <c r="G19" s="835">
        <v>21692.54</v>
      </c>
      <c r="H19" s="835">
        <v>41696.649999999994</v>
      </c>
      <c r="I19" s="835">
        <v>43238.25</v>
      </c>
      <c r="J19" s="835">
        <v>20885.04</v>
      </c>
      <c r="K19" s="835">
        <v>17655.009999999998</v>
      </c>
      <c r="L19" s="835">
        <v>14168.050000000001</v>
      </c>
      <c r="M19" s="835">
        <v>15452.72</v>
      </c>
      <c r="N19" s="835">
        <v>5764.08</v>
      </c>
      <c r="O19" s="835">
        <v>788.4</v>
      </c>
      <c r="P19" s="835">
        <v>8497.2000000000007</v>
      </c>
      <c r="Q19" s="835">
        <v>9653.52</v>
      </c>
      <c r="R19" s="835">
        <v>11072.64</v>
      </c>
      <c r="S19" s="835">
        <v>11966.16</v>
      </c>
      <c r="T19" s="835">
        <v>12789.6</v>
      </c>
      <c r="U19" s="835">
        <v>13753.199999999999</v>
      </c>
      <c r="V19" s="835">
        <v>13034.880000000001</v>
      </c>
      <c r="W19" s="835">
        <v>11020.08</v>
      </c>
      <c r="X19" s="835">
        <v>29275.919999999998</v>
      </c>
      <c r="Y19" s="835">
        <v>12631.92</v>
      </c>
      <c r="Z19" s="835">
        <v>12246.48</v>
      </c>
      <c r="AA19" s="835">
        <v>13490.4</v>
      </c>
      <c r="AB19" s="835">
        <v>15400.08</v>
      </c>
      <c r="AC19" s="835">
        <v>14226.24</v>
      </c>
      <c r="AD19" s="835">
        <v>15592.8</v>
      </c>
      <c r="AE19" s="835">
        <v>18623.760000000002</v>
      </c>
      <c r="AF19" s="835">
        <v>20550.96</v>
      </c>
      <c r="AG19" s="835">
        <v>23476.799999999999</v>
      </c>
      <c r="AH19" s="835">
        <v>20025.36</v>
      </c>
      <c r="AI19" s="835">
        <v>16749.12</v>
      </c>
      <c r="AJ19" s="835">
        <v>11212.8</v>
      </c>
      <c r="AK19" s="835">
        <v>14313.84</v>
      </c>
      <c r="AL19" s="835">
        <v>8689.92</v>
      </c>
      <c r="AM19" s="835">
        <v>15259.92</v>
      </c>
      <c r="AN19" s="835">
        <v>15365.04</v>
      </c>
      <c r="AO19" s="835">
        <v>9688.5600000000013</v>
      </c>
      <c r="AP19" s="835">
        <v>17695.2</v>
      </c>
      <c r="AQ19" s="835">
        <v>14173.679999999998</v>
      </c>
      <c r="AR19" s="835">
        <v>16994.400000000001</v>
      </c>
      <c r="AS19" s="835">
        <v>23424.239999999998</v>
      </c>
      <c r="AT19" s="835">
        <v>14331.36</v>
      </c>
      <c r="AU19" s="835">
        <v>18956.64</v>
      </c>
      <c r="AV19" s="835">
        <v>15224.88</v>
      </c>
      <c r="AW19" s="835">
        <v>10599.6</v>
      </c>
      <c r="AX19" s="835">
        <v>8357.0399999999991</v>
      </c>
      <c r="AY19" s="835">
        <v>9881.2800000000007</v>
      </c>
      <c r="AZ19" s="835">
        <v>14401.44</v>
      </c>
      <c r="BA19" s="835">
        <v>11142.72</v>
      </c>
      <c r="BB19" s="835">
        <v>15172.32</v>
      </c>
      <c r="BC19" s="835">
        <v>13104.96</v>
      </c>
      <c r="BD19" s="835">
        <v>11090.16</v>
      </c>
      <c r="BE19" s="835">
        <v>16573.919999999998</v>
      </c>
      <c r="BF19" s="835">
        <v>12807.12</v>
      </c>
      <c r="BG19" s="835">
        <v>7533.6</v>
      </c>
      <c r="BH19" s="835">
        <v>8795.0400000000009</v>
      </c>
      <c r="BI19" s="835">
        <v>5851.68</v>
      </c>
      <c r="BJ19" s="835">
        <v>4309.92</v>
      </c>
      <c r="BK19" s="835">
        <v>5694</v>
      </c>
      <c r="BL19" s="835">
        <v>6570</v>
      </c>
      <c r="BM19" s="835">
        <v>5886.72</v>
      </c>
      <c r="BN19" s="835">
        <v>9986.4</v>
      </c>
      <c r="BO19" s="835">
        <v>8689.92</v>
      </c>
      <c r="BP19" s="835">
        <v>8286.9599999999991</v>
      </c>
      <c r="BQ19" s="835">
        <v>14366.4</v>
      </c>
      <c r="BR19" s="835">
        <v>12842.16</v>
      </c>
      <c r="BS19" s="835">
        <v>9162.9599999999991</v>
      </c>
      <c r="BT19" s="835">
        <v>6324.72</v>
      </c>
      <c r="BU19" s="835">
        <v>6464.88</v>
      </c>
      <c r="BV19" s="835">
        <v>5904.24</v>
      </c>
    </row>
    <row r="20" spans="1:74" s="500" customFormat="1" ht="12.75" x14ac:dyDescent="0.2">
      <c r="A20" s="833">
        <v>315</v>
      </c>
      <c r="B20" s="834" t="s">
        <v>902</v>
      </c>
      <c r="C20" s="835">
        <v>1835.24</v>
      </c>
      <c r="D20" s="835">
        <v>2752.86</v>
      </c>
      <c r="E20" s="835">
        <v>4404.58</v>
      </c>
      <c r="F20" s="835">
        <v>6753.68</v>
      </c>
      <c r="G20" s="835">
        <v>7194.14</v>
      </c>
      <c r="H20" s="835">
        <v>9543.25</v>
      </c>
      <c r="I20" s="835">
        <v>13030.2</v>
      </c>
      <c r="J20" s="835">
        <v>8809.15</v>
      </c>
      <c r="K20" s="835">
        <v>7340.96</v>
      </c>
      <c r="L20" s="835">
        <v>5946.18</v>
      </c>
      <c r="M20" s="835">
        <v>4147.6400000000003</v>
      </c>
      <c r="N20" s="835">
        <v>2137.44</v>
      </c>
      <c r="O20" s="835">
        <v>1664.4</v>
      </c>
      <c r="P20" s="835">
        <v>3468.96</v>
      </c>
      <c r="Q20" s="835">
        <v>2978.4</v>
      </c>
      <c r="R20" s="835">
        <v>3451.44</v>
      </c>
      <c r="S20" s="835">
        <v>4344.96</v>
      </c>
      <c r="T20" s="835">
        <v>4348.46</v>
      </c>
      <c r="U20" s="835">
        <v>4372.99</v>
      </c>
      <c r="V20" s="835">
        <v>5098.32</v>
      </c>
      <c r="W20" s="835">
        <v>4432.5600000000004</v>
      </c>
      <c r="X20" s="835">
        <v>3363.84</v>
      </c>
      <c r="Y20" s="835">
        <v>1734.48</v>
      </c>
      <c r="Z20" s="835">
        <v>1243.92</v>
      </c>
      <c r="AA20" s="835">
        <v>1384.08</v>
      </c>
      <c r="AB20" s="835">
        <v>1804.56</v>
      </c>
      <c r="AC20" s="835">
        <v>3591.6</v>
      </c>
      <c r="AD20" s="835">
        <v>3574.08</v>
      </c>
      <c r="AE20" s="835">
        <v>4380</v>
      </c>
      <c r="AF20" s="835">
        <v>4607.76</v>
      </c>
      <c r="AG20" s="835">
        <v>6132</v>
      </c>
      <c r="AH20" s="835">
        <v>5352.36</v>
      </c>
      <c r="AI20" s="835">
        <v>4818</v>
      </c>
      <c r="AJ20" s="835">
        <v>3591.6</v>
      </c>
      <c r="AK20" s="835">
        <v>3066</v>
      </c>
      <c r="AL20" s="835">
        <v>1103.76</v>
      </c>
      <c r="AM20" s="835">
        <v>1243.92</v>
      </c>
      <c r="AN20" s="835">
        <v>2014.8</v>
      </c>
      <c r="AO20" s="835">
        <v>2785.68</v>
      </c>
      <c r="AP20" s="835">
        <v>4047.12</v>
      </c>
      <c r="AQ20" s="835">
        <v>4502.6400000000003</v>
      </c>
      <c r="AR20" s="835">
        <v>4362.4799999999996</v>
      </c>
      <c r="AS20" s="835">
        <v>8006.64</v>
      </c>
      <c r="AT20" s="835">
        <v>4292.3999999999996</v>
      </c>
      <c r="AU20" s="835">
        <v>5361.12</v>
      </c>
      <c r="AV20" s="835">
        <v>4344.96</v>
      </c>
      <c r="AW20" s="835">
        <v>1716.96</v>
      </c>
      <c r="AX20" s="835">
        <v>963.6</v>
      </c>
      <c r="AY20" s="835">
        <v>1226.4000000000001</v>
      </c>
      <c r="AZ20" s="835">
        <v>2190</v>
      </c>
      <c r="BA20" s="835">
        <v>1401.6</v>
      </c>
      <c r="BB20" s="835">
        <v>2032.32</v>
      </c>
      <c r="BC20" s="835">
        <v>4835.5200000000004</v>
      </c>
      <c r="BD20" s="835">
        <v>4940.6400000000003</v>
      </c>
      <c r="BE20" s="835">
        <v>5553.84</v>
      </c>
      <c r="BF20" s="835">
        <v>5991.84</v>
      </c>
      <c r="BG20" s="835">
        <v>3836.88</v>
      </c>
      <c r="BH20" s="835">
        <v>3749.28</v>
      </c>
      <c r="BI20" s="835">
        <v>2032.32</v>
      </c>
      <c r="BJ20" s="835">
        <v>1752</v>
      </c>
      <c r="BK20" s="835">
        <v>963.6</v>
      </c>
      <c r="BL20" s="835">
        <v>1401.6</v>
      </c>
      <c r="BM20" s="835">
        <v>2487.84</v>
      </c>
      <c r="BN20" s="835">
        <v>4450.08</v>
      </c>
      <c r="BO20" s="835">
        <v>4274.88</v>
      </c>
      <c r="BP20" s="835">
        <v>4012.08</v>
      </c>
      <c r="BQ20" s="835">
        <v>5694</v>
      </c>
      <c r="BR20" s="835">
        <v>5764.08</v>
      </c>
      <c r="BS20" s="835">
        <v>4520.16</v>
      </c>
      <c r="BT20" s="835">
        <v>3836.88</v>
      </c>
      <c r="BU20" s="835">
        <v>2487.84</v>
      </c>
      <c r="BV20" s="835">
        <v>1576.8</v>
      </c>
    </row>
    <row r="21" spans="1:74" s="500" customFormat="1" ht="12.75" x14ac:dyDescent="0.2">
      <c r="A21" s="833" t="s">
        <v>892</v>
      </c>
      <c r="B21" s="834" t="s">
        <v>903</v>
      </c>
      <c r="C21" s="835">
        <v>0</v>
      </c>
      <c r="D21" s="835">
        <v>0</v>
      </c>
      <c r="E21" s="835">
        <v>0</v>
      </c>
      <c r="F21" s="835">
        <v>0</v>
      </c>
      <c r="G21" s="835">
        <v>0</v>
      </c>
      <c r="H21" s="835">
        <v>0</v>
      </c>
      <c r="I21" s="835">
        <v>0</v>
      </c>
      <c r="J21" s="835">
        <v>0</v>
      </c>
      <c r="K21" s="835">
        <v>0</v>
      </c>
      <c r="L21" s="835">
        <v>0</v>
      </c>
      <c r="M21" s="835">
        <v>0</v>
      </c>
      <c r="N21" s="835">
        <v>0</v>
      </c>
      <c r="O21" s="835">
        <v>0</v>
      </c>
      <c r="P21" s="835">
        <v>0</v>
      </c>
      <c r="Q21" s="835">
        <v>0</v>
      </c>
      <c r="R21" s="835">
        <v>0</v>
      </c>
      <c r="S21" s="835">
        <v>0</v>
      </c>
      <c r="T21" s="835">
        <v>0</v>
      </c>
      <c r="U21" s="835">
        <v>0</v>
      </c>
      <c r="V21" s="835">
        <v>0</v>
      </c>
      <c r="W21" s="835">
        <v>0</v>
      </c>
      <c r="X21" s="835">
        <v>0</v>
      </c>
      <c r="Y21" s="835">
        <v>4424.1499999999996</v>
      </c>
      <c r="Z21" s="835">
        <v>1274.76</v>
      </c>
      <c r="AA21" s="835">
        <v>1754.66</v>
      </c>
      <c r="AB21" s="835">
        <v>3584.31</v>
      </c>
      <c r="AC21" s="835">
        <v>3974.24</v>
      </c>
      <c r="AD21" s="835">
        <v>7213.61</v>
      </c>
      <c r="AE21" s="835">
        <v>8038.46</v>
      </c>
      <c r="AF21" s="835">
        <v>7483.56</v>
      </c>
      <c r="AG21" s="835">
        <v>10467.99</v>
      </c>
      <c r="AH21" s="835">
        <v>14829.71</v>
      </c>
      <c r="AI21" s="835">
        <v>15237.68</v>
      </c>
      <c r="AJ21" s="835">
        <v>8975.34</v>
      </c>
      <c r="AK21" s="835">
        <v>9424.1</v>
      </c>
      <c r="AL21" s="835">
        <v>6670.31</v>
      </c>
      <c r="AM21" s="835">
        <v>8322.59</v>
      </c>
      <c r="AN21" s="835">
        <v>10688.82</v>
      </c>
      <c r="AO21" s="835">
        <v>8791.75</v>
      </c>
      <c r="AP21" s="835">
        <v>11321.17</v>
      </c>
      <c r="AQ21" s="835">
        <v>12973.439999999999</v>
      </c>
      <c r="AR21" s="835">
        <v>9464.91</v>
      </c>
      <c r="AS21" s="835">
        <v>19687.449999999997</v>
      </c>
      <c r="AT21" s="835">
        <v>11035.59</v>
      </c>
      <c r="AU21" s="835">
        <v>13259.029999999999</v>
      </c>
      <c r="AV21" s="835">
        <v>8771.36</v>
      </c>
      <c r="AW21" s="835">
        <v>5303.6100000000006</v>
      </c>
      <c r="AX21" s="835">
        <v>6037.95</v>
      </c>
      <c r="AY21" s="835">
        <v>7017.09</v>
      </c>
      <c r="AZ21" s="835">
        <v>8281.7899999999991</v>
      </c>
      <c r="BA21" s="835">
        <v>7955.42</v>
      </c>
      <c r="BB21" s="835">
        <v>9811.68</v>
      </c>
      <c r="BC21" s="835">
        <v>12565.47</v>
      </c>
      <c r="BD21" s="835">
        <v>9587.2999999999993</v>
      </c>
      <c r="BE21" s="835">
        <v>16094.420000000002</v>
      </c>
      <c r="BF21" s="835">
        <v>17277.53</v>
      </c>
      <c r="BG21" s="835">
        <v>12014.72</v>
      </c>
      <c r="BH21" s="835">
        <v>9016.130000000001</v>
      </c>
      <c r="BI21" s="835">
        <v>5079.2299999999996</v>
      </c>
      <c r="BJ21" s="835">
        <v>5140.42</v>
      </c>
      <c r="BK21" s="835">
        <v>4406.07</v>
      </c>
      <c r="BL21" s="835">
        <v>5833.9699999999993</v>
      </c>
      <c r="BM21" s="835">
        <v>7629.0399999999991</v>
      </c>
      <c r="BN21" s="835">
        <v>7384.25</v>
      </c>
      <c r="BO21" s="835">
        <v>10688.82</v>
      </c>
      <c r="BP21" s="835">
        <v>10525.62</v>
      </c>
      <c r="BQ21" s="835">
        <v>17563.11</v>
      </c>
      <c r="BR21" s="835">
        <v>17440.72</v>
      </c>
      <c r="BS21" s="835">
        <v>9199.7199999999993</v>
      </c>
      <c r="BT21" s="835">
        <v>9424.1</v>
      </c>
      <c r="BU21" s="835">
        <v>6935.49</v>
      </c>
      <c r="BV21" s="835">
        <v>6160.34</v>
      </c>
    </row>
    <row r="22" spans="1:74" s="26" customFormat="1" ht="12.75" x14ac:dyDescent="0.2"/>
    <row r="23" spans="1:74" s="26" customFormat="1" ht="12.75" x14ac:dyDescent="0.2">
      <c r="A23" s="2256" t="s">
        <v>904</v>
      </c>
      <c r="B23" s="2257"/>
      <c r="C23" s="2257"/>
      <c r="D23" s="2257"/>
      <c r="E23" s="2257"/>
      <c r="F23" s="2257"/>
      <c r="G23" s="2257"/>
      <c r="H23" s="2257"/>
      <c r="I23" s="2257"/>
      <c r="J23" s="2257"/>
      <c r="K23" s="2257"/>
      <c r="L23" s="2257"/>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c r="AN23" s="2257"/>
      <c r="AO23" s="2257"/>
      <c r="AP23" s="2257"/>
      <c r="AQ23" s="2257"/>
      <c r="AR23" s="2257"/>
      <c r="AS23" s="2257"/>
      <c r="AT23" s="2257"/>
      <c r="AU23" s="2257"/>
      <c r="AV23" s="2257"/>
      <c r="AW23" s="2257"/>
      <c r="AX23" s="2257"/>
      <c r="AY23" s="2258"/>
    </row>
    <row r="24" spans="1:74" s="26" customFormat="1" ht="12.75" x14ac:dyDescent="0.2">
      <c r="A24" s="824" t="s">
        <v>654</v>
      </c>
      <c r="B24" s="825" t="s">
        <v>655</v>
      </c>
      <c r="C24" s="826">
        <v>40360</v>
      </c>
      <c r="D24" s="826">
        <v>40391</v>
      </c>
      <c r="E24" s="826">
        <v>40422</v>
      </c>
      <c r="F24" s="826">
        <v>40452</v>
      </c>
      <c r="G24" s="826">
        <v>40483</v>
      </c>
      <c r="H24" s="826">
        <v>40513</v>
      </c>
      <c r="I24" s="826">
        <v>40544</v>
      </c>
      <c r="J24" s="826">
        <v>40575</v>
      </c>
      <c r="K24" s="826">
        <v>40603</v>
      </c>
      <c r="L24" s="826">
        <v>40634</v>
      </c>
      <c r="M24" s="826">
        <v>40664</v>
      </c>
      <c r="N24" s="826">
        <v>40695</v>
      </c>
      <c r="O24" s="826">
        <v>40725</v>
      </c>
      <c r="P24" s="826">
        <v>40756</v>
      </c>
      <c r="Q24" s="826">
        <v>40787</v>
      </c>
      <c r="R24" s="826">
        <v>40817</v>
      </c>
      <c r="S24" s="826">
        <v>40848</v>
      </c>
      <c r="T24" s="826">
        <v>40878</v>
      </c>
      <c r="U24" s="826">
        <v>40909</v>
      </c>
      <c r="V24" s="826">
        <v>40940</v>
      </c>
      <c r="W24" s="826">
        <v>40969</v>
      </c>
      <c r="X24" s="826">
        <v>41000</v>
      </c>
      <c r="Y24" s="826">
        <v>41030</v>
      </c>
      <c r="Z24" s="826">
        <v>41061</v>
      </c>
      <c r="AA24" s="826">
        <v>41091</v>
      </c>
      <c r="AB24" s="826">
        <v>41122</v>
      </c>
      <c r="AC24" s="826">
        <v>41153</v>
      </c>
      <c r="AD24" s="826">
        <v>41183</v>
      </c>
      <c r="AE24" s="826">
        <v>41214</v>
      </c>
      <c r="AF24" s="826">
        <v>41244</v>
      </c>
      <c r="AG24" s="826">
        <v>41275</v>
      </c>
      <c r="AH24" s="826">
        <v>41306</v>
      </c>
      <c r="AI24" s="826">
        <v>41334</v>
      </c>
      <c r="AJ24" s="826">
        <v>41365</v>
      </c>
      <c r="AK24" s="826">
        <v>41395</v>
      </c>
      <c r="AL24" s="826">
        <v>41426</v>
      </c>
      <c r="AM24" s="826">
        <v>41456</v>
      </c>
      <c r="AN24" s="826">
        <v>41487</v>
      </c>
      <c r="AO24" s="826">
        <v>41518</v>
      </c>
      <c r="AP24" s="826">
        <v>41548</v>
      </c>
      <c r="AQ24" s="826">
        <v>41579</v>
      </c>
      <c r="AR24" s="826">
        <v>41609</v>
      </c>
      <c r="AS24" s="826">
        <v>41640</v>
      </c>
      <c r="AT24" s="826">
        <v>41671</v>
      </c>
      <c r="AU24" s="826">
        <v>41699</v>
      </c>
      <c r="AV24" s="826">
        <v>41730</v>
      </c>
      <c r="AW24" s="826">
        <v>41760</v>
      </c>
      <c r="AX24" s="826">
        <v>41791</v>
      </c>
      <c r="AY24" s="826">
        <v>41821</v>
      </c>
      <c r="AZ24" s="826">
        <v>41852</v>
      </c>
      <c r="BA24" s="826">
        <v>41883</v>
      </c>
      <c r="BB24" s="826">
        <v>41913</v>
      </c>
      <c r="BC24" s="826">
        <v>41944</v>
      </c>
      <c r="BD24" s="826">
        <v>41974</v>
      </c>
      <c r="BE24" s="826">
        <v>42005</v>
      </c>
      <c r="BF24" s="826">
        <v>42036</v>
      </c>
      <c r="BG24" s="826">
        <v>42064</v>
      </c>
      <c r="BH24" s="826">
        <v>42095</v>
      </c>
      <c r="BI24" s="826">
        <v>42125</v>
      </c>
      <c r="BJ24" s="826">
        <v>42156</v>
      </c>
      <c r="BK24" s="826">
        <v>42186</v>
      </c>
      <c r="BL24" s="826">
        <v>42217</v>
      </c>
      <c r="BM24" s="826">
        <v>42248</v>
      </c>
      <c r="BN24" s="826">
        <v>42278</v>
      </c>
      <c r="BO24" s="826">
        <v>42309</v>
      </c>
      <c r="BP24" s="826">
        <v>42339</v>
      </c>
      <c r="BQ24" s="826">
        <v>42370</v>
      </c>
      <c r="BR24" s="826">
        <v>42401</v>
      </c>
      <c r="BS24" s="826">
        <v>42430</v>
      </c>
      <c r="BT24" s="826">
        <v>42461</v>
      </c>
      <c r="BU24" s="826">
        <v>42491</v>
      </c>
      <c r="BV24" s="826">
        <v>42522</v>
      </c>
    </row>
    <row r="25" spans="1:74" s="500" customFormat="1" ht="12.75" x14ac:dyDescent="0.2">
      <c r="A25" s="827" t="s">
        <v>889</v>
      </c>
      <c r="B25" s="828" t="s">
        <v>905</v>
      </c>
      <c r="C25" s="829">
        <v>227000</v>
      </c>
      <c r="D25" s="829">
        <v>183000</v>
      </c>
      <c r="E25" s="829">
        <v>225000</v>
      </c>
      <c r="F25" s="829">
        <v>344000</v>
      </c>
      <c r="G25" s="829">
        <v>215000</v>
      </c>
      <c r="H25" s="829">
        <v>164000</v>
      </c>
      <c r="I25" s="829">
        <v>101000</v>
      </c>
      <c r="J25" s="829">
        <v>391000</v>
      </c>
      <c r="K25" s="829">
        <v>303000</v>
      </c>
      <c r="L25" s="829">
        <v>172000</v>
      </c>
      <c r="M25" s="829">
        <v>150000</v>
      </c>
      <c r="N25" s="829">
        <v>200400</v>
      </c>
      <c r="O25" s="829">
        <v>209000</v>
      </c>
      <c r="P25" s="829">
        <v>258000</v>
      </c>
      <c r="Q25" s="829">
        <v>385000</v>
      </c>
      <c r="R25" s="829">
        <v>387000</v>
      </c>
      <c r="S25" s="829">
        <v>287000</v>
      </c>
      <c r="T25" s="829">
        <v>151000</v>
      </c>
      <c r="U25" s="829">
        <v>196000</v>
      </c>
      <c r="V25" s="829">
        <v>287000</v>
      </c>
      <c r="W25" s="829">
        <v>294000</v>
      </c>
      <c r="X25" s="829">
        <v>310000</v>
      </c>
      <c r="Y25" s="829">
        <v>145000</v>
      </c>
      <c r="Z25" s="829">
        <v>210000</v>
      </c>
      <c r="AA25" s="829">
        <v>278000</v>
      </c>
      <c r="AB25" s="829">
        <v>501000</v>
      </c>
      <c r="AC25" s="829">
        <v>459000</v>
      </c>
      <c r="AD25" s="829">
        <v>439000</v>
      </c>
      <c r="AE25" s="829">
        <v>368000</v>
      </c>
      <c r="AF25" s="829">
        <v>227000</v>
      </c>
      <c r="AG25" s="829">
        <v>500000</v>
      </c>
      <c r="AH25" s="829">
        <v>275000</v>
      </c>
      <c r="AI25" s="829">
        <v>181000</v>
      </c>
      <c r="AJ25" s="829">
        <v>279000</v>
      </c>
      <c r="AK25" s="829">
        <v>200000</v>
      </c>
      <c r="AL25" s="829">
        <v>219000</v>
      </c>
      <c r="AM25" s="829">
        <v>244000</v>
      </c>
      <c r="AN25" s="829">
        <v>333000</v>
      </c>
      <c r="AO25" s="829">
        <v>427000</v>
      </c>
      <c r="AP25" s="829">
        <v>475900</v>
      </c>
      <c r="AQ25" s="829">
        <v>456359</v>
      </c>
      <c r="AR25" s="829">
        <v>390001</v>
      </c>
      <c r="AS25" s="829">
        <v>507000</v>
      </c>
      <c r="AT25" s="829">
        <v>540918</v>
      </c>
      <c r="AU25" s="829">
        <v>183918</v>
      </c>
      <c r="AV25" s="829">
        <v>228589</v>
      </c>
      <c r="AW25" s="829">
        <v>211785</v>
      </c>
      <c r="AX25" s="829">
        <v>332555.45900000003</v>
      </c>
      <c r="AY25" s="829">
        <v>156555</v>
      </c>
      <c r="AZ25" s="829">
        <v>317243</v>
      </c>
      <c r="BA25" s="829">
        <v>336965</v>
      </c>
      <c r="BB25" s="829">
        <v>237686.9999541</v>
      </c>
      <c r="BC25" s="829">
        <v>161409</v>
      </c>
      <c r="BD25" s="829">
        <v>46000</v>
      </c>
      <c r="BE25" s="829">
        <v>87000</v>
      </c>
      <c r="BF25" s="829">
        <v>105000</v>
      </c>
      <c r="BG25" s="829">
        <v>210475</v>
      </c>
      <c r="BH25" s="829">
        <v>265606</v>
      </c>
      <c r="BI25" s="829">
        <v>163212</v>
      </c>
      <c r="BJ25" s="829">
        <v>268456.9999541</v>
      </c>
      <c r="BK25" s="829">
        <v>252014</v>
      </c>
      <c r="BL25" s="829">
        <v>322375</v>
      </c>
      <c r="BM25" s="829">
        <v>368441</v>
      </c>
      <c r="BN25" s="829">
        <v>253901</v>
      </c>
      <c r="BO25" s="829">
        <v>185426</v>
      </c>
      <c r="BP25" s="829">
        <v>92000</v>
      </c>
      <c r="BQ25" s="829">
        <v>603000</v>
      </c>
      <c r="BR25" s="829">
        <v>290000</v>
      </c>
      <c r="BS25" s="829">
        <v>231245</v>
      </c>
      <c r="BT25" s="829">
        <v>300786</v>
      </c>
      <c r="BU25" s="829">
        <v>189327</v>
      </c>
      <c r="BV25" s="829">
        <v>314358</v>
      </c>
    </row>
    <row r="26" spans="1:74" s="500" customFormat="1" ht="12.75" x14ac:dyDescent="0.2">
      <c r="A26" s="830">
        <v>315</v>
      </c>
      <c r="B26" s="831" t="s">
        <v>906</v>
      </c>
      <c r="C26" s="832">
        <v>20000</v>
      </c>
      <c r="D26" s="832">
        <v>83000</v>
      </c>
      <c r="E26" s="832">
        <v>139000</v>
      </c>
      <c r="F26" s="832">
        <v>174000</v>
      </c>
      <c r="G26" s="832">
        <v>119000</v>
      </c>
      <c r="H26" s="832">
        <v>108000</v>
      </c>
      <c r="I26" s="832">
        <v>53000</v>
      </c>
      <c r="J26" s="832">
        <v>231000</v>
      </c>
      <c r="K26" s="832">
        <v>190000</v>
      </c>
      <c r="L26" s="832">
        <v>54000</v>
      </c>
      <c r="M26" s="832">
        <v>27000</v>
      </c>
      <c r="N26" s="832">
        <v>6000</v>
      </c>
      <c r="O26" s="832">
        <v>12000</v>
      </c>
      <c r="P26" s="832">
        <v>81000</v>
      </c>
      <c r="Q26" s="832">
        <v>174000</v>
      </c>
      <c r="R26" s="832">
        <v>147000</v>
      </c>
      <c r="S26" s="832">
        <v>146000</v>
      </c>
      <c r="T26" s="832">
        <v>93000</v>
      </c>
      <c r="U26" s="832">
        <v>112000</v>
      </c>
      <c r="V26" s="832">
        <v>196000</v>
      </c>
      <c r="W26" s="832">
        <v>164000</v>
      </c>
      <c r="X26" s="832">
        <v>158000</v>
      </c>
      <c r="Y26" s="832">
        <v>65000</v>
      </c>
      <c r="Z26" s="832">
        <v>18000</v>
      </c>
      <c r="AA26" s="832">
        <v>27000</v>
      </c>
      <c r="AB26" s="832">
        <v>114000</v>
      </c>
      <c r="AC26" s="832">
        <v>166000</v>
      </c>
      <c r="AD26" s="832">
        <v>176000</v>
      </c>
      <c r="AE26" s="832">
        <v>172000</v>
      </c>
      <c r="AF26" s="832">
        <v>77000</v>
      </c>
      <c r="AG26" s="832">
        <v>129000</v>
      </c>
      <c r="AH26" s="832">
        <v>170000</v>
      </c>
      <c r="AI26" s="832">
        <v>133000</v>
      </c>
      <c r="AJ26" s="832">
        <v>167000</v>
      </c>
      <c r="AK26" s="832">
        <v>113000</v>
      </c>
      <c r="AL26" s="832">
        <v>86000</v>
      </c>
      <c r="AM26" s="832">
        <v>150000</v>
      </c>
      <c r="AN26" s="832">
        <v>128000</v>
      </c>
      <c r="AO26" s="832">
        <v>190000</v>
      </c>
      <c r="AP26" s="832">
        <v>224300</v>
      </c>
      <c r="AQ26" s="832">
        <v>173473</v>
      </c>
      <c r="AR26" s="832">
        <v>80000</v>
      </c>
      <c r="AS26" s="832">
        <v>185000</v>
      </c>
      <c r="AT26" s="832">
        <v>190346</v>
      </c>
      <c r="AU26" s="832">
        <v>140346</v>
      </c>
      <c r="AV26" s="832">
        <v>186283</v>
      </c>
      <c r="AW26" s="832">
        <v>77895</v>
      </c>
      <c r="AX26" s="832">
        <v>33085.172999999995</v>
      </c>
      <c r="AY26" s="832">
        <v>78085</v>
      </c>
      <c r="AZ26" s="832">
        <v>159621</v>
      </c>
      <c r="BA26" s="832">
        <v>217355</v>
      </c>
      <c r="BB26" s="832">
        <v>226088.99998269998</v>
      </c>
      <c r="BC26" s="832">
        <v>160823</v>
      </c>
      <c r="BD26" s="832">
        <v>79000</v>
      </c>
      <c r="BE26" s="832">
        <v>145000</v>
      </c>
      <c r="BF26" s="832">
        <v>180000</v>
      </c>
      <c r="BG26" s="832">
        <v>144325</v>
      </c>
      <c r="BH26" s="832">
        <v>184882</v>
      </c>
      <c r="BI26" s="832">
        <v>51764</v>
      </c>
      <c r="BJ26" s="832">
        <v>63278.999982699999</v>
      </c>
      <c r="BK26" s="832">
        <v>52258</v>
      </c>
      <c r="BL26" s="832">
        <v>146625</v>
      </c>
      <c r="BM26" s="832">
        <v>200127</v>
      </c>
      <c r="BN26" s="832">
        <v>186747</v>
      </c>
      <c r="BO26" s="832">
        <v>161422</v>
      </c>
      <c r="BP26" s="832">
        <v>75000</v>
      </c>
      <c r="BQ26" s="832">
        <v>146000</v>
      </c>
      <c r="BR26" s="832">
        <v>183000</v>
      </c>
      <c r="BS26" s="832">
        <v>135515</v>
      </c>
      <c r="BT26" s="832">
        <v>196342</v>
      </c>
      <c r="BU26" s="832">
        <v>105169</v>
      </c>
      <c r="BV26" s="832">
        <v>121026</v>
      </c>
    </row>
    <row r="27" spans="1:74" s="500" customFormat="1" ht="12.75" x14ac:dyDescent="0.2">
      <c r="A27" s="830" t="s">
        <v>892</v>
      </c>
      <c r="B27" s="831" t="s">
        <v>907</v>
      </c>
      <c r="C27" s="832">
        <v>0</v>
      </c>
      <c r="D27" s="832">
        <v>0</v>
      </c>
      <c r="E27" s="832">
        <v>0</v>
      </c>
      <c r="F27" s="832">
        <v>0</v>
      </c>
      <c r="G27" s="832">
        <v>0</v>
      </c>
      <c r="H27" s="832">
        <v>0</v>
      </c>
      <c r="I27" s="832">
        <v>0</v>
      </c>
      <c r="J27" s="832">
        <v>0</v>
      </c>
      <c r="K27" s="832">
        <v>0</v>
      </c>
      <c r="L27" s="832">
        <v>0</v>
      </c>
      <c r="M27" s="832">
        <v>0</v>
      </c>
      <c r="N27" s="832">
        <v>0</v>
      </c>
      <c r="O27" s="832">
        <v>0</v>
      </c>
      <c r="P27" s="832">
        <v>0</v>
      </c>
      <c r="Q27" s="832">
        <v>0</v>
      </c>
      <c r="R27" s="832">
        <v>0</v>
      </c>
      <c r="S27" s="832">
        <v>0</v>
      </c>
      <c r="T27" s="832">
        <v>0</v>
      </c>
      <c r="U27" s="832">
        <v>0</v>
      </c>
      <c r="V27" s="832">
        <v>0</v>
      </c>
      <c r="W27" s="832">
        <v>0</v>
      </c>
      <c r="X27" s="832">
        <v>0</v>
      </c>
      <c r="Y27" s="832">
        <v>0</v>
      </c>
      <c r="Z27" s="832">
        <v>5992</v>
      </c>
      <c r="AA27" s="832">
        <v>32528</v>
      </c>
      <c r="AB27" s="832">
        <v>100152</v>
      </c>
      <c r="AC27" s="832">
        <v>205440</v>
      </c>
      <c r="AD27" s="832">
        <v>208008</v>
      </c>
      <c r="AE27" s="832">
        <v>197736</v>
      </c>
      <c r="AF27" s="832">
        <v>89880</v>
      </c>
      <c r="AG27" s="832">
        <v>160072</v>
      </c>
      <c r="AH27" s="832">
        <v>212288</v>
      </c>
      <c r="AI27" s="832">
        <v>172056</v>
      </c>
      <c r="AJ27" s="832">
        <v>219136</v>
      </c>
      <c r="AK27" s="832">
        <v>77896</v>
      </c>
      <c r="AL27" s="832">
        <v>11128</v>
      </c>
      <c r="AM27" s="832">
        <v>11128</v>
      </c>
      <c r="AN27" s="832">
        <v>139528</v>
      </c>
      <c r="AO27" s="832">
        <v>218280</v>
      </c>
      <c r="AP27" s="832">
        <v>274768</v>
      </c>
      <c r="AQ27" s="832">
        <v>222064</v>
      </c>
      <c r="AR27" s="832">
        <v>95872</v>
      </c>
      <c r="AS27" s="832">
        <v>182328</v>
      </c>
      <c r="AT27" s="832">
        <v>224152</v>
      </c>
      <c r="AU27" s="832">
        <v>172792</v>
      </c>
      <c r="AV27" s="832">
        <v>245264</v>
      </c>
      <c r="AW27" s="832">
        <v>117648</v>
      </c>
      <c r="AX27" s="832">
        <v>78184.368000000002</v>
      </c>
      <c r="AY27" s="832">
        <v>95304</v>
      </c>
      <c r="AZ27" s="832">
        <v>233136</v>
      </c>
      <c r="BA27" s="832">
        <v>314680</v>
      </c>
      <c r="BB27" s="832">
        <v>307223.99996320001</v>
      </c>
      <c r="BC27" s="832">
        <v>239768</v>
      </c>
      <c r="BD27" s="832">
        <v>115000</v>
      </c>
      <c r="BE27" s="832">
        <v>229000</v>
      </c>
      <c r="BF27" s="832">
        <v>308000</v>
      </c>
      <c r="BG27" s="832">
        <v>400200</v>
      </c>
      <c r="BH27" s="832">
        <v>342512</v>
      </c>
      <c r="BI27" s="832">
        <v>79024</v>
      </c>
      <c r="BJ27" s="832">
        <v>74263.999963199996</v>
      </c>
      <c r="BK27" s="832">
        <v>98728</v>
      </c>
      <c r="BL27" s="832">
        <v>214000</v>
      </c>
      <c r="BM27" s="832">
        <v>289432</v>
      </c>
      <c r="BN27" s="832">
        <v>263352</v>
      </c>
      <c r="BO27" s="832">
        <v>217152</v>
      </c>
      <c r="BP27" s="832">
        <v>96000</v>
      </c>
      <c r="BQ27" s="832">
        <v>201000</v>
      </c>
      <c r="BR27" s="832">
        <v>258000</v>
      </c>
      <c r="BS27" s="832">
        <v>203240</v>
      </c>
      <c r="BT27" s="832">
        <v>310872</v>
      </c>
      <c r="BU27" s="832">
        <v>123504</v>
      </c>
      <c r="BV27" s="832">
        <v>88616</v>
      </c>
    </row>
    <row r="28" spans="1:74" s="501" customFormat="1" ht="12.75" x14ac:dyDescent="0.2">
      <c r="A28" s="833" t="s">
        <v>889</v>
      </c>
      <c r="B28" s="834" t="s">
        <v>908</v>
      </c>
      <c r="C28" s="835">
        <v>2093.02</v>
      </c>
      <c r="D28" s="835">
        <v>1370.77</v>
      </c>
      <c r="E28" s="835">
        <v>1567.19</v>
      </c>
      <c r="F28" s="835">
        <v>2355.1999999999998</v>
      </c>
      <c r="G28" s="835">
        <v>1751.58</v>
      </c>
      <c r="H28" s="835">
        <v>1112.4000000000001</v>
      </c>
      <c r="I28" s="835">
        <v>702.31999999999994</v>
      </c>
      <c r="J28" s="835">
        <v>2027.6100000000001</v>
      </c>
      <c r="K28" s="835">
        <v>1806.48</v>
      </c>
      <c r="L28" s="835">
        <v>1939.76</v>
      </c>
      <c r="M28" s="835">
        <v>1447.9500000000003</v>
      </c>
      <c r="N28" s="835">
        <v>1348.3600000000001</v>
      </c>
      <c r="O28" s="835">
        <v>1842.05</v>
      </c>
      <c r="P28" s="835">
        <v>1678.25</v>
      </c>
      <c r="Q28" s="835">
        <v>2296</v>
      </c>
      <c r="R28" s="835">
        <v>3225.7000000000003</v>
      </c>
      <c r="S28" s="835">
        <v>3158.8</v>
      </c>
      <c r="T28" s="835">
        <v>2030.4</v>
      </c>
      <c r="U28" s="835">
        <v>1351.5</v>
      </c>
      <c r="V28" s="835">
        <v>1658.65</v>
      </c>
      <c r="W28" s="835">
        <v>2290.3000000000002</v>
      </c>
      <c r="X28" s="835">
        <v>3059.25</v>
      </c>
      <c r="Y28" s="835">
        <v>2194.5</v>
      </c>
      <c r="Z28" s="835">
        <v>2112</v>
      </c>
      <c r="AA28" s="835">
        <v>1325.3</v>
      </c>
      <c r="AB28" s="835">
        <v>2441.1</v>
      </c>
      <c r="AC28" s="835">
        <v>4465.2</v>
      </c>
      <c r="AD28" s="835">
        <v>3722.6</v>
      </c>
      <c r="AE28" s="835">
        <v>3126.7</v>
      </c>
      <c r="AF28" s="835">
        <v>2551.6999999999998</v>
      </c>
      <c r="AG28" s="835">
        <v>2913.5</v>
      </c>
      <c r="AH28" s="835">
        <v>2847</v>
      </c>
      <c r="AI28" s="835">
        <v>2453.6999999999998</v>
      </c>
      <c r="AJ28" s="835">
        <v>2472.6</v>
      </c>
      <c r="AK28" s="835">
        <v>3117.5</v>
      </c>
      <c r="AL28" s="835">
        <v>2551.5</v>
      </c>
      <c r="AM28" s="835">
        <v>3401.1000000000004</v>
      </c>
      <c r="AN28" s="835">
        <v>3105.9</v>
      </c>
      <c r="AO28" s="835">
        <v>3993.7</v>
      </c>
      <c r="AP28" s="835">
        <v>4651.87</v>
      </c>
      <c r="AQ28" s="835">
        <v>5036.2026999999998</v>
      </c>
      <c r="AR28" s="835">
        <v>5584.5</v>
      </c>
      <c r="AS28" s="835">
        <v>5330.1</v>
      </c>
      <c r="AT28" s="835">
        <v>6721.4669999999996</v>
      </c>
      <c r="AU28" s="835">
        <v>3878.9670000000001</v>
      </c>
      <c r="AV28" s="835">
        <v>2495.0340000000001</v>
      </c>
      <c r="AW28" s="835">
        <v>2707.6379999999999</v>
      </c>
      <c r="AX28" s="835">
        <v>4023.6185000000005</v>
      </c>
      <c r="AY28" s="835">
        <v>2575.6530000000002</v>
      </c>
      <c r="AZ28" s="835">
        <v>2496.5934999999999</v>
      </c>
      <c r="BA28" s="835">
        <v>2933.1089999999999</v>
      </c>
      <c r="BB28" s="835">
        <v>4512.8395</v>
      </c>
      <c r="BC28" s="835">
        <v>3101.9265999999998</v>
      </c>
      <c r="BD28" s="835">
        <v>1851.3</v>
      </c>
      <c r="BE28" s="835">
        <v>918.7</v>
      </c>
      <c r="BF28" s="835">
        <v>1789</v>
      </c>
      <c r="BG28" s="835">
        <v>2180.1849999999999</v>
      </c>
      <c r="BH28" s="835">
        <v>2829.9542000000001</v>
      </c>
      <c r="BI28" s="835">
        <v>2685.5567999999998</v>
      </c>
      <c r="BJ28" s="835">
        <v>2739.3532999999998</v>
      </c>
      <c r="BK28" s="835">
        <v>2611.6671999999999</v>
      </c>
      <c r="BL28" s="835">
        <v>2612.7125000000001</v>
      </c>
      <c r="BM28" s="835">
        <v>2888.6670999999997</v>
      </c>
      <c r="BN28" s="835">
        <v>4002.3674000000001</v>
      </c>
      <c r="BO28" s="835">
        <v>2559.3004000000001</v>
      </c>
      <c r="BP28" s="835">
        <v>1803.9</v>
      </c>
      <c r="BQ28" s="835">
        <v>2809.4</v>
      </c>
      <c r="BR28" s="835">
        <v>2093.5</v>
      </c>
      <c r="BS28" s="835">
        <v>2539.4740000000002</v>
      </c>
      <c r="BT28" s="835">
        <v>2435.2510000000002</v>
      </c>
      <c r="BU28" s="835">
        <v>3124.9236000000001</v>
      </c>
      <c r="BV28" s="835">
        <v>3712.1714000000002</v>
      </c>
    </row>
    <row r="29" spans="1:74" s="500" customFormat="1" ht="12.75" x14ac:dyDescent="0.2">
      <c r="A29" s="833">
        <v>315</v>
      </c>
      <c r="B29" s="834" t="s">
        <v>909</v>
      </c>
      <c r="C29" s="835">
        <v>91.64</v>
      </c>
      <c r="D29" s="835">
        <v>273.77</v>
      </c>
      <c r="E29" s="835">
        <v>1081.3800000000001</v>
      </c>
      <c r="F29" s="835">
        <v>1295.1600000000001</v>
      </c>
      <c r="G29" s="835">
        <v>1062.99</v>
      </c>
      <c r="H29" s="835">
        <v>859.46</v>
      </c>
      <c r="I29" s="835">
        <v>529.02</v>
      </c>
      <c r="J29" s="835">
        <v>1387.37</v>
      </c>
      <c r="K29" s="835">
        <v>1148.25</v>
      </c>
      <c r="L29" s="835">
        <v>1097.17</v>
      </c>
      <c r="M29" s="835">
        <v>662.24</v>
      </c>
      <c r="N29" s="835">
        <v>199.4</v>
      </c>
      <c r="O29" s="835">
        <v>114.9</v>
      </c>
      <c r="P29" s="835">
        <v>301.5</v>
      </c>
      <c r="Q29" s="835">
        <v>861.15</v>
      </c>
      <c r="R29" s="835">
        <v>1559.7</v>
      </c>
      <c r="S29" s="835">
        <v>1444.65</v>
      </c>
      <c r="T29" s="835">
        <v>1232.2</v>
      </c>
      <c r="U29" s="835">
        <v>1012.75</v>
      </c>
      <c r="V29" s="835">
        <v>1203.2</v>
      </c>
      <c r="W29" s="835">
        <v>1681.8</v>
      </c>
      <c r="X29" s="835">
        <v>1794.6</v>
      </c>
      <c r="Y29" s="835">
        <v>1224.5</v>
      </c>
      <c r="Z29" s="835">
        <v>535.15</v>
      </c>
      <c r="AA29" s="835">
        <v>221.45</v>
      </c>
      <c r="AB29" s="835">
        <v>602.15</v>
      </c>
      <c r="AC29" s="835">
        <v>1095.55</v>
      </c>
      <c r="AD29" s="835">
        <v>1536.15</v>
      </c>
      <c r="AE29" s="835">
        <v>1584.55</v>
      </c>
      <c r="AF29" s="835">
        <v>1415.95</v>
      </c>
      <c r="AG29" s="835">
        <v>969.05</v>
      </c>
      <c r="AH29" s="835">
        <v>1568.75</v>
      </c>
      <c r="AI29" s="835">
        <v>1608.35</v>
      </c>
      <c r="AJ29" s="835">
        <v>1646.05</v>
      </c>
      <c r="AK29" s="835">
        <v>1822.75</v>
      </c>
      <c r="AL29" s="835">
        <v>1223.75</v>
      </c>
      <c r="AM29" s="835">
        <v>1805.75</v>
      </c>
      <c r="AN29" s="835">
        <v>1544.15</v>
      </c>
      <c r="AO29" s="835">
        <v>1671.75</v>
      </c>
      <c r="AP29" s="835">
        <v>2134.2399999999998</v>
      </c>
      <c r="AQ29" s="835">
        <v>2191.1569</v>
      </c>
      <c r="AR29" s="835">
        <v>1597.75</v>
      </c>
      <c r="AS29" s="835">
        <v>1582.75</v>
      </c>
      <c r="AT29" s="835">
        <v>2376.9989999999998</v>
      </c>
      <c r="AU29" s="835">
        <v>2081.9989999999998</v>
      </c>
      <c r="AV29" s="835">
        <v>1987.4480000000001</v>
      </c>
      <c r="AW29" s="835">
        <v>1603.4360000000001</v>
      </c>
      <c r="AX29" s="835">
        <v>599.41949999999997</v>
      </c>
      <c r="AY29" s="835">
        <v>440.44100000000003</v>
      </c>
      <c r="AZ29" s="835">
        <v>1092.0445</v>
      </c>
      <c r="BA29" s="835">
        <v>1432.873</v>
      </c>
      <c r="BB29" s="835">
        <v>3212.0065</v>
      </c>
      <c r="BC29" s="835">
        <v>2584.3401999999996</v>
      </c>
      <c r="BD29" s="835">
        <v>1804.45</v>
      </c>
      <c r="BE29" s="835">
        <v>1124.25</v>
      </c>
      <c r="BF29" s="835">
        <v>2339.75</v>
      </c>
      <c r="BG29" s="835">
        <v>1863.145</v>
      </c>
      <c r="BH29" s="835">
        <v>1993.0773999999999</v>
      </c>
      <c r="BI29" s="835">
        <v>1524.0396000000001</v>
      </c>
      <c r="BJ29" s="835">
        <v>725.87509999999997</v>
      </c>
      <c r="BK29" s="835">
        <v>553.83839999999998</v>
      </c>
      <c r="BL29" s="835">
        <v>835.98749999999995</v>
      </c>
      <c r="BM29" s="835">
        <v>1462.8937000000001</v>
      </c>
      <c r="BN29" s="835">
        <v>2601.4277999999999</v>
      </c>
      <c r="BO29" s="835">
        <v>2071.6788000000001</v>
      </c>
      <c r="BP29" s="835">
        <v>1566</v>
      </c>
      <c r="BQ29" s="835">
        <v>1072.3</v>
      </c>
      <c r="BR29" s="835">
        <v>1747.6</v>
      </c>
      <c r="BS29" s="835">
        <v>1924.1779999999999</v>
      </c>
      <c r="BT29" s="835">
        <v>1536.1970000000001</v>
      </c>
      <c r="BU29" s="835">
        <v>1960.6491999999998</v>
      </c>
      <c r="BV29" s="835">
        <v>1658.5157999999999</v>
      </c>
    </row>
    <row r="30" spans="1:74" s="500" customFormat="1" ht="12.75" x14ac:dyDescent="0.2">
      <c r="A30" s="833" t="s">
        <v>892</v>
      </c>
      <c r="B30" s="834" t="s">
        <v>910</v>
      </c>
      <c r="C30" s="835">
        <v>0</v>
      </c>
      <c r="D30" s="835">
        <v>0</v>
      </c>
      <c r="E30" s="835">
        <v>0</v>
      </c>
      <c r="F30" s="835">
        <v>0</v>
      </c>
      <c r="G30" s="835">
        <v>0</v>
      </c>
      <c r="H30" s="835">
        <v>0</v>
      </c>
      <c r="I30" s="835">
        <v>0</v>
      </c>
      <c r="J30" s="835">
        <v>0</v>
      </c>
      <c r="K30" s="835">
        <v>0</v>
      </c>
      <c r="L30" s="835">
        <v>0</v>
      </c>
      <c r="M30" s="835">
        <v>0</v>
      </c>
      <c r="N30" s="835">
        <v>0</v>
      </c>
      <c r="O30" s="835">
        <v>0</v>
      </c>
      <c r="P30" s="835">
        <v>0</v>
      </c>
      <c r="Q30" s="835">
        <v>0</v>
      </c>
      <c r="R30" s="835">
        <v>0</v>
      </c>
      <c r="S30" s="835">
        <v>0</v>
      </c>
      <c r="T30" s="835">
        <v>0</v>
      </c>
      <c r="U30" s="835">
        <v>0</v>
      </c>
      <c r="V30" s="835">
        <v>0</v>
      </c>
      <c r="W30" s="835">
        <v>0</v>
      </c>
      <c r="X30" s="835">
        <v>0</v>
      </c>
      <c r="Y30" s="835">
        <v>0</v>
      </c>
      <c r="Z30" s="835">
        <v>43.74</v>
      </c>
      <c r="AA30" s="835">
        <v>100.84</v>
      </c>
      <c r="AB30" s="835">
        <v>2320.58</v>
      </c>
      <c r="AC30" s="835">
        <v>6556.74</v>
      </c>
      <c r="AD30" s="835">
        <v>603.22</v>
      </c>
      <c r="AE30" s="835">
        <v>573.42999999999995</v>
      </c>
      <c r="AF30" s="835">
        <v>413.45</v>
      </c>
      <c r="AG30" s="835">
        <v>592.27</v>
      </c>
      <c r="AH30" s="835">
        <v>955.3</v>
      </c>
      <c r="AI30" s="835">
        <v>722.64</v>
      </c>
      <c r="AJ30" s="835">
        <v>1604.6999999999998</v>
      </c>
      <c r="AK30" s="835">
        <v>1894.11</v>
      </c>
      <c r="AL30" s="835">
        <v>568.16999999999996</v>
      </c>
      <c r="AM30" s="835">
        <v>194.27</v>
      </c>
      <c r="AN30" s="835">
        <v>770.52</v>
      </c>
      <c r="AO30" s="835">
        <v>1875.2800000000002</v>
      </c>
      <c r="AP30" s="835">
        <v>2525.21</v>
      </c>
      <c r="AQ30" s="835">
        <v>2638.7703999999999</v>
      </c>
      <c r="AR30" s="835">
        <v>1900.79</v>
      </c>
      <c r="AS30" s="835">
        <v>1666.76</v>
      </c>
      <c r="AT30" s="835">
        <v>2584.9740000000002</v>
      </c>
      <c r="AU30" s="835">
        <v>2497.6640000000002</v>
      </c>
      <c r="AV30" s="835">
        <v>2537.9479999999999</v>
      </c>
      <c r="AW30" s="835">
        <v>2148.846</v>
      </c>
      <c r="AX30" s="835">
        <v>1009.8219999999999</v>
      </c>
      <c r="AY30" s="835">
        <v>633.346</v>
      </c>
      <c r="AZ30" s="835">
        <v>1406.8620000000001</v>
      </c>
      <c r="BA30" s="835">
        <v>1949.4179999999999</v>
      </c>
      <c r="BB30" s="835">
        <v>4373.1539999999995</v>
      </c>
      <c r="BC30" s="835">
        <v>3588.0332000000003</v>
      </c>
      <c r="BD30" s="835">
        <v>2602.75</v>
      </c>
      <c r="BE30" s="835">
        <v>1725.65</v>
      </c>
      <c r="BF30" s="835">
        <v>3868.55</v>
      </c>
      <c r="BG30" s="835">
        <v>3882.1699999999996</v>
      </c>
      <c r="BH30" s="835">
        <v>4533.0684000000001</v>
      </c>
      <c r="BI30" s="835">
        <v>2690.0036</v>
      </c>
      <c r="BJ30" s="835">
        <v>902.67160000000013</v>
      </c>
      <c r="BK30" s="835">
        <v>702.39440000000002</v>
      </c>
      <c r="BL30" s="835">
        <v>1252.7</v>
      </c>
      <c r="BM30" s="835">
        <v>2029.2392</v>
      </c>
      <c r="BN30" s="835">
        <v>3633.3047999999999</v>
      </c>
      <c r="BO30" s="835">
        <v>2831.1208000000001</v>
      </c>
      <c r="BP30" s="835">
        <v>2061.1999999999998</v>
      </c>
      <c r="BQ30" s="835">
        <v>1427.8000000000002</v>
      </c>
      <c r="BR30" s="835">
        <v>2430.1</v>
      </c>
      <c r="BS30" s="835">
        <v>2773.848</v>
      </c>
      <c r="BT30" s="835">
        <v>2317.5520000000001</v>
      </c>
      <c r="BU30" s="835">
        <v>2771.3271999999997</v>
      </c>
      <c r="BV30" s="835">
        <v>1451.5128</v>
      </c>
    </row>
    <row r="31" spans="1:74" s="128" customFormat="1" x14ac:dyDescent="0.25">
      <c r="A31" s="459"/>
      <c r="B31" s="127"/>
      <c r="C31" s="602"/>
      <c r="T31" s="127"/>
      <c r="U31" s="129"/>
      <c r="X31" s="129"/>
      <c r="Y31" s="166"/>
      <c r="Z31" s="166"/>
    </row>
    <row r="32" spans="1:74" s="128" customFormat="1" x14ac:dyDescent="0.25">
      <c r="A32" s="459">
        <v>2</v>
      </c>
      <c r="B32" s="172" t="s">
        <v>371</v>
      </c>
      <c r="C32" s="173"/>
      <c r="S32" s="173"/>
      <c r="T32" s="172" t="s">
        <v>371</v>
      </c>
      <c r="W32" s="129"/>
      <c r="Y32" s="166"/>
      <c r="Z32" s="764"/>
    </row>
    <row r="33" spans="1:26" s="128" customFormat="1" ht="14.45" customHeight="1" x14ac:dyDescent="0.25">
      <c r="A33" s="459"/>
      <c r="B33" s="172" t="s">
        <v>681</v>
      </c>
      <c r="C33" s="173"/>
      <c r="D33" s="172" t="s">
        <v>82</v>
      </c>
      <c r="S33" s="173"/>
      <c r="T33" s="172"/>
      <c r="W33" s="129"/>
      <c r="Y33" s="166"/>
      <c r="Z33" s="764"/>
    </row>
    <row r="34" spans="1:26" s="128" customFormat="1" ht="14.45" customHeight="1" x14ac:dyDescent="0.25">
      <c r="A34" s="459"/>
      <c r="B34" s="172"/>
      <c r="C34" s="173" t="s">
        <v>1336</v>
      </c>
      <c r="D34" s="128" t="s">
        <v>1337</v>
      </c>
      <c r="E34" s="128" t="s">
        <v>1338</v>
      </c>
      <c r="F34" s="128" t="s">
        <v>1339</v>
      </c>
      <c r="G34" s="128" t="s">
        <v>1340</v>
      </c>
      <c r="H34" s="128" t="s">
        <v>1341</v>
      </c>
      <c r="I34" s="128" t="s">
        <v>1342</v>
      </c>
      <c r="J34" s="128" t="s">
        <v>1343</v>
      </c>
      <c r="K34" s="128" t="s">
        <v>1344</v>
      </c>
      <c r="L34" s="128" t="s">
        <v>1345</v>
      </c>
      <c r="M34" s="128" t="s">
        <v>1346</v>
      </c>
      <c r="N34" s="128" t="s">
        <v>1347</v>
      </c>
      <c r="S34" s="173"/>
      <c r="T34" s="172"/>
      <c r="W34" s="129"/>
      <c r="Y34" s="166"/>
      <c r="Z34" s="764"/>
    </row>
    <row r="35" spans="1:26" s="128" customFormat="1" x14ac:dyDescent="0.25">
      <c r="A35" s="459"/>
      <c r="B35" s="128" t="s">
        <v>694</v>
      </c>
      <c r="C35" s="173"/>
      <c r="S35" s="173"/>
      <c r="T35" s="172"/>
      <c r="W35" s="129"/>
      <c r="Y35" s="166"/>
      <c r="Z35" s="764"/>
    </row>
    <row r="36" spans="1:26" s="128" customFormat="1" x14ac:dyDescent="0.25">
      <c r="A36" s="459"/>
      <c r="B36" s="128" t="s">
        <v>695</v>
      </c>
      <c r="C36" s="173">
        <v>68670</v>
      </c>
      <c r="D36" s="128">
        <v>73539</v>
      </c>
      <c r="E36" s="128">
        <v>87810</v>
      </c>
      <c r="F36" s="128">
        <v>96658.1</v>
      </c>
      <c r="G36" s="128">
        <v>90305.9</v>
      </c>
      <c r="H36" s="128">
        <v>85231</v>
      </c>
      <c r="I36" s="128">
        <v>88739</v>
      </c>
      <c r="J36" s="128">
        <v>83201</v>
      </c>
      <c r="K36" s="128">
        <v>94822.2</v>
      </c>
      <c r="L36" s="128">
        <v>93120</v>
      </c>
      <c r="M36" s="128">
        <v>88476.7</v>
      </c>
      <c r="N36" s="128">
        <v>82379.899999999994</v>
      </c>
      <c r="S36" s="173"/>
      <c r="T36" s="172"/>
      <c r="W36" s="129"/>
      <c r="Y36" s="166"/>
      <c r="Z36" s="764"/>
    </row>
    <row r="37" spans="1:26" s="128" customFormat="1" x14ac:dyDescent="0.25">
      <c r="A37" s="459"/>
      <c r="B37" s="128" t="s">
        <v>696</v>
      </c>
      <c r="C37" s="173">
        <v>1044</v>
      </c>
      <c r="D37" s="128">
        <v>1159</v>
      </c>
      <c r="E37" s="128">
        <v>1776</v>
      </c>
      <c r="F37" s="128">
        <v>1873</v>
      </c>
      <c r="G37" s="128">
        <v>2255</v>
      </c>
      <c r="H37" s="128">
        <v>2066</v>
      </c>
      <c r="I37" s="128">
        <v>2594</v>
      </c>
      <c r="J37" s="128">
        <v>3202</v>
      </c>
      <c r="K37" s="128">
        <v>2402</v>
      </c>
      <c r="L37" s="128">
        <v>1922</v>
      </c>
      <c r="M37" s="128">
        <v>1608</v>
      </c>
      <c r="N37" s="128">
        <v>788</v>
      </c>
      <c r="S37" s="173"/>
      <c r="T37" s="172"/>
      <c r="W37" s="129"/>
      <c r="Y37" s="166"/>
      <c r="Z37" s="764"/>
    </row>
    <row r="38" spans="1:26" s="128" customFormat="1" x14ac:dyDescent="0.25">
      <c r="A38" s="459"/>
      <c r="B38" s="128" t="s">
        <v>697</v>
      </c>
      <c r="C38" s="173">
        <v>8689</v>
      </c>
      <c r="D38" s="128">
        <v>11420</v>
      </c>
      <c r="E38" s="128">
        <v>16370</v>
      </c>
      <c r="F38" s="128">
        <v>14780</v>
      </c>
      <c r="G38" s="128">
        <v>11420</v>
      </c>
      <c r="H38" s="128">
        <v>7375</v>
      </c>
      <c r="I38" s="128">
        <v>8690</v>
      </c>
      <c r="J38" s="128">
        <v>10980</v>
      </c>
      <c r="K38" s="128">
        <v>10430</v>
      </c>
      <c r="L38" s="128">
        <v>19410</v>
      </c>
      <c r="M38" s="128">
        <v>6230</v>
      </c>
      <c r="N38" s="128">
        <v>3760</v>
      </c>
      <c r="S38" s="173"/>
      <c r="T38" s="172"/>
      <c r="W38" s="129"/>
      <c r="Y38" s="166"/>
      <c r="Z38" s="764"/>
    </row>
    <row r="39" spans="1:26" s="128" customFormat="1" x14ac:dyDescent="0.25">
      <c r="A39" s="459"/>
      <c r="B39" s="128" t="s">
        <v>705</v>
      </c>
      <c r="C39" s="173">
        <v>935</v>
      </c>
      <c r="D39" s="128">
        <v>865</v>
      </c>
      <c r="E39" s="128">
        <v>703</v>
      </c>
      <c r="F39" s="128">
        <v>243</v>
      </c>
      <c r="G39" s="128">
        <v>165</v>
      </c>
      <c r="H39" s="128">
        <v>171</v>
      </c>
      <c r="I39" s="128">
        <v>11</v>
      </c>
      <c r="J39" s="128">
        <v>45</v>
      </c>
      <c r="K39" s="128">
        <v>227</v>
      </c>
      <c r="L39" s="128">
        <v>311</v>
      </c>
      <c r="M39" s="128">
        <v>447</v>
      </c>
      <c r="N39" s="128">
        <v>655</v>
      </c>
      <c r="S39" s="173"/>
      <c r="T39" s="172"/>
      <c r="W39" s="129"/>
      <c r="Y39" s="166"/>
      <c r="Z39" s="764"/>
    </row>
    <row r="40" spans="1:26" s="128" customFormat="1" x14ac:dyDescent="0.25">
      <c r="A40" s="459"/>
      <c r="C40" s="173"/>
      <c r="S40" s="173"/>
      <c r="T40" s="172"/>
      <c r="W40" s="129"/>
      <c r="Y40" s="166"/>
      <c r="Z40" s="764"/>
    </row>
    <row r="41" spans="1:26" s="128" customFormat="1" x14ac:dyDescent="0.25">
      <c r="A41" s="459"/>
      <c r="B41" s="128" t="s">
        <v>698</v>
      </c>
      <c r="C41" s="173"/>
      <c r="S41" s="173"/>
      <c r="T41" s="172"/>
      <c r="W41" s="129"/>
      <c r="Y41" s="166"/>
      <c r="Z41" s="764"/>
    </row>
    <row r="42" spans="1:26" s="128" customFormat="1" x14ac:dyDescent="0.25">
      <c r="A42" s="459"/>
      <c r="B42" s="128" t="s">
        <v>699</v>
      </c>
      <c r="C42" s="173">
        <v>4584.4429262234044</v>
      </c>
      <c r="D42" s="128">
        <v>4911.762427276235</v>
      </c>
      <c r="E42" s="128">
        <v>5868.668566513762</v>
      </c>
      <c r="F42" s="128">
        <v>5906.601246318306</v>
      </c>
      <c r="G42" s="128">
        <v>5080.9621798204671</v>
      </c>
      <c r="H42" s="128">
        <v>4799.2880794473685</v>
      </c>
      <c r="I42" s="128">
        <v>5024.4850713892665</v>
      </c>
      <c r="J42" s="128">
        <v>4857.9844265306565</v>
      </c>
      <c r="K42" s="128">
        <v>5581.3641278520472</v>
      </c>
      <c r="L42" s="128">
        <v>5343.6396541062804</v>
      </c>
      <c r="M42" s="128">
        <v>5181.2631237040578</v>
      </c>
      <c r="N42" s="128">
        <v>5320.4560061697803</v>
      </c>
      <c r="S42" s="173"/>
      <c r="T42" s="172"/>
      <c r="W42" s="129"/>
      <c r="Y42" s="166"/>
      <c r="Z42" s="764"/>
    </row>
    <row r="43" spans="1:26" s="128" customFormat="1" x14ac:dyDescent="0.25">
      <c r="A43" s="459"/>
      <c r="B43" s="128" t="s">
        <v>700</v>
      </c>
      <c r="C43" s="173">
        <v>753.53</v>
      </c>
      <c r="D43" s="128">
        <v>834.11</v>
      </c>
      <c r="E43" s="128">
        <v>1233.44</v>
      </c>
      <c r="F43" s="128">
        <v>1334.41</v>
      </c>
      <c r="G43" s="128">
        <v>1590.89</v>
      </c>
      <c r="H43" s="128">
        <v>1442.35</v>
      </c>
      <c r="I43" s="128">
        <v>1770.16</v>
      </c>
      <c r="J43" s="128">
        <v>2162.73</v>
      </c>
      <c r="K43" s="128">
        <v>1627.88</v>
      </c>
      <c r="L43" s="128">
        <v>1312.38</v>
      </c>
      <c r="M43" s="128">
        <v>1121</v>
      </c>
      <c r="N43" s="128">
        <v>562.26</v>
      </c>
      <c r="S43" s="173"/>
      <c r="T43" s="172"/>
      <c r="W43" s="129"/>
      <c r="Y43" s="166"/>
      <c r="Z43" s="764"/>
    </row>
    <row r="44" spans="1:26" s="128" customFormat="1" x14ac:dyDescent="0.25">
      <c r="A44" s="459"/>
      <c r="B44" s="128" t="s">
        <v>701</v>
      </c>
      <c r="C44" s="173">
        <v>647.61859641378499</v>
      </c>
      <c r="D44" s="128">
        <v>863.04135034215415</v>
      </c>
      <c r="E44" s="128">
        <v>1253.206343103875</v>
      </c>
      <c r="F44" s="128">
        <v>1211.0967678128941</v>
      </c>
      <c r="G44" s="128">
        <v>942.62250257127164</v>
      </c>
      <c r="H44" s="128">
        <v>632.10016971357118</v>
      </c>
      <c r="I44" s="128">
        <v>805.31824659793813</v>
      </c>
      <c r="J44" s="128">
        <v>910.25293411576422</v>
      </c>
      <c r="K44" s="128">
        <v>856.84066515676352</v>
      </c>
      <c r="L44" s="128">
        <v>1568.2431666526986</v>
      </c>
      <c r="M44" s="128">
        <v>491.91560491251187</v>
      </c>
      <c r="N44" s="128">
        <v>246.91663951163036</v>
      </c>
      <c r="S44" s="173"/>
      <c r="T44" s="172"/>
      <c r="W44" s="129"/>
      <c r="Y44" s="166"/>
      <c r="Z44" s="764"/>
    </row>
    <row r="45" spans="1:26" s="128" customFormat="1" x14ac:dyDescent="0.25">
      <c r="A45" s="459"/>
      <c r="B45" s="128" t="s">
        <v>707</v>
      </c>
      <c r="C45" s="173">
        <v>6221.5034601899652</v>
      </c>
      <c r="D45" s="128">
        <v>4679.6377302132787</v>
      </c>
      <c r="E45" s="128">
        <v>3519.7931501175426</v>
      </c>
      <c r="F45" s="128">
        <v>1246.9226188587941</v>
      </c>
      <c r="G45" s="128">
        <v>554.64757559869884</v>
      </c>
      <c r="H45" s="128">
        <v>502.62821561294754</v>
      </c>
      <c r="I45" s="128">
        <v>51.174607128224942</v>
      </c>
      <c r="J45" s="128">
        <v>541.19471240879443</v>
      </c>
      <c r="K45" s="128">
        <v>2138.5114917264914</v>
      </c>
      <c r="L45" s="128">
        <v>1073.831102119748</v>
      </c>
      <c r="M45" s="128">
        <v>1518.7687687250602</v>
      </c>
      <c r="N45" s="128">
        <v>2002.2445501742245</v>
      </c>
      <c r="S45" s="173"/>
      <c r="T45" s="172"/>
      <c r="W45" s="129"/>
      <c r="Y45" s="166"/>
      <c r="Z45" s="764"/>
    </row>
    <row r="46" spans="1:26" s="128" customFormat="1" x14ac:dyDescent="0.25">
      <c r="A46" s="459"/>
      <c r="B46" s="128" t="s">
        <v>702</v>
      </c>
      <c r="C46" s="173"/>
      <c r="S46" s="173"/>
      <c r="T46" s="172"/>
      <c r="W46" s="129"/>
      <c r="Y46" s="166"/>
      <c r="Z46" s="764"/>
    </row>
    <row r="47" spans="1:26" s="128" customFormat="1" x14ac:dyDescent="0.25">
      <c r="A47" s="459"/>
      <c r="B47" s="128" t="s">
        <v>703</v>
      </c>
      <c r="C47" s="173"/>
      <c r="S47" s="173"/>
      <c r="T47" s="172"/>
      <c r="W47" s="129"/>
      <c r="Y47" s="166"/>
      <c r="Z47" s="764"/>
    </row>
    <row r="48" spans="1:26" s="128" customFormat="1" x14ac:dyDescent="0.25">
      <c r="A48" s="459"/>
      <c r="B48" s="128" t="s">
        <v>1042</v>
      </c>
      <c r="C48" s="173"/>
      <c r="S48" s="173"/>
      <c r="T48" s="172"/>
      <c r="W48" s="129"/>
      <c r="Y48" s="166"/>
      <c r="Z48" s="764"/>
    </row>
    <row r="49" spans="1:26" s="128" customFormat="1" x14ac:dyDescent="0.25">
      <c r="A49" s="459"/>
      <c r="B49" s="172"/>
      <c r="C49" s="173"/>
      <c r="S49" s="173"/>
      <c r="T49" s="172"/>
      <c r="W49" s="129"/>
      <c r="Y49" s="166"/>
      <c r="Z49" s="764"/>
    </row>
    <row r="50" spans="1:26" s="128" customFormat="1" x14ac:dyDescent="0.25">
      <c r="A50" s="459">
        <v>3</v>
      </c>
      <c r="B50" s="127" t="s">
        <v>375</v>
      </c>
      <c r="C50" s="173"/>
      <c r="S50" s="173"/>
      <c r="T50" s="127" t="s">
        <v>375</v>
      </c>
      <c r="W50" s="129"/>
      <c r="Y50" s="166"/>
      <c r="Z50" s="166"/>
    </row>
    <row r="51" spans="1:26" s="128" customFormat="1" x14ac:dyDescent="0.25">
      <c r="A51" s="459"/>
      <c r="B51" s="172" t="s">
        <v>283</v>
      </c>
      <c r="C51" s="173"/>
      <c r="D51" s="172" t="s">
        <v>64</v>
      </c>
      <c r="S51" s="173"/>
      <c r="T51" s="172"/>
      <c r="W51" s="129"/>
      <c r="Y51" s="166"/>
      <c r="Z51" s="764"/>
    </row>
    <row r="52" spans="1:26" s="128" customFormat="1" x14ac:dyDescent="0.25">
      <c r="A52" s="459"/>
      <c r="B52" s="128">
        <v>185544</v>
      </c>
      <c r="C52" s="173" t="s">
        <v>1336</v>
      </c>
      <c r="D52" s="128" t="s">
        <v>1337</v>
      </c>
      <c r="E52" s="128" t="s">
        <v>1338</v>
      </c>
      <c r="F52" s="128" t="s">
        <v>1339</v>
      </c>
      <c r="G52" s="128" t="s">
        <v>1340</v>
      </c>
      <c r="H52" s="128" t="s">
        <v>1341</v>
      </c>
      <c r="I52" s="128" t="s">
        <v>1342</v>
      </c>
      <c r="J52" s="128" t="s">
        <v>1343</v>
      </c>
      <c r="K52" s="128" t="s">
        <v>1344</v>
      </c>
      <c r="L52" s="128" t="s">
        <v>1345</v>
      </c>
      <c r="M52" s="128" t="s">
        <v>1346</v>
      </c>
      <c r="N52" s="128" t="s">
        <v>1347</v>
      </c>
      <c r="S52" s="173"/>
      <c r="T52" s="172"/>
      <c r="W52" s="129"/>
      <c r="Y52" s="166"/>
      <c r="Z52" s="764"/>
    </row>
    <row r="53" spans="1:26" s="128" customFormat="1" x14ac:dyDescent="0.25">
      <c r="A53" s="459"/>
      <c r="B53" s="128" t="s">
        <v>694</v>
      </c>
      <c r="C53" s="173"/>
      <c r="S53" s="173"/>
      <c r="T53" s="172"/>
      <c r="W53" s="129"/>
      <c r="Y53" s="166"/>
      <c r="Z53" s="764"/>
    </row>
    <row r="54" spans="1:26" s="128" customFormat="1" x14ac:dyDescent="0.25">
      <c r="A54" s="459"/>
      <c r="B54" s="128" t="s">
        <v>695</v>
      </c>
      <c r="C54" s="173">
        <v>181002</v>
      </c>
      <c r="D54" s="128">
        <v>164911</v>
      </c>
      <c r="E54" s="128">
        <v>153590</v>
      </c>
      <c r="F54" s="128">
        <v>135645.70000000001</v>
      </c>
      <c r="G54" s="128">
        <v>141852.6</v>
      </c>
      <c r="H54" s="128">
        <v>130677.7</v>
      </c>
      <c r="I54" s="128">
        <v>133798</v>
      </c>
      <c r="J54" s="128">
        <v>129641.4</v>
      </c>
      <c r="K54" s="128">
        <v>161554</v>
      </c>
      <c r="L54" s="128">
        <v>166720.5</v>
      </c>
      <c r="M54" s="128">
        <v>116672.5</v>
      </c>
      <c r="N54" s="128">
        <v>113155</v>
      </c>
      <c r="S54" s="173"/>
      <c r="T54" s="172"/>
      <c r="W54" s="129"/>
      <c r="Y54" s="166"/>
      <c r="Z54" s="764"/>
    </row>
    <row r="55" spans="1:26" s="128" customFormat="1" x14ac:dyDescent="0.25">
      <c r="A55" s="459"/>
      <c r="B55" s="128" t="s">
        <v>696</v>
      </c>
      <c r="C55" s="173">
        <v>2307</v>
      </c>
      <c r="D55" s="128">
        <v>2201</v>
      </c>
      <c r="E55" s="128">
        <v>2860</v>
      </c>
      <c r="F55" s="128">
        <v>2962</v>
      </c>
      <c r="G55" s="128">
        <v>4916</v>
      </c>
      <c r="H55" s="128">
        <v>6029</v>
      </c>
      <c r="I55" s="128">
        <v>8502</v>
      </c>
      <c r="J55" s="128">
        <v>7404</v>
      </c>
      <c r="K55" s="128">
        <v>6551</v>
      </c>
      <c r="L55" s="128">
        <v>5382</v>
      </c>
      <c r="M55" s="128">
        <v>3886</v>
      </c>
      <c r="N55" s="128">
        <v>1952</v>
      </c>
      <c r="S55" s="173"/>
      <c r="T55" s="172"/>
      <c r="W55" s="129"/>
      <c r="Y55" s="166"/>
      <c r="Z55" s="764"/>
    </row>
    <row r="56" spans="1:26" s="128" customFormat="1" x14ac:dyDescent="0.25">
      <c r="A56" s="459"/>
      <c r="B56" s="128" t="s">
        <v>697</v>
      </c>
      <c r="C56" s="173">
        <v>68321</v>
      </c>
      <c r="D56" s="128">
        <v>52430</v>
      </c>
      <c r="E56" s="128">
        <v>84445</v>
      </c>
      <c r="F56" s="128">
        <v>61521</v>
      </c>
      <c r="G56" s="128">
        <v>45121</v>
      </c>
      <c r="H56" s="128">
        <v>35543</v>
      </c>
      <c r="I56" s="128">
        <v>59045</v>
      </c>
      <c r="J56" s="128">
        <v>72881</v>
      </c>
      <c r="K56" s="128">
        <v>49465</v>
      </c>
      <c r="L56" s="128">
        <v>56214</v>
      </c>
      <c r="M56" s="128">
        <v>36023</v>
      </c>
      <c r="N56" s="128">
        <v>32652</v>
      </c>
      <c r="S56" s="173"/>
      <c r="T56" s="172"/>
      <c r="W56" s="129"/>
      <c r="Y56" s="166"/>
      <c r="Z56" s="764"/>
    </row>
    <row r="57" spans="1:26" s="128" customFormat="1" x14ac:dyDescent="0.25">
      <c r="A57" s="459"/>
      <c r="C57" s="173"/>
      <c r="S57" s="173"/>
      <c r="T57" s="172"/>
      <c r="W57" s="129"/>
      <c r="Y57" s="166"/>
      <c r="Z57" s="764"/>
    </row>
    <row r="58" spans="1:26" s="128" customFormat="1" x14ac:dyDescent="0.25">
      <c r="A58" s="459"/>
      <c r="B58" s="128" t="s">
        <v>698</v>
      </c>
      <c r="C58" s="173"/>
      <c r="S58" s="173"/>
      <c r="T58" s="172"/>
      <c r="W58" s="129"/>
      <c r="Y58" s="166"/>
      <c r="Z58" s="764"/>
    </row>
    <row r="59" spans="1:26" s="128" customFormat="1" x14ac:dyDescent="0.25">
      <c r="A59" s="459"/>
      <c r="B59" s="128" t="s">
        <v>699</v>
      </c>
      <c r="C59" s="173">
        <v>12083.78241637234</v>
      </c>
      <c r="D59" s="128">
        <v>11014.613383980624</v>
      </c>
      <c r="E59" s="128">
        <v>10264.990378440367</v>
      </c>
      <c r="F59" s="128">
        <v>8289.0627963690476</v>
      </c>
      <c r="G59" s="128">
        <v>7981.1805840947372</v>
      </c>
      <c r="H59" s="128">
        <v>7358.3546815078944</v>
      </c>
      <c r="I59" s="128">
        <v>7575.7677411480981</v>
      </c>
      <c r="J59" s="128">
        <v>7569.5713060375647</v>
      </c>
      <c r="K59" s="128">
        <v>9509.2889672567162</v>
      </c>
      <c r="L59" s="128">
        <v>9567.1636055887684</v>
      </c>
      <c r="M59" s="128">
        <v>6832.4307054892606</v>
      </c>
      <c r="N59" s="128">
        <v>7308.047222418837</v>
      </c>
      <c r="S59" s="173"/>
      <c r="T59" s="172"/>
      <c r="W59" s="129"/>
      <c r="Y59" s="166"/>
      <c r="Z59" s="764"/>
    </row>
    <row r="60" spans="1:26" s="128" customFormat="1" x14ac:dyDescent="0.25">
      <c r="A60" s="459"/>
      <c r="B60" s="128" t="s">
        <v>700</v>
      </c>
      <c r="C60" s="173">
        <v>1638.51</v>
      </c>
      <c r="D60" s="128">
        <v>1564.24</v>
      </c>
      <c r="E60" s="128">
        <v>2026</v>
      </c>
      <c r="F60" s="128">
        <v>2097.4699999999998</v>
      </c>
      <c r="G60" s="128">
        <v>3442.25</v>
      </c>
      <c r="H60" s="128">
        <v>4166.87</v>
      </c>
      <c r="I60" s="128">
        <v>5751.7</v>
      </c>
      <c r="J60" s="128">
        <v>4972.0200000000004</v>
      </c>
      <c r="K60" s="128">
        <v>4401.74</v>
      </c>
      <c r="L60" s="128">
        <v>3635.34</v>
      </c>
      <c r="M60" s="128">
        <v>2677.93</v>
      </c>
      <c r="N60" s="128">
        <v>1360.31</v>
      </c>
      <c r="S60" s="173"/>
      <c r="T60" s="172"/>
      <c r="W60" s="129"/>
      <c r="Y60" s="166"/>
      <c r="Z60" s="764"/>
    </row>
    <row r="61" spans="1:26" s="128" customFormat="1" x14ac:dyDescent="0.25">
      <c r="A61" s="459"/>
      <c r="B61" s="128" t="s">
        <v>701</v>
      </c>
      <c r="C61" s="173">
        <v>5092.1797819756248</v>
      </c>
      <c r="D61" s="128">
        <v>3962.2817862030774</v>
      </c>
      <c r="E61" s="128">
        <v>6464.6920979478764</v>
      </c>
      <c r="F61" s="128">
        <v>5041.12883982524</v>
      </c>
      <c r="G61" s="128">
        <v>3724.3493816565979</v>
      </c>
      <c r="H61" s="128">
        <v>3046.3371297802655</v>
      </c>
      <c r="I61" s="128">
        <v>5471.8085006185565</v>
      </c>
      <c r="J61" s="128">
        <v>6041.9074764381612</v>
      </c>
      <c r="K61" s="128">
        <v>4063.6264143796079</v>
      </c>
      <c r="L61" s="128">
        <v>4541.8455110878313</v>
      </c>
      <c r="M61" s="128">
        <v>2844.3460410535176</v>
      </c>
      <c r="N61" s="128">
        <v>2144.2346046100411</v>
      </c>
      <c r="S61" s="173"/>
      <c r="T61" s="172"/>
      <c r="W61" s="129"/>
      <c r="Y61" s="166"/>
      <c r="Z61" s="764"/>
    </row>
    <row r="62" spans="1:26" s="128" customFormat="1" x14ac:dyDescent="0.25">
      <c r="A62" s="459"/>
      <c r="B62" s="128" t="s">
        <v>1348</v>
      </c>
      <c r="C62" s="173">
        <v>4571.8472383908938</v>
      </c>
      <c r="D62" s="128">
        <v>4218.8178114086149</v>
      </c>
      <c r="E62" s="128">
        <v>4365.8058465916438</v>
      </c>
      <c r="F62" s="128">
        <v>4090.7985620661411</v>
      </c>
      <c r="G62" s="128">
        <v>5258.0577717414744</v>
      </c>
      <c r="H62" s="128">
        <v>5652.4183611434482</v>
      </c>
      <c r="I62" s="128">
        <v>7042.6355797007718</v>
      </c>
      <c r="J62" s="128">
        <v>6374.4257793299703</v>
      </c>
      <c r="K62" s="128">
        <v>6501.5427499676625</v>
      </c>
      <c r="L62" s="128">
        <v>5966.5111563833916</v>
      </c>
      <c r="M62" s="128">
        <v>4239.8922627516922</v>
      </c>
      <c r="N62" s="128">
        <v>3132.8679989652051</v>
      </c>
      <c r="O62" s="128">
        <v>61415.621118440919</v>
      </c>
      <c r="S62" s="173"/>
      <c r="T62" s="172"/>
      <c r="W62" s="129"/>
      <c r="Y62" s="166"/>
      <c r="Z62" s="764"/>
    </row>
    <row r="63" spans="1:26" s="128" customFormat="1" x14ac:dyDescent="0.25">
      <c r="A63" s="459"/>
      <c r="B63" s="172"/>
      <c r="C63" s="173"/>
      <c r="S63" s="173"/>
      <c r="T63" s="172"/>
      <c r="W63" s="129"/>
      <c r="Y63" s="166"/>
      <c r="Z63" s="764"/>
    </row>
    <row r="64" spans="1:26" s="125" customFormat="1" x14ac:dyDescent="0.25">
      <c r="A64" s="461">
        <v>4</v>
      </c>
      <c r="B64" s="148" t="s">
        <v>553</v>
      </c>
      <c r="C64" s="152"/>
      <c r="S64" s="139"/>
      <c r="T64" s="148" t="s">
        <v>553</v>
      </c>
      <c r="U64" s="139"/>
      <c r="V64" s="149"/>
      <c r="W64" s="150"/>
      <c r="Y64" s="157"/>
      <c r="Z64" s="157"/>
    </row>
    <row r="65" spans="1:26" s="125" customFormat="1" x14ac:dyDescent="0.25">
      <c r="A65" s="462"/>
      <c r="B65" s="666" t="s">
        <v>1384</v>
      </c>
      <c r="C65" s="497"/>
      <c r="D65"/>
      <c r="E65"/>
      <c r="F65"/>
      <c r="G65"/>
      <c r="H65"/>
      <c r="I65"/>
      <c r="J65"/>
      <c r="K65"/>
      <c r="L65"/>
      <c r="M65"/>
      <c r="N65"/>
      <c r="O65"/>
      <c r="P65"/>
      <c r="Q65"/>
      <c r="R65"/>
      <c r="S65" s="139"/>
      <c r="T65" s="148"/>
      <c r="U65" s="139"/>
      <c r="V65" s="149"/>
      <c r="W65" s="150"/>
      <c r="Y65" s="157"/>
      <c r="Z65" s="157"/>
    </row>
    <row r="66" spans="1:26" s="125" customFormat="1" x14ac:dyDescent="0.25">
      <c r="A66" s="461"/>
      <c r="B66" s="130" t="s">
        <v>337</v>
      </c>
      <c r="C66" s="186" t="s">
        <v>1318</v>
      </c>
      <c r="D66" s="131">
        <v>42186</v>
      </c>
      <c r="E66" s="131">
        <v>42217</v>
      </c>
      <c r="F66" s="131">
        <v>42248</v>
      </c>
      <c r="G66" s="131">
        <v>42278</v>
      </c>
      <c r="H66" s="131">
        <v>42309</v>
      </c>
      <c r="I66" s="131">
        <v>42339</v>
      </c>
      <c r="J66" s="131">
        <v>42370</v>
      </c>
      <c r="K66" s="131">
        <v>42401</v>
      </c>
      <c r="L66" s="131">
        <v>42430</v>
      </c>
      <c r="M66" s="131">
        <v>42461</v>
      </c>
      <c r="N66" s="131">
        <v>42491</v>
      </c>
      <c r="O66" s="131">
        <v>42522</v>
      </c>
      <c r="P66" s="131">
        <v>42552</v>
      </c>
      <c r="Q66" s="151">
        <v>42583</v>
      </c>
      <c r="R66" s="131">
        <v>42627</v>
      </c>
      <c r="S66" s="139"/>
      <c r="T66" s="148"/>
      <c r="U66" s="139"/>
      <c r="V66" s="149"/>
      <c r="W66" s="150"/>
      <c r="Y66" s="157"/>
      <c r="Z66" s="157"/>
    </row>
    <row r="67" spans="1:26" s="125" customFormat="1" x14ac:dyDescent="0.25">
      <c r="A67" s="461"/>
      <c r="B67" s="135" t="s">
        <v>319</v>
      </c>
      <c r="C67" s="136">
        <v>85624</v>
      </c>
      <c r="D67" s="136">
        <v>106024</v>
      </c>
      <c r="E67" s="136">
        <v>108048</v>
      </c>
      <c r="F67" s="136">
        <v>105904</v>
      </c>
      <c r="G67" s="136">
        <v>95632</v>
      </c>
      <c r="H67" s="136">
        <v>87664</v>
      </c>
      <c r="I67" s="136">
        <v>64040</v>
      </c>
      <c r="J67" s="136">
        <v>68928</v>
      </c>
      <c r="K67" s="136">
        <v>69072</v>
      </c>
      <c r="L67" s="136">
        <v>106000</v>
      </c>
      <c r="M67" s="136">
        <v>131912</v>
      </c>
      <c r="N67" s="136">
        <v>116648</v>
      </c>
      <c r="O67" s="136">
        <v>53704</v>
      </c>
      <c r="P67" s="136">
        <v>147744</v>
      </c>
      <c r="Q67" s="136">
        <v>31128</v>
      </c>
      <c r="R67" s="153"/>
      <c r="S67" s="139"/>
      <c r="T67" s="148"/>
      <c r="U67" s="139"/>
      <c r="V67" s="149"/>
      <c r="W67" s="150"/>
      <c r="Y67" s="157"/>
      <c r="Z67" s="157"/>
    </row>
    <row r="68" spans="1:26" s="125" customFormat="1" x14ac:dyDescent="0.25">
      <c r="A68" s="461"/>
      <c r="B68" s="135" t="s">
        <v>343</v>
      </c>
      <c r="C68" s="1092"/>
      <c r="D68" s="153"/>
      <c r="E68" s="153"/>
      <c r="F68" s="137"/>
      <c r="G68" s="137"/>
      <c r="H68" s="137"/>
      <c r="I68" s="136"/>
      <c r="J68" s="136"/>
      <c r="K68" s="136"/>
      <c r="L68" s="136"/>
      <c r="M68" s="136"/>
      <c r="N68" s="136"/>
      <c r="O68" s="136"/>
      <c r="P68" s="136"/>
      <c r="Q68" s="136"/>
      <c r="R68" s="153"/>
      <c r="S68" s="139"/>
      <c r="T68" s="148"/>
      <c r="U68" s="139"/>
      <c r="V68" s="149"/>
      <c r="W68" s="150"/>
      <c r="Y68" s="157"/>
      <c r="Z68" s="157"/>
    </row>
    <row r="69" spans="1:26" s="125" customFormat="1" x14ac:dyDescent="0.25">
      <c r="A69" s="461"/>
      <c r="B69" s="153" t="s">
        <v>362</v>
      </c>
      <c r="C69" s="1092"/>
      <c r="D69" s="153"/>
      <c r="E69" s="153"/>
      <c r="F69" s="141"/>
      <c r="G69" s="141"/>
      <c r="H69" s="141"/>
      <c r="I69" s="141"/>
      <c r="J69" s="141"/>
      <c r="K69" s="141"/>
      <c r="L69" s="141"/>
      <c r="M69" s="141"/>
      <c r="N69" s="141"/>
      <c r="O69" s="141"/>
      <c r="P69" s="141"/>
      <c r="Q69" s="141"/>
      <c r="R69" s="153"/>
      <c r="S69" s="139"/>
      <c r="T69" s="148"/>
      <c r="U69" s="139"/>
      <c r="V69" s="149"/>
      <c r="W69" s="150"/>
      <c r="Y69" s="157"/>
      <c r="Z69" s="157"/>
    </row>
    <row r="70" spans="1:26" s="125" customFormat="1" x14ac:dyDescent="0.25">
      <c r="A70" s="461"/>
      <c r="B70" s="153" t="s">
        <v>641</v>
      </c>
      <c r="C70" s="153">
        <v>275</v>
      </c>
      <c r="D70" s="153">
        <v>299</v>
      </c>
      <c r="E70" s="153">
        <v>299</v>
      </c>
      <c r="F70" s="141">
        <v>1048</v>
      </c>
      <c r="G70" s="141">
        <v>1363</v>
      </c>
      <c r="H70" s="141">
        <v>1305</v>
      </c>
      <c r="I70" s="141">
        <v>1441</v>
      </c>
      <c r="J70" s="141">
        <v>413</v>
      </c>
      <c r="K70" s="141">
        <v>1758</v>
      </c>
      <c r="L70" s="141">
        <v>1804</v>
      </c>
      <c r="M70" s="141">
        <v>1243</v>
      </c>
      <c r="N70" s="141">
        <v>1424</v>
      </c>
      <c r="O70" s="141">
        <v>277</v>
      </c>
      <c r="P70" s="141">
        <v>289</v>
      </c>
      <c r="Q70" s="141"/>
      <c r="R70" s="153"/>
      <c r="S70" s="139"/>
      <c r="T70" s="148"/>
      <c r="U70" s="139"/>
      <c r="V70" s="149"/>
      <c r="W70" s="150"/>
      <c r="Y70" s="157"/>
      <c r="Z70" s="157"/>
    </row>
    <row r="71" spans="1:26" s="125" customFormat="1" x14ac:dyDescent="0.25">
      <c r="A71" s="461"/>
      <c r="B71" s="135" t="s">
        <v>864</v>
      </c>
      <c r="C71" s="760">
        <v>120430</v>
      </c>
      <c r="D71" s="760">
        <v>127683</v>
      </c>
      <c r="E71" s="760">
        <v>150658</v>
      </c>
      <c r="F71" s="760">
        <v>189718</v>
      </c>
      <c r="G71" s="760">
        <v>177482</v>
      </c>
      <c r="H71" s="760">
        <v>150751</v>
      </c>
      <c r="I71" s="760">
        <v>121168</v>
      </c>
      <c r="J71" s="760">
        <v>114305</v>
      </c>
      <c r="K71" s="750">
        <v>113391</v>
      </c>
      <c r="L71" s="750">
        <v>312047</v>
      </c>
      <c r="M71" s="750">
        <v>136449</v>
      </c>
      <c r="N71" s="750">
        <v>35873</v>
      </c>
      <c r="O71" s="750">
        <v>23436</v>
      </c>
      <c r="P71" s="750">
        <v>36393</v>
      </c>
      <c r="Q71" s="728"/>
      <c r="R71" s="153"/>
      <c r="S71" s="139"/>
      <c r="T71" s="148"/>
      <c r="U71" s="139"/>
      <c r="V71" s="149"/>
      <c r="W71" s="150"/>
      <c r="Y71" s="157"/>
      <c r="Z71" s="157"/>
    </row>
    <row r="72" spans="1:26" s="125" customFormat="1" x14ac:dyDescent="0.25">
      <c r="A72" s="461"/>
      <c r="B72" s="135" t="s">
        <v>324</v>
      </c>
      <c r="C72" s="731">
        <v>5281</v>
      </c>
      <c r="D72" s="731">
        <v>6594.96</v>
      </c>
      <c r="E72" s="731">
        <v>6720.85</v>
      </c>
      <c r="F72" s="731">
        <v>6587.49</v>
      </c>
      <c r="G72" s="731">
        <v>5948.55</v>
      </c>
      <c r="H72" s="731">
        <v>5452.92</v>
      </c>
      <c r="I72" s="731">
        <v>3983.45</v>
      </c>
      <c r="J72" s="731">
        <v>4287.49</v>
      </c>
      <c r="K72" s="731">
        <v>4296.45</v>
      </c>
      <c r="L72" s="731">
        <v>6593.46</v>
      </c>
      <c r="M72" s="731">
        <v>8205.25</v>
      </c>
      <c r="N72" s="731">
        <v>7255.79</v>
      </c>
      <c r="O72" s="731">
        <v>3340.52</v>
      </c>
      <c r="P72" s="731">
        <v>9190.0400000000009</v>
      </c>
      <c r="Q72" s="731">
        <v>1936.24</v>
      </c>
      <c r="R72" s="153"/>
      <c r="S72" s="139"/>
      <c r="T72" s="148"/>
      <c r="U72" s="139"/>
      <c r="V72" s="149"/>
      <c r="W72" s="150"/>
      <c r="Y72" s="157"/>
      <c r="Z72" s="157"/>
    </row>
    <row r="73" spans="1:26" s="125" customFormat="1" x14ac:dyDescent="0.25">
      <c r="A73" s="461"/>
      <c r="B73" s="144" t="s">
        <v>348</v>
      </c>
      <c r="C73" s="1092"/>
      <c r="D73" s="153"/>
      <c r="E73" s="153"/>
      <c r="F73" s="736"/>
      <c r="G73" s="736"/>
      <c r="H73" s="736"/>
      <c r="I73" s="736"/>
      <c r="J73" s="731"/>
      <c r="K73" s="731"/>
      <c r="L73" s="731"/>
      <c r="M73" s="731"/>
      <c r="N73" s="731"/>
      <c r="O73" s="731"/>
      <c r="P73" s="731"/>
      <c r="Q73" s="731"/>
      <c r="R73" s="153"/>
      <c r="S73" s="139"/>
      <c r="T73" s="148"/>
      <c r="U73" s="139"/>
      <c r="V73" s="149"/>
      <c r="W73" s="150"/>
      <c r="Y73" s="157"/>
      <c r="Z73" s="157"/>
    </row>
    <row r="74" spans="1:26" s="125" customFormat="1" x14ac:dyDescent="0.25">
      <c r="A74" s="461"/>
      <c r="B74" s="195" t="s">
        <v>1087</v>
      </c>
      <c r="C74" s="1092"/>
      <c r="D74" s="153"/>
      <c r="E74" s="153"/>
      <c r="F74" s="731"/>
      <c r="G74" s="731"/>
      <c r="H74" s="731"/>
      <c r="I74" s="731"/>
      <c r="J74" s="731"/>
      <c r="K74" s="731"/>
      <c r="L74" s="731"/>
      <c r="M74" s="731"/>
      <c r="N74" s="731"/>
      <c r="O74" s="731"/>
      <c r="P74" s="731"/>
      <c r="Q74" s="731"/>
      <c r="R74" s="153"/>
      <c r="S74" s="139"/>
      <c r="T74" s="148"/>
      <c r="U74" s="139"/>
      <c r="V74" s="149"/>
      <c r="W74" s="150"/>
      <c r="Y74" s="157"/>
      <c r="Z74" s="157"/>
    </row>
    <row r="75" spans="1:26" s="125" customFormat="1" x14ac:dyDescent="0.25">
      <c r="A75" s="461"/>
      <c r="B75" s="144" t="s">
        <v>883</v>
      </c>
      <c r="C75" s="145">
        <v>229</v>
      </c>
      <c r="D75" s="145">
        <v>247.28</v>
      </c>
      <c r="E75" s="145">
        <v>246.83</v>
      </c>
      <c r="F75" s="145">
        <v>782.85</v>
      </c>
      <c r="G75" s="145">
        <v>1002.29</v>
      </c>
      <c r="H75" s="145">
        <v>945.52</v>
      </c>
      <c r="I75" s="145">
        <v>977.62</v>
      </c>
      <c r="J75" s="145">
        <v>305.32</v>
      </c>
      <c r="K75" s="145">
        <v>1088.3</v>
      </c>
      <c r="L75" s="145">
        <v>1115.43</v>
      </c>
      <c r="M75" s="145">
        <v>794.14</v>
      </c>
      <c r="N75" s="145">
        <v>932.98</v>
      </c>
      <c r="O75" s="145">
        <v>208.18</v>
      </c>
      <c r="P75" s="145">
        <v>216.39</v>
      </c>
      <c r="Q75" s="145"/>
      <c r="R75" s="145"/>
      <c r="S75" s="139"/>
      <c r="T75" s="148"/>
      <c r="U75" s="139"/>
      <c r="V75" s="149"/>
      <c r="W75" s="150"/>
      <c r="Y75" s="157"/>
      <c r="Z75" s="157"/>
    </row>
    <row r="76" spans="1:26" s="125" customFormat="1" x14ac:dyDescent="0.25">
      <c r="A76" s="461"/>
      <c r="B76" s="180"/>
      <c r="C76" s="179"/>
      <c r="D76" s="179"/>
      <c r="E76" s="179"/>
      <c r="F76" s="179"/>
      <c r="G76" s="179"/>
      <c r="H76" s="179"/>
      <c r="I76" s="179"/>
      <c r="J76" s="179"/>
      <c r="K76" s="179"/>
      <c r="L76" s="179"/>
      <c r="M76" s="179"/>
      <c r="N76" s="179"/>
      <c r="O76" s="179"/>
      <c r="P76" s="179"/>
      <c r="Q76" s="179"/>
      <c r="R76" s="179"/>
      <c r="S76" s="139"/>
      <c r="T76" s="148"/>
      <c r="U76" s="139"/>
      <c r="V76" s="149"/>
      <c r="W76" s="150"/>
      <c r="Y76" s="157"/>
      <c r="Z76" s="157"/>
    </row>
    <row r="77" spans="1:26" s="125" customFormat="1" x14ac:dyDescent="0.25">
      <c r="A77"/>
      <c r="B77" t="s">
        <v>1386</v>
      </c>
      <c r="C77"/>
      <c r="D77"/>
      <c r="E77"/>
      <c r="F77"/>
      <c r="G77"/>
      <c r="H77"/>
      <c r="I77"/>
      <c r="J77"/>
      <c r="K77"/>
      <c r="L77"/>
      <c r="M77"/>
      <c r="N77"/>
      <c r="O77"/>
      <c r="P77"/>
      <c r="Q77"/>
      <c r="R77"/>
      <c r="S77" s="139"/>
      <c r="T77" s="148"/>
      <c r="U77" s="139"/>
      <c r="V77" s="149"/>
      <c r="W77" s="150"/>
      <c r="Y77" s="157"/>
      <c r="Z77" s="157"/>
    </row>
    <row r="78" spans="1:26" x14ac:dyDescent="0.25">
      <c r="W78" s="149"/>
      <c r="X78" s="150"/>
    </row>
    <row r="79" spans="1:26" s="125" customFormat="1" x14ac:dyDescent="0.25">
      <c r="A79" s="461">
        <v>5</v>
      </c>
      <c r="B79" s="148" t="s">
        <v>555</v>
      </c>
      <c r="C79" s="152"/>
      <c r="S79" s="139"/>
      <c r="T79" s="148" t="s">
        <v>555</v>
      </c>
      <c r="U79" s="139"/>
      <c r="V79" s="149"/>
      <c r="W79" s="150"/>
      <c r="Y79" s="157"/>
      <c r="Z79" s="157"/>
    </row>
    <row r="80" spans="1:26" s="125" customFormat="1" x14ac:dyDescent="0.25">
      <c r="A80" s="462"/>
      <c r="B80" s="666" t="s">
        <v>1385</v>
      </c>
      <c r="C80" s="497"/>
      <c r="D80"/>
      <c r="E80"/>
      <c r="F80"/>
      <c r="G80"/>
      <c r="H80"/>
      <c r="I80"/>
      <c r="J80"/>
      <c r="K80"/>
      <c r="L80"/>
      <c r="M80"/>
      <c r="N80"/>
      <c r="O80"/>
      <c r="P80"/>
      <c r="Q80"/>
      <c r="R80"/>
      <c r="S80" s="139"/>
      <c r="T80" s="148"/>
      <c r="U80" s="139"/>
      <c r="V80" s="149"/>
      <c r="W80" s="150"/>
      <c r="Y80" s="157"/>
      <c r="Z80" s="157"/>
    </row>
    <row r="81" spans="1:26" s="125" customFormat="1" x14ac:dyDescent="0.25">
      <c r="A81" s="461"/>
      <c r="B81" s="130" t="s">
        <v>337</v>
      </c>
      <c r="C81" s="186" t="s">
        <v>1318</v>
      </c>
      <c r="D81" s="131">
        <v>42186</v>
      </c>
      <c r="E81" s="131">
        <v>42217</v>
      </c>
      <c r="F81" s="131">
        <v>42248</v>
      </c>
      <c r="G81" s="131">
        <v>42278</v>
      </c>
      <c r="H81" s="131">
        <v>42309</v>
      </c>
      <c r="I81" s="131">
        <v>42339</v>
      </c>
      <c r="J81" s="131">
        <v>42370</v>
      </c>
      <c r="K81" s="131">
        <v>42401</v>
      </c>
      <c r="L81" s="131">
        <v>42430</v>
      </c>
      <c r="M81" s="131">
        <v>42461</v>
      </c>
      <c r="N81" s="131">
        <v>42491</v>
      </c>
      <c r="O81" s="131">
        <v>42522</v>
      </c>
      <c r="P81" s="131">
        <v>42552</v>
      </c>
      <c r="Q81" s="151">
        <v>42583</v>
      </c>
      <c r="R81" s="131">
        <v>42627</v>
      </c>
      <c r="S81" s="139"/>
      <c r="T81" s="148"/>
      <c r="U81" s="139"/>
      <c r="V81" s="149"/>
      <c r="W81" s="150"/>
      <c r="Y81" s="157"/>
      <c r="Z81" s="157"/>
    </row>
    <row r="82" spans="1:26" s="125" customFormat="1" x14ac:dyDescent="0.25">
      <c r="A82" s="461"/>
      <c r="B82" s="135" t="s">
        <v>319</v>
      </c>
      <c r="C82" s="136">
        <v>71978</v>
      </c>
      <c r="D82" s="136">
        <v>85948</v>
      </c>
      <c r="E82" s="136">
        <v>85846</v>
      </c>
      <c r="F82" s="136">
        <v>75525</v>
      </c>
      <c r="G82" s="136">
        <v>65435</v>
      </c>
      <c r="H82" s="136">
        <v>63722</v>
      </c>
      <c r="I82" s="136">
        <v>50560</v>
      </c>
      <c r="J82" s="136">
        <v>44272</v>
      </c>
      <c r="K82" s="136">
        <v>51578</v>
      </c>
      <c r="L82" s="136">
        <v>67404</v>
      </c>
      <c r="M82" s="136">
        <v>69770</v>
      </c>
      <c r="N82" s="136">
        <v>75377</v>
      </c>
      <c r="O82" s="136">
        <v>85576</v>
      </c>
      <c r="P82" s="136">
        <v>101534</v>
      </c>
      <c r="Q82" s="136">
        <v>24528</v>
      </c>
      <c r="R82" s="153"/>
      <c r="S82" s="139"/>
      <c r="T82" s="148"/>
      <c r="U82" s="139"/>
      <c r="V82" s="149"/>
      <c r="W82" s="150"/>
      <c r="Y82" s="157"/>
      <c r="Z82" s="157"/>
    </row>
    <row r="83" spans="1:26" s="125" customFormat="1" x14ac:dyDescent="0.25">
      <c r="A83" s="461"/>
      <c r="B83" s="135" t="s">
        <v>343</v>
      </c>
      <c r="C83" s="1092"/>
      <c r="D83" s="153"/>
      <c r="E83" s="153"/>
      <c r="F83" s="137"/>
      <c r="G83" s="137"/>
      <c r="H83" s="137"/>
      <c r="I83" s="136"/>
      <c r="J83" s="136"/>
      <c r="K83" s="136"/>
      <c r="L83" s="136"/>
      <c r="M83" s="136"/>
      <c r="N83" s="136"/>
      <c r="O83" s="136"/>
      <c r="P83" s="136"/>
      <c r="Q83" s="136"/>
      <c r="R83" s="153"/>
      <c r="S83" s="139"/>
      <c r="T83" s="148"/>
      <c r="U83" s="139"/>
      <c r="V83" s="149"/>
      <c r="W83" s="150"/>
      <c r="Y83" s="157"/>
      <c r="Z83" s="157"/>
    </row>
    <row r="84" spans="1:26" s="125" customFormat="1" x14ac:dyDescent="0.25">
      <c r="A84" s="461"/>
      <c r="B84" s="153" t="s">
        <v>362</v>
      </c>
      <c r="C84" s="1092"/>
      <c r="D84" s="153"/>
      <c r="E84" s="153"/>
      <c r="F84" s="141"/>
      <c r="G84" s="141"/>
      <c r="H84" s="141"/>
      <c r="I84" s="141"/>
      <c r="J84" s="141"/>
      <c r="K84" s="141"/>
      <c r="L84" s="141"/>
      <c r="M84" s="141"/>
      <c r="N84" s="141"/>
      <c r="O84" s="141"/>
      <c r="P84" s="141"/>
      <c r="Q84" s="141"/>
      <c r="R84" s="153"/>
      <c r="S84" s="139"/>
      <c r="T84" s="148"/>
      <c r="U84" s="139"/>
      <c r="V84" s="149"/>
      <c r="W84" s="150"/>
      <c r="Y84" s="157"/>
      <c r="Z84" s="157"/>
    </row>
    <row r="85" spans="1:26" s="125" customFormat="1" x14ac:dyDescent="0.25">
      <c r="A85" s="461"/>
      <c r="B85" s="153" t="s">
        <v>641</v>
      </c>
      <c r="C85" s="153">
        <v>44</v>
      </c>
      <c r="D85" s="153">
        <v>42</v>
      </c>
      <c r="E85" s="153">
        <v>36</v>
      </c>
      <c r="F85" s="141">
        <v>40</v>
      </c>
      <c r="G85" s="141">
        <v>48</v>
      </c>
      <c r="H85" s="141">
        <v>42</v>
      </c>
      <c r="I85" s="141">
        <v>44</v>
      </c>
      <c r="J85" s="141">
        <v>50</v>
      </c>
      <c r="K85" s="141">
        <v>44</v>
      </c>
      <c r="L85" s="141">
        <v>45</v>
      </c>
      <c r="M85" s="141">
        <v>49</v>
      </c>
      <c r="N85" s="141">
        <v>45</v>
      </c>
      <c r="O85" s="141">
        <v>51</v>
      </c>
      <c r="P85" s="141">
        <v>39</v>
      </c>
      <c r="Q85" s="141"/>
      <c r="R85" s="153"/>
      <c r="S85" s="139"/>
      <c r="T85" s="148"/>
      <c r="U85" s="139"/>
      <c r="V85" s="149"/>
      <c r="W85" s="150"/>
      <c r="Y85" s="157"/>
      <c r="Z85" s="157"/>
    </row>
    <row r="86" spans="1:26" s="125" customFormat="1" x14ac:dyDescent="0.25">
      <c r="A86" s="461"/>
      <c r="B86" s="135" t="s">
        <v>864</v>
      </c>
      <c r="C86" s="760">
        <v>13138</v>
      </c>
      <c r="D86" s="760">
        <v>12157</v>
      </c>
      <c r="E86" s="760">
        <v>13940</v>
      </c>
      <c r="F86" s="760">
        <v>11790</v>
      </c>
      <c r="G86" s="760">
        <v>5472</v>
      </c>
      <c r="H86" s="760">
        <v>5359</v>
      </c>
      <c r="I86" s="760">
        <v>7986</v>
      </c>
      <c r="J86" s="760">
        <v>18983</v>
      </c>
      <c r="K86" s="750">
        <v>3178</v>
      </c>
      <c r="L86" s="750">
        <v>13821</v>
      </c>
      <c r="M86" s="750">
        <v>20524</v>
      </c>
      <c r="N86" s="750">
        <v>20347</v>
      </c>
      <c r="O86" s="750">
        <v>30042</v>
      </c>
      <c r="P86" s="750">
        <v>29190</v>
      </c>
      <c r="Q86" s="728"/>
      <c r="R86" s="153"/>
      <c r="S86" s="139"/>
      <c r="T86" s="148"/>
      <c r="U86" s="139"/>
      <c r="V86" s="149"/>
      <c r="W86" s="150"/>
      <c r="Y86" s="157"/>
      <c r="Z86" s="157"/>
    </row>
    <row r="87" spans="1:26" s="125" customFormat="1" x14ac:dyDescent="0.25">
      <c r="A87" s="461"/>
      <c r="B87" s="135" t="s">
        <v>324</v>
      </c>
      <c r="C87" s="731">
        <v>4439</v>
      </c>
      <c r="D87" s="731">
        <v>5346.18</v>
      </c>
      <c r="E87" s="731">
        <v>5339.83</v>
      </c>
      <c r="F87" s="731">
        <v>4697.84</v>
      </c>
      <c r="G87" s="731">
        <v>4070.22</v>
      </c>
      <c r="H87" s="731">
        <v>3963.67</v>
      </c>
      <c r="I87" s="731">
        <v>3144.96</v>
      </c>
      <c r="J87" s="731">
        <v>2753.83</v>
      </c>
      <c r="K87" s="731">
        <v>3208.28</v>
      </c>
      <c r="L87" s="731">
        <v>4192.7</v>
      </c>
      <c r="M87" s="731">
        <v>4339.87</v>
      </c>
      <c r="N87" s="731">
        <v>4688.6400000000003</v>
      </c>
      <c r="O87" s="731">
        <v>5323.04</v>
      </c>
      <c r="P87" s="731">
        <v>6315.67</v>
      </c>
      <c r="Q87" s="731">
        <v>1525.7</v>
      </c>
      <c r="R87" s="153"/>
      <c r="S87" s="139"/>
      <c r="T87" s="148"/>
      <c r="U87" s="139"/>
      <c r="V87" s="149"/>
      <c r="W87" s="150"/>
      <c r="Y87" s="157"/>
      <c r="Z87" s="157"/>
    </row>
    <row r="88" spans="1:26" s="125" customFormat="1" x14ac:dyDescent="0.25">
      <c r="A88" s="461"/>
      <c r="B88" s="144" t="s">
        <v>348</v>
      </c>
      <c r="C88" s="1092"/>
      <c r="D88" s="153"/>
      <c r="E88" s="153"/>
      <c r="F88" s="736"/>
      <c r="G88" s="736"/>
      <c r="H88" s="736"/>
      <c r="I88" s="736"/>
      <c r="J88" s="731"/>
      <c r="K88" s="731"/>
      <c r="L88" s="731"/>
      <c r="M88" s="731"/>
      <c r="N88" s="731"/>
      <c r="O88" s="731"/>
      <c r="P88" s="731"/>
      <c r="Q88" s="731"/>
      <c r="R88" s="153"/>
      <c r="S88" s="139"/>
      <c r="T88" s="148"/>
      <c r="U88" s="139"/>
      <c r="V88" s="149"/>
      <c r="W88" s="150"/>
      <c r="Y88" s="157"/>
      <c r="Z88" s="157"/>
    </row>
    <row r="89" spans="1:26" s="125" customFormat="1" x14ac:dyDescent="0.25">
      <c r="A89" s="461"/>
      <c r="B89" s="195" t="s">
        <v>1087</v>
      </c>
      <c r="C89" s="1092"/>
      <c r="D89" s="153"/>
      <c r="E89" s="153"/>
      <c r="F89" s="731"/>
      <c r="G89" s="731"/>
      <c r="H89" s="731"/>
      <c r="I89" s="731"/>
      <c r="J89" s="731"/>
      <c r="K89" s="731"/>
      <c r="L89" s="731"/>
      <c r="M89" s="731"/>
      <c r="N89" s="731"/>
      <c r="O89" s="731"/>
      <c r="P89" s="731"/>
      <c r="Q89" s="731"/>
      <c r="R89" s="153"/>
      <c r="S89" s="139"/>
      <c r="T89" s="148"/>
      <c r="U89" s="139"/>
      <c r="V89" s="149"/>
      <c r="W89" s="150"/>
      <c r="Y89" s="157"/>
      <c r="Z89" s="157"/>
    </row>
    <row r="90" spans="1:26" s="125" customFormat="1" x14ac:dyDescent="0.25">
      <c r="A90" s="461"/>
      <c r="B90" s="144" t="s">
        <v>883</v>
      </c>
      <c r="C90" s="145">
        <v>52.39</v>
      </c>
      <c r="D90" s="145">
        <v>50.84</v>
      </c>
      <c r="E90" s="145">
        <v>46.19</v>
      </c>
      <c r="F90" s="145">
        <v>49.24</v>
      </c>
      <c r="G90" s="145">
        <v>55.33</v>
      </c>
      <c r="H90" s="145">
        <v>50.47</v>
      </c>
      <c r="I90" s="145">
        <v>49.86</v>
      </c>
      <c r="J90" s="145">
        <v>53.7</v>
      </c>
      <c r="K90" s="145">
        <v>47.53</v>
      </c>
      <c r="L90" s="145">
        <v>48.18</v>
      </c>
      <c r="M90" s="145">
        <v>51.03</v>
      </c>
      <c r="N90" s="145">
        <v>49.5</v>
      </c>
      <c r="O90" s="145">
        <v>53.61</v>
      </c>
      <c r="P90" s="145">
        <v>45.4</v>
      </c>
      <c r="Q90" s="145"/>
      <c r="R90" s="145"/>
      <c r="S90" s="139"/>
      <c r="T90" s="148"/>
      <c r="U90" s="139"/>
      <c r="V90" s="149"/>
      <c r="W90" s="150"/>
      <c r="Y90" s="157"/>
      <c r="Z90" s="157"/>
    </row>
    <row r="91" spans="1:26" s="125" customFormat="1" x14ac:dyDescent="0.25">
      <c r="A91"/>
      <c r="B91"/>
      <c r="C91"/>
      <c r="D91"/>
      <c r="E91"/>
      <c r="F91"/>
      <c r="G91"/>
      <c r="H91"/>
      <c r="I91"/>
      <c r="J91"/>
      <c r="K91"/>
      <c r="L91"/>
      <c r="M91"/>
      <c r="N91"/>
      <c r="O91"/>
      <c r="P91"/>
      <c r="Q91"/>
      <c r="R91"/>
      <c r="S91" s="139"/>
      <c r="T91" s="148"/>
      <c r="U91" s="139"/>
      <c r="V91" s="149"/>
      <c r="W91" s="150"/>
      <c r="Y91" s="157"/>
      <c r="Z91" s="157"/>
    </row>
    <row r="92" spans="1:26" s="125" customFormat="1" x14ac:dyDescent="0.25">
      <c r="A92"/>
      <c r="B92" t="s">
        <v>1386</v>
      </c>
      <c r="C92"/>
      <c r="D92"/>
      <c r="E92"/>
      <c r="F92"/>
      <c r="G92"/>
      <c r="H92"/>
      <c r="I92"/>
      <c r="J92"/>
      <c r="K92"/>
      <c r="L92"/>
      <c r="M92"/>
      <c r="N92"/>
      <c r="O92"/>
      <c r="P92"/>
      <c r="Q92"/>
      <c r="R92"/>
      <c r="S92" s="139"/>
      <c r="T92" s="148"/>
      <c r="U92" s="139"/>
      <c r="V92" s="149"/>
      <c r="W92" s="150"/>
      <c r="Y92" s="157"/>
      <c r="Z92" s="157"/>
    </row>
    <row r="93" spans="1:26" x14ac:dyDescent="0.25">
      <c r="W93" s="149"/>
      <c r="X93" s="150"/>
    </row>
    <row r="94" spans="1:26" s="125" customFormat="1" x14ac:dyDescent="0.25">
      <c r="A94" s="461">
        <v>6</v>
      </c>
      <c r="B94" s="148" t="s">
        <v>556</v>
      </c>
      <c r="C94" s="152"/>
      <c r="D94" s="157"/>
      <c r="S94" s="126"/>
      <c r="T94" s="569" t="s">
        <v>556</v>
      </c>
      <c r="V94" s="126"/>
      <c r="Y94" s="157"/>
      <c r="Z94" s="157"/>
    </row>
    <row r="95" spans="1:26" s="125" customFormat="1" ht="18.75" x14ac:dyDescent="0.3">
      <c r="A95" s="461"/>
      <c r="B95" s="1039" t="s">
        <v>830</v>
      </c>
      <c r="C95" s="1040"/>
      <c r="D95" s="1040"/>
      <c r="E95" s="2259" t="s">
        <v>1328</v>
      </c>
      <c r="F95" s="2259"/>
      <c r="G95" s="1040"/>
      <c r="H95" s="1040"/>
      <c r="I95" s="1040"/>
      <c r="J95" s="1040"/>
      <c r="K95" s="1040"/>
      <c r="L95" s="1040"/>
      <c r="M95" s="1040"/>
      <c r="N95" s="1040"/>
      <c r="S95" s="126"/>
      <c r="T95" s="569"/>
      <c r="V95" s="126"/>
      <c r="Y95" s="157"/>
      <c r="Z95" s="157"/>
    </row>
    <row r="96" spans="1:26" s="125" customFormat="1" ht="18.75" x14ac:dyDescent="0.3">
      <c r="A96" s="461"/>
      <c r="B96" s="1039" t="s">
        <v>831</v>
      </c>
      <c r="C96" s="1040"/>
      <c r="D96" s="1040"/>
      <c r="E96" s="1040"/>
      <c r="F96" s="1040"/>
      <c r="G96" s="1040"/>
      <c r="H96" s="1040"/>
      <c r="I96" s="1040"/>
      <c r="J96" s="1040"/>
      <c r="K96" s="1040"/>
      <c r="L96" s="1040"/>
      <c r="M96" s="1040"/>
      <c r="N96" s="1040"/>
      <c r="S96" s="126"/>
      <c r="T96" s="569"/>
      <c r="V96" s="126"/>
      <c r="Y96" s="157"/>
      <c r="Z96" s="157"/>
    </row>
    <row r="97" spans="1:26" s="125" customFormat="1" x14ac:dyDescent="0.25">
      <c r="A97" s="461"/>
      <c r="B97" s="1040"/>
      <c r="C97" s="1040"/>
      <c r="D97" s="1040"/>
      <c r="E97" s="1040"/>
      <c r="F97" s="1040"/>
      <c r="G97" s="1040"/>
      <c r="H97" s="1040"/>
      <c r="I97" s="1040"/>
      <c r="J97" s="1040"/>
      <c r="K97" s="1040"/>
      <c r="L97" s="1040"/>
      <c r="M97" s="1040"/>
      <c r="N97" s="1040"/>
      <c r="S97" s="126"/>
      <c r="T97" s="569"/>
      <c r="V97" s="126"/>
      <c r="Y97" s="157"/>
      <c r="Z97" s="157"/>
    </row>
    <row r="98" spans="1:26" s="125" customFormat="1" x14ac:dyDescent="0.25">
      <c r="A98" s="461"/>
      <c r="B98" s="1040"/>
      <c r="C98" s="1040"/>
      <c r="D98" s="1040"/>
      <c r="E98" s="1040"/>
      <c r="F98" s="1040"/>
      <c r="G98" s="1040"/>
      <c r="H98" s="1040"/>
      <c r="I98" s="1040"/>
      <c r="J98" s="1040"/>
      <c r="K98" s="1040"/>
      <c r="L98" s="1040"/>
      <c r="M98" s="1040"/>
      <c r="N98" s="1040"/>
      <c r="S98" s="126"/>
      <c r="T98" s="569"/>
      <c r="V98" s="126"/>
      <c r="Y98" s="157"/>
      <c r="Z98" s="157"/>
    </row>
    <row r="99" spans="1:26" s="125" customFormat="1" ht="15.75" x14ac:dyDescent="0.25">
      <c r="A99" s="461"/>
      <c r="B99" s="1041" t="s">
        <v>850</v>
      </c>
      <c r="C99" s="701">
        <v>42217</v>
      </c>
      <c r="D99" s="701">
        <v>42248</v>
      </c>
      <c r="E99" s="701">
        <v>42278</v>
      </c>
      <c r="F99" s="701">
        <v>42309</v>
      </c>
      <c r="G99" s="701">
        <v>42339</v>
      </c>
      <c r="H99" s="701">
        <v>42370</v>
      </c>
      <c r="I99" s="701">
        <v>42401</v>
      </c>
      <c r="J99" s="701">
        <v>42430</v>
      </c>
      <c r="K99" s="701">
        <v>42461</v>
      </c>
      <c r="L99" s="701">
        <v>42491</v>
      </c>
      <c r="M99" s="701">
        <v>42522</v>
      </c>
      <c r="N99" s="701">
        <v>42552</v>
      </c>
      <c r="S99" s="126"/>
      <c r="T99" s="569"/>
      <c r="V99" s="126"/>
      <c r="Y99" s="157"/>
      <c r="Z99" s="157"/>
    </row>
    <row r="100" spans="1:26" s="125" customFormat="1" x14ac:dyDescent="0.25">
      <c r="A100" s="461"/>
      <c r="B100" s="1043" t="s">
        <v>851</v>
      </c>
      <c r="C100" s="1410"/>
      <c r="D100" s="1410"/>
      <c r="E100" s="1410"/>
      <c r="F100" s="1410"/>
      <c r="G100" s="1410"/>
      <c r="H100" s="1410"/>
      <c r="I100" s="1410"/>
      <c r="J100" s="1410"/>
      <c r="K100" s="1410"/>
      <c r="L100" s="1410"/>
      <c r="M100" s="1410"/>
      <c r="N100" s="1410"/>
      <c r="S100" s="126"/>
      <c r="T100" s="569"/>
      <c r="V100" s="126"/>
      <c r="Y100" s="157"/>
      <c r="Z100" s="157"/>
    </row>
    <row r="101" spans="1:26" s="125" customFormat="1" x14ac:dyDescent="0.25">
      <c r="A101" s="461"/>
      <c r="B101" s="1045"/>
      <c r="C101" s="1046"/>
      <c r="D101" s="1046"/>
      <c r="E101" s="1046"/>
      <c r="F101" s="1046"/>
      <c r="G101" s="1046"/>
      <c r="H101" s="1046"/>
      <c r="I101" s="1046"/>
      <c r="J101" s="1046"/>
      <c r="K101" s="1046"/>
      <c r="L101" s="1046"/>
      <c r="M101" s="1046"/>
      <c r="N101" s="1046"/>
      <c r="S101" s="126"/>
      <c r="T101" s="569"/>
      <c r="V101" s="126"/>
      <c r="Y101" s="157"/>
      <c r="Z101" s="157"/>
    </row>
    <row r="102" spans="1:26" s="125" customFormat="1" x14ac:dyDescent="0.25">
      <c r="A102" s="461"/>
      <c r="B102" s="1047" t="s">
        <v>852</v>
      </c>
      <c r="C102" s="1048">
        <v>151445</v>
      </c>
      <c r="D102" s="1048">
        <v>168628</v>
      </c>
      <c r="E102" s="1048">
        <v>183405</v>
      </c>
      <c r="F102" s="1048">
        <v>162532</v>
      </c>
      <c r="G102" s="1048">
        <v>200968</v>
      </c>
      <c r="H102" s="1048">
        <v>168714</v>
      </c>
      <c r="I102" s="1048">
        <v>143137</v>
      </c>
      <c r="J102" s="1048">
        <v>187325</v>
      </c>
      <c r="K102" s="1048">
        <v>151869</v>
      </c>
      <c r="L102" s="1048">
        <v>161325</v>
      </c>
      <c r="M102" s="1048">
        <v>187114</v>
      </c>
      <c r="N102" s="1048">
        <v>157789</v>
      </c>
      <c r="S102" s="126"/>
      <c r="T102" s="569"/>
      <c r="V102" s="126"/>
      <c r="Y102" s="157"/>
      <c r="Z102" s="157"/>
    </row>
    <row r="103" spans="1:26" s="125" customFormat="1" x14ac:dyDescent="0.25">
      <c r="A103" s="461"/>
      <c r="B103" s="1049"/>
      <c r="C103" s="1050"/>
      <c r="D103" s="1050"/>
      <c r="E103" s="1050"/>
      <c r="F103" s="1050"/>
      <c r="G103" s="1050"/>
      <c r="H103" s="1050"/>
      <c r="I103" s="1050"/>
      <c r="J103" s="1050"/>
      <c r="K103" s="1050"/>
      <c r="L103" s="1050"/>
      <c r="M103" s="1050"/>
      <c r="N103" s="1050"/>
      <c r="S103" s="126"/>
      <c r="T103" s="569"/>
      <c r="V103" s="126"/>
      <c r="Y103" s="157"/>
      <c r="Z103" s="157"/>
    </row>
    <row r="104" spans="1:26" s="125" customFormat="1" x14ac:dyDescent="0.25">
      <c r="A104" s="461"/>
      <c r="B104" s="1047" t="s">
        <v>853</v>
      </c>
      <c r="C104" s="1048">
        <v>676</v>
      </c>
      <c r="D104" s="1048">
        <v>558</v>
      </c>
      <c r="E104" s="1048">
        <v>557</v>
      </c>
      <c r="F104" s="1048">
        <v>498</v>
      </c>
      <c r="G104" s="1048">
        <v>478</v>
      </c>
      <c r="H104" s="1048">
        <v>524</v>
      </c>
      <c r="I104" s="1048">
        <v>1005</v>
      </c>
      <c r="J104" s="1048">
        <v>693</v>
      </c>
      <c r="K104" s="1048">
        <v>383</v>
      </c>
      <c r="L104" s="1048">
        <v>441</v>
      </c>
      <c r="M104" s="1048">
        <v>535</v>
      </c>
      <c r="N104" s="1048">
        <v>473</v>
      </c>
      <c r="S104" s="126"/>
      <c r="T104" s="569"/>
      <c r="V104" s="126"/>
      <c r="Y104" s="157"/>
      <c r="Z104" s="157"/>
    </row>
    <row r="105" spans="1:26" s="125" customFormat="1" x14ac:dyDescent="0.25">
      <c r="A105" s="461"/>
      <c r="B105" s="1049"/>
      <c r="C105" s="1050"/>
      <c r="D105" s="1050"/>
      <c r="E105" s="1050"/>
      <c r="F105" s="1050"/>
      <c r="G105" s="1050"/>
      <c r="H105" s="1050"/>
      <c r="I105" s="1050"/>
      <c r="J105" s="1050"/>
      <c r="K105" s="1050"/>
      <c r="L105" s="1050"/>
      <c r="M105" s="1050"/>
      <c r="N105" s="1050"/>
      <c r="S105" s="126"/>
      <c r="T105" s="569"/>
      <c r="V105" s="126"/>
      <c r="Y105" s="157"/>
      <c r="Z105" s="157"/>
    </row>
    <row r="106" spans="1:26" s="125" customFormat="1" x14ac:dyDescent="0.25">
      <c r="A106" s="461"/>
      <c r="B106" s="1047" t="s">
        <v>854</v>
      </c>
      <c r="C106" s="1048">
        <v>167354</v>
      </c>
      <c r="D106" s="1048">
        <v>155825</v>
      </c>
      <c r="E106" s="1048">
        <v>141384</v>
      </c>
      <c r="F106" s="1048">
        <v>38112</v>
      </c>
      <c r="G106" s="1048">
        <v>26509</v>
      </c>
      <c r="H106" s="1048">
        <v>34916</v>
      </c>
      <c r="I106" s="1048">
        <v>7</v>
      </c>
      <c r="J106" s="1048">
        <v>1984</v>
      </c>
      <c r="K106" s="1048">
        <v>22678</v>
      </c>
      <c r="L106" s="1048">
        <v>33930</v>
      </c>
      <c r="M106" s="1048">
        <v>80849</v>
      </c>
      <c r="N106" s="1048">
        <v>138870</v>
      </c>
      <c r="S106" s="126"/>
      <c r="T106" s="569"/>
      <c r="V106" s="126"/>
      <c r="Y106" s="157"/>
      <c r="Z106" s="157"/>
    </row>
    <row r="107" spans="1:26" s="125" customFormat="1" x14ac:dyDescent="0.25">
      <c r="A107" s="461"/>
      <c r="B107" s="1049"/>
      <c r="C107" s="1050"/>
      <c r="D107" s="1050"/>
      <c r="E107" s="1050"/>
      <c r="F107" s="1050"/>
      <c r="G107" s="1050"/>
      <c r="H107" s="1050"/>
      <c r="I107" s="1050"/>
      <c r="J107" s="1050"/>
      <c r="K107" s="1050"/>
      <c r="L107" s="1050"/>
      <c r="M107" s="1050"/>
      <c r="N107" s="1050"/>
      <c r="S107" s="126"/>
      <c r="T107" s="569"/>
      <c r="V107" s="126"/>
      <c r="Y107" s="157"/>
      <c r="Z107" s="157"/>
    </row>
    <row r="108" spans="1:26" s="125" customFormat="1" x14ac:dyDescent="0.25">
      <c r="A108" s="461"/>
      <c r="B108" s="1047" t="s">
        <v>855</v>
      </c>
      <c r="C108" s="1048">
        <v>159</v>
      </c>
      <c r="D108" s="1048">
        <v>201</v>
      </c>
      <c r="E108" s="1048">
        <v>366</v>
      </c>
      <c r="F108" s="1048">
        <v>434</v>
      </c>
      <c r="G108" s="1048">
        <v>513</v>
      </c>
      <c r="H108" s="1048">
        <v>311</v>
      </c>
      <c r="I108" s="1048">
        <v>240</v>
      </c>
      <c r="J108" s="1048">
        <v>329</v>
      </c>
      <c r="K108" s="1048">
        <v>358</v>
      </c>
      <c r="L108" s="1048">
        <v>258</v>
      </c>
      <c r="M108" s="1048">
        <v>310</v>
      </c>
      <c r="N108" s="1048">
        <v>169</v>
      </c>
      <c r="S108" s="126"/>
      <c r="T108" s="569"/>
      <c r="V108" s="126"/>
      <c r="Y108" s="157"/>
      <c r="Z108" s="157"/>
    </row>
    <row r="109" spans="1:26" s="125" customFormat="1" x14ac:dyDescent="0.25">
      <c r="A109" s="461"/>
      <c r="B109" s="1051"/>
      <c r="C109" s="1050"/>
      <c r="D109" s="1050"/>
      <c r="E109" s="1050"/>
      <c r="F109" s="1050"/>
      <c r="G109" s="1050"/>
      <c r="H109" s="1050"/>
      <c r="I109" s="1050"/>
      <c r="J109" s="1050"/>
      <c r="K109" s="1050"/>
      <c r="L109" s="1050"/>
      <c r="M109" s="1050"/>
      <c r="N109" s="1050"/>
      <c r="S109" s="126"/>
      <c r="T109" s="569"/>
      <c r="V109" s="126"/>
      <c r="Y109" s="157"/>
      <c r="Z109" s="157"/>
    </row>
    <row r="110" spans="1:26" s="125" customFormat="1" x14ac:dyDescent="0.25">
      <c r="A110" s="461"/>
      <c r="B110" s="1047" t="s">
        <v>856</v>
      </c>
      <c r="C110" s="1048">
        <v>391</v>
      </c>
      <c r="D110" s="1048">
        <v>328</v>
      </c>
      <c r="E110" s="1048">
        <v>372</v>
      </c>
      <c r="F110" s="1048">
        <v>261</v>
      </c>
      <c r="G110" s="1048">
        <v>161</v>
      </c>
      <c r="H110" s="1048">
        <v>134</v>
      </c>
      <c r="I110" s="1048">
        <v>161</v>
      </c>
      <c r="J110" s="1048">
        <v>176</v>
      </c>
      <c r="K110" s="1048">
        <v>190</v>
      </c>
      <c r="L110" s="1048">
        <v>202</v>
      </c>
      <c r="M110" s="1048">
        <v>155</v>
      </c>
      <c r="N110" s="1048">
        <v>152</v>
      </c>
      <c r="S110" s="126"/>
      <c r="T110" s="569"/>
      <c r="V110" s="126"/>
      <c r="Y110" s="157"/>
      <c r="Z110" s="157"/>
    </row>
    <row r="111" spans="1:26" s="125" customFormat="1" x14ac:dyDescent="0.25">
      <c r="A111" s="461"/>
      <c r="B111" s="1049"/>
      <c r="C111" s="1050"/>
      <c r="D111" s="1050"/>
      <c r="E111" s="1050"/>
      <c r="F111" s="1050"/>
      <c r="G111" s="1050"/>
      <c r="H111" s="1050"/>
      <c r="I111" s="1050"/>
      <c r="J111" s="1050"/>
      <c r="K111" s="1050"/>
      <c r="L111" s="1050"/>
      <c r="M111" s="1050"/>
      <c r="N111" s="1050"/>
      <c r="S111" s="126"/>
      <c r="T111" s="569"/>
      <c r="V111" s="126"/>
      <c r="Y111" s="157"/>
      <c r="Z111" s="157"/>
    </row>
    <row r="112" spans="1:26" s="125" customFormat="1" x14ac:dyDescent="0.25">
      <c r="A112" s="461"/>
      <c r="B112" s="1047" t="s">
        <v>857</v>
      </c>
      <c r="C112" s="1048">
        <v>391</v>
      </c>
      <c r="D112" s="1048">
        <v>328</v>
      </c>
      <c r="E112" s="1048">
        <v>372</v>
      </c>
      <c r="F112" s="1048">
        <v>261</v>
      </c>
      <c r="G112" s="1048">
        <v>161</v>
      </c>
      <c r="H112" s="1048">
        <v>134</v>
      </c>
      <c r="I112" s="1048">
        <v>161</v>
      </c>
      <c r="J112" s="1048">
        <v>176</v>
      </c>
      <c r="K112" s="1048">
        <v>190</v>
      </c>
      <c r="L112" s="1048">
        <v>202</v>
      </c>
      <c r="M112" s="1048">
        <v>155</v>
      </c>
      <c r="N112" s="1048">
        <v>152</v>
      </c>
      <c r="S112" s="126"/>
      <c r="T112" s="569"/>
      <c r="V112" s="126"/>
      <c r="Y112" s="157"/>
      <c r="Z112" s="157"/>
    </row>
    <row r="113" spans="1:26" s="125" customFormat="1" x14ac:dyDescent="0.25">
      <c r="A113" s="461"/>
      <c r="B113" s="1049"/>
      <c r="C113" s="1050"/>
      <c r="D113" s="1050"/>
      <c r="E113" s="1050"/>
      <c r="F113" s="1050"/>
      <c r="G113" s="1050"/>
      <c r="H113" s="1050"/>
      <c r="I113" s="1050"/>
      <c r="J113" s="1050"/>
      <c r="K113" s="1050"/>
      <c r="L113" s="1050"/>
      <c r="M113" s="1050"/>
      <c r="N113" s="1050"/>
      <c r="S113" s="126"/>
      <c r="T113" s="569"/>
      <c r="V113" s="126"/>
      <c r="Y113" s="157"/>
      <c r="Z113" s="157"/>
    </row>
    <row r="114" spans="1:26" s="125" customFormat="1" x14ac:dyDescent="0.25">
      <c r="A114" s="461"/>
      <c r="B114" s="1047" t="s">
        <v>858</v>
      </c>
      <c r="C114" s="1048">
        <v>135</v>
      </c>
      <c r="D114" s="1048">
        <v>135</v>
      </c>
      <c r="E114" s="1048">
        <v>135</v>
      </c>
      <c r="F114" s="1048">
        <v>135</v>
      </c>
      <c r="G114" s="1048">
        <v>135</v>
      </c>
      <c r="H114" s="1048">
        <v>135</v>
      </c>
      <c r="I114" s="1048">
        <v>135</v>
      </c>
      <c r="J114" s="1048">
        <v>135</v>
      </c>
      <c r="K114" s="1048">
        <v>135</v>
      </c>
      <c r="L114" s="1048">
        <v>135</v>
      </c>
      <c r="M114" s="1048">
        <v>135</v>
      </c>
      <c r="N114" s="1048">
        <v>135</v>
      </c>
      <c r="S114" s="126"/>
      <c r="T114" s="569"/>
      <c r="V114" s="126"/>
      <c r="Y114" s="157"/>
      <c r="Z114" s="157"/>
    </row>
    <row r="115" spans="1:26" s="125" customFormat="1" x14ac:dyDescent="0.25">
      <c r="A115" s="461"/>
      <c r="B115" s="1051"/>
      <c r="C115" s="1052"/>
      <c r="D115" s="1052"/>
      <c r="E115" s="1052"/>
      <c r="F115" s="1052"/>
      <c r="G115" s="1052"/>
      <c r="H115" s="1052"/>
      <c r="I115" s="1052"/>
      <c r="J115" s="1052"/>
      <c r="K115" s="1052"/>
      <c r="L115" s="1052"/>
      <c r="M115" s="1052"/>
      <c r="N115" s="1052"/>
      <c r="S115" s="126"/>
      <c r="T115" s="569"/>
      <c r="V115" s="126"/>
      <c r="Y115" s="157"/>
      <c r="Z115" s="157"/>
    </row>
    <row r="116" spans="1:26" s="125" customFormat="1" x14ac:dyDescent="0.25">
      <c r="A116" s="461"/>
      <c r="B116" s="1053" t="s">
        <v>913</v>
      </c>
      <c r="C116" s="1411"/>
      <c r="D116" s="1411"/>
      <c r="E116" s="1411"/>
      <c r="F116" s="1411"/>
      <c r="G116" s="1411"/>
      <c r="H116" s="1411"/>
      <c r="I116" s="1411"/>
      <c r="J116" s="1411"/>
      <c r="K116" s="1411"/>
      <c r="L116" s="1411"/>
      <c r="M116" s="1411"/>
      <c r="N116" s="1411"/>
      <c r="S116" s="126"/>
      <c r="T116" s="569"/>
      <c r="V116" s="126"/>
      <c r="Y116" s="157"/>
      <c r="Z116" s="157"/>
    </row>
    <row r="117" spans="1:26" s="125" customFormat="1" x14ac:dyDescent="0.25">
      <c r="A117" s="461"/>
      <c r="B117" s="1051"/>
      <c r="C117" s="1052"/>
      <c r="D117" s="1052"/>
      <c r="E117" s="1052"/>
      <c r="F117" s="1052"/>
      <c r="G117" s="1052"/>
      <c r="H117" s="1052"/>
      <c r="I117" s="1052"/>
      <c r="J117" s="1052"/>
      <c r="K117" s="1052"/>
      <c r="L117" s="1052"/>
      <c r="M117" s="1052"/>
      <c r="N117" s="1052"/>
      <c r="S117" s="126"/>
      <c r="T117" s="569"/>
      <c r="V117" s="126"/>
      <c r="Y117" s="157"/>
      <c r="Z117" s="157"/>
    </row>
    <row r="118" spans="1:26" s="125" customFormat="1" x14ac:dyDescent="0.25">
      <c r="A118" s="461"/>
      <c r="B118" s="1047" t="s">
        <v>914</v>
      </c>
      <c r="C118" s="1055">
        <v>9086.7000000000007</v>
      </c>
      <c r="D118" s="1055">
        <v>9864.74</v>
      </c>
      <c r="E118" s="1055">
        <v>11664.56</v>
      </c>
      <c r="F118" s="1055">
        <v>9946.9599999999991</v>
      </c>
      <c r="G118" s="1055">
        <v>9465.59</v>
      </c>
      <c r="H118" s="1055">
        <v>8520.06</v>
      </c>
      <c r="I118" s="1055">
        <v>9060.57</v>
      </c>
      <c r="J118" s="1055">
        <v>9628.51</v>
      </c>
      <c r="K118" s="1055">
        <v>9294.3799999999992</v>
      </c>
      <c r="L118" s="1055">
        <v>9372.98</v>
      </c>
      <c r="M118" s="1055">
        <v>8906.6299999999992</v>
      </c>
      <c r="N118" s="1055">
        <v>9498.9</v>
      </c>
      <c r="S118" s="126"/>
      <c r="T118" s="569"/>
      <c r="V118" s="126"/>
      <c r="Y118" s="157"/>
      <c r="Z118" s="157"/>
    </row>
    <row r="119" spans="1:26" s="125" customFormat="1" x14ac:dyDescent="0.25">
      <c r="A119" s="461"/>
      <c r="B119" s="1049"/>
      <c r="C119" s="1056"/>
      <c r="D119" s="1056"/>
      <c r="E119" s="1056"/>
      <c r="F119" s="1056"/>
      <c r="G119" s="1056"/>
      <c r="H119" s="1056"/>
      <c r="I119" s="1056"/>
      <c r="J119" s="1056"/>
      <c r="K119" s="1056"/>
      <c r="L119" s="1056"/>
      <c r="M119" s="1056"/>
      <c r="N119" s="1056"/>
      <c r="S119" s="126"/>
      <c r="T119" s="569"/>
      <c r="V119" s="126"/>
      <c r="Y119" s="157"/>
      <c r="Z119" s="157"/>
    </row>
    <row r="120" spans="1:26" s="125" customFormat="1" x14ac:dyDescent="0.25">
      <c r="A120" s="461"/>
      <c r="B120" s="1047" t="s">
        <v>915</v>
      </c>
      <c r="C120" s="1055">
        <v>7594.25</v>
      </c>
      <c r="D120" s="1055">
        <v>6268.63</v>
      </c>
      <c r="E120" s="1055">
        <v>6257.39</v>
      </c>
      <c r="F120" s="1055">
        <v>5594.58</v>
      </c>
      <c r="G120" s="1055">
        <v>5369.9</v>
      </c>
      <c r="H120" s="1055">
        <v>5886.67</v>
      </c>
      <c r="I120" s="1055">
        <v>11290.27</v>
      </c>
      <c r="J120" s="1055">
        <v>7785.23</v>
      </c>
      <c r="K120" s="1055">
        <v>4302.66</v>
      </c>
      <c r="L120" s="1055">
        <v>4954.24</v>
      </c>
      <c r="M120" s="1055">
        <v>6010.24</v>
      </c>
      <c r="N120" s="1055">
        <v>5202.91</v>
      </c>
      <c r="S120" s="126"/>
      <c r="T120" s="569"/>
      <c r="V120" s="126"/>
      <c r="Y120" s="157"/>
      <c r="Z120" s="157"/>
    </row>
    <row r="121" spans="1:26" s="125" customFormat="1" x14ac:dyDescent="0.25">
      <c r="A121" s="461"/>
      <c r="B121" s="1049"/>
      <c r="C121" s="1056"/>
      <c r="D121" s="1056"/>
      <c r="E121" s="1056"/>
      <c r="F121" s="1056"/>
      <c r="G121" s="1056"/>
      <c r="H121" s="1056"/>
      <c r="I121" s="1056"/>
      <c r="J121" s="1056"/>
      <c r="K121" s="1056"/>
      <c r="L121" s="1056"/>
      <c r="M121" s="1056"/>
      <c r="N121" s="1056"/>
      <c r="S121" s="126"/>
      <c r="T121" s="569"/>
      <c r="V121" s="126"/>
      <c r="Y121" s="157"/>
      <c r="Z121" s="157"/>
    </row>
    <row r="122" spans="1:26" s="125" customFormat="1" x14ac:dyDescent="0.25">
      <c r="A122" s="461"/>
      <c r="B122" s="1047" t="s">
        <v>916</v>
      </c>
      <c r="C122" s="1055">
        <v>16082.72</v>
      </c>
      <c r="D122" s="1055">
        <v>14974.78</v>
      </c>
      <c r="E122" s="1055">
        <v>13587</v>
      </c>
      <c r="F122" s="1055">
        <v>3662.56</v>
      </c>
      <c r="G122" s="1055">
        <v>2547.5100000000002</v>
      </c>
      <c r="H122" s="1055">
        <v>3355.43</v>
      </c>
      <c r="I122" s="1055">
        <v>0.67</v>
      </c>
      <c r="J122" s="1055">
        <v>190.66</v>
      </c>
      <c r="K122" s="1055">
        <v>2179.36</v>
      </c>
      <c r="L122" s="1055">
        <v>3260.67</v>
      </c>
      <c r="M122" s="1055">
        <v>7769.59</v>
      </c>
      <c r="N122" s="1055">
        <v>12706.61</v>
      </c>
      <c r="S122" s="126"/>
      <c r="T122" s="569"/>
      <c r="V122" s="126"/>
      <c r="Y122" s="157"/>
      <c r="Z122" s="157"/>
    </row>
    <row r="123" spans="1:26" s="125" customFormat="1" x14ac:dyDescent="0.25">
      <c r="A123" s="461"/>
      <c r="B123" s="1049"/>
      <c r="C123" s="1056"/>
      <c r="D123" s="1056"/>
      <c r="E123" s="1056"/>
      <c r="F123" s="1056"/>
      <c r="G123" s="1056"/>
      <c r="H123" s="1056"/>
      <c r="I123" s="1056"/>
      <c r="J123" s="1056"/>
      <c r="K123" s="1056"/>
      <c r="L123" s="1056"/>
      <c r="M123" s="1056"/>
      <c r="N123" s="1056"/>
      <c r="S123" s="126"/>
      <c r="T123" s="569"/>
      <c r="V123" s="126"/>
      <c r="Y123" s="157"/>
      <c r="Z123" s="157"/>
    </row>
    <row r="124" spans="1:26" s="125" customFormat="1" x14ac:dyDescent="0.25">
      <c r="A124" s="461"/>
      <c r="B124" s="1047" t="s">
        <v>917</v>
      </c>
      <c r="C124" s="1055">
        <v>103.76</v>
      </c>
      <c r="D124" s="1055">
        <v>131.16999999999999</v>
      </c>
      <c r="E124" s="1055">
        <v>521.9</v>
      </c>
      <c r="F124" s="1055">
        <v>618.32000000000005</v>
      </c>
      <c r="G124" s="1055">
        <v>704.68</v>
      </c>
      <c r="H124" s="1055">
        <v>411.34</v>
      </c>
      <c r="I124" s="1055">
        <v>305.94</v>
      </c>
      <c r="J124" s="1055">
        <v>402.56</v>
      </c>
      <c r="K124" s="1055">
        <v>438.04</v>
      </c>
      <c r="L124" s="1055">
        <v>322.76</v>
      </c>
      <c r="M124" s="1055">
        <v>396.3</v>
      </c>
      <c r="N124" s="1055">
        <v>108.02</v>
      </c>
      <c r="S124" s="126"/>
      <c r="T124" s="569"/>
      <c r="V124" s="126"/>
      <c r="Y124" s="157"/>
      <c r="Z124" s="157"/>
    </row>
    <row r="125" spans="1:26" s="125" customFormat="1" x14ac:dyDescent="0.25">
      <c r="A125" s="461"/>
      <c r="B125" s="1051"/>
      <c r="C125" s="1056"/>
      <c r="D125" s="1056"/>
      <c r="E125" s="1056"/>
      <c r="F125" s="1056"/>
      <c r="G125" s="1056"/>
      <c r="H125" s="1056"/>
      <c r="I125" s="1056"/>
      <c r="J125" s="1056"/>
      <c r="K125" s="1056"/>
      <c r="L125" s="1056"/>
      <c r="M125" s="1056"/>
      <c r="N125" s="1056"/>
      <c r="S125" s="126"/>
      <c r="T125" s="569"/>
      <c r="V125" s="126"/>
      <c r="Y125" s="157"/>
      <c r="Z125" s="157"/>
    </row>
    <row r="126" spans="1:26" s="125" customFormat="1" x14ac:dyDescent="0.25">
      <c r="A126" s="461"/>
      <c r="B126" s="1047" t="s">
        <v>918</v>
      </c>
      <c r="C126" s="1055">
        <v>3249.21</v>
      </c>
      <c r="D126" s="1055">
        <v>2725.68</v>
      </c>
      <c r="E126" s="1055">
        <v>3091.32</v>
      </c>
      <c r="F126" s="1055">
        <v>1140.57</v>
      </c>
      <c r="G126" s="1055">
        <v>703.57</v>
      </c>
      <c r="H126" s="1055">
        <v>585.58000000000004</v>
      </c>
      <c r="I126" s="1055">
        <v>703.57</v>
      </c>
      <c r="J126" s="1055">
        <v>769.12</v>
      </c>
      <c r="K126" s="1055">
        <v>830.3</v>
      </c>
      <c r="L126" s="1055">
        <v>882.74</v>
      </c>
      <c r="M126" s="1055">
        <v>1288.05</v>
      </c>
      <c r="N126" s="1055">
        <v>1263.1199999999999</v>
      </c>
      <c r="S126" s="126"/>
      <c r="T126" s="569"/>
      <c r="V126" s="126"/>
      <c r="Y126" s="157"/>
      <c r="Z126" s="157"/>
    </row>
    <row r="127" spans="1:26" s="125" customFormat="1" x14ac:dyDescent="0.25">
      <c r="A127" s="461"/>
      <c r="B127" s="1049"/>
      <c r="C127" s="1056"/>
      <c r="D127" s="1056"/>
      <c r="E127" s="1056"/>
      <c r="F127" s="1056"/>
      <c r="G127" s="1056"/>
      <c r="H127" s="1056"/>
      <c r="I127" s="1056"/>
      <c r="J127" s="1056"/>
      <c r="K127" s="1056"/>
      <c r="L127" s="1056"/>
      <c r="M127" s="1056"/>
      <c r="N127" s="1056"/>
      <c r="S127" s="126"/>
      <c r="T127" s="569"/>
      <c r="V127" s="126"/>
      <c r="Y127" s="157"/>
      <c r="Z127" s="157"/>
    </row>
    <row r="128" spans="1:26" s="125" customFormat="1" x14ac:dyDescent="0.25">
      <c r="A128" s="461"/>
      <c r="B128" s="1047" t="s">
        <v>919</v>
      </c>
      <c r="C128" s="1055">
        <v>2658.8</v>
      </c>
      <c r="D128" s="1055">
        <v>2230.4</v>
      </c>
      <c r="E128" s="1055">
        <v>2529.6</v>
      </c>
      <c r="F128" s="1055">
        <v>1774.8</v>
      </c>
      <c r="G128" s="1055">
        <v>1094.8</v>
      </c>
      <c r="H128" s="1055">
        <v>911.2</v>
      </c>
      <c r="I128" s="1055">
        <v>1094.8</v>
      </c>
      <c r="J128" s="1055">
        <v>1196.8</v>
      </c>
      <c r="K128" s="1055">
        <v>1292</v>
      </c>
      <c r="L128" s="1055">
        <v>1373.6</v>
      </c>
      <c r="M128" s="1055">
        <v>1054</v>
      </c>
      <c r="N128" s="1055">
        <v>1033.5999999999999</v>
      </c>
      <c r="S128" s="126"/>
      <c r="T128" s="569"/>
      <c r="V128" s="126"/>
      <c r="Y128" s="157"/>
      <c r="Z128" s="157"/>
    </row>
    <row r="129" spans="1:26" s="125" customFormat="1" x14ac:dyDescent="0.25">
      <c r="A129" s="461"/>
      <c r="B129" s="1049"/>
      <c r="C129" s="1056"/>
      <c r="D129" s="1056"/>
      <c r="E129" s="1056"/>
      <c r="F129" s="1056"/>
      <c r="G129" s="1056"/>
      <c r="H129" s="1056"/>
      <c r="I129" s="1056"/>
      <c r="J129" s="1056"/>
      <c r="K129" s="1056"/>
      <c r="L129" s="1056"/>
      <c r="M129" s="1056"/>
      <c r="N129" s="1056"/>
      <c r="S129" s="126"/>
      <c r="T129" s="569"/>
      <c r="V129" s="126"/>
      <c r="Y129" s="157"/>
      <c r="Z129" s="157"/>
    </row>
    <row r="130" spans="1:26" s="125" customFormat="1" x14ac:dyDescent="0.25">
      <c r="A130" s="461"/>
      <c r="B130" s="1047" t="s">
        <v>920</v>
      </c>
      <c r="C130" s="1055">
        <v>324</v>
      </c>
      <c r="D130" s="1055">
        <v>324</v>
      </c>
      <c r="E130" s="1055">
        <v>324</v>
      </c>
      <c r="F130" s="1055">
        <v>324</v>
      </c>
      <c r="G130" s="1055">
        <v>324</v>
      </c>
      <c r="H130" s="1055">
        <v>324</v>
      </c>
      <c r="I130" s="1055">
        <v>324</v>
      </c>
      <c r="J130" s="1055">
        <v>324</v>
      </c>
      <c r="K130" s="1055">
        <v>324</v>
      </c>
      <c r="L130" s="1055">
        <v>324</v>
      </c>
      <c r="M130" s="1055">
        <v>324</v>
      </c>
      <c r="N130" s="1055">
        <v>340.2</v>
      </c>
      <c r="S130" s="126"/>
      <c r="T130" s="569"/>
      <c r="V130" s="126"/>
      <c r="Y130" s="157"/>
      <c r="Z130" s="157"/>
    </row>
    <row r="131" spans="1:26" s="125" customFormat="1" x14ac:dyDescent="0.25">
      <c r="A131" s="461"/>
      <c r="B131" s="1047"/>
      <c r="C131" s="1057"/>
      <c r="D131" s="1057"/>
      <c r="E131" s="1057"/>
      <c r="F131" s="1057"/>
      <c r="G131" s="1057"/>
      <c r="H131" s="1057"/>
      <c r="I131" s="1057"/>
      <c r="J131" s="1057"/>
      <c r="K131" s="1057"/>
      <c r="L131" s="1057"/>
      <c r="M131" s="1057"/>
      <c r="N131" s="1057"/>
      <c r="S131" s="126"/>
      <c r="T131" s="569"/>
      <c r="V131" s="126"/>
      <c r="Y131" s="157"/>
      <c r="Z131" s="157"/>
    </row>
    <row r="132" spans="1:26" s="125" customFormat="1" x14ac:dyDescent="0.25">
      <c r="A132" s="461"/>
      <c r="B132" s="200"/>
      <c r="C132" s="152"/>
      <c r="E132" s="201"/>
      <c r="F132" s="202"/>
      <c r="G132" s="202"/>
      <c r="H132" s="203"/>
      <c r="I132" s="203"/>
      <c r="J132" s="203"/>
      <c r="K132" s="203"/>
      <c r="L132" s="203"/>
      <c r="M132" s="203"/>
      <c r="N132" s="203"/>
      <c r="O132" s="203"/>
      <c r="P132" s="203"/>
      <c r="S132" s="126"/>
      <c r="V132" s="126"/>
      <c r="W132" s="443"/>
      <c r="X132" s="444"/>
      <c r="Y132" s="157"/>
      <c r="Z132" s="157"/>
    </row>
    <row r="133" spans="1:26" s="128" customFormat="1" x14ac:dyDescent="0.25">
      <c r="A133" s="459">
        <v>7</v>
      </c>
      <c r="B133" s="172" t="s">
        <v>981</v>
      </c>
      <c r="C133" s="173"/>
      <c r="S133" s="173"/>
      <c r="T133" s="598" t="s">
        <v>557</v>
      </c>
      <c r="W133" s="129"/>
      <c r="Y133" s="166"/>
      <c r="Z133" s="764"/>
    </row>
    <row r="134" spans="1:26" x14ac:dyDescent="0.25">
      <c r="B134" s="464" t="s">
        <v>932</v>
      </c>
      <c r="C134"/>
      <c r="N134" s="477"/>
      <c r="Y134"/>
      <c r="Z134"/>
    </row>
    <row r="135" spans="1:26" s="128" customFormat="1" x14ac:dyDescent="0.25">
      <c r="A135" s="459"/>
      <c r="B135" s="465" t="s">
        <v>337</v>
      </c>
      <c r="C135" s="91">
        <v>42186</v>
      </c>
      <c r="D135" s="91">
        <v>42217</v>
      </c>
      <c r="E135" s="91">
        <v>42248</v>
      </c>
      <c r="F135" s="91">
        <v>42278</v>
      </c>
      <c r="G135" s="91">
        <v>42309</v>
      </c>
      <c r="H135" s="91">
        <v>42339</v>
      </c>
      <c r="I135" s="91">
        <v>42370</v>
      </c>
      <c r="J135" s="91">
        <v>42401</v>
      </c>
      <c r="K135" s="91">
        <v>42430</v>
      </c>
      <c r="L135" s="91">
        <v>42461</v>
      </c>
      <c r="M135" s="91">
        <v>42491</v>
      </c>
      <c r="N135" s="91">
        <v>42522</v>
      </c>
      <c r="O135" s="91" t="s">
        <v>923</v>
      </c>
      <c r="S135" s="173"/>
      <c r="T135" s="598"/>
      <c r="W135" s="129"/>
      <c r="Y135" s="166"/>
      <c r="Z135" s="764"/>
    </row>
    <row r="136" spans="1:26" s="128" customFormat="1" x14ac:dyDescent="0.25">
      <c r="A136" s="459"/>
      <c r="B136" s="95" t="s">
        <v>409</v>
      </c>
      <c r="C136" s="96">
        <v>41520</v>
      </c>
      <c r="D136" s="96">
        <v>43760</v>
      </c>
      <c r="E136" s="96">
        <v>43320</v>
      </c>
      <c r="F136" s="96">
        <v>58920</v>
      </c>
      <c r="G136" s="96">
        <v>42800</v>
      </c>
      <c r="H136" s="96">
        <v>34560</v>
      </c>
      <c r="I136" s="96">
        <v>29680</v>
      </c>
      <c r="J136" s="96">
        <v>27280</v>
      </c>
      <c r="K136" s="96">
        <v>43440</v>
      </c>
      <c r="L136" s="96">
        <v>3900</v>
      </c>
      <c r="M136" s="96">
        <v>41360</v>
      </c>
      <c r="N136" s="96">
        <v>46600</v>
      </c>
      <c r="O136" s="875">
        <f>SUM(C136:N136)</f>
        <v>457140</v>
      </c>
      <c r="S136" s="173"/>
      <c r="T136" s="598"/>
      <c r="W136" s="129"/>
      <c r="Y136" s="166"/>
      <c r="Z136" s="764"/>
    </row>
    <row r="137" spans="1:26" s="128" customFormat="1" x14ac:dyDescent="0.25">
      <c r="A137" s="459"/>
      <c r="B137" s="95" t="s">
        <v>322</v>
      </c>
      <c r="C137" s="101">
        <v>44880</v>
      </c>
      <c r="D137" s="893">
        <v>17204</v>
      </c>
      <c r="E137" s="101">
        <v>166804</v>
      </c>
      <c r="F137" s="96">
        <v>65824</v>
      </c>
      <c r="G137" s="96">
        <v>30668</v>
      </c>
      <c r="H137" s="96">
        <v>28424</v>
      </c>
      <c r="I137" s="96">
        <v>77044</v>
      </c>
      <c r="J137" s="96">
        <v>48620</v>
      </c>
      <c r="K137" s="96">
        <v>55352</v>
      </c>
      <c r="L137" s="96">
        <v>22440</v>
      </c>
      <c r="M137" s="96">
        <v>41140</v>
      </c>
      <c r="N137" s="96">
        <v>40392</v>
      </c>
      <c r="O137" s="877">
        <f>SUM(C137:N137)</f>
        <v>638792</v>
      </c>
      <c r="S137" s="173"/>
      <c r="T137" s="598"/>
      <c r="W137" s="129"/>
      <c r="Y137" s="166"/>
      <c r="Z137" s="764"/>
    </row>
    <row r="138" spans="1:26" s="128" customFormat="1" x14ac:dyDescent="0.25">
      <c r="A138" s="459"/>
      <c r="B138" s="104" t="s">
        <v>924</v>
      </c>
      <c r="C138" s="879">
        <v>315</v>
      </c>
      <c r="D138" s="879">
        <v>116</v>
      </c>
      <c r="E138" s="879">
        <v>77</v>
      </c>
      <c r="F138" s="879">
        <v>260</v>
      </c>
      <c r="G138" s="879">
        <v>256</v>
      </c>
      <c r="H138" s="879">
        <v>1382</v>
      </c>
      <c r="I138" s="879">
        <v>2629</v>
      </c>
      <c r="J138" s="879">
        <v>1370</v>
      </c>
      <c r="K138" s="879">
        <v>5683</v>
      </c>
      <c r="L138" s="879">
        <v>1508</v>
      </c>
      <c r="M138" s="879">
        <v>1463</v>
      </c>
      <c r="N138" s="879">
        <v>533</v>
      </c>
      <c r="O138" s="880">
        <f>SUM(C138:N138)</f>
        <v>15592</v>
      </c>
      <c r="S138" s="173"/>
      <c r="T138" s="598"/>
      <c r="W138" s="129"/>
      <c r="Y138" s="166"/>
      <c r="Z138" s="764"/>
    </row>
    <row r="139" spans="1:26" s="128" customFormat="1" x14ac:dyDescent="0.25">
      <c r="A139" s="459"/>
      <c r="B139"/>
      <c r="C139"/>
      <c r="D139"/>
      <c r="E139"/>
      <c r="F139"/>
      <c r="G139"/>
      <c r="H139"/>
      <c r="I139"/>
      <c r="J139"/>
      <c r="K139"/>
      <c r="L139"/>
      <c r="M139"/>
      <c r="N139" s="890"/>
      <c r="O139" s="477"/>
      <c r="S139" s="173"/>
      <c r="T139" s="598"/>
      <c r="W139" s="129"/>
      <c r="Y139" s="166"/>
      <c r="Z139" s="764"/>
    </row>
    <row r="140" spans="1:26" s="128" customFormat="1" x14ac:dyDescent="0.25">
      <c r="A140" s="459"/>
      <c r="B140" s="95" t="s">
        <v>347</v>
      </c>
      <c r="C140" s="866">
        <v>4459.0200000000004</v>
      </c>
      <c r="D140" s="866">
        <v>4658.28</v>
      </c>
      <c r="E140" s="866">
        <v>4596.1499999999996</v>
      </c>
      <c r="F140" s="1616">
        <v>5791.06</v>
      </c>
      <c r="G140" s="866">
        <v>4348.2</v>
      </c>
      <c r="H140" s="866">
        <v>3926.63</v>
      </c>
      <c r="I140" s="866">
        <v>3285.66</v>
      </c>
      <c r="J140" s="866">
        <v>3175.9</v>
      </c>
      <c r="K140" s="866">
        <v>4419.01</v>
      </c>
      <c r="L140" s="866">
        <v>4245.91</v>
      </c>
      <c r="M140" s="866">
        <v>4427</v>
      </c>
      <c r="N140" s="866">
        <v>4966.67</v>
      </c>
      <c r="O140" s="883">
        <f>SUM(C140:N140)</f>
        <v>52299.490000000005</v>
      </c>
      <c r="S140" s="173"/>
      <c r="T140" s="598"/>
      <c r="W140" s="129"/>
      <c r="Y140" s="166"/>
      <c r="Z140" s="764"/>
    </row>
    <row r="141" spans="1:26" s="128" customFormat="1" x14ac:dyDescent="0.25">
      <c r="A141" s="459"/>
      <c r="B141" s="112" t="s">
        <v>410</v>
      </c>
      <c r="C141" s="869">
        <v>1231.94</v>
      </c>
      <c r="D141" s="885">
        <v>950.74</v>
      </c>
      <c r="E141" s="869">
        <v>2420.7399999999998</v>
      </c>
      <c r="F141" s="869">
        <v>1444.74</v>
      </c>
      <c r="G141" s="869">
        <v>1087.54</v>
      </c>
      <c r="H141" s="869">
        <v>1079.74</v>
      </c>
      <c r="I141" s="869">
        <v>1558.74</v>
      </c>
      <c r="J141" s="869">
        <v>1269.94</v>
      </c>
      <c r="K141" s="869">
        <v>1338.34</v>
      </c>
      <c r="L141" s="869">
        <v>1003.94</v>
      </c>
      <c r="M141" s="869">
        <v>1193.94</v>
      </c>
      <c r="N141" s="869">
        <v>1206.32</v>
      </c>
      <c r="O141" s="886">
        <f>SUM(C141:N141)</f>
        <v>15786.660000000002</v>
      </c>
      <c r="S141" s="173"/>
      <c r="T141" s="598"/>
      <c r="W141" s="129"/>
      <c r="Y141" s="166"/>
      <c r="Z141" s="764"/>
    </row>
    <row r="142" spans="1:26" s="128" customFormat="1" x14ac:dyDescent="0.25">
      <c r="A142" s="459"/>
      <c r="B142" s="885" t="s">
        <v>925</v>
      </c>
      <c r="C142" s="869">
        <v>143.97999999999999</v>
      </c>
      <c r="D142" s="869">
        <v>100.21</v>
      </c>
      <c r="E142" s="869">
        <v>72.400000000000006</v>
      </c>
      <c r="F142" s="869">
        <v>202.82</v>
      </c>
      <c r="G142" s="869">
        <v>191.27</v>
      </c>
      <c r="H142" s="869">
        <v>878.2</v>
      </c>
      <c r="I142" s="869">
        <v>1607.87</v>
      </c>
      <c r="J142" s="869">
        <v>803.64</v>
      </c>
      <c r="K142" s="869">
        <v>3151.46</v>
      </c>
      <c r="L142" s="869">
        <v>885.69</v>
      </c>
      <c r="M142" s="869">
        <v>894.51</v>
      </c>
      <c r="N142" s="869">
        <v>278.02999999999997</v>
      </c>
      <c r="O142" s="886">
        <f>SUM(C142:N142)</f>
        <v>9210.0800000000017</v>
      </c>
      <c r="S142" s="173"/>
      <c r="T142" s="598"/>
      <c r="W142" s="129"/>
      <c r="Y142" s="166"/>
      <c r="Z142" s="764"/>
    </row>
    <row r="143" spans="1:26" s="128" customFormat="1" x14ac:dyDescent="0.25">
      <c r="A143" s="459"/>
      <c r="B143" s="1617"/>
      <c r="C143" s="1618"/>
      <c r="D143" s="1618"/>
      <c r="E143" s="1618"/>
      <c r="F143" s="1618"/>
      <c r="G143" s="1618"/>
      <c r="H143" s="1618"/>
      <c r="I143" s="1618"/>
      <c r="J143" s="1618"/>
      <c r="K143" s="1618"/>
      <c r="L143" s="1618"/>
      <c r="M143" s="1618"/>
      <c r="N143" s="1618"/>
      <c r="O143" s="1619"/>
      <c r="S143" s="173"/>
      <c r="T143" s="598"/>
      <c r="W143" s="129"/>
      <c r="Y143" s="166"/>
      <c r="Z143" s="764"/>
    </row>
    <row r="144" spans="1:26" s="128" customFormat="1" x14ac:dyDescent="0.25">
      <c r="A144" s="459"/>
      <c r="B144" t="s">
        <v>1396</v>
      </c>
      <c r="C144" s="485"/>
      <c r="D144"/>
      <c r="E144"/>
      <c r="F144"/>
      <c r="G144"/>
      <c r="H144"/>
      <c r="I144"/>
      <c r="J144" s="485"/>
      <c r="K144"/>
      <c r="L144"/>
      <c r="M144"/>
      <c r="N144"/>
      <c r="O144" s="477"/>
      <c r="S144" s="173"/>
      <c r="T144" s="598"/>
      <c r="W144" s="129"/>
      <c r="Y144" s="166"/>
      <c r="Z144" s="764"/>
    </row>
    <row r="145" spans="1:26" x14ac:dyDescent="0.25">
      <c r="W145" s="445"/>
      <c r="X145" s="116"/>
    </row>
    <row r="146" spans="1:26" s="125" customFormat="1" x14ac:dyDescent="0.25">
      <c r="A146" s="461">
        <v>8</v>
      </c>
      <c r="B146" s="148" t="s">
        <v>359</v>
      </c>
      <c r="C146" s="152"/>
      <c r="R146" s="139"/>
      <c r="S146" s="147"/>
      <c r="T146" s="569" t="s">
        <v>359</v>
      </c>
      <c r="U146" s="149"/>
      <c r="V146" s="150"/>
      <c r="Y146" s="157"/>
      <c r="Z146" s="157"/>
    </row>
    <row r="147" spans="1:26" s="125" customFormat="1" x14ac:dyDescent="0.25">
      <c r="A147" s="461"/>
      <c r="B147" s="712" t="s">
        <v>359</v>
      </c>
      <c r="C147" s="1646"/>
      <c r="D147" s="713"/>
      <c r="E147" s="713"/>
      <c r="F147" s="713"/>
      <c r="G147" s="713"/>
      <c r="H147" s="713"/>
      <c r="I147" s="713"/>
      <c r="J147" s="713"/>
      <c r="K147" s="713"/>
      <c r="L147" s="713"/>
      <c r="M147" s="713"/>
      <c r="N147" s="713"/>
      <c r="O147" s="713"/>
      <c r="P147" s="714"/>
      <c r="Q147" s="715"/>
      <c r="R147" s="716"/>
      <c r="S147" s="1211"/>
      <c r="T147" s="1647"/>
      <c r="U147" s="1150"/>
      <c r="V147" s="150"/>
      <c r="Y147" s="157"/>
      <c r="Z147" s="157"/>
    </row>
    <row r="148" spans="1:26" s="125" customFormat="1" x14ac:dyDescent="0.25">
      <c r="A148" s="461"/>
      <c r="B148" s="717" t="s">
        <v>337</v>
      </c>
      <c r="C148" s="1648"/>
      <c r="D148" s="719">
        <v>42217</v>
      </c>
      <c r="E148" s="719">
        <v>42248</v>
      </c>
      <c r="F148" s="719">
        <v>42278</v>
      </c>
      <c r="G148" s="719">
        <v>42309</v>
      </c>
      <c r="H148" s="719">
        <v>42339</v>
      </c>
      <c r="I148" s="719">
        <v>42370</v>
      </c>
      <c r="J148" s="719">
        <v>42401</v>
      </c>
      <c r="K148" s="719">
        <v>42430</v>
      </c>
      <c r="L148" s="719">
        <v>42461</v>
      </c>
      <c r="M148" s="719">
        <v>42491</v>
      </c>
      <c r="N148" s="719">
        <v>42522</v>
      </c>
      <c r="O148" s="719">
        <v>42552</v>
      </c>
      <c r="P148" s="735"/>
      <c r="Q148" s="720" t="s">
        <v>338</v>
      </c>
      <c r="R148" s="721" t="s">
        <v>339</v>
      </c>
      <c r="S148" s="1222"/>
      <c r="T148" s="720" t="s">
        <v>338</v>
      </c>
      <c r="U148" s="721" t="s">
        <v>339</v>
      </c>
      <c r="V148" s="150"/>
      <c r="Y148" s="157"/>
      <c r="Z148" s="157"/>
    </row>
    <row r="149" spans="1:26" s="125" customFormat="1" x14ac:dyDescent="0.25">
      <c r="A149" s="461"/>
      <c r="B149" s="722" t="s">
        <v>360</v>
      </c>
      <c r="C149" s="730"/>
      <c r="D149" s="454">
        <v>68623.999999999913</v>
      </c>
      <c r="E149" s="454">
        <v>67811.000000000029</v>
      </c>
      <c r="F149" s="454">
        <v>62411.000000000058</v>
      </c>
      <c r="G149" s="454">
        <v>53654.999999999971</v>
      </c>
      <c r="H149" s="454">
        <v>52771.999999999935</v>
      </c>
      <c r="I149" s="454">
        <v>55745.999999999978</v>
      </c>
      <c r="J149" s="723">
        <v>54644.000000000007</v>
      </c>
      <c r="K149" s="1144">
        <v>57649</v>
      </c>
      <c r="L149" s="1144">
        <v>55716</v>
      </c>
      <c r="M149" s="723">
        <v>55280</v>
      </c>
      <c r="N149" s="723">
        <v>57553</v>
      </c>
      <c r="O149" s="723">
        <v>53503</v>
      </c>
      <c r="P149" s="744"/>
      <c r="Q149" s="724">
        <f t="shared" ref="Q149:Q156" si="0">SUM(D149:O149)</f>
        <v>695363.99999999988</v>
      </c>
      <c r="R149" s="1145" t="s">
        <v>361</v>
      </c>
      <c r="S149" s="1211"/>
      <c r="T149" s="734">
        <f>Q149*0.003409512</f>
        <v>2370.8519023679996</v>
      </c>
      <c r="U149" s="1145" t="s">
        <v>342</v>
      </c>
      <c r="V149" s="150"/>
      <c r="Y149" s="157"/>
      <c r="Z149" s="157"/>
    </row>
    <row r="150" spans="1:26" s="125" customFormat="1" x14ac:dyDescent="0.25">
      <c r="A150" s="461"/>
      <c r="B150" s="722" t="s">
        <v>362</v>
      </c>
      <c r="C150" s="730"/>
      <c r="D150" s="454">
        <v>801.25</v>
      </c>
      <c r="E150" s="454">
        <v>669.8</v>
      </c>
      <c r="F150" s="454">
        <v>226.01</v>
      </c>
      <c r="G150" s="454">
        <v>128.13</v>
      </c>
      <c r="H150" s="454">
        <v>144.41</v>
      </c>
      <c r="I150" s="454">
        <v>24.11</v>
      </c>
      <c r="J150" s="723">
        <v>49.41</v>
      </c>
      <c r="K150" s="723">
        <v>185.8</v>
      </c>
      <c r="L150" s="723">
        <v>224.7</v>
      </c>
      <c r="M150" s="723">
        <v>345.7</v>
      </c>
      <c r="N150" s="723">
        <v>580.5</v>
      </c>
      <c r="O150" s="723">
        <v>617</v>
      </c>
      <c r="P150" s="744"/>
      <c r="Q150" s="724">
        <f t="shared" si="0"/>
        <v>3996.8199999999997</v>
      </c>
      <c r="R150" s="1145" t="s">
        <v>363</v>
      </c>
      <c r="S150" s="1211"/>
      <c r="T150" s="1649">
        <f>Q150</f>
        <v>3996.8199999999997</v>
      </c>
      <c r="U150" s="1145" t="s">
        <v>342</v>
      </c>
      <c r="V150" s="150"/>
      <c r="Y150" s="157"/>
      <c r="Z150" s="157"/>
    </row>
    <row r="151" spans="1:26" s="125" customFormat="1" x14ac:dyDescent="0.25">
      <c r="A151" s="461"/>
      <c r="B151" s="722" t="s">
        <v>364</v>
      </c>
      <c r="C151" s="730"/>
      <c r="D151" s="441">
        <v>295</v>
      </c>
      <c r="E151" s="441">
        <v>304</v>
      </c>
      <c r="F151" s="441">
        <v>355</v>
      </c>
      <c r="G151" s="441">
        <v>316</v>
      </c>
      <c r="H151" s="441">
        <v>314</v>
      </c>
      <c r="I151" s="441">
        <v>433</v>
      </c>
      <c r="J151" s="723">
        <v>365</v>
      </c>
      <c r="K151" s="723">
        <v>305</v>
      </c>
      <c r="L151" s="723">
        <v>287</v>
      </c>
      <c r="M151" s="723">
        <v>241</v>
      </c>
      <c r="N151" s="723">
        <v>78</v>
      </c>
      <c r="O151" s="754">
        <v>373</v>
      </c>
      <c r="P151" s="744"/>
      <c r="Q151" s="724">
        <f t="shared" si="0"/>
        <v>3666</v>
      </c>
      <c r="R151" s="1146" t="s">
        <v>365</v>
      </c>
      <c r="S151" s="1211"/>
      <c r="T151" s="756">
        <f>Q151</f>
        <v>3666</v>
      </c>
      <c r="U151" s="1145" t="s">
        <v>342</v>
      </c>
      <c r="V151" s="150"/>
      <c r="Y151" s="157"/>
      <c r="Z151" s="157"/>
    </row>
    <row r="152" spans="1:26" s="125" customFormat="1" x14ac:dyDescent="0.25">
      <c r="A152" s="461"/>
      <c r="B152" s="728" t="s">
        <v>864</v>
      </c>
      <c r="C152" s="730"/>
      <c r="D152" s="454">
        <v>50.094921630094035</v>
      </c>
      <c r="E152" s="454">
        <v>48.57134099616858</v>
      </c>
      <c r="F152" s="454">
        <v>50.272743055555551</v>
      </c>
      <c r="G152" s="454">
        <v>49.551942934782602</v>
      </c>
      <c r="H152" s="454">
        <v>39.997119565217389</v>
      </c>
      <c r="I152" s="723">
        <v>41.561022727272729</v>
      </c>
      <c r="J152" s="723">
        <v>48</v>
      </c>
      <c r="K152" s="723">
        <v>55.7</v>
      </c>
      <c r="L152" s="723">
        <v>62</v>
      </c>
      <c r="M152" s="723">
        <v>48</v>
      </c>
      <c r="N152" s="1650">
        <v>38</v>
      </c>
      <c r="O152" s="1170">
        <v>40.439574898785423</v>
      </c>
      <c r="P152" s="1171"/>
      <c r="Q152" s="724">
        <f t="shared" si="0"/>
        <v>572.1886658078763</v>
      </c>
      <c r="R152" s="1146" t="s">
        <v>379</v>
      </c>
      <c r="S152" s="1211"/>
      <c r="T152" s="756">
        <f>Q152*748</f>
        <v>427997.12202429149</v>
      </c>
      <c r="U152" s="1146" t="s">
        <v>346</v>
      </c>
      <c r="V152" s="150"/>
      <c r="Y152" s="157"/>
      <c r="Z152" s="157"/>
    </row>
    <row r="153" spans="1:26" s="125" customFormat="1" x14ac:dyDescent="0.25">
      <c r="A153" s="461"/>
      <c r="B153" s="722" t="s">
        <v>368</v>
      </c>
      <c r="C153" s="730"/>
      <c r="D153" s="731">
        <f>D149*0.086</f>
        <v>5901.6639999999916</v>
      </c>
      <c r="E153" s="731">
        <f t="shared" ref="E153:N153" si="1">E149*0.086</f>
        <v>5831.7460000000019</v>
      </c>
      <c r="F153" s="731">
        <f t="shared" si="1"/>
        <v>5367.346000000005</v>
      </c>
      <c r="G153" s="731">
        <f t="shared" si="1"/>
        <v>4614.3299999999972</v>
      </c>
      <c r="H153" s="731">
        <f t="shared" si="1"/>
        <v>4538.3919999999944</v>
      </c>
      <c r="I153" s="731">
        <f t="shared" si="1"/>
        <v>4794.1559999999981</v>
      </c>
      <c r="J153" s="731">
        <f t="shared" si="1"/>
        <v>4699.384</v>
      </c>
      <c r="K153" s="731">
        <f t="shared" si="1"/>
        <v>4957.8139999999994</v>
      </c>
      <c r="L153" s="731">
        <f t="shared" si="1"/>
        <v>4791.576</v>
      </c>
      <c r="M153" s="731">
        <f t="shared" si="1"/>
        <v>4754.08</v>
      </c>
      <c r="N153" s="731">
        <f t="shared" si="1"/>
        <v>4949.558</v>
      </c>
      <c r="O153" s="1208">
        <f>O149*0.087</f>
        <v>4654.7609999999995</v>
      </c>
      <c r="P153" s="745"/>
      <c r="Q153" s="724">
        <f t="shared" si="0"/>
        <v>59854.806999999986</v>
      </c>
      <c r="R153" s="1145" t="s">
        <v>865</v>
      </c>
      <c r="S153" s="1211"/>
      <c r="T153" s="1651"/>
      <c r="U153" s="1652"/>
      <c r="V153" s="150"/>
      <c r="Y153" s="157"/>
      <c r="Z153" s="157"/>
    </row>
    <row r="154" spans="1:26" s="125" customFormat="1" x14ac:dyDescent="0.25">
      <c r="A154" s="461"/>
      <c r="B154" s="722" t="s">
        <v>369</v>
      </c>
      <c r="C154" s="730"/>
      <c r="D154" s="731">
        <f>D150*13.97</f>
        <v>11193.4625</v>
      </c>
      <c r="E154" s="731">
        <f t="shared" ref="E154:N154" si="2">E150*13.97</f>
        <v>9357.1059999999998</v>
      </c>
      <c r="F154" s="731">
        <f t="shared" si="2"/>
        <v>3157.3597</v>
      </c>
      <c r="G154" s="731">
        <f t="shared" si="2"/>
        <v>1789.9761000000001</v>
      </c>
      <c r="H154" s="731">
        <f t="shared" si="2"/>
        <v>2017.4077</v>
      </c>
      <c r="I154" s="731">
        <f t="shared" si="2"/>
        <v>336.81670000000003</v>
      </c>
      <c r="J154" s="731">
        <f t="shared" si="2"/>
        <v>690.2577</v>
      </c>
      <c r="K154" s="731">
        <f t="shared" si="2"/>
        <v>2595.6260000000002</v>
      </c>
      <c r="L154" s="731">
        <f t="shared" si="2"/>
        <v>3139.0590000000002</v>
      </c>
      <c r="M154" s="731">
        <f t="shared" si="2"/>
        <v>4829.4290000000001</v>
      </c>
      <c r="N154" s="731">
        <f t="shared" si="2"/>
        <v>8109.585</v>
      </c>
      <c r="O154" s="1208">
        <f>O150*12.95</f>
        <v>7990.15</v>
      </c>
      <c r="P154" s="745"/>
      <c r="Q154" s="724">
        <f t="shared" si="0"/>
        <v>55206.235400000005</v>
      </c>
      <c r="R154" s="1145" t="s">
        <v>865</v>
      </c>
      <c r="S154" s="1211"/>
      <c r="T154" s="1647"/>
      <c r="U154" s="1150"/>
      <c r="V154" s="150"/>
      <c r="Y154" s="157"/>
      <c r="Z154" s="157"/>
    </row>
    <row r="155" spans="1:26" s="125" customFormat="1" ht="16.5" x14ac:dyDescent="0.35">
      <c r="A155" s="461"/>
      <c r="B155" s="722" t="s">
        <v>326</v>
      </c>
      <c r="C155" s="730"/>
      <c r="D155" s="731">
        <f>D151*13.39</f>
        <v>3950.05</v>
      </c>
      <c r="E155" s="731">
        <f t="shared" ref="E155:N155" si="3">E151*13.39</f>
        <v>4070.5600000000004</v>
      </c>
      <c r="F155" s="731">
        <f t="shared" si="3"/>
        <v>4753.45</v>
      </c>
      <c r="G155" s="731">
        <f t="shared" si="3"/>
        <v>4231.24</v>
      </c>
      <c r="H155" s="731">
        <f t="shared" si="3"/>
        <v>4204.46</v>
      </c>
      <c r="I155" s="731">
        <f t="shared" si="3"/>
        <v>5797.87</v>
      </c>
      <c r="J155" s="731">
        <f t="shared" si="3"/>
        <v>4887.3500000000004</v>
      </c>
      <c r="K155" s="731">
        <f t="shared" si="3"/>
        <v>4083.9500000000003</v>
      </c>
      <c r="L155" s="731">
        <f t="shared" si="3"/>
        <v>3842.9300000000003</v>
      </c>
      <c r="M155" s="731">
        <f t="shared" si="3"/>
        <v>3226.9900000000002</v>
      </c>
      <c r="N155" s="731">
        <f t="shared" si="3"/>
        <v>1044.42</v>
      </c>
      <c r="O155" s="1208">
        <f>O151*12.02</f>
        <v>4483.46</v>
      </c>
      <c r="P155" s="745"/>
      <c r="Q155" s="724">
        <f t="shared" si="0"/>
        <v>48576.729999999996</v>
      </c>
      <c r="R155" s="1145" t="s">
        <v>865</v>
      </c>
      <c r="S155" s="1211"/>
      <c r="T155" s="1653"/>
      <c r="U155" s="1150"/>
      <c r="V155" s="150"/>
      <c r="Y155" s="157"/>
      <c r="Z155" s="157"/>
    </row>
    <row r="156" spans="1:26" s="125" customFormat="1" x14ac:dyDescent="0.25">
      <c r="A156" s="461"/>
      <c r="B156" s="732" t="s">
        <v>325</v>
      </c>
      <c r="C156" s="714"/>
      <c r="D156" s="145">
        <f>D152*9.2</f>
        <v>460.87327899686511</v>
      </c>
      <c r="E156" s="145">
        <f t="shared" ref="E156:N156" si="4">E152*9.2</f>
        <v>446.85633716475093</v>
      </c>
      <c r="F156" s="145">
        <f t="shared" si="4"/>
        <v>462.50923611111102</v>
      </c>
      <c r="G156" s="145">
        <f t="shared" si="4"/>
        <v>455.8778749999999</v>
      </c>
      <c r="H156" s="145">
        <f t="shared" si="4"/>
        <v>367.97349999999994</v>
      </c>
      <c r="I156" s="145">
        <f t="shared" si="4"/>
        <v>382.36140909090909</v>
      </c>
      <c r="J156" s="145">
        <f t="shared" si="4"/>
        <v>441.59999999999997</v>
      </c>
      <c r="K156" s="145">
        <f t="shared" si="4"/>
        <v>512.43999999999994</v>
      </c>
      <c r="L156" s="145">
        <f t="shared" si="4"/>
        <v>570.4</v>
      </c>
      <c r="M156" s="145">
        <f t="shared" si="4"/>
        <v>441.59999999999997</v>
      </c>
      <c r="N156" s="145">
        <f t="shared" si="4"/>
        <v>349.59999999999997</v>
      </c>
      <c r="O156" s="1147">
        <f>O152*9.33</f>
        <v>377.30123380566801</v>
      </c>
      <c r="P156" s="1148"/>
      <c r="Q156" s="724">
        <f t="shared" si="0"/>
        <v>5269.3928701693039</v>
      </c>
      <c r="R156" s="1145" t="s">
        <v>865</v>
      </c>
      <c r="S156" s="1211"/>
      <c r="T156" s="1647"/>
      <c r="U156" s="1150"/>
      <c r="V156" s="150"/>
      <c r="Y156" s="157"/>
      <c r="Z156" s="157"/>
    </row>
    <row r="157" spans="1:26" s="125" customFormat="1" x14ac:dyDescent="0.25">
      <c r="A157" s="461"/>
      <c r="C157" s="152"/>
      <c r="T157" s="139"/>
      <c r="U157" s="147"/>
      <c r="V157" s="139"/>
      <c r="W157" s="149"/>
      <c r="X157" s="150"/>
      <c r="Y157" s="157"/>
      <c r="Z157" s="157"/>
    </row>
    <row r="158" spans="1:26" s="125" customFormat="1" x14ac:dyDescent="0.25">
      <c r="A158" s="461">
        <v>9</v>
      </c>
      <c r="B158" s="148" t="s">
        <v>413</v>
      </c>
      <c r="C158" s="152"/>
      <c r="S158" s="126"/>
      <c r="T158" s="569" t="s">
        <v>413</v>
      </c>
      <c r="V158" s="126"/>
      <c r="Y158" s="157"/>
      <c r="Z158" s="157"/>
    </row>
    <row r="159" spans="1:26" s="125" customFormat="1" ht="23.25" x14ac:dyDescent="0.35">
      <c r="A159" s="1820"/>
      <c r="B159" s="1245" t="s">
        <v>1190</v>
      </c>
      <c r="C159" s="477"/>
      <c r="D159" s="477"/>
      <c r="E159" s="477"/>
      <c r="F159" s="477"/>
      <c r="G159" s="477"/>
      <c r="H159"/>
      <c r="I159"/>
      <c r="J159"/>
      <c r="K159"/>
      <c r="L159"/>
      <c r="M159"/>
      <c r="N159"/>
      <c r="O159"/>
      <c r="P159"/>
      <c r="Q159"/>
      <c r="R159"/>
      <c r="S159" s="126"/>
      <c r="T159" s="569"/>
      <c r="V159" s="126"/>
      <c r="Y159" s="157"/>
      <c r="Z159" s="157"/>
    </row>
    <row r="160" spans="1:26" s="125" customFormat="1" x14ac:dyDescent="0.25">
      <c r="A160"/>
      <c r="B160" s="130" t="s">
        <v>337</v>
      </c>
      <c r="C160" s="186" t="s">
        <v>1318</v>
      </c>
      <c r="D160" s="131">
        <v>42200</v>
      </c>
      <c r="E160" s="131">
        <v>42231</v>
      </c>
      <c r="F160" s="131">
        <v>42262</v>
      </c>
      <c r="G160" s="131">
        <v>42292</v>
      </c>
      <c r="H160" s="131">
        <v>42323</v>
      </c>
      <c r="I160" s="131">
        <v>42353</v>
      </c>
      <c r="J160" s="131">
        <v>42385</v>
      </c>
      <c r="K160" s="131">
        <v>42416</v>
      </c>
      <c r="L160" s="131">
        <v>42445</v>
      </c>
      <c r="M160" s="131">
        <v>42476</v>
      </c>
      <c r="N160" s="131">
        <v>42506</v>
      </c>
      <c r="O160" s="131">
        <v>42537</v>
      </c>
      <c r="P160" s="131">
        <v>42567</v>
      </c>
      <c r="Q160" s="151">
        <v>42598</v>
      </c>
      <c r="R160" s="131">
        <v>42627</v>
      </c>
      <c r="S160" s="126"/>
      <c r="T160" s="569"/>
      <c r="V160" s="126"/>
      <c r="Y160" s="157"/>
      <c r="Z160" s="157"/>
    </row>
    <row r="161" spans="1:26" s="125" customFormat="1" x14ac:dyDescent="0.25">
      <c r="A161"/>
      <c r="B161" s="135" t="s">
        <v>319</v>
      </c>
      <c r="C161" s="136"/>
      <c r="D161" s="136">
        <v>57984</v>
      </c>
      <c r="E161" s="136">
        <v>59712</v>
      </c>
      <c r="F161" s="136">
        <v>61440</v>
      </c>
      <c r="G161" s="136">
        <v>54720</v>
      </c>
      <c r="H161" s="136">
        <v>48768</v>
      </c>
      <c r="I161" s="136">
        <v>35904</v>
      </c>
      <c r="J161" s="136">
        <v>35904</v>
      </c>
      <c r="K161" s="136">
        <v>55104</v>
      </c>
      <c r="L161" s="136">
        <v>67008</v>
      </c>
      <c r="M161" s="136">
        <v>56256</v>
      </c>
      <c r="N161" s="136">
        <v>78528</v>
      </c>
      <c r="O161" s="136">
        <v>130368</v>
      </c>
      <c r="P161" s="136"/>
      <c r="Q161" s="136"/>
      <c r="R161" s="157"/>
      <c r="S161" s="126"/>
      <c r="T161" s="569"/>
      <c r="V161" s="126"/>
      <c r="Y161" s="157"/>
      <c r="Z161" s="157"/>
    </row>
    <row r="162" spans="1:26" s="125" customFormat="1" x14ac:dyDescent="0.25">
      <c r="A162"/>
      <c r="B162" s="135" t="s">
        <v>343</v>
      </c>
      <c r="C162" s="137"/>
      <c r="D162" s="137">
        <v>0</v>
      </c>
      <c r="E162" s="137">
        <v>0</v>
      </c>
      <c r="F162" s="137">
        <v>0</v>
      </c>
      <c r="G162" s="137">
        <v>0</v>
      </c>
      <c r="H162" s="137">
        <v>0</v>
      </c>
      <c r="I162" s="136">
        <v>0</v>
      </c>
      <c r="J162" s="136">
        <v>0</v>
      </c>
      <c r="K162" s="136">
        <v>0</v>
      </c>
      <c r="L162" s="136">
        <v>0</v>
      </c>
      <c r="M162" s="136">
        <v>0</v>
      </c>
      <c r="N162" s="136">
        <v>0</v>
      </c>
      <c r="O162" s="136">
        <v>0</v>
      </c>
      <c r="P162" s="136">
        <v>0</v>
      </c>
      <c r="Q162" s="136"/>
      <c r="R162" s="157"/>
      <c r="S162" s="126"/>
      <c r="T162" s="569"/>
      <c r="V162" s="126"/>
      <c r="Y162" s="157"/>
      <c r="Z162" s="157"/>
    </row>
    <row r="163" spans="1:26" s="125" customFormat="1" x14ac:dyDescent="0.25">
      <c r="A163"/>
      <c r="B163" s="153" t="s">
        <v>362</v>
      </c>
      <c r="C163" s="141"/>
      <c r="D163" s="141">
        <v>0</v>
      </c>
      <c r="E163" s="141">
        <v>0</v>
      </c>
      <c r="F163" s="141">
        <v>0</v>
      </c>
      <c r="G163" s="141">
        <v>0</v>
      </c>
      <c r="H163" s="141">
        <v>0</v>
      </c>
      <c r="I163" s="141">
        <v>0</v>
      </c>
      <c r="J163" s="141">
        <v>0</v>
      </c>
      <c r="K163" s="141">
        <v>0</v>
      </c>
      <c r="L163" s="141">
        <v>0</v>
      </c>
      <c r="M163" s="141">
        <v>0</v>
      </c>
      <c r="N163" s="141">
        <v>0</v>
      </c>
      <c r="O163" s="141">
        <v>0</v>
      </c>
      <c r="P163" s="141">
        <v>0</v>
      </c>
      <c r="Q163" s="141"/>
      <c r="R163" s="157"/>
      <c r="S163" s="126"/>
      <c r="T163" s="569"/>
      <c r="V163" s="126"/>
      <c r="Y163" s="157"/>
      <c r="Z163" s="157"/>
    </row>
    <row r="164" spans="1:26" s="125" customFormat="1" x14ac:dyDescent="0.25">
      <c r="A164"/>
      <c r="B164" s="153" t="s">
        <v>641</v>
      </c>
      <c r="C164" s="141"/>
      <c r="D164" s="141">
        <v>0</v>
      </c>
      <c r="E164" s="141">
        <v>0</v>
      </c>
      <c r="F164" s="141">
        <v>0</v>
      </c>
      <c r="G164" s="141">
        <v>0</v>
      </c>
      <c r="H164" s="141">
        <v>0</v>
      </c>
      <c r="I164" s="141">
        <v>0</v>
      </c>
      <c r="J164" s="141">
        <v>0</v>
      </c>
      <c r="K164" s="141">
        <v>0</v>
      </c>
      <c r="L164" s="141">
        <v>0</v>
      </c>
      <c r="M164" s="141">
        <v>0</v>
      </c>
      <c r="N164" s="141">
        <v>0</v>
      </c>
      <c r="O164" s="141">
        <v>0</v>
      </c>
      <c r="P164" s="141">
        <v>0</v>
      </c>
      <c r="Q164" s="141"/>
      <c r="R164" s="157"/>
      <c r="S164" s="126"/>
      <c r="T164" s="569"/>
      <c r="V164" s="126"/>
      <c r="Y164" s="157"/>
      <c r="Z164" s="157"/>
    </row>
    <row r="165" spans="1:26" s="125" customFormat="1" x14ac:dyDescent="0.25">
      <c r="A165"/>
      <c r="B165" s="135" t="s">
        <v>864</v>
      </c>
      <c r="C165" s="760"/>
      <c r="D165" s="760"/>
      <c r="E165" s="760"/>
      <c r="F165" s="760"/>
      <c r="G165" s="760"/>
      <c r="H165" s="760"/>
      <c r="I165" s="760"/>
      <c r="J165" s="760"/>
      <c r="K165" s="750"/>
      <c r="L165" s="750"/>
      <c r="M165" s="750"/>
      <c r="N165" s="750"/>
      <c r="O165" s="750"/>
      <c r="P165" s="750"/>
      <c r="Q165" s="728"/>
      <c r="R165" s="157"/>
      <c r="S165" s="126"/>
      <c r="T165" s="569"/>
      <c r="V165" s="126"/>
      <c r="Y165" s="157"/>
      <c r="Z165" s="157"/>
    </row>
    <row r="166" spans="1:26" s="125" customFormat="1" x14ac:dyDescent="0.25">
      <c r="A166"/>
      <c r="B166" s="135" t="s">
        <v>324</v>
      </c>
      <c r="C166" s="731"/>
      <c r="D166" s="731">
        <v>6660.13</v>
      </c>
      <c r="E166" s="731">
        <v>7047.97</v>
      </c>
      <c r="F166" s="731">
        <v>6843.95</v>
      </c>
      <c r="G166" s="731">
        <v>6044.45</v>
      </c>
      <c r="H166" s="731">
        <v>5473.96</v>
      </c>
      <c r="I166" s="731">
        <v>3779.56</v>
      </c>
      <c r="J166" s="731">
        <v>3434.3</v>
      </c>
      <c r="K166" s="731">
        <v>4934.12</v>
      </c>
      <c r="L166" s="731">
        <v>6173.75</v>
      </c>
      <c r="M166" s="731">
        <v>6107.88</v>
      </c>
      <c r="N166" s="731">
        <v>7718.11</v>
      </c>
      <c r="O166" s="731">
        <v>12387.32</v>
      </c>
      <c r="P166" s="731"/>
      <c r="Q166" s="731"/>
      <c r="R166" s="157"/>
      <c r="S166" s="126"/>
      <c r="T166" s="569"/>
      <c r="V166" s="126"/>
      <c r="Y166" s="157"/>
      <c r="Z166" s="157"/>
    </row>
    <row r="167" spans="1:26" s="125" customFormat="1" x14ac:dyDescent="0.25">
      <c r="A167"/>
      <c r="B167" s="144" t="s">
        <v>348</v>
      </c>
      <c r="C167" s="736"/>
      <c r="D167" s="736">
        <v>0</v>
      </c>
      <c r="E167" s="736">
        <v>0</v>
      </c>
      <c r="F167" s="736">
        <v>0</v>
      </c>
      <c r="G167" s="736">
        <v>0</v>
      </c>
      <c r="H167" s="736">
        <v>0</v>
      </c>
      <c r="I167" s="736">
        <v>0</v>
      </c>
      <c r="J167" s="731">
        <v>0</v>
      </c>
      <c r="K167" s="731">
        <v>0</v>
      </c>
      <c r="L167" s="731">
        <v>0</v>
      </c>
      <c r="M167" s="731">
        <v>0</v>
      </c>
      <c r="N167" s="731">
        <v>0</v>
      </c>
      <c r="O167" s="731">
        <v>0</v>
      </c>
      <c r="P167" s="731">
        <v>0</v>
      </c>
      <c r="Q167" s="731"/>
      <c r="R167" s="157"/>
      <c r="S167" s="126"/>
      <c r="T167" s="569"/>
      <c r="V167" s="126"/>
      <c r="Y167" s="157"/>
      <c r="Z167" s="157"/>
    </row>
    <row r="168" spans="1:26" s="125" customFormat="1" x14ac:dyDescent="0.25">
      <c r="A168"/>
      <c r="B168" s="195" t="s">
        <v>1087</v>
      </c>
      <c r="C168" s="731"/>
      <c r="D168" s="731">
        <v>0</v>
      </c>
      <c r="E168" s="731">
        <v>0</v>
      </c>
      <c r="F168" s="731">
        <v>0</v>
      </c>
      <c r="G168" s="731">
        <v>0</v>
      </c>
      <c r="H168" s="731">
        <v>0</v>
      </c>
      <c r="I168" s="731">
        <v>0</v>
      </c>
      <c r="J168" s="731">
        <v>0</v>
      </c>
      <c r="K168" s="731">
        <v>0</v>
      </c>
      <c r="L168" s="731">
        <v>0</v>
      </c>
      <c r="M168" s="731">
        <v>0</v>
      </c>
      <c r="N168" s="731">
        <v>0</v>
      </c>
      <c r="O168" s="731">
        <v>0</v>
      </c>
      <c r="P168" s="731">
        <v>0</v>
      </c>
      <c r="Q168" s="731"/>
      <c r="R168" s="157"/>
      <c r="S168" s="126"/>
      <c r="T168" s="569"/>
      <c r="V168" s="126"/>
      <c r="Y168" s="157"/>
      <c r="Z168" s="157"/>
    </row>
    <row r="169" spans="1:26" s="125" customFormat="1" x14ac:dyDescent="0.25">
      <c r="A169"/>
      <c r="B169" s="144" t="s">
        <v>883</v>
      </c>
      <c r="C169" s="145"/>
      <c r="D169" s="145">
        <v>0</v>
      </c>
      <c r="E169" s="145">
        <v>0</v>
      </c>
      <c r="F169" s="145">
        <v>0</v>
      </c>
      <c r="G169" s="145">
        <v>0</v>
      </c>
      <c r="H169" s="145">
        <v>0</v>
      </c>
      <c r="I169" s="145">
        <v>0</v>
      </c>
      <c r="J169" s="145">
        <v>0</v>
      </c>
      <c r="K169" s="145">
        <v>0</v>
      </c>
      <c r="L169" s="145">
        <v>0</v>
      </c>
      <c r="M169" s="145">
        <v>0</v>
      </c>
      <c r="N169" s="145">
        <v>0</v>
      </c>
      <c r="O169" s="145">
        <v>0</v>
      </c>
      <c r="P169" s="145">
        <v>0</v>
      </c>
      <c r="Q169" s="145"/>
      <c r="R169" s="179"/>
      <c r="S169" s="126"/>
      <c r="T169" s="569"/>
      <c r="V169" s="126"/>
      <c r="Y169" s="157"/>
      <c r="Z169" s="157"/>
    </row>
    <row r="170" spans="1:26" s="125" customFormat="1" x14ac:dyDescent="0.25">
      <c r="A170" s="461"/>
      <c r="B170" s="148"/>
      <c r="C170" s="152"/>
      <c r="S170" s="126"/>
      <c r="T170" s="569"/>
      <c r="V170" s="126"/>
      <c r="Y170" s="157"/>
      <c r="Z170" s="157"/>
    </row>
    <row r="171" spans="1:26" s="128" customFormat="1" x14ac:dyDescent="0.25">
      <c r="A171" s="459">
        <v>10</v>
      </c>
      <c r="B171" s="172" t="s">
        <v>558</v>
      </c>
      <c r="C171" s="173"/>
      <c r="S171" s="173"/>
      <c r="T171" s="598" t="s">
        <v>558</v>
      </c>
      <c r="W171" s="129"/>
      <c r="Y171" s="166"/>
      <c r="Z171" s="764"/>
    </row>
    <row r="172" spans="1:26" s="128" customFormat="1" x14ac:dyDescent="0.25">
      <c r="A172" s="459"/>
      <c r="B172" s="464" t="s">
        <v>934</v>
      </c>
      <c r="C172" s="173"/>
      <c r="S172" s="173"/>
      <c r="T172" s="598"/>
      <c r="W172" s="129"/>
      <c r="Y172" s="166"/>
      <c r="Z172" s="764"/>
    </row>
    <row r="173" spans="1:26" s="128" customFormat="1" x14ac:dyDescent="0.25">
      <c r="A173" s="459"/>
      <c r="B173" s="465" t="s">
        <v>337</v>
      </c>
      <c r="C173" s="91">
        <v>42186</v>
      </c>
      <c r="D173" s="91">
        <v>42217</v>
      </c>
      <c r="E173" s="91">
        <v>42248</v>
      </c>
      <c r="F173" s="91">
        <v>42278</v>
      </c>
      <c r="G173" s="91">
        <v>42309</v>
      </c>
      <c r="H173" s="91">
        <v>42339</v>
      </c>
      <c r="I173" s="91">
        <v>42370</v>
      </c>
      <c r="J173" s="91">
        <v>42401</v>
      </c>
      <c r="K173" s="91">
        <v>42430</v>
      </c>
      <c r="L173" s="91">
        <v>42461</v>
      </c>
      <c r="M173" s="91">
        <v>42491</v>
      </c>
      <c r="N173" s="91">
        <v>42522</v>
      </c>
      <c r="O173" s="91" t="s">
        <v>923</v>
      </c>
      <c r="S173" s="173"/>
      <c r="T173" s="598"/>
      <c r="W173" s="129"/>
      <c r="Y173" s="166"/>
      <c r="Z173" s="764"/>
    </row>
    <row r="174" spans="1:26" s="128" customFormat="1" x14ac:dyDescent="0.25">
      <c r="A174" s="459"/>
      <c r="B174" s="95" t="s">
        <v>409</v>
      </c>
      <c r="C174" s="587">
        <v>52360</v>
      </c>
      <c r="D174" s="587">
        <v>43759</v>
      </c>
      <c r="E174" s="587">
        <v>44567</v>
      </c>
      <c r="F174" s="587">
        <v>53275</v>
      </c>
      <c r="G174" s="587">
        <v>42179</v>
      </c>
      <c r="H174" s="587">
        <v>32440</v>
      </c>
      <c r="I174" s="587">
        <v>44607</v>
      </c>
      <c r="J174" s="587">
        <v>36358</v>
      </c>
      <c r="K174" s="587">
        <v>250</v>
      </c>
      <c r="L174" s="587">
        <v>51400</v>
      </c>
      <c r="M174" s="587">
        <v>47064</v>
      </c>
      <c r="N174" s="587">
        <v>56146</v>
      </c>
      <c r="O174" s="861">
        <f>SUM(C174:N174)</f>
        <v>504405</v>
      </c>
      <c r="S174" s="173"/>
      <c r="T174" s="598"/>
      <c r="W174" s="129"/>
      <c r="Y174" s="166"/>
      <c r="Z174" s="764"/>
    </row>
    <row r="175" spans="1:26" s="128" customFormat="1" x14ac:dyDescent="0.25">
      <c r="A175" s="459"/>
      <c r="B175" s="95" t="s">
        <v>322</v>
      </c>
      <c r="C175" s="100">
        <v>9679.85</v>
      </c>
      <c r="D175" s="100">
        <v>7992.35</v>
      </c>
      <c r="E175" s="100">
        <v>7385.2</v>
      </c>
      <c r="F175" s="100">
        <v>920.92</v>
      </c>
      <c r="G175" s="100">
        <v>10200.26</v>
      </c>
      <c r="H175" s="100">
        <v>4696.43</v>
      </c>
      <c r="I175" s="100" t="s">
        <v>330</v>
      </c>
      <c r="J175" s="1620">
        <v>280.61</v>
      </c>
      <c r="K175" s="100">
        <v>4744.8999999999996</v>
      </c>
      <c r="L175" s="100">
        <v>10673.47</v>
      </c>
      <c r="M175" s="100">
        <v>6088.01</v>
      </c>
      <c r="N175" s="100">
        <v>5843.11</v>
      </c>
      <c r="O175" s="861">
        <f>SUM(C175:N175)</f>
        <v>68505.11</v>
      </c>
      <c r="S175" s="173"/>
      <c r="T175" s="598"/>
      <c r="W175" s="129"/>
      <c r="Y175" s="166"/>
      <c r="Z175" s="764"/>
    </row>
    <row r="176" spans="1:26" s="128" customFormat="1" x14ac:dyDescent="0.25">
      <c r="A176" s="459"/>
      <c r="B176" s="863" t="s">
        <v>924</v>
      </c>
      <c r="C176" s="1621">
        <v>23</v>
      </c>
      <c r="D176" s="1621">
        <v>31</v>
      </c>
      <c r="E176" s="1621">
        <v>27</v>
      </c>
      <c r="F176" s="1621">
        <v>99</v>
      </c>
      <c r="G176" s="1621">
        <v>601</v>
      </c>
      <c r="H176" s="1621">
        <v>978</v>
      </c>
      <c r="I176" s="100">
        <v>3984</v>
      </c>
      <c r="J176" s="1621">
        <v>2928</v>
      </c>
      <c r="K176" s="1621">
        <v>754</v>
      </c>
      <c r="L176" s="1621">
        <v>428</v>
      </c>
      <c r="M176" s="1621">
        <v>74</v>
      </c>
      <c r="N176" s="1621">
        <v>35</v>
      </c>
      <c r="O176" s="877">
        <f>SUM(C176:N176)</f>
        <v>9962</v>
      </c>
      <c r="S176" s="173"/>
      <c r="T176" s="598"/>
      <c r="W176" s="129"/>
      <c r="Y176" s="166"/>
      <c r="Z176" s="764"/>
    </row>
    <row r="177" spans="1:26" s="128" customFormat="1" x14ac:dyDescent="0.25">
      <c r="A177" s="459"/>
      <c r="B177" s="865"/>
      <c r="C177"/>
      <c r="D177"/>
      <c r="E177"/>
      <c r="F177"/>
      <c r="G177"/>
      <c r="H177"/>
      <c r="I177"/>
      <c r="J177"/>
      <c r="K177"/>
      <c r="L177"/>
      <c r="M177"/>
      <c r="N177"/>
      <c r="O177" s="477"/>
      <c r="S177" s="173"/>
      <c r="T177" s="598"/>
      <c r="W177" s="129"/>
      <c r="Y177" s="166"/>
      <c r="Z177" s="764"/>
    </row>
    <row r="178" spans="1:26" s="128" customFormat="1" x14ac:dyDescent="0.25">
      <c r="A178" s="459"/>
      <c r="B178" s="95" t="s">
        <v>347</v>
      </c>
      <c r="C178" s="866">
        <v>7055.76</v>
      </c>
      <c r="D178" s="866">
        <v>6534.48</v>
      </c>
      <c r="E178" s="866">
        <v>6312.33</v>
      </c>
      <c r="F178" s="866">
        <v>7261.31</v>
      </c>
      <c r="G178" s="866">
        <v>6112.41</v>
      </c>
      <c r="H178" s="866">
        <v>5032.46</v>
      </c>
      <c r="I178" s="866">
        <v>6292.22</v>
      </c>
      <c r="J178" s="866">
        <v>5457.24</v>
      </c>
      <c r="K178" s="866">
        <v>50.67</v>
      </c>
      <c r="L178" s="866">
        <v>7175.17</v>
      </c>
      <c r="M178" s="866">
        <v>6720.76</v>
      </c>
      <c r="N178" s="866">
        <v>7891.28</v>
      </c>
      <c r="O178" s="868">
        <f>SUM(C178:N178)</f>
        <v>71896.09</v>
      </c>
      <c r="S178" s="173"/>
      <c r="T178" s="598"/>
      <c r="W178" s="129"/>
      <c r="Y178" s="166"/>
      <c r="Z178" s="764"/>
    </row>
    <row r="179" spans="1:26" s="128" customFormat="1" x14ac:dyDescent="0.25">
      <c r="A179" s="459"/>
      <c r="B179" s="112" t="s">
        <v>410</v>
      </c>
      <c r="C179" s="1622">
        <v>555.95000000000005</v>
      </c>
      <c r="D179" s="1622">
        <v>472.79</v>
      </c>
      <c r="E179" s="1622">
        <v>489.63</v>
      </c>
      <c r="F179" s="1622">
        <v>230.21</v>
      </c>
      <c r="G179" s="1622">
        <v>535.39</v>
      </c>
      <c r="H179" s="1622">
        <v>287.5</v>
      </c>
      <c r="I179" s="1622">
        <v>117.72</v>
      </c>
      <c r="J179" s="1623">
        <v>101.15</v>
      </c>
      <c r="K179" s="1623">
        <v>248.15</v>
      </c>
      <c r="L179" s="1622">
        <v>451.38</v>
      </c>
      <c r="M179" s="1622">
        <v>350.08</v>
      </c>
      <c r="N179" s="1622">
        <v>419.38</v>
      </c>
      <c r="O179" s="1624">
        <f>SUM(C179:N179)</f>
        <v>4259.33</v>
      </c>
      <c r="S179" s="173"/>
      <c r="T179" s="598"/>
      <c r="W179" s="129"/>
      <c r="Y179" s="166"/>
      <c r="Z179" s="764"/>
    </row>
    <row r="180" spans="1:26" s="128" customFormat="1" x14ac:dyDescent="0.25">
      <c r="A180" s="459"/>
      <c r="B180" s="121" t="s">
        <v>925</v>
      </c>
      <c r="C180" s="1625">
        <v>61</v>
      </c>
      <c r="D180" s="1625">
        <v>66.010000000000005</v>
      </c>
      <c r="E180" s="1625">
        <v>63</v>
      </c>
      <c r="F180" s="1625">
        <v>115.39</v>
      </c>
      <c r="G180" s="1625">
        <v>456.26</v>
      </c>
      <c r="H180" s="1625">
        <v>717.3</v>
      </c>
      <c r="I180" s="1625">
        <v>2708.28</v>
      </c>
      <c r="J180" s="1625">
        <v>2001.65</v>
      </c>
      <c r="K180" s="1625">
        <v>526.83000000000004</v>
      </c>
      <c r="L180" s="1625">
        <v>336.53</v>
      </c>
      <c r="M180" s="1625">
        <v>94.71</v>
      </c>
      <c r="N180" s="1625">
        <v>68.86</v>
      </c>
      <c r="O180" s="1626">
        <f>SUM(C180:N180)</f>
        <v>7215.8199999999988</v>
      </c>
      <c r="S180" s="173"/>
      <c r="T180" s="598"/>
      <c r="W180" s="129"/>
      <c r="Y180" s="166"/>
      <c r="Z180" s="764"/>
    </row>
    <row r="181" spans="1:26" s="128" customFormat="1" x14ac:dyDescent="0.25">
      <c r="A181" s="459"/>
      <c r="B181"/>
      <c r="C181"/>
      <c r="D181"/>
      <c r="E181"/>
      <c r="F181"/>
      <c r="G181"/>
      <c r="H181"/>
      <c r="I181"/>
      <c r="J181"/>
      <c r="K181"/>
      <c r="L181"/>
      <c r="M181"/>
      <c r="N181"/>
      <c r="O181" s="477"/>
      <c r="S181" s="173"/>
      <c r="T181" s="598"/>
      <c r="W181" s="129"/>
      <c r="Y181" s="166"/>
      <c r="Z181" s="764"/>
    </row>
    <row r="182" spans="1:26" s="128" customFormat="1" x14ac:dyDescent="0.25">
      <c r="A182" s="459"/>
      <c r="B182" s="477" t="s">
        <v>926</v>
      </c>
      <c r="C182"/>
      <c r="D182"/>
      <c r="E182"/>
      <c r="F182"/>
      <c r="G182"/>
      <c r="H182"/>
      <c r="I182"/>
      <c r="J182"/>
      <c r="K182"/>
      <c r="L182"/>
      <c r="M182"/>
      <c r="N182"/>
      <c r="O182" s="477"/>
      <c r="S182" s="173"/>
      <c r="T182" s="598"/>
      <c r="W182" s="129"/>
      <c r="Y182" s="166"/>
      <c r="Z182" s="764"/>
    </row>
    <row r="183" spans="1:26" s="128" customFormat="1" x14ac:dyDescent="0.25">
      <c r="A183" s="459"/>
      <c r="B183" t="s">
        <v>927</v>
      </c>
      <c r="C183"/>
      <c r="D183"/>
      <c r="E183"/>
      <c r="F183"/>
      <c r="G183"/>
      <c r="H183"/>
      <c r="I183"/>
      <c r="J183"/>
      <c r="K183"/>
      <c r="L183"/>
      <c r="M183"/>
      <c r="N183"/>
      <c r="O183" s="477"/>
      <c r="S183" s="173"/>
      <c r="T183" s="598"/>
      <c r="W183" s="129"/>
      <c r="Y183" s="166"/>
      <c r="Z183" s="764"/>
    </row>
    <row r="184" spans="1:26" s="128" customFormat="1" x14ac:dyDescent="0.25">
      <c r="A184" s="459"/>
      <c r="B184" t="s">
        <v>1397</v>
      </c>
      <c r="C184"/>
      <c r="D184"/>
      <c r="E184"/>
      <c r="F184"/>
      <c r="G184"/>
      <c r="H184"/>
      <c r="I184"/>
      <c r="J184"/>
      <c r="K184"/>
      <c r="L184"/>
      <c r="M184"/>
      <c r="N184"/>
      <c r="O184" s="477"/>
      <c r="S184" s="173"/>
      <c r="T184" s="598"/>
      <c r="W184" s="129"/>
      <c r="Y184" s="166"/>
      <c r="Z184" s="764"/>
    </row>
    <row r="185" spans="1:26" x14ac:dyDescent="0.25">
      <c r="W185" s="445"/>
      <c r="X185" s="116"/>
    </row>
    <row r="186" spans="1:26" s="125" customFormat="1" ht="16.5" x14ac:dyDescent="0.35">
      <c r="A186" s="461">
        <v>11</v>
      </c>
      <c r="B186" s="127" t="s">
        <v>376</v>
      </c>
      <c r="C186" s="611"/>
      <c r="D186" s="179"/>
      <c r="E186" s="179"/>
      <c r="F186" s="179"/>
      <c r="G186" s="179"/>
      <c r="H186" s="179"/>
      <c r="I186" s="179"/>
      <c r="J186" s="179"/>
      <c r="K186" s="179"/>
      <c r="L186" s="179"/>
      <c r="M186" s="179"/>
      <c r="N186" s="179"/>
      <c r="O186" s="179"/>
      <c r="R186" s="149"/>
      <c r="S186" s="150"/>
      <c r="T186" s="569" t="s">
        <v>376</v>
      </c>
      <c r="U186" s="181"/>
      <c r="V186" s="150"/>
      <c r="Y186" s="157"/>
      <c r="Z186" s="157"/>
    </row>
    <row r="187" spans="1:26" s="128" customFormat="1" x14ac:dyDescent="0.25">
      <c r="A187" s="459"/>
      <c r="B187" s="172" t="s">
        <v>307</v>
      </c>
      <c r="C187" s="173"/>
      <c r="D187" s="172" t="s">
        <v>308</v>
      </c>
      <c r="S187" s="173"/>
      <c r="T187" s="172"/>
      <c r="W187" s="129"/>
      <c r="Y187" s="166"/>
      <c r="Z187" s="764"/>
    </row>
    <row r="188" spans="1:26" s="128" customFormat="1" x14ac:dyDescent="0.25">
      <c r="A188" s="459"/>
      <c r="B188" s="172"/>
      <c r="C188" s="173" t="s">
        <v>1336</v>
      </c>
      <c r="D188" s="128" t="s">
        <v>1337</v>
      </c>
      <c r="E188" s="128" t="s">
        <v>1338</v>
      </c>
      <c r="F188" s="128" t="s">
        <v>1339</v>
      </c>
      <c r="G188" s="128" t="s">
        <v>1340</v>
      </c>
      <c r="H188" s="128" t="s">
        <v>1341</v>
      </c>
      <c r="I188" s="128" t="s">
        <v>1342</v>
      </c>
      <c r="J188" s="128" t="s">
        <v>1343</v>
      </c>
      <c r="K188" s="128" t="s">
        <v>1344</v>
      </c>
      <c r="L188" s="128" t="s">
        <v>1345</v>
      </c>
      <c r="M188" s="128" t="s">
        <v>1346</v>
      </c>
      <c r="N188" s="128" t="s">
        <v>1347</v>
      </c>
      <c r="S188" s="173"/>
      <c r="T188" s="172"/>
      <c r="W188" s="129"/>
      <c r="Y188" s="166"/>
      <c r="Z188" s="764"/>
    </row>
    <row r="189" spans="1:26" s="128" customFormat="1" x14ac:dyDescent="0.25">
      <c r="A189" s="459"/>
      <c r="B189" s="128" t="s">
        <v>694</v>
      </c>
      <c r="C189" s="173"/>
      <c r="S189" s="173"/>
      <c r="T189" s="172"/>
      <c r="W189" s="129"/>
      <c r="Y189" s="166"/>
      <c r="Z189" s="764"/>
    </row>
    <row r="190" spans="1:26" s="128" customFormat="1" x14ac:dyDescent="0.25">
      <c r="A190" s="459"/>
      <c r="B190" s="128" t="s">
        <v>695</v>
      </c>
      <c r="C190" s="173">
        <v>439536</v>
      </c>
      <c r="D190" s="128">
        <v>433347</v>
      </c>
      <c r="E190" s="128">
        <v>433663</v>
      </c>
      <c r="F190" s="128">
        <v>441674</v>
      </c>
      <c r="G190" s="128">
        <v>417461</v>
      </c>
      <c r="H190" s="128">
        <v>430847</v>
      </c>
      <c r="I190" s="128">
        <v>426042.9</v>
      </c>
      <c r="J190" s="128">
        <v>403208.3</v>
      </c>
      <c r="K190" s="128">
        <v>436202.6</v>
      </c>
      <c r="L190" s="128">
        <v>417591</v>
      </c>
      <c r="M190" s="128">
        <v>422135.4</v>
      </c>
      <c r="N190" s="128">
        <v>408032</v>
      </c>
      <c r="S190" s="173"/>
      <c r="T190" s="172"/>
      <c r="W190" s="129"/>
      <c r="Y190" s="166"/>
      <c r="Z190" s="764"/>
    </row>
    <row r="191" spans="1:26" s="128" customFormat="1" x14ac:dyDescent="0.25">
      <c r="A191" s="459"/>
      <c r="B191" s="128" t="s">
        <v>696</v>
      </c>
      <c r="C191" s="173">
        <v>156</v>
      </c>
      <c r="D191" s="128">
        <v>149</v>
      </c>
      <c r="E191" s="128">
        <v>169</v>
      </c>
      <c r="F191" s="128">
        <v>872</v>
      </c>
      <c r="G191" s="128">
        <v>1662</v>
      </c>
      <c r="H191" s="128">
        <v>2824</v>
      </c>
      <c r="I191" s="128">
        <v>2299</v>
      </c>
      <c r="J191" s="128">
        <v>437</v>
      </c>
      <c r="K191" s="128">
        <v>1635</v>
      </c>
      <c r="L191" s="128">
        <v>1516</v>
      </c>
      <c r="M191" s="128">
        <v>260</v>
      </c>
      <c r="N191" s="128">
        <v>157</v>
      </c>
      <c r="S191" s="173"/>
      <c r="T191" s="172"/>
      <c r="W191" s="129"/>
      <c r="Y191" s="166"/>
      <c r="Z191" s="764"/>
    </row>
    <row r="192" spans="1:26" s="128" customFormat="1" x14ac:dyDescent="0.25">
      <c r="A192" s="459"/>
      <c r="B192" s="128" t="s">
        <v>697</v>
      </c>
      <c r="C192" s="173">
        <v>4410</v>
      </c>
      <c r="D192" s="128">
        <v>5359</v>
      </c>
      <c r="E192" s="128">
        <v>9127</v>
      </c>
      <c r="F192" s="128">
        <v>8827</v>
      </c>
      <c r="G192" s="128">
        <v>11326</v>
      </c>
      <c r="H192" s="128">
        <v>11084</v>
      </c>
      <c r="I192" s="128">
        <v>12616</v>
      </c>
      <c r="J192" s="128">
        <v>9158</v>
      </c>
      <c r="K192" s="128">
        <v>17051.400000000001</v>
      </c>
      <c r="L192" s="128">
        <v>13434.3</v>
      </c>
      <c r="M192" s="128">
        <v>7685.1</v>
      </c>
      <c r="N192" s="128">
        <v>6763.5</v>
      </c>
      <c r="S192" s="173"/>
      <c r="T192" s="172"/>
      <c r="W192" s="129"/>
      <c r="Y192" s="166"/>
      <c r="Z192" s="764"/>
    </row>
    <row r="193" spans="1:26" s="128" customFormat="1" x14ac:dyDescent="0.25">
      <c r="A193" s="459"/>
      <c r="B193" s="128" t="s">
        <v>705</v>
      </c>
      <c r="C193" s="173">
        <v>3176</v>
      </c>
      <c r="D193" s="128">
        <v>2770</v>
      </c>
      <c r="E193" s="128">
        <v>2066</v>
      </c>
      <c r="F193" s="128">
        <v>1356</v>
      </c>
      <c r="G193" s="128">
        <v>948</v>
      </c>
      <c r="H193" s="128">
        <v>1080</v>
      </c>
      <c r="I193" s="128">
        <v>439</v>
      </c>
      <c r="J193" s="128">
        <v>557</v>
      </c>
      <c r="K193" s="128">
        <v>1095.8</v>
      </c>
      <c r="L193" s="128">
        <v>1149</v>
      </c>
      <c r="M193" s="128">
        <v>1621.1</v>
      </c>
      <c r="N193" s="128">
        <v>2159.9</v>
      </c>
      <c r="S193" s="173"/>
      <c r="T193" s="172"/>
      <c r="W193" s="129"/>
      <c r="Y193" s="166"/>
      <c r="Z193" s="764"/>
    </row>
    <row r="194" spans="1:26" s="128" customFormat="1" x14ac:dyDescent="0.25">
      <c r="A194" s="459"/>
      <c r="B194" s="128" t="s">
        <v>706</v>
      </c>
      <c r="C194" s="173">
        <v>339</v>
      </c>
      <c r="D194" s="128">
        <v>369</v>
      </c>
      <c r="E194" s="128">
        <v>348</v>
      </c>
      <c r="F194" s="128">
        <v>524</v>
      </c>
      <c r="G194" s="128">
        <v>646</v>
      </c>
      <c r="H194" s="128">
        <v>569</v>
      </c>
      <c r="I194" s="128">
        <v>759</v>
      </c>
      <c r="J194" s="128">
        <v>627</v>
      </c>
      <c r="K194" s="128">
        <v>446.5</v>
      </c>
      <c r="L194" s="128">
        <v>397.3</v>
      </c>
      <c r="M194" s="128">
        <v>372.6</v>
      </c>
      <c r="N194" s="128">
        <v>191</v>
      </c>
      <c r="S194" s="173"/>
      <c r="T194" s="172"/>
      <c r="W194" s="129"/>
      <c r="Y194" s="166"/>
      <c r="Z194" s="764"/>
    </row>
    <row r="195" spans="1:26" s="128" customFormat="1" x14ac:dyDescent="0.25">
      <c r="A195" s="459"/>
      <c r="C195" s="173"/>
      <c r="S195" s="173"/>
      <c r="T195" s="172"/>
      <c r="W195" s="129"/>
      <c r="Y195" s="166"/>
      <c r="Z195" s="764"/>
    </row>
    <row r="196" spans="1:26" s="128" customFormat="1" x14ac:dyDescent="0.25">
      <c r="A196" s="459"/>
      <c r="B196" s="128" t="s">
        <v>698</v>
      </c>
      <c r="C196" s="173"/>
      <c r="S196" s="173"/>
      <c r="T196" s="172"/>
      <c r="W196" s="129"/>
      <c r="Y196" s="166"/>
      <c r="Z196" s="764"/>
    </row>
    <row r="197" spans="1:26" s="128" customFormat="1" x14ac:dyDescent="0.25">
      <c r="A197" s="459"/>
      <c r="B197" s="128" t="s">
        <v>699</v>
      </c>
      <c r="C197" s="173">
        <v>29343.639231404253</v>
      </c>
      <c r="D197" s="128">
        <v>28943.791900527267</v>
      </c>
      <c r="E197" s="128">
        <v>28983.309606651379</v>
      </c>
      <c r="F197" s="128">
        <v>26989.897368832942</v>
      </c>
      <c r="G197" s="128">
        <v>23487.984202029238</v>
      </c>
      <c r="H197" s="128">
        <v>24260.643089552632</v>
      </c>
      <c r="I197" s="128">
        <v>24122.946966062162</v>
      </c>
      <c r="J197" s="128">
        <v>23542.741578200992</v>
      </c>
      <c r="K197" s="128">
        <v>25675.480468875387</v>
      </c>
      <c r="L197" s="128">
        <v>23963.228380561595</v>
      </c>
      <c r="M197" s="128">
        <v>24720.571418577569</v>
      </c>
      <c r="N197" s="128">
        <v>26352.499882974706</v>
      </c>
      <c r="S197" s="173"/>
      <c r="T197" s="172"/>
      <c r="W197" s="129"/>
      <c r="Y197" s="166"/>
      <c r="Z197" s="764"/>
    </row>
    <row r="198" spans="1:26" s="128" customFormat="1" x14ac:dyDescent="0.25">
      <c r="A198" s="459"/>
      <c r="B198" s="128" t="s">
        <v>700</v>
      </c>
      <c r="C198" s="173">
        <v>131.31</v>
      </c>
      <c r="D198" s="128">
        <v>126.4</v>
      </c>
      <c r="E198" s="128">
        <v>140.41999999999999</v>
      </c>
      <c r="F198" s="128">
        <v>633.01</v>
      </c>
      <c r="G198" s="128">
        <v>1178.32</v>
      </c>
      <c r="H198" s="128">
        <v>1963.47</v>
      </c>
      <c r="I198" s="128">
        <v>1571.35</v>
      </c>
      <c r="J198" s="128">
        <v>314.16000000000003</v>
      </c>
      <c r="K198" s="128">
        <v>1115.0999999999999</v>
      </c>
      <c r="L198" s="128">
        <v>1039.81</v>
      </c>
      <c r="M198" s="128">
        <v>199.7</v>
      </c>
      <c r="N198" s="128">
        <v>129.63999999999999</v>
      </c>
      <c r="S198" s="173"/>
      <c r="T198" s="172"/>
      <c r="W198" s="129"/>
      <c r="Y198" s="166"/>
      <c r="Z198" s="764"/>
    </row>
    <row r="199" spans="1:26" s="128" customFormat="1" x14ac:dyDescent="0.25">
      <c r="A199" s="459"/>
      <c r="B199" s="128" t="s">
        <v>701</v>
      </c>
      <c r="C199" s="173">
        <v>328.69121995451627</v>
      </c>
      <c r="D199" s="128">
        <v>404.99462315968515</v>
      </c>
      <c r="E199" s="128">
        <v>698.71803869939322</v>
      </c>
      <c r="F199" s="128">
        <v>723.29845531017691</v>
      </c>
      <c r="G199" s="128">
        <v>934.86361332068498</v>
      </c>
      <c r="H199" s="128">
        <v>949.99298726850475</v>
      </c>
      <c r="I199" s="128">
        <v>1169.1478710103092</v>
      </c>
      <c r="J199" s="128">
        <v>759.20731972970577</v>
      </c>
      <c r="K199" s="128">
        <v>1400.7989374740209</v>
      </c>
      <c r="L199" s="128">
        <v>1085.4327240475193</v>
      </c>
      <c r="M199" s="128">
        <v>606.80908753019992</v>
      </c>
      <c r="N199" s="128">
        <v>444.15443918534891</v>
      </c>
      <c r="S199" s="173"/>
      <c r="T199" s="172"/>
      <c r="W199" s="129"/>
      <c r="Y199" s="166"/>
      <c r="Z199" s="764"/>
    </row>
    <row r="200" spans="1:26" s="128" customFormat="1" x14ac:dyDescent="0.25">
      <c r="A200" s="459"/>
      <c r="B200" s="128" t="s">
        <v>707</v>
      </c>
      <c r="C200" s="173">
        <v>16372.387885245536</v>
      </c>
      <c r="D200" s="128">
        <v>14377.939979226903</v>
      </c>
      <c r="E200" s="128">
        <v>10936.447202521824</v>
      </c>
      <c r="F200" s="128">
        <v>6758.9774457802287</v>
      </c>
      <c r="G200" s="128">
        <v>4955.9043363789879</v>
      </c>
      <c r="H200" s="128">
        <v>4723.8497867620918</v>
      </c>
      <c r="I200" s="128">
        <v>2613.669849475923</v>
      </c>
      <c r="J200" s="128">
        <v>3309.6246570194003</v>
      </c>
      <c r="K200" s="128">
        <v>5343.2287604618959</v>
      </c>
      <c r="L200" s="128">
        <v>3718.4897072142976</v>
      </c>
      <c r="M200" s="128">
        <v>6603.2634471089559</v>
      </c>
      <c r="N200" s="128">
        <v>9545.3459306320292</v>
      </c>
      <c r="S200" s="173"/>
      <c r="T200" s="172"/>
      <c r="W200" s="129"/>
      <c r="Y200" s="166"/>
      <c r="Z200" s="764"/>
    </row>
    <row r="201" spans="1:26" s="128" customFormat="1" x14ac:dyDescent="0.25">
      <c r="A201" s="459"/>
      <c r="B201" s="128" t="s">
        <v>708</v>
      </c>
      <c r="C201" s="173">
        <v>1520.175417693978</v>
      </c>
      <c r="D201" s="128">
        <v>2150.2357914851345</v>
      </c>
      <c r="E201" s="128">
        <v>1921.8171860244565</v>
      </c>
      <c r="F201" s="128">
        <v>2152.0814670260334</v>
      </c>
      <c r="G201" s="128">
        <v>2174.9931039470325</v>
      </c>
      <c r="H201" s="128">
        <v>2580.1328455629682</v>
      </c>
      <c r="I201" s="128">
        <v>3320.259076177108</v>
      </c>
      <c r="J201" s="128">
        <v>2365.5364392115766</v>
      </c>
      <c r="K201" s="128">
        <v>1809.0395409002574</v>
      </c>
      <c r="L201" s="128">
        <v>1858.742398782862</v>
      </c>
      <c r="M201" s="128">
        <v>1890.107995361547</v>
      </c>
      <c r="N201" s="128">
        <v>1708.3104340472999</v>
      </c>
      <c r="S201" s="173"/>
      <c r="T201" s="172"/>
      <c r="W201" s="129"/>
      <c r="Y201" s="166"/>
      <c r="Z201" s="764"/>
    </row>
    <row r="202" spans="1:26" s="128" customFormat="1" x14ac:dyDescent="0.25">
      <c r="A202" s="459"/>
      <c r="B202" s="172"/>
      <c r="C202" s="173"/>
      <c r="S202" s="173"/>
      <c r="T202" s="172"/>
      <c r="W202" s="129"/>
      <c r="Y202" s="166"/>
      <c r="Z202" s="764"/>
    </row>
    <row r="203" spans="1:26" s="125" customFormat="1" ht="16.5" x14ac:dyDescent="0.35">
      <c r="A203" s="461">
        <v>12</v>
      </c>
      <c r="B203" s="127" t="s">
        <v>1357</v>
      </c>
      <c r="C203" s="611"/>
      <c r="D203" s="179"/>
      <c r="E203" s="179"/>
      <c r="F203" s="179"/>
      <c r="G203" s="179"/>
      <c r="H203" s="179"/>
      <c r="I203" s="179"/>
      <c r="J203" s="179"/>
      <c r="K203" s="179"/>
      <c r="L203" s="179"/>
      <c r="M203" s="179"/>
      <c r="N203" s="179"/>
      <c r="O203" s="179"/>
      <c r="R203" s="149"/>
      <c r="S203" s="150"/>
      <c r="T203" s="569" t="s">
        <v>559</v>
      </c>
      <c r="U203" s="181"/>
      <c r="V203" s="150"/>
      <c r="Y203" s="157"/>
      <c r="Z203" s="157"/>
    </row>
    <row r="204" spans="1:26" s="125" customFormat="1" ht="16.5" x14ac:dyDescent="0.35">
      <c r="A204" s="461"/>
      <c r="B204" s="464" t="s">
        <v>1357</v>
      </c>
      <c r="C204"/>
      <c r="D204" s="116"/>
      <c r="E204" s="116"/>
      <c r="F204" s="116"/>
      <c r="G204" s="1499" t="s">
        <v>1358</v>
      </c>
      <c r="H204" s="477"/>
      <c r="I204"/>
      <c r="J204"/>
      <c r="K204"/>
      <c r="L204"/>
      <c r="M204"/>
      <c r="N204"/>
      <c r="O204"/>
      <c r="P204"/>
      <c r="R204" s="149"/>
      <c r="S204" s="150"/>
      <c r="T204" s="569"/>
      <c r="U204" s="181"/>
      <c r="V204" s="150"/>
      <c r="Y204" s="157"/>
      <c r="Z204" s="157"/>
    </row>
    <row r="205" spans="1:26" s="125" customFormat="1" ht="16.5" x14ac:dyDescent="0.35">
      <c r="A205" s="461"/>
      <c r="B205" s="465" t="s">
        <v>337</v>
      </c>
      <c r="C205" s="91">
        <v>42125</v>
      </c>
      <c r="D205" s="91">
        <v>42156</v>
      </c>
      <c r="E205" s="91">
        <v>42186</v>
      </c>
      <c r="F205" s="91">
        <v>42217</v>
      </c>
      <c r="G205" s="91">
        <v>42248</v>
      </c>
      <c r="H205" s="91">
        <v>42278</v>
      </c>
      <c r="I205" s="91">
        <v>42309</v>
      </c>
      <c r="J205" s="91">
        <v>42339</v>
      </c>
      <c r="K205" s="91">
        <v>42370</v>
      </c>
      <c r="L205" s="91">
        <v>42401</v>
      </c>
      <c r="M205" s="91">
        <v>42444</v>
      </c>
      <c r="N205" s="91">
        <v>42461</v>
      </c>
      <c r="O205" s="91">
        <v>42491</v>
      </c>
      <c r="P205" s="91">
        <v>42522</v>
      </c>
      <c r="R205" s="149"/>
      <c r="S205" s="150"/>
      <c r="T205" s="569"/>
      <c r="U205" s="181"/>
      <c r="V205" s="150"/>
      <c r="Y205" s="157"/>
      <c r="Z205" s="157"/>
    </row>
    <row r="206" spans="1:26" s="125" customFormat="1" ht="16.5" x14ac:dyDescent="0.35">
      <c r="A206" s="461"/>
      <c r="B206"/>
      <c r="C206"/>
      <c r="D206"/>
      <c r="E206"/>
      <c r="F206"/>
      <c r="G206"/>
      <c r="H206"/>
      <c r="I206"/>
      <c r="J206"/>
      <c r="K206"/>
      <c r="L206"/>
      <c r="M206"/>
      <c r="N206"/>
      <c r="O206"/>
      <c r="P206"/>
      <c r="R206" s="149"/>
      <c r="S206" s="150"/>
      <c r="T206" s="569"/>
      <c r="U206" s="181"/>
      <c r="V206" s="150"/>
      <c r="Y206" s="157"/>
      <c r="Z206" s="157"/>
    </row>
    <row r="207" spans="1:26" s="125" customFormat="1" ht="16.5" x14ac:dyDescent="0.35">
      <c r="A207" s="461"/>
      <c r="B207" s="95" t="s">
        <v>409</v>
      </c>
      <c r="C207" s="1500">
        <v>166900</v>
      </c>
      <c r="D207" s="1501">
        <v>178234</v>
      </c>
      <c r="E207" s="1502">
        <v>197842</v>
      </c>
      <c r="F207" s="1502">
        <v>181087</v>
      </c>
      <c r="G207" s="1502">
        <v>169500</v>
      </c>
      <c r="H207" s="1502">
        <v>136848</v>
      </c>
      <c r="I207" s="1502">
        <v>140900</v>
      </c>
      <c r="J207" s="1502">
        <v>169923</v>
      </c>
      <c r="K207" s="1502">
        <v>157756</v>
      </c>
      <c r="L207" s="1502">
        <v>144687</v>
      </c>
      <c r="M207" s="1502">
        <v>144392</v>
      </c>
      <c r="N207" s="1502">
        <v>142200</v>
      </c>
      <c r="O207" s="1502">
        <v>177000</v>
      </c>
      <c r="P207" s="1502">
        <v>177800</v>
      </c>
      <c r="R207" s="149"/>
      <c r="S207" s="150"/>
      <c r="T207" s="569"/>
      <c r="U207" s="181"/>
      <c r="V207" s="150"/>
      <c r="Y207" s="157"/>
      <c r="Z207" s="157"/>
    </row>
    <row r="208" spans="1:26" s="125" customFormat="1" ht="16.5" x14ac:dyDescent="0.35">
      <c r="A208" s="461"/>
      <c r="B208" s="95" t="s">
        <v>1066</v>
      </c>
      <c r="C208" s="1502">
        <v>2193</v>
      </c>
      <c r="D208" s="1502">
        <v>2219</v>
      </c>
      <c r="E208" s="1502">
        <v>2035</v>
      </c>
      <c r="F208" s="1502">
        <v>1902</v>
      </c>
      <c r="G208" s="1502">
        <v>2130</v>
      </c>
      <c r="H208" s="1502">
        <v>2136</v>
      </c>
      <c r="I208" s="1502">
        <v>2861</v>
      </c>
      <c r="J208" s="1502">
        <v>2903</v>
      </c>
      <c r="K208" s="1502">
        <v>2537</v>
      </c>
      <c r="L208" s="1502">
        <v>2419</v>
      </c>
      <c r="M208" s="1502">
        <v>2588</v>
      </c>
      <c r="N208" s="1502">
        <v>1943</v>
      </c>
      <c r="O208" s="1502">
        <v>1945</v>
      </c>
      <c r="P208" s="1502">
        <v>2482</v>
      </c>
      <c r="R208" s="149"/>
      <c r="S208" s="150"/>
      <c r="T208" s="569"/>
      <c r="U208" s="181"/>
      <c r="V208" s="150"/>
      <c r="Y208" s="157"/>
      <c r="Z208" s="157"/>
    </row>
    <row r="209" spans="1:26" s="125" customFormat="1" ht="16.5" x14ac:dyDescent="0.35">
      <c r="A209" s="461"/>
      <c r="B209" s="95" t="s">
        <v>1359</v>
      </c>
      <c r="C209" s="1502">
        <v>493</v>
      </c>
      <c r="D209" s="1502">
        <v>509</v>
      </c>
      <c r="E209" s="1502">
        <v>490</v>
      </c>
      <c r="F209" s="1502">
        <v>374</v>
      </c>
      <c r="G209" s="1502">
        <v>457</v>
      </c>
      <c r="H209" s="1502">
        <v>427</v>
      </c>
      <c r="I209" s="1502">
        <v>522</v>
      </c>
      <c r="J209" s="1502">
        <v>552</v>
      </c>
      <c r="K209" s="1502">
        <v>488</v>
      </c>
      <c r="L209" s="1502">
        <v>488</v>
      </c>
      <c r="M209" s="1502">
        <v>493</v>
      </c>
      <c r="N209" s="1502">
        <v>493</v>
      </c>
      <c r="O209" s="1502">
        <v>398</v>
      </c>
      <c r="P209" s="1502">
        <v>420</v>
      </c>
      <c r="R209" s="149"/>
      <c r="S209" s="150"/>
      <c r="T209" s="569"/>
      <c r="U209" s="181"/>
      <c r="V209" s="150"/>
      <c r="Y209" s="157"/>
      <c r="Z209" s="157"/>
    </row>
    <row r="210" spans="1:26" s="125" customFormat="1" ht="16.5" x14ac:dyDescent="0.35">
      <c r="A210" s="461"/>
      <c r="B210"/>
      <c r="C210" s="1503"/>
      <c r="D210" s="1503"/>
      <c r="E210" s="1503"/>
      <c r="F210" s="1503"/>
      <c r="G210" s="1503"/>
      <c r="H210" s="1503"/>
      <c r="I210" s="1503"/>
      <c r="J210" s="1503"/>
      <c r="K210" s="1503"/>
      <c r="L210" s="1503"/>
      <c r="M210" s="1503"/>
      <c r="N210" s="1503"/>
      <c r="O210" s="1503"/>
      <c r="P210" s="1503"/>
      <c r="R210" s="149"/>
      <c r="S210" s="150"/>
      <c r="T210" s="569"/>
      <c r="U210" s="181"/>
      <c r="V210" s="150"/>
      <c r="Y210" s="157"/>
      <c r="Z210" s="157"/>
    </row>
    <row r="211" spans="1:26" s="125" customFormat="1" ht="16.5" x14ac:dyDescent="0.35">
      <c r="A211" s="461"/>
      <c r="B211" s="95" t="s">
        <v>347</v>
      </c>
      <c r="C211" s="1504">
        <v>13776.57</v>
      </c>
      <c r="D211" s="1504">
        <v>14631.04</v>
      </c>
      <c r="E211" s="1504">
        <v>15986.9</v>
      </c>
      <c r="F211" s="1504">
        <v>14888.92</v>
      </c>
      <c r="G211" s="1504">
        <v>13812.05</v>
      </c>
      <c r="H211" s="1504">
        <v>11373.94</v>
      </c>
      <c r="I211" s="1504">
        <v>11466.82</v>
      </c>
      <c r="J211" s="1504">
        <v>13405.55</v>
      </c>
      <c r="K211" s="1504">
        <v>12517.76</v>
      </c>
      <c r="L211" s="1504">
        <v>11631.02</v>
      </c>
      <c r="M211" s="1504">
        <v>11456.99</v>
      </c>
      <c r="N211" s="1504">
        <v>11253.54</v>
      </c>
      <c r="O211" s="1504">
        <v>13873.41</v>
      </c>
      <c r="P211" s="1504">
        <v>14147.48</v>
      </c>
      <c r="R211" s="149"/>
      <c r="S211" s="150"/>
      <c r="T211" s="569"/>
      <c r="U211" s="181"/>
      <c r="V211" s="150"/>
      <c r="Y211" s="157"/>
      <c r="Z211" s="157"/>
    </row>
    <row r="212" spans="1:26" s="125" customFormat="1" ht="16.5" x14ac:dyDescent="0.35">
      <c r="A212" s="461"/>
      <c r="B212" s="112" t="s">
        <v>1067</v>
      </c>
      <c r="C212" s="1504">
        <v>1587.16</v>
      </c>
      <c r="D212" s="1504">
        <v>1605.37</v>
      </c>
      <c r="E212" s="1504">
        <v>1472.23</v>
      </c>
      <c r="F212" s="1504">
        <v>1379.22</v>
      </c>
      <c r="G212" s="1504">
        <v>1538.44</v>
      </c>
      <c r="H212" s="1504">
        <v>1539.93</v>
      </c>
      <c r="I212" s="1504">
        <v>1900.37</v>
      </c>
      <c r="J212" s="1504">
        <v>1917.73</v>
      </c>
      <c r="K212" s="1504">
        <v>1552.41</v>
      </c>
      <c r="L212" s="1504">
        <v>1478.3</v>
      </c>
      <c r="M212" s="1504">
        <v>1578.03</v>
      </c>
      <c r="N212" s="1504">
        <v>1252.45</v>
      </c>
      <c r="O212" s="1504">
        <v>1255.6600000000001</v>
      </c>
      <c r="P212" s="1504">
        <v>1588.24</v>
      </c>
      <c r="R212" s="149"/>
      <c r="S212" s="150"/>
      <c r="T212" s="569"/>
      <c r="U212" s="181"/>
      <c r="V212" s="150"/>
      <c r="Y212" s="157"/>
      <c r="Z212" s="157"/>
    </row>
    <row r="213" spans="1:26" s="125" customFormat="1" ht="16.5" x14ac:dyDescent="0.35">
      <c r="A213" s="461"/>
      <c r="B213" s="112" t="s">
        <v>410</v>
      </c>
      <c r="C213" s="1504">
        <v>4584.74</v>
      </c>
      <c r="D213" s="1504">
        <v>4590.17</v>
      </c>
      <c r="E213" s="1504">
        <v>4460.7700000000004</v>
      </c>
      <c r="F213" s="1504">
        <v>3564.17</v>
      </c>
      <c r="G213" s="1504">
        <v>4194.97</v>
      </c>
      <c r="H213" s="1504">
        <v>3966.97</v>
      </c>
      <c r="I213" s="1504">
        <v>4688.97</v>
      </c>
      <c r="J213" s="1504">
        <v>4916.97</v>
      </c>
      <c r="K213" s="1504">
        <v>4445.57</v>
      </c>
      <c r="L213" s="1504">
        <v>4468.57</v>
      </c>
      <c r="M213" s="1504">
        <v>4468.57</v>
      </c>
      <c r="N213" s="1504">
        <v>4468.57</v>
      </c>
      <c r="O213" s="1504">
        <v>3746.59</v>
      </c>
      <c r="P213" s="1504">
        <v>3913.77</v>
      </c>
      <c r="R213" s="149"/>
      <c r="S213" s="150"/>
      <c r="T213" s="569"/>
      <c r="U213" s="181"/>
      <c r="V213" s="150"/>
      <c r="Y213" s="157"/>
      <c r="Z213" s="157"/>
    </row>
    <row r="214" spans="1:26" s="125" customFormat="1" ht="16.5" x14ac:dyDescent="0.35">
      <c r="A214" s="461"/>
      <c r="B214" s="127"/>
      <c r="C214" s="611"/>
      <c r="D214" s="179"/>
      <c r="E214" s="179"/>
      <c r="F214" s="179"/>
      <c r="G214" s="179"/>
      <c r="H214" s="179"/>
      <c r="I214" s="179"/>
      <c r="J214" s="179"/>
      <c r="K214" s="179"/>
      <c r="L214" s="179"/>
      <c r="M214" s="179"/>
      <c r="N214" s="179"/>
      <c r="O214" s="179"/>
      <c r="R214" s="149"/>
      <c r="S214" s="150"/>
      <c r="T214" s="569"/>
      <c r="U214" s="181"/>
      <c r="V214" s="150"/>
      <c r="Y214" s="157"/>
      <c r="Z214" s="157"/>
    </row>
    <row r="215" spans="1:26" s="128" customFormat="1" x14ac:dyDescent="0.25">
      <c r="A215" s="459">
        <v>13</v>
      </c>
      <c r="B215" s="127" t="s">
        <v>377</v>
      </c>
      <c r="C215" s="173"/>
      <c r="Q215" s="173"/>
      <c r="R215" s="129"/>
      <c r="T215" s="598" t="s">
        <v>377</v>
      </c>
      <c r="U215" s="129"/>
      <c r="Y215" s="166"/>
      <c r="Z215" s="166"/>
    </row>
    <row r="216" spans="1:26" s="157" customFormat="1" x14ac:dyDescent="0.25">
      <c r="A216" s="461"/>
      <c r="C216" s="599"/>
      <c r="R216" s="182"/>
      <c r="U216" s="182"/>
    </row>
    <row r="217" spans="1:26" s="125" customFormat="1" x14ac:dyDescent="0.25">
      <c r="A217" s="461">
        <v>14</v>
      </c>
      <c r="B217" s="148" t="s">
        <v>396</v>
      </c>
      <c r="C217" s="152"/>
      <c r="D217" s="157"/>
      <c r="S217" s="126"/>
      <c r="T217" s="148" t="s">
        <v>396</v>
      </c>
      <c r="V217" s="126"/>
      <c r="Y217" s="157"/>
      <c r="Z217" s="157"/>
    </row>
    <row r="218" spans="1:26" s="125" customFormat="1" ht="15.75" x14ac:dyDescent="0.25">
      <c r="A218" s="461"/>
      <c r="B218" s="472" t="s">
        <v>725</v>
      </c>
      <c r="C218" s="1628" t="s">
        <v>1398</v>
      </c>
      <c r="D218" s="473">
        <v>42217</v>
      </c>
      <c r="E218" s="473">
        <v>42248</v>
      </c>
      <c r="F218" s="473">
        <v>42278</v>
      </c>
      <c r="G218" s="473">
        <v>42309</v>
      </c>
      <c r="H218" s="473">
        <v>42339</v>
      </c>
      <c r="I218" s="473">
        <v>42370</v>
      </c>
      <c r="J218" s="473">
        <v>42401</v>
      </c>
      <c r="K218" s="473">
        <v>42430</v>
      </c>
      <c r="L218" s="473">
        <v>42461</v>
      </c>
      <c r="M218" s="473">
        <v>42491</v>
      </c>
      <c r="N218" s="473">
        <v>42522</v>
      </c>
      <c r="S218" s="126"/>
      <c r="T218" s="148"/>
      <c r="V218" s="126"/>
      <c r="Y218" s="157"/>
      <c r="Z218" s="157"/>
    </row>
    <row r="219" spans="1:26" s="125" customFormat="1" ht="15.75" x14ac:dyDescent="0.25">
      <c r="A219" s="461"/>
      <c r="B219" s="1629" t="s">
        <v>1399</v>
      </c>
      <c r="C219" s="1630"/>
      <c r="D219" s="1100"/>
      <c r="E219" s="1100"/>
      <c r="F219" s="1100"/>
      <c r="G219" s="1100"/>
      <c r="H219" s="1100"/>
      <c r="I219" s="1100"/>
      <c r="J219" s="1100"/>
      <c r="K219" s="1100"/>
      <c r="L219" s="1100"/>
      <c r="M219" s="1100"/>
      <c r="N219" s="1100"/>
      <c r="S219" s="126"/>
      <c r="T219" s="148"/>
      <c r="V219" s="126"/>
      <c r="Y219" s="157"/>
      <c r="Z219" s="157"/>
    </row>
    <row r="220" spans="1:26" s="125" customFormat="1" ht="15.75" x14ac:dyDescent="0.25">
      <c r="A220" s="461"/>
      <c r="B220" s="1629" t="s">
        <v>1093</v>
      </c>
      <c r="C220" s="1631">
        <v>17165</v>
      </c>
      <c r="D220" s="1631">
        <v>25595</v>
      </c>
      <c r="E220" s="1631">
        <v>24164</v>
      </c>
      <c r="F220" s="1631">
        <v>25172</v>
      </c>
      <c r="G220" s="1631">
        <v>21933</v>
      </c>
      <c r="H220" s="1631">
        <v>22308</v>
      </c>
      <c r="I220" s="1631">
        <v>21584</v>
      </c>
      <c r="J220" s="1631">
        <v>23656</v>
      </c>
      <c r="K220" s="1631">
        <v>24638</v>
      </c>
      <c r="L220" s="1631">
        <v>23837</v>
      </c>
      <c r="M220" s="1631">
        <v>18322</v>
      </c>
      <c r="N220" s="1631">
        <v>17851</v>
      </c>
      <c r="S220" s="126"/>
      <c r="T220" s="148"/>
      <c r="V220" s="126"/>
      <c r="Y220" s="157"/>
      <c r="Z220" s="157"/>
    </row>
    <row r="221" spans="1:26" s="125" customFormat="1" ht="15.75" x14ac:dyDescent="0.25">
      <c r="A221" s="461"/>
      <c r="B221" s="1629" t="s">
        <v>1094</v>
      </c>
      <c r="C221" s="1631">
        <v>3781.2000000000116</v>
      </c>
      <c r="D221" s="1631">
        <v>6651.1199999999953</v>
      </c>
      <c r="E221" s="1631">
        <v>5938.5899999999965</v>
      </c>
      <c r="F221" s="1631">
        <v>6355.2000000000116</v>
      </c>
      <c r="G221" s="1631">
        <v>6174.1700000000128</v>
      </c>
      <c r="H221" s="1631">
        <v>5095.7599999999802</v>
      </c>
      <c r="I221" s="1631">
        <v>6131.890000000014</v>
      </c>
      <c r="J221" s="1631">
        <v>6627.2399999999907</v>
      </c>
      <c r="K221" s="1631">
        <v>6618.3799999999756</v>
      </c>
      <c r="L221" s="1631">
        <v>6269.4500000000116</v>
      </c>
      <c r="M221" s="1631">
        <v>4419.1600000000326</v>
      </c>
      <c r="N221" s="1631">
        <v>4027.0799999999581</v>
      </c>
      <c r="S221" s="126"/>
      <c r="T221" s="148"/>
      <c r="V221" s="126"/>
      <c r="Y221" s="157"/>
      <c r="Z221" s="157"/>
    </row>
    <row r="222" spans="1:26" s="125" customFormat="1" ht="15.75" x14ac:dyDescent="0.25">
      <c r="A222" s="461"/>
      <c r="B222" s="1629" t="s">
        <v>1095</v>
      </c>
      <c r="C222" s="1631">
        <v>11497.369999999995</v>
      </c>
      <c r="D222" s="1631">
        <v>13859.869999999995</v>
      </c>
      <c r="E222" s="1123">
        <v>12833.260000000009</v>
      </c>
      <c r="F222" s="1123">
        <v>13303.449999999953</v>
      </c>
      <c r="G222" s="1123">
        <v>10901</v>
      </c>
      <c r="H222" s="1123">
        <v>13455.310000000056</v>
      </c>
      <c r="I222" s="1123">
        <v>10501.54999999993</v>
      </c>
      <c r="J222" s="1123">
        <v>11759.520000000019</v>
      </c>
      <c r="K222" s="1631">
        <v>12953.690000000061</v>
      </c>
      <c r="L222" s="1631">
        <v>12236.769999999902</v>
      </c>
      <c r="M222" s="1631">
        <v>11925.210000000079</v>
      </c>
      <c r="N222" s="1631">
        <v>11781.189999999944</v>
      </c>
      <c r="S222" s="126"/>
      <c r="T222" s="148"/>
      <c r="V222" s="126"/>
      <c r="Y222" s="157"/>
      <c r="Z222" s="157"/>
    </row>
    <row r="223" spans="1:26" s="125" customFormat="1" ht="15.75" x14ac:dyDescent="0.25">
      <c r="A223" s="461"/>
      <c r="B223" s="1629" t="s">
        <v>1096</v>
      </c>
      <c r="C223" s="1631">
        <v>1886.429999999993</v>
      </c>
      <c r="D223" s="1631">
        <v>5084.0100000000093</v>
      </c>
      <c r="E223" s="1123">
        <v>5392.1499999999942</v>
      </c>
      <c r="F223" s="1123">
        <v>5513.3500000000349</v>
      </c>
      <c r="G223" s="1123">
        <v>4857.8299999999872</v>
      </c>
      <c r="H223" s="1123">
        <v>3756.9299999999639</v>
      </c>
      <c r="I223" s="1123">
        <v>4950.5600000000559</v>
      </c>
      <c r="J223" s="1123">
        <v>5269.2399999999907</v>
      </c>
      <c r="K223" s="1631">
        <v>5065.9299999999639</v>
      </c>
      <c r="L223" s="1631">
        <v>5330.7800000000861</v>
      </c>
      <c r="M223" s="1631">
        <v>1977.6299999998882</v>
      </c>
      <c r="N223" s="1631">
        <v>2042.7300000000978</v>
      </c>
      <c r="S223" s="126"/>
      <c r="T223" s="148"/>
      <c r="V223" s="126"/>
      <c r="Y223" s="157"/>
      <c r="Z223" s="157"/>
    </row>
    <row r="224" spans="1:26" s="125" customFormat="1" ht="15.75" x14ac:dyDescent="0.25">
      <c r="A224" s="461"/>
      <c r="B224" s="441"/>
      <c r="C224" s="1631"/>
      <c r="D224" s="1631"/>
      <c r="E224" s="1123"/>
      <c r="F224" s="1123"/>
      <c r="G224" s="1123"/>
      <c r="H224" s="1123"/>
      <c r="I224" s="1123"/>
      <c r="J224" s="1123"/>
      <c r="K224" s="1631"/>
      <c r="L224" s="1631"/>
      <c r="M224" s="1631"/>
      <c r="N224" s="1631"/>
      <c r="S224" s="126"/>
      <c r="T224" s="148"/>
      <c r="V224" s="126"/>
      <c r="Y224" s="157"/>
      <c r="Z224" s="157"/>
    </row>
    <row r="225" spans="1:26" s="125" customFormat="1" ht="15.75" x14ac:dyDescent="0.25">
      <c r="A225" s="461"/>
      <c r="B225" s="1629" t="s">
        <v>320</v>
      </c>
      <c r="C225" s="1631">
        <v>5030</v>
      </c>
      <c r="D225" s="1631">
        <v>8310</v>
      </c>
      <c r="E225" s="1123">
        <v>11460</v>
      </c>
      <c r="F225" s="1123">
        <v>14760</v>
      </c>
      <c r="G225" s="1123">
        <v>17321.951219512197</v>
      </c>
      <c r="H225" s="1123">
        <v>19080</v>
      </c>
      <c r="I225" s="1123">
        <v>53994.9375</v>
      </c>
      <c r="J225" s="1123">
        <v>47894.78125</v>
      </c>
      <c r="K225" s="1631">
        <v>23680</v>
      </c>
      <c r="L225" s="1631">
        <v>20580</v>
      </c>
      <c r="M225" s="1631">
        <v>6800</v>
      </c>
      <c r="N225" s="1631">
        <v>6400</v>
      </c>
      <c r="S225" s="126"/>
      <c r="T225" s="148"/>
      <c r="V225" s="126"/>
      <c r="Y225" s="157"/>
      <c r="Z225" s="157"/>
    </row>
    <row r="226" spans="1:26" s="125" customFormat="1" ht="15.75" x14ac:dyDescent="0.25">
      <c r="A226" s="461"/>
      <c r="B226" s="1629" t="s">
        <v>322</v>
      </c>
      <c r="C226" s="1631">
        <v>10000</v>
      </c>
      <c r="D226" s="1631">
        <v>77300</v>
      </c>
      <c r="E226" s="1123">
        <v>97800</v>
      </c>
      <c r="F226" s="1123">
        <v>138700</v>
      </c>
      <c r="G226" s="1123">
        <v>91100</v>
      </c>
      <c r="H226" s="1123">
        <v>57700</v>
      </c>
      <c r="I226" s="1123">
        <v>160600</v>
      </c>
      <c r="J226" s="1123">
        <v>82700</v>
      </c>
      <c r="K226" s="1631">
        <v>69300</v>
      </c>
      <c r="L226" s="1631">
        <v>68600</v>
      </c>
      <c r="M226" s="1631">
        <v>33100</v>
      </c>
      <c r="N226" s="1631">
        <v>25800</v>
      </c>
      <c r="S226" s="126"/>
      <c r="T226" s="148"/>
      <c r="V226" s="126"/>
      <c r="Y226" s="157"/>
      <c r="Z226" s="157"/>
    </row>
    <row r="227" spans="1:26" s="125" customFormat="1" ht="15.75" x14ac:dyDescent="0.25">
      <c r="A227" s="461"/>
      <c r="B227" s="1632" t="s">
        <v>323</v>
      </c>
      <c r="C227" s="1631">
        <v>20523</v>
      </c>
      <c r="D227" s="1631">
        <v>18946</v>
      </c>
      <c r="E227" s="1123">
        <v>17090</v>
      </c>
      <c r="F227" s="1123">
        <v>10892</v>
      </c>
      <c r="G227" s="1123">
        <v>8437</v>
      </c>
      <c r="H227" s="1123">
        <v>7533</v>
      </c>
      <c r="I227" s="1123">
        <v>3846</v>
      </c>
      <c r="J227" s="1123">
        <v>5104</v>
      </c>
      <c r="K227" s="1631">
        <v>9942</v>
      </c>
      <c r="L227" s="1631">
        <v>10519</v>
      </c>
      <c r="M227" s="1631">
        <v>10997</v>
      </c>
      <c r="N227" s="1631">
        <v>15490</v>
      </c>
      <c r="S227" s="126"/>
      <c r="T227" s="148"/>
      <c r="V227" s="126"/>
      <c r="Y227" s="157"/>
      <c r="Z227" s="157"/>
    </row>
    <row r="228" spans="1:26" s="125" customFormat="1" ht="15.75" x14ac:dyDescent="0.25">
      <c r="A228" s="461"/>
      <c r="B228" s="1633"/>
      <c r="C228" s="1631"/>
      <c r="D228" s="1631"/>
      <c r="E228" s="1123"/>
      <c r="F228" s="1123"/>
      <c r="G228" s="1123"/>
      <c r="H228" s="1123"/>
      <c r="I228" s="1123"/>
      <c r="J228" s="1123"/>
      <c r="K228" s="1631"/>
      <c r="L228" s="1631"/>
      <c r="M228" s="1631"/>
      <c r="N228" s="1631"/>
      <c r="S228" s="126"/>
      <c r="T228" s="148"/>
      <c r="V228" s="126"/>
      <c r="Y228" s="157"/>
      <c r="Z228" s="157"/>
    </row>
    <row r="229" spans="1:26" s="125" customFormat="1" ht="15.75" x14ac:dyDescent="0.25">
      <c r="A229" s="461"/>
      <c r="B229" s="1629" t="s">
        <v>324</v>
      </c>
      <c r="C229" s="1631">
        <v>1201.9697961956522</v>
      </c>
      <c r="D229" s="1631">
        <v>1819.1865710183299</v>
      </c>
      <c r="E229" s="1631">
        <v>1662.8329772375689</v>
      </c>
      <c r="F229" s="1631">
        <v>1602.7892361694178</v>
      </c>
      <c r="G229" s="1631">
        <v>1396.5507832871381</v>
      </c>
      <c r="H229" s="1631">
        <v>1312.5068192063493</v>
      </c>
      <c r="I229" s="1631">
        <v>1280.4776113954836</v>
      </c>
      <c r="J229" s="1631">
        <v>1397.0632308989548</v>
      </c>
      <c r="K229" s="1631">
        <v>1472.61654686769</v>
      </c>
      <c r="L229" s="1631">
        <v>1384.1102091149119</v>
      </c>
      <c r="M229" s="1631">
        <v>1090.2448313781283</v>
      </c>
      <c r="N229" s="1631">
        <v>1164.7100115827898</v>
      </c>
      <c r="S229" s="126"/>
      <c r="T229" s="148"/>
      <c r="V229" s="126"/>
      <c r="Y229" s="157"/>
      <c r="Z229" s="157"/>
    </row>
    <row r="230" spans="1:26" s="125" customFormat="1" ht="15.75" x14ac:dyDescent="0.25">
      <c r="A230" s="461"/>
      <c r="B230" s="1634" t="s">
        <v>325</v>
      </c>
      <c r="C230" s="1631">
        <v>79.125668449198159</v>
      </c>
      <c r="D230" s="1631">
        <v>611.64141711230161</v>
      </c>
      <c r="E230" s="1631">
        <v>787.1069518716605</v>
      </c>
      <c r="F230" s="1631">
        <v>1116.2754010695226</v>
      </c>
      <c r="G230" s="1631">
        <v>733.1844919786123</v>
      </c>
      <c r="H230" s="1631">
        <v>464.37700534759523</v>
      </c>
      <c r="I230" s="1631">
        <v>1292.5294117647104</v>
      </c>
      <c r="J230" s="1631">
        <v>665.58021390374563</v>
      </c>
      <c r="K230" s="1631">
        <v>557.73529411764912</v>
      </c>
      <c r="L230" s="1631">
        <v>552.10160427807682</v>
      </c>
      <c r="M230" s="1631">
        <v>266.3930481283432</v>
      </c>
      <c r="N230" s="1631">
        <v>207.64171122994728</v>
      </c>
      <c r="S230" s="126"/>
      <c r="T230" s="148"/>
      <c r="V230" s="126"/>
      <c r="Y230" s="157"/>
      <c r="Z230" s="157"/>
    </row>
    <row r="231" spans="1:26" s="125" customFormat="1" ht="15.75" x14ac:dyDescent="0.25">
      <c r="A231" s="461"/>
      <c r="B231" s="1635" t="s">
        <v>326</v>
      </c>
      <c r="C231" s="1631">
        <v>39.303916999999998</v>
      </c>
      <c r="D231" s="1631">
        <v>64.933509000000001</v>
      </c>
      <c r="E231" s="1631">
        <v>89.547294000000008</v>
      </c>
      <c r="F231" s="1631">
        <v>115.33316400000001</v>
      </c>
      <c r="G231" s="1631">
        <v>135.35199463414637</v>
      </c>
      <c r="H231" s="1631">
        <v>149.089212</v>
      </c>
      <c r="I231" s="1631">
        <v>421.91104213125004</v>
      </c>
      <c r="J231" s="1631">
        <v>374.24503120937504</v>
      </c>
      <c r="K231" s="1631">
        <v>185.033152</v>
      </c>
      <c r="L231" s="1631">
        <v>160.81006200000002</v>
      </c>
      <c r="M231" s="1631">
        <v>53.134520000000002</v>
      </c>
      <c r="N231" s="1631">
        <v>50.008960000000002</v>
      </c>
      <c r="S231" s="126"/>
      <c r="T231" s="148"/>
      <c r="V231" s="126"/>
      <c r="Y231" s="157"/>
      <c r="Z231" s="157"/>
    </row>
    <row r="232" spans="1:26" s="125" customFormat="1" ht="15.75" x14ac:dyDescent="0.25">
      <c r="A232" s="461"/>
      <c r="B232" s="1124" t="s">
        <v>1400</v>
      </c>
      <c r="C232" s="152"/>
      <c r="D232" s="157"/>
      <c r="S232" s="126"/>
      <c r="T232" s="148"/>
      <c r="V232" s="126"/>
      <c r="Y232" s="157"/>
      <c r="Z232" s="157"/>
    </row>
    <row r="233" spans="1:26" s="125" customFormat="1" ht="15.75" x14ac:dyDescent="0.25">
      <c r="A233" s="461"/>
      <c r="B233" s="1124" t="s">
        <v>1401</v>
      </c>
      <c r="C233" s="152"/>
      <c r="D233" s="157"/>
      <c r="S233" s="126"/>
      <c r="T233" s="148"/>
      <c r="V233" s="126"/>
      <c r="Y233" s="157"/>
      <c r="Z233" s="157"/>
    </row>
    <row r="234" spans="1:26" s="125" customFormat="1" ht="15.75" x14ac:dyDescent="0.25">
      <c r="A234" s="461"/>
      <c r="B234" s="1124" t="s">
        <v>1402</v>
      </c>
      <c r="C234" s="152"/>
      <c r="E234" s="201"/>
      <c r="F234" s="202"/>
      <c r="G234" s="202"/>
      <c r="H234" s="203"/>
      <c r="I234" s="203"/>
      <c r="J234" s="203"/>
      <c r="K234" s="203"/>
      <c r="L234" s="203"/>
      <c r="M234" s="203"/>
      <c r="N234" s="203"/>
      <c r="O234" s="203"/>
      <c r="P234" s="203"/>
      <c r="S234" s="126"/>
      <c r="V234" s="126"/>
      <c r="Y234" s="157"/>
      <c r="Z234" s="157"/>
    </row>
    <row r="235" spans="1:26" s="125" customFormat="1" ht="15.75" x14ac:dyDescent="0.25">
      <c r="A235" s="461"/>
      <c r="B235" s="1124"/>
      <c r="C235" s="152"/>
      <c r="E235" s="201"/>
      <c r="F235" s="202"/>
      <c r="G235" s="202"/>
      <c r="H235" s="203"/>
      <c r="I235" s="203"/>
      <c r="J235" s="203"/>
      <c r="K235" s="203"/>
      <c r="L235" s="203"/>
      <c r="M235" s="203"/>
      <c r="N235" s="203"/>
      <c r="O235" s="203"/>
      <c r="P235" s="203"/>
      <c r="S235" s="126"/>
      <c r="V235" s="126"/>
      <c r="Y235" s="157"/>
      <c r="Z235" s="157"/>
    </row>
    <row r="236" spans="1:26" s="125" customFormat="1" x14ac:dyDescent="0.25">
      <c r="A236" s="461">
        <v>15</v>
      </c>
      <c r="B236" s="148" t="s">
        <v>560</v>
      </c>
      <c r="C236" s="152"/>
      <c r="S236" s="126"/>
      <c r="T236" s="148" t="s">
        <v>560</v>
      </c>
      <c r="V236" s="126"/>
      <c r="Y236" s="157"/>
      <c r="Z236" s="157"/>
    </row>
    <row r="237" spans="1:26" s="125" customFormat="1" ht="15.75" x14ac:dyDescent="0.25">
      <c r="A237" s="461"/>
      <c r="B237" s="472" t="s">
        <v>726</v>
      </c>
      <c r="C237" s="1628" t="s">
        <v>1398</v>
      </c>
      <c r="D237" s="473">
        <v>42217</v>
      </c>
      <c r="E237" s="473">
        <v>42248</v>
      </c>
      <c r="F237" s="473">
        <v>42278</v>
      </c>
      <c r="G237" s="473">
        <v>42309</v>
      </c>
      <c r="H237" s="473">
        <v>42339</v>
      </c>
      <c r="I237" s="473">
        <v>42370</v>
      </c>
      <c r="J237" s="473">
        <v>42401</v>
      </c>
      <c r="K237" s="473">
        <v>42430</v>
      </c>
      <c r="L237" s="473">
        <v>42461</v>
      </c>
      <c r="M237" s="473">
        <v>42491</v>
      </c>
      <c r="N237" s="473">
        <v>42522</v>
      </c>
      <c r="S237" s="126"/>
      <c r="T237" s="148"/>
      <c r="V237" s="126"/>
      <c r="Y237" s="157"/>
      <c r="Z237" s="157"/>
    </row>
    <row r="238" spans="1:26" s="125" customFormat="1" ht="15.75" x14ac:dyDescent="0.25">
      <c r="A238" s="461"/>
      <c r="B238" s="1100" t="s">
        <v>1403</v>
      </c>
      <c r="C238" s="1637"/>
      <c r="D238" s="1100"/>
      <c r="E238" s="1100"/>
      <c r="F238" s="1100"/>
      <c r="G238" s="1100"/>
      <c r="H238" s="1100"/>
      <c r="I238" s="1100"/>
      <c r="J238" s="1100"/>
      <c r="K238" s="1100"/>
      <c r="L238" s="1100"/>
      <c r="M238" s="1100"/>
      <c r="N238" s="1100"/>
      <c r="S238" s="126"/>
      <c r="T238" s="148"/>
      <c r="V238" s="126"/>
      <c r="Y238" s="157"/>
      <c r="Z238" s="157"/>
    </row>
    <row r="239" spans="1:26" s="125" customFormat="1" ht="15.75" x14ac:dyDescent="0.25">
      <c r="A239" s="461"/>
      <c r="B239" s="1629" t="s">
        <v>1093</v>
      </c>
      <c r="C239" s="1123">
        <v>14811</v>
      </c>
      <c r="D239" s="1123">
        <v>22427</v>
      </c>
      <c r="E239" s="1123">
        <v>21884</v>
      </c>
      <c r="F239" s="1123">
        <v>23712</v>
      </c>
      <c r="G239" s="1123">
        <v>21302</v>
      </c>
      <c r="H239" s="1123">
        <v>21171</v>
      </c>
      <c r="I239" s="1123">
        <v>21753</v>
      </c>
      <c r="J239" s="1123">
        <v>25110</v>
      </c>
      <c r="K239" s="1123">
        <v>22206</v>
      </c>
      <c r="L239" s="1123">
        <v>21916</v>
      </c>
      <c r="M239" s="1123">
        <v>19196</v>
      </c>
      <c r="N239" s="1123">
        <v>17919.5</v>
      </c>
      <c r="S239" s="126"/>
      <c r="T239" s="148"/>
      <c r="V239" s="126"/>
      <c r="Y239" s="157"/>
      <c r="Z239" s="157"/>
    </row>
    <row r="240" spans="1:26" s="125" customFormat="1" ht="15.75" x14ac:dyDescent="0.25">
      <c r="A240" s="461"/>
      <c r="B240" s="1629" t="s">
        <v>1094</v>
      </c>
      <c r="C240" s="1123">
        <v>3947.5299999999988</v>
      </c>
      <c r="D240" s="1123">
        <v>6643.1600000000035</v>
      </c>
      <c r="E240" s="1123">
        <v>6107.7600000000093</v>
      </c>
      <c r="F240" s="1123">
        <v>6310.0099999999802</v>
      </c>
      <c r="G240" s="1123">
        <v>5986.7300000000096</v>
      </c>
      <c r="H240" s="1123">
        <v>5328.5899999999965</v>
      </c>
      <c r="I240" s="1123">
        <v>5892.4800000000105</v>
      </c>
      <c r="J240" s="1123">
        <v>6431.8899999999849</v>
      </c>
      <c r="K240" s="1123">
        <v>6093.4500000000116</v>
      </c>
      <c r="L240" s="1123">
        <v>6206.5</v>
      </c>
      <c r="M240" s="1123">
        <v>3903.9400000000023</v>
      </c>
      <c r="N240" s="1123">
        <v>2902.1499999999651</v>
      </c>
      <c r="S240" s="126"/>
      <c r="T240" s="148"/>
      <c r="V240" s="126"/>
      <c r="Y240" s="157"/>
      <c r="Z240" s="157"/>
    </row>
    <row r="241" spans="1:26" s="125" customFormat="1" ht="15.75" x14ac:dyDescent="0.25">
      <c r="A241" s="461"/>
      <c r="B241" s="1629" t="s">
        <v>1095</v>
      </c>
      <c r="C241" s="1123">
        <v>8927.0300000000279</v>
      </c>
      <c r="D241" s="1123">
        <v>11220.609999999986</v>
      </c>
      <c r="E241" s="1123">
        <v>10535.619999999995</v>
      </c>
      <c r="F241" s="1123">
        <v>11829.760000000009</v>
      </c>
      <c r="G241" s="1123">
        <v>10550.429999999993</v>
      </c>
      <c r="H241" s="1123">
        <v>12269.770000000019</v>
      </c>
      <c r="I241" s="1123">
        <v>10190.27999999997</v>
      </c>
      <c r="J241" s="1123">
        <v>10711.960000000021</v>
      </c>
      <c r="K241" s="1123">
        <v>11471.169999999984</v>
      </c>
      <c r="L241" s="1123">
        <v>10966.489999999991</v>
      </c>
      <c r="M241" s="1123">
        <v>10719.460000000021</v>
      </c>
      <c r="N241" s="1123">
        <v>9995.6699999999837</v>
      </c>
      <c r="S241" s="126"/>
      <c r="T241" s="148"/>
      <c r="V241" s="126"/>
      <c r="Y241" s="157"/>
      <c r="Z241" s="157"/>
    </row>
    <row r="242" spans="1:26" s="125" customFormat="1" ht="15.75" x14ac:dyDescent="0.25">
      <c r="A242" s="461"/>
      <c r="B242" s="1629" t="s">
        <v>1096</v>
      </c>
      <c r="C242" s="1123">
        <v>1936.4399999999732</v>
      </c>
      <c r="D242" s="1123">
        <v>4563.2300000000105</v>
      </c>
      <c r="E242" s="1123">
        <v>5240.6199999999953</v>
      </c>
      <c r="F242" s="1123">
        <v>5572.2300000000105</v>
      </c>
      <c r="G242" s="1123">
        <v>4764.8399999999965</v>
      </c>
      <c r="H242" s="1123">
        <v>3572.6399999999849</v>
      </c>
      <c r="I242" s="1123">
        <v>5670.2400000000198</v>
      </c>
      <c r="J242" s="1123">
        <v>7966.1499999999942</v>
      </c>
      <c r="K242" s="1123">
        <v>4641.3800000000047</v>
      </c>
      <c r="L242" s="1123">
        <v>4743.0100000000093</v>
      </c>
      <c r="M242" s="1123">
        <v>4572.5999999999767</v>
      </c>
      <c r="N242" s="1123">
        <v>5021.6800000000512</v>
      </c>
      <c r="S242" s="126"/>
      <c r="T242" s="148"/>
      <c r="V242" s="126"/>
      <c r="Y242" s="157"/>
      <c r="Z242" s="157"/>
    </row>
    <row r="243" spans="1:26" s="125" customFormat="1" ht="15.75" x14ac:dyDescent="0.25">
      <c r="A243" s="461"/>
      <c r="B243" s="1629"/>
      <c r="C243" s="1123"/>
      <c r="D243" s="1123"/>
      <c r="E243" s="1123"/>
      <c r="F243" s="1123"/>
      <c r="G243" s="1123"/>
      <c r="H243" s="1123"/>
      <c r="I243" s="1123"/>
      <c r="J243" s="1123"/>
      <c r="K243" s="1123"/>
      <c r="L243" s="1123"/>
      <c r="M243" s="1123"/>
      <c r="N243" s="1123"/>
      <c r="S243" s="126"/>
      <c r="T243" s="148"/>
      <c r="V243" s="126"/>
      <c r="Y243" s="157"/>
      <c r="Z243" s="157"/>
    </row>
    <row r="244" spans="1:26" s="125" customFormat="1" ht="15.75" x14ac:dyDescent="0.25">
      <c r="A244" s="461"/>
      <c r="B244" s="1629" t="s">
        <v>320</v>
      </c>
      <c r="C244" s="1123">
        <v>5855</v>
      </c>
      <c r="D244" s="1123">
        <v>10655</v>
      </c>
      <c r="E244" s="1123">
        <v>7500</v>
      </c>
      <c r="F244" s="1123">
        <v>15020</v>
      </c>
      <c r="G244" s="1123">
        <v>14550</v>
      </c>
      <c r="H244" s="1123">
        <v>15470</v>
      </c>
      <c r="I244" s="1123">
        <v>45020.234375</v>
      </c>
      <c r="J244" s="1123">
        <v>40077.6953125</v>
      </c>
      <c r="K244" s="1123">
        <v>21613.75</v>
      </c>
      <c r="L244" s="1123">
        <v>16057</v>
      </c>
      <c r="M244" s="1123">
        <v>16140</v>
      </c>
      <c r="N244" s="1123">
        <v>4780</v>
      </c>
      <c r="S244" s="126"/>
      <c r="T244" s="148"/>
      <c r="V244" s="126"/>
      <c r="Y244" s="157"/>
      <c r="Z244" s="157"/>
    </row>
    <row r="245" spans="1:26" s="125" customFormat="1" ht="15.75" x14ac:dyDescent="0.25">
      <c r="A245" s="461"/>
      <c r="B245" s="1629" t="s">
        <v>322</v>
      </c>
      <c r="C245" s="1123">
        <v>24400</v>
      </c>
      <c r="D245" s="1123">
        <v>29000</v>
      </c>
      <c r="E245" s="1123">
        <v>72000</v>
      </c>
      <c r="F245" s="1123">
        <v>75300</v>
      </c>
      <c r="G245" s="1123">
        <v>64800</v>
      </c>
      <c r="H245" s="1123">
        <v>34800</v>
      </c>
      <c r="I245" s="1123">
        <v>74000</v>
      </c>
      <c r="J245" s="1123">
        <v>84500</v>
      </c>
      <c r="K245" s="1123">
        <v>73400</v>
      </c>
      <c r="L245" s="1123">
        <v>79700</v>
      </c>
      <c r="M245" s="1123">
        <v>24300</v>
      </c>
      <c r="N245" s="1123">
        <v>20300</v>
      </c>
      <c r="S245" s="126"/>
      <c r="T245" s="148"/>
      <c r="V245" s="126"/>
      <c r="Y245" s="157"/>
      <c r="Z245" s="157"/>
    </row>
    <row r="246" spans="1:26" s="125" customFormat="1" ht="15.75" x14ac:dyDescent="0.25">
      <c r="A246" s="461"/>
      <c r="B246" s="1632" t="s">
        <v>323</v>
      </c>
      <c r="C246" s="1123">
        <v>18529</v>
      </c>
      <c r="D246" s="1123">
        <v>22885</v>
      </c>
      <c r="E246" s="1123">
        <v>22789</v>
      </c>
      <c r="F246" s="1123">
        <v>17791</v>
      </c>
      <c r="G246" s="1123">
        <v>14628</v>
      </c>
      <c r="H246" s="1123">
        <v>12298</v>
      </c>
      <c r="I246" s="1123">
        <v>12333</v>
      </c>
      <c r="J246" s="1123">
        <v>10937</v>
      </c>
      <c r="K246" s="1123">
        <v>12907</v>
      </c>
      <c r="L246" s="1123">
        <v>13883</v>
      </c>
      <c r="M246" s="1123">
        <v>13340</v>
      </c>
      <c r="N246" s="1123">
        <v>16784</v>
      </c>
      <c r="S246" s="126"/>
      <c r="T246" s="148"/>
      <c r="V246" s="126"/>
      <c r="Y246" s="157"/>
      <c r="Z246" s="157"/>
    </row>
    <row r="247" spans="1:26" s="125" customFormat="1" ht="15.75" x14ac:dyDescent="0.25">
      <c r="A247" s="461"/>
      <c r="B247" s="1633"/>
      <c r="C247" s="1123"/>
      <c r="D247" s="1123"/>
      <c r="E247" s="1123"/>
      <c r="F247" s="1123"/>
      <c r="G247" s="1123"/>
      <c r="H247" s="1123"/>
      <c r="I247" s="1123"/>
      <c r="J247" s="1123"/>
      <c r="K247" s="1123"/>
      <c r="L247" s="1123"/>
      <c r="M247" s="1123"/>
      <c r="N247" s="1123"/>
      <c r="S247" s="126"/>
      <c r="T247" s="148"/>
      <c r="V247" s="126"/>
      <c r="Y247" s="157"/>
      <c r="Z247" s="157"/>
    </row>
    <row r="248" spans="1:26" s="125" customFormat="1" ht="15.75" x14ac:dyDescent="0.25">
      <c r="A248" s="461"/>
      <c r="B248" s="1629" t="s">
        <v>324</v>
      </c>
      <c r="C248" s="1123">
        <v>1037.1322255434784</v>
      </c>
      <c r="D248" s="1123">
        <v>1594.0182546680244</v>
      </c>
      <c r="E248" s="1123">
        <v>1505.9359739226518</v>
      </c>
      <c r="F248" s="1123">
        <v>1509.8259323076925</v>
      </c>
      <c r="G248" s="1123">
        <v>1356.3728074400499</v>
      </c>
      <c r="H248" s="1123">
        <v>1245.6106271031747</v>
      </c>
      <c r="I248" s="1123">
        <v>34.764634927620158</v>
      </c>
      <c r="J248" s="1123">
        <v>588.50757084494774</v>
      </c>
      <c r="K248" s="1123">
        <v>1327.2555824232456</v>
      </c>
      <c r="L248" s="1123">
        <v>1272.5661510660909</v>
      </c>
      <c r="M248" s="1123">
        <v>734.88285490229691</v>
      </c>
      <c r="N248" s="1123">
        <v>1083</v>
      </c>
      <c r="S248" s="126"/>
      <c r="T248" s="148"/>
      <c r="V248" s="126"/>
      <c r="Y248" s="157"/>
      <c r="Z248" s="157"/>
    </row>
    <row r="249" spans="1:26" s="125" customFormat="1" ht="15.75" x14ac:dyDescent="0.25">
      <c r="A249" s="461"/>
      <c r="B249" s="1634" t="s">
        <v>328</v>
      </c>
      <c r="C249" s="1631">
        <v>193.06663101604349</v>
      </c>
      <c r="D249" s="1631">
        <v>229.46443850267465</v>
      </c>
      <c r="E249" s="1631">
        <v>579.46524064171331</v>
      </c>
      <c r="F249" s="1631">
        <v>606.02406417112513</v>
      </c>
      <c r="G249" s="1631">
        <v>521.51871657754202</v>
      </c>
      <c r="H249" s="1631">
        <v>280.07486631016144</v>
      </c>
      <c r="I249" s="1631">
        <v>595.56149732620531</v>
      </c>
      <c r="J249" s="1631">
        <v>680.06684491978854</v>
      </c>
      <c r="K249" s="1631">
        <v>590.73262032085768</v>
      </c>
      <c r="L249" s="1631">
        <v>641.43582887700768</v>
      </c>
      <c r="M249" s="1631">
        <v>195.56951871657824</v>
      </c>
      <c r="N249" s="1631">
        <v>163.37700534759415</v>
      </c>
      <c r="S249" s="126"/>
      <c r="T249" s="148"/>
      <c r="V249" s="126"/>
      <c r="Y249" s="157"/>
      <c r="Z249" s="157"/>
    </row>
    <row r="250" spans="1:26" s="125" customFormat="1" ht="15.75" x14ac:dyDescent="0.25">
      <c r="A250" s="461"/>
      <c r="B250" s="1633" t="s">
        <v>326</v>
      </c>
      <c r="C250" s="1631">
        <v>45.750384500000003</v>
      </c>
      <c r="D250" s="1631">
        <v>83.257104499999997</v>
      </c>
      <c r="E250" s="1631">
        <v>58.60425</v>
      </c>
      <c r="F250" s="1631">
        <v>117.364778</v>
      </c>
      <c r="G250" s="1631">
        <v>113.692245</v>
      </c>
      <c r="H250" s="1631">
        <v>120.881033</v>
      </c>
      <c r="I250" s="1631">
        <v>351.78360938281253</v>
      </c>
      <c r="J250" s="1631">
        <v>313.16310340234378</v>
      </c>
      <c r="K250" s="1631">
        <v>168.887681125</v>
      </c>
      <c r="L250" s="1631">
        <v>125.4677923</v>
      </c>
      <c r="M250" s="1631">
        <v>126.11634600000001</v>
      </c>
      <c r="N250" s="1631">
        <v>37.350442000000001</v>
      </c>
      <c r="S250" s="126"/>
      <c r="T250" s="148"/>
      <c r="V250" s="126"/>
      <c r="Y250" s="157"/>
      <c r="Z250" s="157"/>
    </row>
    <row r="251" spans="1:26" s="125" customFormat="1" ht="15.75" x14ac:dyDescent="0.25">
      <c r="A251" s="461"/>
      <c r="B251" s="1124" t="s">
        <v>1400</v>
      </c>
      <c r="C251" s="152"/>
      <c r="D251" s="157"/>
      <c r="S251" s="126"/>
      <c r="T251" s="148"/>
      <c r="V251" s="126"/>
      <c r="Y251" s="157"/>
      <c r="Z251" s="157"/>
    </row>
    <row r="252" spans="1:26" s="125" customFormat="1" ht="15.75" x14ac:dyDescent="0.25">
      <c r="A252" s="461"/>
      <c r="B252" s="1124" t="s">
        <v>1401</v>
      </c>
      <c r="C252" s="152"/>
      <c r="D252" s="157"/>
      <c r="S252" s="126"/>
      <c r="T252" s="148"/>
      <c r="V252" s="126"/>
      <c r="Y252" s="157"/>
      <c r="Z252" s="157"/>
    </row>
    <row r="253" spans="1:26" s="125" customFormat="1" ht="15.75" x14ac:dyDescent="0.25">
      <c r="A253" s="461"/>
      <c r="B253" s="1124" t="s">
        <v>1402</v>
      </c>
      <c r="C253" s="152"/>
      <c r="E253" s="201"/>
      <c r="F253" s="202"/>
      <c r="G253" s="202"/>
      <c r="H253" s="203"/>
      <c r="I253" s="203"/>
      <c r="J253" s="203"/>
      <c r="K253" s="203"/>
      <c r="L253" s="203"/>
      <c r="M253" s="203"/>
      <c r="N253" s="203"/>
      <c r="O253" s="203"/>
      <c r="P253" s="203"/>
      <c r="S253" s="126"/>
      <c r="V253" s="126"/>
      <c r="Y253" s="157"/>
      <c r="Z253" s="157"/>
    </row>
    <row r="254" spans="1:26" s="125" customFormat="1" x14ac:dyDescent="0.25">
      <c r="A254" s="461"/>
      <c r="C254" s="152"/>
      <c r="S254" s="126"/>
      <c r="U254" s="447"/>
      <c r="V254" s="126"/>
      <c r="Y254" s="157"/>
      <c r="Z254" s="157"/>
    </row>
    <row r="255" spans="1:26" s="125" customFormat="1" x14ac:dyDescent="0.25">
      <c r="A255" s="461">
        <v>16</v>
      </c>
      <c r="B255" s="148" t="s">
        <v>561</v>
      </c>
      <c r="C255" s="152"/>
      <c r="S255" s="126"/>
      <c r="T255" s="148" t="s">
        <v>561</v>
      </c>
      <c r="V255" s="126"/>
      <c r="Y255" s="157"/>
      <c r="Z255" s="157"/>
    </row>
    <row r="256" spans="1:26" s="125" customFormat="1" ht="15.75" x14ac:dyDescent="0.25">
      <c r="A256" s="461"/>
      <c r="B256" s="472" t="s">
        <v>727</v>
      </c>
      <c r="C256" s="1628" t="s">
        <v>1398</v>
      </c>
      <c r="D256" s="473">
        <v>42217</v>
      </c>
      <c r="E256" s="473">
        <v>42248</v>
      </c>
      <c r="F256" s="473">
        <v>42278</v>
      </c>
      <c r="G256" s="473">
        <v>42309</v>
      </c>
      <c r="H256" s="473">
        <v>42339</v>
      </c>
      <c r="I256" s="473">
        <v>42370</v>
      </c>
      <c r="J256" s="473">
        <v>42401</v>
      </c>
      <c r="K256" s="473">
        <v>42430</v>
      </c>
      <c r="L256" s="473">
        <v>42461</v>
      </c>
      <c r="M256" s="473">
        <v>42491</v>
      </c>
      <c r="N256" s="473">
        <v>42522</v>
      </c>
      <c r="S256" s="126"/>
      <c r="T256" s="148"/>
      <c r="V256" s="126"/>
      <c r="Y256" s="157"/>
      <c r="Z256" s="157"/>
    </row>
    <row r="257" spans="1:26" s="125" customFormat="1" ht="15.75" x14ac:dyDescent="0.25">
      <c r="A257" s="461"/>
      <c r="B257" s="1629" t="s">
        <v>1404</v>
      </c>
      <c r="C257" s="1630"/>
      <c r="D257" s="1100"/>
      <c r="E257" s="1100"/>
      <c r="F257" s="1100"/>
      <c r="G257" s="1100"/>
      <c r="H257" s="1100"/>
      <c r="I257" s="1100"/>
      <c r="J257" s="1100"/>
      <c r="K257" s="1100"/>
      <c r="L257" s="1100"/>
      <c r="M257" s="1100"/>
      <c r="N257" s="1100"/>
      <c r="S257" s="126"/>
      <c r="T257" s="148"/>
      <c r="V257" s="126"/>
      <c r="Y257" s="157"/>
      <c r="Z257" s="157"/>
    </row>
    <row r="258" spans="1:26" s="125" customFormat="1" ht="15.75" x14ac:dyDescent="0.25">
      <c r="A258" s="461"/>
      <c r="B258" s="1629" t="s">
        <v>1093</v>
      </c>
      <c r="C258" s="1631">
        <v>17928</v>
      </c>
      <c r="D258" s="1631">
        <v>27420</v>
      </c>
      <c r="E258" s="1631">
        <v>26490</v>
      </c>
      <c r="F258" s="1631">
        <v>27592</v>
      </c>
      <c r="G258" s="1631">
        <v>24206</v>
      </c>
      <c r="H258" s="1631">
        <v>23917</v>
      </c>
      <c r="I258" s="1631">
        <v>22057</v>
      </c>
      <c r="J258" s="1631">
        <v>24845</v>
      </c>
      <c r="K258" s="1631">
        <v>25664</v>
      </c>
      <c r="L258" s="1631">
        <v>28515</v>
      </c>
      <c r="M258" s="1631">
        <v>19449</v>
      </c>
      <c r="N258" s="1631">
        <v>18617</v>
      </c>
      <c r="S258" s="126"/>
      <c r="T258" s="148"/>
      <c r="V258" s="126"/>
      <c r="Y258" s="157"/>
      <c r="Z258" s="157"/>
    </row>
    <row r="259" spans="1:26" s="125" customFormat="1" ht="15.75" x14ac:dyDescent="0.25">
      <c r="A259" s="461"/>
      <c r="B259" s="1629" t="s">
        <v>1094</v>
      </c>
      <c r="C259" s="1631">
        <v>3685.179999999993</v>
      </c>
      <c r="D259" s="1631">
        <v>6311.7900000000081</v>
      </c>
      <c r="E259" s="1631">
        <v>5885.9099999999744</v>
      </c>
      <c r="F259" s="1631">
        <v>6318.6300000000047</v>
      </c>
      <c r="G259" s="1631">
        <v>5926</v>
      </c>
      <c r="H259" s="1631">
        <v>5399.5500000000175</v>
      </c>
      <c r="I259" s="1631">
        <v>5911.0799999999872</v>
      </c>
      <c r="J259" s="1631">
        <v>6398.3099999999977</v>
      </c>
      <c r="K259" s="1631">
        <v>6346.359999999986</v>
      </c>
      <c r="L259" s="1631">
        <v>6013.960000000021</v>
      </c>
      <c r="M259" s="1631">
        <v>4338.3699999999953</v>
      </c>
      <c r="N259" s="1631">
        <v>3917.2399999999907</v>
      </c>
      <c r="S259" s="126"/>
      <c r="T259" s="148"/>
      <c r="V259" s="126"/>
      <c r="Y259" s="157"/>
      <c r="Z259" s="157"/>
    </row>
    <row r="260" spans="1:26" s="125" customFormat="1" ht="15.75" x14ac:dyDescent="0.25">
      <c r="A260" s="461"/>
      <c r="B260" s="1629" t="s">
        <v>1097</v>
      </c>
      <c r="C260" s="1631">
        <v>12185.349999999977</v>
      </c>
      <c r="D260" s="1631">
        <v>16380.75</v>
      </c>
      <c r="E260" s="1123">
        <v>15084.640000000014</v>
      </c>
      <c r="F260" s="1123">
        <v>15362.929999999993</v>
      </c>
      <c r="G260" s="1123">
        <v>13201.650000000023</v>
      </c>
      <c r="H260" s="1123">
        <v>14589.559999999939</v>
      </c>
      <c r="I260" s="1123">
        <v>11156.070000000065</v>
      </c>
      <c r="J260" s="1123">
        <v>13125.189999999944</v>
      </c>
      <c r="K260" s="1631">
        <v>14145.5</v>
      </c>
      <c r="L260" s="1631">
        <v>13905.780000000028</v>
      </c>
      <c r="M260" s="1631">
        <v>12531.440000000061</v>
      </c>
      <c r="N260" s="1631">
        <v>12558.839999999967</v>
      </c>
      <c r="S260" s="126"/>
      <c r="T260" s="148"/>
      <c r="V260" s="126"/>
      <c r="Y260" s="157"/>
      <c r="Z260" s="157"/>
    </row>
    <row r="261" spans="1:26" s="125" customFormat="1" ht="15.75" x14ac:dyDescent="0.25">
      <c r="A261" s="461"/>
      <c r="B261" s="1629" t="s">
        <v>1096</v>
      </c>
      <c r="C261" s="1631">
        <v>2057.4700000000303</v>
      </c>
      <c r="D261" s="1631">
        <v>4727.4599999999919</v>
      </c>
      <c r="E261" s="1123">
        <v>5519.4500000000116</v>
      </c>
      <c r="F261" s="1123">
        <v>5910.4400000000023</v>
      </c>
      <c r="G261" s="1123">
        <v>5078.3499999999767</v>
      </c>
      <c r="H261" s="1123">
        <v>3927.8900000000431</v>
      </c>
      <c r="I261" s="1123">
        <v>4989.8499999999476</v>
      </c>
      <c r="J261" s="1123">
        <v>5321.5000000000582</v>
      </c>
      <c r="K261" s="1631">
        <v>5172.140000000014</v>
      </c>
      <c r="L261" s="1631">
        <v>8595.2599999999511</v>
      </c>
      <c r="M261" s="1631">
        <v>2579.1899999999441</v>
      </c>
      <c r="N261" s="1631">
        <v>2140.9200000000419</v>
      </c>
      <c r="S261" s="126"/>
      <c r="T261" s="148"/>
      <c r="V261" s="126"/>
      <c r="Y261" s="157"/>
      <c r="Z261" s="157"/>
    </row>
    <row r="262" spans="1:26" s="125" customFormat="1" ht="15.75" x14ac:dyDescent="0.25">
      <c r="A262" s="461"/>
      <c r="B262" s="441"/>
      <c r="C262" s="1631"/>
      <c r="D262" s="1631"/>
      <c r="E262" s="1123"/>
      <c r="F262" s="1123"/>
      <c r="G262" s="1123"/>
      <c r="H262" s="1123"/>
      <c r="I262" s="1123"/>
      <c r="J262" s="1123"/>
      <c r="K262" s="1631"/>
      <c r="L262" s="1631"/>
      <c r="M262" s="1631"/>
      <c r="N262" s="1631"/>
      <c r="S262" s="126"/>
      <c r="T262" s="148"/>
      <c r="V262" s="126"/>
      <c r="Y262" s="157"/>
      <c r="Z262" s="157"/>
    </row>
    <row r="263" spans="1:26" s="125" customFormat="1" ht="15.75" x14ac:dyDescent="0.25">
      <c r="A263" s="461"/>
      <c r="B263" s="1629" t="s">
        <v>320</v>
      </c>
      <c r="C263" s="1631">
        <v>6680</v>
      </c>
      <c r="D263" s="1631">
        <v>13000</v>
      </c>
      <c r="E263" s="1123">
        <v>19100</v>
      </c>
      <c r="F263" s="1123">
        <v>35130</v>
      </c>
      <c r="G263" s="1123">
        <v>10000</v>
      </c>
      <c r="H263" s="1123">
        <v>14470</v>
      </c>
      <c r="I263" s="1123">
        <v>42376.29296875</v>
      </c>
      <c r="J263" s="1123">
        <v>36995.619140625</v>
      </c>
      <c r="K263" s="1631">
        <v>22197.1875</v>
      </c>
      <c r="L263" s="1631">
        <v>51990</v>
      </c>
      <c r="M263" s="1631">
        <v>8710</v>
      </c>
      <c r="N263" s="1631">
        <v>7980</v>
      </c>
      <c r="S263" s="126"/>
      <c r="T263" s="148"/>
      <c r="V263" s="126"/>
      <c r="Y263" s="157"/>
      <c r="Z263" s="157"/>
    </row>
    <row r="264" spans="1:26" s="125" customFormat="1" ht="15.75" x14ac:dyDescent="0.25">
      <c r="A264" s="461"/>
      <c r="B264" s="1629" t="s">
        <v>322</v>
      </c>
      <c r="C264" s="1631">
        <v>13500</v>
      </c>
      <c r="D264" s="1631">
        <v>80300</v>
      </c>
      <c r="E264" s="1123">
        <v>122000</v>
      </c>
      <c r="F264" s="1123">
        <v>119200</v>
      </c>
      <c r="G264" s="1123">
        <v>99400</v>
      </c>
      <c r="H264" s="1123">
        <v>66000</v>
      </c>
      <c r="I264" s="1123">
        <v>98100</v>
      </c>
      <c r="J264" s="1123">
        <v>114700</v>
      </c>
      <c r="K264" s="1631">
        <v>98500</v>
      </c>
      <c r="L264" s="1631">
        <v>87300</v>
      </c>
      <c r="M264" s="1631">
        <v>27800</v>
      </c>
      <c r="N264" s="1631">
        <v>52000</v>
      </c>
      <c r="S264" s="126"/>
      <c r="T264" s="148"/>
      <c r="V264" s="126"/>
      <c r="Y264" s="157"/>
      <c r="Z264" s="157"/>
    </row>
    <row r="265" spans="1:26" s="125" customFormat="1" ht="15.75" x14ac:dyDescent="0.25">
      <c r="A265" s="461"/>
      <c r="B265" s="1632" t="s">
        <v>323</v>
      </c>
      <c r="C265" s="1631">
        <v>19231</v>
      </c>
      <c r="D265" s="1631">
        <v>21446</v>
      </c>
      <c r="E265" s="1123">
        <v>20118</v>
      </c>
      <c r="F265" s="1123">
        <v>14783</v>
      </c>
      <c r="G265" s="1123">
        <v>11547</v>
      </c>
      <c r="H265" s="1123">
        <v>9616</v>
      </c>
      <c r="I265" s="1123">
        <v>5516</v>
      </c>
      <c r="J265" s="1123">
        <v>6976</v>
      </c>
      <c r="K265" s="1631">
        <v>12798</v>
      </c>
      <c r="L265" s="1631">
        <v>12870</v>
      </c>
      <c r="M265" s="1631">
        <v>12322</v>
      </c>
      <c r="N265" s="1631">
        <v>16624</v>
      </c>
      <c r="S265" s="126"/>
      <c r="T265" s="148"/>
      <c r="V265" s="126"/>
      <c r="Y265" s="157"/>
      <c r="Z265" s="157"/>
    </row>
    <row r="266" spans="1:26" s="125" customFormat="1" ht="15.75" x14ac:dyDescent="0.25">
      <c r="A266" s="461"/>
      <c r="B266" s="1633"/>
      <c r="C266" s="1631"/>
      <c r="D266" s="1631"/>
      <c r="E266" s="1123"/>
      <c r="F266" s="1123"/>
      <c r="G266" s="1123"/>
      <c r="H266" s="1123"/>
      <c r="I266" s="1123"/>
      <c r="J266" s="1123"/>
      <c r="K266" s="1631"/>
      <c r="L266" s="1631"/>
      <c r="M266" s="1631"/>
      <c r="N266" s="1631"/>
      <c r="S266" s="126"/>
      <c r="T266" s="148"/>
      <c r="V266" s="126"/>
      <c r="Y266" s="157"/>
      <c r="Z266" s="157"/>
    </row>
    <row r="267" spans="1:26" s="125" customFormat="1" ht="15.75" x14ac:dyDescent="0.25">
      <c r="A267" s="461"/>
      <c r="B267" s="1629" t="s">
        <v>324</v>
      </c>
      <c r="C267" s="1631">
        <v>1255.3984565217393</v>
      </c>
      <c r="D267" s="1631">
        <v>1948.9000108350306</v>
      </c>
      <c r="E267" s="1631">
        <v>1822.8954464088397</v>
      </c>
      <c r="F267" s="1631">
        <v>1756.8790959950172</v>
      </c>
      <c r="G267" s="1631">
        <v>1541.2806392307693</v>
      </c>
      <c r="H267" s="1631">
        <v>1407.1734622089948</v>
      </c>
      <c r="I267" s="1631">
        <v>1308.5384856629996</v>
      </c>
      <c r="J267" s="1631">
        <v>1467.2825486846691</v>
      </c>
      <c r="K267" s="1631">
        <v>1533.9407037426899</v>
      </c>
      <c r="L267" s="1631">
        <v>1655.7411844154765</v>
      </c>
      <c r="M267" s="1631">
        <v>1157.3066109307508</v>
      </c>
      <c r="N267" s="1631">
        <v>1214.6886048757378</v>
      </c>
      <c r="S267" s="126"/>
      <c r="T267" s="148"/>
      <c r="V267" s="126"/>
      <c r="Y267" s="157"/>
      <c r="Z267" s="157"/>
    </row>
    <row r="268" spans="1:26" s="125" customFormat="1" ht="15.75" x14ac:dyDescent="0.25">
      <c r="A268" s="461"/>
      <c r="B268" s="1634" t="s">
        <v>328</v>
      </c>
      <c r="C268" s="1631">
        <v>106.8196524064175</v>
      </c>
      <c r="D268" s="1631">
        <v>635.37911764706109</v>
      </c>
      <c r="E268" s="1631">
        <v>981.87165775401411</v>
      </c>
      <c r="F268" s="1631">
        <v>959.33689839572526</v>
      </c>
      <c r="G268" s="1631">
        <v>799.98395721925419</v>
      </c>
      <c r="H268" s="1631">
        <v>531.17647058823718</v>
      </c>
      <c r="I268" s="1631">
        <v>789.52139037433426</v>
      </c>
      <c r="J268" s="1631">
        <v>923.12032085561816</v>
      </c>
      <c r="K268" s="1631">
        <v>792.74064171123268</v>
      </c>
      <c r="L268" s="1631">
        <v>702.60160427807739</v>
      </c>
      <c r="M268" s="1631">
        <v>223.73796791443928</v>
      </c>
      <c r="N268" s="1631">
        <v>418.50267379679292</v>
      </c>
      <c r="S268" s="126"/>
      <c r="T268" s="148"/>
      <c r="V268" s="126"/>
      <c r="Y268" s="157"/>
      <c r="Z268" s="157"/>
    </row>
    <row r="269" spans="1:26" s="125" customFormat="1" ht="15.75" x14ac:dyDescent="0.25">
      <c r="A269" s="461"/>
      <c r="B269" s="1635" t="s">
        <v>326</v>
      </c>
      <c r="C269" s="1631">
        <v>52.196852</v>
      </c>
      <c r="D269" s="1631">
        <v>101.58070000000001</v>
      </c>
      <c r="E269" s="1631">
        <v>149.24549000000002</v>
      </c>
      <c r="F269" s="1631">
        <v>274.50230700000003</v>
      </c>
      <c r="G269" s="1631">
        <v>78.13900000000001</v>
      </c>
      <c r="H269" s="1631">
        <v>113.067133</v>
      </c>
      <c r="I269" s="1631">
        <v>331.12411562851565</v>
      </c>
      <c r="J269" s="1631">
        <v>289.08006840292973</v>
      </c>
      <c r="K269" s="1631">
        <v>173.44660340625001</v>
      </c>
      <c r="L269" s="1631">
        <v>406.24466100000001</v>
      </c>
      <c r="M269" s="1631">
        <v>68.059069000000008</v>
      </c>
      <c r="N269" s="1631">
        <v>62.354922000000002</v>
      </c>
      <c r="S269" s="126"/>
      <c r="T269" s="148"/>
      <c r="V269" s="126"/>
      <c r="Y269" s="157"/>
      <c r="Z269" s="157"/>
    </row>
    <row r="270" spans="1:26" s="125" customFormat="1" ht="15.75" x14ac:dyDescent="0.25">
      <c r="A270" s="461"/>
      <c r="B270" s="1124" t="s">
        <v>1400</v>
      </c>
      <c r="C270" s="152"/>
      <c r="D270" s="157"/>
      <c r="S270" s="126"/>
      <c r="T270" s="148"/>
      <c r="V270" s="126"/>
      <c r="Y270" s="157"/>
      <c r="Z270" s="157"/>
    </row>
    <row r="271" spans="1:26" s="125" customFormat="1" ht="15.75" x14ac:dyDescent="0.25">
      <c r="A271" s="461"/>
      <c r="B271" s="1124" t="s">
        <v>1401</v>
      </c>
      <c r="C271" s="152"/>
      <c r="D271" s="157"/>
      <c r="S271" s="126"/>
      <c r="T271" s="148"/>
      <c r="V271" s="126"/>
      <c r="Y271" s="157"/>
      <c r="Z271" s="157"/>
    </row>
    <row r="272" spans="1:26" s="125" customFormat="1" ht="15.75" x14ac:dyDescent="0.25">
      <c r="A272" s="461"/>
      <c r="B272" s="1124" t="s">
        <v>1402</v>
      </c>
      <c r="C272" s="152"/>
      <c r="E272" s="201"/>
      <c r="F272" s="202"/>
      <c r="G272" s="202"/>
      <c r="H272" s="203"/>
      <c r="I272" s="203"/>
      <c r="J272" s="203"/>
      <c r="K272" s="203"/>
      <c r="L272" s="203"/>
      <c r="M272" s="203"/>
      <c r="N272" s="203"/>
      <c r="O272" s="203"/>
      <c r="P272" s="203"/>
      <c r="S272" s="126"/>
      <c r="V272" s="126"/>
      <c r="Y272" s="157"/>
      <c r="Z272" s="157"/>
    </row>
    <row r="273" spans="1:26" s="125" customFormat="1" x14ac:dyDescent="0.25">
      <c r="A273" s="461"/>
      <c r="C273" s="152"/>
      <c r="S273" s="126"/>
      <c r="U273" s="447"/>
      <c r="V273" s="126"/>
      <c r="Y273" s="157"/>
      <c r="Z273" s="157"/>
    </row>
    <row r="274" spans="1:26" s="125" customFormat="1" x14ac:dyDescent="0.25">
      <c r="A274" s="461">
        <v>17</v>
      </c>
      <c r="B274" s="148" t="s">
        <v>562</v>
      </c>
      <c r="C274" s="152"/>
      <c r="S274" s="126"/>
      <c r="T274" s="148" t="s">
        <v>562</v>
      </c>
      <c r="V274" s="126"/>
      <c r="Y274" s="157"/>
      <c r="Z274" s="157"/>
    </row>
    <row r="275" spans="1:26" s="125" customFormat="1" ht="15.75" x14ac:dyDescent="0.25">
      <c r="A275" s="461"/>
      <c r="B275" s="472" t="s">
        <v>728</v>
      </c>
      <c r="C275" s="1628" t="s">
        <v>1398</v>
      </c>
      <c r="D275" s="473">
        <v>42217</v>
      </c>
      <c r="E275" s="473">
        <v>42248</v>
      </c>
      <c r="F275" s="473">
        <v>42278</v>
      </c>
      <c r="G275" s="473">
        <v>42309</v>
      </c>
      <c r="H275" s="473">
        <v>42339</v>
      </c>
      <c r="I275" s="473">
        <v>42370</v>
      </c>
      <c r="J275" s="473">
        <v>42401</v>
      </c>
      <c r="K275" s="473">
        <v>42430</v>
      </c>
      <c r="L275" s="473">
        <v>42461</v>
      </c>
      <c r="M275" s="473">
        <v>42491</v>
      </c>
      <c r="N275" s="473">
        <v>42522</v>
      </c>
      <c r="S275" s="126"/>
      <c r="T275" s="148"/>
      <c r="V275" s="126"/>
      <c r="Y275" s="157"/>
      <c r="Z275" s="157"/>
    </row>
    <row r="276" spans="1:26" s="125" customFormat="1" ht="15.75" x14ac:dyDescent="0.25">
      <c r="A276" s="461"/>
      <c r="B276" s="1629" t="s">
        <v>1405</v>
      </c>
      <c r="C276" s="1630"/>
      <c r="D276" s="1100"/>
      <c r="E276" s="1100"/>
      <c r="F276" s="1100"/>
      <c r="G276" s="1100"/>
      <c r="H276" s="1100"/>
      <c r="I276" s="1100"/>
      <c r="J276" s="1100"/>
      <c r="K276" s="1100"/>
      <c r="L276" s="1100"/>
      <c r="M276" s="1100"/>
      <c r="N276" s="1100"/>
      <c r="S276" s="126"/>
      <c r="T276" s="148"/>
      <c r="V276" s="126"/>
      <c r="Y276" s="157"/>
      <c r="Z276" s="157"/>
    </row>
    <row r="277" spans="1:26" s="125" customFormat="1" ht="15.75" x14ac:dyDescent="0.25">
      <c r="A277" s="461"/>
      <c r="B277" s="1629" t="s">
        <v>1093</v>
      </c>
      <c r="C277" s="1631">
        <v>17881</v>
      </c>
      <c r="D277" s="1631">
        <v>25823</v>
      </c>
      <c r="E277" s="1631">
        <v>25262</v>
      </c>
      <c r="F277" s="1631">
        <v>27592</v>
      </c>
      <c r="G277" s="1631">
        <v>22992</v>
      </c>
      <c r="H277" s="1631">
        <v>23272</v>
      </c>
      <c r="I277" s="1631">
        <v>21878</v>
      </c>
      <c r="J277" s="1631">
        <v>22370</v>
      </c>
      <c r="K277" s="1631">
        <v>24352</v>
      </c>
      <c r="L277" s="1631">
        <v>24196</v>
      </c>
      <c r="M277" s="1631">
        <v>19926</v>
      </c>
      <c r="N277" s="1631">
        <v>18382</v>
      </c>
      <c r="S277" s="126"/>
      <c r="T277" s="148"/>
      <c r="V277" s="126"/>
      <c r="Y277" s="157"/>
      <c r="Z277" s="157"/>
    </row>
    <row r="278" spans="1:26" s="125" customFormat="1" ht="15.75" x14ac:dyDescent="0.25">
      <c r="A278" s="461"/>
      <c r="B278" s="1629" t="s">
        <v>1094</v>
      </c>
      <c r="C278" s="1631">
        <v>4208.6999999999825</v>
      </c>
      <c r="D278" s="1631">
        <v>6294.8500000000058</v>
      </c>
      <c r="E278" s="1631">
        <v>6027.3300000000163</v>
      </c>
      <c r="F278" s="1631">
        <v>6540.6299999999756</v>
      </c>
      <c r="G278" s="1631">
        <v>6135.3625000000029</v>
      </c>
      <c r="H278" s="1631">
        <v>5386.3850000000093</v>
      </c>
      <c r="I278" s="1631">
        <v>6135</v>
      </c>
      <c r="J278" s="1631">
        <v>6565</v>
      </c>
      <c r="K278" s="1631">
        <v>6396</v>
      </c>
      <c r="L278" s="1631">
        <v>6375</v>
      </c>
      <c r="M278" s="1631">
        <v>5170</v>
      </c>
      <c r="N278" s="1631">
        <v>4024</v>
      </c>
      <c r="S278" s="126"/>
      <c r="T278" s="148"/>
      <c r="V278" s="126"/>
      <c r="Y278" s="157"/>
      <c r="Z278" s="157"/>
    </row>
    <row r="279" spans="1:26" s="125" customFormat="1" ht="15.75" x14ac:dyDescent="0.25">
      <c r="A279" s="461"/>
      <c r="B279" s="1629" t="s">
        <v>1095</v>
      </c>
      <c r="C279" s="1631">
        <v>11490.770000000019</v>
      </c>
      <c r="D279" s="1631">
        <v>14955.22000000003</v>
      </c>
      <c r="E279" s="1123">
        <v>14015.599999999977</v>
      </c>
      <c r="F279" s="1123">
        <v>14281.010000000009</v>
      </c>
      <c r="G279" s="1123">
        <v>12160.859999999986</v>
      </c>
      <c r="H279" s="1123">
        <v>13684.380000000005</v>
      </c>
      <c r="I279" s="1123">
        <v>11253.979999999981</v>
      </c>
      <c r="J279" s="1123">
        <v>10824.420000000042</v>
      </c>
      <c r="K279" s="1631">
        <v>13202.020000000019</v>
      </c>
      <c r="L279" s="1631">
        <v>12989.29999999993</v>
      </c>
      <c r="M279" s="1631">
        <v>12557.630000000005</v>
      </c>
      <c r="N279" s="1631">
        <v>12227.290000000037</v>
      </c>
      <c r="S279" s="126"/>
      <c r="T279" s="148"/>
      <c r="V279" s="126"/>
      <c r="Y279" s="157"/>
      <c r="Z279" s="157"/>
    </row>
    <row r="280" spans="1:26" s="125" customFormat="1" ht="15.75" x14ac:dyDescent="0.25">
      <c r="A280" s="461"/>
      <c r="B280" s="1629" t="s">
        <v>1096</v>
      </c>
      <c r="C280" s="1631">
        <v>2181.5299999999988</v>
      </c>
      <c r="D280" s="1631">
        <v>4572.9299999999639</v>
      </c>
      <c r="E280" s="1123">
        <v>5219.070000000007</v>
      </c>
      <c r="F280" s="1123">
        <v>6770.3600000000151</v>
      </c>
      <c r="G280" s="1123">
        <v>4695.7775000000111</v>
      </c>
      <c r="H280" s="1123">
        <v>4201.234999999986</v>
      </c>
      <c r="I280" s="1123">
        <v>4489.0200000000186</v>
      </c>
      <c r="J280" s="1123">
        <v>4980.5799999999581</v>
      </c>
      <c r="K280" s="1631">
        <v>4753.9799999999814</v>
      </c>
      <c r="L280" s="1631">
        <v>4831.7000000000698</v>
      </c>
      <c r="M280" s="1631">
        <v>2198.3699999999953</v>
      </c>
      <c r="N280" s="1631">
        <v>2130.7099999999627</v>
      </c>
      <c r="S280" s="126"/>
      <c r="T280" s="148"/>
      <c r="V280" s="126"/>
      <c r="Y280" s="157"/>
      <c r="Z280" s="157"/>
    </row>
    <row r="281" spans="1:26" s="125" customFormat="1" ht="15.75" x14ac:dyDescent="0.25">
      <c r="A281" s="461"/>
      <c r="B281" s="441"/>
      <c r="C281" s="1631"/>
      <c r="D281" s="1631"/>
      <c r="E281" s="1123"/>
      <c r="F281" s="1123"/>
      <c r="G281" s="1123"/>
      <c r="H281" s="1123"/>
      <c r="I281" s="1123"/>
      <c r="J281" s="1123"/>
      <c r="K281" s="1631"/>
      <c r="L281" s="1631"/>
      <c r="M281" s="1631"/>
      <c r="N281" s="1631"/>
      <c r="S281" s="126"/>
      <c r="T281" s="148"/>
      <c r="V281" s="126"/>
      <c r="Y281" s="157"/>
      <c r="Z281" s="157"/>
    </row>
    <row r="282" spans="1:26" s="125" customFormat="1" ht="15.75" x14ac:dyDescent="0.25">
      <c r="A282" s="461"/>
      <c r="B282" s="1629" t="s">
        <v>320</v>
      </c>
      <c r="C282" s="1631">
        <v>2990</v>
      </c>
      <c r="D282" s="1631">
        <v>7420</v>
      </c>
      <c r="E282" s="1123">
        <v>11540</v>
      </c>
      <c r="F282" s="1123">
        <v>13660</v>
      </c>
      <c r="G282" s="1123">
        <v>17000</v>
      </c>
      <c r="H282" s="1123">
        <v>19470</v>
      </c>
      <c r="I282" s="1123">
        <v>55596</v>
      </c>
      <c r="J282" s="1123">
        <v>52406</v>
      </c>
      <c r="K282" s="1631">
        <v>19280</v>
      </c>
      <c r="L282" s="1631">
        <v>17918</v>
      </c>
      <c r="M282" s="1631">
        <v>5670</v>
      </c>
      <c r="N282" s="1631">
        <v>5140</v>
      </c>
      <c r="S282" s="126"/>
      <c r="T282" s="148"/>
      <c r="V282" s="126"/>
      <c r="Y282" s="157"/>
      <c r="Z282" s="157"/>
    </row>
    <row r="283" spans="1:26" s="125" customFormat="1" ht="15.75" x14ac:dyDescent="0.25">
      <c r="A283" s="461"/>
      <c r="B283" s="1629" t="s">
        <v>322</v>
      </c>
      <c r="C283" s="1631">
        <v>9500</v>
      </c>
      <c r="D283" s="1631">
        <v>64700</v>
      </c>
      <c r="E283" s="1123">
        <v>87500</v>
      </c>
      <c r="F283" s="1123">
        <v>100100</v>
      </c>
      <c r="G283" s="1123">
        <v>75300</v>
      </c>
      <c r="H283" s="1123">
        <v>41800</v>
      </c>
      <c r="I283" s="1123">
        <v>78400</v>
      </c>
      <c r="J283" s="1123">
        <v>89900</v>
      </c>
      <c r="K283" s="1631">
        <v>70300</v>
      </c>
      <c r="L283" s="1631">
        <v>75800</v>
      </c>
      <c r="M283" s="1631">
        <v>23400</v>
      </c>
      <c r="N283" s="1631">
        <v>39600</v>
      </c>
      <c r="S283" s="126"/>
      <c r="T283" s="148"/>
      <c r="V283" s="126"/>
      <c r="Y283" s="157"/>
      <c r="Z283" s="157"/>
    </row>
    <row r="284" spans="1:26" s="125" customFormat="1" ht="15.75" x14ac:dyDescent="0.25">
      <c r="A284" s="461"/>
      <c r="B284" s="1632" t="s">
        <v>323</v>
      </c>
      <c r="C284" s="1631">
        <v>18910</v>
      </c>
      <c r="D284" s="1631">
        <v>21330</v>
      </c>
      <c r="E284" s="1123">
        <v>21444</v>
      </c>
      <c r="F284" s="1123">
        <v>13159</v>
      </c>
      <c r="G284" s="1123">
        <v>9189</v>
      </c>
      <c r="H284" s="1123">
        <v>8344</v>
      </c>
      <c r="I284" s="1123">
        <v>3436</v>
      </c>
      <c r="J284" s="1123">
        <v>4313</v>
      </c>
      <c r="K284" s="1631">
        <v>10606</v>
      </c>
      <c r="L284" s="1631">
        <v>11178</v>
      </c>
      <c r="M284" s="1631">
        <v>13308</v>
      </c>
      <c r="N284" s="1631">
        <v>19159</v>
      </c>
      <c r="S284" s="126"/>
      <c r="T284" s="148"/>
      <c r="V284" s="126"/>
      <c r="Y284" s="157"/>
      <c r="Z284" s="157"/>
    </row>
    <row r="285" spans="1:26" s="125" customFormat="1" ht="15.75" x14ac:dyDescent="0.25">
      <c r="A285" s="461"/>
      <c r="B285" s="1633"/>
      <c r="C285" s="1631"/>
      <c r="D285" s="1631"/>
      <c r="E285" s="1123"/>
      <c r="F285" s="1123"/>
      <c r="G285" s="1123"/>
      <c r="H285" s="1123"/>
      <c r="I285" s="1123"/>
      <c r="J285" s="1123"/>
      <c r="K285" s="1631"/>
      <c r="L285" s="1631"/>
      <c r="M285" s="1631"/>
      <c r="N285" s="1631"/>
      <c r="S285" s="126"/>
      <c r="T285" s="148"/>
      <c r="V285" s="126"/>
      <c r="Y285" s="157"/>
      <c r="Z285" s="157"/>
    </row>
    <row r="286" spans="1:26" s="125" customFormat="1" ht="15.75" x14ac:dyDescent="0.25">
      <c r="A286" s="461"/>
      <c r="B286" s="1629" t="s">
        <v>324</v>
      </c>
      <c r="C286" s="1631">
        <v>1252.1073070652176</v>
      </c>
      <c r="D286" s="1631">
        <v>1835.3918665132383</v>
      </c>
      <c r="E286" s="1631">
        <v>1738.3912709392264</v>
      </c>
      <c r="F286" s="1631">
        <v>1756.8790959950172</v>
      </c>
      <c r="G286" s="1631">
        <v>1463.9810153347869</v>
      </c>
      <c r="H286" s="1631">
        <v>1369.2244350264552</v>
      </c>
      <c r="I286" s="1631">
        <v>1297.9192541748698</v>
      </c>
      <c r="J286" s="1631">
        <v>1321.1153396689897</v>
      </c>
      <c r="K286" s="1631">
        <v>1455.5222887134503</v>
      </c>
      <c r="L286" s="1631">
        <v>1404.9557670740617</v>
      </c>
      <c r="M286" s="1631">
        <v>1185.6903454885157</v>
      </c>
      <c r="N286" s="1631">
        <v>1199.3557466200684</v>
      </c>
      <c r="S286" s="126"/>
      <c r="T286" s="148"/>
      <c r="V286" s="126"/>
      <c r="Y286" s="157"/>
      <c r="Z286" s="157"/>
    </row>
    <row r="287" spans="1:26" s="125" customFormat="1" ht="15.75" x14ac:dyDescent="0.25">
      <c r="A287" s="461"/>
      <c r="B287" s="1634" t="s">
        <v>328</v>
      </c>
      <c r="C287" s="1631">
        <v>75.16938502673824</v>
      </c>
      <c r="D287" s="1631">
        <v>511.94307486631203</v>
      </c>
      <c r="E287" s="1631">
        <v>704.2112299465266</v>
      </c>
      <c r="F287" s="1631">
        <v>805.61764705882638</v>
      </c>
      <c r="G287" s="1631">
        <v>606.02406417112513</v>
      </c>
      <c r="H287" s="1631">
        <v>336.41176470588351</v>
      </c>
      <c r="I287" s="1631">
        <v>630.97326203208775</v>
      </c>
      <c r="J287" s="1631">
        <v>723.52673796791703</v>
      </c>
      <c r="K287" s="1631">
        <v>565.78342245989506</v>
      </c>
      <c r="L287" s="1631">
        <v>610.04812834224811</v>
      </c>
      <c r="M287" s="1631">
        <v>188.32620320855679</v>
      </c>
      <c r="N287" s="1631">
        <v>318.7058823529423</v>
      </c>
      <c r="S287" s="126"/>
      <c r="T287" s="148"/>
      <c r="V287" s="126"/>
      <c r="Y287" s="157"/>
      <c r="Z287" s="157"/>
    </row>
    <row r="288" spans="1:26" s="125" customFormat="1" ht="15.75" x14ac:dyDescent="0.25">
      <c r="A288" s="461"/>
      <c r="B288" s="1635" t="s">
        <v>326</v>
      </c>
      <c r="C288" s="1631">
        <v>23.363561000000001</v>
      </c>
      <c r="D288" s="1631">
        <v>57.979138000000006</v>
      </c>
      <c r="E288" s="1631">
        <v>90.172406000000009</v>
      </c>
      <c r="F288" s="1631">
        <v>106.73787400000001</v>
      </c>
      <c r="G288" s="1631">
        <v>132.83629999999999</v>
      </c>
      <c r="H288" s="1631">
        <v>152.13663300000002</v>
      </c>
      <c r="I288" s="1631">
        <v>434.42158440000003</v>
      </c>
      <c r="J288" s="1631">
        <v>409.49524339999999</v>
      </c>
      <c r="K288" s="1631">
        <v>150.65199200000001</v>
      </c>
      <c r="L288" s="1631">
        <v>140.00946020000001</v>
      </c>
      <c r="M288" s="1631">
        <v>44.304813000000003</v>
      </c>
      <c r="N288" s="1631">
        <v>40.163446</v>
      </c>
      <c r="S288" s="126"/>
      <c r="T288" s="148"/>
      <c r="V288" s="126"/>
      <c r="Y288" s="157"/>
      <c r="Z288" s="157"/>
    </row>
    <row r="289" spans="1:26" s="125" customFormat="1" ht="15.75" x14ac:dyDescent="0.25">
      <c r="A289" s="461"/>
      <c r="B289" s="1124" t="s">
        <v>1400</v>
      </c>
      <c r="C289" s="152"/>
      <c r="D289" s="157"/>
      <c r="S289" s="126"/>
      <c r="T289" s="148"/>
      <c r="V289" s="126"/>
      <c r="Y289" s="157"/>
      <c r="Z289" s="157"/>
    </row>
    <row r="290" spans="1:26" s="125" customFormat="1" ht="15.75" x14ac:dyDescent="0.25">
      <c r="A290" s="461"/>
      <c r="B290" s="1124" t="s">
        <v>1401</v>
      </c>
      <c r="C290" s="152"/>
      <c r="D290" s="157"/>
      <c r="S290" s="126"/>
      <c r="T290" s="148"/>
      <c r="V290" s="126"/>
      <c r="Y290" s="157"/>
      <c r="Z290" s="157"/>
    </row>
    <row r="291" spans="1:26" s="125" customFormat="1" ht="15.75" x14ac:dyDescent="0.25">
      <c r="A291" s="461"/>
      <c r="B291" s="1124" t="s">
        <v>1402</v>
      </c>
      <c r="C291" s="152"/>
      <c r="E291" s="201"/>
      <c r="F291" s="202"/>
      <c r="G291" s="202"/>
      <c r="H291" s="203"/>
      <c r="I291" s="203"/>
      <c r="J291" s="203"/>
      <c r="K291" s="203"/>
      <c r="L291" s="203"/>
      <c r="M291" s="203"/>
      <c r="N291" s="203"/>
      <c r="O291" s="203"/>
      <c r="P291" s="203"/>
      <c r="S291" s="126"/>
      <c r="V291" s="126"/>
      <c r="Y291" s="157"/>
      <c r="Z291" s="157"/>
    </row>
    <row r="292" spans="1:26" s="125" customFormat="1" x14ac:dyDescent="0.25">
      <c r="A292" s="461"/>
      <c r="B292" s="205"/>
      <c r="C292" s="152"/>
      <c r="E292" s="201"/>
      <c r="F292" s="202"/>
      <c r="G292" s="202"/>
      <c r="H292" s="203"/>
      <c r="I292" s="203"/>
      <c r="J292" s="203"/>
      <c r="K292" s="203"/>
      <c r="L292" s="203"/>
      <c r="M292" s="203"/>
      <c r="N292" s="203"/>
      <c r="O292" s="203"/>
      <c r="P292" s="203"/>
      <c r="S292" s="126"/>
      <c r="U292" s="447"/>
      <c r="V292" s="126"/>
      <c r="Y292" s="157"/>
      <c r="Z292" s="157"/>
    </row>
    <row r="293" spans="1:26" s="125" customFormat="1" x14ac:dyDescent="0.25">
      <c r="A293" s="461">
        <v>18</v>
      </c>
      <c r="B293" s="148" t="s">
        <v>563</v>
      </c>
      <c r="C293" s="152"/>
      <c r="E293" s="157"/>
      <c r="F293" s="157"/>
      <c r="G293" s="157"/>
      <c r="H293" s="157"/>
      <c r="I293" s="157"/>
      <c r="J293" s="157"/>
      <c r="K293" s="157"/>
      <c r="L293" s="157"/>
      <c r="M293" s="157"/>
      <c r="N293" s="157"/>
      <c r="O293" s="157"/>
      <c r="P293" s="157"/>
      <c r="S293" s="126"/>
      <c r="T293" s="148" t="s">
        <v>563</v>
      </c>
      <c r="V293" s="126"/>
      <c r="Y293" s="157"/>
      <c r="Z293" s="157"/>
    </row>
    <row r="294" spans="1:26" s="125" customFormat="1" ht="15.75" x14ac:dyDescent="0.25">
      <c r="A294" s="461"/>
      <c r="B294" s="472" t="s">
        <v>729</v>
      </c>
      <c r="C294" s="1628" t="s">
        <v>1398</v>
      </c>
      <c r="D294" s="473">
        <v>42217</v>
      </c>
      <c r="E294" s="473">
        <v>42248</v>
      </c>
      <c r="F294" s="473">
        <v>42278</v>
      </c>
      <c r="G294" s="473">
        <v>42309</v>
      </c>
      <c r="H294" s="473">
        <v>42339</v>
      </c>
      <c r="I294" s="473">
        <v>42370</v>
      </c>
      <c r="J294" s="473">
        <v>42401</v>
      </c>
      <c r="K294" s="473">
        <v>42430</v>
      </c>
      <c r="L294" s="473">
        <v>42461</v>
      </c>
      <c r="M294" s="473">
        <v>42491</v>
      </c>
      <c r="N294" s="473">
        <v>42522</v>
      </c>
      <c r="S294" s="126"/>
      <c r="T294" s="148"/>
      <c r="V294" s="126"/>
      <c r="Y294" s="157"/>
      <c r="Z294" s="157"/>
    </row>
    <row r="295" spans="1:26" s="125" customFormat="1" ht="15.75" x14ac:dyDescent="0.25">
      <c r="A295" s="461"/>
      <c r="B295" s="1629" t="s">
        <v>1406</v>
      </c>
      <c r="C295" s="1630"/>
      <c r="D295" s="1100"/>
      <c r="E295" s="1100"/>
      <c r="F295" s="1100"/>
      <c r="G295" s="1100"/>
      <c r="H295" s="1100"/>
      <c r="I295" s="1100"/>
      <c r="J295" s="1100"/>
      <c r="K295" s="1100"/>
      <c r="L295" s="1100"/>
      <c r="M295" s="1100"/>
      <c r="N295" s="1100"/>
      <c r="S295" s="126"/>
      <c r="T295" s="148"/>
      <c r="V295" s="126"/>
      <c r="Y295" s="157"/>
      <c r="Z295" s="157"/>
    </row>
    <row r="296" spans="1:26" s="125" customFormat="1" ht="15.75" x14ac:dyDescent="0.25">
      <c r="A296" s="461"/>
      <c r="B296" s="1629" t="s">
        <v>1093</v>
      </c>
      <c r="C296" s="1631">
        <v>20706</v>
      </c>
      <c r="D296" s="1631">
        <v>31693</v>
      </c>
      <c r="E296" s="1631">
        <v>32266</v>
      </c>
      <c r="F296" s="1631">
        <v>32710</v>
      </c>
      <c r="G296" s="1631">
        <v>29305</v>
      </c>
      <c r="H296" s="1631">
        <v>29247</v>
      </c>
      <c r="I296" s="1631">
        <v>27937</v>
      </c>
      <c r="J296" s="1631">
        <v>29569</v>
      </c>
      <c r="K296" s="1631">
        <v>30145</v>
      </c>
      <c r="L296" s="1631">
        <v>30013</v>
      </c>
      <c r="M296" s="1631">
        <v>23424</v>
      </c>
      <c r="N296" s="1631">
        <v>23243</v>
      </c>
      <c r="S296" s="126"/>
      <c r="T296" s="148"/>
      <c r="V296" s="126"/>
      <c r="Y296" s="157"/>
      <c r="Z296" s="157"/>
    </row>
    <row r="297" spans="1:26" s="125" customFormat="1" ht="15.75" x14ac:dyDescent="0.25">
      <c r="A297" s="461"/>
      <c r="B297" s="1629" t="s">
        <v>1094</v>
      </c>
      <c r="C297" s="1631">
        <v>4051.429999999993</v>
      </c>
      <c r="D297" s="1631">
        <v>6501.679999999993</v>
      </c>
      <c r="E297" s="1631">
        <v>6671.7900000000081</v>
      </c>
      <c r="F297" s="1631">
        <v>6789.4200000000128</v>
      </c>
      <c r="G297" s="1631">
        <v>6478.7099999999919</v>
      </c>
      <c r="H297" s="1631">
        <v>5496.7300000000105</v>
      </c>
      <c r="I297" s="1631">
        <v>6490.7199999999721</v>
      </c>
      <c r="J297" s="1631">
        <v>6751.179999999993</v>
      </c>
      <c r="K297" s="1631">
        <v>6579.7800000000279</v>
      </c>
      <c r="L297" s="1631">
        <v>6720.0800000000163</v>
      </c>
      <c r="M297" s="1631">
        <v>4523.289999999979</v>
      </c>
      <c r="N297" s="1631">
        <v>3894.960000000021</v>
      </c>
      <c r="S297" s="126"/>
      <c r="T297" s="148"/>
      <c r="V297" s="126"/>
      <c r="Y297" s="157"/>
      <c r="Z297" s="157"/>
    </row>
    <row r="298" spans="1:26" s="125" customFormat="1" ht="15.75" x14ac:dyDescent="0.25">
      <c r="A298" s="461"/>
      <c r="B298" s="1629" t="s">
        <v>1095</v>
      </c>
      <c r="C298" s="1631">
        <v>11976.080000000016</v>
      </c>
      <c r="D298" s="1631">
        <v>16853.399999999965</v>
      </c>
      <c r="E298" s="1123">
        <v>16444.830000000075</v>
      </c>
      <c r="F298" s="1123">
        <v>15883.529999999912</v>
      </c>
      <c r="G298" s="1123">
        <v>13652.520000000019</v>
      </c>
      <c r="H298" s="1123">
        <v>14708.869999999995</v>
      </c>
      <c r="I298" s="1123">
        <v>12464.670000000042</v>
      </c>
      <c r="J298" s="1123">
        <v>13454.380000000005</v>
      </c>
      <c r="K298" s="1631">
        <v>14503.030000000028</v>
      </c>
      <c r="L298" s="1631">
        <v>14671.659999999916</v>
      </c>
      <c r="M298" s="1631">
        <v>13493.640000000014</v>
      </c>
      <c r="N298" s="1631">
        <v>14583.25</v>
      </c>
      <c r="S298" s="126"/>
      <c r="T298" s="148"/>
      <c r="V298" s="126"/>
      <c r="Y298" s="157"/>
      <c r="Z298" s="157"/>
    </row>
    <row r="299" spans="1:26" s="125" customFormat="1" ht="15.75" x14ac:dyDescent="0.25">
      <c r="A299" s="461"/>
      <c r="B299" s="1638" t="s">
        <v>1407</v>
      </c>
      <c r="C299" s="1639">
        <v>2583</v>
      </c>
      <c r="D299" s="1639">
        <v>2923</v>
      </c>
      <c r="E299" s="1639">
        <v>3112</v>
      </c>
      <c r="F299" s="1639">
        <v>3510</v>
      </c>
      <c r="G299" s="1639">
        <v>3735</v>
      </c>
      <c r="H299" s="1639">
        <v>3915</v>
      </c>
      <c r="I299" s="1639">
        <v>3851</v>
      </c>
      <c r="J299" s="1639">
        <v>3311</v>
      </c>
      <c r="K299" s="1639">
        <v>3715</v>
      </c>
      <c r="L299" s="1639">
        <v>3107</v>
      </c>
      <c r="M299" s="1639">
        <v>2948</v>
      </c>
      <c r="N299" s="1639">
        <v>2670</v>
      </c>
      <c r="S299" s="126"/>
      <c r="T299" s="148"/>
      <c r="V299" s="126"/>
      <c r="Y299" s="157"/>
      <c r="Z299" s="157"/>
    </row>
    <row r="300" spans="1:26" s="125" customFormat="1" ht="15.75" x14ac:dyDescent="0.25">
      <c r="A300" s="461"/>
      <c r="B300" s="441" t="s">
        <v>1096</v>
      </c>
      <c r="C300" s="1631">
        <v>4678.4899999999907</v>
      </c>
      <c r="D300" s="1631">
        <v>8337.9200000000419</v>
      </c>
      <c r="E300" s="1123">
        <v>9149.3799999999173</v>
      </c>
      <c r="F300" s="1123">
        <v>10037.050000000076</v>
      </c>
      <c r="G300" s="1123">
        <v>9173.7699999999895</v>
      </c>
      <c r="H300" s="1123">
        <v>9041.3999999999942</v>
      </c>
      <c r="I300" s="1123">
        <v>8981.609999999986</v>
      </c>
      <c r="J300" s="1123">
        <v>9363.4400000000023</v>
      </c>
      <c r="K300" s="1631">
        <v>9062.1899999999441</v>
      </c>
      <c r="L300" s="1631">
        <v>8621.2600000000675</v>
      </c>
      <c r="M300" s="1631">
        <v>5407.070000000007</v>
      </c>
      <c r="N300" s="1631">
        <v>4764.789999999979</v>
      </c>
      <c r="S300" s="126"/>
      <c r="T300" s="148"/>
      <c r="V300" s="126"/>
      <c r="Y300" s="157"/>
      <c r="Z300" s="157"/>
    </row>
    <row r="301" spans="1:26" s="125" customFormat="1" ht="15.75" x14ac:dyDescent="0.25">
      <c r="A301" s="461"/>
      <c r="B301" s="1629"/>
      <c r="C301" s="1631"/>
      <c r="D301" s="1631"/>
      <c r="E301" s="1123"/>
      <c r="F301" s="1123"/>
      <c r="G301" s="1123"/>
      <c r="H301" s="1123"/>
      <c r="I301" s="1123"/>
      <c r="J301" s="1123"/>
      <c r="K301" s="1631"/>
      <c r="L301" s="1631"/>
      <c r="M301" s="1631"/>
      <c r="N301" s="1631"/>
      <c r="S301" s="126"/>
      <c r="T301" s="148"/>
      <c r="V301" s="126"/>
      <c r="Y301" s="157"/>
      <c r="Z301" s="157"/>
    </row>
    <row r="302" spans="1:26" s="125" customFormat="1" ht="15.75" x14ac:dyDescent="0.25">
      <c r="A302" s="461"/>
      <c r="B302" s="1629" t="s">
        <v>320</v>
      </c>
      <c r="C302" s="1631">
        <v>4390</v>
      </c>
      <c r="D302" s="1631">
        <v>11340</v>
      </c>
      <c r="E302" s="1123">
        <v>16340</v>
      </c>
      <c r="F302" s="1123">
        <v>19400</v>
      </c>
      <c r="G302" s="1123">
        <v>20070</v>
      </c>
      <c r="H302" s="1123">
        <v>11480</v>
      </c>
      <c r="I302" s="1123">
        <v>35100</v>
      </c>
      <c r="J302" s="1123">
        <v>33730</v>
      </c>
      <c r="K302" s="1631">
        <v>21480</v>
      </c>
      <c r="L302" s="1631">
        <v>21780</v>
      </c>
      <c r="M302" s="1631">
        <v>6750</v>
      </c>
      <c r="N302" s="1631">
        <v>7200</v>
      </c>
      <c r="S302" s="126"/>
      <c r="T302" s="148"/>
      <c r="V302" s="126"/>
      <c r="Y302" s="157"/>
      <c r="Z302" s="157"/>
    </row>
    <row r="303" spans="1:26" s="125" customFormat="1" ht="15.75" x14ac:dyDescent="0.25">
      <c r="A303" s="461"/>
      <c r="B303" s="1629" t="s">
        <v>322</v>
      </c>
      <c r="C303" s="1631">
        <v>4400</v>
      </c>
      <c r="D303" s="1631">
        <v>54200</v>
      </c>
      <c r="E303" s="1123">
        <v>73200</v>
      </c>
      <c r="F303" s="1123">
        <v>76200</v>
      </c>
      <c r="G303" s="1123">
        <v>70400</v>
      </c>
      <c r="H303" s="1123">
        <v>33200</v>
      </c>
      <c r="I303" s="1123">
        <v>74500</v>
      </c>
      <c r="J303" s="1123">
        <v>83800</v>
      </c>
      <c r="K303" s="1631">
        <v>71000</v>
      </c>
      <c r="L303" s="1631">
        <v>76300</v>
      </c>
      <c r="M303" s="1631">
        <v>18800</v>
      </c>
      <c r="N303" s="1631">
        <v>23800</v>
      </c>
      <c r="S303" s="126"/>
      <c r="T303" s="148"/>
      <c r="V303" s="126"/>
      <c r="Y303" s="157"/>
      <c r="Z303" s="157"/>
    </row>
    <row r="304" spans="1:26" s="125" customFormat="1" ht="15.75" x14ac:dyDescent="0.25">
      <c r="A304" s="461"/>
      <c r="B304" s="1632" t="s">
        <v>323</v>
      </c>
      <c r="C304" s="1631">
        <v>18284</v>
      </c>
      <c r="D304" s="1631">
        <v>22007</v>
      </c>
      <c r="E304" s="1123">
        <v>21871</v>
      </c>
      <c r="F304" s="1123">
        <v>12915</v>
      </c>
      <c r="G304" s="1123">
        <v>10214</v>
      </c>
      <c r="H304" s="1123">
        <v>7974</v>
      </c>
      <c r="I304" s="1123">
        <v>4325</v>
      </c>
      <c r="J304" s="1123">
        <v>5323</v>
      </c>
      <c r="K304" s="1631">
        <v>10817</v>
      </c>
      <c r="L304" s="1631">
        <v>11584</v>
      </c>
      <c r="M304" s="1631">
        <v>12586</v>
      </c>
      <c r="N304" s="1631">
        <v>19547</v>
      </c>
      <c r="S304" s="126"/>
      <c r="T304" s="148"/>
      <c r="V304" s="126"/>
      <c r="Y304" s="157"/>
      <c r="Z304" s="157"/>
    </row>
    <row r="305" spans="1:26" s="125" customFormat="1" ht="15.75" x14ac:dyDescent="0.25">
      <c r="A305" s="461"/>
      <c r="B305" s="1633"/>
      <c r="C305" s="1631"/>
      <c r="D305" s="1631"/>
      <c r="E305" s="1123"/>
      <c r="F305" s="1123"/>
      <c r="G305" s="1123"/>
      <c r="H305" s="1123"/>
      <c r="I305" s="1123"/>
      <c r="J305" s="1123"/>
      <c r="K305" s="1631"/>
      <c r="L305" s="1631"/>
      <c r="M305" s="1631"/>
      <c r="N305" s="1631"/>
      <c r="S305" s="126"/>
      <c r="T305" s="148"/>
      <c r="V305" s="126"/>
      <c r="Y305" s="157"/>
      <c r="Z305" s="157"/>
    </row>
    <row r="306" spans="1:26" s="125" customFormat="1" ht="15.75" x14ac:dyDescent="0.25">
      <c r="A306" s="461"/>
      <c r="B306" s="1629" t="s">
        <v>324</v>
      </c>
      <c r="C306" s="1631">
        <v>1449.9263967391305</v>
      </c>
      <c r="D306" s="1631">
        <v>2252.6071496496943</v>
      </c>
      <c r="E306" s="1631">
        <v>2220.3678548066296</v>
      </c>
      <c r="F306" s="1631">
        <v>2082.7600474774217</v>
      </c>
      <c r="G306" s="1631">
        <v>1865.9517942930552</v>
      </c>
      <c r="H306" s="1631">
        <v>1720.7677488492066</v>
      </c>
      <c r="I306" s="1631">
        <v>1657.3713412507241</v>
      </c>
      <c r="J306" s="1631">
        <v>1746.2699811655052</v>
      </c>
      <c r="K306" s="1631">
        <v>1801.7706715369152</v>
      </c>
      <c r="L306" s="1631">
        <v>1742.7234847575555</v>
      </c>
      <c r="M306" s="1631">
        <v>1393.8377322454578</v>
      </c>
      <c r="N306" s="1631">
        <v>1516.5175507937249</v>
      </c>
      <c r="S306" s="126"/>
      <c r="T306" s="148"/>
      <c r="V306" s="126"/>
      <c r="Y306" s="157"/>
      <c r="Z306" s="157"/>
    </row>
    <row r="307" spans="1:26" s="125" customFormat="1" ht="15.75" x14ac:dyDescent="0.25">
      <c r="A307" s="461"/>
      <c r="B307" s="1634" t="s">
        <v>328</v>
      </c>
      <c r="C307" s="1631">
        <v>34.815294117647184</v>
      </c>
      <c r="D307" s="1631">
        <v>428.86112299465401</v>
      </c>
      <c r="E307" s="1631">
        <v>589.12299465240847</v>
      </c>
      <c r="F307" s="1631">
        <v>613.26737967914653</v>
      </c>
      <c r="G307" s="1631">
        <v>566.58823529411961</v>
      </c>
      <c r="H307" s="1631">
        <v>267.1978609625678</v>
      </c>
      <c r="I307" s="1631">
        <v>599.5855614973284</v>
      </c>
      <c r="J307" s="1631">
        <v>674.43315508021635</v>
      </c>
      <c r="K307" s="1631">
        <v>571.41711229946725</v>
      </c>
      <c r="L307" s="1631">
        <v>614.07219251337108</v>
      </c>
      <c r="M307" s="1631">
        <v>151.30481283422515</v>
      </c>
      <c r="N307" s="1631">
        <v>191.54545454545524</v>
      </c>
      <c r="S307" s="126"/>
      <c r="T307" s="148"/>
      <c r="V307" s="126"/>
      <c r="Y307" s="157"/>
      <c r="Z307" s="157"/>
    </row>
    <row r="308" spans="1:26" s="125" customFormat="1" ht="15.75" x14ac:dyDescent="0.25">
      <c r="A308" s="461"/>
      <c r="B308" s="1635" t="s">
        <v>326</v>
      </c>
      <c r="C308" s="1631">
        <v>34.303021000000001</v>
      </c>
      <c r="D308" s="1631">
        <v>88.609626000000006</v>
      </c>
      <c r="E308" s="1631">
        <v>127.67912600000001</v>
      </c>
      <c r="F308" s="1631">
        <v>151.58966000000001</v>
      </c>
      <c r="G308" s="1631">
        <v>156.824973</v>
      </c>
      <c r="H308" s="1631">
        <v>89.703572000000008</v>
      </c>
      <c r="I308" s="1631">
        <v>274.26789000000002</v>
      </c>
      <c r="J308" s="1631">
        <v>263.56284700000003</v>
      </c>
      <c r="K308" s="1631">
        <v>167.84257200000002</v>
      </c>
      <c r="L308" s="1631">
        <v>170.18674200000001</v>
      </c>
      <c r="M308" s="1631">
        <v>52.743825000000001</v>
      </c>
      <c r="N308" s="1631">
        <v>56.260080000000002</v>
      </c>
      <c r="S308" s="126"/>
      <c r="T308" s="148"/>
      <c r="V308" s="126"/>
      <c r="Y308" s="157"/>
      <c r="Z308" s="157"/>
    </row>
    <row r="309" spans="1:26" s="125" customFormat="1" ht="15.75" x14ac:dyDescent="0.25">
      <c r="A309" s="461"/>
      <c r="B309" s="1124" t="s">
        <v>1400</v>
      </c>
      <c r="C309" s="152"/>
      <c r="D309" s="157"/>
      <c r="S309" s="126"/>
      <c r="T309" s="148"/>
      <c r="V309" s="126"/>
      <c r="Y309" s="157"/>
      <c r="Z309" s="157"/>
    </row>
    <row r="310" spans="1:26" s="125" customFormat="1" ht="15.75" x14ac:dyDescent="0.25">
      <c r="A310" s="461"/>
      <c r="B310" s="1124" t="s">
        <v>1401</v>
      </c>
      <c r="C310" s="152"/>
      <c r="D310" s="157"/>
      <c r="S310" s="126"/>
      <c r="T310" s="148"/>
      <c r="V310" s="126"/>
      <c r="Y310" s="157"/>
      <c r="Z310" s="157"/>
    </row>
    <row r="311" spans="1:26" s="125" customFormat="1" ht="15.75" x14ac:dyDescent="0.25">
      <c r="A311" s="461"/>
      <c r="B311" s="1124" t="s">
        <v>1402</v>
      </c>
      <c r="C311" s="152"/>
      <c r="E311" s="201"/>
      <c r="F311" s="202"/>
      <c r="G311" s="202"/>
      <c r="H311" s="203"/>
      <c r="I311" s="203"/>
      <c r="J311" s="203"/>
      <c r="K311" s="203"/>
      <c r="L311" s="203"/>
      <c r="M311" s="203"/>
      <c r="N311" s="203"/>
      <c r="O311" s="203"/>
      <c r="P311" s="203"/>
      <c r="S311" s="126"/>
      <c r="V311" s="126"/>
      <c r="Y311" s="157"/>
      <c r="Z311" s="157"/>
    </row>
    <row r="312" spans="1:26" s="125" customFormat="1" x14ac:dyDescent="0.25">
      <c r="A312" s="461"/>
      <c r="B312" s="205"/>
      <c r="C312" s="152"/>
      <c r="E312" s="201"/>
      <c r="F312" s="206"/>
      <c r="G312" s="202"/>
      <c r="H312" s="203"/>
      <c r="I312" s="203"/>
      <c r="J312" s="203"/>
      <c r="K312" s="203"/>
      <c r="L312" s="203"/>
      <c r="M312" s="203"/>
      <c r="N312" s="203"/>
      <c r="O312" s="203"/>
      <c r="P312" s="203"/>
      <c r="S312" s="126"/>
      <c r="U312" s="447"/>
      <c r="V312" s="126"/>
      <c r="Y312" s="157"/>
      <c r="Z312" s="157"/>
    </row>
    <row r="313" spans="1:26" s="125" customFormat="1" x14ac:dyDescent="0.25">
      <c r="A313" s="461">
        <v>19</v>
      </c>
      <c r="B313" s="148" t="s">
        <v>564</v>
      </c>
      <c r="C313" s="152"/>
      <c r="E313" s="157"/>
      <c r="F313" s="157"/>
      <c r="G313" s="157"/>
      <c r="H313" s="157"/>
      <c r="I313" s="157"/>
      <c r="J313" s="157"/>
      <c r="K313" s="157"/>
      <c r="L313" s="157"/>
      <c r="M313" s="157"/>
      <c r="N313" s="157"/>
      <c r="O313" s="157"/>
      <c r="P313" s="157"/>
      <c r="S313" s="126"/>
      <c r="T313" s="148" t="s">
        <v>564</v>
      </c>
      <c r="V313" s="126"/>
      <c r="Y313" s="157"/>
      <c r="Z313" s="157"/>
    </row>
    <row r="314" spans="1:26" s="125" customFormat="1" ht="15.75" x14ac:dyDescent="0.25">
      <c r="A314" s="461"/>
      <c r="B314" s="472" t="s">
        <v>730</v>
      </c>
      <c r="C314" s="1628" t="s">
        <v>1398</v>
      </c>
      <c r="D314" s="473">
        <v>42217</v>
      </c>
      <c r="E314" s="473">
        <v>42248</v>
      </c>
      <c r="F314" s="473">
        <v>42278</v>
      </c>
      <c r="G314" s="473">
        <v>42309</v>
      </c>
      <c r="H314" s="473">
        <v>42339</v>
      </c>
      <c r="I314" s="473">
        <v>42370</v>
      </c>
      <c r="J314" s="473">
        <v>42401</v>
      </c>
      <c r="K314" s="473">
        <v>42430</v>
      </c>
      <c r="L314" s="473">
        <v>42461</v>
      </c>
      <c r="M314" s="473">
        <v>42491</v>
      </c>
      <c r="N314" s="473">
        <v>42522</v>
      </c>
      <c r="S314" s="126"/>
      <c r="T314" s="148"/>
      <c r="V314" s="126"/>
      <c r="Y314" s="157"/>
      <c r="Z314" s="157"/>
    </row>
    <row r="315" spans="1:26" s="125" customFormat="1" ht="15.75" x14ac:dyDescent="0.25">
      <c r="A315" s="461"/>
      <c r="B315" s="1629" t="s">
        <v>1408</v>
      </c>
      <c r="C315" s="1630"/>
      <c r="D315" s="1100"/>
      <c r="E315" s="1100"/>
      <c r="F315" s="1100"/>
      <c r="G315" s="1100"/>
      <c r="H315" s="1100"/>
      <c r="I315" s="1100"/>
      <c r="J315" s="1100"/>
      <c r="K315" s="1100"/>
      <c r="L315" s="1100"/>
      <c r="M315" s="1100"/>
      <c r="N315" s="1100"/>
      <c r="S315" s="126"/>
      <c r="T315" s="148"/>
      <c r="V315" s="126"/>
      <c r="Y315" s="157"/>
      <c r="Z315" s="157"/>
    </row>
    <row r="316" spans="1:26" s="125" customFormat="1" ht="15.75" x14ac:dyDescent="0.25">
      <c r="A316" s="461"/>
      <c r="B316" s="1629" t="s">
        <v>1093</v>
      </c>
      <c r="C316" s="1631">
        <v>17284</v>
      </c>
      <c r="D316" s="1631">
        <v>25723</v>
      </c>
      <c r="E316" s="1631">
        <v>27480</v>
      </c>
      <c r="F316" s="1631">
        <v>27696</v>
      </c>
      <c r="G316" s="1631">
        <v>23456</v>
      </c>
      <c r="H316" s="1631">
        <v>23047</v>
      </c>
      <c r="I316" s="1631">
        <v>21494</v>
      </c>
      <c r="J316" s="1631">
        <v>21134</v>
      </c>
      <c r="K316" s="1631">
        <v>24628</v>
      </c>
      <c r="L316" s="1631">
        <v>24142</v>
      </c>
      <c r="M316" s="1631">
        <v>19087</v>
      </c>
      <c r="N316" s="1631">
        <v>16828</v>
      </c>
      <c r="S316" s="126"/>
      <c r="T316" s="148"/>
      <c r="V316" s="126"/>
      <c r="Y316" s="157"/>
      <c r="Z316" s="157"/>
    </row>
    <row r="317" spans="1:26" s="125" customFormat="1" ht="15.75" x14ac:dyDescent="0.25">
      <c r="A317" s="461"/>
      <c r="B317" s="1629" t="s">
        <v>1094</v>
      </c>
      <c r="C317" s="1631">
        <v>3520.6900000000023</v>
      </c>
      <c r="D317" s="1631">
        <v>6430.3699999999953</v>
      </c>
      <c r="E317" s="1631">
        <v>6354.1600000000035</v>
      </c>
      <c r="F317" s="1631">
        <v>6746.4499999999825</v>
      </c>
      <c r="G317" s="1631">
        <v>6150.0100000000093</v>
      </c>
      <c r="H317" s="1631">
        <v>5320.6700000000128</v>
      </c>
      <c r="I317" s="1631">
        <v>5507.289999999979</v>
      </c>
      <c r="J317" s="1631">
        <v>5779.8699999999953</v>
      </c>
      <c r="K317" s="1631">
        <v>6264.7600000000093</v>
      </c>
      <c r="L317" s="1631">
        <v>5975.3800000000047</v>
      </c>
      <c r="M317" s="1631">
        <v>4248.7299999999814</v>
      </c>
      <c r="N317" s="1631">
        <v>2879.429999999993</v>
      </c>
      <c r="S317" s="126"/>
      <c r="T317" s="148"/>
      <c r="V317" s="126"/>
      <c r="Y317" s="157"/>
      <c r="Z317" s="157"/>
    </row>
    <row r="318" spans="1:26" s="125" customFormat="1" ht="15.75" x14ac:dyDescent="0.25">
      <c r="A318" s="461"/>
      <c r="B318" s="1629" t="s">
        <v>1095</v>
      </c>
      <c r="C318" s="1631">
        <v>11746.47000000003</v>
      </c>
      <c r="D318" s="1631">
        <v>14562.5</v>
      </c>
      <c r="E318" s="1123">
        <v>13417.239999999991</v>
      </c>
      <c r="F318" s="1123">
        <v>13974.569999999949</v>
      </c>
      <c r="G318" s="1123">
        <v>12303.800000000047</v>
      </c>
      <c r="H318" s="1123">
        <v>14003.439999999944</v>
      </c>
      <c r="I318" s="1123">
        <v>11182.940000000061</v>
      </c>
      <c r="J318" s="1123">
        <v>10157.459999999963</v>
      </c>
      <c r="K318" s="1631">
        <v>13362.190000000061</v>
      </c>
      <c r="L318" s="1631">
        <v>12994.939999999944</v>
      </c>
      <c r="M318" s="1631">
        <v>12377.349999999977</v>
      </c>
      <c r="N318" s="1631">
        <v>12109.030000000028</v>
      </c>
      <c r="S318" s="126"/>
      <c r="T318" s="148"/>
      <c r="V318" s="126"/>
      <c r="Y318" s="157"/>
      <c r="Z318" s="157"/>
    </row>
    <row r="319" spans="1:26" s="125" customFormat="1" ht="15.75" x14ac:dyDescent="0.25">
      <c r="A319" s="461"/>
      <c r="B319" s="1629" t="s">
        <v>1096</v>
      </c>
      <c r="C319" s="1631">
        <v>2016.8399999999674</v>
      </c>
      <c r="D319" s="1631">
        <v>4730.1300000000047</v>
      </c>
      <c r="E319" s="1123">
        <v>7708.6000000000058</v>
      </c>
      <c r="F319" s="1123">
        <v>6974.9800000000687</v>
      </c>
      <c r="G319" s="1123">
        <v>5002.1899999999441</v>
      </c>
      <c r="H319" s="1123">
        <v>3722.8900000000431</v>
      </c>
      <c r="I319" s="1123">
        <v>4803.7699999999604</v>
      </c>
      <c r="J319" s="1123">
        <v>5196.6700000000419</v>
      </c>
      <c r="K319" s="1631">
        <v>5001.0499999999302</v>
      </c>
      <c r="L319" s="1631">
        <v>5171.6800000000512</v>
      </c>
      <c r="M319" s="1631">
        <v>2460.9200000000419</v>
      </c>
      <c r="N319" s="1631">
        <v>1839.539999999979</v>
      </c>
      <c r="S319" s="126"/>
      <c r="T319" s="148"/>
      <c r="V319" s="126"/>
      <c r="Y319" s="157"/>
      <c r="Z319" s="157"/>
    </row>
    <row r="320" spans="1:26" s="125" customFormat="1" ht="15.75" x14ac:dyDescent="0.25">
      <c r="A320" s="461"/>
      <c r="B320" s="441"/>
      <c r="C320" s="1631"/>
      <c r="D320" s="1631"/>
      <c r="E320" s="1123"/>
      <c r="F320" s="1123"/>
      <c r="G320" s="1123"/>
      <c r="H320" s="1123"/>
      <c r="I320" s="1123"/>
      <c r="J320" s="1123"/>
      <c r="K320" s="1631"/>
      <c r="L320" s="1631"/>
      <c r="M320" s="1631"/>
      <c r="N320" s="1631"/>
      <c r="S320" s="126"/>
      <c r="T320" s="148"/>
      <c r="V320" s="126"/>
      <c r="Y320" s="157"/>
      <c r="Z320" s="157"/>
    </row>
    <row r="321" spans="1:26" s="125" customFormat="1" ht="15.75" x14ac:dyDescent="0.25">
      <c r="A321" s="461"/>
      <c r="B321" s="1629" t="s">
        <v>320</v>
      </c>
      <c r="C321" s="1631">
        <v>1690</v>
      </c>
      <c r="D321" s="1631">
        <v>1710</v>
      </c>
      <c r="E321" s="1123">
        <v>1180</v>
      </c>
      <c r="F321" s="1123">
        <v>12260</v>
      </c>
      <c r="G321" s="1123">
        <v>14520</v>
      </c>
      <c r="H321" s="1123">
        <v>11850</v>
      </c>
      <c r="I321" s="1123">
        <v>35390</v>
      </c>
      <c r="J321" s="1123">
        <v>26280</v>
      </c>
      <c r="K321" s="1631">
        <v>22015</v>
      </c>
      <c r="L321" s="1631">
        <v>3950</v>
      </c>
      <c r="M321" s="1631">
        <v>420</v>
      </c>
      <c r="N321" s="1631">
        <v>6300</v>
      </c>
      <c r="S321" s="126"/>
      <c r="T321" s="148"/>
      <c r="V321" s="126"/>
      <c r="Y321" s="157"/>
      <c r="Z321" s="157"/>
    </row>
    <row r="322" spans="1:26" s="125" customFormat="1" ht="15.75" x14ac:dyDescent="0.25">
      <c r="A322" s="461"/>
      <c r="B322" s="1629" t="s">
        <v>322</v>
      </c>
      <c r="C322" s="1631">
        <v>5200</v>
      </c>
      <c r="D322" s="1631">
        <v>56500</v>
      </c>
      <c r="E322" s="1123">
        <v>85000</v>
      </c>
      <c r="F322" s="1123">
        <v>98400</v>
      </c>
      <c r="G322" s="1123">
        <v>87400</v>
      </c>
      <c r="H322" s="1123">
        <v>71800</v>
      </c>
      <c r="I322" s="1123">
        <v>91900</v>
      </c>
      <c r="J322" s="1123">
        <v>113400</v>
      </c>
      <c r="K322" s="1631">
        <v>97500</v>
      </c>
      <c r="L322" s="1631">
        <v>80500</v>
      </c>
      <c r="M322" s="1631">
        <v>21800</v>
      </c>
      <c r="N322" s="1631">
        <v>26000</v>
      </c>
      <c r="S322" s="126"/>
      <c r="T322" s="148"/>
      <c r="V322" s="126"/>
      <c r="Y322" s="157"/>
      <c r="Z322" s="157"/>
    </row>
    <row r="323" spans="1:26" s="125" customFormat="1" ht="15.75" x14ac:dyDescent="0.25">
      <c r="A323" s="461"/>
      <c r="B323" s="1632" t="s">
        <v>323</v>
      </c>
      <c r="C323" s="1631">
        <v>18738.5</v>
      </c>
      <c r="D323" s="1631">
        <v>15540</v>
      </c>
      <c r="E323" s="1123">
        <v>14419</v>
      </c>
      <c r="F323" s="1123">
        <v>10251</v>
      </c>
      <c r="G323" s="1123">
        <v>9091</v>
      </c>
      <c r="H323" s="1123">
        <v>7664</v>
      </c>
      <c r="I323" s="1123">
        <v>4935</v>
      </c>
      <c r="J323" s="1123">
        <v>5032</v>
      </c>
      <c r="K323" s="1631">
        <v>7646</v>
      </c>
      <c r="L323" s="1631">
        <v>9019</v>
      </c>
      <c r="M323" s="1631">
        <v>9143</v>
      </c>
      <c r="N323" s="1631">
        <v>12709</v>
      </c>
      <c r="S323" s="126"/>
      <c r="T323" s="148"/>
      <c r="V323" s="126"/>
      <c r="Y323" s="157"/>
      <c r="Z323" s="157"/>
    </row>
    <row r="324" spans="1:26" s="125" customFormat="1" ht="15.75" x14ac:dyDescent="0.25">
      <c r="A324" s="461"/>
      <c r="B324" s="1633"/>
      <c r="C324" s="1631"/>
      <c r="D324" s="1631"/>
      <c r="E324" s="1123"/>
      <c r="F324" s="1123"/>
      <c r="G324" s="1123"/>
      <c r="H324" s="1123"/>
      <c r="I324" s="1123"/>
      <c r="J324" s="1123"/>
      <c r="K324" s="1631"/>
      <c r="L324" s="1631"/>
      <c r="M324" s="1631"/>
      <c r="N324" s="1631"/>
      <c r="S324" s="126"/>
      <c r="T324" s="148"/>
      <c r="V324" s="126"/>
      <c r="Y324" s="157"/>
      <c r="Z324" s="157"/>
    </row>
    <row r="325" spans="1:26" s="125" customFormat="1" ht="15.75" x14ac:dyDescent="0.25">
      <c r="A325" s="461"/>
      <c r="B325" s="1629" t="s">
        <v>324</v>
      </c>
      <c r="C325" s="1631">
        <v>1210.3027065217393</v>
      </c>
      <c r="D325" s="1631">
        <v>1828.2842807698573</v>
      </c>
      <c r="E325" s="1631">
        <v>1891.0217767955801</v>
      </c>
      <c r="F325" s="1631">
        <v>1763.5011395577703</v>
      </c>
      <c r="G325" s="1631">
        <v>1493.5255173839926</v>
      </c>
      <c r="H325" s="1631">
        <v>1355.9864022883601</v>
      </c>
      <c r="I325" s="1631">
        <v>1275.1383329936307</v>
      </c>
      <c r="J325" s="1631">
        <v>1248.1203213484321</v>
      </c>
      <c r="K325" s="1631">
        <v>1472.0188455336256</v>
      </c>
      <c r="L325" s="1631">
        <v>1401.8202235370309</v>
      </c>
      <c r="M325" s="1631">
        <v>1135.7659151028454</v>
      </c>
      <c r="N325" s="1631">
        <v>1097.9631435166202</v>
      </c>
      <c r="S325" s="126"/>
      <c r="T325" s="148"/>
      <c r="V325" s="126"/>
      <c r="Y325" s="157"/>
      <c r="Z325" s="157"/>
    </row>
    <row r="326" spans="1:26" s="125" customFormat="1" ht="15.75" x14ac:dyDescent="0.25">
      <c r="A326" s="461"/>
      <c r="B326" s="1634" t="s">
        <v>328</v>
      </c>
      <c r="C326" s="1631">
        <v>41.145347593583033</v>
      </c>
      <c r="D326" s="1631">
        <v>447.06002673796951</v>
      </c>
      <c r="E326" s="1631">
        <v>684.09090909091151</v>
      </c>
      <c r="F326" s="1631">
        <v>791.93582887700813</v>
      </c>
      <c r="G326" s="1631">
        <v>703.40641711230194</v>
      </c>
      <c r="H326" s="1631">
        <v>577.85561497326398</v>
      </c>
      <c r="I326" s="1631">
        <v>739.62299465240903</v>
      </c>
      <c r="J326" s="1631">
        <v>912.65775401069834</v>
      </c>
      <c r="K326" s="1631">
        <v>784.69251336898674</v>
      </c>
      <c r="L326" s="1631">
        <v>647.87433155080441</v>
      </c>
      <c r="M326" s="1631">
        <v>175.44919786096318</v>
      </c>
      <c r="N326" s="1631">
        <v>209.25133689839646</v>
      </c>
      <c r="S326" s="126"/>
      <c r="T326" s="148"/>
      <c r="V326" s="126"/>
      <c r="Y326" s="157"/>
      <c r="Z326" s="157"/>
    </row>
    <row r="327" spans="1:26" s="125" customFormat="1" ht="15.75" x14ac:dyDescent="0.25">
      <c r="A327" s="461"/>
      <c r="B327" s="1635" t="s">
        <v>326</v>
      </c>
      <c r="C327" s="1631">
        <v>13.205491</v>
      </c>
      <c r="D327" s="1631">
        <v>13.361769000000001</v>
      </c>
      <c r="E327" s="1631">
        <v>9.220402</v>
      </c>
      <c r="F327" s="1631">
        <v>95.798414000000008</v>
      </c>
      <c r="G327" s="1631">
        <v>113.45782800000001</v>
      </c>
      <c r="H327" s="1631">
        <v>92.594715000000008</v>
      </c>
      <c r="I327" s="1631">
        <v>276.53392100000002</v>
      </c>
      <c r="J327" s="1631">
        <v>205.34929200000002</v>
      </c>
      <c r="K327" s="1631">
        <v>172.0230085</v>
      </c>
      <c r="L327" s="1631">
        <v>30.864905</v>
      </c>
      <c r="M327" s="1631">
        <v>3.281838</v>
      </c>
      <c r="N327" s="1631">
        <v>49.22757</v>
      </c>
      <c r="S327" s="126"/>
      <c r="T327" s="148"/>
      <c r="V327" s="126"/>
      <c r="Y327" s="157"/>
      <c r="Z327" s="157"/>
    </row>
    <row r="328" spans="1:26" s="125" customFormat="1" ht="15.75" x14ac:dyDescent="0.25">
      <c r="A328" s="461"/>
      <c r="B328" s="1124" t="s">
        <v>1400</v>
      </c>
      <c r="C328" s="152"/>
      <c r="D328" s="157"/>
      <c r="S328" s="126"/>
      <c r="T328" s="148"/>
      <c r="V328" s="126"/>
      <c r="Y328" s="157"/>
      <c r="Z328" s="157"/>
    </row>
    <row r="329" spans="1:26" s="125" customFormat="1" ht="15.75" x14ac:dyDescent="0.25">
      <c r="A329" s="461"/>
      <c r="B329" s="1124" t="s">
        <v>1401</v>
      </c>
      <c r="C329" s="152"/>
      <c r="D329" s="157"/>
      <c r="S329" s="126"/>
      <c r="T329" s="148"/>
      <c r="V329" s="126"/>
      <c r="Y329" s="157"/>
      <c r="Z329" s="157"/>
    </row>
    <row r="330" spans="1:26" s="125" customFormat="1" ht="15.75" x14ac:dyDescent="0.25">
      <c r="A330" s="461"/>
      <c r="B330" s="1124" t="s">
        <v>1402</v>
      </c>
      <c r="C330" s="152"/>
      <c r="E330" s="201"/>
      <c r="F330" s="202"/>
      <c r="G330" s="202"/>
      <c r="H330" s="203"/>
      <c r="I330" s="203"/>
      <c r="J330" s="203"/>
      <c r="K330" s="203"/>
      <c r="L330" s="203"/>
      <c r="M330" s="203"/>
      <c r="N330" s="203"/>
      <c r="O330" s="203"/>
      <c r="P330" s="203"/>
      <c r="S330" s="126"/>
      <c r="V330" s="126"/>
      <c r="Y330" s="157"/>
      <c r="Z330" s="157"/>
    </row>
    <row r="331" spans="1:26" s="125" customFormat="1" x14ac:dyDescent="0.25">
      <c r="A331" s="461"/>
      <c r="B331" s="205"/>
      <c r="C331" s="152"/>
      <c r="E331" s="201"/>
      <c r="F331" s="206"/>
      <c r="G331" s="202"/>
      <c r="H331" s="203"/>
      <c r="I331" s="203"/>
      <c r="J331" s="203"/>
      <c r="K331" s="203"/>
      <c r="L331" s="203"/>
      <c r="M331" s="203"/>
      <c r="N331" s="203"/>
      <c r="O331" s="203"/>
      <c r="P331" s="203"/>
      <c r="S331" s="126"/>
      <c r="U331" s="447"/>
      <c r="V331" s="126"/>
      <c r="Y331" s="157"/>
      <c r="Z331" s="157"/>
    </row>
    <row r="332" spans="1:26" s="125" customFormat="1" x14ac:dyDescent="0.25">
      <c r="A332" s="461">
        <v>20</v>
      </c>
      <c r="B332" s="148" t="s">
        <v>565</v>
      </c>
      <c r="C332" s="152"/>
      <c r="E332" s="157"/>
      <c r="F332" s="157"/>
      <c r="G332" s="157"/>
      <c r="H332" s="157"/>
      <c r="I332" s="157"/>
      <c r="J332" s="157"/>
      <c r="K332" s="157"/>
      <c r="L332" s="157"/>
      <c r="M332" s="157"/>
      <c r="N332" s="157"/>
      <c r="O332" s="157"/>
      <c r="P332" s="157"/>
      <c r="S332" s="126"/>
      <c r="T332" s="148" t="s">
        <v>565</v>
      </c>
      <c r="V332" s="126"/>
      <c r="Y332" s="157"/>
      <c r="Z332" s="157"/>
    </row>
    <row r="333" spans="1:26" s="125" customFormat="1" ht="15.75" x14ac:dyDescent="0.25">
      <c r="A333" s="461"/>
      <c r="B333" s="472" t="s">
        <v>731</v>
      </c>
      <c r="C333" s="1628" t="s">
        <v>1398</v>
      </c>
      <c r="D333" s="473">
        <v>42217</v>
      </c>
      <c r="E333" s="473">
        <v>42248</v>
      </c>
      <c r="F333" s="473">
        <v>42278</v>
      </c>
      <c r="G333" s="473">
        <v>42309</v>
      </c>
      <c r="H333" s="473">
        <v>42339</v>
      </c>
      <c r="I333" s="473">
        <v>42370</v>
      </c>
      <c r="J333" s="473">
        <v>42401</v>
      </c>
      <c r="K333" s="473">
        <v>42430</v>
      </c>
      <c r="L333" s="473">
        <v>42461</v>
      </c>
      <c r="M333" s="473">
        <v>42491</v>
      </c>
      <c r="N333" s="473">
        <v>42522</v>
      </c>
      <c r="S333" s="126"/>
      <c r="T333" s="148"/>
      <c r="V333" s="126"/>
      <c r="Y333" s="157"/>
      <c r="Z333" s="157"/>
    </row>
    <row r="334" spans="1:26" s="125" customFormat="1" ht="15.75" x14ac:dyDescent="0.25">
      <c r="A334" s="461"/>
      <c r="B334" s="1629" t="s">
        <v>1409</v>
      </c>
      <c r="C334" s="1630"/>
      <c r="D334" s="1100"/>
      <c r="E334" s="1100"/>
      <c r="F334" s="1100"/>
      <c r="G334" s="1100"/>
      <c r="H334" s="1100"/>
      <c r="I334" s="1100"/>
      <c r="J334" s="1100"/>
      <c r="K334" s="1100"/>
      <c r="L334" s="1100"/>
      <c r="M334" s="1100"/>
      <c r="N334" s="1100"/>
      <c r="S334" s="126"/>
      <c r="T334" s="148"/>
      <c r="V334" s="126"/>
      <c r="Y334" s="157"/>
      <c r="Z334" s="157"/>
    </row>
    <row r="335" spans="1:26" s="125" customFormat="1" ht="15.75" x14ac:dyDescent="0.25">
      <c r="A335" s="461"/>
      <c r="B335" s="1629" t="s">
        <v>1093</v>
      </c>
      <c r="C335" s="1631">
        <v>35665</v>
      </c>
      <c r="D335" s="1631">
        <v>47881</v>
      </c>
      <c r="E335" s="1631">
        <v>46903</v>
      </c>
      <c r="F335" s="1631">
        <v>48407</v>
      </c>
      <c r="G335" s="1631">
        <v>42494</v>
      </c>
      <c r="H335" s="1631">
        <v>44158</v>
      </c>
      <c r="I335" s="1631">
        <v>41997</v>
      </c>
      <c r="J335" s="1631">
        <v>44103</v>
      </c>
      <c r="K335" s="1631">
        <v>45877</v>
      </c>
      <c r="L335" s="1631">
        <v>44951</v>
      </c>
      <c r="M335" s="1631">
        <v>36651</v>
      </c>
      <c r="N335" s="1631">
        <v>38142</v>
      </c>
      <c r="S335" s="126"/>
      <c r="T335" s="148"/>
      <c r="V335" s="126"/>
      <c r="Y335" s="157"/>
      <c r="Z335" s="157"/>
    </row>
    <row r="336" spans="1:26" s="125" customFormat="1" ht="15.75" x14ac:dyDescent="0.25">
      <c r="A336" s="461"/>
      <c r="B336" s="1629" t="s">
        <v>1094</v>
      </c>
      <c r="C336" s="1631">
        <v>8978.7200000000303</v>
      </c>
      <c r="D336" s="1631">
        <v>12658.429999999993</v>
      </c>
      <c r="E336" s="1631">
        <v>12557.479999999981</v>
      </c>
      <c r="F336" s="1631">
        <v>13674.169999999984</v>
      </c>
      <c r="G336" s="1631">
        <v>12529.840000000026</v>
      </c>
      <c r="H336" s="1631">
        <v>12243.799999999988</v>
      </c>
      <c r="I336" s="1631">
        <v>12662.580000000016</v>
      </c>
      <c r="J336" s="1631">
        <v>13528.059999999998</v>
      </c>
      <c r="K336" s="1631">
        <v>13622.130000000005</v>
      </c>
      <c r="L336" s="1631">
        <v>13240.520000000019</v>
      </c>
      <c r="M336" s="1631">
        <v>9214.9799999999814</v>
      </c>
      <c r="N336" s="1631">
        <v>9909.0200000000186</v>
      </c>
      <c r="S336" s="126"/>
      <c r="T336" s="148"/>
      <c r="V336" s="126"/>
      <c r="Y336" s="157"/>
      <c r="Z336" s="157"/>
    </row>
    <row r="337" spans="1:26" s="125" customFormat="1" ht="15.75" x14ac:dyDescent="0.25">
      <c r="A337" s="461"/>
      <c r="B337" s="1629" t="s">
        <v>1095</v>
      </c>
      <c r="C337" s="1631">
        <v>15840.600000000093</v>
      </c>
      <c r="D337" s="1631">
        <v>18735.099999999977</v>
      </c>
      <c r="E337" s="1123">
        <v>17261.829999999958</v>
      </c>
      <c r="F337" s="1123">
        <v>17384.170000000042</v>
      </c>
      <c r="G337" s="1123">
        <v>14962.589999999967</v>
      </c>
      <c r="H337" s="1123">
        <v>17147.390000000014</v>
      </c>
      <c r="I337" s="1123">
        <v>14270.270000000019</v>
      </c>
      <c r="J337" s="1123">
        <v>14799.969999999972</v>
      </c>
      <c r="K337" s="1631">
        <v>16259.589999999967</v>
      </c>
      <c r="L337" s="1631">
        <v>15792.960000000079</v>
      </c>
      <c r="M337" s="1631">
        <v>15006.529999999912</v>
      </c>
      <c r="N337" s="1631">
        <v>16462.890000000014</v>
      </c>
      <c r="S337" s="126"/>
      <c r="T337" s="148"/>
      <c r="V337" s="126"/>
      <c r="Y337" s="157"/>
      <c r="Z337" s="157"/>
    </row>
    <row r="338" spans="1:26" s="125" customFormat="1" ht="15.75" x14ac:dyDescent="0.25">
      <c r="A338" s="461"/>
      <c r="B338" s="1629" t="s">
        <v>1096</v>
      </c>
      <c r="C338" s="1631">
        <v>10845.679999999877</v>
      </c>
      <c r="D338" s="1631">
        <v>16487.47000000003</v>
      </c>
      <c r="E338" s="1123">
        <v>17083.690000000061</v>
      </c>
      <c r="F338" s="1123">
        <v>17348.659999999974</v>
      </c>
      <c r="G338" s="1123">
        <v>15001.570000000007</v>
      </c>
      <c r="H338" s="1123">
        <v>14766.809999999998</v>
      </c>
      <c r="I338" s="1123">
        <v>15064.149999999965</v>
      </c>
      <c r="J338" s="1123">
        <v>15774.97000000003</v>
      </c>
      <c r="K338" s="1631">
        <v>15995.280000000028</v>
      </c>
      <c r="L338" s="1631">
        <v>15917.519999999902</v>
      </c>
      <c r="M338" s="1631">
        <v>12429.490000000107</v>
      </c>
      <c r="N338" s="1631">
        <v>11770.089999999967</v>
      </c>
      <c r="S338" s="126"/>
      <c r="T338" s="148"/>
      <c r="V338" s="126"/>
      <c r="Y338" s="157"/>
      <c r="Z338" s="157"/>
    </row>
    <row r="339" spans="1:26" s="125" customFormat="1" ht="15.75" x14ac:dyDescent="0.25">
      <c r="A339" s="461"/>
      <c r="B339" s="441"/>
      <c r="C339" s="1631"/>
      <c r="D339" s="1631"/>
      <c r="E339" s="1123"/>
      <c r="F339" s="1123"/>
      <c r="G339" s="1123"/>
      <c r="H339" s="1123"/>
      <c r="I339" s="1123"/>
      <c r="J339" s="1123"/>
      <c r="K339" s="1631"/>
      <c r="L339" s="1631"/>
      <c r="M339" s="1631"/>
      <c r="N339" s="1631"/>
      <c r="S339" s="126"/>
      <c r="T339" s="148"/>
      <c r="V339" s="126"/>
      <c r="Y339" s="157"/>
      <c r="Z339" s="157"/>
    </row>
    <row r="340" spans="1:26" s="125" customFormat="1" ht="15.75" x14ac:dyDescent="0.25">
      <c r="A340" s="461"/>
      <c r="B340" s="1629" t="s">
        <v>320</v>
      </c>
      <c r="C340" s="1631">
        <v>1490</v>
      </c>
      <c r="D340" s="1631">
        <v>2150</v>
      </c>
      <c r="E340" s="1123">
        <v>10110</v>
      </c>
      <c r="F340" s="1123" t="s">
        <v>1410</v>
      </c>
      <c r="G340" s="1123" t="s">
        <v>1410</v>
      </c>
      <c r="H340" s="1123" t="s">
        <v>1410</v>
      </c>
      <c r="I340" s="1123" t="s">
        <v>1410</v>
      </c>
      <c r="J340" s="1123" t="s">
        <v>1410</v>
      </c>
      <c r="K340" s="1631" t="s">
        <v>1410</v>
      </c>
      <c r="L340" s="1631" t="s">
        <v>1410</v>
      </c>
      <c r="M340" s="1631">
        <v>35290</v>
      </c>
      <c r="N340" s="1631">
        <v>14330</v>
      </c>
      <c r="S340" s="126"/>
      <c r="T340" s="148"/>
      <c r="V340" s="126"/>
      <c r="Y340" s="157"/>
      <c r="Z340" s="157"/>
    </row>
    <row r="341" spans="1:26" s="125" customFormat="1" ht="15.75" x14ac:dyDescent="0.25">
      <c r="A341" s="461"/>
      <c r="B341" s="1629" t="s">
        <v>322</v>
      </c>
      <c r="C341" s="1631">
        <v>1911.7647058823597</v>
      </c>
      <c r="D341" s="1631">
        <v>127100</v>
      </c>
      <c r="E341" s="1123">
        <v>157900</v>
      </c>
      <c r="F341" s="1123">
        <v>154500</v>
      </c>
      <c r="G341" s="1123">
        <v>123500</v>
      </c>
      <c r="H341" s="1123">
        <v>83700</v>
      </c>
      <c r="I341" s="1123">
        <v>127900</v>
      </c>
      <c r="J341" s="1123">
        <v>139000</v>
      </c>
      <c r="K341" s="1631">
        <v>114800</v>
      </c>
      <c r="L341" s="1631">
        <v>114500</v>
      </c>
      <c r="M341" s="1631">
        <v>46500</v>
      </c>
      <c r="N341" s="1631">
        <v>49500</v>
      </c>
      <c r="S341" s="126"/>
      <c r="T341" s="148"/>
      <c r="V341" s="126"/>
      <c r="Y341" s="157"/>
      <c r="Z341" s="157"/>
    </row>
    <row r="342" spans="1:26" s="125" customFormat="1" ht="15.75" x14ac:dyDescent="0.25">
      <c r="A342" s="461"/>
      <c r="B342" s="1632" t="s">
        <v>323</v>
      </c>
      <c r="C342" s="1631">
        <v>47976</v>
      </c>
      <c r="D342" s="1631">
        <v>46657</v>
      </c>
      <c r="E342" s="1123">
        <v>44307</v>
      </c>
      <c r="F342" s="1123">
        <v>31922</v>
      </c>
      <c r="G342" s="1123">
        <v>26803</v>
      </c>
      <c r="H342" s="1123">
        <v>22795</v>
      </c>
      <c r="I342" s="1123">
        <v>16977</v>
      </c>
      <c r="J342" s="1123">
        <v>20489</v>
      </c>
      <c r="K342" s="1631">
        <v>31565</v>
      </c>
      <c r="L342" s="1631">
        <v>33938</v>
      </c>
      <c r="M342" s="1631">
        <v>34826</v>
      </c>
      <c r="N342" s="1631">
        <v>49966</v>
      </c>
      <c r="S342" s="126"/>
      <c r="T342" s="148"/>
      <c r="V342" s="126"/>
      <c r="Y342" s="157"/>
      <c r="Z342" s="157"/>
    </row>
    <row r="343" spans="1:26" s="125" customFormat="1" ht="15.75" x14ac:dyDescent="0.25">
      <c r="A343" s="461"/>
      <c r="B343" s="1633"/>
      <c r="C343" s="1631"/>
      <c r="D343" s="1631"/>
      <c r="E343" s="1123"/>
      <c r="F343" s="1123"/>
      <c r="G343" s="1123"/>
      <c r="H343" s="1123"/>
      <c r="I343" s="1123"/>
      <c r="J343" s="1123"/>
      <c r="K343" s="1631"/>
      <c r="L343" s="1631"/>
      <c r="M343" s="1631"/>
      <c r="N343" s="1631"/>
      <c r="S343" s="126"/>
      <c r="T343" s="148"/>
      <c r="V343" s="126"/>
      <c r="Y343" s="157"/>
      <c r="Z343" s="157"/>
    </row>
    <row r="344" spans="1:26" s="125" customFormat="1" ht="15.75" x14ac:dyDescent="0.25">
      <c r="A344" s="461"/>
      <c r="B344" s="1629" t="s">
        <v>324</v>
      </c>
      <c r="C344" s="1631">
        <v>2497.4222418478262</v>
      </c>
      <c r="D344" s="1631">
        <v>3403.1831297881872</v>
      </c>
      <c r="E344" s="1631">
        <v>3227.6053274033147</v>
      </c>
      <c r="F344" s="1631">
        <v>3082.2429109825603</v>
      </c>
      <c r="G344" s="1631">
        <v>2705.7415303425728</v>
      </c>
      <c r="H344" s="1631">
        <v>2598.0668873280429</v>
      </c>
      <c r="I344" s="1631">
        <v>2491.485278251303</v>
      </c>
      <c r="J344" s="1631">
        <v>2604.6110784721254</v>
      </c>
      <c r="K344" s="1631">
        <v>2742.0744102869148</v>
      </c>
      <c r="L344" s="1631">
        <v>2610.1077320939885</v>
      </c>
      <c r="M344" s="1631">
        <v>2180.906195548509</v>
      </c>
      <c r="N344" s="1631">
        <v>2488.6207642031691</v>
      </c>
      <c r="S344" s="126"/>
      <c r="T344" s="148"/>
      <c r="V344" s="126"/>
      <c r="Y344" s="157"/>
      <c r="Z344" s="157"/>
    </row>
    <row r="345" spans="1:26" s="125" customFormat="1" ht="15.75" x14ac:dyDescent="0.25">
      <c r="A345" s="461"/>
      <c r="B345" s="1634" t="s">
        <v>328</v>
      </c>
      <c r="C345" s="1631">
        <v>113.14970588235335</v>
      </c>
      <c r="D345" s="1631">
        <v>1005.6872459893085</v>
      </c>
      <c r="E345" s="1631">
        <v>1270.7994652406462</v>
      </c>
      <c r="F345" s="1631">
        <v>1243.4358288770097</v>
      </c>
      <c r="G345" s="1631">
        <v>993.94385026738325</v>
      </c>
      <c r="H345" s="1631">
        <v>673.62834224599169</v>
      </c>
      <c r="I345" s="1631">
        <v>1029.3556149732658</v>
      </c>
      <c r="J345" s="1631">
        <v>1118.6898395721964</v>
      </c>
      <c r="K345" s="1631">
        <v>923.92513368984282</v>
      </c>
      <c r="L345" s="1631">
        <v>921.51069518716906</v>
      </c>
      <c r="M345" s="1631">
        <v>374.23796791443982</v>
      </c>
      <c r="N345" s="1631">
        <v>398.38235294117788</v>
      </c>
      <c r="S345" s="126"/>
      <c r="T345" s="148"/>
      <c r="V345" s="126"/>
      <c r="Y345" s="157"/>
      <c r="Z345" s="157"/>
    </row>
    <row r="346" spans="1:26" s="125" customFormat="1" ht="15.75" x14ac:dyDescent="0.25">
      <c r="A346" s="461"/>
      <c r="B346" s="1635" t="s">
        <v>326</v>
      </c>
      <c r="C346" s="1631">
        <v>11.642711</v>
      </c>
      <c r="D346" s="1631">
        <v>16.799885</v>
      </c>
      <c r="E346" s="1631">
        <v>78.998529000000005</v>
      </c>
      <c r="F346" s="1631" t="s">
        <v>1410</v>
      </c>
      <c r="G346" s="1631" t="s">
        <v>1410</v>
      </c>
      <c r="H346" s="1631" t="s">
        <v>1410</v>
      </c>
      <c r="I346" s="1631" t="s">
        <v>1410</v>
      </c>
      <c r="J346" s="1631" t="s">
        <v>1410</v>
      </c>
      <c r="K346" s="1631" t="s">
        <v>1410</v>
      </c>
      <c r="L346" s="1631" t="s">
        <v>1410</v>
      </c>
      <c r="M346" s="1631">
        <v>275.75253100000003</v>
      </c>
      <c r="N346" s="1631">
        <v>111.97318700000001</v>
      </c>
      <c r="S346" s="126"/>
      <c r="T346" s="148"/>
      <c r="V346" s="126"/>
      <c r="Y346" s="157"/>
      <c r="Z346" s="157"/>
    </row>
    <row r="347" spans="1:26" s="125" customFormat="1" ht="15.75" x14ac:dyDescent="0.25">
      <c r="A347" s="461"/>
      <c r="B347" s="1124" t="s">
        <v>1400</v>
      </c>
      <c r="C347" s="152"/>
      <c r="D347" s="157"/>
      <c r="S347" s="126"/>
      <c r="T347" s="148"/>
      <c r="V347" s="126"/>
      <c r="Y347" s="157"/>
      <c r="Z347" s="157"/>
    </row>
    <row r="348" spans="1:26" s="125" customFormat="1" ht="15.75" x14ac:dyDescent="0.25">
      <c r="A348" s="461"/>
      <c r="B348" s="1124" t="s">
        <v>1401</v>
      </c>
      <c r="C348" s="152"/>
      <c r="D348" s="157"/>
      <c r="S348" s="126"/>
      <c r="T348" s="148"/>
      <c r="V348" s="126"/>
      <c r="Y348" s="157"/>
      <c r="Z348" s="157"/>
    </row>
    <row r="349" spans="1:26" s="125" customFormat="1" ht="15.75" x14ac:dyDescent="0.25">
      <c r="A349" s="461"/>
      <c r="B349" s="1124" t="s">
        <v>1402</v>
      </c>
      <c r="C349" s="152"/>
      <c r="E349" s="201"/>
      <c r="F349" s="202"/>
      <c r="G349" s="202"/>
      <c r="H349" s="203"/>
      <c r="I349" s="203"/>
      <c r="J349" s="203"/>
      <c r="K349" s="203"/>
      <c r="L349" s="203"/>
      <c r="M349" s="203"/>
      <c r="N349" s="203"/>
      <c r="O349" s="203"/>
      <c r="P349" s="203"/>
      <c r="S349" s="126"/>
      <c r="V349" s="126"/>
      <c r="Y349" s="157"/>
      <c r="Z349" s="157"/>
    </row>
    <row r="351" spans="1:26" s="128" customFormat="1" x14ac:dyDescent="0.25">
      <c r="A351" s="459">
        <v>21</v>
      </c>
      <c r="B351" s="127" t="s">
        <v>384</v>
      </c>
      <c r="C351" s="173"/>
      <c r="S351" s="129"/>
      <c r="T351" s="127" t="s">
        <v>384</v>
      </c>
      <c r="V351" s="129"/>
      <c r="Y351" s="166"/>
      <c r="Z351" s="166"/>
    </row>
    <row r="352" spans="1:26" s="128" customFormat="1" x14ac:dyDescent="0.25">
      <c r="A352" s="459"/>
      <c r="B352" s="666" t="s">
        <v>1317</v>
      </c>
      <c r="C352" s="497"/>
      <c r="D352"/>
      <c r="E352"/>
      <c r="F352"/>
      <c r="G352"/>
      <c r="H352"/>
      <c r="I352"/>
      <c r="J352"/>
      <c r="K352"/>
      <c r="L352"/>
      <c r="M352"/>
      <c r="N352"/>
      <c r="O352"/>
      <c r="P352"/>
      <c r="Q352"/>
      <c r="R352"/>
      <c r="S352" s="129"/>
      <c r="T352" s="127"/>
      <c r="V352" s="129"/>
      <c r="Y352" s="166"/>
      <c r="Z352" s="166"/>
    </row>
    <row r="353" spans="1:26" s="128" customFormat="1" x14ac:dyDescent="0.25">
      <c r="A353" s="459"/>
      <c r="B353" s="130" t="s">
        <v>337</v>
      </c>
      <c r="C353" s="186" t="s">
        <v>1318</v>
      </c>
      <c r="D353" s="131">
        <v>42186</v>
      </c>
      <c r="E353" s="131">
        <v>42217</v>
      </c>
      <c r="F353" s="131">
        <v>42248</v>
      </c>
      <c r="G353" s="131">
        <v>42278</v>
      </c>
      <c r="H353" s="131">
        <v>42309</v>
      </c>
      <c r="I353" s="131">
        <v>42339</v>
      </c>
      <c r="J353" s="131">
        <v>42370</v>
      </c>
      <c r="K353" s="131">
        <v>42401</v>
      </c>
      <c r="L353" s="131">
        <v>42430</v>
      </c>
      <c r="M353" s="131">
        <v>42461</v>
      </c>
      <c r="N353" s="131">
        <v>42491</v>
      </c>
      <c r="O353" s="131">
        <v>42522</v>
      </c>
      <c r="P353" s="131">
        <v>42552</v>
      </c>
      <c r="Q353" s="151">
        <v>42583</v>
      </c>
      <c r="R353" s="131">
        <v>42627</v>
      </c>
      <c r="S353" s="129"/>
      <c r="T353" s="127"/>
      <c r="V353" s="129"/>
      <c r="Y353" s="166"/>
      <c r="Z353" s="166"/>
    </row>
    <row r="354" spans="1:26" s="128" customFormat="1" x14ac:dyDescent="0.25">
      <c r="A354" s="459"/>
      <c r="B354" s="135" t="s">
        <v>319</v>
      </c>
      <c r="C354" s="1092"/>
      <c r="D354" s="137">
        <v>56876</v>
      </c>
      <c r="E354" s="137">
        <v>74032</v>
      </c>
      <c r="F354" s="137">
        <v>80325</v>
      </c>
      <c r="G354" s="137">
        <v>73896</v>
      </c>
      <c r="H354" s="137">
        <v>72153</v>
      </c>
      <c r="I354" s="136">
        <v>43317</v>
      </c>
      <c r="J354" s="136" t="s">
        <v>1319</v>
      </c>
      <c r="K354" s="136" t="s">
        <v>1319</v>
      </c>
      <c r="L354" s="136">
        <v>76832</v>
      </c>
      <c r="M354" s="136">
        <v>69878</v>
      </c>
      <c r="N354" s="136">
        <v>53689</v>
      </c>
      <c r="O354" s="136">
        <v>52885</v>
      </c>
      <c r="P354" s="136"/>
      <c r="Q354" s="136"/>
      <c r="R354" s="141"/>
      <c r="S354" s="129"/>
      <c r="T354" s="127"/>
      <c r="V354" s="129"/>
      <c r="Y354" s="166"/>
      <c r="Z354" s="166"/>
    </row>
    <row r="355" spans="1:26" s="128" customFormat="1" x14ac:dyDescent="0.25">
      <c r="A355" s="459"/>
      <c r="B355" s="135" t="s">
        <v>343</v>
      </c>
      <c r="C355" s="1092"/>
      <c r="D355" s="153"/>
      <c r="E355" s="153"/>
      <c r="F355" s="137"/>
      <c r="G355" s="137"/>
      <c r="H355" s="137"/>
      <c r="I355" s="136"/>
      <c r="J355" s="136"/>
      <c r="K355" s="136"/>
      <c r="L355" s="136"/>
      <c r="M355" s="136"/>
      <c r="N355" s="136"/>
      <c r="O355" s="136"/>
      <c r="P355" s="136"/>
      <c r="Q355" s="136"/>
      <c r="R355" s="153"/>
      <c r="S355" s="129"/>
      <c r="T355" s="127"/>
      <c r="V355" s="129"/>
      <c r="Y355" s="166"/>
      <c r="Z355" s="166"/>
    </row>
    <row r="356" spans="1:26" s="128" customFormat="1" x14ac:dyDescent="0.25">
      <c r="A356" s="459"/>
      <c r="B356" s="153" t="s">
        <v>362</v>
      </c>
      <c r="C356" s="1092"/>
      <c r="D356" s="153"/>
      <c r="E356" s="153"/>
      <c r="F356" s="141"/>
      <c r="G356" s="141"/>
      <c r="H356" s="141"/>
      <c r="I356" s="141"/>
      <c r="J356" s="141"/>
      <c r="K356" s="141"/>
      <c r="L356" s="141"/>
      <c r="M356" s="141"/>
      <c r="N356" s="141"/>
      <c r="O356" s="141"/>
      <c r="P356" s="141"/>
      <c r="Q356" s="141"/>
      <c r="R356" s="153"/>
      <c r="S356" s="129"/>
      <c r="T356" s="127"/>
      <c r="V356" s="129"/>
      <c r="Y356" s="166"/>
      <c r="Z356" s="166"/>
    </row>
    <row r="357" spans="1:26" s="128" customFormat="1" x14ac:dyDescent="0.25">
      <c r="A357" s="459"/>
      <c r="B357" s="153" t="s">
        <v>641</v>
      </c>
      <c r="C357" s="1092"/>
      <c r="D357" s="153"/>
      <c r="E357" s="153"/>
      <c r="F357" s="141"/>
      <c r="G357" s="141"/>
      <c r="H357" s="141"/>
      <c r="I357" s="141"/>
      <c r="J357" s="141"/>
      <c r="K357" s="141"/>
      <c r="L357" s="141"/>
      <c r="M357" s="141"/>
      <c r="N357" s="141"/>
      <c r="O357" s="141"/>
      <c r="P357" s="141"/>
      <c r="Q357" s="141"/>
      <c r="R357" s="153"/>
      <c r="S357" s="129"/>
      <c r="T357" s="127"/>
      <c r="V357" s="129"/>
      <c r="Y357" s="166"/>
      <c r="Z357" s="166"/>
    </row>
    <row r="358" spans="1:26" s="128" customFormat="1" x14ac:dyDescent="0.25">
      <c r="A358" s="459"/>
      <c r="B358" s="135" t="s">
        <v>864</v>
      </c>
      <c r="C358" s="1092"/>
      <c r="D358" s="1398">
        <v>31.040622844401192</v>
      </c>
      <c r="E358" s="1398">
        <v>166.29859956259725</v>
      </c>
      <c r="F358" s="1398">
        <v>263.32394004694862</v>
      </c>
      <c r="G358" s="1398">
        <v>214.00918652713983</v>
      </c>
      <c r="H358" s="1398">
        <v>243.79321223658249</v>
      </c>
      <c r="I358" s="1398">
        <v>80.997042986316458</v>
      </c>
      <c r="J358" s="1398">
        <v>171.98002277916507</v>
      </c>
      <c r="K358" s="1398">
        <v>228.21942859587301</v>
      </c>
      <c r="L358" s="1398">
        <v>198.86318063450133</v>
      </c>
      <c r="M358" s="1398">
        <v>249.02012159582489</v>
      </c>
      <c r="N358" s="1398">
        <v>37.457289065466036</v>
      </c>
      <c r="O358" s="1398">
        <v>12.124825546887115</v>
      </c>
      <c r="P358" s="750"/>
      <c r="Q358" s="728"/>
      <c r="R358" s="153"/>
      <c r="S358" s="129"/>
      <c r="T358" s="127"/>
      <c r="V358" s="129"/>
      <c r="Y358" s="166"/>
      <c r="Z358" s="166"/>
    </row>
    <row r="359" spans="1:26" s="128" customFormat="1" x14ac:dyDescent="0.25">
      <c r="A359" s="459"/>
      <c r="B359" s="135" t="s">
        <v>324</v>
      </c>
      <c r="C359" s="1092"/>
      <c r="D359" s="442">
        <v>4159.8537639999995</v>
      </c>
      <c r="E359" s="442">
        <v>5809.9573279999995</v>
      </c>
      <c r="F359" s="442">
        <v>5936.4191249999994</v>
      </c>
      <c r="G359" s="442">
        <v>4395.7774559999998</v>
      </c>
      <c r="H359" s="442">
        <v>4292.0933580000001</v>
      </c>
      <c r="I359" s="442">
        <v>2698.259247</v>
      </c>
      <c r="J359" s="136" t="s">
        <v>1319</v>
      </c>
      <c r="K359" s="136" t="s">
        <v>1319</v>
      </c>
      <c r="L359" s="1399">
        <v>4556.1376</v>
      </c>
      <c r="M359" s="442">
        <v>4268.1482400000004</v>
      </c>
      <c r="N359" s="442">
        <v>3248.0234330000003</v>
      </c>
      <c r="O359" s="442">
        <v>4009.5291599999996</v>
      </c>
      <c r="P359" s="731"/>
      <c r="Q359" s="731"/>
      <c r="R359" s="153"/>
      <c r="S359" s="1764">
        <f>SUM(D359:R359)</f>
        <v>43374.198711000005</v>
      </c>
      <c r="T359" s="127"/>
      <c r="V359" s="129"/>
      <c r="Y359" s="166"/>
      <c r="Z359" s="166"/>
    </row>
    <row r="360" spans="1:26" s="128" customFormat="1" x14ac:dyDescent="0.25">
      <c r="A360" s="459"/>
      <c r="B360" s="144" t="s">
        <v>348</v>
      </c>
      <c r="C360" s="1092"/>
      <c r="D360" s="153"/>
      <c r="E360" s="153"/>
      <c r="F360" s="736"/>
      <c r="G360" s="736"/>
      <c r="H360" s="736"/>
      <c r="I360" s="736"/>
      <c r="J360" s="731"/>
      <c r="K360" s="731"/>
      <c r="L360" s="731"/>
      <c r="M360" s="731"/>
      <c r="N360" s="731"/>
      <c r="O360" s="731"/>
      <c r="P360" s="731"/>
      <c r="Q360" s="731"/>
      <c r="R360" s="153"/>
      <c r="S360" s="129"/>
      <c r="T360" s="127"/>
      <c r="V360" s="129"/>
      <c r="Y360" s="166"/>
      <c r="Z360" s="166"/>
    </row>
    <row r="361" spans="1:26" s="128" customFormat="1" x14ac:dyDescent="0.25">
      <c r="A361" s="459"/>
      <c r="B361" s="195" t="s">
        <v>1087</v>
      </c>
      <c r="C361" s="1092"/>
      <c r="D361" s="153"/>
      <c r="E361" s="153"/>
      <c r="F361" s="731"/>
      <c r="G361" s="731"/>
      <c r="H361" s="731"/>
      <c r="I361" s="731"/>
      <c r="J361" s="731"/>
      <c r="K361" s="731"/>
      <c r="L361" s="731"/>
      <c r="M361" s="731"/>
      <c r="N361" s="731"/>
      <c r="O361" s="731"/>
      <c r="P361" s="731"/>
      <c r="Q361" s="731"/>
      <c r="R361" s="153"/>
      <c r="S361" s="129"/>
      <c r="T361" s="127"/>
      <c r="V361" s="129"/>
      <c r="Y361" s="166"/>
      <c r="Z361" s="166"/>
    </row>
    <row r="362" spans="1:26" s="128" customFormat="1" x14ac:dyDescent="0.25">
      <c r="A362" s="459"/>
      <c r="B362" s="144" t="s">
        <v>883</v>
      </c>
      <c r="C362" s="604"/>
      <c r="D362" s="145"/>
      <c r="E362" s="145"/>
      <c r="F362" s="145"/>
      <c r="G362" s="145"/>
      <c r="H362" s="145"/>
      <c r="I362" s="145"/>
      <c r="J362" s="145"/>
      <c r="K362" s="145"/>
      <c r="L362" s="145"/>
      <c r="M362" s="145"/>
      <c r="N362" s="145"/>
      <c r="O362" s="145"/>
      <c r="P362" s="145"/>
      <c r="Q362" s="145"/>
      <c r="R362" s="145"/>
      <c r="S362" s="129"/>
      <c r="T362" s="127"/>
      <c r="V362" s="129"/>
      <c r="Y362" s="166"/>
      <c r="Z362" s="166"/>
    </row>
    <row r="363" spans="1:26" s="128" customFormat="1" x14ac:dyDescent="0.25">
      <c r="A363" s="459"/>
      <c r="B363"/>
      <c r="C363"/>
      <c r="D363"/>
      <c r="E363"/>
      <c r="F363"/>
      <c r="G363"/>
      <c r="H363"/>
      <c r="I363"/>
      <c r="J363"/>
      <c r="K363"/>
      <c r="L363"/>
      <c r="M363"/>
      <c r="N363"/>
      <c r="O363"/>
      <c r="P363"/>
      <c r="Q363"/>
      <c r="R363"/>
      <c r="S363" s="129"/>
      <c r="T363" s="127"/>
      <c r="V363" s="129"/>
      <c r="Y363" s="166"/>
      <c r="Z363" s="166"/>
    </row>
    <row r="364" spans="1:26" s="128" customFormat="1" x14ac:dyDescent="0.25">
      <c r="A364" s="459"/>
      <c r="B364"/>
      <c r="C364"/>
      <c r="D364"/>
      <c r="E364"/>
      <c r="F364"/>
      <c r="G364"/>
      <c r="H364"/>
      <c r="I364"/>
      <c r="J364"/>
      <c r="K364"/>
      <c r="L364"/>
      <c r="M364"/>
      <c r="N364"/>
      <c r="O364"/>
      <c r="P364"/>
      <c r="Q364"/>
      <c r="R364"/>
      <c r="S364" s="129"/>
      <c r="T364" s="127"/>
      <c r="V364" s="129"/>
      <c r="Y364" s="166"/>
      <c r="Z364" s="166"/>
    </row>
    <row r="365" spans="1:26" s="128" customFormat="1" x14ac:dyDescent="0.25">
      <c r="A365" s="459"/>
      <c r="B365"/>
      <c r="C365"/>
      <c r="D365"/>
      <c r="E365"/>
      <c r="F365"/>
      <c r="G365"/>
      <c r="H365"/>
      <c r="I365"/>
      <c r="J365"/>
      <c r="K365"/>
      <c r="L365"/>
      <c r="M365"/>
      <c r="N365"/>
      <c r="O365"/>
      <c r="P365"/>
      <c r="Q365"/>
      <c r="R365"/>
      <c r="S365" s="129"/>
      <c r="T365" s="127"/>
      <c r="V365" s="129"/>
      <c r="Y365" s="166"/>
      <c r="Z365" s="166"/>
    </row>
    <row r="366" spans="1:26" s="128" customFormat="1" x14ac:dyDescent="0.25">
      <c r="A366" s="459"/>
      <c r="B366"/>
      <c r="C366" t="s">
        <v>1320</v>
      </c>
      <c r="D366" t="s">
        <v>1321</v>
      </c>
      <c r="E366" t="s">
        <v>1322</v>
      </c>
      <c r="F366" t="s">
        <v>1323</v>
      </c>
      <c r="G366"/>
      <c r="H366" t="s">
        <v>1324</v>
      </c>
      <c r="I366" t="s">
        <v>1325</v>
      </c>
      <c r="J366" t="s">
        <v>379</v>
      </c>
      <c r="K366"/>
      <c r="L366"/>
      <c r="M366"/>
      <c r="N366"/>
      <c r="O366"/>
      <c r="P366"/>
      <c r="Q366"/>
      <c r="R366"/>
      <c r="S366" s="129"/>
      <c r="T366" s="127"/>
      <c r="V366" s="129"/>
      <c r="Y366" s="166"/>
      <c r="Z366" s="166"/>
    </row>
    <row r="367" spans="1:26" s="128" customFormat="1" x14ac:dyDescent="0.25">
      <c r="A367" s="459"/>
      <c r="B367" s="1400" t="s">
        <v>477</v>
      </c>
      <c r="C367" s="106">
        <v>60739</v>
      </c>
      <c r="D367" s="106">
        <v>56876</v>
      </c>
      <c r="E367" s="1401">
        <v>7.3138999999999996E-2</v>
      </c>
      <c r="F367" s="1402">
        <f>E367*D367</f>
        <v>4159.8537639999995</v>
      </c>
      <c r="G367"/>
      <c r="H367">
        <v>23220</v>
      </c>
      <c r="I367" s="1399">
        <f>H367*3.78/1000</f>
        <v>87.771599999999992</v>
      </c>
      <c r="J367" s="1403">
        <f t="shared" ref="J367:J378" si="5">H367/748.052</f>
        <v>31.040622844401192</v>
      </c>
      <c r="K367"/>
      <c r="L367"/>
      <c r="M367"/>
      <c r="N367"/>
      <c r="O367"/>
      <c r="P367"/>
      <c r="Q367"/>
      <c r="R367"/>
      <c r="S367" s="129"/>
      <c r="T367" s="127"/>
      <c r="V367" s="129"/>
      <c r="Y367" s="166"/>
      <c r="Z367" s="166"/>
    </row>
    <row r="368" spans="1:26" s="128" customFormat="1" x14ac:dyDescent="0.25">
      <c r="A368" s="459"/>
      <c r="B368" s="1400" t="s">
        <v>478</v>
      </c>
      <c r="C368" s="106">
        <v>78737</v>
      </c>
      <c r="D368" s="106">
        <v>74032</v>
      </c>
      <c r="E368" s="1401">
        <v>7.8478999999999993E-2</v>
      </c>
      <c r="F368" s="1402">
        <f t="shared" ref="F368:F378" si="6">E368*D368</f>
        <v>5809.9573279999995</v>
      </c>
      <c r="G368"/>
      <c r="H368">
        <v>124400</v>
      </c>
      <c r="I368" s="1399">
        <f t="shared" ref="I368:I378" si="7">H368*3.78/1000</f>
        <v>470.23200000000003</v>
      </c>
      <c r="J368" s="1403">
        <f t="shared" si="5"/>
        <v>166.29859956259725</v>
      </c>
      <c r="K368"/>
      <c r="L368"/>
      <c r="M368"/>
      <c r="N368"/>
      <c r="O368"/>
      <c r="P368"/>
      <c r="Q368"/>
      <c r="R368"/>
      <c r="S368" s="129"/>
      <c r="T368" s="127"/>
      <c r="V368" s="129"/>
      <c r="Y368" s="166"/>
      <c r="Z368" s="166"/>
    </row>
    <row r="369" spans="1:26" s="128" customFormat="1" x14ac:dyDescent="0.25">
      <c r="A369" s="459"/>
      <c r="B369" s="1400" t="s">
        <v>479</v>
      </c>
      <c r="C369" s="106">
        <v>86657</v>
      </c>
      <c r="D369" s="106">
        <v>80325</v>
      </c>
      <c r="E369" s="1401">
        <v>7.3904999999999998E-2</v>
      </c>
      <c r="F369" s="1402">
        <f t="shared" si="6"/>
        <v>5936.4191249999994</v>
      </c>
      <c r="G369"/>
      <c r="H369">
        <v>196980</v>
      </c>
      <c r="I369" s="1399">
        <f t="shared" si="7"/>
        <v>744.58439999999996</v>
      </c>
      <c r="J369" s="1403">
        <f t="shared" si="5"/>
        <v>263.32394004694862</v>
      </c>
      <c r="K369"/>
      <c r="L369"/>
      <c r="M369"/>
      <c r="N369"/>
      <c r="O369"/>
      <c r="P369"/>
      <c r="Q369"/>
      <c r="R369"/>
      <c r="S369" s="129"/>
      <c r="T369" s="127"/>
      <c r="V369" s="129"/>
      <c r="Y369" s="166"/>
      <c r="Z369" s="166"/>
    </row>
    <row r="370" spans="1:26" s="128" customFormat="1" x14ac:dyDescent="0.25">
      <c r="A370" s="459"/>
      <c r="B370" s="1400" t="s">
        <v>480</v>
      </c>
      <c r="C370" s="106">
        <v>75803</v>
      </c>
      <c r="D370" s="106">
        <v>73896</v>
      </c>
      <c r="E370" s="1401">
        <v>5.9485999999999997E-2</v>
      </c>
      <c r="F370" s="1402">
        <f t="shared" si="6"/>
        <v>4395.7774559999998</v>
      </c>
      <c r="G370"/>
      <c r="H370">
        <v>160090</v>
      </c>
      <c r="I370" s="1399">
        <f t="shared" si="7"/>
        <v>605.14019999999994</v>
      </c>
      <c r="J370" s="1403">
        <f t="shared" si="5"/>
        <v>214.00918652713983</v>
      </c>
      <c r="K370"/>
      <c r="L370"/>
      <c r="M370"/>
      <c r="N370"/>
      <c r="O370"/>
      <c r="P370"/>
      <c r="Q370"/>
      <c r="R370"/>
      <c r="S370" s="129"/>
      <c r="T370" s="127"/>
      <c r="V370" s="129"/>
      <c r="Y370" s="166"/>
      <c r="Z370" s="166"/>
    </row>
    <row r="371" spans="1:26" s="128" customFormat="1" x14ac:dyDescent="0.25">
      <c r="A371" s="459"/>
      <c r="B371" s="1400" t="s">
        <v>481</v>
      </c>
      <c r="C371" s="106">
        <v>77415</v>
      </c>
      <c r="D371" s="106">
        <v>72153</v>
      </c>
      <c r="E371" s="1401">
        <v>5.9485999999999997E-2</v>
      </c>
      <c r="F371" s="1402">
        <f t="shared" si="6"/>
        <v>4292.0933580000001</v>
      </c>
      <c r="G371"/>
      <c r="H371">
        <v>182370</v>
      </c>
      <c r="I371" s="1399">
        <f t="shared" si="7"/>
        <v>689.35860000000002</v>
      </c>
      <c r="J371" s="1403">
        <f t="shared" si="5"/>
        <v>243.79321223658249</v>
      </c>
      <c r="K371"/>
      <c r="L371"/>
      <c r="M371"/>
      <c r="N371"/>
      <c r="O371"/>
      <c r="P371"/>
      <c r="Q371"/>
      <c r="R371"/>
      <c r="S371" s="129"/>
      <c r="T371" s="127"/>
      <c r="V371" s="129"/>
      <c r="Y371" s="166"/>
      <c r="Z371" s="166"/>
    </row>
    <row r="372" spans="1:26" s="128" customFormat="1" x14ac:dyDescent="0.25">
      <c r="A372" s="459"/>
      <c r="B372" s="1400" t="s">
        <v>482</v>
      </c>
      <c r="C372" s="106">
        <v>51474</v>
      </c>
      <c r="D372" s="106">
        <v>43317</v>
      </c>
      <c r="E372" s="1401">
        <v>6.2290999999999999E-2</v>
      </c>
      <c r="F372" s="1402">
        <f t="shared" si="6"/>
        <v>2698.259247</v>
      </c>
      <c r="G372"/>
      <c r="H372">
        <v>60590</v>
      </c>
      <c r="I372" s="1399">
        <f t="shared" si="7"/>
        <v>229.03019999999998</v>
      </c>
      <c r="J372" s="1403">
        <f t="shared" si="5"/>
        <v>80.997042986316458</v>
      </c>
      <c r="K372"/>
      <c r="L372"/>
      <c r="M372"/>
      <c r="N372"/>
      <c r="O372"/>
      <c r="P372"/>
      <c r="Q372"/>
      <c r="R372"/>
      <c r="S372" s="129"/>
      <c r="T372" s="127"/>
      <c r="V372" s="129"/>
      <c r="Y372" s="166"/>
      <c r="Z372" s="166"/>
    </row>
    <row r="373" spans="1:26" s="128" customFormat="1" x14ac:dyDescent="0.25">
      <c r="A373" s="459"/>
      <c r="B373" s="1400" t="s">
        <v>483</v>
      </c>
      <c r="C373" s="1404">
        <v>78316</v>
      </c>
      <c r="D373" s="106" t="s">
        <v>1319</v>
      </c>
      <c r="E373" s="1401">
        <v>5.8346000000000002E-2</v>
      </c>
      <c r="F373" s="1402"/>
      <c r="G373"/>
      <c r="H373">
        <v>128650</v>
      </c>
      <c r="I373" s="1399">
        <f t="shared" si="7"/>
        <v>486.29700000000003</v>
      </c>
      <c r="J373" s="1403">
        <f t="shared" si="5"/>
        <v>171.98002277916507</v>
      </c>
      <c r="K373"/>
      <c r="L373"/>
      <c r="M373"/>
      <c r="N373"/>
      <c r="O373"/>
      <c r="P373"/>
      <c r="Q373"/>
      <c r="R373"/>
      <c r="S373" s="129"/>
      <c r="T373" s="127"/>
      <c r="V373" s="129"/>
      <c r="Y373" s="166"/>
      <c r="Z373" s="166"/>
    </row>
    <row r="374" spans="1:26" s="128" customFormat="1" x14ac:dyDescent="0.25">
      <c r="A374" s="459"/>
      <c r="B374" s="1400" t="s">
        <v>484</v>
      </c>
      <c r="C374" s="1404">
        <v>82982</v>
      </c>
      <c r="D374" s="106" t="s">
        <v>1319</v>
      </c>
      <c r="E374" s="1401">
        <v>5.9426E-2</v>
      </c>
      <c r="F374" s="1402"/>
      <c r="G374"/>
      <c r="H374">
        <v>170720</v>
      </c>
      <c r="I374" s="1399">
        <f t="shared" si="7"/>
        <v>645.32159999999999</v>
      </c>
      <c r="J374" s="1403">
        <f t="shared" si="5"/>
        <v>228.21942859587301</v>
      </c>
      <c r="K374"/>
      <c r="L374"/>
      <c r="M374"/>
      <c r="N374"/>
      <c r="O374"/>
      <c r="P374"/>
      <c r="Q374"/>
      <c r="R374"/>
      <c r="S374" s="129"/>
      <c r="T374" s="127"/>
      <c r="V374" s="129"/>
      <c r="Y374" s="166"/>
      <c r="Z374" s="166"/>
    </row>
    <row r="375" spans="1:26" s="128" customFormat="1" x14ac:dyDescent="0.25">
      <c r="A375" s="459"/>
      <c r="B375" s="1400" t="s">
        <v>1326</v>
      </c>
      <c r="C375" s="106">
        <v>73544</v>
      </c>
      <c r="D375" s="106">
        <v>76832</v>
      </c>
      <c r="E375" s="1401">
        <v>5.9299999999999999E-2</v>
      </c>
      <c r="F375" s="1402">
        <f t="shared" si="6"/>
        <v>4556.1376</v>
      </c>
      <c r="G375"/>
      <c r="H375">
        <v>148760</v>
      </c>
      <c r="I375" s="1399">
        <f t="shared" si="7"/>
        <v>562.31279999999992</v>
      </c>
      <c r="J375" s="1403">
        <f t="shared" si="5"/>
        <v>198.86318063450133</v>
      </c>
      <c r="K375"/>
      <c r="L375"/>
      <c r="M375"/>
      <c r="N375"/>
      <c r="O375"/>
      <c r="P375"/>
      <c r="Q375"/>
      <c r="R375"/>
      <c r="S375" s="129"/>
      <c r="T375" s="127"/>
      <c r="V375" s="129"/>
      <c r="Y375" s="166"/>
      <c r="Z375" s="166"/>
    </row>
    <row r="376" spans="1:26" s="128" customFormat="1" x14ac:dyDescent="0.25">
      <c r="A376" s="459"/>
      <c r="B376" s="1400" t="s">
        <v>580</v>
      </c>
      <c r="C376" s="106">
        <v>74750</v>
      </c>
      <c r="D376" s="106">
        <v>69878</v>
      </c>
      <c r="E376" s="1401">
        <v>6.1080000000000002E-2</v>
      </c>
      <c r="F376" s="1402">
        <f t="shared" si="6"/>
        <v>4268.1482400000004</v>
      </c>
      <c r="G376"/>
      <c r="H376">
        <v>186280</v>
      </c>
      <c r="I376" s="1399">
        <f t="shared" si="7"/>
        <v>704.13839999999993</v>
      </c>
      <c r="J376" s="1403">
        <f t="shared" si="5"/>
        <v>249.02012159582489</v>
      </c>
      <c r="K376"/>
      <c r="L376"/>
      <c r="M376"/>
      <c r="N376"/>
      <c r="O376"/>
      <c r="P376"/>
      <c r="Q376"/>
      <c r="R376"/>
      <c r="S376" s="129"/>
      <c r="T376" s="127"/>
      <c r="V376" s="129"/>
      <c r="Y376" s="166"/>
      <c r="Z376" s="166"/>
    </row>
    <row r="377" spans="1:26" s="128" customFormat="1" x14ac:dyDescent="0.25">
      <c r="A377" s="459"/>
      <c r="B377" s="1400" t="s">
        <v>581</v>
      </c>
      <c r="C377" s="106">
        <v>59697</v>
      </c>
      <c r="D377" s="106">
        <v>53689</v>
      </c>
      <c r="E377" s="1401">
        <v>6.0497000000000002E-2</v>
      </c>
      <c r="F377" s="1402">
        <f t="shared" si="6"/>
        <v>3248.0234330000003</v>
      </c>
      <c r="G377"/>
      <c r="H377">
        <v>28020</v>
      </c>
      <c r="I377" s="1399">
        <f t="shared" si="7"/>
        <v>105.9156</v>
      </c>
      <c r="J377" s="1403">
        <f t="shared" si="5"/>
        <v>37.457289065466036</v>
      </c>
      <c r="K377"/>
      <c r="L377"/>
      <c r="M377"/>
      <c r="N377"/>
      <c r="O377"/>
      <c r="P377"/>
      <c r="Q377"/>
      <c r="R377"/>
      <c r="S377" s="129"/>
      <c r="T377" s="127"/>
      <c r="V377" s="129"/>
      <c r="Y377" s="166"/>
      <c r="Z377" s="166"/>
    </row>
    <row r="378" spans="1:26" s="128" customFormat="1" x14ac:dyDescent="0.25">
      <c r="A378" s="459"/>
      <c r="B378" s="1400" t="s">
        <v>476</v>
      </c>
      <c r="C378" s="1405">
        <v>56519</v>
      </c>
      <c r="D378" s="1405">
        <v>52885</v>
      </c>
      <c r="E378" s="1401">
        <v>7.5815999999999995E-2</v>
      </c>
      <c r="F378" s="1406">
        <f t="shared" si="6"/>
        <v>4009.5291599999996</v>
      </c>
      <c r="G378"/>
      <c r="H378">
        <v>9070</v>
      </c>
      <c r="I378" s="1399">
        <f t="shared" si="7"/>
        <v>34.284599999999998</v>
      </c>
      <c r="J378" s="1403">
        <f t="shared" si="5"/>
        <v>12.124825546887115</v>
      </c>
      <c r="K378"/>
      <c r="L378"/>
      <c r="M378"/>
      <c r="N378"/>
      <c r="O378"/>
      <c r="P378"/>
      <c r="Q378"/>
      <c r="R378"/>
      <c r="S378" s="129"/>
      <c r="T378" s="127"/>
      <c r="V378" s="129"/>
      <c r="Y378" s="166"/>
      <c r="Z378" s="166"/>
    </row>
    <row r="379" spans="1:26" s="128" customFormat="1" x14ac:dyDescent="0.25">
      <c r="A379" s="459"/>
      <c r="B379"/>
      <c r="C379" s="106">
        <f>SUM(C367:C372)+SUM(C375:C378)</f>
        <v>695335</v>
      </c>
      <c r="D379" s="106">
        <f>SUM(D367:D372)+SUM(D375:D378)</f>
        <v>653883</v>
      </c>
      <c r="E379"/>
      <c r="F379" s="1402">
        <f>SUM(F367:F378)</f>
        <v>43374.198711000005</v>
      </c>
      <c r="G379"/>
      <c r="H379"/>
      <c r="I379"/>
      <c r="J379"/>
      <c r="K379"/>
      <c r="L379"/>
      <c r="M379"/>
      <c r="N379"/>
      <c r="O379"/>
      <c r="P379"/>
      <c r="Q379"/>
      <c r="R379"/>
      <c r="S379" s="129"/>
      <c r="T379" s="127"/>
      <c r="V379" s="129"/>
      <c r="Y379" s="166"/>
      <c r="Z379" s="166"/>
    </row>
    <row r="380" spans="1:26" s="128" customFormat="1" x14ac:dyDescent="0.25">
      <c r="A380" s="459"/>
      <c r="B380" s="127"/>
      <c r="C380" s="173"/>
      <c r="S380" s="129"/>
      <c r="T380" s="127"/>
      <c r="V380" s="129"/>
      <c r="Y380" s="166"/>
      <c r="Z380" s="166"/>
    </row>
    <row r="381" spans="1:26" s="125" customFormat="1" x14ac:dyDescent="0.25">
      <c r="A381" s="461">
        <v>22</v>
      </c>
      <c r="B381" s="148" t="s">
        <v>406</v>
      </c>
      <c r="C381" s="152"/>
      <c r="S381" s="126"/>
      <c r="T381" s="148" t="s">
        <v>406</v>
      </c>
      <c r="V381" s="126"/>
      <c r="Y381" s="157"/>
      <c r="Z381" s="157"/>
    </row>
    <row r="382" spans="1:26" s="125" customFormat="1" ht="30" x14ac:dyDescent="0.25">
      <c r="A382" s="461"/>
      <c r="B382" s="2260" t="s">
        <v>638</v>
      </c>
      <c r="C382" s="2260"/>
      <c r="D382" s="2260"/>
      <c r="E382" s="2260"/>
      <c r="F382" s="2260"/>
      <c r="G382" s="2260"/>
      <c r="H382" s="2260"/>
      <c r="I382" s="2260"/>
      <c r="J382" s="2260"/>
      <c r="K382" s="2260"/>
      <c r="L382" s="2260"/>
      <c r="M382" s="2260"/>
      <c r="N382" s="2260"/>
      <c r="O382"/>
      <c r="P382" s="471" t="s">
        <v>1394</v>
      </c>
      <c r="S382" s="126"/>
      <c r="T382" s="148"/>
      <c r="V382" s="126"/>
      <c r="Y382" s="157"/>
      <c r="Z382" s="157"/>
    </row>
    <row r="383" spans="1:26" s="125" customFormat="1" ht="15.75" x14ac:dyDescent="0.25">
      <c r="A383" s="461"/>
      <c r="B383" s="472" t="s">
        <v>337</v>
      </c>
      <c r="C383" s="473">
        <v>41091</v>
      </c>
      <c r="D383" s="473">
        <v>41122</v>
      </c>
      <c r="E383" s="473">
        <v>41153</v>
      </c>
      <c r="F383" s="473">
        <v>41183</v>
      </c>
      <c r="G383" s="473">
        <v>41214</v>
      </c>
      <c r="H383" s="473">
        <v>41244</v>
      </c>
      <c r="I383" s="473">
        <v>41275</v>
      </c>
      <c r="J383" s="473">
        <v>41306</v>
      </c>
      <c r="K383" s="473">
        <v>41334</v>
      </c>
      <c r="L383" s="473">
        <v>41365</v>
      </c>
      <c r="M383" s="473">
        <v>41395</v>
      </c>
      <c r="N383" s="473">
        <v>41426</v>
      </c>
      <c r="O383" s="474" t="s">
        <v>338</v>
      </c>
      <c r="P383" s="1614">
        <v>87593</v>
      </c>
      <c r="S383" s="126"/>
      <c r="T383" s="148"/>
      <c r="V383" s="126"/>
      <c r="Y383" s="157"/>
      <c r="Z383" s="157"/>
    </row>
    <row r="384" spans="1:26" s="125" customFormat="1" x14ac:dyDescent="0.25">
      <c r="A384" s="461"/>
      <c r="B384"/>
      <c r="C384"/>
      <c r="D384"/>
      <c r="E384"/>
      <c r="F384"/>
      <c r="G384"/>
      <c r="H384"/>
      <c r="I384"/>
      <c r="J384"/>
      <c r="K384"/>
      <c r="L384"/>
      <c r="M384"/>
      <c r="N384"/>
      <c r="O384" s="477"/>
      <c r="P384"/>
      <c r="S384" s="126"/>
      <c r="T384" s="148"/>
      <c r="V384" s="126"/>
      <c r="Y384" s="157"/>
      <c r="Z384" s="157"/>
    </row>
    <row r="385" spans="1:26" s="125" customFormat="1" x14ac:dyDescent="0.25">
      <c r="A385" s="461"/>
      <c r="B385" t="s">
        <v>409</v>
      </c>
      <c r="C385" s="479">
        <v>85778.96</v>
      </c>
      <c r="D385" s="479">
        <v>113621.46</v>
      </c>
      <c r="E385" s="479">
        <v>152143.23999999993</v>
      </c>
      <c r="F385" s="479">
        <v>180402.19999999998</v>
      </c>
      <c r="G385" s="479">
        <v>114532.16000000009</v>
      </c>
      <c r="H385" s="479">
        <v>95786.239999999903</v>
      </c>
      <c r="I385" s="479">
        <v>90504.506199999989</v>
      </c>
      <c r="J385" s="479">
        <v>111469.90000000013</v>
      </c>
      <c r="K385" s="479">
        <v>86489.399999999834</v>
      </c>
      <c r="L385" s="479">
        <v>99097.300000000163</v>
      </c>
      <c r="M385" s="479">
        <v>111892.49999999996</v>
      </c>
      <c r="N385" s="479">
        <v>111499.99999999993</v>
      </c>
      <c r="O385" s="480">
        <f>SUM(C385:N385)</f>
        <v>1353217.8662</v>
      </c>
      <c r="P385" s="1403">
        <f>O385/$P$383</f>
        <v>15.44892703983195</v>
      </c>
      <c r="S385" s="126"/>
      <c r="T385" s="148"/>
      <c r="V385" s="126"/>
      <c r="Y385" s="157"/>
      <c r="Z385" s="157"/>
    </row>
    <row r="386" spans="1:26" s="125" customFormat="1" x14ac:dyDescent="0.25">
      <c r="A386" s="461"/>
      <c r="B386" t="s">
        <v>640</v>
      </c>
      <c r="C386" s="482">
        <f>C385*0.08076</f>
        <v>6927.5088095999999</v>
      </c>
      <c r="D386" s="482">
        <f t="shared" ref="D386:N386" si="8">D385*0.08076</f>
        <v>9176.069109600001</v>
      </c>
      <c r="E386" s="482">
        <f t="shared" si="8"/>
        <v>12287.088062399995</v>
      </c>
      <c r="F386" s="482">
        <f t="shared" si="8"/>
        <v>14569.281671999999</v>
      </c>
      <c r="G386" s="482">
        <f t="shared" si="8"/>
        <v>9249.6172416000063</v>
      </c>
      <c r="H386" s="482">
        <f t="shared" si="8"/>
        <v>7735.6967423999922</v>
      </c>
      <c r="I386" s="482">
        <f t="shared" si="8"/>
        <v>7309.1439207119993</v>
      </c>
      <c r="J386" s="482">
        <f t="shared" si="8"/>
        <v>9002.3091240000103</v>
      </c>
      <c r="K386" s="482">
        <f t="shared" si="8"/>
        <v>6984.8839439999865</v>
      </c>
      <c r="L386" s="482">
        <f t="shared" si="8"/>
        <v>8003.0979480000133</v>
      </c>
      <c r="M386" s="482">
        <f t="shared" si="8"/>
        <v>9036.4382999999962</v>
      </c>
      <c r="N386" s="482">
        <f t="shared" si="8"/>
        <v>9004.7399999999943</v>
      </c>
      <c r="O386" s="483">
        <f>SUM(C386:N386)</f>
        <v>109285.87487431198</v>
      </c>
      <c r="P386" s="1403">
        <f>O386/$P$383</f>
        <v>1.247655347736828</v>
      </c>
      <c r="S386" s="126"/>
      <c r="T386" s="148"/>
      <c r="V386" s="126"/>
      <c r="Y386" s="157"/>
      <c r="Z386" s="157"/>
    </row>
    <row r="387" spans="1:26" s="125" customFormat="1" x14ac:dyDescent="0.25">
      <c r="A387" s="461"/>
      <c r="B387"/>
      <c r="C387" s="479"/>
      <c r="D387" s="479"/>
      <c r="E387" s="479"/>
      <c r="F387" s="479"/>
      <c r="G387" s="479"/>
      <c r="H387" s="479"/>
      <c r="I387" s="479"/>
      <c r="J387" s="479"/>
      <c r="K387" s="479"/>
      <c r="L387" s="479"/>
      <c r="M387" s="479"/>
      <c r="N387" s="479"/>
      <c r="O387" s="477"/>
      <c r="P387" s="1403"/>
      <c r="S387" s="126"/>
      <c r="T387" s="148"/>
      <c r="V387" s="126"/>
      <c r="Y387" s="157"/>
      <c r="Z387" s="157"/>
    </row>
    <row r="388" spans="1:26" s="125" customFormat="1" x14ac:dyDescent="0.25">
      <c r="A388" s="461"/>
      <c r="B388" t="s">
        <v>641</v>
      </c>
      <c r="C388" s="106">
        <v>0</v>
      </c>
      <c r="D388" s="106">
        <v>0</v>
      </c>
      <c r="E388" s="106">
        <v>0</v>
      </c>
      <c r="F388" s="106">
        <v>0</v>
      </c>
      <c r="G388" s="106">
        <v>0</v>
      </c>
      <c r="H388" s="106">
        <v>0</v>
      </c>
      <c r="I388" s="106">
        <v>10503</v>
      </c>
      <c r="J388" s="106">
        <v>4632</v>
      </c>
      <c r="K388" s="106">
        <v>3618</v>
      </c>
      <c r="L388" s="106">
        <v>2624</v>
      </c>
      <c r="M388" s="106">
        <v>1926</v>
      </c>
      <c r="N388" s="106">
        <v>1450</v>
      </c>
      <c r="O388" s="480">
        <f>SUM(C388:N388)</f>
        <v>24753</v>
      </c>
      <c r="P388" s="1403">
        <f>O388/$P$383</f>
        <v>0.2825910746292512</v>
      </c>
      <c r="S388" s="126"/>
      <c r="T388" s="148"/>
      <c r="V388" s="126"/>
      <c r="Y388" s="157"/>
      <c r="Z388" s="157"/>
    </row>
    <row r="389" spans="1:26" s="125" customFormat="1" x14ac:dyDescent="0.25">
      <c r="A389" s="461"/>
      <c r="B389" t="s">
        <v>642</v>
      </c>
      <c r="C389" s="485">
        <f>C388*0.4016</f>
        <v>0</v>
      </c>
      <c r="D389" s="485">
        <f t="shared" ref="D389:N389" si="9">D388*0.4016</f>
        <v>0</v>
      </c>
      <c r="E389" s="485">
        <f t="shared" si="9"/>
        <v>0</v>
      </c>
      <c r="F389" s="485">
        <f t="shared" si="9"/>
        <v>0</v>
      </c>
      <c r="G389" s="485">
        <f t="shared" si="9"/>
        <v>0</v>
      </c>
      <c r="H389" s="485">
        <f t="shared" si="9"/>
        <v>0</v>
      </c>
      <c r="I389" s="485">
        <f t="shared" si="9"/>
        <v>4218.0047999999997</v>
      </c>
      <c r="J389" s="485">
        <f t="shared" si="9"/>
        <v>1860.2112</v>
      </c>
      <c r="K389" s="485">
        <f t="shared" si="9"/>
        <v>1452.9888000000001</v>
      </c>
      <c r="L389" s="485">
        <f t="shared" si="9"/>
        <v>1053.7984000000001</v>
      </c>
      <c r="M389" s="485">
        <f t="shared" si="9"/>
        <v>773.48160000000007</v>
      </c>
      <c r="N389" s="485">
        <f t="shared" si="9"/>
        <v>582.32000000000005</v>
      </c>
      <c r="O389" s="483">
        <f>SUM(C389:N389)</f>
        <v>9940.8047999999981</v>
      </c>
      <c r="P389" s="1403">
        <f>O389/$P$383</f>
        <v>0.11348857557110725</v>
      </c>
      <c r="S389" s="126"/>
      <c r="T389" s="148"/>
      <c r="V389" s="126"/>
      <c r="Y389" s="157"/>
      <c r="Z389" s="157"/>
    </row>
    <row r="390" spans="1:26" s="125" customFormat="1" x14ac:dyDescent="0.25">
      <c r="A390" s="461"/>
      <c r="B390" t="s">
        <v>643</v>
      </c>
      <c r="C390" s="485">
        <f>C388*0.1738</f>
        <v>0</v>
      </c>
      <c r="D390" s="485">
        <f t="shared" ref="D390:N390" si="10">D388*0.1738</f>
        <v>0</v>
      </c>
      <c r="E390" s="485">
        <f t="shared" si="10"/>
        <v>0</v>
      </c>
      <c r="F390" s="485">
        <f t="shared" si="10"/>
        <v>0</v>
      </c>
      <c r="G390" s="485">
        <f t="shared" si="10"/>
        <v>0</v>
      </c>
      <c r="H390" s="485">
        <f t="shared" si="10"/>
        <v>0</v>
      </c>
      <c r="I390" s="485">
        <f t="shared" si="10"/>
        <v>1825.4214000000002</v>
      </c>
      <c r="J390" s="485">
        <f t="shared" si="10"/>
        <v>805.04160000000002</v>
      </c>
      <c r="K390" s="485">
        <f t="shared" si="10"/>
        <v>628.80840000000001</v>
      </c>
      <c r="L390" s="485">
        <f t="shared" si="10"/>
        <v>456.05120000000005</v>
      </c>
      <c r="M390" s="485">
        <f t="shared" si="10"/>
        <v>334.73880000000003</v>
      </c>
      <c r="N390" s="485">
        <f t="shared" si="10"/>
        <v>252.01000000000002</v>
      </c>
      <c r="O390" s="483">
        <f>SUM(C390:N390)</f>
        <v>4302.0713999999998</v>
      </c>
      <c r="P390" s="1403">
        <f>O390/$P$383</f>
        <v>4.9114328770563855E-2</v>
      </c>
      <c r="S390" s="126"/>
      <c r="T390" s="148"/>
      <c r="V390" s="126"/>
      <c r="Y390" s="157"/>
      <c r="Z390" s="157"/>
    </row>
    <row r="391" spans="1:26" s="125" customFormat="1" ht="15.75" thickBot="1" x14ac:dyDescent="0.3">
      <c r="A391" s="461"/>
      <c r="B391" s="963" t="s">
        <v>644</v>
      </c>
      <c r="C391" s="964">
        <f>SUM(C389:C390)</f>
        <v>0</v>
      </c>
      <c r="D391" s="964">
        <f t="shared" ref="D391:O391" si="11">SUM(D389:D390)</f>
        <v>0</v>
      </c>
      <c r="E391" s="964">
        <f t="shared" si="11"/>
        <v>0</v>
      </c>
      <c r="F391" s="964">
        <f t="shared" si="11"/>
        <v>0</v>
      </c>
      <c r="G391" s="964">
        <f t="shared" si="11"/>
        <v>0</v>
      </c>
      <c r="H391" s="964">
        <f t="shared" si="11"/>
        <v>0</v>
      </c>
      <c r="I391" s="964">
        <f t="shared" si="11"/>
        <v>6043.4261999999999</v>
      </c>
      <c r="J391" s="964">
        <f t="shared" si="11"/>
        <v>2665.2528000000002</v>
      </c>
      <c r="K391" s="964">
        <f t="shared" si="11"/>
        <v>2081.7972</v>
      </c>
      <c r="L391" s="964">
        <f t="shared" si="11"/>
        <v>1509.8496000000002</v>
      </c>
      <c r="M391" s="964">
        <f t="shared" si="11"/>
        <v>1108.2204000000002</v>
      </c>
      <c r="N391" s="964">
        <f t="shared" si="11"/>
        <v>834.33</v>
      </c>
      <c r="O391" s="964">
        <f t="shared" si="11"/>
        <v>14242.876199999999</v>
      </c>
      <c r="P391" s="1403">
        <f>O391/$P$383</f>
        <v>0.16260290434167113</v>
      </c>
      <c r="S391" s="126"/>
      <c r="T391" s="148"/>
      <c r="V391" s="126"/>
      <c r="Y391" s="157"/>
      <c r="Z391" s="157"/>
    </row>
    <row r="392" spans="1:26" s="125" customFormat="1" ht="15.75" thickTop="1" x14ac:dyDescent="0.25">
      <c r="A392" s="461"/>
      <c r="B392"/>
      <c r="C392"/>
      <c r="D392"/>
      <c r="E392"/>
      <c r="F392"/>
      <c r="G392"/>
      <c r="H392"/>
      <c r="I392"/>
      <c r="J392"/>
      <c r="K392"/>
      <c r="L392"/>
      <c r="M392"/>
      <c r="N392"/>
      <c r="O392"/>
      <c r="P392"/>
      <c r="S392" s="126"/>
      <c r="T392" s="148"/>
      <c r="V392" s="126"/>
      <c r="Y392" s="157"/>
      <c r="Z392" s="157"/>
    </row>
    <row r="393" spans="1:26" s="125" customFormat="1" ht="15.75" x14ac:dyDescent="0.25">
      <c r="A393" s="461"/>
      <c r="B393" s="472" t="s">
        <v>337</v>
      </c>
      <c r="C393" s="473">
        <v>41456</v>
      </c>
      <c r="D393" s="473">
        <v>41487</v>
      </c>
      <c r="E393" s="473">
        <v>41518</v>
      </c>
      <c r="F393" s="473">
        <v>41548</v>
      </c>
      <c r="G393" s="473">
        <v>41579</v>
      </c>
      <c r="H393" s="473">
        <v>41609</v>
      </c>
      <c r="I393" s="473">
        <v>41640</v>
      </c>
      <c r="J393" s="473">
        <v>41671</v>
      </c>
      <c r="K393" s="473">
        <v>41699</v>
      </c>
      <c r="L393" s="473">
        <v>41730</v>
      </c>
      <c r="M393" s="473">
        <v>41760</v>
      </c>
      <c r="N393" s="473">
        <v>41791</v>
      </c>
      <c r="O393" s="474" t="s">
        <v>338</v>
      </c>
      <c r="P393"/>
      <c r="S393" s="126"/>
      <c r="T393" s="148"/>
      <c r="V393" s="126"/>
      <c r="Y393" s="157"/>
      <c r="Z393" s="157"/>
    </row>
    <row r="394" spans="1:26" s="125" customFormat="1" x14ac:dyDescent="0.25">
      <c r="A394" s="461"/>
      <c r="B394"/>
      <c r="C394"/>
      <c r="D394"/>
      <c r="E394"/>
      <c r="F394"/>
      <c r="G394"/>
      <c r="H394"/>
      <c r="I394"/>
      <c r="J394"/>
      <c r="K394"/>
      <c r="L394"/>
      <c r="M394"/>
      <c r="N394"/>
      <c r="O394" s="477"/>
      <c r="P394"/>
      <c r="S394" s="126"/>
      <c r="T394" s="148"/>
      <c r="V394" s="126"/>
      <c r="Y394" s="157"/>
      <c r="Z394" s="157"/>
    </row>
    <row r="395" spans="1:26" s="125" customFormat="1" x14ac:dyDescent="0.25">
      <c r="A395" s="461"/>
      <c r="B395" t="s">
        <v>409</v>
      </c>
      <c r="C395" s="479">
        <v>132276</v>
      </c>
      <c r="D395" s="479">
        <v>137730</v>
      </c>
      <c r="E395" s="479">
        <v>134465</v>
      </c>
      <c r="F395" s="479">
        <v>124059</v>
      </c>
      <c r="G395" s="479">
        <v>117931</v>
      </c>
      <c r="H395" s="479">
        <v>93622</v>
      </c>
      <c r="I395" s="479">
        <v>110748</v>
      </c>
      <c r="J395" s="479">
        <v>109838</v>
      </c>
      <c r="K395" s="479">
        <v>79601</v>
      </c>
      <c r="L395" s="479">
        <v>106369</v>
      </c>
      <c r="M395" s="479">
        <v>52332</v>
      </c>
      <c r="N395" s="479">
        <v>111294</v>
      </c>
      <c r="O395" s="480">
        <f>SUM(C395:N395)</f>
        <v>1310265</v>
      </c>
      <c r="P395" s="1403">
        <f>O395/$P$383</f>
        <v>14.958558332286827</v>
      </c>
      <c r="S395" s="126"/>
      <c r="T395" s="148"/>
      <c r="V395" s="126"/>
      <c r="Y395" s="157"/>
      <c r="Z395" s="157"/>
    </row>
    <row r="396" spans="1:26" s="125" customFormat="1" x14ac:dyDescent="0.25">
      <c r="A396" s="461"/>
      <c r="B396" t="s">
        <v>640</v>
      </c>
      <c r="C396" s="482">
        <f>C395*0.08076</f>
        <v>10682.609759999999</v>
      </c>
      <c r="D396" s="482">
        <f t="shared" ref="D396:N396" si="12">D395*0.08076</f>
        <v>11123.0748</v>
      </c>
      <c r="E396" s="482">
        <f t="shared" si="12"/>
        <v>10859.393399999999</v>
      </c>
      <c r="F396" s="482">
        <f t="shared" si="12"/>
        <v>10019.00484</v>
      </c>
      <c r="G396" s="482">
        <f t="shared" si="12"/>
        <v>9524.1075600000004</v>
      </c>
      <c r="H396" s="482">
        <f t="shared" si="12"/>
        <v>7560.9127200000003</v>
      </c>
      <c r="I396" s="482">
        <f t="shared" si="12"/>
        <v>8944.0084800000004</v>
      </c>
      <c r="J396" s="482">
        <f t="shared" si="12"/>
        <v>8870.5168799999992</v>
      </c>
      <c r="K396" s="482">
        <f t="shared" si="12"/>
        <v>6428.5767599999999</v>
      </c>
      <c r="L396" s="482">
        <f t="shared" si="12"/>
        <v>8590.3604400000004</v>
      </c>
      <c r="M396" s="482">
        <f t="shared" si="12"/>
        <v>4226.3323199999995</v>
      </c>
      <c r="N396" s="482">
        <f t="shared" si="12"/>
        <v>8988.103439999999</v>
      </c>
      <c r="O396" s="483">
        <f>SUM(C396:N396)</f>
        <v>105817.00140000001</v>
      </c>
      <c r="P396" s="1403">
        <f>O396/$P$383</f>
        <v>1.2080531709154843</v>
      </c>
      <c r="S396" s="126"/>
      <c r="T396" s="148"/>
      <c r="V396" s="126"/>
      <c r="Y396" s="157"/>
      <c r="Z396" s="157"/>
    </row>
    <row r="397" spans="1:26" s="125" customFormat="1" x14ac:dyDescent="0.25">
      <c r="A397" s="461"/>
      <c r="B397"/>
      <c r="C397"/>
      <c r="D397"/>
      <c r="E397"/>
      <c r="F397"/>
      <c r="G397"/>
      <c r="H397"/>
      <c r="I397"/>
      <c r="J397"/>
      <c r="K397"/>
      <c r="L397"/>
      <c r="M397"/>
      <c r="N397"/>
      <c r="O397" s="477"/>
      <c r="P397" s="1403"/>
      <c r="S397" s="126"/>
      <c r="T397" s="148"/>
      <c r="V397" s="126"/>
      <c r="Y397" s="157"/>
      <c r="Z397" s="157"/>
    </row>
    <row r="398" spans="1:26" s="125" customFormat="1" x14ac:dyDescent="0.25">
      <c r="A398" s="461"/>
      <c r="B398" t="s">
        <v>641</v>
      </c>
      <c r="C398" s="106">
        <v>1577</v>
      </c>
      <c r="D398" s="106">
        <v>1398</v>
      </c>
      <c r="E398" s="106">
        <v>1304</v>
      </c>
      <c r="F398" s="106">
        <v>1202</v>
      </c>
      <c r="G398" s="106">
        <v>2179</v>
      </c>
      <c r="H398" s="106">
        <v>2368</v>
      </c>
      <c r="I398" s="106">
        <v>4126</v>
      </c>
      <c r="J398" s="106">
        <v>4009</v>
      </c>
      <c r="K398" s="106">
        <v>2298</v>
      </c>
      <c r="L398" s="106">
        <v>2457</v>
      </c>
      <c r="M398" s="106">
        <v>1910</v>
      </c>
      <c r="N398" s="106">
        <v>1177</v>
      </c>
      <c r="O398" s="480">
        <f>SUM(C398:N398)</f>
        <v>26005</v>
      </c>
      <c r="P398" s="1403">
        <f>O398/$P$383</f>
        <v>0.29688445423721072</v>
      </c>
      <c r="S398" s="126"/>
      <c r="T398" s="148"/>
      <c r="V398" s="126"/>
      <c r="Y398" s="157"/>
      <c r="Z398" s="157"/>
    </row>
    <row r="399" spans="1:26" s="125" customFormat="1" x14ac:dyDescent="0.25">
      <c r="A399" s="461"/>
      <c r="B399" t="s">
        <v>642</v>
      </c>
      <c r="C399" s="485">
        <f>C398*0.4016</f>
        <v>633.32320000000004</v>
      </c>
      <c r="D399" s="485">
        <f t="shared" ref="D399:N399" si="13">D398*0.4016</f>
        <v>561.43680000000006</v>
      </c>
      <c r="E399" s="485">
        <f t="shared" si="13"/>
        <v>523.68640000000005</v>
      </c>
      <c r="F399" s="485">
        <f t="shared" si="13"/>
        <v>482.72320000000002</v>
      </c>
      <c r="G399" s="485">
        <f t="shared" si="13"/>
        <v>875.08640000000003</v>
      </c>
      <c r="H399" s="485">
        <f t="shared" si="13"/>
        <v>950.98880000000008</v>
      </c>
      <c r="I399" s="485">
        <f t="shared" si="13"/>
        <v>1657.0016000000001</v>
      </c>
      <c r="J399" s="485">
        <f t="shared" si="13"/>
        <v>1610.0144</v>
      </c>
      <c r="K399" s="485">
        <f t="shared" si="13"/>
        <v>922.8768</v>
      </c>
      <c r="L399" s="485">
        <f t="shared" si="13"/>
        <v>986.73120000000006</v>
      </c>
      <c r="M399" s="485">
        <f t="shared" si="13"/>
        <v>767.05600000000004</v>
      </c>
      <c r="N399" s="485">
        <f t="shared" si="13"/>
        <v>472.6832</v>
      </c>
      <c r="O399" s="483">
        <f>SUM(C399:N399)</f>
        <v>10443.608</v>
      </c>
      <c r="P399" s="1403">
        <f>O399/$P$383</f>
        <v>0.11922879682166383</v>
      </c>
      <c r="S399" s="126"/>
      <c r="T399" s="148"/>
      <c r="V399" s="126"/>
      <c r="Y399" s="157"/>
      <c r="Z399" s="157"/>
    </row>
    <row r="400" spans="1:26" s="125" customFormat="1" x14ac:dyDescent="0.25">
      <c r="A400" s="461"/>
      <c r="B400" t="s">
        <v>643</v>
      </c>
      <c r="C400" s="485">
        <f>C398*0.1738</f>
        <v>274.08260000000001</v>
      </c>
      <c r="D400" s="485">
        <f t="shared" ref="D400:N400" si="14">D398*0.1738</f>
        <v>242.97240000000002</v>
      </c>
      <c r="E400" s="485">
        <f t="shared" si="14"/>
        <v>226.63520000000003</v>
      </c>
      <c r="F400" s="485">
        <f t="shared" si="14"/>
        <v>208.9076</v>
      </c>
      <c r="G400" s="485">
        <f t="shared" si="14"/>
        <v>378.71020000000004</v>
      </c>
      <c r="H400" s="485">
        <f t="shared" si="14"/>
        <v>411.55840000000001</v>
      </c>
      <c r="I400" s="485">
        <f t="shared" si="14"/>
        <v>717.0988000000001</v>
      </c>
      <c r="J400" s="485">
        <f t="shared" si="14"/>
        <v>696.76420000000007</v>
      </c>
      <c r="K400" s="485">
        <f t="shared" si="14"/>
        <v>399.39240000000001</v>
      </c>
      <c r="L400" s="485">
        <f>L398*0.1738</f>
        <v>427.02660000000003</v>
      </c>
      <c r="M400" s="485">
        <f>M398*0.1738</f>
        <v>331.95800000000003</v>
      </c>
      <c r="N400" s="485">
        <f t="shared" si="14"/>
        <v>204.5626</v>
      </c>
      <c r="O400" s="483">
        <f>SUM(C400:N400)</f>
        <v>4519.6690000000008</v>
      </c>
      <c r="P400" s="1403">
        <f>O400/$P$383</f>
        <v>5.1598518146427234E-2</v>
      </c>
      <c r="S400" s="126"/>
      <c r="T400" s="148"/>
      <c r="V400" s="126"/>
      <c r="Y400" s="157"/>
      <c r="Z400" s="157"/>
    </row>
    <row r="401" spans="1:26" s="125" customFormat="1" ht="15.75" thickBot="1" x14ac:dyDescent="0.3">
      <c r="A401" s="461"/>
      <c r="B401" s="963" t="s">
        <v>644</v>
      </c>
      <c r="C401" s="964">
        <f>SUM(C399:C400)</f>
        <v>907.4058</v>
      </c>
      <c r="D401" s="964">
        <f t="shared" ref="D401:K401" si="15">SUM(D399:D400)</f>
        <v>804.40920000000006</v>
      </c>
      <c r="E401" s="964">
        <f t="shared" si="15"/>
        <v>750.3216000000001</v>
      </c>
      <c r="F401" s="964">
        <f t="shared" si="15"/>
        <v>691.63080000000002</v>
      </c>
      <c r="G401" s="964">
        <f t="shared" si="15"/>
        <v>1253.7966000000001</v>
      </c>
      <c r="H401" s="964">
        <f t="shared" si="15"/>
        <v>1362.5472</v>
      </c>
      <c r="I401" s="964">
        <f t="shared" si="15"/>
        <v>2374.1004000000003</v>
      </c>
      <c r="J401" s="964">
        <f t="shared" si="15"/>
        <v>2306.7786000000001</v>
      </c>
      <c r="K401" s="964">
        <f t="shared" si="15"/>
        <v>1322.2692</v>
      </c>
      <c r="L401" s="964">
        <f>SUM(L399:L400)</f>
        <v>1413.7578000000001</v>
      </c>
      <c r="M401" s="964">
        <f>SUM(M399:M400)</f>
        <v>1099.0140000000001</v>
      </c>
      <c r="N401" s="964">
        <f>SUM(N399:N400)</f>
        <v>677.24580000000003</v>
      </c>
      <c r="O401" s="964">
        <f>SUM(O399:O400)</f>
        <v>14963.277000000002</v>
      </c>
      <c r="P401" s="1403">
        <f>O401/$P$383</f>
        <v>0.17082731496809109</v>
      </c>
      <c r="S401" s="126"/>
      <c r="T401" s="148"/>
      <c r="V401" s="126"/>
      <c r="Y401" s="157"/>
      <c r="Z401" s="157"/>
    </row>
    <row r="402" spans="1:26" s="125" customFormat="1" ht="15.75" thickTop="1" x14ac:dyDescent="0.25">
      <c r="A402" s="461"/>
      <c r="B402"/>
      <c r="C402"/>
      <c r="D402"/>
      <c r="E402"/>
      <c r="F402"/>
      <c r="G402"/>
      <c r="H402"/>
      <c r="I402"/>
      <c r="J402"/>
      <c r="K402"/>
      <c r="L402"/>
      <c r="M402"/>
      <c r="N402"/>
      <c r="O402" s="477"/>
      <c r="P402" s="1403"/>
      <c r="S402" s="126"/>
      <c r="T402" s="148"/>
      <c r="V402" s="126"/>
      <c r="Y402" s="157"/>
      <c r="Z402" s="157"/>
    </row>
    <row r="403" spans="1:26" s="125" customFormat="1" x14ac:dyDescent="0.25">
      <c r="A403" s="461"/>
      <c r="B403" t="s">
        <v>1037</v>
      </c>
      <c r="C403" s="106">
        <v>147700</v>
      </c>
      <c r="D403" s="106">
        <v>141500</v>
      </c>
      <c r="E403" s="106">
        <v>131000</v>
      </c>
      <c r="F403" s="106">
        <v>67100</v>
      </c>
      <c r="G403" s="106">
        <v>31250</v>
      </c>
      <c r="H403" s="106">
        <v>18300</v>
      </c>
      <c r="I403" s="106">
        <v>9750</v>
      </c>
      <c r="J403" s="106">
        <v>10120</v>
      </c>
      <c r="K403" s="106">
        <v>26800</v>
      </c>
      <c r="L403" s="106">
        <v>50000</v>
      </c>
      <c r="M403" s="106">
        <v>94225</v>
      </c>
      <c r="N403" s="106">
        <v>120500</v>
      </c>
      <c r="O403" s="480">
        <f>SUM(C403:N403)</f>
        <v>848245</v>
      </c>
      <c r="P403" s="1403">
        <f>O403/$P$383</f>
        <v>9.6839359309533872</v>
      </c>
      <c r="S403" s="126"/>
      <c r="T403" s="148"/>
      <c r="V403" s="126"/>
      <c r="Y403" s="157"/>
      <c r="Z403" s="157"/>
    </row>
    <row r="404" spans="1:26" s="125" customFormat="1" x14ac:dyDescent="0.25">
      <c r="A404" s="461"/>
      <c r="B404" t="s">
        <v>646</v>
      </c>
      <c r="C404" s="962">
        <f>C403*0.02831</f>
        <v>4181.3869999999997</v>
      </c>
      <c r="D404" s="962">
        <f t="shared" ref="D404:N404" si="16">D403*0.02831</f>
        <v>4005.8649999999998</v>
      </c>
      <c r="E404" s="962">
        <f t="shared" si="16"/>
        <v>3708.6099999999997</v>
      </c>
      <c r="F404" s="962">
        <f t="shared" si="16"/>
        <v>1899.6009999999999</v>
      </c>
      <c r="G404" s="962">
        <f t="shared" si="16"/>
        <v>884.6875</v>
      </c>
      <c r="H404" s="962">
        <f t="shared" si="16"/>
        <v>518.07299999999998</v>
      </c>
      <c r="I404" s="962">
        <f t="shared" si="16"/>
        <v>276.02249999999998</v>
      </c>
      <c r="J404" s="962">
        <f t="shared" si="16"/>
        <v>286.49719999999996</v>
      </c>
      <c r="K404" s="962">
        <f t="shared" si="16"/>
        <v>758.70799999999997</v>
      </c>
      <c r="L404" s="962">
        <f t="shared" si="16"/>
        <v>1415.5</v>
      </c>
      <c r="M404" s="962">
        <f t="shared" si="16"/>
        <v>2667.5097499999997</v>
      </c>
      <c r="N404" s="962">
        <f t="shared" si="16"/>
        <v>3411.355</v>
      </c>
      <c r="O404" s="483">
        <f>SUM(C404:N404)</f>
        <v>24013.81595</v>
      </c>
      <c r="P404" s="1403">
        <f>O404/$P$383</f>
        <v>0.27415222620529039</v>
      </c>
      <c r="S404" s="126"/>
      <c r="T404" s="148"/>
      <c r="V404" s="126"/>
      <c r="Y404" s="157"/>
      <c r="Z404" s="157"/>
    </row>
    <row r="405" spans="1:26" s="125" customFormat="1" x14ac:dyDescent="0.25">
      <c r="A405" s="461"/>
      <c r="B405" s="2261" t="s">
        <v>1038</v>
      </c>
      <c r="C405" s="2261"/>
      <c r="D405" s="2261"/>
      <c r="E405" s="2261"/>
      <c r="F405" s="2261"/>
      <c r="G405" s="2261"/>
      <c r="H405" s="2261"/>
      <c r="I405" s="2261"/>
      <c r="J405" s="2261"/>
      <c r="K405" s="2261"/>
      <c r="L405" s="2261"/>
      <c r="M405" s="2261"/>
      <c r="N405" s="2261"/>
      <c r="O405" s="2261"/>
      <c r="P405" s="2261"/>
      <c r="S405" s="126"/>
      <c r="T405" s="148"/>
      <c r="V405" s="126"/>
      <c r="Y405" s="157"/>
      <c r="Z405" s="157"/>
    </row>
    <row r="406" spans="1:26" s="125" customFormat="1" x14ac:dyDescent="0.25">
      <c r="A406" s="461"/>
      <c r="B406"/>
      <c r="C406"/>
      <c r="D406"/>
      <c r="E406"/>
      <c r="F406"/>
      <c r="G406"/>
      <c r="H406"/>
      <c r="I406"/>
      <c r="J406"/>
      <c r="K406"/>
      <c r="L406"/>
      <c r="M406"/>
      <c r="N406"/>
      <c r="O406" s="477"/>
      <c r="P406"/>
      <c r="S406" s="126"/>
      <c r="T406" s="148"/>
      <c r="V406" s="126"/>
      <c r="Y406" s="157"/>
      <c r="Z406" s="157"/>
    </row>
    <row r="407" spans="1:26" s="125" customFormat="1" ht="15.75" x14ac:dyDescent="0.25">
      <c r="A407" s="461"/>
      <c r="B407" s="472" t="s">
        <v>337</v>
      </c>
      <c r="C407" s="473">
        <v>41821</v>
      </c>
      <c r="D407" s="473">
        <v>41852</v>
      </c>
      <c r="E407" s="473">
        <v>41883</v>
      </c>
      <c r="F407" s="473">
        <v>41913</v>
      </c>
      <c r="G407" s="473">
        <v>41944</v>
      </c>
      <c r="H407" s="473">
        <v>41974</v>
      </c>
      <c r="I407" s="473">
        <v>42005</v>
      </c>
      <c r="J407" s="473">
        <v>42036</v>
      </c>
      <c r="K407" s="473">
        <v>42064</v>
      </c>
      <c r="L407" s="473">
        <v>42095</v>
      </c>
      <c r="M407" s="473">
        <v>42125</v>
      </c>
      <c r="N407" s="473">
        <v>42156</v>
      </c>
      <c r="O407" s="474" t="s">
        <v>338</v>
      </c>
      <c r="P407"/>
      <c r="S407" s="126"/>
      <c r="T407" s="148"/>
      <c r="V407" s="126"/>
      <c r="Y407" s="157"/>
      <c r="Z407" s="157"/>
    </row>
    <row r="408" spans="1:26" s="125" customFormat="1" x14ac:dyDescent="0.25">
      <c r="A408" s="461"/>
      <c r="B408"/>
      <c r="C408"/>
      <c r="D408"/>
      <c r="E408"/>
      <c r="F408"/>
      <c r="G408"/>
      <c r="H408"/>
      <c r="I408"/>
      <c r="J408"/>
      <c r="K408"/>
      <c r="L408"/>
      <c r="M408"/>
      <c r="N408"/>
      <c r="O408" s="477"/>
      <c r="P408"/>
      <c r="S408" s="126"/>
      <c r="T408" s="148"/>
      <c r="V408" s="126"/>
      <c r="Y408" s="157"/>
      <c r="Z408" s="157"/>
    </row>
    <row r="409" spans="1:26" s="125" customFormat="1" x14ac:dyDescent="0.25">
      <c r="A409" s="461"/>
      <c r="B409" t="s">
        <v>409</v>
      </c>
      <c r="C409" s="106">
        <v>124350</v>
      </c>
      <c r="D409" s="106">
        <v>124506</v>
      </c>
      <c r="E409" s="106">
        <v>157696</v>
      </c>
      <c r="F409" s="106">
        <v>138410</v>
      </c>
      <c r="G409" s="106">
        <v>115773</v>
      </c>
      <c r="H409" s="106">
        <v>107197</v>
      </c>
      <c r="I409" s="106">
        <v>96118</v>
      </c>
      <c r="J409" s="106">
        <v>110983</v>
      </c>
      <c r="K409" s="479">
        <v>90056</v>
      </c>
      <c r="L409" s="479">
        <v>131594</v>
      </c>
      <c r="M409" s="479">
        <v>122952</v>
      </c>
      <c r="N409" s="479">
        <v>119384</v>
      </c>
      <c r="O409" s="480">
        <f>SUM(C409:N409)</f>
        <v>1439019</v>
      </c>
      <c r="P409" s="1403">
        <f>O409/$P$383</f>
        <v>16.428470311554577</v>
      </c>
      <c r="S409" s="126"/>
      <c r="T409" s="148"/>
      <c r="V409" s="126"/>
      <c r="Y409" s="157"/>
      <c r="Z409" s="157"/>
    </row>
    <row r="410" spans="1:26" s="125" customFormat="1" x14ac:dyDescent="0.25">
      <c r="A410" s="461"/>
      <c r="B410" t="s">
        <v>640</v>
      </c>
      <c r="C410" s="482">
        <f>C409*0.08076</f>
        <v>10042.505999999999</v>
      </c>
      <c r="D410" s="482">
        <f t="shared" ref="D410:N410" si="17">D409*0.08076</f>
        <v>10055.10456</v>
      </c>
      <c r="E410" s="482">
        <f t="shared" si="17"/>
        <v>12735.52896</v>
      </c>
      <c r="F410" s="482">
        <f t="shared" si="17"/>
        <v>11177.991599999999</v>
      </c>
      <c r="G410" s="482">
        <f t="shared" si="17"/>
        <v>9349.8274799999999</v>
      </c>
      <c r="H410" s="482">
        <f t="shared" si="17"/>
        <v>8657.2297199999994</v>
      </c>
      <c r="I410" s="482">
        <f t="shared" si="17"/>
        <v>7762.4896799999997</v>
      </c>
      <c r="J410" s="482">
        <f t="shared" si="17"/>
        <v>8962.987079999999</v>
      </c>
      <c r="K410" s="482">
        <f t="shared" si="17"/>
        <v>7272.92256</v>
      </c>
      <c r="L410" s="482">
        <f t="shared" si="17"/>
        <v>10627.531440000001</v>
      </c>
      <c r="M410" s="482">
        <f t="shared" si="17"/>
        <v>9929.6035200000006</v>
      </c>
      <c r="N410" s="482">
        <f t="shared" si="17"/>
        <v>9641.4518399999997</v>
      </c>
      <c r="O410" s="483">
        <f>SUM(C410:N410)</f>
        <v>116215.17444000002</v>
      </c>
      <c r="P410" s="1403">
        <f>O410/$P$383</f>
        <v>1.3267632623611478</v>
      </c>
      <c r="S410" s="126"/>
      <c r="T410" s="148"/>
      <c r="V410" s="126"/>
      <c r="Y410" s="157"/>
      <c r="Z410" s="157"/>
    </row>
    <row r="411" spans="1:26" s="125" customFormat="1" x14ac:dyDescent="0.25">
      <c r="A411" s="461"/>
      <c r="B411"/>
      <c r="C411"/>
      <c r="D411"/>
      <c r="E411"/>
      <c r="F411"/>
      <c r="G411"/>
      <c r="H411"/>
      <c r="I411"/>
      <c r="J411"/>
      <c r="K411"/>
      <c r="L411"/>
      <c r="M411"/>
      <c r="N411"/>
      <c r="O411" s="477"/>
      <c r="P411" s="1403"/>
      <c r="S411" s="126"/>
      <c r="T411" s="148"/>
      <c r="V411" s="126"/>
      <c r="Y411" s="157"/>
      <c r="Z411" s="157"/>
    </row>
    <row r="412" spans="1:26" s="125" customFormat="1" x14ac:dyDescent="0.25">
      <c r="A412" s="461"/>
      <c r="B412" t="s">
        <v>641</v>
      </c>
      <c r="C412" s="106">
        <v>878</v>
      </c>
      <c r="D412" s="106">
        <v>1123</v>
      </c>
      <c r="E412" s="106">
        <v>1488</v>
      </c>
      <c r="F412" s="106">
        <v>1741</v>
      </c>
      <c r="G412" s="106">
        <v>1756</v>
      </c>
      <c r="H412" s="106">
        <v>2813</v>
      </c>
      <c r="I412" s="106">
        <v>2829</v>
      </c>
      <c r="J412" s="106">
        <v>3202</v>
      </c>
      <c r="K412" s="106">
        <v>3083</v>
      </c>
      <c r="L412" s="106">
        <v>2150</v>
      </c>
      <c r="M412" s="106">
        <v>1769</v>
      </c>
      <c r="N412" s="106">
        <v>1707</v>
      </c>
      <c r="O412" s="480">
        <f>SUM(C412:N412)</f>
        <v>24539</v>
      </c>
      <c r="P412" s="1403">
        <f>O412/$P$383</f>
        <v>0.28014795702852968</v>
      </c>
      <c r="S412" s="126"/>
      <c r="T412" s="148"/>
      <c r="V412" s="126"/>
      <c r="Y412" s="157"/>
      <c r="Z412" s="157"/>
    </row>
    <row r="413" spans="1:26" s="125" customFormat="1" x14ac:dyDescent="0.25">
      <c r="A413" s="461"/>
      <c r="B413" t="s">
        <v>642</v>
      </c>
      <c r="C413" s="485">
        <f>C412*0.4016</f>
        <v>352.60480000000001</v>
      </c>
      <c r="D413" s="485">
        <f t="shared" ref="D413:N413" si="18">D412*0.4016</f>
        <v>450.99680000000001</v>
      </c>
      <c r="E413" s="485">
        <f t="shared" si="18"/>
        <v>597.58080000000007</v>
      </c>
      <c r="F413" s="485">
        <f t="shared" si="18"/>
        <v>699.18560000000002</v>
      </c>
      <c r="G413" s="485">
        <f t="shared" si="18"/>
        <v>705.20960000000002</v>
      </c>
      <c r="H413" s="485">
        <f t="shared" si="18"/>
        <v>1129.7008000000001</v>
      </c>
      <c r="I413" s="485">
        <f t="shared" si="18"/>
        <v>1136.1264000000001</v>
      </c>
      <c r="J413" s="485">
        <f t="shared" si="18"/>
        <v>1285.9232</v>
      </c>
      <c r="K413" s="485">
        <f t="shared" si="18"/>
        <v>1238.1328000000001</v>
      </c>
      <c r="L413" s="485">
        <f t="shared" si="18"/>
        <v>863.44</v>
      </c>
      <c r="M413" s="485">
        <f t="shared" si="18"/>
        <v>710.43040000000008</v>
      </c>
      <c r="N413" s="485">
        <f t="shared" si="18"/>
        <v>685.53120000000001</v>
      </c>
      <c r="O413" s="483">
        <f>SUM(C413:N413)</f>
        <v>9854.8624</v>
      </c>
      <c r="P413" s="1403">
        <f>O413/$P$383</f>
        <v>0.11250741954265751</v>
      </c>
      <c r="S413" s="126"/>
      <c r="T413" s="148"/>
      <c r="V413" s="126"/>
      <c r="Y413" s="157"/>
      <c r="Z413" s="157"/>
    </row>
    <row r="414" spans="1:26" s="125" customFormat="1" x14ac:dyDescent="0.25">
      <c r="A414" s="461"/>
      <c r="B414" t="s">
        <v>643</v>
      </c>
      <c r="C414" s="485">
        <f>C412*0.1738</f>
        <v>152.59640000000002</v>
      </c>
      <c r="D414" s="485">
        <f t="shared" ref="D414:K414" si="19">D412*0.1738</f>
        <v>195.17740000000001</v>
      </c>
      <c r="E414" s="485">
        <f t="shared" si="19"/>
        <v>258.61439999999999</v>
      </c>
      <c r="F414" s="485">
        <f t="shared" si="19"/>
        <v>302.58580000000001</v>
      </c>
      <c r="G414" s="485">
        <f t="shared" si="19"/>
        <v>305.19280000000003</v>
      </c>
      <c r="H414" s="485">
        <f t="shared" si="19"/>
        <v>488.89940000000001</v>
      </c>
      <c r="I414" s="485">
        <f t="shared" si="19"/>
        <v>491.68020000000001</v>
      </c>
      <c r="J414" s="485">
        <f t="shared" si="19"/>
        <v>556.50760000000002</v>
      </c>
      <c r="K414" s="485">
        <f t="shared" si="19"/>
        <v>535.82540000000006</v>
      </c>
      <c r="L414" s="485">
        <f>L412*0.1738</f>
        <v>373.67</v>
      </c>
      <c r="M414" s="485">
        <f>M412*0.1738</f>
        <v>307.4522</v>
      </c>
      <c r="N414" s="485">
        <f>N412*0.1738</f>
        <v>296.67660000000001</v>
      </c>
      <c r="O414" s="483">
        <f>SUM(C414:N414)</f>
        <v>4264.8782000000001</v>
      </c>
      <c r="P414" s="1403">
        <f>O414/$P$383</f>
        <v>4.8689714931558457E-2</v>
      </c>
      <c r="S414" s="126"/>
      <c r="T414" s="148"/>
      <c r="V414" s="126"/>
      <c r="Y414" s="157"/>
      <c r="Z414" s="157"/>
    </row>
    <row r="415" spans="1:26" s="125" customFormat="1" ht="15.75" thickBot="1" x14ac:dyDescent="0.3">
      <c r="A415" s="461"/>
      <c r="B415" s="963" t="s">
        <v>644</v>
      </c>
      <c r="C415" s="964">
        <f>SUM(C413:C414)</f>
        <v>505.20120000000003</v>
      </c>
      <c r="D415" s="964">
        <f t="shared" ref="D415:K415" si="20">SUM(D413:D414)</f>
        <v>646.17420000000004</v>
      </c>
      <c r="E415" s="964">
        <f t="shared" si="20"/>
        <v>856.19520000000011</v>
      </c>
      <c r="F415" s="964">
        <f t="shared" si="20"/>
        <v>1001.7714000000001</v>
      </c>
      <c r="G415" s="964">
        <f t="shared" si="20"/>
        <v>1010.4024000000001</v>
      </c>
      <c r="H415" s="964">
        <f t="shared" si="20"/>
        <v>1618.6002000000001</v>
      </c>
      <c r="I415" s="964">
        <f t="shared" si="20"/>
        <v>1627.8066000000001</v>
      </c>
      <c r="J415" s="964">
        <f t="shared" si="20"/>
        <v>1842.4308000000001</v>
      </c>
      <c r="K415" s="964">
        <f t="shared" si="20"/>
        <v>1773.9582</v>
      </c>
      <c r="L415" s="964">
        <f>SUM(L413:L414)</f>
        <v>1237.1100000000001</v>
      </c>
      <c r="M415" s="964">
        <f>SUM(M413:M414)</f>
        <v>1017.8826000000001</v>
      </c>
      <c r="N415" s="964">
        <f>SUM(N413:N414)</f>
        <v>982.20780000000002</v>
      </c>
      <c r="O415" s="964">
        <f>SUM(O413:O414)</f>
        <v>14119.740600000001</v>
      </c>
      <c r="P415" s="1403">
        <f>O415/$P$383</f>
        <v>0.16119713447421599</v>
      </c>
      <c r="S415" s="126"/>
      <c r="T415" s="148"/>
      <c r="V415" s="126"/>
      <c r="Y415" s="157"/>
      <c r="Z415" s="157"/>
    </row>
    <row r="416" spans="1:26" s="125" customFormat="1" ht="15.75" thickTop="1" x14ac:dyDescent="0.25">
      <c r="A416" s="461"/>
      <c r="B416"/>
      <c r="C416"/>
      <c r="D416"/>
      <c r="E416"/>
      <c r="F416"/>
      <c r="G416"/>
      <c r="H416"/>
      <c r="I416"/>
      <c r="J416"/>
      <c r="K416"/>
      <c r="L416"/>
      <c r="M416"/>
      <c r="N416"/>
      <c r="O416" s="477"/>
      <c r="P416" s="1403"/>
      <c r="S416" s="126"/>
      <c r="T416" s="148"/>
      <c r="V416" s="126"/>
      <c r="Y416" s="157"/>
      <c r="Z416" s="157"/>
    </row>
    <row r="417" spans="1:26" s="125" customFormat="1" x14ac:dyDescent="0.25">
      <c r="A417" s="461"/>
      <c r="B417" t="s">
        <v>1037</v>
      </c>
      <c r="C417" s="106">
        <v>147700</v>
      </c>
      <c r="D417" s="106">
        <v>141500</v>
      </c>
      <c r="E417" s="106">
        <v>131000</v>
      </c>
      <c r="F417" s="106">
        <v>67100</v>
      </c>
      <c r="G417" s="106">
        <v>31250</v>
      </c>
      <c r="H417" s="106">
        <v>18300</v>
      </c>
      <c r="I417" s="106">
        <v>9750</v>
      </c>
      <c r="J417" s="106">
        <v>10120</v>
      </c>
      <c r="K417" s="106">
        <v>26800</v>
      </c>
      <c r="L417" s="106">
        <v>50000</v>
      </c>
      <c r="M417" s="106">
        <v>94225</v>
      </c>
      <c r="N417" s="106">
        <v>120500</v>
      </c>
      <c r="O417" s="480">
        <f>SUM(C417:N417)</f>
        <v>848245</v>
      </c>
      <c r="P417" s="1403">
        <f>O417/$P$383</f>
        <v>9.6839359309533872</v>
      </c>
      <c r="S417" s="126"/>
      <c r="T417" s="148"/>
      <c r="V417" s="126"/>
      <c r="Y417" s="157"/>
      <c r="Z417" s="157"/>
    </row>
    <row r="418" spans="1:26" s="125" customFormat="1" x14ac:dyDescent="0.25">
      <c r="A418" s="461"/>
      <c r="B418" t="s">
        <v>646</v>
      </c>
      <c r="C418" s="962">
        <f>C417*0.02831</f>
        <v>4181.3869999999997</v>
      </c>
      <c r="D418" s="962">
        <f t="shared" ref="D418:N418" si="21">D417*0.02831</f>
        <v>4005.8649999999998</v>
      </c>
      <c r="E418" s="962">
        <f t="shared" si="21"/>
        <v>3708.6099999999997</v>
      </c>
      <c r="F418" s="962">
        <f t="shared" si="21"/>
        <v>1899.6009999999999</v>
      </c>
      <c r="G418" s="962">
        <f t="shared" si="21"/>
        <v>884.6875</v>
      </c>
      <c r="H418" s="962">
        <f t="shared" si="21"/>
        <v>518.07299999999998</v>
      </c>
      <c r="I418" s="962">
        <f t="shared" si="21"/>
        <v>276.02249999999998</v>
      </c>
      <c r="J418" s="962">
        <f t="shared" si="21"/>
        <v>286.49719999999996</v>
      </c>
      <c r="K418" s="962">
        <f t="shared" si="21"/>
        <v>758.70799999999997</v>
      </c>
      <c r="L418" s="962">
        <f t="shared" si="21"/>
        <v>1415.5</v>
      </c>
      <c r="M418" s="962">
        <f t="shared" si="21"/>
        <v>2667.5097499999997</v>
      </c>
      <c r="N418" s="962">
        <f t="shared" si="21"/>
        <v>3411.355</v>
      </c>
      <c r="O418" s="483">
        <f>SUM(C418:N418)</f>
        <v>24013.81595</v>
      </c>
      <c r="P418" s="1403">
        <f>O418/$P$383</f>
        <v>0.27415222620529039</v>
      </c>
      <c r="S418" s="126"/>
      <c r="T418" s="148"/>
      <c r="V418" s="126"/>
      <c r="Y418" s="157"/>
      <c r="Z418" s="157"/>
    </row>
    <row r="419" spans="1:26" s="125" customFormat="1" x14ac:dyDescent="0.25">
      <c r="A419" s="461"/>
      <c r="B419" s="2261" t="s">
        <v>1038</v>
      </c>
      <c r="C419" s="2261"/>
      <c r="D419" s="2261"/>
      <c r="E419" s="2261"/>
      <c r="F419" s="2261"/>
      <c r="G419" s="2261"/>
      <c r="H419" s="2261"/>
      <c r="I419" s="2261"/>
      <c r="J419" s="2261"/>
      <c r="K419" s="2261"/>
      <c r="L419" s="2261"/>
      <c r="M419" s="2261"/>
      <c r="N419" s="2261"/>
      <c r="O419" s="2261"/>
      <c r="P419" s="2261"/>
      <c r="S419" s="126"/>
      <c r="T419" s="148"/>
      <c r="V419" s="126"/>
      <c r="Y419" s="157"/>
      <c r="Z419" s="157"/>
    </row>
    <row r="420" spans="1:26" s="125" customFormat="1" x14ac:dyDescent="0.25">
      <c r="A420" s="461"/>
      <c r="B420"/>
      <c r="C420"/>
      <c r="D420"/>
      <c r="E420"/>
      <c r="F420"/>
      <c r="G420"/>
      <c r="H420"/>
      <c r="I420"/>
      <c r="J420"/>
      <c r="K420"/>
      <c r="L420"/>
      <c r="M420"/>
      <c r="N420"/>
      <c r="O420" s="477"/>
      <c r="P420"/>
      <c r="S420" s="126"/>
      <c r="T420" s="148"/>
      <c r="V420" s="126"/>
      <c r="Y420" s="157"/>
      <c r="Z420" s="157"/>
    </row>
    <row r="421" spans="1:26" s="125" customFormat="1" ht="15.75" x14ac:dyDescent="0.25">
      <c r="A421" s="461"/>
      <c r="B421" s="472" t="s">
        <v>337</v>
      </c>
      <c r="C421" s="473">
        <v>42186</v>
      </c>
      <c r="D421" s="473">
        <v>42217</v>
      </c>
      <c r="E421" s="473">
        <v>42248</v>
      </c>
      <c r="F421" s="473">
        <v>42278</v>
      </c>
      <c r="G421" s="473">
        <v>42309</v>
      </c>
      <c r="H421" s="473">
        <v>42339</v>
      </c>
      <c r="I421" s="473">
        <v>42370</v>
      </c>
      <c r="J421" s="473">
        <v>42401</v>
      </c>
      <c r="K421" s="473">
        <v>42430</v>
      </c>
      <c r="L421" s="473">
        <v>42461</v>
      </c>
      <c r="M421" s="473">
        <v>42491</v>
      </c>
      <c r="N421" s="473">
        <v>42522</v>
      </c>
      <c r="O421" s="474" t="s">
        <v>338</v>
      </c>
      <c r="P421"/>
      <c r="S421" s="126"/>
      <c r="T421" s="148"/>
      <c r="V421" s="126"/>
      <c r="Y421" s="157"/>
      <c r="Z421" s="157"/>
    </row>
    <row r="422" spans="1:26" s="125" customFormat="1" x14ac:dyDescent="0.25">
      <c r="A422" s="461"/>
      <c r="B422"/>
      <c r="C422"/>
      <c r="D422"/>
      <c r="E422"/>
      <c r="F422"/>
      <c r="G422"/>
      <c r="H422"/>
      <c r="I422"/>
      <c r="J422"/>
      <c r="K422"/>
      <c r="L422"/>
      <c r="M422"/>
      <c r="N422"/>
      <c r="O422" s="477"/>
      <c r="P422"/>
      <c r="S422" s="126"/>
      <c r="T422" s="148"/>
      <c r="V422" s="126"/>
      <c r="Y422" s="157"/>
      <c r="Z422" s="157"/>
    </row>
    <row r="423" spans="1:26" s="125" customFormat="1" x14ac:dyDescent="0.25">
      <c r="A423" s="461"/>
      <c r="B423" t="s">
        <v>409</v>
      </c>
      <c r="C423" s="106">
        <v>161839</v>
      </c>
      <c r="D423" s="106">
        <v>131675</v>
      </c>
      <c r="E423" s="106">
        <v>169020</v>
      </c>
      <c r="F423" s="106">
        <v>131395</v>
      </c>
      <c r="G423" s="106">
        <v>123099</v>
      </c>
      <c r="H423" s="106">
        <v>115651</v>
      </c>
      <c r="I423" s="106">
        <v>90881</v>
      </c>
      <c r="J423" s="106">
        <v>101201</v>
      </c>
      <c r="K423" s="479">
        <v>89476</v>
      </c>
      <c r="L423" s="479">
        <v>129462</v>
      </c>
      <c r="M423" s="479">
        <v>103558</v>
      </c>
      <c r="N423" s="479">
        <v>113370</v>
      </c>
      <c r="O423" s="480">
        <f>SUM(C423:N423)</f>
        <v>1460627</v>
      </c>
      <c r="P423" s="1403">
        <f>O423/$P$383</f>
        <v>16.675156690603131</v>
      </c>
      <c r="S423" s="126"/>
      <c r="T423" s="148"/>
      <c r="V423" s="126"/>
      <c r="Y423" s="157"/>
      <c r="Z423" s="157"/>
    </row>
    <row r="424" spans="1:26" s="125" customFormat="1" x14ac:dyDescent="0.25">
      <c r="A424" s="461"/>
      <c r="B424" t="s">
        <v>640</v>
      </c>
      <c r="C424" s="482">
        <f>C423*0.08076</f>
        <v>13070.11764</v>
      </c>
      <c r="D424" s="482">
        <f t="shared" ref="D424:N424" si="22">D423*0.08076</f>
        <v>10634.073</v>
      </c>
      <c r="E424" s="482">
        <f t="shared" si="22"/>
        <v>13650.055199999999</v>
      </c>
      <c r="F424" s="482">
        <f t="shared" si="22"/>
        <v>10611.4602</v>
      </c>
      <c r="G424" s="482">
        <f t="shared" si="22"/>
        <v>9941.4752399999998</v>
      </c>
      <c r="H424" s="482">
        <f t="shared" si="22"/>
        <v>9339.9747599999992</v>
      </c>
      <c r="I424" s="482">
        <f t="shared" si="22"/>
        <v>7339.5495599999995</v>
      </c>
      <c r="J424" s="482">
        <f t="shared" si="22"/>
        <v>8172.9927600000001</v>
      </c>
      <c r="K424" s="482">
        <f t="shared" si="22"/>
        <v>7226.08176</v>
      </c>
      <c r="L424" s="482">
        <f t="shared" si="22"/>
        <v>10455.351119999999</v>
      </c>
      <c r="M424" s="482">
        <f t="shared" si="22"/>
        <v>8363.3440799999989</v>
      </c>
      <c r="N424" s="482">
        <f t="shared" si="22"/>
        <v>9155.761199999999</v>
      </c>
      <c r="O424" s="483">
        <f>SUM(C424:N424)</f>
        <v>117960.23651999998</v>
      </c>
      <c r="P424" s="1403">
        <f>O424/$P$383</f>
        <v>1.3466856543331085</v>
      </c>
      <c r="S424" s="126"/>
      <c r="T424" s="148"/>
      <c r="V424" s="126"/>
      <c r="Y424" s="157"/>
      <c r="Z424" s="157"/>
    </row>
    <row r="425" spans="1:26" s="125" customFormat="1" x14ac:dyDescent="0.25">
      <c r="A425" s="461"/>
      <c r="B425"/>
      <c r="C425"/>
      <c r="D425"/>
      <c r="E425"/>
      <c r="F425"/>
      <c r="G425"/>
      <c r="H425"/>
      <c r="I425"/>
      <c r="J425"/>
      <c r="K425"/>
      <c r="L425"/>
      <c r="M425"/>
      <c r="N425"/>
      <c r="O425" s="477"/>
      <c r="P425" s="1403"/>
      <c r="S425" s="126"/>
      <c r="T425" s="148"/>
      <c r="V425" s="126"/>
      <c r="Y425" s="157"/>
      <c r="Z425" s="157"/>
    </row>
    <row r="426" spans="1:26" s="125" customFormat="1" x14ac:dyDescent="0.25">
      <c r="A426" s="461"/>
      <c r="B426" t="s">
        <v>641</v>
      </c>
      <c r="C426" s="106">
        <v>1765</v>
      </c>
      <c r="D426" s="106">
        <v>1268</v>
      </c>
      <c r="E426" s="106">
        <v>1379</v>
      </c>
      <c r="F426" s="106">
        <v>1519</v>
      </c>
      <c r="G426" s="106">
        <v>1787</v>
      </c>
      <c r="H426" s="106">
        <v>2640</v>
      </c>
      <c r="I426" s="106">
        <v>2405</v>
      </c>
      <c r="J426" s="106">
        <v>3310</v>
      </c>
      <c r="K426" s="106">
        <v>2511</v>
      </c>
      <c r="L426" s="106">
        <v>2617</v>
      </c>
      <c r="M426" s="106">
        <v>1485</v>
      </c>
      <c r="N426" s="106">
        <v>1321</v>
      </c>
      <c r="O426" s="480">
        <f>SUM(C426:N426)</f>
        <v>24007</v>
      </c>
      <c r="P426" s="1403">
        <f>O426/$P$383</f>
        <v>0.27407441233888552</v>
      </c>
      <c r="S426" s="126"/>
      <c r="T426" s="148"/>
      <c r="V426" s="126"/>
      <c r="Y426" s="157"/>
      <c r="Z426" s="157"/>
    </row>
    <row r="427" spans="1:26" s="125" customFormat="1" x14ac:dyDescent="0.25">
      <c r="A427" s="461"/>
      <c r="B427" t="s">
        <v>642</v>
      </c>
      <c r="C427" s="485">
        <f>C426*0.4016</f>
        <v>708.82400000000007</v>
      </c>
      <c r="D427" s="485">
        <f t="shared" ref="D427:N427" si="23">D426*0.4016</f>
        <v>509.22880000000004</v>
      </c>
      <c r="E427" s="485">
        <f t="shared" si="23"/>
        <v>553.80640000000005</v>
      </c>
      <c r="F427" s="485">
        <f t="shared" si="23"/>
        <v>610.03039999999999</v>
      </c>
      <c r="G427" s="485">
        <f t="shared" si="23"/>
        <v>717.65920000000006</v>
      </c>
      <c r="H427" s="485">
        <f t="shared" si="23"/>
        <v>1060.2239999999999</v>
      </c>
      <c r="I427" s="485">
        <f t="shared" si="23"/>
        <v>965.84800000000007</v>
      </c>
      <c r="J427" s="485">
        <f t="shared" si="23"/>
        <v>1329.296</v>
      </c>
      <c r="K427" s="485">
        <f t="shared" si="23"/>
        <v>1008.4176</v>
      </c>
      <c r="L427" s="485">
        <f t="shared" si="23"/>
        <v>1050.9872</v>
      </c>
      <c r="M427" s="485">
        <f t="shared" si="23"/>
        <v>596.37599999999998</v>
      </c>
      <c r="N427" s="485">
        <f t="shared" si="23"/>
        <v>530.5136</v>
      </c>
      <c r="O427" s="483">
        <f>SUM(C427:N427)</f>
        <v>9641.2112000000016</v>
      </c>
      <c r="P427" s="1403">
        <f>O427/$P$383</f>
        <v>0.11006828399529645</v>
      </c>
      <c r="S427" s="126"/>
      <c r="T427" s="148"/>
      <c r="V427" s="126"/>
      <c r="Y427" s="157"/>
      <c r="Z427" s="157"/>
    </row>
    <row r="428" spans="1:26" s="125" customFormat="1" x14ac:dyDescent="0.25">
      <c r="A428" s="461"/>
      <c r="B428" t="s">
        <v>643</v>
      </c>
      <c r="C428" s="485">
        <f>C426*0.1738</f>
        <v>306.75700000000001</v>
      </c>
      <c r="D428" s="485">
        <f t="shared" ref="D428:K428" si="24">D426*0.1738</f>
        <v>220.3784</v>
      </c>
      <c r="E428" s="485">
        <f t="shared" si="24"/>
        <v>239.67020000000002</v>
      </c>
      <c r="F428" s="485">
        <f t="shared" si="24"/>
        <v>264.00220000000002</v>
      </c>
      <c r="G428" s="485">
        <f t="shared" si="24"/>
        <v>310.5806</v>
      </c>
      <c r="H428" s="485">
        <f t="shared" si="24"/>
        <v>458.83200000000005</v>
      </c>
      <c r="I428" s="485">
        <f t="shared" si="24"/>
        <v>417.98900000000003</v>
      </c>
      <c r="J428" s="485">
        <f t="shared" si="24"/>
        <v>575.27800000000002</v>
      </c>
      <c r="K428" s="485">
        <f t="shared" si="24"/>
        <v>436.41180000000003</v>
      </c>
      <c r="L428" s="485">
        <f>L426*0.1738</f>
        <v>454.83460000000002</v>
      </c>
      <c r="M428" s="485">
        <f>M426*0.1738</f>
        <v>258.09300000000002</v>
      </c>
      <c r="N428" s="485">
        <f>N426*0.1738</f>
        <v>229.58980000000003</v>
      </c>
      <c r="O428" s="483">
        <f>SUM(C428:N428)</f>
        <v>4172.4165999999996</v>
      </c>
      <c r="P428" s="1403">
        <f>O428/$P$383</f>
        <v>4.7634132864498302E-2</v>
      </c>
      <c r="S428" s="126"/>
      <c r="T428" s="148"/>
      <c r="V428" s="126"/>
      <c r="Y428" s="157"/>
      <c r="Z428" s="157"/>
    </row>
    <row r="429" spans="1:26" s="125" customFormat="1" ht="15.75" thickBot="1" x14ac:dyDescent="0.3">
      <c r="A429" s="461"/>
      <c r="B429" s="963" t="s">
        <v>644</v>
      </c>
      <c r="C429" s="964">
        <f>SUM(C427:C428)</f>
        <v>1015.5810000000001</v>
      </c>
      <c r="D429" s="964">
        <f t="shared" ref="D429:K429" si="25">SUM(D427:D428)</f>
        <v>729.60720000000003</v>
      </c>
      <c r="E429" s="964">
        <f t="shared" si="25"/>
        <v>793.47660000000008</v>
      </c>
      <c r="F429" s="964">
        <f t="shared" si="25"/>
        <v>874.0326</v>
      </c>
      <c r="G429" s="964">
        <f t="shared" si="25"/>
        <v>1028.2398000000001</v>
      </c>
      <c r="H429" s="964">
        <f t="shared" si="25"/>
        <v>1519.056</v>
      </c>
      <c r="I429" s="964">
        <f t="shared" si="25"/>
        <v>1383.837</v>
      </c>
      <c r="J429" s="964">
        <f t="shared" si="25"/>
        <v>1904.5740000000001</v>
      </c>
      <c r="K429" s="964">
        <f t="shared" si="25"/>
        <v>1444.8294000000001</v>
      </c>
      <c r="L429" s="964">
        <f>SUM(L427:L428)</f>
        <v>1505.8218000000002</v>
      </c>
      <c r="M429" s="964">
        <f>SUM(M427:M428)</f>
        <v>854.46900000000005</v>
      </c>
      <c r="N429" s="964">
        <f>SUM(N427:N428)</f>
        <v>760.10339999999997</v>
      </c>
      <c r="O429" s="964">
        <f>SUM(O427:O428)</f>
        <v>13813.627800000002</v>
      </c>
      <c r="P429" s="1403">
        <f>O429/$P$383</f>
        <v>0.15770241685979475</v>
      </c>
      <c r="S429" s="126"/>
      <c r="T429" s="148"/>
      <c r="V429" s="126"/>
      <c r="Y429" s="157"/>
      <c r="Z429" s="157"/>
    </row>
    <row r="430" spans="1:26" s="125" customFormat="1" ht="15.75" thickTop="1" x14ac:dyDescent="0.25">
      <c r="A430" s="461"/>
      <c r="B430"/>
      <c r="C430"/>
      <c r="D430"/>
      <c r="E430"/>
      <c r="F430"/>
      <c r="G430"/>
      <c r="H430"/>
      <c r="I430"/>
      <c r="J430"/>
      <c r="K430"/>
      <c r="L430"/>
      <c r="M430"/>
      <c r="N430"/>
      <c r="O430" s="477"/>
      <c r="P430" s="1403"/>
      <c r="S430" s="126"/>
      <c r="T430" s="148"/>
      <c r="V430" s="126"/>
      <c r="Y430" s="157"/>
      <c r="Z430" s="157"/>
    </row>
    <row r="431" spans="1:26" s="125" customFormat="1" x14ac:dyDescent="0.25">
      <c r="A431" s="461"/>
      <c r="B431" t="s">
        <v>1037</v>
      </c>
      <c r="C431" s="106"/>
      <c r="D431" s="106"/>
      <c r="E431" s="106"/>
      <c r="F431" s="106"/>
      <c r="G431" s="106"/>
      <c r="H431" s="106"/>
      <c r="I431" s="106"/>
      <c r="J431" s="106"/>
      <c r="K431" s="106"/>
      <c r="L431" s="106"/>
      <c r="M431" s="106"/>
      <c r="N431" s="106"/>
      <c r="O431" s="480">
        <f>SUM(C431:N431)</f>
        <v>0</v>
      </c>
      <c r="P431" s="1403">
        <f>O431/$P$383</f>
        <v>0</v>
      </c>
      <c r="S431" s="126"/>
      <c r="T431" s="148"/>
      <c r="V431" s="126"/>
      <c r="Y431" s="157"/>
      <c r="Z431" s="157"/>
    </row>
    <row r="432" spans="1:26" s="125" customFormat="1" x14ac:dyDescent="0.25">
      <c r="A432" s="461"/>
      <c r="B432" t="s">
        <v>646</v>
      </c>
      <c r="C432" s="962">
        <f>C431*0.02831</f>
        <v>0</v>
      </c>
      <c r="D432" s="962">
        <f t="shared" ref="D432:N432" si="26">D431*0.02831</f>
        <v>0</v>
      </c>
      <c r="E432" s="962">
        <f t="shared" si="26"/>
        <v>0</v>
      </c>
      <c r="F432" s="962">
        <f t="shared" si="26"/>
        <v>0</v>
      </c>
      <c r="G432" s="962">
        <f t="shared" si="26"/>
        <v>0</v>
      </c>
      <c r="H432" s="962">
        <f t="shared" si="26"/>
        <v>0</v>
      </c>
      <c r="I432" s="962">
        <f t="shared" si="26"/>
        <v>0</v>
      </c>
      <c r="J432" s="962">
        <f t="shared" si="26"/>
        <v>0</v>
      </c>
      <c r="K432" s="962">
        <f t="shared" si="26"/>
        <v>0</v>
      </c>
      <c r="L432" s="962">
        <f t="shared" si="26"/>
        <v>0</v>
      </c>
      <c r="M432" s="962">
        <f t="shared" si="26"/>
        <v>0</v>
      </c>
      <c r="N432" s="962">
        <f t="shared" si="26"/>
        <v>0</v>
      </c>
      <c r="O432" s="483">
        <f>SUM(C432:N432)</f>
        <v>0</v>
      </c>
      <c r="P432" s="1403">
        <f>O432/$P$383</f>
        <v>0</v>
      </c>
      <c r="S432" s="126"/>
      <c r="T432" s="148"/>
      <c r="V432" s="126"/>
      <c r="Y432" s="157"/>
      <c r="Z432" s="157"/>
    </row>
    <row r="433" spans="1:26" s="125" customFormat="1" x14ac:dyDescent="0.25">
      <c r="A433" s="461"/>
      <c r="B433" s="2261" t="s">
        <v>1038</v>
      </c>
      <c r="C433" s="2261"/>
      <c r="D433" s="2261"/>
      <c r="E433" s="2261"/>
      <c r="F433" s="2261"/>
      <c r="G433" s="2261"/>
      <c r="H433" s="2261"/>
      <c r="I433" s="2261"/>
      <c r="J433" s="2261"/>
      <c r="K433" s="2261"/>
      <c r="L433" s="2261"/>
      <c r="M433" s="2261"/>
      <c r="N433" s="2261"/>
      <c r="O433" s="2261"/>
      <c r="P433" s="2261"/>
      <c r="S433" s="126"/>
      <c r="T433" s="148"/>
      <c r="V433" s="126"/>
      <c r="Y433" s="157"/>
      <c r="Z433" s="157"/>
    </row>
    <row r="435" spans="1:26" s="128" customFormat="1" x14ac:dyDescent="0.25">
      <c r="A435" s="459">
        <v>23</v>
      </c>
      <c r="B435" s="127" t="s">
        <v>566</v>
      </c>
      <c r="C435" s="173"/>
      <c r="S435" s="129"/>
      <c r="T435" s="127" t="s">
        <v>566</v>
      </c>
      <c r="V435" s="129"/>
      <c r="Y435" s="166"/>
      <c r="Z435" s="166"/>
    </row>
    <row r="437" spans="1:26" s="125" customFormat="1" x14ac:dyDescent="0.25">
      <c r="A437" s="461">
        <v>24</v>
      </c>
      <c r="B437" s="207" t="s">
        <v>405</v>
      </c>
      <c r="C437" s="152"/>
      <c r="E437" s="1345"/>
      <c r="S437" s="126"/>
      <c r="T437" s="207" t="s">
        <v>405</v>
      </c>
      <c r="V437" s="126"/>
      <c r="Y437" s="157"/>
      <c r="Z437" s="157"/>
    </row>
    <row r="438" spans="1:26" s="125" customFormat="1" x14ac:dyDescent="0.25">
      <c r="A438" s="461"/>
      <c r="B438" s="462"/>
      <c r="C438" s="666" t="s">
        <v>1431</v>
      </c>
      <c r="D438" s="497"/>
      <c r="E438"/>
      <c r="F438"/>
      <c r="G438"/>
      <c r="H438"/>
      <c r="I438"/>
      <c r="J438"/>
      <c r="K438"/>
      <c r="L438"/>
      <c r="M438"/>
      <c r="N438"/>
      <c r="O438"/>
      <c r="P438"/>
      <c r="Q438"/>
      <c r="R438"/>
      <c r="S438"/>
      <c r="T438"/>
      <c r="V438" s="126"/>
      <c r="Y438" s="157"/>
      <c r="Z438" s="157"/>
    </row>
    <row r="439" spans="1:26" s="125" customFormat="1" x14ac:dyDescent="0.25">
      <c r="A439" s="461"/>
      <c r="B439" s="462"/>
      <c r="C439" s="666"/>
      <c r="D439" s="497">
        <v>1</v>
      </c>
      <c r="E439" s="497">
        <v>2</v>
      </c>
      <c r="F439" s="497">
        <v>3</v>
      </c>
      <c r="G439" s="497">
        <v>4</v>
      </c>
      <c r="H439" s="497">
        <v>5</v>
      </c>
      <c r="I439" s="497">
        <v>6</v>
      </c>
      <c r="J439" s="497">
        <v>7</v>
      </c>
      <c r="K439" s="497">
        <v>8</v>
      </c>
      <c r="L439" s="497">
        <v>9</v>
      </c>
      <c r="M439" s="497">
        <v>10</v>
      </c>
      <c r="N439" s="497">
        <v>11</v>
      </c>
      <c r="O439" s="497">
        <v>12</v>
      </c>
      <c r="P439"/>
      <c r="Q439"/>
      <c r="R439"/>
      <c r="S439"/>
      <c r="T439"/>
      <c r="V439" s="126"/>
      <c r="Y439" s="157"/>
      <c r="Z439" s="157"/>
    </row>
    <row r="440" spans="1:26" s="125" customFormat="1" x14ac:dyDescent="0.25">
      <c r="A440" s="461"/>
      <c r="B440" s="461"/>
      <c r="C440" s="130" t="s">
        <v>337</v>
      </c>
      <c r="D440" s="186" t="s">
        <v>1318</v>
      </c>
      <c r="E440" s="131">
        <v>42186</v>
      </c>
      <c r="F440" s="131">
        <v>42217</v>
      </c>
      <c r="G440" s="131">
        <v>42248</v>
      </c>
      <c r="H440" s="131">
        <v>42278</v>
      </c>
      <c r="I440" s="131">
        <v>42309</v>
      </c>
      <c r="J440" s="131">
        <v>42339</v>
      </c>
      <c r="K440" s="131">
        <v>42370</v>
      </c>
      <c r="L440" s="131">
        <v>42401</v>
      </c>
      <c r="M440" s="131">
        <v>42430</v>
      </c>
      <c r="N440" s="131">
        <v>42461</v>
      </c>
      <c r="O440" s="131">
        <v>42491</v>
      </c>
      <c r="P440" s="131">
        <v>42522</v>
      </c>
      <c r="Q440" s="131">
        <v>42552</v>
      </c>
      <c r="R440" s="151">
        <v>42583</v>
      </c>
      <c r="S440" s="131">
        <v>42627</v>
      </c>
      <c r="T440" s="166" t="s">
        <v>1432</v>
      </c>
      <c r="V440" s="126"/>
      <c r="Y440" s="157"/>
      <c r="Z440" s="157"/>
    </row>
    <row r="441" spans="1:26" s="125" customFormat="1" x14ac:dyDescent="0.25">
      <c r="A441" s="461"/>
      <c r="B441" s="152" t="s">
        <v>1433</v>
      </c>
      <c r="C441" s="135" t="s">
        <v>319</v>
      </c>
      <c r="D441" s="1092"/>
      <c r="E441" s="153"/>
      <c r="F441" s="153"/>
      <c r="G441" s="136"/>
      <c r="H441" s="136"/>
      <c r="I441" s="136"/>
      <c r="J441" s="136"/>
      <c r="K441" s="136"/>
      <c r="L441" s="136"/>
      <c r="M441" s="136"/>
      <c r="N441" s="136"/>
      <c r="O441" s="136"/>
      <c r="P441" s="136"/>
      <c r="Q441" s="136"/>
      <c r="R441" s="136"/>
      <c r="S441" s="153"/>
      <c r="T441" s="157"/>
      <c r="V441" s="126"/>
      <c r="Y441" s="157"/>
      <c r="Z441" s="157"/>
    </row>
    <row r="442" spans="1:26" s="125" customFormat="1" x14ac:dyDescent="0.25">
      <c r="A442" s="461"/>
      <c r="B442" s="152"/>
      <c r="C442" s="135" t="s">
        <v>343</v>
      </c>
      <c r="D442" s="1092"/>
      <c r="E442" s="153"/>
      <c r="F442" s="153"/>
      <c r="G442" s="137"/>
      <c r="H442" s="137"/>
      <c r="I442" s="137"/>
      <c r="J442" s="136"/>
      <c r="K442" s="136"/>
      <c r="L442" s="136"/>
      <c r="M442" s="136"/>
      <c r="N442" s="136"/>
      <c r="O442" s="136"/>
      <c r="P442" s="136"/>
      <c r="Q442" s="136"/>
      <c r="R442" s="136"/>
      <c r="S442" s="153"/>
      <c r="T442" s="157"/>
      <c r="V442" s="126"/>
      <c r="Y442" s="157"/>
      <c r="Z442" s="157"/>
    </row>
    <row r="443" spans="1:26" s="125" customFormat="1" x14ac:dyDescent="0.25">
      <c r="A443" s="461"/>
      <c r="B443" s="152"/>
      <c r="C443" s="153" t="s">
        <v>362</v>
      </c>
      <c r="D443" s="1092"/>
      <c r="E443" s="153"/>
      <c r="F443" s="153"/>
      <c r="G443" s="141"/>
      <c r="H443" s="141"/>
      <c r="I443" s="141"/>
      <c r="J443" s="141"/>
      <c r="K443" s="141"/>
      <c r="L443" s="141"/>
      <c r="M443" s="141"/>
      <c r="N443" s="141"/>
      <c r="O443" s="141"/>
      <c r="P443" s="141"/>
      <c r="Q443" s="141"/>
      <c r="R443" s="141"/>
      <c r="S443" s="153"/>
      <c r="T443" s="157"/>
      <c r="V443" s="126"/>
      <c r="Y443" s="157"/>
      <c r="Z443" s="157"/>
    </row>
    <row r="444" spans="1:26" s="125" customFormat="1" x14ac:dyDescent="0.25">
      <c r="A444" s="461"/>
      <c r="B444" s="152" t="s">
        <v>1434</v>
      </c>
      <c r="C444" s="153" t="s">
        <v>641</v>
      </c>
      <c r="D444" s="1092"/>
      <c r="E444" s="153"/>
      <c r="F444" s="153"/>
      <c r="G444" s="141"/>
      <c r="H444" s="141"/>
      <c r="I444" s="141"/>
      <c r="J444" s="141"/>
      <c r="K444" s="141"/>
      <c r="L444" s="141"/>
      <c r="M444" s="141"/>
      <c r="N444" s="141"/>
      <c r="O444" s="141"/>
      <c r="P444" s="141"/>
      <c r="Q444" s="141"/>
      <c r="R444" s="141"/>
      <c r="S444" s="153"/>
      <c r="T444" s="157"/>
      <c r="V444" s="126"/>
      <c r="Y444" s="157"/>
      <c r="Z444" s="157"/>
    </row>
    <row r="445" spans="1:26" s="125" customFormat="1" x14ac:dyDescent="0.25">
      <c r="A445" s="461"/>
      <c r="B445" s="152" t="s">
        <v>1435</v>
      </c>
      <c r="C445" s="135" t="s">
        <v>864</v>
      </c>
      <c r="D445" s="1092">
        <v>137</v>
      </c>
      <c r="E445" s="153">
        <v>189</v>
      </c>
      <c r="F445" s="153">
        <v>479</v>
      </c>
      <c r="G445" s="760">
        <v>583</v>
      </c>
      <c r="H445" s="760">
        <v>578</v>
      </c>
      <c r="I445" s="760">
        <v>545</v>
      </c>
      <c r="J445" s="760">
        <v>145</v>
      </c>
      <c r="K445" s="760">
        <v>693</v>
      </c>
      <c r="L445" s="750">
        <v>669</v>
      </c>
      <c r="M445" s="750">
        <v>868</v>
      </c>
      <c r="N445" s="750">
        <v>665</v>
      </c>
      <c r="O445" s="750">
        <v>98</v>
      </c>
      <c r="P445" s="750"/>
      <c r="Q445" s="750"/>
      <c r="R445" s="728"/>
      <c r="S445" s="153"/>
      <c r="T445" s="1686">
        <f>SUM(D445:S445)</f>
        <v>5649</v>
      </c>
      <c r="V445" s="126"/>
      <c r="Y445" s="157"/>
      <c r="Z445" s="157"/>
    </row>
    <row r="446" spans="1:26" s="125" customFormat="1" x14ac:dyDescent="0.25">
      <c r="A446" s="461"/>
      <c r="B446" s="461"/>
      <c r="C446" s="135" t="s">
        <v>324</v>
      </c>
      <c r="D446" s="1092"/>
      <c r="E446" s="153"/>
      <c r="F446" s="153"/>
      <c r="G446" s="731"/>
      <c r="H446" s="731"/>
      <c r="I446" s="731"/>
      <c r="J446" s="731"/>
      <c r="K446" s="731"/>
      <c r="L446" s="731"/>
      <c r="M446" s="731"/>
      <c r="N446" s="731"/>
      <c r="O446" s="731"/>
      <c r="P446" s="731"/>
      <c r="Q446" s="731"/>
      <c r="R446" s="731"/>
      <c r="S446" s="153"/>
      <c r="T446" s="1686"/>
      <c r="V446" s="126"/>
      <c r="Y446" s="157"/>
      <c r="Z446" s="157"/>
    </row>
    <row r="447" spans="1:26" s="125" customFormat="1" x14ac:dyDescent="0.25">
      <c r="A447" s="461"/>
      <c r="B447" s="461"/>
      <c r="C447" s="144" t="s">
        <v>348</v>
      </c>
      <c r="D447" s="1092"/>
      <c r="E447" s="153"/>
      <c r="F447" s="153"/>
      <c r="G447" s="736"/>
      <c r="H447" s="736"/>
      <c r="I447" s="736"/>
      <c r="J447" s="736"/>
      <c r="K447" s="731"/>
      <c r="L447" s="731"/>
      <c r="M447" s="731"/>
      <c r="N447" s="731"/>
      <c r="O447" s="731"/>
      <c r="P447" s="731"/>
      <c r="Q447" s="731"/>
      <c r="R447" s="731"/>
      <c r="S447" s="153"/>
      <c r="T447" s="1686"/>
      <c r="V447" s="126"/>
      <c r="Y447" s="157"/>
      <c r="Z447" s="157"/>
    </row>
    <row r="448" spans="1:26" s="125" customFormat="1" x14ac:dyDescent="0.25">
      <c r="A448" s="461"/>
      <c r="B448" s="461"/>
      <c r="C448" s="195" t="s">
        <v>328</v>
      </c>
      <c r="D448" s="1687">
        <f>1027.21+741.76</f>
        <v>1768.97</v>
      </c>
      <c r="E448" s="1688">
        <f>964.32+1193.85</f>
        <v>2158.17</v>
      </c>
      <c r="F448" s="1688">
        <f>2156.65+2205.52</f>
        <v>4362.17</v>
      </c>
      <c r="G448" s="1688">
        <f>2501.93+2650.64</f>
        <v>5152.57</v>
      </c>
      <c r="H448" s="1688">
        <f>2633.52+2488.65</f>
        <v>5122.17</v>
      </c>
      <c r="I448" s="1688">
        <f>2488+2375.77</f>
        <v>4863.7700000000004</v>
      </c>
      <c r="J448" s="1688">
        <f>1047.77+776</f>
        <v>1823.77</v>
      </c>
      <c r="K448" s="1688">
        <f>3121.44+2867.13</f>
        <v>5988.57</v>
      </c>
      <c r="L448" s="1688">
        <f>3018.72+2787.45</f>
        <v>5806.17</v>
      </c>
      <c r="M448" s="1688">
        <f>3870.44+3448.13</f>
        <v>7318.57</v>
      </c>
      <c r="N448" s="1688">
        <f>3001.6+2774.17</f>
        <v>5775.77</v>
      </c>
      <c r="O448" s="1688">
        <v>1466.57</v>
      </c>
      <c r="P448" s="1688"/>
      <c r="Q448" s="1688"/>
      <c r="R448" s="731"/>
      <c r="S448" s="153"/>
      <c r="T448" s="1689">
        <f>SUM(D448:S448)</f>
        <v>51607.24</v>
      </c>
      <c r="V448" s="126"/>
      <c r="Y448" s="157"/>
      <c r="Z448" s="157"/>
    </row>
    <row r="449" spans="1:26" s="125" customFormat="1" x14ac:dyDescent="0.25">
      <c r="A449" s="461"/>
      <c r="B449" s="461"/>
      <c r="C449" s="144" t="s">
        <v>883</v>
      </c>
      <c r="D449" s="604"/>
      <c r="E449" s="145"/>
      <c r="F449" s="145"/>
      <c r="G449" s="145"/>
      <c r="H449" s="145"/>
      <c r="I449" s="145"/>
      <c r="J449" s="145"/>
      <c r="K449" s="145"/>
      <c r="L449" s="145"/>
      <c r="M449" s="145"/>
      <c r="N449" s="145"/>
      <c r="O449" s="145"/>
      <c r="P449" s="145"/>
      <c r="Q449" s="145"/>
      <c r="R449" s="145"/>
      <c r="S449" s="145"/>
      <c r="T449" s="444"/>
      <c r="V449" s="126"/>
      <c r="Y449" s="157"/>
      <c r="Z449" s="157"/>
    </row>
    <row r="450" spans="1:26" s="125" customFormat="1" ht="15.75" x14ac:dyDescent="0.25">
      <c r="A450" s="461"/>
      <c r="B450" s="1668" t="s">
        <v>1436</v>
      </c>
      <c r="C450" s="180"/>
      <c r="D450" s="607"/>
      <c r="E450" s="179"/>
      <c r="F450" s="179"/>
      <c r="G450" s="179"/>
      <c r="H450" s="179"/>
      <c r="I450" s="179"/>
      <c r="J450" s="179"/>
      <c r="K450" s="179"/>
      <c r="L450" s="179"/>
      <c r="M450" s="179"/>
      <c r="N450" s="179"/>
      <c r="O450" s="179"/>
      <c r="P450" s="179"/>
      <c r="Q450" s="179"/>
      <c r="R450" s="179"/>
      <c r="S450" s="179"/>
      <c r="T450" s="444"/>
      <c r="V450" s="126"/>
      <c r="Y450" s="157"/>
      <c r="Z450" s="157"/>
    </row>
    <row r="451" spans="1:26" s="125" customFormat="1" x14ac:dyDescent="0.25">
      <c r="A451" s="461"/>
      <c r="B451" s="207"/>
      <c r="C451" s="152"/>
      <c r="E451" s="1345"/>
      <c r="S451" s="126"/>
      <c r="T451" s="207"/>
      <c r="V451" s="126"/>
      <c r="Y451" s="157"/>
      <c r="Z451" s="157"/>
    </row>
    <row r="452" spans="1:26" s="125" customFormat="1" x14ac:dyDescent="0.25">
      <c r="A452" s="461">
        <v>25</v>
      </c>
      <c r="B452" s="148" t="s">
        <v>633</v>
      </c>
      <c r="C452" s="152"/>
      <c r="S452" s="126"/>
      <c r="T452" s="148" t="s">
        <v>633</v>
      </c>
      <c r="V452" s="126"/>
      <c r="Y452" s="157"/>
      <c r="Z452" s="157"/>
    </row>
    <row r="453" spans="1:26" s="125" customFormat="1" ht="20.25" x14ac:dyDescent="0.3">
      <c r="A453" s="462"/>
      <c r="B453" s="1243" t="s">
        <v>1189</v>
      </c>
      <c r="C453" s="497"/>
      <c r="D453"/>
      <c r="E453"/>
      <c r="F453"/>
      <c r="G453"/>
      <c r="H453"/>
      <c r="I453"/>
      <c r="J453"/>
      <c r="K453"/>
      <c r="L453"/>
      <c r="M453"/>
      <c r="N453"/>
      <c r="O453"/>
      <c r="P453"/>
      <c r="Q453"/>
      <c r="R453"/>
      <c r="S453" s="126"/>
      <c r="T453" s="148"/>
      <c r="V453" s="126"/>
      <c r="Y453" s="157"/>
      <c r="Z453" s="157"/>
    </row>
    <row r="454" spans="1:26" s="125" customFormat="1" x14ac:dyDescent="0.25">
      <c r="A454" s="461"/>
      <c r="B454" s="130" t="s">
        <v>337</v>
      </c>
      <c r="C454" s="186" t="s">
        <v>1318</v>
      </c>
      <c r="D454" s="131">
        <v>42200</v>
      </c>
      <c r="E454" s="131">
        <v>42231</v>
      </c>
      <c r="F454" s="131">
        <v>42262</v>
      </c>
      <c r="G454" s="131">
        <v>42292</v>
      </c>
      <c r="H454" s="131">
        <v>42323</v>
      </c>
      <c r="I454" s="131">
        <v>42353</v>
      </c>
      <c r="J454" s="131">
        <v>42385</v>
      </c>
      <c r="K454" s="131">
        <v>42416</v>
      </c>
      <c r="L454" s="131">
        <v>42445</v>
      </c>
      <c r="M454" s="131">
        <v>42476</v>
      </c>
      <c r="N454" s="131">
        <v>42506</v>
      </c>
      <c r="O454" s="131">
        <v>42537</v>
      </c>
      <c r="P454" s="131">
        <v>42567</v>
      </c>
      <c r="Q454" s="151">
        <v>42598</v>
      </c>
      <c r="R454" s="131">
        <v>42627</v>
      </c>
      <c r="S454" s="126"/>
      <c r="T454" s="148"/>
      <c r="V454" s="126"/>
      <c r="Y454" s="157"/>
      <c r="Z454" s="157"/>
    </row>
    <row r="455" spans="1:26" s="125" customFormat="1" x14ac:dyDescent="0.25">
      <c r="A455" s="461"/>
      <c r="B455" s="135" t="s">
        <v>319</v>
      </c>
      <c r="C455" s="136">
        <v>42143</v>
      </c>
      <c r="D455" s="136">
        <v>40760</v>
      </c>
      <c r="E455" s="136">
        <v>51843</v>
      </c>
      <c r="F455" s="136">
        <v>57560</v>
      </c>
      <c r="G455" s="136">
        <v>58807</v>
      </c>
      <c r="H455" s="136">
        <v>54797</v>
      </c>
      <c r="I455" s="136">
        <v>49241</v>
      </c>
      <c r="J455" s="136">
        <v>50985</v>
      </c>
      <c r="K455" s="136">
        <v>51811</v>
      </c>
      <c r="L455" s="136">
        <v>53229.2</v>
      </c>
      <c r="M455" s="136">
        <v>56043.7</v>
      </c>
      <c r="N455" s="136">
        <v>51204.800000000003</v>
      </c>
      <c r="O455" s="136">
        <v>43161.1</v>
      </c>
      <c r="P455" s="136"/>
      <c r="Q455" s="136"/>
      <c r="R455" s="157"/>
      <c r="S455" s="126"/>
      <c r="T455" s="148"/>
      <c r="V455" s="126"/>
      <c r="Y455" s="157"/>
      <c r="Z455" s="157"/>
    </row>
    <row r="456" spans="1:26" s="125" customFormat="1" x14ac:dyDescent="0.25">
      <c r="A456" s="461"/>
      <c r="B456" s="135" t="s">
        <v>343</v>
      </c>
      <c r="C456" s="137"/>
      <c r="D456" s="137">
        <v>0</v>
      </c>
      <c r="E456" s="137">
        <v>0</v>
      </c>
      <c r="F456" s="137">
        <v>0</v>
      </c>
      <c r="G456" s="137">
        <v>0</v>
      </c>
      <c r="H456" s="137">
        <v>0</v>
      </c>
      <c r="I456" s="136">
        <v>0</v>
      </c>
      <c r="J456" s="136">
        <v>0</v>
      </c>
      <c r="K456" s="136">
        <v>0</v>
      </c>
      <c r="L456" s="136">
        <v>0</v>
      </c>
      <c r="M456" s="136">
        <v>0</v>
      </c>
      <c r="N456" s="136">
        <v>0</v>
      </c>
      <c r="O456" s="136">
        <v>0</v>
      </c>
      <c r="P456" s="136">
        <v>0</v>
      </c>
      <c r="Q456" s="136"/>
      <c r="R456" s="157"/>
      <c r="S456" s="126"/>
      <c r="T456" s="148"/>
      <c r="V456" s="126"/>
      <c r="Y456" s="157"/>
      <c r="Z456" s="157"/>
    </row>
    <row r="457" spans="1:26" s="125" customFormat="1" x14ac:dyDescent="0.25">
      <c r="A457" s="461"/>
      <c r="B457" s="153" t="s">
        <v>362</v>
      </c>
      <c r="C457" s="141"/>
      <c r="D457" s="141">
        <v>0</v>
      </c>
      <c r="E457" s="141">
        <v>0</v>
      </c>
      <c r="F457" s="141">
        <v>0</v>
      </c>
      <c r="G457" s="141">
        <v>0</v>
      </c>
      <c r="H457" s="141">
        <v>0</v>
      </c>
      <c r="I457" s="141">
        <v>0</v>
      </c>
      <c r="J457" s="141">
        <v>0</v>
      </c>
      <c r="K457" s="141">
        <v>0</v>
      </c>
      <c r="L457" s="141">
        <v>0</v>
      </c>
      <c r="M457" s="141">
        <v>0</v>
      </c>
      <c r="N457" s="141">
        <v>0</v>
      </c>
      <c r="O457" s="141">
        <v>0</v>
      </c>
      <c r="P457" s="141">
        <v>0</v>
      </c>
      <c r="Q457" s="141"/>
      <c r="R457" s="157"/>
      <c r="S457" s="126"/>
      <c r="T457" s="148"/>
      <c r="V457" s="126"/>
      <c r="Y457" s="157"/>
      <c r="Z457" s="157"/>
    </row>
    <row r="458" spans="1:26" s="125" customFormat="1" x14ac:dyDescent="0.25">
      <c r="A458" s="461"/>
      <c r="B458" s="153" t="s">
        <v>641</v>
      </c>
      <c r="C458" s="141"/>
      <c r="D458" s="141">
        <v>0</v>
      </c>
      <c r="E458" s="141">
        <v>0</v>
      </c>
      <c r="F458" s="141">
        <v>0</v>
      </c>
      <c r="G458" s="141">
        <v>0</v>
      </c>
      <c r="H458" s="141">
        <v>0</v>
      </c>
      <c r="I458" s="141">
        <v>0</v>
      </c>
      <c r="J458" s="141">
        <v>0</v>
      </c>
      <c r="K458" s="141">
        <v>0</v>
      </c>
      <c r="L458" s="141">
        <v>0</v>
      </c>
      <c r="M458" s="141">
        <v>0</v>
      </c>
      <c r="N458" s="141">
        <v>0</v>
      </c>
      <c r="O458" s="141">
        <v>0</v>
      </c>
      <c r="P458" s="141">
        <v>0</v>
      </c>
      <c r="Q458" s="141"/>
      <c r="R458" s="157"/>
      <c r="S458" s="126"/>
      <c r="T458" s="148"/>
      <c r="V458" s="126"/>
      <c r="Y458" s="157"/>
      <c r="Z458" s="157"/>
    </row>
    <row r="459" spans="1:26" s="125" customFormat="1" x14ac:dyDescent="0.25">
      <c r="A459" s="461"/>
      <c r="B459" s="135" t="s">
        <v>864</v>
      </c>
      <c r="C459" s="760">
        <v>87009</v>
      </c>
      <c r="D459" s="760">
        <v>9563</v>
      </c>
      <c r="E459" s="760">
        <v>176523</v>
      </c>
      <c r="F459" s="760">
        <v>176523</v>
      </c>
      <c r="G459" s="760">
        <v>219217</v>
      </c>
      <c r="H459" s="760">
        <v>114451</v>
      </c>
      <c r="I459" s="760">
        <v>114451</v>
      </c>
      <c r="J459" s="760">
        <v>114451</v>
      </c>
      <c r="K459" s="750">
        <v>200352</v>
      </c>
      <c r="L459" s="750">
        <v>110648</v>
      </c>
      <c r="M459" s="750">
        <v>266982</v>
      </c>
      <c r="N459" s="750">
        <v>251199</v>
      </c>
      <c r="O459" s="750">
        <v>251089</v>
      </c>
      <c r="P459" s="750"/>
      <c r="Q459" s="728"/>
      <c r="R459" s="157"/>
      <c r="S459" s="126"/>
      <c r="T459" s="148"/>
      <c r="V459" s="126"/>
      <c r="Y459" s="157"/>
      <c r="Z459" s="157"/>
    </row>
    <row r="460" spans="1:26" s="125" customFormat="1" x14ac:dyDescent="0.25">
      <c r="A460" s="461"/>
      <c r="B460" s="135" t="s">
        <v>324</v>
      </c>
      <c r="C460" s="731">
        <v>4513.5200000000004</v>
      </c>
      <c r="D460" s="731">
        <v>3713.22</v>
      </c>
      <c r="E460" s="731">
        <v>4608.8100000000004</v>
      </c>
      <c r="F460" s="731">
        <v>5289.79</v>
      </c>
      <c r="G460" s="731">
        <v>5345.56</v>
      </c>
      <c r="H460" s="731">
        <v>5030.38</v>
      </c>
      <c r="I460" s="731">
        <v>4554.79</v>
      </c>
      <c r="J460" s="731">
        <v>4797.6499999999996</v>
      </c>
      <c r="K460" s="731">
        <v>4787.3</v>
      </c>
      <c r="L460" s="731">
        <v>4897.09</v>
      </c>
      <c r="M460" s="731">
        <v>5195.25</v>
      </c>
      <c r="N460" s="731">
        <v>4741.5600000000004</v>
      </c>
      <c r="O460" s="731">
        <v>4009.67</v>
      </c>
      <c r="P460" s="731"/>
      <c r="Q460" s="731"/>
      <c r="R460" s="157"/>
      <c r="S460" s="126"/>
      <c r="T460" s="148"/>
      <c r="V460" s="126"/>
      <c r="Y460" s="157"/>
      <c r="Z460" s="157"/>
    </row>
    <row r="461" spans="1:26" s="125" customFormat="1" x14ac:dyDescent="0.25">
      <c r="A461" s="461"/>
      <c r="B461" s="144" t="s">
        <v>348</v>
      </c>
      <c r="C461" s="736"/>
      <c r="D461" s="736">
        <v>0</v>
      </c>
      <c r="E461" s="736">
        <v>0</v>
      </c>
      <c r="F461" s="736">
        <v>0</v>
      </c>
      <c r="G461" s="736">
        <v>0</v>
      </c>
      <c r="H461" s="736">
        <v>0</v>
      </c>
      <c r="I461" s="736">
        <v>0</v>
      </c>
      <c r="J461" s="731">
        <v>0</v>
      </c>
      <c r="K461" s="731">
        <v>0</v>
      </c>
      <c r="L461" s="731">
        <v>0</v>
      </c>
      <c r="M461" s="731">
        <v>0</v>
      </c>
      <c r="N461" s="731">
        <v>0</v>
      </c>
      <c r="O461" s="731">
        <v>0</v>
      </c>
      <c r="P461" s="731">
        <v>0</v>
      </c>
      <c r="Q461" s="731"/>
      <c r="R461" s="157"/>
      <c r="S461" s="126"/>
      <c r="T461" s="148"/>
      <c r="V461" s="126"/>
      <c r="Y461" s="157"/>
      <c r="Z461" s="157"/>
    </row>
    <row r="462" spans="1:26" s="125" customFormat="1" x14ac:dyDescent="0.25">
      <c r="A462" s="461"/>
      <c r="B462" s="195" t="s">
        <v>1087</v>
      </c>
      <c r="C462" s="731"/>
      <c r="D462" s="731">
        <v>0</v>
      </c>
      <c r="E462" s="731">
        <v>0</v>
      </c>
      <c r="F462" s="731">
        <v>0</v>
      </c>
      <c r="G462" s="731">
        <v>0</v>
      </c>
      <c r="H462" s="731">
        <v>0</v>
      </c>
      <c r="I462" s="731">
        <v>0</v>
      </c>
      <c r="J462" s="731">
        <v>0</v>
      </c>
      <c r="K462" s="731">
        <v>0</v>
      </c>
      <c r="L462" s="731">
        <v>0</v>
      </c>
      <c r="M462" s="731">
        <v>0</v>
      </c>
      <c r="N462" s="731">
        <v>0</v>
      </c>
      <c r="O462" s="731">
        <v>0</v>
      </c>
      <c r="P462" s="731">
        <v>0</v>
      </c>
      <c r="Q462" s="731"/>
      <c r="R462" s="157"/>
      <c r="S462" s="126"/>
      <c r="T462" s="148"/>
      <c r="V462" s="126"/>
      <c r="Y462" s="157"/>
      <c r="Z462" s="157"/>
    </row>
    <row r="463" spans="1:26" s="125" customFormat="1" x14ac:dyDescent="0.25">
      <c r="A463" s="461"/>
      <c r="B463" s="144" t="s">
        <v>883</v>
      </c>
      <c r="C463" s="145"/>
      <c r="D463" s="145">
        <v>0</v>
      </c>
      <c r="E463" s="145">
        <v>0</v>
      </c>
      <c r="F463" s="145">
        <v>0</v>
      </c>
      <c r="G463" s="145">
        <v>0</v>
      </c>
      <c r="H463" s="145">
        <v>0</v>
      </c>
      <c r="I463" s="145">
        <v>0</v>
      </c>
      <c r="J463" s="145">
        <v>0</v>
      </c>
      <c r="K463" s="145">
        <v>0</v>
      </c>
      <c r="L463" s="145">
        <v>0</v>
      </c>
      <c r="M463" s="145">
        <v>0</v>
      </c>
      <c r="N463" s="145">
        <v>0</v>
      </c>
      <c r="O463" s="145">
        <v>0</v>
      </c>
      <c r="P463" s="145">
        <v>0</v>
      </c>
      <c r="Q463" s="145"/>
      <c r="R463" s="179"/>
      <c r="S463" s="126"/>
      <c r="T463" s="148"/>
      <c r="V463" s="126"/>
      <c r="Y463" s="157"/>
      <c r="Z463" s="157"/>
    </row>
    <row r="464" spans="1:26" s="125" customFormat="1" x14ac:dyDescent="0.25">
      <c r="A464" s="461"/>
      <c r="B464" s="148"/>
      <c r="C464" s="152"/>
      <c r="S464" s="126"/>
      <c r="T464" s="148"/>
      <c r="V464" s="126"/>
      <c r="Y464" s="157"/>
      <c r="Z464" s="157"/>
    </row>
    <row r="465" spans="1:26" s="128" customFormat="1" x14ac:dyDescent="0.25">
      <c r="A465" s="459">
        <v>26</v>
      </c>
      <c r="B465" s="172" t="s">
        <v>1218</v>
      </c>
      <c r="C465" s="173"/>
      <c r="E465" s="166"/>
      <c r="F465" s="166"/>
      <c r="G465" s="166"/>
      <c r="H465" s="166"/>
      <c r="I465" s="166"/>
      <c r="J465" s="166"/>
      <c r="K465" s="166"/>
      <c r="L465" s="166"/>
      <c r="M465" s="166"/>
      <c r="N465" s="166"/>
      <c r="O465" s="166"/>
      <c r="P465" s="166"/>
      <c r="S465" s="129"/>
      <c r="T465" s="172" t="s">
        <v>567</v>
      </c>
      <c r="V465" s="129"/>
      <c r="Y465" s="166"/>
      <c r="Z465" s="166"/>
    </row>
    <row r="466" spans="1:26" s="125" customFormat="1" x14ac:dyDescent="0.25">
      <c r="A466" s="461"/>
      <c r="B466" s="205"/>
      <c r="C466" s="152"/>
      <c r="E466" s="201"/>
      <c r="F466" s="206"/>
      <c r="G466" s="202"/>
      <c r="H466" s="203"/>
      <c r="I466" s="203"/>
      <c r="J466" s="203"/>
      <c r="K466" s="203"/>
      <c r="L466" s="203"/>
      <c r="M466" s="203"/>
      <c r="N466" s="203"/>
      <c r="O466" s="203"/>
      <c r="P466" s="203"/>
      <c r="U466" s="126"/>
      <c r="W466" s="447"/>
      <c r="X466" s="126"/>
      <c r="Y466" s="157"/>
      <c r="Z466" s="157"/>
    </row>
    <row r="467" spans="1:26" s="125" customFormat="1" x14ac:dyDescent="0.25">
      <c r="A467" s="461">
        <v>27</v>
      </c>
      <c r="B467" s="207" t="s">
        <v>568</v>
      </c>
      <c r="C467" s="152"/>
      <c r="E467" s="1345"/>
      <c r="S467" s="126"/>
      <c r="T467" s="207" t="s">
        <v>568</v>
      </c>
      <c r="V467" s="126"/>
      <c r="Y467" s="157"/>
      <c r="Z467" s="157"/>
    </row>
    <row r="468" spans="1:26" s="125" customFormat="1" x14ac:dyDescent="0.25">
      <c r="A468" s="461"/>
      <c r="B468"/>
      <c r="C468" s="666" t="s">
        <v>1437</v>
      </c>
      <c r="D468" s="497"/>
      <c r="E468"/>
      <c r="F468"/>
      <c r="G468"/>
      <c r="H468"/>
      <c r="I468"/>
      <c r="J468"/>
      <c r="K468"/>
      <c r="L468"/>
      <c r="M468"/>
      <c r="N468"/>
      <c r="O468"/>
      <c r="P468"/>
      <c r="Q468"/>
      <c r="R468"/>
      <c r="S468"/>
      <c r="T468"/>
      <c r="V468" s="126"/>
      <c r="Y468" s="157"/>
      <c r="Z468" s="157"/>
    </row>
    <row r="469" spans="1:26" s="125" customFormat="1" x14ac:dyDescent="0.25">
      <c r="A469" s="461"/>
      <c r="B469"/>
      <c r="C469" s="666"/>
      <c r="D469" s="497">
        <v>1</v>
      </c>
      <c r="E469" s="497">
        <v>2</v>
      </c>
      <c r="F469" s="497">
        <v>3</v>
      </c>
      <c r="G469" s="497">
        <v>4</v>
      </c>
      <c r="H469" s="497">
        <v>5</v>
      </c>
      <c r="I469" s="497">
        <v>6</v>
      </c>
      <c r="J469" s="497">
        <v>7</v>
      </c>
      <c r="K469" s="497">
        <v>8</v>
      </c>
      <c r="L469" s="497">
        <v>9</v>
      </c>
      <c r="M469" s="497">
        <v>10</v>
      </c>
      <c r="N469" s="497">
        <v>11</v>
      </c>
      <c r="O469" s="497">
        <v>12</v>
      </c>
      <c r="P469"/>
      <c r="Q469"/>
      <c r="R469"/>
      <c r="S469"/>
      <c r="T469"/>
      <c r="V469" s="126"/>
      <c r="Y469" s="157"/>
      <c r="Z469" s="157"/>
    </row>
    <row r="470" spans="1:26" s="125" customFormat="1" x14ac:dyDescent="0.25">
      <c r="A470" s="461"/>
      <c r="B470"/>
      <c r="C470" s="130" t="s">
        <v>337</v>
      </c>
      <c r="D470" s="186" t="s">
        <v>1318</v>
      </c>
      <c r="E470" s="131">
        <v>42186</v>
      </c>
      <c r="F470" s="131">
        <v>42217</v>
      </c>
      <c r="G470" s="131">
        <v>42248</v>
      </c>
      <c r="H470" s="131">
        <v>42278</v>
      </c>
      <c r="I470" s="131">
        <v>42309</v>
      </c>
      <c r="J470" s="131">
        <v>42339</v>
      </c>
      <c r="K470" s="131">
        <v>42370</v>
      </c>
      <c r="L470" s="131">
        <v>42401</v>
      </c>
      <c r="M470" s="131">
        <v>42430</v>
      </c>
      <c r="N470" s="131">
        <v>42461</v>
      </c>
      <c r="O470" s="131">
        <v>42491</v>
      </c>
      <c r="P470" s="131">
        <v>42522</v>
      </c>
      <c r="Q470" s="131">
        <v>42552</v>
      </c>
      <c r="R470" s="151">
        <v>42583</v>
      </c>
      <c r="S470" s="131">
        <v>42627</v>
      </c>
      <c r="T470" s="166" t="s">
        <v>1432</v>
      </c>
      <c r="V470" s="126"/>
      <c r="Y470" s="157"/>
      <c r="Z470" s="157"/>
    </row>
    <row r="471" spans="1:26" s="125" customFormat="1" x14ac:dyDescent="0.25">
      <c r="A471" s="461"/>
      <c r="B471" t="s">
        <v>1433</v>
      </c>
      <c r="C471" s="135" t="s">
        <v>319</v>
      </c>
      <c r="D471" s="1092"/>
      <c r="E471" s="153"/>
      <c r="F471" s="153"/>
      <c r="G471" s="136"/>
      <c r="H471" s="136"/>
      <c r="I471" s="136"/>
      <c r="J471" s="136"/>
      <c r="K471" s="136"/>
      <c r="L471" s="136"/>
      <c r="M471" s="136"/>
      <c r="N471" s="136"/>
      <c r="O471" s="136"/>
      <c r="P471" s="136"/>
      <c r="Q471" s="136"/>
      <c r="R471" s="136"/>
      <c r="S471" s="153"/>
      <c r="T471"/>
      <c r="V471" s="126"/>
      <c r="Y471" s="157"/>
      <c r="Z471" s="157"/>
    </row>
    <row r="472" spans="1:26" s="125" customFormat="1" x14ac:dyDescent="0.25">
      <c r="A472" s="461"/>
      <c r="B472"/>
      <c r="C472" s="135" t="s">
        <v>343</v>
      </c>
      <c r="D472" s="1092"/>
      <c r="E472" s="153"/>
      <c r="F472" s="153"/>
      <c r="G472" s="137"/>
      <c r="H472" s="137"/>
      <c r="I472" s="137"/>
      <c r="J472" s="136"/>
      <c r="K472" s="136"/>
      <c r="L472" s="136"/>
      <c r="M472" s="136"/>
      <c r="N472" s="136"/>
      <c r="O472" s="136"/>
      <c r="P472" s="136"/>
      <c r="Q472" s="136"/>
      <c r="R472" s="136"/>
      <c r="S472" s="153"/>
      <c r="T472"/>
      <c r="V472" s="126"/>
      <c r="Y472" s="157"/>
      <c r="Z472" s="157"/>
    </row>
    <row r="473" spans="1:26" s="125" customFormat="1" x14ac:dyDescent="0.25">
      <c r="A473" s="461"/>
      <c r="B473"/>
      <c r="C473" s="153" t="s">
        <v>362</v>
      </c>
      <c r="D473" s="1092"/>
      <c r="E473" s="153"/>
      <c r="F473" s="153"/>
      <c r="G473" s="141"/>
      <c r="H473" s="141"/>
      <c r="I473" s="141"/>
      <c r="J473" s="141"/>
      <c r="K473" s="141"/>
      <c r="L473" s="141"/>
      <c r="M473" s="141"/>
      <c r="N473" s="141"/>
      <c r="O473" s="141"/>
      <c r="P473" s="141"/>
      <c r="Q473" s="141"/>
      <c r="R473" s="141"/>
      <c r="S473" s="153"/>
      <c r="T473"/>
      <c r="V473" s="126"/>
      <c r="Y473" s="157"/>
      <c r="Z473" s="157"/>
    </row>
    <row r="474" spans="1:26" s="125" customFormat="1" x14ac:dyDescent="0.25">
      <c r="A474" s="461"/>
      <c r="B474" t="s">
        <v>1434</v>
      </c>
      <c r="C474" s="153" t="s">
        <v>641</v>
      </c>
      <c r="D474" s="1323">
        <f>821+29</f>
        <v>850</v>
      </c>
      <c r="E474" s="153">
        <f>181+24</f>
        <v>205</v>
      </c>
      <c r="F474" s="153">
        <f>40+197</f>
        <v>237</v>
      </c>
      <c r="G474" s="141">
        <f>1094+29</f>
        <v>1123</v>
      </c>
      <c r="H474" s="141">
        <f>24+1552</f>
        <v>1576</v>
      </c>
      <c r="I474" s="141">
        <f>2977+24</f>
        <v>3001</v>
      </c>
      <c r="J474" s="141">
        <f>30+4688</f>
        <v>4718</v>
      </c>
      <c r="K474" s="141">
        <f>5671+26</f>
        <v>5697</v>
      </c>
      <c r="L474" s="141">
        <f>6346+27</f>
        <v>6373</v>
      </c>
      <c r="M474" s="141">
        <f>31+4230</f>
        <v>4261</v>
      </c>
      <c r="N474" s="141">
        <f>3253+22</f>
        <v>3275</v>
      </c>
      <c r="O474" s="141">
        <f>23+1828</f>
        <v>1851</v>
      </c>
      <c r="P474" s="141"/>
      <c r="Q474" s="141"/>
      <c r="R474" s="141"/>
      <c r="S474" s="153"/>
      <c r="T474" s="1686">
        <f>SUM(D474:S474)</f>
        <v>33167</v>
      </c>
      <c r="V474" s="126"/>
      <c r="Y474" s="157"/>
      <c r="Z474" s="157"/>
    </row>
    <row r="475" spans="1:26" s="125" customFormat="1" x14ac:dyDescent="0.25">
      <c r="A475" s="461"/>
      <c r="B475" t="s">
        <v>1435</v>
      </c>
      <c r="C475" s="135" t="s">
        <v>864</v>
      </c>
      <c r="D475" s="1092"/>
      <c r="E475" s="153">
        <f>350+48</f>
        <v>398</v>
      </c>
      <c r="F475" s="153"/>
      <c r="G475" s="760">
        <f>168+43</f>
        <v>211</v>
      </c>
      <c r="H475" s="760"/>
      <c r="I475" s="760">
        <f>169+53</f>
        <v>222</v>
      </c>
      <c r="J475" s="760"/>
      <c r="K475" s="760">
        <f>80+28</f>
        <v>108</v>
      </c>
      <c r="L475" s="750"/>
      <c r="M475" s="750">
        <f>113+44</f>
        <v>157</v>
      </c>
      <c r="N475" s="750"/>
      <c r="O475" s="750">
        <f>187+35</f>
        <v>222</v>
      </c>
      <c r="P475" s="750"/>
      <c r="Q475" s="750"/>
      <c r="R475" s="728"/>
      <c r="S475" s="153"/>
      <c r="T475" s="1686">
        <f>SUM(D475:S475)</f>
        <v>1318</v>
      </c>
      <c r="V475" s="126"/>
      <c r="Y475" s="157"/>
      <c r="Z475" s="157"/>
    </row>
    <row r="476" spans="1:26" s="125" customFormat="1" x14ac:dyDescent="0.25">
      <c r="A476" s="461"/>
      <c r="B476"/>
      <c r="C476" s="135" t="s">
        <v>324</v>
      </c>
      <c r="D476" s="1092"/>
      <c r="E476" s="153"/>
      <c r="F476" s="153"/>
      <c r="G476" s="731"/>
      <c r="H476" s="731"/>
      <c r="I476" s="731"/>
      <c r="J476" s="731"/>
      <c r="K476" s="731"/>
      <c r="L476" s="731"/>
      <c r="M476" s="731"/>
      <c r="N476" s="731"/>
      <c r="O476" s="731"/>
      <c r="P476" s="731"/>
      <c r="Q476" s="731"/>
      <c r="R476" s="731"/>
      <c r="S476" s="153"/>
      <c r="T476"/>
      <c r="V476" s="126"/>
      <c r="Y476" s="157"/>
      <c r="Z476" s="157"/>
    </row>
    <row r="477" spans="1:26" s="125" customFormat="1" x14ac:dyDescent="0.25">
      <c r="A477" s="461"/>
      <c r="B477"/>
      <c r="C477" s="144" t="s">
        <v>348</v>
      </c>
      <c r="D477" s="1092"/>
      <c r="E477" s="153"/>
      <c r="F477" s="153"/>
      <c r="G477" s="736"/>
      <c r="H477" s="736"/>
      <c r="I477" s="736"/>
      <c r="J477" s="736"/>
      <c r="K477" s="731"/>
      <c r="L477" s="731"/>
      <c r="M477" s="731"/>
      <c r="N477" s="731"/>
      <c r="O477" s="731"/>
      <c r="P477" s="731"/>
      <c r="Q477" s="731"/>
      <c r="R477" s="731"/>
      <c r="S477" s="153"/>
      <c r="T477"/>
      <c r="V477" s="126"/>
      <c r="Y477" s="157"/>
      <c r="Z477" s="157"/>
    </row>
    <row r="478" spans="1:26" s="125" customFormat="1" x14ac:dyDescent="0.25">
      <c r="A478" s="461"/>
      <c r="B478"/>
      <c r="C478" s="195" t="s">
        <v>328</v>
      </c>
      <c r="D478" s="1687">
        <f>21.48+69.64+1261.17</f>
        <v>1352.29</v>
      </c>
      <c r="E478" s="1688">
        <f>71.33+1486.16+416.97+274.44+241.84+80.36</f>
        <v>2571.1000000000004</v>
      </c>
      <c r="F478" s="1688">
        <v>71.33</v>
      </c>
      <c r="G478" s="760">
        <f>881.92+416.97+257.84+220.44+80.36+71.33</f>
        <v>1928.8599999999997</v>
      </c>
      <c r="H478" s="1688"/>
      <c r="I478" s="1688">
        <f>614.89+885.24+416.97+291.04+263.24+80.36</f>
        <v>2551.7400000000002</v>
      </c>
      <c r="J478" s="1688">
        <f>71.33+71.33</f>
        <v>142.66</v>
      </c>
      <c r="K478" s="1688">
        <f>589.76+416.97+208.04+156.24+80.36</f>
        <v>1451.37</v>
      </c>
      <c r="L478" s="1688">
        <v>142.66</v>
      </c>
      <c r="M478" s="1688">
        <f>71.33+699.32+416.97+261.16+224.72+80.36</f>
        <v>1753.8600000000001</v>
      </c>
      <c r="N478" s="1688">
        <v>195.45</v>
      </c>
      <c r="O478" s="750">
        <f>80.36+186.2+231.28+416.97+945</f>
        <v>1859.81</v>
      </c>
      <c r="P478" s="1688"/>
      <c r="Q478" s="1688"/>
      <c r="R478" s="731"/>
      <c r="S478" s="153"/>
      <c r="T478" s="1686">
        <f>SUM(D478:S478)</f>
        <v>14021.13</v>
      </c>
      <c r="V478" s="126"/>
      <c r="Y478" s="157"/>
      <c r="Z478" s="157"/>
    </row>
    <row r="479" spans="1:26" s="125" customFormat="1" x14ac:dyDescent="0.25">
      <c r="A479" s="461"/>
      <c r="B479"/>
      <c r="C479" s="144" t="s">
        <v>883</v>
      </c>
      <c r="D479" s="604">
        <f>38.24+585.15</f>
        <v>623.39</v>
      </c>
      <c r="E479" s="1690">
        <f>34.62+146.65</f>
        <v>181.27</v>
      </c>
      <c r="F479" s="1690">
        <f>157.96+46.02</f>
        <v>203.98000000000002</v>
      </c>
      <c r="G479" s="1690">
        <f>38.18+761.66</f>
        <v>799.83999999999992</v>
      </c>
      <c r="H479" s="1690">
        <f>1059.8+34.59</f>
        <v>1094.3899999999999</v>
      </c>
      <c r="I479" s="1690">
        <f>1885.01+33.76</f>
        <v>1918.77</v>
      </c>
      <c r="J479" s="1690">
        <f>37.34+2864.98</f>
        <v>2902.32</v>
      </c>
      <c r="K479" s="1690">
        <f>3235.97+33.83</f>
        <v>3269.7999999999997</v>
      </c>
      <c r="L479" s="1690">
        <f>34.02+3487.94</f>
        <v>3521.96</v>
      </c>
      <c r="M479" s="1688">
        <f>36.47+2380.23</f>
        <v>2416.6999999999998</v>
      </c>
      <c r="N479" s="1690">
        <f>1903.88+31.38</f>
        <v>1935.2600000000002</v>
      </c>
      <c r="O479" s="1690">
        <f>32.2+1105.79</f>
        <v>1137.99</v>
      </c>
      <c r="P479" s="557"/>
      <c r="Q479" s="557"/>
      <c r="R479" s="557"/>
      <c r="S479" s="145"/>
      <c r="T479" s="1686">
        <f>SUM(D479:S479)</f>
        <v>20005.670000000002</v>
      </c>
      <c r="V479" s="126"/>
      <c r="Y479" s="157"/>
      <c r="Z479" s="157"/>
    </row>
    <row r="480" spans="1:26" s="125" customFormat="1" ht="15.75" x14ac:dyDescent="0.25">
      <c r="A480" s="461"/>
      <c r="B480" s="1668" t="s">
        <v>1436</v>
      </c>
      <c r="C480" s="152"/>
      <c r="E480" s="1345"/>
      <c r="S480" s="126"/>
      <c r="T480" s="207"/>
      <c r="V480" s="126"/>
      <c r="Y480" s="157"/>
      <c r="Z480" s="157"/>
    </row>
    <row r="481" spans="1:26" s="125" customFormat="1" x14ac:dyDescent="0.25">
      <c r="A481" s="461"/>
      <c r="B481" s="207"/>
      <c r="C481" s="152"/>
      <c r="E481" s="1345"/>
      <c r="S481" s="126"/>
      <c r="T481" s="207"/>
      <c r="V481" s="126"/>
      <c r="Y481" s="157"/>
      <c r="Z481" s="157"/>
    </row>
    <row r="482" spans="1:26" s="125" customFormat="1" x14ac:dyDescent="0.25">
      <c r="A482" s="461">
        <v>28</v>
      </c>
      <c r="B482" s="148" t="s">
        <v>569</v>
      </c>
      <c r="C482" s="152"/>
      <c r="E482" s="157"/>
      <c r="F482" s="157"/>
      <c r="G482" s="157"/>
      <c r="H482" s="157"/>
      <c r="I482" s="157"/>
      <c r="J482" s="157"/>
      <c r="K482" s="157"/>
      <c r="L482" s="157"/>
      <c r="M482" s="157"/>
      <c r="N482" s="157"/>
      <c r="O482" s="157"/>
      <c r="P482" s="157"/>
      <c r="S482" s="126"/>
      <c r="T482" s="148" t="s">
        <v>569</v>
      </c>
      <c r="V482" s="126"/>
      <c r="Y482" s="157"/>
      <c r="Z482" s="157"/>
    </row>
    <row r="483" spans="1:26" s="125" customFormat="1" x14ac:dyDescent="0.25">
      <c r="A483" s="462"/>
      <c r="B483" s="666" t="s">
        <v>1371</v>
      </c>
      <c r="C483" s="497"/>
      <c r="D483"/>
      <c r="E483"/>
      <c r="F483"/>
      <c r="G483"/>
      <c r="H483"/>
      <c r="I483"/>
      <c r="J483"/>
      <c r="K483"/>
      <c r="L483"/>
      <c r="M483"/>
      <c r="N483"/>
      <c r="O483"/>
      <c r="P483"/>
      <c r="Q483"/>
      <c r="R483"/>
      <c r="S483" s="126"/>
      <c r="T483" s="148"/>
      <c r="V483" s="126"/>
      <c r="Y483" s="157"/>
      <c r="Z483" s="157"/>
    </row>
    <row r="484" spans="1:26" s="125" customFormat="1" x14ac:dyDescent="0.25">
      <c r="A484" s="461"/>
      <c r="B484" s="130" t="s">
        <v>337</v>
      </c>
      <c r="C484" s="186" t="s">
        <v>1318</v>
      </c>
      <c r="D484" s="131">
        <v>42186</v>
      </c>
      <c r="E484" s="131">
        <v>42217</v>
      </c>
      <c r="F484" s="131">
        <v>42248</v>
      </c>
      <c r="G484" s="131">
        <v>42278</v>
      </c>
      <c r="H484" s="131">
        <v>42309</v>
      </c>
      <c r="I484" s="131">
        <v>42339</v>
      </c>
      <c r="J484" s="131">
        <v>42370</v>
      </c>
      <c r="K484" s="131">
        <v>42401</v>
      </c>
      <c r="L484" s="131">
        <v>42430</v>
      </c>
      <c r="M484" s="131">
        <v>42461</v>
      </c>
      <c r="N484" s="131">
        <v>42491</v>
      </c>
      <c r="O484" s="131">
        <v>42522</v>
      </c>
      <c r="P484" s="131">
        <v>42552</v>
      </c>
      <c r="Q484" s="151">
        <v>42583</v>
      </c>
      <c r="R484" s="131">
        <v>42627</v>
      </c>
      <c r="S484" s="126"/>
      <c r="T484" s="148"/>
      <c r="V484" s="126"/>
      <c r="Y484" s="157"/>
      <c r="Z484" s="157"/>
    </row>
    <row r="485" spans="1:26" s="125" customFormat="1" x14ac:dyDescent="0.25">
      <c r="A485" s="461"/>
      <c r="B485" s="135" t="s">
        <v>319</v>
      </c>
      <c r="C485" s="141">
        <v>190063.41</v>
      </c>
      <c r="D485" s="1094">
        <v>195786.52</v>
      </c>
      <c r="E485" s="1094">
        <v>193318.21</v>
      </c>
      <c r="F485" s="1094">
        <v>190165.6</v>
      </c>
      <c r="G485" s="1094">
        <v>186489.03</v>
      </c>
      <c r="H485" s="1094">
        <v>179960.13</v>
      </c>
      <c r="I485" s="1094">
        <v>192952.99</v>
      </c>
      <c r="J485" s="1094">
        <v>196114.78</v>
      </c>
      <c r="K485" s="1094">
        <v>190897.88</v>
      </c>
      <c r="L485" s="1094">
        <v>201911.74</v>
      </c>
      <c r="M485" s="1094">
        <v>192422.26</v>
      </c>
      <c r="N485" s="1094">
        <v>199238.14</v>
      </c>
      <c r="O485" s="1094">
        <v>200415.37</v>
      </c>
      <c r="P485" s="136">
        <v>227631.31</v>
      </c>
      <c r="Q485" s="136"/>
      <c r="R485" s="153"/>
      <c r="S485" s="126"/>
      <c r="T485" s="148"/>
      <c r="V485" s="126"/>
      <c r="Y485" s="157"/>
      <c r="Z485" s="157"/>
    </row>
    <row r="486" spans="1:26" s="125" customFormat="1" x14ac:dyDescent="0.25">
      <c r="A486" s="461"/>
      <c r="B486" s="135" t="s">
        <v>343</v>
      </c>
      <c r="C486"/>
      <c r="D486" s="697"/>
      <c r="E486" s="697"/>
      <c r="F486" s="697"/>
      <c r="G486" s="697"/>
      <c r="H486" s="170"/>
      <c r="I486" s="136"/>
      <c r="J486" s="136"/>
      <c r="K486" s="136"/>
      <c r="L486" s="136"/>
      <c r="M486" s="136"/>
      <c r="N486" s="136"/>
      <c r="O486" s="136"/>
      <c r="P486" s="136"/>
      <c r="Q486" s="136"/>
      <c r="R486" s="153"/>
      <c r="S486" s="126"/>
      <c r="T486" s="148"/>
      <c r="V486" s="126"/>
      <c r="Y486" s="157"/>
      <c r="Z486" s="157"/>
    </row>
    <row r="487" spans="1:26" s="125" customFormat="1" x14ac:dyDescent="0.25">
      <c r="A487" s="461"/>
      <c r="B487" s="153" t="s">
        <v>1372</v>
      </c>
      <c r="C487" s="141">
        <v>115647</v>
      </c>
      <c r="D487" s="1094">
        <v>130223</v>
      </c>
      <c r="E487" s="1094">
        <v>117883</v>
      </c>
      <c r="F487" s="1094">
        <v>112675</v>
      </c>
      <c r="G487" s="1094">
        <v>61763</v>
      </c>
      <c r="H487" s="1094">
        <v>47561</v>
      </c>
      <c r="I487" s="1094">
        <v>40723</v>
      </c>
      <c r="J487" s="1094">
        <v>20532</v>
      </c>
      <c r="K487" s="1094">
        <v>22875</v>
      </c>
      <c r="L487" s="1094">
        <v>50367</v>
      </c>
      <c r="M487" s="1094">
        <v>48735</v>
      </c>
      <c r="N487" s="1094">
        <v>67625</v>
      </c>
      <c r="O487" s="1094">
        <v>117328</v>
      </c>
      <c r="P487" s="141">
        <v>170787</v>
      </c>
      <c r="Q487" s="141"/>
      <c r="R487" s="153"/>
      <c r="S487" s="126"/>
      <c r="T487" s="148"/>
      <c r="V487" s="126"/>
      <c r="Y487" s="157"/>
      <c r="Z487" s="157"/>
    </row>
    <row r="488" spans="1:26" s="125" customFormat="1" x14ac:dyDescent="0.25">
      <c r="A488" s="461"/>
      <c r="B488" s="153" t="s">
        <v>1373</v>
      </c>
      <c r="C488" s="141">
        <v>2089</v>
      </c>
      <c r="D488" s="1094">
        <v>459</v>
      </c>
      <c r="E488" s="1094">
        <v>1155</v>
      </c>
      <c r="F488" s="1094">
        <v>1487</v>
      </c>
      <c r="G488" s="1094">
        <v>1719</v>
      </c>
      <c r="H488" s="1094">
        <v>1745</v>
      </c>
      <c r="I488" s="1094">
        <v>2025</v>
      </c>
      <c r="J488" s="1094">
        <v>3795</v>
      </c>
      <c r="K488" s="1094">
        <v>3764</v>
      </c>
      <c r="L488" s="1094">
        <v>2144</v>
      </c>
      <c r="M488" s="1094">
        <v>1803</v>
      </c>
      <c r="N488" s="1094">
        <v>1378</v>
      </c>
      <c r="O488" s="1094">
        <v>1420</v>
      </c>
      <c r="P488" s="141"/>
      <c r="Q488" s="141"/>
      <c r="R488" s="153"/>
      <c r="S488" s="126"/>
      <c r="T488" s="148"/>
      <c r="V488" s="126"/>
      <c r="Y488" s="157"/>
      <c r="Z488" s="157"/>
    </row>
    <row r="489" spans="1:26" s="125" customFormat="1" x14ac:dyDescent="0.25">
      <c r="A489" s="461"/>
      <c r="B489" s="135" t="s">
        <v>864</v>
      </c>
      <c r="C489" s="141"/>
      <c r="D489" s="1094"/>
      <c r="E489" s="1094"/>
      <c r="F489" s="1094"/>
      <c r="G489" s="1094"/>
      <c r="H489" s="1094"/>
      <c r="I489" s="1094"/>
      <c r="J489" s="1094"/>
      <c r="K489" s="1094"/>
      <c r="L489" s="1094"/>
      <c r="M489" s="1094"/>
      <c r="N489" s="1094"/>
      <c r="O489" s="1094"/>
      <c r="P489" s="153"/>
      <c r="Q489" s="153"/>
      <c r="R489" s="153"/>
      <c r="S489" s="126"/>
      <c r="T489" s="148"/>
      <c r="V489" s="126"/>
      <c r="Y489" s="157"/>
      <c r="Z489" s="157"/>
    </row>
    <row r="490" spans="1:26" s="125" customFormat="1" x14ac:dyDescent="0.25">
      <c r="A490" s="461"/>
      <c r="B490" s="135" t="s">
        <v>324</v>
      </c>
      <c r="C490" s="1557">
        <f>0.08775*C485</f>
        <v>16678.064227499999</v>
      </c>
      <c r="D490" s="1590">
        <f t="shared" ref="D490:R490" si="27">0.08775*D485</f>
        <v>17180.267129999997</v>
      </c>
      <c r="E490" s="1590">
        <f t="shared" si="27"/>
        <v>16963.6729275</v>
      </c>
      <c r="F490" s="1590">
        <f t="shared" si="27"/>
        <v>16687.0314</v>
      </c>
      <c r="G490" s="1590">
        <f t="shared" si="27"/>
        <v>16364.412382499999</v>
      </c>
      <c r="H490" s="1590">
        <f t="shared" si="27"/>
        <v>15791.5014075</v>
      </c>
      <c r="I490" s="1590">
        <f t="shared" si="27"/>
        <v>16931.624872499997</v>
      </c>
      <c r="J490" s="1590">
        <f t="shared" si="27"/>
        <v>17209.071945</v>
      </c>
      <c r="K490" s="1590">
        <f t="shared" si="27"/>
        <v>16751.288969999998</v>
      </c>
      <c r="L490" s="1590">
        <f t="shared" si="27"/>
        <v>17717.755184999998</v>
      </c>
      <c r="M490" s="1590">
        <f t="shared" si="27"/>
        <v>16885.053315000001</v>
      </c>
      <c r="N490" s="1590">
        <f t="shared" si="27"/>
        <v>17483.146785000001</v>
      </c>
      <c r="O490" s="1590">
        <f t="shared" si="27"/>
        <v>17586.448717499999</v>
      </c>
      <c r="P490" s="1557">
        <f t="shared" si="27"/>
        <v>19974.647452499998</v>
      </c>
      <c r="Q490" s="1557">
        <f t="shared" si="27"/>
        <v>0</v>
      </c>
      <c r="R490" s="1557">
        <f t="shared" si="27"/>
        <v>0</v>
      </c>
      <c r="S490" s="126"/>
      <c r="T490" s="148"/>
      <c r="V490" s="126"/>
      <c r="Y490" s="157"/>
      <c r="Z490" s="157"/>
    </row>
    <row r="491" spans="1:26" s="125" customFormat="1" x14ac:dyDescent="0.25">
      <c r="A491" s="461"/>
      <c r="B491" s="144" t="s">
        <v>348</v>
      </c>
      <c r="C491" s="141"/>
      <c r="D491" s="1094"/>
      <c r="E491" s="1094"/>
      <c r="F491" s="1094"/>
      <c r="G491" s="1094"/>
      <c r="H491" s="1094"/>
      <c r="I491" s="1094"/>
      <c r="J491" s="1094"/>
      <c r="K491" s="1094"/>
      <c r="L491" s="1094"/>
      <c r="M491" s="1094"/>
      <c r="N491" s="1094"/>
      <c r="O491" s="1094"/>
      <c r="P491" s="731"/>
      <c r="Q491" s="731"/>
      <c r="R491" s="153"/>
      <c r="S491" s="126"/>
      <c r="T491" s="148"/>
      <c r="V491" s="126"/>
      <c r="Y491" s="157"/>
      <c r="Z491" s="157"/>
    </row>
    <row r="492" spans="1:26" s="125" customFormat="1" x14ac:dyDescent="0.25">
      <c r="A492" s="461"/>
      <c r="B492" s="195" t="s">
        <v>1087</v>
      </c>
      <c r="C492" s="141"/>
      <c r="D492" s="1094"/>
      <c r="E492" s="1094"/>
      <c r="F492" s="1094"/>
      <c r="G492" s="1094"/>
      <c r="H492" s="1094"/>
      <c r="I492" s="1094"/>
      <c r="J492" s="1094"/>
      <c r="K492" s="1094"/>
      <c r="L492" s="1094"/>
      <c r="M492" s="1094"/>
      <c r="N492" s="1094"/>
      <c r="O492" s="1094"/>
      <c r="P492" s="731"/>
      <c r="Q492" s="731"/>
      <c r="R492" s="153"/>
      <c r="S492" s="126"/>
      <c r="T492" s="148"/>
      <c r="V492" s="126"/>
      <c r="Y492" s="157"/>
      <c r="Z492" s="157"/>
    </row>
    <row r="493" spans="1:26" s="125" customFormat="1" x14ac:dyDescent="0.25">
      <c r="A493" s="461"/>
      <c r="B493" s="144" t="s">
        <v>883</v>
      </c>
      <c r="C493" s="1557">
        <v>1993.87</v>
      </c>
      <c r="D493" s="1590">
        <v>523.21</v>
      </c>
      <c r="E493" s="1590">
        <v>1152.1400000000001</v>
      </c>
      <c r="F493" s="1590">
        <v>1327.57</v>
      </c>
      <c r="G493" s="1590">
        <v>1516.17</v>
      </c>
      <c r="H493" s="1590">
        <v>1537.3</v>
      </c>
      <c r="I493" s="1590">
        <v>1764.91</v>
      </c>
      <c r="J493" s="1590">
        <v>3203.75</v>
      </c>
      <c r="K493" s="1590">
        <v>3178.55</v>
      </c>
      <c r="L493" s="1590">
        <v>1861.65</v>
      </c>
      <c r="M493" s="1590">
        <v>1584.45</v>
      </c>
      <c r="N493" s="1590">
        <v>1238.97</v>
      </c>
      <c r="O493" s="1590">
        <v>1267.24</v>
      </c>
      <c r="P493" s="1558"/>
      <c r="Q493" s="1558"/>
      <c r="R493" s="1558"/>
      <c r="S493" s="126"/>
      <c r="T493" s="148"/>
      <c r="V493" s="126"/>
      <c r="Y493" s="157"/>
      <c r="Z493" s="157"/>
    </row>
    <row r="495" spans="1:26" s="125" customFormat="1" x14ac:dyDescent="0.25">
      <c r="A495" s="461">
        <v>29</v>
      </c>
      <c r="B495" s="148" t="s">
        <v>571</v>
      </c>
      <c r="C495" s="152"/>
      <c r="E495" s="157"/>
      <c r="F495" s="157"/>
      <c r="G495" s="157"/>
      <c r="H495" s="157"/>
      <c r="I495" s="157"/>
      <c r="J495" s="157"/>
      <c r="K495" s="157"/>
      <c r="L495" s="157"/>
      <c r="M495" s="157"/>
      <c r="N495" s="157"/>
      <c r="O495" s="157"/>
      <c r="P495" s="157"/>
      <c r="S495" s="126"/>
      <c r="T495" s="148" t="s">
        <v>571</v>
      </c>
      <c r="V495" s="126"/>
      <c r="Y495" s="157"/>
      <c r="Z495" s="157"/>
    </row>
    <row r="496" spans="1:26" x14ac:dyDescent="0.25">
      <c r="B496" s="666" t="s">
        <v>1421</v>
      </c>
      <c r="Y496"/>
      <c r="Z496"/>
    </row>
    <row r="497" spans="1:26" x14ac:dyDescent="0.25">
      <c r="A497" s="461"/>
      <c r="B497" s="130" t="s">
        <v>337</v>
      </c>
      <c r="C497" s="186" t="s">
        <v>1318</v>
      </c>
      <c r="D497" s="131">
        <v>42186</v>
      </c>
      <c r="E497" s="131">
        <v>42217</v>
      </c>
      <c r="F497" s="131">
        <v>42248</v>
      </c>
      <c r="G497" s="131">
        <v>42278</v>
      </c>
      <c r="H497" s="131">
        <v>42309</v>
      </c>
      <c r="I497" s="131">
        <v>42339</v>
      </c>
      <c r="J497" s="131">
        <v>42370</v>
      </c>
      <c r="K497" s="131">
        <v>42401</v>
      </c>
      <c r="L497" s="131">
        <v>42430</v>
      </c>
      <c r="M497" s="131">
        <v>42461</v>
      </c>
      <c r="N497" s="131">
        <v>42491</v>
      </c>
      <c r="O497" s="131">
        <v>42522</v>
      </c>
      <c r="P497" s="131">
        <v>42552</v>
      </c>
      <c r="Q497" s="151">
        <v>42583</v>
      </c>
      <c r="R497" s="131">
        <v>42627</v>
      </c>
      <c r="S497" s="128"/>
      <c r="Y497"/>
      <c r="Z497"/>
    </row>
    <row r="498" spans="1:26" x14ac:dyDescent="0.25">
      <c r="A498" s="461"/>
      <c r="B498" s="135" t="s">
        <v>319</v>
      </c>
      <c r="C498" s="1258">
        <v>22840</v>
      </c>
      <c r="D498" s="160">
        <v>21920</v>
      </c>
      <c r="E498" s="160">
        <v>27480</v>
      </c>
      <c r="F498" s="136">
        <v>29080</v>
      </c>
      <c r="G498" s="136">
        <v>31240</v>
      </c>
      <c r="H498" s="136">
        <v>28480</v>
      </c>
      <c r="I498" s="136">
        <v>23520</v>
      </c>
      <c r="J498" s="136">
        <v>18840</v>
      </c>
      <c r="K498" s="136">
        <v>21560</v>
      </c>
      <c r="L498" s="136">
        <v>24650</v>
      </c>
      <c r="M498" s="136">
        <v>23200</v>
      </c>
      <c r="N498" s="136">
        <v>23680</v>
      </c>
      <c r="O498" s="136">
        <v>28000</v>
      </c>
      <c r="P498" s="136">
        <v>17560</v>
      </c>
      <c r="Q498" s="136"/>
      <c r="R498" s="153"/>
      <c r="S498" s="157"/>
      <c r="Y498"/>
      <c r="Z498"/>
    </row>
    <row r="499" spans="1:26" x14ac:dyDescent="0.25">
      <c r="A499" s="461"/>
      <c r="B499" s="135" t="s">
        <v>343</v>
      </c>
      <c r="C499" s="1092">
        <v>0</v>
      </c>
      <c r="D499" s="153">
        <v>0</v>
      </c>
      <c r="E499" s="153">
        <v>0</v>
      </c>
      <c r="F499" s="137">
        <v>1050</v>
      </c>
      <c r="G499" s="137">
        <v>59050</v>
      </c>
      <c r="H499" s="137">
        <v>143150</v>
      </c>
      <c r="I499" s="136">
        <v>147350</v>
      </c>
      <c r="J499" s="136">
        <v>264700</v>
      </c>
      <c r="K499" s="136">
        <v>192850</v>
      </c>
      <c r="L499" s="136">
        <v>72800</v>
      </c>
      <c r="M499" s="136">
        <v>22800</v>
      </c>
      <c r="N499" s="136">
        <v>0</v>
      </c>
      <c r="O499" s="136">
        <v>0</v>
      </c>
      <c r="P499" s="136">
        <v>0</v>
      </c>
      <c r="Q499" s="136"/>
      <c r="R499" s="153"/>
      <c r="S499" s="157"/>
      <c r="Y499"/>
      <c r="Z499"/>
    </row>
    <row r="500" spans="1:26" x14ac:dyDescent="0.25">
      <c r="A500" s="461"/>
      <c r="B500" s="153" t="s">
        <v>362</v>
      </c>
      <c r="C500" s="1092"/>
      <c r="D500" s="153"/>
      <c r="E500" s="153"/>
      <c r="F500" s="141"/>
      <c r="G500" s="141"/>
      <c r="H500" s="141"/>
      <c r="I500" s="141"/>
      <c r="J500" s="141"/>
      <c r="K500" s="141"/>
      <c r="L500" s="141"/>
      <c r="M500" s="141"/>
      <c r="N500" s="141"/>
      <c r="O500" s="141"/>
      <c r="P500" s="141"/>
      <c r="Q500" s="141"/>
      <c r="R500" s="153"/>
      <c r="S500" s="157"/>
      <c r="Y500"/>
      <c r="Z500"/>
    </row>
    <row r="501" spans="1:26" x14ac:dyDescent="0.25">
      <c r="A501" s="461"/>
      <c r="B501" s="153" t="s">
        <v>641</v>
      </c>
      <c r="C501" s="1092">
        <v>0</v>
      </c>
      <c r="D501" s="153">
        <v>0</v>
      </c>
      <c r="E501" s="153">
        <v>0</v>
      </c>
      <c r="F501" s="141">
        <v>0</v>
      </c>
      <c r="G501" s="141">
        <v>0</v>
      </c>
      <c r="H501" s="141">
        <v>0</v>
      </c>
      <c r="I501" s="141">
        <v>0</v>
      </c>
      <c r="J501" s="141">
        <v>0</v>
      </c>
      <c r="K501" s="141">
        <v>0</v>
      </c>
      <c r="L501" s="141">
        <v>0</v>
      </c>
      <c r="M501" s="141">
        <v>0</v>
      </c>
      <c r="N501" s="141">
        <v>0</v>
      </c>
      <c r="O501" s="141">
        <v>0</v>
      </c>
      <c r="P501" s="141">
        <v>0</v>
      </c>
      <c r="Q501" s="141"/>
      <c r="R501" s="153"/>
      <c r="S501" s="157"/>
      <c r="Y501"/>
      <c r="Z501"/>
    </row>
    <row r="502" spans="1:26" x14ac:dyDescent="0.25">
      <c r="A502" s="461"/>
      <c r="B502" s="135" t="s">
        <v>1424</v>
      </c>
      <c r="C502" s="1258">
        <v>3017</v>
      </c>
      <c r="D502" s="160">
        <v>2421</v>
      </c>
      <c r="E502" s="160">
        <v>9665</v>
      </c>
      <c r="F502" s="768">
        <v>11022</v>
      </c>
      <c r="G502" s="760">
        <v>10187</v>
      </c>
      <c r="H502" s="760">
        <v>9900</v>
      </c>
      <c r="I502" s="760">
        <v>6974</v>
      </c>
      <c r="J502" s="760">
        <v>7940</v>
      </c>
      <c r="K502" s="750">
        <v>10850</v>
      </c>
      <c r="L502" s="750">
        <v>9965</v>
      </c>
      <c r="M502" s="750">
        <v>10166</v>
      </c>
      <c r="N502" s="750">
        <v>33768</v>
      </c>
      <c r="O502" s="750">
        <v>6367</v>
      </c>
      <c r="P502" s="750">
        <v>3449</v>
      </c>
      <c r="Q502" s="728"/>
      <c r="R502" s="153"/>
      <c r="S502" s="157"/>
      <c r="Y502"/>
      <c r="Z502"/>
    </row>
    <row r="503" spans="1:26" x14ac:dyDescent="0.25">
      <c r="A503" s="461"/>
      <c r="B503" s="135" t="s">
        <v>324</v>
      </c>
      <c r="C503" s="1642">
        <f>C498*C509</f>
        <v>2093.8227400000001</v>
      </c>
      <c r="D503" s="1642">
        <f t="shared" ref="D503:O503" si="28">D498*D509</f>
        <v>1878.874992</v>
      </c>
      <c r="E503" s="1642">
        <f t="shared" si="28"/>
        <v>2414.2801319999999</v>
      </c>
      <c r="F503" s="1642">
        <f t="shared" si="28"/>
        <v>2541.3273719999997</v>
      </c>
      <c r="G503" s="1642">
        <f t="shared" si="28"/>
        <v>2401.76244</v>
      </c>
      <c r="H503" s="1642">
        <f t="shared" si="28"/>
        <v>2232.6611200000002</v>
      </c>
      <c r="I503" s="1642">
        <f t="shared" si="28"/>
        <v>1792.4450879999999</v>
      </c>
      <c r="J503" s="1642">
        <f t="shared" si="28"/>
        <v>1403.255952</v>
      </c>
      <c r="K503" s="1642">
        <f t="shared" si="28"/>
        <v>1665.4733480000002</v>
      </c>
      <c r="L503" s="1642">
        <f t="shared" si="28"/>
        <v>1771.4673200000002</v>
      </c>
      <c r="M503" s="1642">
        <f t="shared" si="28"/>
        <v>1739.1021599999999</v>
      </c>
      <c r="N503" s="1642">
        <f t="shared" si="28"/>
        <v>1381.8700799999999</v>
      </c>
      <c r="O503" s="1642">
        <f t="shared" si="28"/>
        <v>3247.4623999999999</v>
      </c>
      <c r="P503" s="1643">
        <f>P498*P509</f>
        <v>1608.9174399999999</v>
      </c>
      <c r="Q503" s="1643"/>
      <c r="R503" s="1643"/>
      <c r="S503" s="157"/>
      <c r="Y503"/>
      <c r="Z503"/>
    </row>
    <row r="504" spans="1:26" x14ac:dyDescent="0.25">
      <c r="A504" s="461"/>
      <c r="B504" s="144" t="s">
        <v>348</v>
      </c>
      <c r="C504" s="1642">
        <v>0</v>
      </c>
      <c r="D504" s="1643">
        <v>0</v>
      </c>
      <c r="E504" s="1643">
        <v>0</v>
      </c>
      <c r="F504" s="442">
        <v>28</v>
      </c>
      <c r="G504" s="442">
        <v>680.8</v>
      </c>
      <c r="H504" s="442">
        <v>1513.6</v>
      </c>
      <c r="I504" s="442">
        <v>1511.2</v>
      </c>
      <c r="J504" s="1643">
        <v>2528.8000000000002</v>
      </c>
      <c r="K504" s="1643">
        <v>1861.6</v>
      </c>
      <c r="L504" s="1643">
        <v>740.8</v>
      </c>
      <c r="M504" s="1643">
        <v>264.8</v>
      </c>
      <c r="N504" s="731">
        <v>0</v>
      </c>
      <c r="O504" s="731">
        <v>0</v>
      </c>
      <c r="P504" s="731">
        <v>0</v>
      </c>
      <c r="Q504" s="731"/>
      <c r="R504" s="153"/>
      <c r="S504" s="157"/>
      <c r="Y504"/>
      <c r="Z504"/>
    </row>
    <row r="505" spans="1:26" x14ac:dyDescent="0.25">
      <c r="A505" s="461"/>
      <c r="B505" s="195" t="s">
        <v>1087</v>
      </c>
      <c r="C505" s="1092"/>
      <c r="D505" s="153"/>
      <c r="E505" s="153"/>
      <c r="F505" s="731"/>
      <c r="G505" s="731"/>
      <c r="H505" s="731"/>
      <c r="I505" s="731"/>
      <c r="J505" s="731"/>
      <c r="K505" s="731"/>
      <c r="L505" s="731"/>
      <c r="M505" s="731"/>
      <c r="N505" s="731"/>
      <c r="O505" s="731"/>
      <c r="P505" s="731"/>
      <c r="Q505" s="731"/>
      <c r="R505" s="153"/>
      <c r="S505" s="554"/>
      <c r="T505" s="116"/>
      <c r="U505" s="116"/>
      <c r="V505" s="116"/>
      <c r="W505" s="116"/>
      <c r="X505" s="116"/>
      <c r="Y505" s="116"/>
      <c r="Z505"/>
    </row>
    <row r="506" spans="1:26" s="125" customFormat="1" x14ac:dyDescent="0.25">
      <c r="A506" s="461"/>
      <c r="B506" s="144" t="s">
        <v>883</v>
      </c>
      <c r="C506" s="1644">
        <v>0</v>
      </c>
      <c r="D506" s="145">
        <v>0</v>
      </c>
      <c r="E506" s="145">
        <v>0</v>
      </c>
      <c r="F506" s="145">
        <v>0</v>
      </c>
      <c r="G506" s="145">
        <v>0</v>
      </c>
      <c r="H506" s="145">
        <v>0</v>
      </c>
      <c r="I506" s="145">
        <v>0</v>
      </c>
      <c r="J506" s="145">
        <v>0</v>
      </c>
      <c r="K506" s="145">
        <v>0</v>
      </c>
      <c r="L506" s="145">
        <v>0</v>
      </c>
      <c r="M506" s="145">
        <v>0</v>
      </c>
      <c r="N506" s="145">
        <v>0</v>
      </c>
      <c r="O506" s="145">
        <v>0</v>
      </c>
      <c r="P506" s="145">
        <v>0</v>
      </c>
      <c r="Q506" s="145"/>
      <c r="R506" s="145"/>
      <c r="S506" s="444"/>
      <c r="T506" s="149"/>
      <c r="U506" s="150"/>
      <c r="V506" s="961"/>
      <c r="W506" s="149"/>
      <c r="X506" s="150"/>
      <c r="Y506" s="554"/>
      <c r="Z506" s="157"/>
    </row>
    <row r="507" spans="1:26" x14ac:dyDescent="0.25">
      <c r="A507"/>
      <c r="B507" s="1645" t="s">
        <v>1423</v>
      </c>
      <c r="C507"/>
      <c r="S507" s="116"/>
      <c r="T507" s="116"/>
      <c r="U507" s="116"/>
      <c r="V507" s="116"/>
      <c r="W507" s="116"/>
      <c r="X507" s="116"/>
      <c r="Y507" s="116"/>
      <c r="Z507"/>
    </row>
    <row r="508" spans="1:26" ht="12.75" x14ac:dyDescent="0.2">
      <c r="A508"/>
      <c r="C508"/>
      <c r="Y508"/>
      <c r="Z508"/>
    </row>
    <row r="509" spans="1:26" ht="12.75" x14ac:dyDescent="0.2">
      <c r="A509"/>
      <c r="B509" t="s">
        <v>1422</v>
      </c>
      <c r="C509">
        <v>9.1673500000000005E-2</v>
      </c>
      <c r="D509">
        <v>8.5715100000000002E-2</v>
      </c>
      <c r="E509">
        <v>8.7855900000000001E-2</v>
      </c>
      <c r="F509">
        <v>8.7390899999999994E-2</v>
      </c>
      <c r="G509">
        <v>7.6881000000000005E-2</v>
      </c>
      <c r="H509">
        <v>7.8394000000000005E-2</v>
      </c>
      <c r="I509">
        <v>7.6209399999999997E-2</v>
      </c>
      <c r="J509">
        <v>7.4482800000000002E-2</v>
      </c>
      <c r="K509">
        <v>7.7248300000000006E-2</v>
      </c>
      <c r="L509">
        <v>7.1864800000000006E-2</v>
      </c>
      <c r="M509">
        <v>7.4961299999999995E-2</v>
      </c>
      <c r="N509">
        <v>5.8355999999999998E-2</v>
      </c>
      <c r="O509">
        <v>0.1159808</v>
      </c>
      <c r="P509">
        <v>9.1623999999999997E-2</v>
      </c>
      <c r="Y509"/>
      <c r="Z509"/>
    </row>
    <row r="510" spans="1:26" ht="12.75" x14ac:dyDescent="0.2">
      <c r="A510"/>
      <c r="C510"/>
      <c r="Y510"/>
      <c r="Z510"/>
    </row>
    <row r="511" spans="1:26" s="125" customFormat="1" x14ac:dyDescent="0.25">
      <c r="A511" s="461">
        <v>30</v>
      </c>
      <c r="B511" s="148" t="s">
        <v>574</v>
      </c>
      <c r="C511" s="152"/>
      <c r="R511" s="139"/>
      <c r="S511" s="147"/>
      <c r="T511" s="148" t="s">
        <v>574</v>
      </c>
      <c r="U511" s="149"/>
      <c r="V511" s="150"/>
      <c r="Y511" s="157"/>
      <c r="Z511" s="157"/>
    </row>
    <row r="512" spans="1:26" s="125" customFormat="1" x14ac:dyDescent="0.25">
      <c r="A512" s="461"/>
      <c r="B512" s="712" t="s">
        <v>574</v>
      </c>
      <c r="C512" s="1646"/>
      <c r="D512" s="713"/>
      <c r="E512" s="713"/>
      <c r="F512" s="713"/>
      <c r="G512" s="713"/>
      <c r="H512" s="713"/>
      <c r="I512" s="713"/>
      <c r="J512" s="713"/>
      <c r="K512" s="713"/>
      <c r="L512" s="713"/>
      <c r="M512" s="713"/>
      <c r="N512" s="713"/>
      <c r="O512" s="713"/>
      <c r="P512" s="714"/>
      <c r="Q512" s="715"/>
      <c r="R512" s="716"/>
      <c r="S512" s="1211"/>
      <c r="T512" s="1647"/>
      <c r="U512" s="1150"/>
      <c r="V512" s="150"/>
      <c r="Y512" s="157"/>
      <c r="Z512" s="157"/>
    </row>
    <row r="513" spans="1:26" s="125" customFormat="1" x14ac:dyDescent="0.25">
      <c r="A513" s="461"/>
      <c r="B513" s="717" t="s">
        <v>337</v>
      </c>
      <c r="C513" s="1648"/>
      <c r="D513" s="719">
        <v>42217</v>
      </c>
      <c r="E513" s="719">
        <v>42248</v>
      </c>
      <c r="F513" s="719">
        <v>42278</v>
      </c>
      <c r="G513" s="719">
        <v>42309</v>
      </c>
      <c r="H513" s="719">
        <v>42339</v>
      </c>
      <c r="I513" s="719">
        <v>42370</v>
      </c>
      <c r="J513" s="719">
        <v>42401</v>
      </c>
      <c r="K513" s="719">
        <v>42430</v>
      </c>
      <c r="L513" s="719">
        <v>42461</v>
      </c>
      <c r="M513" s="719">
        <v>42491</v>
      </c>
      <c r="N513" s="719">
        <v>42522</v>
      </c>
      <c r="O513" s="719">
        <v>42552</v>
      </c>
      <c r="P513" s="735"/>
      <c r="Q513" s="720" t="s">
        <v>338</v>
      </c>
      <c r="R513" s="721" t="s">
        <v>339</v>
      </c>
      <c r="S513" s="1222"/>
      <c r="T513" s="720" t="s">
        <v>338</v>
      </c>
      <c r="U513" s="721" t="s">
        <v>339</v>
      </c>
      <c r="V513" s="150"/>
      <c r="Y513" s="157"/>
      <c r="Z513" s="157"/>
    </row>
    <row r="514" spans="1:26" s="125" customFormat="1" x14ac:dyDescent="0.25">
      <c r="A514" s="461"/>
      <c r="B514" s="722" t="s">
        <v>360</v>
      </c>
      <c r="C514" s="730"/>
      <c r="D514" s="454">
        <v>371394.53125</v>
      </c>
      <c r="E514" s="454">
        <v>372462.40234375</v>
      </c>
      <c r="F514" s="454">
        <v>382747.0703125</v>
      </c>
      <c r="G514" s="454">
        <v>368691.89453125</v>
      </c>
      <c r="H514" s="454">
        <v>374088.8671875</v>
      </c>
      <c r="I514" s="454">
        <v>375130.859375</v>
      </c>
      <c r="J514" s="1155">
        <v>352869.140625</v>
      </c>
      <c r="K514" s="723">
        <v>421780.2734375</v>
      </c>
      <c r="L514" s="723">
        <v>383250.9765625</v>
      </c>
      <c r="M514" s="723">
        <v>384455.078125</v>
      </c>
      <c r="N514" s="723">
        <v>360948.2421875</v>
      </c>
      <c r="O514" s="723">
        <v>375840.8203125</v>
      </c>
      <c r="P514" s="744"/>
      <c r="Q514" s="724">
        <f t="shared" ref="Q514:Q521" si="29">SUM(D514:O514)</f>
        <v>4523660.15625</v>
      </c>
      <c r="R514" s="1145" t="s">
        <v>361</v>
      </c>
      <c r="S514" s="1211"/>
      <c r="T514" s="734">
        <f>Q514*0.003409512</f>
        <v>15423.47358665625</v>
      </c>
      <c r="U514" s="1145" t="s">
        <v>342</v>
      </c>
      <c r="V514" s="150"/>
      <c r="Y514" s="157"/>
      <c r="Z514" s="157"/>
    </row>
    <row r="515" spans="1:26" s="125" customFormat="1" x14ac:dyDescent="0.25">
      <c r="A515" s="461"/>
      <c r="B515" s="722" t="s">
        <v>362</v>
      </c>
      <c r="C515" s="730"/>
      <c r="D515" s="454">
        <v>1188.704</v>
      </c>
      <c r="E515" s="454">
        <v>1065.4880000000001</v>
      </c>
      <c r="F515" s="454">
        <v>520.54399999999998</v>
      </c>
      <c r="G515" s="454">
        <v>403.26400000000001</v>
      </c>
      <c r="H515" s="454">
        <v>439.44</v>
      </c>
      <c r="I515" s="454">
        <v>134.78399999999999</v>
      </c>
      <c r="J515" s="1155">
        <v>217.952</v>
      </c>
      <c r="K515" s="1144">
        <v>506</v>
      </c>
      <c r="L515" s="1144">
        <v>525</v>
      </c>
      <c r="M515" s="1144">
        <v>781</v>
      </c>
      <c r="N515" s="1144">
        <v>1117</v>
      </c>
      <c r="O515" s="1144">
        <v>1530</v>
      </c>
      <c r="P515" s="1157"/>
      <c r="Q515" s="724">
        <f t="shared" si="29"/>
        <v>8429.1759999999995</v>
      </c>
      <c r="R515" s="1145" t="s">
        <v>363</v>
      </c>
      <c r="S515" s="1211"/>
      <c r="T515" s="1649">
        <f>Q515</f>
        <v>8429.1759999999995</v>
      </c>
      <c r="U515" s="1145" t="s">
        <v>342</v>
      </c>
      <c r="V515" s="150"/>
      <c r="Y515" s="157"/>
      <c r="Z515" s="157"/>
    </row>
    <row r="516" spans="1:26" s="125" customFormat="1" x14ac:dyDescent="0.25">
      <c r="A516" s="461"/>
      <c r="B516" s="722" t="s">
        <v>364</v>
      </c>
      <c r="C516" s="730"/>
      <c r="D516" s="454">
        <v>263.09375</v>
      </c>
      <c r="E516" s="454">
        <v>282.796875</v>
      </c>
      <c r="F516" s="454">
        <v>420.203125</v>
      </c>
      <c r="G516" s="454">
        <v>527.40625</v>
      </c>
      <c r="H516" s="454">
        <v>593.6875</v>
      </c>
      <c r="I516" s="454">
        <v>1087.703125</v>
      </c>
      <c r="J516" s="1155">
        <v>909.109375</v>
      </c>
      <c r="K516" s="1654">
        <v>662</v>
      </c>
      <c r="L516" s="1654">
        <v>517</v>
      </c>
      <c r="M516" s="1159">
        <v>415</v>
      </c>
      <c r="N516" s="1654">
        <v>327</v>
      </c>
      <c r="O516" s="1654">
        <v>335</v>
      </c>
      <c r="P516" s="1655"/>
      <c r="Q516" s="724">
        <f t="shared" si="29"/>
        <v>6340</v>
      </c>
      <c r="R516" s="1146" t="s">
        <v>365</v>
      </c>
      <c r="S516" s="1211"/>
      <c r="T516" s="756">
        <f>Q516</f>
        <v>6340</v>
      </c>
      <c r="U516" s="1145" t="s">
        <v>342</v>
      </c>
      <c r="V516" s="150"/>
      <c r="Y516" s="157"/>
      <c r="Z516" s="157"/>
    </row>
    <row r="517" spans="1:26" s="125" customFormat="1" x14ac:dyDescent="0.25">
      <c r="A517" s="461"/>
      <c r="B517" s="728" t="s">
        <v>864</v>
      </c>
      <c r="C517" s="730"/>
      <c r="D517" s="723">
        <v>382</v>
      </c>
      <c r="E517" s="723">
        <v>317</v>
      </c>
      <c r="F517" s="723">
        <v>190</v>
      </c>
      <c r="G517" s="723">
        <v>189</v>
      </c>
      <c r="H517" s="723">
        <v>170</v>
      </c>
      <c r="I517" s="723">
        <v>107</v>
      </c>
      <c r="J517" s="723">
        <v>197</v>
      </c>
      <c r="K517" s="723">
        <v>203</v>
      </c>
      <c r="L517" s="723">
        <v>240</v>
      </c>
      <c r="M517" s="723">
        <v>156</v>
      </c>
      <c r="N517" s="723">
        <v>116</v>
      </c>
      <c r="O517" s="723">
        <v>93</v>
      </c>
      <c r="P517" s="744"/>
      <c r="Q517" s="724">
        <f t="shared" si="29"/>
        <v>2360</v>
      </c>
      <c r="R517" s="1146" t="s">
        <v>379</v>
      </c>
      <c r="S517" s="1211"/>
      <c r="T517" s="756">
        <f>Q517*748</f>
        <v>1765280</v>
      </c>
      <c r="U517" s="1146" t="s">
        <v>346</v>
      </c>
      <c r="V517" s="150"/>
      <c r="Y517" s="157"/>
      <c r="Z517" s="157"/>
    </row>
    <row r="518" spans="1:26" s="125" customFormat="1" x14ac:dyDescent="0.25">
      <c r="A518" s="461"/>
      <c r="B518" s="722" t="s">
        <v>368</v>
      </c>
      <c r="C518" s="730"/>
      <c r="D518" s="731">
        <f>D514*0.086</f>
        <v>31939.929687499996</v>
      </c>
      <c r="E518" s="731">
        <f t="shared" ref="E518:N518" si="30">E514*0.086</f>
        <v>32031.766601562496</v>
      </c>
      <c r="F518" s="731">
        <f t="shared" si="30"/>
        <v>32916.248046875</v>
      </c>
      <c r="G518" s="731">
        <f t="shared" si="30"/>
        <v>31707.502929687496</v>
      </c>
      <c r="H518" s="731">
        <f t="shared" si="30"/>
        <v>32171.642578124996</v>
      </c>
      <c r="I518" s="731">
        <f t="shared" si="30"/>
        <v>32261.253906249996</v>
      </c>
      <c r="J518" s="731">
        <f t="shared" si="30"/>
        <v>30346.746093749996</v>
      </c>
      <c r="K518" s="731">
        <f t="shared" si="30"/>
        <v>36273.103515625</v>
      </c>
      <c r="L518" s="731">
        <f t="shared" si="30"/>
        <v>32959.583984375</v>
      </c>
      <c r="M518" s="731">
        <f t="shared" si="30"/>
        <v>33063.13671875</v>
      </c>
      <c r="N518" s="731">
        <f t="shared" si="30"/>
        <v>31041.548828124996</v>
      </c>
      <c r="O518" s="731">
        <f>O514*0.087</f>
        <v>32698.151367187496</v>
      </c>
      <c r="P518" s="745"/>
      <c r="Q518" s="724">
        <f t="shared" si="29"/>
        <v>389410.6142578125</v>
      </c>
      <c r="R518" s="1145" t="s">
        <v>865</v>
      </c>
      <c r="S518" s="1211"/>
      <c r="T518" s="1651"/>
      <c r="U518" s="1652"/>
      <c r="V518" s="150"/>
      <c r="Y518" s="157"/>
      <c r="Z518" s="157"/>
    </row>
    <row r="519" spans="1:26" s="125" customFormat="1" x14ac:dyDescent="0.25">
      <c r="A519" s="461"/>
      <c r="B519" s="722" t="s">
        <v>369</v>
      </c>
      <c r="C519" s="730"/>
      <c r="D519" s="731">
        <f>D515*13.97</f>
        <v>16606.194879999999</v>
      </c>
      <c r="E519" s="731">
        <f t="shared" ref="E519:N519" si="31">E515*13.97</f>
        <v>14884.867360000002</v>
      </c>
      <c r="F519" s="731">
        <f t="shared" si="31"/>
        <v>7271.9996799999999</v>
      </c>
      <c r="G519" s="731">
        <f t="shared" si="31"/>
        <v>5633.5980800000007</v>
      </c>
      <c r="H519" s="731">
        <f t="shared" si="31"/>
        <v>6138.9768000000004</v>
      </c>
      <c r="I519" s="731">
        <f t="shared" si="31"/>
        <v>1882.9324799999999</v>
      </c>
      <c r="J519" s="731">
        <f t="shared" si="31"/>
        <v>3044.78944</v>
      </c>
      <c r="K519" s="731">
        <f t="shared" si="31"/>
        <v>7068.8200000000006</v>
      </c>
      <c r="L519" s="731">
        <f t="shared" si="31"/>
        <v>7334.25</v>
      </c>
      <c r="M519" s="731">
        <f t="shared" si="31"/>
        <v>10910.57</v>
      </c>
      <c r="N519" s="731">
        <f t="shared" si="31"/>
        <v>15604.490000000002</v>
      </c>
      <c r="O519" s="731">
        <f>O515*12.95</f>
        <v>19813.5</v>
      </c>
      <c r="P519" s="745"/>
      <c r="Q519" s="724">
        <f t="shared" si="29"/>
        <v>116194.98872000001</v>
      </c>
      <c r="R519" s="1145" t="s">
        <v>865</v>
      </c>
      <c r="S519" s="1211"/>
      <c r="T519" s="1647"/>
      <c r="U519" s="1150"/>
      <c r="V519" s="150"/>
      <c r="Y519" s="157"/>
      <c r="Z519" s="157"/>
    </row>
    <row r="520" spans="1:26" s="125" customFormat="1" ht="16.5" x14ac:dyDescent="0.35">
      <c r="A520" s="461"/>
      <c r="B520" s="722" t="s">
        <v>326</v>
      </c>
      <c r="C520" s="730"/>
      <c r="D520" s="731">
        <f>D516*13.39</f>
        <v>3522.8253125000001</v>
      </c>
      <c r="E520" s="731">
        <f t="shared" ref="E520:N520" si="32">E516*13.39</f>
        <v>3786.6501562500002</v>
      </c>
      <c r="F520" s="731">
        <f t="shared" si="32"/>
        <v>5626.5198437500003</v>
      </c>
      <c r="G520" s="731">
        <f t="shared" si="32"/>
        <v>7061.9696875</v>
      </c>
      <c r="H520" s="731">
        <f t="shared" si="32"/>
        <v>7949.475625</v>
      </c>
      <c r="I520" s="731">
        <f t="shared" si="32"/>
        <v>14564.344843750001</v>
      </c>
      <c r="J520" s="731">
        <f t="shared" si="32"/>
        <v>12172.97453125</v>
      </c>
      <c r="K520" s="731">
        <f t="shared" si="32"/>
        <v>8864.18</v>
      </c>
      <c r="L520" s="731">
        <f t="shared" si="32"/>
        <v>6922.63</v>
      </c>
      <c r="M520" s="731">
        <f t="shared" si="32"/>
        <v>5556.85</v>
      </c>
      <c r="N520" s="731">
        <f t="shared" si="32"/>
        <v>4378.53</v>
      </c>
      <c r="O520" s="731">
        <f>O516*12.02</f>
        <v>4026.7</v>
      </c>
      <c r="P520" s="745"/>
      <c r="Q520" s="724">
        <f t="shared" si="29"/>
        <v>84433.650000000009</v>
      </c>
      <c r="R520" s="1145" t="s">
        <v>865</v>
      </c>
      <c r="S520" s="1211"/>
      <c r="T520" s="1653"/>
      <c r="U520" s="1150"/>
      <c r="V520" s="150"/>
      <c r="Y520" s="157"/>
      <c r="Z520" s="157"/>
    </row>
    <row r="521" spans="1:26" s="125" customFormat="1" ht="16.5" x14ac:dyDescent="0.35">
      <c r="A521" s="461"/>
      <c r="B521" s="732" t="s">
        <v>325</v>
      </c>
      <c r="C521" s="714"/>
      <c r="D521" s="1147">
        <f>D517*9.2</f>
        <v>3514.3999999999996</v>
      </c>
      <c r="E521" s="1147">
        <f t="shared" ref="E521:N521" si="33">E517*9.2</f>
        <v>2916.3999999999996</v>
      </c>
      <c r="F521" s="1147">
        <f t="shared" si="33"/>
        <v>1747.9999999999998</v>
      </c>
      <c r="G521" s="1147">
        <f t="shared" si="33"/>
        <v>1738.8</v>
      </c>
      <c r="H521" s="1147">
        <f t="shared" si="33"/>
        <v>1563.9999999999998</v>
      </c>
      <c r="I521" s="1147">
        <f t="shared" si="33"/>
        <v>984.4</v>
      </c>
      <c r="J521" s="1147">
        <f t="shared" si="33"/>
        <v>1812.3999999999999</v>
      </c>
      <c r="K521" s="1147">
        <f t="shared" si="33"/>
        <v>1867.6</v>
      </c>
      <c r="L521" s="1147">
        <f t="shared" si="33"/>
        <v>2208</v>
      </c>
      <c r="M521" s="1147">
        <f t="shared" si="33"/>
        <v>1435.1999999999998</v>
      </c>
      <c r="N521" s="1147">
        <f t="shared" si="33"/>
        <v>1067.1999999999998</v>
      </c>
      <c r="O521" s="1147">
        <f>O517*9.33</f>
        <v>867.69</v>
      </c>
      <c r="P521" s="1148"/>
      <c r="Q521" s="1219">
        <f t="shared" si="29"/>
        <v>21724.09</v>
      </c>
      <c r="R521" s="1145" t="s">
        <v>865</v>
      </c>
      <c r="S521" s="1211"/>
      <c r="T521" s="1653"/>
      <c r="U521" s="1150"/>
      <c r="V521" s="150"/>
      <c r="Y521" s="157"/>
      <c r="Z521" s="157"/>
    </row>
    <row r="523" spans="1:26" s="125" customFormat="1" ht="16.5" x14ac:dyDescent="0.35">
      <c r="A523" s="461">
        <v>31</v>
      </c>
      <c r="B523" s="127" t="s">
        <v>611</v>
      </c>
      <c r="C523" s="611"/>
      <c r="D523" s="179"/>
      <c r="E523" s="179"/>
      <c r="F523" s="179"/>
      <c r="G523" s="179"/>
      <c r="H523" s="179"/>
      <c r="I523" s="179"/>
      <c r="J523" s="179"/>
      <c r="K523" s="179"/>
      <c r="L523" s="179"/>
      <c r="M523" s="179"/>
      <c r="N523" s="179"/>
      <c r="O523" s="179"/>
      <c r="R523" s="149"/>
      <c r="S523" s="150"/>
      <c r="T523" s="127" t="s">
        <v>611</v>
      </c>
      <c r="U523" s="181"/>
      <c r="V523" s="150"/>
      <c r="Y523" s="157"/>
      <c r="Z523" s="157"/>
    </row>
    <row r="524" spans="1:26" s="125" customFormat="1" ht="16.5" x14ac:dyDescent="0.35">
      <c r="A524" s="461"/>
      <c r="B524" s="127" t="s">
        <v>527</v>
      </c>
      <c r="C524" s="611"/>
      <c r="D524" s="1466" t="s">
        <v>104</v>
      </c>
      <c r="E524" s="179"/>
      <c r="F524" s="179"/>
      <c r="G524" s="179"/>
      <c r="H524" s="179"/>
      <c r="I524" s="179"/>
      <c r="J524" s="179"/>
      <c r="K524" s="179"/>
      <c r="L524" s="179"/>
      <c r="M524" s="179"/>
      <c r="N524" s="179"/>
      <c r="O524" s="179"/>
      <c r="R524" s="149"/>
      <c r="S524" s="150"/>
      <c r="T524" s="127"/>
      <c r="U524" s="181"/>
      <c r="V524" s="150"/>
      <c r="Y524" s="157"/>
      <c r="Z524" s="157"/>
    </row>
    <row r="525" spans="1:26" s="125" customFormat="1" ht="16.5" x14ac:dyDescent="0.35">
      <c r="A525" s="461"/>
      <c r="B525" s="127"/>
      <c r="C525" s="611" t="s">
        <v>1336</v>
      </c>
      <c r="D525" s="179" t="s">
        <v>1337</v>
      </c>
      <c r="E525" s="179" t="s">
        <v>1338</v>
      </c>
      <c r="F525" s="179" t="s">
        <v>1339</v>
      </c>
      <c r="G525" s="179" t="s">
        <v>1340</v>
      </c>
      <c r="H525" s="179" t="s">
        <v>1341</v>
      </c>
      <c r="I525" s="179" t="s">
        <v>1342</v>
      </c>
      <c r="J525" s="179" t="s">
        <v>1343</v>
      </c>
      <c r="K525" s="179" t="s">
        <v>1344</v>
      </c>
      <c r="L525" s="179" t="s">
        <v>1345</v>
      </c>
      <c r="M525" s="179" t="s">
        <v>1346</v>
      </c>
      <c r="N525" s="179" t="s">
        <v>1347</v>
      </c>
      <c r="O525" s="179"/>
      <c r="R525" s="149"/>
      <c r="S525" s="150"/>
      <c r="T525" s="127"/>
      <c r="U525" s="181"/>
      <c r="V525" s="150"/>
      <c r="Y525" s="157"/>
      <c r="Z525" s="157"/>
    </row>
    <row r="526" spans="1:26" s="125" customFormat="1" ht="16.5" x14ac:dyDescent="0.35">
      <c r="A526" s="461"/>
      <c r="B526" s="564" t="s">
        <v>694</v>
      </c>
      <c r="C526" s="611"/>
      <c r="D526" s="179"/>
      <c r="E526" s="179"/>
      <c r="F526" s="179"/>
      <c r="G526" s="179"/>
      <c r="H526" s="179"/>
      <c r="I526" s="179"/>
      <c r="J526" s="179"/>
      <c r="K526" s="179"/>
      <c r="L526" s="179"/>
      <c r="M526" s="179"/>
      <c r="N526" s="179"/>
      <c r="O526" s="179"/>
      <c r="R526" s="149"/>
      <c r="S526" s="150"/>
      <c r="T526" s="127"/>
      <c r="U526" s="181"/>
      <c r="V526" s="150"/>
      <c r="Y526" s="157"/>
      <c r="Z526" s="157"/>
    </row>
    <row r="527" spans="1:26" s="125" customFormat="1" ht="16.5" x14ac:dyDescent="0.35">
      <c r="A527" s="461"/>
      <c r="B527" s="564" t="s">
        <v>695</v>
      </c>
      <c r="C527" s="1591">
        <v>153348</v>
      </c>
      <c r="D527" s="1592">
        <v>204930</v>
      </c>
      <c r="E527" s="1592">
        <v>186979</v>
      </c>
      <c r="F527" s="1592">
        <v>216712.2</v>
      </c>
      <c r="G527" s="1592">
        <v>210352.9</v>
      </c>
      <c r="H527" s="1592">
        <v>124355.59999999999</v>
      </c>
      <c r="I527" s="1592">
        <v>116637.7</v>
      </c>
      <c r="J527" s="1592">
        <v>112030</v>
      </c>
      <c r="K527" s="1592">
        <v>126273.9</v>
      </c>
      <c r="L527" s="1592">
        <v>136211</v>
      </c>
      <c r="M527" s="1592">
        <v>123814.9</v>
      </c>
      <c r="N527" s="1592">
        <v>136677.80000000002</v>
      </c>
      <c r="O527" s="179"/>
      <c r="R527" s="149"/>
      <c r="S527" s="150"/>
      <c r="T527" s="127"/>
      <c r="U527" s="181"/>
      <c r="V527" s="150"/>
      <c r="Y527" s="157"/>
      <c r="Z527" s="157"/>
    </row>
    <row r="528" spans="1:26" s="125" customFormat="1" ht="16.5" x14ac:dyDescent="0.35">
      <c r="A528" s="461"/>
      <c r="B528" s="564" t="s">
        <v>696</v>
      </c>
      <c r="C528" s="1591">
        <v>1240</v>
      </c>
      <c r="D528" s="1592">
        <v>976</v>
      </c>
      <c r="E528" s="1592">
        <v>1627</v>
      </c>
      <c r="F528" s="1592">
        <v>2150</v>
      </c>
      <c r="G528" s="1592">
        <v>3202</v>
      </c>
      <c r="H528" s="1592">
        <v>2860</v>
      </c>
      <c r="I528" s="1592">
        <v>4149</v>
      </c>
      <c r="J528" s="1592">
        <v>3704</v>
      </c>
      <c r="K528" s="1592">
        <v>2627</v>
      </c>
      <c r="L528" s="1592">
        <v>1905</v>
      </c>
      <c r="M528" s="1592">
        <v>1628</v>
      </c>
      <c r="N528" s="1592">
        <v>1023</v>
      </c>
      <c r="O528" s="179"/>
      <c r="R528" s="149"/>
      <c r="S528" s="150"/>
      <c r="T528" s="127"/>
      <c r="U528" s="181"/>
      <c r="V528" s="150"/>
      <c r="Y528" s="157"/>
      <c r="Z528" s="157"/>
    </row>
    <row r="529" spans="1:26" s="125" customFormat="1" ht="16.5" x14ac:dyDescent="0.35">
      <c r="A529" s="461"/>
      <c r="B529" s="564" t="s">
        <v>697</v>
      </c>
      <c r="C529" s="1591">
        <v>78754</v>
      </c>
      <c r="D529" s="1592">
        <v>34591</v>
      </c>
      <c r="E529" s="1592">
        <v>25069</v>
      </c>
      <c r="F529" s="1592">
        <v>44991</v>
      </c>
      <c r="G529" s="1592">
        <v>15285</v>
      </c>
      <c r="H529" s="1592">
        <v>12019</v>
      </c>
      <c r="I529" s="1592">
        <v>21527</v>
      </c>
      <c r="J529" s="1592">
        <v>10314</v>
      </c>
      <c r="K529" s="1592">
        <v>11210</v>
      </c>
      <c r="L529" s="1592">
        <v>28835</v>
      </c>
      <c r="M529" s="1592">
        <v>20732</v>
      </c>
      <c r="N529" s="1592">
        <v>19184</v>
      </c>
      <c r="O529" s="179"/>
      <c r="R529" s="149"/>
      <c r="S529" s="150"/>
      <c r="T529" s="127"/>
      <c r="U529" s="181"/>
      <c r="V529" s="150"/>
      <c r="Y529" s="157"/>
      <c r="Z529" s="157"/>
    </row>
    <row r="530" spans="1:26" s="125" customFormat="1" ht="16.5" x14ac:dyDescent="0.35">
      <c r="A530" s="461"/>
      <c r="B530" s="564" t="s">
        <v>881</v>
      </c>
      <c r="C530" s="613"/>
      <c r="D530" s="177"/>
      <c r="E530" s="177"/>
      <c r="F530" s="177"/>
      <c r="G530" s="177"/>
      <c r="H530" s="177"/>
      <c r="I530" s="177"/>
      <c r="J530" s="177"/>
      <c r="K530" s="177"/>
      <c r="L530" s="177"/>
      <c r="M530" s="177"/>
      <c r="N530" s="177"/>
      <c r="O530" s="179"/>
      <c r="R530" s="149"/>
      <c r="S530" s="150"/>
      <c r="T530" s="127"/>
      <c r="U530" s="181"/>
      <c r="V530" s="150"/>
      <c r="Y530" s="157"/>
      <c r="Z530" s="157"/>
    </row>
    <row r="531" spans="1:26" s="125" customFormat="1" ht="16.5" x14ac:dyDescent="0.35">
      <c r="A531" s="461"/>
      <c r="B531" s="564" t="s">
        <v>698</v>
      </c>
      <c r="C531" s="613"/>
      <c r="D531" s="177"/>
      <c r="E531" s="177"/>
      <c r="F531" s="177"/>
      <c r="G531" s="177"/>
      <c r="H531" s="177"/>
      <c r="I531" s="177"/>
      <c r="J531" s="177"/>
      <c r="K531" s="177"/>
      <c r="L531" s="177"/>
      <c r="M531" s="177"/>
      <c r="N531" s="177"/>
      <c r="O531" s="179"/>
      <c r="R531" s="149"/>
      <c r="S531" s="150"/>
      <c r="T531" s="127"/>
      <c r="U531" s="181"/>
      <c r="V531" s="150"/>
      <c r="Y531" s="157"/>
      <c r="Z531" s="157"/>
    </row>
    <row r="532" spans="1:26" s="125" customFormat="1" ht="16.5" x14ac:dyDescent="0.35">
      <c r="A532" s="461"/>
      <c r="B532" s="564" t="s">
        <v>699</v>
      </c>
      <c r="C532" s="613">
        <v>10237.587794531915</v>
      </c>
      <c r="D532" s="177">
        <v>13687.53279513889</v>
      </c>
      <c r="E532" s="177">
        <v>12496.501308486238</v>
      </c>
      <c r="F532" s="177">
        <v>13242.889634830211</v>
      </c>
      <c r="G532" s="177">
        <v>11835.274653323391</v>
      </c>
      <c r="H532" s="177">
        <v>7002.362388010526</v>
      </c>
      <c r="I532" s="177">
        <v>6604.13552565591</v>
      </c>
      <c r="J532" s="177">
        <v>6541.2674764032818</v>
      </c>
      <c r="K532" s="177">
        <v>7432.6541225997362</v>
      </c>
      <c r="L532" s="177">
        <v>7816.3928363989535</v>
      </c>
      <c r="M532" s="177">
        <v>7250.6951043054896</v>
      </c>
      <c r="N532" s="177">
        <v>8827.2530304124211</v>
      </c>
      <c r="O532" s="179"/>
      <c r="R532" s="149"/>
      <c r="S532" s="150"/>
      <c r="T532" s="127"/>
      <c r="U532" s="181"/>
      <c r="V532" s="150"/>
      <c r="Y532" s="157"/>
      <c r="Z532" s="157"/>
    </row>
    <row r="533" spans="1:26" s="125" customFormat="1" ht="16.5" x14ac:dyDescent="0.35">
      <c r="A533" s="461"/>
      <c r="B533" s="564" t="s">
        <v>700</v>
      </c>
      <c r="C533" s="613">
        <v>890.87</v>
      </c>
      <c r="D533" s="177">
        <v>705.88</v>
      </c>
      <c r="E533" s="177">
        <v>1162.04</v>
      </c>
      <c r="F533" s="177">
        <v>1528.51</v>
      </c>
      <c r="G533" s="177">
        <v>2249.7600000000002</v>
      </c>
      <c r="H533" s="177">
        <v>1988.22</v>
      </c>
      <c r="I533" s="177">
        <v>2818.11</v>
      </c>
      <c r="J533" s="177">
        <v>2498.35</v>
      </c>
      <c r="K533" s="177">
        <v>1778.31</v>
      </c>
      <c r="L533" s="177">
        <v>1778.31</v>
      </c>
      <c r="M533" s="177">
        <v>1134.67</v>
      </c>
      <c r="N533" s="177">
        <v>723.38</v>
      </c>
      <c r="O533" s="179"/>
      <c r="R533" s="149"/>
      <c r="S533" s="150"/>
      <c r="T533" s="127"/>
      <c r="U533" s="181"/>
      <c r="V533" s="150"/>
      <c r="Y533" s="157"/>
      <c r="Z533" s="157"/>
    </row>
    <row r="534" spans="1:26" s="125" customFormat="1" ht="16.5" x14ac:dyDescent="0.35">
      <c r="A534" s="461"/>
      <c r="B534" s="564" t="s">
        <v>701</v>
      </c>
      <c r="C534" s="613">
        <v>5869.7842032421713</v>
      </c>
      <c r="D534" s="177">
        <v>2614.1386470827892</v>
      </c>
      <c r="E534" s="177">
        <v>1919.1588158381824</v>
      </c>
      <c r="F534" s="177">
        <v>3686.6342815067601</v>
      </c>
      <c r="G534" s="177">
        <v>1261.6449169703931</v>
      </c>
      <c r="H534" s="177">
        <v>1030.1304325135472</v>
      </c>
      <c r="I534" s="177">
        <v>1994.946593154639</v>
      </c>
      <c r="J534" s="177">
        <v>855.04087089890641</v>
      </c>
      <c r="K534" s="177">
        <v>920.91887405631053</v>
      </c>
      <c r="L534" s="177">
        <v>2329.7419737470668</v>
      </c>
      <c r="M534" s="177">
        <v>1636.9814319496302</v>
      </c>
      <c r="N534" s="177">
        <v>1259.8002160614672</v>
      </c>
      <c r="O534" s="179"/>
      <c r="R534" s="149"/>
      <c r="S534" s="150"/>
      <c r="T534" s="127"/>
      <c r="U534" s="181"/>
      <c r="V534" s="150"/>
      <c r="Y534" s="157"/>
      <c r="Z534" s="157"/>
    </row>
    <row r="535" spans="1:26" s="125" customFormat="1" ht="16.5" x14ac:dyDescent="0.35">
      <c r="A535" s="461"/>
      <c r="B535" s="127"/>
      <c r="C535" s="611"/>
      <c r="D535" s="179"/>
      <c r="E535" s="179"/>
      <c r="F535" s="179"/>
      <c r="G535" s="179"/>
      <c r="H535" s="179"/>
      <c r="I535" s="179"/>
      <c r="J535" s="179"/>
      <c r="K535" s="179"/>
      <c r="L535" s="179"/>
      <c r="M535" s="179"/>
      <c r="N535" s="179"/>
      <c r="O535" s="179"/>
      <c r="R535" s="149"/>
      <c r="S535" s="150"/>
      <c r="T535" s="127"/>
      <c r="U535" s="181"/>
      <c r="V535" s="150"/>
      <c r="Y535" s="157"/>
      <c r="Z535" s="157"/>
    </row>
    <row r="536" spans="1:26" s="125" customFormat="1" ht="16.5" x14ac:dyDescent="0.35">
      <c r="A536" s="461">
        <v>32</v>
      </c>
      <c r="B536" s="1412" t="s">
        <v>1330</v>
      </c>
      <c r="C536" s="611"/>
      <c r="D536" s="179"/>
      <c r="E536" s="179"/>
      <c r="F536" s="179"/>
      <c r="G536" s="179"/>
      <c r="H536" s="179"/>
      <c r="I536" s="179"/>
      <c r="J536" s="179"/>
      <c r="K536" s="179"/>
      <c r="L536" s="179"/>
      <c r="M536" s="179"/>
      <c r="N536" s="179"/>
      <c r="O536" s="179"/>
      <c r="R536" s="149"/>
      <c r="S536" s="150"/>
      <c r="T536" s="1412" t="s">
        <v>1330</v>
      </c>
      <c r="U536" s="181"/>
      <c r="V536" s="150"/>
      <c r="Y536" s="157"/>
      <c r="Z536" s="157"/>
    </row>
    <row r="537" spans="1:26" s="125" customFormat="1" ht="16.5" x14ac:dyDescent="0.35">
      <c r="A537" s="462"/>
      <c r="B537" s="666" t="s">
        <v>1330</v>
      </c>
      <c r="C537" s="497"/>
      <c r="D537"/>
      <c r="E537"/>
      <c r="F537"/>
      <c r="G537"/>
      <c r="H537"/>
      <c r="I537"/>
      <c r="J537"/>
      <c r="K537"/>
      <c r="L537"/>
      <c r="M537"/>
      <c r="N537"/>
      <c r="O537"/>
      <c r="P537"/>
      <c r="Q537"/>
      <c r="R537"/>
      <c r="S537" s="150"/>
      <c r="T537" s="127"/>
      <c r="U537" s="181"/>
      <c r="V537" s="150"/>
      <c r="Y537" s="157"/>
      <c r="Z537" s="157"/>
    </row>
    <row r="538" spans="1:26" s="125" customFormat="1" ht="16.5" x14ac:dyDescent="0.35">
      <c r="A538" s="461"/>
      <c r="B538" s="130" t="s">
        <v>337</v>
      </c>
      <c r="C538" s="186" t="s">
        <v>1318</v>
      </c>
      <c r="D538" s="131">
        <v>42186</v>
      </c>
      <c r="E538" s="131">
        <v>42217</v>
      </c>
      <c r="F538" s="131">
        <v>42248</v>
      </c>
      <c r="G538" s="131">
        <v>42278</v>
      </c>
      <c r="H538" s="131">
        <v>42309</v>
      </c>
      <c r="I538" s="131">
        <v>42339</v>
      </c>
      <c r="J538" s="131">
        <v>42370</v>
      </c>
      <c r="K538" s="131">
        <v>42401</v>
      </c>
      <c r="L538" s="131">
        <v>42430</v>
      </c>
      <c r="M538" s="131">
        <v>42461</v>
      </c>
      <c r="N538" s="131">
        <v>42491</v>
      </c>
      <c r="O538" s="131">
        <v>42522</v>
      </c>
      <c r="P538" s="131">
        <v>42552</v>
      </c>
      <c r="Q538" s="151">
        <v>42583</v>
      </c>
      <c r="R538" s="131">
        <v>42627</v>
      </c>
      <c r="S538" s="150"/>
      <c r="T538" s="127"/>
      <c r="U538" s="181"/>
      <c r="V538" s="150"/>
      <c r="Y538" s="157"/>
      <c r="Z538" s="157"/>
    </row>
    <row r="539" spans="1:26" s="125" customFormat="1" ht="16.5" x14ac:dyDescent="0.35">
      <c r="A539" s="461"/>
      <c r="B539" s="135" t="s">
        <v>319</v>
      </c>
      <c r="C539" s="1413"/>
      <c r="D539" s="153">
        <v>200600</v>
      </c>
      <c r="E539" s="153">
        <v>218000</v>
      </c>
      <c r="F539" s="136">
        <v>2084000</v>
      </c>
      <c r="G539" s="136">
        <v>169200</v>
      </c>
      <c r="H539" s="136">
        <v>166000</v>
      </c>
      <c r="I539" s="136">
        <v>178800</v>
      </c>
      <c r="J539" s="136">
        <v>151800</v>
      </c>
      <c r="K539" s="136">
        <v>153400</v>
      </c>
      <c r="L539" s="136">
        <v>164400</v>
      </c>
      <c r="M539" s="136">
        <v>161800</v>
      </c>
      <c r="N539" s="136">
        <v>186400</v>
      </c>
      <c r="O539" s="136">
        <v>228400</v>
      </c>
      <c r="P539" s="1414"/>
      <c r="Q539" s="1414"/>
      <c r="R539" s="1415"/>
      <c r="S539" s="150"/>
      <c r="T539" s="127"/>
      <c r="U539" s="181"/>
      <c r="V539" s="150"/>
      <c r="Y539" s="157"/>
      <c r="Z539" s="157"/>
    </row>
    <row r="540" spans="1:26" s="125" customFormat="1" ht="16.5" x14ac:dyDescent="0.35">
      <c r="A540" s="461"/>
      <c r="B540" s="135" t="s">
        <v>343</v>
      </c>
      <c r="C540" s="1416"/>
      <c r="D540" s="1417" t="s">
        <v>330</v>
      </c>
      <c r="E540" s="1417" t="s">
        <v>330</v>
      </c>
      <c r="F540" s="1418" t="s">
        <v>1331</v>
      </c>
      <c r="G540" s="1418" t="s">
        <v>330</v>
      </c>
      <c r="H540" s="1418" t="s">
        <v>330</v>
      </c>
      <c r="I540" s="1419" t="s">
        <v>330</v>
      </c>
      <c r="J540" s="1419" t="s">
        <v>330</v>
      </c>
      <c r="K540" s="1419" t="s">
        <v>330</v>
      </c>
      <c r="L540" s="1419" t="s">
        <v>330</v>
      </c>
      <c r="M540" s="1419" t="s">
        <v>330</v>
      </c>
      <c r="N540" s="1419" t="s">
        <v>330</v>
      </c>
      <c r="O540" s="1419" t="s">
        <v>330</v>
      </c>
      <c r="P540" s="1420" t="s">
        <v>330</v>
      </c>
      <c r="Q540" s="1420" t="s">
        <v>330</v>
      </c>
      <c r="R540" s="1421" t="s">
        <v>330</v>
      </c>
      <c r="S540" s="150"/>
      <c r="T540" s="127"/>
      <c r="U540" s="181"/>
      <c r="V540" s="150"/>
      <c r="Y540" s="157"/>
      <c r="Z540" s="157"/>
    </row>
    <row r="541" spans="1:26" s="125" customFormat="1" ht="16.5" x14ac:dyDescent="0.35">
      <c r="A541" s="461"/>
      <c r="B541" s="153" t="s">
        <v>362</v>
      </c>
      <c r="C541" s="1413"/>
      <c r="D541" s="1417" t="s">
        <v>330</v>
      </c>
      <c r="E541" s="1417" t="s">
        <v>330</v>
      </c>
      <c r="F541" s="1422" t="s">
        <v>330</v>
      </c>
      <c r="G541" s="1422" t="s">
        <v>330</v>
      </c>
      <c r="H541" s="1422" t="s">
        <v>330</v>
      </c>
      <c r="I541" s="1422" t="s">
        <v>330</v>
      </c>
      <c r="J541" s="1422" t="s">
        <v>330</v>
      </c>
      <c r="K541" s="1422" t="s">
        <v>330</v>
      </c>
      <c r="L541" s="1422" t="s">
        <v>330</v>
      </c>
      <c r="M541" s="1422" t="s">
        <v>330</v>
      </c>
      <c r="N541" s="1422" t="s">
        <v>330</v>
      </c>
      <c r="O541" s="1422" t="s">
        <v>330</v>
      </c>
      <c r="P541" s="1423" t="s">
        <v>330</v>
      </c>
      <c r="Q541" s="1423" t="s">
        <v>330</v>
      </c>
      <c r="R541" s="1421" t="s">
        <v>330</v>
      </c>
      <c r="S541" s="150"/>
      <c r="T541" s="127"/>
      <c r="U541" s="181"/>
      <c r="V541" s="150"/>
      <c r="Y541" s="157"/>
      <c r="Z541" s="157"/>
    </row>
    <row r="542" spans="1:26" s="125" customFormat="1" ht="16.5" x14ac:dyDescent="0.35">
      <c r="A542" s="461"/>
      <c r="B542" s="153" t="s">
        <v>641</v>
      </c>
      <c r="C542" s="1413"/>
      <c r="D542" s="153">
        <v>1388</v>
      </c>
      <c r="E542" s="153">
        <v>1948</v>
      </c>
      <c r="F542" s="141"/>
      <c r="G542" s="141"/>
      <c r="H542" s="141">
        <v>1946</v>
      </c>
      <c r="I542" s="141">
        <v>1778</v>
      </c>
      <c r="J542" s="141">
        <v>2078</v>
      </c>
      <c r="K542" s="141">
        <v>1884</v>
      </c>
      <c r="L542" s="141">
        <v>2185</v>
      </c>
      <c r="M542" s="141">
        <v>1682</v>
      </c>
      <c r="N542" s="141"/>
      <c r="O542" s="141">
        <v>1881</v>
      </c>
      <c r="P542" s="1424"/>
      <c r="Q542" s="1424"/>
      <c r="R542" s="1415"/>
      <c r="S542" s="150"/>
      <c r="T542" s="127"/>
      <c r="U542" s="181"/>
      <c r="V542" s="150"/>
      <c r="Y542" s="157"/>
      <c r="Z542" s="157"/>
    </row>
    <row r="543" spans="1:26" s="125" customFormat="1" ht="16.5" x14ac:dyDescent="0.35">
      <c r="A543" s="461"/>
      <c r="B543" s="135" t="s">
        <v>864</v>
      </c>
      <c r="C543" s="1413"/>
      <c r="D543" s="153">
        <v>313000</v>
      </c>
      <c r="E543" s="153">
        <v>343200</v>
      </c>
      <c r="F543" s="760">
        <v>411900</v>
      </c>
      <c r="G543" s="760">
        <v>468800</v>
      </c>
      <c r="H543" s="760">
        <v>426700</v>
      </c>
      <c r="I543" s="760">
        <v>3067000</v>
      </c>
      <c r="J543" s="760">
        <v>295400</v>
      </c>
      <c r="K543" s="750">
        <v>311700</v>
      </c>
      <c r="L543" s="750">
        <v>274500</v>
      </c>
      <c r="M543" s="750">
        <v>279200</v>
      </c>
      <c r="N543" s="750">
        <v>257100</v>
      </c>
      <c r="O543" s="750">
        <v>261900</v>
      </c>
      <c r="P543" s="1425"/>
      <c r="Q543" s="1426"/>
      <c r="R543" s="1415"/>
      <c r="S543" s="150"/>
      <c r="T543" s="127"/>
      <c r="U543" s="181"/>
      <c r="V543" s="150"/>
      <c r="Y543" s="157"/>
      <c r="Z543" s="157"/>
    </row>
    <row r="544" spans="1:26" s="125" customFormat="1" ht="16.5" x14ac:dyDescent="0.35">
      <c r="A544" s="461"/>
      <c r="B544" s="135" t="s">
        <v>324</v>
      </c>
      <c r="C544" s="1413"/>
      <c r="D544" s="1427">
        <v>17162.63</v>
      </c>
      <c r="E544" s="1427">
        <v>18673.509999999998</v>
      </c>
      <c r="F544" s="731">
        <v>18211.23</v>
      </c>
      <c r="G544" s="731">
        <v>15024.62</v>
      </c>
      <c r="H544" s="731">
        <v>14372.26</v>
      </c>
      <c r="I544" s="731">
        <v>14668.42</v>
      </c>
      <c r="J544" s="731">
        <v>13084.35</v>
      </c>
      <c r="K544" s="731">
        <v>13290.26</v>
      </c>
      <c r="L544" s="731">
        <v>14102.62</v>
      </c>
      <c r="M544" s="731">
        <v>13922.34</v>
      </c>
      <c r="N544" s="731">
        <v>16067.44</v>
      </c>
      <c r="O544" s="731">
        <v>19309.93</v>
      </c>
      <c r="P544" s="1428"/>
      <c r="Q544" s="1428"/>
      <c r="R544" s="1415"/>
      <c r="S544" s="150"/>
      <c r="T544" s="127"/>
      <c r="U544" s="181"/>
      <c r="V544" s="150"/>
      <c r="Y544" s="157"/>
      <c r="Z544" s="157"/>
    </row>
    <row r="545" spans="1:26" s="125" customFormat="1" ht="16.5" x14ac:dyDescent="0.35">
      <c r="A545" s="461"/>
      <c r="B545" s="144" t="s">
        <v>348</v>
      </c>
      <c r="C545" s="1413"/>
      <c r="D545" s="1417" t="s">
        <v>330</v>
      </c>
      <c r="E545" s="1417" t="s">
        <v>330</v>
      </c>
      <c r="F545" s="1418" t="s">
        <v>1331</v>
      </c>
      <c r="G545" s="1418" t="s">
        <v>330</v>
      </c>
      <c r="H545" s="1418" t="s">
        <v>330</v>
      </c>
      <c r="I545" s="1419" t="s">
        <v>330</v>
      </c>
      <c r="J545" s="1419" t="s">
        <v>330</v>
      </c>
      <c r="K545" s="1419" t="s">
        <v>330</v>
      </c>
      <c r="L545" s="1419" t="s">
        <v>330</v>
      </c>
      <c r="M545" s="1419" t="s">
        <v>330</v>
      </c>
      <c r="N545" s="1419" t="s">
        <v>330</v>
      </c>
      <c r="O545" s="1419" t="s">
        <v>330</v>
      </c>
      <c r="P545" s="1420" t="s">
        <v>330</v>
      </c>
      <c r="Q545" s="1420" t="s">
        <v>330</v>
      </c>
      <c r="R545" s="1421" t="s">
        <v>330</v>
      </c>
      <c r="S545" s="150"/>
      <c r="T545" s="127"/>
      <c r="U545" s="181"/>
      <c r="V545" s="150"/>
      <c r="Y545" s="157"/>
      <c r="Z545" s="157"/>
    </row>
    <row r="546" spans="1:26" s="125" customFormat="1" ht="16.5" x14ac:dyDescent="0.35">
      <c r="A546" s="461"/>
      <c r="B546" s="195" t="s">
        <v>1087</v>
      </c>
      <c r="C546" s="1413"/>
      <c r="D546" s="1417" t="s">
        <v>330</v>
      </c>
      <c r="E546" s="1417" t="s">
        <v>330</v>
      </c>
      <c r="F546" s="1418" t="s">
        <v>1331</v>
      </c>
      <c r="G546" s="1418" t="s">
        <v>330</v>
      </c>
      <c r="H546" s="1418" t="s">
        <v>330</v>
      </c>
      <c r="I546" s="1419" t="s">
        <v>330</v>
      </c>
      <c r="J546" s="1419" t="s">
        <v>330</v>
      </c>
      <c r="K546" s="1419" t="s">
        <v>330</v>
      </c>
      <c r="L546" s="1419" t="s">
        <v>330</v>
      </c>
      <c r="M546" s="1419" t="s">
        <v>330</v>
      </c>
      <c r="N546" s="1419" t="s">
        <v>330</v>
      </c>
      <c r="O546" s="1419" t="s">
        <v>330</v>
      </c>
      <c r="P546" s="1420" t="s">
        <v>330</v>
      </c>
      <c r="Q546" s="1420" t="s">
        <v>330</v>
      </c>
      <c r="R546" s="1421" t="s">
        <v>330</v>
      </c>
      <c r="S546" s="150"/>
      <c r="T546" s="127"/>
      <c r="U546" s="181"/>
      <c r="V546" s="150"/>
      <c r="Y546" s="157"/>
      <c r="Z546" s="157"/>
    </row>
    <row r="547" spans="1:26" s="125" customFormat="1" ht="16.5" x14ac:dyDescent="0.35">
      <c r="A547" s="461"/>
      <c r="B547" s="144" t="s">
        <v>883</v>
      </c>
      <c r="C547" s="1429"/>
      <c r="D547" s="145">
        <v>1064.19</v>
      </c>
      <c r="E547" s="145">
        <v>1507.59</v>
      </c>
      <c r="F547" s="145"/>
      <c r="G547" s="145"/>
      <c r="H547" s="145">
        <v>1477.19</v>
      </c>
      <c r="I547" s="145">
        <v>1330.66</v>
      </c>
      <c r="J547" s="145">
        <v>1526.77</v>
      </c>
      <c r="K547" s="145">
        <v>1371.28</v>
      </c>
      <c r="L547" s="145">
        <v>1586.6</v>
      </c>
      <c r="M547" s="145">
        <v>1228.24</v>
      </c>
      <c r="N547" s="145"/>
      <c r="O547" s="145">
        <v>1402.88</v>
      </c>
      <c r="P547" s="1430"/>
      <c r="Q547" s="1430"/>
      <c r="R547" s="1430"/>
      <c r="S547" s="150"/>
      <c r="T547" s="127"/>
      <c r="U547" s="181"/>
      <c r="V547" s="150"/>
      <c r="Y547" s="157"/>
      <c r="Z547" s="157"/>
    </row>
    <row r="548" spans="1:26" s="125" customFormat="1" ht="16.5" x14ac:dyDescent="0.35">
      <c r="A548"/>
      <c r="B548" t="s">
        <v>1332</v>
      </c>
      <c r="C548" s="1431"/>
      <c r="D548">
        <v>11695.82</v>
      </c>
      <c r="E548" s="1432">
        <v>1857.99</v>
      </c>
      <c r="F548">
        <v>22226.91</v>
      </c>
      <c r="G548">
        <v>2532.4699999999998</v>
      </c>
      <c r="H548">
        <v>2306.39</v>
      </c>
      <c r="I548">
        <v>1988.66</v>
      </c>
      <c r="J548">
        <v>1601.31</v>
      </c>
      <c r="K548">
        <v>1688.84</v>
      </c>
      <c r="L548">
        <v>1776.64</v>
      </c>
      <c r="M548">
        <v>1514.31</v>
      </c>
      <c r="N548">
        <v>1395.64</v>
      </c>
      <c r="O548">
        <v>1421.41</v>
      </c>
      <c r="P548" s="1431"/>
      <c r="Q548" s="1431"/>
      <c r="R548" s="1431"/>
      <c r="S548" s="150"/>
      <c r="T548" s="127"/>
      <c r="U548" s="181"/>
      <c r="V548" s="150"/>
      <c r="Y548" s="157"/>
      <c r="Z548" s="157"/>
    </row>
    <row r="549" spans="1:26" s="125" customFormat="1" ht="16.5" x14ac:dyDescent="0.35">
      <c r="A549" s="461"/>
      <c r="B549" s="127"/>
      <c r="C549" s="611"/>
      <c r="D549" s="179"/>
      <c r="E549" s="179"/>
      <c r="F549" s="179"/>
      <c r="G549" s="179"/>
      <c r="H549" s="179"/>
      <c r="I549" s="179"/>
      <c r="J549" s="179"/>
      <c r="K549" s="179"/>
      <c r="L549" s="179"/>
      <c r="M549" s="179"/>
      <c r="N549" s="179"/>
      <c r="O549" s="179"/>
      <c r="R549" s="149"/>
      <c r="S549" s="150"/>
      <c r="T549" s="127"/>
      <c r="U549" s="181"/>
      <c r="V549" s="150"/>
      <c r="Y549" s="157"/>
      <c r="Z549" s="157"/>
    </row>
    <row r="550" spans="1:26" s="125" customFormat="1" ht="16.5" x14ac:dyDescent="0.35">
      <c r="A550" s="461">
        <v>33</v>
      </c>
      <c r="B550" s="127" t="s">
        <v>613</v>
      </c>
      <c r="C550" s="611"/>
      <c r="D550" s="179"/>
      <c r="E550" s="179"/>
      <c r="F550" s="179"/>
      <c r="G550" s="179"/>
      <c r="H550" s="179"/>
      <c r="I550" s="179"/>
      <c r="J550" s="179"/>
      <c r="K550" s="179"/>
      <c r="L550" s="179"/>
      <c r="M550" s="179"/>
      <c r="N550" s="179"/>
      <c r="O550" s="179"/>
      <c r="R550" s="149"/>
      <c r="S550" s="150"/>
      <c r="T550" s="127" t="s">
        <v>613</v>
      </c>
      <c r="U550" s="181"/>
      <c r="V550" s="150"/>
      <c r="Y550" s="157"/>
      <c r="Z550" s="157"/>
    </row>
    <row r="551" spans="1:26" s="125" customFormat="1" ht="16.5" x14ac:dyDescent="0.35">
      <c r="A551" s="461"/>
      <c r="B551" s="994" t="s">
        <v>999</v>
      </c>
      <c r="C551" s="995" t="s">
        <v>1068</v>
      </c>
      <c r="D551" s="995" t="s">
        <v>1069</v>
      </c>
      <c r="E551" s="996"/>
      <c r="F551" s="997" t="s">
        <v>1333</v>
      </c>
      <c r="G551" s="997"/>
      <c r="H551" s="997" t="s">
        <v>1071</v>
      </c>
      <c r="I551" s="997" t="s">
        <v>1072</v>
      </c>
      <c r="J551" s="997" t="s">
        <v>1073</v>
      </c>
      <c r="K551" s="997" t="s">
        <v>1074</v>
      </c>
      <c r="L551" s="996"/>
      <c r="M551" s="996"/>
      <c r="N551" s="996"/>
      <c r="O551" s="996"/>
      <c r="P551" s="996"/>
      <c r="R551" s="149"/>
      <c r="S551" s="150"/>
      <c r="T551" s="127"/>
      <c r="U551" s="181"/>
      <c r="V551" s="150"/>
      <c r="Y551" s="157"/>
      <c r="Z551" s="157"/>
    </row>
    <row r="552" spans="1:26" s="125" customFormat="1" ht="16.5" x14ac:dyDescent="0.35">
      <c r="A552" s="461"/>
      <c r="B552" s="441"/>
      <c r="C552" s="441"/>
      <c r="D552" s="441"/>
      <c r="E552" s="441"/>
      <c r="F552" s="441"/>
      <c r="G552" s="441"/>
      <c r="H552" s="441"/>
      <c r="I552" s="441"/>
      <c r="J552" s="441"/>
      <c r="K552" s="441"/>
      <c r="L552" s="441"/>
      <c r="M552" s="441"/>
      <c r="N552" s="441"/>
      <c r="O552" s="441"/>
      <c r="P552" s="441"/>
      <c r="R552" s="149"/>
      <c r="S552" s="150"/>
      <c r="T552" s="127"/>
      <c r="U552" s="181"/>
      <c r="V552" s="150"/>
      <c r="Y552" s="157"/>
      <c r="Z552" s="157"/>
    </row>
    <row r="553" spans="1:26" s="125" customFormat="1" ht="16.5" x14ac:dyDescent="0.35">
      <c r="A553" s="461"/>
      <c r="B553" s="441"/>
      <c r="C553" s="998" t="s">
        <v>477</v>
      </c>
      <c r="D553" s="998" t="s">
        <v>478</v>
      </c>
      <c r="E553" s="998" t="s">
        <v>479</v>
      </c>
      <c r="F553" s="998" t="s">
        <v>480</v>
      </c>
      <c r="G553" s="998" t="s">
        <v>481</v>
      </c>
      <c r="H553" s="998" t="s">
        <v>482</v>
      </c>
      <c r="I553" s="998" t="s">
        <v>483</v>
      </c>
      <c r="J553" s="998" t="s">
        <v>484</v>
      </c>
      <c r="K553" s="998" t="s">
        <v>579</v>
      </c>
      <c r="L553" s="998" t="s">
        <v>580</v>
      </c>
      <c r="M553" s="998" t="s">
        <v>581</v>
      </c>
      <c r="N553" s="998" t="s">
        <v>476</v>
      </c>
      <c r="O553" s="998" t="s">
        <v>658</v>
      </c>
      <c r="P553" s="441"/>
      <c r="R553" s="149"/>
      <c r="S553" s="150"/>
      <c r="T553" s="127"/>
      <c r="U553" s="181"/>
      <c r="V553" s="150"/>
      <c r="Y553" s="157"/>
      <c r="Z553" s="157"/>
    </row>
    <row r="554" spans="1:26" s="125" customFormat="1" ht="40.5" x14ac:dyDescent="0.35">
      <c r="A554" s="461"/>
      <c r="B554" s="1437" t="s">
        <v>593</v>
      </c>
      <c r="C554" s="1000"/>
      <c r="D554" s="1001"/>
      <c r="E554" s="1002"/>
      <c r="F554" s="1002"/>
      <c r="G554" s="1003"/>
      <c r="H554" s="1438" t="s">
        <v>1334</v>
      </c>
      <c r="I554" s="1002"/>
      <c r="J554" s="1002"/>
      <c r="K554" s="1002"/>
      <c r="L554" s="1002"/>
      <c r="M554" s="1002"/>
      <c r="N554" s="1005"/>
      <c r="O554" s="1006"/>
      <c r="P554" s="579"/>
      <c r="R554" s="149"/>
      <c r="S554" s="150"/>
      <c r="T554" s="127"/>
      <c r="U554" s="181"/>
      <c r="V554" s="150"/>
      <c r="Y554" s="157"/>
      <c r="Z554" s="157"/>
    </row>
    <row r="555" spans="1:26" s="125" customFormat="1" ht="16.5" x14ac:dyDescent="0.35">
      <c r="A555" s="461"/>
      <c r="B555" s="999" t="s">
        <v>1075</v>
      </c>
      <c r="C555" s="1439">
        <v>810</v>
      </c>
      <c r="D555" s="1012">
        <v>410</v>
      </c>
      <c r="E555" s="1012">
        <v>270</v>
      </c>
      <c r="F555" s="1012">
        <v>240</v>
      </c>
      <c r="G555" s="1012">
        <v>230</v>
      </c>
      <c r="H555" s="1012">
        <v>90</v>
      </c>
      <c r="I555" s="1012">
        <v>160</v>
      </c>
      <c r="J555" s="1012">
        <v>510</v>
      </c>
      <c r="K555" s="1012">
        <v>260</v>
      </c>
      <c r="L555" s="1012">
        <v>390</v>
      </c>
      <c r="M555" s="1012">
        <v>150</v>
      </c>
      <c r="N555" s="1440">
        <v>130</v>
      </c>
      <c r="O555" s="1441">
        <f>SUM(C555:N555)</f>
        <v>3650</v>
      </c>
      <c r="P555" s="579"/>
      <c r="R555" s="149"/>
      <c r="S555" s="150"/>
      <c r="T555" s="127"/>
      <c r="U555" s="181"/>
      <c r="V555" s="150"/>
      <c r="Y555" s="157"/>
      <c r="Z555" s="157"/>
    </row>
    <row r="556" spans="1:26" s="125" customFormat="1" ht="16.5" x14ac:dyDescent="0.35">
      <c r="A556" s="461"/>
      <c r="B556" s="1012" t="s">
        <v>606</v>
      </c>
      <c r="C556" s="1008">
        <v>30</v>
      </c>
      <c r="D556" s="1008">
        <v>30</v>
      </c>
      <c r="E556" s="1008">
        <v>32</v>
      </c>
      <c r="F556" s="1008">
        <v>30</v>
      </c>
      <c r="G556" s="1008">
        <v>29</v>
      </c>
      <c r="H556" s="1008">
        <v>34</v>
      </c>
      <c r="I556" s="1008">
        <v>27</v>
      </c>
      <c r="J556" s="1008">
        <v>30</v>
      </c>
      <c r="K556" s="1008">
        <v>32</v>
      </c>
      <c r="L556" s="1008">
        <v>29</v>
      </c>
      <c r="M556" s="1008">
        <v>33</v>
      </c>
      <c r="N556" s="1010">
        <v>31</v>
      </c>
      <c r="O556" s="1442"/>
      <c r="P556" s="579"/>
      <c r="R556" s="149"/>
      <c r="S556" s="150"/>
      <c r="T556" s="127"/>
      <c r="U556" s="181"/>
      <c r="V556" s="150"/>
      <c r="Y556" s="157"/>
      <c r="Z556" s="157"/>
    </row>
    <row r="557" spans="1:26" s="125" customFormat="1" ht="16.5" x14ac:dyDescent="0.35">
      <c r="A557" s="461"/>
      <c r="B557" s="1012" t="s">
        <v>607</v>
      </c>
      <c r="C557" s="1014">
        <v>31.99</v>
      </c>
      <c r="D557" s="1014">
        <v>21.03</v>
      </c>
      <c r="E557" s="1014">
        <v>17.2</v>
      </c>
      <c r="F557" s="1014">
        <v>16.38</v>
      </c>
      <c r="G557" s="1014">
        <v>16.100000000000001</v>
      </c>
      <c r="H557" s="1014">
        <v>13.91</v>
      </c>
      <c r="I557" s="1014">
        <v>14.18</v>
      </c>
      <c r="J557" s="1014">
        <v>23.77</v>
      </c>
      <c r="K557" s="1014">
        <v>16.920000000000002</v>
      </c>
      <c r="L557" s="1014">
        <v>20.49</v>
      </c>
      <c r="M557" s="1014">
        <v>13.91</v>
      </c>
      <c r="N557" s="1015">
        <v>13.91</v>
      </c>
      <c r="O557" s="1443">
        <f>SUM(C557:N557)</f>
        <v>219.79000000000002</v>
      </c>
      <c r="P557" s="579"/>
      <c r="R557" s="149"/>
      <c r="S557" s="150"/>
      <c r="T557" s="127"/>
      <c r="U557" s="181"/>
      <c r="V557" s="150"/>
      <c r="Y557" s="157"/>
      <c r="Z557" s="157"/>
    </row>
    <row r="558" spans="1:26" s="125" customFormat="1" ht="16.5" x14ac:dyDescent="0.35">
      <c r="A558" s="461"/>
      <c r="B558" s="1012" t="s">
        <v>608</v>
      </c>
      <c r="C558" s="1014">
        <v>35.729999999999997</v>
      </c>
      <c r="D558" s="1014">
        <v>24.49</v>
      </c>
      <c r="E558" s="1014">
        <v>20.55</v>
      </c>
      <c r="F558" s="1014">
        <v>19.71</v>
      </c>
      <c r="G558" s="1014">
        <v>19.43</v>
      </c>
      <c r="H558" s="1014">
        <v>17.18</v>
      </c>
      <c r="I558" s="1014">
        <v>17.46</v>
      </c>
      <c r="J558" s="1014">
        <v>27.3</v>
      </c>
      <c r="K558" s="1014">
        <v>20.27</v>
      </c>
      <c r="L558" s="1014">
        <v>23.92</v>
      </c>
      <c r="M558" s="1014">
        <v>17.18</v>
      </c>
      <c r="N558" s="1015">
        <v>17.18</v>
      </c>
      <c r="O558" s="1443">
        <f>SUM(C558:N558)</f>
        <v>260.40000000000003</v>
      </c>
      <c r="P558" s="579"/>
      <c r="R558" s="149"/>
      <c r="S558" s="150"/>
      <c r="T558" s="127"/>
      <c r="U558" s="181"/>
      <c r="V558" s="150"/>
      <c r="Y558" s="157"/>
      <c r="Z558" s="157"/>
    </row>
    <row r="559" spans="1:26" s="125" customFormat="1" ht="16.5" x14ac:dyDescent="0.35">
      <c r="A559" s="461"/>
      <c r="B559" s="1444" t="s">
        <v>338</v>
      </c>
      <c r="C559" s="1445">
        <f t="shared" ref="C559:N559" si="34">SUM(C557:C558)</f>
        <v>67.72</v>
      </c>
      <c r="D559" s="1445">
        <f t="shared" si="34"/>
        <v>45.519999999999996</v>
      </c>
      <c r="E559" s="1445">
        <f t="shared" si="34"/>
        <v>37.75</v>
      </c>
      <c r="F559" s="1445">
        <f t="shared" si="34"/>
        <v>36.090000000000003</v>
      </c>
      <c r="G559" s="1446">
        <f t="shared" si="34"/>
        <v>35.53</v>
      </c>
      <c r="H559" s="1445">
        <f t="shared" si="34"/>
        <v>31.09</v>
      </c>
      <c r="I559" s="1445">
        <f t="shared" si="34"/>
        <v>31.64</v>
      </c>
      <c r="J559" s="1445">
        <f t="shared" si="34"/>
        <v>51.07</v>
      </c>
      <c r="K559" s="1445">
        <f t="shared" si="34"/>
        <v>37.19</v>
      </c>
      <c r="L559" s="1445">
        <f t="shared" si="34"/>
        <v>44.41</v>
      </c>
      <c r="M559" s="1445">
        <f t="shared" si="34"/>
        <v>31.09</v>
      </c>
      <c r="N559" s="1447">
        <f t="shared" si="34"/>
        <v>31.09</v>
      </c>
      <c r="O559" s="1448">
        <f>SUM(C559:N559)</f>
        <v>480.18999999999994</v>
      </c>
      <c r="P559" s="579"/>
      <c r="R559" s="149"/>
      <c r="S559" s="150"/>
      <c r="T559" s="127"/>
      <c r="U559" s="181"/>
      <c r="V559" s="150"/>
      <c r="Y559" s="157"/>
      <c r="Z559" s="157"/>
    </row>
    <row r="560" spans="1:26" s="125" customFormat="1" ht="16.5" x14ac:dyDescent="0.35">
      <c r="A560" s="461"/>
      <c r="B560" s="579"/>
      <c r="C560" s="579"/>
      <c r="D560" s="579"/>
      <c r="E560" s="579"/>
      <c r="F560" s="579"/>
      <c r="G560" s="579"/>
      <c r="H560" s="579"/>
      <c r="I560" s="579"/>
      <c r="J560" s="579"/>
      <c r="K560" s="579"/>
      <c r="L560" s="579"/>
      <c r="M560" s="579"/>
      <c r="N560" s="579"/>
      <c r="O560" s="579"/>
      <c r="P560" s="579"/>
      <c r="R560" s="149"/>
      <c r="S560" s="150"/>
      <c r="T560" s="127"/>
      <c r="U560" s="181"/>
      <c r="V560" s="150"/>
      <c r="Y560" s="157"/>
      <c r="Z560" s="157"/>
    </row>
    <row r="561" spans="1:26" s="125" customFormat="1" ht="16.5" x14ac:dyDescent="0.35">
      <c r="A561" s="461"/>
      <c r="B561" s="579"/>
      <c r="C561" s="579"/>
      <c r="D561" s="579"/>
      <c r="E561" s="579"/>
      <c r="F561" s="579"/>
      <c r="G561" s="579"/>
      <c r="H561" s="579"/>
      <c r="I561" s="579"/>
      <c r="J561" s="579"/>
      <c r="K561" s="579"/>
      <c r="L561" s="579"/>
      <c r="M561" s="579"/>
      <c r="N561" s="579"/>
      <c r="O561" s="579"/>
      <c r="P561" s="579"/>
      <c r="R561" s="149"/>
      <c r="S561" s="150"/>
      <c r="T561" s="127"/>
      <c r="U561" s="181"/>
      <c r="V561" s="150"/>
      <c r="Y561" s="157"/>
      <c r="Z561" s="157"/>
    </row>
    <row r="562" spans="1:26" s="125" customFormat="1" ht="16.5" x14ac:dyDescent="0.35">
      <c r="A562" s="461"/>
      <c r="B562" s="579"/>
      <c r="C562" s="579"/>
      <c r="D562" s="579"/>
      <c r="E562" s="579"/>
      <c r="F562" s="579"/>
      <c r="G562" s="579"/>
      <c r="H562" s="579"/>
      <c r="I562" s="579"/>
      <c r="J562" s="579"/>
      <c r="K562" s="579"/>
      <c r="L562" s="579"/>
      <c r="M562" s="579"/>
      <c r="N562" s="579"/>
      <c r="O562" s="579"/>
      <c r="P562" s="579"/>
      <c r="R562" s="149"/>
      <c r="S562" s="150"/>
      <c r="T562" s="127"/>
      <c r="U562" s="181"/>
      <c r="V562" s="150"/>
      <c r="Y562" s="157"/>
      <c r="Z562" s="157"/>
    </row>
    <row r="563" spans="1:26" s="125" customFormat="1" ht="40.5" x14ac:dyDescent="0.35">
      <c r="A563" s="461"/>
      <c r="B563" s="1022" t="s">
        <v>582</v>
      </c>
      <c r="C563" s="1018"/>
      <c r="D563" s="1018"/>
      <c r="E563" s="1018"/>
      <c r="F563" s="1018"/>
      <c r="G563" s="1018"/>
      <c r="H563" s="1019" t="s">
        <v>1076</v>
      </c>
      <c r="I563" s="1020"/>
      <c r="J563" s="1021"/>
      <c r="K563" s="1021"/>
      <c r="L563" s="1021"/>
      <c r="M563" s="1021"/>
      <c r="N563" s="1021"/>
      <c r="O563" s="1021"/>
      <c r="P563" s="579"/>
      <c r="R563" s="149"/>
      <c r="S563" s="150"/>
      <c r="T563" s="127"/>
      <c r="U563" s="181"/>
      <c r="V563" s="150"/>
      <c r="Y563" s="157"/>
      <c r="Z563" s="157"/>
    </row>
    <row r="564" spans="1:26" s="125" customFormat="1" ht="16.5" x14ac:dyDescent="0.35">
      <c r="A564" s="461"/>
      <c r="B564" s="1017" t="s">
        <v>583</v>
      </c>
      <c r="C564" s="1449">
        <v>74600</v>
      </c>
      <c r="D564" s="1449">
        <v>75300</v>
      </c>
      <c r="E564" s="1449">
        <v>90000</v>
      </c>
      <c r="F564" s="1449">
        <v>64800</v>
      </c>
      <c r="G564" s="1449">
        <v>59400</v>
      </c>
      <c r="H564" s="1449">
        <v>53600</v>
      </c>
      <c r="I564" s="1449">
        <v>54300</v>
      </c>
      <c r="J564" s="1449">
        <v>38300</v>
      </c>
      <c r="K564" s="1449">
        <v>54900</v>
      </c>
      <c r="L564" s="1449">
        <v>58000</v>
      </c>
      <c r="M564" s="1449">
        <v>71300</v>
      </c>
      <c r="N564" s="1449">
        <v>77300</v>
      </c>
      <c r="O564" s="1024">
        <f>SUM(C564:N564)</f>
        <v>771800</v>
      </c>
      <c r="P564" s="579"/>
      <c r="R564" s="149"/>
      <c r="S564" s="150"/>
      <c r="T564" s="127"/>
      <c r="U564" s="181"/>
      <c r="V564" s="150"/>
      <c r="Y564" s="157"/>
      <c r="Z564" s="157"/>
    </row>
    <row r="565" spans="1:26" s="125" customFormat="1" ht="16.5" x14ac:dyDescent="0.35">
      <c r="A565" s="461"/>
      <c r="B565" s="1022" t="s">
        <v>584</v>
      </c>
      <c r="C565" s="1450">
        <v>239</v>
      </c>
      <c r="D565" s="1450">
        <v>224</v>
      </c>
      <c r="E565" s="1450">
        <v>235</v>
      </c>
      <c r="F565" s="1450">
        <v>235</v>
      </c>
      <c r="G565" s="1450">
        <v>197</v>
      </c>
      <c r="H565" s="1450">
        <v>130</v>
      </c>
      <c r="I565" s="1450">
        <v>95</v>
      </c>
      <c r="J565" s="1450">
        <v>112</v>
      </c>
      <c r="K565" s="1450">
        <v>138</v>
      </c>
      <c r="L565" s="1450">
        <v>115</v>
      </c>
      <c r="M565" s="1450">
        <v>133</v>
      </c>
      <c r="N565" s="1450">
        <v>143</v>
      </c>
      <c r="O565" s="1451">
        <f>AVERAGE(C565:N565)</f>
        <v>166.33333333333334</v>
      </c>
      <c r="P565" s="579"/>
      <c r="R565" s="149"/>
      <c r="S565" s="150"/>
      <c r="T565" s="127"/>
      <c r="U565" s="181"/>
      <c r="V565" s="150"/>
      <c r="Y565" s="157"/>
      <c r="Z565" s="157"/>
    </row>
    <row r="566" spans="1:26" s="125" customFormat="1" ht="16.5" x14ac:dyDescent="0.35">
      <c r="A566" s="461"/>
      <c r="B566" s="1022" t="s">
        <v>585</v>
      </c>
      <c r="C566" s="1449">
        <v>30</v>
      </c>
      <c r="D566" s="1449">
        <v>29</v>
      </c>
      <c r="E566" s="1449">
        <v>34</v>
      </c>
      <c r="F566" s="1449">
        <v>29</v>
      </c>
      <c r="G566" s="1449">
        <v>28</v>
      </c>
      <c r="H566" s="1449">
        <v>32</v>
      </c>
      <c r="I566" s="1449">
        <v>36</v>
      </c>
      <c r="J566" s="1449">
        <v>24</v>
      </c>
      <c r="K566" s="1449">
        <v>32</v>
      </c>
      <c r="L566" s="1449">
        <v>30</v>
      </c>
      <c r="M566" s="1449">
        <v>32</v>
      </c>
      <c r="N566" s="1449">
        <v>31</v>
      </c>
      <c r="O566" s="1023"/>
      <c r="P566" s="579"/>
      <c r="R566" s="149"/>
      <c r="S566" s="150"/>
      <c r="T566" s="127"/>
      <c r="U566" s="181"/>
      <c r="V566" s="150"/>
      <c r="Y566" s="157"/>
      <c r="Z566" s="157"/>
    </row>
    <row r="567" spans="1:26" s="125" customFormat="1" ht="16.5" x14ac:dyDescent="0.35">
      <c r="A567" s="461"/>
      <c r="B567" s="1022" t="s">
        <v>586</v>
      </c>
      <c r="C567" s="1021">
        <v>6220.14</v>
      </c>
      <c r="D567" s="1021">
        <v>6304.81</v>
      </c>
      <c r="E567" s="1021">
        <v>7173.55</v>
      </c>
      <c r="F567" s="1452">
        <v>4624.78</v>
      </c>
      <c r="G567" s="1452">
        <v>4310.92</v>
      </c>
      <c r="H567" s="1452">
        <v>3838.18</v>
      </c>
      <c r="I567" s="1452">
        <v>3646.13</v>
      </c>
      <c r="J567" s="1452">
        <v>3067.15</v>
      </c>
      <c r="K567" s="1452">
        <v>4092.07</v>
      </c>
      <c r="L567" s="1452">
        <v>4098.29</v>
      </c>
      <c r="M567" s="1452">
        <v>4910.8100000000004</v>
      </c>
      <c r="N567" s="1452">
        <v>5484.81</v>
      </c>
      <c r="O567" s="1026">
        <f>SUM(C567:N567)</f>
        <v>57771.639999999992</v>
      </c>
      <c r="P567" s="579"/>
      <c r="R567" s="149"/>
      <c r="S567" s="150"/>
      <c r="T567" s="127"/>
      <c r="U567" s="181"/>
      <c r="V567" s="150"/>
      <c r="Y567" s="157"/>
      <c r="Z567" s="157"/>
    </row>
    <row r="568" spans="1:26" s="125" customFormat="1" ht="16.5" x14ac:dyDescent="0.35">
      <c r="A568" s="461"/>
      <c r="B568" s="1022" t="s">
        <v>587</v>
      </c>
      <c r="C568" s="1021">
        <v>786.25</v>
      </c>
      <c r="D568" s="1021">
        <v>786.25</v>
      </c>
      <c r="E568" s="1021">
        <v>786.25</v>
      </c>
      <c r="F568" s="1452">
        <v>786.25</v>
      </c>
      <c r="G568" s="1452">
        <v>786.25</v>
      </c>
      <c r="H568" s="1452">
        <v>760.35</v>
      </c>
      <c r="I568" s="1452">
        <v>744.98</v>
      </c>
      <c r="J568" s="1452">
        <v>745.05</v>
      </c>
      <c r="K568" s="1452">
        <v>745.05</v>
      </c>
      <c r="L568" s="1452">
        <v>745.05</v>
      </c>
      <c r="M568" s="1452">
        <v>745.05</v>
      </c>
      <c r="N568" s="1452">
        <v>745.05</v>
      </c>
      <c r="O568" s="1026">
        <f>SUM(C568:N568)</f>
        <v>9161.83</v>
      </c>
      <c r="P568" s="579"/>
      <c r="R568" s="149"/>
      <c r="S568" s="150"/>
      <c r="T568" s="127"/>
      <c r="U568" s="181"/>
      <c r="V568" s="150"/>
      <c r="Y568" s="157"/>
      <c r="Z568" s="157"/>
    </row>
    <row r="569" spans="1:26" s="125" customFormat="1" ht="16.5" x14ac:dyDescent="0.35">
      <c r="A569" s="461"/>
      <c r="B569" s="1022" t="s">
        <v>1077</v>
      </c>
      <c r="C569" s="1021">
        <v>490.45</v>
      </c>
      <c r="D569" s="1021">
        <v>496.37</v>
      </c>
      <c r="E569" s="1021">
        <v>557.19000000000005</v>
      </c>
      <c r="F569" s="1452">
        <v>378.77</v>
      </c>
      <c r="G569" s="1452">
        <v>356.8</v>
      </c>
      <c r="H569" s="1452">
        <v>321.89999999999998</v>
      </c>
      <c r="I569" s="1452">
        <v>307.38</v>
      </c>
      <c r="J569" s="1452">
        <v>266.85000000000002</v>
      </c>
      <c r="K569" s="1452">
        <v>338.6</v>
      </c>
      <c r="L569" s="1452">
        <v>339.03</v>
      </c>
      <c r="M569" s="1452">
        <v>395.91</v>
      </c>
      <c r="N569" s="1452">
        <v>436.09</v>
      </c>
      <c r="O569" s="1026">
        <f>SUM(C569:N569)</f>
        <v>4685.34</v>
      </c>
      <c r="P569" s="579"/>
      <c r="R569" s="149"/>
      <c r="S569" s="150"/>
      <c r="T569" s="127"/>
      <c r="U569" s="181"/>
      <c r="V569" s="150"/>
      <c r="Y569" s="157"/>
      <c r="Z569" s="157"/>
    </row>
    <row r="570" spans="1:26" s="125" customFormat="1" ht="16.5" x14ac:dyDescent="0.35">
      <c r="A570" s="461"/>
      <c r="B570" s="1017" t="s">
        <v>589</v>
      </c>
      <c r="C570" s="1453">
        <f t="shared" ref="C570:N570" si="35">SUM(C567:C569)</f>
        <v>7496.84</v>
      </c>
      <c r="D570" s="1453">
        <f t="shared" si="35"/>
        <v>7587.43</v>
      </c>
      <c r="E570" s="1453">
        <f t="shared" si="35"/>
        <v>8516.99</v>
      </c>
      <c r="F570" s="1453">
        <f t="shared" si="35"/>
        <v>5789.7999999999993</v>
      </c>
      <c r="G570" s="1454">
        <f t="shared" si="35"/>
        <v>5453.97</v>
      </c>
      <c r="H570" s="1454">
        <f t="shared" si="35"/>
        <v>4920.4299999999994</v>
      </c>
      <c r="I570" s="1453">
        <f t="shared" si="35"/>
        <v>4698.4900000000007</v>
      </c>
      <c r="J570" s="1454">
        <f t="shared" si="35"/>
        <v>4079.0499999999997</v>
      </c>
      <c r="K570" s="1454">
        <f t="shared" si="35"/>
        <v>5175.72</v>
      </c>
      <c r="L570" s="1454">
        <f t="shared" si="35"/>
        <v>5182.37</v>
      </c>
      <c r="M570" s="1454">
        <f>SUM(M567:M569)</f>
        <v>6051.77</v>
      </c>
      <c r="N570" s="1454">
        <f t="shared" si="35"/>
        <v>6665.9500000000007</v>
      </c>
      <c r="O570" s="1455">
        <f>SUM(C570:N570)</f>
        <v>71618.81</v>
      </c>
      <c r="P570" s="579"/>
      <c r="R570" s="149"/>
      <c r="S570" s="150"/>
      <c r="T570" s="127"/>
      <c r="U570" s="181"/>
      <c r="V570" s="150"/>
      <c r="Y570" s="157"/>
      <c r="Z570" s="157"/>
    </row>
    <row r="571" spans="1:26" s="125" customFormat="1" ht="16.5" x14ac:dyDescent="0.35">
      <c r="A571" s="461"/>
      <c r="B571" s="579"/>
      <c r="C571" s="579"/>
      <c r="D571" s="579"/>
      <c r="E571" s="579"/>
      <c r="F571" s="579"/>
      <c r="G571" s="579"/>
      <c r="H571" s="579"/>
      <c r="I571" s="579"/>
      <c r="J571" s="579"/>
      <c r="K571" s="579"/>
      <c r="L571" s="579"/>
      <c r="M571" s="579"/>
      <c r="N571" s="579"/>
      <c r="O571" s="579"/>
      <c r="P571" s="579"/>
      <c r="R571" s="149"/>
      <c r="S571" s="150"/>
      <c r="T571" s="127"/>
      <c r="U571" s="181"/>
      <c r="V571" s="150"/>
      <c r="Y571" s="157"/>
      <c r="Z571" s="157"/>
    </row>
    <row r="572" spans="1:26" s="125" customFormat="1" ht="16.5" x14ac:dyDescent="0.35">
      <c r="A572" s="461"/>
      <c r="B572" s="579"/>
      <c r="C572" s="579"/>
      <c r="D572" s="579"/>
      <c r="E572" s="579"/>
      <c r="F572" s="579"/>
      <c r="G572" s="579"/>
      <c r="H572" s="579"/>
      <c r="I572" s="579"/>
      <c r="J572" s="579"/>
      <c r="K572" s="579"/>
      <c r="L572" s="579"/>
      <c r="M572" s="579"/>
      <c r="N572" s="579"/>
      <c r="O572" s="579"/>
      <c r="P572" s="579"/>
      <c r="R572" s="149"/>
      <c r="S572" s="150"/>
      <c r="T572" s="127"/>
      <c r="U572" s="181"/>
      <c r="V572" s="150"/>
      <c r="Y572" s="157"/>
      <c r="Z572" s="157"/>
    </row>
    <row r="573" spans="1:26" s="125" customFormat="1" ht="16.5" x14ac:dyDescent="0.35">
      <c r="A573" s="461"/>
      <c r="B573" s="579"/>
      <c r="C573" s="579"/>
      <c r="D573" s="579"/>
      <c r="E573" s="579"/>
      <c r="F573" s="579"/>
      <c r="G573" s="579"/>
      <c r="H573" s="579"/>
      <c r="I573" s="579"/>
      <c r="J573" s="579"/>
      <c r="K573" s="579"/>
      <c r="L573" s="579"/>
      <c r="M573" s="579"/>
      <c r="N573" s="579"/>
      <c r="O573" s="579"/>
      <c r="P573" s="579"/>
      <c r="R573" s="149"/>
      <c r="S573" s="150"/>
      <c r="T573" s="127"/>
      <c r="U573" s="181"/>
      <c r="V573" s="150"/>
      <c r="Y573" s="157"/>
      <c r="Z573" s="157"/>
    </row>
    <row r="574" spans="1:26" s="125" customFormat="1" ht="53.25" x14ac:dyDescent="0.35">
      <c r="A574" s="461"/>
      <c r="B574" s="1437" t="s">
        <v>1078</v>
      </c>
      <c r="C574" s="579"/>
      <c r="D574" s="579"/>
      <c r="E574" s="579"/>
      <c r="F574" s="579"/>
      <c r="G574" s="579"/>
      <c r="H574" s="1029" t="s">
        <v>664</v>
      </c>
      <c r="I574" s="441"/>
      <c r="J574" s="579"/>
      <c r="K574" s="579"/>
      <c r="L574" s="1030"/>
      <c r="M574" s="1030"/>
      <c r="N574" s="1031"/>
      <c r="O574" s="1031"/>
      <c r="P574" s="1030"/>
      <c r="R574" s="149"/>
      <c r="S574" s="150"/>
      <c r="T574" s="127"/>
      <c r="U574" s="181"/>
      <c r="V574" s="150"/>
      <c r="Y574" s="157"/>
      <c r="Z574" s="157"/>
    </row>
    <row r="575" spans="1:26" s="125" customFormat="1" ht="16.5" x14ac:dyDescent="0.35">
      <c r="A575" s="461"/>
      <c r="B575" s="1456" t="s">
        <v>591</v>
      </c>
      <c r="C575" s="1457">
        <v>401</v>
      </c>
      <c r="D575" s="1457">
        <v>287</v>
      </c>
      <c r="E575" s="1457">
        <v>599</v>
      </c>
      <c r="F575" s="1457">
        <v>605</v>
      </c>
      <c r="G575" s="1457">
        <v>871</v>
      </c>
      <c r="H575" s="1457">
        <v>1332</v>
      </c>
      <c r="I575" s="1457">
        <v>1226</v>
      </c>
      <c r="J575" s="1457">
        <v>829</v>
      </c>
      <c r="K575" s="1457">
        <v>787</v>
      </c>
      <c r="L575" s="1457">
        <v>907</v>
      </c>
      <c r="M575" s="685">
        <v>734</v>
      </c>
      <c r="N575" s="1457">
        <v>513</v>
      </c>
      <c r="O575" s="1458">
        <f>SUM(C575:N575)</f>
        <v>9091</v>
      </c>
      <c r="P575" s="1459"/>
      <c r="R575" s="149"/>
      <c r="S575" s="150"/>
      <c r="T575" s="127"/>
      <c r="U575" s="181"/>
      <c r="V575" s="150"/>
      <c r="Y575" s="157"/>
      <c r="Z575" s="157"/>
    </row>
    <row r="576" spans="1:26" s="125" customFormat="1" ht="16.5" x14ac:dyDescent="0.35">
      <c r="A576" s="461"/>
      <c r="B576" s="1032" t="s">
        <v>586</v>
      </c>
      <c r="C576" s="1460">
        <v>302.98</v>
      </c>
      <c r="D576" s="1460">
        <v>223.1</v>
      </c>
      <c r="E576" s="1460">
        <v>441.72</v>
      </c>
      <c r="F576" s="1460">
        <v>456.88</v>
      </c>
      <c r="G576" s="1460">
        <v>618.98</v>
      </c>
      <c r="H576" s="1460">
        <v>934.86</v>
      </c>
      <c r="I576" s="1460">
        <v>841.65</v>
      </c>
      <c r="J576" s="1460">
        <v>576.24</v>
      </c>
      <c r="K576" s="1460">
        <v>530.48</v>
      </c>
      <c r="L576" s="1460">
        <v>641.9</v>
      </c>
      <c r="M576" s="1461">
        <v>523.79999999999995</v>
      </c>
      <c r="N576" s="1460">
        <v>374.12</v>
      </c>
      <c r="O576" s="1462">
        <f>SUM(C576:N576)</f>
        <v>6466.7099999999991</v>
      </c>
      <c r="P576" s="1035"/>
      <c r="R576" s="149"/>
      <c r="S576" s="150"/>
      <c r="T576" s="127"/>
      <c r="U576" s="181"/>
      <c r="V576" s="150"/>
      <c r="Y576" s="157"/>
      <c r="Z576" s="157"/>
    </row>
    <row r="577" spans="1:74" s="125" customFormat="1" ht="16.5" x14ac:dyDescent="0.35">
      <c r="A577" s="461"/>
      <c r="B577" s="1032" t="s">
        <v>1082</v>
      </c>
      <c r="C577" s="1460">
        <v>21.21</v>
      </c>
      <c r="D577" s="1460">
        <v>15.62</v>
      </c>
      <c r="E577" s="1460">
        <v>30.92</v>
      </c>
      <c r="F577" s="1460">
        <v>31.98</v>
      </c>
      <c r="G577" s="1460">
        <v>43.33</v>
      </c>
      <c r="H577" s="1460">
        <v>65.44</v>
      </c>
      <c r="I577" s="1460">
        <v>58.92</v>
      </c>
      <c r="J577" s="1460">
        <v>40.340000000000003</v>
      </c>
      <c r="K577" s="1460">
        <v>37.130000000000003</v>
      </c>
      <c r="L577" s="1460">
        <v>44.93</v>
      </c>
      <c r="M577" s="1461">
        <v>36.67</v>
      </c>
      <c r="N577" s="1460">
        <v>26.19</v>
      </c>
      <c r="O577" s="1462">
        <f>SUM(C577:N577)</f>
        <v>452.68</v>
      </c>
      <c r="P577" s="1035"/>
      <c r="R577" s="149"/>
      <c r="S577" s="150"/>
      <c r="T577" s="127"/>
      <c r="U577" s="181"/>
      <c r="V577" s="150"/>
      <c r="Y577" s="157"/>
      <c r="Z577" s="157"/>
    </row>
    <row r="578" spans="1:74" s="125" customFormat="1" ht="16.5" x14ac:dyDescent="0.35">
      <c r="A578" s="461"/>
      <c r="B578" s="1456" t="s">
        <v>589</v>
      </c>
      <c r="C578" s="1463">
        <f t="shared" ref="C578:N578" si="36">SUM(C576:C577)</f>
        <v>324.19</v>
      </c>
      <c r="D578" s="1463">
        <f t="shared" si="36"/>
        <v>238.72</v>
      </c>
      <c r="E578" s="1463">
        <f t="shared" si="36"/>
        <v>472.64000000000004</v>
      </c>
      <c r="F578" s="1463">
        <f t="shared" si="36"/>
        <v>488.86</v>
      </c>
      <c r="G578" s="1463">
        <f t="shared" si="36"/>
        <v>662.31000000000006</v>
      </c>
      <c r="H578" s="1463">
        <f t="shared" si="36"/>
        <v>1000.3</v>
      </c>
      <c r="I578" s="1463">
        <f t="shared" si="36"/>
        <v>900.56999999999994</v>
      </c>
      <c r="J578" s="1463">
        <f t="shared" si="36"/>
        <v>616.58000000000004</v>
      </c>
      <c r="K578" s="1463">
        <f t="shared" si="36"/>
        <v>567.61</v>
      </c>
      <c r="L578" s="1463">
        <f>SUM(L576:L577)</f>
        <v>686.82999999999993</v>
      </c>
      <c r="M578" s="1463">
        <f t="shared" si="36"/>
        <v>560.46999999999991</v>
      </c>
      <c r="N578" s="1463">
        <f t="shared" si="36"/>
        <v>400.31</v>
      </c>
      <c r="O578" s="1464">
        <f>SUM(C578:N578)</f>
        <v>6919.3899999999994</v>
      </c>
      <c r="P578" s="1465"/>
      <c r="R578" s="149"/>
      <c r="S578" s="150"/>
      <c r="T578" s="127"/>
      <c r="U578" s="181"/>
      <c r="V578" s="150"/>
      <c r="Y578" s="157"/>
      <c r="Z578" s="157"/>
    </row>
    <row r="579" spans="1:74" s="125" customFormat="1" ht="16.5" x14ac:dyDescent="0.35">
      <c r="A579" s="461"/>
      <c r="B579" s="579"/>
      <c r="C579" s="579"/>
      <c r="D579" s="579"/>
      <c r="E579" s="579"/>
      <c r="F579" s="579"/>
      <c r="G579" s="579"/>
      <c r="H579" s="579"/>
      <c r="I579" s="579"/>
      <c r="J579" s="579"/>
      <c r="K579" s="579"/>
      <c r="L579" s="579"/>
      <c r="M579" s="579"/>
      <c r="N579" s="579"/>
      <c r="O579" s="579"/>
      <c r="P579" s="579"/>
      <c r="R579" s="149"/>
      <c r="S579" s="150"/>
      <c r="T579" s="127"/>
      <c r="U579" s="181"/>
      <c r="V579" s="150"/>
      <c r="Y579" s="157"/>
      <c r="Z579" s="157"/>
    </row>
    <row r="581" spans="1:74" s="128" customFormat="1" x14ac:dyDescent="0.25">
      <c r="A581" s="459">
        <v>34</v>
      </c>
      <c r="B581" s="127" t="s">
        <v>615</v>
      </c>
      <c r="C581" s="602"/>
      <c r="T581" s="127" t="s">
        <v>615</v>
      </c>
      <c r="U581" s="129"/>
      <c r="X581" s="129"/>
      <c r="Y581" s="166"/>
      <c r="Z581" s="166"/>
    </row>
    <row r="582" spans="1:74" ht="37.15" customHeight="1" x14ac:dyDescent="0.2">
      <c r="A582" s="823" t="s">
        <v>887</v>
      </c>
      <c r="C582"/>
      <c r="Y582"/>
      <c r="Z582"/>
    </row>
    <row r="583" spans="1:74" ht="16.149999999999999" customHeight="1" x14ac:dyDescent="0.2">
      <c r="A583" s="2256" t="s">
        <v>888</v>
      </c>
      <c r="B583" s="2257"/>
      <c r="C583" s="2257"/>
      <c r="D583" s="2257"/>
      <c r="E583" s="2257"/>
      <c r="F583" s="2257"/>
      <c r="G583" s="2257"/>
      <c r="H583" s="2257"/>
      <c r="I583" s="2257"/>
      <c r="J583" s="2257"/>
      <c r="K583" s="2257"/>
      <c r="L583" s="2257"/>
      <c r="M583" s="2257"/>
      <c r="N583" s="2257"/>
      <c r="O583" s="2257"/>
      <c r="P583" s="2257"/>
      <c r="Q583" s="2257"/>
      <c r="R583" s="2257"/>
      <c r="S583" s="2257"/>
      <c r="T583" s="2257"/>
      <c r="U583" s="2257"/>
      <c r="V583" s="2257"/>
      <c r="W583" s="2257"/>
      <c r="X583" s="2257"/>
      <c r="Y583" s="2257"/>
      <c r="Z583" s="2257"/>
      <c r="AA583" s="2257"/>
      <c r="AB583" s="2257"/>
      <c r="AC583" s="2257"/>
      <c r="AD583" s="2257"/>
      <c r="AE583" s="2257"/>
      <c r="AF583" s="2257"/>
      <c r="AG583" s="2257"/>
      <c r="AH583" s="2257"/>
      <c r="AI583" s="2257"/>
      <c r="AJ583" s="2257"/>
      <c r="AK583" s="2257"/>
      <c r="AL583" s="2257"/>
      <c r="AM583" s="2257"/>
      <c r="AN583" s="2257"/>
      <c r="AO583" s="2257"/>
      <c r="AP583" s="2257"/>
      <c r="AQ583" s="2257"/>
      <c r="AR583" s="2257"/>
      <c r="AS583" s="2257"/>
      <c r="AT583" s="2257"/>
      <c r="AU583" s="2257"/>
      <c r="AV583" s="2257"/>
      <c r="AW583" s="2257"/>
      <c r="AX583" s="2257"/>
      <c r="AY583" s="2258"/>
    </row>
    <row r="584" spans="1:74" s="94" customFormat="1" ht="12.75" x14ac:dyDescent="0.2">
      <c r="A584" s="824" t="s">
        <v>654</v>
      </c>
      <c r="B584" s="825" t="s">
        <v>655</v>
      </c>
      <c r="C584" s="826">
        <v>40360</v>
      </c>
      <c r="D584" s="826">
        <v>40391</v>
      </c>
      <c r="E584" s="826">
        <v>40422</v>
      </c>
      <c r="F584" s="826">
        <v>40452</v>
      </c>
      <c r="G584" s="826">
        <v>40483</v>
      </c>
      <c r="H584" s="826">
        <v>40513</v>
      </c>
      <c r="I584" s="826">
        <v>40544</v>
      </c>
      <c r="J584" s="826">
        <v>40575</v>
      </c>
      <c r="K584" s="826">
        <v>40603</v>
      </c>
      <c r="L584" s="826">
        <v>40634</v>
      </c>
      <c r="M584" s="826">
        <v>40664</v>
      </c>
      <c r="N584" s="826">
        <v>40695</v>
      </c>
      <c r="O584" s="826">
        <v>40725</v>
      </c>
      <c r="P584" s="826">
        <v>40756</v>
      </c>
      <c r="Q584" s="826">
        <v>40787</v>
      </c>
      <c r="R584" s="826">
        <v>40817</v>
      </c>
      <c r="S584" s="826">
        <v>40848</v>
      </c>
      <c r="T584" s="826">
        <v>40878</v>
      </c>
      <c r="U584" s="826">
        <v>40909</v>
      </c>
      <c r="V584" s="826">
        <v>40940</v>
      </c>
      <c r="W584" s="826">
        <v>40969</v>
      </c>
      <c r="X584" s="826">
        <v>41000</v>
      </c>
      <c r="Y584" s="826">
        <v>41030</v>
      </c>
      <c r="Z584" s="826">
        <v>41061</v>
      </c>
      <c r="AA584" s="826">
        <v>41091</v>
      </c>
      <c r="AB584" s="826">
        <v>41122</v>
      </c>
      <c r="AC584" s="826">
        <v>41153</v>
      </c>
      <c r="AD584" s="826">
        <v>41183</v>
      </c>
      <c r="AE584" s="826">
        <v>41214</v>
      </c>
      <c r="AF584" s="826">
        <v>41244</v>
      </c>
      <c r="AG584" s="826">
        <v>41275</v>
      </c>
      <c r="AH584" s="826">
        <v>41306</v>
      </c>
      <c r="AI584" s="826">
        <v>41334</v>
      </c>
      <c r="AJ584" s="826">
        <v>41365</v>
      </c>
      <c r="AK584" s="826">
        <v>41395</v>
      </c>
      <c r="AL584" s="826">
        <v>41426</v>
      </c>
      <c r="AM584" s="826">
        <v>41456</v>
      </c>
      <c r="AN584" s="826">
        <v>41487</v>
      </c>
      <c r="AO584" s="826">
        <v>41518</v>
      </c>
      <c r="AP584" s="826">
        <v>41548</v>
      </c>
      <c r="AQ584" s="826">
        <v>41579</v>
      </c>
      <c r="AR584" s="826">
        <v>41609</v>
      </c>
      <c r="AS584" s="826">
        <v>41640</v>
      </c>
      <c r="AT584" s="826">
        <v>41671</v>
      </c>
      <c r="AU584" s="826">
        <v>41699</v>
      </c>
      <c r="AV584" s="826">
        <v>41730</v>
      </c>
      <c r="AW584" s="826">
        <v>41760</v>
      </c>
      <c r="AX584" s="826">
        <v>41791</v>
      </c>
      <c r="AY584" s="826">
        <v>41821</v>
      </c>
      <c r="AZ584" s="826">
        <v>41852</v>
      </c>
      <c r="BA584" s="826">
        <v>41883</v>
      </c>
      <c r="BB584" s="826">
        <v>41913</v>
      </c>
      <c r="BC584" s="826">
        <v>41944</v>
      </c>
      <c r="BD584" s="826">
        <v>41974</v>
      </c>
      <c r="BE584" s="826">
        <v>42005</v>
      </c>
      <c r="BF584" s="826">
        <v>42036</v>
      </c>
      <c r="BG584" s="826">
        <v>42064</v>
      </c>
      <c r="BH584" s="826">
        <v>42095</v>
      </c>
      <c r="BI584" s="826">
        <v>42125</v>
      </c>
      <c r="BJ584" s="826">
        <v>42156</v>
      </c>
      <c r="BK584" s="826">
        <v>42186</v>
      </c>
      <c r="BL584" s="826">
        <v>42217</v>
      </c>
      <c r="BM584" s="826">
        <v>42248</v>
      </c>
      <c r="BN584" s="826">
        <v>42278</v>
      </c>
      <c r="BO584" s="826">
        <v>42309</v>
      </c>
      <c r="BP584" s="826">
        <v>42339</v>
      </c>
      <c r="BQ584" s="826">
        <v>42370</v>
      </c>
      <c r="BR584" s="826">
        <v>42401</v>
      </c>
      <c r="BS584" s="826">
        <v>42430</v>
      </c>
      <c r="BT584" s="826">
        <v>42461</v>
      </c>
      <c r="BU584" s="826">
        <v>42491</v>
      </c>
      <c r="BV584" s="826">
        <v>42522</v>
      </c>
    </row>
    <row r="585" spans="1:74" s="500" customFormat="1" ht="12.75" x14ac:dyDescent="0.2">
      <c r="A585" s="827" t="s">
        <v>889</v>
      </c>
      <c r="B585" s="828" t="s">
        <v>890</v>
      </c>
      <c r="C585" s="829">
        <v>227800</v>
      </c>
      <c r="D585" s="829">
        <v>214280</v>
      </c>
      <c r="E585" s="829">
        <v>225000</v>
      </c>
      <c r="F585" s="829">
        <v>221480</v>
      </c>
      <c r="G585" s="829">
        <v>190120</v>
      </c>
      <c r="H585" s="829">
        <v>186400</v>
      </c>
      <c r="I585" s="829">
        <v>149800</v>
      </c>
      <c r="J585" s="829">
        <v>169880</v>
      </c>
      <c r="K585" s="829">
        <v>176080</v>
      </c>
      <c r="L585" s="829">
        <v>194280</v>
      </c>
      <c r="M585" s="829">
        <v>202520</v>
      </c>
      <c r="N585" s="829">
        <v>204080</v>
      </c>
      <c r="O585" s="829">
        <v>185200</v>
      </c>
      <c r="P585" s="829">
        <v>182360</v>
      </c>
      <c r="Q585" s="829">
        <v>221240</v>
      </c>
      <c r="R585" s="829">
        <v>184480</v>
      </c>
      <c r="S585" s="829">
        <v>192240</v>
      </c>
      <c r="T585" s="829">
        <v>159400</v>
      </c>
      <c r="U585" s="829">
        <v>93960</v>
      </c>
      <c r="V585" s="829">
        <v>150160</v>
      </c>
      <c r="W585" s="829">
        <v>161304.79999999999</v>
      </c>
      <c r="X585" s="829">
        <v>184936.24</v>
      </c>
      <c r="Y585" s="829">
        <v>200038.48</v>
      </c>
      <c r="Z585" s="829">
        <v>212508.96</v>
      </c>
      <c r="AA585" s="829">
        <v>164809.91999999998</v>
      </c>
      <c r="AB585" s="829">
        <v>171163.76</v>
      </c>
      <c r="AC585" s="829">
        <v>191234.64</v>
      </c>
      <c r="AD585" s="829">
        <v>181865.2</v>
      </c>
      <c r="AE585" s="829">
        <v>160043.51999999999</v>
      </c>
      <c r="AF585" s="829">
        <v>158691.04</v>
      </c>
      <c r="AG585" s="829">
        <v>162637.92000000001</v>
      </c>
      <c r="AH585" s="829">
        <v>156600.48000000001</v>
      </c>
      <c r="AI585" s="829">
        <v>163100.79999999999</v>
      </c>
      <c r="AJ585" s="829">
        <v>182870.39999999999</v>
      </c>
      <c r="AK585" s="829">
        <v>170412.48</v>
      </c>
      <c r="AL585" s="829">
        <v>195797.84</v>
      </c>
      <c r="AM585" s="829">
        <v>172848.4</v>
      </c>
      <c r="AN585" s="829">
        <v>181802.96</v>
      </c>
      <c r="AO585" s="829">
        <v>239736.72</v>
      </c>
      <c r="AP585" s="829">
        <v>193410.72</v>
      </c>
      <c r="AQ585" s="829">
        <v>167832.32000000001</v>
      </c>
      <c r="AR585" s="829">
        <v>158616.24</v>
      </c>
      <c r="AS585" s="829">
        <v>151638.48000000001</v>
      </c>
      <c r="AT585" s="829">
        <v>173009.88</v>
      </c>
      <c r="AU585" s="829">
        <v>145604.07999999999</v>
      </c>
      <c r="AV585" s="829">
        <v>167482.6</v>
      </c>
      <c r="AW585" s="829">
        <v>163268.20000000001</v>
      </c>
      <c r="AX585" s="829">
        <v>150024.64000000001</v>
      </c>
      <c r="AY585" s="829">
        <v>154229.68</v>
      </c>
      <c r="AZ585" s="829">
        <v>183066.16</v>
      </c>
      <c r="BA585" s="829">
        <v>210823.36</v>
      </c>
      <c r="BB585" s="829">
        <v>180406.31995410001</v>
      </c>
      <c r="BC585" s="829">
        <v>182160</v>
      </c>
      <c r="BD585" s="829">
        <v>137900.1600459</v>
      </c>
      <c r="BE585" s="829">
        <v>104936.88</v>
      </c>
      <c r="BF585" s="829">
        <v>162981.44</v>
      </c>
      <c r="BG585" s="829">
        <v>159770.63995410001</v>
      </c>
      <c r="BH585" s="829">
        <v>159117.59995410001</v>
      </c>
      <c r="BI585" s="829">
        <v>129846.64</v>
      </c>
      <c r="BJ585" s="829">
        <v>117536.08</v>
      </c>
      <c r="BK585" s="829">
        <v>126492.56</v>
      </c>
      <c r="BL585" s="829">
        <v>131062.95999999999</v>
      </c>
      <c r="BM585" s="829">
        <v>176404.16</v>
      </c>
      <c r="BN585" s="829">
        <v>167466.7200459</v>
      </c>
      <c r="BO585" s="829">
        <v>120254</v>
      </c>
      <c r="BP585" s="829">
        <v>123945.44</v>
      </c>
      <c r="BQ585" s="829">
        <v>113920.48</v>
      </c>
      <c r="BR585" s="829">
        <v>131483.76004590001</v>
      </c>
      <c r="BS585" s="829">
        <v>147519.64000000001</v>
      </c>
      <c r="BT585" s="829">
        <v>134698.84</v>
      </c>
      <c r="BU585" s="829">
        <v>141380.32004590001</v>
      </c>
      <c r="BV585" s="829">
        <v>111725.04004590001</v>
      </c>
    </row>
    <row r="586" spans="1:74" s="500" customFormat="1" ht="12.75" customHeight="1" x14ac:dyDescent="0.2">
      <c r="A586" s="830">
        <v>315</v>
      </c>
      <c r="B586" s="831" t="s">
        <v>891</v>
      </c>
      <c r="C586" s="832">
        <v>30920</v>
      </c>
      <c r="D586" s="832">
        <v>42883</v>
      </c>
      <c r="E586" s="832">
        <v>87000</v>
      </c>
      <c r="F586" s="832">
        <v>89330</v>
      </c>
      <c r="G586" s="832">
        <v>74095</v>
      </c>
      <c r="H586" s="832">
        <v>65520</v>
      </c>
      <c r="I586" s="832">
        <v>51680</v>
      </c>
      <c r="J586" s="832">
        <v>65760</v>
      </c>
      <c r="K586" s="832">
        <v>67200</v>
      </c>
      <c r="L586" s="832">
        <v>67922</v>
      </c>
      <c r="M586" s="832">
        <v>67325</v>
      </c>
      <c r="N586" s="832">
        <v>54118</v>
      </c>
      <c r="O586" s="832">
        <v>61002</v>
      </c>
      <c r="P586" s="832">
        <v>47297</v>
      </c>
      <c r="Q586" s="832">
        <v>97209</v>
      </c>
      <c r="R586" s="832">
        <v>82790</v>
      </c>
      <c r="S586" s="832">
        <v>74640</v>
      </c>
      <c r="T586" s="832">
        <v>78640</v>
      </c>
      <c r="U586" s="832">
        <v>59040</v>
      </c>
      <c r="V586" s="832">
        <v>75280</v>
      </c>
      <c r="W586" s="832">
        <v>68445.600000000006</v>
      </c>
      <c r="X586" s="832">
        <v>81539.28</v>
      </c>
      <c r="Y586" s="832">
        <v>78760.56</v>
      </c>
      <c r="Z586" s="832">
        <v>70425.119999999995</v>
      </c>
      <c r="AA586" s="832">
        <v>83354.240000000005</v>
      </c>
      <c r="AB586" s="832">
        <v>95440.72</v>
      </c>
      <c r="AC586" s="832">
        <v>106644.08</v>
      </c>
      <c r="AD586" s="832">
        <v>90944.4</v>
      </c>
      <c r="AE586" s="832">
        <v>79893.440000000002</v>
      </c>
      <c r="AF586" s="832">
        <v>75534.880000000005</v>
      </c>
      <c r="AG586" s="832">
        <v>61110.239999999998</v>
      </c>
      <c r="AH586" s="832">
        <v>77534.559999999998</v>
      </c>
      <c r="AI586" s="832">
        <v>66657.600000000006</v>
      </c>
      <c r="AJ586" s="832">
        <v>76348.800000000003</v>
      </c>
      <c r="AK586" s="832">
        <v>74618.559999999998</v>
      </c>
      <c r="AL586" s="832">
        <v>100114.48</v>
      </c>
      <c r="AM586" s="832">
        <v>92674.8</v>
      </c>
      <c r="AN586" s="832">
        <v>96643.12</v>
      </c>
      <c r="AO586" s="832">
        <v>114833.84</v>
      </c>
      <c r="AP586" s="832">
        <v>95351.84</v>
      </c>
      <c r="AQ586" s="832">
        <v>74287.039999999994</v>
      </c>
      <c r="AR586" s="832">
        <v>71859.28</v>
      </c>
      <c r="AS586" s="832">
        <v>63800.56</v>
      </c>
      <c r="AT586" s="832">
        <v>84077.36</v>
      </c>
      <c r="AU586" s="832">
        <v>66297.759999999995</v>
      </c>
      <c r="AV586" s="832">
        <v>75581.2</v>
      </c>
      <c r="AW586" s="832">
        <v>80548.399999999994</v>
      </c>
      <c r="AX586" s="832">
        <v>73478.080000000002</v>
      </c>
      <c r="AY586" s="832">
        <v>82502.959999999992</v>
      </c>
      <c r="AZ586" s="832">
        <v>96093.52</v>
      </c>
      <c r="BA586" s="832">
        <v>107641.92</v>
      </c>
      <c r="BB586" s="832">
        <v>86785.039982699993</v>
      </c>
      <c r="BC586" s="832">
        <v>87720</v>
      </c>
      <c r="BD586" s="832">
        <v>67851.520017300005</v>
      </c>
      <c r="BE586" s="832">
        <v>49305.36</v>
      </c>
      <c r="BF586" s="832">
        <v>64223.68</v>
      </c>
      <c r="BG586" s="832">
        <v>71256.079982700001</v>
      </c>
      <c r="BH586" s="832">
        <v>72487.199982699996</v>
      </c>
      <c r="BI586" s="832">
        <v>59208.08</v>
      </c>
      <c r="BJ586" s="832">
        <v>61667.759999999995</v>
      </c>
      <c r="BK586" s="832">
        <v>85574.32</v>
      </c>
      <c r="BL586" s="832">
        <v>64583.119999999995</v>
      </c>
      <c r="BM586" s="832">
        <v>90419.520000000004</v>
      </c>
      <c r="BN586" s="832">
        <v>94077.840017299997</v>
      </c>
      <c r="BO586" s="832">
        <v>56724</v>
      </c>
      <c r="BP586" s="832">
        <v>57251.68</v>
      </c>
      <c r="BQ586" s="832">
        <v>55614.559999999998</v>
      </c>
      <c r="BR586" s="832">
        <v>56960.720017300002</v>
      </c>
      <c r="BS586" s="832">
        <v>68456.08</v>
      </c>
      <c r="BT586" s="832">
        <v>57964.479999999996</v>
      </c>
      <c r="BU586" s="832">
        <v>68523.040017299994</v>
      </c>
      <c r="BV586" s="832">
        <v>67612.880017299991</v>
      </c>
    </row>
    <row r="587" spans="1:74" s="500" customFormat="1" ht="12.75" customHeight="1" x14ac:dyDescent="0.2">
      <c r="A587" s="830" t="s">
        <v>892</v>
      </c>
      <c r="B587" s="831" t="s">
        <v>893</v>
      </c>
      <c r="C587" s="832">
        <v>0</v>
      </c>
      <c r="D587" s="832">
        <v>0</v>
      </c>
      <c r="E587" s="832">
        <v>0</v>
      </c>
      <c r="F587" s="832">
        <v>0</v>
      </c>
      <c r="G587" s="832">
        <v>0</v>
      </c>
      <c r="H587" s="832">
        <v>0</v>
      </c>
      <c r="I587" s="832">
        <v>0</v>
      </c>
      <c r="J587" s="832">
        <v>0</v>
      </c>
      <c r="K587" s="832">
        <v>0</v>
      </c>
      <c r="L587" s="832">
        <v>0</v>
      </c>
      <c r="M587" s="832">
        <v>0</v>
      </c>
      <c r="N587" s="832">
        <v>0</v>
      </c>
      <c r="O587" s="832">
        <v>0</v>
      </c>
      <c r="P587" s="832">
        <v>0</v>
      </c>
      <c r="Q587" s="832">
        <v>0</v>
      </c>
      <c r="R587" s="832">
        <v>0</v>
      </c>
      <c r="S587" s="832">
        <v>0</v>
      </c>
      <c r="T587" s="832">
        <v>0</v>
      </c>
      <c r="U587" s="832">
        <v>0</v>
      </c>
      <c r="V587" s="832">
        <v>0</v>
      </c>
      <c r="W587" s="832">
        <v>2649.6</v>
      </c>
      <c r="X587" s="832">
        <v>3444.48</v>
      </c>
      <c r="Y587" s="832">
        <v>4680.96</v>
      </c>
      <c r="Z587" s="832">
        <v>12305.92</v>
      </c>
      <c r="AA587" s="832">
        <v>75868.84</v>
      </c>
      <c r="AB587" s="832">
        <v>94233.51999999999</v>
      </c>
      <c r="AC587" s="832">
        <v>103495.28</v>
      </c>
      <c r="AD587" s="832">
        <v>93234.4</v>
      </c>
      <c r="AE587" s="832">
        <v>90349.04</v>
      </c>
      <c r="AF587" s="832">
        <v>82741.08</v>
      </c>
      <c r="AG587" s="832">
        <v>67491.839999999997</v>
      </c>
      <c r="AH587" s="832">
        <v>96344.960000000006</v>
      </c>
      <c r="AI587" s="832">
        <v>85841.600000000006</v>
      </c>
      <c r="AJ587" s="832">
        <v>96620.800000000003</v>
      </c>
      <c r="AK587" s="832">
        <v>94928.959999999992</v>
      </c>
      <c r="AL587" s="832">
        <v>110927.67999999999</v>
      </c>
      <c r="AM587" s="832">
        <v>86316.800000000003</v>
      </c>
      <c r="AN587" s="832">
        <v>107513.92</v>
      </c>
      <c r="AO587" s="832">
        <v>140709.44</v>
      </c>
      <c r="AP587" s="832">
        <v>116877.44</v>
      </c>
      <c r="AQ587" s="832">
        <v>96720.639999999999</v>
      </c>
      <c r="AR587" s="832">
        <v>88444.479999999996</v>
      </c>
      <c r="AS587" s="832">
        <v>70200.960000000006</v>
      </c>
      <c r="AT587" s="832">
        <v>106069.75999999999</v>
      </c>
      <c r="AU587" s="832">
        <v>76516.160000000003</v>
      </c>
      <c r="AV587" s="832">
        <v>90139.199999999997</v>
      </c>
      <c r="AW587" s="832">
        <v>97414.399999999994</v>
      </c>
      <c r="AX587" s="832">
        <v>90465.279999999999</v>
      </c>
      <c r="AY587" s="832">
        <v>92359.360000000001</v>
      </c>
      <c r="AZ587" s="832">
        <v>103320.32000000001</v>
      </c>
      <c r="BA587" s="832">
        <v>119614.72</v>
      </c>
      <c r="BB587" s="832">
        <v>100688.6399632</v>
      </c>
      <c r="BC587" s="832">
        <v>105280</v>
      </c>
      <c r="BD587" s="832">
        <v>82288.320036799996</v>
      </c>
      <c r="BE587" s="832">
        <v>57837.760000000002</v>
      </c>
      <c r="BF587" s="832">
        <v>96834.880000000005</v>
      </c>
      <c r="BG587" s="832">
        <v>87713.279963199995</v>
      </c>
      <c r="BH587" s="832">
        <v>101035.19996320001</v>
      </c>
      <c r="BI587" s="832">
        <v>86505.279999999999</v>
      </c>
      <c r="BJ587" s="832">
        <v>86756.160000000003</v>
      </c>
      <c r="BK587" s="832">
        <v>95653.119999999995</v>
      </c>
      <c r="BL587" s="832">
        <v>104193.92000000001</v>
      </c>
      <c r="BM587" s="832">
        <v>115816.32000000001</v>
      </c>
      <c r="BN587" s="832">
        <v>104813.44003679999</v>
      </c>
      <c r="BO587" s="832">
        <v>91664</v>
      </c>
      <c r="BP587" s="832">
        <v>78922.87999999999</v>
      </c>
      <c r="BQ587" s="832">
        <v>80144.959999999992</v>
      </c>
      <c r="BR587" s="832">
        <v>80595.520036799993</v>
      </c>
      <c r="BS587" s="832">
        <v>79393.279999999999</v>
      </c>
      <c r="BT587" s="832">
        <v>96367.679999999993</v>
      </c>
      <c r="BU587" s="832">
        <v>92576.640036799989</v>
      </c>
      <c r="BV587" s="832">
        <v>83022.080036799991</v>
      </c>
    </row>
    <row r="588" spans="1:74" s="501" customFormat="1" ht="12.75" x14ac:dyDescent="0.2">
      <c r="A588" s="833" t="s">
        <v>889</v>
      </c>
      <c r="B588" s="834" t="s">
        <v>894</v>
      </c>
      <c r="C588" s="835">
        <v>15780.47</v>
      </c>
      <c r="D588" s="835">
        <v>14844.63</v>
      </c>
      <c r="E588" s="835">
        <v>15586.66</v>
      </c>
      <c r="F588" s="835">
        <v>15343</v>
      </c>
      <c r="G588" s="835">
        <v>13172.29</v>
      </c>
      <c r="H588" s="835">
        <v>12914.8</v>
      </c>
      <c r="I588" s="835">
        <v>11564.69</v>
      </c>
      <c r="J588" s="835">
        <v>14007.85</v>
      </c>
      <c r="K588" s="835">
        <v>14518.63</v>
      </c>
      <c r="L588" s="835">
        <v>16018.03</v>
      </c>
      <c r="M588" s="835">
        <v>16696.88</v>
      </c>
      <c r="N588" s="835">
        <v>16825.400000000001</v>
      </c>
      <c r="O588" s="835">
        <v>15269.98</v>
      </c>
      <c r="P588" s="835">
        <v>15036</v>
      </c>
      <c r="Q588" s="835">
        <v>18239.12</v>
      </c>
      <c r="R588" s="835">
        <v>15210.66</v>
      </c>
      <c r="S588" s="835">
        <v>15849.97</v>
      </c>
      <c r="T588" s="835">
        <v>13144.46</v>
      </c>
      <c r="U588" s="835">
        <v>7847.46</v>
      </c>
      <c r="V588" s="835">
        <v>13989.73</v>
      </c>
      <c r="W588" s="835">
        <v>14719.5</v>
      </c>
      <c r="X588" s="835">
        <v>17232.48158</v>
      </c>
      <c r="Y588" s="835">
        <v>18638.24842</v>
      </c>
      <c r="Z588" s="835">
        <v>19799.03254</v>
      </c>
      <c r="AA588" s="835">
        <v>15359.055370000002</v>
      </c>
      <c r="AB588" s="835">
        <v>15950.503779999999</v>
      </c>
      <c r="AC588" s="835">
        <v>17818.75333</v>
      </c>
      <c r="AD588" s="835">
        <v>16946.622820000001</v>
      </c>
      <c r="AE588" s="835">
        <v>14915.3845</v>
      </c>
      <c r="AF588" s="835">
        <v>14789.492410000001</v>
      </c>
      <c r="AG588" s="835">
        <v>12597.11184</v>
      </c>
      <c r="AH588" s="835">
        <v>14489.810740000001</v>
      </c>
      <c r="AI588" s="835">
        <v>15087.03465</v>
      </c>
      <c r="AJ588" s="835">
        <v>16885.891930000002</v>
      </c>
      <c r="AK588" s="835">
        <v>15705.20253</v>
      </c>
      <c r="AL588" s="835">
        <v>17941.66691</v>
      </c>
      <c r="AM588" s="835">
        <v>15826.80602</v>
      </c>
      <c r="AN588" s="835">
        <v>16105.9043</v>
      </c>
      <c r="AO588" s="835">
        <v>21296.445209999998</v>
      </c>
      <c r="AP588" s="835">
        <v>17214.780039999998</v>
      </c>
      <c r="AQ588" s="835">
        <v>14999.84137</v>
      </c>
      <c r="AR588" s="835">
        <v>14213.246580000001</v>
      </c>
      <c r="AS588" s="835">
        <v>14023.096230000001</v>
      </c>
      <c r="AT588" s="835">
        <v>15671.561230000001</v>
      </c>
      <c r="AU588" s="835">
        <v>12939.797839999999</v>
      </c>
      <c r="AV588" s="835">
        <v>14853.098330000001</v>
      </c>
      <c r="AW588" s="835">
        <v>14424.69392</v>
      </c>
      <c r="AX588" s="835">
        <v>13218.781370000001</v>
      </c>
      <c r="AY588" s="835">
        <v>13631.797020000002</v>
      </c>
      <c r="AZ588" s="835">
        <v>16400.783940000001</v>
      </c>
      <c r="BA588" s="835">
        <v>18881.012710000003</v>
      </c>
      <c r="BB588" s="835">
        <v>16163.111139999999</v>
      </c>
      <c r="BC588" s="835">
        <v>16319.823990000001</v>
      </c>
      <c r="BD588" s="835">
        <v>12364.981189999999</v>
      </c>
      <c r="BE588" s="835">
        <v>9731.4951600000004</v>
      </c>
      <c r="BF588" s="835">
        <v>14281.827740000001</v>
      </c>
      <c r="BG588" s="835">
        <v>12335.056770000001</v>
      </c>
      <c r="BH588" s="835">
        <v>14192.419180000001</v>
      </c>
      <c r="BI588" s="835">
        <v>11589.509980000001</v>
      </c>
      <c r="BJ588" s="835">
        <v>10494.794760000001</v>
      </c>
      <c r="BK588" s="835">
        <v>11291.261990000001</v>
      </c>
      <c r="BL588" s="835">
        <v>11697.67022</v>
      </c>
      <c r="BM588" s="835">
        <v>15729.616019999999</v>
      </c>
      <c r="BN588" s="835">
        <v>14934.850690000001</v>
      </c>
      <c r="BO588" s="835">
        <v>10736.50029</v>
      </c>
      <c r="BP588" s="835">
        <v>11064.75036</v>
      </c>
      <c r="BQ588" s="835">
        <v>10173.296300000002</v>
      </c>
      <c r="BR588" s="835">
        <v>11123.407719999999</v>
      </c>
      <c r="BS588" s="835">
        <v>11925.77434</v>
      </c>
      <c r="BT588" s="835">
        <v>10893.0468</v>
      </c>
      <c r="BU588" s="835">
        <v>11431.24749</v>
      </c>
      <c r="BV588" s="835">
        <v>9042.4920299999994</v>
      </c>
    </row>
    <row r="589" spans="1:74" s="500" customFormat="1" ht="12.75" x14ac:dyDescent="0.2">
      <c r="A589" s="833">
        <v>315</v>
      </c>
      <c r="B589" s="834" t="s">
        <v>895</v>
      </c>
      <c r="C589" s="835">
        <v>2171.15</v>
      </c>
      <c r="D589" s="835">
        <v>3005.4</v>
      </c>
      <c r="E589" s="835">
        <v>6059.1399999999994</v>
      </c>
      <c r="F589" s="835">
        <v>6220.42</v>
      </c>
      <c r="G589" s="835">
        <v>5153.51</v>
      </c>
      <c r="H589" s="835">
        <v>4559.95</v>
      </c>
      <c r="I589" s="835">
        <v>4010.19</v>
      </c>
      <c r="J589" s="835">
        <v>5442.32</v>
      </c>
      <c r="K589" s="835">
        <v>5560.96</v>
      </c>
      <c r="L589" s="835">
        <v>5620.45</v>
      </c>
      <c r="M589" s="835">
        <v>5571.26</v>
      </c>
      <c r="N589" s="835">
        <v>4483.21</v>
      </c>
      <c r="O589" s="835">
        <v>5050.33</v>
      </c>
      <c r="P589" s="835">
        <v>3921.26</v>
      </c>
      <c r="Q589" s="835">
        <v>8033.24</v>
      </c>
      <c r="R589" s="835">
        <v>6845.34</v>
      </c>
      <c r="S589" s="835">
        <v>6173.9</v>
      </c>
      <c r="T589" s="835">
        <v>6503.44</v>
      </c>
      <c r="U589" s="835">
        <v>4947.92</v>
      </c>
      <c r="V589" s="835">
        <v>7032.02</v>
      </c>
      <c r="W589" s="835">
        <v>6267.55</v>
      </c>
      <c r="X589" s="835">
        <v>7604.4362599999995</v>
      </c>
      <c r="Y589" s="835">
        <v>7345.7837400000008</v>
      </c>
      <c r="Z589" s="835">
        <v>6569.8953799999999</v>
      </c>
      <c r="AA589" s="835">
        <v>7773.3803900000003</v>
      </c>
      <c r="AB589" s="835">
        <v>8898.4196599999996</v>
      </c>
      <c r="AC589" s="835">
        <v>9941.2685099999999</v>
      </c>
      <c r="AD589" s="835">
        <v>8479.8905400000003</v>
      </c>
      <c r="AE589" s="835">
        <v>7451.2314999999999</v>
      </c>
      <c r="AF589" s="835">
        <v>7045.5272699999996</v>
      </c>
      <c r="AG589" s="835">
        <v>4741.0024800000001</v>
      </c>
      <c r="AH589" s="835">
        <v>7186.1607800000002</v>
      </c>
      <c r="AI589" s="835">
        <v>6173.8085499999997</v>
      </c>
      <c r="AJ589" s="835">
        <v>7059.0927099999999</v>
      </c>
      <c r="AK589" s="835">
        <v>6888.47091</v>
      </c>
      <c r="AL589" s="835">
        <v>9205.3587699999989</v>
      </c>
      <c r="AM589" s="835">
        <v>8520.2409399999997</v>
      </c>
      <c r="AN589" s="835">
        <v>8598.2021000000004</v>
      </c>
      <c r="AO589" s="835">
        <v>10227.898870000001</v>
      </c>
      <c r="AP589" s="835">
        <v>8508.3278799999989</v>
      </c>
      <c r="AQ589" s="835">
        <v>6649.7123899999997</v>
      </c>
      <c r="AR589" s="835">
        <v>6446.96126</v>
      </c>
      <c r="AS589" s="835">
        <v>5908.2048100000002</v>
      </c>
      <c r="AT589" s="835">
        <v>7624.8998100000008</v>
      </c>
      <c r="AU589" s="835">
        <v>5899.6244800000004</v>
      </c>
      <c r="AV589" s="835">
        <v>6712.9535100000003</v>
      </c>
      <c r="AW589" s="835">
        <v>7134.1322399999999</v>
      </c>
      <c r="AX589" s="835">
        <v>6494.8623899999993</v>
      </c>
      <c r="AY589" s="835">
        <v>7323.4779399999998</v>
      </c>
      <c r="AZ589" s="835">
        <v>8600.9711800000005</v>
      </c>
      <c r="BA589" s="835">
        <v>9632.8713700000008</v>
      </c>
      <c r="BB589" s="835">
        <v>7769.21958</v>
      </c>
      <c r="BC589" s="835">
        <v>7852.7635300000002</v>
      </c>
      <c r="BD589" s="835">
        <v>6077.4119300000002</v>
      </c>
      <c r="BE589" s="835">
        <v>4566.7965200000008</v>
      </c>
      <c r="BF589" s="835">
        <v>5603.32978</v>
      </c>
      <c r="BG589" s="835">
        <v>5155.8261899999998</v>
      </c>
      <c r="BH589" s="835">
        <v>6460.4634599999999</v>
      </c>
      <c r="BI589" s="835">
        <v>5279.6210599999995</v>
      </c>
      <c r="BJ589" s="835">
        <v>5498.3377199999995</v>
      </c>
      <c r="BK589" s="835">
        <v>7624.2295300000005</v>
      </c>
      <c r="BL589" s="835">
        <v>5757.5883400000002</v>
      </c>
      <c r="BM589" s="835">
        <v>8055.0809399999998</v>
      </c>
      <c r="BN589" s="835">
        <v>8380.3984299999993</v>
      </c>
      <c r="BO589" s="835">
        <v>5058.7196299999996</v>
      </c>
      <c r="BP589" s="835">
        <v>5105.6409199999998</v>
      </c>
      <c r="BQ589" s="835">
        <v>4960.0661</v>
      </c>
      <c r="BR589" s="835">
        <v>4814.7908400000006</v>
      </c>
      <c r="BS589" s="835">
        <v>5528.7499799999996</v>
      </c>
      <c r="BT589" s="835">
        <v>4683.6496000000006</v>
      </c>
      <c r="BU589" s="835">
        <v>5534.1480299999994</v>
      </c>
      <c r="BV589" s="835">
        <v>5460.8274099999999</v>
      </c>
    </row>
    <row r="590" spans="1:74" s="500" customFormat="1" ht="12.75" x14ac:dyDescent="0.2">
      <c r="A590" s="833" t="s">
        <v>892</v>
      </c>
      <c r="B590" s="834" t="s">
        <v>896</v>
      </c>
      <c r="C590" s="835">
        <v>0</v>
      </c>
      <c r="D590" s="835">
        <v>0</v>
      </c>
      <c r="E590" s="835">
        <v>0</v>
      </c>
      <c r="F590" s="835">
        <v>0</v>
      </c>
      <c r="G590" s="835">
        <v>0</v>
      </c>
      <c r="H590" s="835">
        <v>0</v>
      </c>
      <c r="I590" s="835">
        <v>0</v>
      </c>
      <c r="J590" s="835">
        <v>0</v>
      </c>
      <c r="K590" s="835">
        <v>0</v>
      </c>
      <c r="L590" s="835">
        <v>0</v>
      </c>
      <c r="M590" s="835">
        <v>0</v>
      </c>
      <c r="N590" s="835">
        <v>0</v>
      </c>
      <c r="O590" s="835">
        <v>0</v>
      </c>
      <c r="P590" s="835">
        <v>0</v>
      </c>
      <c r="Q590" s="835">
        <v>0</v>
      </c>
      <c r="R590" s="835">
        <v>0</v>
      </c>
      <c r="S590" s="835">
        <v>0</v>
      </c>
      <c r="T590" s="835">
        <v>0</v>
      </c>
      <c r="U590" s="835">
        <v>0</v>
      </c>
      <c r="V590" s="835">
        <v>0</v>
      </c>
      <c r="W590" s="835">
        <v>2.0699999999999998</v>
      </c>
      <c r="X590" s="835">
        <v>392.96216000000004</v>
      </c>
      <c r="Y590" s="835">
        <v>890.98784000000001</v>
      </c>
      <c r="Z590" s="835">
        <v>1979.8020799999999</v>
      </c>
      <c r="AA590" s="835">
        <v>7087.7942400000002</v>
      </c>
      <c r="AB590" s="835">
        <v>8797.3265599999995</v>
      </c>
      <c r="AC590" s="835">
        <v>9659.2981600000003</v>
      </c>
      <c r="AD590" s="835">
        <v>8704.2166399999987</v>
      </c>
      <c r="AE590" s="835">
        <v>8435.6840000000011</v>
      </c>
      <c r="AF590" s="835">
        <v>7727.5203200000005</v>
      </c>
      <c r="AG590" s="835">
        <v>5244.5256799999997</v>
      </c>
      <c r="AH590" s="835">
        <v>8933.1384799999996</v>
      </c>
      <c r="AI590" s="835">
        <v>7953.5968000000003</v>
      </c>
      <c r="AJ590" s="835">
        <v>8926.5753600000007</v>
      </c>
      <c r="AK590" s="835">
        <v>8747.6765599999999</v>
      </c>
      <c r="AL590" s="835">
        <v>10137.864320000001</v>
      </c>
      <c r="AM590" s="835">
        <v>7867.4930399999994</v>
      </c>
      <c r="AN590" s="835">
        <v>9500.1636000000017</v>
      </c>
      <c r="AO590" s="835">
        <v>12473.995919999999</v>
      </c>
      <c r="AP590" s="835">
        <v>10394.32208</v>
      </c>
      <c r="AQ590" s="835">
        <v>8649.9062400000003</v>
      </c>
      <c r="AR590" s="835">
        <v>7939.75216</v>
      </c>
      <c r="AS590" s="835">
        <v>6503.6489599999995</v>
      </c>
      <c r="AT590" s="835">
        <v>9620.5389599999999</v>
      </c>
      <c r="AU590" s="835">
        <v>6814.5476799999997</v>
      </c>
      <c r="AV590" s="835">
        <v>8000.3181599999998</v>
      </c>
      <c r="AW590" s="835">
        <v>8603.7338400000008</v>
      </c>
      <c r="AX590" s="835">
        <v>7962.9562399999995</v>
      </c>
      <c r="AY590" s="835">
        <v>8147.8950400000003</v>
      </c>
      <c r="AZ590" s="835">
        <v>9261.5648799999999</v>
      </c>
      <c r="BA590" s="835">
        <v>10717.54592</v>
      </c>
      <c r="BB590" s="835">
        <v>9026.3992799999996</v>
      </c>
      <c r="BC590" s="835">
        <v>9436.6724799999993</v>
      </c>
      <c r="BD590" s="835">
        <v>7382.2668800000001</v>
      </c>
      <c r="BE590" s="835">
        <v>5369.4083199999995</v>
      </c>
      <c r="BF590" s="835">
        <v>8501.87248</v>
      </c>
      <c r="BG590" s="835">
        <v>7829.2870399999993</v>
      </c>
      <c r="BH590" s="835">
        <v>9013.9173599999995</v>
      </c>
      <c r="BI590" s="835">
        <v>7721.8589599999996</v>
      </c>
      <c r="BJ590" s="835">
        <v>7744.16752</v>
      </c>
      <c r="BK590" s="835">
        <v>8535.3184799999999</v>
      </c>
      <c r="BL590" s="835">
        <v>9294.8014399999993</v>
      </c>
      <c r="BM590" s="835">
        <v>10328.33304</v>
      </c>
      <c r="BN590" s="835">
        <v>9349.9008799999992</v>
      </c>
      <c r="BO590" s="835">
        <v>8180.5800800000006</v>
      </c>
      <c r="BP590" s="835">
        <v>7047.5987200000009</v>
      </c>
      <c r="BQ590" s="835">
        <v>7156.2676000000001</v>
      </c>
      <c r="BR590" s="835">
        <v>6821.3914400000003</v>
      </c>
      <c r="BS590" s="835">
        <v>6424.5956799999994</v>
      </c>
      <c r="BT590" s="835">
        <v>7791.8935999999994</v>
      </c>
      <c r="BU590" s="835">
        <v>7486.5244799999991</v>
      </c>
      <c r="BV590" s="835">
        <v>6716.9105600000012</v>
      </c>
    </row>
    <row r="591" spans="1:74" s="26" customFormat="1" ht="12.75" x14ac:dyDescent="0.2">
      <c r="A591" s="107"/>
      <c r="B591" s="500"/>
      <c r="C591" s="836"/>
      <c r="D591" s="836"/>
      <c r="E591" s="836"/>
      <c r="F591" s="836"/>
      <c r="G591" s="836"/>
      <c r="H591" s="836"/>
      <c r="I591" s="836"/>
      <c r="J591" s="836"/>
      <c r="K591" s="836"/>
      <c r="L591" s="836"/>
      <c r="M591" s="836"/>
      <c r="N591" s="836"/>
      <c r="O591" s="836"/>
      <c r="P591" s="836"/>
      <c r="Q591" s="836"/>
      <c r="R591" s="836"/>
      <c r="S591" s="836"/>
      <c r="T591" s="836"/>
      <c r="U591" s="836"/>
      <c r="V591" s="836"/>
      <c r="W591" s="836"/>
      <c r="X591" s="836"/>
      <c r="Y591" s="836"/>
      <c r="Z591" s="836"/>
      <c r="AA591" s="836"/>
      <c r="AB591" s="836"/>
      <c r="AC591" s="836"/>
      <c r="AD591" s="836"/>
      <c r="AE591" s="836"/>
      <c r="AF591" s="836"/>
      <c r="AG591" s="836"/>
      <c r="AH591" s="836"/>
      <c r="AI591" s="836"/>
      <c r="AJ591" s="836"/>
      <c r="AK591" s="836"/>
      <c r="AL591" s="836"/>
      <c r="AM591" s="836"/>
      <c r="AN591" s="836"/>
      <c r="AO591" s="836"/>
      <c r="AP591" s="836"/>
      <c r="AQ591" s="836"/>
      <c r="AR591" s="836"/>
      <c r="AS591" s="836"/>
      <c r="AT591" s="836"/>
      <c r="AU591" s="836"/>
      <c r="AV591" s="836"/>
      <c r="AW591" s="836"/>
      <c r="AX591" s="836"/>
      <c r="AY591" s="836"/>
    </row>
    <row r="592" spans="1:74" s="26" customFormat="1" ht="12.75" x14ac:dyDescent="0.2">
      <c r="A592" s="2256" t="s">
        <v>897</v>
      </c>
      <c r="B592" s="2257"/>
      <c r="C592" s="2257"/>
      <c r="D592" s="2257"/>
      <c r="E592" s="2257"/>
      <c r="F592" s="2257"/>
      <c r="G592" s="2257"/>
      <c r="H592" s="2257"/>
      <c r="I592" s="2257"/>
      <c r="J592" s="2257"/>
      <c r="K592" s="2257"/>
      <c r="L592" s="2257"/>
      <c r="M592" s="2257"/>
      <c r="N592" s="2257"/>
      <c r="O592" s="2257"/>
      <c r="P592" s="2257"/>
      <c r="Q592" s="2257"/>
      <c r="R592" s="2257"/>
      <c r="S592" s="2257"/>
      <c r="T592" s="2257"/>
      <c r="U592" s="2257"/>
      <c r="V592" s="2257"/>
      <c r="W592" s="2257"/>
      <c r="X592" s="2257"/>
      <c r="Y592" s="2257"/>
      <c r="Z592" s="2257"/>
      <c r="AA592" s="2257"/>
      <c r="AB592" s="2257"/>
      <c r="AC592" s="2257"/>
      <c r="AD592" s="2257"/>
      <c r="AE592" s="2257"/>
      <c r="AF592" s="2257"/>
      <c r="AG592" s="2257"/>
      <c r="AH592" s="2257"/>
      <c r="AI592" s="2257"/>
      <c r="AJ592" s="2257"/>
      <c r="AK592" s="2257"/>
      <c r="AL592" s="2257"/>
      <c r="AM592" s="2257"/>
      <c r="AN592" s="2257"/>
      <c r="AO592" s="2257"/>
      <c r="AP592" s="2257"/>
      <c r="AQ592" s="2257"/>
      <c r="AR592" s="2257"/>
      <c r="AS592" s="2257"/>
      <c r="AT592" s="2257"/>
      <c r="AU592" s="2257"/>
      <c r="AV592" s="2257"/>
      <c r="AW592" s="2257"/>
      <c r="AX592" s="2257"/>
      <c r="AY592" s="2258"/>
    </row>
    <row r="593" spans="1:74" s="26" customFormat="1" ht="12.75" x14ac:dyDescent="0.2">
      <c r="A593" s="824" t="s">
        <v>654</v>
      </c>
      <c r="B593" s="825" t="s">
        <v>655</v>
      </c>
      <c r="C593" s="826">
        <v>40360</v>
      </c>
      <c r="D593" s="826">
        <v>40391</v>
      </c>
      <c r="E593" s="826">
        <v>40422</v>
      </c>
      <c r="F593" s="826">
        <v>40452</v>
      </c>
      <c r="G593" s="826">
        <v>40483</v>
      </c>
      <c r="H593" s="826">
        <v>40513</v>
      </c>
      <c r="I593" s="826">
        <v>40544</v>
      </c>
      <c r="J593" s="826">
        <v>40575</v>
      </c>
      <c r="K593" s="826">
        <v>40603</v>
      </c>
      <c r="L593" s="826">
        <v>40634</v>
      </c>
      <c r="M593" s="826">
        <v>40664</v>
      </c>
      <c r="N593" s="826">
        <v>40695</v>
      </c>
      <c r="O593" s="826">
        <v>40725</v>
      </c>
      <c r="P593" s="826">
        <v>40756</v>
      </c>
      <c r="Q593" s="826">
        <v>40787</v>
      </c>
      <c r="R593" s="826">
        <v>40817</v>
      </c>
      <c r="S593" s="826">
        <v>40848</v>
      </c>
      <c r="T593" s="826">
        <v>40878</v>
      </c>
      <c r="U593" s="826">
        <v>40909</v>
      </c>
      <c r="V593" s="826">
        <v>40940</v>
      </c>
      <c r="W593" s="826">
        <v>40969</v>
      </c>
      <c r="X593" s="826">
        <v>41000</v>
      </c>
      <c r="Y593" s="826">
        <v>41030</v>
      </c>
      <c r="Z593" s="826">
        <v>41061</v>
      </c>
      <c r="AA593" s="826">
        <v>41091</v>
      </c>
      <c r="AB593" s="826">
        <v>41122</v>
      </c>
      <c r="AC593" s="826">
        <v>41153</v>
      </c>
      <c r="AD593" s="826">
        <v>41183</v>
      </c>
      <c r="AE593" s="826">
        <v>41214</v>
      </c>
      <c r="AF593" s="826">
        <v>41244</v>
      </c>
      <c r="AG593" s="826">
        <v>41275</v>
      </c>
      <c r="AH593" s="826">
        <v>41306</v>
      </c>
      <c r="AI593" s="826">
        <v>41334</v>
      </c>
      <c r="AJ593" s="826">
        <v>41365</v>
      </c>
      <c r="AK593" s="826">
        <v>41395</v>
      </c>
      <c r="AL593" s="826">
        <v>41426</v>
      </c>
      <c r="AM593" s="826">
        <v>41456</v>
      </c>
      <c r="AN593" s="826">
        <v>41487</v>
      </c>
      <c r="AO593" s="826">
        <v>41518</v>
      </c>
      <c r="AP593" s="826">
        <v>41548</v>
      </c>
      <c r="AQ593" s="826">
        <v>41579</v>
      </c>
      <c r="AR593" s="826">
        <v>41609</v>
      </c>
      <c r="AS593" s="826">
        <v>41640</v>
      </c>
      <c r="AT593" s="826">
        <v>41671</v>
      </c>
      <c r="AU593" s="826">
        <v>41699</v>
      </c>
      <c r="AV593" s="826">
        <v>41730</v>
      </c>
      <c r="AW593" s="826">
        <v>41760</v>
      </c>
      <c r="AX593" s="826">
        <v>41791</v>
      </c>
      <c r="AY593" s="826">
        <v>41821</v>
      </c>
      <c r="AZ593" s="826">
        <v>41852</v>
      </c>
      <c r="BA593" s="826">
        <v>41883</v>
      </c>
      <c r="BB593" s="826">
        <v>41913</v>
      </c>
      <c r="BC593" s="826">
        <v>41944</v>
      </c>
      <c r="BD593" s="826">
        <v>41974</v>
      </c>
      <c r="BE593" s="826">
        <v>42005</v>
      </c>
      <c r="BF593" s="826">
        <v>42036</v>
      </c>
      <c r="BG593" s="826">
        <v>42064</v>
      </c>
      <c r="BH593" s="826">
        <v>42095</v>
      </c>
      <c r="BI593" s="826">
        <v>42125</v>
      </c>
      <c r="BJ593" s="826">
        <v>42156</v>
      </c>
      <c r="BK593" s="826">
        <v>42186</v>
      </c>
      <c r="BL593" s="826">
        <v>42217</v>
      </c>
      <c r="BM593" s="826">
        <v>42248</v>
      </c>
      <c r="BN593" s="826">
        <v>42278</v>
      </c>
      <c r="BO593" s="826">
        <v>42309</v>
      </c>
      <c r="BP593" s="826">
        <v>42339</v>
      </c>
      <c r="BQ593" s="826">
        <v>42370</v>
      </c>
      <c r="BR593" s="826">
        <v>42401</v>
      </c>
      <c r="BS593" s="826">
        <v>42430</v>
      </c>
      <c r="BT593" s="826">
        <v>42461</v>
      </c>
      <c r="BU593" s="826">
        <v>42491</v>
      </c>
      <c r="BV593" s="826">
        <v>42522</v>
      </c>
    </row>
    <row r="594" spans="1:74" s="500" customFormat="1" ht="12.75" x14ac:dyDescent="0.2">
      <c r="A594" s="827" t="s">
        <v>889</v>
      </c>
      <c r="B594" s="828" t="s">
        <v>898</v>
      </c>
      <c r="C594" s="829">
        <v>519706.60000000003</v>
      </c>
      <c r="D594" s="829">
        <v>395410.80000000005</v>
      </c>
      <c r="E594" s="829">
        <v>316161.80000000005</v>
      </c>
      <c r="F594" s="829">
        <v>308654</v>
      </c>
      <c r="G594" s="829">
        <v>493012.2</v>
      </c>
      <c r="H594" s="829">
        <v>947651.20000000007</v>
      </c>
      <c r="I594" s="829">
        <v>982687.60000000009</v>
      </c>
      <c r="J594" s="829">
        <v>474659.80000000005</v>
      </c>
      <c r="K594" s="829">
        <v>401250.2</v>
      </c>
      <c r="L594" s="829">
        <v>322001.2</v>
      </c>
      <c r="M594" s="829">
        <v>351198.2</v>
      </c>
      <c r="N594" s="829">
        <v>274451.8</v>
      </c>
      <c r="O594" s="829">
        <v>37539</v>
      </c>
      <c r="P594" s="829">
        <v>404587</v>
      </c>
      <c r="Q594" s="829">
        <v>459644.2</v>
      </c>
      <c r="R594" s="829">
        <v>527214.4</v>
      </c>
      <c r="S594" s="829">
        <v>569758.60000000009</v>
      </c>
      <c r="T594" s="829">
        <v>608966</v>
      </c>
      <c r="U594" s="829">
        <v>654847</v>
      </c>
      <c r="V594" s="829">
        <v>620644.80000000005</v>
      </c>
      <c r="W594" s="829">
        <v>524711.80000000005</v>
      </c>
      <c r="X594" s="829">
        <v>1393948.2000000002</v>
      </c>
      <c r="Y594" s="829">
        <v>601458.20000000007</v>
      </c>
      <c r="Z594" s="829">
        <v>583105.80000000005</v>
      </c>
      <c r="AA594" s="829">
        <v>642334</v>
      </c>
      <c r="AB594" s="829">
        <v>733261.8</v>
      </c>
      <c r="AC594" s="829">
        <v>677370.4</v>
      </c>
      <c r="AD594" s="829">
        <v>742438</v>
      </c>
      <c r="AE594" s="829">
        <v>886754.60000000009</v>
      </c>
      <c r="AF594" s="829">
        <v>978516.60000000009</v>
      </c>
      <c r="AG594" s="829">
        <v>1117828</v>
      </c>
      <c r="AH594" s="829">
        <v>953490.60000000009</v>
      </c>
      <c r="AI594" s="829">
        <v>797495.20000000007</v>
      </c>
      <c r="AJ594" s="829">
        <v>533888</v>
      </c>
      <c r="AK594" s="829">
        <v>681541.4</v>
      </c>
      <c r="AL594" s="829">
        <v>413763.2</v>
      </c>
      <c r="AM594" s="829">
        <v>726588.20000000007</v>
      </c>
      <c r="AN594" s="829">
        <v>731593.4</v>
      </c>
      <c r="AO594" s="829">
        <v>461312.60000000003</v>
      </c>
      <c r="AP594" s="829">
        <v>842542</v>
      </c>
      <c r="AQ594" s="829">
        <v>674867.8</v>
      </c>
      <c r="AR594" s="829">
        <v>809174</v>
      </c>
      <c r="AS594" s="829">
        <v>1115325.4000000001</v>
      </c>
      <c r="AT594" s="829">
        <v>682375.60000000009</v>
      </c>
      <c r="AU594" s="829">
        <v>902604.4</v>
      </c>
      <c r="AV594" s="829">
        <v>724919.8</v>
      </c>
      <c r="AW594" s="829">
        <v>504691.00000000006</v>
      </c>
      <c r="AX594" s="829">
        <v>397913.4</v>
      </c>
      <c r="AY594" s="829">
        <v>470488.80000000005</v>
      </c>
      <c r="AZ594" s="829">
        <v>685712.4</v>
      </c>
      <c r="BA594" s="829">
        <v>530551.20000000007</v>
      </c>
      <c r="BB594" s="829">
        <v>722417.20000000007</v>
      </c>
      <c r="BC594" s="829">
        <v>623981.60000000009</v>
      </c>
      <c r="BD594" s="829">
        <v>528048.6</v>
      </c>
      <c r="BE594" s="829">
        <v>789153.20000000007</v>
      </c>
      <c r="BF594" s="829">
        <v>609800.20000000007</v>
      </c>
      <c r="BG594" s="829">
        <v>358706</v>
      </c>
      <c r="BH594" s="829">
        <v>418768.4</v>
      </c>
      <c r="BI594" s="829">
        <v>278622.80000000005</v>
      </c>
      <c r="BJ594" s="829">
        <v>205213.2</v>
      </c>
      <c r="BK594" s="829">
        <v>271115</v>
      </c>
      <c r="BL594" s="829">
        <v>312825</v>
      </c>
      <c r="BM594" s="829">
        <v>280291.20000000001</v>
      </c>
      <c r="BN594" s="829">
        <v>475494.00000000006</v>
      </c>
      <c r="BO594" s="829">
        <v>413763.2</v>
      </c>
      <c r="BP594" s="829">
        <v>394576.60000000003</v>
      </c>
      <c r="BQ594" s="829">
        <v>684044</v>
      </c>
      <c r="BR594" s="829">
        <v>611468.60000000009</v>
      </c>
      <c r="BS594" s="829">
        <v>436286.60000000003</v>
      </c>
      <c r="BT594" s="829">
        <v>301146.2</v>
      </c>
      <c r="BU594" s="829">
        <v>307819.80000000005</v>
      </c>
      <c r="BV594" s="829">
        <v>281125.40000000002</v>
      </c>
    </row>
    <row r="595" spans="1:74" s="500" customFormat="1" ht="12.75" customHeight="1" x14ac:dyDescent="0.2">
      <c r="A595" s="830">
        <v>315</v>
      </c>
      <c r="B595" s="831" t="s">
        <v>899</v>
      </c>
      <c r="C595" s="832">
        <v>41710</v>
      </c>
      <c r="D595" s="832">
        <v>62565.000000000007</v>
      </c>
      <c r="E595" s="832">
        <v>100104</v>
      </c>
      <c r="F595" s="832">
        <v>153492.80000000002</v>
      </c>
      <c r="G595" s="832">
        <v>163503.20000000001</v>
      </c>
      <c r="H595" s="832">
        <v>216892</v>
      </c>
      <c r="I595" s="832">
        <v>296141</v>
      </c>
      <c r="J595" s="832">
        <v>200208</v>
      </c>
      <c r="K595" s="832">
        <v>166840</v>
      </c>
      <c r="L595" s="832">
        <v>135140.4</v>
      </c>
      <c r="M595" s="832">
        <v>94264.6</v>
      </c>
      <c r="N595" s="832">
        <v>101772.40000000001</v>
      </c>
      <c r="O595" s="832">
        <v>79249</v>
      </c>
      <c r="P595" s="832">
        <v>165171.6</v>
      </c>
      <c r="Q595" s="832">
        <v>141814</v>
      </c>
      <c r="R595" s="832">
        <v>164337.40000000002</v>
      </c>
      <c r="S595" s="832">
        <v>206881.6</v>
      </c>
      <c r="T595" s="832">
        <v>207048.44</v>
      </c>
      <c r="U595" s="832">
        <v>208216.32000000001</v>
      </c>
      <c r="V595" s="832">
        <v>242752.2</v>
      </c>
      <c r="W595" s="832">
        <v>211052.6</v>
      </c>
      <c r="X595" s="832">
        <v>160166.40000000002</v>
      </c>
      <c r="Y595" s="832">
        <v>82585.8</v>
      </c>
      <c r="Z595" s="832">
        <v>59228.200000000004</v>
      </c>
      <c r="AA595" s="832">
        <v>65901.8</v>
      </c>
      <c r="AB595" s="832">
        <v>85922.6</v>
      </c>
      <c r="AC595" s="832">
        <v>171011</v>
      </c>
      <c r="AD595" s="832">
        <v>170176.80000000002</v>
      </c>
      <c r="AE595" s="832">
        <v>208550</v>
      </c>
      <c r="AF595" s="832">
        <v>219394.6</v>
      </c>
      <c r="AG595" s="832">
        <v>291970</v>
      </c>
      <c r="AH595" s="832">
        <v>254848.1</v>
      </c>
      <c r="AI595" s="832">
        <v>229405</v>
      </c>
      <c r="AJ595" s="832">
        <v>171011</v>
      </c>
      <c r="AK595" s="832">
        <v>145985</v>
      </c>
      <c r="AL595" s="832">
        <v>52554.600000000006</v>
      </c>
      <c r="AM595" s="832">
        <v>59228.200000000004</v>
      </c>
      <c r="AN595" s="832">
        <v>95933</v>
      </c>
      <c r="AO595" s="832">
        <v>132637.80000000002</v>
      </c>
      <c r="AP595" s="832">
        <v>192700.2</v>
      </c>
      <c r="AQ595" s="832">
        <v>214389.40000000002</v>
      </c>
      <c r="AR595" s="832">
        <v>207715.80000000002</v>
      </c>
      <c r="AS595" s="832">
        <v>381229.4</v>
      </c>
      <c r="AT595" s="832">
        <v>204379</v>
      </c>
      <c r="AU595" s="832">
        <v>255265.2</v>
      </c>
      <c r="AV595" s="832">
        <v>206881.6</v>
      </c>
      <c r="AW595" s="832">
        <v>81751.600000000006</v>
      </c>
      <c r="AX595" s="832">
        <v>45881</v>
      </c>
      <c r="AY595" s="832">
        <v>58394.000000000007</v>
      </c>
      <c r="AZ595" s="832">
        <v>104275</v>
      </c>
      <c r="BA595" s="832">
        <v>66736</v>
      </c>
      <c r="BB595" s="832">
        <v>96767.200000000012</v>
      </c>
      <c r="BC595" s="832">
        <v>230239.2</v>
      </c>
      <c r="BD595" s="832">
        <v>235244.40000000002</v>
      </c>
      <c r="BE595" s="832">
        <v>264441.40000000002</v>
      </c>
      <c r="BF595" s="832">
        <v>285296.40000000002</v>
      </c>
      <c r="BG595" s="832">
        <v>182689.80000000002</v>
      </c>
      <c r="BH595" s="832">
        <v>178518.80000000002</v>
      </c>
      <c r="BI595" s="832">
        <v>96767.200000000012</v>
      </c>
      <c r="BJ595" s="832">
        <v>83420</v>
      </c>
      <c r="BK595" s="832">
        <v>45881</v>
      </c>
      <c r="BL595" s="832">
        <v>66736</v>
      </c>
      <c r="BM595" s="832">
        <v>118456.40000000001</v>
      </c>
      <c r="BN595" s="832">
        <v>211886.80000000002</v>
      </c>
      <c r="BO595" s="832">
        <v>203544.80000000002</v>
      </c>
      <c r="BP595" s="832">
        <v>191031.80000000002</v>
      </c>
      <c r="BQ595" s="832">
        <v>271115</v>
      </c>
      <c r="BR595" s="832">
        <v>274451.8</v>
      </c>
      <c r="BS595" s="832">
        <v>215223.6</v>
      </c>
      <c r="BT595" s="832">
        <v>182689.80000000002</v>
      </c>
      <c r="BU595" s="832">
        <v>118456.40000000001</v>
      </c>
      <c r="BV595" s="832">
        <v>75078</v>
      </c>
    </row>
    <row r="596" spans="1:74" s="500" customFormat="1" ht="12.75" customHeight="1" x14ac:dyDescent="0.2">
      <c r="A596" s="830" t="s">
        <v>892</v>
      </c>
      <c r="B596" s="831" t="s">
        <v>900</v>
      </c>
      <c r="C596" s="832">
        <v>0</v>
      </c>
      <c r="D596" s="832">
        <v>0</v>
      </c>
      <c r="E596" s="832">
        <v>0</v>
      </c>
      <c r="F596" s="832">
        <v>0</v>
      </c>
      <c r="G596" s="832">
        <v>0</v>
      </c>
      <c r="H596" s="832">
        <v>0</v>
      </c>
      <c r="I596" s="832">
        <v>0</v>
      </c>
      <c r="J596" s="832">
        <v>0</v>
      </c>
      <c r="K596" s="832">
        <v>0</v>
      </c>
      <c r="L596" s="832">
        <v>0</v>
      </c>
      <c r="M596" s="832">
        <v>0</v>
      </c>
      <c r="N596" s="832">
        <v>0</v>
      </c>
      <c r="O596" s="832">
        <v>0</v>
      </c>
      <c r="P596" s="832">
        <v>0</v>
      </c>
      <c r="Q596" s="832">
        <v>0</v>
      </c>
      <c r="R596" s="832">
        <v>0</v>
      </c>
      <c r="S596" s="832">
        <v>0</v>
      </c>
      <c r="T596" s="832">
        <v>0</v>
      </c>
      <c r="U596" s="832">
        <v>0</v>
      </c>
      <c r="V596" s="832">
        <v>0</v>
      </c>
      <c r="W596" s="832">
        <v>0</v>
      </c>
      <c r="X596" s="832">
        <v>0</v>
      </c>
      <c r="Y596" s="832">
        <v>210652.18400000001</v>
      </c>
      <c r="Z596" s="832">
        <v>60696.392000000007</v>
      </c>
      <c r="AA596" s="832">
        <v>83545.13</v>
      </c>
      <c r="AB596" s="832">
        <v>170660.636</v>
      </c>
      <c r="AC596" s="832">
        <v>189229.92800000001</v>
      </c>
      <c r="AD596" s="832">
        <v>343473.50800000003</v>
      </c>
      <c r="AE596" s="832">
        <v>382747.64400000003</v>
      </c>
      <c r="AF596" s="832">
        <v>356320.18800000002</v>
      </c>
      <c r="AG596" s="832">
        <v>498426.15800000005</v>
      </c>
      <c r="AH596" s="832">
        <v>606463.4</v>
      </c>
      <c r="AI596" s="832">
        <v>623147.4</v>
      </c>
      <c r="AJ596" s="832">
        <v>367048</v>
      </c>
      <c r="AK596" s="832">
        <v>385400.4</v>
      </c>
      <c r="AL596" s="832">
        <v>272783.40000000002</v>
      </c>
      <c r="AM596" s="832">
        <v>340353.60000000003</v>
      </c>
      <c r="AN596" s="832">
        <v>437120.80000000005</v>
      </c>
      <c r="AO596" s="832">
        <v>359540.2</v>
      </c>
      <c r="AP596" s="832">
        <v>462981.00000000006</v>
      </c>
      <c r="AQ596" s="832">
        <v>530551.20000000007</v>
      </c>
      <c r="AR596" s="832">
        <v>387068.80000000005</v>
      </c>
      <c r="AS596" s="832">
        <v>846713</v>
      </c>
      <c r="AT596" s="832">
        <v>451302.2</v>
      </c>
      <c r="AU596" s="832">
        <v>542230</v>
      </c>
      <c r="AV596" s="832">
        <v>358706</v>
      </c>
      <c r="AW596" s="832">
        <v>216892</v>
      </c>
      <c r="AX596" s="832">
        <v>246923.2</v>
      </c>
      <c r="AY596" s="832">
        <v>286964.80000000005</v>
      </c>
      <c r="AZ596" s="832">
        <v>338685.20000000007</v>
      </c>
      <c r="BA596" s="832">
        <v>325338</v>
      </c>
      <c r="BB596" s="832">
        <v>401250.20000000007</v>
      </c>
      <c r="BC596" s="832">
        <v>513867.20000000007</v>
      </c>
      <c r="BD596" s="832">
        <v>392074</v>
      </c>
      <c r="BE596" s="832">
        <v>658183.80000000005</v>
      </c>
      <c r="BF596" s="832">
        <v>706567.4</v>
      </c>
      <c r="BG596" s="832">
        <v>491343.80000000005</v>
      </c>
      <c r="BH596" s="832">
        <v>368716.4</v>
      </c>
      <c r="BI596" s="832">
        <v>207715.80000000002</v>
      </c>
      <c r="BJ596" s="832">
        <v>210218.40000000002</v>
      </c>
      <c r="BK596" s="832">
        <v>180187.2</v>
      </c>
      <c r="BL596" s="832">
        <v>238581.2</v>
      </c>
      <c r="BM596" s="832">
        <v>311990.8</v>
      </c>
      <c r="BN596" s="832">
        <v>301980.40000000002</v>
      </c>
      <c r="BO596" s="832">
        <v>437120.80000000005</v>
      </c>
      <c r="BP596" s="832">
        <v>430447.2</v>
      </c>
      <c r="BQ596" s="832">
        <v>718246.20000000007</v>
      </c>
      <c r="BR596" s="832">
        <v>713241.00000000012</v>
      </c>
      <c r="BS596" s="832">
        <v>376224.2</v>
      </c>
      <c r="BT596" s="832">
        <v>385400.4</v>
      </c>
      <c r="BU596" s="832">
        <v>283628</v>
      </c>
      <c r="BV596" s="832">
        <v>251928.40000000002</v>
      </c>
    </row>
    <row r="597" spans="1:74" s="501" customFormat="1" ht="12.75" x14ac:dyDescent="0.2">
      <c r="A597" s="833" t="s">
        <v>889</v>
      </c>
      <c r="B597" s="834" t="s">
        <v>901</v>
      </c>
      <c r="C597" s="835">
        <v>22867.09</v>
      </c>
      <c r="D597" s="835">
        <v>17398.079999999998</v>
      </c>
      <c r="E597" s="835">
        <v>13911.12</v>
      </c>
      <c r="F597" s="835">
        <v>13580.779999999999</v>
      </c>
      <c r="G597" s="835">
        <v>21692.54</v>
      </c>
      <c r="H597" s="835">
        <v>41696.649999999994</v>
      </c>
      <c r="I597" s="835">
        <v>43238.25</v>
      </c>
      <c r="J597" s="835">
        <v>20885.04</v>
      </c>
      <c r="K597" s="835">
        <v>17655.009999999998</v>
      </c>
      <c r="L597" s="835">
        <v>14168.050000000001</v>
      </c>
      <c r="M597" s="835">
        <v>15452.72</v>
      </c>
      <c r="N597" s="835">
        <v>5764.08</v>
      </c>
      <c r="O597" s="835">
        <v>788.4</v>
      </c>
      <c r="P597" s="835">
        <v>8497.2000000000007</v>
      </c>
      <c r="Q597" s="835">
        <v>9653.52</v>
      </c>
      <c r="R597" s="835">
        <v>11072.64</v>
      </c>
      <c r="S597" s="835">
        <v>11966.16</v>
      </c>
      <c r="T597" s="835">
        <v>12789.6</v>
      </c>
      <c r="U597" s="835">
        <v>13753.199999999999</v>
      </c>
      <c r="V597" s="835">
        <v>13034.880000000001</v>
      </c>
      <c r="W597" s="835">
        <v>11020.08</v>
      </c>
      <c r="X597" s="835">
        <v>29275.919999999998</v>
      </c>
      <c r="Y597" s="835">
        <v>12631.92</v>
      </c>
      <c r="Z597" s="835">
        <v>12246.48</v>
      </c>
      <c r="AA597" s="835">
        <v>13490.4</v>
      </c>
      <c r="AB597" s="835">
        <v>15400.08</v>
      </c>
      <c r="AC597" s="835">
        <v>14226.24</v>
      </c>
      <c r="AD597" s="835">
        <v>15592.8</v>
      </c>
      <c r="AE597" s="835">
        <v>18623.760000000002</v>
      </c>
      <c r="AF597" s="835">
        <v>20550.96</v>
      </c>
      <c r="AG597" s="835">
        <v>23476.799999999999</v>
      </c>
      <c r="AH597" s="835">
        <v>20025.36</v>
      </c>
      <c r="AI597" s="835">
        <v>16749.12</v>
      </c>
      <c r="AJ597" s="835">
        <v>11212.8</v>
      </c>
      <c r="AK597" s="835">
        <v>14313.84</v>
      </c>
      <c r="AL597" s="835">
        <v>8689.92</v>
      </c>
      <c r="AM597" s="835">
        <v>15259.92</v>
      </c>
      <c r="AN597" s="835">
        <v>15365.04</v>
      </c>
      <c r="AO597" s="835">
        <v>9688.5600000000013</v>
      </c>
      <c r="AP597" s="835">
        <v>17695.2</v>
      </c>
      <c r="AQ597" s="835">
        <v>14173.679999999998</v>
      </c>
      <c r="AR597" s="835">
        <v>16994.400000000001</v>
      </c>
      <c r="AS597" s="835">
        <v>23424.239999999998</v>
      </c>
      <c r="AT597" s="835">
        <v>14331.36</v>
      </c>
      <c r="AU597" s="835">
        <v>18956.64</v>
      </c>
      <c r="AV597" s="835">
        <v>15224.88</v>
      </c>
      <c r="AW597" s="835">
        <v>10599.6</v>
      </c>
      <c r="AX597" s="835">
        <v>8357.0399999999991</v>
      </c>
      <c r="AY597" s="835">
        <v>9881.2800000000007</v>
      </c>
      <c r="AZ597" s="835">
        <v>14401.44</v>
      </c>
      <c r="BA597" s="835">
        <v>11142.72</v>
      </c>
      <c r="BB597" s="835">
        <v>15172.32</v>
      </c>
      <c r="BC597" s="835">
        <v>13104.96</v>
      </c>
      <c r="BD597" s="835">
        <v>11090.16</v>
      </c>
      <c r="BE597" s="835">
        <v>16573.919999999998</v>
      </c>
      <c r="BF597" s="835">
        <v>12807.12</v>
      </c>
      <c r="BG597" s="835">
        <v>7533.6</v>
      </c>
      <c r="BH597" s="835">
        <v>8795.0400000000009</v>
      </c>
      <c r="BI597" s="835">
        <v>5851.68</v>
      </c>
      <c r="BJ597" s="835">
        <v>4309.92</v>
      </c>
      <c r="BK597" s="835">
        <v>5694</v>
      </c>
      <c r="BL597" s="835">
        <v>6570</v>
      </c>
      <c r="BM597" s="835">
        <v>5886.72</v>
      </c>
      <c r="BN597" s="835">
        <v>9986.4</v>
      </c>
      <c r="BO597" s="835">
        <v>8689.92</v>
      </c>
      <c r="BP597" s="835">
        <v>8286.9599999999991</v>
      </c>
      <c r="BQ597" s="835">
        <v>14366.4</v>
      </c>
      <c r="BR597" s="835">
        <v>12842.16</v>
      </c>
      <c r="BS597" s="835">
        <v>9162.9599999999991</v>
      </c>
      <c r="BT597" s="835">
        <v>6324.72</v>
      </c>
      <c r="BU597" s="835">
        <v>6464.88</v>
      </c>
      <c r="BV597" s="835">
        <v>5904.24</v>
      </c>
    </row>
    <row r="598" spans="1:74" s="500" customFormat="1" ht="12.75" x14ac:dyDescent="0.2">
      <c r="A598" s="833">
        <v>315</v>
      </c>
      <c r="B598" s="834" t="s">
        <v>902</v>
      </c>
      <c r="C598" s="835">
        <v>1835.24</v>
      </c>
      <c r="D598" s="835">
        <v>2752.86</v>
      </c>
      <c r="E598" s="835">
        <v>4404.58</v>
      </c>
      <c r="F598" s="835">
        <v>6753.68</v>
      </c>
      <c r="G598" s="835">
        <v>7194.14</v>
      </c>
      <c r="H598" s="835">
        <v>9543.25</v>
      </c>
      <c r="I598" s="835">
        <v>13030.2</v>
      </c>
      <c r="J598" s="835">
        <v>8809.15</v>
      </c>
      <c r="K598" s="835">
        <v>7340.96</v>
      </c>
      <c r="L598" s="835">
        <v>5946.18</v>
      </c>
      <c r="M598" s="835">
        <v>4147.6400000000003</v>
      </c>
      <c r="N598" s="835">
        <v>2137.44</v>
      </c>
      <c r="O598" s="835">
        <v>1664.4</v>
      </c>
      <c r="P598" s="835">
        <v>3468.96</v>
      </c>
      <c r="Q598" s="835">
        <v>2978.4</v>
      </c>
      <c r="R598" s="835">
        <v>3451.44</v>
      </c>
      <c r="S598" s="835">
        <v>4344.96</v>
      </c>
      <c r="T598" s="835">
        <v>4348.46</v>
      </c>
      <c r="U598" s="835">
        <v>4372.99</v>
      </c>
      <c r="V598" s="835">
        <v>5098.32</v>
      </c>
      <c r="W598" s="835">
        <v>4432.5600000000004</v>
      </c>
      <c r="X598" s="835">
        <v>3363.84</v>
      </c>
      <c r="Y598" s="835">
        <v>1734.48</v>
      </c>
      <c r="Z598" s="835">
        <v>1243.92</v>
      </c>
      <c r="AA598" s="835">
        <v>1384.08</v>
      </c>
      <c r="AB598" s="835">
        <v>1804.56</v>
      </c>
      <c r="AC598" s="835">
        <v>3591.6</v>
      </c>
      <c r="AD598" s="835">
        <v>3574.08</v>
      </c>
      <c r="AE598" s="835">
        <v>4380</v>
      </c>
      <c r="AF598" s="835">
        <v>4607.76</v>
      </c>
      <c r="AG598" s="835">
        <v>6132</v>
      </c>
      <c r="AH598" s="835">
        <v>5352.36</v>
      </c>
      <c r="AI598" s="835">
        <v>4818</v>
      </c>
      <c r="AJ598" s="835">
        <v>3591.6</v>
      </c>
      <c r="AK598" s="835">
        <v>3066</v>
      </c>
      <c r="AL598" s="835">
        <v>1103.76</v>
      </c>
      <c r="AM598" s="835">
        <v>1243.92</v>
      </c>
      <c r="AN598" s="835">
        <v>2014.8</v>
      </c>
      <c r="AO598" s="835">
        <v>2785.68</v>
      </c>
      <c r="AP598" s="835">
        <v>4047.12</v>
      </c>
      <c r="AQ598" s="835">
        <v>4502.6400000000003</v>
      </c>
      <c r="AR598" s="835">
        <v>4362.4799999999996</v>
      </c>
      <c r="AS598" s="835">
        <v>8006.64</v>
      </c>
      <c r="AT598" s="835">
        <v>4292.3999999999996</v>
      </c>
      <c r="AU598" s="835">
        <v>5361.12</v>
      </c>
      <c r="AV598" s="835">
        <v>4344.96</v>
      </c>
      <c r="AW598" s="835">
        <v>1716.96</v>
      </c>
      <c r="AX598" s="835">
        <v>963.6</v>
      </c>
      <c r="AY598" s="835">
        <v>1226.4000000000001</v>
      </c>
      <c r="AZ598" s="835">
        <v>2190</v>
      </c>
      <c r="BA598" s="835">
        <v>1401.6</v>
      </c>
      <c r="BB598" s="835">
        <v>2032.32</v>
      </c>
      <c r="BC598" s="835">
        <v>4835.5200000000004</v>
      </c>
      <c r="BD598" s="835">
        <v>4940.6400000000003</v>
      </c>
      <c r="BE598" s="835">
        <v>5553.84</v>
      </c>
      <c r="BF598" s="835">
        <v>5991.84</v>
      </c>
      <c r="BG598" s="835">
        <v>3836.88</v>
      </c>
      <c r="BH598" s="835">
        <v>3749.28</v>
      </c>
      <c r="BI598" s="835">
        <v>2032.32</v>
      </c>
      <c r="BJ598" s="835">
        <v>1752</v>
      </c>
      <c r="BK598" s="835">
        <v>963.6</v>
      </c>
      <c r="BL598" s="835">
        <v>1401.6</v>
      </c>
      <c r="BM598" s="835">
        <v>2487.84</v>
      </c>
      <c r="BN598" s="835">
        <v>4450.08</v>
      </c>
      <c r="BO598" s="835">
        <v>4274.88</v>
      </c>
      <c r="BP598" s="835">
        <v>4012.08</v>
      </c>
      <c r="BQ598" s="835">
        <v>5694</v>
      </c>
      <c r="BR598" s="835">
        <v>5764.08</v>
      </c>
      <c r="BS598" s="835">
        <v>4520.16</v>
      </c>
      <c r="BT598" s="835">
        <v>3836.88</v>
      </c>
      <c r="BU598" s="835">
        <v>2487.84</v>
      </c>
      <c r="BV598" s="835">
        <v>1576.8</v>
      </c>
    </row>
    <row r="599" spans="1:74" s="500" customFormat="1" ht="12.75" x14ac:dyDescent="0.2">
      <c r="A599" s="833" t="s">
        <v>892</v>
      </c>
      <c r="B599" s="834" t="s">
        <v>903</v>
      </c>
      <c r="C599" s="835">
        <v>0</v>
      </c>
      <c r="D599" s="835">
        <v>0</v>
      </c>
      <c r="E599" s="835">
        <v>0</v>
      </c>
      <c r="F599" s="835">
        <v>0</v>
      </c>
      <c r="G599" s="835">
        <v>0</v>
      </c>
      <c r="H599" s="835">
        <v>0</v>
      </c>
      <c r="I599" s="835">
        <v>0</v>
      </c>
      <c r="J599" s="835">
        <v>0</v>
      </c>
      <c r="K599" s="835">
        <v>0</v>
      </c>
      <c r="L599" s="835">
        <v>0</v>
      </c>
      <c r="M599" s="835">
        <v>0</v>
      </c>
      <c r="N599" s="835">
        <v>0</v>
      </c>
      <c r="O599" s="835">
        <v>0</v>
      </c>
      <c r="P599" s="835">
        <v>0</v>
      </c>
      <c r="Q599" s="835">
        <v>0</v>
      </c>
      <c r="R599" s="835">
        <v>0</v>
      </c>
      <c r="S599" s="835">
        <v>0</v>
      </c>
      <c r="T599" s="835">
        <v>0</v>
      </c>
      <c r="U599" s="835">
        <v>0</v>
      </c>
      <c r="V599" s="835">
        <v>0</v>
      </c>
      <c r="W599" s="835">
        <v>0</v>
      </c>
      <c r="X599" s="835">
        <v>0</v>
      </c>
      <c r="Y599" s="835">
        <v>4424.1499999999996</v>
      </c>
      <c r="Z599" s="835">
        <v>1274.76</v>
      </c>
      <c r="AA599" s="835">
        <v>1754.66</v>
      </c>
      <c r="AB599" s="835">
        <v>3584.31</v>
      </c>
      <c r="AC599" s="835">
        <v>3974.24</v>
      </c>
      <c r="AD599" s="835">
        <v>7213.61</v>
      </c>
      <c r="AE599" s="835">
        <v>8038.46</v>
      </c>
      <c r="AF599" s="835">
        <v>7483.56</v>
      </c>
      <c r="AG599" s="835">
        <v>10467.99</v>
      </c>
      <c r="AH599" s="835">
        <v>14829.71</v>
      </c>
      <c r="AI599" s="835">
        <v>15237.68</v>
      </c>
      <c r="AJ599" s="835">
        <v>8975.34</v>
      </c>
      <c r="AK599" s="835">
        <v>9424.1</v>
      </c>
      <c r="AL599" s="835">
        <v>6670.31</v>
      </c>
      <c r="AM599" s="835">
        <v>8322.59</v>
      </c>
      <c r="AN599" s="835">
        <v>10688.82</v>
      </c>
      <c r="AO599" s="835">
        <v>8791.75</v>
      </c>
      <c r="AP599" s="835">
        <v>11321.17</v>
      </c>
      <c r="AQ599" s="835">
        <v>12973.439999999999</v>
      </c>
      <c r="AR599" s="835">
        <v>9464.91</v>
      </c>
      <c r="AS599" s="835">
        <v>19687.449999999997</v>
      </c>
      <c r="AT599" s="835">
        <v>11035.59</v>
      </c>
      <c r="AU599" s="835">
        <v>13259.029999999999</v>
      </c>
      <c r="AV599" s="835">
        <v>8771.36</v>
      </c>
      <c r="AW599" s="835">
        <v>5303.6100000000006</v>
      </c>
      <c r="AX599" s="835">
        <v>6037.95</v>
      </c>
      <c r="AY599" s="835">
        <v>7017.09</v>
      </c>
      <c r="AZ599" s="835">
        <v>8281.7899999999991</v>
      </c>
      <c r="BA599" s="835">
        <v>7955.42</v>
      </c>
      <c r="BB599" s="835">
        <v>9811.68</v>
      </c>
      <c r="BC599" s="835">
        <v>12565.47</v>
      </c>
      <c r="BD599" s="835">
        <v>9587.2999999999993</v>
      </c>
      <c r="BE599" s="835">
        <v>16094.420000000002</v>
      </c>
      <c r="BF599" s="835">
        <v>17277.53</v>
      </c>
      <c r="BG599" s="835">
        <v>12014.72</v>
      </c>
      <c r="BH599" s="835">
        <v>9016.130000000001</v>
      </c>
      <c r="BI599" s="835">
        <v>5079.2299999999996</v>
      </c>
      <c r="BJ599" s="835">
        <v>5140.42</v>
      </c>
      <c r="BK599" s="835">
        <v>4406.07</v>
      </c>
      <c r="BL599" s="835">
        <v>5833.9699999999993</v>
      </c>
      <c r="BM599" s="835">
        <v>7629.0399999999991</v>
      </c>
      <c r="BN599" s="835">
        <v>7384.25</v>
      </c>
      <c r="BO599" s="835">
        <v>10688.82</v>
      </c>
      <c r="BP599" s="835">
        <v>10525.62</v>
      </c>
      <c r="BQ599" s="835">
        <v>17563.11</v>
      </c>
      <c r="BR599" s="835">
        <v>17440.72</v>
      </c>
      <c r="BS599" s="835">
        <v>9199.7199999999993</v>
      </c>
      <c r="BT599" s="835">
        <v>9424.1</v>
      </c>
      <c r="BU599" s="835">
        <v>6935.49</v>
      </c>
      <c r="BV599" s="835">
        <v>6160.34</v>
      </c>
    </row>
    <row r="600" spans="1:74" s="26" customFormat="1" ht="12.75" x14ac:dyDescent="0.2"/>
    <row r="601" spans="1:74" s="26" customFormat="1" ht="12.75" x14ac:dyDescent="0.2">
      <c r="A601" s="2256" t="s">
        <v>904</v>
      </c>
      <c r="B601" s="2257"/>
      <c r="C601" s="2257"/>
      <c r="D601" s="2257"/>
      <c r="E601" s="2257"/>
      <c r="F601" s="2257"/>
      <c r="G601" s="2257"/>
      <c r="H601" s="2257"/>
      <c r="I601" s="2257"/>
      <c r="J601" s="2257"/>
      <c r="K601" s="2257"/>
      <c r="L601" s="2257"/>
      <c r="M601" s="2257"/>
      <c r="N601" s="2257"/>
      <c r="O601" s="2257"/>
      <c r="P601" s="2257"/>
      <c r="Q601" s="2257"/>
      <c r="R601" s="2257"/>
      <c r="S601" s="2257"/>
      <c r="T601" s="2257"/>
      <c r="U601" s="2257"/>
      <c r="V601" s="2257"/>
      <c r="W601" s="2257"/>
      <c r="X601" s="2257"/>
      <c r="Y601" s="2257"/>
      <c r="Z601" s="2257"/>
      <c r="AA601" s="2257"/>
      <c r="AB601" s="2257"/>
      <c r="AC601" s="2257"/>
      <c r="AD601" s="2257"/>
      <c r="AE601" s="2257"/>
      <c r="AF601" s="2257"/>
      <c r="AG601" s="2257"/>
      <c r="AH601" s="2257"/>
      <c r="AI601" s="2257"/>
      <c r="AJ601" s="2257"/>
      <c r="AK601" s="2257"/>
      <c r="AL601" s="2257"/>
      <c r="AM601" s="2257"/>
      <c r="AN601" s="2257"/>
      <c r="AO601" s="2257"/>
      <c r="AP601" s="2257"/>
      <c r="AQ601" s="2257"/>
      <c r="AR601" s="2257"/>
      <c r="AS601" s="2257"/>
      <c r="AT601" s="2257"/>
      <c r="AU601" s="2257"/>
      <c r="AV601" s="2257"/>
      <c r="AW601" s="2257"/>
      <c r="AX601" s="2257"/>
      <c r="AY601" s="2258"/>
    </row>
    <row r="602" spans="1:74" s="26" customFormat="1" ht="12.75" x14ac:dyDescent="0.2">
      <c r="A602" s="824" t="s">
        <v>654</v>
      </c>
      <c r="B602" s="825" t="s">
        <v>655</v>
      </c>
      <c r="C602" s="826">
        <v>40360</v>
      </c>
      <c r="D602" s="826">
        <v>40391</v>
      </c>
      <c r="E602" s="826">
        <v>40422</v>
      </c>
      <c r="F602" s="826">
        <v>40452</v>
      </c>
      <c r="G602" s="826">
        <v>40483</v>
      </c>
      <c r="H602" s="826">
        <v>40513</v>
      </c>
      <c r="I602" s="826">
        <v>40544</v>
      </c>
      <c r="J602" s="826">
        <v>40575</v>
      </c>
      <c r="K602" s="826">
        <v>40603</v>
      </c>
      <c r="L602" s="826">
        <v>40634</v>
      </c>
      <c r="M602" s="826">
        <v>40664</v>
      </c>
      <c r="N602" s="826">
        <v>40695</v>
      </c>
      <c r="O602" s="826">
        <v>40725</v>
      </c>
      <c r="P602" s="826">
        <v>40756</v>
      </c>
      <c r="Q602" s="826">
        <v>40787</v>
      </c>
      <c r="R602" s="826">
        <v>40817</v>
      </c>
      <c r="S602" s="826">
        <v>40848</v>
      </c>
      <c r="T602" s="826">
        <v>40878</v>
      </c>
      <c r="U602" s="826">
        <v>40909</v>
      </c>
      <c r="V602" s="826">
        <v>40940</v>
      </c>
      <c r="W602" s="826">
        <v>40969</v>
      </c>
      <c r="X602" s="826">
        <v>41000</v>
      </c>
      <c r="Y602" s="826">
        <v>41030</v>
      </c>
      <c r="Z602" s="826">
        <v>41061</v>
      </c>
      <c r="AA602" s="826">
        <v>41091</v>
      </c>
      <c r="AB602" s="826">
        <v>41122</v>
      </c>
      <c r="AC602" s="826">
        <v>41153</v>
      </c>
      <c r="AD602" s="826">
        <v>41183</v>
      </c>
      <c r="AE602" s="826">
        <v>41214</v>
      </c>
      <c r="AF602" s="826">
        <v>41244</v>
      </c>
      <c r="AG602" s="826">
        <v>41275</v>
      </c>
      <c r="AH602" s="826">
        <v>41306</v>
      </c>
      <c r="AI602" s="826">
        <v>41334</v>
      </c>
      <c r="AJ602" s="826">
        <v>41365</v>
      </c>
      <c r="AK602" s="826">
        <v>41395</v>
      </c>
      <c r="AL602" s="826">
        <v>41426</v>
      </c>
      <c r="AM602" s="826">
        <v>41456</v>
      </c>
      <c r="AN602" s="826">
        <v>41487</v>
      </c>
      <c r="AO602" s="826">
        <v>41518</v>
      </c>
      <c r="AP602" s="826">
        <v>41548</v>
      </c>
      <c r="AQ602" s="826">
        <v>41579</v>
      </c>
      <c r="AR602" s="826">
        <v>41609</v>
      </c>
      <c r="AS602" s="826">
        <v>41640</v>
      </c>
      <c r="AT602" s="826">
        <v>41671</v>
      </c>
      <c r="AU602" s="826">
        <v>41699</v>
      </c>
      <c r="AV602" s="826">
        <v>41730</v>
      </c>
      <c r="AW602" s="826">
        <v>41760</v>
      </c>
      <c r="AX602" s="826">
        <v>41791</v>
      </c>
      <c r="AY602" s="826">
        <v>41821</v>
      </c>
      <c r="AZ602" s="826">
        <v>41852</v>
      </c>
      <c r="BA602" s="826">
        <v>41883</v>
      </c>
      <c r="BB602" s="826">
        <v>41913</v>
      </c>
      <c r="BC602" s="826">
        <v>41944</v>
      </c>
      <c r="BD602" s="826">
        <v>41974</v>
      </c>
      <c r="BE602" s="826">
        <v>42005</v>
      </c>
      <c r="BF602" s="826">
        <v>42036</v>
      </c>
      <c r="BG602" s="826">
        <v>42064</v>
      </c>
      <c r="BH602" s="826">
        <v>42095</v>
      </c>
      <c r="BI602" s="826">
        <v>42125</v>
      </c>
      <c r="BJ602" s="826">
        <v>42156</v>
      </c>
      <c r="BK602" s="826">
        <v>42186</v>
      </c>
      <c r="BL602" s="826">
        <v>42217</v>
      </c>
      <c r="BM602" s="826">
        <v>42248</v>
      </c>
      <c r="BN602" s="826">
        <v>42278</v>
      </c>
      <c r="BO602" s="826">
        <v>42309</v>
      </c>
      <c r="BP602" s="826">
        <v>42339</v>
      </c>
      <c r="BQ602" s="826">
        <v>42370</v>
      </c>
      <c r="BR602" s="826">
        <v>42401</v>
      </c>
      <c r="BS602" s="826">
        <v>42430</v>
      </c>
      <c r="BT602" s="826">
        <v>42461</v>
      </c>
      <c r="BU602" s="826">
        <v>42491</v>
      </c>
      <c r="BV602" s="826">
        <v>42522</v>
      </c>
    </row>
    <row r="603" spans="1:74" s="500" customFormat="1" ht="12.75" x14ac:dyDescent="0.2">
      <c r="A603" s="827" t="s">
        <v>889</v>
      </c>
      <c r="B603" s="828" t="s">
        <v>905</v>
      </c>
      <c r="C603" s="829">
        <v>227000</v>
      </c>
      <c r="D603" s="829">
        <v>183000</v>
      </c>
      <c r="E603" s="829">
        <v>225000</v>
      </c>
      <c r="F603" s="829">
        <v>344000</v>
      </c>
      <c r="G603" s="829">
        <v>215000</v>
      </c>
      <c r="H603" s="829">
        <v>164000</v>
      </c>
      <c r="I603" s="829">
        <v>101000</v>
      </c>
      <c r="J603" s="829">
        <v>391000</v>
      </c>
      <c r="K603" s="829">
        <v>303000</v>
      </c>
      <c r="L603" s="829">
        <v>172000</v>
      </c>
      <c r="M603" s="829">
        <v>150000</v>
      </c>
      <c r="N603" s="829">
        <v>200400</v>
      </c>
      <c r="O603" s="829">
        <v>209000</v>
      </c>
      <c r="P603" s="829">
        <v>258000</v>
      </c>
      <c r="Q603" s="829">
        <v>385000</v>
      </c>
      <c r="R603" s="829">
        <v>387000</v>
      </c>
      <c r="S603" s="829">
        <v>287000</v>
      </c>
      <c r="T603" s="829">
        <v>151000</v>
      </c>
      <c r="U603" s="829">
        <v>196000</v>
      </c>
      <c r="V603" s="829">
        <v>287000</v>
      </c>
      <c r="W603" s="829">
        <v>294000</v>
      </c>
      <c r="X603" s="829">
        <v>310000</v>
      </c>
      <c r="Y603" s="829">
        <v>145000</v>
      </c>
      <c r="Z603" s="829">
        <v>210000</v>
      </c>
      <c r="AA603" s="829">
        <v>278000</v>
      </c>
      <c r="AB603" s="829">
        <v>501000</v>
      </c>
      <c r="AC603" s="829">
        <v>459000</v>
      </c>
      <c r="AD603" s="829">
        <v>439000</v>
      </c>
      <c r="AE603" s="829">
        <v>368000</v>
      </c>
      <c r="AF603" s="829">
        <v>227000</v>
      </c>
      <c r="AG603" s="829">
        <v>500000</v>
      </c>
      <c r="AH603" s="829">
        <v>275000</v>
      </c>
      <c r="AI603" s="829">
        <v>181000</v>
      </c>
      <c r="AJ603" s="829">
        <v>279000</v>
      </c>
      <c r="AK603" s="829">
        <v>200000</v>
      </c>
      <c r="AL603" s="829">
        <v>219000</v>
      </c>
      <c r="AM603" s="829">
        <v>244000</v>
      </c>
      <c r="AN603" s="829">
        <v>333000</v>
      </c>
      <c r="AO603" s="829">
        <v>427000</v>
      </c>
      <c r="AP603" s="829">
        <v>475900</v>
      </c>
      <c r="AQ603" s="829">
        <v>456359</v>
      </c>
      <c r="AR603" s="829">
        <v>390001</v>
      </c>
      <c r="AS603" s="829">
        <v>507000</v>
      </c>
      <c r="AT603" s="829">
        <v>540918</v>
      </c>
      <c r="AU603" s="829">
        <v>183918</v>
      </c>
      <c r="AV603" s="829">
        <v>228589</v>
      </c>
      <c r="AW603" s="829">
        <v>211785</v>
      </c>
      <c r="AX603" s="829">
        <v>332555.45900000003</v>
      </c>
      <c r="AY603" s="829">
        <v>156555</v>
      </c>
      <c r="AZ603" s="829">
        <v>317243</v>
      </c>
      <c r="BA603" s="829">
        <v>336965</v>
      </c>
      <c r="BB603" s="829">
        <v>237686.9999541</v>
      </c>
      <c r="BC603" s="829">
        <v>161409</v>
      </c>
      <c r="BD603" s="829">
        <v>46000</v>
      </c>
      <c r="BE603" s="829">
        <v>87000</v>
      </c>
      <c r="BF603" s="829">
        <v>105000</v>
      </c>
      <c r="BG603" s="829">
        <v>210475</v>
      </c>
      <c r="BH603" s="829">
        <v>265606</v>
      </c>
      <c r="BI603" s="829">
        <v>163212</v>
      </c>
      <c r="BJ603" s="829">
        <v>268456.9999541</v>
      </c>
      <c r="BK603" s="829">
        <v>252014</v>
      </c>
      <c r="BL603" s="829">
        <v>322375</v>
      </c>
      <c r="BM603" s="829">
        <v>368441</v>
      </c>
      <c r="BN603" s="829">
        <v>253901</v>
      </c>
      <c r="BO603" s="829">
        <v>185426</v>
      </c>
      <c r="BP603" s="829">
        <v>92000</v>
      </c>
      <c r="BQ603" s="829">
        <v>603000</v>
      </c>
      <c r="BR603" s="829">
        <v>290000</v>
      </c>
      <c r="BS603" s="829">
        <v>231245</v>
      </c>
      <c r="BT603" s="829">
        <v>300786</v>
      </c>
      <c r="BU603" s="829">
        <v>189327</v>
      </c>
      <c r="BV603" s="829">
        <v>314358</v>
      </c>
    </row>
    <row r="604" spans="1:74" s="500" customFormat="1" ht="12.75" customHeight="1" x14ac:dyDescent="0.2">
      <c r="A604" s="830">
        <v>315</v>
      </c>
      <c r="B604" s="831" t="s">
        <v>906</v>
      </c>
      <c r="C604" s="832">
        <v>20000</v>
      </c>
      <c r="D604" s="832">
        <v>83000</v>
      </c>
      <c r="E604" s="832">
        <v>139000</v>
      </c>
      <c r="F604" s="832">
        <v>174000</v>
      </c>
      <c r="G604" s="832">
        <v>119000</v>
      </c>
      <c r="H604" s="832">
        <v>108000</v>
      </c>
      <c r="I604" s="832">
        <v>53000</v>
      </c>
      <c r="J604" s="832">
        <v>231000</v>
      </c>
      <c r="K604" s="832">
        <v>190000</v>
      </c>
      <c r="L604" s="832">
        <v>54000</v>
      </c>
      <c r="M604" s="832">
        <v>27000</v>
      </c>
      <c r="N604" s="832">
        <v>6000</v>
      </c>
      <c r="O604" s="832">
        <v>12000</v>
      </c>
      <c r="P604" s="832">
        <v>81000</v>
      </c>
      <c r="Q604" s="832">
        <v>174000</v>
      </c>
      <c r="R604" s="832">
        <v>147000</v>
      </c>
      <c r="S604" s="832">
        <v>146000</v>
      </c>
      <c r="T604" s="832">
        <v>93000</v>
      </c>
      <c r="U604" s="832">
        <v>112000</v>
      </c>
      <c r="V604" s="832">
        <v>196000</v>
      </c>
      <c r="W604" s="832">
        <v>164000</v>
      </c>
      <c r="X604" s="832">
        <v>158000</v>
      </c>
      <c r="Y604" s="832">
        <v>65000</v>
      </c>
      <c r="Z604" s="832">
        <v>18000</v>
      </c>
      <c r="AA604" s="832">
        <v>27000</v>
      </c>
      <c r="AB604" s="832">
        <v>114000</v>
      </c>
      <c r="AC604" s="832">
        <v>166000</v>
      </c>
      <c r="AD604" s="832">
        <v>176000</v>
      </c>
      <c r="AE604" s="832">
        <v>172000</v>
      </c>
      <c r="AF604" s="832">
        <v>77000</v>
      </c>
      <c r="AG604" s="832">
        <v>129000</v>
      </c>
      <c r="AH604" s="832">
        <v>170000</v>
      </c>
      <c r="AI604" s="832">
        <v>133000</v>
      </c>
      <c r="AJ604" s="832">
        <v>167000</v>
      </c>
      <c r="AK604" s="832">
        <v>113000</v>
      </c>
      <c r="AL604" s="832">
        <v>86000</v>
      </c>
      <c r="AM604" s="832">
        <v>150000</v>
      </c>
      <c r="AN604" s="832">
        <v>128000</v>
      </c>
      <c r="AO604" s="832">
        <v>190000</v>
      </c>
      <c r="AP604" s="832">
        <v>224300</v>
      </c>
      <c r="AQ604" s="832">
        <v>173473</v>
      </c>
      <c r="AR604" s="832">
        <v>80000</v>
      </c>
      <c r="AS604" s="832">
        <v>185000</v>
      </c>
      <c r="AT604" s="832">
        <v>190346</v>
      </c>
      <c r="AU604" s="832">
        <v>140346</v>
      </c>
      <c r="AV604" s="832">
        <v>186283</v>
      </c>
      <c r="AW604" s="832">
        <v>77895</v>
      </c>
      <c r="AX604" s="832">
        <v>33085.172999999995</v>
      </c>
      <c r="AY604" s="832">
        <v>78085</v>
      </c>
      <c r="AZ604" s="832">
        <v>159621</v>
      </c>
      <c r="BA604" s="832">
        <v>217355</v>
      </c>
      <c r="BB604" s="832">
        <v>226088.99998269998</v>
      </c>
      <c r="BC604" s="832">
        <v>160823</v>
      </c>
      <c r="BD604" s="832">
        <v>79000</v>
      </c>
      <c r="BE604" s="832">
        <v>145000</v>
      </c>
      <c r="BF604" s="832">
        <v>180000</v>
      </c>
      <c r="BG604" s="832">
        <v>144325</v>
      </c>
      <c r="BH604" s="832">
        <v>184882</v>
      </c>
      <c r="BI604" s="832">
        <v>51764</v>
      </c>
      <c r="BJ604" s="832">
        <v>63278.999982699999</v>
      </c>
      <c r="BK604" s="832">
        <v>52258</v>
      </c>
      <c r="BL604" s="832">
        <v>146625</v>
      </c>
      <c r="BM604" s="832">
        <v>200127</v>
      </c>
      <c r="BN604" s="832">
        <v>186747</v>
      </c>
      <c r="BO604" s="832">
        <v>161422</v>
      </c>
      <c r="BP604" s="832">
        <v>75000</v>
      </c>
      <c r="BQ604" s="832">
        <v>146000</v>
      </c>
      <c r="BR604" s="832">
        <v>183000</v>
      </c>
      <c r="BS604" s="832">
        <v>135515</v>
      </c>
      <c r="BT604" s="832">
        <v>196342</v>
      </c>
      <c r="BU604" s="832">
        <v>105169</v>
      </c>
      <c r="BV604" s="832">
        <v>121026</v>
      </c>
    </row>
    <row r="605" spans="1:74" s="500" customFormat="1" ht="12.75" customHeight="1" x14ac:dyDescent="0.2">
      <c r="A605" s="830" t="s">
        <v>892</v>
      </c>
      <c r="B605" s="831" t="s">
        <v>907</v>
      </c>
      <c r="C605" s="832">
        <v>0</v>
      </c>
      <c r="D605" s="832">
        <v>0</v>
      </c>
      <c r="E605" s="832">
        <v>0</v>
      </c>
      <c r="F605" s="832">
        <v>0</v>
      </c>
      <c r="G605" s="832">
        <v>0</v>
      </c>
      <c r="H605" s="832">
        <v>0</v>
      </c>
      <c r="I605" s="832">
        <v>0</v>
      </c>
      <c r="J605" s="832">
        <v>0</v>
      </c>
      <c r="K605" s="832">
        <v>0</v>
      </c>
      <c r="L605" s="832">
        <v>0</v>
      </c>
      <c r="M605" s="832">
        <v>0</v>
      </c>
      <c r="N605" s="832">
        <v>0</v>
      </c>
      <c r="O605" s="832">
        <v>0</v>
      </c>
      <c r="P605" s="832">
        <v>0</v>
      </c>
      <c r="Q605" s="832">
        <v>0</v>
      </c>
      <c r="R605" s="832">
        <v>0</v>
      </c>
      <c r="S605" s="832">
        <v>0</v>
      </c>
      <c r="T605" s="832">
        <v>0</v>
      </c>
      <c r="U605" s="832">
        <v>0</v>
      </c>
      <c r="V605" s="832">
        <v>0</v>
      </c>
      <c r="W605" s="832">
        <v>0</v>
      </c>
      <c r="X605" s="832">
        <v>0</v>
      </c>
      <c r="Y605" s="832">
        <v>0</v>
      </c>
      <c r="Z605" s="832">
        <v>5992</v>
      </c>
      <c r="AA605" s="832">
        <v>32528</v>
      </c>
      <c r="AB605" s="832">
        <v>100152</v>
      </c>
      <c r="AC605" s="832">
        <v>205440</v>
      </c>
      <c r="AD605" s="832">
        <v>208008</v>
      </c>
      <c r="AE605" s="832">
        <v>197736</v>
      </c>
      <c r="AF605" s="832">
        <v>89880</v>
      </c>
      <c r="AG605" s="832">
        <v>160072</v>
      </c>
      <c r="AH605" s="832">
        <v>212288</v>
      </c>
      <c r="AI605" s="832">
        <v>172056</v>
      </c>
      <c r="AJ605" s="832">
        <v>219136</v>
      </c>
      <c r="AK605" s="832">
        <v>77896</v>
      </c>
      <c r="AL605" s="832">
        <v>11128</v>
      </c>
      <c r="AM605" s="832">
        <v>11128</v>
      </c>
      <c r="AN605" s="832">
        <v>139528</v>
      </c>
      <c r="AO605" s="832">
        <v>218280</v>
      </c>
      <c r="AP605" s="832">
        <v>274768</v>
      </c>
      <c r="AQ605" s="832">
        <v>222064</v>
      </c>
      <c r="AR605" s="832">
        <v>95872</v>
      </c>
      <c r="AS605" s="832">
        <v>182328</v>
      </c>
      <c r="AT605" s="832">
        <v>224152</v>
      </c>
      <c r="AU605" s="832">
        <v>172792</v>
      </c>
      <c r="AV605" s="832">
        <v>245264</v>
      </c>
      <c r="AW605" s="832">
        <v>117648</v>
      </c>
      <c r="AX605" s="832">
        <v>78184.368000000002</v>
      </c>
      <c r="AY605" s="832">
        <v>95304</v>
      </c>
      <c r="AZ605" s="832">
        <v>233136</v>
      </c>
      <c r="BA605" s="832">
        <v>314680</v>
      </c>
      <c r="BB605" s="832">
        <v>307223.99996320001</v>
      </c>
      <c r="BC605" s="832">
        <v>239768</v>
      </c>
      <c r="BD605" s="832">
        <v>115000</v>
      </c>
      <c r="BE605" s="832">
        <v>229000</v>
      </c>
      <c r="BF605" s="832">
        <v>308000</v>
      </c>
      <c r="BG605" s="832">
        <v>400200</v>
      </c>
      <c r="BH605" s="832">
        <v>342512</v>
      </c>
      <c r="BI605" s="832">
        <v>79024</v>
      </c>
      <c r="BJ605" s="832">
        <v>74263.999963199996</v>
      </c>
      <c r="BK605" s="832">
        <v>98728</v>
      </c>
      <c r="BL605" s="832">
        <v>214000</v>
      </c>
      <c r="BM605" s="832">
        <v>289432</v>
      </c>
      <c r="BN605" s="832">
        <v>263352</v>
      </c>
      <c r="BO605" s="832">
        <v>217152</v>
      </c>
      <c r="BP605" s="832">
        <v>96000</v>
      </c>
      <c r="BQ605" s="832">
        <v>201000</v>
      </c>
      <c r="BR605" s="832">
        <v>258000</v>
      </c>
      <c r="BS605" s="832">
        <v>203240</v>
      </c>
      <c r="BT605" s="832">
        <v>310872</v>
      </c>
      <c r="BU605" s="832">
        <v>123504</v>
      </c>
      <c r="BV605" s="832">
        <v>88616</v>
      </c>
    </row>
    <row r="606" spans="1:74" s="501" customFormat="1" ht="12.75" x14ac:dyDescent="0.2">
      <c r="A606" s="833" t="s">
        <v>889</v>
      </c>
      <c r="B606" s="834" t="s">
        <v>908</v>
      </c>
      <c r="C606" s="835">
        <v>2093.02</v>
      </c>
      <c r="D606" s="835">
        <v>1370.77</v>
      </c>
      <c r="E606" s="835">
        <v>1567.19</v>
      </c>
      <c r="F606" s="835">
        <v>2355.1999999999998</v>
      </c>
      <c r="G606" s="835">
        <v>1751.58</v>
      </c>
      <c r="H606" s="835">
        <v>1112.4000000000001</v>
      </c>
      <c r="I606" s="835">
        <v>702.31999999999994</v>
      </c>
      <c r="J606" s="835">
        <v>2027.6100000000001</v>
      </c>
      <c r="K606" s="835">
        <v>1806.48</v>
      </c>
      <c r="L606" s="835">
        <v>1939.76</v>
      </c>
      <c r="M606" s="835">
        <v>1447.9500000000003</v>
      </c>
      <c r="N606" s="835">
        <v>1348.3600000000001</v>
      </c>
      <c r="O606" s="835">
        <v>1842.05</v>
      </c>
      <c r="P606" s="835">
        <v>1678.25</v>
      </c>
      <c r="Q606" s="835">
        <v>2296</v>
      </c>
      <c r="R606" s="835">
        <v>3225.7000000000003</v>
      </c>
      <c r="S606" s="835">
        <v>3158.8</v>
      </c>
      <c r="T606" s="835">
        <v>2030.4</v>
      </c>
      <c r="U606" s="835">
        <v>1351.5</v>
      </c>
      <c r="V606" s="835">
        <v>1658.65</v>
      </c>
      <c r="W606" s="835">
        <v>2290.3000000000002</v>
      </c>
      <c r="X606" s="835">
        <v>3059.25</v>
      </c>
      <c r="Y606" s="835">
        <v>2194.5</v>
      </c>
      <c r="Z606" s="835">
        <v>2112</v>
      </c>
      <c r="AA606" s="835">
        <v>1325.3</v>
      </c>
      <c r="AB606" s="835">
        <v>2441.1</v>
      </c>
      <c r="AC606" s="835">
        <v>4465.2</v>
      </c>
      <c r="AD606" s="835">
        <v>3722.6</v>
      </c>
      <c r="AE606" s="835">
        <v>3126.7</v>
      </c>
      <c r="AF606" s="835">
        <v>2551.6999999999998</v>
      </c>
      <c r="AG606" s="835">
        <v>2913.5</v>
      </c>
      <c r="AH606" s="835">
        <v>2847</v>
      </c>
      <c r="AI606" s="835">
        <v>2453.6999999999998</v>
      </c>
      <c r="AJ606" s="835">
        <v>2472.6</v>
      </c>
      <c r="AK606" s="835">
        <v>3117.5</v>
      </c>
      <c r="AL606" s="835">
        <v>2551.5</v>
      </c>
      <c r="AM606" s="835">
        <v>3401.1000000000004</v>
      </c>
      <c r="AN606" s="835">
        <v>3105.9</v>
      </c>
      <c r="AO606" s="835">
        <v>3993.7</v>
      </c>
      <c r="AP606" s="835">
        <v>4651.87</v>
      </c>
      <c r="AQ606" s="835">
        <v>5036.2026999999998</v>
      </c>
      <c r="AR606" s="835">
        <v>5584.5</v>
      </c>
      <c r="AS606" s="835">
        <v>5330.1</v>
      </c>
      <c r="AT606" s="835">
        <v>6721.4669999999996</v>
      </c>
      <c r="AU606" s="835">
        <v>3878.9670000000001</v>
      </c>
      <c r="AV606" s="835">
        <v>2495.0340000000001</v>
      </c>
      <c r="AW606" s="835">
        <v>2707.6379999999999</v>
      </c>
      <c r="AX606" s="835">
        <v>4023.6185000000005</v>
      </c>
      <c r="AY606" s="835">
        <v>2575.6530000000002</v>
      </c>
      <c r="AZ606" s="835">
        <v>2496.5934999999999</v>
      </c>
      <c r="BA606" s="835">
        <v>2933.1089999999999</v>
      </c>
      <c r="BB606" s="835">
        <v>4512.8395</v>
      </c>
      <c r="BC606" s="835">
        <v>3101.9265999999998</v>
      </c>
      <c r="BD606" s="835">
        <v>1851.3</v>
      </c>
      <c r="BE606" s="835">
        <v>918.7</v>
      </c>
      <c r="BF606" s="835">
        <v>1789</v>
      </c>
      <c r="BG606" s="835">
        <v>2180.1849999999999</v>
      </c>
      <c r="BH606" s="835">
        <v>2829.9542000000001</v>
      </c>
      <c r="BI606" s="835">
        <v>2685.5567999999998</v>
      </c>
      <c r="BJ606" s="835">
        <v>2739.3532999999998</v>
      </c>
      <c r="BK606" s="835">
        <v>2611.6671999999999</v>
      </c>
      <c r="BL606" s="835">
        <v>2612.7125000000001</v>
      </c>
      <c r="BM606" s="835">
        <v>2888.6670999999997</v>
      </c>
      <c r="BN606" s="835">
        <v>4002.3674000000001</v>
      </c>
      <c r="BO606" s="835">
        <v>2559.3004000000001</v>
      </c>
      <c r="BP606" s="835">
        <v>1803.9</v>
      </c>
      <c r="BQ606" s="835">
        <v>2809.4</v>
      </c>
      <c r="BR606" s="835">
        <v>2093.5</v>
      </c>
      <c r="BS606" s="835">
        <v>2539.4740000000002</v>
      </c>
      <c r="BT606" s="835">
        <v>2435.2510000000002</v>
      </c>
      <c r="BU606" s="835">
        <v>3124.9236000000001</v>
      </c>
      <c r="BV606" s="835">
        <v>3712.1714000000002</v>
      </c>
    </row>
    <row r="607" spans="1:74" s="500" customFormat="1" ht="12.75" x14ac:dyDescent="0.2">
      <c r="A607" s="833">
        <v>315</v>
      </c>
      <c r="B607" s="834" t="s">
        <v>909</v>
      </c>
      <c r="C607" s="835">
        <v>91.64</v>
      </c>
      <c r="D607" s="835">
        <v>273.77</v>
      </c>
      <c r="E607" s="835">
        <v>1081.3800000000001</v>
      </c>
      <c r="F607" s="835">
        <v>1295.1600000000001</v>
      </c>
      <c r="G607" s="835">
        <v>1062.99</v>
      </c>
      <c r="H607" s="835">
        <v>859.46</v>
      </c>
      <c r="I607" s="835">
        <v>529.02</v>
      </c>
      <c r="J607" s="835">
        <v>1387.37</v>
      </c>
      <c r="K607" s="835">
        <v>1148.25</v>
      </c>
      <c r="L607" s="835">
        <v>1097.17</v>
      </c>
      <c r="M607" s="835">
        <v>662.24</v>
      </c>
      <c r="N607" s="835">
        <v>199.4</v>
      </c>
      <c r="O607" s="835">
        <v>114.9</v>
      </c>
      <c r="P607" s="835">
        <v>301.5</v>
      </c>
      <c r="Q607" s="835">
        <v>861.15</v>
      </c>
      <c r="R607" s="835">
        <v>1559.7</v>
      </c>
      <c r="S607" s="835">
        <v>1444.65</v>
      </c>
      <c r="T607" s="835">
        <v>1232.2</v>
      </c>
      <c r="U607" s="835">
        <v>1012.75</v>
      </c>
      <c r="V607" s="835">
        <v>1203.2</v>
      </c>
      <c r="W607" s="835">
        <v>1681.8</v>
      </c>
      <c r="X607" s="835">
        <v>1794.6</v>
      </c>
      <c r="Y607" s="835">
        <v>1224.5</v>
      </c>
      <c r="Z607" s="835">
        <v>535.15</v>
      </c>
      <c r="AA607" s="835">
        <v>221.45</v>
      </c>
      <c r="AB607" s="835">
        <v>602.15</v>
      </c>
      <c r="AC607" s="835">
        <v>1095.55</v>
      </c>
      <c r="AD607" s="835">
        <v>1536.15</v>
      </c>
      <c r="AE607" s="835">
        <v>1584.55</v>
      </c>
      <c r="AF607" s="835">
        <v>1415.95</v>
      </c>
      <c r="AG607" s="835">
        <v>969.05</v>
      </c>
      <c r="AH607" s="835">
        <v>1568.75</v>
      </c>
      <c r="AI607" s="835">
        <v>1608.35</v>
      </c>
      <c r="AJ607" s="835">
        <v>1646.05</v>
      </c>
      <c r="AK607" s="835">
        <v>1822.75</v>
      </c>
      <c r="AL607" s="835">
        <v>1223.75</v>
      </c>
      <c r="AM607" s="835">
        <v>1805.75</v>
      </c>
      <c r="AN607" s="835">
        <v>1544.15</v>
      </c>
      <c r="AO607" s="835">
        <v>1671.75</v>
      </c>
      <c r="AP607" s="835">
        <v>2134.2399999999998</v>
      </c>
      <c r="AQ607" s="835">
        <v>2191.1569</v>
      </c>
      <c r="AR607" s="835">
        <v>1597.75</v>
      </c>
      <c r="AS607" s="835">
        <v>1582.75</v>
      </c>
      <c r="AT607" s="835">
        <v>2376.9989999999998</v>
      </c>
      <c r="AU607" s="835">
        <v>2081.9989999999998</v>
      </c>
      <c r="AV607" s="835">
        <v>1987.4480000000001</v>
      </c>
      <c r="AW607" s="835">
        <v>1603.4360000000001</v>
      </c>
      <c r="AX607" s="835">
        <v>599.41949999999997</v>
      </c>
      <c r="AY607" s="835">
        <v>440.44100000000003</v>
      </c>
      <c r="AZ607" s="835">
        <v>1092.0445</v>
      </c>
      <c r="BA607" s="835">
        <v>1432.873</v>
      </c>
      <c r="BB607" s="835">
        <v>3212.0065</v>
      </c>
      <c r="BC607" s="835">
        <v>2584.3401999999996</v>
      </c>
      <c r="BD607" s="835">
        <v>1804.45</v>
      </c>
      <c r="BE607" s="835">
        <v>1124.25</v>
      </c>
      <c r="BF607" s="835">
        <v>2339.75</v>
      </c>
      <c r="BG607" s="835">
        <v>1863.145</v>
      </c>
      <c r="BH607" s="835">
        <v>1993.0773999999999</v>
      </c>
      <c r="BI607" s="835">
        <v>1524.0396000000001</v>
      </c>
      <c r="BJ607" s="835">
        <v>725.87509999999997</v>
      </c>
      <c r="BK607" s="835">
        <v>553.83839999999998</v>
      </c>
      <c r="BL607" s="835">
        <v>835.98749999999995</v>
      </c>
      <c r="BM607" s="835">
        <v>1462.8937000000001</v>
      </c>
      <c r="BN607" s="835">
        <v>2601.4277999999999</v>
      </c>
      <c r="BO607" s="835">
        <v>2071.6788000000001</v>
      </c>
      <c r="BP607" s="835">
        <v>1566</v>
      </c>
      <c r="BQ607" s="835">
        <v>1072.3</v>
      </c>
      <c r="BR607" s="835">
        <v>1747.6</v>
      </c>
      <c r="BS607" s="835">
        <v>1924.1779999999999</v>
      </c>
      <c r="BT607" s="835">
        <v>1536.1970000000001</v>
      </c>
      <c r="BU607" s="835">
        <v>1960.6491999999998</v>
      </c>
      <c r="BV607" s="835">
        <v>1658.5157999999999</v>
      </c>
    </row>
    <row r="608" spans="1:74" s="500" customFormat="1" ht="12.75" x14ac:dyDescent="0.2">
      <c r="A608" s="833" t="s">
        <v>892</v>
      </c>
      <c r="B608" s="834" t="s">
        <v>910</v>
      </c>
      <c r="C608" s="835">
        <v>0</v>
      </c>
      <c r="D608" s="835">
        <v>0</v>
      </c>
      <c r="E608" s="835">
        <v>0</v>
      </c>
      <c r="F608" s="835">
        <v>0</v>
      </c>
      <c r="G608" s="835">
        <v>0</v>
      </c>
      <c r="H608" s="835">
        <v>0</v>
      </c>
      <c r="I608" s="835">
        <v>0</v>
      </c>
      <c r="J608" s="835">
        <v>0</v>
      </c>
      <c r="K608" s="835">
        <v>0</v>
      </c>
      <c r="L608" s="835">
        <v>0</v>
      </c>
      <c r="M608" s="835">
        <v>0</v>
      </c>
      <c r="N608" s="835">
        <v>0</v>
      </c>
      <c r="O608" s="835">
        <v>0</v>
      </c>
      <c r="P608" s="835">
        <v>0</v>
      </c>
      <c r="Q608" s="835">
        <v>0</v>
      </c>
      <c r="R608" s="835">
        <v>0</v>
      </c>
      <c r="S608" s="835">
        <v>0</v>
      </c>
      <c r="T608" s="835">
        <v>0</v>
      </c>
      <c r="U608" s="835">
        <v>0</v>
      </c>
      <c r="V608" s="835">
        <v>0</v>
      </c>
      <c r="W608" s="835">
        <v>0</v>
      </c>
      <c r="X608" s="835">
        <v>0</v>
      </c>
      <c r="Y608" s="835">
        <v>0</v>
      </c>
      <c r="Z608" s="835">
        <v>43.74</v>
      </c>
      <c r="AA608" s="835">
        <v>100.84</v>
      </c>
      <c r="AB608" s="835">
        <v>2320.58</v>
      </c>
      <c r="AC608" s="835">
        <v>6556.74</v>
      </c>
      <c r="AD608" s="835">
        <v>603.22</v>
      </c>
      <c r="AE608" s="835">
        <v>573.42999999999995</v>
      </c>
      <c r="AF608" s="835">
        <v>413.45</v>
      </c>
      <c r="AG608" s="835">
        <v>592.27</v>
      </c>
      <c r="AH608" s="835">
        <v>955.3</v>
      </c>
      <c r="AI608" s="835">
        <v>722.64</v>
      </c>
      <c r="AJ608" s="835">
        <v>1604.6999999999998</v>
      </c>
      <c r="AK608" s="835">
        <v>1894.11</v>
      </c>
      <c r="AL608" s="835">
        <v>568.16999999999996</v>
      </c>
      <c r="AM608" s="835">
        <v>194.27</v>
      </c>
      <c r="AN608" s="835">
        <v>770.52</v>
      </c>
      <c r="AO608" s="835">
        <v>1875.2800000000002</v>
      </c>
      <c r="AP608" s="835">
        <v>2525.21</v>
      </c>
      <c r="AQ608" s="835">
        <v>2638.7703999999999</v>
      </c>
      <c r="AR608" s="835">
        <v>1900.79</v>
      </c>
      <c r="AS608" s="835">
        <v>1666.76</v>
      </c>
      <c r="AT608" s="835">
        <v>2584.9740000000002</v>
      </c>
      <c r="AU608" s="835">
        <v>2497.6640000000002</v>
      </c>
      <c r="AV608" s="835">
        <v>2537.9479999999999</v>
      </c>
      <c r="AW608" s="835">
        <v>2148.846</v>
      </c>
      <c r="AX608" s="835">
        <v>1009.8219999999999</v>
      </c>
      <c r="AY608" s="835">
        <v>633.346</v>
      </c>
      <c r="AZ608" s="835">
        <v>1406.8620000000001</v>
      </c>
      <c r="BA608" s="835">
        <v>1949.4179999999999</v>
      </c>
      <c r="BB608" s="835">
        <v>4373.1539999999995</v>
      </c>
      <c r="BC608" s="835">
        <v>3588.0332000000003</v>
      </c>
      <c r="BD608" s="835">
        <v>2602.75</v>
      </c>
      <c r="BE608" s="835">
        <v>1725.65</v>
      </c>
      <c r="BF608" s="835">
        <v>3868.55</v>
      </c>
      <c r="BG608" s="835">
        <v>3882.1699999999996</v>
      </c>
      <c r="BH608" s="835">
        <v>4533.0684000000001</v>
      </c>
      <c r="BI608" s="835">
        <v>2690.0036</v>
      </c>
      <c r="BJ608" s="835">
        <v>902.67160000000013</v>
      </c>
      <c r="BK608" s="835">
        <v>702.39440000000002</v>
      </c>
      <c r="BL608" s="835">
        <v>1252.7</v>
      </c>
      <c r="BM608" s="835">
        <v>2029.2392</v>
      </c>
      <c r="BN608" s="835">
        <v>3633.3047999999999</v>
      </c>
      <c r="BO608" s="835">
        <v>2831.1208000000001</v>
      </c>
      <c r="BP608" s="835">
        <v>2061.1999999999998</v>
      </c>
      <c r="BQ608" s="835">
        <v>1427.8000000000002</v>
      </c>
      <c r="BR608" s="835">
        <v>2430.1</v>
      </c>
      <c r="BS608" s="835">
        <v>2773.848</v>
      </c>
      <c r="BT608" s="835">
        <v>2317.5520000000001</v>
      </c>
      <c r="BU608" s="835">
        <v>2771.3271999999997</v>
      </c>
      <c r="BV608" s="835">
        <v>1451.5128</v>
      </c>
    </row>
    <row r="609" spans="1:74" s="128" customFormat="1" x14ac:dyDescent="0.25">
      <c r="A609" s="459"/>
      <c r="B609" s="127"/>
      <c r="C609" s="602"/>
      <c r="T609" s="127"/>
      <c r="U609" s="129"/>
      <c r="X609" s="129"/>
      <c r="Y609" s="166"/>
      <c r="Z609" s="166"/>
    </row>
    <row r="610" spans="1:74" s="128" customFormat="1" x14ac:dyDescent="0.25">
      <c r="A610" s="459">
        <v>35</v>
      </c>
      <c r="B610" s="127" t="s">
        <v>912</v>
      </c>
      <c r="C610" s="602"/>
      <c r="T610" s="127" t="s">
        <v>912</v>
      </c>
      <c r="U610" s="129"/>
      <c r="X610" s="129"/>
      <c r="Y610" s="166"/>
      <c r="Z610" s="166"/>
    </row>
    <row r="611" spans="1:74" ht="37.15" customHeight="1" x14ac:dyDescent="0.2">
      <c r="A611" s="823" t="s">
        <v>887</v>
      </c>
      <c r="C611"/>
      <c r="Y611"/>
      <c r="Z611"/>
    </row>
    <row r="612" spans="1:74" ht="16.149999999999999" customHeight="1" x14ac:dyDescent="0.2">
      <c r="A612" s="2256" t="s">
        <v>888</v>
      </c>
      <c r="B612" s="2257"/>
      <c r="C612" s="2257"/>
      <c r="D612" s="2257"/>
      <c r="E612" s="2257"/>
      <c r="F612" s="2257"/>
      <c r="G612" s="2257"/>
      <c r="H612" s="2257"/>
      <c r="I612" s="2257"/>
      <c r="J612" s="2257"/>
      <c r="K612" s="2257"/>
      <c r="L612" s="2257"/>
      <c r="M612" s="2257"/>
      <c r="N612" s="2257"/>
      <c r="O612" s="2257"/>
      <c r="P612" s="2257"/>
      <c r="Q612" s="2257"/>
      <c r="R612" s="2257"/>
      <c r="S612" s="2257"/>
      <c r="T612" s="2257"/>
      <c r="U612" s="2257"/>
      <c r="V612" s="2257"/>
      <c r="W612" s="2257"/>
      <c r="X612" s="2257"/>
      <c r="Y612" s="2257"/>
      <c r="Z612" s="2257"/>
      <c r="AA612" s="2257"/>
      <c r="AB612" s="2257"/>
      <c r="AC612" s="2257"/>
      <c r="AD612" s="2257"/>
      <c r="AE612" s="2257"/>
      <c r="AF612" s="2257"/>
      <c r="AG612" s="2257"/>
      <c r="AH612" s="2257"/>
      <c r="AI612" s="2257"/>
      <c r="AJ612" s="2257"/>
      <c r="AK612" s="2257"/>
      <c r="AL612" s="2257"/>
      <c r="AM612" s="2257"/>
      <c r="AN612" s="2257"/>
      <c r="AO612" s="2257"/>
      <c r="AP612" s="2257"/>
      <c r="AQ612" s="2257"/>
      <c r="AR612" s="2257"/>
      <c r="AS612" s="2257"/>
      <c r="AT612" s="2257"/>
      <c r="AU612" s="2257"/>
      <c r="AV612" s="2257"/>
      <c r="AW612" s="2257"/>
      <c r="AX612" s="2257"/>
      <c r="AY612" s="2258"/>
    </row>
    <row r="613" spans="1:74" s="94" customFormat="1" ht="12.75" x14ac:dyDescent="0.2">
      <c r="A613" s="824" t="s">
        <v>654</v>
      </c>
      <c r="B613" s="825" t="s">
        <v>655</v>
      </c>
      <c r="C613" s="826">
        <v>40360</v>
      </c>
      <c r="D613" s="826">
        <v>40391</v>
      </c>
      <c r="E613" s="826">
        <v>40422</v>
      </c>
      <c r="F613" s="826">
        <v>40452</v>
      </c>
      <c r="G613" s="826">
        <v>40483</v>
      </c>
      <c r="H613" s="826">
        <v>40513</v>
      </c>
      <c r="I613" s="826">
        <v>40544</v>
      </c>
      <c r="J613" s="826">
        <v>40575</v>
      </c>
      <c r="K613" s="826">
        <v>40603</v>
      </c>
      <c r="L613" s="826">
        <v>40634</v>
      </c>
      <c r="M613" s="826">
        <v>40664</v>
      </c>
      <c r="N613" s="826">
        <v>40695</v>
      </c>
      <c r="O613" s="826">
        <v>40725</v>
      </c>
      <c r="P613" s="826">
        <v>40756</v>
      </c>
      <c r="Q613" s="826">
        <v>40787</v>
      </c>
      <c r="R613" s="826">
        <v>40817</v>
      </c>
      <c r="S613" s="826">
        <v>40848</v>
      </c>
      <c r="T613" s="826">
        <v>40878</v>
      </c>
      <c r="U613" s="826">
        <v>40909</v>
      </c>
      <c r="V613" s="826">
        <v>40940</v>
      </c>
      <c r="W613" s="826">
        <v>40969</v>
      </c>
      <c r="X613" s="826">
        <v>41000</v>
      </c>
      <c r="Y613" s="826">
        <v>41030</v>
      </c>
      <c r="Z613" s="826">
        <v>41061</v>
      </c>
      <c r="AA613" s="826">
        <v>41091</v>
      </c>
      <c r="AB613" s="826">
        <v>41122</v>
      </c>
      <c r="AC613" s="826">
        <v>41153</v>
      </c>
      <c r="AD613" s="826">
        <v>41183</v>
      </c>
      <c r="AE613" s="826">
        <v>41214</v>
      </c>
      <c r="AF613" s="826">
        <v>41244</v>
      </c>
      <c r="AG613" s="826">
        <v>41275</v>
      </c>
      <c r="AH613" s="826">
        <v>41306</v>
      </c>
      <c r="AI613" s="826">
        <v>41334</v>
      </c>
      <c r="AJ613" s="826">
        <v>41365</v>
      </c>
      <c r="AK613" s="826">
        <v>41395</v>
      </c>
      <c r="AL613" s="826">
        <v>41426</v>
      </c>
      <c r="AM613" s="826">
        <v>41456</v>
      </c>
      <c r="AN613" s="826">
        <v>41487</v>
      </c>
      <c r="AO613" s="826">
        <v>41518</v>
      </c>
      <c r="AP613" s="826">
        <v>41548</v>
      </c>
      <c r="AQ613" s="826">
        <v>41579</v>
      </c>
      <c r="AR613" s="826">
        <v>41609</v>
      </c>
      <c r="AS613" s="826">
        <v>41640</v>
      </c>
      <c r="AT613" s="826">
        <v>41671</v>
      </c>
      <c r="AU613" s="826">
        <v>41699</v>
      </c>
      <c r="AV613" s="826">
        <v>41730</v>
      </c>
      <c r="AW613" s="826">
        <v>41760</v>
      </c>
      <c r="AX613" s="826">
        <v>41791</v>
      </c>
      <c r="AY613" s="826">
        <v>41821</v>
      </c>
      <c r="AZ613" s="826">
        <v>41852</v>
      </c>
      <c r="BA613" s="826">
        <v>41883</v>
      </c>
      <c r="BB613" s="826">
        <v>41913</v>
      </c>
      <c r="BC613" s="826">
        <v>41944</v>
      </c>
      <c r="BD613" s="826">
        <v>41974</v>
      </c>
      <c r="BE613" s="826">
        <v>42005</v>
      </c>
      <c r="BF613" s="826">
        <v>42036</v>
      </c>
      <c r="BG613" s="826">
        <v>42064</v>
      </c>
      <c r="BH613" s="826">
        <v>42095</v>
      </c>
      <c r="BI613" s="826">
        <v>42125</v>
      </c>
      <c r="BJ613" s="826">
        <v>42156</v>
      </c>
      <c r="BK613" s="826">
        <v>42186</v>
      </c>
      <c r="BL613" s="826">
        <v>42217</v>
      </c>
      <c r="BM613" s="826">
        <v>42248</v>
      </c>
      <c r="BN613" s="826">
        <v>42278</v>
      </c>
      <c r="BO613" s="826">
        <v>42309</v>
      </c>
      <c r="BP613" s="826">
        <v>42339</v>
      </c>
      <c r="BQ613" s="826">
        <v>42370</v>
      </c>
      <c r="BR613" s="826">
        <v>42401</v>
      </c>
      <c r="BS613" s="826">
        <v>42430</v>
      </c>
      <c r="BT613" s="826">
        <v>42461</v>
      </c>
      <c r="BU613" s="826">
        <v>42491</v>
      </c>
      <c r="BV613" s="826">
        <v>42522</v>
      </c>
    </row>
    <row r="614" spans="1:74" s="500" customFormat="1" ht="12.75" x14ac:dyDescent="0.2">
      <c r="A614" s="827" t="s">
        <v>889</v>
      </c>
      <c r="B614" s="828" t="s">
        <v>890</v>
      </c>
      <c r="C614" s="829">
        <v>227800</v>
      </c>
      <c r="D614" s="829">
        <v>214280</v>
      </c>
      <c r="E614" s="829">
        <v>225000</v>
      </c>
      <c r="F614" s="829">
        <v>221480</v>
      </c>
      <c r="G614" s="829">
        <v>190120</v>
      </c>
      <c r="H614" s="829">
        <v>186400</v>
      </c>
      <c r="I614" s="829">
        <v>149800</v>
      </c>
      <c r="J614" s="829">
        <v>169880</v>
      </c>
      <c r="K614" s="829">
        <v>176080</v>
      </c>
      <c r="L614" s="829">
        <v>194280</v>
      </c>
      <c r="M614" s="829">
        <v>202520</v>
      </c>
      <c r="N614" s="829">
        <v>204080</v>
      </c>
      <c r="O614" s="829">
        <v>185200</v>
      </c>
      <c r="P614" s="829">
        <v>182360</v>
      </c>
      <c r="Q614" s="829">
        <v>221240</v>
      </c>
      <c r="R614" s="829">
        <v>184480</v>
      </c>
      <c r="S614" s="829">
        <v>192240</v>
      </c>
      <c r="T614" s="829">
        <v>159400</v>
      </c>
      <c r="U614" s="829">
        <v>93960</v>
      </c>
      <c r="V614" s="829">
        <v>150160</v>
      </c>
      <c r="W614" s="829">
        <v>161304.79999999999</v>
      </c>
      <c r="X614" s="829">
        <v>184936.24</v>
      </c>
      <c r="Y614" s="829">
        <v>200038.48</v>
      </c>
      <c r="Z614" s="829">
        <v>212508.96</v>
      </c>
      <c r="AA614" s="829">
        <v>164809.91999999998</v>
      </c>
      <c r="AB614" s="829">
        <v>171163.76</v>
      </c>
      <c r="AC614" s="829">
        <v>191234.64</v>
      </c>
      <c r="AD614" s="829">
        <v>181865.2</v>
      </c>
      <c r="AE614" s="829">
        <v>160043.51999999999</v>
      </c>
      <c r="AF614" s="829">
        <v>158691.04</v>
      </c>
      <c r="AG614" s="829">
        <v>162637.92000000001</v>
      </c>
      <c r="AH614" s="829">
        <v>156600.48000000001</v>
      </c>
      <c r="AI614" s="829">
        <v>163100.79999999999</v>
      </c>
      <c r="AJ614" s="829">
        <v>182870.39999999999</v>
      </c>
      <c r="AK614" s="829">
        <v>170412.48</v>
      </c>
      <c r="AL614" s="829">
        <v>195797.84</v>
      </c>
      <c r="AM614" s="829">
        <v>172848.4</v>
      </c>
      <c r="AN614" s="829">
        <v>181802.96</v>
      </c>
      <c r="AO614" s="829">
        <v>239736.72</v>
      </c>
      <c r="AP614" s="829">
        <v>193410.72</v>
      </c>
      <c r="AQ614" s="829">
        <v>167832.32000000001</v>
      </c>
      <c r="AR614" s="829">
        <v>158616.24</v>
      </c>
      <c r="AS614" s="829">
        <v>151638.48000000001</v>
      </c>
      <c r="AT614" s="829">
        <v>173009.88</v>
      </c>
      <c r="AU614" s="829">
        <v>145604.07999999999</v>
      </c>
      <c r="AV614" s="829">
        <v>167482.6</v>
      </c>
      <c r="AW614" s="829">
        <v>163268.20000000001</v>
      </c>
      <c r="AX614" s="829">
        <v>150024.64000000001</v>
      </c>
      <c r="AY614" s="829">
        <v>154229.68</v>
      </c>
      <c r="AZ614" s="829">
        <v>183066.16</v>
      </c>
      <c r="BA614" s="829">
        <v>210823.36</v>
      </c>
      <c r="BB614" s="829">
        <v>180406.31995410001</v>
      </c>
      <c r="BC614" s="829">
        <v>182160</v>
      </c>
      <c r="BD614" s="829">
        <v>137900.1600459</v>
      </c>
      <c r="BE614" s="829">
        <v>104936.88</v>
      </c>
      <c r="BF614" s="829">
        <v>162981.44</v>
      </c>
      <c r="BG614" s="829">
        <v>159770.63995410001</v>
      </c>
      <c r="BH614" s="829">
        <v>159117.59995410001</v>
      </c>
      <c r="BI614" s="829">
        <v>129846.64</v>
      </c>
      <c r="BJ614" s="829">
        <v>117536.08</v>
      </c>
      <c r="BK614" s="829">
        <v>126492.56</v>
      </c>
      <c r="BL614" s="829">
        <v>131062.95999999999</v>
      </c>
      <c r="BM614" s="829">
        <v>176404.16</v>
      </c>
      <c r="BN614" s="829">
        <v>167466.7200459</v>
      </c>
      <c r="BO614" s="829">
        <v>120254</v>
      </c>
      <c r="BP614" s="829">
        <v>123945.44</v>
      </c>
      <c r="BQ614" s="829">
        <v>113920.48</v>
      </c>
      <c r="BR614" s="829">
        <v>131483.76004590001</v>
      </c>
      <c r="BS614" s="829">
        <v>147519.64000000001</v>
      </c>
      <c r="BT614" s="829">
        <v>134698.84</v>
      </c>
      <c r="BU614" s="829">
        <v>141380.32004590001</v>
      </c>
      <c r="BV614" s="829">
        <v>111725.04004590001</v>
      </c>
    </row>
    <row r="615" spans="1:74" s="500" customFormat="1" ht="12.75" customHeight="1" x14ac:dyDescent="0.2">
      <c r="A615" s="830">
        <v>315</v>
      </c>
      <c r="B615" s="831" t="s">
        <v>891</v>
      </c>
      <c r="C615" s="832">
        <v>30920</v>
      </c>
      <c r="D615" s="832">
        <v>42883</v>
      </c>
      <c r="E615" s="832">
        <v>87000</v>
      </c>
      <c r="F615" s="832">
        <v>89330</v>
      </c>
      <c r="G615" s="832">
        <v>74095</v>
      </c>
      <c r="H615" s="832">
        <v>65520</v>
      </c>
      <c r="I615" s="832">
        <v>51680</v>
      </c>
      <c r="J615" s="832">
        <v>65760</v>
      </c>
      <c r="K615" s="832">
        <v>67200</v>
      </c>
      <c r="L615" s="832">
        <v>67922</v>
      </c>
      <c r="M615" s="832">
        <v>67325</v>
      </c>
      <c r="N615" s="832">
        <v>54118</v>
      </c>
      <c r="O615" s="832">
        <v>61002</v>
      </c>
      <c r="P615" s="832">
        <v>47297</v>
      </c>
      <c r="Q615" s="832">
        <v>97209</v>
      </c>
      <c r="R615" s="832">
        <v>82790</v>
      </c>
      <c r="S615" s="832">
        <v>74640</v>
      </c>
      <c r="T615" s="832">
        <v>78640</v>
      </c>
      <c r="U615" s="832">
        <v>59040</v>
      </c>
      <c r="V615" s="832">
        <v>75280</v>
      </c>
      <c r="W615" s="832">
        <v>68445.600000000006</v>
      </c>
      <c r="X615" s="832">
        <v>81539.28</v>
      </c>
      <c r="Y615" s="832">
        <v>78760.56</v>
      </c>
      <c r="Z615" s="832">
        <v>70425.119999999995</v>
      </c>
      <c r="AA615" s="832">
        <v>83354.240000000005</v>
      </c>
      <c r="AB615" s="832">
        <v>95440.72</v>
      </c>
      <c r="AC615" s="832">
        <v>106644.08</v>
      </c>
      <c r="AD615" s="832">
        <v>90944.4</v>
      </c>
      <c r="AE615" s="832">
        <v>79893.440000000002</v>
      </c>
      <c r="AF615" s="832">
        <v>75534.880000000005</v>
      </c>
      <c r="AG615" s="832">
        <v>61110.239999999998</v>
      </c>
      <c r="AH615" s="832">
        <v>77534.559999999998</v>
      </c>
      <c r="AI615" s="832">
        <v>66657.600000000006</v>
      </c>
      <c r="AJ615" s="832">
        <v>76348.800000000003</v>
      </c>
      <c r="AK615" s="832">
        <v>74618.559999999998</v>
      </c>
      <c r="AL615" s="832">
        <v>100114.48</v>
      </c>
      <c r="AM615" s="832">
        <v>92674.8</v>
      </c>
      <c r="AN615" s="832">
        <v>96643.12</v>
      </c>
      <c r="AO615" s="832">
        <v>114833.84</v>
      </c>
      <c r="AP615" s="832">
        <v>95351.84</v>
      </c>
      <c r="AQ615" s="832">
        <v>74287.039999999994</v>
      </c>
      <c r="AR615" s="832">
        <v>71859.28</v>
      </c>
      <c r="AS615" s="832">
        <v>63800.56</v>
      </c>
      <c r="AT615" s="832">
        <v>84077.36</v>
      </c>
      <c r="AU615" s="832">
        <v>66297.759999999995</v>
      </c>
      <c r="AV615" s="832">
        <v>75581.2</v>
      </c>
      <c r="AW615" s="832">
        <v>80548.399999999994</v>
      </c>
      <c r="AX615" s="832">
        <v>73478.080000000002</v>
      </c>
      <c r="AY615" s="832">
        <v>82502.959999999992</v>
      </c>
      <c r="AZ615" s="832">
        <v>96093.52</v>
      </c>
      <c r="BA615" s="832">
        <v>107641.92</v>
      </c>
      <c r="BB615" s="832">
        <v>86785.039982699993</v>
      </c>
      <c r="BC615" s="832">
        <v>87720</v>
      </c>
      <c r="BD615" s="832">
        <v>67851.520017300005</v>
      </c>
      <c r="BE615" s="832">
        <v>49305.36</v>
      </c>
      <c r="BF615" s="832">
        <v>64223.68</v>
      </c>
      <c r="BG615" s="832">
        <v>71256.079982700001</v>
      </c>
      <c r="BH615" s="832">
        <v>72487.199982699996</v>
      </c>
      <c r="BI615" s="832">
        <v>59208.08</v>
      </c>
      <c r="BJ615" s="832">
        <v>61667.759999999995</v>
      </c>
      <c r="BK615" s="832">
        <v>85574.32</v>
      </c>
      <c r="BL615" s="832">
        <v>64583.119999999995</v>
      </c>
      <c r="BM615" s="832">
        <v>90419.520000000004</v>
      </c>
      <c r="BN615" s="832">
        <v>94077.840017299997</v>
      </c>
      <c r="BO615" s="832">
        <v>56724</v>
      </c>
      <c r="BP615" s="832">
        <v>57251.68</v>
      </c>
      <c r="BQ615" s="832">
        <v>55614.559999999998</v>
      </c>
      <c r="BR615" s="832">
        <v>56960.720017300002</v>
      </c>
      <c r="BS615" s="832">
        <v>68456.08</v>
      </c>
      <c r="BT615" s="832">
        <v>57964.479999999996</v>
      </c>
      <c r="BU615" s="832">
        <v>68523.040017299994</v>
      </c>
      <c r="BV615" s="832">
        <v>67612.880017299991</v>
      </c>
    </row>
    <row r="616" spans="1:74" s="500" customFormat="1" ht="12.75" customHeight="1" x14ac:dyDescent="0.2">
      <c r="A616" s="830" t="s">
        <v>892</v>
      </c>
      <c r="B616" s="831" t="s">
        <v>893</v>
      </c>
      <c r="C616" s="832">
        <v>0</v>
      </c>
      <c r="D616" s="832">
        <v>0</v>
      </c>
      <c r="E616" s="832">
        <v>0</v>
      </c>
      <c r="F616" s="832">
        <v>0</v>
      </c>
      <c r="G616" s="832">
        <v>0</v>
      </c>
      <c r="H616" s="832">
        <v>0</v>
      </c>
      <c r="I616" s="832">
        <v>0</v>
      </c>
      <c r="J616" s="832">
        <v>0</v>
      </c>
      <c r="K616" s="832">
        <v>0</v>
      </c>
      <c r="L616" s="832">
        <v>0</v>
      </c>
      <c r="M616" s="832">
        <v>0</v>
      </c>
      <c r="N616" s="832">
        <v>0</v>
      </c>
      <c r="O616" s="832">
        <v>0</v>
      </c>
      <c r="P616" s="832">
        <v>0</v>
      </c>
      <c r="Q616" s="832">
        <v>0</v>
      </c>
      <c r="R616" s="832">
        <v>0</v>
      </c>
      <c r="S616" s="832">
        <v>0</v>
      </c>
      <c r="T616" s="832">
        <v>0</v>
      </c>
      <c r="U616" s="832">
        <v>0</v>
      </c>
      <c r="V616" s="832">
        <v>0</v>
      </c>
      <c r="W616" s="832">
        <v>2649.6</v>
      </c>
      <c r="X616" s="832">
        <v>3444.48</v>
      </c>
      <c r="Y616" s="832">
        <v>4680.96</v>
      </c>
      <c r="Z616" s="832">
        <v>12305.92</v>
      </c>
      <c r="AA616" s="832">
        <v>75868.84</v>
      </c>
      <c r="AB616" s="832">
        <v>94233.51999999999</v>
      </c>
      <c r="AC616" s="832">
        <v>103495.28</v>
      </c>
      <c r="AD616" s="832">
        <v>93234.4</v>
      </c>
      <c r="AE616" s="832">
        <v>90349.04</v>
      </c>
      <c r="AF616" s="832">
        <v>82741.08</v>
      </c>
      <c r="AG616" s="832">
        <v>67491.839999999997</v>
      </c>
      <c r="AH616" s="832">
        <v>96344.960000000006</v>
      </c>
      <c r="AI616" s="832">
        <v>85841.600000000006</v>
      </c>
      <c r="AJ616" s="832">
        <v>96620.800000000003</v>
      </c>
      <c r="AK616" s="832">
        <v>94928.959999999992</v>
      </c>
      <c r="AL616" s="832">
        <v>110927.67999999999</v>
      </c>
      <c r="AM616" s="832">
        <v>86316.800000000003</v>
      </c>
      <c r="AN616" s="832">
        <v>107513.92</v>
      </c>
      <c r="AO616" s="832">
        <v>140709.44</v>
      </c>
      <c r="AP616" s="832">
        <v>116877.44</v>
      </c>
      <c r="AQ616" s="832">
        <v>96720.639999999999</v>
      </c>
      <c r="AR616" s="832">
        <v>88444.479999999996</v>
      </c>
      <c r="AS616" s="832">
        <v>70200.960000000006</v>
      </c>
      <c r="AT616" s="832">
        <v>106069.75999999999</v>
      </c>
      <c r="AU616" s="832">
        <v>76516.160000000003</v>
      </c>
      <c r="AV616" s="832">
        <v>90139.199999999997</v>
      </c>
      <c r="AW616" s="832">
        <v>97414.399999999994</v>
      </c>
      <c r="AX616" s="832">
        <v>90465.279999999999</v>
      </c>
      <c r="AY616" s="832">
        <v>92359.360000000001</v>
      </c>
      <c r="AZ616" s="832">
        <v>103320.32000000001</v>
      </c>
      <c r="BA616" s="832">
        <v>119614.72</v>
      </c>
      <c r="BB616" s="832">
        <v>100688.6399632</v>
      </c>
      <c r="BC616" s="832">
        <v>105280</v>
      </c>
      <c r="BD616" s="832">
        <v>82288.320036799996</v>
      </c>
      <c r="BE616" s="832">
        <v>57837.760000000002</v>
      </c>
      <c r="BF616" s="832">
        <v>96834.880000000005</v>
      </c>
      <c r="BG616" s="832">
        <v>87713.279963199995</v>
      </c>
      <c r="BH616" s="832">
        <v>101035.19996320001</v>
      </c>
      <c r="BI616" s="832">
        <v>86505.279999999999</v>
      </c>
      <c r="BJ616" s="832">
        <v>86756.160000000003</v>
      </c>
      <c r="BK616" s="832">
        <v>95653.119999999995</v>
      </c>
      <c r="BL616" s="832">
        <v>104193.92000000001</v>
      </c>
      <c r="BM616" s="832">
        <v>115816.32000000001</v>
      </c>
      <c r="BN616" s="832">
        <v>104813.44003679999</v>
      </c>
      <c r="BO616" s="832">
        <v>91664</v>
      </c>
      <c r="BP616" s="832">
        <v>78922.87999999999</v>
      </c>
      <c r="BQ616" s="832">
        <v>80144.959999999992</v>
      </c>
      <c r="BR616" s="832">
        <v>80595.520036799993</v>
      </c>
      <c r="BS616" s="832">
        <v>79393.279999999999</v>
      </c>
      <c r="BT616" s="832">
        <v>96367.679999999993</v>
      </c>
      <c r="BU616" s="832">
        <v>92576.640036799989</v>
      </c>
      <c r="BV616" s="832">
        <v>83022.080036799991</v>
      </c>
    </row>
    <row r="617" spans="1:74" s="501" customFormat="1" ht="12.75" x14ac:dyDescent="0.2">
      <c r="A617" s="833" t="s">
        <v>889</v>
      </c>
      <c r="B617" s="834" t="s">
        <v>894</v>
      </c>
      <c r="C617" s="835">
        <v>15780.47</v>
      </c>
      <c r="D617" s="835">
        <v>14844.63</v>
      </c>
      <c r="E617" s="835">
        <v>15586.66</v>
      </c>
      <c r="F617" s="835">
        <v>15343</v>
      </c>
      <c r="G617" s="835">
        <v>13172.29</v>
      </c>
      <c r="H617" s="835">
        <v>12914.8</v>
      </c>
      <c r="I617" s="835">
        <v>11564.69</v>
      </c>
      <c r="J617" s="835">
        <v>14007.85</v>
      </c>
      <c r="K617" s="835">
        <v>14518.63</v>
      </c>
      <c r="L617" s="835">
        <v>16018.03</v>
      </c>
      <c r="M617" s="835">
        <v>16696.88</v>
      </c>
      <c r="N617" s="835">
        <v>16825.400000000001</v>
      </c>
      <c r="O617" s="835">
        <v>15269.98</v>
      </c>
      <c r="P617" s="835">
        <v>15036</v>
      </c>
      <c r="Q617" s="835">
        <v>18239.12</v>
      </c>
      <c r="R617" s="835">
        <v>15210.66</v>
      </c>
      <c r="S617" s="835">
        <v>15849.97</v>
      </c>
      <c r="T617" s="835">
        <v>13144.46</v>
      </c>
      <c r="U617" s="835">
        <v>7847.46</v>
      </c>
      <c r="V617" s="835">
        <v>13989.73</v>
      </c>
      <c r="W617" s="835">
        <v>14719.5</v>
      </c>
      <c r="X617" s="835">
        <v>17232.48158</v>
      </c>
      <c r="Y617" s="835">
        <v>18638.24842</v>
      </c>
      <c r="Z617" s="835">
        <v>19799.03254</v>
      </c>
      <c r="AA617" s="835">
        <v>15359.055370000002</v>
      </c>
      <c r="AB617" s="835">
        <v>15950.503779999999</v>
      </c>
      <c r="AC617" s="835">
        <v>17818.75333</v>
      </c>
      <c r="AD617" s="835">
        <v>16946.622820000001</v>
      </c>
      <c r="AE617" s="835">
        <v>14915.3845</v>
      </c>
      <c r="AF617" s="835">
        <v>14789.492410000001</v>
      </c>
      <c r="AG617" s="835">
        <v>12597.11184</v>
      </c>
      <c r="AH617" s="835">
        <v>14489.810740000001</v>
      </c>
      <c r="AI617" s="835">
        <v>15087.03465</v>
      </c>
      <c r="AJ617" s="835">
        <v>16885.891930000002</v>
      </c>
      <c r="AK617" s="835">
        <v>15705.20253</v>
      </c>
      <c r="AL617" s="835">
        <v>17941.66691</v>
      </c>
      <c r="AM617" s="835">
        <v>15826.80602</v>
      </c>
      <c r="AN617" s="835">
        <v>16105.9043</v>
      </c>
      <c r="AO617" s="835">
        <v>21296.445209999998</v>
      </c>
      <c r="AP617" s="835">
        <v>17214.780039999998</v>
      </c>
      <c r="AQ617" s="835">
        <v>14999.84137</v>
      </c>
      <c r="AR617" s="835">
        <v>14213.246580000001</v>
      </c>
      <c r="AS617" s="835">
        <v>14023.096230000001</v>
      </c>
      <c r="AT617" s="835">
        <v>15671.561230000001</v>
      </c>
      <c r="AU617" s="835">
        <v>12939.797839999999</v>
      </c>
      <c r="AV617" s="835">
        <v>14853.098330000001</v>
      </c>
      <c r="AW617" s="835">
        <v>14424.69392</v>
      </c>
      <c r="AX617" s="835">
        <v>13218.781370000001</v>
      </c>
      <c r="AY617" s="835">
        <v>13631.797020000002</v>
      </c>
      <c r="AZ617" s="835">
        <v>16400.783940000001</v>
      </c>
      <c r="BA617" s="835">
        <v>18881.012710000003</v>
      </c>
      <c r="BB617" s="835">
        <v>16163.111139999999</v>
      </c>
      <c r="BC617" s="835">
        <v>16319.823990000001</v>
      </c>
      <c r="BD617" s="835">
        <v>12364.981189999999</v>
      </c>
      <c r="BE617" s="835">
        <v>9731.4951600000004</v>
      </c>
      <c r="BF617" s="835">
        <v>14281.827740000001</v>
      </c>
      <c r="BG617" s="835">
        <v>12335.056770000001</v>
      </c>
      <c r="BH617" s="835">
        <v>14192.419180000001</v>
      </c>
      <c r="BI617" s="835">
        <v>11589.509980000001</v>
      </c>
      <c r="BJ617" s="835">
        <v>10494.794760000001</v>
      </c>
      <c r="BK617" s="835">
        <v>11291.261990000001</v>
      </c>
      <c r="BL617" s="835">
        <v>11697.67022</v>
      </c>
      <c r="BM617" s="835">
        <v>15729.616019999999</v>
      </c>
      <c r="BN617" s="835">
        <v>14934.850690000001</v>
      </c>
      <c r="BO617" s="835">
        <v>10736.50029</v>
      </c>
      <c r="BP617" s="835">
        <v>11064.75036</v>
      </c>
      <c r="BQ617" s="835">
        <v>10173.296300000002</v>
      </c>
      <c r="BR617" s="835">
        <v>11123.407719999999</v>
      </c>
      <c r="BS617" s="835">
        <v>11925.77434</v>
      </c>
      <c r="BT617" s="835">
        <v>10893.0468</v>
      </c>
      <c r="BU617" s="835">
        <v>11431.24749</v>
      </c>
      <c r="BV617" s="835">
        <v>9042.4920299999994</v>
      </c>
    </row>
    <row r="618" spans="1:74" s="500" customFormat="1" ht="12.75" x14ac:dyDescent="0.2">
      <c r="A618" s="833">
        <v>315</v>
      </c>
      <c r="B618" s="834" t="s">
        <v>895</v>
      </c>
      <c r="C618" s="835">
        <v>2171.15</v>
      </c>
      <c r="D618" s="835">
        <v>3005.4</v>
      </c>
      <c r="E618" s="835">
        <v>6059.1399999999994</v>
      </c>
      <c r="F618" s="835">
        <v>6220.42</v>
      </c>
      <c r="G618" s="835">
        <v>5153.51</v>
      </c>
      <c r="H618" s="835">
        <v>4559.95</v>
      </c>
      <c r="I618" s="835">
        <v>4010.19</v>
      </c>
      <c r="J618" s="835">
        <v>5442.32</v>
      </c>
      <c r="K618" s="835">
        <v>5560.96</v>
      </c>
      <c r="L618" s="835">
        <v>5620.45</v>
      </c>
      <c r="M618" s="835">
        <v>5571.26</v>
      </c>
      <c r="N618" s="835">
        <v>4483.21</v>
      </c>
      <c r="O618" s="835">
        <v>5050.33</v>
      </c>
      <c r="P618" s="835">
        <v>3921.26</v>
      </c>
      <c r="Q618" s="835">
        <v>8033.24</v>
      </c>
      <c r="R618" s="835">
        <v>6845.34</v>
      </c>
      <c r="S618" s="835">
        <v>6173.9</v>
      </c>
      <c r="T618" s="835">
        <v>6503.44</v>
      </c>
      <c r="U618" s="835">
        <v>4947.92</v>
      </c>
      <c r="V618" s="835">
        <v>7032.02</v>
      </c>
      <c r="W618" s="835">
        <v>6267.55</v>
      </c>
      <c r="X618" s="835">
        <v>7604.4362599999995</v>
      </c>
      <c r="Y618" s="835">
        <v>7345.7837400000008</v>
      </c>
      <c r="Z618" s="835">
        <v>6569.8953799999999</v>
      </c>
      <c r="AA618" s="835">
        <v>7773.3803900000003</v>
      </c>
      <c r="AB618" s="835">
        <v>8898.4196599999996</v>
      </c>
      <c r="AC618" s="835">
        <v>9941.2685099999999</v>
      </c>
      <c r="AD618" s="835">
        <v>8479.8905400000003</v>
      </c>
      <c r="AE618" s="835">
        <v>7451.2314999999999</v>
      </c>
      <c r="AF618" s="835">
        <v>7045.5272699999996</v>
      </c>
      <c r="AG618" s="835">
        <v>4741.0024800000001</v>
      </c>
      <c r="AH618" s="835">
        <v>7186.1607800000002</v>
      </c>
      <c r="AI618" s="835">
        <v>6173.8085499999997</v>
      </c>
      <c r="AJ618" s="835">
        <v>7059.0927099999999</v>
      </c>
      <c r="AK618" s="835">
        <v>6888.47091</v>
      </c>
      <c r="AL618" s="835">
        <v>9205.3587699999989</v>
      </c>
      <c r="AM618" s="835">
        <v>8520.2409399999997</v>
      </c>
      <c r="AN618" s="835">
        <v>8598.2021000000004</v>
      </c>
      <c r="AO618" s="835">
        <v>10227.898870000001</v>
      </c>
      <c r="AP618" s="835">
        <v>8508.3278799999989</v>
      </c>
      <c r="AQ618" s="835">
        <v>6649.7123899999997</v>
      </c>
      <c r="AR618" s="835">
        <v>6446.96126</v>
      </c>
      <c r="AS618" s="835">
        <v>5908.2048100000002</v>
      </c>
      <c r="AT618" s="835">
        <v>7624.8998100000008</v>
      </c>
      <c r="AU618" s="835">
        <v>5899.6244800000004</v>
      </c>
      <c r="AV618" s="835">
        <v>6712.9535100000003</v>
      </c>
      <c r="AW618" s="835">
        <v>7134.1322399999999</v>
      </c>
      <c r="AX618" s="835">
        <v>6494.8623899999993</v>
      </c>
      <c r="AY618" s="835">
        <v>7323.4779399999998</v>
      </c>
      <c r="AZ618" s="835">
        <v>8600.9711800000005</v>
      </c>
      <c r="BA618" s="835">
        <v>9632.8713700000008</v>
      </c>
      <c r="BB618" s="835">
        <v>7769.21958</v>
      </c>
      <c r="BC618" s="835">
        <v>7852.7635300000002</v>
      </c>
      <c r="BD618" s="835">
        <v>6077.4119300000002</v>
      </c>
      <c r="BE618" s="835">
        <v>4566.7965200000008</v>
      </c>
      <c r="BF618" s="835">
        <v>5603.32978</v>
      </c>
      <c r="BG618" s="835">
        <v>5155.8261899999998</v>
      </c>
      <c r="BH618" s="835">
        <v>6460.4634599999999</v>
      </c>
      <c r="BI618" s="835">
        <v>5279.6210599999995</v>
      </c>
      <c r="BJ618" s="835">
        <v>5498.3377199999995</v>
      </c>
      <c r="BK618" s="835">
        <v>7624.2295300000005</v>
      </c>
      <c r="BL618" s="835">
        <v>5757.5883400000002</v>
      </c>
      <c r="BM618" s="835">
        <v>8055.0809399999998</v>
      </c>
      <c r="BN618" s="835">
        <v>8380.3984299999993</v>
      </c>
      <c r="BO618" s="835">
        <v>5058.7196299999996</v>
      </c>
      <c r="BP618" s="835">
        <v>5105.6409199999998</v>
      </c>
      <c r="BQ618" s="835">
        <v>4960.0661</v>
      </c>
      <c r="BR618" s="835">
        <v>4814.7908400000006</v>
      </c>
      <c r="BS618" s="835">
        <v>5528.7499799999996</v>
      </c>
      <c r="BT618" s="835">
        <v>4683.6496000000006</v>
      </c>
      <c r="BU618" s="835">
        <v>5534.1480299999994</v>
      </c>
      <c r="BV618" s="835">
        <v>5460.8274099999999</v>
      </c>
    </row>
    <row r="619" spans="1:74" s="500" customFormat="1" ht="12.75" x14ac:dyDescent="0.2">
      <c r="A619" s="833" t="s">
        <v>892</v>
      </c>
      <c r="B619" s="834" t="s">
        <v>896</v>
      </c>
      <c r="C619" s="835">
        <v>0</v>
      </c>
      <c r="D619" s="835">
        <v>0</v>
      </c>
      <c r="E619" s="835">
        <v>0</v>
      </c>
      <c r="F619" s="835">
        <v>0</v>
      </c>
      <c r="G619" s="835">
        <v>0</v>
      </c>
      <c r="H619" s="835">
        <v>0</v>
      </c>
      <c r="I619" s="835">
        <v>0</v>
      </c>
      <c r="J619" s="835">
        <v>0</v>
      </c>
      <c r="K619" s="835">
        <v>0</v>
      </c>
      <c r="L619" s="835">
        <v>0</v>
      </c>
      <c r="M619" s="835">
        <v>0</v>
      </c>
      <c r="N619" s="835">
        <v>0</v>
      </c>
      <c r="O619" s="835">
        <v>0</v>
      </c>
      <c r="P619" s="835">
        <v>0</v>
      </c>
      <c r="Q619" s="835">
        <v>0</v>
      </c>
      <c r="R619" s="835">
        <v>0</v>
      </c>
      <c r="S619" s="835">
        <v>0</v>
      </c>
      <c r="T619" s="835">
        <v>0</v>
      </c>
      <c r="U619" s="835">
        <v>0</v>
      </c>
      <c r="V619" s="835">
        <v>0</v>
      </c>
      <c r="W619" s="835">
        <v>2.0699999999999998</v>
      </c>
      <c r="X619" s="835">
        <v>392.96216000000004</v>
      </c>
      <c r="Y619" s="835">
        <v>890.98784000000001</v>
      </c>
      <c r="Z619" s="835">
        <v>1979.8020799999999</v>
      </c>
      <c r="AA619" s="835">
        <v>7087.7942400000002</v>
      </c>
      <c r="AB619" s="835">
        <v>8797.3265599999995</v>
      </c>
      <c r="AC619" s="835">
        <v>9659.2981600000003</v>
      </c>
      <c r="AD619" s="835">
        <v>8704.2166399999987</v>
      </c>
      <c r="AE619" s="835">
        <v>8435.6840000000011</v>
      </c>
      <c r="AF619" s="835">
        <v>7727.5203200000005</v>
      </c>
      <c r="AG619" s="835">
        <v>5244.5256799999997</v>
      </c>
      <c r="AH619" s="835">
        <v>8933.1384799999996</v>
      </c>
      <c r="AI619" s="835">
        <v>7953.5968000000003</v>
      </c>
      <c r="AJ619" s="835">
        <v>8926.5753600000007</v>
      </c>
      <c r="AK619" s="835">
        <v>8747.6765599999999</v>
      </c>
      <c r="AL619" s="835">
        <v>10137.864320000001</v>
      </c>
      <c r="AM619" s="835">
        <v>7867.4930399999994</v>
      </c>
      <c r="AN619" s="835">
        <v>9500.1636000000017</v>
      </c>
      <c r="AO619" s="835">
        <v>12473.995919999999</v>
      </c>
      <c r="AP619" s="835">
        <v>10394.32208</v>
      </c>
      <c r="AQ619" s="835">
        <v>8649.9062400000003</v>
      </c>
      <c r="AR619" s="835">
        <v>7939.75216</v>
      </c>
      <c r="AS619" s="835">
        <v>6503.6489599999995</v>
      </c>
      <c r="AT619" s="835">
        <v>9620.5389599999999</v>
      </c>
      <c r="AU619" s="835">
        <v>6814.5476799999997</v>
      </c>
      <c r="AV619" s="835">
        <v>8000.3181599999998</v>
      </c>
      <c r="AW619" s="835">
        <v>8603.7338400000008</v>
      </c>
      <c r="AX619" s="835">
        <v>7962.9562399999995</v>
      </c>
      <c r="AY619" s="835">
        <v>8147.8950400000003</v>
      </c>
      <c r="AZ619" s="835">
        <v>9261.5648799999999</v>
      </c>
      <c r="BA619" s="835">
        <v>10717.54592</v>
      </c>
      <c r="BB619" s="835">
        <v>9026.3992799999996</v>
      </c>
      <c r="BC619" s="835">
        <v>9436.6724799999993</v>
      </c>
      <c r="BD619" s="835">
        <v>7382.2668800000001</v>
      </c>
      <c r="BE619" s="835">
        <v>5369.4083199999995</v>
      </c>
      <c r="BF619" s="835">
        <v>8501.87248</v>
      </c>
      <c r="BG619" s="835">
        <v>7829.2870399999993</v>
      </c>
      <c r="BH619" s="835">
        <v>9013.9173599999995</v>
      </c>
      <c r="BI619" s="835">
        <v>7721.8589599999996</v>
      </c>
      <c r="BJ619" s="835">
        <v>7744.16752</v>
      </c>
      <c r="BK619" s="835">
        <v>8535.3184799999999</v>
      </c>
      <c r="BL619" s="835">
        <v>9294.8014399999993</v>
      </c>
      <c r="BM619" s="835">
        <v>10328.33304</v>
      </c>
      <c r="BN619" s="835">
        <v>9349.9008799999992</v>
      </c>
      <c r="BO619" s="835">
        <v>8180.5800800000006</v>
      </c>
      <c r="BP619" s="835">
        <v>7047.5987200000009</v>
      </c>
      <c r="BQ619" s="835">
        <v>7156.2676000000001</v>
      </c>
      <c r="BR619" s="835">
        <v>6821.3914400000003</v>
      </c>
      <c r="BS619" s="835">
        <v>6424.5956799999994</v>
      </c>
      <c r="BT619" s="835">
        <v>7791.8935999999994</v>
      </c>
      <c r="BU619" s="835">
        <v>7486.5244799999991</v>
      </c>
      <c r="BV619" s="835">
        <v>6716.9105600000012</v>
      </c>
    </row>
    <row r="620" spans="1:74" s="26" customFormat="1" ht="12.75" x14ac:dyDescent="0.2">
      <c r="A620" s="107"/>
      <c r="B620" s="500"/>
      <c r="C620" s="836"/>
      <c r="D620" s="836"/>
      <c r="E620" s="836"/>
      <c r="F620" s="836"/>
      <c r="G620" s="836"/>
      <c r="H620" s="836"/>
      <c r="I620" s="836"/>
      <c r="J620" s="836"/>
      <c r="K620" s="836"/>
      <c r="L620" s="836"/>
      <c r="M620" s="836"/>
      <c r="N620" s="836"/>
      <c r="O620" s="836"/>
      <c r="P620" s="836"/>
      <c r="Q620" s="836"/>
      <c r="R620" s="836"/>
      <c r="S620" s="836"/>
      <c r="T620" s="836"/>
      <c r="U620" s="836"/>
      <c r="V620" s="836"/>
      <c r="W620" s="836"/>
      <c r="X620" s="836"/>
      <c r="Y620" s="836"/>
      <c r="Z620" s="836"/>
      <c r="AA620" s="836"/>
      <c r="AB620" s="836"/>
      <c r="AC620" s="836"/>
      <c r="AD620" s="836"/>
      <c r="AE620" s="836"/>
      <c r="AF620" s="836"/>
      <c r="AG620" s="836"/>
      <c r="AH620" s="836"/>
      <c r="AI620" s="836"/>
      <c r="AJ620" s="836"/>
      <c r="AK620" s="836"/>
      <c r="AL620" s="836"/>
      <c r="AM620" s="836"/>
      <c r="AN620" s="836"/>
      <c r="AO620" s="836"/>
      <c r="AP620" s="836"/>
      <c r="AQ620" s="836"/>
      <c r="AR620" s="836"/>
      <c r="AS620" s="836"/>
      <c r="AT620" s="836"/>
      <c r="AU620" s="836"/>
      <c r="AV620" s="836"/>
      <c r="AW620" s="836"/>
      <c r="AX620" s="836"/>
      <c r="AY620" s="836"/>
    </row>
    <row r="621" spans="1:74" s="26" customFormat="1" ht="12.75" x14ac:dyDescent="0.2">
      <c r="A621" s="2256" t="s">
        <v>897</v>
      </c>
      <c r="B621" s="2257"/>
      <c r="C621" s="2257"/>
      <c r="D621" s="2257"/>
      <c r="E621" s="2257"/>
      <c r="F621" s="2257"/>
      <c r="G621" s="2257"/>
      <c r="H621" s="2257"/>
      <c r="I621" s="2257"/>
      <c r="J621" s="2257"/>
      <c r="K621" s="2257"/>
      <c r="L621" s="2257"/>
      <c r="M621" s="2257"/>
      <c r="N621" s="2257"/>
      <c r="O621" s="2257"/>
      <c r="P621" s="2257"/>
      <c r="Q621" s="2257"/>
      <c r="R621" s="2257"/>
      <c r="S621" s="2257"/>
      <c r="T621" s="2257"/>
      <c r="U621" s="2257"/>
      <c r="V621" s="2257"/>
      <c r="W621" s="2257"/>
      <c r="X621" s="2257"/>
      <c r="Y621" s="2257"/>
      <c r="Z621" s="2257"/>
      <c r="AA621" s="2257"/>
      <c r="AB621" s="2257"/>
      <c r="AC621" s="2257"/>
      <c r="AD621" s="2257"/>
      <c r="AE621" s="2257"/>
      <c r="AF621" s="2257"/>
      <c r="AG621" s="2257"/>
      <c r="AH621" s="2257"/>
      <c r="AI621" s="2257"/>
      <c r="AJ621" s="2257"/>
      <c r="AK621" s="2257"/>
      <c r="AL621" s="2257"/>
      <c r="AM621" s="2257"/>
      <c r="AN621" s="2257"/>
      <c r="AO621" s="2257"/>
      <c r="AP621" s="2257"/>
      <c r="AQ621" s="2257"/>
      <c r="AR621" s="2257"/>
      <c r="AS621" s="2257"/>
      <c r="AT621" s="2257"/>
      <c r="AU621" s="2257"/>
      <c r="AV621" s="2257"/>
      <c r="AW621" s="2257"/>
      <c r="AX621" s="2257"/>
      <c r="AY621" s="2258"/>
    </row>
    <row r="622" spans="1:74" s="26" customFormat="1" ht="12.75" x14ac:dyDescent="0.2">
      <c r="A622" s="824" t="s">
        <v>654</v>
      </c>
      <c r="B622" s="825" t="s">
        <v>655</v>
      </c>
      <c r="C622" s="826">
        <v>40360</v>
      </c>
      <c r="D622" s="826">
        <v>40391</v>
      </c>
      <c r="E622" s="826">
        <v>40422</v>
      </c>
      <c r="F622" s="826">
        <v>40452</v>
      </c>
      <c r="G622" s="826">
        <v>40483</v>
      </c>
      <c r="H622" s="826">
        <v>40513</v>
      </c>
      <c r="I622" s="826">
        <v>40544</v>
      </c>
      <c r="J622" s="826">
        <v>40575</v>
      </c>
      <c r="K622" s="826">
        <v>40603</v>
      </c>
      <c r="L622" s="826">
        <v>40634</v>
      </c>
      <c r="M622" s="826">
        <v>40664</v>
      </c>
      <c r="N622" s="826">
        <v>40695</v>
      </c>
      <c r="O622" s="826">
        <v>40725</v>
      </c>
      <c r="P622" s="826">
        <v>40756</v>
      </c>
      <c r="Q622" s="826">
        <v>40787</v>
      </c>
      <c r="R622" s="826">
        <v>40817</v>
      </c>
      <c r="S622" s="826">
        <v>40848</v>
      </c>
      <c r="T622" s="826">
        <v>40878</v>
      </c>
      <c r="U622" s="826">
        <v>40909</v>
      </c>
      <c r="V622" s="826">
        <v>40940</v>
      </c>
      <c r="W622" s="826">
        <v>40969</v>
      </c>
      <c r="X622" s="826">
        <v>41000</v>
      </c>
      <c r="Y622" s="826">
        <v>41030</v>
      </c>
      <c r="Z622" s="826">
        <v>41061</v>
      </c>
      <c r="AA622" s="826">
        <v>41091</v>
      </c>
      <c r="AB622" s="826">
        <v>41122</v>
      </c>
      <c r="AC622" s="826">
        <v>41153</v>
      </c>
      <c r="AD622" s="826">
        <v>41183</v>
      </c>
      <c r="AE622" s="826">
        <v>41214</v>
      </c>
      <c r="AF622" s="826">
        <v>41244</v>
      </c>
      <c r="AG622" s="826">
        <v>41275</v>
      </c>
      <c r="AH622" s="826">
        <v>41306</v>
      </c>
      <c r="AI622" s="826">
        <v>41334</v>
      </c>
      <c r="AJ622" s="826">
        <v>41365</v>
      </c>
      <c r="AK622" s="826">
        <v>41395</v>
      </c>
      <c r="AL622" s="826">
        <v>41426</v>
      </c>
      <c r="AM622" s="826">
        <v>41456</v>
      </c>
      <c r="AN622" s="826">
        <v>41487</v>
      </c>
      <c r="AO622" s="826">
        <v>41518</v>
      </c>
      <c r="AP622" s="826">
        <v>41548</v>
      </c>
      <c r="AQ622" s="826">
        <v>41579</v>
      </c>
      <c r="AR622" s="826">
        <v>41609</v>
      </c>
      <c r="AS622" s="826">
        <v>41640</v>
      </c>
      <c r="AT622" s="826">
        <v>41671</v>
      </c>
      <c r="AU622" s="826">
        <v>41699</v>
      </c>
      <c r="AV622" s="826">
        <v>41730</v>
      </c>
      <c r="AW622" s="826">
        <v>41760</v>
      </c>
      <c r="AX622" s="826">
        <v>41791</v>
      </c>
      <c r="AY622" s="826">
        <v>41821</v>
      </c>
      <c r="AZ622" s="826">
        <v>41852</v>
      </c>
      <c r="BA622" s="826">
        <v>41883</v>
      </c>
      <c r="BB622" s="826">
        <v>41913</v>
      </c>
      <c r="BC622" s="826">
        <v>41944</v>
      </c>
      <c r="BD622" s="826">
        <v>41974</v>
      </c>
      <c r="BE622" s="826">
        <v>42005</v>
      </c>
      <c r="BF622" s="826">
        <v>42036</v>
      </c>
      <c r="BG622" s="826">
        <v>42064</v>
      </c>
      <c r="BH622" s="826">
        <v>42095</v>
      </c>
      <c r="BI622" s="826">
        <v>42125</v>
      </c>
      <c r="BJ622" s="826">
        <v>42156</v>
      </c>
      <c r="BK622" s="826">
        <v>42186</v>
      </c>
      <c r="BL622" s="826">
        <v>42217</v>
      </c>
      <c r="BM622" s="826">
        <v>42248</v>
      </c>
      <c r="BN622" s="826">
        <v>42278</v>
      </c>
      <c r="BO622" s="826">
        <v>42309</v>
      </c>
      <c r="BP622" s="826">
        <v>42339</v>
      </c>
      <c r="BQ622" s="826">
        <v>42370</v>
      </c>
      <c r="BR622" s="826">
        <v>42401</v>
      </c>
      <c r="BS622" s="826">
        <v>42430</v>
      </c>
      <c r="BT622" s="826">
        <v>42461</v>
      </c>
      <c r="BU622" s="826">
        <v>42491</v>
      </c>
      <c r="BV622" s="826">
        <v>42522</v>
      </c>
    </row>
    <row r="623" spans="1:74" s="500" customFormat="1" ht="12.75" x14ac:dyDescent="0.2">
      <c r="A623" s="827" t="s">
        <v>889</v>
      </c>
      <c r="B623" s="828" t="s">
        <v>898</v>
      </c>
      <c r="C623" s="829">
        <v>519706.60000000003</v>
      </c>
      <c r="D623" s="829">
        <v>395410.80000000005</v>
      </c>
      <c r="E623" s="829">
        <v>316161.80000000005</v>
      </c>
      <c r="F623" s="829">
        <v>308654</v>
      </c>
      <c r="G623" s="829">
        <v>493012.2</v>
      </c>
      <c r="H623" s="829">
        <v>947651.20000000007</v>
      </c>
      <c r="I623" s="829">
        <v>982687.60000000009</v>
      </c>
      <c r="J623" s="829">
        <v>474659.80000000005</v>
      </c>
      <c r="K623" s="829">
        <v>401250.2</v>
      </c>
      <c r="L623" s="829">
        <v>322001.2</v>
      </c>
      <c r="M623" s="829">
        <v>351198.2</v>
      </c>
      <c r="N623" s="829">
        <v>274451.8</v>
      </c>
      <c r="O623" s="829">
        <v>37539</v>
      </c>
      <c r="P623" s="829">
        <v>404587</v>
      </c>
      <c r="Q623" s="829">
        <v>459644.2</v>
      </c>
      <c r="R623" s="829">
        <v>527214.4</v>
      </c>
      <c r="S623" s="829">
        <v>569758.60000000009</v>
      </c>
      <c r="T623" s="829">
        <v>608966</v>
      </c>
      <c r="U623" s="829">
        <v>654847</v>
      </c>
      <c r="V623" s="829">
        <v>620644.80000000005</v>
      </c>
      <c r="W623" s="829">
        <v>524711.80000000005</v>
      </c>
      <c r="X623" s="829">
        <v>1393948.2000000002</v>
      </c>
      <c r="Y623" s="829">
        <v>601458.20000000007</v>
      </c>
      <c r="Z623" s="829">
        <v>583105.80000000005</v>
      </c>
      <c r="AA623" s="829">
        <v>642334</v>
      </c>
      <c r="AB623" s="829">
        <v>733261.8</v>
      </c>
      <c r="AC623" s="829">
        <v>677370.4</v>
      </c>
      <c r="AD623" s="829">
        <v>742438</v>
      </c>
      <c r="AE623" s="829">
        <v>886754.60000000009</v>
      </c>
      <c r="AF623" s="829">
        <v>978516.60000000009</v>
      </c>
      <c r="AG623" s="829">
        <v>1117828</v>
      </c>
      <c r="AH623" s="829">
        <v>953490.60000000009</v>
      </c>
      <c r="AI623" s="829">
        <v>797495.20000000007</v>
      </c>
      <c r="AJ623" s="829">
        <v>533888</v>
      </c>
      <c r="AK623" s="829">
        <v>681541.4</v>
      </c>
      <c r="AL623" s="829">
        <v>413763.2</v>
      </c>
      <c r="AM623" s="829">
        <v>726588.20000000007</v>
      </c>
      <c r="AN623" s="829">
        <v>731593.4</v>
      </c>
      <c r="AO623" s="829">
        <v>461312.60000000003</v>
      </c>
      <c r="AP623" s="829">
        <v>842542</v>
      </c>
      <c r="AQ623" s="829">
        <v>674867.8</v>
      </c>
      <c r="AR623" s="829">
        <v>809174</v>
      </c>
      <c r="AS623" s="829">
        <v>1115325.4000000001</v>
      </c>
      <c r="AT623" s="829">
        <v>682375.60000000009</v>
      </c>
      <c r="AU623" s="829">
        <v>902604.4</v>
      </c>
      <c r="AV623" s="829">
        <v>724919.8</v>
      </c>
      <c r="AW623" s="829">
        <v>504691.00000000006</v>
      </c>
      <c r="AX623" s="829">
        <v>397913.4</v>
      </c>
      <c r="AY623" s="829">
        <v>470488.80000000005</v>
      </c>
      <c r="AZ623" s="829">
        <v>685712.4</v>
      </c>
      <c r="BA623" s="829">
        <v>530551.20000000007</v>
      </c>
      <c r="BB623" s="829">
        <v>722417.20000000007</v>
      </c>
      <c r="BC623" s="829">
        <v>623981.60000000009</v>
      </c>
      <c r="BD623" s="829">
        <v>528048.6</v>
      </c>
      <c r="BE623" s="829">
        <v>789153.20000000007</v>
      </c>
      <c r="BF623" s="829">
        <v>609800.20000000007</v>
      </c>
      <c r="BG623" s="829">
        <v>358706</v>
      </c>
      <c r="BH623" s="829">
        <v>418768.4</v>
      </c>
      <c r="BI623" s="829">
        <v>278622.80000000005</v>
      </c>
      <c r="BJ623" s="829">
        <v>205213.2</v>
      </c>
      <c r="BK623" s="829">
        <v>271115</v>
      </c>
      <c r="BL623" s="829">
        <v>312825</v>
      </c>
      <c r="BM623" s="829">
        <v>280291.20000000001</v>
      </c>
      <c r="BN623" s="829">
        <v>475494.00000000006</v>
      </c>
      <c r="BO623" s="829">
        <v>413763.2</v>
      </c>
      <c r="BP623" s="829">
        <v>394576.60000000003</v>
      </c>
      <c r="BQ623" s="829">
        <v>684044</v>
      </c>
      <c r="BR623" s="829">
        <v>611468.60000000009</v>
      </c>
      <c r="BS623" s="829">
        <v>436286.60000000003</v>
      </c>
      <c r="BT623" s="829">
        <v>301146.2</v>
      </c>
      <c r="BU623" s="829">
        <v>307819.80000000005</v>
      </c>
      <c r="BV623" s="829">
        <v>281125.40000000002</v>
      </c>
    </row>
    <row r="624" spans="1:74" s="500" customFormat="1" ht="12.75" customHeight="1" x14ac:dyDescent="0.2">
      <c r="A624" s="830">
        <v>315</v>
      </c>
      <c r="B624" s="831" t="s">
        <v>899</v>
      </c>
      <c r="C624" s="832">
        <v>41710</v>
      </c>
      <c r="D624" s="832">
        <v>62565.000000000007</v>
      </c>
      <c r="E624" s="832">
        <v>100104</v>
      </c>
      <c r="F624" s="832">
        <v>153492.80000000002</v>
      </c>
      <c r="G624" s="832">
        <v>163503.20000000001</v>
      </c>
      <c r="H624" s="832">
        <v>216892</v>
      </c>
      <c r="I624" s="832">
        <v>296141</v>
      </c>
      <c r="J624" s="832">
        <v>200208</v>
      </c>
      <c r="K624" s="832">
        <v>166840</v>
      </c>
      <c r="L624" s="832">
        <v>135140.4</v>
      </c>
      <c r="M624" s="832">
        <v>94264.6</v>
      </c>
      <c r="N624" s="832">
        <v>101772.40000000001</v>
      </c>
      <c r="O624" s="832">
        <v>79249</v>
      </c>
      <c r="P624" s="832">
        <v>165171.6</v>
      </c>
      <c r="Q624" s="832">
        <v>141814</v>
      </c>
      <c r="R624" s="832">
        <v>164337.40000000002</v>
      </c>
      <c r="S624" s="832">
        <v>206881.6</v>
      </c>
      <c r="T624" s="832">
        <v>207048.44</v>
      </c>
      <c r="U624" s="832">
        <v>208216.32000000001</v>
      </c>
      <c r="V624" s="832">
        <v>242752.2</v>
      </c>
      <c r="W624" s="832">
        <v>211052.6</v>
      </c>
      <c r="X624" s="832">
        <v>160166.40000000002</v>
      </c>
      <c r="Y624" s="832">
        <v>82585.8</v>
      </c>
      <c r="Z624" s="832">
        <v>59228.200000000004</v>
      </c>
      <c r="AA624" s="832">
        <v>65901.8</v>
      </c>
      <c r="AB624" s="832">
        <v>85922.6</v>
      </c>
      <c r="AC624" s="832">
        <v>171011</v>
      </c>
      <c r="AD624" s="832">
        <v>170176.80000000002</v>
      </c>
      <c r="AE624" s="832">
        <v>208550</v>
      </c>
      <c r="AF624" s="832">
        <v>219394.6</v>
      </c>
      <c r="AG624" s="832">
        <v>291970</v>
      </c>
      <c r="AH624" s="832">
        <v>254848.1</v>
      </c>
      <c r="AI624" s="832">
        <v>229405</v>
      </c>
      <c r="AJ624" s="832">
        <v>171011</v>
      </c>
      <c r="AK624" s="832">
        <v>145985</v>
      </c>
      <c r="AL624" s="832">
        <v>52554.600000000006</v>
      </c>
      <c r="AM624" s="832">
        <v>59228.200000000004</v>
      </c>
      <c r="AN624" s="832">
        <v>95933</v>
      </c>
      <c r="AO624" s="832">
        <v>132637.80000000002</v>
      </c>
      <c r="AP624" s="832">
        <v>192700.2</v>
      </c>
      <c r="AQ624" s="832">
        <v>214389.40000000002</v>
      </c>
      <c r="AR624" s="832">
        <v>207715.80000000002</v>
      </c>
      <c r="AS624" s="832">
        <v>381229.4</v>
      </c>
      <c r="AT624" s="832">
        <v>204379</v>
      </c>
      <c r="AU624" s="832">
        <v>255265.2</v>
      </c>
      <c r="AV624" s="832">
        <v>206881.6</v>
      </c>
      <c r="AW624" s="832">
        <v>81751.600000000006</v>
      </c>
      <c r="AX624" s="832">
        <v>45881</v>
      </c>
      <c r="AY624" s="832">
        <v>58394.000000000007</v>
      </c>
      <c r="AZ624" s="832">
        <v>104275</v>
      </c>
      <c r="BA624" s="832">
        <v>66736</v>
      </c>
      <c r="BB624" s="832">
        <v>96767.200000000012</v>
      </c>
      <c r="BC624" s="832">
        <v>230239.2</v>
      </c>
      <c r="BD624" s="832">
        <v>235244.40000000002</v>
      </c>
      <c r="BE624" s="832">
        <v>264441.40000000002</v>
      </c>
      <c r="BF624" s="832">
        <v>285296.40000000002</v>
      </c>
      <c r="BG624" s="832">
        <v>182689.80000000002</v>
      </c>
      <c r="BH624" s="832">
        <v>178518.80000000002</v>
      </c>
      <c r="BI624" s="832">
        <v>96767.200000000012</v>
      </c>
      <c r="BJ624" s="832">
        <v>83420</v>
      </c>
      <c r="BK624" s="832">
        <v>45881</v>
      </c>
      <c r="BL624" s="832">
        <v>66736</v>
      </c>
      <c r="BM624" s="832">
        <v>118456.40000000001</v>
      </c>
      <c r="BN624" s="832">
        <v>211886.80000000002</v>
      </c>
      <c r="BO624" s="832">
        <v>203544.80000000002</v>
      </c>
      <c r="BP624" s="832">
        <v>191031.80000000002</v>
      </c>
      <c r="BQ624" s="832">
        <v>271115</v>
      </c>
      <c r="BR624" s="832">
        <v>274451.8</v>
      </c>
      <c r="BS624" s="832">
        <v>215223.6</v>
      </c>
      <c r="BT624" s="832">
        <v>182689.80000000002</v>
      </c>
      <c r="BU624" s="832">
        <v>118456.40000000001</v>
      </c>
      <c r="BV624" s="832">
        <v>75078</v>
      </c>
    </row>
    <row r="625" spans="1:74" s="500" customFormat="1" ht="12.75" customHeight="1" x14ac:dyDescent="0.2">
      <c r="A625" s="830" t="s">
        <v>892</v>
      </c>
      <c r="B625" s="831" t="s">
        <v>900</v>
      </c>
      <c r="C625" s="832">
        <v>0</v>
      </c>
      <c r="D625" s="832">
        <v>0</v>
      </c>
      <c r="E625" s="832">
        <v>0</v>
      </c>
      <c r="F625" s="832">
        <v>0</v>
      </c>
      <c r="G625" s="832">
        <v>0</v>
      </c>
      <c r="H625" s="832">
        <v>0</v>
      </c>
      <c r="I625" s="832">
        <v>0</v>
      </c>
      <c r="J625" s="832">
        <v>0</v>
      </c>
      <c r="K625" s="832">
        <v>0</v>
      </c>
      <c r="L625" s="832">
        <v>0</v>
      </c>
      <c r="M625" s="832">
        <v>0</v>
      </c>
      <c r="N625" s="832">
        <v>0</v>
      </c>
      <c r="O625" s="832">
        <v>0</v>
      </c>
      <c r="P625" s="832">
        <v>0</v>
      </c>
      <c r="Q625" s="832">
        <v>0</v>
      </c>
      <c r="R625" s="832">
        <v>0</v>
      </c>
      <c r="S625" s="832">
        <v>0</v>
      </c>
      <c r="T625" s="832">
        <v>0</v>
      </c>
      <c r="U625" s="832">
        <v>0</v>
      </c>
      <c r="V625" s="832">
        <v>0</v>
      </c>
      <c r="W625" s="832">
        <v>0</v>
      </c>
      <c r="X625" s="832">
        <v>0</v>
      </c>
      <c r="Y625" s="832">
        <v>210652.18400000001</v>
      </c>
      <c r="Z625" s="832">
        <v>60696.392000000007</v>
      </c>
      <c r="AA625" s="832">
        <v>83545.13</v>
      </c>
      <c r="AB625" s="832">
        <v>170660.636</v>
      </c>
      <c r="AC625" s="832">
        <v>189229.92800000001</v>
      </c>
      <c r="AD625" s="832">
        <v>343473.50800000003</v>
      </c>
      <c r="AE625" s="832">
        <v>382747.64400000003</v>
      </c>
      <c r="AF625" s="832">
        <v>356320.18800000002</v>
      </c>
      <c r="AG625" s="832">
        <v>498426.15800000005</v>
      </c>
      <c r="AH625" s="832">
        <v>606463.4</v>
      </c>
      <c r="AI625" s="832">
        <v>623147.4</v>
      </c>
      <c r="AJ625" s="832">
        <v>367048</v>
      </c>
      <c r="AK625" s="832">
        <v>385400.4</v>
      </c>
      <c r="AL625" s="832">
        <v>272783.40000000002</v>
      </c>
      <c r="AM625" s="832">
        <v>340353.60000000003</v>
      </c>
      <c r="AN625" s="832">
        <v>437120.80000000005</v>
      </c>
      <c r="AO625" s="832">
        <v>359540.2</v>
      </c>
      <c r="AP625" s="832">
        <v>462981.00000000006</v>
      </c>
      <c r="AQ625" s="832">
        <v>530551.20000000007</v>
      </c>
      <c r="AR625" s="832">
        <v>387068.80000000005</v>
      </c>
      <c r="AS625" s="832">
        <v>846713</v>
      </c>
      <c r="AT625" s="832">
        <v>451302.2</v>
      </c>
      <c r="AU625" s="832">
        <v>542230</v>
      </c>
      <c r="AV625" s="832">
        <v>358706</v>
      </c>
      <c r="AW625" s="832">
        <v>216892</v>
      </c>
      <c r="AX625" s="832">
        <v>246923.2</v>
      </c>
      <c r="AY625" s="832">
        <v>286964.80000000005</v>
      </c>
      <c r="AZ625" s="832">
        <v>338685.20000000007</v>
      </c>
      <c r="BA625" s="832">
        <v>325338</v>
      </c>
      <c r="BB625" s="832">
        <v>401250.20000000007</v>
      </c>
      <c r="BC625" s="832">
        <v>513867.20000000007</v>
      </c>
      <c r="BD625" s="832">
        <v>392074</v>
      </c>
      <c r="BE625" s="832">
        <v>658183.80000000005</v>
      </c>
      <c r="BF625" s="832">
        <v>706567.4</v>
      </c>
      <c r="BG625" s="832">
        <v>491343.80000000005</v>
      </c>
      <c r="BH625" s="832">
        <v>368716.4</v>
      </c>
      <c r="BI625" s="832">
        <v>207715.80000000002</v>
      </c>
      <c r="BJ625" s="832">
        <v>210218.40000000002</v>
      </c>
      <c r="BK625" s="832">
        <v>180187.2</v>
      </c>
      <c r="BL625" s="832">
        <v>238581.2</v>
      </c>
      <c r="BM625" s="832">
        <v>311990.8</v>
      </c>
      <c r="BN625" s="832">
        <v>301980.40000000002</v>
      </c>
      <c r="BO625" s="832">
        <v>437120.80000000005</v>
      </c>
      <c r="BP625" s="832">
        <v>430447.2</v>
      </c>
      <c r="BQ625" s="832">
        <v>718246.20000000007</v>
      </c>
      <c r="BR625" s="832">
        <v>713241.00000000012</v>
      </c>
      <c r="BS625" s="832">
        <v>376224.2</v>
      </c>
      <c r="BT625" s="832">
        <v>385400.4</v>
      </c>
      <c r="BU625" s="832">
        <v>283628</v>
      </c>
      <c r="BV625" s="832">
        <v>251928.40000000002</v>
      </c>
    </row>
    <row r="626" spans="1:74" s="501" customFormat="1" ht="12.75" x14ac:dyDescent="0.2">
      <c r="A626" s="833" t="s">
        <v>889</v>
      </c>
      <c r="B626" s="834" t="s">
        <v>901</v>
      </c>
      <c r="C626" s="835">
        <v>22867.09</v>
      </c>
      <c r="D626" s="835">
        <v>17398.079999999998</v>
      </c>
      <c r="E626" s="835">
        <v>13911.12</v>
      </c>
      <c r="F626" s="835">
        <v>13580.779999999999</v>
      </c>
      <c r="G626" s="835">
        <v>21692.54</v>
      </c>
      <c r="H626" s="835">
        <v>41696.649999999994</v>
      </c>
      <c r="I626" s="835">
        <v>43238.25</v>
      </c>
      <c r="J626" s="835">
        <v>20885.04</v>
      </c>
      <c r="K626" s="835">
        <v>17655.009999999998</v>
      </c>
      <c r="L626" s="835">
        <v>14168.050000000001</v>
      </c>
      <c r="M626" s="835">
        <v>15452.72</v>
      </c>
      <c r="N626" s="835">
        <v>5764.08</v>
      </c>
      <c r="O626" s="835">
        <v>788.4</v>
      </c>
      <c r="P626" s="835">
        <v>8497.2000000000007</v>
      </c>
      <c r="Q626" s="835">
        <v>9653.52</v>
      </c>
      <c r="R626" s="835">
        <v>11072.64</v>
      </c>
      <c r="S626" s="835">
        <v>11966.16</v>
      </c>
      <c r="T626" s="835">
        <v>12789.6</v>
      </c>
      <c r="U626" s="835">
        <v>13753.199999999999</v>
      </c>
      <c r="V626" s="835">
        <v>13034.880000000001</v>
      </c>
      <c r="W626" s="835">
        <v>11020.08</v>
      </c>
      <c r="X626" s="835">
        <v>29275.919999999998</v>
      </c>
      <c r="Y626" s="835">
        <v>12631.92</v>
      </c>
      <c r="Z626" s="835">
        <v>12246.48</v>
      </c>
      <c r="AA626" s="835">
        <v>13490.4</v>
      </c>
      <c r="AB626" s="835">
        <v>15400.08</v>
      </c>
      <c r="AC626" s="835">
        <v>14226.24</v>
      </c>
      <c r="AD626" s="835">
        <v>15592.8</v>
      </c>
      <c r="AE626" s="835">
        <v>18623.760000000002</v>
      </c>
      <c r="AF626" s="835">
        <v>20550.96</v>
      </c>
      <c r="AG626" s="835">
        <v>23476.799999999999</v>
      </c>
      <c r="AH626" s="835">
        <v>20025.36</v>
      </c>
      <c r="AI626" s="835">
        <v>16749.12</v>
      </c>
      <c r="AJ626" s="835">
        <v>11212.8</v>
      </c>
      <c r="AK626" s="835">
        <v>14313.84</v>
      </c>
      <c r="AL626" s="835">
        <v>8689.92</v>
      </c>
      <c r="AM626" s="835">
        <v>15259.92</v>
      </c>
      <c r="AN626" s="835">
        <v>15365.04</v>
      </c>
      <c r="AO626" s="835">
        <v>9688.5600000000013</v>
      </c>
      <c r="AP626" s="835">
        <v>17695.2</v>
      </c>
      <c r="AQ626" s="835">
        <v>14173.679999999998</v>
      </c>
      <c r="AR626" s="835">
        <v>16994.400000000001</v>
      </c>
      <c r="AS626" s="835">
        <v>23424.239999999998</v>
      </c>
      <c r="AT626" s="835">
        <v>14331.36</v>
      </c>
      <c r="AU626" s="835">
        <v>18956.64</v>
      </c>
      <c r="AV626" s="835">
        <v>15224.88</v>
      </c>
      <c r="AW626" s="835">
        <v>10599.6</v>
      </c>
      <c r="AX626" s="835">
        <v>8357.0399999999991</v>
      </c>
      <c r="AY626" s="835">
        <v>9881.2800000000007</v>
      </c>
      <c r="AZ626" s="835">
        <v>14401.44</v>
      </c>
      <c r="BA626" s="835">
        <v>11142.72</v>
      </c>
      <c r="BB626" s="835">
        <v>15172.32</v>
      </c>
      <c r="BC626" s="835">
        <v>13104.96</v>
      </c>
      <c r="BD626" s="835">
        <v>11090.16</v>
      </c>
      <c r="BE626" s="835">
        <v>16573.919999999998</v>
      </c>
      <c r="BF626" s="835">
        <v>12807.12</v>
      </c>
      <c r="BG626" s="835">
        <v>7533.6</v>
      </c>
      <c r="BH626" s="835">
        <v>8795.0400000000009</v>
      </c>
      <c r="BI626" s="835">
        <v>5851.68</v>
      </c>
      <c r="BJ626" s="835">
        <v>4309.92</v>
      </c>
      <c r="BK626" s="835">
        <v>5694</v>
      </c>
      <c r="BL626" s="835">
        <v>6570</v>
      </c>
      <c r="BM626" s="835">
        <v>5886.72</v>
      </c>
      <c r="BN626" s="835">
        <v>9986.4</v>
      </c>
      <c r="BO626" s="835">
        <v>8689.92</v>
      </c>
      <c r="BP626" s="835">
        <v>8286.9599999999991</v>
      </c>
      <c r="BQ626" s="835">
        <v>14366.4</v>
      </c>
      <c r="BR626" s="835">
        <v>12842.16</v>
      </c>
      <c r="BS626" s="835">
        <v>9162.9599999999991</v>
      </c>
      <c r="BT626" s="835">
        <v>6324.72</v>
      </c>
      <c r="BU626" s="835">
        <v>6464.88</v>
      </c>
      <c r="BV626" s="835">
        <v>5904.24</v>
      </c>
    </row>
    <row r="627" spans="1:74" s="500" customFormat="1" ht="12.75" x14ac:dyDescent="0.2">
      <c r="A627" s="833">
        <v>315</v>
      </c>
      <c r="B627" s="834" t="s">
        <v>902</v>
      </c>
      <c r="C627" s="835">
        <v>1835.24</v>
      </c>
      <c r="D627" s="835">
        <v>2752.86</v>
      </c>
      <c r="E627" s="835">
        <v>4404.58</v>
      </c>
      <c r="F627" s="835">
        <v>6753.68</v>
      </c>
      <c r="G627" s="835">
        <v>7194.14</v>
      </c>
      <c r="H627" s="835">
        <v>9543.25</v>
      </c>
      <c r="I627" s="835">
        <v>13030.2</v>
      </c>
      <c r="J627" s="835">
        <v>8809.15</v>
      </c>
      <c r="K627" s="835">
        <v>7340.96</v>
      </c>
      <c r="L627" s="835">
        <v>5946.18</v>
      </c>
      <c r="M627" s="835">
        <v>4147.6400000000003</v>
      </c>
      <c r="N627" s="835">
        <v>2137.44</v>
      </c>
      <c r="O627" s="835">
        <v>1664.4</v>
      </c>
      <c r="P627" s="835">
        <v>3468.96</v>
      </c>
      <c r="Q627" s="835">
        <v>2978.4</v>
      </c>
      <c r="R627" s="835">
        <v>3451.44</v>
      </c>
      <c r="S627" s="835">
        <v>4344.96</v>
      </c>
      <c r="T627" s="835">
        <v>4348.46</v>
      </c>
      <c r="U627" s="835">
        <v>4372.99</v>
      </c>
      <c r="V627" s="835">
        <v>5098.32</v>
      </c>
      <c r="W627" s="835">
        <v>4432.5600000000004</v>
      </c>
      <c r="X627" s="835">
        <v>3363.84</v>
      </c>
      <c r="Y627" s="835">
        <v>1734.48</v>
      </c>
      <c r="Z627" s="835">
        <v>1243.92</v>
      </c>
      <c r="AA627" s="835">
        <v>1384.08</v>
      </c>
      <c r="AB627" s="835">
        <v>1804.56</v>
      </c>
      <c r="AC627" s="835">
        <v>3591.6</v>
      </c>
      <c r="AD627" s="835">
        <v>3574.08</v>
      </c>
      <c r="AE627" s="835">
        <v>4380</v>
      </c>
      <c r="AF627" s="835">
        <v>4607.76</v>
      </c>
      <c r="AG627" s="835">
        <v>6132</v>
      </c>
      <c r="AH627" s="835">
        <v>5352.36</v>
      </c>
      <c r="AI627" s="835">
        <v>4818</v>
      </c>
      <c r="AJ627" s="835">
        <v>3591.6</v>
      </c>
      <c r="AK627" s="835">
        <v>3066</v>
      </c>
      <c r="AL627" s="835">
        <v>1103.76</v>
      </c>
      <c r="AM627" s="835">
        <v>1243.92</v>
      </c>
      <c r="AN627" s="835">
        <v>2014.8</v>
      </c>
      <c r="AO627" s="835">
        <v>2785.68</v>
      </c>
      <c r="AP627" s="835">
        <v>4047.12</v>
      </c>
      <c r="AQ627" s="835">
        <v>4502.6400000000003</v>
      </c>
      <c r="AR627" s="835">
        <v>4362.4799999999996</v>
      </c>
      <c r="AS627" s="835">
        <v>8006.64</v>
      </c>
      <c r="AT627" s="835">
        <v>4292.3999999999996</v>
      </c>
      <c r="AU627" s="835">
        <v>5361.12</v>
      </c>
      <c r="AV627" s="835">
        <v>4344.96</v>
      </c>
      <c r="AW627" s="835">
        <v>1716.96</v>
      </c>
      <c r="AX627" s="835">
        <v>963.6</v>
      </c>
      <c r="AY627" s="835">
        <v>1226.4000000000001</v>
      </c>
      <c r="AZ627" s="835">
        <v>2190</v>
      </c>
      <c r="BA627" s="835">
        <v>1401.6</v>
      </c>
      <c r="BB627" s="835">
        <v>2032.32</v>
      </c>
      <c r="BC627" s="835">
        <v>4835.5200000000004</v>
      </c>
      <c r="BD627" s="835">
        <v>4940.6400000000003</v>
      </c>
      <c r="BE627" s="835">
        <v>5553.84</v>
      </c>
      <c r="BF627" s="835">
        <v>5991.84</v>
      </c>
      <c r="BG627" s="835">
        <v>3836.88</v>
      </c>
      <c r="BH627" s="835">
        <v>3749.28</v>
      </c>
      <c r="BI627" s="835">
        <v>2032.32</v>
      </c>
      <c r="BJ627" s="835">
        <v>1752</v>
      </c>
      <c r="BK627" s="835">
        <v>963.6</v>
      </c>
      <c r="BL627" s="835">
        <v>1401.6</v>
      </c>
      <c r="BM627" s="835">
        <v>2487.84</v>
      </c>
      <c r="BN627" s="835">
        <v>4450.08</v>
      </c>
      <c r="BO627" s="835">
        <v>4274.88</v>
      </c>
      <c r="BP627" s="835">
        <v>4012.08</v>
      </c>
      <c r="BQ627" s="835">
        <v>5694</v>
      </c>
      <c r="BR627" s="835">
        <v>5764.08</v>
      </c>
      <c r="BS627" s="835">
        <v>4520.16</v>
      </c>
      <c r="BT627" s="835">
        <v>3836.88</v>
      </c>
      <c r="BU627" s="835">
        <v>2487.84</v>
      </c>
      <c r="BV627" s="835">
        <v>1576.8</v>
      </c>
    </row>
    <row r="628" spans="1:74" s="500" customFormat="1" ht="12.75" x14ac:dyDescent="0.2">
      <c r="A628" s="833" t="s">
        <v>892</v>
      </c>
      <c r="B628" s="834" t="s">
        <v>903</v>
      </c>
      <c r="C628" s="835">
        <v>0</v>
      </c>
      <c r="D628" s="835">
        <v>0</v>
      </c>
      <c r="E628" s="835">
        <v>0</v>
      </c>
      <c r="F628" s="835">
        <v>0</v>
      </c>
      <c r="G628" s="835">
        <v>0</v>
      </c>
      <c r="H628" s="835">
        <v>0</v>
      </c>
      <c r="I628" s="835">
        <v>0</v>
      </c>
      <c r="J628" s="835">
        <v>0</v>
      </c>
      <c r="K628" s="835">
        <v>0</v>
      </c>
      <c r="L628" s="835">
        <v>0</v>
      </c>
      <c r="M628" s="835">
        <v>0</v>
      </c>
      <c r="N628" s="835">
        <v>0</v>
      </c>
      <c r="O628" s="835">
        <v>0</v>
      </c>
      <c r="P628" s="835">
        <v>0</v>
      </c>
      <c r="Q628" s="835">
        <v>0</v>
      </c>
      <c r="R628" s="835">
        <v>0</v>
      </c>
      <c r="S628" s="835">
        <v>0</v>
      </c>
      <c r="T628" s="835">
        <v>0</v>
      </c>
      <c r="U628" s="835">
        <v>0</v>
      </c>
      <c r="V628" s="835">
        <v>0</v>
      </c>
      <c r="W628" s="835">
        <v>0</v>
      </c>
      <c r="X628" s="835">
        <v>0</v>
      </c>
      <c r="Y628" s="835">
        <v>4424.1499999999996</v>
      </c>
      <c r="Z628" s="835">
        <v>1274.76</v>
      </c>
      <c r="AA628" s="835">
        <v>1754.66</v>
      </c>
      <c r="AB628" s="835">
        <v>3584.31</v>
      </c>
      <c r="AC628" s="835">
        <v>3974.24</v>
      </c>
      <c r="AD628" s="835">
        <v>7213.61</v>
      </c>
      <c r="AE628" s="835">
        <v>8038.46</v>
      </c>
      <c r="AF628" s="835">
        <v>7483.56</v>
      </c>
      <c r="AG628" s="835">
        <v>10467.99</v>
      </c>
      <c r="AH628" s="835">
        <v>14829.71</v>
      </c>
      <c r="AI628" s="835">
        <v>15237.68</v>
      </c>
      <c r="AJ628" s="835">
        <v>8975.34</v>
      </c>
      <c r="AK628" s="835">
        <v>9424.1</v>
      </c>
      <c r="AL628" s="835">
        <v>6670.31</v>
      </c>
      <c r="AM628" s="835">
        <v>8322.59</v>
      </c>
      <c r="AN628" s="835">
        <v>10688.82</v>
      </c>
      <c r="AO628" s="835">
        <v>8791.75</v>
      </c>
      <c r="AP628" s="835">
        <v>11321.17</v>
      </c>
      <c r="AQ628" s="835">
        <v>12973.439999999999</v>
      </c>
      <c r="AR628" s="835">
        <v>9464.91</v>
      </c>
      <c r="AS628" s="835">
        <v>19687.449999999997</v>
      </c>
      <c r="AT628" s="835">
        <v>11035.59</v>
      </c>
      <c r="AU628" s="835">
        <v>13259.029999999999</v>
      </c>
      <c r="AV628" s="835">
        <v>8771.36</v>
      </c>
      <c r="AW628" s="835">
        <v>5303.6100000000006</v>
      </c>
      <c r="AX628" s="835">
        <v>6037.95</v>
      </c>
      <c r="AY628" s="835">
        <v>7017.09</v>
      </c>
      <c r="AZ628" s="835">
        <v>8281.7899999999991</v>
      </c>
      <c r="BA628" s="835">
        <v>7955.42</v>
      </c>
      <c r="BB628" s="835">
        <v>9811.68</v>
      </c>
      <c r="BC628" s="835">
        <v>12565.47</v>
      </c>
      <c r="BD628" s="835">
        <v>9587.2999999999993</v>
      </c>
      <c r="BE628" s="835">
        <v>16094.420000000002</v>
      </c>
      <c r="BF628" s="835">
        <v>17277.53</v>
      </c>
      <c r="BG628" s="835">
        <v>12014.72</v>
      </c>
      <c r="BH628" s="835">
        <v>9016.130000000001</v>
      </c>
      <c r="BI628" s="835">
        <v>5079.2299999999996</v>
      </c>
      <c r="BJ628" s="835">
        <v>5140.42</v>
      </c>
      <c r="BK628" s="835">
        <v>4406.07</v>
      </c>
      <c r="BL628" s="835">
        <v>5833.9699999999993</v>
      </c>
      <c r="BM628" s="835">
        <v>7629.0399999999991</v>
      </c>
      <c r="BN628" s="835">
        <v>7384.25</v>
      </c>
      <c r="BO628" s="835">
        <v>10688.82</v>
      </c>
      <c r="BP628" s="835">
        <v>10525.62</v>
      </c>
      <c r="BQ628" s="835">
        <v>17563.11</v>
      </c>
      <c r="BR628" s="835">
        <v>17440.72</v>
      </c>
      <c r="BS628" s="835">
        <v>9199.7199999999993</v>
      </c>
      <c r="BT628" s="835">
        <v>9424.1</v>
      </c>
      <c r="BU628" s="835">
        <v>6935.49</v>
      </c>
      <c r="BV628" s="835">
        <v>6160.34</v>
      </c>
    </row>
    <row r="629" spans="1:74" s="26" customFormat="1" ht="12.75" x14ac:dyDescent="0.2"/>
    <row r="630" spans="1:74" s="26" customFormat="1" ht="12.75" x14ac:dyDescent="0.2">
      <c r="A630" s="2256" t="s">
        <v>904</v>
      </c>
      <c r="B630" s="2257"/>
      <c r="C630" s="2257"/>
      <c r="D630" s="2257"/>
      <c r="E630" s="2257"/>
      <c r="F630" s="2257"/>
      <c r="G630" s="2257"/>
      <c r="H630" s="2257"/>
      <c r="I630" s="2257"/>
      <c r="J630" s="2257"/>
      <c r="K630" s="2257"/>
      <c r="L630" s="2257"/>
      <c r="M630" s="2257"/>
      <c r="N630" s="2257"/>
      <c r="O630" s="2257"/>
      <c r="P630" s="2257"/>
      <c r="Q630" s="2257"/>
      <c r="R630" s="2257"/>
      <c r="S630" s="2257"/>
      <c r="T630" s="2257"/>
      <c r="U630" s="2257"/>
      <c r="V630" s="2257"/>
      <c r="W630" s="2257"/>
      <c r="X630" s="2257"/>
      <c r="Y630" s="2257"/>
      <c r="Z630" s="2257"/>
      <c r="AA630" s="2257"/>
      <c r="AB630" s="2257"/>
      <c r="AC630" s="2257"/>
      <c r="AD630" s="2257"/>
      <c r="AE630" s="2257"/>
      <c r="AF630" s="2257"/>
      <c r="AG630" s="2257"/>
      <c r="AH630" s="2257"/>
      <c r="AI630" s="2257"/>
      <c r="AJ630" s="2257"/>
      <c r="AK630" s="2257"/>
      <c r="AL630" s="2257"/>
      <c r="AM630" s="2257"/>
      <c r="AN630" s="2257"/>
      <c r="AO630" s="2257"/>
      <c r="AP630" s="2257"/>
      <c r="AQ630" s="2257"/>
      <c r="AR630" s="2257"/>
      <c r="AS630" s="2257"/>
      <c r="AT630" s="2257"/>
      <c r="AU630" s="2257"/>
      <c r="AV630" s="2257"/>
      <c r="AW630" s="2257"/>
      <c r="AX630" s="2257"/>
      <c r="AY630" s="2258"/>
    </row>
    <row r="631" spans="1:74" s="26" customFormat="1" ht="12.75" x14ac:dyDescent="0.2">
      <c r="A631" s="824" t="s">
        <v>654</v>
      </c>
      <c r="B631" s="825" t="s">
        <v>655</v>
      </c>
      <c r="C631" s="826">
        <v>40360</v>
      </c>
      <c r="D631" s="826">
        <v>40391</v>
      </c>
      <c r="E631" s="826">
        <v>40422</v>
      </c>
      <c r="F631" s="826">
        <v>40452</v>
      </c>
      <c r="G631" s="826">
        <v>40483</v>
      </c>
      <c r="H631" s="826">
        <v>40513</v>
      </c>
      <c r="I631" s="826">
        <v>40544</v>
      </c>
      <c r="J631" s="826">
        <v>40575</v>
      </c>
      <c r="K631" s="826">
        <v>40603</v>
      </c>
      <c r="L631" s="826">
        <v>40634</v>
      </c>
      <c r="M631" s="826">
        <v>40664</v>
      </c>
      <c r="N631" s="826">
        <v>40695</v>
      </c>
      <c r="O631" s="826">
        <v>40725</v>
      </c>
      <c r="P631" s="826">
        <v>40756</v>
      </c>
      <c r="Q631" s="826">
        <v>40787</v>
      </c>
      <c r="R631" s="826">
        <v>40817</v>
      </c>
      <c r="S631" s="826">
        <v>40848</v>
      </c>
      <c r="T631" s="826">
        <v>40878</v>
      </c>
      <c r="U631" s="826">
        <v>40909</v>
      </c>
      <c r="V631" s="826">
        <v>40940</v>
      </c>
      <c r="W631" s="826">
        <v>40969</v>
      </c>
      <c r="X631" s="826">
        <v>41000</v>
      </c>
      <c r="Y631" s="826">
        <v>41030</v>
      </c>
      <c r="Z631" s="826">
        <v>41061</v>
      </c>
      <c r="AA631" s="826">
        <v>41091</v>
      </c>
      <c r="AB631" s="826">
        <v>41122</v>
      </c>
      <c r="AC631" s="826">
        <v>41153</v>
      </c>
      <c r="AD631" s="826">
        <v>41183</v>
      </c>
      <c r="AE631" s="826">
        <v>41214</v>
      </c>
      <c r="AF631" s="826">
        <v>41244</v>
      </c>
      <c r="AG631" s="826">
        <v>41275</v>
      </c>
      <c r="AH631" s="826">
        <v>41306</v>
      </c>
      <c r="AI631" s="826">
        <v>41334</v>
      </c>
      <c r="AJ631" s="826">
        <v>41365</v>
      </c>
      <c r="AK631" s="826">
        <v>41395</v>
      </c>
      <c r="AL631" s="826">
        <v>41426</v>
      </c>
      <c r="AM631" s="826">
        <v>41456</v>
      </c>
      <c r="AN631" s="826">
        <v>41487</v>
      </c>
      <c r="AO631" s="826">
        <v>41518</v>
      </c>
      <c r="AP631" s="826">
        <v>41548</v>
      </c>
      <c r="AQ631" s="826">
        <v>41579</v>
      </c>
      <c r="AR631" s="826">
        <v>41609</v>
      </c>
      <c r="AS631" s="826">
        <v>41640</v>
      </c>
      <c r="AT631" s="826">
        <v>41671</v>
      </c>
      <c r="AU631" s="826">
        <v>41699</v>
      </c>
      <c r="AV631" s="826">
        <v>41730</v>
      </c>
      <c r="AW631" s="826">
        <v>41760</v>
      </c>
      <c r="AX631" s="826">
        <v>41791</v>
      </c>
      <c r="AY631" s="826">
        <v>41821</v>
      </c>
      <c r="AZ631" s="826">
        <v>41852</v>
      </c>
      <c r="BA631" s="826">
        <v>41883</v>
      </c>
      <c r="BB631" s="826">
        <v>41913</v>
      </c>
      <c r="BC631" s="826">
        <v>41944</v>
      </c>
      <c r="BD631" s="826">
        <v>41974</v>
      </c>
      <c r="BE631" s="826">
        <v>42005</v>
      </c>
      <c r="BF631" s="826">
        <v>42036</v>
      </c>
      <c r="BG631" s="826">
        <v>42064</v>
      </c>
      <c r="BH631" s="826">
        <v>42095</v>
      </c>
      <c r="BI631" s="826">
        <v>42125</v>
      </c>
      <c r="BJ631" s="826">
        <v>42156</v>
      </c>
      <c r="BK631" s="826">
        <v>42186</v>
      </c>
      <c r="BL631" s="826">
        <v>42217</v>
      </c>
      <c r="BM631" s="826">
        <v>42248</v>
      </c>
      <c r="BN631" s="826">
        <v>42278</v>
      </c>
      <c r="BO631" s="826">
        <v>42309</v>
      </c>
      <c r="BP631" s="826">
        <v>42339</v>
      </c>
      <c r="BQ631" s="826">
        <v>42370</v>
      </c>
      <c r="BR631" s="826">
        <v>42401</v>
      </c>
      <c r="BS631" s="826">
        <v>42430</v>
      </c>
      <c r="BT631" s="826">
        <v>42461</v>
      </c>
      <c r="BU631" s="826">
        <v>42491</v>
      </c>
      <c r="BV631" s="826">
        <v>42522</v>
      </c>
    </row>
    <row r="632" spans="1:74" s="500" customFormat="1" ht="12.75" x14ac:dyDescent="0.2">
      <c r="A632" s="827" t="s">
        <v>889</v>
      </c>
      <c r="B632" s="828" t="s">
        <v>905</v>
      </c>
      <c r="C632" s="829">
        <v>227000</v>
      </c>
      <c r="D632" s="829">
        <v>183000</v>
      </c>
      <c r="E632" s="829">
        <v>225000</v>
      </c>
      <c r="F632" s="829">
        <v>344000</v>
      </c>
      <c r="G632" s="829">
        <v>215000</v>
      </c>
      <c r="H632" s="829">
        <v>164000</v>
      </c>
      <c r="I632" s="829">
        <v>101000</v>
      </c>
      <c r="J632" s="829">
        <v>391000</v>
      </c>
      <c r="K632" s="829">
        <v>303000</v>
      </c>
      <c r="L632" s="829">
        <v>172000</v>
      </c>
      <c r="M632" s="829">
        <v>150000</v>
      </c>
      <c r="N632" s="829">
        <v>200400</v>
      </c>
      <c r="O632" s="829">
        <v>209000</v>
      </c>
      <c r="P632" s="829">
        <v>258000</v>
      </c>
      <c r="Q632" s="829">
        <v>385000</v>
      </c>
      <c r="R632" s="829">
        <v>387000</v>
      </c>
      <c r="S632" s="829">
        <v>287000</v>
      </c>
      <c r="T632" s="829">
        <v>151000</v>
      </c>
      <c r="U632" s="829">
        <v>196000</v>
      </c>
      <c r="V632" s="829">
        <v>287000</v>
      </c>
      <c r="W632" s="829">
        <v>294000</v>
      </c>
      <c r="X632" s="829">
        <v>310000</v>
      </c>
      <c r="Y632" s="829">
        <v>145000</v>
      </c>
      <c r="Z632" s="829">
        <v>210000</v>
      </c>
      <c r="AA632" s="829">
        <v>278000</v>
      </c>
      <c r="AB632" s="829">
        <v>501000</v>
      </c>
      <c r="AC632" s="829">
        <v>459000</v>
      </c>
      <c r="AD632" s="829">
        <v>439000</v>
      </c>
      <c r="AE632" s="829">
        <v>368000</v>
      </c>
      <c r="AF632" s="829">
        <v>227000</v>
      </c>
      <c r="AG632" s="829">
        <v>500000</v>
      </c>
      <c r="AH632" s="829">
        <v>275000</v>
      </c>
      <c r="AI632" s="829">
        <v>181000</v>
      </c>
      <c r="AJ632" s="829">
        <v>279000</v>
      </c>
      <c r="AK632" s="829">
        <v>200000</v>
      </c>
      <c r="AL632" s="829">
        <v>219000</v>
      </c>
      <c r="AM632" s="829">
        <v>244000</v>
      </c>
      <c r="AN632" s="829">
        <v>333000</v>
      </c>
      <c r="AO632" s="829">
        <v>427000</v>
      </c>
      <c r="AP632" s="829">
        <v>475900</v>
      </c>
      <c r="AQ632" s="829">
        <v>456359</v>
      </c>
      <c r="AR632" s="829">
        <v>390001</v>
      </c>
      <c r="AS632" s="829">
        <v>507000</v>
      </c>
      <c r="AT632" s="829">
        <v>540918</v>
      </c>
      <c r="AU632" s="829">
        <v>183918</v>
      </c>
      <c r="AV632" s="829">
        <v>228589</v>
      </c>
      <c r="AW632" s="829">
        <v>211785</v>
      </c>
      <c r="AX632" s="829">
        <v>332555.45900000003</v>
      </c>
      <c r="AY632" s="829">
        <v>156555</v>
      </c>
      <c r="AZ632" s="829">
        <v>317243</v>
      </c>
      <c r="BA632" s="829">
        <v>336965</v>
      </c>
      <c r="BB632" s="829">
        <v>237686.9999541</v>
      </c>
      <c r="BC632" s="829">
        <v>161409</v>
      </c>
      <c r="BD632" s="829">
        <v>46000</v>
      </c>
      <c r="BE632" s="829">
        <v>87000</v>
      </c>
      <c r="BF632" s="829">
        <v>105000</v>
      </c>
      <c r="BG632" s="829">
        <v>210475</v>
      </c>
      <c r="BH632" s="829">
        <v>265606</v>
      </c>
      <c r="BI632" s="829">
        <v>163212</v>
      </c>
      <c r="BJ632" s="829">
        <v>268456.9999541</v>
      </c>
      <c r="BK632" s="829">
        <v>252014</v>
      </c>
      <c r="BL632" s="829">
        <v>322375</v>
      </c>
      <c r="BM632" s="829">
        <v>368441</v>
      </c>
      <c r="BN632" s="829">
        <v>253901</v>
      </c>
      <c r="BO632" s="829">
        <v>185426</v>
      </c>
      <c r="BP632" s="829">
        <v>92000</v>
      </c>
      <c r="BQ632" s="829">
        <v>603000</v>
      </c>
      <c r="BR632" s="829">
        <v>290000</v>
      </c>
      <c r="BS632" s="829">
        <v>231245</v>
      </c>
      <c r="BT632" s="829">
        <v>300786</v>
      </c>
      <c r="BU632" s="829">
        <v>189327</v>
      </c>
      <c r="BV632" s="829">
        <v>314358</v>
      </c>
    </row>
    <row r="633" spans="1:74" s="500" customFormat="1" ht="12.75" customHeight="1" x14ac:dyDescent="0.2">
      <c r="A633" s="830">
        <v>315</v>
      </c>
      <c r="B633" s="831" t="s">
        <v>906</v>
      </c>
      <c r="C633" s="832">
        <v>20000</v>
      </c>
      <c r="D633" s="832">
        <v>83000</v>
      </c>
      <c r="E633" s="832">
        <v>139000</v>
      </c>
      <c r="F633" s="832">
        <v>174000</v>
      </c>
      <c r="G633" s="832">
        <v>119000</v>
      </c>
      <c r="H633" s="832">
        <v>108000</v>
      </c>
      <c r="I633" s="832">
        <v>53000</v>
      </c>
      <c r="J633" s="832">
        <v>231000</v>
      </c>
      <c r="K633" s="832">
        <v>190000</v>
      </c>
      <c r="L633" s="832">
        <v>54000</v>
      </c>
      <c r="M633" s="832">
        <v>27000</v>
      </c>
      <c r="N633" s="832">
        <v>6000</v>
      </c>
      <c r="O633" s="832">
        <v>12000</v>
      </c>
      <c r="P633" s="832">
        <v>81000</v>
      </c>
      <c r="Q633" s="832">
        <v>174000</v>
      </c>
      <c r="R633" s="832">
        <v>147000</v>
      </c>
      <c r="S633" s="832">
        <v>146000</v>
      </c>
      <c r="T633" s="832">
        <v>93000</v>
      </c>
      <c r="U633" s="832">
        <v>112000</v>
      </c>
      <c r="V633" s="832">
        <v>196000</v>
      </c>
      <c r="W633" s="832">
        <v>164000</v>
      </c>
      <c r="X633" s="832">
        <v>158000</v>
      </c>
      <c r="Y633" s="832">
        <v>65000</v>
      </c>
      <c r="Z633" s="832">
        <v>18000</v>
      </c>
      <c r="AA633" s="832">
        <v>27000</v>
      </c>
      <c r="AB633" s="832">
        <v>114000</v>
      </c>
      <c r="AC633" s="832">
        <v>166000</v>
      </c>
      <c r="AD633" s="832">
        <v>176000</v>
      </c>
      <c r="AE633" s="832">
        <v>172000</v>
      </c>
      <c r="AF633" s="832">
        <v>77000</v>
      </c>
      <c r="AG633" s="832">
        <v>129000</v>
      </c>
      <c r="AH633" s="832">
        <v>170000</v>
      </c>
      <c r="AI633" s="832">
        <v>133000</v>
      </c>
      <c r="AJ633" s="832">
        <v>167000</v>
      </c>
      <c r="AK633" s="832">
        <v>113000</v>
      </c>
      <c r="AL633" s="832">
        <v>86000</v>
      </c>
      <c r="AM633" s="832">
        <v>150000</v>
      </c>
      <c r="AN633" s="832">
        <v>128000</v>
      </c>
      <c r="AO633" s="832">
        <v>190000</v>
      </c>
      <c r="AP633" s="832">
        <v>224300</v>
      </c>
      <c r="AQ633" s="832">
        <v>173473</v>
      </c>
      <c r="AR633" s="832">
        <v>80000</v>
      </c>
      <c r="AS633" s="832">
        <v>185000</v>
      </c>
      <c r="AT633" s="832">
        <v>190346</v>
      </c>
      <c r="AU633" s="832">
        <v>140346</v>
      </c>
      <c r="AV633" s="832">
        <v>186283</v>
      </c>
      <c r="AW633" s="832">
        <v>77895</v>
      </c>
      <c r="AX633" s="832">
        <v>33085.172999999995</v>
      </c>
      <c r="AY633" s="832">
        <v>78085</v>
      </c>
      <c r="AZ633" s="832">
        <v>159621</v>
      </c>
      <c r="BA633" s="832">
        <v>217355</v>
      </c>
      <c r="BB633" s="832">
        <v>226088.99998269998</v>
      </c>
      <c r="BC633" s="832">
        <v>160823</v>
      </c>
      <c r="BD633" s="832">
        <v>79000</v>
      </c>
      <c r="BE633" s="832">
        <v>145000</v>
      </c>
      <c r="BF633" s="832">
        <v>180000</v>
      </c>
      <c r="BG633" s="832">
        <v>144325</v>
      </c>
      <c r="BH633" s="832">
        <v>184882</v>
      </c>
      <c r="BI633" s="832">
        <v>51764</v>
      </c>
      <c r="BJ633" s="832">
        <v>63278.999982699999</v>
      </c>
      <c r="BK633" s="832">
        <v>52258</v>
      </c>
      <c r="BL633" s="832">
        <v>146625</v>
      </c>
      <c r="BM633" s="832">
        <v>200127</v>
      </c>
      <c r="BN633" s="832">
        <v>186747</v>
      </c>
      <c r="BO633" s="832">
        <v>161422</v>
      </c>
      <c r="BP633" s="832">
        <v>75000</v>
      </c>
      <c r="BQ633" s="832">
        <v>146000</v>
      </c>
      <c r="BR633" s="832">
        <v>183000</v>
      </c>
      <c r="BS633" s="832">
        <v>135515</v>
      </c>
      <c r="BT633" s="832">
        <v>196342</v>
      </c>
      <c r="BU633" s="832">
        <v>105169</v>
      </c>
      <c r="BV633" s="832">
        <v>121026</v>
      </c>
    </row>
    <row r="634" spans="1:74" s="500" customFormat="1" ht="12.75" customHeight="1" x14ac:dyDescent="0.2">
      <c r="A634" s="830" t="s">
        <v>892</v>
      </c>
      <c r="B634" s="831" t="s">
        <v>907</v>
      </c>
      <c r="C634" s="832">
        <v>0</v>
      </c>
      <c r="D634" s="832">
        <v>0</v>
      </c>
      <c r="E634" s="832">
        <v>0</v>
      </c>
      <c r="F634" s="832">
        <v>0</v>
      </c>
      <c r="G634" s="832">
        <v>0</v>
      </c>
      <c r="H634" s="832">
        <v>0</v>
      </c>
      <c r="I634" s="832">
        <v>0</v>
      </c>
      <c r="J634" s="832">
        <v>0</v>
      </c>
      <c r="K634" s="832">
        <v>0</v>
      </c>
      <c r="L634" s="832">
        <v>0</v>
      </c>
      <c r="M634" s="832">
        <v>0</v>
      </c>
      <c r="N634" s="832">
        <v>0</v>
      </c>
      <c r="O634" s="832">
        <v>0</v>
      </c>
      <c r="P634" s="832">
        <v>0</v>
      </c>
      <c r="Q634" s="832">
        <v>0</v>
      </c>
      <c r="R634" s="832">
        <v>0</v>
      </c>
      <c r="S634" s="832">
        <v>0</v>
      </c>
      <c r="T634" s="832">
        <v>0</v>
      </c>
      <c r="U634" s="832">
        <v>0</v>
      </c>
      <c r="V634" s="832">
        <v>0</v>
      </c>
      <c r="W634" s="832">
        <v>0</v>
      </c>
      <c r="X634" s="832">
        <v>0</v>
      </c>
      <c r="Y634" s="832">
        <v>0</v>
      </c>
      <c r="Z634" s="832">
        <v>5992</v>
      </c>
      <c r="AA634" s="832">
        <v>32528</v>
      </c>
      <c r="AB634" s="832">
        <v>100152</v>
      </c>
      <c r="AC634" s="832">
        <v>205440</v>
      </c>
      <c r="AD634" s="832">
        <v>208008</v>
      </c>
      <c r="AE634" s="832">
        <v>197736</v>
      </c>
      <c r="AF634" s="832">
        <v>89880</v>
      </c>
      <c r="AG634" s="832">
        <v>160072</v>
      </c>
      <c r="AH634" s="832">
        <v>212288</v>
      </c>
      <c r="AI634" s="832">
        <v>172056</v>
      </c>
      <c r="AJ634" s="832">
        <v>219136</v>
      </c>
      <c r="AK634" s="832">
        <v>77896</v>
      </c>
      <c r="AL634" s="832">
        <v>11128</v>
      </c>
      <c r="AM634" s="832">
        <v>11128</v>
      </c>
      <c r="AN634" s="832">
        <v>139528</v>
      </c>
      <c r="AO634" s="832">
        <v>218280</v>
      </c>
      <c r="AP634" s="832">
        <v>274768</v>
      </c>
      <c r="AQ634" s="832">
        <v>222064</v>
      </c>
      <c r="AR634" s="832">
        <v>95872</v>
      </c>
      <c r="AS634" s="832">
        <v>182328</v>
      </c>
      <c r="AT634" s="832">
        <v>224152</v>
      </c>
      <c r="AU634" s="832">
        <v>172792</v>
      </c>
      <c r="AV634" s="832">
        <v>245264</v>
      </c>
      <c r="AW634" s="832">
        <v>117648</v>
      </c>
      <c r="AX634" s="832">
        <v>78184.368000000002</v>
      </c>
      <c r="AY634" s="832">
        <v>95304</v>
      </c>
      <c r="AZ634" s="832">
        <v>233136</v>
      </c>
      <c r="BA634" s="832">
        <v>314680</v>
      </c>
      <c r="BB634" s="832">
        <v>307223.99996320001</v>
      </c>
      <c r="BC634" s="832">
        <v>239768</v>
      </c>
      <c r="BD634" s="832">
        <v>115000</v>
      </c>
      <c r="BE634" s="832">
        <v>229000</v>
      </c>
      <c r="BF634" s="832">
        <v>308000</v>
      </c>
      <c r="BG634" s="832">
        <v>400200</v>
      </c>
      <c r="BH634" s="832">
        <v>342512</v>
      </c>
      <c r="BI634" s="832">
        <v>79024</v>
      </c>
      <c r="BJ634" s="832">
        <v>74263.999963199996</v>
      </c>
      <c r="BK634" s="832">
        <v>98728</v>
      </c>
      <c r="BL634" s="832">
        <v>214000</v>
      </c>
      <c r="BM634" s="832">
        <v>289432</v>
      </c>
      <c r="BN634" s="832">
        <v>263352</v>
      </c>
      <c r="BO634" s="832">
        <v>217152</v>
      </c>
      <c r="BP634" s="832">
        <v>96000</v>
      </c>
      <c r="BQ634" s="832">
        <v>201000</v>
      </c>
      <c r="BR634" s="832">
        <v>258000</v>
      </c>
      <c r="BS634" s="832">
        <v>203240</v>
      </c>
      <c r="BT634" s="832">
        <v>310872</v>
      </c>
      <c r="BU634" s="832">
        <v>123504</v>
      </c>
      <c r="BV634" s="832">
        <v>88616</v>
      </c>
    </row>
    <row r="635" spans="1:74" s="501" customFormat="1" ht="12.75" x14ac:dyDescent="0.2">
      <c r="A635" s="833" t="s">
        <v>889</v>
      </c>
      <c r="B635" s="834" t="s">
        <v>908</v>
      </c>
      <c r="C635" s="835">
        <v>2093.02</v>
      </c>
      <c r="D635" s="835">
        <v>1370.77</v>
      </c>
      <c r="E635" s="835">
        <v>1567.19</v>
      </c>
      <c r="F635" s="835">
        <v>2355.1999999999998</v>
      </c>
      <c r="G635" s="835">
        <v>1751.58</v>
      </c>
      <c r="H635" s="835">
        <v>1112.4000000000001</v>
      </c>
      <c r="I635" s="835">
        <v>702.31999999999994</v>
      </c>
      <c r="J635" s="835">
        <v>2027.6100000000001</v>
      </c>
      <c r="K635" s="835">
        <v>1806.48</v>
      </c>
      <c r="L635" s="835">
        <v>1939.76</v>
      </c>
      <c r="M635" s="835">
        <v>1447.9500000000003</v>
      </c>
      <c r="N635" s="835">
        <v>1348.3600000000001</v>
      </c>
      <c r="O635" s="835">
        <v>1842.05</v>
      </c>
      <c r="P635" s="835">
        <v>1678.25</v>
      </c>
      <c r="Q635" s="835">
        <v>2296</v>
      </c>
      <c r="R635" s="835">
        <v>3225.7000000000003</v>
      </c>
      <c r="S635" s="835">
        <v>3158.8</v>
      </c>
      <c r="T635" s="835">
        <v>2030.4</v>
      </c>
      <c r="U635" s="835">
        <v>1351.5</v>
      </c>
      <c r="V635" s="835">
        <v>1658.65</v>
      </c>
      <c r="W635" s="835">
        <v>2290.3000000000002</v>
      </c>
      <c r="X635" s="835">
        <v>3059.25</v>
      </c>
      <c r="Y635" s="835">
        <v>2194.5</v>
      </c>
      <c r="Z635" s="835">
        <v>2112</v>
      </c>
      <c r="AA635" s="835">
        <v>1325.3</v>
      </c>
      <c r="AB635" s="835">
        <v>2441.1</v>
      </c>
      <c r="AC635" s="835">
        <v>4465.2</v>
      </c>
      <c r="AD635" s="835">
        <v>3722.6</v>
      </c>
      <c r="AE635" s="835">
        <v>3126.7</v>
      </c>
      <c r="AF635" s="835">
        <v>2551.6999999999998</v>
      </c>
      <c r="AG635" s="835">
        <v>2913.5</v>
      </c>
      <c r="AH635" s="835">
        <v>2847</v>
      </c>
      <c r="AI635" s="835">
        <v>2453.6999999999998</v>
      </c>
      <c r="AJ635" s="835">
        <v>2472.6</v>
      </c>
      <c r="AK635" s="835">
        <v>3117.5</v>
      </c>
      <c r="AL635" s="835">
        <v>2551.5</v>
      </c>
      <c r="AM635" s="835">
        <v>3401.1000000000004</v>
      </c>
      <c r="AN635" s="835">
        <v>3105.9</v>
      </c>
      <c r="AO635" s="835">
        <v>3993.7</v>
      </c>
      <c r="AP635" s="835">
        <v>4651.87</v>
      </c>
      <c r="AQ635" s="835">
        <v>5036.2026999999998</v>
      </c>
      <c r="AR635" s="835">
        <v>5584.5</v>
      </c>
      <c r="AS635" s="835">
        <v>5330.1</v>
      </c>
      <c r="AT635" s="835">
        <v>6721.4669999999996</v>
      </c>
      <c r="AU635" s="835">
        <v>3878.9670000000001</v>
      </c>
      <c r="AV635" s="835">
        <v>2495.0340000000001</v>
      </c>
      <c r="AW635" s="835">
        <v>2707.6379999999999</v>
      </c>
      <c r="AX635" s="835">
        <v>4023.6185000000005</v>
      </c>
      <c r="AY635" s="835">
        <v>2575.6530000000002</v>
      </c>
      <c r="AZ635" s="835">
        <v>2496.5934999999999</v>
      </c>
      <c r="BA635" s="835">
        <v>2933.1089999999999</v>
      </c>
      <c r="BB635" s="835">
        <v>4512.8395</v>
      </c>
      <c r="BC635" s="835">
        <v>3101.9265999999998</v>
      </c>
      <c r="BD635" s="835">
        <v>1851.3</v>
      </c>
      <c r="BE635" s="835">
        <v>918.7</v>
      </c>
      <c r="BF635" s="835">
        <v>1789</v>
      </c>
      <c r="BG635" s="835">
        <v>2180.1849999999999</v>
      </c>
      <c r="BH635" s="835">
        <v>2829.9542000000001</v>
      </c>
      <c r="BI635" s="835">
        <v>2685.5567999999998</v>
      </c>
      <c r="BJ635" s="835">
        <v>2739.3532999999998</v>
      </c>
      <c r="BK635" s="835">
        <v>2611.6671999999999</v>
      </c>
      <c r="BL635" s="835">
        <v>2612.7125000000001</v>
      </c>
      <c r="BM635" s="835">
        <v>2888.6670999999997</v>
      </c>
      <c r="BN635" s="835">
        <v>4002.3674000000001</v>
      </c>
      <c r="BO635" s="835">
        <v>2559.3004000000001</v>
      </c>
      <c r="BP635" s="835">
        <v>1803.9</v>
      </c>
      <c r="BQ635" s="835">
        <v>2809.4</v>
      </c>
      <c r="BR635" s="835">
        <v>2093.5</v>
      </c>
      <c r="BS635" s="835">
        <v>2539.4740000000002</v>
      </c>
      <c r="BT635" s="835">
        <v>2435.2510000000002</v>
      </c>
      <c r="BU635" s="835">
        <v>3124.9236000000001</v>
      </c>
      <c r="BV635" s="835">
        <v>3712.1714000000002</v>
      </c>
    </row>
    <row r="636" spans="1:74" s="500" customFormat="1" ht="12.75" x14ac:dyDescent="0.2">
      <c r="A636" s="833">
        <v>315</v>
      </c>
      <c r="B636" s="834" t="s">
        <v>909</v>
      </c>
      <c r="C636" s="835">
        <v>91.64</v>
      </c>
      <c r="D636" s="835">
        <v>273.77</v>
      </c>
      <c r="E636" s="835">
        <v>1081.3800000000001</v>
      </c>
      <c r="F636" s="835">
        <v>1295.1600000000001</v>
      </c>
      <c r="G636" s="835">
        <v>1062.99</v>
      </c>
      <c r="H636" s="835">
        <v>859.46</v>
      </c>
      <c r="I636" s="835">
        <v>529.02</v>
      </c>
      <c r="J636" s="835">
        <v>1387.37</v>
      </c>
      <c r="K636" s="835">
        <v>1148.25</v>
      </c>
      <c r="L636" s="835">
        <v>1097.17</v>
      </c>
      <c r="M636" s="835">
        <v>662.24</v>
      </c>
      <c r="N636" s="835">
        <v>199.4</v>
      </c>
      <c r="O636" s="835">
        <v>114.9</v>
      </c>
      <c r="P636" s="835">
        <v>301.5</v>
      </c>
      <c r="Q636" s="835">
        <v>861.15</v>
      </c>
      <c r="R636" s="835">
        <v>1559.7</v>
      </c>
      <c r="S636" s="835">
        <v>1444.65</v>
      </c>
      <c r="T636" s="835">
        <v>1232.2</v>
      </c>
      <c r="U636" s="835">
        <v>1012.75</v>
      </c>
      <c r="V636" s="835">
        <v>1203.2</v>
      </c>
      <c r="W636" s="835">
        <v>1681.8</v>
      </c>
      <c r="X636" s="835">
        <v>1794.6</v>
      </c>
      <c r="Y636" s="835">
        <v>1224.5</v>
      </c>
      <c r="Z636" s="835">
        <v>535.15</v>
      </c>
      <c r="AA636" s="835">
        <v>221.45</v>
      </c>
      <c r="AB636" s="835">
        <v>602.15</v>
      </c>
      <c r="AC636" s="835">
        <v>1095.55</v>
      </c>
      <c r="AD636" s="835">
        <v>1536.15</v>
      </c>
      <c r="AE636" s="835">
        <v>1584.55</v>
      </c>
      <c r="AF636" s="835">
        <v>1415.95</v>
      </c>
      <c r="AG636" s="835">
        <v>969.05</v>
      </c>
      <c r="AH636" s="835">
        <v>1568.75</v>
      </c>
      <c r="AI636" s="835">
        <v>1608.35</v>
      </c>
      <c r="AJ636" s="835">
        <v>1646.05</v>
      </c>
      <c r="AK636" s="835">
        <v>1822.75</v>
      </c>
      <c r="AL636" s="835">
        <v>1223.75</v>
      </c>
      <c r="AM636" s="835">
        <v>1805.75</v>
      </c>
      <c r="AN636" s="835">
        <v>1544.15</v>
      </c>
      <c r="AO636" s="835">
        <v>1671.75</v>
      </c>
      <c r="AP636" s="835">
        <v>2134.2399999999998</v>
      </c>
      <c r="AQ636" s="835">
        <v>2191.1569</v>
      </c>
      <c r="AR636" s="835">
        <v>1597.75</v>
      </c>
      <c r="AS636" s="835">
        <v>1582.75</v>
      </c>
      <c r="AT636" s="835">
        <v>2376.9989999999998</v>
      </c>
      <c r="AU636" s="835">
        <v>2081.9989999999998</v>
      </c>
      <c r="AV636" s="835">
        <v>1987.4480000000001</v>
      </c>
      <c r="AW636" s="835">
        <v>1603.4360000000001</v>
      </c>
      <c r="AX636" s="835">
        <v>599.41949999999997</v>
      </c>
      <c r="AY636" s="835">
        <v>440.44100000000003</v>
      </c>
      <c r="AZ636" s="835">
        <v>1092.0445</v>
      </c>
      <c r="BA636" s="835">
        <v>1432.873</v>
      </c>
      <c r="BB636" s="835">
        <v>3212.0065</v>
      </c>
      <c r="BC636" s="835">
        <v>2584.3401999999996</v>
      </c>
      <c r="BD636" s="835">
        <v>1804.45</v>
      </c>
      <c r="BE636" s="835">
        <v>1124.25</v>
      </c>
      <c r="BF636" s="835">
        <v>2339.75</v>
      </c>
      <c r="BG636" s="835">
        <v>1863.145</v>
      </c>
      <c r="BH636" s="835">
        <v>1993.0773999999999</v>
      </c>
      <c r="BI636" s="835">
        <v>1524.0396000000001</v>
      </c>
      <c r="BJ636" s="835">
        <v>725.87509999999997</v>
      </c>
      <c r="BK636" s="835">
        <v>553.83839999999998</v>
      </c>
      <c r="BL636" s="835">
        <v>835.98749999999995</v>
      </c>
      <c r="BM636" s="835">
        <v>1462.8937000000001</v>
      </c>
      <c r="BN636" s="835">
        <v>2601.4277999999999</v>
      </c>
      <c r="BO636" s="835">
        <v>2071.6788000000001</v>
      </c>
      <c r="BP636" s="835">
        <v>1566</v>
      </c>
      <c r="BQ636" s="835">
        <v>1072.3</v>
      </c>
      <c r="BR636" s="835">
        <v>1747.6</v>
      </c>
      <c r="BS636" s="835">
        <v>1924.1779999999999</v>
      </c>
      <c r="BT636" s="835">
        <v>1536.1970000000001</v>
      </c>
      <c r="BU636" s="835">
        <v>1960.6491999999998</v>
      </c>
      <c r="BV636" s="835">
        <v>1658.5157999999999</v>
      </c>
    </row>
    <row r="637" spans="1:74" s="500" customFormat="1" ht="12.75" x14ac:dyDescent="0.2">
      <c r="A637" s="833" t="s">
        <v>892</v>
      </c>
      <c r="B637" s="834" t="s">
        <v>910</v>
      </c>
      <c r="C637" s="835">
        <v>0</v>
      </c>
      <c r="D637" s="835">
        <v>0</v>
      </c>
      <c r="E637" s="835">
        <v>0</v>
      </c>
      <c r="F637" s="835">
        <v>0</v>
      </c>
      <c r="G637" s="835">
        <v>0</v>
      </c>
      <c r="H637" s="835">
        <v>0</v>
      </c>
      <c r="I637" s="835">
        <v>0</v>
      </c>
      <c r="J637" s="835">
        <v>0</v>
      </c>
      <c r="K637" s="835">
        <v>0</v>
      </c>
      <c r="L637" s="835">
        <v>0</v>
      </c>
      <c r="M637" s="835">
        <v>0</v>
      </c>
      <c r="N637" s="835">
        <v>0</v>
      </c>
      <c r="O637" s="835">
        <v>0</v>
      </c>
      <c r="P637" s="835">
        <v>0</v>
      </c>
      <c r="Q637" s="835">
        <v>0</v>
      </c>
      <c r="R637" s="835">
        <v>0</v>
      </c>
      <c r="S637" s="835">
        <v>0</v>
      </c>
      <c r="T637" s="835">
        <v>0</v>
      </c>
      <c r="U637" s="835">
        <v>0</v>
      </c>
      <c r="V637" s="835">
        <v>0</v>
      </c>
      <c r="W637" s="835">
        <v>0</v>
      </c>
      <c r="X637" s="835">
        <v>0</v>
      </c>
      <c r="Y637" s="835">
        <v>0</v>
      </c>
      <c r="Z637" s="835">
        <v>43.74</v>
      </c>
      <c r="AA637" s="835">
        <v>100.84</v>
      </c>
      <c r="AB637" s="835">
        <v>2320.58</v>
      </c>
      <c r="AC637" s="835">
        <v>6556.74</v>
      </c>
      <c r="AD637" s="835">
        <v>603.22</v>
      </c>
      <c r="AE637" s="835">
        <v>573.42999999999995</v>
      </c>
      <c r="AF637" s="835">
        <v>413.45</v>
      </c>
      <c r="AG637" s="835">
        <v>592.27</v>
      </c>
      <c r="AH637" s="835">
        <v>955.3</v>
      </c>
      <c r="AI637" s="835">
        <v>722.64</v>
      </c>
      <c r="AJ637" s="835">
        <v>1604.6999999999998</v>
      </c>
      <c r="AK637" s="835">
        <v>1894.11</v>
      </c>
      <c r="AL637" s="835">
        <v>568.16999999999996</v>
      </c>
      <c r="AM637" s="835">
        <v>194.27</v>
      </c>
      <c r="AN637" s="835">
        <v>770.52</v>
      </c>
      <c r="AO637" s="835">
        <v>1875.2800000000002</v>
      </c>
      <c r="AP637" s="835">
        <v>2525.21</v>
      </c>
      <c r="AQ637" s="835">
        <v>2638.7703999999999</v>
      </c>
      <c r="AR637" s="835">
        <v>1900.79</v>
      </c>
      <c r="AS637" s="835">
        <v>1666.76</v>
      </c>
      <c r="AT637" s="835">
        <v>2584.9740000000002</v>
      </c>
      <c r="AU637" s="835">
        <v>2497.6640000000002</v>
      </c>
      <c r="AV637" s="835">
        <v>2537.9479999999999</v>
      </c>
      <c r="AW637" s="835">
        <v>2148.846</v>
      </c>
      <c r="AX637" s="835">
        <v>1009.8219999999999</v>
      </c>
      <c r="AY637" s="835">
        <v>633.346</v>
      </c>
      <c r="AZ637" s="835">
        <v>1406.8620000000001</v>
      </c>
      <c r="BA637" s="835">
        <v>1949.4179999999999</v>
      </c>
      <c r="BB637" s="835">
        <v>4373.1539999999995</v>
      </c>
      <c r="BC637" s="835">
        <v>3588.0332000000003</v>
      </c>
      <c r="BD637" s="835">
        <v>2602.75</v>
      </c>
      <c r="BE637" s="835">
        <v>1725.65</v>
      </c>
      <c r="BF637" s="835">
        <v>3868.55</v>
      </c>
      <c r="BG637" s="835">
        <v>3882.1699999999996</v>
      </c>
      <c r="BH637" s="835">
        <v>4533.0684000000001</v>
      </c>
      <c r="BI637" s="835">
        <v>2690.0036</v>
      </c>
      <c r="BJ637" s="835">
        <v>902.67160000000013</v>
      </c>
      <c r="BK637" s="835">
        <v>702.39440000000002</v>
      </c>
      <c r="BL637" s="835">
        <v>1252.7</v>
      </c>
      <c r="BM637" s="835">
        <v>2029.2392</v>
      </c>
      <c r="BN637" s="835">
        <v>3633.3047999999999</v>
      </c>
      <c r="BO637" s="835">
        <v>2831.1208000000001</v>
      </c>
      <c r="BP637" s="835">
        <v>2061.1999999999998</v>
      </c>
      <c r="BQ637" s="835">
        <v>1427.8000000000002</v>
      </c>
      <c r="BR637" s="835">
        <v>2430.1</v>
      </c>
      <c r="BS637" s="835">
        <v>2773.848</v>
      </c>
      <c r="BT637" s="835">
        <v>2317.5520000000001</v>
      </c>
      <c r="BU637" s="835">
        <v>2771.3271999999997</v>
      </c>
      <c r="BV637" s="835">
        <v>1451.5128</v>
      </c>
    </row>
    <row r="638" spans="1:74" ht="13.9" customHeight="1" x14ac:dyDescent="0.25"/>
    <row r="639" spans="1:74" s="128" customFormat="1" ht="16.149999999999999" customHeight="1" x14ac:dyDescent="0.35">
      <c r="A639" s="459">
        <v>36</v>
      </c>
      <c r="B639" s="127" t="s">
        <v>617</v>
      </c>
      <c r="C639" s="613"/>
      <c r="D639" s="177"/>
      <c r="E639" s="177"/>
      <c r="F639" s="177"/>
      <c r="G639" s="177"/>
      <c r="H639" s="177"/>
      <c r="I639" s="177"/>
      <c r="J639" s="177"/>
      <c r="K639" s="177"/>
      <c r="L639" s="177"/>
      <c r="M639" s="177"/>
      <c r="N639" s="177"/>
      <c r="O639" s="177"/>
      <c r="R639" s="1261"/>
      <c r="S639" s="1262"/>
      <c r="T639" s="127" t="s">
        <v>617</v>
      </c>
      <c r="U639" s="1263"/>
      <c r="V639" s="1262"/>
      <c r="Y639" s="166"/>
      <c r="Z639" s="166"/>
    </row>
    <row r="641" spans="1:26" s="125" customFormat="1" ht="16.5" x14ac:dyDescent="0.35">
      <c r="A641" s="461">
        <v>37</v>
      </c>
      <c r="B641" s="127" t="s">
        <v>618</v>
      </c>
      <c r="C641" s="611"/>
      <c r="D641" s="179"/>
      <c r="E641" s="179"/>
      <c r="F641" s="179"/>
      <c r="G641" s="179"/>
      <c r="H641" s="179"/>
      <c r="I641" s="179"/>
      <c r="J641" s="179"/>
      <c r="K641" s="179"/>
      <c r="L641" s="179"/>
      <c r="M641" s="179"/>
      <c r="N641" s="179"/>
      <c r="O641" s="179"/>
      <c r="R641" s="149"/>
      <c r="S641" s="150"/>
      <c r="T641" s="127" t="s">
        <v>618</v>
      </c>
      <c r="U641" s="181"/>
      <c r="V641" s="150"/>
      <c r="Y641" s="157"/>
      <c r="Z641" s="157"/>
    </row>
    <row r="642" spans="1:26" s="125" customFormat="1" ht="12.75" customHeight="1" x14ac:dyDescent="0.35">
      <c r="A642" s="461"/>
      <c r="B642" s="464" t="s">
        <v>1327</v>
      </c>
      <c r="C642"/>
      <c r="D642"/>
      <c r="E642"/>
      <c r="F642"/>
      <c r="G642"/>
      <c r="H642"/>
      <c r="I642"/>
      <c r="J642"/>
      <c r="K642"/>
      <c r="L642"/>
      <c r="M642"/>
      <c r="N642"/>
      <c r="O642"/>
      <c r="P642"/>
      <c r="Q642"/>
      <c r="R642" s="149"/>
      <c r="S642" s="150"/>
      <c r="T642" s="127"/>
      <c r="U642" s="181"/>
      <c r="V642" s="150"/>
      <c r="Y642" s="157"/>
      <c r="Z642" s="157"/>
    </row>
    <row r="643" spans="1:26" s="125" customFormat="1" ht="12.75" customHeight="1" x14ac:dyDescent="0.35">
      <c r="A643" s="461"/>
      <c r="B643" s="465" t="s">
        <v>337</v>
      </c>
      <c r="C643" s="91">
        <v>42156</v>
      </c>
      <c r="D643" s="91">
        <v>42186</v>
      </c>
      <c r="E643" s="91">
        <v>42217</v>
      </c>
      <c r="F643" s="91">
        <v>42248</v>
      </c>
      <c r="G643" s="91">
        <v>42278</v>
      </c>
      <c r="H643" s="91">
        <v>42309</v>
      </c>
      <c r="I643" s="91">
        <v>42339</v>
      </c>
      <c r="J643" s="91">
        <v>42370</v>
      </c>
      <c r="K643" s="91">
        <v>42401</v>
      </c>
      <c r="L643" s="91">
        <v>42430</v>
      </c>
      <c r="M643" s="91">
        <v>42461</v>
      </c>
      <c r="N643" s="91">
        <v>42491</v>
      </c>
      <c r="O643" s="91">
        <v>42522</v>
      </c>
      <c r="P643" s="91">
        <v>42552</v>
      </c>
      <c r="Q643" s="91">
        <v>42583</v>
      </c>
      <c r="R643" s="149"/>
      <c r="S643" s="150"/>
      <c r="T643" s="127"/>
      <c r="U643" s="181"/>
      <c r="V643" s="150"/>
      <c r="Y643" s="157"/>
      <c r="Z643" s="157"/>
    </row>
    <row r="644" spans="1:26" s="125" customFormat="1" ht="16.5" x14ac:dyDescent="0.35">
      <c r="A644" s="461"/>
      <c r="B644"/>
      <c r="C644"/>
      <c r="D644"/>
      <c r="E644"/>
      <c r="F644"/>
      <c r="G644"/>
      <c r="H644"/>
      <c r="I644"/>
      <c r="J644"/>
      <c r="K644"/>
      <c r="L644"/>
      <c r="M644"/>
      <c r="N644"/>
      <c r="O644"/>
      <c r="P644"/>
      <c r="Q644"/>
      <c r="R644" s="149"/>
      <c r="S644" s="150"/>
      <c r="T644" s="127"/>
      <c r="U644" s="181"/>
      <c r="V644" s="150"/>
      <c r="Y644" s="157"/>
      <c r="Z644" s="157"/>
    </row>
    <row r="645" spans="1:26" s="125" customFormat="1" ht="16.5" x14ac:dyDescent="0.35">
      <c r="A645" s="461"/>
      <c r="B645" s="95" t="s">
        <v>409</v>
      </c>
      <c r="C645" s="96">
        <v>71200</v>
      </c>
      <c r="D645" s="96">
        <v>77200</v>
      </c>
      <c r="E645" s="96">
        <v>67600</v>
      </c>
      <c r="F645" s="96">
        <v>68400</v>
      </c>
      <c r="G645" s="96">
        <v>81800</v>
      </c>
      <c r="H645" s="96">
        <v>67800</v>
      </c>
      <c r="I645" s="96">
        <v>84600</v>
      </c>
      <c r="J645" s="96">
        <v>87200</v>
      </c>
      <c r="K645" s="96">
        <v>81400</v>
      </c>
      <c r="L645" s="96">
        <v>83000</v>
      </c>
      <c r="M645" s="96">
        <v>85600</v>
      </c>
      <c r="N645" s="96">
        <v>78800</v>
      </c>
      <c r="O645" s="96">
        <v>74800</v>
      </c>
      <c r="P645" s="96"/>
      <c r="Q645" s="1407">
        <v>0</v>
      </c>
      <c r="R645" s="149"/>
      <c r="S645" s="150"/>
      <c r="T645" s="127"/>
      <c r="U645" s="181"/>
      <c r="V645" s="150"/>
      <c r="Y645" s="157"/>
      <c r="Z645" s="157"/>
    </row>
    <row r="646" spans="1:26" s="125" customFormat="1" ht="16.5" x14ac:dyDescent="0.35">
      <c r="A646" s="461"/>
      <c r="B646" s="95" t="s">
        <v>614</v>
      </c>
      <c r="C646" s="101">
        <v>24</v>
      </c>
      <c r="D646" s="101">
        <v>37</v>
      </c>
      <c r="E646" s="101">
        <v>20</v>
      </c>
      <c r="F646" s="101">
        <v>19</v>
      </c>
      <c r="G646" s="101">
        <v>19</v>
      </c>
      <c r="H646" s="101">
        <v>23</v>
      </c>
      <c r="I646" s="101">
        <v>25</v>
      </c>
      <c r="J646" s="101">
        <v>23</v>
      </c>
      <c r="K646" s="101">
        <v>25</v>
      </c>
      <c r="L646" s="101">
        <v>27</v>
      </c>
      <c r="M646" s="101">
        <v>28</v>
      </c>
      <c r="N646" s="101">
        <v>29</v>
      </c>
      <c r="O646" s="101">
        <v>32</v>
      </c>
      <c r="P646" s="101">
        <v>28</v>
      </c>
      <c r="Q646" s="1407">
        <v>0</v>
      </c>
      <c r="R646" s="149"/>
      <c r="S646" s="150"/>
      <c r="T646" s="127"/>
      <c r="U646" s="181"/>
      <c r="V646" s="150"/>
      <c r="Y646" s="157"/>
      <c r="Z646" s="157"/>
    </row>
    <row r="647" spans="1:26" s="125" customFormat="1" ht="16.5" x14ac:dyDescent="0.35">
      <c r="A647" s="461"/>
      <c r="B647"/>
      <c r="C647"/>
      <c r="D647"/>
      <c r="E647"/>
      <c r="F647"/>
      <c r="G647"/>
      <c r="H647"/>
      <c r="I647"/>
      <c r="J647"/>
      <c r="K647"/>
      <c r="L647"/>
      <c r="M647"/>
      <c r="N647"/>
      <c r="O647"/>
      <c r="P647"/>
      <c r="Q647" s="1408">
        <v>0</v>
      </c>
      <c r="R647" s="149"/>
      <c r="S647" s="150"/>
      <c r="T647" s="127"/>
      <c r="U647" s="181"/>
      <c r="V647" s="150"/>
      <c r="Y647" s="157"/>
      <c r="Z647" s="157"/>
    </row>
    <row r="648" spans="1:26" s="125" customFormat="1" ht="16.5" x14ac:dyDescent="0.35">
      <c r="A648" s="461"/>
      <c r="B648" s="95" t="s">
        <v>347</v>
      </c>
      <c r="C648" s="109">
        <v>6484.38</v>
      </c>
      <c r="D648" s="109">
        <v>6845.41</v>
      </c>
      <c r="E648" s="109">
        <v>6114.04</v>
      </c>
      <c r="F648" s="109">
        <v>6267.63</v>
      </c>
      <c r="G648" s="109">
        <v>7319.38</v>
      </c>
      <c r="H648" s="109">
        <v>6252.8</v>
      </c>
      <c r="I648" s="109">
        <v>7471.3</v>
      </c>
      <c r="J648" s="109">
        <v>7540.61</v>
      </c>
      <c r="K648" s="109">
        <v>7276.39</v>
      </c>
      <c r="L648" s="109">
        <v>7457.85</v>
      </c>
      <c r="M648" s="109">
        <v>7520.86</v>
      </c>
      <c r="N648" s="109">
        <v>7030.4</v>
      </c>
      <c r="O648" s="109">
        <v>6664.63</v>
      </c>
      <c r="P648" s="109"/>
      <c r="Q648" s="1409">
        <v>0</v>
      </c>
      <c r="R648" s="149"/>
      <c r="S648" s="150"/>
      <c r="T648" s="127"/>
      <c r="U648" s="181"/>
      <c r="V648" s="150"/>
      <c r="Y648" s="157"/>
      <c r="Z648" s="157"/>
    </row>
    <row r="649" spans="1:26" s="125" customFormat="1" ht="16.5" x14ac:dyDescent="0.35">
      <c r="A649" s="461"/>
      <c r="B649" s="112" t="s">
        <v>410</v>
      </c>
      <c r="C649" s="113">
        <v>431.71</v>
      </c>
      <c r="D649" s="113">
        <v>550.57000000000005</v>
      </c>
      <c r="E649" s="113">
        <v>423.54</v>
      </c>
      <c r="F649" s="113">
        <v>416.07</v>
      </c>
      <c r="G649" s="113">
        <v>416.07</v>
      </c>
      <c r="H649" s="113">
        <v>445.96</v>
      </c>
      <c r="I649" s="113">
        <v>460.91</v>
      </c>
      <c r="J649" s="113">
        <v>445.96</v>
      </c>
      <c r="K649" s="113">
        <v>460.91</v>
      </c>
      <c r="L649" s="113">
        <v>475.85</v>
      </c>
      <c r="M649" s="113">
        <v>483.32</v>
      </c>
      <c r="N649" s="113">
        <v>490.79</v>
      </c>
      <c r="O649" s="113">
        <v>513.21</v>
      </c>
      <c r="P649" s="113">
        <v>535.54999999999995</v>
      </c>
      <c r="Q649" s="1407">
        <v>0</v>
      </c>
      <c r="R649" s="149"/>
      <c r="S649" s="150"/>
      <c r="T649" s="127"/>
      <c r="U649" s="181"/>
      <c r="V649" s="150"/>
      <c r="Y649" s="157"/>
      <c r="Z649" s="157"/>
    </row>
    <row r="651" spans="1:26" s="128" customFormat="1" ht="12.75" customHeight="1" x14ac:dyDescent="0.25">
      <c r="A651" s="459">
        <v>38</v>
      </c>
      <c r="B651" s="127" t="s">
        <v>621</v>
      </c>
      <c r="C651" s="173"/>
      <c r="S651" s="129"/>
      <c r="T651" s="127" t="s">
        <v>621</v>
      </c>
      <c r="V651" s="129"/>
      <c r="Y651" s="166"/>
      <c r="Z651" s="166"/>
    </row>
    <row r="652" spans="1:26" ht="12.75" customHeight="1" x14ac:dyDescent="0.25"/>
    <row r="653" spans="1:26" s="125" customFormat="1" ht="16.5" x14ac:dyDescent="0.35">
      <c r="A653" s="461">
        <v>39</v>
      </c>
      <c r="B653" s="127" t="s">
        <v>622</v>
      </c>
      <c r="C653" s="611"/>
      <c r="D653" s="179"/>
      <c r="E653" s="179"/>
      <c r="F653" s="179"/>
      <c r="G653" s="179"/>
      <c r="H653" s="179"/>
      <c r="I653" s="179"/>
      <c r="J653" s="179"/>
      <c r="K653" s="179"/>
      <c r="L653" s="179"/>
      <c r="M653" s="179"/>
      <c r="N653" s="179"/>
      <c r="O653" s="179"/>
      <c r="R653" s="149"/>
      <c r="S653" s="150"/>
      <c r="T653" s="127" t="s">
        <v>622</v>
      </c>
      <c r="U653" s="181"/>
      <c r="V653" s="150"/>
      <c r="Y653" s="157"/>
      <c r="Z653" s="157"/>
    </row>
    <row r="655" spans="1:26" s="128" customFormat="1" x14ac:dyDescent="0.25">
      <c r="A655" s="459">
        <v>40</v>
      </c>
      <c r="B655" s="127" t="s">
        <v>623</v>
      </c>
      <c r="C655" s="602"/>
      <c r="T655" s="127" t="s">
        <v>623</v>
      </c>
      <c r="U655" s="129"/>
      <c r="X655" s="129"/>
      <c r="Y655" s="166"/>
      <c r="Z655" s="166"/>
    </row>
    <row r="656" spans="1:26" s="128" customFormat="1" x14ac:dyDescent="0.25">
      <c r="A656" s="462"/>
      <c r="B656" s="666" t="s">
        <v>1222</v>
      </c>
      <c r="C656" s="497"/>
      <c r="D656"/>
      <c r="E656"/>
      <c r="F656"/>
      <c r="G656"/>
      <c r="H656"/>
      <c r="I656"/>
      <c r="J656"/>
      <c r="K656"/>
      <c r="L656"/>
      <c r="M656"/>
      <c r="N656"/>
      <c r="O656"/>
      <c r="P656"/>
      <c r="T656" s="127"/>
      <c r="U656" s="129"/>
      <c r="X656" s="129"/>
      <c r="Y656" s="166"/>
      <c r="Z656" s="166"/>
    </row>
    <row r="657" spans="1:26" s="128" customFormat="1" x14ac:dyDescent="0.25">
      <c r="A657" s="461"/>
      <c r="B657" s="130" t="s">
        <v>337</v>
      </c>
      <c r="C657" s="186"/>
      <c r="D657" s="131">
        <v>42186</v>
      </c>
      <c r="E657" s="131">
        <v>42217</v>
      </c>
      <c r="F657" s="131">
        <v>42248</v>
      </c>
      <c r="G657" s="131">
        <v>42278</v>
      </c>
      <c r="H657" s="131">
        <v>42309</v>
      </c>
      <c r="I657" s="131">
        <v>42339</v>
      </c>
      <c r="J657" s="131">
        <v>42370</v>
      </c>
      <c r="K657" s="131">
        <v>42401</v>
      </c>
      <c r="L657" s="131">
        <v>42430</v>
      </c>
      <c r="M657" s="131">
        <v>42461</v>
      </c>
      <c r="N657" s="131">
        <v>42491</v>
      </c>
      <c r="O657" s="131">
        <v>42522</v>
      </c>
      <c r="P657" s="131"/>
      <c r="T657" s="127"/>
      <c r="U657" s="129"/>
      <c r="X657" s="129"/>
      <c r="Y657" s="166"/>
      <c r="Z657" s="166"/>
    </row>
    <row r="658" spans="1:26" s="128" customFormat="1" ht="26.25" x14ac:dyDescent="0.25">
      <c r="A658" s="461"/>
      <c r="B658" s="1271" t="s">
        <v>1362</v>
      </c>
      <c r="C658" s="1511"/>
      <c r="D658" s="1274">
        <v>68049</v>
      </c>
      <c r="E658" s="1274">
        <v>94819</v>
      </c>
      <c r="F658" s="1274">
        <v>105441</v>
      </c>
      <c r="G658" s="1274">
        <v>110223</v>
      </c>
      <c r="H658" s="1274">
        <v>95645</v>
      </c>
      <c r="I658" s="1274">
        <v>74913</v>
      </c>
      <c r="J658" s="1274">
        <v>102885</v>
      </c>
      <c r="K658" s="1274">
        <v>104979</v>
      </c>
      <c r="L658" s="1274">
        <v>103536</v>
      </c>
      <c r="M658" s="1274">
        <v>106757</v>
      </c>
      <c r="N658" s="1274">
        <v>64417</v>
      </c>
      <c r="O658" s="1274">
        <v>69747</v>
      </c>
      <c r="P658" s="136"/>
      <c r="T658" s="127"/>
      <c r="U658" s="129"/>
      <c r="X658" s="129"/>
      <c r="Y658" s="166"/>
      <c r="Z658" s="166"/>
    </row>
    <row r="659" spans="1:26" s="128" customFormat="1" ht="39" x14ac:dyDescent="0.25">
      <c r="A659" s="461"/>
      <c r="B659" s="1276" t="s">
        <v>1224</v>
      </c>
      <c r="C659" s="1512"/>
      <c r="D659" s="1513">
        <v>0</v>
      </c>
      <c r="E659" s="1513">
        <v>0</v>
      </c>
      <c r="F659" s="1513">
        <v>0</v>
      </c>
      <c r="G659" s="1513">
        <v>0</v>
      </c>
      <c r="H659" s="1513">
        <v>0</v>
      </c>
      <c r="I659" s="1279">
        <v>7394.5530000000008</v>
      </c>
      <c r="J659" s="1279">
        <v>9386.719000000001</v>
      </c>
      <c r="K659" s="1279">
        <v>7926.5830000000005</v>
      </c>
      <c r="L659" s="1279">
        <v>7099.1559999999999</v>
      </c>
      <c r="M659" s="1279">
        <v>5846.0219999999999</v>
      </c>
      <c r="N659" s="1279">
        <v>2908.0710000000004</v>
      </c>
      <c r="O659" s="1513">
        <v>0</v>
      </c>
      <c r="P659" s="770"/>
      <c r="T659" s="127"/>
      <c r="U659" s="129"/>
      <c r="X659" s="129"/>
      <c r="Y659" s="166"/>
      <c r="Z659" s="166"/>
    </row>
    <row r="660" spans="1:26" s="128" customFormat="1" ht="12.75" customHeight="1" x14ac:dyDescent="0.25">
      <c r="A660" s="461"/>
      <c r="B660" s="1280" t="s">
        <v>1225</v>
      </c>
      <c r="C660" s="1514"/>
      <c r="D660" s="1283">
        <v>124193.43089999999</v>
      </c>
      <c r="E660" s="1283">
        <v>144505.69209999999</v>
      </c>
      <c r="F660" s="1283">
        <v>109863.1534</v>
      </c>
      <c r="G660" s="1283">
        <v>63533.9859</v>
      </c>
      <c r="H660" s="1283">
        <v>42945.055999999997</v>
      </c>
      <c r="I660" s="1283">
        <v>59940.865599999997</v>
      </c>
      <c r="J660" s="1283">
        <v>56182.726600000002</v>
      </c>
      <c r="K660" s="1283">
        <v>88921.186199999996</v>
      </c>
      <c r="L660" s="1283">
        <v>75964.873600000006</v>
      </c>
      <c r="M660" s="1283">
        <v>138779.1636</v>
      </c>
      <c r="N660" s="1283">
        <v>115908.7776</v>
      </c>
      <c r="O660" s="1283">
        <v>144395.1586</v>
      </c>
      <c r="P660" s="770"/>
      <c r="T660" s="127"/>
      <c r="U660" s="129"/>
      <c r="X660" s="129"/>
      <c r="Y660" s="166"/>
      <c r="Z660" s="166"/>
    </row>
    <row r="661" spans="1:26" s="128" customFormat="1" ht="12.75" customHeight="1" x14ac:dyDescent="0.25">
      <c r="A661" s="461"/>
      <c r="B661" s="1284" t="s">
        <v>1226</v>
      </c>
      <c r="C661" s="1515"/>
      <c r="D661" s="1516">
        <v>2270</v>
      </c>
      <c r="E661" s="1516">
        <v>1660</v>
      </c>
      <c r="F661" s="1516">
        <v>2451</v>
      </c>
      <c r="G661" s="1516">
        <v>2683</v>
      </c>
      <c r="H661" s="1516">
        <v>2616</v>
      </c>
      <c r="I661" s="1516">
        <v>866</v>
      </c>
      <c r="J661" s="1516">
        <v>993</v>
      </c>
      <c r="K661" s="1516">
        <v>1519</v>
      </c>
      <c r="L661" s="1516">
        <v>710</v>
      </c>
      <c r="M661" s="1516">
        <v>640</v>
      </c>
      <c r="N661" s="1516">
        <v>1246</v>
      </c>
      <c r="O661" s="1516">
        <v>1849</v>
      </c>
      <c r="P661" s="770"/>
      <c r="T661" s="127"/>
      <c r="U661" s="129"/>
      <c r="X661" s="129"/>
      <c r="Y661" s="166"/>
      <c r="Z661" s="166"/>
    </row>
    <row r="662" spans="1:26" s="128" customFormat="1" x14ac:dyDescent="0.25">
      <c r="A662" s="461"/>
      <c r="B662" s="1289" t="s">
        <v>864</v>
      </c>
      <c r="C662" s="1092"/>
      <c r="D662" s="153">
        <v>23.01</v>
      </c>
      <c r="E662" s="1290">
        <v>78.56</v>
      </c>
      <c r="F662" s="1290">
        <v>101.36</v>
      </c>
      <c r="G662" s="1290">
        <v>90.88</v>
      </c>
      <c r="H662" s="1290">
        <v>89.03</v>
      </c>
      <c r="I662" s="1290">
        <v>30.44</v>
      </c>
      <c r="J662" s="1290">
        <v>79.81</v>
      </c>
      <c r="K662" s="1290">
        <v>99.14</v>
      </c>
      <c r="L662" s="1290">
        <v>47.85</v>
      </c>
      <c r="M662" s="1290">
        <v>102.66</v>
      </c>
      <c r="N662" s="1290">
        <v>32.369999999999997</v>
      </c>
      <c r="O662" s="1290">
        <v>23.2</v>
      </c>
      <c r="P662" s="1291"/>
      <c r="T662" s="127"/>
      <c r="U662" s="129"/>
      <c r="X662" s="129"/>
      <c r="Y662" s="166"/>
      <c r="Z662" s="166"/>
    </row>
    <row r="663" spans="1:26" s="128" customFormat="1" ht="51.75" x14ac:dyDescent="0.25">
      <c r="A663" s="461"/>
      <c r="B663" s="1271" t="s">
        <v>1363</v>
      </c>
      <c r="C663" s="1511"/>
      <c r="D663" s="1517">
        <v>4845.0887999999995</v>
      </c>
      <c r="E663" s="1517">
        <v>6751.1127999999999</v>
      </c>
      <c r="F663" s="1517">
        <v>7507.3991999999998</v>
      </c>
      <c r="G663" s="1517">
        <v>7847.8775999999998</v>
      </c>
      <c r="H663" s="1517">
        <v>6809.924</v>
      </c>
      <c r="I663" s="1517">
        <v>5333.8055999999997</v>
      </c>
      <c r="J663" s="1517">
        <v>7325.4120000000003</v>
      </c>
      <c r="K663" s="1517">
        <v>7474.5047999999997</v>
      </c>
      <c r="L663" s="1517">
        <v>7371.7632000000003</v>
      </c>
      <c r="M663" s="1517">
        <v>7601.0983999999999</v>
      </c>
      <c r="N663" s="1517">
        <v>4586.4903999999997</v>
      </c>
      <c r="O663" s="1517">
        <v>4965.9863999999998</v>
      </c>
      <c r="P663" s="1518"/>
      <c r="T663" s="127"/>
      <c r="U663" s="129"/>
      <c r="X663" s="129"/>
      <c r="Y663" s="166"/>
      <c r="Z663" s="166"/>
    </row>
    <row r="664" spans="1:26" s="128" customFormat="1" ht="39" x14ac:dyDescent="0.25">
      <c r="A664" s="461"/>
      <c r="B664" s="1293" t="s">
        <v>1228</v>
      </c>
      <c r="C664" s="1512"/>
      <c r="D664" s="1513">
        <v>0</v>
      </c>
      <c r="E664" s="1513">
        <v>0</v>
      </c>
      <c r="F664" s="1513">
        <v>0</v>
      </c>
      <c r="G664" s="1513">
        <v>0</v>
      </c>
      <c r="H664" s="1513">
        <v>0</v>
      </c>
      <c r="I664" s="1294">
        <v>3140.6444700000006</v>
      </c>
      <c r="J664" s="1294">
        <v>4000.4680300000005</v>
      </c>
      <c r="K664" s="1294">
        <v>3244.9455899999998</v>
      </c>
      <c r="L664" s="1294">
        <v>2574.7562800000001</v>
      </c>
      <c r="M664" s="1294">
        <v>2300.8263999999999</v>
      </c>
      <c r="N664" s="1294">
        <v>1213.8501000000001</v>
      </c>
      <c r="O664" s="1513">
        <v>0</v>
      </c>
      <c r="P664" s="1518"/>
      <c r="T664" s="127"/>
      <c r="U664" s="129"/>
      <c r="X664" s="129"/>
      <c r="Y664" s="166"/>
      <c r="Z664" s="166"/>
    </row>
    <row r="665" spans="1:26" s="128" customFormat="1" ht="51.75" x14ac:dyDescent="0.25">
      <c r="A665" s="461"/>
      <c r="B665" s="1295" t="s">
        <v>1364</v>
      </c>
      <c r="C665" s="1514"/>
      <c r="D665" s="1296">
        <v>8842.5722800799995</v>
      </c>
      <c r="E665" s="1296">
        <v>10288.805277519999</v>
      </c>
      <c r="F665" s="1296">
        <v>7822.2565220799997</v>
      </c>
      <c r="G665" s="1296">
        <v>4523.61979608</v>
      </c>
      <c r="H665" s="1296">
        <v>3057.6879872</v>
      </c>
      <c r="I665" s="1296">
        <v>4267.7896307199999</v>
      </c>
      <c r="J665" s="1296">
        <v>4000.2101339200003</v>
      </c>
      <c r="K665" s="1296">
        <v>6331.1884574400001</v>
      </c>
      <c r="L665" s="1296">
        <v>5408.6990003200008</v>
      </c>
      <c r="M665" s="1296">
        <v>9881.0764483200001</v>
      </c>
      <c r="N665" s="1296">
        <v>8252.7049651199995</v>
      </c>
      <c r="O665" s="1296">
        <v>10280.93529232</v>
      </c>
      <c r="P665" s="1518"/>
      <c r="T665" s="127"/>
      <c r="U665" s="129"/>
      <c r="X665" s="129"/>
      <c r="Y665" s="166"/>
      <c r="Z665" s="166"/>
    </row>
    <row r="666" spans="1:26" s="128" customFormat="1" ht="39" x14ac:dyDescent="0.25">
      <c r="A666" s="461"/>
      <c r="B666" s="1297" t="s">
        <v>1230</v>
      </c>
      <c r="C666" s="1519"/>
      <c r="D666" s="1520">
        <v>1612.59</v>
      </c>
      <c r="E666" s="1520">
        <v>1185.1600000000001</v>
      </c>
      <c r="F666" s="1520">
        <v>1739.42</v>
      </c>
      <c r="G666" s="1520">
        <v>1960.98</v>
      </c>
      <c r="H666" s="1520">
        <v>1814.46</v>
      </c>
      <c r="I666" s="1520">
        <v>616.04999999999995</v>
      </c>
      <c r="J666" s="1520">
        <v>685.88</v>
      </c>
      <c r="K666" s="1520">
        <v>1037.54</v>
      </c>
      <c r="L666" s="1520">
        <v>477.13</v>
      </c>
      <c r="M666" s="1520">
        <v>459.41</v>
      </c>
      <c r="N666" s="1520">
        <v>873.7</v>
      </c>
      <c r="O666" s="1520">
        <v>1291.1400000000001</v>
      </c>
      <c r="P666" s="1521"/>
      <c r="T666" s="127"/>
      <c r="U666" s="129"/>
      <c r="X666" s="129"/>
      <c r="Y666" s="166"/>
      <c r="Z666" s="166"/>
    </row>
    <row r="667" spans="1:26" s="128" customFormat="1" x14ac:dyDescent="0.2">
      <c r="A667"/>
      <c r="B667" s="1302" t="s">
        <v>328</v>
      </c>
      <c r="C667" s="441"/>
      <c r="D667" s="442">
        <v>246.91</v>
      </c>
      <c r="E667" s="442">
        <v>601.78</v>
      </c>
      <c r="F667" s="442">
        <v>735.99</v>
      </c>
      <c r="G667" s="442">
        <v>695.22</v>
      </c>
      <c r="H667" s="442">
        <v>697.01</v>
      </c>
      <c r="I667" s="442">
        <v>334.83</v>
      </c>
      <c r="J667" s="442">
        <v>613.28</v>
      </c>
      <c r="K667" s="442">
        <v>752.5</v>
      </c>
      <c r="L667" s="442">
        <v>411.1</v>
      </c>
      <c r="M667" s="442">
        <v>779</v>
      </c>
      <c r="N667" s="442">
        <v>325.88</v>
      </c>
      <c r="O667" s="442">
        <v>267.08</v>
      </c>
      <c r="P667" s="442"/>
      <c r="T667" s="127"/>
      <c r="U667" s="129"/>
      <c r="X667" s="129"/>
      <c r="Y667" s="166"/>
      <c r="Z667" s="166"/>
    </row>
    <row r="668" spans="1:26" s="128" customFormat="1" x14ac:dyDescent="0.25">
      <c r="A668" s="459"/>
      <c r="B668" s="127"/>
      <c r="C668" s="602"/>
      <c r="T668" s="127"/>
      <c r="U668" s="129"/>
      <c r="X668" s="129"/>
      <c r="Y668" s="166"/>
      <c r="Z668" s="166"/>
    </row>
    <row r="669" spans="1:26" x14ac:dyDescent="0.25">
      <c r="A669" s="462">
        <v>41</v>
      </c>
      <c r="B669" s="460" t="s">
        <v>1008</v>
      </c>
      <c r="T669" s="666" t="s">
        <v>1008</v>
      </c>
      <c r="W669" s="149"/>
      <c r="X669" s="150"/>
    </row>
    <row r="670" spans="1:26" x14ac:dyDescent="0.25">
      <c r="B670" s="666" t="s">
        <v>1008</v>
      </c>
      <c r="C670"/>
      <c r="T670" s="666"/>
      <c r="W670" s="149"/>
      <c r="X670" s="150"/>
    </row>
    <row r="671" spans="1:26" x14ac:dyDescent="0.25">
      <c r="B671" s="130" t="s">
        <v>337</v>
      </c>
      <c r="C671" s="131">
        <v>42248</v>
      </c>
      <c r="D671" s="131">
        <v>42278</v>
      </c>
      <c r="E671" s="131">
        <v>42309</v>
      </c>
      <c r="F671" s="131">
        <v>42339</v>
      </c>
      <c r="G671" s="131">
        <v>42370</v>
      </c>
      <c r="H671" s="131">
        <v>42401</v>
      </c>
      <c r="I671" s="131">
        <v>42430</v>
      </c>
      <c r="J671" s="131">
        <v>42461</v>
      </c>
      <c r="K671" s="131">
        <v>42491</v>
      </c>
      <c r="L671" s="131">
        <v>42522</v>
      </c>
      <c r="M671" s="131">
        <v>42552</v>
      </c>
      <c r="N671" s="151">
        <v>42583</v>
      </c>
      <c r="T671" s="666"/>
      <c r="W671" s="149"/>
      <c r="X671" s="150"/>
    </row>
    <row r="672" spans="1:26" x14ac:dyDescent="0.25">
      <c r="B672" s="135" t="s">
        <v>319</v>
      </c>
      <c r="C672" s="136">
        <v>27170.48</v>
      </c>
      <c r="D672" s="136">
        <v>22042</v>
      </c>
      <c r="E672" s="136">
        <v>20689.61</v>
      </c>
      <c r="F672" s="136">
        <v>19381</v>
      </c>
      <c r="G672" s="136">
        <v>17218.59</v>
      </c>
      <c r="H672" s="136">
        <v>20494.68</v>
      </c>
      <c r="I672" s="136">
        <v>22876.240000000002</v>
      </c>
      <c r="J672" s="136">
        <v>22344</v>
      </c>
      <c r="K672" s="136">
        <v>18131</v>
      </c>
      <c r="L672" s="136">
        <v>22855.599999999999</v>
      </c>
      <c r="M672" s="136">
        <v>23879.83</v>
      </c>
      <c r="N672" s="136">
        <v>27520.965</v>
      </c>
      <c r="T672" s="666"/>
      <c r="W672" s="149"/>
      <c r="X672" s="150"/>
    </row>
    <row r="673" spans="1:26" x14ac:dyDescent="0.25">
      <c r="B673" s="153" t="s">
        <v>641</v>
      </c>
      <c r="C673" s="141">
        <v>270</v>
      </c>
      <c r="D673" s="141">
        <v>593</v>
      </c>
      <c r="E673" s="141">
        <v>1089</v>
      </c>
      <c r="F673" s="141">
        <v>1466</v>
      </c>
      <c r="G673" s="141">
        <v>2214</v>
      </c>
      <c r="H673" s="141">
        <v>1547</v>
      </c>
      <c r="I673" s="141">
        <v>1029</v>
      </c>
      <c r="J673" s="141">
        <v>498</v>
      </c>
      <c r="K673" s="141">
        <v>217</v>
      </c>
      <c r="L673" s="141">
        <v>0</v>
      </c>
      <c r="M673" s="141">
        <v>0</v>
      </c>
      <c r="N673" s="141">
        <v>39</v>
      </c>
      <c r="T673" s="666"/>
      <c r="W673" s="149"/>
      <c r="X673" s="150"/>
    </row>
    <row r="674" spans="1:26" x14ac:dyDescent="0.25">
      <c r="B674" s="135" t="s">
        <v>345</v>
      </c>
      <c r="C674" s="760">
        <v>27350</v>
      </c>
      <c r="D674" s="760">
        <v>9686.76</v>
      </c>
      <c r="E674" s="760">
        <v>7171.1239999999998</v>
      </c>
      <c r="F674" s="760">
        <v>4935</v>
      </c>
      <c r="G674" s="760">
        <v>7080</v>
      </c>
      <c r="H674" s="750">
        <v>7742</v>
      </c>
      <c r="I674" s="750">
        <v>7905.5</v>
      </c>
      <c r="J674" s="750">
        <v>9036.81</v>
      </c>
      <c r="K674" s="750">
        <v>6305.3</v>
      </c>
      <c r="L674" s="750">
        <v>11924</v>
      </c>
      <c r="M674" s="750">
        <v>13898.476000000001</v>
      </c>
      <c r="N674" s="1194">
        <v>2851</v>
      </c>
      <c r="T674" s="666"/>
      <c r="W674" s="149"/>
      <c r="X674" s="150"/>
    </row>
    <row r="675" spans="1:26" x14ac:dyDescent="0.25">
      <c r="B675" s="135" t="s">
        <v>324</v>
      </c>
      <c r="C675" s="731">
        <f>C672*0.1</f>
        <v>2717.0480000000002</v>
      </c>
      <c r="D675" s="731">
        <f t="shared" ref="D675:N675" si="37">D672*0.1</f>
        <v>2204.2000000000003</v>
      </c>
      <c r="E675" s="731">
        <f t="shared" si="37"/>
        <v>2068.9610000000002</v>
      </c>
      <c r="F675" s="731">
        <f t="shared" si="37"/>
        <v>1938.1000000000001</v>
      </c>
      <c r="G675" s="731">
        <f t="shared" si="37"/>
        <v>1721.8590000000002</v>
      </c>
      <c r="H675" s="731">
        <f t="shared" si="37"/>
        <v>2049.4680000000003</v>
      </c>
      <c r="I675" s="731">
        <f t="shared" si="37"/>
        <v>2287.6240000000003</v>
      </c>
      <c r="J675" s="731">
        <f t="shared" si="37"/>
        <v>2234.4</v>
      </c>
      <c r="K675" s="731">
        <f t="shared" si="37"/>
        <v>1813.1000000000001</v>
      </c>
      <c r="L675" s="731">
        <f t="shared" si="37"/>
        <v>2285.56</v>
      </c>
      <c r="M675" s="731">
        <f t="shared" si="37"/>
        <v>2387.9830000000002</v>
      </c>
      <c r="N675" s="731">
        <f t="shared" si="37"/>
        <v>2752.0965000000001</v>
      </c>
      <c r="T675" s="666"/>
      <c r="W675" s="149"/>
      <c r="X675" s="150"/>
    </row>
    <row r="676" spans="1:26" x14ac:dyDescent="0.25">
      <c r="B676" s="144" t="s">
        <v>883</v>
      </c>
      <c r="C676" s="145">
        <v>224.54</v>
      </c>
      <c r="D676" s="145">
        <v>450.62</v>
      </c>
      <c r="E676" s="145">
        <v>751.28</v>
      </c>
      <c r="F676" s="145">
        <v>958.61</v>
      </c>
      <c r="G676" s="145">
        <v>1357.35</v>
      </c>
      <c r="H676" s="145">
        <v>963.8</v>
      </c>
      <c r="I676" s="145">
        <v>672</v>
      </c>
      <c r="J676" s="145">
        <v>359.33</v>
      </c>
      <c r="K676" s="145">
        <v>167.13</v>
      </c>
      <c r="L676" s="145">
        <v>15.63</v>
      </c>
      <c r="M676" s="145">
        <v>16</v>
      </c>
      <c r="N676" s="145">
        <v>45.4</v>
      </c>
      <c r="T676" s="666"/>
      <c r="W676" s="149"/>
      <c r="X676" s="150"/>
    </row>
    <row r="677" spans="1:26" x14ac:dyDescent="0.25">
      <c r="B677" s="460"/>
      <c r="T677" s="666"/>
      <c r="W677" s="149"/>
      <c r="X677" s="150"/>
    </row>
    <row r="678" spans="1:26" s="128" customFormat="1" x14ac:dyDescent="0.25">
      <c r="A678" s="459">
        <v>42</v>
      </c>
      <c r="B678" s="127" t="s">
        <v>624</v>
      </c>
      <c r="C678" s="173"/>
      <c r="S678" s="173"/>
      <c r="T678" s="127" t="s">
        <v>624</v>
      </c>
      <c r="W678" s="129"/>
      <c r="Y678" s="166"/>
      <c r="Z678" s="166"/>
    </row>
    <row r="679" spans="1:26" s="128" customFormat="1" x14ac:dyDescent="0.25">
      <c r="A679" s="459"/>
      <c r="B679" s="127" t="s">
        <v>531</v>
      </c>
      <c r="C679" s="173"/>
      <c r="D679" s="172" t="s">
        <v>62</v>
      </c>
      <c r="S679" s="173"/>
      <c r="T679" s="127"/>
      <c r="W679" s="129"/>
      <c r="Y679" s="166"/>
      <c r="Z679" s="166"/>
    </row>
    <row r="680" spans="1:26" s="128" customFormat="1" x14ac:dyDescent="0.25">
      <c r="A680" s="459"/>
      <c r="B680" s="564">
        <v>178136</v>
      </c>
      <c r="C680" s="173" t="s">
        <v>1336</v>
      </c>
      <c r="D680" s="128" t="s">
        <v>1337</v>
      </c>
      <c r="E680" s="128" t="s">
        <v>1338</v>
      </c>
      <c r="F680" s="128" t="s">
        <v>1339</v>
      </c>
      <c r="G680" s="128" t="s">
        <v>1340</v>
      </c>
      <c r="H680" s="128" t="s">
        <v>1341</v>
      </c>
      <c r="I680" s="128" t="s">
        <v>1342</v>
      </c>
      <c r="J680" s="128" t="s">
        <v>1343</v>
      </c>
      <c r="K680" s="128" t="s">
        <v>1344</v>
      </c>
      <c r="L680" s="128" t="s">
        <v>1345</v>
      </c>
      <c r="M680" s="128" t="s">
        <v>1346</v>
      </c>
      <c r="N680" s="128" t="s">
        <v>1347</v>
      </c>
      <c r="S680" s="173"/>
      <c r="T680" s="127"/>
      <c r="W680" s="129"/>
      <c r="Y680" s="166"/>
      <c r="Z680" s="166"/>
    </row>
    <row r="681" spans="1:26" s="128" customFormat="1" x14ac:dyDescent="0.25">
      <c r="A681" s="459"/>
      <c r="B681" s="564" t="s">
        <v>694</v>
      </c>
      <c r="C681" s="173"/>
      <c r="S681" s="173"/>
      <c r="T681" s="127"/>
      <c r="W681" s="129"/>
      <c r="Y681" s="166"/>
      <c r="Z681" s="166"/>
    </row>
    <row r="682" spans="1:26" s="128" customFormat="1" x14ac:dyDescent="0.25">
      <c r="A682" s="459"/>
      <c r="B682" s="564" t="s">
        <v>695</v>
      </c>
      <c r="C682" s="173">
        <v>198506</v>
      </c>
      <c r="D682" s="128">
        <v>163733</v>
      </c>
      <c r="E682" s="128">
        <v>163642</v>
      </c>
      <c r="F682" s="128">
        <v>152567.20000000001</v>
      </c>
      <c r="G682" s="128">
        <v>142257</v>
      </c>
      <c r="H682" s="128">
        <v>131679.1</v>
      </c>
      <c r="I682" s="128">
        <v>136880</v>
      </c>
      <c r="J682" s="128">
        <v>135495</v>
      </c>
      <c r="K682" s="128">
        <v>143859.79999999999</v>
      </c>
      <c r="L682" s="128">
        <v>156668.79999999999</v>
      </c>
      <c r="M682" s="128">
        <v>148419.1</v>
      </c>
      <c r="N682" s="128">
        <v>158055</v>
      </c>
      <c r="S682" s="173"/>
      <c r="T682" s="127"/>
      <c r="W682" s="129"/>
      <c r="Y682" s="166"/>
      <c r="Z682" s="166"/>
    </row>
    <row r="683" spans="1:26" s="128" customFormat="1" x14ac:dyDescent="0.25">
      <c r="A683" s="459"/>
      <c r="B683" s="564" t="s">
        <v>696</v>
      </c>
      <c r="C683" s="173">
        <v>2684</v>
      </c>
      <c r="D683" s="128">
        <v>2067</v>
      </c>
      <c r="E683" s="128">
        <v>2465</v>
      </c>
      <c r="F683" s="128">
        <v>2291</v>
      </c>
      <c r="G683" s="128">
        <v>1827</v>
      </c>
      <c r="H683" s="128">
        <v>2694</v>
      </c>
      <c r="I683" s="128">
        <v>3702</v>
      </c>
      <c r="J683" s="128">
        <v>3920</v>
      </c>
      <c r="K683" s="128">
        <v>2632</v>
      </c>
      <c r="L683" s="128">
        <v>2129</v>
      </c>
      <c r="M683" s="128">
        <v>2308</v>
      </c>
      <c r="N683" s="128">
        <v>1587</v>
      </c>
      <c r="S683" s="173"/>
      <c r="T683" s="127"/>
      <c r="W683" s="129"/>
      <c r="Y683" s="166"/>
      <c r="Z683" s="166"/>
    </row>
    <row r="684" spans="1:26" s="128" customFormat="1" x14ac:dyDescent="0.25">
      <c r="A684" s="459"/>
      <c r="B684" s="564" t="s">
        <v>697</v>
      </c>
      <c r="C684" s="173">
        <v>14453.208556149732</v>
      </c>
      <c r="D684" s="128">
        <v>85831.550802139027</v>
      </c>
      <c r="E684" s="128">
        <v>89032.085561497326</v>
      </c>
      <c r="F684" s="128">
        <v>83711.229946524065</v>
      </c>
      <c r="G684" s="128">
        <v>59041.443850267373</v>
      </c>
      <c r="H684" s="128">
        <v>36978.609625668447</v>
      </c>
      <c r="I684" s="128">
        <v>81380</v>
      </c>
      <c r="J684" s="128">
        <v>33919</v>
      </c>
      <c r="K684" s="128">
        <v>94720</v>
      </c>
      <c r="L684" s="128">
        <v>68565</v>
      </c>
      <c r="M684" s="128">
        <v>29394</v>
      </c>
      <c r="N684" s="128">
        <v>79588</v>
      </c>
      <c r="S684" s="173"/>
      <c r="T684" s="127"/>
      <c r="W684" s="129"/>
      <c r="Y684" s="166"/>
      <c r="Z684" s="166"/>
    </row>
    <row r="685" spans="1:26" s="128" customFormat="1" x14ac:dyDescent="0.25">
      <c r="A685" s="459"/>
      <c r="B685" s="564"/>
      <c r="C685" s="173"/>
      <c r="S685" s="173"/>
      <c r="T685" s="127"/>
      <c r="W685" s="129"/>
      <c r="Y685" s="166"/>
      <c r="Z685" s="166"/>
    </row>
    <row r="686" spans="1:26" s="128" customFormat="1" x14ac:dyDescent="0.25">
      <c r="A686" s="459"/>
      <c r="B686" s="564" t="s">
        <v>698</v>
      </c>
      <c r="C686" s="173"/>
      <c r="S686" s="173"/>
      <c r="T686" s="127"/>
      <c r="W686" s="129"/>
      <c r="Y686" s="166"/>
      <c r="Z686" s="166"/>
    </row>
    <row r="687" spans="1:26" s="128" customFormat="1" x14ac:dyDescent="0.25">
      <c r="A687" s="459"/>
      <c r="B687" s="564" t="s">
        <v>699</v>
      </c>
      <c r="C687" s="173">
        <v>13252.358053195036</v>
      </c>
      <c r="D687" s="128">
        <v>10935.93328037123</v>
      </c>
      <c r="E687" s="128">
        <v>10936.80288761468</v>
      </c>
      <c r="F687" s="128">
        <v>9323.1049820686967</v>
      </c>
      <c r="G687" s="128">
        <v>8003.9337054912285</v>
      </c>
      <c r="H687" s="128">
        <v>7414.7426985763159</v>
      </c>
      <c r="I687" s="128">
        <v>7750.2734600543481</v>
      </c>
      <c r="J687" s="128">
        <v>7911.3544293069945</v>
      </c>
      <c r="K687" s="128">
        <v>8467.7842020114476</v>
      </c>
      <c r="L687" s="128">
        <v>8990.3523651336545</v>
      </c>
      <c r="M687" s="128">
        <v>8691.5358471026266</v>
      </c>
      <c r="N687" s="128">
        <v>10207.886560376557</v>
      </c>
      <c r="S687" s="173"/>
      <c r="T687" s="127"/>
      <c r="W687" s="129"/>
      <c r="Y687" s="166"/>
      <c r="Z687" s="166"/>
    </row>
    <row r="688" spans="1:26" s="128" customFormat="1" x14ac:dyDescent="0.25">
      <c r="A688" s="459"/>
      <c r="B688" s="564" t="s">
        <v>700</v>
      </c>
      <c r="C688" s="173">
        <v>1902.68</v>
      </c>
      <c r="D688" s="128">
        <v>1470.35</v>
      </c>
      <c r="E688" s="128">
        <v>1749.23</v>
      </c>
      <c r="F688" s="128">
        <v>1627.3</v>
      </c>
      <c r="G688" s="128">
        <v>1293.1099999999999</v>
      </c>
      <c r="H688" s="128">
        <v>1874.09</v>
      </c>
      <c r="I688" s="128">
        <v>2516.86</v>
      </c>
      <c r="J688" s="128">
        <v>2642.76</v>
      </c>
      <c r="K688" s="128">
        <v>1781.65</v>
      </c>
      <c r="L688" s="128">
        <v>1451.36</v>
      </c>
      <c r="M688" s="128">
        <v>1599.43</v>
      </c>
      <c r="N688" s="128">
        <v>1110.06</v>
      </c>
      <c r="S688" s="173"/>
      <c r="T688" s="127"/>
      <c r="W688" s="129"/>
      <c r="Y688" s="166"/>
      <c r="Z688" s="166"/>
    </row>
    <row r="689" spans="1:26" s="128" customFormat="1" x14ac:dyDescent="0.25">
      <c r="A689" s="459"/>
      <c r="B689" s="564" t="s">
        <v>701</v>
      </c>
      <c r="C689" s="173">
        <v>1077.2432545528136</v>
      </c>
      <c r="D689" s="128">
        <v>6486.5304296181494</v>
      </c>
      <c r="E689" s="128">
        <v>6815.8567113888439</v>
      </c>
      <c r="F689" s="128">
        <v>6859.431665620923</v>
      </c>
      <c r="G689" s="128">
        <v>4873.3619577548379</v>
      </c>
      <c r="H689" s="128">
        <v>3169.3810739195824</v>
      </c>
      <c r="I689" s="128">
        <v>7541.6339364948453</v>
      </c>
      <c r="J689" s="128">
        <v>2811.9188772561574</v>
      </c>
      <c r="K689" s="128">
        <v>7781.3948038014041</v>
      </c>
      <c r="L689" s="128">
        <v>5539.7523298064034</v>
      </c>
      <c r="M689" s="128">
        <v>2320.925728860092</v>
      </c>
      <c r="N689" s="128">
        <v>5226.4897620882011</v>
      </c>
      <c r="S689" s="173"/>
      <c r="T689" s="127"/>
      <c r="W689" s="129"/>
      <c r="Y689" s="166"/>
      <c r="Z689" s="166"/>
    </row>
    <row r="690" spans="1:26" s="128" customFormat="1" x14ac:dyDescent="0.25">
      <c r="A690" s="459"/>
      <c r="B690" s="564" t="s">
        <v>1348</v>
      </c>
      <c r="C690" s="173">
        <v>5308.8790137872184</v>
      </c>
      <c r="D690" s="128">
        <v>4296.4757039565275</v>
      </c>
      <c r="E690" s="128">
        <v>4518.1574976422507</v>
      </c>
      <c r="F690" s="128">
        <v>4208.3536533884226</v>
      </c>
      <c r="G690" s="128">
        <v>3750.3979206898102</v>
      </c>
      <c r="H690" s="128">
        <v>4034.4966160686222</v>
      </c>
      <c r="I690" s="128">
        <v>4699.9739524857414</v>
      </c>
      <c r="J690" s="128">
        <v>4795.8242017335069</v>
      </c>
      <c r="K690" s="128">
        <v>4232.9997170701035</v>
      </c>
      <c r="L690" s="128">
        <v>4195.9735572820764</v>
      </c>
      <c r="M690" s="128">
        <v>4138.4446108591192</v>
      </c>
      <c r="N690" s="128">
        <v>3918.2627879822157</v>
      </c>
      <c r="O690" s="128">
        <v>52098.239232945627</v>
      </c>
      <c r="S690" s="173"/>
      <c r="T690" s="127"/>
      <c r="W690" s="129"/>
      <c r="Y690" s="166"/>
      <c r="Z690" s="166"/>
    </row>
    <row r="691" spans="1:26" s="128" customFormat="1" x14ac:dyDescent="0.25">
      <c r="A691" s="459"/>
      <c r="B691" s="127"/>
      <c r="C691" s="173"/>
      <c r="S691" s="173"/>
      <c r="T691" s="127"/>
      <c r="W691" s="129"/>
      <c r="Y691" s="166"/>
      <c r="Z691" s="166"/>
    </row>
    <row r="692" spans="1:26" s="128" customFormat="1" x14ac:dyDescent="0.25">
      <c r="A692" s="459">
        <v>43</v>
      </c>
      <c r="B692" s="127" t="s">
        <v>1425</v>
      </c>
      <c r="C692" s="173"/>
      <c r="S692" s="173"/>
      <c r="T692" s="127" t="s">
        <v>625</v>
      </c>
      <c r="W692" s="129"/>
      <c r="Y692" s="166"/>
      <c r="Z692" s="166"/>
    </row>
    <row r="693" spans="1:26" s="128" customFormat="1" x14ac:dyDescent="0.25">
      <c r="A693" s="459"/>
      <c r="B693" s="712" t="s">
        <v>866</v>
      </c>
      <c r="C693" s="1646"/>
      <c r="D693" s="713"/>
      <c r="E693" s="713"/>
      <c r="F693" s="713"/>
      <c r="G693" s="713"/>
      <c r="H693" s="713"/>
      <c r="I693" s="713"/>
      <c r="J693" s="713"/>
      <c r="K693" s="713"/>
      <c r="L693" s="713"/>
      <c r="M693" s="713"/>
      <c r="N693" s="713"/>
      <c r="O693" s="713"/>
      <c r="P693" s="714"/>
      <c r="Q693" s="715"/>
      <c r="R693" s="716"/>
      <c r="S693" s="1211"/>
      <c r="T693" s="1647"/>
      <c r="U693" s="1150"/>
      <c r="W693" s="129"/>
      <c r="Y693" s="166"/>
      <c r="Z693" s="166"/>
    </row>
    <row r="694" spans="1:26" s="128" customFormat="1" x14ac:dyDescent="0.25">
      <c r="A694" s="459"/>
      <c r="B694" s="717" t="s">
        <v>337</v>
      </c>
      <c r="C694" s="1648"/>
      <c r="D694" s="719">
        <v>42217</v>
      </c>
      <c r="E694" s="719">
        <v>42248</v>
      </c>
      <c r="F694" s="719">
        <v>42278</v>
      </c>
      <c r="G694" s="719">
        <v>42309</v>
      </c>
      <c r="H694" s="719">
        <v>42339</v>
      </c>
      <c r="I694" s="719">
        <v>42370</v>
      </c>
      <c r="J694" s="719">
        <v>42401</v>
      </c>
      <c r="K694" s="719">
        <v>42430</v>
      </c>
      <c r="L694" s="719">
        <v>42461</v>
      </c>
      <c r="M694" s="719">
        <v>42491</v>
      </c>
      <c r="N694" s="719">
        <v>42522</v>
      </c>
      <c r="O694" s="719">
        <v>42552</v>
      </c>
      <c r="P694" s="735"/>
      <c r="Q694" s="720" t="s">
        <v>338</v>
      </c>
      <c r="R694" s="721" t="s">
        <v>339</v>
      </c>
      <c r="S694" s="1222"/>
      <c r="T694" s="720" t="s">
        <v>338</v>
      </c>
      <c r="U694" s="721" t="s">
        <v>339</v>
      </c>
      <c r="W694" s="129"/>
      <c r="Y694" s="166"/>
      <c r="Z694" s="166"/>
    </row>
    <row r="695" spans="1:26" s="128" customFormat="1" x14ac:dyDescent="0.25">
      <c r="A695" s="459"/>
      <c r="B695" s="722" t="s">
        <v>360</v>
      </c>
      <c r="C695" s="730"/>
      <c r="D695" s="454">
        <v>30902.954101561932</v>
      </c>
      <c r="E695" s="454">
        <v>29335.021972657047</v>
      </c>
      <c r="F695" s="454">
        <v>22770.01953125</v>
      </c>
      <c r="G695" s="454">
        <v>23882.995605467953</v>
      </c>
      <c r="H695" s="454">
        <v>21528.015136719092</v>
      </c>
      <c r="I695" s="454">
        <v>27824.951171875</v>
      </c>
      <c r="J695" s="454">
        <v>28780.029296875</v>
      </c>
      <c r="K695" s="454">
        <v>28239.990234375</v>
      </c>
      <c r="L695" s="454">
        <v>28801.025390625</v>
      </c>
      <c r="M695" s="454">
        <v>29156.005859375</v>
      </c>
      <c r="N695" s="454">
        <v>30916.9921875</v>
      </c>
      <c r="O695" s="454">
        <v>31935.974121093976</v>
      </c>
      <c r="P695" s="1171"/>
      <c r="Q695" s="724">
        <f t="shared" ref="Q695:Q700" si="38">SUM(D695:O695)</f>
        <v>334073.974609375</v>
      </c>
      <c r="R695" s="1145" t="s">
        <v>361</v>
      </c>
      <c r="S695" s="1211"/>
      <c r="T695" s="734">
        <f>Q695*0.003409512</f>
        <v>1139.0292253183593</v>
      </c>
      <c r="U695" s="1145" t="s">
        <v>342</v>
      </c>
      <c r="W695" s="129"/>
      <c r="Y695" s="166"/>
      <c r="Z695" s="166"/>
    </row>
    <row r="696" spans="1:26" s="128" customFormat="1" x14ac:dyDescent="0.25">
      <c r="A696" s="459"/>
      <c r="B696" s="728" t="s">
        <v>864</v>
      </c>
      <c r="C696" s="730"/>
      <c r="D696" s="454">
        <v>18.818181818181817</v>
      </c>
      <c r="E696" s="454">
        <v>14.533333333333333</v>
      </c>
      <c r="F696" s="454">
        <v>11.919047619047619</v>
      </c>
      <c r="G696" s="454">
        <v>12.014285714285714</v>
      </c>
      <c r="H696" s="454">
        <v>7.6</v>
      </c>
      <c r="I696" s="454">
        <v>7.6689655172413786</v>
      </c>
      <c r="J696" s="454">
        <v>9.5453201970443349</v>
      </c>
      <c r="K696" s="454">
        <v>10.367532467532468</v>
      </c>
      <c r="L696" s="454">
        <v>11.41818181818182</v>
      </c>
      <c r="M696" s="454">
        <v>12.403225806451612</v>
      </c>
      <c r="N696" s="454">
        <v>10.842928039702233</v>
      </c>
      <c r="O696" s="1656">
        <v>7</v>
      </c>
      <c r="P696" s="1657"/>
      <c r="Q696" s="724">
        <f t="shared" si="38"/>
        <v>134.13100233100232</v>
      </c>
      <c r="R696" s="1146" t="s">
        <v>379</v>
      </c>
      <c r="S696" s="1211"/>
      <c r="T696" s="756">
        <f>Q696*748</f>
        <v>100329.98974358973</v>
      </c>
      <c r="U696" s="1146" t="s">
        <v>346</v>
      </c>
      <c r="W696" s="129"/>
      <c r="Y696" s="166"/>
      <c r="Z696" s="166"/>
    </row>
    <row r="697" spans="1:26" s="128" customFormat="1" x14ac:dyDescent="0.25">
      <c r="A697" s="459"/>
      <c r="B697" s="728" t="s">
        <v>861</v>
      </c>
      <c r="C697" s="730"/>
      <c r="D697" s="454">
        <v>52.882352941176471</v>
      </c>
      <c r="E697" s="454">
        <v>113.53781512605042</v>
      </c>
      <c r="F697" s="454">
        <v>230.96992481203006</v>
      </c>
      <c r="G697" s="454">
        <v>184.73684210526315</v>
      </c>
      <c r="H697" s="454">
        <v>558.45394736842104</v>
      </c>
      <c r="I697" s="454">
        <v>1281.6964285714287</v>
      </c>
      <c r="J697" s="454">
        <v>1331.6009852216748</v>
      </c>
      <c r="K697" s="454">
        <v>707.82758620689651</v>
      </c>
      <c r="L697" s="454">
        <v>295.17857142857144</v>
      </c>
      <c r="M697" s="454">
        <v>218.94642857142856</v>
      </c>
      <c r="N697" s="454">
        <v>176.01785714285714</v>
      </c>
      <c r="O697" s="454">
        <v>130.8941798941799</v>
      </c>
      <c r="P697" s="1171"/>
      <c r="Q697" s="724">
        <f t="shared" si="38"/>
        <v>5282.7429193899779</v>
      </c>
      <c r="R697" s="1146" t="s">
        <v>354</v>
      </c>
      <c r="S697" s="1211"/>
      <c r="T697" s="756">
        <f>Q697</f>
        <v>5282.7429193899779</v>
      </c>
      <c r="U697" s="1146" t="s">
        <v>1426</v>
      </c>
      <c r="W697" s="129"/>
      <c r="Y697" s="166"/>
      <c r="Z697" s="166"/>
    </row>
    <row r="698" spans="1:26" s="128" customFormat="1" x14ac:dyDescent="0.25">
      <c r="A698" s="459"/>
      <c r="B698" s="722" t="s">
        <v>368</v>
      </c>
      <c r="C698" s="730"/>
      <c r="D698" s="731">
        <f>D695*0.086</f>
        <v>2657.6540527343259</v>
      </c>
      <c r="E698" s="731">
        <f t="shared" ref="E698:N698" si="39">E695*0.086</f>
        <v>2522.8118896485057</v>
      </c>
      <c r="F698" s="731">
        <f t="shared" si="39"/>
        <v>1958.2216796874998</v>
      </c>
      <c r="G698" s="731">
        <f t="shared" si="39"/>
        <v>2053.9376220702438</v>
      </c>
      <c r="H698" s="731">
        <f t="shared" si="39"/>
        <v>1851.4093017578418</v>
      </c>
      <c r="I698" s="731">
        <f t="shared" si="39"/>
        <v>2392.94580078125</v>
      </c>
      <c r="J698" s="731">
        <f t="shared" si="39"/>
        <v>2475.08251953125</v>
      </c>
      <c r="K698" s="731">
        <f t="shared" si="39"/>
        <v>2428.63916015625</v>
      </c>
      <c r="L698" s="731">
        <f t="shared" si="39"/>
        <v>2476.88818359375</v>
      </c>
      <c r="M698" s="731">
        <f t="shared" si="39"/>
        <v>2507.41650390625</v>
      </c>
      <c r="N698" s="731">
        <f t="shared" si="39"/>
        <v>2658.861328125</v>
      </c>
      <c r="O698" s="731">
        <f>O695*0.087</f>
        <v>2778.4297485351758</v>
      </c>
      <c r="P698" s="745"/>
      <c r="Q698" s="724">
        <f t="shared" si="38"/>
        <v>28762.29779052734</v>
      </c>
      <c r="R698" s="1145" t="s">
        <v>865</v>
      </c>
      <c r="S698" s="1211"/>
      <c r="T698" s="1651"/>
      <c r="U698" s="1652"/>
      <c r="W698" s="129"/>
      <c r="Y698" s="166"/>
      <c r="Z698" s="166"/>
    </row>
    <row r="699" spans="1:26" s="128" customFormat="1" x14ac:dyDescent="0.25">
      <c r="A699" s="459"/>
      <c r="B699" s="732" t="s">
        <v>325</v>
      </c>
      <c r="C699" s="714"/>
      <c r="D699" s="455">
        <f>D696*9.2</f>
        <v>173.1272727272727</v>
      </c>
      <c r="E699" s="455">
        <f t="shared" ref="E699:N699" si="40">E696*9.2</f>
        <v>133.70666666666665</v>
      </c>
      <c r="F699" s="455">
        <f t="shared" si="40"/>
        <v>109.65523809523809</v>
      </c>
      <c r="G699" s="455">
        <f t="shared" si="40"/>
        <v>110.53142857142856</v>
      </c>
      <c r="H699" s="455">
        <f t="shared" si="40"/>
        <v>69.919999999999987</v>
      </c>
      <c r="I699" s="455">
        <f t="shared" si="40"/>
        <v>70.554482758620679</v>
      </c>
      <c r="J699" s="455">
        <f t="shared" si="40"/>
        <v>87.816945812807873</v>
      </c>
      <c r="K699" s="455">
        <f t="shared" si="40"/>
        <v>95.381298701298704</v>
      </c>
      <c r="L699" s="455">
        <f t="shared" si="40"/>
        <v>105.04727272727273</v>
      </c>
      <c r="M699" s="455">
        <f t="shared" si="40"/>
        <v>114.10967741935482</v>
      </c>
      <c r="N699" s="455">
        <f t="shared" si="40"/>
        <v>99.754937965260538</v>
      </c>
      <c r="O699" s="455">
        <f>O696*9.33</f>
        <v>65.31</v>
      </c>
      <c r="P699" s="1175"/>
      <c r="Q699" s="724">
        <f t="shared" si="38"/>
        <v>1234.9152214452211</v>
      </c>
      <c r="R699" s="1145" t="s">
        <v>865</v>
      </c>
      <c r="S699" s="1211"/>
      <c r="T699" s="1647"/>
      <c r="U699" s="1150"/>
      <c r="W699" s="129"/>
      <c r="Y699" s="166"/>
      <c r="Z699" s="166"/>
    </row>
    <row r="700" spans="1:26" s="128" customFormat="1" x14ac:dyDescent="0.25">
      <c r="A700" s="459"/>
      <c r="B700" s="732" t="s">
        <v>829</v>
      </c>
      <c r="C700" s="714"/>
      <c r="D700" s="455">
        <v>51.727450980392149</v>
      </c>
      <c r="E700" s="455">
        <v>101.42212885154061</v>
      </c>
      <c r="F700" s="455">
        <v>255.41115288220553</v>
      </c>
      <c r="G700" s="455">
        <v>260.36842105263156</v>
      </c>
      <c r="H700" s="455">
        <v>428.60197368421052</v>
      </c>
      <c r="I700" s="455">
        <v>818.22535714285721</v>
      </c>
      <c r="J700" s="455">
        <v>835.57628078817743</v>
      </c>
      <c r="K700" s="455">
        <v>465.70037819799779</v>
      </c>
      <c r="L700" s="455">
        <v>217.86369815668201</v>
      </c>
      <c r="M700" s="455">
        <v>168.21678571428572</v>
      </c>
      <c r="N700" s="455">
        <v>138.69071428571431</v>
      </c>
      <c r="O700" s="455">
        <v>108.64576719576721</v>
      </c>
      <c r="P700" s="1175"/>
      <c r="Q700" s="724">
        <f t="shared" si="38"/>
        <v>3850.4501089324626</v>
      </c>
      <c r="R700" s="1145" t="s">
        <v>865</v>
      </c>
      <c r="S700" s="1211"/>
      <c r="T700" s="1647"/>
      <c r="U700" s="1150"/>
      <c r="W700" s="129"/>
      <c r="Y700" s="166"/>
      <c r="Z700" s="166"/>
    </row>
    <row r="702" spans="1:26" s="128" customFormat="1" x14ac:dyDescent="0.25">
      <c r="A702" s="459">
        <v>44</v>
      </c>
      <c r="B702" s="127" t="s">
        <v>626</v>
      </c>
      <c r="C702" s="173"/>
      <c r="S702" s="173"/>
      <c r="T702" s="127" t="s">
        <v>626</v>
      </c>
      <c r="W702" s="129"/>
      <c r="Y702" s="166"/>
      <c r="Z702" s="166"/>
    </row>
    <row r="703" spans="1:26" s="128" customFormat="1" x14ac:dyDescent="0.25">
      <c r="A703" s="459"/>
      <c r="B703" s="127" t="s">
        <v>532</v>
      </c>
      <c r="C703" s="173"/>
      <c r="D703" s="172" t="s">
        <v>84</v>
      </c>
      <c r="S703" s="173"/>
      <c r="T703" s="127"/>
      <c r="W703" s="129"/>
      <c r="Y703" s="166"/>
      <c r="Z703" s="166"/>
    </row>
    <row r="704" spans="1:26" s="128" customFormat="1" x14ac:dyDescent="0.25">
      <c r="A704" s="459"/>
      <c r="B704" s="564">
        <v>132405</v>
      </c>
      <c r="C704" s="173" t="s">
        <v>1336</v>
      </c>
      <c r="D704" s="128" t="s">
        <v>1337</v>
      </c>
      <c r="E704" s="128" t="s">
        <v>1338</v>
      </c>
      <c r="F704" s="128" t="s">
        <v>1339</v>
      </c>
      <c r="G704" s="128" t="s">
        <v>1340</v>
      </c>
      <c r="H704" s="128" t="s">
        <v>1341</v>
      </c>
      <c r="I704" s="128" t="s">
        <v>1342</v>
      </c>
      <c r="J704" s="128" t="s">
        <v>1343</v>
      </c>
      <c r="K704" s="128" t="s">
        <v>1344</v>
      </c>
      <c r="L704" s="128" t="s">
        <v>1345</v>
      </c>
      <c r="M704" s="128" t="s">
        <v>1346</v>
      </c>
      <c r="N704" s="128" t="s">
        <v>1347</v>
      </c>
      <c r="S704" s="173"/>
      <c r="T704" s="127"/>
      <c r="W704" s="129"/>
      <c r="Y704" s="166"/>
      <c r="Z704" s="166"/>
    </row>
    <row r="705" spans="1:26" s="128" customFormat="1" x14ac:dyDescent="0.25">
      <c r="A705" s="459"/>
      <c r="B705" s="564" t="s">
        <v>694</v>
      </c>
      <c r="C705" s="173"/>
      <c r="S705" s="173"/>
      <c r="T705" s="127"/>
      <c r="W705" s="129"/>
      <c r="Y705" s="166"/>
      <c r="Z705" s="166"/>
    </row>
    <row r="706" spans="1:26" s="128" customFormat="1" x14ac:dyDescent="0.25">
      <c r="A706" s="459"/>
      <c r="B706" s="564" t="s">
        <v>695</v>
      </c>
      <c r="C706" s="173">
        <v>72541</v>
      </c>
      <c r="D706" s="128">
        <v>83889</v>
      </c>
      <c r="E706" s="128">
        <v>100939</v>
      </c>
      <c r="F706" s="128">
        <v>102210</v>
      </c>
      <c r="G706" s="128">
        <v>97671</v>
      </c>
      <c r="H706" s="128">
        <v>93457</v>
      </c>
      <c r="I706" s="128">
        <v>93202</v>
      </c>
      <c r="J706" s="128">
        <v>92374</v>
      </c>
      <c r="K706" s="128">
        <v>91453</v>
      </c>
      <c r="L706" s="128">
        <v>90879</v>
      </c>
      <c r="M706" s="128">
        <v>73565</v>
      </c>
      <c r="N706" s="128">
        <v>27670</v>
      </c>
      <c r="S706" s="173"/>
      <c r="T706" s="127"/>
      <c r="W706" s="129"/>
      <c r="Y706" s="166"/>
      <c r="Z706" s="166"/>
    </row>
    <row r="707" spans="1:26" s="128" customFormat="1" x14ac:dyDescent="0.25">
      <c r="A707" s="459"/>
      <c r="B707" s="564" t="s">
        <v>696</v>
      </c>
      <c r="C707" s="173">
        <v>111</v>
      </c>
      <c r="D707" s="128">
        <v>237</v>
      </c>
      <c r="E707" s="128">
        <v>226</v>
      </c>
      <c r="F707" s="128">
        <v>710</v>
      </c>
      <c r="G707" s="128">
        <v>870</v>
      </c>
      <c r="H707" s="128">
        <v>725</v>
      </c>
      <c r="I707" s="128">
        <v>669</v>
      </c>
      <c r="J707" s="128">
        <v>1016</v>
      </c>
      <c r="K707" s="128">
        <v>893</v>
      </c>
      <c r="L707" s="128">
        <v>856</v>
      </c>
      <c r="M707" s="128">
        <v>691</v>
      </c>
      <c r="N707" s="128">
        <v>228</v>
      </c>
      <c r="S707" s="173"/>
      <c r="T707" s="127"/>
      <c r="W707" s="129"/>
      <c r="Y707" s="166"/>
      <c r="Z707" s="166"/>
    </row>
    <row r="708" spans="1:26" s="128" customFormat="1" x14ac:dyDescent="0.25">
      <c r="A708" s="459"/>
      <c r="B708" s="564" t="s">
        <v>697</v>
      </c>
      <c r="C708" s="173">
        <v>3009</v>
      </c>
      <c r="D708" s="128">
        <v>20503</v>
      </c>
      <c r="E708" s="128">
        <v>42490</v>
      </c>
      <c r="F708" s="128">
        <v>40544</v>
      </c>
      <c r="G708" s="128">
        <v>37565</v>
      </c>
      <c r="H708" s="128">
        <v>27110</v>
      </c>
      <c r="I708" s="128">
        <v>33128</v>
      </c>
      <c r="J708" s="128">
        <v>42047</v>
      </c>
      <c r="K708" s="128">
        <v>35614</v>
      </c>
      <c r="L708" s="128">
        <v>42330</v>
      </c>
      <c r="M708" s="128">
        <v>22460</v>
      </c>
      <c r="N708" s="128">
        <v>8959</v>
      </c>
      <c r="S708" s="173"/>
      <c r="T708" s="127"/>
      <c r="W708" s="129"/>
      <c r="Y708" s="166"/>
      <c r="Z708" s="166"/>
    </row>
    <row r="709" spans="1:26" s="128" customFormat="1" x14ac:dyDescent="0.25">
      <c r="A709" s="459"/>
      <c r="B709" s="564" t="s">
        <v>1048</v>
      </c>
      <c r="C709" s="173">
        <v>489</v>
      </c>
      <c r="D709" s="128">
        <v>472</v>
      </c>
      <c r="E709" s="128">
        <v>428</v>
      </c>
      <c r="F709" s="128">
        <v>211</v>
      </c>
      <c r="G709" s="128">
        <v>136</v>
      </c>
      <c r="H709" s="128">
        <v>120</v>
      </c>
      <c r="I709" s="128">
        <v>53</v>
      </c>
      <c r="J709" s="128">
        <v>79</v>
      </c>
      <c r="K709" s="128">
        <v>191</v>
      </c>
      <c r="L709" s="128">
        <v>244</v>
      </c>
      <c r="M709" s="128">
        <v>260</v>
      </c>
      <c r="N709" s="128">
        <v>384</v>
      </c>
      <c r="S709" s="173"/>
      <c r="T709" s="127"/>
      <c r="W709" s="129"/>
      <c r="Y709" s="166"/>
      <c r="Z709" s="166"/>
    </row>
    <row r="710" spans="1:26" s="128" customFormat="1" x14ac:dyDescent="0.25">
      <c r="A710" s="459"/>
      <c r="B710" s="564" t="s">
        <v>1049</v>
      </c>
      <c r="C710" s="173">
        <v>41</v>
      </c>
      <c r="D710" s="128">
        <v>21</v>
      </c>
      <c r="E710" s="128">
        <v>17</v>
      </c>
      <c r="F710" s="128">
        <v>86</v>
      </c>
      <c r="G710" s="128">
        <v>87</v>
      </c>
      <c r="H710" s="128">
        <v>73</v>
      </c>
      <c r="I710" s="128">
        <v>28</v>
      </c>
      <c r="J710" s="128">
        <v>15</v>
      </c>
      <c r="K710" s="128">
        <v>27</v>
      </c>
      <c r="L710" s="128">
        <v>91</v>
      </c>
      <c r="M710" s="128">
        <v>85</v>
      </c>
      <c r="N710" s="128">
        <v>82</v>
      </c>
      <c r="S710" s="173"/>
      <c r="T710" s="127"/>
      <c r="W710" s="129"/>
      <c r="Y710" s="166"/>
      <c r="Z710" s="166"/>
    </row>
    <row r="711" spans="1:26" s="128" customFormat="1" x14ac:dyDescent="0.25">
      <c r="A711" s="459"/>
      <c r="B711" s="564"/>
      <c r="C711" s="173"/>
      <c r="S711" s="173"/>
      <c r="T711" s="127"/>
      <c r="W711" s="129"/>
      <c r="Y711" s="166"/>
      <c r="Z711" s="166"/>
    </row>
    <row r="712" spans="1:26" s="128" customFormat="1" x14ac:dyDescent="0.25">
      <c r="A712" s="459"/>
      <c r="B712" s="564" t="s">
        <v>698</v>
      </c>
      <c r="C712" s="173"/>
      <c r="S712" s="173"/>
      <c r="T712" s="127"/>
      <c r="W712" s="129"/>
      <c r="Y712" s="166"/>
      <c r="Z712" s="166"/>
    </row>
    <row r="713" spans="1:26" s="128" customFormat="1" x14ac:dyDescent="0.25">
      <c r="A713" s="459"/>
      <c r="B713" s="564" t="s">
        <v>699</v>
      </c>
      <c r="C713" s="173">
        <v>4842.8727874060278</v>
      </c>
      <c r="D713" s="128">
        <v>5603.0519623842602</v>
      </c>
      <c r="E713" s="128">
        <v>6746.1284185779823</v>
      </c>
      <c r="F713" s="128">
        <v>6245.8677895199062</v>
      </c>
      <c r="G713" s="128">
        <v>5495.3514340175443</v>
      </c>
      <c r="H713" s="128">
        <v>5262.4874287631583</v>
      </c>
      <c r="I713" s="128">
        <v>5277.1843002921196</v>
      </c>
      <c r="J713" s="128">
        <v>5393.5824499265973</v>
      </c>
      <c r="K713" s="128">
        <v>5383.0484167679442</v>
      </c>
      <c r="L713" s="128">
        <v>5215.0411095954105</v>
      </c>
      <c r="M713" s="128">
        <v>4308.0225832935566</v>
      </c>
      <c r="N713" s="128">
        <v>1787.0502111645903</v>
      </c>
      <c r="S713" s="173"/>
      <c r="T713" s="127"/>
      <c r="W713" s="129"/>
      <c r="Y713" s="166"/>
      <c r="Z713" s="166"/>
    </row>
    <row r="714" spans="1:26" s="128" customFormat="1" x14ac:dyDescent="0.25">
      <c r="A714" s="459"/>
      <c r="B714" s="564" t="s">
        <v>700</v>
      </c>
      <c r="C714" s="173">
        <v>99.78</v>
      </c>
      <c r="D714" s="128">
        <v>188.07</v>
      </c>
      <c r="E714" s="128">
        <v>490.77</v>
      </c>
      <c r="F714" s="128">
        <v>519.5</v>
      </c>
      <c r="G714" s="128">
        <v>627.29</v>
      </c>
      <c r="H714" s="128">
        <v>520.42999999999995</v>
      </c>
      <c r="I714" s="128">
        <v>472.85</v>
      </c>
      <c r="J714" s="128">
        <v>701.26</v>
      </c>
      <c r="K714" s="128">
        <v>619.02</v>
      </c>
      <c r="L714" s="128">
        <v>596.70000000000005</v>
      </c>
      <c r="M714" s="128">
        <v>494.27</v>
      </c>
      <c r="N714" s="128">
        <v>178.32</v>
      </c>
      <c r="S714" s="173"/>
      <c r="T714" s="127"/>
      <c r="W714" s="129"/>
      <c r="Y714" s="166"/>
      <c r="Z714" s="166"/>
    </row>
    <row r="715" spans="1:26" s="128" customFormat="1" x14ac:dyDescent="0.25">
      <c r="A715" s="459"/>
      <c r="B715" s="564" t="s">
        <v>701</v>
      </c>
      <c r="C715" s="173">
        <v>224.27026776488424</v>
      </c>
      <c r="D715" s="128">
        <v>1549.4690723349549</v>
      </c>
      <c r="E715" s="128">
        <v>3252.8245277021169</v>
      </c>
      <c r="F715" s="128">
        <v>3322.240010433422</v>
      </c>
      <c r="G715" s="128">
        <v>3100.6667521094414</v>
      </c>
      <c r="H715" s="128">
        <v>2323.5573696182933</v>
      </c>
      <c r="I715" s="128">
        <v>3070.0325515876289</v>
      </c>
      <c r="J715" s="128">
        <v>3485.738171290122</v>
      </c>
      <c r="K715" s="128">
        <v>2925.7452971134207</v>
      </c>
      <c r="L715" s="128">
        <v>3420.0789924991618</v>
      </c>
      <c r="M715" s="128">
        <v>1773.4228710008053</v>
      </c>
      <c r="N715" s="128">
        <v>588.33142909167452</v>
      </c>
      <c r="S715" s="173"/>
      <c r="T715" s="127"/>
      <c r="W715" s="129"/>
      <c r="Y715" s="166"/>
      <c r="Z715" s="166"/>
    </row>
    <row r="716" spans="1:26" s="128" customFormat="1" x14ac:dyDescent="0.25">
      <c r="A716" s="459"/>
      <c r="B716" s="564" t="s">
        <v>1050</v>
      </c>
      <c r="C716" s="173">
        <v>2690.5656462661759</v>
      </c>
      <c r="D716" s="128">
        <v>2554.7928630391807</v>
      </c>
      <c r="E716" s="128">
        <v>2087.9206645923377</v>
      </c>
      <c r="F716" s="128">
        <v>915.36092348266686</v>
      </c>
      <c r="G716" s="128">
        <v>589.2054341274727</v>
      </c>
      <c r="H716" s="128">
        <v>554.97291565754733</v>
      </c>
      <c r="I716" s="128">
        <v>442.91615248882687</v>
      </c>
      <c r="J716" s="128">
        <v>460.05094939155242</v>
      </c>
      <c r="K716" s="128">
        <v>887.31978544401841</v>
      </c>
      <c r="L716" s="128">
        <v>1159.8198850133174</v>
      </c>
      <c r="M716" s="128">
        <v>1224.8984746776132</v>
      </c>
      <c r="N716" s="128">
        <v>2269.6412516089822</v>
      </c>
      <c r="S716" s="173"/>
      <c r="T716" s="127"/>
      <c r="W716" s="129"/>
      <c r="Y716" s="166"/>
      <c r="Z716" s="166"/>
    </row>
    <row r="717" spans="1:26" s="128" customFormat="1" x14ac:dyDescent="0.25">
      <c r="A717" s="459"/>
      <c r="B717" s="564" t="s">
        <v>1051</v>
      </c>
      <c r="C717" s="173">
        <v>723.01441951141169</v>
      </c>
      <c r="D717" s="128">
        <v>399.09889459271363</v>
      </c>
      <c r="E717" s="128">
        <v>428.97590632515369</v>
      </c>
      <c r="F717" s="128">
        <v>1925.1979893647497</v>
      </c>
      <c r="G717" s="128">
        <v>1778.2183849528396</v>
      </c>
      <c r="H717" s="128">
        <v>1559.7604531672278</v>
      </c>
      <c r="I717" s="128">
        <v>378.22530739777147</v>
      </c>
      <c r="J717" s="128">
        <v>232.86433608415291</v>
      </c>
      <c r="K717" s="128">
        <v>595.22360135878216</v>
      </c>
      <c r="L717" s="128">
        <v>1534.9939750181736</v>
      </c>
      <c r="M717" s="128">
        <v>1609.4198420852463</v>
      </c>
      <c r="N717" s="128">
        <v>1536.4863700222083</v>
      </c>
      <c r="S717" s="173"/>
      <c r="T717" s="127"/>
      <c r="W717" s="129"/>
      <c r="Y717" s="166"/>
      <c r="Z717" s="166"/>
    </row>
    <row r="718" spans="1:26" s="128" customFormat="1" x14ac:dyDescent="0.25">
      <c r="A718" s="459"/>
      <c r="B718" s="564" t="s">
        <v>1348</v>
      </c>
      <c r="C718" s="173">
        <v>5956.0431403647899</v>
      </c>
      <c r="D718" s="128">
        <v>6064.1914429213402</v>
      </c>
      <c r="E718" s="128">
        <v>6132.7281296023566</v>
      </c>
      <c r="F718" s="128">
        <v>5413.2436086250518</v>
      </c>
      <c r="G718" s="128">
        <v>4858.2262905479402</v>
      </c>
      <c r="H718" s="128">
        <v>4413.5439296099094</v>
      </c>
      <c r="I718" s="128">
        <v>3518.7887466485404</v>
      </c>
      <c r="J718" s="128">
        <v>3857.7099656357386</v>
      </c>
      <c r="K718" s="128">
        <v>4677.6000604206793</v>
      </c>
      <c r="L718" s="128">
        <v>5518.5162795966917</v>
      </c>
      <c r="M718" s="128">
        <v>5023.2527472527472</v>
      </c>
      <c r="N718" s="128">
        <v>4404.7433254031193</v>
      </c>
      <c r="O718" s="128">
        <v>59838.587666628897</v>
      </c>
      <c r="S718" s="173"/>
      <c r="T718" s="127"/>
      <c r="W718" s="129"/>
      <c r="Y718" s="166"/>
      <c r="Z718" s="166"/>
    </row>
    <row r="719" spans="1:26" s="128" customFormat="1" x14ac:dyDescent="0.25">
      <c r="A719" s="459"/>
      <c r="B719" s="127"/>
      <c r="C719" s="173"/>
      <c r="S719" s="173"/>
      <c r="T719" s="127"/>
      <c r="W719" s="129"/>
      <c r="Y719" s="166"/>
      <c r="Z719" s="166"/>
    </row>
    <row r="720" spans="1:26" s="125" customFormat="1" x14ac:dyDescent="0.25">
      <c r="A720" s="461">
        <v>45</v>
      </c>
      <c r="B720" s="148" t="s">
        <v>976</v>
      </c>
      <c r="C720" s="152"/>
      <c r="E720" s="157"/>
      <c r="F720" s="157"/>
      <c r="G720" s="157"/>
      <c r="H720" s="157"/>
      <c r="I720" s="157"/>
      <c r="J720" s="157"/>
      <c r="K720" s="157"/>
      <c r="L720" s="157"/>
      <c r="M720" s="157"/>
      <c r="N720" s="157"/>
      <c r="O720" s="157"/>
      <c r="P720" s="157"/>
      <c r="S720" s="126"/>
      <c r="T720" s="148" t="s">
        <v>627</v>
      </c>
      <c r="V720" s="126"/>
      <c r="Y720" s="157"/>
      <c r="Z720" s="157"/>
    </row>
    <row r="721" spans="1:26" s="125" customFormat="1" x14ac:dyDescent="0.25">
      <c r="A721" s="461"/>
      <c r="B721" s="712" t="s">
        <v>869</v>
      </c>
      <c r="C721" s="1646"/>
      <c r="D721" s="1183"/>
      <c r="E721" s="1183"/>
      <c r="F721" s="1183"/>
      <c r="G721" s="1183"/>
      <c r="H721" s="1183"/>
      <c r="I721" s="1183"/>
      <c r="J721" s="1183"/>
      <c r="K721" s="713"/>
      <c r="L721" s="713"/>
      <c r="M721" s="713"/>
      <c r="N721" s="713"/>
      <c r="O721" s="713"/>
      <c r="P721" s="714"/>
      <c r="Q721" s="715"/>
      <c r="R721" s="716"/>
      <c r="S721" s="1211"/>
      <c r="T721" s="1647"/>
      <c r="U721" s="1150"/>
      <c r="V721" s="126"/>
      <c r="Y721" s="157"/>
      <c r="Z721" s="157"/>
    </row>
    <row r="722" spans="1:26" s="125" customFormat="1" x14ac:dyDescent="0.25">
      <c r="A722" s="461"/>
      <c r="B722" s="717" t="s">
        <v>337</v>
      </c>
      <c r="C722" s="1648"/>
      <c r="D722" s="719">
        <v>42217</v>
      </c>
      <c r="E722" s="719">
        <v>42248</v>
      </c>
      <c r="F722" s="719">
        <v>42278</v>
      </c>
      <c r="G722" s="719">
        <v>42309</v>
      </c>
      <c r="H722" s="719">
        <v>42339</v>
      </c>
      <c r="I722" s="719">
        <v>42370</v>
      </c>
      <c r="J722" s="719">
        <v>42401</v>
      </c>
      <c r="K722" s="719">
        <v>42430</v>
      </c>
      <c r="L722" s="719">
        <v>42461</v>
      </c>
      <c r="M722" s="719">
        <v>42491</v>
      </c>
      <c r="N722" s="719">
        <v>42522</v>
      </c>
      <c r="O722" s="719">
        <v>42552</v>
      </c>
      <c r="P722" s="735"/>
      <c r="Q722" s="720" t="s">
        <v>338</v>
      </c>
      <c r="R722" s="721" t="s">
        <v>339</v>
      </c>
      <c r="S722" s="1222"/>
      <c r="T722" s="720" t="s">
        <v>338</v>
      </c>
      <c r="U722" s="721" t="s">
        <v>339</v>
      </c>
      <c r="V722" s="126"/>
      <c r="Y722" s="157"/>
      <c r="Z722" s="157"/>
    </row>
    <row r="723" spans="1:26" s="125" customFormat="1" x14ac:dyDescent="0.25">
      <c r="A723" s="461"/>
      <c r="B723" s="722" t="s">
        <v>360</v>
      </c>
      <c r="C723" s="730"/>
      <c r="D723" s="454">
        <v>36510.986328125</v>
      </c>
      <c r="E723" s="454">
        <v>36674.987792969034</v>
      </c>
      <c r="F723" s="454">
        <v>37328.002929686991</v>
      </c>
      <c r="G723" s="454">
        <v>35902.984619141025</v>
      </c>
      <c r="H723" s="454">
        <v>34626.037597656024</v>
      </c>
      <c r="I723" s="454">
        <v>36817.016601562951</v>
      </c>
      <c r="J723" s="1186">
        <v>35030.944824217957</v>
      </c>
      <c r="K723" s="1186">
        <v>35036.010742188068</v>
      </c>
      <c r="L723" s="1186">
        <v>35270.01953125</v>
      </c>
      <c r="M723" s="1186">
        <v>31382.019042968976</v>
      </c>
      <c r="N723" s="756">
        <v>29618.957519531024</v>
      </c>
      <c r="O723" s="756">
        <v>30471.008300781024</v>
      </c>
      <c r="P723" s="1187"/>
      <c r="Q723" s="724">
        <f t="shared" ref="Q723:Q730" si="41">SUM(D723:O723)</f>
        <v>414668.97583007807</v>
      </c>
      <c r="R723" s="1145" t="s">
        <v>361</v>
      </c>
      <c r="S723" s="1211"/>
      <c r="T723" s="734">
        <f>Q723*0.003409512</f>
        <v>1413.8188491203612</v>
      </c>
      <c r="U723" s="1145" t="s">
        <v>342</v>
      </c>
      <c r="V723" s="126"/>
      <c r="Y723" s="157"/>
      <c r="Z723" s="157"/>
    </row>
    <row r="724" spans="1:26" s="125" customFormat="1" x14ac:dyDescent="0.25">
      <c r="A724" s="461"/>
      <c r="B724" s="722" t="s">
        <v>362</v>
      </c>
      <c r="C724" s="730"/>
      <c r="D724" s="1658">
        <v>391</v>
      </c>
      <c r="E724" s="1658">
        <v>326</v>
      </c>
      <c r="F724" s="1658">
        <v>246</v>
      </c>
      <c r="G724" s="1658">
        <v>213</v>
      </c>
      <c r="H724" s="1658">
        <v>222</v>
      </c>
      <c r="I724" s="1658">
        <v>175</v>
      </c>
      <c r="J724" s="1170">
        <v>163</v>
      </c>
      <c r="K724" s="1170">
        <v>222</v>
      </c>
      <c r="L724" s="1170">
        <v>230</v>
      </c>
      <c r="M724" s="756">
        <v>262</v>
      </c>
      <c r="N724" s="756">
        <v>333</v>
      </c>
      <c r="O724" s="756">
        <v>388</v>
      </c>
      <c r="P724" s="1187"/>
      <c r="Q724" s="724">
        <f t="shared" si="41"/>
        <v>3171</v>
      </c>
      <c r="R724" s="1145" t="s">
        <v>363</v>
      </c>
      <c r="S724" s="1211"/>
      <c r="T724" s="1649">
        <f>Q724</f>
        <v>3171</v>
      </c>
      <c r="U724" s="1145" t="s">
        <v>342</v>
      </c>
      <c r="V724" s="126"/>
      <c r="Y724" s="157"/>
      <c r="Z724" s="157"/>
    </row>
    <row r="725" spans="1:26" s="125" customFormat="1" x14ac:dyDescent="0.25">
      <c r="A725" s="461"/>
      <c r="B725" s="722" t="s">
        <v>364</v>
      </c>
      <c r="C725" s="730"/>
      <c r="D725" s="454">
        <v>104.81996799999979</v>
      </c>
      <c r="E725" s="454">
        <v>96.870143999999868</v>
      </c>
      <c r="F725" s="454">
        <v>192.7797760000006</v>
      </c>
      <c r="G725" s="454">
        <v>213.35001599999944</v>
      </c>
      <c r="H725" s="454">
        <v>211.92012800000012</v>
      </c>
      <c r="I725" s="454">
        <v>322.62015999999971</v>
      </c>
      <c r="J725" s="1188">
        <v>230.69990400000052</v>
      </c>
      <c r="K725" s="1188">
        <v>219.12991999999971</v>
      </c>
      <c r="L725" s="1188">
        <v>195</v>
      </c>
      <c r="M725" s="1189">
        <v>141</v>
      </c>
      <c r="N725" s="1188">
        <v>89</v>
      </c>
      <c r="O725" s="1188">
        <v>58</v>
      </c>
      <c r="P725" s="1190"/>
      <c r="Q725" s="724">
        <f t="shared" si="41"/>
        <v>2075.1900159999996</v>
      </c>
      <c r="R725" s="1146" t="s">
        <v>365</v>
      </c>
      <c r="S725" s="1211"/>
      <c r="T725" s="756">
        <f>Q725</f>
        <v>2075.1900159999996</v>
      </c>
      <c r="U725" s="1145" t="s">
        <v>342</v>
      </c>
      <c r="V725" s="126"/>
      <c r="Y725" s="157"/>
      <c r="Z725" s="157"/>
    </row>
    <row r="726" spans="1:26" s="125" customFormat="1" x14ac:dyDescent="0.25">
      <c r="A726" s="461"/>
      <c r="B726" s="728" t="s">
        <v>864</v>
      </c>
      <c r="C726" s="730"/>
      <c r="D726" s="759">
        <v>57</v>
      </c>
      <c r="E726" s="760">
        <v>81</v>
      </c>
      <c r="F726" s="760">
        <v>70</v>
      </c>
      <c r="G726" s="760">
        <v>71</v>
      </c>
      <c r="H726" s="760">
        <v>58</v>
      </c>
      <c r="I726" s="760">
        <v>57</v>
      </c>
      <c r="J726" s="750">
        <v>69</v>
      </c>
      <c r="K726" s="750">
        <v>74</v>
      </c>
      <c r="L726" s="750">
        <v>72</v>
      </c>
      <c r="M726" s="750">
        <v>41</v>
      </c>
      <c r="N726" s="750">
        <v>22</v>
      </c>
      <c r="O726" s="750">
        <v>20</v>
      </c>
      <c r="P726" s="1191"/>
      <c r="Q726" s="724">
        <f t="shared" si="41"/>
        <v>692</v>
      </c>
      <c r="R726" s="1146" t="s">
        <v>379</v>
      </c>
      <c r="S726" s="1211"/>
      <c r="T726" s="756">
        <f>Q726*748</f>
        <v>517616</v>
      </c>
      <c r="U726" s="1146" t="s">
        <v>346</v>
      </c>
      <c r="V726" s="126"/>
      <c r="Y726" s="157"/>
      <c r="Z726" s="157"/>
    </row>
    <row r="727" spans="1:26" s="125" customFormat="1" x14ac:dyDescent="0.25">
      <c r="A727" s="461"/>
      <c r="B727" s="722" t="s">
        <v>368</v>
      </c>
      <c r="C727" s="730"/>
      <c r="D727" s="731">
        <f>D723*0.086</f>
        <v>3139.9448242187495</v>
      </c>
      <c r="E727" s="731">
        <f t="shared" ref="E727:N727" si="42">E723*0.086</f>
        <v>3154.0489501953366</v>
      </c>
      <c r="F727" s="731">
        <f t="shared" si="42"/>
        <v>3210.2082519530809</v>
      </c>
      <c r="G727" s="731">
        <f t="shared" si="42"/>
        <v>3087.6566772461279</v>
      </c>
      <c r="H727" s="731">
        <f t="shared" si="42"/>
        <v>2977.8392333984179</v>
      </c>
      <c r="I727" s="731">
        <f t="shared" si="42"/>
        <v>3166.2634277344137</v>
      </c>
      <c r="J727" s="731">
        <f t="shared" si="42"/>
        <v>3012.6612548827438</v>
      </c>
      <c r="K727" s="731">
        <f t="shared" si="42"/>
        <v>3013.0969238281737</v>
      </c>
      <c r="L727" s="731">
        <f t="shared" si="42"/>
        <v>3033.2216796874995</v>
      </c>
      <c r="M727" s="731">
        <f t="shared" si="42"/>
        <v>2698.8536376953316</v>
      </c>
      <c r="N727" s="731">
        <f t="shared" si="42"/>
        <v>2547.2303466796679</v>
      </c>
      <c r="O727" s="731">
        <f>O723*0.087</f>
        <v>2650.9777221679487</v>
      </c>
      <c r="P727" s="745"/>
      <c r="Q727" s="724">
        <f t="shared" si="41"/>
        <v>35692.002929687485</v>
      </c>
      <c r="R727" s="1145" t="s">
        <v>865</v>
      </c>
      <c r="S727" s="1211"/>
      <c r="T727" s="1651"/>
      <c r="U727" s="1652"/>
      <c r="V727" s="126"/>
      <c r="Y727" s="157"/>
      <c r="Z727" s="157"/>
    </row>
    <row r="728" spans="1:26" s="125" customFormat="1" x14ac:dyDescent="0.25">
      <c r="A728" s="461"/>
      <c r="B728" s="722" t="s">
        <v>369</v>
      </c>
      <c r="C728" s="730"/>
      <c r="D728" s="731">
        <f>D724*13.97</f>
        <v>5462.27</v>
      </c>
      <c r="E728" s="731">
        <f t="shared" ref="E728:N728" si="43">E724*13.97</f>
        <v>4554.22</v>
      </c>
      <c r="F728" s="731">
        <f t="shared" si="43"/>
        <v>3436.6200000000003</v>
      </c>
      <c r="G728" s="731">
        <f t="shared" si="43"/>
        <v>2975.61</v>
      </c>
      <c r="H728" s="731">
        <f t="shared" si="43"/>
        <v>3101.34</v>
      </c>
      <c r="I728" s="731">
        <f t="shared" si="43"/>
        <v>2444.75</v>
      </c>
      <c r="J728" s="731">
        <f t="shared" si="43"/>
        <v>2277.11</v>
      </c>
      <c r="K728" s="731">
        <f t="shared" si="43"/>
        <v>3101.34</v>
      </c>
      <c r="L728" s="731">
        <f t="shared" si="43"/>
        <v>3213.1000000000004</v>
      </c>
      <c r="M728" s="731">
        <f t="shared" si="43"/>
        <v>3660.1400000000003</v>
      </c>
      <c r="N728" s="731">
        <f t="shared" si="43"/>
        <v>4652.01</v>
      </c>
      <c r="O728" s="731">
        <f>O724*12.95</f>
        <v>5024.5999999999995</v>
      </c>
      <c r="P728" s="745"/>
      <c r="Q728" s="724">
        <f t="shared" si="41"/>
        <v>43903.11</v>
      </c>
      <c r="R728" s="1145" t="s">
        <v>865</v>
      </c>
      <c r="S728" s="1211"/>
      <c r="T728" s="1647"/>
      <c r="U728" s="1150"/>
      <c r="V728" s="126"/>
      <c r="Y728" s="157"/>
      <c r="Z728" s="157"/>
    </row>
    <row r="729" spans="1:26" s="125" customFormat="1" ht="16.5" x14ac:dyDescent="0.35">
      <c r="A729" s="461"/>
      <c r="B729" s="722" t="s">
        <v>326</v>
      </c>
      <c r="C729" s="730"/>
      <c r="D729" s="731">
        <f>D725*13.39</f>
        <v>1403.5393715199973</v>
      </c>
      <c r="E729" s="731">
        <f t="shared" ref="E729:N729" si="44">E725*13.39</f>
        <v>1297.0912281599983</v>
      </c>
      <c r="F729" s="731">
        <f t="shared" si="44"/>
        <v>2581.3212006400081</v>
      </c>
      <c r="G729" s="731">
        <f t="shared" si="44"/>
        <v>2856.7567142399926</v>
      </c>
      <c r="H729" s="731">
        <f t="shared" si="44"/>
        <v>2837.6105139200017</v>
      </c>
      <c r="I729" s="731">
        <f t="shared" si="44"/>
        <v>4319.8839423999962</v>
      </c>
      <c r="J729" s="731">
        <f t="shared" si="44"/>
        <v>3089.071714560007</v>
      </c>
      <c r="K729" s="731">
        <f t="shared" si="44"/>
        <v>2934.1496287999962</v>
      </c>
      <c r="L729" s="731">
        <f t="shared" si="44"/>
        <v>2611.0500000000002</v>
      </c>
      <c r="M729" s="731">
        <f t="shared" si="44"/>
        <v>1887.99</v>
      </c>
      <c r="N729" s="731">
        <f t="shared" si="44"/>
        <v>1191.71</v>
      </c>
      <c r="O729" s="731">
        <f>O725*12.02</f>
        <v>697.16</v>
      </c>
      <c r="P729" s="745"/>
      <c r="Q729" s="724">
        <f t="shared" si="41"/>
        <v>27707.334314239994</v>
      </c>
      <c r="R729" s="1145" t="s">
        <v>865</v>
      </c>
      <c r="S729" s="1211"/>
      <c r="T729" s="1653"/>
      <c r="U729" s="1150"/>
      <c r="V729" s="126"/>
      <c r="Y729" s="157"/>
      <c r="Z729" s="157"/>
    </row>
    <row r="730" spans="1:26" s="125" customFormat="1" ht="16.5" x14ac:dyDescent="0.35">
      <c r="A730" s="461"/>
      <c r="B730" s="732" t="s">
        <v>325</v>
      </c>
      <c r="C730" s="714"/>
      <c r="D730" s="1147">
        <f>D726*9.2</f>
        <v>524.4</v>
      </c>
      <c r="E730" s="1147">
        <f t="shared" ref="E730:N730" si="45">E726*9.2</f>
        <v>745.19999999999993</v>
      </c>
      <c r="F730" s="1147">
        <f t="shared" si="45"/>
        <v>644</v>
      </c>
      <c r="G730" s="1147">
        <f t="shared" si="45"/>
        <v>653.19999999999993</v>
      </c>
      <c r="H730" s="1147">
        <f t="shared" si="45"/>
        <v>533.59999999999991</v>
      </c>
      <c r="I730" s="1147">
        <f t="shared" si="45"/>
        <v>524.4</v>
      </c>
      <c r="J730" s="1147">
        <f t="shared" si="45"/>
        <v>634.79999999999995</v>
      </c>
      <c r="K730" s="1147">
        <f t="shared" si="45"/>
        <v>680.8</v>
      </c>
      <c r="L730" s="1147">
        <f t="shared" si="45"/>
        <v>662.4</v>
      </c>
      <c r="M730" s="1147">
        <f t="shared" si="45"/>
        <v>377.2</v>
      </c>
      <c r="N730" s="1147">
        <f t="shared" si="45"/>
        <v>202.39999999999998</v>
      </c>
      <c r="O730" s="1147">
        <f>O726*9.33</f>
        <v>186.6</v>
      </c>
      <c r="P730" s="1148"/>
      <c r="Q730" s="724">
        <f t="shared" si="41"/>
        <v>6368.9999999999991</v>
      </c>
      <c r="R730" s="1145" t="s">
        <v>865</v>
      </c>
      <c r="S730" s="1211"/>
      <c r="T730" s="1653"/>
      <c r="U730" s="1150"/>
      <c r="V730" s="126"/>
      <c r="Y730" s="157"/>
      <c r="Z730" s="157"/>
    </row>
    <row r="732" spans="1:26" s="125" customFormat="1" x14ac:dyDescent="0.25">
      <c r="A732" s="461">
        <v>46</v>
      </c>
      <c r="B732" s="148" t="s">
        <v>975</v>
      </c>
      <c r="C732" s="152"/>
      <c r="E732" s="157"/>
      <c r="F732" s="157"/>
      <c r="G732" s="157"/>
      <c r="H732" s="157"/>
      <c r="I732" s="157"/>
      <c r="J732" s="157"/>
      <c r="K732" s="157"/>
      <c r="L732" s="157"/>
      <c r="M732" s="157"/>
      <c r="N732" s="157"/>
      <c r="O732" s="157"/>
      <c r="P732" s="157"/>
      <c r="S732" s="126"/>
      <c r="T732" s="148" t="s">
        <v>628</v>
      </c>
      <c r="V732" s="126"/>
      <c r="Y732" s="157"/>
      <c r="Z732" s="157"/>
    </row>
    <row r="733" spans="1:26" s="125" customFormat="1" x14ac:dyDescent="0.25">
      <c r="A733" s="461"/>
      <c r="B733" s="712" t="s">
        <v>867</v>
      </c>
      <c r="C733" s="1646"/>
      <c r="D733" s="713"/>
      <c r="E733" s="713"/>
      <c r="F733" s="713"/>
      <c r="G733" s="713"/>
      <c r="H733" s="713"/>
      <c r="I733" s="713"/>
      <c r="J733" s="713"/>
      <c r="K733" s="713"/>
      <c r="L733" s="713"/>
      <c r="M733" s="713"/>
      <c r="N733" s="713"/>
      <c r="O733" s="713"/>
      <c r="P733" s="714"/>
      <c r="Q733" s="715"/>
      <c r="R733" s="716"/>
      <c r="S733" s="1211"/>
      <c r="T733" s="1647"/>
      <c r="U733" s="1150"/>
      <c r="V733" s="126"/>
      <c r="Y733" s="157"/>
      <c r="Z733" s="157"/>
    </row>
    <row r="734" spans="1:26" s="125" customFormat="1" x14ac:dyDescent="0.25">
      <c r="A734" s="461"/>
      <c r="B734" s="717" t="s">
        <v>337</v>
      </c>
      <c r="C734" s="1648"/>
      <c r="D734" s="719">
        <v>42217</v>
      </c>
      <c r="E734" s="719">
        <v>42248</v>
      </c>
      <c r="F734" s="719">
        <v>42278</v>
      </c>
      <c r="G734" s="719">
        <v>42309</v>
      </c>
      <c r="H734" s="719">
        <v>42339</v>
      </c>
      <c r="I734" s="719">
        <v>42370</v>
      </c>
      <c r="J734" s="719">
        <v>42401</v>
      </c>
      <c r="K734" s="719">
        <v>42430</v>
      </c>
      <c r="L734" s="719">
        <v>42461</v>
      </c>
      <c r="M734" s="719">
        <v>42491</v>
      </c>
      <c r="N734" s="719">
        <v>42522</v>
      </c>
      <c r="O734" s="719">
        <v>42552</v>
      </c>
      <c r="P734" s="735"/>
      <c r="Q734" s="720" t="s">
        <v>338</v>
      </c>
      <c r="R734" s="721" t="s">
        <v>339</v>
      </c>
      <c r="S734" s="1222"/>
      <c r="T734" s="720" t="s">
        <v>338</v>
      </c>
      <c r="U734" s="721" t="s">
        <v>339</v>
      </c>
      <c r="V734" s="126"/>
      <c r="Y734" s="157"/>
      <c r="Z734" s="157"/>
    </row>
    <row r="735" spans="1:26" s="125" customFormat="1" x14ac:dyDescent="0.25">
      <c r="A735" s="461"/>
      <c r="B735" s="722" t="s">
        <v>360</v>
      </c>
      <c r="C735" s="730"/>
      <c r="D735" s="454">
        <v>127816.95556640119</v>
      </c>
      <c r="E735" s="1170">
        <v>137784.9655151364</v>
      </c>
      <c r="F735" s="1192">
        <v>139607.83386231001</v>
      </c>
      <c r="G735" s="1192">
        <v>133268.14270019499</v>
      </c>
      <c r="H735" s="1192">
        <v>123161.92626952598</v>
      </c>
      <c r="I735" s="1192">
        <v>138121.15478516102</v>
      </c>
      <c r="J735" s="754">
        <v>135089.84374999499</v>
      </c>
      <c r="K735" s="754">
        <v>133420.16601563001</v>
      </c>
      <c r="L735" s="754">
        <v>132151.79443358898</v>
      </c>
      <c r="M735" s="754">
        <v>118179.3656782741</v>
      </c>
      <c r="N735" s="754">
        <v>125991.91284179705</v>
      </c>
      <c r="O735" s="754">
        <v>127717.04101561999</v>
      </c>
      <c r="P735" s="744"/>
      <c r="Q735" s="724">
        <f t="shared" ref="Q735:Q744" si="46">SUM(D735:O735)</f>
        <v>1572311.1024336349</v>
      </c>
      <c r="R735" s="1145" t="s">
        <v>361</v>
      </c>
      <c r="S735" s="1211"/>
      <c r="T735" s="734">
        <f>Q735*0.003409512</f>
        <v>5360.8135714807077</v>
      </c>
      <c r="U735" s="1145" t="s">
        <v>342</v>
      </c>
      <c r="V735" s="126"/>
      <c r="Y735" s="157"/>
      <c r="Z735" s="157"/>
    </row>
    <row r="736" spans="1:26" s="125" customFormat="1" x14ac:dyDescent="0.25">
      <c r="A736" s="461"/>
      <c r="B736" s="722" t="s">
        <v>362</v>
      </c>
      <c r="C736" s="730"/>
      <c r="D736" s="1659">
        <v>938.43505859375</v>
      </c>
      <c r="E736" s="723">
        <v>831.11279296875</v>
      </c>
      <c r="F736" s="723">
        <v>391.9482421875</v>
      </c>
      <c r="G736" s="723">
        <v>294.255859375</v>
      </c>
      <c r="H736" s="723">
        <v>312.6806640625</v>
      </c>
      <c r="I736" s="723">
        <v>112.03564453125</v>
      </c>
      <c r="J736" s="1170">
        <v>147.841796875</v>
      </c>
      <c r="K736" s="1170">
        <v>333.740234375</v>
      </c>
      <c r="L736" s="1170">
        <v>375.05615234375</v>
      </c>
      <c r="M736" s="756">
        <v>561.267578125</v>
      </c>
      <c r="N736" s="756">
        <v>888.51318359375</v>
      </c>
      <c r="O736" s="756">
        <v>1188.39892578125</v>
      </c>
      <c r="P736" s="1187"/>
      <c r="Q736" s="724">
        <f t="shared" si="46"/>
        <v>6375.2861328125</v>
      </c>
      <c r="R736" s="1145" t="s">
        <v>363</v>
      </c>
      <c r="S736" s="1211"/>
      <c r="T736" s="1649">
        <f>Q736</f>
        <v>6375.2861328125</v>
      </c>
      <c r="U736" s="1145" t="s">
        <v>342</v>
      </c>
      <c r="V736" s="126"/>
      <c r="Y736" s="157"/>
      <c r="Z736" s="157"/>
    </row>
    <row r="737" spans="1:26" s="125" customFormat="1" x14ac:dyDescent="0.25">
      <c r="A737" s="461"/>
      <c r="B737" s="722" t="s">
        <v>364</v>
      </c>
      <c r="C737" s="730"/>
      <c r="D737" s="454">
        <v>152.25647417187929</v>
      </c>
      <c r="E737" s="454">
        <v>173.65336979687095</v>
      </c>
      <c r="F737" s="454">
        <v>311.15384468750005</v>
      </c>
      <c r="G737" s="454">
        <v>351.66805354687972</v>
      </c>
      <c r="H737" s="454">
        <v>416.46823765625101</v>
      </c>
      <c r="I737" s="454">
        <v>705.88453473437085</v>
      </c>
      <c r="J737" s="723">
        <v>594.02028865624811</v>
      </c>
      <c r="K737" s="723">
        <v>337.19204598438029</v>
      </c>
      <c r="L737" s="723">
        <v>316.9560613124998</v>
      </c>
      <c r="M737" s="723">
        <v>271.726562765621</v>
      </c>
      <c r="N737" s="756">
        <v>182.95891199999838</v>
      </c>
      <c r="O737" s="756">
        <v>175.45450095313052</v>
      </c>
      <c r="P737" s="1187"/>
      <c r="Q737" s="724">
        <f t="shared" si="46"/>
        <v>3989.3928862656308</v>
      </c>
      <c r="R737" s="1146" t="s">
        <v>365</v>
      </c>
      <c r="S737" s="1211"/>
      <c r="T737" s="756">
        <f>Q737</f>
        <v>3989.3928862656308</v>
      </c>
      <c r="U737" s="1145" t="s">
        <v>342</v>
      </c>
      <c r="V737" s="126"/>
      <c r="Y737" s="157"/>
      <c r="Z737" s="157"/>
    </row>
    <row r="738" spans="1:26" s="125" customFormat="1" x14ac:dyDescent="0.25">
      <c r="A738" s="461"/>
      <c r="B738" s="728" t="s">
        <v>864</v>
      </c>
      <c r="C738" s="730"/>
      <c r="D738" s="1193">
        <v>185</v>
      </c>
      <c r="E738" s="1194">
        <v>310</v>
      </c>
      <c r="F738" s="1194">
        <v>280</v>
      </c>
      <c r="G738" s="1194">
        <v>295</v>
      </c>
      <c r="H738" s="1194">
        <v>205</v>
      </c>
      <c r="I738" s="1194">
        <v>255</v>
      </c>
      <c r="J738" s="1195">
        <v>345</v>
      </c>
      <c r="K738" s="750">
        <v>300</v>
      </c>
      <c r="L738" s="750">
        <v>330</v>
      </c>
      <c r="M738" s="750">
        <v>150</v>
      </c>
      <c r="N738" s="750">
        <v>90</v>
      </c>
      <c r="O738" s="750">
        <v>85</v>
      </c>
      <c r="P738" s="1191"/>
      <c r="Q738" s="724">
        <f t="shared" si="46"/>
        <v>2830</v>
      </c>
      <c r="R738" s="1146" t="s">
        <v>379</v>
      </c>
      <c r="S738" s="1211"/>
      <c r="T738" s="756">
        <f>Q738*748</f>
        <v>2116840</v>
      </c>
      <c r="U738" s="1146" t="s">
        <v>346</v>
      </c>
      <c r="V738" s="126"/>
      <c r="Y738" s="157"/>
      <c r="Z738" s="157"/>
    </row>
    <row r="739" spans="1:26" s="125" customFormat="1" x14ac:dyDescent="0.25">
      <c r="A739" s="461"/>
      <c r="B739" s="728" t="s">
        <v>1130</v>
      </c>
      <c r="C739" s="730"/>
      <c r="D739" s="759">
        <v>980</v>
      </c>
      <c r="E739" s="760">
        <v>1242</v>
      </c>
      <c r="F739" s="760">
        <v>1114</v>
      </c>
      <c r="G739" s="760">
        <v>1123</v>
      </c>
      <c r="H739" s="760">
        <v>737</v>
      </c>
      <c r="I739" s="760">
        <v>1103</v>
      </c>
      <c r="J739" s="750">
        <v>1196</v>
      </c>
      <c r="K739" s="750">
        <v>1165</v>
      </c>
      <c r="L739" s="750">
        <v>1261</v>
      </c>
      <c r="M739" s="750">
        <v>580</v>
      </c>
      <c r="N739" s="750">
        <v>1580</v>
      </c>
      <c r="O739" s="1593"/>
      <c r="P739" s="1191"/>
      <c r="Q739" s="1660">
        <f>SUM(D739:O739)</f>
        <v>12081</v>
      </c>
      <c r="R739" s="1146" t="s">
        <v>1131</v>
      </c>
      <c r="S739" s="1211"/>
      <c r="T739" s="1661">
        <f>Q739</f>
        <v>12081</v>
      </c>
      <c r="U739" s="1146" t="s">
        <v>1131</v>
      </c>
      <c r="V739" s="126"/>
      <c r="Y739" s="157"/>
      <c r="Z739" s="157"/>
    </row>
    <row r="740" spans="1:26" s="125" customFormat="1" x14ac:dyDescent="0.25">
      <c r="A740" s="461"/>
      <c r="B740" s="722" t="s">
        <v>368</v>
      </c>
      <c r="C740" s="730"/>
      <c r="D740" s="731">
        <f>D735*0.086</f>
        <v>10992.258178710501</v>
      </c>
      <c r="E740" s="731">
        <f t="shared" ref="E740:N740" si="47">E735*0.086</f>
        <v>11849.507034301729</v>
      </c>
      <c r="F740" s="731">
        <f t="shared" si="47"/>
        <v>12006.27371215866</v>
      </c>
      <c r="G740" s="731">
        <f t="shared" si="47"/>
        <v>11461.060272216768</v>
      </c>
      <c r="H740" s="731">
        <f t="shared" si="47"/>
        <v>10591.925659179233</v>
      </c>
      <c r="I740" s="731">
        <f t="shared" si="47"/>
        <v>11878.419311523847</v>
      </c>
      <c r="J740" s="731">
        <f t="shared" si="47"/>
        <v>11617.726562499569</v>
      </c>
      <c r="K740" s="731">
        <f t="shared" si="47"/>
        <v>11474.134277344179</v>
      </c>
      <c r="L740" s="731">
        <f t="shared" si="47"/>
        <v>11365.054321288651</v>
      </c>
      <c r="M740" s="731">
        <f t="shared" si="47"/>
        <v>10163.425448331573</v>
      </c>
      <c r="N740" s="731">
        <f t="shared" si="47"/>
        <v>10835.304504394546</v>
      </c>
      <c r="O740" s="731">
        <f>O735*0.087</f>
        <v>11111.382568358938</v>
      </c>
      <c r="P740" s="745"/>
      <c r="Q740" s="724">
        <f t="shared" si="46"/>
        <v>135346.47185030818</v>
      </c>
      <c r="R740" s="1145" t="s">
        <v>865</v>
      </c>
      <c r="S740" s="1211"/>
      <c r="T740" s="1651"/>
      <c r="U740" s="1652"/>
      <c r="V740" s="126"/>
      <c r="Y740" s="157"/>
      <c r="Z740" s="157"/>
    </row>
    <row r="741" spans="1:26" s="125" customFormat="1" x14ac:dyDescent="0.25">
      <c r="A741" s="461"/>
      <c r="B741" s="722" t="s">
        <v>369</v>
      </c>
      <c r="C741" s="730"/>
      <c r="D741" s="731">
        <f>D736*13.97</f>
        <v>13109.937768554688</v>
      </c>
      <c r="E741" s="731">
        <f t="shared" ref="E741:N741" si="48">E736*13.97</f>
        <v>11610.645717773437</v>
      </c>
      <c r="F741" s="731">
        <f t="shared" si="48"/>
        <v>5475.5169433593755</v>
      </c>
      <c r="G741" s="731">
        <f t="shared" si="48"/>
        <v>4110.75435546875</v>
      </c>
      <c r="H741" s="731">
        <f t="shared" si="48"/>
        <v>4368.1488769531252</v>
      </c>
      <c r="I741" s="731">
        <f t="shared" si="48"/>
        <v>1565.1379541015626</v>
      </c>
      <c r="J741" s="731">
        <f t="shared" si="48"/>
        <v>2065.3499023437503</v>
      </c>
      <c r="K741" s="731">
        <f t="shared" si="48"/>
        <v>4662.35107421875</v>
      </c>
      <c r="L741" s="731">
        <f t="shared" si="48"/>
        <v>5239.5344482421879</v>
      </c>
      <c r="M741" s="731">
        <f t="shared" si="48"/>
        <v>7840.9080664062503</v>
      </c>
      <c r="N741" s="731">
        <f t="shared" si="48"/>
        <v>12412.529174804688</v>
      </c>
      <c r="O741" s="731">
        <f>O736*12.95</f>
        <v>15389.766088867187</v>
      </c>
      <c r="P741" s="745"/>
      <c r="Q741" s="724">
        <f t="shared" si="46"/>
        <v>87850.580371093747</v>
      </c>
      <c r="R741" s="1145" t="s">
        <v>865</v>
      </c>
      <c r="S741" s="1211"/>
      <c r="T741" s="1647"/>
      <c r="U741" s="1150"/>
      <c r="V741" s="126"/>
      <c r="Y741" s="157"/>
      <c r="Z741" s="157"/>
    </row>
    <row r="742" spans="1:26" s="125" customFormat="1" ht="16.5" x14ac:dyDescent="0.35">
      <c r="A742" s="461"/>
      <c r="B742" s="722" t="s">
        <v>326</v>
      </c>
      <c r="C742" s="730"/>
      <c r="D742" s="1208">
        <f>D737*13.39</f>
        <v>2038.7141891614638</v>
      </c>
      <c r="E742" s="1208">
        <f t="shared" ref="E742:N742" si="49">E737*13.39</f>
        <v>2325.2186215801021</v>
      </c>
      <c r="F742" s="1208">
        <f t="shared" si="49"/>
        <v>4166.3499803656259</v>
      </c>
      <c r="G742" s="1208">
        <f t="shared" si="49"/>
        <v>4708.8352369927197</v>
      </c>
      <c r="H742" s="1208">
        <f t="shared" si="49"/>
        <v>5576.5097022172013</v>
      </c>
      <c r="I742" s="1208">
        <f t="shared" si="49"/>
        <v>9451.7939200932269</v>
      </c>
      <c r="J742" s="1208">
        <f t="shared" si="49"/>
        <v>7953.9316651071622</v>
      </c>
      <c r="K742" s="1208">
        <f t="shared" si="49"/>
        <v>4515.0014957308522</v>
      </c>
      <c r="L742" s="1208">
        <f t="shared" si="49"/>
        <v>4244.0416609743725</v>
      </c>
      <c r="M742" s="1208">
        <f t="shared" si="49"/>
        <v>3638.4186754316652</v>
      </c>
      <c r="N742" s="1208">
        <f t="shared" si="49"/>
        <v>2449.8198316799785</v>
      </c>
      <c r="O742" s="1208">
        <f>O737*12.02</f>
        <v>2108.9631014566289</v>
      </c>
      <c r="P742" s="745"/>
      <c r="Q742" s="724">
        <f t="shared" si="46"/>
        <v>53177.598080790987</v>
      </c>
      <c r="R742" s="1145" t="s">
        <v>865</v>
      </c>
      <c r="S742" s="1211"/>
      <c r="T742" s="1653"/>
      <c r="U742" s="1150"/>
      <c r="V742" s="126"/>
      <c r="Y742" s="157"/>
      <c r="Z742" s="157"/>
    </row>
    <row r="743" spans="1:26" s="125" customFormat="1" ht="16.5" x14ac:dyDescent="0.35">
      <c r="A743" s="461"/>
      <c r="B743" s="732" t="s">
        <v>325</v>
      </c>
      <c r="C743" s="714"/>
      <c r="D743" s="1147">
        <f>D738*9.2</f>
        <v>1701.9999999999998</v>
      </c>
      <c r="E743" s="1147">
        <f t="shared" ref="E743:N743" si="50">E738*9.2</f>
        <v>2852</v>
      </c>
      <c r="F743" s="1147">
        <f t="shared" si="50"/>
        <v>2576</v>
      </c>
      <c r="G743" s="1147">
        <f t="shared" si="50"/>
        <v>2714</v>
      </c>
      <c r="H743" s="1147">
        <f t="shared" si="50"/>
        <v>1885.9999999999998</v>
      </c>
      <c r="I743" s="1147">
        <f t="shared" si="50"/>
        <v>2346</v>
      </c>
      <c r="J743" s="1147">
        <f t="shared" si="50"/>
        <v>3173.9999999999995</v>
      </c>
      <c r="K743" s="1147">
        <f t="shared" si="50"/>
        <v>2760</v>
      </c>
      <c r="L743" s="1147">
        <f t="shared" si="50"/>
        <v>3035.9999999999995</v>
      </c>
      <c r="M743" s="1147">
        <f t="shared" si="50"/>
        <v>1380</v>
      </c>
      <c r="N743" s="1147">
        <f t="shared" si="50"/>
        <v>827.99999999999989</v>
      </c>
      <c r="O743" s="1147">
        <f>O738*9.33</f>
        <v>793.05</v>
      </c>
      <c r="P743" s="1148"/>
      <c r="Q743" s="724">
        <f t="shared" si="46"/>
        <v>26047.05</v>
      </c>
      <c r="R743" s="1145" t="s">
        <v>865</v>
      </c>
      <c r="S743" s="1211"/>
      <c r="T743" s="1653"/>
      <c r="U743" s="1150"/>
      <c r="V743" s="126"/>
      <c r="Y743" s="157"/>
      <c r="Z743" s="157"/>
    </row>
    <row r="744" spans="1:26" x14ac:dyDescent="0.25">
      <c r="B744" s="732" t="s">
        <v>829</v>
      </c>
      <c r="C744" s="714"/>
      <c r="D744" s="775">
        <v>735.37</v>
      </c>
      <c r="E744" s="775">
        <v>918.08</v>
      </c>
      <c r="F744" s="775">
        <v>823.2</v>
      </c>
      <c r="G744" s="775">
        <v>773.14</v>
      </c>
      <c r="H744" s="775">
        <v>520.20000000000005</v>
      </c>
      <c r="I744" s="1147">
        <v>701.82</v>
      </c>
      <c r="J744" s="1147">
        <v>763.72</v>
      </c>
      <c r="K744" s="1147">
        <v>742.69</v>
      </c>
      <c r="L744" s="1147">
        <v>832.05</v>
      </c>
      <c r="M744" s="1147">
        <v>410.25</v>
      </c>
      <c r="N744" s="1147">
        <v>567.77</v>
      </c>
      <c r="O744" s="1594"/>
      <c r="P744" s="1148"/>
      <c r="Q744" s="724">
        <f t="shared" si="46"/>
        <v>7788.2899999999991</v>
      </c>
      <c r="R744" s="1145" t="s">
        <v>865</v>
      </c>
      <c r="S744" s="1211"/>
      <c r="T744" s="1647"/>
      <c r="U744" s="1150"/>
    </row>
    <row r="745" spans="1:26" ht="15.75" x14ac:dyDescent="0.25">
      <c r="B745" s="1668" t="s">
        <v>1428</v>
      </c>
      <c r="C745" s="714"/>
      <c r="D745" s="1662"/>
      <c r="E745" s="1662"/>
      <c r="F745" s="1662"/>
      <c r="G745" s="1662"/>
      <c r="H745" s="1662"/>
      <c r="I745" s="177"/>
      <c r="J745" s="177"/>
      <c r="K745" s="177"/>
      <c r="L745" s="177"/>
      <c r="M745" s="177"/>
      <c r="N745" s="177"/>
      <c r="O745" s="177"/>
      <c r="P745" s="177"/>
      <c r="Q745" s="1663"/>
      <c r="R745" s="1150"/>
      <c r="S745" s="1211"/>
      <c r="T745" s="1647"/>
      <c r="U745" s="1150"/>
    </row>
    <row r="746" spans="1:26" x14ac:dyDescent="0.25">
      <c r="B746" s="1149"/>
      <c r="C746" s="714"/>
      <c r="D746" s="1662"/>
      <c r="E746" s="1662"/>
      <c r="F746" s="1662"/>
      <c r="G746" s="1662"/>
      <c r="H746" s="1662"/>
      <c r="I746" s="177"/>
      <c r="J746" s="177"/>
      <c r="K746" s="177"/>
      <c r="L746" s="177"/>
      <c r="M746" s="177"/>
      <c r="N746" s="177"/>
      <c r="O746" s="177"/>
      <c r="P746" s="177"/>
      <c r="Q746" s="1663"/>
      <c r="R746" s="1150"/>
      <c r="S746" s="1211"/>
      <c r="T746" s="1647"/>
      <c r="U746" s="1150"/>
    </row>
    <row r="747" spans="1:26" s="128" customFormat="1" x14ac:dyDescent="0.25">
      <c r="A747" s="459">
        <v>47</v>
      </c>
      <c r="B747" s="127" t="s">
        <v>1009</v>
      </c>
      <c r="C747" s="173"/>
      <c r="S747" s="173"/>
      <c r="T747" s="127" t="s">
        <v>629</v>
      </c>
      <c r="W747" s="129"/>
      <c r="Y747" s="166"/>
      <c r="Z747" s="166"/>
    </row>
    <row r="748" spans="1:26" s="128" customFormat="1" ht="15.75" x14ac:dyDescent="0.25">
      <c r="A748" s="459"/>
      <c r="B748" s="1640" t="s">
        <v>1412</v>
      </c>
      <c r="C748" s="998"/>
      <c r="D748" s="441"/>
      <c r="E748" s="441"/>
      <c r="F748" s="441"/>
      <c r="G748" s="441"/>
      <c r="H748" s="441"/>
      <c r="I748" s="441"/>
      <c r="J748" s="441"/>
      <c r="K748" s="441"/>
      <c r="L748" s="441"/>
      <c r="M748" s="441"/>
      <c r="N748" s="441"/>
      <c r="S748" s="173"/>
      <c r="T748" s="127"/>
      <c r="W748" s="129"/>
      <c r="Y748" s="166"/>
      <c r="Z748" s="166"/>
    </row>
    <row r="749" spans="1:26" s="128" customFormat="1" ht="15.75" x14ac:dyDescent="0.25">
      <c r="A749" s="459"/>
      <c r="B749" s="472" t="s">
        <v>732</v>
      </c>
      <c r="C749" s="1628" t="s">
        <v>1398</v>
      </c>
      <c r="D749" s="473">
        <v>42217</v>
      </c>
      <c r="E749" s="473">
        <v>42248</v>
      </c>
      <c r="F749" s="473">
        <v>42278</v>
      </c>
      <c r="G749" s="473">
        <v>42309</v>
      </c>
      <c r="H749" s="473">
        <v>42339</v>
      </c>
      <c r="I749" s="473">
        <v>42370</v>
      </c>
      <c r="J749" s="473">
        <v>42401</v>
      </c>
      <c r="K749" s="473">
        <v>42430</v>
      </c>
      <c r="L749" s="473">
        <v>42461</v>
      </c>
      <c r="M749" s="473">
        <v>42491</v>
      </c>
      <c r="N749" s="473">
        <v>42522</v>
      </c>
      <c r="S749" s="173"/>
      <c r="T749" s="127"/>
      <c r="W749" s="129"/>
      <c r="Y749" s="166"/>
      <c r="Z749" s="166"/>
    </row>
    <row r="750" spans="1:26" s="128" customFormat="1" ht="15.75" x14ac:dyDescent="0.25">
      <c r="A750" s="459"/>
      <c r="B750" s="1100" t="s">
        <v>1098</v>
      </c>
      <c r="C750" s="1637"/>
      <c r="D750" s="441"/>
      <c r="E750" s="441"/>
      <c r="F750" s="1100"/>
      <c r="G750" s="1100"/>
      <c r="H750" s="1100"/>
      <c r="I750" s="1100"/>
      <c r="J750" s="1100"/>
      <c r="K750" s="1100"/>
      <c r="L750" s="1100"/>
      <c r="M750" s="1100"/>
      <c r="N750" s="1100"/>
      <c r="S750" s="173"/>
      <c r="T750" s="127"/>
      <c r="W750" s="129"/>
      <c r="Y750" s="166"/>
      <c r="Z750" s="166"/>
    </row>
    <row r="751" spans="1:26" s="128" customFormat="1" ht="15.75" x14ac:dyDescent="0.25">
      <c r="A751" s="459"/>
      <c r="B751" s="1629" t="s">
        <v>1093</v>
      </c>
      <c r="C751" s="1631">
        <v>87080</v>
      </c>
      <c r="D751" s="1631">
        <v>66054</v>
      </c>
      <c r="E751" s="1631">
        <v>71936</v>
      </c>
      <c r="F751" s="1631">
        <v>55367</v>
      </c>
      <c r="G751" s="1631">
        <v>60814</v>
      </c>
      <c r="H751" s="1631">
        <v>55142</v>
      </c>
      <c r="I751" s="1631">
        <v>84371</v>
      </c>
      <c r="J751" s="1631">
        <v>80199</v>
      </c>
      <c r="K751" s="1631">
        <v>59713</v>
      </c>
      <c r="L751" s="1631">
        <v>60841</v>
      </c>
      <c r="M751" s="1631">
        <v>44681</v>
      </c>
      <c r="N751" s="1631">
        <v>46658</v>
      </c>
      <c r="S751" s="173"/>
      <c r="T751" s="127"/>
      <c r="W751" s="129"/>
      <c r="Y751" s="166"/>
      <c r="Z751" s="166"/>
    </row>
    <row r="752" spans="1:26" s="128" customFormat="1" ht="15.75" x14ac:dyDescent="0.25">
      <c r="A752" s="459"/>
      <c r="B752" s="1629" t="s">
        <v>322</v>
      </c>
      <c r="C752" s="1631">
        <v>123420</v>
      </c>
      <c r="D752" s="1631">
        <v>98736</v>
      </c>
      <c r="E752" s="1631">
        <v>168300</v>
      </c>
      <c r="F752" s="1631">
        <v>189244</v>
      </c>
      <c r="G752" s="1631">
        <v>202708</v>
      </c>
      <c r="H752" s="1631">
        <v>132396</v>
      </c>
      <c r="I752" s="1631">
        <v>45628</v>
      </c>
      <c r="J752" s="1631">
        <v>191488</v>
      </c>
      <c r="K752" s="1631">
        <v>178772</v>
      </c>
      <c r="L752" s="1631">
        <v>179520</v>
      </c>
      <c r="M752" s="1631">
        <v>160820</v>
      </c>
      <c r="N752" s="1631">
        <v>5984</v>
      </c>
      <c r="S752" s="173"/>
      <c r="T752" s="127"/>
      <c r="W752" s="129"/>
      <c r="Y752" s="166"/>
      <c r="Z752" s="166"/>
    </row>
    <row r="753" spans="1:26" s="128" customFormat="1" ht="15.75" x14ac:dyDescent="0.25">
      <c r="A753" s="459"/>
      <c r="B753" s="1632" t="s">
        <v>641</v>
      </c>
      <c r="C753" s="1631">
        <v>451</v>
      </c>
      <c r="D753" s="1631">
        <v>285</v>
      </c>
      <c r="E753" s="1631">
        <v>482</v>
      </c>
      <c r="F753" s="1631">
        <v>470</v>
      </c>
      <c r="G753" s="1631">
        <v>586</v>
      </c>
      <c r="H753" s="1631">
        <v>521</v>
      </c>
      <c r="I753" s="1631">
        <v>378</v>
      </c>
      <c r="J753" s="1631">
        <v>708</v>
      </c>
      <c r="K753" s="1631">
        <v>676</v>
      </c>
      <c r="L753" s="1631">
        <v>630</v>
      </c>
      <c r="M753" s="1631">
        <v>499</v>
      </c>
      <c r="N753" s="1631">
        <v>161</v>
      </c>
      <c r="S753" s="173"/>
      <c r="T753" s="127"/>
      <c r="W753" s="129"/>
      <c r="Y753" s="166"/>
      <c r="Z753" s="166"/>
    </row>
    <row r="754" spans="1:26" s="128" customFormat="1" ht="15.75" x14ac:dyDescent="0.25">
      <c r="A754" s="459"/>
      <c r="B754" s="1633"/>
      <c r="C754" s="1631"/>
      <c r="D754" s="1631"/>
      <c r="E754" s="1631"/>
      <c r="F754" s="1631"/>
      <c r="G754" s="1631"/>
      <c r="H754" s="1631"/>
      <c r="I754" s="1631"/>
      <c r="J754" s="1631"/>
      <c r="K754" s="1631"/>
      <c r="L754" s="1631"/>
      <c r="M754" s="1631"/>
      <c r="N754" s="1631"/>
      <c r="S754" s="173"/>
      <c r="T754" s="127"/>
      <c r="W754" s="129"/>
      <c r="Y754" s="166"/>
      <c r="Z754" s="166"/>
    </row>
    <row r="755" spans="1:26" s="128" customFormat="1" ht="15.75" x14ac:dyDescent="0.25">
      <c r="A755" s="459"/>
      <c r="B755" s="1629" t="s">
        <v>324</v>
      </c>
      <c r="C755" s="1631">
        <v>7073.86</v>
      </c>
      <c r="D755" s="1631">
        <v>5781.09</v>
      </c>
      <c r="E755" s="1631">
        <v>6135.4</v>
      </c>
      <c r="F755" s="1631">
        <v>5150.7</v>
      </c>
      <c r="G755" s="1631">
        <v>5485.92</v>
      </c>
      <c r="H755" s="1631">
        <v>5136.8599999999997</v>
      </c>
      <c r="I755" s="1631">
        <v>6910.1</v>
      </c>
      <c r="J755" s="1631">
        <v>6645.51</v>
      </c>
      <c r="K755" s="1631">
        <v>5393.3</v>
      </c>
      <c r="L755" s="1631">
        <v>5462.25</v>
      </c>
      <c r="M755" s="1631">
        <v>4474.4799999999996</v>
      </c>
      <c r="N755" s="1631">
        <v>4595.32</v>
      </c>
      <c r="S755" s="173"/>
      <c r="T755" s="127"/>
      <c r="W755" s="129"/>
      <c r="Y755" s="166"/>
      <c r="Z755" s="166"/>
    </row>
    <row r="756" spans="1:26" s="128" customFormat="1" ht="15.75" x14ac:dyDescent="0.25">
      <c r="A756" s="459"/>
      <c r="B756" s="1634" t="s">
        <v>328</v>
      </c>
      <c r="C756" s="1631">
        <v>1702.41</v>
      </c>
      <c r="D756" s="1631">
        <v>1530.64</v>
      </c>
      <c r="E756" s="1631">
        <v>2090.5</v>
      </c>
      <c r="F756" s="1631">
        <v>2259.0600000000004</v>
      </c>
      <c r="G756" s="1631">
        <v>2367.4</v>
      </c>
      <c r="H756" s="1631">
        <v>1801.54</v>
      </c>
      <c r="I756" s="1631">
        <v>1103.22</v>
      </c>
      <c r="J756" s="1631">
        <v>2277.12</v>
      </c>
      <c r="K756" s="1631">
        <v>2174.7800000000002</v>
      </c>
      <c r="L756" s="1631">
        <v>2180.8000000000002</v>
      </c>
      <c r="M756" s="1631">
        <v>2030.3</v>
      </c>
      <c r="N756" s="1631">
        <v>784.16</v>
      </c>
      <c r="S756" s="173"/>
      <c r="T756" s="127"/>
      <c r="W756" s="129"/>
      <c r="Y756" s="166"/>
      <c r="Z756" s="166"/>
    </row>
    <row r="757" spans="1:26" s="128" customFormat="1" ht="15.75" x14ac:dyDescent="0.25">
      <c r="A757" s="459"/>
      <c r="B757" s="1633" t="s">
        <v>733</v>
      </c>
      <c r="C757" s="1631">
        <v>361.68</v>
      </c>
      <c r="D757" s="1631">
        <v>237.22</v>
      </c>
      <c r="E757" s="1631">
        <v>384.92</v>
      </c>
      <c r="F757" s="1631">
        <v>379.77</v>
      </c>
      <c r="G757" s="1631">
        <v>467.28</v>
      </c>
      <c r="H757" s="1631">
        <v>406.12</v>
      </c>
      <c r="I757" s="1631">
        <v>298.86</v>
      </c>
      <c r="J757" s="1631">
        <v>530.01</v>
      </c>
      <c r="K757" s="1631">
        <v>507.13</v>
      </c>
      <c r="L757" s="1631">
        <v>472.19</v>
      </c>
      <c r="M757" s="1631">
        <v>388.46</v>
      </c>
      <c r="N757" s="1631">
        <v>141.5</v>
      </c>
      <c r="S757" s="173"/>
      <c r="T757" s="127"/>
      <c r="W757" s="129"/>
      <c r="Y757" s="166"/>
      <c r="Z757" s="166"/>
    </row>
    <row r="758" spans="1:26" s="128" customFormat="1" x14ac:dyDescent="0.25">
      <c r="A758" s="459"/>
      <c r="B758" s="127"/>
      <c r="C758" s="173"/>
      <c r="S758" s="173"/>
      <c r="T758" s="127"/>
      <c r="W758" s="129"/>
      <c r="Y758" s="166"/>
      <c r="Z758" s="166"/>
    </row>
    <row r="759" spans="1:26" s="128" customFormat="1" x14ac:dyDescent="0.25">
      <c r="A759" s="459">
        <v>48</v>
      </c>
      <c r="B759" s="127" t="s">
        <v>736</v>
      </c>
      <c r="C759" s="173"/>
      <c r="S759" s="173"/>
      <c r="T759" s="127" t="s">
        <v>630</v>
      </c>
      <c r="W759" s="129"/>
      <c r="Y759" s="166"/>
      <c r="Z759" s="166"/>
    </row>
    <row r="760" spans="1:26" s="128" customFormat="1" ht="15.75" x14ac:dyDescent="0.25">
      <c r="A760" s="459"/>
      <c r="B760" s="1640" t="s">
        <v>1414</v>
      </c>
      <c r="C760" s="998"/>
      <c r="D760" s="441"/>
      <c r="E760" s="441"/>
      <c r="F760" s="441"/>
      <c r="G760" s="441"/>
      <c r="H760" s="441"/>
      <c r="I760" s="441"/>
      <c r="J760" s="441"/>
      <c r="K760" s="441"/>
      <c r="L760" s="441"/>
      <c r="M760" s="441"/>
      <c r="N760" s="441"/>
      <c r="S760" s="173"/>
      <c r="T760" s="127"/>
      <c r="W760" s="129"/>
      <c r="Y760" s="166"/>
      <c r="Z760" s="166"/>
    </row>
    <row r="761" spans="1:26" s="128" customFormat="1" ht="15.75" x14ac:dyDescent="0.25">
      <c r="A761" s="459"/>
      <c r="B761" s="472" t="s">
        <v>735</v>
      </c>
      <c r="C761" s="1628" t="s">
        <v>1398</v>
      </c>
      <c r="D761" s="473">
        <v>42217</v>
      </c>
      <c r="E761" s="473">
        <v>42248</v>
      </c>
      <c r="F761" s="473">
        <v>42278</v>
      </c>
      <c r="G761" s="473">
        <v>42309</v>
      </c>
      <c r="H761" s="473">
        <v>42339</v>
      </c>
      <c r="I761" s="473">
        <v>42370</v>
      </c>
      <c r="J761" s="473">
        <v>42401</v>
      </c>
      <c r="K761" s="473">
        <v>42430</v>
      </c>
      <c r="L761" s="473">
        <v>42461</v>
      </c>
      <c r="M761" s="473">
        <v>42491</v>
      </c>
      <c r="N761" s="473">
        <v>42522</v>
      </c>
      <c r="S761" s="173"/>
      <c r="T761" s="127"/>
      <c r="W761" s="129"/>
      <c r="Y761" s="166"/>
      <c r="Z761" s="166"/>
    </row>
    <row r="762" spans="1:26" s="128" customFormat="1" ht="15.75" x14ac:dyDescent="0.25">
      <c r="A762" s="459"/>
      <c r="B762" s="1100" t="s">
        <v>1101</v>
      </c>
      <c r="C762" s="1637"/>
      <c r="D762" s="441"/>
      <c r="E762" s="441"/>
      <c r="F762" s="1100"/>
      <c r="G762" s="1100"/>
      <c r="H762" s="1100"/>
      <c r="I762" s="1100"/>
      <c r="J762" s="1100"/>
      <c r="K762" s="1100"/>
      <c r="L762" s="1100"/>
      <c r="M762" s="1100"/>
      <c r="N762" s="1100"/>
      <c r="S762" s="173"/>
      <c r="T762" s="127"/>
      <c r="W762" s="129"/>
      <c r="Y762" s="166"/>
      <c r="Z762" s="166"/>
    </row>
    <row r="763" spans="1:26" s="128" customFormat="1" ht="15.75" x14ac:dyDescent="0.25">
      <c r="A763" s="459"/>
      <c r="B763" s="1629" t="s">
        <v>1093</v>
      </c>
      <c r="C763" s="1631">
        <v>34899</v>
      </c>
      <c r="D763" s="1631">
        <v>35352</v>
      </c>
      <c r="E763" s="1631">
        <v>42931</v>
      </c>
      <c r="F763" s="1631">
        <v>35078</v>
      </c>
      <c r="G763" s="1631">
        <v>40217</v>
      </c>
      <c r="H763" s="1631">
        <v>37592</v>
      </c>
      <c r="I763" s="1631">
        <v>55586</v>
      </c>
      <c r="J763" s="1631">
        <v>4273.1400000000003</v>
      </c>
      <c r="K763" s="1631">
        <v>39018</v>
      </c>
      <c r="L763" s="1631">
        <v>36408</v>
      </c>
      <c r="M763" s="1631">
        <v>28469</v>
      </c>
      <c r="N763" s="1631">
        <v>34907</v>
      </c>
      <c r="S763" s="173"/>
      <c r="T763" s="127"/>
      <c r="W763" s="129"/>
      <c r="Y763" s="166"/>
      <c r="Z763" s="166"/>
    </row>
    <row r="764" spans="1:26" s="128" customFormat="1" ht="15.75" x14ac:dyDescent="0.25">
      <c r="A764" s="459"/>
      <c r="B764" s="1629" t="s">
        <v>322</v>
      </c>
      <c r="C764" s="1631">
        <v>2992</v>
      </c>
      <c r="D764" s="1631">
        <v>2992</v>
      </c>
      <c r="E764" s="1631">
        <v>79288</v>
      </c>
      <c r="F764" s="1631">
        <v>94996</v>
      </c>
      <c r="G764" s="1631">
        <v>97240</v>
      </c>
      <c r="H764" s="1631">
        <v>68816</v>
      </c>
      <c r="I764" s="1631">
        <v>20944</v>
      </c>
      <c r="J764" s="1631">
        <v>94248</v>
      </c>
      <c r="K764" s="1631">
        <v>92004</v>
      </c>
      <c r="L764" s="1631">
        <v>153340</v>
      </c>
      <c r="M764" s="1631">
        <v>108460</v>
      </c>
      <c r="N764" s="1631">
        <v>16456</v>
      </c>
      <c r="S764" s="173"/>
      <c r="T764" s="127"/>
      <c r="W764" s="129"/>
      <c r="Y764" s="166"/>
      <c r="Z764" s="166"/>
    </row>
    <row r="765" spans="1:26" s="128" customFormat="1" ht="15.75" x14ac:dyDescent="0.25">
      <c r="A765" s="459"/>
      <c r="B765" s="1632" t="s">
        <v>641</v>
      </c>
      <c r="C765" s="1631">
        <v>82</v>
      </c>
      <c r="D765" s="1631">
        <v>74</v>
      </c>
      <c r="E765" s="1631">
        <v>230</v>
      </c>
      <c r="F765" s="1631">
        <v>242</v>
      </c>
      <c r="G765" s="1631">
        <v>323</v>
      </c>
      <c r="H765" s="1631">
        <v>302</v>
      </c>
      <c r="I765" s="1631">
        <v>201</v>
      </c>
      <c r="J765" s="1631">
        <v>406</v>
      </c>
      <c r="K765" s="1631">
        <v>402</v>
      </c>
      <c r="L765" s="1631">
        <v>355</v>
      </c>
      <c r="M765" s="1631">
        <v>280</v>
      </c>
      <c r="N765" s="1631">
        <v>107</v>
      </c>
      <c r="S765" s="173"/>
      <c r="T765" s="127"/>
      <c r="W765" s="129"/>
      <c r="Y765" s="166"/>
      <c r="Z765" s="166"/>
    </row>
    <row r="766" spans="1:26" s="128" customFormat="1" ht="15.75" x14ac:dyDescent="0.25">
      <c r="A766" s="459"/>
      <c r="B766" s="1633"/>
      <c r="C766" s="1631"/>
      <c r="D766" s="1631"/>
      <c r="E766" s="1631"/>
      <c r="F766" s="1631"/>
      <c r="G766" s="1631"/>
      <c r="H766" s="1631"/>
      <c r="I766" s="1631"/>
      <c r="J766" s="1631"/>
      <c r="K766" s="1631"/>
      <c r="L766" s="1631"/>
      <c r="M766" s="1631"/>
      <c r="N766" s="1631"/>
      <c r="S766" s="173"/>
      <c r="T766" s="127"/>
      <c r="W766" s="129"/>
      <c r="Y766" s="166"/>
      <c r="Z766" s="166"/>
    </row>
    <row r="767" spans="1:26" s="128" customFormat="1" ht="15.75" x14ac:dyDescent="0.25">
      <c r="A767" s="459"/>
      <c r="B767" s="1629" t="s">
        <v>324</v>
      </c>
      <c r="C767" s="1631">
        <v>3164.91</v>
      </c>
      <c r="D767" s="1631">
        <v>3189.93</v>
      </c>
      <c r="E767" s="1631">
        <v>3651.01</v>
      </c>
      <c r="F767" s="1631">
        <v>3188.84</v>
      </c>
      <c r="G767" s="1631">
        <v>3505.1</v>
      </c>
      <c r="H767" s="1631">
        <v>3343.56</v>
      </c>
      <c r="I767" s="1631">
        <v>4434.09</v>
      </c>
      <c r="J767" s="1631">
        <v>144</v>
      </c>
      <c r="K767" s="1631">
        <v>3415.07</v>
      </c>
      <c r="L767" s="1631">
        <v>3255.53</v>
      </c>
      <c r="M767" s="1631">
        <v>2770.26</v>
      </c>
      <c r="N767" s="1631">
        <v>3163.79</v>
      </c>
      <c r="S767" s="173"/>
      <c r="T767" s="127"/>
      <c r="W767" s="129"/>
      <c r="Y767" s="166"/>
      <c r="Z767" s="166"/>
    </row>
    <row r="768" spans="1:26" s="128" customFormat="1" ht="15.75" x14ac:dyDescent="0.25">
      <c r="A768" s="459"/>
      <c r="B768" s="1634" t="s">
        <v>328</v>
      </c>
      <c r="C768" s="1631">
        <v>769.15</v>
      </c>
      <c r="D768" s="1631">
        <v>770.08</v>
      </c>
      <c r="E768" s="1631">
        <v>1374.12</v>
      </c>
      <c r="F768" s="1631">
        <v>1500.5400000000002</v>
      </c>
      <c r="G768" s="1631">
        <v>1518.6</v>
      </c>
      <c r="H768" s="1631">
        <v>1289.8399999999999</v>
      </c>
      <c r="I768" s="1631">
        <v>904.56</v>
      </c>
      <c r="J768" s="1631">
        <v>1494.52</v>
      </c>
      <c r="K768" s="1631">
        <v>1476.46</v>
      </c>
      <c r="L768" s="1631">
        <v>1970.1</v>
      </c>
      <c r="M768" s="1631">
        <v>1608.9</v>
      </c>
      <c r="N768" s="1631">
        <v>868.44</v>
      </c>
      <c r="S768" s="173"/>
      <c r="T768" s="127"/>
      <c r="W768" s="129"/>
      <c r="Y768" s="166"/>
      <c r="Z768" s="166"/>
    </row>
    <row r="769" spans="1:26" s="128" customFormat="1" ht="15.75" x14ac:dyDescent="0.25">
      <c r="A769" s="459"/>
      <c r="B769" s="1633" t="s">
        <v>733</v>
      </c>
      <c r="C769" s="1631">
        <v>85.02</v>
      </c>
      <c r="D769" s="1631">
        <v>79.02</v>
      </c>
      <c r="E769" s="1631">
        <v>195.98</v>
      </c>
      <c r="F769" s="1631">
        <v>402.92</v>
      </c>
      <c r="G769" s="1631">
        <v>268.12</v>
      </c>
      <c r="H769" s="1631">
        <v>245.3</v>
      </c>
      <c r="I769" s="1631">
        <v>169.94</v>
      </c>
      <c r="J769" s="1631">
        <v>313.98</v>
      </c>
      <c r="K769" s="1631">
        <v>311.11</v>
      </c>
      <c r="L769" s="1631">
        <v>276.60000000000002</v>
      </c>
      <c r="M769" s="1631">
        <v>228.31</v>
      </c>
      <c r="N769" s="1631">
        <v>101.93</v>
      </c>
      <c r="S769" s="173"/>
      <c r="T769" s="127"/>
      <c r="W769" s="129"/>
      <c r="Y769" s="166"/>
      <c r="Z769" s="166"/>
    </row>
    <row r="771" spans="1:26" s="128" customFormat="1" x14ac:dyDescent="0.25">
      <c r="A771" s="459">
        <v>49</v>
      </c>
      <c r="B771" s="127" t="s">
        <v>1411</v>
      </c>
      <c r="C771" s="173"/>
      <c r="S771" s="173"/>
      <c r="T771" s="127" t="s">
        <v>631</v>
      </c>
      <c r="W771" s="129"/>
      <c r="Y771" s="166"/>
      <c r="Z771" s="166"/>
    </row>
    <row r="772" spans="1:26" s="128" customFormat="1" ht="15.75" x14ac:dyDescent="0.25">
      <c r="A772" s="459"/>
      <c r="B772" s="1640" t="s">
        <v>1415</v>
      </c>
      <c r="C772" s="998"/>
      <c r="D772" s="441"/>
      <c r="E772" s="441"/>
      <c r="F772" s="441"/>
      <c r="G772" s="441"/>
      <c r="H772" s="441"/>
      <c r="I772" s="441"/>
      <c r="J772" s="441"/>
      <c r="K772" s="441"/>
      <c r="L772" s="441"/>
      <c r="M772" s="441"/>
      <c r="N772" s="441"/>
      <c r="S772" s="173"/>
      <c r="T772" s="127"/>
      <c r="W772" s="129"/>
      <c r="Y772" s="166"/>
      <c r="Z772" s="166"/>
    </row>
    <row r="773" spans="1:26" s="128" customFormat="1" ht="15.75" x14ac:dyDescent="0.25">
      <c r="A773" s="459"/>
      <c r="B773" s="472" t="s">
        <v>737</v>
      </c>
      <c r="C773" s="1628" t="s">
        <v>1398</v>
      </c>
      <c r="D773" s="473">
        <v>42217</v>
      </c>
      <c r="E773" s="473">
        <v>42248</v>
      </c>
      <c r="F773" s="473">
        <v>42278</v>
      </c>
      <c r="G773" s="473">
        <v>42309</v>
      </c>
      <c r="H773" s="473">
        <v>42339</v>
      </c>
      <c r="I773" s="473">
        <v>42370</v>
      </c>
      <c r="J773" s="473">
        <v>42401</v>
      </c>
      <c r="K773" s="473">
        <v>42430</v>
      </c>
      <c r="L773" s="473">
        <v>42461</v>
      </c>
      <c r="M773" s="473">
        <v>42491</v>
      </c>
      <c r="N773" s="473">
        <v>42522</v>
      </c>
      <c r="S773" s="173"/>
      <c r="T773" s="127"/>
      <c r="W773" s="129"/>
      <c r="Y773" s="166"/>
      <c r="Z773" s="166"/>
    </row>
    <row r="774" spans="1:26" s="128" customFormat="1" ht="15.75" x14ac:dyDescent="0.25">
      <c r="A774" s="459"/>
      <c r="B774" s="1100" t="s">
        <v>1102</v>
      </c>
      <c r="C774" s="1637"/>
      <c r="D774" s="441"/>
      <c r="E774" s="441"/>
      <c r="F774" s="1100"/>
      <c r="G774" s="1100"/>
      <c r="H774" s="1100"/>
      <c r="I774" s="1100"/>
      <c r="J774" s="1100"/>
      <c r="K774" s="1100"/>
      <c r="L774" s="1100"/>
      <c r="M774" s="1100"/>
      <c r="N774" s="1100"/>
      <c r="S774" s="173"/>
      <c r="T774" s="127"/>
      <c r="W774" s="129"/>
      <c r="Y774" s="166"/>
      <c r="Z774" s="166"/>
    </row>
    <row r="775" spans="1:26" s="128" customFormat="1" ht="15.75" x14ac:dyDescent="0.25">
      <c r="A775" s="459"/>
      <c r="B775" s="1629" t="s">
        <v>1093</v>
      </c>
      <c r="C775" s="1631">
        <v>47471</v>
      </c>
      <c r="D775" s="1631">
        <v>47413</v>
      </c>
      <c r="E775" s="1631">
        <v>58833</v>
      </c>
      <c r="F775" s="1631">
        <v>49656</v>
      </c>
      <c r="G775" s="1631">
        <v>54502</v>
      </c>
      <c r="H775" s="1631">
        <v>48126</v>
      </c>
      <c r="I775" s="1631">
        <v>70496</v>
      </c>
      <c r="J775" s="1631">
        <v>64777</v>
      </c>
      <c r="K775" s="1631">
        <v>46794</v>
      </c>
      <c r="L775" s="1631">
        <v>49320</v>
      </c>
      <c r="M775" s="1631">
        <v>35860</v>
      </c>
      <c r="N775" s="1631">
        <v>39368</v>
      </c>
      <c r="S775" s="173"/>
      <c r="T775" s="127"/>
      <c r="W775" s="129"/>
      <c r="Y775" s="166"/>
      <c r="Z775" s="166"/>
    </row>
    <row r="776" spans="1:26" s="128" customFormat="1" ht="15.75" x14ac:dyDescent="0.25">
      <c r="A776" s="459"/>
      <c r="B776" s="1629" t="s">
        <v>322</v>
      </c>
      <c r="C776" s="1631">
        <v>6732</v>
      </c>
      <c r="D776" s="1631">
        <v>17204</v>
      </c>
      <c r="E776" s="1631">
        <v>153340</v>
      </c>
      <c r="F776" s="1631">
        <v>169048</v>
      </c>
      <c r="G776" s="1631">
        <v>183260</v>
      </c>
      <c r="H776" s="1631">
        <v>117436</v>
      </c>
      <c r="I776" s="1631">
        <v>39644</v>
      </c>
      <c r="J776" s="1631">
        <v>169048</v>
      </c>
      <c r="K776" s="1631">
        <v>166056</v>
      </c>
      <c r="L776" s="1631">
        <v>171292</v>
      </c>
      <c r="M776" s="1631">
        <v>148104</v>
      </c>
      <c r="N776" s="1631">
        <v>4488</v>
      </c>
      <c r="S776" s="173"/>
      <c r="T776" s="127"/>
      <c r="W776" s="129"/>
      <c r="Y776" s="166"/>
      <c r="Z776" s="166"/>
    </row>
    <row r="777" spans="1:26" s="128" customFormat="1" ht="15.75" x14ac:dyDescent="0.25">
      <c r="A777" s="459"/>
      <c r="B777" s="1632" t="s">
        <v>641</v>
      </c>
      <c r="C777" s="1631">
        <v>143</v>
      </c>
      <c r="D777" s="1631">
        <v>120</v>
      </c>
      <c r="E777" s="1631">
        <v>397</v>
      </c>
      <c r="F777" s="1631">
        <v>400</v>
      </c>
      <c r="G777" s="1631">
        <v>486</v>
      </c>
      <c r="H777" s="1631">
        <v>435</v>
      </c>
      <c r="I777" s="1631">
        <v>311</v>
      </c>
      <c r="J777" s="1631">
        <v>602</v>
      </c>
      <c r="K777" s="1631">
        <v>575</v>
      </c>
      <c r="L777" s="1631">
        <v>531</v>
      </c>
      <c r="M777" s="1631">
        <v>396</v>
      </c>
      <c r="N777" s="1631">
        <v>140</v>
      </c>
      <c r="S777" s="173"/>
      <c r="T777" s="127"/>
      <c r="W777" s="129"/>
      <c r="Y777" s="166"/>
      <c r="Z777" s="166"/>
    </row>
    <row r="778" spans="1:26" s="128" customFormat="1" ht="15.75" x14ac:dyDescent="0.25">
      <c r="A778" s="459"/>
      <c r="B778" s="1633"/>
      <c r="C778" s="1631"/>
      <c r="D778" s="1631"/>
      <c r="E778" s="1631"/>
      <c r="F778" s="1631"/>
      <c r="G778" s="1631"/>
      <c r="H778" s="1631"/>
      <c r="I778" s="1631"/>
      <c r="J778" s="1631"/>
      <c r="K778" s="1631"/>
      <c r="L778" s="1631"/>
      <c r="M778" s="1631"/>
      <c r="N778" s="1631"/>
      <c r="S778" s="173"/>
      <c r="T778" s="127"/>
      <c r="W778" s="129"/>
      <c r="Y778" s="166"/>
      <c r="Z778" s="166"/>
    </row>
    <row r="779" spans="1:26" s="128" customFormat="1" ht="15.75" x14ac:dyDescent="0.25">
      <c r="A779" s="459"/>
      <c r="B779" s="1629" t="s">
        <v>324</v>
      </c>
      <c r="C779" s="1631">
        <v>4231.5600000000004</v>
      </c>
      <c r="D779" s="1631">
        <v>4224.3599999999997</v>
      </c>
      <c r="E779" s="1631">
        <v>4918.76</v>
      </c>
      <c r="F779" s="1631">
        <v>4382.7</v>
      </c>
      <c r="G779" s="1631">
        <v>4680.93</v>
      </c>
      <c r="H779" s="1631">
        <v>4288.54</v>
      </c>
      <c r="I779" s="1631">
        <v>5643.88</v>
      </c>
      <c r="J779" s="1631">
        <v>5289.3</v>
      </c>
      <c r="K779" s="1631">
        <v>4187.09</v>
      </c>
      <c r="L779" s="1631">
        <v>4341.49</v>
      </c>
      <c r="M779" s="1631">
        <v>3518.75</v>
      </c>
      <c r="N779" s="1631">
        <v>3733.18</v>
      </c>
      <c r="S779" s="173"/>
      <c r="T779" s="127"/>
      <c r="W779" s="129"/>
      <c r="Y779" s="166"/>
      <c r="Z779" s="166"/>
    </row>
    <row r="780" spans="1:26" s="128" customFormat="1" ht="15.75" x14ac:dyDescent="0.25">
      <c r="A780" s="459"/>
      <c r="B780" s="1634" t="s">
        <v>328</v>
      </c>
      <c r="C780" s="1631">
        <v>798.01</v>
      </c>
      <c r="D780" s="1631">
        <v>874.46</v>
      </c>
      <c r="E780" s="1631">
        <v>1970.1</v>
      </c>
      <c r="F780" s="1631">
        <v>2096.52</v>
      </c>
      <c r="G780" s="1631">
        <v>2210.9</v>
      </c>
      <c r="H780" s="1631">
        <v>1681.14</v>
      </c>
      <c r="I780" s="1631">
        <v>1055.06</v>
      </c>
      <c r="J780" s="1631">
        <v>2096.52</v>
      </c>
      <c r="K780" s="1631">
        <v>2072.44</v>
      </c>
      <c r="L780" s="1631">
        <v>2114.58</v>
      </c>
      <c r="M780" s="1631">
        <v>1927.96</v>
      </c>
      <c r="N780" s="1631">
        <v>772.12</v>
      </c>
      <c r="S780" s="173"/>
      <c r="T780" s="127"/>
      <c r="W780" s="129"/>
      <c r="Y780" s="166"/>
      <c r="Z780" s="166"/>
    </row>
    <row r="781" spans="1:26" s="128" customFormat="1" ht="15.75" x14ac:dyDescent="0.25">
      <c r="A781" s="459"/>
      <c r="B781" s="1633" t="s">
        <v>733</v>
      </c>
      <c r="C781" s="1631">
        <v>130.75</v>
      </c>
      <c r="D781" s="1631">
        <v>113.51</v>
      </c>
      <c r="E781" s="1631">
        <v>321.19</v>
      </c>
      <c r="F781" s="1631">
        <v>326.64999999999998</v>
      </c>
      <c r="G781" s="1631">
        <v>391.56</v>
      </c>
      <c r="H781" s="1631">
        <v>342.97</v>
      </c>
      <c r="I781" s="1631">
        <v>250.06</v>
      </c>
      <c r="J781" s="1631">
        <v>454.18</v>
      </c>
      <c r="K781" s="1631">
        <v>434.87</v>
      </c>
      <c r="L781" s="1631">
        <v>397.41</v>
      </c>
      <c r="M781" s="1631">
        <v>313.14</v>
      </c>
      <c r="N781" s="1631">
        <v>126.11</v>
      </c>
      <c r="S781" s="173"/>
      <c r="T781" s="127"/>
      <c r="W781" s="129"/>
      <c r="Y781" s="166"/>
      <c r="Z781" s="166"/>
    </row>
    <row r="783" spans="1:26" s="128" customFormat="1" x14ac:dyDescent="0.25">
      <c r="A783" s="459">
        <v>50</v>
      </c>
      <c r="B783" s="127" t="s">
        <v>632</v>
      </c>
      <c r="C783" s="602"/>
      <c r="T783" s="127" t="s">
        <v>632</v>
      </c>
      <c r="U783" s="129"/>
      <c r="X783" s="129"/>
      <c r="Y783" s="166"/>
      <c r="Z783" s="166"/>
    </row>
    <row r="784" spans="1:26" s="128" customFormat="1" x14ac:dyDescent="0.25">
      <c r="A784" s="462"/>
      <c r="B784" s="666" t="s">
        <v>1233</v>
      </c>
      <c r="C784" s="497"/>
      <c r="D784"/>
      <c r="E784"/>
      <c r="F784"/>
      <c r="G784"/>
      <c r="H784"/>
      <c r="I784"/>
      <c r="J784"/>
      <c r="K784"/>
      <c r="L784"/>
      <c r="M784"/>
      <c r="N784"/>
      <c r="O784"/>
      <c r="P784"/>
      <c r="T784" s="127"/>
      <c r="U784" s="129"/>
      <c r="X784" s="129"/>
      <c r="Y784" s="166"/>
      <c r="Z784" s="166"/>
    </row>
    <row r="785" spans="1:26" s="128" customFormat="1" x14ac:dyDescent="0.25">
      <c r="A785" s="461"/>
      <c r="B785" s="130" t="s">
        <v>337</v>
      </c>
      <c r="C785" s="186"/>
      <c r="D785" s="131">
        <v>42186</v>
      </c>
      <c r="E785" s="131">
        <v>42217</v>
      </c>
      <c r="F785" s="131">
        <v>42248</v>
      </c>
      <c r="G785" s="131">
        <v>42278</v>
      </c>
      <c r="H785" s="131">
        <v>42309</v>
      </c>
      <c r="I785" s="131">
        <v>42339</v>
      </c>
      <c r="J785" s="131">
        <v>42370</v>
      </c>
      <c r="K785" s="131">
        <v>42401</v>
      </c>
      <c r="L785" s="131">
        <v>42430</v>
      </c>
      <c r="M785" s="131">
        <v>42461</v>
      </c>
      <c r="N785" s="131">
        <v>42491</v>
      </c>
      <c r="O785" s="131">
        <v>42522</v>
      </c>
      <c r="P785" s="131"/>
      <c r="T785" s="127"/>
      <c r="U785" s="129"/>
      <c r="X785" s="129"/>
      <c r="Y785" s="166"/>
      <c r="Z785" s="166"/>
    </row>
    <row r="786" spans="1:26" s="128" customFormat="1" ht="26.25" x14ac:dyDescent="0.25">
      <c r="A786" s="461"/>
      <c r="B786" s="1271" t="s">
        <v>1362</v>
      </c>
      <c r="C786" s="1511"/>
      <c r="D786" s="1522">
        <v>36421</v>
      </c>
      <c r="E786" s="1522">
        <v>49419.8</v>
      </c>
      <c r="F786" s="1522">
        <v>52487</v>
      </c>
      <c r="G786" s="1522">
        <v>51882</v>
      </c>
      <c r="H786" s="1522">
        <v>46191</v>
      </c>
      <c r="I786" s="1522">
        <v>36899</v>
      </c>
      <c r="J786" s="1522">
        <v>49331</v>
      </c>
      <c r="K786" s="1522">
        <v>46857</v>
      </c>
      <c r="L786" s="1522">
        <v>50816</v>
      </c>
      <c r="M786" s="1522">
        <v>52531</v>
      </c>
      <c r="N786" s="1522">
        <v>28283</v>
      </c>
      <c r="O786" s="1522">
        <v>29786</v>
      </c>
      <c r="P786" s="136"/>
      <c r="T786" s="127"/>
      <c r="U786" s="129"/>
      <c r="X786" s="129"/>
      <c r="Y786" s="166"/>
      <c r="Z786" s="166"/>
    </row>
    <row r="787" spans="1:26" s="128" customFormat="1" ht="39" x14ac:dyDescent="0.25">
      <c r="A787" s="461"/>
      <c r="B787" s="1276" t="s">
        <v>1224</v>
      </c>
      <c r="C787" s="1512"/>
      <c r="D787" s="1523">
        <v>2198.5920000000001</v>
      </c>
      <c r="E787" s="1524">
        <v>2148.672</v>
      </c>
      <c r="F787" s="1524">
        <v>2502.3360000000002</v>
      </c>
      <c r="G787" s="1524">
        <v>3130.3679999999999</v>
      </c>
      <c r="H787" s="1524">
        <v>3577.9679999999998</v>
      </c>
      <c r="I787" s="1524">
        <v>4276.3680000000004</v>
      </c>
      <c r="J787" s="1524">
        <v>5428.4639999999999</v>
      </c>
      <c r="K787" s="1524">
        <v>4584.0479999999998</v>
      </c>
      <c r="L787" s="1524">
        <v>4105.5360000000001</v>
      </c>
      <c r="M787" s="1524">
        <v>3380.8319999999999</v>
      </c>
      <c r="N787" s="1524">
        <v>1681.7760000000001</v>
      </c>
      <c r="O787" s="1524">
        <v>2077.8719999999998</v>
      </c>
      <c r="P787" s="1525"/>
      <c r="T787" s="127"/>
      <c r="U787" s="129"/>
      <c r="X787" s="129"/>
      <c r="Y787" s="166"/>
      <c r="Z787" s="166"/>
    </row>
    <row r="788" spans="1:26" s="128" customFormat="1" ht="39" x14ac:dyDescent="0.25">
      <c r="A788" s="461"/>
      <c r="B788" s="1280" t="s">
        <v>1225</v>
      </c>
      <c r="C788" s="1514"/>
      <c r="D788" s="1283">
        <v>72135.638100000011</v>
      </c>
      <c r="E788" s="1283">
        <v>83933.668900000004</v>
      </c>
      <c r="F788" s="1283">
        <v>63812.140600000006</v>
      </c>
      <c r="G788" s="1283">
        <v>36902.633100000006</v>
      </c>
      <c r="H788" s="1283">
        <v>24943.904000000002</v>
      </c>
      <c r="I788" s="1283">
        <v>34815.630400000002</v>
      </c>
      <c r="J788" s="1283">
        <v>32632.779400000003</v>
      </c>
      <c r="K788" s="1283">
        <v>51648.355800000005</v>
      </c>
      <c r="L788" s="1283">
        <v>44122.902400000006</v>
      </c>
      <c r="M788" s="1283">
        <v>80607.512400000007</v>
      </c>
      <c r="N788" s="1283">
        <v>67323.638400000011</v>
      </c>
      <c r="O788" s="1283">
        <v>83869.467400000009</v>
      </c>
      <c r="P788" s="770"/>
      <c r="T788" s="127"/>
      <c r="U788" s="129"/>
      <c r="X788" s="129"/>
      <c r="Y788" s="166"/>
      <c r="Z788" s="166"/>
    </row>
    <row r="789" spans="1:26" s="128" customFormat="1" ht="51.75" x14ac:dyDescent="0.25">
      <c r="A789" s="461"/>
      <c r="B789" s="1284" t="s">
        <v>1226</v>
      </c>
      <c r="C789" s="1526"/>
      <c r="D789" s="1527">
        <v>0</v>
      </c>
      <c r="E789" s="1528">
        <v>0</v>
      </c>
      <c r="F789" s="1304">
        <v>0</v>
      </c>
      <c r="G789" s="1304">
        <v>0</v>
      </c>
      <c r="H789" s="1304">
        <v>0</v>
      </c>
      <c r="I789" s="1304">
        <v>0</v>
      </c>
      <c r="J789" s="1304">
        <v>0</v>
      </c>
      <c r="K789" s="1304">
        <v>0</v>
      </c>
      <c r="L789" s="1304">
        <v>0</v>
      </c>
      <c r="M789" s="1304">
        <v>0</v>
      </c>
      <c r="N789" s="1304">
        <v>0</v>
      </c>
      <c r="O789" s="1304">
        <v>0</v>
      </c>
      <c r="P789" s="1529"/>
      <c r="T789" s="127"/>
      <c r="U789" s="129"/>
      <c r="X789" s="129"/>
      <c r="Y789" s="166"/>
      <c r="Z789" s="166"/>
    </row>
    <row r="790" spans="1:26" s="128" customFormat="1" x14ac:dyDescent="0.25">
      <c r="A790" s="461"/>
      <c r="B790" s="135" t="s">
        <v>864</v>
      </c>
      <c r="C790" s="1092"/>
      <c r="D790" s="153">
        <v>206.02</v>
      </c>
      <c r="E790" s="1290">
        <v>407.3</v>
      </c>
      <c r="F790" s="1290">
        <v>545.46</v>
      </c>
      <c r="G790" s="1290">
        <v>451.07</v>
      </c>
      <c r="H790" s="1290">
        <v>436.15</v>
      </c>
      <c r="I790" s="1290">
        <v>208.76</v>
      </c>
      <c r="J790" s="1290">
        <v>509.03</v>
      </c>
      <c r="K790" s="1290">
        <v>557.9</v>
      </c>
      <c r="L790" s="1290">
        <v>322.89</v>
      </c>
      <c r="M790" s="1290">
        <v>761.14</v>
      </c>
      <c r="N790" s="1290">
        <v>852.68</v>
      </c>
      <c r="O790" s="1290">
        <v>329.01</v>
      </c>
      <c r="P790" s="1305"/>
      <c r="T790" s="127"/>
      <c r="U790" s="129"/>
      <c r="X790" s="129"/>
      <c r="Y790" s="166"/>
      <c r="Z790" s="166"/>
    </row>
    <row r="791" spans="1:26" s="128" customFormat="1" ht="51.75" x14ac:dyDescent="0.25">
      <c r="A791" s="461"/>
      <c r="B791" s="1271" t="s">
        <v>1363</v>
      </c>
      <c r="C791" s="1511"/>
      <c r="D791" s="1292">
        <v>2593.1752000000001</v>
      </c>
      <c r="E791" s="1292">
        <v>3518.6897600000002</v>
      </c>
      <c r="F791" s="1292">
        <v>3737.0744</v>
      </c>
      <c r="G791" s="1292">
        <v>3693.9983999999999</v>
      </c>
      <c r="H791" s="1292">
        <v>3288.7991999999999</v>
      </c>
      <c r="I791" s="1292">
        <v>2627.2087999999999</v>
      </c>
      <c r="J791" s="1292">
        <v>3512.3672000000001</v>
      </c>
      <c r="K791" s="1292">
        <v>3336.2183999999997</v>
      </c>
      <c r="L791" s="1292">
        <v>3618.0992000000001</v>
      </c>
      <c r="M791" s="1292">
        <v>3740.2071999999998</v>
      </c>
      <c r="N791" s="1292">
        <v>2013.7495999999999</v>
      </c>
      <c r="O791" s="1292">
        <v>2120.7631999999999</v>
      </c>
      <c r="P791" s="1518"/>
      <c r="T791" s="127"/>
      <c r="U791" s="129"/>
      <c r="X791" s="129"/>
      <c r="Y791" s="166"/>
      <c r="Z791" s="166"/>
    </row>
    <row r="792" spans="1:26" s="128" customFormat="1" ht="39" x14ac:dyDescent="0.25">
      <c r="A792" s="461"/>
      <c r="B792" s="1293" t="s">
        <v>1228</v>
      </c>
      <c r="C792" s="1512"/>
      <c r="D792" s="1294">
        <v>881.59775999999999</v>
      </c>
      <c r="E792" s="1530">
        <v>885.05808000000002</v>
      </c>
      <c r="F792" s="1530">
        <v>961.99343999999996</v>
      </c>
      <c r="G792" s="1530">
        <v>1166.1148799999999</v>
      </c>
      <c r="H792" s="1530">
        <v>1070.6313600000001</v>
      </c>
      <c r="I792" s="1530">
        <v>1816.2763200000002</v>
      </c>
      <c r="J792" s="1530">
        <v>2313.5236800000002</v>
      </c>
      <c r="K792" s="1530">
        <v>1876.5950399999999</v>
      </c>
      <c r="L792" s="1530">
        <v>1489.01568</v>
      </c>
      <c r="M792" s="1530">
        <v>1330.5984000000001</v>
      </c>
      <c r="N792" s="1530">
        <v>701.98560000000009</v>
      </c>
      <c r="O792" s="1530">
        <v>853.22400000000005</v>
      </c>
      <c r="P792" s="1518"/>
      <c r="T792" s="127"/>
      <c r="U792" s="129"/>
      <c r="X792" s="129"/>
      <c r="Y792" s="166"/>
      <c r="Z792" s="166"/>
    </row>
    <row r="793" spans="1:26" s="128" customFormat="1" ht="51.75" x14ac:dyDescent="0.25">
      <c r="A793" s="461"/>
      <c r="B793" s="1295" t="s">
        <v>1364</v>
      </c>
      <c r="C793" s="1514"/>
      <c r="D793" s="1296">
        <v>5136.0574327200011</v>
      </c>
      <c r="E793" s="1296">
        <v>5976.0772256800001</v>
      </c>
      <c r="F793" s="1296">
        <v>4543.4244107200002</v>
      </c>
      <c r="G793" s="1296">
        <v>2627.4674767200004</v>
      </c>
      <c r="H793" s="1296">
        <v>1776.0059648000001</v>
      </c>
      <c r="I793" s="1296">
        <v>2478.8728844800003</v>
      </c>
      <c r="J793" s="1296">
        <v>2323.4538932800001</v>
      </c>
      <c r="K793" s="1296">
        <v>3677.3629329600003</v>
      </c>
      <c r="L793" s="1296">
        <v>3141.5506508800004</v>
      </c>
      <c r="M793" s="1296">
        <v>5739.2548828800009</v>
      </c>
      <c r="N793" s="1296">
        <v>4793.4430540800004</v>
      </c>
      <c r="O793" s="1296">
        <v>5971.5060788800001</v>
      </c>
      <c r="P793" s="1518"/>
      <c r="T793" s="127"/>
      <c r="U793" s="129"/>
      <c r="X793" s="129"/>
      <c r="Y793" s="166"/>
      <c r="Z793" s="166"/>
    </row>
    <row r="794" spans="1:26" s="128" customFormat="1" ht="39" x14ac:dyDescent="0.25">
      <c r="A794" s="461"/>
      <c r="B794" s="1297" t="s">
        <v>1235</v>
      </c>
      <c r="C794" s="1519"/>
      <c r="D794" s="1531">
        <v>0</v>
      </c>
      <c r="E794" s="1532">
        <v>0</v>
      </c>
      <c r="F794" s="1532">
        <v>0</v>
      </c>
      <c r="G794" s="1532">
        <v>0</v>
      </c>
      <c r="H794" s="1532">
        <v>0</v>
      </c>
      <c r="I794" s="1532">
        <v>0</v>
      </c>
      <c r="J794" s="1532">
        <v>0</v>
      </c>
      <c r="K794" s="1532">
        <v>0</v>
      </c>
      <c r="L794" s="1532">
        <v>0</v>
      </c>
      <c r="M794" s="1532">
        <v>0</v>
      </c>
      <c r="N794" s="1532">
        <v>0</v>
      </c>
      <c r="O794" s="1532">
        <v>0</v>
      </c>
      <c r="P794" s="1533"/>
      <c r="T794" s="127"/>
      <c r="U794" s="129"/>
      <c r="X794" s="129"/>
      <c r="Y794" s="166"/>
      <c r="Z794" s="166"/>
    </row>
    <row r="795" spans="1:26" s="128" customFormat="1" x14ac:dyDescent="0.2">
      <c r="A795"/>
      <c r="B795" s="153" t="s">
        <v>328</v>
      </c>
      <c r="C795" s="441"/>
      <c r="D795" s="1534">
        <v>1369.51</v>
      </c>
      <c r="E795" s="1534">
        <v>2332.2199999999998</v>
      </c>
      <c r="F795" s="1534">
        <v>2982.47</v>
      </c>
      <c r="G795" s="1534">
        <v>2649.65</v>
      </c>
      <c r="H795" s="1534">
        <v>2588.0100000000002</v>
      </c>
      <c r="I795" s="1534">
        <v>1451.58</v>
      </c>
      <c r="J795" s="1534">
        <v>2929.57</v>
      </c>
      <c r="K795" s="1534">
        <v>3192.57</v>
      </c>
      <c r="L795" s="1534">
        <v>1992.36</v>
      </c>
      <c r="M795" s="1489">
        <v>4220.1099999999997</v>
      </c>
      <c r="N795" s="1489">
        <v>4672.55</v>
      </c>
      <c r="O795" s="1489">
        <v>2035.08</v>
      </c>
      <c r="P795" s="1306"/>
      <c r="T795" s="127"/>
      <c r="U795" s="129"/>
      <c r="X795" s="129"/>
      <c r="Y795" s="166"/>
      <c r="Z795" s="166"/>
    </row>
    <row r="796" spans="1:26" s="128" customFormat="1" x14ac:dyDescent="0.25">
      <c r="A796" s="459"/>
      <c r="B796" s="127"/>
      <c r="C796" s="602"/>
      <c r="T796" s="127"/>
      <c r="U796" s="129"/>
      <c r="X796" s="129"/>
      <c r="Y796" s="166"/>
      <c r="Z796" s="166"/>
    </row>
    <row r="797" spans="1:26" s="460" customFormat="1" ht="15.75" thickBot="1" x14ac:dyDescent="0.3">
      <c r="A797" s="462">
        <v>51</v>
      </c>
      <c r="B797" s="460" t="s">
        <v>634</v>
      </c>
      <c r="C797" s="462"/>
      <c r="T797" s="460" t="s">
        <v>634</v>
      </c>
      <c r="Y797" s="666"/>
      <c r="Z797" s="666"/>
    </row>
    <row r="798" spans="1:26" ht="15.75" thickBot="1" x14ac:dyDescent="0.3">
      <c r="B798" s="1765" t="s">
        <v>1241</v>
      </c>
      <c r="C798" s="1766"/>
      <c r="D798" s="1766"/>
      <c r="E798" s="1766"/>
      <c r="F798" s="1766"/>
      <c r="G798" s="1766"/>
      <c r="H798" s="1766"/>
      <c r="I798" s="1766"/>
      <c r="J798" s="1767"/>
      <c r="Y798"/>
      <c r="Z798"/>
    </row>
    <row r="799" spans="1:26" ht="15.75" thickBot="1" x14ac:dyDescent="0.3">
      <c r="A799" s="461"/>
      <c r="B799" s="1768" t="s">
        <v>337</v>
      </c>
      <c r="C799" s="1769" t="s">
        <v>1318</v>
      </c>
      <c r="D799" s="1770">
        <v>42186</v>
      </c>
      <c r="E799" s="1770">
        <v>42217</v>
      </c>
      <c r="F799" s="1770">
        <v>42248</v>
      </c>
      <c r="G799" s="1770">
        <v>42278</v>
      </c>
      <c r="H799" s="1770">
        <v>42309</v>
      </c>
      <c r="I799" s="1770">
        <v>42339</v>
      </c>
      <c r="J799" s="1771">
        <v>42370</v>
      </c>
      <c r="K799" s="128"/>
      <c r="Y799"/>
      <c r="Z799"/>
    </row>
    <row r="800" spans="1:26" x14ac:dyDescent="0.25">
      <c r="A800" s="461"/>
      <c r="B800" s="1772" t="s">
        <v>319</v>
      </c>
      <c r="C800" s="1773">
        <v>402725</v>
      </c>
      <c r="D800" s="1773">
        <v>382700</v>
      </c>
      <c r="E800" s="1773">
        <v>391650</v>
      </c>
      <c r="F800" s="1774">
        <v>307450</v>
      </c>
      <c r="G800" s="1774">
        <v>295100</v>
      </c>
      <c r="H800" s="1774">
        <v>297825</v>
      </c>
      <c r="I800" s="1774">
        <v>303025</v>
      </c>
      <c r="J800" s="1775">
        <v>227825</v>
      </c>
      <c r="K800" s="157"/>
      <c r="Y800"/>
      <c r="Z800"/>
    </row>
    <row r="801" spans="1:26" x14ac:dyDescent="0.25">
      <c r="A801" s="461"/>
      <c r="B801" s="1776" t="s">
        <v>343</v>
      </c>
      <c r="C801" s="1777" t="s">
        <v>13</v>
      </c>
      <c r="D801" s="1777" t="s">
        <v>13</v>
      </c>
      <c r="E801" s="1777" t="s">
        <v>13</v>
      </c>
      <c r="F801" s="1777" t="s">
        <v>13</v>
      </c>
      <c r="G801" s="1777" t="s">
        <v>13</v>
      </c>
      <c r="H801" s="1777" t="s">
        <v>13</v>
      </c>
      <c r="I801" s="1777" t="s">
        <v>13</v>
      </c>
      <c r="J801" s="1778" t="s">
        <v>13</v>
      </c>
      <c r="K801" s="157"/>
      <c r="Y801"/>
      <c r="Z801"/>
    </row>
    <row r="802" spans="1:26" x14ac:dyDescent="0.25">
      <c r="A802" s="461"/>
      <c r="B802" s="1779" t="s">
        <v>362</v>
      </c>
      <c r="C802" s="1780" t="s">
        <v>13</v>
      </c>
      <c r="D802" s="1780" t="s">
        <v>13</v>
      </c>
      <c r="E802" s="1780" t="s">
        <v>13</v>
      </c>
      <c r="F802" s="1781" t="s">
        <v>13</v>
      </c>
      <c r="G802" s="1781" t="s">
        <v>13</v>
      </c>
      <c r="H802" s="1781" t="s">
        <v>13</v>
      </c>
      <c r="I802" s="1781" t="s">
        <v>13</v>
      </c>
      <c r="J802" s="1782" t="s">
        <v>13</v>
      </c>
      <c r="K802" s="157"/>
      <c r="Y802"/>
      <c r="Z802"/>
    </row>
    <row r="803" spans="1:26" x14ac:dyDescent="0.25">
      <c r="A803" s="461"/>
      <c r="B803" s="1783" t="s">
        <v>641</v>
      </c>
      <c r="C803" s="1784">
        <v>10246</v>
      </c>
      <c r="D803" s="1784">
        <v>10824</v>
      </c>
      <c r="E803" s="1784">
        <v>9645</v>
      </c>
      <c r="F803" s="1784">
        <v>10015</v>
      </c>
      <c r="G803" s="1784">
        <v>12258</v>
      </c>
      <c r="H803" s="1784">
        <v>12572</v>
      </c>
      <c r="I803" s="1784">
        <v>13897</v>
      </c>
      <c r="J803" s="1785">
        <v>18428</v>
      </c>
      <c r="K803" s="157"/>
      <c r="Y803"/>
      <c r="Z803"/>
    </row>
    <row r="804" spans="1:26" x14ac:dyDescent="0.25">
      <c r="A804" s="461"/>
      <c r="B804" s="1786" t="s">
        <v>864</v>
      </c>
      <c r="C804" s="1787">
        <v>593</v>
      </c>
      <c r="D804" s="1787">
        <v>593</v>
      </c>
      <c r="E804" s="1787">
        <v>805</v>
      </c>
      <c r="F804" s="1788">
        <v>559</v>
      </c>
      <c r="G804" s="1788">
        <v>559</v>
      </c>
      <c r="H804" s="1788">
        <v>345</v>
      </c>
      <c r="I804" s="1788">
        <v>345</v>
      </c>
      <c r="J804" s="1789">
        <v>284</v>
      </c>
      <c r="K804" s="157"/>
      <c r="Y804"/>
      <c r="Z804"/>
    </row>
    <row r="805" spans="1:26" x14ac:dyDescent="0.25">
      <c r="A805" s="461"/>
      <c r="B805" s="1790" t="s">
        <v>324</v>
      </c>
      <c r="C805" s="1791">
        <v>30185.84</v>
      </c>
      <c r="D805" s="1791">
        <v>29058.39</v>
      </c>
      <c r="E805" s="1791">
        <v>29743.3</v>
      </c>
      <c r="F805" s="1791">
        <v>22657.74</v>
      </c>
      <c r="G805" s="1791">
        <v>21425.02</v>
      </c>
      <c r="H805" s="1791">
        <v>20909.88</v>
      </c>
      <c r="I805" s="1791">
        <v>19677.22</v>
      </c>
      <c r="J805" s="1792">
        <v>16754.240000000002</v>
      </c>
      <c r="K805" s="157"/>
      <c r="Y805"/>
      <c r="Z805"/>
    </row>
    <row r="806" spans="1:26" x14ac:dyDescent="0.25">
      <c r="A806" s="461"/>
      <c r="B806" s="1793" t="s">
        <v>348</v>
      </c>
      <c r="C806" s="1777" t="s">
        <v>13</v>
      </c>
      <c r="D806" s="1777" t="s">
        <v>13</v>
      </c>
      <c r="E806" s="1777" t="s">
        <v>13</v>
      </c>
      <c r="F806" s="1777" t="s">
        <v>13</v>
      </c>
      <c r="G806" s="1777" t="s">
        <v>13</v>
      </c>
      <c r="H806" s="1777" t="s">
        <v>13</v>
      </c>
      <c r="I806" s="1777" t="s">
        <v>13</v>
      </c>
      <c r="J806" s="1778" t="s">
        <v>13</v>
      </c>
      <c r="K806" s="157"/>
      <c r="Y806"/>
      <c r="Z806"/>
    </row>
    <row r="807" spans="1:26" x14ac:dyDescent="0.25">
      <c r="A807" s="461"/>
      <c r="B807" s="1794" t="s">
        <v>1087</v>
      </c>
      <c r="C807" s="1780" t="s">
        <v>13</v>
      </c>
      <c r="D807" s="1780" t="s">
        <v>13</v>
      </c>
      <c r="E807" s="1780" t="s">
        <v>13</v>
      </c>
      <c r="F807" s="1795" t="s">
        <v>13</v>
      </c>
      <c r="G807" s="1795" t="s">
        <v>13</v>
      </c>
      <c r="H807" s="1795" t="s">
        <v>13</v>
      </c>
      <c r="I807" s="1795" t="s">
        <v>13</v>
      </c>
      <c r="J807" s="1796" t="s">
        <v>13</v>
      </c>
      <c r="K807" s="554"/>
      <c r="L807" s="116"/>
      <c r="M807" s="116"/>
      <c r="N807" s="116"/>
      <c r="O807" s="116"/>
      <c r="P807" s="116"/>
      <c r="Q807" s="116"/>
      <c r="Y807"/>
      <c r="Z807"/>
    </row>
    <row r="808" spans="1:26" s="125" customFormat="1" ht="15.75" thickBot="1" x14ac:dyDescent="0.3">
      <c r="A808" s="461"/>
      <c r="B808" s="1797" t="s">
        <v>883</v>
      </c>
      <c r="C808" s="1798">
        <v>7600.68</v>
      </c>
      <c r="D808" s="1798">
        <v>8138.83</v>
      </c>
      <c r="E808" s="1798">
        <v>7254.87</v>
      </c>
      <c r="F808" s="1798">
        <v>7532.28</v>
      </c>
      <c r="G808" s="1798">
        <v>9213.9599999999991</v>
      </c>
      <c r="H808" s="1798">
        <v>9240.74</v>
      </c>
      <c r="I808" s="1798">
        <v>10257.219999999999</v>
      </c>
      <c r="J808" s="1799">
        <v>13219.12</v>
      </c>
      <c r="K808" s="444"/>
      <c r="L808" s="149"/>
      <c r="M808" s="150"/>
      <c r="N808" s="961"/>
      <c r="O808" s="149"/>
      <c r="P808" s="150"/>
      <c r="Q808" s="554"/>
      <c r="R808" s="157"/>
    </row>
    <row r="809" spans="1:26" s="125" customFormat="1" ht="15.75" thickBot="1" x14ac:dyDescent="0.3">
      <c r="A809" s="461"/>
      <c r="B809" s="1800" t="s">
        <v>1446</v>
      </c>
      <c r="C809" s="1801">
        <v>4536.1499999999996</v>
      </c>
      <c r="D809" s="1801">
        <v>4536.1499999999996</v>
      </c>
      <c r="E809" s="1801">
        <v>5790.61</v>
      </c>
      <c r="F809" s="1801">
        <v>4288</v>
      </c>
      <c r="G809" s="1801">
        <v>4288</v>
      </c>
      <c r="H809" s="1801">
        <v>2967.09</v>
      </c>
      <c r="I809" s="1801">
        <v>2967.09</v>
      </c>
      <c r="J809" s="1802">
        <v>2592.62</v>
      </c>
      <c r="K809" s="444"/>
      <c r="L809" s="149"/>
      <c r="M809" s="150"/>
      <c r="N809" s="961"/>
      <c r="O809" s="149"/>
      <c r="P809" s="150"/>
      <c r="Q809" s="554"/>
      <c r="R809" s="157"/>
    </row>
    <row r="810" spans="1:26" s="125" customFormat="1" x14ac:dyDescent="0.25">
      <c r="A810" s="461"/>
      <c r="B810" s="180"/>
      <c r="C810" s="607"/>
      <c r="D810" s="611"/>
      <c r="E810" s="611"/>
      <c r="F810" s="611"/>
      <c r="G810" s="611"/>
      <c r="H810" s="611"/>
      <c r="I810" s="611"/>
      <c r="J810" s="611"/>
      <c r="K810" s="444"/>
      <c r="L810" s="149"/>
      <c r="M810" s="150"/>
      <c r="N810" s="961"/>
      <c r="O810" s="149"/>
      <c r="P810" s="150"/>
      <c r="Q810" s="554"/>
      <c r="R810" s="157"/>
    </row>
    <row r="811" spans="1:26" ht="13.5" thickBot="1" x14ac:dyDescent="0.25">
      <c r="A811"/>
      <c r="D811" s="497"/>
      <c r="E811" s="497"/>
      <c r="F811" s="497"/>
      <c r="G811" s="497"/>
      <c r="H811" s="497"/>
      <c r="I811" s="497"/>
      <c r="J811" s="497"/>
      <c r="K811" s="116"/>
      <c r="L811" s="116"/>
      <c r="M811" s="116"/>
      <c r="N811" s="116"/>
      <c r="O811" s="116"/>
      <c r="P811" s="116"/>
      <c r="Q811" s="116"/>
      <c r="Y811"/>
      <c r="Z811"/>
    </row>
    <row r="812" spans="1:26" ht="13.5" thickBot="1" x14ac:dyDescent="0.25">
      <c r="A812"/>
      <c r="B812" s="1768" t="s">
        <v>337</v>
      </c>
      <c r="C812" s="1770">
        <v>42401</v>
      </c>
      <c r="D812" s="1770">
        <v>42430</v>
      </c>
      <c r="E812" s="1770">
        <v>42461</v>
      </c>
      <c r="F812" s="1771">
        <v>42491</v>
      </c>
      <c r="G812" s="1803"/>
      <c r="H812" s="1803"/>
      <c r="I812" s="497"/>
      <c r="J812" s="497"/>
      <c r="Y812"/>
      <c r="Z812"/>
    </row>
    <row r="813" spans="1:26" ht="12.75" x14ac:dyDescent="0.2">
      <c r="A813"/>
      <c r="B813" s="1804" t="s">
        <v>319</v>
      </c>
      <c r="C813" s="1805">
        <v>301550</v>
      </c>
      <c r="D813" s="1805">
        <v>301125</v>
      </c>
      <c r="E813" s="1805">
        <v>337450</v>
      </c>
      <c r="F813" s="1806">
        <v>358325</v>
      </c>
      <c r="G813" s="612"/>
      <c r="H813" s="612"/>
      <c r="I813" s="497"/>
      <c r="J813" s="497"/>
      <c r="Y813"/>
      <c r="Z813"/>
    </row>
    <row r="814" spans="1:26" ht="12.75" x14ac:dyDescent="0.2">
      <c r="A814"/>
      <c r="B814" s="1776" t="s">
        <v>343</v>
      </c>
      <c r="C814" s="1777" t="s">
        <v>13</v>
      </c>
      <c r="D814" s="1777" t="s">
        <v>13</v>
      </c>
      <c r="E814" s="1780" t="s">
        <v>13</v>
      </c>
      <c r="F814" s="1807" t="s">
        <v>13</v>
      </c>
      <c r="G814" s="1808"/>
      <c r="H814" s="1808"/>
      <c r="I814" s="497"/>
      <c r="J814" s="497"/>
      <c r="Y814"/>
      <c r="Z814"/>
    </row>
    <row r="815" spans="1:26" ht="12.75" x14ac:dyDescent="0.2">
      <c r="A815"/>
      <c r="B815" s="1779" t="s">
        <v>362</v>
      </c>
      <c r="C815" s="1781" t="s">
        <v>13</v>
      </c>
      <c r="D815" s="1781" t="s">
        <v>13</v>
      </c>
      <c r="E815" s="1781" t="s">
        <v>13</v>
      </c>
      <c r="F815" s="1782" t="s">
        <v>13</v>
      </c>
      <c r="G815" s="1809"/>
      <c r="H815" s="1809"/>
      <c r="I815" s="497"/>
      <c r="J815" s="497"/>
      <c r="Y815"/>
      <c r="Z815"/>
    </row>
    <row r="816" spans="1:26" ht="12.75" x14ac:dyDescent="0.2">
      <c r="A816"/>
      <c r="B816" s="1783" t="s">
        <v>641</v>
      </c>
      <c r="C816" s="1810">
        <v>15704</v>
      </c>
      <c r="D816" s="1810">
        <v>15110</v>
      </c>
      <c r="E816" s="1810">
        <v>12862</v>
      </c>
      <c r="F816" s="1811">
        <v>10686</v>
      </c>
      <c r="G816" s="1809"/>
      <c r="H816" s="1809"/>
      <c r="I816" s="497"/>
      <c r="J816" s="497"/>
      <c r="Y816"/>
      <c r="Z816"/>
    </row>
    <row r="817" spans="1:26" ht="12.75" x14ac:dyDescent="0.2">
      <c r="A817"/>
      <c r="B817" s="1786" t="s">
        <v>864</v>
      </c>
      <c r="C817" s="1812">
        <v>284</v>
      </c>
      <c r="D817" s="1812">
        <v>305</v>
      </c>
      <c r="E817" s="1812">
        <v>305</v>
      </c>
      <c r="F817" s="1813">
        <v>510</v>
      </c>
      <c r="G817" s="1814"/>
      <c r="H817" s="1814"/>
      <c r="I817" s="497"/>
      <c r="J817" s="497"/>
      <c r="Y817"/>
      <c r="Z817"/>
    </row>
    <row r="818" spans="1:26" ht="12.75" x14ac:dyDescent="0.2">
      <c r="A818"/>
      <c r="B818" s="1790" t="s">
        <v>324</v>
      </c>
      <c r="C818" s="1791">
        <v>20472.96</v>
      </c>
      <c r="D818" s="1791">
        <v>20183.689999999999</v>
      </c>
      <c r="E818" s="1791">
        <v>23005.53</v>
      </c>
      <c r="F818" s="1792">
        <v>25594.84</v>
      </c>
      <c r="G818" s="1815"/>
      <c r="H818" s="1815"/>
      <c r="I818" s="497"/>
      <c r="J818" s="497"/>
      <c r="Y818"/>
      <c r="Z818"/>
    </row>
    <row r="819" spans="1:26" ht="12.75" x14ac:dyDescent="0.2">
      <c r="A819"/>
      <c r="B819" s="1793" t="s">
        <v>348</v>
      </c>
      <c r="C819" s="1777" t="s">
        <v>13</v>
      </c>
      <c r="D819" s="1777" t="s">
        <v>13</v>
      </c>
      <c r="E819" s="1777" t="s">
        <v>13</v>
      </c>
      <c r="F819" s="1778" t="s">
        <v>13</v>
      </c>
      <c r="G819" s="1808"/>
      <c r="H819" s="1808"/>
      <c r="I819" s="497"/>
      <c r="J819" s="497"/>
      <c r="Y819"/>
      <c r="Z819"/>
    </row>
    <row r="820" spans="1:26" ht="12.75" x14ac:dyDescent="0.2">
      <c r="A820"/>
      <c r="B820" s="1794" t="s">
        <v>1087</v>
      </c>
      <c r="C820" s="1795" t="s">
        <v>13</v>
      </c>
      <c r="D820" s="1795" t="s">
        <v>13</v>
      </c>
      <c r="E820" s="1795" t="s">
        <v>13</v>
      </c>
      <c r="F820" s="1796" t="s">
        <v>13</v>
      </c>
      <c r="G820" s="1815"/>
      <c r="H820" s="1815"/>
      <c r="I820" s="497"/>
      <c r="J820" s="497"/>
      <c r="Y820"/>
      <c r="Z820"/>
    </row>
    <row r="821" spans="1:26" ht="13.5" thickBot="1" x14ac:dyDescent="0.25">
      <c r="A821"/>
      <c r="B821" s="1797" t="s">
        <v>883</v>
      </c>
      <c r="C821" s="1798">
        <v>10073.26</v>
      </c>
      <c r="D821" s="1798">
        <v>10365.370000000001</v>
      </c>
      <c r="E821" s="1798">
        <v>9408.26</v>
      </c>
      <c r="F821" s="1799">
        <v>7016.14</v>
      </c>
      <c r="G821" s="613"/>
      <c r="H821" s="613"/>
      <c r="I821" s="497"/>
      <c r="J821" s="497"/>
      <c r="Y821"/>
      <c r="Z821"/>
    </row>
    <row r="822" spans="1:26" ht="13.5" thickBot="1" x14ac:dyDescent="0.25">
      <c r="A822"/>
      <c r="B822" s="1816" t="s">
        <v>1446</v>
      </c>
      <c r="C822" s="1817">
        <v>2592.62</v>
      </c>
      <c r="D822" s="1817">
        <v>2720.19</v>
      </c>
      <c r="E822" s="1817">
        <v>2720.19</v>
      </c>
      <c r="F822" s="1818">
        <v>3983.49</v>
      </c>
      <c r="G822" s="497"/>
      <c r="H822" s="497"/>
      <c r="I822" s="497"/>
      <c r="J822" s="497"/>
      <c r="Y822"/>
      <c r="Z822"/>
    </row>
    <row r="824" spans="1:26" s="128" customFormat="1" x14ac:dyDescent="0.25">
      <c r="A824" s="459">
        <v>52</v>
      </c>
      <c r="B824" s="127" t="s">
        <v>635</v>
      </c>
      <c r="C824" s="602"/>
      <c r="T824" s="1344" t="s">
        <v>635</v>
      </c>
      <c r="U824" s="129"/>
      <c r="X824" s="129"/>
      <c r="Y824" s="166"/>
      <c r="Z824" s="166"/>
    </row>
    <row r="825" spans="1:26" s="128" customFormat="1" x14ac:dyDescent="0.25">
      <c r="A825" s="462"/>
      <c r="B825" s="666" t="s">
        <v>635</v>
      </c>
      <c r="C825" s="497"/>
      <c r="D825"/>
      <c r="E825"/>
      <c r="F825"/>
      <c r="G825"/>
      <c r="H825"/>
      <c r="I825"/>
      <c r="J825"/>
      <c r="K825"/>
      <c r="L825"/>
      <c r="M825"/>
      <c r="N825"/>
      <c r="O825"/>
      <c r="P825"/>
      <c r="Q825"/>
      <c r="R825"/>
      <c r="T825" s="1344"/>
      <c r="U825" s="129"/>
      <c r="X825" s="129"/>
      <c r="Y825" s="166"/>
      <c r="Z825" s="166"/>
    </row>
    <row r="826" spans="1:26" s="128" customFormat="1" x14ac:dyDescent="0.25">
      <c r="A826" s="461"/>
      <c r="B826" s="130" t="s">
        <v>337</v>
      </c>
      <c r="C826" s="186" t="s">
        <v>1318</v>
      </c>
      <c r="D826" s="131">
        <v>42186</v>
      </c>
      <c r="E826" s="131">
        <v>42217</v>
      </c>
      <c r="F826" s="131">
        <v>42248</v>
      </c>
      <c r="G826" s="131">
        <v>42278</v>
      </c>
      <c r="H826" s="131">
        <v>42309</v>
      </c>
      <c r="I826" s="131">
        <v>42339</v>
      </c>
      <c r="J826" s="131">
        <v>42370</v>
      </c>
      <c r="K826" s="131">
        <v>42401</v>
      </c>
      <c r="L826" s="131">
        <v>42430</v>
      </c>
      <c r="M826" s="131">
        <v>42461</v>
      </c>
      <c r="N826" s="131">
        <v>42491</v>
      </c>
      <c r="O826" s="131">
        <v>42522</v>
      </c>
      <c r="P826" s="131">
        <v>42552</v>
      </c>
      <c r="Q826" s="151">
        <v>42583</v>
      </c>
      <c r="R826" s="131">
        <v>42627</v>
      </c>
      <c r="T826" s="1344"/>
      <c r="U826" s="129"/>
      <c r="X826" s="129"/>
      <c r="Y826" s="166"/>
      <c r="Z826" s="166"/>
    </row>
    <row r="827" spans="1:26" s="128" customFormat="1" x14ac:dyDescent="0.25">
      <c r="A827" s="461"/>
      <c r="B827" s="135" t="s">
        <v>319</v>
      </c>
      <c r="C827" s="141">
        <v>37952</v>
      </c>
      <c r="D827" s="141">
        <v>45087</v>
      </c>
      <c r="E827" s="1094">
        <v>43438</v>
      </c>
      <c r="F827" s="1094">
        <v>32746</v>
      </c>
      <c r="G827" s="1094">
        <v>46886</v>
      </c>
      <c r="H827" s="1094">
        <v>38945</v>
      </c>
      <c r="I827" s="1094">
        <v>44107</v>
      </c>
      <c r="J827" s="1094">
        <v>33601</v>
      </c>
      <c r="K827" s="1094">
        <v>34815</v>
      </c>
      <c r="L827" s="1094">
        <v>43808</v>
      </c>
      <c r="M827" s="1094">
        <v>40223</v>
      </c>
      <c r="N827" s="1094">
        <v>31585</v>
      </c>
      <c r="O827" s="1094">
        <v>36781</v>
      </c>
      <c r="P827" s="136">
        <v>38470</v>
      </c>
      <c r="Q827" s="136"/>
      <c r="R827" s="153"/>
      <c r="T827" s="1344"/>
      <c r="U827" s="129"/>
      <c r="X827" s="129"/>
      <c r="Y827" s="166"/>
      <c r="Z827" s="166"/>
    </row>
    <row r="828" spans="1:26" s="128" customFormat="1" x14ac:dyDescent="0.25">
      <c r="A828" s="461"/>
      <c r="B828" s="135" t="s">
        <v>343</v>
      </c>
      <c r="C828" s="1092"/>
      <c r="D828" s="153"/>
      <c r="E828" s="165"/>
      <c r="F828" s="170"/>
      <c r="G828" s="170"/>
      <c r="H828" s="170"/>
      <c r="I828" s="136"/>
      <c r="J828" s="136"/>
      <c r="K828" s="136"/>
      <c r="L828" s="136"/>
      <c r="M828" s="136"/>
      <c r="N828" s="136"/>
      <c r="O828" s="136"/>
      <c r="P828" s="136"/>
      <c r="Q828" s="136"/>
      <c r="R828" s="153"/>
      <c r="T828" s="1344"/>
      <c r="U828" s="129"/>
      <c r="X828" s="129"/>
      <c r="Y828" s="166"/>
      <c r="Z828" s="166"/>
    </row>
    <row r="829" spans="1:26" s="128" customFormat="1" x14ac:dyDescent="0.25">
      <c r="A829" s="461"/>
      <c r="B829" s="153" t="s">
        <v>1372</v>
      </c>
      <c r="C829" s="141"/>
      <c r="D829" s="141">
        <v>27120</v>
      </c>
      <c r="E829" s="1094">
        <v>24886.145833333299</v>
      </c>
      <c r="F829" s="1094">
        <v>20179.374999999902</v>
      </c>
      <c r="G829" s="1094">
        <v>11632.291666666801</v>
      </c>
      <c r="H829" s="1094">
        <v>10289.986418786044</v>
      </c>
      <c r="I829" s="1094">
        <v>10582.686629806672</v>
      </c>
      <c r="J829" s="1094">
        <v>3631.0859787230124</v>
      </c>
      <c r="K829" s="1094">
        <v>4267.5363444539953</v>
      </c>
      <c r="L829" s="1094">
        <v>8632.7582800763375</v>
      </c>
      <c r="M829" s="1094">
        <v>13117.630253658208</v>
      </c>
      <c r="N829" s="1094">
        <v>17418.677793725848</v>
      </c>
      <c r="O829" s="1094">
        <v>24730</v>
      </c>
      <c r="P829" s="1094">
        <v>29075</v>
      </c>
      <c r="Q829" s="141"/>
      <c r="R829" s="153"/>
      <c r="T829" s="1344"/>
      <c r="U829" s="129"/>
      <c r="X829" s="129"/>
      <c r="Y829" s="166"/>
      <c r="Z829" s="166"/>
    </row>
    <row r="830" spans="1:26" s="128" customFormat="1" x14ac:dyDescent="0.25">
      <c r="A830" s="461"/>
      <c r="B830" s="153" t="s">
        <v>641</v>
      </c>
      <c r="C830" s="1092"/>
      <c r="D830" s="153"/>
      <c r="E830" s="165"/>
      <c r="F830" s="1094"/>
      <c r="G830" s="1094"/>
      <c r="H830" s="1094"/>
      <c r="I830" s="1094"/>
      <c r="J830" s="1094"/>
      <c r="K830" s="1094"/>
      <c r="L830" s="1094"/>
      <c r="M830" s="1094"/>
      <c r="N830" s="1094"/>
      <c r="O830" s="1094"/>
      <c r="P830" s="1094"/>
      <c r="Q830" s="141"/>
      <c r="R830" s="153"/>
      <c r="T830" s="1344"/>
      <c r="U830" s="129"/>
      <c r="X830" s="129"/>
      <c r="Y830" s="166"/>
      <c r="Z830" s="166"/>
    </row>
    <row r="831" spans="1:26" s="128" customFormat="1" x14ac:dyDescent="0.25">
      <c r="A831" s="461"/>
      <c r="B831" s="135" t="s">
        <v>864</v>
      </c>
      <c r="C831" t="s">
        <v>1374</v>
      </c>
      <c r="D831" s="153"/>
      <c r="E831" s="165"/>
      <c r="F831" s="760"/>
      <c r="G831" s="760"/>
      <c r="H831" s="760"/>
      <c r="I831" s="760"/>
      <c r="J831" s="760"/>
      <c r="K831" s="750"/>
      <c r="L831" s="750"/>
      <c r="M831" s="750"/>
      <c r="N831" s="750"/>
      <c r="O831" s="750"/>
      <c r="P831" s="750"/>
      <c r="Q831" s="728"/>
      <c r="R831" s="153"/>
      <c r="T831" s="1344"/>
      <c r="U831" s="129"/>
      <c r="X831" s="129"/>
      <c r="Y831" s="166"/>
      <c r="Z831" s="166"/>
    </row>
    <row r="832" spans="1:26" s="128" customFormat="1" x14ac:dyDescent="0.25">
      <c r="A832" s="461"/>
      <c r="B832" s="135" t="s">
        <v>324</v>
      </c>
      <c r="C832" s="1557">
        <f>0.08775*C827</f>
        <v>3330.288</v>
      </c>
      <c r="D832" s="1557">
        <f t="shared" ref="D832:R832" si="51">0.08775*D827</f>
        <v>3956.3842499999996</v>
      </c>
      <c r="E832" s="1590">
        <f t="shared" si="51"/>
        <v>3811.6844999999998</v>
      </c>
      <c r="F832" s="1590">
        <f t="shared" si="51"/>
        <v>2873.4614999999999</v>
      </c>
      <c r="G832" s="1590">
        <f t="shared" si="51"/>
        <v>4114.2465000000002</v>
      </c>
      <c r="H832" s="1590">
        <f t="shared" si="51"/>
        <v>3417.4237499999999</v>
      </c>
      <c r="I832" s="1590">
        <f t="shared" si="51"/>
        <v>3870.3892499999997</v>
      </c>
      <c r="J832" s="1590">
        <f t="shared" si="51"/>
        <v>2948.4877499999998</v>
      </c>
      <c r="K832" s="1590">
        <f t="shared" si="51"/>
        <v>3055.0162499999997</v>
      </c>
      <c r="L832" s="1590">
        <f t="shared" si="51"/>
        <v>3844.1519999999996</v>
      </c>
      <c r="M832" s="1590">
        <f t="shared" si="51"/>
        <v>3529.5682499999998</v>
      </c>
      <c r="N832" s="1590">
        <f t="shared" si="51"/>
        <v>2771.5837499999998</v>
      </c>
      <c r="O832" s="1590">
        <f t="shared" si="51"/>
        <v>3227.5327499999999</v>
      </c>
      <c r="P832" s="1590">
        <f t="shared" si="51"/>
        <v>3375.7424999999998</v>
      </c>
      <c r="Q832" s="1557">
        <f t="shared" si="51"/>
        <v>0</v>
      </c>
      <c r="R832" s="1557">
        <f t="shared" si="51"/>
        <v>0</v>
      </c>
      <c r="T832" s="1344"/>
      <c r="U832" s="129"/>
      <c r="X832" s="129"/>
      <c r="Y832" s="166"/>
      <c r="Z832" s="166"/>
    </row>
    <row r="833" spans="1:26" s="128" customFormat="1" x14ac:dyDescent="0.25">
      <c r="A833" s="461"/>
      <c r="B833" s="144" t="s">
        <v>348</v>
      </c>
      <c r="C833" s="1092"/>
      <c r="D833" s="153"/>
      <c r="E833" s="165"/>
      <c r="F833" s="753"/>
      <c r="G833" s="753"/>
      <c r="H833" s="753"/>
      <c r="I833" s="753"/>
      <c r="J833" s="1208"/>
      <c r="K833" s="1208"/>
      <c r="L833" s="1208"/>
      <c r="M833" s="1208"/>
      <c r="N833" s="1208"/>
      <c r="O833" s="1208"/>
      <c r="P833" s="1208"/>
      <c r="Q833" s="731"/>
      <c r="R833" s="153"/>
      <c r="T833" s="1344"/>
      <c r="U833" s="129"/>
      <c r="X833" s="129"/>
      <c r="Y833" s="166"/>
      <c r="Z833" s="166"/>
    </row>
    <row r="834" spans="1:26" s="128" customFormat="1" x14ac:dyDescent="0.25">
      <c r="A834" s="461"/>
      <c r="B834" s="195" t="s">
        <v>1087</v>
      </c>
      <c r="C834" s="1092"/>
      <c r="D834" s="153"/>
      <c r="E834" s="165"/>
      <c r="F834" s="1208"/>
      <c r="G834" s="1208"/>
      <c r="H834" s="1208"/>
      <c r="I834" s="1208"/>
      <c r="J834" s="1208"/>
      <c r="K834" s="1208"/>
      <c r="L834" s="1208"/>
      <c r="M834" s="1208"/>
      <c r="N834" s="1208"/>
      <c r="O834" s="1208"/>
      <c r="P834" s="1208"/>
      <c r="Q834" s="731"/>
      <c r="R834" s="153"/>
      <c r="T834" s="1344"/>
      <c r="U834" s="129"/>
      <c r="X834" s="129"/>
      <c r="Y834" s="166"/>
      <c r="Z834" s="166"/>
    </row>
    <row r="835" spans="1:26" s="128" customFormat="1" x14ac:dyDescent="0.25">
      <c r="A835" s="461"/>
      <c r="B835" s="144" t="s">
        <v>883</v>
      </c>
      <c r="C835" s="604"/>
      <c r="D835" s="145"/>
      <c r="E835" s="1147"/>
      <c r="F835" s="1147"/>
      <c r="G835" s="1147"/>
      <c r="H835" s="1147"/>
      <c r="I835" s="1147"/>
      <c r="J835" s="1147"/>
      <c r="K835" s="1147"/>
      <c r="L835" s="1147"/>
      <c r="M835" s="1147"/>
      <c r="N835" s="1147"/>
      <c r="O835" s="1147"/>
      <c r="P835" s="1147"/>
      <c r="Q835" s="145"/>
      <c r="R835" s="145"/>
      <c r="T835" s="1344"/>
      <c r="U835" s="129"/>
      <c r="X835" s="129"/>
      <c r="Y835" s="166"/>
      <c r="Z835" s="166"/>
    </row>
    <row r="837" spans="1:26" s="1468" customFormat="1" x14ac:dyDescent="0.25">
      <c r="A837" s="462">
        <v>53</v>
      </c>
      <c r="B837" s="460" t="s">
        <v>974</v>
      </c>
      <c r="C837" s="1467"/>
      <c r="T837" s="460" t="s">
        <v>974</v>
      </c>
    </row>
    <row r="838" spans="1:26" s="1468" customFormat="1" x14ac:dyDescent="0.25">
      <c r="A838" s="462"/>
      <c r="B838" s="712" t="s">
        <v>1132</v>
      </c>
      <c r="C838" s="1646"/>
      <c r="D838" s="1210"/>
      <c r="E838" s="1210"/>
      <c r="F838" s="1210"/>
      <c r="G838" s="1210"/>
      <c r="H838" s="1210"/>
      <c r="I838" s="1210"/>
      <c r="J838" s="1210"/>
      <c r="K838" s="1210"/>
      <c r="L838" s="1210"/>
      <c r="M838" s="1210"/>
      <c r="N838" s="1210"/>
      <c r="O838" s="1210"/>
      <c r="P838" s="714"/>
      <c r="Q838" s="715"/>
      <c r="R838" s="716"/>
      <c r="S838" s="1211"/>
      <c r="T838" s="1647"/>
      <c r="U838" s="1150"/>
    </row>
    <row r="839" spans="1:26" s="1468" customFormat="1" x14ac:dyDescent="0.25">
      <c r="A839" s="462"/>
      <c r="B839" s="717" t="s">
        <v>337</v>
      </c>
      <c r="C839" s="1648"/>
      <c r="D839" s="1215">
        <v>42217</v>
      </c>
      <c r="E839" s="1215">
        <v>42248</v>
      </c>
      <c r="F839" s="1215">
        <v>42278</v>
      </c>
      <c r="G839" s="1215">
        <v>42309</v>
      </c>
      <c r="H839" s="1215">
        <v>42339</v>
      </c>
      <c r="I839" s="1215">
        <v>42370</v>
      </c>
      <c r="J839" s="1215">
        <v>42401</v>
      </c>
      <c r="K839" s="1215">
        <v>42430</v>
      </c>
      <c r="L839" s="1215">
        <v>42461</v>
      </c>
      <c r="M839" s="1215">
        <v>42491</v>
      </c>
      <c r="N839" s="1215">
        <v>42522</v>
      </c>
      <c r="O839" s="1215">
        <v>42552</v>
      </c>
      <c r="P839" s="735"/>
      <c r="Q839" s="720" t="s">
        <v>338</v>
      </c>
      <c r="R839" s="721" t="s">
        <v>339</v>
      </c>
      <c r="S839" s="1222"/>
      <c r="T839" s="720" t="s">
        <v>338</v>
      </c>
      <c r="U839" s="721" t="s">
        <v>339</v>
      </c>
    </row>
    <row r="840" spans="1:26" s="1468" customFormat="1" x14ac:dyDescent="0.25">
      <c r="A840" s="462"/>
      <c r="B840" s="722" t="s">
        <v>360</v>
      </c>
      <c r="C840" s="730"/>
      <c r="D840" s="1170">
        <v>48640.991210938068</v>
      </c>
      <c r="E840" s="1170">
        <v>49838.012695311932</v>
      </c>
      <c r="F840" s="1170">
        <v>49971.984863282043</v>
      </c>
      <c r="G840" s="1170">
        <v>47547.973632809997</v>
      </c>
      <c r="H840" s="1170">
        <v>44005.004882809997</v>
      </c>
      <c r="I840" s="1170">
        <v>47034.057617190003</v>
      </c>
      <c r="J840" s="1186">
        <v>44637.939453119994</v>
      </c>
      <c r="K840" s="1664">
        <v>45383.056640630006</v>
      </c>
      <c r="L840" s="1664">
        <v>45377.9296875</v>
      </c>
      <c r="M840" s="1664">
        <v>39505.981445309997</v>
      </c>
      <c r="N840" s="756">
        <v>35999.0234375</v>
      </c>
      <c r="O840" s="756">
        <v>27633.056640630002</v>
      </c>
      <c r="P840" s="1187"/>
      <c r="Q840" s="724">
        <f t="shared" ref="Q840:Q847" si="52">SUM(D840:O840)</f>
        <v>525575.01220703195</v>
      </c>
      <c r="R840" s="1145" t="s">
        <v>361</v>
      </c>
      <c r="S840" s="1211"/>
      <c r="T840" s="734">
        <f>Q840*0.003409512</f>
        <v>1791.9543110200218</v>
      </c>
      <c r="U840" s="1145" t="s">
        <v>342</v>
      </c>
    </row>
    <row r="841" spans="1:26" s="1468" customFormat="1" x14ac:dyDescent="0.25">
      <c r="A841" s="462"/>
      <c r="B841" s="722" t="s">
        <v>362</v>
      </c>
      <c r="C841" s="730"/>
      <c r="D841" s="1186">
        <v>461.84545898438</v>
      </c>
      <c r="E841" s="1186">
        <v>376.87109375</v>
      </c>
      <c r="F841" s="1186">
        <v>158.751953125</v>
      </c>
      <c r="G841" s="1186">
        <v>108.439453125</v>
      </c>
      <c r="H841" s="1186">
        <v>55.04638671875</v>
      </c>
      <c r="I841" s="1186">
        <v>37.6669921875</v>
      </c>
      <c r="J841" s="1170">
        <v>56.22607421875</v>
      </c>
      <c r="K841" s="1665">
        <v>130.2666015625</v>
      </c>
      <c r="L841" s="1665">
        <v>221.10498046875</v>
      </c>
      <c r="M841" s="756">
        <v>297.3046875</v>
      </c>
      <c r="N841" s="756">
        <v>443.3623046875</v>
      </c>
      <c r="O841" s="756">
        <v>579.4775390625</v>
      </c>
      <c r="P841" s="1187"/>
      <c r="Q841" s="724">
        <f t="shared" si="52"/>
        <v>2926.36352539063</v>
      </c>
      <c r="R841" s="1145" t="s">
        <v>363</v>
      </c>
      <c r="S841" s="1211"/>
      <c r="T841" s="1649">
        <f>Q841</f>
        <v>2926.36352539063</v>
      </c>
      <c r="U841" s="1145" t="s">
        <v>342</v>
      </c>
    </row>
    <row r="842" spans="1:26" s="1468" customFormat="1" x14ac:dyDescent="0.25">
      <c r="A842" s="462"/>
      <c r="B842" s="722" t="s">
        <v>364</v>
      </c>
      <c r="C842" s="730"/>
      <c r="D842" s="1170">
        <v>40.409856000000303</v>
      </c>
      <c r="E842" s="1170">
        <v>39.639808000000116</v>
      </c>
      <c r="F842" s="1170">
        <v>98.609920000000116</v>
      </c>
      <c r="G842" s="1170">
        <v>125.60025600000023</v>
      </c>
      <c r="H842" s="1170">
        <v>114.25971199999898</v>
      </c>
      <c r="I842" s="1170">
        <v>267.63059200000072</v>
      </c>
      <c r="J842" s="1192">
        <v>216.47974399999924</v>
      </c>
      <c r="K842" s="1666">
        <v>108.91008000000087</v>
      </c>
      <c r="L842" s="1666">
        <v>106</v>
      </c>
      <c r="M842" s="1666">
        <v>113.58003199999889</v>
      </c>
      <c r="N842" s="1666">
        <v>59.360255999999922</v>
      </c>
      <c r="O842" s="1666">
        <v>101.42976000000068</v>
      </c>
      <c r="P842" s="1667"/>
      <c r="Q842" s="724">
        <f t="shared" si="52"/>
        <v>1391.910016</v>
      </c>
      <c r="R842" s="1146" t="s">
        <v>365</v>
      </c>
      <c r="S842" s="1211"/>
      <c r="T842" s="756">
        <f>Q842</f>
        <v>1391.910016</v>
      </c>
      <c r="U842" s="1145" t="s">
        <v>342</v>
      </c>
    </row>
    <row r="843" spans="1:26" s="1468" customFormat="1" x14ac:dyDescent="0.25">
      <c r="A843" s="462"/>
      <c r="B843" s="728" t="s">
        <v>864</v>
      </c>
      <c r="C843" s="730"/>
      <c r="D843" s="1193">
        <v>271</v>
      </c>
      <c r="E843" s="1194">
        <v>215</v>
      </c>
      <c r="F843" s="1194">
        <v>137</v>
      </c>
      <c r="G843" s="1194">
        <v>132</v>
      </c>
      <c r="H843" s="1194">
        <v>107</v>
      </c>
      <c r="I843" s="1194">
        <v>103</v>
      </c>
      <c r="J843" s="1200">
        <v>120</v>
      </c>
      <c r="K843" s="1200">
        <v>105</v>
      </c>
      <c r="L843" s="1200">
        <v>106</v>
      </c>
      <c r="M843" s="1200">
        <v>65</v>
      </c>
      <c r="N843" s="1200">
        <v>32</v>
      </c>
      <c r="O843" s="1200">
        <v>33</v>
      </c>
      <c r="P843" s="1201"/>
      <c r="Q843" s="724">
        <f t="shared" si="52"/>
        <v>1426</v>
      </c>
      <c r="R843" s="1146" t="s">
        <v>379</v>
      </c>
      <c r="S843" s="1211"/>
      <c r="T843" s="756">
        <f>Q843*748</f>
        <v>1066648</v>
      </c>
      <c r="U843" s="1146" t="s">
        <v>346</v>
      </c>
    </row>
    <row r="844" spans="1:26" s="1468" customFormat="1" x14ac:dyDescent="0.25">
      <c r="A844" s="462"/>
      <c r="B844" s="722" t="s">
        <v>368</v>
      </c>
      <c r="C844" s="730"/>
      <c r="D844" s="1208">
        <f>D840*0.086</f>
        <v>4183.1252441406732</v>
      </c>
      <c r="E844" s="1208">
        <f t="shared" ref="E844:N844" si="53">E840*0.086</f>
        <v>4286.0690917968259</v>
      </c>
      <c r="F844" s="1208">
        <f t="shared" si="53"/>
        <v>4297.5906982422557</v>
      </c>
      <c r="G844" s="1208">
        <f t="shared" si="53"/>
        <v>4089.1257324216594</v>
      </c>
      <c r="H844" s="1208">
        <f t="shared" si="53"/>
        <v>3784.4304199216594</v>
      </c>
      <c r="I844" s="1208">
        <f t="shared" si="53"/>
        <v>4044.9289550783401</v>
      </c>
      <c r="J844" s="1208">
        <f t="shared" si="53"/>
        <v>3838.8627929683194</v>
      </c>
      <c r="K844" s="1208">
        <f t="shared" si="53"/>
        <v>3902.9428710941802</v>
      </c>
      <c r="L844" s="1208">
        <f t="shared" si="53"/>
        <v>3902.5019531249995</v>
      </c>
      <c r="M844" s="1208">
        <f t="shared" si="53"/>
        <v>3397.5144042966594</v>
      </c>
      <c r="N844" s="1208">
        <f t="shared" si="53"/>
        <v>3095.9160156249995</v>
      </c>
      <c r="O844" s="1208">
        <f>O840*0.087</f>
        <v>2404.0759277348102</v>
      </c>
      <c r="P844" s="745"/>
      <c r="Q844" s="724">
        <f t="shared" si="52"/>
        <v>45227.084106445385</v>
      </c>
      <c r="R844" s="1145" t="s">
        <v>865</v>
      </c>
      <c r="S844" s="1211"/>
      <c r="T844" s="1651"/>
      <c r="U844" s="1652"/>
    </row>
    <row r="845" spans="1:26" s="1468" customFormat="1" x14ac:dyDescent="0.25">
      <c r="A845" s="462"/>
      <c r="B845" s="722" t="s">
        <v>369</v>
      </c>
      <c r="C845" s="730"/>
      <c r="D845" s="1208">
        <f>D841*13.97</f>
        <v>6451.9810620117887</v>
      </c>
      <c r="E845" s="1208">
        <f t="shared" ref="E845:N845" si="54">E841*13.97</f>
        <v>5264.8891796875005</v>
      </c>
      <c r="F845" s="1208">
        <f t="shared" si="54"/>
        <v>2217.7647851562501</v>
      </c>
      <c r="G845" s="1208">
        <f t="shared" si="54"/>
        <v>1514.89916015625</v>
      </c>
      <c r="H845" s="1208">
        <f t="shared" si="54"/>
        <v>768.99802246093759</v>
      </c>
      <c r="I845" s="1208">
        <f t="shared" si="54"/>
        <v>526.207880859375</v>
      </c>
      <c r="J845" s="1208">
        <f t="shared" si="54"/>
        <v>785.47825683593749</v>
      </c>
      <c r="K845" s="1208">
        <f t="shared" si="54"/>
        <v>1819.8244238281252</v>
      </c>
      <c r="L845" s="1208">
        <f t="shared" si="54"/>
        <v>3088.8365771484378</v>
      </c>
      <c r="M845" s="1208">
        <f t="shared" si="54"/>
        <v>4153.3464843749998</v>
      </c>
      <c r="N845" s="1208">
        <f t="shared" si="54"/>
        <v>6193.7713964843751</v>
      </c>
      <c r="O845" s="1208">
        <f>O841*12.95</f>
        <v>7504.234130859375</v>
      </c>
      <c r="P845" s="745"/>
      <c r="Q845" s="724">
        <f t="shared" si="52"/>
        <v>40290.231359863355</v>
      </c>
      <c r="R845" s="1145" t="s">
        <v>865</v>
      </c>
      <c r="S845" s="1211"/>
      <c r="T845" s="1647"/>
      <c r="U845" s="1150"/>
    </row>
    <row r="846" spans="1:26" s="1468" customFormat="1" ht="16.5" x14ac:dyDescent="0.35">
      <c r="A846" s="462"/>
      <c r="B846" s="722" t="s">
        <v>326</v>
      </c>
      <c r="C846" s="730"/>
      <c r="D846" s="1208">
        <f>D842*13.39</f>
        <v>541.08797184000412</v>
      </c>
      <c r="E846" s="1208">
        <f t="shared" ref="E846:N846" si="55">E842*13.39</f>
        <v>530.77702912000154</v>
      </c>
      <c r="F846" s="1208">
        <f t="shared" si="55"/>
        <v>1320.3868288000017</v>
      </c>
      <c r="G846" s="1208">
        <f t="shared" si="55"/>
        <v>1681.7874278400031</v>
      </c>
      <c r="H846" s="1208">
        <f t="shared" si="55"/>
        <v>1529.9375436799864</v>
      </c>
      <c r="I846" s="1208">
        <f t="shared" si="55"/>
        <v>3583.5736268800097</v>
      </c>
      <c r="J846" s="1208">
        <f t="shared" si="55"/>
        <v>2898.66377215999</v>
      </c>
      <c r="K846" s="1208">
        <f t="shared" si="55"/>
        <v>1458.3059712000118</v>
      </c>
      <c r="L846" s="1208">
        <f t="shared" si="55"/>
        <v>1419.3400000000001</v>
      </c>
      <c r="M846" s="1208">
        <f t="shared" si="55"/>
        <v>1520.8366284799852</v>
      </c>
      <c r="N846" s="1208">
        <f t="shared" si="55"/>
        <v>794.833827839999</v>
      </c>
      <c r="O846" s="1208">
        <f>O842*12.02</f>
        <v>1219.1857152000082</v>
      </c>
      <c r="P846" s="745"/>
      <c r="Q846" s="724">
        <f t="shared" si="52"/>
        <v>18498.716343040003</v>
      </c>
      <c r="R846" s="1145" t="s">
        <v>865</v>
      </c>
      <c r="S846" s="1211"/>
      <c r="T846" s="1653"/>
      <c r="U846" s="1150"/>
    </row>
    <row r="847" spans="1:26" s="1468" customFormat="1" ht="16.5" x14ac:dyDescent="0.35">
      <c r="A847" s="462"/>
      <c r="B847" s="732" t="s">
        <v>325</v>
      </c>
      <c r="C847" s="714"/>
      <c r="D847" s="1147">
        <f>D843*9.2</f>
        <v>2493.1999999999998</v>
      </c>
      <c r="E847" s="1147">
        <f t="shared" ref="E847:N847" si="56">E843*9.2</f>
        <v>1977.9999999999998</v>
      </c>
      <c r="F847" s="1147">
        <f t="shared" si="56"/>
        <v>1260.3999999999999</v>
      </c>
      <c r="G847" s="1147">
        <f t="shared" si="56"/>
        <v>1214.3999999999999</v>
      </c>
      <c r="H847" s="1147">
        <f t="shared" si="56"/>
        <v>984.4</v>
      </c>
      <c r="I847" s="1147">
        <f t="shared" si="56"/>
        <v>947.59999999999991</v>
      </c>
      <c r="J847" s="1147">
        <f t="shared" si="56"/>
        <v>1104</v>
      </c>
      <c r="K847" s="1147">
        <f t="shared" si="56"/>
        <v>965.99999999999989</v>
      </c>
      <c r="L847" s="1147">
        <f t="shared" si="56"/>
        <v>975.19999999999993</v>
      </c>
      <c r="M847" s="1147">
        <f t="shared" si="56"/>
        <v>598</v>
      </c>
      <c r="N847" s="1147">
        <f t="shared" si="56"/>
        <v>294.39999999999998</v>
      </c>
      <c r="O847" s="1147">
        <f>O843*9.33</f>
        <v>307.89</v>
      </c>
      <c r="P847" s="1148"/>
      <c r="Q847" s="724">
        <f t="shared" si="52"/>
        <v>13123.489999999998</v>
      </c>
      <c r="R847" s="1145" t="s">
        <v>865</v>
      </c>
      <c r="S847" s="1211"/>
      <c r="T847" s="1653"/>
      <c r="U847" s="1150"/>
    </row>
    <row r="848" spans="1:26" s="1468" customFormat="1" x14ac:dyDescent="0.25">
      <c r="A848" s="462"/>
      <c r="B848" s="460"/>
      <c r="C848" s="1467"/>
      <c r="T848" s="460"/>
    </row>
    <row r="849" spans="1:26" s="460" customFormat="1" x14ac:dyDescent="0.25">
      <c r="A849" s="462">
        <v>54</v>
      </c>
      <c r="B849" s="460" t="s">
        <v>1413</v>
      </c>
      <c r="C849" s="462"/>
      <c r="T849" s="460" t="s">
        <v>978</v>
      </c>
    </row>
    <row r="850" spans="1:26" s="128" customFormat="1" ht="15.75" x14ac:dyDescent="0.25">
      <c r="A850" s="459"/>
      <c r="B850" s="1640" t="s">
        <v>1416</v>
      </c>
      <c r="C850" s="998"/>
      <c r="D850" s="441"/>
      <c r="E850" s="441"/>
      <c r="F850" s="441"/>
      <c r="G850" s="441"/>
      <c r="H850" s="441"/>
      <c r="I850" s="441"/>
      <c r="J850" s="441"/>
      <c r="K850" s="441"/>
      <c r="L850" s="441"/>
      <c r="M850" s="441"/>
      <c r="N850" s="441"/>
      <c r="S850" s="173"/>
      <c r="T850" s="127"/>
      <c r="W850" s="129"/>
      <c r="Y850" s="166"/>
      <c r="Z850" s="166"/>
    </row>
    <row r="851" spans="1:26" s="128" customFormat="1" ht="15.75" x14ac:dyDescent="0.25">
      <c r="A851" s="459"/>
      <c r="B851" s="472" t="s">
        <v>1099</v>
      </c>
      <c r="C851" s="1628" t="s">
        <v>1398</v>
      </c>
      <c r="D851" s="473">
        <v>42217</v>
      </c>
      <c r="E851" s="473">
        <v>42248</v>
      </c>
      <c r="F851" s="473">
        <v>42278</v>
      </c>
      <c r="G851" s="473">
        <v>42309</v>
      </c>
      <c r="H851" s="473">
        <v>42339</v>
      </c>
      <c r="I851" s="473">
        <v>42370</v>
      </c>
      <c r="J851" s="473">
        <v>42401</v>
      </c>
      <c r="K851" s="473">
        <v>42430</v>
      </c>
      <c r="L851" s="473">
        <v>42461</v>
      </c>
      <c r="M851" s="473">
        <v>42491</v>
      </c>
      <c r="N851" s="473">
        <v>42522</v>
      </c>
      <c r="S851" s="173"/>
      <c r="T851" s="127"/>
      <c r="W851" s="129"/>
      <c r="Y851" s="166"/>
      <c r="Z851" s="166"/>
    </row>
    <row r="852" spans="1:26" s="128" customFormat="1" ht="15.75" x14ac:dyDescent="0.25">
      <c r="A852" s="459"/>
      <c r="B852" s="1100" t="s">
        <v>1100</v>
      </c>
      <c r="C852" s="1637"/>
      <c r="D852" s="1100"/>
      <c r="E852" s="1100"/>
      <c r="F852" s="1100"/>
      <c r="G852" s="1100"/>
      <c r="H852" s="1100"/>
      <c r="I852" s="1100"/>
      <c r="J852" s="1100"/>
      <c r="K852" s="1100"/>
      <c r="L852" s="1100"/>
      <c r="M852" s="1100"/>
      <c r="N852" s="441"/>
      <c r="S852" s="173"/>
      <c r="T852" s="127"/>
      <c r="W852" s="129"/>
      <c r="Y852" s="166"/>
      <c r="Z852" s="166"/>
    </row>
    <row r="853" spans="1:26" s="128" customFormat="1" ht="15.75" x14ac:dyDescent="0.25">
      <c r="A853" s="459"/>
      <c r="B853" s="1629" t="s">
        <v>1093</v>
      </c>
      <c r="C853" s="1631">
        <v>54581</v>
      </c>
      <c r="D853" s="1631">
        <v>60418</v>
      </c>
      <c r="E853" s="1631">
        <v>77125</v>
      </c>
      <c r="F853" s="1631">
        <v>63722</v>
      </c>
      <c r="G853" s="1631">
        <v>69467</v>
      </c>
      <c r="H853" s="1631">
        <v>62518</v>
      </c>
      <c r="I853" s="1631">
        <v>86863</v>
      </c>
      <c r="J853" s="1631">
        <v>85967</v>
      </c>
      <c r="K853" s="1631">
        <v>67171</v>
      </c>
      <c r="L853" s="1631">
        <v>71204</v>
      </c>
      <c r="M853" s="1631">
        <v>59045</v>
      </c>
      <c r="N853" s="1631">
        <v>75766</v>
      </c>
      <c r="S853" s="173"/>
      <c r="T853" s="127"/>
      <c r="W853" s="129"/>
      <c r="Y853" s="166"/>
      <c r="Z853" s="166"/>
    </row>
    <row r="854" spans="1:26" s="128" customFormat="1" ht="15.75" x14ac:dyDescent="0.25">
      <c r="A854" s="459"/>
      <c r="B854" s="1629" t="s">
        <v>322</v>
      </c>
      <c r="C854" s="1631">
        <v>5236</v>
      </c>
      <c r="D854" s="1631">
        <v>35904</v>
      </c>
      <c r="E854" s="1631">
        <v>142120</v>
      </c>
      <c r="F854" s="1631">
        <v>203456</v>
      </c>
      <c r="G854" s="1631">
        <v>216920</v>
      </c>
      <c r="H854" s="1631">
        <v>143616</v>
      </c>
      <c r="I854" s="1631">
        <v>64328</v>
      </c>
      <c r="J854" s="1631">
        <v>211684</v>
      </c>
      <c r="K854" s="1631">
        <v>215424</v>
      </c>
      <c r="L854" s="1631">
        <v>227392</v>
      </c>
      <c r="M854" s="1631">
        <v>164560</v>
      </c>
      <c r="N854" s="1631">
        <v>125664</v>
      </c>
      <c r="S854" s="173"/>
      <c r="T854" s="127"/>
      <c r="W854" s="129"/>
      <c r="Y854" s="166"/>
      <c r="Z854" s="166"/>
    </row>
    <row r="855" spans="1:26" s="128" customFormat="1" ht="15.75" x14ac:dyDescent="0.25">
      <c r="A855" s="459"/>
      <c r="B855" s="1632" t="s">
        <v>641</v>
      </c>
      <c r="C855" s="1631">
        <v>84</v>
      </c>
      <c r="D855" s="1631">
        <v>80</v>
      </c>
      <c r="E855" s="1631">
        <v>376</v>
      </c>
      <c r="F855" s="1631">
        <v>395</v>
      </c>
      <c r="G855" s="1631">
        <v>525</v>
      </c>
      <c r="H855" s="1631">
        <v>490</v>
      </c>
      <c r="I855" s="1631">
        <v>331</v>
      </c>
      <c r="J855" s="1631">
        <v>682</v>
      </c>
      <c r="K855" s="1631">
        <v>656</v>
      </c>
      <c r="L855" s="1631">
        <v>590</v>
      </c>
      <c r="M855" s="1631">
        <v>450</v>
      </c>
      <c r="N855" s="1631">
        <v>374</v>
      </c>
      <c r="S855" s="173"/>
      <c r="T855" s="127"/>
      <c r="W855" s="129"/>
      <c r="Y855" s="166"/>
      <c r="Z855" s="166"/>
    </row>
    <row r="856" spans="1:26" s="128" customFormat="1" ht="15.75" x14ac:dyDescent="0.25">
      <c r="A856" s="459"/>
      <c r="B856" s="1633"/>
      <c r="C856" s="1631"/>
      <c r="D856" s="1631"/>
      <c r="E856" s="1631"/>
      <c r="F856" s="1631"/>
      <c r="G856" s="1631"/>
      <c r="H856" s="1631"/>
      <c r="I856" s="1631"/>
      <c r="J856" s="1631"/>
      <c r="K856" s="1631"/>
      <c r="L856" s="1631"/>
      <c r="M856" s="1631"/>
      <c r="N856" s="1631"/>
      <c r="S856" s="173"/>
      <c r="T856" s="127"/>
      <c r="W856" s="129"/>
      <c r="Y856" s="166"/>
      <c r="Z856" s="166"/>
    </row>
    <row r="857" spans="1:26" s="128" customFormat="1" ht="15.75" x14ac:dyDescent="0.25">
      <c r="A857" s="459"/>
      <c r="B857" s="1629" t="s">
        <v>324</v>
      </c>
      <c r="C857" s="1631">
        <v>5102.08</v>
      </c>
      <c r="D857" s="1631">
        <v>5449.56</v>
      </c>
      <c r="E857" s="1631">
        <v>6450.17</v>
      </c>
      <c r="F857" s="1631">
        <v>5675.06</v>
      </c>
      <c r="G857" s="1631">
        <v>6023.35</v>
      </c>
      <c r="H857" s="1631">
        <v>5602.06</v>
      </c>
      <c r="I857" s="1631">
        <v>7083.82</v>
      </c>
      <c r="J857" s="1631">
        <v>7031.59</v>
      </c>
      <c r="K857" s="1631">
        <v>5890.34</v>
      </c>
      <c r="L857" s="1631">
        <v>6135.21</v>
      </c>
      <c r="M857" s="1631">
        <v>5396.94</v>
      </c>
      <c r="N857" s="1631">
        <v>6412.21</v>
      </c>
      <c r="S857" s="173"/>
      <c r="T857" s="127"/>
      <c r="W857" s="129"/>
      <c r="Y857" s="166"/>
      <c r="Z857" s="166"/>
    </row>
    <row r="858" spans="1:26" s="128" customFormat="1" ht="15.75" x14ac:dyDescent="0.25">
      <c r="A858" s="459"/>
      <c r="B858" s="1634" t="s">
        <v>328</v>
      </c>
      <c r="C858" s="1631">
        <v>786.59</v>
      </c>
      <c r="D858" s="1631">
        <v>1024.96</v>
      </c>
      <c r="E858" s="1631">
        <v>1879.8</v>
      </c>
      <c r="F858" s="1631">
        <v>2373.4399999999996</v>
      </c>
      <c r="G858" s="1631">
        <v>2481.8000000000002</v>
      </c>
      <c r="H858" s="1631">
        <v>1891.84</v>
      </c>
      <c r="I858" s="1631">
        <v>1253.72</v>
      </c>
      <c r="J858" s="1631">
        <v>2439.66</v>
      </c>
      <c r="K858" s="1631">
        <v>2469.7600000000002</v>
      </c>
      <c r="L858" s="1631">
        <v>2566.08</v>
      </c>
      <c r="M858" s="1631">
        <v>2060.4</v>
      </c>
      <c r="N858" s="1631">
        <v>1747.36</v>
      </c>
      <c r="S858" s="173"/>
      <c r="T858" s="127"/>
      <c r="W858" s="129"/>
      <c r="Y858" s="166"/>
      <c r="Z858" s="166"/>
    </row>
    <row r="859" spans="1:26" s="128" customFormat="1" ht="15.75" x14ac:dyDescent="0.25">
      <c r="A859" s="459"/>
      <c r="B859" s="1633" t="s">
        <v>733</v>
      </c>
      <c r="C859" s="1631">
        <v>86.52</v>
      </c>
      <c r="D859" s="1631">
        <v>83.52</v>
      </c>
      <c r="E859" s="1631">
        <v>305.44</v>
      </c>
      <c r="F859" s="1631">
        <v>322.74</v>
      </c>
      <c r="G859" s="1631">
        <v>421.09</v>
      </c>
      <c r="H859" s="1631">
        <v>383.35</v>
      </c>
      <c r="I859" s="1631">
        <v>264.62</v>
      </c>
      <c r="J859" s="1631">
        <v>511.42</v>
      </c>
      <c r="K859" s="1631">
        <v>492.82</v>
      </c>
      <c r="L859" s="1631">
        <v>443.88000000000005</v>
      </c>
      <c r="M859" s="1631">
        <v>352.63</v>
      </c>
      <c r="N859" s="1631">
        <v>297.55</v>
      </c>
      <c r="S859" s="173"/>
      <c r="T859" s="127"/>
      <c r="W859" s="129"/>
      <c r="Y859" s="166"/>
      <c r="Z859" s="166"/>
    </row>
    <row r="860" spans="1:26" s="1468" customFormat="1" x14ac:dyDescent="0.25">
      <c r="A860" s="462"/>
      <c r="C860" s="1467"/>
    </row>
    <row r="861" spans="1:26" s="1468" customFormat="1" x14ac:dyDescent="0.25">
      <c r="A861" s="462">
        <v>55</v>
      </c>
      <c r="B861" s="460" t="s">
        <v>979</v>
      </c>
      <c r="C861" s="1467"/>
      <c r="T861" s="460" t="s">
        <v>979</v>
      </c>
    </row>
    <row r="862" spans="1:26" s="128" customFormat="1" x14ac:dyDescent="0.25">
      <c r="A862" s="459"/>
      <c r="B862" s="127" t="s">
        <v>139</v>
      </c>
      <c r="C862" s="173"/>
      <c r="D862" s="172" t="s">
        <v>138</v>
      </c>
      <c r="S862" s="173"/>
      <c r="T862" s="127"/>
      <c r="W862" s="129"/>
      <c r="Y862" s="166"/>
      <c r="Z862" s="166"/>
    </row>
    <row r="863" spans="1:26" s="128" customFormat="1" x14ac:dyDescent="0.25">
      <c r="A863" s="459"/>
      <c r="B863" s="564">
        <v>117992</v>
      </c>
      <c r="C863" s="173" t="s">
        <v>1336</v>
      </c>
      <c r="D863" s="128" t="s">
        <v>1337</v>
      </c>
      <c r="E863" s="128" t="s">
        <v>1338</v>
      </c>
      <c r="F863" s="128" t="s">
        <v>1339</v>
      </c>
      <c r="G863" s="128" t="s">
        <v>1340</v>
      </c>
      <c r="H863" s="128" t="s">
        <v>1341</v>
      </c>
      <c r="I863" s="128" t="s">
        <v>1342</v>
      </c>
      <c r="J863" s="128" t="s">
        <v>1343</v>
      </c>
      <c r="K863" s="128" t="s">
        <v>1344</v>
      </c>
      <c r="L863" s="128" t="s">
        <v>1345</v>
      </c>
      <c r="M863" s="128" t="s">
        <v>1346</v>
      </c>
      <c r="N863" s="128" t="s">
        <v>1347</v>
      </c>
      <c r="S863" s="173"/>
      <c r="T863" s="127"/>
      <c r="W863" s="129"/>
      <c r="Y863" s="166"/>
      <c r="Z863" s="166"/>
    </row>
    <row r="864" spans="1:26" s="128" customFormat="1" x14ac:dyDescent="0.25">
      <c r="A864" s="459"/>
      <c r="B864" s="564" t="s">
        <v>694</v>
      </c>
      <c r="C864" s="173"/>
      <c r="S864" s="173"/>
      <c r="T864" s="127"/>
      <c r="W864" s="129"/>
      <c r="Y864" s="166"/>
      <c r="Z864" s="166"/>
    </row>
    <row r="865" spans="1:26" s="128" customFormat="1" x14ac:dyDescent="0.25">
      <c r="A865" s="459"/>
      <c r="B865" s="564" t="s">
        <v>695</v>
      </c>
      <c r="C865" s="173">
        <v>76766</v>
      </c>
      <c r="D865" s="128">
        <v>80807</v>
      </c>
      <c r="E865" s="128">
        <v>72885.399999999994</v>
      </c>
      <c r="F865" s="128">
        <v>70898.8</v>
      </c>
      <c r="G865" s="128">
        <v>71999.600000000006</v>
      </c>
      <c r="H865" s="128">
        <v>73852.2</v>
      </c>
      <c r="I865" s="128">
        <v>75118</v>
      </c>
      <c r="J865" s="128">
        <v>68766</v>
      </c>
      <c r="K865" s="128">
        <v>77821</v>
      </c>
      <c r="L865" s="128">
        <v>78207.199999999997</v>
      </c>
      <c r="M865" s="128">
        <v>85712.8</v>
      </c>
      <c r="N865" s="128">
        <v>87298.8</v>
      </c>
      <c r="S865" s="173"/>
      <c r="T865" s="127"/>
      <c r="W865" s="129"/>
      <c r="Y865" s="166"/>
      <c r="Z865" s="166"/>
    </row>
    <row r="866" spans="1:26" s="128" customFormat="1" x14ac:dyDescent="0.25">
      <c r="A866" s="459"/>
      <c r="B866" s="564" t="s">
        <v>696</v>
      </c>
      <c r="C866" s="173">
        <v>37</v>
      </c>
      <c r="D866" s="128">
        <v>35</v>
      </c>
      <c r="E866" s="128">
        <v>119</v>
      </c>
      <c r="F866" s="128">
        <v>137</v>
      </c>
      <c r="G866" s="128">
        <v>213</v>
      </c>
      <c r="H866" s="128">
        <v>196</v>
      </c>
      <c r="I866" s="128">
        <v>188</v>
      </c>
      <c r="J866" s="128">
        <v>206</v>
      </c>
      <c r="K866" s="128">
        <v>197</v>
      </c>
      <c r="L866" s="128">
        <v>156</v>
      </c>
      <c r="M866" s="128">
        <v>119</v>
      </c>
      <c r="N866" s="128">
        <v>100</v>
      </c>
      <c r="S866" s="173"/>
      <c r="T866" s="127"/>
      <c r="W866" s="129"/>
      <c r="Y866" s="166"/>
      <c r="Z866" s="166"/>
    </row>
    <row r="867" spans="1:26" s="128" customFormat="1" x14ac:dyDescent="0.25">
      <c r="A867" s="459"/>
      <c r="B867" s="564" t="s">
        <v>697</v>
      </c>
      <c r="C867" s="173">
        <v>150</v>
      </c>
      <c r="D867" s="128">
        <v>2400</v>
      </c>
      <c r="E867" s="128">
        <v>4050</v>
      </c>
      <c r="F867" s="128">
        <v>2530</v>
      </c>
      <c r="G867" s="128">
        <v>2470</v>
      </c>
      <c r="H867" s="128">
        <v>1570</v>
      </c>
      <c r="I867" s="128">
        <v>2750</v>
      </c>
      <c r="J867" s="128">
        <v>2900</v>
      </c>
      <c r="K867" s="128">
        <v>3090</v>
      </c>
      <c r="L867" s="128">
        <v>3060</v>
      </c>
      <c r="M867" s="128">
        <v>2700</v>
      </c>
      <c r="N867" s="128">
        <v>1950</v>
      </c>
      <c r="S867" s="173"/>
      <c r="T867" s="127"/>
      <c r="W867" s="129"/>
      <c r="Y867" s="166"/>
      <c r="Z867" s="166"/>
    </row>
    <row r="868" spans="1:26" s="128" customFormat="1" x14ac:dyDescent="0.25">
      <c r="A868" s="459"/>
      <c r="B868" s="564" t="s">
        <v>1048</v>
      </c>
      <c r="C868" s="173">
        <v>424</v>
      </c>
      <c r="D868" s="128">
        <v>343</v>
      </c>
      <c r="E868" s="128">
        <v>174</v>
      </c>
      <c r="F868" s="128">
        <v>122</v>
      </c>
      <c r="G868" s="128">
        <v>163</v>
      </c>
      <c r="H868" s="128">
        <v>239</v>
      </c>
      <c r="I868" s="128">
        <v>137</v>
      </c>
      <c r="J868" s="128">
        <v>148</v>
      </c>
      <c r="K868" s="128">
        <v>174</v>
      </c>
      <c r="L868" s="128">
        <v>273.7</v>
      </c>
      <c r="M868" s="128">
        <v>337.2</v>
      </c>
      <c r="N868" s="128">
        <v>411.8</v>
      </c>
      <c r="S868" s="173"/>
      <c r="T868" s="127"/>
      <c r="W868" s="129"/>
      <c r="Y868" s="166"/>
      <c r="Z868" s="166"/>
    </row>
    <row r="869" spans="1:26" s="128" customFormat="1" x14ac:dyDescent="0.25">
      <c r="A869" s="459"/>
      <c r="B869" s="564" t="s">
        <v>1049</v>
      </c>
      <c r="C869" s="173">
        <v>135</v>
      </c>
      <c r="D869" s="128">
        <v>115</v>
      </c>
      <c r="E869" s="128">
        <v>77</v>
      </c>
      <c r="F869" s="128">
        <v>147</v>
      </c>
      <c r="G869" s="128">
        <v>242</v>
      </c>
      <c r="H869" s="128">
        <v>208</v>
      </c>
      <c r="I869" s="128">
        <v>314</v>
      </c>
      <c r="J869" s="128">
        <v>276</v>
      </c>
      <c r="K869" s="128">
        <v>177</v>
      </c>
      <c r="L869" s="128">
        <v>156.6</v>
      </c>
      <c r="M869" s="128">
        <v>152.4</v>
      </c>
      <c r="N869" s="128">
        <v>113</v>
      </c>
      <c r="S869" s="173"/>
      <c r="T869" s="127"/>
      <c r="W869" s="129"/>
      <c r="Y869" s="166"/>
      <c r="Z869" s="166"/>
    </row>
    <row r="870" spans="1:26" s="128" customFormat="1" x14ac:dyDescent="0.25">
      <c r="A870" s="459"/>
      <c r="B870" s="564"/>
      <c r="C870" s="173"/>
      <c r="S870" s="173"/>
      <c r="T870" s="127"/>
      <c r="W870" s="129"/>
      <c r="Y870" s="166"/>
      <c r="Z870" s="166"/>
    </row>
    <row r="871" spans="1:26" s="128" customFormat="1" x14ac:dyDescent="0.25">
      <c r="A871" s="459"/>
      <c r="B871" s="564" t="s">
        <v>698</v>
      </c>
      <c r="C871" s="173"/>
      <c r="S871" s="173"/>
      <c r="T871" s="127"/>
      <c r="W871" s="129"/>
      <c r="Y871" s="166"/>
      <c r="Z871" s="166"/>
    </row>
    <row r="872" spans="1:26" s="128" customFormat="1" x14ac:dyDescent="0.25">
      <c r="A872" s="459"/>
      <c r="B872" s="564" t="s">
        <v>699</v>
      </c>
      <c r="C872" s="173">
        <v>5124.9358624503548</v>
      </c>
      <c r="D872" s="128">
        <v>5397.2013008187587</v>
      </c>
      <c r="E872" s="128">
        <v>4871.2020947247702</v>
      </c>
      <c r="F872" s="128">
        <v>4332.4971258743171</v>
      </c>
      <c r="G872" s="128">
        <v>4050.9783365450294</v>
      </c>
      <c r="H872" s="128">
        <v>4158.5571341526311</v>
      </c>
      <c r="I872" s="128">
        <v>4253.25132796875</v>
      </c>
      <c r="J872" s="128">
        <v>4015.1459366450777</v>
      </c>
      <c r="K872" s="128">
        <v>4580.650288577719</v>
      </c>
      <c r="L872" s="128">
        <v>4487.8768809774556</v>
      </c>
      <c r="M872" s="128">
        <v>5019.4070288496423</v>
      </c>
      <c r="N872" s="128">
        <v>5638.1401870045302</v>
      </c>
      <c r="S872" s="173"/>
      <c r="T872" s="127"/>
      <c r="W872" s="129"/>
      <c r="Y872" s="166"/>
      <c r="Z872" s="166"/>
    </row>
    <row r="873" spans="1:26" s="128" customFormat="1" x14ac:dyDescent="0.25">
      <c r="A873" s="459"/>
      <c r="B873" s="564" t="s">
        <v>700</v>
      </c>
      <c r="C873" s="173">
        <v>47.93</v>
      </c>
      <c r="D873" s="128">
        <v>46.52</v>
      </c>
      <c r="E873" s="128">
        <v>105.38</v>
      </c>
      <c r="F873" s="128">
        <v>118</v>
      </c>
      <c r="G873" s="128">
        <v>170.19</v>
      </c>
      <c r="H873" s="128">
        <v>156.75</v>
      </c>
      <c r="I873" s="128">
        <v>148.69999999999999</v>
      </c>
      <c r="J873" s="128">
        <v>159.72</v>
      </c>
      <c r="K873" s="128">
        <v>153.71</v>
      </c>
      <c r="L873" s="128">
        <v>126.73</v>
      </c>
      <c r="M873" s="128">
        <v>103.33</v>
      </c>
      <c r="N873" s="128">
        <v>90.56</v>
      </c>
      <c r="S873" s="173"/>
      <c r="T873" s="127"/>
      <c r="W873" s="129"/>
      <c r="Y873" s="166"/>
      <c r="Z873" s="166"/>
    </row>
    <row r="874" spans="1:26" s="128" customFormat="1" x14ac:dyDescent="0.25">
      <c r="A874" s="459"/>
      <c r="B874" s="564" t="s">
        <v>701</v>
      </c>
      <c r="C874" s="173">
        <v>11.179973467840689</v>
      </c>
      <c r="D874" s="128">
        <v>181.37471460780824</v>
      </c>
      <c r="E874" s="128">
        <v>310.04799569765999</v>
      </c>
      <c r="F874" s="128">
        <v>207.31223427379038</v>
      </c>
      <c r="G874" s="128">
        <v>203.87719626541517</v>
      </c>
      <c r="H874" s="128">
        <v>134.56234121360092</v>
      </c>
      <c r="I874" s="128">
        <v>254.84754639175256</v>
      </c>
      <c r="J874" s="128">
        <v>240.41288788121278</v>
      </c>
      <c r="K874" s="128">
        <v>253.84828910205172</v>
      </c>
      <c r="L874" s="128">
        <v>247.23462596379485</v>
      </c>
      <c r="M874" s="128">
        <v>213.18974851746103</v>
      </c>
      <c r="N874" s="128">
        <v>128.05517208714872</v>
      </c>
      <c r="S874" s="173"/>
      <c r="T874" s="127"/>
      <c r="W874" s="129"/>
      <c r="Y874" s="166"/>
      <c r="Z874" s="166"/>
    </row>
    <row r="875" spans="1:26" s="128" customFormat="1" x14ac:dyDescent="0.25">
      <c r="A875" s="459"/>
      <c r="B875" s="564" t="s">
        <v>1050</v>
      </c>
      <c r="C875" s="173">
        <v>2185.7344028161547</v>
      </c>
      <c r="D875" s="128">
        <v>1780.3730732400099</v>
      </c>
      <c r="E875" s="128">
        <v>921.07541783097645</v>
      </c>
      <c r="F875" s="128">
        <v>608.1085902545633</v>
      </c>
      <c r="G875" s="128">
        <v>852.12279201453055</v>
      </c>
      <c r="H875" s="128">
        <v>1045.3704620704998</v>
      </c>
      <c r="I875" s="128">
        <v>815.65551111207628</v>
      </c>
      <c r="J875" s="128">
        <v>879.39757493513684</v>
      </c>
      <c r="K875" s="128">
        <v>848.44114283662157</v>
      </c>
      <c r="L875" s="128">
        <v>885.77078578290104</v>
      </c>
      <c r="M875" s="128">
        <v>1373.5244182130282</v>
      </c>
      <c r="N875" s="128">
        <v>1819.8867791260102</v>
      </c>
      <c r="S875" s="173"/>
      <c r="T875" s="127"/>
      <c r="W875" s="129"/>
      <c r="Y875" s="166"/>
      <c r="Z875" s="166"/>
    </row>
    <row r="876" spans="1:26" s="128" customFormat="1" x14ac:dyDescent="0.25">
      <c r="A876" s="459"/>
      <c r="B876" s="564" t="s">
        <v>1051</v>
      </c>
      <c r="C876" s="173">
        <v>605.37959111707085</v>
      </c>
      <c r="D876" s="128">
        <v>670.12768569319917</v>
      </c>
      <c r="E876" s="128">
        <v>425.22966472380216</v>
      </c>
      <c r="F876" s="128">
        <v>603.73277796341006</v>
      </c>
      <c r="G876" s="128">
        <v>814.78069838263445</v>
      </c>
      <c r="H876" s="128">
        <v>943.17685742899357</v>
      </c>
      <c r="I876" s="128">
        <v>1373.5986164948772</v>
      </c>
      <c r="J876" s="128">
        <v>1041.2887674998328</v>
      </c>
      <c r="K876" s="128">
        <v>717.13325585519715</v>
      </c>
      <c r="L876" s="128">
        <v>732.64298930127404</v>
      </c>
      <c r="M876" s="128">
        <v>773.08765027670358</v>
      </c>
      <c r="N876" s="128">
        <v>1010.6758065306014</v>
      </c>
      <c r="S876" s="173"/>
      <c r="T876" s="127"/>
      <c r="W876" s="129"/>
      <c r="Y876" s="166"/>
      <c r="Z876" s="166"/>
    </row>
    <row r="877" spans="1:26" s="128" customFormat="1" x14ac:dyDescent="0.25">
      <c r="A877" s="459"/>
      <c r="B877" s="564" t="s">
        <v>1348</v>
      </c>
      <c r="C877" s="173">
        <v>6988.8262933080205</v>
      </c>
      <c r="D877" s="128">
        <v>6247.9954912197436</v>
      </c>
      <c r="E877" s="128">
        <v>4335.7599227066239</v>
      </c>
      <c r="F877" s="128">
        <v>4446.1209709132827</v>
      </c>
      <c r="G877" s="128">
        <v>5694.9847040477325</v>
      </c>
      <c r="H877" s="128">
        <v>6090.1053156146181</v>
      </c>
      <c r="I877" s="128">
        <v>6153.8292087599157</v>
      </c>
      <c r="J877" s="128">
        <v>5756.573259204014</v>
      </c>
      <c r="K877" s="128">
        <v>5392.1049901688248</v>
      </c>
      <c r="L877" s="128">
        <v>6040.6041629941001</v>
      </c>
      <c r="M877" s="128">
        <v>6728.8635975320367</v>
      </c>
      <c r="N877" s="128">
        <v>7056.9488236490597</v>
      </c>
      <c r="O877" s="128">
        <v>70932.716740117976</v>
      </c>
      <c r="S877" s="173"/>
      <c r="T877" s="127"/>
      <c r="W877" s="129"/>
      <c r="Y877" s="166"/>
      <c r="Z877" s="166"/>
    </row>
    <row r="878" spans="1:26" s="128" customFormat="1" x14ac:dyDescent="0.25">
      <c r="A878" s="459"/>
      <c r="B878" s="564" t="s">
        <v>1349</v>
      </c>
      <c r="C878" s="173"/>
      <c r="S878" s="173"/>
      <c r="T878" s="127"/>
      <c r="W878" s="129"/>
      <c r="Y878" s="166"/>
      <c r="Z878" s="166"/>
    </row>
    <row r="879" spans="1:26" s="128" customFormat="1" x14ac:dyDescent="0.25">
      <c r="A879" s="459"/>
      <c r="B879" s="127"/>
      <c r="C879" s="173"/>
      <c r="S879" s="173"/>
      <c r="T879" s="127"/>
      <c r="W879" s="129"/>
      <c r="Y879" s="166"/>
      <c r="Z879" s="166"/>
    </row>
    <row r="880" spans="1:26" s="1468" customFormat="1" x14ac:dyDescent="0.25">
      <c r="A880" s="462">
        <v>56</v>
      </c>
      <c r="B880" s="460" t="s">
        <v>980</v>
      </c>
      <c r="C880" s="1467"/>
      <c r="T880" s="460" t="s">
        <v>980</v>
      </c>
    </row>
    <row r="881" spans="1:24" s="1468" customFormat="1" x14ac:dyDescent="0.25">
      <c r="A881" s="462"/>
      <c r="B881" s="712" t="s">
        <v>1133</v>
      </c>
      <c r="C881" s="1646"/>
      <c r="D881" s="1183"/>
      <c r="E881" s="1183"/>
      <c r="F881" s="1183"/>
      <c r="G881" s="1183"/>
      <c r="H881" s="1183"/>
      <c r="I881" s="1183"/>
      <c r="J881" s="1183"/>
      <c r="K881" s="713"/>
      <c r="L881" s="713"/>
      <c r="M881" s="713"/>
      <c r="N881" s="713"/>
      <c r="O881" s="713"/>
      <c r="P881" s="714"/>
      <c r="Q881" s="715"/>
      <c r="R881" s="716"/>
      <c r="S881" s="1211"/>
      <c r="T881" s="1647"/>
      <c r="U881" s="1150"/>
    </row>
    <row r="882" spans="1:24" s="1468" customFormat="1" x14ac:dyDescent="0.25">
      <c r="A882" s="462"/>
      <c r="B882" s="717" t="s">
        <v>337</v>
      </c>
      <c r="C882" s="1648"/>
      <c r="D882" s="719">
        <v>42217</v>
      </c>
      <c r="E882" s="719">
        <v>42248</v>
      </c>
      <c r="F882" s="719">
        <v>42278</v>
      </c>
      <c r="G882" s="719">
        <v>42309</v>
      </c>
      <c r="H882" s="719">
        <v>42339</v>
      </c>
      <c r="I882" s="719">
        <v>42370</v>
      </c>
      <c r="J882" s="719">
        <v>42401</v>
      </c>
      <c r="K882" s="719">
        <v>42430</v>
      </c>
      <c r="L882" s="719">
        <v>42461</v>
      </c>
      <c r="M882" s="719">
        <v>42491</v>
      </c>
      <c r="N882" s="719">
        <v>42522</v>
      </c>
      <c r="O882" s="719">
        <v>42552</v>
      </c>
      <c r="P882" s="735"/>
      <c r="Q882" s="720" t="s">
        <v>338</v>
      </c>
      <c r="R882" s="721" t="s">
        <v>339</v>
      </c>
      <c r="S882" s="1222"/>
      <c r="T882" s="720" t="s">
        <v>338</v>
      </c>
      <c r="U882" s="721" t="s">
        <v>339</v>
      </c>
    </row>
    <row r="883" spans="1:24" s="1468" customFormat="1" x14ac:dyDescent="0.25">
      <c r="A883" s="462"/>
      <c r="B883" s="722" t="s">
        <v>360</v>
      </c>
      <c r="C883" s="730"/>
      <c r="D883" s="454">
        <v>42022.033691406024</v>
      </c>
      <c r="E883" s="454">
        <v>41414.001464843976</v>
      </c>
      <c r="F883" s="454">
        <v>40640.991210936932</v>
      </c>
      <c r="G883" s="454">
        <v>39221.984863282043</v>
      </c>
      <c r="H883" s="454">
        <v>38379.028320312049</v>
      </c>
      <c r="I883" s="454">
        <v>41500</v>
      </c>
      <c r="J883" s="1186">
        <v>39580.993652343976</v>
      </c>
      <c r="K883" s="1186">
        <v>40283.996582031024</v>
      </c>
      <c r="L883" s="1186">
        <v>39995.971679682953</v>
      </c>
      <c r="M883" s="1186">
        <v>37370.971679690003</v>
      </c>
      <c r="N883" s="756">
        <v>36082.03125</v>
      </c>
      <c r="O883" s="756">
        <v>37901.977539059997</v>
      </c>
      <c r="P883" s="1187"/>
      <c r="Q883" s="724">
        <f t="shared" ref="Q883:Q890" si="57">SUM(D883:O883)</f>
        <v>474393.98193358898</v>
      </c>
      <c r="R883" s="1145" t="s">
        <v>361</v>
      </c>
      <c r="S883" s="1211"/>
      <c r="T883" s="734">
        <f>Q883*0.003409512</f>
        <v>1617.4519741303548</v>
      </c>
      <c r="U883" s="1145" t="s">
        <v>342</v>
      </c>
    </row>
    <row r="884" spans="1:24" s="1468" customFormat="1" x14ac:dyDescent="0.25">
      <c r="A884" s="462"/>
      <c r="B884" s="722" t="s">
        <v>362</v>
      </c>
      <c r="C884" s="730"/>
      <c r="D884" s="1144">
        <v>376.03979492188</v>
      </c>
      <c r="E884" s="1144">
        <v>279.25512695312</v>
      </c>
      <c r="F884" s="1144">
        <v>93.26708984375</v>
      </c>
      <c r="G884" s="1144">
        <v>59.839111328130002</v>
      </c>
      <c r="H884" s="1144">
        <v>70.08203125</v>
      </c>
      <c r="I884" s="1144">
        <v>27.11279296875</v>
      </c>
      <c r="J884" s="1170">
        <v>33.91796875</v>
      </c>
      <c r="K884" s="1170">
        <v>86.2431640625</v>
      </c>
      <c r="L884" s="1170">
        <v>97.43994140625</v>
      </c>
      <c r="M884" s="756">
        <v>153.28369140625</v>
      </c>
      <c r="N884" s="756">
        <v>310.91796875</v>
      </c>
      <c r="O884" s="756">
        <v>437.7861328125</v>
      </c>
      <c r="P884" s="1187"/>
      <c r="Q884" s="724">
        <f t="shared" si="57"/>
        <v>2025.18481445313</v>
      </c>
      <c r="R884" s="1145" t="s">
        <v>363</v>
      </c>
      <c r="S884" s="1211"/>
      <c r="T884" s="1649">
        <f>Q884</f>
        <v>2025.18481445313</v>
      </c>
      <c r="U884" s="1145" t="s">
        <v>342</v>
      </c>
    </row>
    <row r="885" spans="1:24" s="1468" customFormat="1" x14ac:dyDescent="0.25">
      <c r="A885" s="462"/>
      <c r="B885" s="722" t="s">
        <v>364</v>
      </c>
      <c r="C885" s="730"/>
      <c r="D885" s="454">
        <v>51.510143999999769</v>
      </c>
      <c r="E885" s="454">
        <v>43.509888000000501</v>
      </c>
      <c r="F885" s="454">
        <v>106.04991999999999</v>
      </c>
      <c r="G885" s="454">
        <v>143.31020799999959</v>
      </c>
      <c r="H885" s="454">
        <v>148.6300160000001</v>
      </c>
      <c r="I885" s="454">
        <v>312.67020799999972</v>
      </c>
      <c r="J885" s="1188">
        <v>246.95961600000021</v>
      </c>
      <c r="K885" s="1188">
        <v>128.52019200000049</v>
      </c>
      <c r="L885" s="1188">
        <v>94.590207999999535</v>
      </c>
      <c r="M885" s="1189">
        <v>45.899775999999832</v>
      </c>
      <c r="N885" s="1188">
        <v>25.039616000000365</v>
      </c>
      <c r="O885" s="1188">
        <v>28.800255999999791</v>
      </c>
      <c r="P885" s="1190"/>
      <c r="Q885" s="724">
        <f t="shared" si="57"/>
        <v>1375.4900479999999</v>
      </c>
      <c r="R885" s="1146" t="s">
        <v>365</v>
      </c>
      <c r="S885" s="1211"/>
      <c r="T885" s="756">
        <f>Q885</f>
        <v>1375.4900479999999</v>
      </c>
      <c r="U885" s="1145" t="s">
        <v>342</v>
      </c>
    </row>
    <row r="886" spans="1:24" s="1468" customFormat="1" x14ac:dyDescent="0.25">
      <c r="A886" s="462"/>
      <c r="B886" s="728" t="s">
        <v>864</v>
      </c>
      <c r="C886" s="730"/>
      <c r="D886" s="1193">
        <v>56</v>
      </c>
      <c r="E886" s="1194">
        <v>78</v>
      </c>
      <c r="F886" s="1194">
        <v>65</v>
      </c>
      <c r="G886" s="1194">
        <v>63</v>
      </c>
      <c r="H886" s="1194">
        <v>56</v>
      </c>
      <c r="I886" s="1194">
        <v>63</v>
      </c>
      <c r="J886" s="1200">
        <v>75</v>
      </c>
      <c r="K886" s="1200">
        <v>72</v>
      </c>
      <c r="L886" s="1200">
        <v>72</v>
      </c>
      <c r="M886" s="750">
        <v>44</v>
      </c>
      <c r="N886" s="750">
        <v>22</v>
      </c>
      <c r="O886" s="750">
        <v>21</v>
      </c>
      <c r="P886" s="1191"/>
      <c r="Q886" s="724">
        <f t="shared" si="57"/>
        <v>687</v>
      </c>
      <c r="R886" s="1146" t="s">
        <v>379</v>
      </c>
      <c r="S886" s="1211"/>
      <c r="T886" s="756">
        <f>Q886*748</f>
        <v>513876</v>
      </c>
      <c r="U886" s="1146" t="s">
        <v>346</v>
      </c>
    </row>
    <row r="887" spans="1:24" s="1468" customFormat="1" x14ac:dyDescent="0.25">
      <c r="A887" s="462"/>
      <c r="B887" s="722" t="s">
        <v>368</v>
      </c>
      <c r="C887" s="730"/>
      <c r="D887" s="731">
        <f>D883*0.086</f>
        <v>3613.8948974609179</v>
      </c>
      <c r="E887" s="731">
        <f t="shared" ref="E887:N887" si="58">E883*0.086</f>
        <v>3561.6041259765816</v>
      </c>
      <c r="F887" s="731">
        <f t="shared" si="58"/>
        <v>3495.1252441405759</v>
      </c>
      <c r="G887" s="731">
        <f t="shared" si="58"/>
        <v>3373.0906982422553</v>
      </c>
      <c r="H887" s="731">
        <f t="shared" si="58"/>
        <v>3300.5964355468359</v>
      </c>
      <c r="I887" s="731">
        <f t="shared" si="58"/>
        <v>3568.9999999999995</v>
      </c>
      <c r="J887" s="731">
        <f t="shared" si="58"/>
        <v>3403.9654541015816</v>
      </c>
      <c r="K887" s="731">
        <f t="shared" si="58"/>
        <v>3464.4237060546679</v>
      </c>
      <c r="L887" s="731">
        <f t="shared" si="58"/>
        <v>3439.6535644527335</v>
      </c>
      <c r="M887" s="731">
        <f t="shared" si="58"/>
        <v>3213.9035644533401</v>
      </c>
      <c r="N887" s="731">
        <f t="shared" si="58"/>
        <v>3103.0546874999995</v>
      </c>
      <c r="O887" s="731">
        <f>O883*0.087</f>
        <v>3297.4720458982197</v>
      </c>
      <c r="P887" s="745"/>
      <c r="Q887" s="724">
        <f t="shared" si="57"/>
        <v>40835.78442382771</v>
      </c>
      <c r="R887" s="1145" t="s">
        <v>865</v>
      </c>
      <c r="S887" s="1211"/>
      <c r="T887" s="1651"/>
      <c r="U887" s="1652"/>
    </row>
    <row r="888" spans="1:24" s="1468" customFormat="1" x14ac:dyDescent="0.25">
      <c r="A888" s="462"/>
      <c r="B888" s="722" t="s">
        <v>369</v>
      </c>
      <c r="C888" s="730"/>
      <c r="D888" s="731">
        <f>D884*13.97</f>
        <v>5253.2759350586639</v>
      </c>
      <c r="E888" s="731">
        <f t="shared" ref="E888:N888" si="59">E884*13.97</f>
        <v>3901.1941235350864</v>
      </c>
      <c r="F888" s="731">
        <f t="shared" si="59"/>
        <v>1302.9412451171875</v>
      </c>
      <c r="G888" s="731">
        <f t="shared" si="59"/>
        <v>835.95238525397622</v>
      </c>
      <c r="H888" s="731">
        <f t="shared" si="59"/>
        <v>979.04597656250007</v>
      </c>
      <c r="I888" s="731">
        <f t="shared" si="59"/>
        <v>378.76571777343753</v>
      </c>
      <c r="J888" s="731">
        <f t="shared" si="59"/>
        <v>473.83402343750004</v>
      </c>
      <c r="K888" s="731">
        <f t="shared" si="59"/>
        <v>1204.8170019531251</v>
      </c>
      <c r="L888" s="731">
        <f t="shared" si="59"/>
        <v>1361.2359814453125</v>
      </c>
      <c r="M888" s="731">
        <f t="shared" si="59"/>
        <v>2141.3731689453125</v>
      </c>
      <c r="N888" s="731">
        <f t="shared" si="59"/>
        <v>4343.5240234375005</v>
      </c>
      <c r="O888" s="731">
        <f>O884*12.95</f>
        <v>5669.3304199218746</v>
      </c>
      <c r="P888" s="745"/>
      <c r="Q888" s="724">
        <f t="shared" si="57"/>
        <v>27845.290002441478</v>
      </c>
      <c r="R888" s="1145" t="s">
        <v>865</v>
      </c>
      <c r="S888" s="1211"/>
      <c r="T888" s="1647"/>
      <c r="U888" s="1150"/>
    </row>
    <row r="889" spans="1:24" s="1468" customFormat="1" ht="16.5" x14ac:dyDescent="0.35">
      <c r="A889" s="462"/>
      <c r="B889" s="722" t="s">
        <v>326</v>
      </c>
      <c r="C889" s="730"/>
      <c r="D889" s="731">
        <f>D885*13.39</f>
        <v>689.72082815999693</v>
      </c>
      <c r="E889" s="731">
        <f t="shared" ref="E889:N889" si="60">E885*13.39</f>
        <v>582.59740032000673</v>
      </c>
      <c r="F889" s="731">
        <f t="shared" si="60"/>
        <v>1420.0084287999998</v>
      </c>
      <c r="G889" s="731">
        <f t="shared" si="60"/>
        <v>1918.9236851199946</v>
      </c>
      <c r="H889" s="731">
        <f t="shared" si="60"/>
        <v>1990.1559142400015</v>
      </c>
      <c r="I889" s="731">
        <f t="shared" si="60"/>
        <v>4186.6540851199961</v>
      </c>
      <c r="J889" s="731">
        <f t="shared" si="60"/>
        <v>3306.7892582400032</v>
      </c>
      <c r="K889" s="731">
        <f t="shared" si="60"/>
        <v>1720.8853708800066</v>
      </c>
      <c r="L889" s="731">
        <f t="shared" si="60"/>
        <v>1266.5628851199938</v>
      </c>
      <c r="M889" s="731">
        <f t="shared" si="60"/>
        <v>614.59800063999774</v>
      </c>
      <c r="N889" s="731">
        <f t="shared" si="60"/>
        <v>335.28045824000492</v>
      </c>
      <c r="O889" s="731">
        <f>O885*12.02</f>
        <v>346.17907711999749</v>
      </c>
      <c r="P889" s="745"/>
      <c r="Q889" s="724">
        <f t="shared" si="57"/>
        <v>18378.355392000001</v>
      </c>
      <c r="R889" s="1145" t="s">
        <v>865</v>
      </c>
      <c r="S889" s="1211"/>
      <c r="T889" s="1653"/>
      <c r="U889" s="1150"/>
    </row>
    <row r="890" spans="1:24" s="1468" customFormat="1" ht="16.5" x14ac:dyDescent="0.35">
      <c r="A890" s="462"/>
      <c r="B890" s="732" t="s">
        <v>325</v>
      </c>
      <c r="C890" s="714"/>
      <c r="D890" s="1147">
        <f>D886*9.2</f>
        <v>515.19999999999993</v>
      </c>
      <c r="E890" s="1147">
        <f t="shared" ref="E890:N890" si="61">E886*9.2</f>
        <v>717.59999999999991</v>
      </c>
      <c r="F890" s="1147">
        <f t="shared" si="61"/>
        <v>598</v>
      </c>
      <c r="G890" s="1147">
        <f t="shared" si="61"/>
        <v>579.59999999999991</v>
      </c>
      <c r="H890" s="1147">
        <f t="shared" si="61"/>
        <v>515.19999999999993</v>
      </c>
      <c r="I890" s="1147">
        <f t="shared" si="61"/>
        <v>579.59999999999991</v>
      </c>
      <c r="J890" s="1147">
        <f t="shared" si="61"/>
        <v>690</v>
      </c>
      <c r="K890" s="1147">
        <f t="shared" si="61"/>
        <v>662.4</v>
      </c>
      <c r="L890" s="1147">
        <f t="shared" si="61"/>
        <v>662.4</v>
      </c>
      <c r="M890" s="1147">
        <f t="shared" si="61"/>
        <v>404.79999999999995</v>
      </c>
      <c r="N890" s="1147">
        <f t="shared" si="61"/>
        <v>202.39999999999998</v>
      </c>
      <c r="O890" s="1147">
        <f>O886*9.33</f>
        <v>195.93</v>
      </c>
      <c r="P890" s="1148"/>
      <c r="Q890" s="724">
        <f t="shared" si="57"/>
        <v>6323.1299999999983</v>
      </c>
      <c r="R890" s="1145" t="s">
        <v>865</v>
      </c>
      <c r="S890" s="1211"/>
      <c r="T890" s="1653"/>
      <c r="U890" s="1150"/>
    </row>
    <row r="891" spans="1:24" s="1468" customFormat="1" x14ac:dyDescent="0.25">
      <c r="A891" s="462"/>
      <c r="B891" s="460"/>
      <c r="C891" s="1467"/>
      <c r="T891" s="460"/>
    </row>
    <row r="892" spans="1:24" s="125" customFormat="1" x14ac:dyDescent="0.25">
      <c r="A892" s="461">
        <v>57</v>
      </c>
      <c r="B892" s="1474" t="s">
        <v>1011</v>
      </c>
      <c r="C892" s="152"/>
      <c r="E892" s="1470"/>
      <c r="F892" s="1471"/>
      <c r="G892" s="1472"/>
      <c r="H892" s="1473"/>
      <c r="I892" s="1473"/>
      <c r="J892" s="1473"/>
      <c r="K892" s="1473"/>
      <c r="L892" s="1473"/>
      <c r="M892" s="1473"/>
      <c r="N892" s="1473"/>
      <c r="O892" s="1473"/>
      <c r="P892" s="1473"/>
      <c r="T892" s="1474" t="s">
        <v>1011</v>
      </c>
      <c r="U892" s="126"/>
      <c r="W892" s="443"/>
      <c r="X892" s="458"/>
    </row>
    <row r="893" spans="1:24" s="125" customFormat="1" x14ac:dyDescent="0.25">
      <c r="A893" s="462"/>
      <c r="B893" s="666" t="s">
        <v>1240</v>
      </c>
      <c r="C893" s="497"/>
      <c r="D893"/>
      <c r="E893"/>
      <c r="F893"/>
      <c r="G893"/>
      <c r="H893"/>
      <c r="I893"/>
      <c r="J893"/>
      <c r="K893"/>
      <c r="L893"/>
      <c r="M893"/>
      <c r="N893"/>
      <c r="O893"/>
      <c r="P893"/>
      <c r="T893" s="1474"/>
      <c r="U893" s="126"/>
      <c r="W893" s="443"/>
      <c r="X893" s="458"/>
    </row>
    <row r="894" spans="1:24" s="125" customFormat="1" x14ac:dyDescent="0.25">
      <c r="A894" s="461"/>
      <c r="B894" s="130" t="s">
        <v>337</v>
      </c>
      <c r="C894" s="186"/>
      <c r="D894" s="131">
        <v>42186</v>
      </c>
      <c r="E894" s="131">
        <v>42217</v>
      </c>
      <c r="F894" s="131">
        <v>42248</v>
      </c>
      <c r="G894" s="131">
        <v>42278</v>
      </c>
      <c r="H894" s="131">
        <v>42309</v>
      </c>
      <c r="I894" s="131">
        <v>42339</v>
      </c>
      <c r="J894" s="131">
        <v>42370</v>
      </c>
      <c r="K894" s="131">
        <v>42401</v>
      </c>
      <c r="L894" s="131">
        <v>42430</v>
      </c>
      <c r="M894" s="131">
        <v>42461</v>
      </c>
      <c r="N894" s="131">
        <v>42491</v>
      </c>
      <c r="O894" s="131">
        <v>42522</v>
      </c>
      <c r="P894" s="131"/>
      <c r="T894" s="1474"/>
      <c r="U894" s="126"/>
      <c r="W894" s="443"/>
      <c r="X894" s="458"/>
    </row>
    <row r="895" spans="1:24" s="125" customFormat="1" ht="26.25" x14ac:dyDescent="0.25">
      <c r="A895" s="461"/>
      <c r="B895" s="1271" t="s">
        <v>1223</v>
      </c>
      <c r="C895" s="1511"/>
      <c r="D895" s="1535">
        <v>36485</v>
      </c>
      <c r="E895" s="1535">
        <v>43096</v>
      </c>
      <c r="F895" s="1535">
        <v>39521</v>
      </c>
      <c r="G895" s="1535">
        <v>42293</v>
      </c>
      <c r="H895" s="1535">
        <v>35250</v>
      </c>
      <c r="I895" s="1535">
        <v>29593</v>
      </c>
      <c r="J895" s="1535">
        <v>39198</v>
      </c>
      <c r="K895" s="1535">
        <v>37209</v>
      </c>
      <c r="L895" s="1535">
        <v>48237</v>
      </c>
      <c r="M895" s="1535">
        <v>48818</v>
      </c>
      <c r="N895" s="1535">
        <v>41529</v>
      </c>
      <c r="O895" s="1535">
        <v>40109</v>
      </c>
      <c r="P895" s="136"/>
      <c r="T895" s="1474"/>
      <c r="U895" s="126"/>
      <c r="W895" s="443"/>
      <c r="X895" s="458"/>
    </row>
    <row r="896" spans="1:24" s="125" customFormat="1" ht="39" x14ac:dyDescent="0.25">
      <c r="A896" s="461"/>
      <c r="B896" s="1276" t="s">
        <v>1224</v>
      </c>
      <c r="C896" s="1512"/>
      <c r="D896" s="1523">
        <v>1511.5320000000002</v>
      </c>
      <c r="E896" s="1513">
        <v>1477.212</v>
      </c>
      <c r="F896" s="1513">
        <v>1720.356</v>
      </c>
      <c r="G896" s="1513">
        <v>2152.1280000000002</v>
      </c>
      <c r="H896" s="1513">
        <v>2459.8530000000001</v>
      </c>
      <c r="I896" s="1513">
        <v>2940.0030000000002</v>
      </c>
      <c r="J896" s="1513">
        <v>3732.069</v>
      </c>
      <c r="K896" s="1513">
        <v>3151.5330000000004</v>
      </c>
      <c r="L896" s="1513">
        <v>2822.556</v>
      </c>
      <c r="M896" s="1513">
        <v>2324.3220000000001</v>
      </c>
      <c r="N896" s="1513">
        <v>1156.221</v>
      </c>
      <c r="O896" s="1513">
        <v>1428.537</v>
      </c>
      <c r="P896" s="770"/>
      <c r="T896" s="1474"/>
      <c r="U896" s="126"/>
      <c r="W896" s="443"/>
      <c r="X896" s="458"/>
    </row>
    <row r="897" spans="1:24" s="125" customFormat="1" ht="39" x14ac:dyDescent="0.25">
      <c r="A897" s="461"/>
      <c r="B897" s="1280" t="s">
        <v>1225</v>
      </c>
      <c r="C897" s="1514"/>
      <c r="D897" s="1283">
        <v>49165.693200000002</v>
      </c>
      <c r="E897" s="1283">
        <v>57206.910800000005</v>
      </c>
      <c r="F897" s="1283">
        <v>43492.623200000002</v>
      </c>
      <c r="G897" s="1283">
        <v>25151.833200000001</v>
      </c>
      <c r="H897" s="1283">
        <v>17001.088</v>
      </c>
      <c r="I897" s="1283">
        <v>23729.388800000001</v>
      </c>
      <c r="J897" s="1283">
        <v>22241.6168</v>
      </c>
      <c r="K897" s="1283">
        <v>35202.117600000005</v>
      </c>
      <c r="L897" s="1283">
        <v>30072.972800000003</v>
      </c>
      <c r="M897" s="1283">
        <v>54939.892800000001</v>
      </c>
      <c r="N897" s="1283">
        <v>45885.964800000002</v>
      </c>
      <c r="O897" s="1283">
        <v>57163.152800000003</v>
      </c>
      <c r="P897" s="770"/>
      <c r="T897" s="1474"/>
      <c r="U897" s="126"/>
      <c r="W897" s="443"/>
      <c r="X897" s="458"/>
    </row>
    <row r="898" spans="1:24" s="125" customFormat="1" ht="51.75" x14ac:dyDescent="0.25">
      <c r="A898" s="461"/>
      <c r="B898" s="1284" t="s">
        <v>1226</v>
      </c>
      <c r="C898" s="1526"/>
      <c r="D898" s="1527">
        <v>0</v>
      </c>
      <c r="E898" s="1304">
        <v>0</v>
      </c>
      <c r="F898" s="1304">
        <v>0</v>
      </c>
      <c r="G898" s="1304">
        <v>0</v>
      </c>
      <c r="H898" s="1304">
        <v>0</v>
      </c>
      <c r="I898" s="1304">
        <v>0</v>
      </c>
      <c r="J898" s="1304">
        <v>0</v>
      </c>
      <c r="K898" s="1304">
        <v>0</v>
      </c>
      <c r="L898" s="1304">
        <v>0</v>
      </c>
      <c r="M898" s="1304">
        <v>0</v>
      </c>
      <c r="N898" s="1304">
        <v>0</v>
      </c>
      <c r="O898" s="1304">
        <v>0</v>
      </c>
      <c r="P898" s="1529"/>
      <c r="T898" s="1474"/>
      <c r="U898" s="126"/>
      <c r="W898" s="443"/>
      <c r="X898" s="458"/>
    </row>
    <row r="899" spans="1:24" s="125" customFormat="1" x14ac:dyDescent="0.25">
      <c r="A899" s="461"/>
      <c r="B899" s="135" t="s">
        <v>864</v>
      </c>
      <c r="C899" s="1092"/>
      <c r="D899" s="153">
        <v>11.4</v>
      </c>
      <c r="E899" s="594">
        <v>25.6</v>
      </c>
      <c r="F899" s="594">
        <v>47.4</v>
      </c>
      <c r="G899" s="594">
        <v>46.1</v>
      </c>
      <c r="H899" s="594">
        <v>43.1</v>
      </c>
      <c r="I899" s="594">
        <v>11.4</v>
      </c>
      <c r="J899" s="594">
        <v>25.1</v>
      </c>
      <c r="K899" s="594">
        <v>34.799999999999997</v>
      </c>
      <c r="L899" s="594">
        <v>21.3</v>
      </c>
      <c r="M899" s="594">
        <v>30.7</v>
      </c>
      <c r="N899" s="594">
        <v>11.7</v>
      </c>
      <c r="O899" s="594">
        <v>10.4</v>
      </c>
      <c r="P899" s="1309"/>
      <c r="T899" s="1474"/>
      <c r="U899" s="126"/>
      <c r="W899" s="443"/>
      <c r="X899" s="458"/>
    </row>
    <row r="900" spans="1:24" s="125" customFormat="1" ht="51.75" x14ac:dyDescent="0.25">
      <c r="A900" s="461"/>
      <c r="B900" s="1271" t="s">
        <v>1363</v>
      </c>
      <c r="C900" s="1511"/>
      <c r="D900" s="1292">
        <v>2597.732</v>
      </c>
      <c r="E900" s="1292">
        <v>3068.4351999999999</v>
      </c>
      <c r="F900" s="1292">
        <v>2813.8951999999999</v>
      </c>
      <c r="G900" s="1292">
        <v>3011.2615999999998</v>
      </c>
      <c r="H900" s="1292">
        <v>2509.8000000000002</v>
      </c>
      <c r="I900" s="1292">
        <v>2107.0216</v>
      </c>
      <c r="J900" s="1292">
        <v>2790.8975999999998</v>
      </c>
      <c r="K900" s="1292">
        <v>2649.2808</v>
      </c>
      <c r="L900" s="1292">
        <v>3434.4744000000001</v>
      </c>
      <c r="M900" s="1292">
        <v>3475.8415999999997</v>
      </c>
      <c r="N900" s="1292">
        <v>2956.8647999999998</v>
      </c>
      <c r="O900" s="1292">
        <v>2855.7608</v>
      </c>
      <c r="P900" s="1518"/>
      <c r="T900" s="1474"/>
      <c r="U900" s="126"/>
      <c r="W900" s="443"/>
      <c r="X900" s="458"/>
    </row>
    <row r="901" spans="1:24" s="125" customFormat="1" ht="39" x14ac:dyDescent="0.25">
      <c r="A901" s="461"/>
      <c r="B901" s="1293" t="s">
        <v>1228</v>
      </c>
      <c r="C901" s="1512"/>
      <c r="D901" s="1294">
        <v>606.09846000000005</v>
      </c>
      <c r="E901" s="1294">
        <v>608.47743000000003</v>
      </c>
      <c r="F901" s="1294">
        <v>661.37049000000002</v>
      </c>
      <c r="G901" s="1294">
        <v>801.70398</v>
      </c>
      <c r="H901" s="1294">
        <v>736.05906000000004</v>
      </c>
      <c r="I901" s="1294">
        <v>1248.6899700000001</v>
      </c>
      <c r="J901" s="1294">
        <v>1590.5475300000003</v>
      </c>
      <c r="K901" s="1294">
        <v>1290.1590899999999</v>
      </c>
      <c r="L901" s="1294">
        <v>1023.6982800000001</v>
      </c>
      <c r="M901" s="1294">
        <v>914.78640000000007</v>
      </c>
      <c r="N901" s="1294">
        <v>482.61510000000004</v>
      </c>
      <c r="O901" s="1294">
        <v>586.5915</v>
      </c>
      <c r="P901" s="1518"/>
      <c r="T901" s="1474"/>
      <c r="U901" s="126"/>
      <c r="W901" s="443"/>
      <c r="X901" s="458"/>
    </row>
    <row r="902" spans="1:24" s="125" customFormat="1" ht="51.75" x14ac:dyDescent="0.25">
      <c r="A902" s="461"/>
      <c r="B902" s="1295" t="s">
        <v>1364</v>
      </c>
      <c r="C902" s="1514"/>
      <c r="D902" s="1296">
        <v>3500.5973558400001</v>
      </c>
      <c r="E902" s="1296">
        <v>4073.1320489600002</v>
      </c>
      <c r="F902" s="1296">
        <v>3096.6747718400002</v>
      </c>
      <c r="G902" s="1296">
        <v>1790.8105238400001</v>
      </c>
      <c r="H902" s="1296">
        <v>1210.4774656</v>
      </c>
      <c r="I902" s="1296">
        <v>1689.5324825600001</v>
      </c>
      <c r="J902" s="1296">
        <v>1583.6031161599999</v>
      </c>
      <c r="K902" s="1296">
        <v>2506.3907731200002</v>
      </c>
      <c r="L902" s="1296">
        <v>2141.1956633600003</v>
      </c>
      <c r="M902" s="1296">
        <v>3911.7203673600002</v>
      </c>
      <c r="N902" s="1296">
        <v>3267.08069376</v>
      </c>
      <c r="O902" s="1296">
        <v>4070.0164793600002</v>
      </c>
      <c r="P902" s="1518"/>
      <c r="T902" s="1474"/>
      <c r="U902" s="126"/>
      <c r="W902" s="443"/>
      <c r="X902" s="458"/>
    </row>
    <row r="903" spans="1:24" s="125" customFormat="1" ht="39" x14ac:dyDescent="0.25">
      <c r="A903" s="461"/>
      <c r="B903" s="1297" t="s">
        <v>1235</v>
      </c>
      <c r="C903" s="1519"/>
      <c r="D903" s="1531"/>
      <c r="E903" s="1301">
        <v>0</v>
      </c>
      <c r="F903" s="1301">
        <v>0</v>
      </c>
      <c r="G903" s="1301">
        <v>0</v>
      </c>
      <c r="H903" s="1301">
        <v>0</v>
      </c>
      <c r="I903" s="1301">
        <v>0</v>
      </c>
      <c r="J903" s="1301">
        <v>0</v>
      </c>
      <c r="K903" s="1301">
        <v>0</v>
      </c>
      <c r="L903" s="1301">
        <v>0</v>
      </c>
      <c r="M903" s="1301">
        <v>0</v>
      </c>
      <c r="N903" s="1301">
        <v>0</v>
      </c>
      <c r="O903" s="1301">
        <v>0</v>
      </c>
      <c r="P903" s="1521"/>
      <c r="T903" s="1474"/>
      <c r="U903" s="126"/>
      <c r="W903" s="443"/>
      <c r="X903" s="458"/>
    </row>
    <row r="904" spans="1:24" s="125" customFormat="1" x14ac:dyDescent="0.25">
      <c r="A904"/>
      <c r="B904" s="153" t="s">
        <v>328</v>
      </c>
      <c r="C904" s="441"/>
      <c r="D904" s="442">
        <v>88.71</v>
      </c>
      <c r="E904" s="442">
        <v>179.01</v>
      </c>
      <c r="F904" s="442">
        <v>312.44</v>
      </c>
      <c r="G904" s="442">
        <v>313.51</v>
      </c>
      <c r="H904" s="442">
        <v>297.83999999999997</v>
      </c>
      <c r="I904" s="442">
        <v>99.2</v>
      </c>
      <c r="J904" s="442">
        <v>178.32</v>
      </c>
      <c r="K904" s="442">
        <v>243.45</v>
      </c>
      <c r="L904" s="442">
        <v>154.27000000000001</v>
      </c>
      <c r="M904" s="442">
        <v>218.46</v>
      </c>
      <c r="N904" s="442">
        <v>96.38</v>
      </c>
      <c r="O904" s="442">
        <v>87.67</v>
      </c>
      <c r="P904" s="1306"/>
      <c r="T904" s="1474"/>
      <c r="U904" s="126"/>
      <c r="W904" s="443"/>
      <c r="X904" s="458"/>
    </row>
    <row r="905" spans="1:24" s="125" customFormat="1" x14ac:dyDescent="0.25">
      <c r="A905" s="461"/>
      <c r="B905" s="1474"/>
      <c r="C905" s="152"/>
      <c r="E905" s="1470"/>
      <c r="F905" s="1471"/>
      <c r="G905" s="1472"/>
      <c r="H905" s="1473"/>
      <c r="I905" s="1473"/>
      <c r="J905" s="1473"/>
      <c r="K905" s="1473"/>
      <c r="L905" s="1473"/>
      <c r="M905" s="1473"/>
      <c r="N905" s="1473"/>
      <c r="O905" s="1473"/>
      <c r="P905" s="1473"/>
      <c r="T905" s="1474"/>
      <c r="U905" s="126"/>
      <c r="W905" s="443"/>
      <c r="X905" s="458"/>
    </row>
    <row r="906" spans="1:24" s="1468" customFormat="1" x14ac:dyDescent="0.25">
      <c r="A906" s="462">
        <v>58</v>
      </c>
      <c r="B906" s="460" t="s">
        <v>1012</v>
      </c>
      <c r="C906" s="1467"/>
      <c r="T906" s="460" t="s">
        <v>1012</v>
      </c>
    </row>
    <row r="907" spans="1:24" s="1468" customFormat="1" x14ac:dyDescent="0.25">
      <c r="A907" s="462"/>
      <c r="B907" s="712" t="s">
        <v>1134</v>
      </c>
      <c r="C907" s="1646"/>
      <c r="D907" s="1183"/>
      <c r="E907" s="1183"/>
      <c r="F907" s="1183"/>
      <c r="G907" s="1183"/>
      <c r="H907" s="1183"/>
      <c r="I907" s="1183"/>
      <c r="J907" s="1183"/>
      <c r="K907" s="713"/>
      <c r="L907" s="713"/>
      <c r="M907" s="713"/>
      <c r="N907" s="713"/>
      <c r="O907" s="713"/>
      <c r="P907" s="714"/>
      <c r="Q907" s="715"/>
      <c r="R907" s="716"/>
      <c r="S907" s="1211"/>
      <c r="T907" s="1647"/>
      <c r="U907" s="1150"/>
    </row>
    <row r="908" spans="1:24" s="1468" customFormat="1" x14ac:dyDescent="0.25">
      <c r="A908" s="462"/>
      <c r="B908" s="717" t="s">
        <v>337</v>
      </c>
      <c r="C908" s="1648"/>
      <c r="D908" s="719">
        <v>42217</v>
      </c>
      <c r="E908" s="719">
        <v>42248</v>
      </c>
      <c r="F908" s="719">
        <v>42278</v>
      </c>
      <c r="G908" s="719">
        <v>42309</v>
      </c>
      <c r="H908" s="719">
        <v>42339</v>
      </c>
      <c r="I908" s="719">
        <v>42370</v>
      </c>
      <c r="J908" s="719">
        <v>42401</v>
      </c>
      <c r="K908" s="719">
        <v>42430</v>
      </c>
      <c r="L908" s="719">
        <v>42461</v>
      </c>
      <c r="M908" s="719">
        <v>42491</v>
      </c>
      <c r="N908" s="719">
        <v>42522</v>
      </c>
      <c r="O908" s="719">
        <v>42552</v>
      </c>
      <c r="P908" s="735"/>
      <c r="Q908" s="720" t="s">
        <v>338</v>
      </c>
      <c r="R908" s="721" t="s">
        <v>339</v>
      </c>
      <c r="S908" s="1222"/>
      <c r="T908" s="720" t="s">
        <v>338</v>
      </c>
      <c r="U908" s="721" t="s">
        <v>339</v>
      </c>
    </row>
    <row r="909" spans="1:24" s="1468" customFormat="1" x14ac:dyDescent="0.25">
      <c r="A909" s="462"/>
      <c r="B909" s="722" t="s">
        <v>360</v>
      </c>
      <c r="C909" s="730"/>
      <c r="D909" s="454">
        <v>34236.999511718008</v>
      </c>
      <c r="E909" s="454">
        <v>36642.990112305</v>
      </c>
      <c r="F909" s="454">
        <v>37118.011474610001</v>
      </c>
      <c r="G909" s="454">
        <v>35600.006103514999</v>
      </c>
      <c r="H909" s="454">
        <v>33330.993652343976</v>
      </c>
      <c r="I909" s="454">
        <v>37289.978027344034</v>
      </c>
      <c r="J909" s="1186">
        <v>32999.0234375</v>
      </c>
      <c r="K909" s="1186">
        <v>28028.991699218011</v>
      </c>
      <c r="L909" s="1186">
        <v>33976.013183593976</v>
      </c>
      <c r="M909" s="1186">
        <v>31752.990722656024</v>
      </c>
      <c r="N909" s="756">
        <v>27868.988037110001</v>
      </c>
      <c r="O909" s="756">
        <v>29325.012207031024</v>
      </c>
      <c r="P909" s="1187"/>
      <c r="Q909" s="724">
        <f t="shared" ref="Q909:Q916" si="62">SUM(D909:O909)</f>
        <v>398169.99816894508</v>
      </c>
      <c r="R909" s="1145" t="s">
        <v>361</v>
      </c>
      <c r="S909" s="1211"/>
      <c r="T909" s="734">
        <f>Q909*0.003409512</f>
        <v>1357.5653867969963</v>
      </c>
      <c r="U909" s="1145" t="s">
        <v>342</v>
      </c>
    </row>
    <row r="910" spans="1:24" s="1468" customFormat="1" x14ac:dyDescent="0.25">
      <c r="A910" s="462"/>
      <c r="B910" s="722" t="s">
        <v>362</v>
      </c>
      <c r="C910" s="730"/>
      <c r="D910" s="1144">
        <v>310.47705078125</v>
      </c>
      <c r="E910" s="1144">
        <v>265.09301757813</v>
      </c>
      <c r="F910" s="1144">
        <v>103.02001953125</v>
      </c>
      <c r="G910" s="1144">
        <v>72.392822265619998</v>
      </c>
      <c r="H910" s="1144">
        <v>78.922119140630002</v>
      </c>
      <c r="I910" s="1144">
        <v>29.327880859369998</v>
      </c>
      <c r="J910" s="1170">
        <v>36.010986328130002</v>
      </c>
      <c r="K910" s="1170">
        <v>76.1572265625</v>
      </c>
      <c r="L910" s="1170">
        <v>103.12280273437</v>
      </c>
      <c r="M910" s="756">
        <v>142.43212890625</v>
      </c>
      <c r="N910" s="756">
        <v>254.7548828125</v>
      </c>
      <c r="O910" s="756">
        <v>366.61401367188</v>
      </c>
      <c r="P910" s="1187"/>
      <c r="Q910" s="724">
        <f t="shared" si="62"/>
        <v>1838.32495117188</v>
      </c>
      <c r="R910" s="1145" t="s">
        <v>363</v>
      </c>
      <c r="S910" s="1211"/>
      <c r="T910" s="1649">
        <f>Q910</f>
        <v>1838.32495117188</v>
      </c>
      <c r="U910" s="1145" t="s">
        <v>342</v>
      </c>
    </row>
    <row r="911" spans="1:24" s="1468" customFormat="1" x14ac:dyDescent="0.25">
      <c r="A911" s="462"/>
      <c r="B911" s="722" t="s">
        <v>364</v>
      </c>
      <c r="C911" s="730"/>
      <c r="D911" s="454">
        <v>55.98003200000008</v>
      </c>
      <c r="E911" s="454">
        <v>61.209856000000144</v>
      </c>
      <c r="F911" s="454">
        <v>112.11007999999995</v>
      </c>
      <c r="G911" s="454">
        <v>134.25983999999983</v>
      </c>
      <c r="H911" s="454">
        <v>141.11027200000026</v>
      </c>
      <c r="I911" s="454">
        <v>245.63980799999996</v>
      </c>
      <c r="J911" s="1188">
        <v>180.0200959999998</v>
      </c>
      <c r="K911" s="1188">
        <v>80.549760000000006</v>
      </c>
      <c r="L911" s="1188">
        <v>82</v>
      </c>
      <c r="M911" s="1189">
        <v>63</v>
      </c>
      <c r="N911" s="1188">
        <v>40</v>
      </c>
      <c r="O911" s="1188">
        <v>40.689920000000271</v>
      </c>
      <c r="P911" s="1190"/>
      <c r="Q911" s="724">
        <f t="shared" si="62"/>
        <v>1236.5696640000001</v>
      </c>
      <c r="R911" s="1146" t="s">
        <v>365</v>
      </c>
      <c r="S911" s="1211"/>
      <c r="T911" s="756">
        <f>Q911</f>
        <v>1236.5696640000001</v>
      </c>
      <c r="U911" s="1145" t="s">
        <v>342</v>
      </c>
    </row>
    <row r="912" spans="1:24" s="1468" customFormat="1" x14ac:dyDescent="0.25">
      <c r="A912" s="462"/>
      <c r="B912" s="728" t="s">
        <v>864</v>
      </c>
      <c r="C912" s="730"/>
      <c r="D912" s="1193">
        <v>49</v>
      </c>
      <c r="E912" s="1194">
        <v>83</v>
      </c>
      <c r="F912" s="1194">
        <v>70</v>
      </c>
      <c r="G912" s="1194">
        <v>70</v>
      </c>
      <c r="H912" s="1194">
        <v>53</v>
      </c>
      <c r="I912" s="1194">
        <v>60</v>
      </c>
      <c r="J912" s="1200">
        <v>75</v>
      </c>
      <c r="K912" s="750">
        <v>66</v>
      </c>
      <c r="L912" s="750">
        <v>68</v>
      </c>
      <c r="M912" s="750">
        <v>36</v>
      </c>
      <c r="N912" s="750">
        <v>11</v>
      </c>
      <c r="O912" s="750">
        <v>12</v>
      </c>
      <c r="P912" s="1191"/>
      <c r="Q912" s="724">
        <f t="shared" si="62"/>
        <v>653</v>
      </c>
      <c r="R912" s="1146" t="s">
        <v>379</v>
      </c>
      <c r="S912" s="1211"/>
      <c r="T912" s="756">
        <f>Q912*748</f>
        <v>488444</v>
      </c>
      <c r="U912" s="1146" t="s">
        <v>346</v>
      </c>
    </row>
    <row r="913" spans="1:21" s="1468" customFormat="1" x14ac:dyDescent="0.25">
      <c r="A913" s="462"/>
      <c r="B913" s="722" t="s">
        <v>368</v>
      </c>
      <c r="C913" s="730"/>
      <c r="D913" s="731">
        <f>D909*0.086</f>
        <v>2944.3819580077484</v>
      </c>
      <c r="E913" s="731">
        <f t="shared" ref="E913:N913" si="63">E909*0.086</f>
        <v>3151.29714965823</v>
      </c>
      <c r="F913" s="731">
        <f t="shared" si="63"/>
        <v>3192.1489868164599</v>
      </c>
      <c r="G913" s="731">
        <f t="shared" si="63"/>
        <v>3061.6005249022896</v>
      </c>
      <c r="H913" s="731">
        <f t="shared" si="63"/>
        <v>2866.4654541015816</v>
      </c>
      <c r="I913" s="731">
        <f t="shared" si="63"/>
        <v>3206.9381103515866</v>
      </c>
      <c r="J913" s="731">
        <f t="shared" si="63"/>
        <v>2837.916015625</v>
      </c>
      <c r="K913" s="731">
        <f t="shared" si="63"/>
        <v>2410.4932861327488</v>
      </c>
      <c r="L913" s="731">
        <f t="shared" si="63"/>
        <v>2921.9371337890816</v>
      </c>
      <c r="M913" s="731">
        <f t="shared" si="63"/>
        <v>2730.7572021484179</v>
      </c>
      <c r="N913" s="731">
        <f t="shared" si="63"/>
        <v>2396.7329711914599</v>
      </c>
      <c r="O913" s="731">
        <f>O909*0.087</f>
        <v>2551.2760620116987</v>
      </c>
      <c r="P913" s="745"/>
      <c r="Q913" s="724">
        <f t="shared" si="62"/>
        <v>34271.944854736306</v>
      </c>
      <c r="R913" s="1145" t="s">
        <v>865</v>
      </c>
      <c r="S913" s="1211"/>
      <c r="T913" s="1651"/>
      <c r="U913" s="1652"/>
    </row>
    <row r="914" spans="1:21" s="1468" customFormat="1" x14ac:dyDescent="0.25">
      <c r="A914" s="462"/>
      <c r="B914" s="722" t="s">
        <v>369</v>
      </c>
      <c r="C914" s="730"/>
      <c r="D914" s="731">
        <f>D910*13.97</f>
        <v>4337.364399414063</v>
      </c>
      <c r="E914" s="731">
        <f t="shared" ref="E914:N914" si="64">E910*13.97</f>
        <v>3703.3494555664761</v>
      </c>
      <c r="F914" s="731">
        <f t="shared" si="64"/>
        <v>1439.1896728515626</v>
      </c>
      <c r="G914" s="731">
        <f t="shared" si="64"/>
        <v>1011.3277270507114</v>
      </c>
      <c r="H914" s="731">
        <f t="shared" si="64"/>
        <v>1102.5420043946012</v>
      </c>
      <c r="I914" s="731">
        <f t="shared" si="64"/>
        <v>409.71049560539888</v>
      </c>
      <c r="J914" s="731">
        <f t="shared" si="64"/>
        <v>503.07347900397616</v>
      </c>
      <c r="K914" s="731">
        <f t="shared" si="64"/>
        <v>1063.916455078125</v>
      </c>
      <c r="L914" s="731">
        <f t="shared" si="64"/>
        <v>1440.6255541991488</v>
      </c>
      <c r="M914" s="731">
        <f t="shared" si="64"/>
        <v>1989.7768408203126</v>
      </c>
      <c r="N914" s="731">
        <f t="shared" si="64"/>
        <v>3558.9257128906252</v>
      </c>
      <c r="O914" s="731">
        <f>O910*12.95</f>
        <v>4747.6514770508456</v>
      </c>
      <c r="P914" s="745"/>
      <c r="Q914" s="724">
        <f t="shared" si="62"/>
        <v>25307.453273925843</v>
      </c>
      <c r="R914" s="1145" t="s">
        <v>865</v>
      </c>
      <c r="S914" s="1211"/>
      <c r="T914" s="1647"/>
      <c r="U914" s="1150"/>
    </row>
    <row r="915" spans="1:21" s="1468" customFormat="1" ht="16.5" x14ac:dyDescent="0.35">
      <c r="A915" s="462"/>
      <c r="B915" s="722" t="s">
        <v>326</v>
      </c>
      <c r="C915" s="730"/>
      <c r="D915" s="1208">
        <f>D911*13.39</f>
        <v>749.57262848000107</v>
      </c>
      <c r="E915" s="1208">
        <f t="shared" ref="E915:N915" si="65">E911*13.39</f>
        <v>819.59997184000201</v>
      </c>
      <c r="F915" s="1208">
        <f t="shared" si="65"/>
        <v>1501.1539711999994</v>
      </c>
      <c r="G915" s="1208">
        <f t="shared" si="65"/>
        <v>1797.7392575999977</v>
      </c>
      <c r="H915" s="1208">
        <f t="shared" si="65"/>
        <v>1889.4665420800036</v>
      </c>
      <c r="I915" s="1208">
        <f t="shared" si="65"/>
        <v>3289.1170291199996</v>
      </c>
      <c r="J915" s="1208">
        <f t="shared" si="65"/>
        <v>2410.4690854399973</v>
      </c>
      <c r="K915" s="1208">
        <f t="shared" si="65"/>
        <v>1078.5612864000002</v>
      </c>
      <c r="L915" s="1208">
        <f t="shared" si="65"/>
        <v>1097.98</v>
      </c>
      <c r="M915" s="1208">
        <f t="shared" si="65"/>
        <v>843.57</v>
      </c>
      <c r="N915" s="1208">
        <f t="shared" si="65"/>
        <v>535.6</v>
      </c>
      <c r="O915" s="1208">
        <f>O911*12.02</f>
        <v>489.09283840000325</v>
      </c>
      <c r="P915" s="745"/>
      <c r="Q915" s="724">
        <f t="shared" si="62"/>
        <v>16501.922610560003</v>
      </c>
      <c r="R915" s="1145" t="s">
        <v>865</v>
      </c>
      <c r="S915" s="1211"/>
      <c r="T915" s="1653"/>
      <c r="U915" s="1150"/>
    </row>
    <row r="916" spans="1:21" s="1468" customFormat="1" ht="16.5" x14ac:dyDescent="0.35">
      <c r="A916" s="462"/>
      <c r="B916" s="732" t="s">
        <v>325</v>
      </c>
      <c r="C916" s="714"/>
      <c r="D916" s="1147">
        <f>D912*9.2</f>
        <v>450.79999999999995</v>
      </c>
      <c r="E916" s="1147">
        <f t="shared" ref="E916:N916" si="66">E912*9.2</f>
        <v>763.59999999999991</v>
      </c>
      <c r="F916" s="1147">
        <f t="shared" si="66"/>
        <v>644</v>
      </c>
      <c r="G916" s="1147">
        <f t="shared" si="66"/>
        <v>644</v>
      </c>
      <c r="H916" s="1147">
        <f t="shared" si="66"/>
        <v>487.59999999999997</v>
      </c>
      <c r="I916" s="1147">
        <f t="shared" si="66"/>
        <v>552</v>
      </c>
      <c r="J916" s="1147">
        <f t="shared" si="66"/>
        <v>690</v>
      </c>
      <c r="K916" s="1147">
        <f t="shared" si="66"/>
        <v>607.19999999999993</v>
      </c>
      <c r="L916" s="1147">
        <f t="shared" si="66"/>
        <v>625.59999999999991</v>
      </c>
      <c r="M916" s="1147">
        <f t="shared" si="66"/>
        <v>331.2</v>
      </c>
      <c r="N916" s="1147">
        <f t="shared" si="66"/>
        <v>101.19999999999999</v>
      </c>
      <c r="O916" s="1147">
        <f>O912*9.33</f>
        <v>111.96000000000001</v>
      </c>
      <c r="P916" s="1148"/>
      <c r="Q916" s="724">
        <f t="shared" si="62"/>
        <v>6009.1599999999989</v>
      </c>
      <c r="R916" s="1145" t="s">
        <v>865</v>
      </c>
      <c r="S916" s="1211"/>
      <c r="T916" s="1653"/>
      <c r="U916" s="1150"/>
    </row>
    <row r="917" spans="1:21" s="1468" customFormat="1" x14ac:dyDescent="0.25">
      <c r="A917" s="462"/>
      <c r="B917" s="460"/>
      <c r="C917" s="1467"/>
      <c r="T917" s="460"/>
    </row>
    <row r="918" spans="1:21" s="1468" customFormat="1" x14ac:dyDescent="0.25">
      <c r="A918" s="462">
        <v>59</v>
      </c>
      <c r="B918" s="460" t="s">
        <v>1013</v>
      </c>
      <c r="C918" s="1467"/>
      <c r="T918" s="460" t="s">
        <v>1013</v>
      </c>
    </row>
    <row r="919" spans="1:21" s="1468" customFormat="1" x14ac:dyDescent="0.25">
      <c r="A919" s="462"/>
      <c r="B919" s="712" t="s">
        <v>1135</v>
      </c>
      <c r="C919" s="1646"/>
      <c r="D919" s="1183"/>
      <c r="E919" s="1183"/>
      <c r="F919" s="1183"/>
      <c r="G919" s="1183"/>
      <c r="H919" s="1183"/>
      <c r="I919" s="1183"/>
      <c r="J919" s="1183"/>
      <c r="K919" s="713"/>
      <c r="L919" s="713"/>
      <c r="M919" s="713"/>
      <c r="N919" s="713"/>
      <c r="O919" s="713"/>
      <c r="P919" s="714"/>
      <c r="Q919" s="715"/>
      <c r="R919" s="716"/>
      <c r="S919" s="1211"/>
      <c r="T919" s="1647"/>
      <c r="U919" s="1150"/>
    </row>
    <row r="920" spans="1:21" s="1468" customFormat="1" x14ac:dyDescent="0.25">
      <c r="A920" s="462"/>
      <c r="B920" s="717" t="s">
        <v>337</v>
      </c>
      <c r="C920" s="1648"/>
      <c r="D920" s="719">
        <v>42217</v>
      </c>
      <c r="E920" s="719">
        <v>42248</v>
      </c>
      <c r="F920" s="719">
        <v>42278</v>
      </c>
      <c r="G920" s="719">
        <v>42309</v>
      </c>
      <c r="H920" s="719">
        <v>42339</v>
      </c>
      <c r="I920" s="719">
        <v>42370</v>
      </c>
      <c r="J920" s="719">
        <v>42401</v>
      </c>
      <c r="K920" s="719">
        <v>42430</v>
      </c>
      <c r="L920" s="719">
        <v>42461</v>
      </c>
      <c r="M920" s="719">
        <v>42491</v>
      </c>
      <c r="N920" s="719">
        <v>42522</v>
      </c>
      <c r="O920" s="719">
        <v>42552</v>
      </c>
      <c r="P920" s="735"/>
      <c r="Q920" s="720" t="s">
        <v>338</v>
      </c>
      <c r="R920" s="721" t="s">
        <v>339</v>
      </c>
      <c r="S920" s="1222"/>
      <c r="T920" s="720" t="s">
        <v>338</v>
      </c>
      <c r="U920" s="721" t="s">
        <v>339</v>
      </c>
    </row>
    <row r="921" spans="1:21" s="1468" customFormat="1" x14ac:dyDescent="0.25">
      <c r="A921" s="462"/>
      <c r="B921" s="722" t="s">
        <v>360</v>
      </c>
      <c r="C921" s="730"/>
      <c r="D921" s="454">
        <v>36541.9921875</v>
      </c>
      <c r="E921" s="454">
        <v>32219.970703125</v>
      </c>
      <c r="F921" s="454">
        <v>32330.017089843976</v>
      </c>
      <c r="G921" s="454">
        <v>28742.980957031024</v>
      </c>
      <c r="H921" s="454">
        <v>30244.995117187955</v>
      </c>
      <c r="I921" s="454">
        <v>32134.051895141147</v>
      </c>
      <c r="J921" s="1186">
        <v>30700.9983062744</v>
      </c>
      <c r="K921" s="1186">
        <v>35416.004180908203</v>
      </c>
      <c r="L921" s="1186">
        <v>36603.996276855301</v>
      </c>
      <c r="M921" s="1186">
        <v>32574.996948242002</v>
      </c>
      <c r="N921" s="756">
        <v>32916.000366210996</v>
      </c>
      <c r="O921" s="756">
        <v>37680.00793457</v>
      </c>
      <c r="P921" s="1187"/>
      <c r="Q921" s="724">
        <f t="shared" ref="Q921:Q928" si="67">SUM(D921:O921)</f>
        <v>398106.01196289004</v>
      </c>
      <c r="R921" s="1145" t="s">
        <v>361</v>
      </c>
      <c r="S921" s="1211"/>
      <c r="T921" s="734">
        <f>Q921*0.003409512</f>
        <v>1357.3472250596171</v>
      </c>
      <c r="U921" s="1145" t="s">
        <v>342</v>
      </c>
    </row>
    <row r="922" spans="1:21" s="1468" customFormat="1" x14ac:dyDescent="0.25">
      <c r="A922" s="462"/>
      <c r="B922" s="722" t="s">
        <v>362</v>
      </c>
      <c r="C922" s="730"/>
      <c r="D922" s="1144">
        <v>325.45288085937</v>
      </c>
      <c r="E922" s="1144">
        <v>237.68408203125</v>
      </c>
      <c r="F922" s="1144">
        <v>66.031982421880002</v>
      </c>
      <c r="G922" s="1144">
        <v>37.02490234375</v>
      </c>
      <c r="H922" s="1144">
        <v>42.360107421869998</v>
      </c>
      <c r="I922" s="1144">
        <v>13.324951171880002</v>
      </c>
      <c r="J922" s="1170">
        <v>16.800048828119998</v>
      </c>
      <c r="K922" s="1170">
        <v>68.548828125</v>
      </c>
      <c r="L922" s="1170">
        <v>65.864990234380002</v>
      </c>
      <c r="M922" s="756">
        <v>129.99609375</v>
      </c>
      <c r="N922" s="756">
        <v>277.84204101562</v>
      </c>
      <c r="O922" s="756">
        <v>417.53393554688</v>
      </c>
      <c r="P922" s="1187"/>
      <c r="Q922" s="724">
        <f t="shared" si="67"/>
        <v>1698.46484375</v>
      </c>
      <c r="R922" s="1145" t="s">
        <v>363</v>
      </c>
      <c r="S922" s="1211"/>
      <c r="T922" s="1649">
        <f>Q922</f>
        <v>1698.46484375</v>
      </c>
      <c r="U922" s="1145" t="s">
        <v>342</v>
      </c>
    </row>
    <row r="923" spans="1:21" s="1468" customFormat="1" x14ac:dyDescent="0.25">
      <c r="A923" s="462"/>
      <c r="B923" s="722" t="s">
        <v>364</v>
      </c>
      <c r="C923" s="730"/>
      <c r="D923" s="454">
        <v>55.777971199999968</v>
      </c>
      <c r="E923" s="454">
        <v>52.872012800000007</v>
      </c>
      <c r="F923" s="454">
        <v>122.9539071999999</v>
      </c>
      <c r="G923" s="454">
        <v>152.87403520000007</v>
      </c>
      <c r="H923" s="454">
        <v>160.0262144000003</v>
      </c>
      <c r="I923" s="454">
        <v>297.26371839999956</v>
      </c>
      <c r="J923" s="1188">
        <v>203.80820480000014</v>
      </c>
      <c r="K923" s="1188">
        <v>85.277875199999869</v>
      </c>
      <c r="L923" s="1188">
        <v>149.71980800000011</v>
      </c>
      <c r="M923" s="1189">
        <v>280.09011200000032</v>
      </c>
      <c r="N923" s="1188">
        <v>249.31020799999953</v>
      </c>
      <c r="O923" s="1188">
        <v>212.08985600000028</v>
      </c>
      <c r="P923" s="1190"/>
      <c r="Q923" s="724">
        <f t="shared" si="67"/>
        <v>2022.0639232000001</v>
      </c>
      <c r="R923" s="1146" t="s">
        <v>365</v>
      </c>
      <c r="S923" s="1211"/>
      <c r="T923" s="756">
        <f>Q923</f>
        <v>2022.0639232000001</v>
      </c>
      <c r="U923" s="1145" t="s">
        <v>342</v>
      </c>
    </row>
    <row r="924" spans="1:21" s="1468" customFormat="1" x14ac:dyDescent="0.25">
      <c r="A924" s="462"/>
      <c r="B924" s="728" t="s">
        <v>864</v>
      </c>
      <c r="C924" s="730"/>
      <c r="D924" s="1193">
        <v>35</v>
      </c>
      <c r="E924" s="1194">
        <v>12</v>
      </c>
      <c r="F924" s="1194">
        <v>12</v>
      </c>
      <c r="G924" s="1194">
        <v>11</v>
      </c>
      <c r="H924" s="1194">
        <v>9</v>
      </c>
      <c r="I924" s="1194">
        <v>4</v>
      </c>
      <c r="J924" s="1200">
        <v>18</v>
      </c>
      <c r="K924" s="750">
        <v>20</v>
      </c>
      <c r="L924" s="750">
        <v>18</v>
      </c>
      <c r="M924" s="750">
        <v>11</v>
      </c>
      <c r="N924" s="750">
        <v>22</v>
      </c>
      <c r="O924" s="750">
        <v>34</v>
      </c>
      <c r="P924" s="1191"/>
      <c r="Q924" s="724">
        <f t="shared" si="67"/>
        <v>206</v>
      </c>
      <c r="R924" s="1146" t="s">
        <v>379</v>
      </c>
      <c r="S924" s="1211"/>
      <c r="T924" s="756">
        <f>Q924*748</f>
        <v>154088</v>
      </c>
      <c r="U924" s="1146" t="s">
        <v>346</v>
      </c>
    </row>
    <row r="925" spans="1:21" s="1468" customFormat="1" x14ac:dyDescent="0.25">
      <c r="A925" s="462"/>
      <c r="B925" s="722" t="s">
        <v>368</v>
      </c>
      <c r="C925" s="730"/>
      <c r="D925" s="731">
        <f>D921*0.086</f>
        <v>3142.6113281249995</v>
      </c>
      <c r="E925" s="731">
        <f t="shared" ref="E925:N925" si="68">E921*0.086</f>
        <v>2770.91748046875</v>
      </c>
      <c r="F925" s="731">
        <f t="shared" si="68"/>
        <v>2780.3814697265816</v>
      </c>
      <c r="G925" s="731">
        <f t="shared" si="68"/>
        <v>2471.8963623046679</v>
      </c>
      <c r="H925" s="731">
        <f t="shared" si="68"/>
        <v>2601.0695800781641</v>
      </c>
      <c r="I925" s="731">
        <f t="shared" si="68"/>
        <v>2763.5284629821385</v>
      </c>
      <c r="J925" s="731">
        <f t="shared" si="68"/>
        <v>2640.2858543395982</v>
      </c>
      <c r="K925" s="731">
        <f t="shared" si="68"/>
        <v>3045.776359558105</v>
      </c>
      <c r="L925" s="731">
        <f t="shared" si="68"/>
        <v>3147.9436798095558</v>
      </c>
      <c r="M925" s="731">
        <f t="shared" si="68"/>
        <v>2801.4497375488118</v>
      </c>
      <c r="N925" s="731">
        <f t="shared" si="68"/>
        <v>2830.7760314941456</v>
      </c>
      <c r="O925" s="731">
        <f>O921*0.087</f>
        <v>3278.1606903075899</v>
      </c>
      <c r="P925" s="745"/>
      <c r="Q925" s="724">
        <f t="shared" si="67"/>
        <v>34274.797036743112</v>
      </c>
      <c r="R925" s="1145" t="s">
        <v>865</v>
      </c>
      <c r="S925" s="1211"/>
      <c r="T925" s="1651"/>
      <c r="U925" s="1652"/>
    </row>
    <row r="926" spans="1:21" s="1468" customFormat="1" x14ac:dyDescent="0.25">
      <c r="A926" s="462"/>
      <c r="B926" s="722" t="s">
        <v>369</v>
      </c>
      <c r="C926" s="730"/>
      <c r="D926" s="731">
        <f>D922*13.97</f>
        <v>4546.5767456053991</v>
      </c>
      <c r="E926" s="731">
        <f t="shared" ref="E926:N926" si="69">E922*13.97</f>
        <v>3320.4466259765627</v>
      </c>
      <c r="F926" s="731">
        <f t="shared" si="69"/>
        <v>922.46679443366372</v>
      </c>
      <c r="G926" s="731">
        <f t="shared" si="69"/>
        <v>517.23788574218747</v>
      </c>
      <c r="H926" s="731">
        <f t="shared" si="69"/>
        <v>591.77070068352384</v>
      </c>
      <c r="I926" s="731">
        <f t="shared" si="69"/>
        <v>186.14956787116364</v>
      </c>
      <c r="J926" s="731">
        <f t="shared" si="69"/>
        <v>234.69668212883639</v>
      </c>
      <c r="K926" s="731">
        <f t="shared" si="69"/>
        <v>957.62712890625005</v>
      </c>
      <c r="L926" s="731">
        <f t="shared" si="69"/>
        <v>920.13391357428873</v>
      </c>
      <c r="M926" s="731">
        <f t="shared" si="69"/>
        <v>1816.0454296875</v>
      </c>
      <c r="N926" s="731">
        <f t="shared" si="69"/>
        <v>3881.4533129882116</v>
      </c>
      <c r="O926" s="731">
        <f>O922*12.95</f>
        <v>5407.064465332096</v>
      </c>
      <c r="P926" s="745"/>
      <c r="Q926" s="724">
        <f t="shared" si="67"/>
        <v>23301.669252929685</v>
      </c>
      <c r="R926" s="1145" t="s">
        <v>865</v>
      </c>
      <c r="S926" s="1211"/>
      <c r="T926" s="1647"/>
      <c r="U926" s="1150"/>
    </row>
    <row r="927" spans="1:21" s="1468" customFormat="1" ht="16.5" x14ac:dyDescent="0.35">
      <c r="A927" s="462"/>
      <c r="B927" s="722" t="s">
        <v>326</v>
      </c>
      <c r="C927" s="730"/>
      <c r="D927" s="731">
        <f>D923*13.39</f>
        <v>746.86703436799962</v>
      </c>
      <c r="E927" s="731">
        <f t="shared" ref="E927:N927" si="70">E923*13.39</f>
        <v>707.95625139200013</v>
      </c>
      <c r="F927" s="731">
        <f t="shared" si="70"/>
        <v>1646.3528174079988</v>
      </c>
      <c r="G927" s="731">
        <f t="shared" si="70"/>
        <v>2046.983331328001</v>
      </c>
      <c r="H927" s="731">
        <f t="shared" si="70"/>
        <v>2142.7510108160041</v>
      </c>
      <c r="I927" s="731">
        <f t="shared" si="70"/>
        <v>3980.3611893759944</v>
      </c>
      <c r="J927" s="731">
        <f t="shared" si="70"/>
        <v>2728.991862272002</v>
      </c>
      <c r="K927" s="731">
        <f t="shared" si="70"/>
        <v>1141.8707489279982</v>
      </c>
      <c r="L927" s="731">
        <f t="shared" si="70"/>
        <v>2004.7482291200017</v>
      </c>
      <c r="M927" s="731">
        <f t="shared" si="70"/>
        <v>3750.4065996800045</v>
      </c>
      <c r="N927" s="731">
        <f t="shared" si="70"/>
        <v>3338.2636851199941</v>
      </c>
      <c r="O927" s="731">
        <f>O923*12.02</f>
        <v>2549.3200691200032</v>
      </c>
      <c r="P927" s="745"/>
      <c r="Q927" s="724">
        <f t="shared" si="67"/>
        <v>26784.872828928001</v>
      </c>
      <c r="R927" s="1145" t="s">
        <v>865</v>
      </c>
      <c r="S927" s="1211"/>
      <c r="T927" s="1653"/>
      <c r="U927" s="1150"/>
    </row>
    <row r="928" spans="1:21" s="1468" customFormat="1" ht="16.5" x14ac:dyDescent="0.35">
      <c r="A928" s="462"/>
      <c r="B928" s="732" t="s">
        <v>325</v>
      </c>
      <c r="C928" s="714"/>
      <c r="D928" s="1147">
        <f>D924*9.2</f>
        <v>322</v>
      </c>
      <c r="E928" s="1147">
        <f t="shared" ref="E928:N928" si="71">E924*9.2</f>
        <v>110.39999999999999</v>
      </c>
      <c r="F928" s="1147">
        <f t="shared" si="71"/>
        <v>110.39999999999999</v>
      </c>
      <c r="G928" s="1147">
        <f t="shared" si="71"/>
        <v>101.19999999999999</v>
      </c>
      <c r="H928" s="1147">
        <f t="shared" si="71"/>
        <v>82.8</v>
      </c>
      <c r="I928" s="1147">
        <f t="shared" si="71"/>
        <v>36.799999999999997</v>
      </c>
      <c r="J928" s="1147">
        <f t="shared" si="71"/>
        <v>165.6</v>
      </c>
      <c r="K928" s="1147">
        <f t="shared" si="71"/>
        <v>184</v>
      </c>
      <c r="L928" s="1147">
        <f t="shared" si="71"/>
        <v>165.6</v>
      </c>
      <c r="M928" s="1147">
        <f t="shared" si="71"/>
        <v>101.19999999999999</v>
      </c>
      <c r="N928" s="1147">
        <f t="shared" si="71"/>
        <v>202.39999999999998</v>
      </c>
      <c r="O928" s="1147">
        <f>O924*9.33</f>
        <v>317.22000000000003</v>
      </c>
      <c r="P928" s="1148"/>
      <c r="Q928" s="724">
        <f t="shared" si="67"/>
        <v>1899.6199999999997</v>
      </c>
      <c r="R928" s="1145" t="s">
        <v>865</v>
      </c>
      <c r="S928" s="1211"/>
      <c r="T928" s="1653"/>
      <c r="U928" s="1150"/>
    </row>
    <row r="929" spans="1:20" s="1468" customFormat="1" x14ac:dyDescent="0.25">
      <c r="A929" s="462"/>
      <c r="C929" s="1467"/>
    </row>
    <row r="930" spans="1:20" s="1468" customFormat="1" ht="15.75" thickBot="1" x14ac:dyDescent="0.3">
      <c r="A930" s="462">
        <v>60</v>
      </c>
      <c r="B930" s="460" t="s">
        <v>1014</v>
      </c>
      <c r="C930" s="1467"/>
      <c r="T930" s="460" t="s">
        <v>1014</v>
      </c>
    </row>
    <row r="931" spans="1:20" s="1468" customFormat="1" ht="16.5" thickTop="1" x14ac:dyDescent="0.25">
      <c r="A931" s="462"/>
      <c r="B931"/>
      <c r="C931"/>
      <c r="D931" s="1475" t="s">
        <v>1350</v>
      </c>
      <c r="E931" s="1476" t="s">
        <v>1351</v>
      </c>
      <c r="F931" s="1477" t="s">
        <v>1352</v>
      </c>
      <c r="G931" s="1476" t="s">
        <v>1352</v>
      </c>
      <c r="H931" s="1477" t="s">
        <v>667</v>
      </c>
      <c r="I931" s="1478" t="s">
        <v>667</v>
      </c>
      <c r="T931" s="460"/>
    </row>
    <row r="932" spans="1:20" s="1468" customFormat="1" ht="16.5" thickBot="1" x14ac:dyDescent="0.3">
      <c r="A932" s="462"/>
      <c r="B932" s="1479"/>
      <c r="C932" s="1479"/>
      <c r="D932" s="1480" t="s">
        <v>1353</v>
      </c>
      <c r="E932" s="1481" t="s">
        <v>1354</v>
      </c>
      <c r="F932" s="1482" t="s">
        <v>665</v>
      </c>
      <c r="G932" s="1481" t="s">
        <v>1354</v>
      </c>
      <c r="H932" s="1482" t="s">
        <v>1324</v>
      </c>
      <c r="I932" s="1483" t="s">
        <v>1354</v>
      </c>
      <c r="T932" s="460"/>
    </row>
    <row r="933" spans="1:20" s="1468" customFormat="1" ht="15.75" thickTop="1" x14ac:dyDescent="0.25">
      <c r="A933" s="462"/>
      <c r="B933" s="1484"/>
      <c r="C933"/>
      <c r="D933" s="1485"/>
      <c r="E933" s="1486"/>
      <c r="F933" s="1485"/>
      <c r="G933" s="1486"/>
      <c r="H933" s="1485"/>
      <c r="I933" s="1487"/>
      <c r="T933" s="460"/>
    </row>
    <row r="934" spans="1:20" s="1468" customFormat="1" x14ac:dyDescent="0.25">
      <c r="A934" s="462"/>
      <c r="B934" s="1488">
        <v>42186</v>
      </c>
      <c r="C934"/>
      <c r="D934" s="593">
        <v>44997</v>
      </c>
      <c r="E934" s="1489">
        <v>3935.36</v>
      </c>
      <c r="F934" s="593">
        <v>117</v>
      </c>
      <c r="G934" s="1489">
        <v>110.51</v>
      </c>
      <c r="H934" s="593">
        <v>2244</v>
      </c>
      <c r="I934" s="1505">
        <v>252.06</v>
      </c>
      <c r="T934" s="460"/>
    </row>
    <row r="935" spans="1:20" s="1468" customFormat="1" x14ac:dyDescent="0.25">
      <c r="A935" s="462"/>
      <c r="B935" s="1490">
        <v>42217</v>
      </c>
      <c r="C935"/>
      <c r="D935" s="593">
        <v>41362</v>
      </c>
      <c r="E935" s="1489">
        <v>3578.18</v>
      </c>
      <c r="F935" s="593">
        <v>148</v>
      </c>
      <c r="G935" s="1489">
        <v>134.5</v>
      </c>
      <c r="H935" s="593">
        <v>7480</v>
      </c>
      <c r="I935" s="1505">
        <v>294.2</v>
      </c>
      <c r="T935" s="460"/>
    </row>
    <row r="936" spans="1:20" s="1468" customFormat="1" x14ac:dyDescent="0.25">
      <c r="A936" s="462"/>
      <c r="B936" s="1490">
        <v>42248</v>
      </c>
      <c r="C936"/>
      <c r="D936" s="593">
        <v>31658</v>
      </c>
      <c r="E936" s="1489">
        <v>2741.16</v>
      </c>
      <c r="F936" s="593">
        <v>346</v>
      </c>
      <c r="G936" s="1489">
        <v>282.95</v>
      </c>
      <c r="H936" s="593">
        <v>6732</v>
      </c>
      <c r="I936" s="1505">
        <v>288.18000000000006</v>
      </c>
      <c r="T936" s="460"/>
    </row>
    <row r="937" spans="1:20" s="1468" customFormat="1" x14ac:dyDescent="0.25">
      <c r="A937" s="462"/>
      <c r="B937" s="1490">
        <v>42278</v>
      </c>
      <c r="C937"/>
      <c r="D937" s="593">
        <v>33749</v>
      </c>
      <c r="E937" s="1489">
        <v>2819.97</v>
      </c>
      <c r="F937" s="593">
        <v>663</v>
      </c>
      <c r="G937" s="1489">
        <v>534.5</v>
      </c>
      <c r="H937" s="593">
        <v>20944</v>
      </c>
      <c r="I937" s="1505">
        <v>402.56</v>
      </c>
      <c r="T937" s="460"/>
    </row>
    <row r="938" spans="1:20" s="1468" customFormat="1" x14ac:dyDescent="0.25">
      <c r="A938" s="462"/>
      <c r="B938" s="1490">
        <v>42309</v>
      </c>
      <c r="C938"/>
      <c r="D938" s="593">
        <v>24073</v>
      </c>
      <c r="E938" s="1489">
        <v>2196.4</v>
      </c>
      <c r="F938" s="593">
        <v>978</v>
      </c>
      <c r="G938" s="1489">
        <v>740.98</v>
      </c>
      <c r="H938" s="593">
        <v>4488</v>
      </c>
      <c r="I938" s="1505">
        <v>270.12</v>
      </c>
      <c r="T938" s="460"/>
    </row>
    <row r="939" spans="1:20" s="1468" customFormat="1" x14ac:dyDescent="0.25">
      <c r="A939" s="462"/>
      <c r="B939" s="1490">
        <v>42339</v>
      </c>
      <c r="C939"/>
      <c r="D939" s="593">
        <v>24187</v>
      </c>
      <c r="E939" s="1489">
        <v>2245.9699999999998</v>
      </c>
      <c r="F939" s="593">
        <v>782</v>
      </c>
      <c r="G939" s="1489">
        <v>596.41</v>
      </c>
      <c r="H939" s="593">
        <v>1496</v>
      </c>
      <c r="I939" s="1505">
        <v>246.04</v>
      </c>
      <c r="T939" s="460"/>
    </row>
    <row r="940" spans="1:20" s="1468" customFormat="1" x14ac:dyDescent="0.25">
      <c r="A940" s="462"/>
      <c r="B940" s="1490">
        <v>42370</v>
      </c>
      <c r="C940"/>
      <c r="D940" s="593">
        <v>26355</v>
      </c>
      <c r="E940" s="1489">
        <v>2422.46</v>
      </c>
      <c r="F940" s="593">
        <v>1915</v>
      </c>
      <c r="G940" s="1489">
        <v>1393.45</v>
      </c>
      <c r="H940" s="593">
        <v>2992</v>
      </c>
      <c r="I940" s="1505">
        <v>258.08</v>
      </c>
      <c r="T940" s="460"/>
    </row>
    <row r="941" spans="1:20" s="1468" customFormat="1" x14ac:dyDescent="0.25">
      <c r="A941" s="462"/>
      <c r="B941" s="1490">
        <v>42401</v>
      </c>
      <c r="C941"/>
      <c r="D941" s="593">
        <v>25999</v>
      </c>
      <c r="E941" s="1489">
        <v>2353.69</v>
      </c>
      <c r="F941" s="593">
        <v>1732</v>
      </c>
      <c r="G941" s="1489">
        <v>1262.55</v>
      </c>
      <c r="H941" s="593">
        <v>3740</v>
      </c>
      <c r="I941" s="1505">
        <v>264.09999999999997</v>
      </c>
      <c r="T941" s="460"/>
    </row>
    <row r="942" spans="1:20" s="1468" customFormat="1" x14ac:dyDescent="0.25">
      <c r="A942" s="462"/>
      <c r="B942" s="1490">
        <v>42430</v>
      </c>
      <c r="C942"/>
      <c r="D942" s="593">
        <v>28659</v>
      </c>
      <c r="E942" s="1489">
        <v>2509.35</v>
      </c>
      <c r="F942" s="593">
        <v>455</v>
      </c>
      <c r="G942" s="1489">
        <v>338.18</v>
      </c>
      <c r="H942" s="593">
        <v>3740</v>
      </c>
      <c r="I942" s="1505">
        <v>264.09999999999997</v>
      </c>
      <c r="T942" s="460"/>
    </row>
    <row r="943" spans="1:20" s="1468" customFormat="1" x14ac:dyDescent="0.25">
      <c r="A943" s="462"/>
      <c r="B943" s="1490">
        <v>42461</v>
      </c>
      <c r="C943"/>
      <c r="D943" s="593">
        <v>31857</v>
      </c>
      <c r="E943" s="1489">
        <v>2734.19</v>
      </c>
      <c r="F943" s="593">
        <v>305</v>
      </c>
      <c r="G943" s="1489">
        <v>246.59</v>
      </c>
      <c r="H943" s="593">
        <v>4488</v>
      </c>
      <c r="I943" s="1505">
        <v>270.12</v>
      </c>
      <c r="T943" s="460"/>
    </row>
    <row r="944" spans="1:20" s="1468" customFormat="1" x14ac:dyDescent="0.25">
      <c r="A944" s="462"/>
      <c r="B944" s="1488">
        <v>42491</v>
      </c>
      <c r="C944"/>
      <c r="D944" s="593">
        <v>33705</v>
      </c>
      <c r="E944" s="1489">
        <v>3138.44</v>
      </c>
      <c r="F944" s="593">
        <v>232</v>
      </c>
      <c r="G944" s="1489">
        <v>193.27</v>
      </c>
      <c r="H944" s="593">
        <v>2244</v>
      </c>
      <c r="I944" s="1505">
        <v>252.06</v>
      </c>
      <c r="T944" s="460"/>
    </row>
    <row r="945" spans="1:26" s="1468" customFormat="1" ht="15.75" thickBot="1" x14ac:dyDescent="0.3">
      <c r="A945" s="462"/>
      <c r="B945" s="1490">
        <v>42522</v>
      </c>
      <c r="C945" s="1491"/>
      <c r="D945" s="1492">
        <v>36789</v>
      </c>
      <c r="E945" s="1493">
        <v>3332.3</v>
      </c>
      <c r="F945" s="1492">
        <v>133</v>
      </c>
      <c r="G945" s="1493">
        <v>121.22</v>
      </c>
      <c r="H945" s="1494">
        <v>2992</v>
      </c>
      <c r="I945" s="1506">
        <v>268.35000000000002</v>
      </c>
      <c r="T945" s="460"/>
    </row>
    <row r="946" spans="1:26" s="1468" customFormat="1" ht="15.75" thickBot="1" x14ac:dyDescent="0.3">
      <c r="A946" s="462"/>
      <c r="B946"/>
      <c r="C946"/>
      <c r="D946" s="1495"/>
      <c r="E946" s="1496"/>
      <c r="F946" s="1497"/>
      <c r="G946" s="1496"/>
      <c r="H946" s="1497"/>
      <c r="I946" s="1507"/>
      <c r="T946" s="460"/>
    </row>
    <row r="947" spans="1:26" s="1468" customFormat="1" ht="17.25" thickTop="1" thickBot="1" x14ac:dyDescent="0.3">
      <c r="A947" s="462"/>
      <c r="B947"/>
      <c r="C947" s="1498" t="s">
        <v>658</v>
      </c>
      <c r="D947" s="1480">
        <f t="shared" ref="D947:I947" si="72">SUM(D934:D946)</f>
        <v>383390</v>
      </c>
      <c r="E947" s="1481">
        <f t="shared" si="72"/>
        <v>34007.469999999994</v>
      </c>
      <c r="F947" s="1482">
        <f t="shared" si="72"/>
        <v>7806</v>
      </c>
      <c r="G947" s="1481">
        <f t="shared" si="72"/>
        <v>5955.1100000000015</v>
      </c>
      <c r="H947" s="1482">
        <f t="shared" si="72"/>
        <v>63580</v>
      </c>
      <c r="I947" s="1483">
        <f t="shared" si="72"/>
        <v>3329.9699999999993</v>
      </c>
      <c r="T947" s="460"/>
    </row>
    <row r="948" spans="1:26" s="1468" customFormat="1" ht="15.75" thickTop="1" x14ac:dyDescent="0.25">
      <c r="A948" s="462"/>
      <c r="B948"/>
      <c r="C948"/>
      <c r="D948" s="106"/>
      <c r="E948" s="485"/>
      <c r="F948" s="106"/>
      <c r="G948" s="485"/>
      <c r="H948" s="106"/>
      <c r="I948" s="485"/>
      <c r="T948" s="460"/>
    </row>
    <row r="949" spans="1:26" s="1468" customFormat="1" x14ac:dyDescent="0.25">
      <c r="A949" s="462"/>
      <c r="B949" t="s">
        <v>1355</v>
      </c>
      <c r="C949"/>
      <c r="D949" s="106"/>
      <c r="E949" s="485"/>
      <c r="F949" s="106"/>
      <c r="G949" s="485"/>
      <c r="H949" s="106"/>
      <c r="I949" s="485"/>
      <c r="T949" s="460"/>
    </row>
    <row r="950" spans="1:26" s="1468" customFormat="1" x14ac:dyDescent="0.25">
      <c r="A950" s="462"/>
      <c r="B950" s="460"/>
      <c r="C950" s="1467"/>
      <c r="T950" s="460"/>
    </row>
    <row r="951" spans="1:26" s="1468" customFormat="1" x14ac:dyDescent="0.25">
      <c r="A951" s="462">
        <v>61</v>
      </c>
      <c r="B951" s="460" t="s">
        <v>1015</v>
      </c>
      <c r="C951" s="1467"/>
      <c r="T951" s="460" t="s">
        <v>1015</v>
      </c>
    </row>
    <row r="952" spans="1:26" s="128" customFormat="1" x14ac:dyDescent="0.25">
      <c r="A952" s="459"/>
      <c r="B952" s="127" t="s">
        <v>1017</v>
      </c>
      <c r="C952" s="173"/>
      <c r="D952" s="172" t="s">
        <v>170</v>
      </c>
      <c r="S952" s="173"/>
      <c r="T952" s="127"/>
      <c r="W952" s="129"/>
      <c r="Y952" s="166"/>
      <c r="Z952" s="166"/>
    </row>
    <row r="953" spans="1:26" s="128" customFormat="1" x14ac:dyDescent="0.25">
      <c r="A953" s="459"/>
      <c r="B953" s="564">
        <v>220048</v>
      </c>
      <c r="C953" s="173" t="s">
        <v>1336</v>
      </c>
      <c r="D953" s="128" t="s">
        <v>1337</v>
      </c>
      <c r="E953" s="128" t="s">
        <v>1338</v>
      </c>
      <c r="F953" s="128" t="s">
        <v>1339</v>
      </c>
      <c r="G953" s="128" t="s">
        <v>1340</v>
      </c>
      <c r="H953" s="128" t="s">
        <v>1341</v>
      </c>
      <c r="I953" s="128" t="s">
        <v>1342</v>
      </c>
      <c r="J953" s="128" t="s">
        <v>1343</v>
      </c>
      <c r="K953" s="128" t="s">
        <v>1344</v>
      </c>
      <c r="L953" s="128" t="s">
        <v>1345</v>
      </c>
      <c r="M953" s="128" t="s">
        <v>1346</v>
      </c>
      <c r="N953" s="128" t="s">
        <v>1347</v>
      </c>
      <c r="S953" s="173"/>
      <c r="T953" s="127"/>
      <c r="W953" s="129"/>
      <c r="Y953" s="166"/>
      <c r="Z953" s="166"/>
    </row>
    <row r="954" spans="1:26" s="128" customFormat="1" x14ac:dyDescent="0.25">
      <c r="A954" s="459"/>
      <c r="B954" s="564" t="s">
        <v>694</v>
      </c>
      <c r="C954" s="173"/>
      <c r="S954" s="173"/>
      <c r="T954" s="127"/>
      <c r="W954" s="129"/>
      <c r="Y954" s="166"/>
      <c r="Z954" s="166"/>
    </row>
    <row r="955" spans="1:26" s="128" customFormat="1" x14ac:dyDescent="0.25">
      <c r="A955" s="459"/>
      <c r="B955" s="564" t="s">
        <v>695</v>
      </c>
      <c r="C955" s="173">
        <v>186825</v>
      </c>
      <c r="D955" s="128">
        <v>183184</v>
      </c>
      <c r="E955" s="128">
        <v>161861</v>
      </c>
      <c r="F955" s="128">
        <v>129523</v>
      </c>
      <c r="G955" s="128">
        <v>130154</v>
      </c>
      <c r="H955" s="128">
        <v>131739</v>
      </c>
      <c r="I955" s="128">
        <v>106152</v>
      </c>
      <c r="J955" s="128">
        <v>121893</v>
      </c>
      <c r="K955" s="128">
        <v>138818</v>
      </c>
      <c r="L955" s="128">
        <v>148064</v>
      </c>
      <c r="M955" s="128">
        <v>134975</v>
      </c>
      <c r="N955" s="128">
        <v>163897</v>
      </c>
      <c r="S955" s="173"/>
      <c r="T955" s="127"/>
      <c r="W955" s="129"/>
      <c r="Y955" s="166"/>
      <c r="Z955" s="166"/>
    </row>
    <row r="956" spans="1:26" s="128" customFormat="1" x14ac:dyDescent="0.25">
      <c r="A956" s="459"/>
      <c r="B956" s="564" t="s">
        <v>696</v>
      </c>
      <c r="C956" s="173">
        <v>1390</v>
      </c>
      <c r="D956" s="128">
        <v>968</v>
      </c>
      <c r="E956" s="128">
        <v>1881</v>
      </c>
      <c r="F956" s="128">
        <v>2020</v>
      </c>
      <c r="G956" s="128">
        <v>2621</v>
      </c>
      <c r="H956" s="128">
        <v>3487</v>
      </c>
      <c r="I956" s="128">
        <v>3868</v>
      </c>
      <c r="J956" s="128">
        <v>4816</v>
      </c>
      <c r="K956" s="128">
        <v>3136</v>
      </c>
      <c r="L956" s="128">
        <v>2768</v>
      </c>
      <c r="M956" s="128">
        <v>2998</v>
      </c>
      <c r="N956" s="128">
        <v>1892</v>
      </c>
      <c r="S956" s="173"/>
      <c r="T956" s="127"/>
      <c r="W956" s="129"/>
      <c r="Y956" s="166"/>
      <c r="Z956" s="166"/>
    </row>
    <row r="957" spans="1:26" s="128" customFormat="1" x14ac:dyDescent="0.25">
      <c r="A957" s="459"/>
      <c r="B957" s="564" t="s">
        <v>697</v>
      </c>
      <c r="C957" s="173">
        <v>26755</v>
      </c>
      <c r="D957" s="128">
        <v>65503</v>
      </c>
      <c r="E957" s="128">
        <v>67495</v>
      </c>
      <c r="F957" s="128">
        <v>65577</v>
      </c>
      <c r="G957" s="128">
        <v>65709</v>
      </c>
      <c r="H957" s="128">
        <v>40024</v>
      </c>
      <c r="I957" s="128">
        <v>50489</v>
      </c>
      <c r="J957" s="128">
        <v>59711</v>
      </c>
      <c r="K957" s="128">
        <v>55065</v>
      </c>
      <c r="L957" s="128">
        <v>68618</v>
      </c>
      <c r="M957" s="128">
        <v>60481</v>
      </c>
      <c r="N957" s="128">
        <v>43399</v>
      </c>
      <c r="S957" s="173"/>
      <c r="T957" s="127"/>
      <c r="W957" s="129"/>
      <c r="Y957" s="166"/>
      <c r="Z957" s="166"/>
    </row>
    <row r="958" spans="1:26" s="128" customFormat="1" x14ac:dyDescent="0.25">
      <c r="A958" s="459"/>
      <c r="B958" s="564"/>
      <c r="C958" s="173"/>
      <c r="S958" s="173"/>
      <c r="T958" s="127"/>
      <c r="W958" s="129"/>
      <c r="Y958" s="166"/>
      <c r="Z958" s="166"/>
    </row>
    <row r="959" spans="1:26" s="128" customFormat="1" x14ac:dyDescent="0.25">
      <c r="A959" s="459"/>
      <c r="B959" s="564" t="s">
        <v>698</v>
      </c>
      <c r="C959" s="173"/>
      <c r="S959" s="173"/>
      <c r="T959" s="127"/>
      <c r="W959" s="129"/>
      <c r="Y959" s="166"/>
      <c r="Z959" s="166"/>
    </row>
    <row r="960" spans="1:26" s="128" customFormat="1" x14ac:dyDescent="0.25">
      <c r="A960" s="459"/>
      <c r="B960" s="564" t="s">
        <v>699</v>
      </c>
      <c r="C960" s="173">
        <v>12472.52875625</v>
      </c>
      <c r="D960" s="128">
        <v>12235.0900675583</v>
      </c>
      <c r="E960" s="128">
        <v>10817.772040137615</v>
      </c>
      <c r="F960" s="128">
        <v>7914.9157000487894</v>
      </c>
      <c r="G960" s="128">
        <v>7322.9717167134504</v>
      </c>
      <c r="H960" s="128">
        <v>7418.1156187105262</v>
      </c>
      <c r="I960" s="128">
        <v>6010.4253969293477</v>
      </c>
      <c r="J960" s="128">
        <v>7117.1535883354918</v>
      </c>
      <c r="K960" s="128">
        <v>8171.0169717657427</v>
      </c>
      <c r="L960" s="128">
        <v>8496.5706802576478</v>
      </c>
      <c r="M960" s="128">
        <v>7904.2390835322203</v>
      </c>
      <c r="N960" s="128">
        <v>10585.188596286334</v>
      </c>
      <c r="S960" s="173"/>
      <c r="T960" s="127"/>
      <c r="W960" s="129"/>
      <c r="Y960" s="166"/>
      <c r="Z960" s="166"/>
    </row>
    <row r="961" spans="1:26" s="128" customFormat="1" x14ac:dyDescent="0.25">
      <c r="A961" s="459"/>
      <c r="B961" s="564" t="s">
        <v>700</v>
      </c>
      <c r="C961" s="173">
        <v>995.97</v>
      </c>
      <c r="D961" s="128">
        <v>700.28</v>
      </c>
      <c r="E961" s="128">
        <v>1340.02</v>
      </c>
      <c r="F961" s="128">
        <v>1437.41</v>
      </c>
      <c r="G961" s="128">
        <v>1845.53</v>
      </c>
      <c r="H961" s="128">
        <v>2419.27</v>
      </c>
      <c r="I961" s="128">
        <v>2628.74</v>
      </c>
      <c r="J961" s="128">
        <v>3241.78</v>
      </c>
      <c r="K961" s="128">
        <v>2118.6</v>
      </c>
      <c r="L961" s="128">
        <v>1878.35</v>
      </c>
      <c r="M961" s="128">
        <v>2071.0100000000002</v>
      </c>
      <c r="N961" s="128">
        <v>1319.17</v>
      </c>
      <c r="S961" s="173"/>
      <c r="T961" s="127"/>
      <c r="W961" s="129"/>
      <c r="Y961" s="166"/>
      <c r="Z961" s="166"/>
    </row>
    <row r="962" spans="1:26" s="128" customFormat="1" x14ac:dyDescent="0.25">
      <c r="A962" s="459"/>
      <c r="B962" s="564" t="s">
        <v>701</v>
      </c>
      <c r="C962" s="173">
        <v>1994.1346008805176</v>
      </c>
      <c r="D962" s="128">
        <v>4950.2449712313592</v>
      </c>
      <c r="E962" s="128">
        <v>5167.0838196576697</v>
      </c>
      <c r="F962" s="128">
        <v>5373.4839474199016</v>
      </c>
      <c r="G962" s="128">
        <v>5423.711210285087</v>
      </c>
      <c r="H962" s="128">
        <v>3430.3969074733523</v>
      </c>
      <c r="I962" s="128">
        <v>4678.9082799175258</v>
      </c>
      <c r="J962" s="128">
        <v>4950.1013614741714</v>
      </c>
      <c r="K962" s="128">
        <v>4523.6750936584067</v>
      </c>
      <c r="L962" s="128">
        <v>5544.0344981645994</v>
      </c>
      <c r="M962" s="128">
        <v>4775.5293259572445</v>
      </c>
      <c r="N962" s="128">
        <v>2849.9827761077781</v>
      </c>
      <c r="S962" s="173"/>
      <c r="T962" s="127"/>
      <c r="W962" s="129"/>
      <c r="Y962" s="166"/>
      <c r="Z962" s="166"/>
    </row>
    <row r="963" spans="1:26" s="128" customFormat="1" x14ac:dyDescent="0.25">
      <c r="A963" s="459"/>
      <c r="B963" s="564" t="s">
        <v>1348</v>
      </c>
      <c r="C963" s="173">
        <v>3528.5342288955135</v>
      </c>
      <c r="D963" s="128">
        <v>3280.3016069221262</v>
      </c>
      <c r="E963" s="128">
        <v>3364.5828728277465</v>
      </c>
      <c r="F963" s="128">
        <v>2926.3273285828545</v>
      </c>
      <c r="G963" s="128">
        <v>3209.2336581109575</v>
      </c>
      <c r="H963" s="128">
        <v>3627.3607031193196</v>
      </c>
      <c r="I963" s="128">
        <v>3403.760197775031</v>
      </c>
      <c r="J963" s="128">
        <v>4078.6506398603942</v>
      </c>
      <c r="K963" s="128">
        <v>3577.614956736712</v>
      </c>
      <c r="L963" s="128">
        <v>3553.7444921108122</v>
      </c>
      <c r="M963" s="128">
        <v>3455.3129317239873</v>
      </c>
      <c r="N963" s="128">
        <v>3401.1514033301823</v>
      </c>
      <c r="O963" s="128">
        <v>41406.575019995631</v>
      </c>
      <c r="S963" s="173"/>
      <c r="T963" s="127"/>
      <c r="W963" s="129"/>
      <c r="Y963" s="166"/>
      <c r="Z963" s="166"/>
    </row>
    <row r="964" spans="1:26" s="128" customFormat="1" x14ac:dyDescent="0.25">
      <c r="A964" s="459"/>
      <c r="B964" s="127"/>
      <c r="C964" s="173"/>
      <c r="S964" s="173"/>
      <c r="T964" s="127"/>
      <c r="W964" s="129"/>
      <c r="Y964" s="166"/>
      <c r="Z964" s="166"/>
    </row>
    <row r="965" spans="1:26" s="1468" customFormat="1" x14ac:dyDescent="0.25">
      <c r="A965" s="462">
        <v>62</v>
      </c>
      <c r="B965" s="460" t="s">
        <v>1278</v>
      </c>
      <c r="C965" s="1467"/>
      <c r="T965" s="460" t="s">
        <v>1278</v>
      </c>
    </row>
    <row r="966" spans="1:26" s="1468" customFormat="1" x14ac:dyDescent="0.25">
      <c r="A966" s="462"/>
      <c r="B966" s="460"/>
      <c r="C966" s="1467"/>
    </row>
    <row r="967" spans="1:26" s="1468" customFormat="1" x14ac:dyDescent="0.25">
      <c r="A967" s="462">
        <v>63</v>
      </c>
      <c r="B967" s="460" t="s">
        <v>1276</v>
      </c>
      <c r="C967" s="1467"/>
      <c r="T967" s="460" t="s">
        <v>1276</v>
      </c>
    </row>
    <row r="968" spans="1:26" s="1468" customFormat="1" x14ac:dyDescent="0.25">
      <c r="A968" s="462"/>
      <c r="B968" s="666" t="s">
        <v>1390</v>
      </c>
      <c r="C968" s="497"/>
      <c r="D968"/>
      <c r="E968"/>
      <c r="F968"/>
      <c r="G968"/>
      <c r="H968"/>
      <c r="I968"/>
      <c r="J968"/>
      <c r="K968"/>
      <c r="L968"/>
      <c r="M968"/>
      <c r="N968"/>
      <c r="O968"/>
      <c r="P968"/>
      <c r="Q968"/>
      <c r="R968"/>
      <c r="T968" s="460"/>
    </row>
    <row r="969" spans="1:26" s="1468" customFormat="1" x14ac:dyDescent="0.25">
      <c r="A969" s="461"/>
      <c r="B969" s="130" t="s">
        <v>337</v>
      </c>
      <c r="C969" s="186" t="s">
        <v>1318</v>
      </c>
      <c r="D969" s="1606">
        <v>42186</v>
      </c>
      <c r="E969" s="1606">
        <v>42217</v>
      </c>
      <c r="F969" s="1606">
        <v>42248</v>
      </c>
      <c r="G969" s="1606">
        <v>42278</v>
      </c>
      <c r="H969" s="1606">
        <v>42309</v>
      </c>
      <c r="I969" s="1606">
        <v>42339</v>
      </c>
      <c r="J969" s="1606">
        <v>42370</v>
      </c>
      <c r="K969" s="1606">
        <v>42401</v>
      </c>
      <c r="L969" s="1606">
        <v>42430</v>
      </c>
      <c r="M969" s="1606">
        <v>42461</v>
      </c>
      <c r="N969" s="1606">
        <v>42491</v>
      </c>
      <c r="O969" s="1606">
        <v>42522</v>
      </c>
      <c r="P969" s="131">
        <v>42552</v>
      </c>
      <c r="Q969" s="151">
        <v>42583</v>
      </c>
      <c r="R969" s="131">
        <v>42627</v>
      </c>
      <c r="T969" s="460"/>
    </row>
    <row r="970" spans="1:26" s="1468" customFormat="1" x14ac:dyDescent="0.25">
      <c r="A970"/>
      <c r="B970" s="135" t="s">
        <v>319</v>
      </c>
      <c r="C970" s="187">
        <v>32348</v>
      </c>
      <c r="D970" s="1348">
        <v>32571</v>
      </c>
      <c r="E970" s="1348">
        <v>33777</v>
      </c>
      <c r="F970" s="1180">
        <v>26945</v>
      </c>
      <c r="G970" s="1180">
        <v>20269</v>
      </c>
      <c r="H970" s="1180">
        <v>19441</v>
      </c>
      <c r="I970" s="1180">
        <v>17141</v>
      </c>
      <c r="J970" s="1180">
        <v>17406</v>
      </c>
      <c r="K970" s="1180">
        <v>20710</v>
      </c>
      <c r="L970" s="1180">
        <v>19561</v>
      </c>
      <c r="M970" s="1180">
        <v>20052</v>
      </c>
      <c r="N970" s="1180">
        <v>23035</v>
      </c>
      <c r="O970" s="1180">
        <v>29474</v>
      </c>
      <c r="P970" s="1180">
        <v>38354</v>
      </c>
      <c r="Q970" s="1180"/>
      <c r="R970" s="187"/>
      <c r="T970" s="460"/>
    </row>
    <row r="971" spans="1:26" s="1468" customFormat="1" x14ac:dyDescent="0.25">
      <c r="A971" s="461"/>
      <c r="B971" s="135" t="s">
        <v>343</v>
      </c>
      <c r="C971" s="187"/>
      <c r="D971" s="1348"/>
      <c r="E971" s="1348"/>
      <c r="F971" s="1348"/>
      <c r="G971" s="1348"/>
      <c r="H971" s="1348"/>
      <c r="I971" s="1180"/>
      <c r="J971" s="1180"/>
      <c r="K971" s="1180"/>
      <c r="L971" s="1180"/>
      <c r="M971" s="1180"/>
      <c r="N971" s="1180"/>
      <c r="O971" s="1180"/>
      <c r="P971" s="1180"/>
      <c r="Q971" s="1180"/>
      <c r="R971" s="187"/>
      <c r="T971" s="460"/>
    </row>
    <row r="972" spans="1:26" s="1468" customFormat="1" x14ac:dyDescent="0.25">
      <c r="A972" s="461"/>
      <c r="B972" s="153" t="s">
        <v>362</v>
      </c>
      <c r="C972" s="187"/>
      <c r="D972" s="1348"/>
      <c r="E972" s="1348"/>
      <c r="F972" s="1348"/>
      <c r="G972" s="1348"/>
      <c r="H972" s="1348"/>
      <c r="I972" s="1348"/>
      <c r="J972" s="1348"/>
      <c r="K972" s="1348"/>
      <c r="L972" s="1348"/>
      <c r="M972" s="1348"/>
      <c r="N972" s="1348"/>
      <c r="O972" s="1348"/>
      <c r="P972" s="187"/>
      <c r="Q972" s="187"/>
      <c r="R972" s="187"/>
      <c r="T972" s="460"/>
    </row>
    <row r="973" spans="1:26" s="1468" customFormat="1" x14ac:dyDescent="0.25">
      <c r="A973" s="461"/>
      <c r="B973" s="153" t="s">
        <v>641</v>
      </c>
      <c r="C973" s="187">
        <v>1048</v>
      </c>
      <c r="D973" s="1348">
        <v>156</v>
      </c>
      <c r="E973" s="1348">
        <v>324</v>
      </c>
      <c r="F973" s="1348">
        <v>490</v>
      </c>
      <c r="G973" s="1348">
        <v>608</v>
      </c>
      <c r="H973" s="1348">
        <v>962</v>
      </c>
      <c r="I973" s="1348">
        <v>777</v>
      </c>
      <c r="J973" s="1348">
        <v>873</v>
      </c>
      <c r="K973" s="1348">
        <v>1467</v>
      </c>
      <c r="L973" s="1348">
        <v>631</v>
      </c>
      <c r="M973" s="1348">
        <v>491</v>
      </c>
      <c r="N973" s="1348">
        <v>512</v>
      </c>
      <c r="O973" s="1348">
        <v>764</v>
      </c>
      <c r="P973" s="187">
        <v>804</v>
      </c>
      <c r="Q973" s="187"/>
      <c r="R973" s="187"/>
      <c r="T973" s="460"/>
    </row>
    <row r="974" spans="1:26" s="1468" customFormat="1" x14ac:dyDescent="0.25">
      <c r="A974" s="461"/>
      <c r="B974" s="135" t="s">
        <v>864</v>
      </c>
      <c r="C974" s="187">
        <v>11</v>
      </c>
      <c r="D974" s="1348">
        <v>13</v>
      </c>
      <c r="E974" s="1348">
        <v>12</v>
      </c>
      <c r="F974" s="1206">
        <v>12</v>
      </c>
      <c r="G974" s="1206">
        <v>14</v>
      </c>
      <c r="H974" s="1206">
        <v>12</v>
      </c>
      <c r="I974" s="1206">
        <v>10</v>
      </c>
      <c r="J974" s="1206">
        <v>9</v>
      </c>
      <c r="K974" s="1600">
        <v>14</v>
      </c>
      <c r="L974" s="1600">
        <v>11</v>
      </c>
      <c r="M974" s="1600">
        <v>14</v>
      </c>
      <c r="N974" s="1600">
        <v>12</v>
      </c>
      <c r="O974" s="1600">
        <v>13</v>
      </c>
      <c r="P974" s="1600"/>
      <c r="Q974" s="1601"/>
      <c r="R974" s="187"/>
      <c r="T974" s="460"/>
    </row>
    <row r="975" spans="1:26" s="1468" customFormat="1" x14ac:dyDescent="0.25">
      <c r="A975" s="461"/>
      <c r="B975" s="135" t="s">
        <v>324</v>
      </c>
      <c r="C975" s="1602">
        <f t="shared" ref="C975:P975" si="73">C970*0.07</f>
        <v>2264.36</v>
      </c>
      <c r="D975" s="1607">
        <f t="shared" si="73"/>
        <v>2279.9700000000003</v>
      </c>
      <c r="E975" s="1607">
        <f t="shared" si="73"/>
        <v>2364.3900000000003</v>
      </c>
      <c r="F975" s="1608">
        <f t="shared" si="73"/>
        <v>1886.15</v>
      </c>
      <c r="G975" s="1608">
        <f t="shared" si="73"/>
        <v>1418.8300000000002</v>
      </c>
      <c r="H975" s="1608">
        <f t="shared" si="73"/>
        <v>1360.8700000000001</v>
      </c>
      <c r="I975" s="1608">
        <f t="shared" si="73"/>
        <v>1199.8700000000001</v>
      </c>
      <c r="J975" s="1608">
        <f t="shared" si="73"/>
        <v>1218.42</v>
      </c>
      <c r="K975" s="1608">
        <f t="shared" si="73"/>
        <v>1449.7</v>
      </c>
      <c r="L975" s="1608">
        <f t="shared" si="73"/>
        <v>1369.2700000000002</v>
      </c>
      <c r="M975" s="1608">
        <f t="shared" si="73"/>
        <v>1403.64</v>
      </c>
      <c r="N975" s="1608">
        <f t="shared" si="73"/>
        <v>1612.45</v>
      </c>
      <c r="O975" s="1608">
        <f t="shared" si="73"/>
        <v>2063.1800000000003</v>
      </c>
      <c r="P975" s="1603">
        <f t="shared" si="73"/>
        <v>2684.78</v>
      </c>
      <c r="Q975" s="1603"/>
      <c r="R975" s="1602"/>
      <c r="T975" s="460"/>
    </row>
    <row r="976" spans="1:26" s="1468" customFormat="1" x14ac:dyDescent="0.25">
      <c r="A976" s="461"/>
      <c r="B976" s="144" t="s">
        <v>348</v>
      </c>
      <c r="C976" s="1602"/>
      <c r="D976" s="1607"/>
      <c r="E976" s="1607"/>
      <c r="F976" s="1609"/>
      <c r="G976" s="1609"/>
      <c r="H976" s="1609"/>
      <c r="I976" s="1609"/>
      <c r="J976" s="1608"/>
      <c r="K976" s="1608"/>
      <c r="L976" s="1608"/>
      <c r="M976" s="1608"/>
      <c r="N976" s="1608"/>
      <c r="O976" s="1608"/>
      <c r="P976" s="1603"/>
      <c r="Q976" s="1603"/>
      <c r="R976" s="1602"/>
      <c r="T976" s="460"/>
    </row>
    <row r="977" spans="1:26" s="1468" customFormat="1" x14ac:dyDescent="0.25">
      <c r="A977" s="461"/>
      <c r="B977" s="195" t="s">
        <v>1087</v>
      </c>
      <c r="C977" s="1602"/>
      <c r="D977" s="1607"/>
      <c r="E977" s="1607"/>
      <c r="F977" s="1608"/>
      <c r="G977" s="1608"/>
      <c r="H977" s="1608"/>
      <c r="I977" s="1608"/>
      <c r="J977" s="1608"/>
      <c r="K977" s="1608"/>
      <c r="L977" s="1608"/>
      <c r="M977" s="1608"/>
      <c r="N977" s="1608"/>
      <c r="O977" s="1608"/>
      <c r="P977" s="1603"/>
      <c r="Q977" s="1603"/>
      <c r="R977" s="1602"/>
      <c r="T977" s="460"/>
    </row>
    <row r="978" spans="1:26" s="1468" customFormat="1" x14ac:dyDescent="0.25">
      <c r="A978" s="461"/>
      <c r="B978" s="144" t="s">
        <v>883</v>
      </c>
      <c r="C978" s="1604">
        <v>746.61</v>
      </c>
      <c r="D978" s="1610">
        <v>140.5</v>
      </c>
      <c r="E978" s="1610">
        <v>266.45999999999998</v>
      </c>
      <c r="F978" s="1610">
        <v>390.91</v>
      </c>
      <c r="G978" s="1610">
        <v>479.39</v>
      </c>
      <c r="H978" s="1610">
        <v>699.74</v>
      </c>
      <c r="I978" s="1610">
        <v>555.61</v>
      </c>
      <c r="J978" s="1610">
        <v>614.80999999999995</v>
      </c>
      <c r="K978" s="1610">
        <v>1002.78</v>
      </c>
      <c r="L978" s="1610">
        <v>443.86</v>
      </c>
      <c r="M978" s="1610">
        <v>345.71</v>
      </c>
      <c r="N978" s="1610">
        <v>371.93</v>
      </c>
      <c r="O978" s="1610">
        <v>545.32000000000005</v>
      </c>
      <c r="P978" s="1605">
        <v>573.86</v>
      </c>
      <c r="Q978" s="1605"/>
      <c r="R978" s="1605"/>
      <c r="T978" s="460"/>
    </row>
    <row r="979" spans="1:26" s="1468" customFormat="1" x14ac:dyDescent="0.25">
      <c r="A979" s="462"/>
      <c r="B979" s="460"/>
      <c r="C979" s="1467"/>
    </row>
    <row r="980" spans="1:26" s="347" customFormat="1" x14ac:dyDescent="0.25">
      <c r="A980" s="1699">
        <v>64</v>
      </c>
      <c r="B980" s="1700" t="s">
        <v>1277</v>
      </c>
      <c r="C980" s="348"/>
      <c r="T980" s="1700" t="s">
        <v>1277</v>
      </c>
    </row>
    <row r="981" spans="1:26" s="347" customFormat="1" ht="15.75" x14ac:dyDescent="0.25">
      <c r="A981" s="1699"/>
      <c r="B981" s="1701" t="s">
        <v>127</v>
      </c>
      <c r="C981" s="1702" t="s">
        <v>1398</v>
      </c>
      <c r="D981" s="1703">
        <v>42217</v>
      </c>
      <c r="E981" s="1703">
        <v>42248</v>
      </c>
      <c r="F981" s="1703">
        <v>42278</v>
      </c>
      <c r="G981" s="1703">
        <v>42309</v>
      </c>
      <c r="H981" s="1703">
        <v>42339</v>
      </c>
      <c r="I981" s="1703">
        <v>42370</v>
      </c>
      <c r="J981" s="1703">
        <v>42401</v>
      </c>
      <c r="K981" s="1703">
        <v>42430</v>
      </c>
      <c r="L981" s="1703">
        <v>42461</v>
      </c>
      <c r="M981" s="1703">
        <v>42491</v>
      </c>
      <c r="N981" s="1703">
        <v>42522</v>
      </c>
      <c r="T981" s="1700"/>
    </row>
    <row r="982" spans="1:26" s="347" customFormat="1" ht="15.75" x14ac:dyDescent="0.25">
      <c r="A982" s="1699"/>
      <c r="B982" s="1704" t="s">
        <v>1420</v>
      </c>
      <c r="C982" s="1705"/>
      <c r="D982" s="1704"/>
      <c r="E982" s="1704"/>
      <c r="F982" s="1704"/>
      <c r="G982" s="1704"/>
      <c r="H982" s="1704"/>
      <c r="I982" s="1704"/>
      <c r="J982" s="1704"/>
      <c r="K982" s="1704"/>
      <c r="L982" s="1704"/>
      <c r="M982" s="1704"/>
      <c r="N982" s="1704"/>
      <c r="T982" s="1700"/>
    </row>
    <row r="983" spans="1:26" s="347" customFormat="1" ht="15.75" x14ac:dyDescent="0.25">
      <c r="A983" s="1699"/>
      <c r="B983" s="1633" t="s">
        <v>1093</v>
      </c>
      <c r="C983" s="1123">
        <v>58911</v>
      </c>
      <c r="D983" s="1123">
        <v>50302</v>
      </c>
      <c r="E983" s="1123">
        <v>45092</v>
      </c>
      <c r="F983" s="1123">
        <v>37399</v>
      </c>
      <c r="G983" s="1123">
        <v>37572</v>
      </c>
      <c r="H983" s="1123">
        <v>32861</v>
      </c>
      <c r="I983" s="1123">
        <v>36614</v>
      </c>
      <c r="J983" s="1123">
        <v>34312</v>
      </c>
      <c r="K983" s="1123">
        <v>37139</v>
      </c>
      <c r="L983" s="1123">
        <v>40184</v>
      </c>
      <c r="M983" s="1123">
        <v>35306</v>
      </c>
      <c r="N983" s="1123">
        <v>46821</v>
      </c>
      <c r="T983" s="1700"/>
    </row>
    <row r="984" spans="1:26" s="347" customFormat="1" ht="15.75" x14ac:dyDescent="0.25">
      <c r="A984" s="1699"/>
      <c r="B984" s="1633" t="s">
        <v>322</v>
      </c>
      <c r="C984" s="1123">
        <v>4488</v>
      </c>
      <c r="D984" s="1123">
        <v>20196</v>
      </c>
      <c r="E984" s="1123">
        <v>5984</v>
      </c>
      <c r="F984" s="1123">
        <v>12716</v>
      </c>
      <c r="G984" s="1123">
        <v>11220</v>
      </c>
      <c r="H984" s="1123">
        <v>8976</v>
      </c>
      <c r="I984" s="1123">
        <v>5984</v>
      </c>
      <c r="J984" s="1123">
        <v>6732</v>
      </c>
      <c r="K984" s="1123">
        <v>8228</v>
      </c>
      <c r="L984" s="1123">
        <v>748</v>
      </c>
      <c r="M984" s="1123">
        <v>14960</v>
      </c>
      <c r="N984" s="1123">
        <v>6732</v>
      </c>
      <c r="T984" s="1700"/>
    </row>
    <row r="985" spans="1:26" s="347" customFormat="1" ht="15.75" x14ac:dyDescent="0.25">
      <c r="A985" s="1699"/>
      <c r="B985" s="1632" t="s">
        <v>641</v>
      </c>
      <c r="C985" s="1123">
        <v>334</v>
      </c>
      <c r="D985" s="1123">
        <v>312</v>
      </c>
      <c r="E985" s="1123">
        <v>374</v>
      </c>
      <c r="F985" s="1123">
        <v>690</v>
      </c>
      <c r="G985" s="1123">
        <v>947</v>
      </c>
      <c r="H985" s="1123">
        <v>1113</v>
      </c>
      <c r="I985" s="1123">
        <v>1514</v>
      </c>
      <c r="J985" s="1123">
        <v>1745</v>
      </c>
      <c r="K985" s="1123">
        <v>1265</v>
      </c>
      <c r="L985" s="1123">
        <v>1100</v>
      </c>
      <c r="M985" s="1123">
        <v>714</v>
      </c>
      <c r="N985" s="1123">
        <v>598</v>
      </c>
      <c r="T985" s="1700"/>
    </row>
    <row r="986" spans="1:26" s="347" customFormat="1" x14ac:dyDescent="0.25">
      <c r="A986" s="1699"/>
      <c r="B986" s="1656"/>
      <c r="C986" s="1706"/>
      <c r="D986" s="1656"/>
      <c r="E986" s="1656"/>
      <c r="F986" s="1656"/>
      <c r="G986" s="1656"/>
      <c r="H986" s="1656"/>
      <c r="I986" s="1656"/>
      <c r="J986" s="1656"/>
      <c r="K986" s="1656"/>
      <c r="L986" s="1656"/>
      <c r="M986" s="1656"/>
      <c r="N986" s="1656"/>
      <c r="T986" s="1700"/>
    </row>
    <row r="987" spans="1:26" s="347" customFormat="1" ht="15.75" x14ac:dyDescent="0.25">
      <c r="A987" s="1699"/>
      <c r="B987" s="1633" t="s">
        <v>324</v>
      </c>
      <c r="C987" s="1123">
        <v>4466.9060454523424</v>
      </c>
      <c r="D987" s="1123">
        <v>3967.1217485272596</v>
      </c>
      <c r="E987" s="1123">
        <v>3549.9743991769551</v>
      </c>
      <c r="F987" s="1123">
        <v>3074.1881832957333</v>
      </c>
      <c r="G987" s="1123">
        <v>3082.2607616483147</v>
      </c>
      <c r="H987" s="1123">
        <v>2768.1072646416733</v>
      </c>
      <c r="I987" s="1123">
        <v>3046.6538507213663</v>
      </c>
      <c r="J987" s="1123">
        <v>2911.5942924813812</v>
      </c>
      <c r="K987" s="1123">
        <v>3101.1834687170435</v>
      </c>
      <c r="L987" s="1123">
        <v>3310.5721679804547</v>
      </c>
      <c r="M987" s="1123">
        <v>2988.9500297029704</v>
      </c>
      <c r="N987" s="1123">
        <v>3742.7906308232164</v>
      </c>
      <c r="T987" s="1700"/>
    </row>
    <row r="988" spans="1:26" s="347" customFormat="1" ht="15.75" x14ac:dyDescent="0.25">
      <c r="A988" s="1699"/>
      <c r="B988" s="1707" t="s">
        <v>328</v>
      </c>
      <c r="C988" s="1123">
        <v>269.7</v>
      </c>
      <c r="D988" s="1123">
        <v>365</v>
      </c>
      <c r="E988" s="1123">
        <v>313.63</v>
      </c>
      <c r="F988" s="1123">
        <v>328.99</v>
      </c>
      <c r="G988" s="1123">
        <v>327.75</v>
      </c>
      <c r="H988" s="1123">
        <v>309.69</v>
      </c>
      <c r="I988" s="1123">
        <v>285.61</v>
      </c>
      <c r="J988" s="1123">
        <v>291.63</v>
      </c>
      <c r="K988" s="1123">
        <v>303.67</v>
      </c>
      <c r="L988" s="1123">
        <v>243.47</v>
      </c>
      <c r="M988" s="1123">
        <v>353.8</v>
      </c>
      <c r="N988" s="1123">
        <v>310.31</v>
      </c>
      <c r="T988" s="1700"/>
    </row>
    <row r="989" spans="1:26" s="347" customFormat="1" ht="15.75" x14ac:dyDescent="0.25">
      <c r="A989" s="1699"/>
      <c r="B989" s="1633" t="s">
        <v>733</v>
      </c>
      <c r="C989" s="1123">
        <v>273.95</v>
      </c>
      <c r="D989" s="1123">
        <v>257.45999999999998</v>
      </c>
      <c r="E989" s="1123">
        <v>303.94</v>
      </c>
      <c r="F989" s="1123">
        <v>847.84</v>
      </c>
      <c r="G989" s="1123">
        <v>740.63</v>
      </c>
      <c r="H989" s="1123">
        <v>840.83</v>
      </c>
      <c r="I989" s="1123">
        <v>1125.27</v>
      </c>
      <c r="J989" s="1123">
        <v>1271.8399999999999</v>
      </c>
      <c r="K989" s="1123">
        <v>928.47</v>
      </c>
      <c r="L989" s="1123">
        <v>807.32</v>
      </c>
      <c r="M989" s="1123">
        <v>545.69000000000005</v>
      </c>
      <c r="N989" s="1123">
        <v>461.65</v>
      </c>
      <c r="T989" s="1700"/>
    </row>
    <row r="990" spans="1:26" s="1468" customFormat="1" x14ac:dyDescent="0.25">
      <c r="A990" s="462"/>
      <c r="B990" s="460"/>
      <c r="C990" s="1467"/>
    </row>
    <row r="991" spans="1:26" s="1468" customFormat="1" x14ac:dyDescent="0.25">
      <c r="A991" s="462">
        <v>65</v>
      </c>
      <c r="B991" s="460" t="s">
        <v>1279</v>
      </c>
      <c r="C991" s="1467"/>
      <c r="T991" s="460" t="s">
        <v>1279</v>
      </c>
    </row>
    <row r="992" spans="1:26" s="128" customFormat="1" x14ac:dyDescent="0.25">
      <c r="A992" s="459"/>
      <c r="B992" s="127" t="s">
        <v>1356</v>
      </c>
      <c r="C992" s="173"/>
      <c r="D992" s="172" t="s">
        <v>142</v>
      </c>
      <c r="S992" s="173"/>
      <c r="T992" s="127"/>
      <c r="W992" s="129"/>
      <c r="Y992" s="166"/>
      <c r="Z992" s="166"/>
    </row>
    <row r="993" spans="1:26" s="128" customFormat="1" x14ac:dyDescent="0.25">
      <c r="A993" s="459"/>
      <c r="B993" s="564">
        <v>57844</v>
      </c>
      <c r="C993" s="173" t="s">
        <v>1336</v>
      </c>
      <c r="D993" s="128" t="s">
        <v>1337</v>
      </c>
      <c r="E993" s="128" t="s">
        <v>1338</v>
      </c>
      <c r="F993" s="128" t="s">
        <v>1339</v>
      </c>
      <c r="G993" s="128" t="s">
        <v>1340</v>
      </c>
      <c r="H993" s="128" t="s">
        <v>1341</v>
      </c>
      <c r="I993" s="128" t="s">
        <v>1342</v>
      </c>
      <c r="J993" s="128" t="s">
        <v>1343</v>
      </c>
      <c r="K993" s="128" t="s">
        <v>1344</v>
      </c>
      <c r="L993" s="128" t="s">
        <v>1345</v>
      </c>
      <c r="M993" s="128" t="s">
        <v>1346</v>
      </c>
      <c r="N993" s="128" t="s">
        <v>1347</v>
      </c>
      <c r="S993" s="173"/>
      <c r="T993" s="127"/>
      <c r="W993" s="129"/>
      <c r="Y993" s="166"/>
      <c r="Z993" s="166"/>
    </row>
    <row r="994" spans="1:26" s="128" customFormat="1" x14ac:dyDescent="0.25">
      <c r="A994" s="459"/>
      <c r="B994" s="564" t="s">
        <v>694</v>
      </c>
      <c r="C994" s="173"/>
      <c r="S994" s="173"/>
      <c r="T994" s="127"/>
      <c r="W994" s="129"/>
      <c r="Y994" s="166"/>
      <c r="Z994" s="166"/>
    </row>
    <row r="995" spans="1:26" s="128" customFormat="1" x14ac:dyDescent="0.25">
      <c r="A995" s="459"/>
      <c r="B995" s="564" t="s">
        <v>695</v>
      </c>
      <c r="C995" s="173">
        <v>125849</v>
      </c>
      <c r="D995" s="128">
        <v>187598</v>
      </c>
      <c r="E995" s="128">
        <v>177291</v>
      </c>
      <c r="F995" s="128">
        <v>187480</v>
      </c>
      <c r="G995" s="128">
        <v>178291</v>
      </c>
      <c r="H995" s="128">
        <v>169137</v>
      </c>
      <c r="I995" s="128">
        <v>164254</v>
      </c>
      <c r="J995" s="128">
        <v>171012</v>
      </c>
      <c r="K995" s="128">
        <v>169281.8</v>
      </c>
      <c r="L995" s="128">
        <v>183634.8</v>
      </c>
      <c r="M995" s="128">
        <v>141157.6</v>
      </c>
      <c r="N995" s="128">
        <v>124718.7</v>
      </c>
      <c r="S995" s="173"/>
      <c r="T995" s="127"/>
      <c r="W995" s="129"/>
      <c r="Y995" s="166"/>
      <c r="Z995" s="166"/>
    </row>
    <row r="996" spans="1:26" s="128" customFormat="1" x14ac:dyDescent="0.25">
      <c r="A996" s="459"/>
      <c r="B996" s="564" t="s">
        <v>696</v>
      </c>
      <c r="C996" s="173">
        <v>616</v>
      </c>
      <c r="D996" s="128">
        <v>1307</v>
      </c>
      <c r="E996" s="128">
        <v>3678</v>
      </c>
      <c r="F996" s="128">
        <v>4293</v>
      </c>
      <c r="G996" s="128">
        <v>5631</v>
      </c>
      <c r="H996" s="128">
        <v>5544</v>
      </c>
      <c r="I996" s="128">
        <v>6329</v>
      </c>
      <c r="J996" s="128">
        <v>7429</v>
      </c>
      <c r="K996" s="128">
        <v>5019</v>
      </c>
      <c r="L996" s="128">
        <v>4479</v>
      </c>
      <c r="M996" s="128">
        <v>3493</v>
      </c>
      <c r="N996" s="128">
        <v>287</v>
      </c>
      <c r="S996" s="173"/>
      <c r="T996" s="127"/>
      <c r="W996" s="129"/>
      <c r="Y996" s="166"/>
      <c r="Z996" s="166"/>
    </row>
    <row r="997" spans="1:26" s="128" customFormat="1" x14ac:dyDescent="0.25">
      <c r="A997" s="459"/>
      <c r="B997" s="564" t="s">
        <v>697</v>
      </c>
      <c r="C997" s="173">
        <v>7522</v>
      </c>
      <c r="D997" s="128">
        <v>52053</v>
      </c>
      <c r="E997" s="128">
        <v>70851</v>
      </c>
      <c r="F997" s="128">
        <v>65585</v>
      </c>
      <c r="G997" s="128">
        <v>58110</v>
      </c>
      <c r="H997" s="128">
        <v>40236</v>
      </c>
      <c r="I997" s="128">
        <v>48273</v>
      </c>
      <c r="J997" s="128">
        <v>63411</v>
      </c>
      <c r="K997" s="128">
        <v>50103</v>
      </c>
      <c r="L997" s="128">
        <v>65019</v>
      </c>
      <c r="M997" s="128">
        <v>29891</v>
      </c>
      <c r="N997" s="128">
        <v>9697</v>
      </c>
      <c r="S997" s="173"/>
      <c r="T997" s="127"/>
      <c r="W997" s="129"/>
      <c r="Y997" s="166"/>
      <c r="Z997" s="166"/>
    </row>
    <row r="998" spans="1:26" s="128" customFormat="1" x14ac:dyDescent="0.25">
      <c r="A998" s="459"/>
      <c r="B998" s="564" t="s">
        <v>1048</v>
      </c>
      <c r="C998" s="173">
        <v>505</v>
      </c>
      <c r="D998" s="128">
        <v>698</v>
      </c>
      <c r="E998" s="128">
        <v>535</v>
      </c>
      <c r="F998" s="128">
        <v>279</v>
      </c>
      <c r="G998" s="128">
        <v>216</v>
      </c>
      <c r="H998" s="128">
        <v>236</v>
      </c>
      <c r="I998" s="128">
        <v>37</v>
      </c>
      <c r="J998" s="128">
        <v>95</v>
      </c>
      <c r="K998" s="128">
        <v>280</v>
      </c>
      <c r="L998" s="128">
        <v>363</v>
      </c>
      <c r="M998" s="128">
        <v>414</v>
      </c>
      <c r="N998" s="128">
        <v>505</v>
      </c>
      <c r="S998" s="173"/>
      <c r="T998" s="127"/>
      <c r="W998" s="129"/>
      <c r="Y998" s="166"/>
      <c r="Z998" s="166"/>
    </row>
    <row r="999" spans="1:26" s="128" customFormat="1" x14ac:dyDescent="0.25">
      <c r="A999" s="459"/>
      <c r="B999" s="564" t="s">
        <v>1049</v>
      </c>
      <c r="C999" s="173">
        <v>78</v>
      </c>
      <c r="D999" s="128">
        <v>42</v>
      </c>
      <c r="E999" s="128">
        <v>46</v>
      </c>
      <c r="F999" s="128">
        <v>75</v>
      </c>
      <c r="G999" s="128">
        <v>92</v>
      </c>
      <c r="H999" s="128">
        <v>52</v>
      </c>
      <c r="I999" s="128">
        <v>178</v>
      </c>
      <c r="J999" s="128">
        <v>154</v>
      </c>
      <c r="K999" s="128">
        <v>97</v>
      </c>
      <c r="L999" s="128">
        <v>76</v>
      </c>
      <c r="M999" s="128">
        <v>71</v>
      </c>
      <c r="N999" s="128">
        <v>48</v>
      </c>
      <c r="S999" s="173"/>
      <c r="T999" s="127"/>
      <c r="W999" s="129"/>
      <c r="Y999" s="166"/>
      <c r="Z999" s="166"/>
    </row>
    <row r="1000" spans="1:26" s="128" customFormat="1" x14ac:dyDescent="0.25">
      <c r="A1000" s="459"/>
      <c r="B1000" s="564"/>
      <c r="C1000" s="173"/>
      <c r="S1000" s="173"/>
      <c r="T1000" s="127"/>
      <c r="W1000" s="129"/>
      <c r="Y1000" s="166"/>
      <c r="Z1000" s="166"/>
    </row>
    <row r="1001" spans="1:26" s="128" customFormat="1" x14ac:dyDescent="0.25">
      <c r="A1001" s="459"/>
      <c r="B1001" s="564" t="s">
        <v>698</v>
      </c>
      <c r="C1001" s="173"/>
      <c r="S1001" s="173"/>
      <c r="T1001" s="127"/>
      <c r="W1001" s="129"/>
      <c r="Y1001" s="166"/>
      <c r="Z1001" s="166"/>
    </row>
    <row r="1002" spans="1:26" s="128" customFormat="1" x14ac:dyDescent="0.25">
      <c r="A1002" s="459"/>
      <c r="B1002" s="564" t="s">
        <v>699</v>
      </c>
      <c r="C1002" s="173">
        <v>8401.7410488173755</v>
      </c>
      <c r="D1002" s="128">
        <v>12529.90668668553</v>
      </c>
      <c r="E1002" s="128">
        <v>11849.016271788991</v>
      </c>
      <c r="F1002" s="128">
        <v>11456.562891881342</v>
      </c>
      <c r="G1002" s="128">
        <v>10031.347099163742</v>
      </c>
      <c r="H1002" s="128">
        <v>9523.9664898157898</v>
      </c>
      <c r="I1002" s="128">
        <v>9300.2149101970117</v>
      </c>
      <c r="J1002" s="128">
        <v>9985.1399953108812</v>
      </c>
      <c r="K1002" s="128">
        <v>9964.1578239929549</v>
      </c>
      <c r="L1002" s="128">
        <v>10537.781348301931</v>
      </c>
      <c r="M1002" s="128">
        <v>8266.2968613269695</v>
      </c>
      <c r="N1002" s="128">
        <v>8054.8817915133068</v>
      </c>
      <c r="S1002" s="173"/>
      <c r="T1002" s="127"/>
      <c r="W1002" s="129"/>
      <c r="Y1002" s="166"/>
      <c r="Z1002" s="166"/>
    </row>
    <row r="1003" spans="1:26" s="128" customFormat="1" x14ac:dyDescent="0.25">
      <c r="A1003" s="459"/>
      <c r="B1003" s="564" t="s">
        <v>700</v>
      </c>
      <c r="C1003" s="173">
        <v>453.63</v>
      </c>
      <c r="D1003" s="128">
        <v>937.81</v>
      </c>
      <c r="E1003" s="128">
        <v>2599.17</v>
      </c>
      <c r="F1003" s="128">
        <v>3030.11</v>
      </c>
      <c r="G1003" s="128">
        <v>3939.7</v>
      </c>
      <c r="H1003" s="128">
        <v>3833.44</v>
      </c>
      <c r="I1003" s="128">
        <v>4287.26</v>
      </c>
      <c r="J1003" s="128">
        <v>4988.7299999999996</v>
      </c>
      <c r="K1003" s="128">
        <v>3377.5</v>
      </c>
      <c r="L1003" s="128">
        <v>3029.09</v>
      </c>
      <c r="M1003" s="128">
        <v>2409.33</v>
      </c>
      <c r="N1003" s="128">
        <v>218.77</v>
      </c>
      <c r="S1003" s="173"/>
      <c r="T1003" s="127"/>
      <c r="W1003" s="129"/>
      <c r="Y1003" s="166"/>
      <c r="Z1003" s="166"/>
    </row>
    <row r="1004" spans="1:26" s="128" customFormat="1" x14ac:dyDescent="0.25">
      <c r="A1004" s="459"/>
      <c r="B1004" s="564" t="s">
        <v>701</v>
      </c>
      <c r="C1004" s="173">
        <v>560.6384028339844</v>
      </c>
      <c r="D1004" s="128">
        <v>3933.7908414501007</v>
      </c>
      <c r="E1004" s="128">
        <v>5424.0026032530641</v>
      </c>
      <c r="F1004" s="128">
        <v>5374.1394801764991</v>
      </c>
      <c r="G1004" s="128">
        <v>4796.4793016126614</v>
      </c>
      <c r="H1004" s="128">
        <v>3448.5671089620678</v>
      </c>
      <c r="I1004" s="128">
        <v>4473.5474934432987</v>
      </c>
      <c r="J1004" s="128">
        <v>5256.8350460122701</v>
      </c>
      <c r="K1004" s="128">
        <v>4116.0391031974423</v>
      </c>
      <c r="L1004" s="128">
        <v>5253.2510279542412</v>
      </c>
      <c r="M1004" s="128">
        <v>2360.1684344205287</v>
      </c>
      <c r="N1004" s="128">
        <v>636.79538652773397</v>
      </c>
      <c r="S1004" s="173"/>
      <c r="T1004" s="127"/>
      <c r="W1004" s="129"/>
      <c r="Y1004" s="166"/>
      <c r="Z1004" s="166"/>
    </row>
    <row r="1005" spans="1:26" s="128" customFormat="1" x14ac:dyDescent="0.25">
      <c r="A1005" s="459"/>
      <c r="B1005" s="564" t="s">
        <v>1050</v>
      </c>
      <c r="C1005" s="173">
        <v>2778.600514037666</v>
      </c>
      <c r="D1005" s="128">
        <v>3778.0623271215004</v>
      </c>
      <c r="E1005" s="128">
        <v>2609.9008307404224</v>
      </c>
      <c r="F1005" s="128">
        <v>1210.3587566429576</v>
      </c>
      <c r="G1005" s="128">
        <v>935.79686596716238</v>
      </c>
      <c r="H1005" s="128">
        <v>1091.4467341265099</v>
      </c>
      <c r="I1005" s="128">
        <v>309.20561588842628</v>
      </c>
      <c r="J1005" s="128">
        <v>553.22582521768959</v>
      </c>
      <c r="K1005" s="128">
        <v>1300.7829315409695</v>
      </c>
      <c r="L1005" s="128">
        <v>1725.4697469665336</v>
      </c>
      <c r="M1005" s="128">
        <v>1950.4152635251223</v>
      </c>
      <c r="N1005" s="128">
        <v>2984.8146668295212</v>
      </c>
      <c r="S1005" s="173"/>
      <c r="T1005" s="127"/>
      <c r="W1005" s="129"/>
      <c r="Y1005" s="166"/>
      <c r="Z1005" s="166"/>
    </row>
    <row r="1006" spans="1:26" s="128" customFormat="1" x14ac:dyDescent="0.25">
      <c r="A1006" s="459"/>
      <c r="B1006" s="564" t="s">
        <v>1051</v>
      </c>
      <c r="C1006" s="173">
        <v>1375.4908468753686</v>
      </c>
      <c r="D1006" s="128">
        <v>798.19778918542727</v>
      </c>
      <c r="E1006" s="128">
        <v>1160.7583347621805</v>
      </c>
      <c r="F1006" s="128">
        <v>1678.951734911119</v>
      </c>
      <c r="G1006" s="128">
        <v>1880.4148438581753</v>
      </c>
      <c r="H1006" s="128">
        <v>1111.0622406122718</v>
      </c>
      <c r="I1006" s="128">
        <v>2404.4323113144046</v>
      </c>
      <c r="J1006" s="128">
        <v>2390.7405171306368</v>
      </c>
      <c r="K1006" s="128">
        <v>2138.395901177847</v>
      </c>
      <c r="L1006" s="128">
        <v>1281.9729901250682</v>
      </c>
      <c r="M1006" s="128">
        <v>1344.3389269182646</v>
      </c>
      <c r="N1006" s="128">
        <v>899.40665562275615</v>
      </c>
      <c r="S1006" s="173"/>
      <c r="T1006" s="127"/>
      <c r="W1006" s="129"/>
      <c r="Y1006" s="166"/>
      <c r="Z1006" s="166"/>
    </row>
    <row r="1007" spans="1:26" s="128" customFormat="1" x14ac:dyDescent="0.25">
      <c r="A1007" s="459"/>
      <c r="B1007" s="564" t="s">
        <v>1348</v>
      </c>
      <c r="C1007" s="173">
        <v>18567.12516423484</v>
      </c>
      <c r="D1007" s="128">
        <v>26118.255583984512</v>
      </c>
      <c r="E1007" s="128">
        <v>26860.467671668626</v>
      </c>
      <c r="F1007" s="128">
        <v>24600.334693313049</v>
      </c>
      <c r="G1007" s="128">
        <v>25576.18581010995</v>
      </c>
      <c r="H1007" s="128">
        <v>24540.063688541595</v>
      </c>
      <c r="I1007" s="128">
        <v>24347.117211811077</v>
      </c>
      <c r="J1007" s="128">
        <v>27235.200608533298</v>
      </c>
      <c r="K1007" s="128">
        <v>25179.612433441667</v>
      </c>
      <c r="L1007" s="128">
        <v>26164.544941566972</v>
      </c>
      <c r="M1007" s="128">
        <v>22749.632307585922</v>
      </c>
      <c r="N1007" s="128">
        <v>17413.045508609364</v>
      </c>
      <c r="O1007" s="128">
        <v>289351.58562340093</v>
      </c>
      <c r="S1007" s="173"/>
      <c r="T1007" s="127"/>
      <c r="W1007" s="129"/>
      <c r="Y1007" s="166"/>
      <c r="Z1007" s="166"/>
    </row>
    <row r="1008" spans="1:26" s="128" customFormat="1" x14ac:dyDescent="0.25">
      <c r="A1008" s="459"/>
      <c r="B1008" s="564" t="s">
        <v>1349</v>
      </c>
      <c r="C1008" s="173"/>
      <c r="S1008" s="173"/>
      <c r="T1008" s="127"/>
      <c r="W1008" s="129"/>
      <c r="Y1008" s="166"/>
      <c r="Z1008" s="166"/>
    </row>
    <row r="1009" spans="1:26" s="128" customFormat="1" x14ac:dyDescent="0.25">
      <c r="A1009" s="459"/>
      <c r="B1009" s="127"/>
      <c r="C1009" s="173"/>
      <c r="S1009" s="173"/>
      <c r="T1009" s="127"/>
      <c r="W1009" s="129"/>
      <c r="Y1009" s="166"/>
      <c r="Z1009" s="166"/>
    </row>
    <row r="1010" spans="1:26" s="1468" customFormat="1" x14ac:dyDescent="0.25">
      <c r="A1010" s="462">
        <v>66</v>
      </c>
      <c r="B1010" s="460" t="s">
        <v>1280</v>
      </c>
      <c r="C1010" s="1467"/>
      <c r="T1010" s="460" t="s">
        <v>1280</v>
      </c>
    </row>
    <row r="1011" spans="1:26" s="1468" customFormat="1" ht="15.75" x14ac:dyDescent="0.25">
      <c r="A1011" s="462"/>
      <c r="B1011" s="472" t="s">
        <v>1417</v>
      </c>
      <c r="C1011" s="1628" t="s">
        <v>1398</v>
      </c>
      <c r="D1011" s="473">
        <v>42217</v>
      </c>
      <c r="E1011" s="473">
        <v>42248</v>
      </c>
      <c r="F1011" s="473">
        <v>42278</v>
      </c>
      <c r="G1011" s="473">
        <v>42309</v>
      </c>
      <c r="H1011" s="473">
        <v>42339</v>
      </c>
      <c r="I1011" s="473">
        <v>42370</v>
      </c>
      <c r="J1011" s="473">
        <v>42401</v>
      </c>
      <c r="K1011" s="473">
        <v>42430</v>
      </c>
      <c r="L1011" s="473">
        <v>42461</v>
      </c>
      <c r="M1011" s="473">
        <v>42491</v>
      </c>
      <c r="N1011" s="473">
        <v>42522</v>
      </c>
      <c r="T1011" s="460"/>
    </row>
    <row r="1012" spans="1:26" s="1468" customFormat="1" ht="15.75" x14ac:dyDescent="0.25">
      <c r="A1012" s="462"/>
      <c r="B1012" s="1100" t="s">
        <v>1418</v>
      </c>
      <c r="C1012" s="1637"/>
      <c r="D1012" s="1100"/>
      <c r="E1012" s="1100"/>
      <c r="F1012" s="1100"/>
      <c r="G1012" s="1100"/>
      <c r="H1012" s="1100"/>
      <c r="I1012" s="1100"/>
      <c r="J1012" s="1100"/>
      <c r="K1012" s="1100"/>
      <c r="L1012" s="1100"/>
      <c r="M1012" s="1100"/>
      <c r="N1012" s="1100"/>
      <c r="T1012" s="460"/>
    </row>
    <row r="1013" spans="1:26" s="1468" customFormat="1" ht="15.75" x14ac:dyDescent="0.25">
      <c r="A1013" s="462"/>
      <c r="B1013" s="1629" t="s">
        <v>1093</v>
      </c>
      <c r="C1013" s="1631">
        <v>237396</v>
      </c>
      <c r="D1013" s="1631">
        <v>296404</v>
      </c>
      <c r="E1013" s="1631">
        <v>292447</v>
      </c>
      <c r="F1013" s="1631">
        <v>298357</v>
      </c>
      <c r="G1013" s="1631">
        <v>271644</v>
      </c>
      <c r="H1013" s="1631">
        <v>220151</v>
      </c>
      <c r="I1013" s="1631">
        <v>256814</v>
      </c>
      <c r="J1013" s="1631">
        <v>261897</v>
      </c>
      <c r="K1013" s="1631">
        <v>277239</v>
      </c>
      <c r="L1013" s="1631">
        <v>283360</v>
      </c>
      <c r="M1013" s="1631">
        <v>213393</v>
      </c>
      <c r="N1013" s="1631">
        <v>272438</v>
      </c>
      <c r="T1013" s="460"/>
    </row>
    <row r="1014" spans="1:26" s="1468" customFormat="1" ht="15.75" x14ac:dyDescent="0.25">
      <c r="A1014" s="462"/>
      <c r="B1014" s="1629" t="s">
        <v>1094</v>
      </c>
      <c r="C1014" s="1631">
        <v>18874</v>
      </c>
      <c r="D1014" s="1631">
        <v>22762</v>
      </c>
      <c r="E1014" s="1631">
        <v>21655</v>
      </c>
      <c r="F1014" s="1631">
        <v>23364</v>
      </c>
      <c r="G1014" s="1631">
        <v>20761</v>
      </c>
      <c r="H1014" s="1631">
        <v>18990</v>
      </c>
      <c r="I1014" s="1631">
        <v>21075</v>
      </c>
      <c r="J1014" s="1631">
        <v>21033</v>
      </c>
      <c r="K1014" s="1631">
        <v>22224</v>
      </c>
      <c r="L1014" s="1631">
        <v>23239</v>
      </c>
      <c r="M1014" s="1631">
        <v>16536</v>
      </c>
      <c r="N1014" s="1631">
        <v>20448</v>
      </c>
      <c r="T1014" s="460"/>
    </row>
    <row r="1015" spans="1:26" s="1468" customFormat="1" ht="15.75" x14ac:dyDescent="0.25">
      <c r="A1015" s="462"/>
      <c r="B1015" s="1629" t="s">
        <v>1095</v>
      </c>
      <c r="C1015" s="1631">
        <v>50338</v>
      </c>
      <c r="D1015" s="1631">
        <v>66741</v>
      </c>
      <c r="E1015" s="1631">
        <v>56423</v>
      </c>
      <c r="F1015" s="1631">
        <v>56965</v>
      </c>
      <c r="G1015" s="1631">
        <v>54886</v>
      </c>
      <c r="H1015" s="1631">
        <v>45534</v>
      </c>
      <c r="I1015" s="1631">
        <v>53343</v>
      </c>
      <c r="J1015" s="1631">
        <v>53336</v>
      </c>
      <c r="K1015" s="1631">
        <v>54115</v>
      </c>
      <c r="L1015" s="1631">
        <v>43778</v>
      </c>
      <c r="M1015" s="1631">
        <v>44685</v>
      </c>
      <c r="N1015" s="1631">
        <v>59490</v>
      </c>
      <c r="T1015" s="460"/>
    </row>
    <row r="1016" spans="1:26" s="1468" customFormat="1" ht="15.75" x14ac:dyDescent="0.25">
      <c r="A1016" s="462"/>
      <c r="B1016" s="1629" t="s">
        <v>323</v>
      </c>
      <c r="C1016" s="1631" t="s">
        <v>1419</v>
      </c>
      <c r="D1016" s="1631" t="s">
        <v>1419</v>
      </c>
      <c r="E1016" s="1631">
        <v>275675.47291666665</v>
      </c>
      <c r="F1016" s="1631">
        <v>188795.41145833305</v>
      </c>
      <c r="G1016" s="1631">
        <v>170295.50937500005</v>
      </c>
      <c r="H1016" s="1631">
        <v>127155.06458333298</v>
      </c>
      <c r="I1016" s="1631">
        <v>122574.7364583327</v>
      </c>
      <c r="J1016" s="1631" t="s">
        <v>1419</v>
      </c>
      <c r="K1016" s="1631" t="s">
        <v>1419</v>
      </c>
      <c r="L1016" s="1631" t="s">
        <v>1419</v>
      </c>
      <c r="M1016" s="1631" t="s">
        <v>1419</v>
      </c>
      <c r="N1016" s="1631" t="s">
        <v>1419</v>
      </c>
      <c r="T1016" s="460"/>
    </row>
    <row r="1017" spans="1:26" s="1468" customFormat="1" ht="15.75" x14ac:dyDescent="0.25">
      <c r="A1017" s="462"/>
      <c r="B1017" s="1629" t="s">
        <v>320</v>
      </c>
      <c r="C1017" s="1631" t="s">
        <v>1410</v>
      </c>
      <c r="D1017" s="1631" t="s">
        <v>1410</v>
      </c>
      <c r="E1017" s="1631" t="s">
        <v>1410</v>
      </c>
      <c r="F1017" s="1631" t="s">
        <v>1410</v>
      </c>
      <c r="G1017" s="1631" t="s">
        <v>1410</v>
      </c>
      <c r="H1017" s="1631" t="s">
        <v>1410</v>
      </c>
      <c r="I1017" s="1631" t="s">
        <v>1410</v>
      </c>
      <c r="J1017" s="1631" t="s">
        <v>1410</v>
      </c>
      <c r="K1017" s="1631" t="s">
        <v>1410</v>
      </c>
      <c r="L1017" s="1631" t="s">
        <v>1410</v>
      </c>
      <c r="M1017" s="1631" t="s">
        <v>1410</v>
      </c>
      <c r="N1017" s="1631" t="s">
        <v>1410</v>
      </c>
      <c r="T1017" s="460"/>
    </row>
    <row r="1018" spans="1:26" s="1468" customFormat="1" ht="15.75" x14ac:dyDescent="0.25">
      <c r="A1018" s="462"/>
      <c r="B1018" s="1629"/>
      <c r="C1018" s="1631"/>
      <c r="D1018" s="1631"/>
      <c r="E1018" s="1631"/>
      <c r="F1018" s="1631"/>
      <c r="G1018" s="1631"/>
      <c r="H1018" s="1631"/>
      <c r="I1018" s="1631"/>
      <c r="J1018" s="1631"/>
      <c r="K1018" s="1631"/>
      <c r="L1018" s="1631"/>
      <c r="M1018" s="1631"/>
      <c r="N1018" s="1631"/>
      <c r="T1018" s="460"/>
    </row>
    <row r="1019" spans="1:26" s="1468" customFormat="1" ht="15.75" x14ac:dyDescent="0.25">
      <c r="A1019" s="462"/>
      <c r="B1019" s="1629" t="s">
        <v>322</v>
      </c>
      <c r="C1019" s="1631">
        <v>312903.36000000004</v>
      </c>
      <c r="D1019" s="1631">
        <v>519515.92000000004</v>
      </c>
      <c r="E1019" s="1631">
        <v>662997.28</v>
      </c>
      <c r="F1019" s="1631">
        <v>636368.48</v>
      </c>
      <c r="G1019" s="1631">
        <v>546099.84000000008</v>
      </c>
      <c r="H1019" s="1631">
        <v>196724</v>
      </c>
      <c r="I1019" s="1631">
        <v>552203.52000000002</v>
      </c>
      <c r="J1019" s="1631">
        <v>589468.88</v>
      </c>
      <c r="K1019" s="1631">
        <v>490186.84</v>
      </c>
      <c r="L1019" s="1631">
        <v>596380.4</v>
      </c>
      <c r="M1019" s="1631">
        <v>108998.56000000001</v>
      </c>
      <c r="N1019" s="1631">
        <v>175450.88</v>
      </c>
      <c r="T1019" s="460"/>
    </row>
    <row r="1020" spans="1:26" s="1468" customFormat="1" ht="15.75" x14ac:dyDescent="0.25">
      <c r="A1020" s="462"/>
      <c r="B1020" s="1632" t="s">
        <v>641</v>
      </c>
      <c r="C1020" s="1631">
        <v>1818</v>
      </c>
      <c r="D1020" s="1631">
        <v>1950</v>
      </c>
      <c r="E1020" s="1631">
        <v>4943</v>
      </c>
      <c r="F1020" s="1631">
        <v>4312</v>
      </c>
      <c r="G1020" s="1631">
        <v>5211</v>
      </c>
      <c r="H1020" s="1631">
        <v>3111</v>
      </c>
      <c r="I1020" s="1631">
        <v>1468</v>
      </c>
      <c r="J1020" s="1631">
        <v>4609</v>
      </c>
      <c r="K1020" s="1631">
        <v>3236</v>
      </c>
      <c r="L1020" s="1631">
        <v>4627</v>
      </c>
      <c r="M1020" s="1631">
        <v>3701</v>
      </c>
      <c r="N1020" s="1631">
        <v>949</v>
      </c>
      <c r="T1020" s="460"/>
    </row>
    <row r="1021" spans="1:26" s="1468" customFormat="1" x14ac:dyDescent="0.25">
      <c r="A1021" s="462"/>
      <c r="B1021" s="441"/>
      <c r="C1021" s="998"/>
      <c r="D1021" s="441"/>
      <c r="E1021" s="441"/>
      <c r="F1021" s="441"/>
      <c r="G1021" s="441"/>
      <c r="H1021" s="441"/>
      <c r="I1021" s="441"/>
      <c r="J1021" s="441"/>
      <c r="K1021" s="441"/>
      <c r="L1021" s="441"/>
      <c r="M1021" s="441"/>
      <c r="N1021" s="441"/>
      <c r="T1021" s="460"/>
    </row>
    <row r="1022" spans="1:26" s="1468" customFormat="1" ht="15.75" x14ac:dyDescent="0.25">
      <c r="A1022" s="462"/>
      <c r="B1022" s="1629" t="s">
        <v>324</v>
      </c>
      <c r="C1022" s="1631">
        <v>16623.525880434783</v>
      </c>
      <c r="D1022" s="1631">
        <v>21067.168446810589</v>
      </c>
      <c r="E1022" s="1631">
        <v>20124.586810718232</v>
      </c>
      <c r="F1022" s="1631">
        <v>18997.433185118345</v>
      </c>
      <c r="G1022" s="1631">
        <v>17296.523091927749</v>
      </c>
      <c r="H1022" s="1631">
        <v>12952.738423664023</v>
      </c>
      <c r="I1022" s="1631">
        <v>15235.571594371744</v>
      </c>
      <c r="J1022" s="1631">
        <v>15466.971127102788</v>
      </c>
      <c r="K1022" s="1631">
        <v>16570.612015466009</v>
      </c>
      <c r="L1022" s="1631">
        <v>16453.474382464297</v>
      </c>
      <c r="M1022" s="1631">
        <v>12697.883162442578</v>
      </c>
      <c r="N1022" s="1631">
        <v>17775.545691310967</v>
      </c>
      <c r="T1022" s="460"/>
    </row>
    <row r="1023" spans="1:26" s="1468" customFormat="1" ht="15.75" x14ac:dyDescent="0.25">
      <c r="A1023" s="462"/>
      <c r="B1023" s="1634" t="s">
        <v>328</v>
      </c>
      <c r="C1023" s="1631">
        <v>2475.8687520000003</v>
      </c>
      <c r="D1023" s="1631">
        <v>4110.704444</v>
      </c>
      <c r="E1023" s="1631">
        <v>5335.8871999999992</v>
      </c>
      <c r="F1023" s="1631">
        <v>5121.5751999999993</v>
      </c>
      <c r="G1023" s="1631">
        <v>4395.0815999999995</v>
      </c>
      <c r="H1023" s="1631">
        <v>1583.2599999999998</v>
      </c>
      <c r="I1023" s="1631">
        <v>4444.2047999999995</v>
      </c>
      <c r="J1023" s="1631">
        <v>4744.1211999999996</v>
      </c>
      <c r="K1023" s="1631">
        <v>3945.0865999999996</v>
      </c>
      <c r="L1023" s="1631">
        <v>4799.7459999999992</v>
      </c>
      <c r="M1023" s="1631">
        <v>877.23439999999994</v>
      </c>
      <c r="N1023" s="1631">
        <v>1412.0511999999999</v>
      </c>
      <c r="T1023" s="460"/>
    </row>
    <row r="1024" spans="1:26" s="1468" customFormat="1" ht="15.75" x14ac:dyDescent="0.25">
      <c r="A1024" s="462"/>
      <c r="B1024" s="1633" t="s">
        <v>733</v>
      </c>
      <c r="C1024" s="1631">
        <v>1386.58</v>
      </c>
      <c r="D1024" s="1631">
        <v>1485.56</v>
      </c>
      <c r="E1024" s="1631">
        <v>3729.55</v>
      </c>
      <c r="F1024" s="1631">
        <v>3256.46</v>
      </c>
      <c r="G1024" s="1631">
        <v>3951.72</v>
      </c>
      <c r="H1024" s="1631">
        <v>2309.6</v>
      </c>
      <c r="I1024" s="1631">
        <v>1090.1600000000001</v>
      </c>
      <c r="J1024" s="1631">
        <v>3320.63</v>
      </c>
      <c r="K1024" s="1631">
        <v>2338.44</v>
      </c>
      <c r="L1024" s="1631">
        <v>3287.62</v>
      </c>
      <c r="M1024" s="1631">
        <v>2730.09</v>
      </c>
      <c r="N1024" s="1631">
        <v>719.08</v>
      </c>
      <c r="T1024" s="460"/>
    </row>
    <row r="1025" spans="1:20" s="1468" customFormat="1" ht="15.75" x14ac:dyDescent="0.25">
      <c r="A1025" s="462"/>
      <c r="B1025" s="1124" t="s">
        <v>1400</v>
      </c>
      <c r="C1025" s="1636"/>
      <c r="D1025" s="1636"/>
      <c r="E1025" s="1636"/>
      <c r="F1025" s="1636"/>
      <c r="G1025" s="1636"/>
      <c r="H1025" s="1636"/>
      <c r="I1025" s="1636"/>
      <c r="J1025" s="1636"/>
      <c r="K1025" s="1636"/>
      <c r="L1025" s="1636"/>
      <c r="M1025" s="1636"/>
      <c r="N1025" s="1636"/>
      <c r="T1025" s="460"/>
    </row>
    <row r="1026" spans="1:20" s="1468" customFormat="1" ht="15.75" x14ac:dyDescent="0.25">
      <c r="A1026" s="462"/>
      <c r="B1026" s="1124" t="s">
        <v>1401</v>
      </c>
      <c r="C1026" s="1636"/>
      <c r="D1026" s="1636"/>
      <c r="E1026" s="1636"/>
      <c r="F1026" s="1636"/>
      <c r="G1026" s="1636"/>
      <c r="H1026" s="1636"/>
      <c r="I1026" s="1636"/>
      <c r="J1026" s="1636"/>
      <c r="K1026" s="1636"/>
      <c r="L1026" s="1636"/>
      <c r="M1026" s="1636"/>
      <c r="N1026" s="1636"/>
      <c r="T1026" s="460"/>
    </row>
    <row r="1027" spans="1:20" s="1468" customFormat="1" ht="15.75" x14ac:dyDescent="0.25">
      <c r="A1027" s="462"/>
      <c r="B1027" s="1124" t="s">
        <v>1402</v>
      </c>
      <c r="C1027" s="1636"/>
      <c r="D1027" s="1636"/>
      <c r="E1027" s="1636"/>
      <c r="F1027" s="1636"/>
      <c r="G1027" s="1636"/>
      <c r="H1027" s="1636"/>
      <c r="I1027" s="1636"/>
      <c r="J1027" s="1636"/>
      <c r="K1027" s="1636"/>
      <c r="L1027" s="1636"/>
      <c r="M1027" s="1636"/>
      <c r="N1027" s="1636"/>
      <c r="T1027" s="460"/>
    </row>
    <row r="1028" spans="1:20" s="1468" customFormat="1" x14ac:dyDescent="0.25">
      <c r="A1028" s="462"/>
      <c r="B1028" s="460"/>
      <c r="C1028" s="1467"/>
      <c r="T1028" s="460"/>
    </row>
    <row r="1029" spans="1:20" s="1468" customFormat="1" x14ac:dyDescent="0.25">
      <c r="A1029" s="462">
        <v>67</v>
      </c>
      <c r="B1029" s="460" t="s">
        <v>1281</v>
      </c>
      <c r="C1029" s="1467"/>
      <c r="T1029" s="460" t="s">
        <v>1281</v>
      </c>
    </row>
    <row r="1030" spans="1:20" s="1468" customFormat="1" x14ac:dyDescent="0.25">
      <c r="A1030" s="462"/>
      <c r="B1030" s="666" t="s">
        <v>1365</v>
      </c>
      <c r="C1030" s="497"/>
      <c r="D1030"/>
      <c r="E1030"/>
      <c r="F1030"/>
      <c r="G1030"/>
      <c r="H1030"/>
      <c r="I1030"/>
      <c r="J1030"/>
      <c r="K1030"/>
      <c r="L1030"/>
      <c r="M1030"/>
      <c r="N1030"/>
      <c r="O1030"/>
      <c r="P1030"/>
      <c r="Q1030"/>
      <c r="R1030"/>
      <c r="T1030" s="460"/>
    </row>
    <row r="1031" spans="1:20" s="1468" customFormat="1" x14ac:dyDescent="0.25">
      <c r="A1031" s="461"/>
      <c r="B1031" s="130" t="s">
        <v>337</v>
      </c>
      <c r="C1031" s="186" t="s">
        <v>1318</v>
      </c>
      <c r="D1031" s="131">
        <v>42186</v>
      </c>
      <c r="E1031" s="131">
        <v>42217</v>
      </c>
      <c r="F1031" s="131">
        <v>42248</v>
      </c>
      <c r="G1031" s="131">
        <v>42278</v>
      </c>
      <c r="H1031" s="131">
        <v>42309</v>
      </c>
      <c r="I1031" s="131">
        <v>42339</v>
      </c>
      <c r="J1031" s="131">
        <v>42370</v>
      </c>
      <c r="K1031" s="131">
        <v>42401</v>
      </c>
      <c r="L1031" s="131">
        <v>42430</v>
      </c>
      <c r="M1031" s="131">
        <v>42461</v>
      </c>
      <c r="N1031" s="131">
        <v>42491</v>
      </c>
      <c r="O1031" s="131">
        <v>42522</v>
      </c>
      <c r="P1031" s="131">
        <v>42552</v>
      </c>
      <c r="Q1031" s="151">
        <v>42583</v>
      </c>
      <c r="R1031" s="131">
        <v>42627</v>
      </c>
      <c r="T1031" s="460"/>
    </row>
    <row r="1032" spans="1:20" s="1468" customFormat="1" ht="39" x14ac:dyDescent="0.25">
      <c r="A1032" s="461"/>
      <c r="B1032" s="1271" t="s">
        <v>1366</v>
      </c>
      <c r="C1032" s="1511"/>
      <c r="D1032" s="1536">
        <v>47920</v>
      </c>
      <c r="E1032" s="1536">
        <v>46518</v>
      </c>
      <c r="F1032" s="1536">
        <v>44399</v>
      </c>
      <c r="G1032" s="1536">
        <v>41897</v>
      </c>
      <c r="H1032" s="1536">
        <v>44113</v>
      </c>
      <c r="I1032" s="1536">
        <v>39258</v>
      </c>
      <c r="J1032" s="1536">
        <v>48881</v>
      </c>
      <c r="K1032" s="1536">
        <v>54626</v>
      </c>
      <c r="L1032" s="1536">
        <v>34601</v>
      </c>
      <c r="M1032" s="1536">
        <v>29667</v>
      </c>
      <c r="N1032" s="1536">
        <v>26960</v>
      </c>
      <c r="O1032" s="1536">
        <v>31878</v>
      </c>
      <c r="P1032" s="1275"/>
      <c r="Q1032" s="174"/>
      <c r="R1032" s="157"/>
      <c r="T1032" s="460"/>
    </row>
    <row r="1033" spans="1:20" s="1468" customFormat="1" ht="39" x14ac:dyDescent="0.25">
      <c r="A1033" s="461"/>
      <c r="B1033" s="1276" t="s">
        <v>1224</v>
      </c>
      <c r="C1033" s="1512"/>
      <c r="D1033" s="1537"/>
      <c r="E1033" s="1538"/>
      <c r="F1033" s="1538"/>
      <c r="G1033" s="1538"/>
      <c r="H1033" s="1538"/>
      <c r="I1033" s="1538"/>
      <c r="J1033" s="1538"/>
      <c r="K1033" s="1538"/>
      <c r="L1033" s="1538"/>
      <c r="M1033" s="1538"/>
      <c r="N1033" s="1538"/>
      <c r="O1033" s="1538"/>
      <c r="P1033" s="1538"/>
      <c r="Q1033" s="174"/>
      <c r="R1033" s="157"/>
      <c r="T1033" s="460"/>
    </row>
    <row r="1034" spans="1:20" s="1468" customFormat="1" ht="39" x14ac:dyDescent="0.25">
      <c r="A1034" s="461"/>
      <c r="B1034" s="1280" t="s">
        <v>1225</v>
      </c>
      <c r="C1034" s="1514"/>
      <c r="D1034" s="1539"/>
      <c r="E1034" s="1283"/>
      <c r="F1034" s="1283"/>
      <c r="G1034" s="1283"/>
      <c r="H1034" s="1283"/>
      <c r="I1034" s="1283"/>
      <c r="J1034" s="1283"/>
      <c r="K1034" s="1283"/>
      <c r="L1034" s="1283"/>
      <c r="M1034" s="1283"/>
      <c r="N1034" s="1283"/>
      <c r="O1034" s="1283"/>
      <c r="P1034" s="1283"/>
      <c r="Q1034" s="178"/>
      <c r="R1034" s="157"/>
      <c r="T1034" s="460"/>
    </row>
    <row r="1035" spans="1:20" s="1468" customFormat="1" ht="51.75" x14ac:dyDescent="0.25">
      <c r="A1035" s="461"/>
      <c r="B1035" s="1284" t="s">
        <v>1226</v>
      </c>
      <c r="C1035" s="1526"/>
      <c r="D1035" s="1527"/>
      <c r="E1035" s="1304"/>
      <c r="F1035" s="1304"/>
      <c r="G1035" s="1304"/>
      <c r="H1035" s="1304"/>
      <c r="I1035" s="1304"/>
      <c r="J1035" s="1304"/>
      <c r="K1035" s="1304"/>
      <c r="L1035" s="1304"/>
      <c r="M1035" s="1304"/>
      <c r="N1035" s="1304"/>
      <c r="O1035" s="1304"/>
      <c r="P1035" s="1304"/>
      <c r="Q1035" s="178"/>
      <c r="R1035" s="157"/>
      <c r="T1035" s="460"/>
    </row>
    <row r="1036" spans="1:20" s="1468" customFormat="1" ht="51.75" x14ac:dyDescent="0.25">
      <c r="A1036" s="461"/>
      <c r="B1036" s="1540" t="s">
        <v>1367</v>
      </c>
      <c r="C1036" s="1541"/>
      <c r="D1036" s="1541">
        <v>33.75</v>
      </c>
      <c r="E1036" s="1541">
        <v>33.75</v>
      </c>
      <c r="F1036" s="1541">
        <v>33.75</v>
      </c>
      <c r="G1036" s="1541">
        <v>33.75</v>
      </c>
      <c r="H1036" s="1541">
        <v>33.75</v>
      </c>
      <c r="I1036" s="1541">
        <v>33.75</v>
      </c>
      <c r="J1036" s="1541">
        <v>33.75</v>
      </c>
      <c r="K1036" s="1541">
        <v>33.75</v>
      </c>
      <c r="L1036" s="1541">
        <v>33.75</v>
      </c>
      <c r="M1036" s="1541">
        <v>33.75</v>
      </c>
      <c r="N1036" s="1541">
        <v>33.75</v>
      </c>
      <c r="O1036" s="1541">
        <v>33.75</v>
      </c>
      <c r="P1036" s="1542"/>
      <c r="Q1036" s="730"/>
      <c r="R1036" s="157"/>
      <c r="T1036" s="460"/>
    </row>
    <row r="1037" spans="1:20" s="1468" customFormat="1" x14ac:dyDescent="0.25">
      <c r="A1037" s="461"/>
      <c r="B1037" s="135" t="s">
        <v>864</v>
      </c>
      <c r="C1037" s="1092"/>
      <c r="D1037" s="1092">
        <v>0.36</v>
      </c>
      <c r="E1037" s="153">
        <v>0.6</v>
      </c>
      <c r="F1037" s="594">
        <v>1.1000000000000001</v>
      </c>
      <c r="G1037" s="594">
        <v>0.8</v>
      </c>
      <c r="H1037" s="594">
        <v>0.9</v>
      </c>
      <c r="I1037" s="594">
        <v>1.05</v>
      </c>
      <c r="J1037" s="594">
        <v>0.76</v>
      </c>
      <c r="K1037" s="594">
        <v>0.5</v>
      </c>
      <c r="L1037" s="594">
        <v>0.8</v>
      </c>
      <c r="M1037" s="594">
        <v>0.68</v>
      </c>
      <c r="N1037" s="594">
        <v>2.12</v>
      </c>
      <c r="O1037" s="594">
        <v>1.9</v>
      </c>
      <c r="P1037" s="1309"/>
      <c r="Q1037" s="730"/>
      <c r="R1037" s="157"/>
      <c r="T1037" s="460"/>
    </row>
    <row r="1038" spans="1:20" s="1468" customFormat="1" ht="39" x14ac:dyDescent="0.25">
      <c r="A1038" s="461"/>
      <c r="B1038" s="1271" t="s">
        <v>1368</v>
      </c>
      <c r="C1038" s="1543"/>
      <c r="D1038" s="1544">
        <v>3837.92</v>
      </c>
      <c r="E1038" s="1544">
        <v>3704.59</v>
      </c>
      <c r="F1038" s="1544">
        <v>3562.8</v>
      </c>
      <c r="G1038" s="1544">
        <v>3704.31</v>
      </c>
      <c r="H1038" s="1544">
        <v>3394.29</v>
      </c>
      <c r="I1038" s="1544">
        <v>4060.68</v>
      </c>
      <c r="J1038" s="1544">
        <v>4435.71</v>
      </c>
      <c r="K1038" s="1544">
        <v>3134.97</v>
      </c>
      <c r="L1038" s="1544">
        <v>2814.49</v>
      </c>
      <c r="M1038" s="1544">
        <v>2638.65</v>
      </c>
      <c r="N1038" s="1544">
        <v>2962.44</v>
      </c>
      <c r="O1038" s="1545">
        <v>2590.4349999999999</v>
      </c>
      <c r="P1038" s="1292"/>
      <c r="Q1038" s="1162"/>
      <c r="R1038" s="157"/>
      <c r="T1038" s="460"/>
    </row>
    <row r="1039" spans="1:20" s="1468" customFormat="1" ht="39" x14ac:dyDescent="0.25">
      <c r="A1039" s="461"/>
      <c r="B1039" s="1293" t="s">
        <v>1228</v>
      </c>
      <c r="C1039" s="1512"/>
      <c r="D1039" s="1546"/>
      <c r="E1039" s="1547"/>
      <c r="F1039" s="1547"/>
      <c r="G1039" s="1547"/>
      <c r="H1039" s="1547"/>
      <c r="I1039" s="1547"/>
      <c r="J1039" s="1547"/>
      <c r="K1039" s="1547"/>
      <c r="L1039" s="1547"/>
      <c r="M1039" s="1547"/>
      <c r="N1039" s="1547"/>
      <c r="O1039" s="1547"/>
      <c r="P1039" s="1530"/>
      <c r="Q1039" s="1162"/>
      <c r="R1039" s="157"/>
      <c r="T1039" s="460"/>
    </row>
    <row r="1040" spans="1:20" s="1468" customFormat="1" ht="39" x14ac:dyDescent="0.25">
      <c r="A1040" s="461"/>
      <c r="B1040" s="1295" t="s">
        <v>1229</v>
      </c>
      <c r="C1040" s="1514"/>
      <c r="D1040" s="1548"/>
      <c r="E1040" s="1549"/>
      <c r="F1040" s="1549"/>
      <c r="G1040" s="1549"/>
      <c r="H1040" s="1549"/>
      <c r="I1040" s="1549"/>
      <c r="J1040" s="1549"/>
      <c r="K1040" s="1549"/>
      <c r="L1040" s="1549"/>
      <c r="M1040" s="1549"/>
      <c r="N1040" s="1549"/>
      <c r="O1040" s="1549"/>
      <c r="P1040" s="1296"/>
      <c r="Q1040" s="1162"/>
      <c r="R1040" s="157"/>
      <c r="T1040" s="460"/>
    </row>
    <row r="1041" spans="1:24" s="1468" customFormat="1" ht="39" x14ac:dyDescent="0.25">
      <c r="A1041" s="461"/>
      <c r="B1041" s="1297" t="s">
        <v>1235</v>
      </c>
      <c r="C1041" s="1526"/>
      <c r="D1041" s="1550"/>
      <c r="E1041" s="1550"/>
      <c r="F1041" s="1550"/>
      <c r="G1041" s="1550"/>
      <c r="H1041" s="1550"/>
      <c r="I1041" s="1550"/>
      <c r="J1041" s="1550"/>
      <c r="K1041" s="1550"/>
      <c r="L1041" s="1550"/>
      <c r="M1041" s="1550"/>
      <c r="N1041" s="1550"/>
      <c r="O1041" s="1550"/>
      <c r="P1041" s="1301"/>
      <c r="Q1041" s="179"/>
      <c r="R1041" s="179"/>
      <c r="T1041" s="460"/>
    </row>
    <row r="1042" spans="1:24" s="1468" customFormat="1" ht="51.75" x14ac:dyDescent="0.25">
      <c r="A1042" s="461"/>
      <c r="B1042" s="1540" t="s">
        <v>1369</v>
      </c>
      <c r="C1042" s="1541"/>
      <c r="D1042" s="1551">
        <f>1.6186*D1036</f>
        <v>54.627749999999999</v>
      </c>
      <c r="E1042" s="1551">
        <f t="shared" ref="E1042:O1042" si="74">1.6186*E1036</f>
        <v>54.627749999999999</v>
      </c>
      <c r="F1042" s="1551">
        <f t="shared" si="74"/>
        <v>54.627749999999999</v>
      </c>
      <c r="G1042" s="1551">
        <f t="shared" si="74"/>
        <v>54.627749999999999</v>
      </c>
      <c r="H1042" s="1551">
        <f t="shared" si="74"/>
        <v>54.627749999999999</v>
      </c>
      <c r="I1042" s="1551">
        <f t="shared" si="74"/>
        <v>54.627749999999999</v>
      </c>
      <c r="J1042" s="1551">
        <f t="shared" si="74"/>
        <v>54.627749999999999</v>
      </c>
      <c r="K1042" s="1551">
        <f t="shared" si="74"/>
        <v>54.627749999999999</v>
      </c>
      <c r="L1042" s="1551">
        <f t="shared" si="74"/>
        <v>54.627749999999999</v>
      </c>
      <c r="M1042" s="1551">
        <f t="shared" si="74"/>
        <v>54.627749999999999</v>
      </c>
      <c r="N1042" s="1551">
        <f t="shared" si="74"/>
        <v>54.627749999999999</v>
      </c>
      <c r="O1042" s="1551">
        <f t="shared" si="74"/>
        <v>54.627749999999999</v>
      </c>
      <c r="P1042" s="1552"/>
      <c r="Q1042" s="179"/>
      <c r="R1042" s="179"/>
      <c r="T1042" s="460"/>
    </row>
    <row r="1043" spans="1:24" s="1468" customFormat="1" x14ac:dyDescent="0.25">
      <c r="A1043"/>
      <c r="B1043" s="153" t="s">
        <v>328</v>
      </c>
      <c r="C1043" s="1489"/>
      <c r="D1043" s="1489">
        <f>123.58/5</f>
        <v>24.716000000000001</v>
      </c>
      <c r="E1043" s="1489">
        <v>28.9</v>
      </c>
      <c r="F1043" s="1489">
        <v>31.45</v>
      </c>
      <c r="G1043" s="1489">
        <v>31.82</v>
      </c>
      <c r="H1043" s="1489">
        <v>35.630000000000003</v>
      </c>
      <c r="I1043" s="1489">
        <v>38.270000000000003</v>
      </c>
      <c r="J1043" s="1489">
        <v>29.27</v>
      </c>
      <c r="K1043" s="1553">
        <v>31.74</v>
      </c>
      <c r="L1043" s="1489">
        <v>28.53</v>
      </c>
      <c r="M1043" s="1489">
        <v>34.520000000000003</v>
      </c>
      <c r="N1043" s="1489">
        <v>37.99</v>
      </c>
      <c r="O1043" s="1489">
        <v>37.340000000000003</v>
      </c>
      <c r="P1043" s="1554"/>
      <c r="Q1043"/>
      <c r="R1043"/>
      <c r="T1043" s="460"/>
    </row>
    <row r="1044" spans="1:24" s="1468" customFormat="1" x14ac:dyDescent="0.25">
      <c r="A1044"/>
      <c r="B1044"/>
      <c r="C1044"/>
      <c r="D1044"/>
      <c r="E1044"/>
      <c r="F1044"/>
      <c r="G1044"/>
      <c r="H1044"/>
      <c r="I1044"/>
      <c r="J1044"/>
      <c r="K1044"/>
      <c r="L1044"/>
      <c r="M1044"/>
      <c r="N1044"/>
      <c r="O1044"/>
      <c r="P1044"/>
      <c r="Q1044"/>
      <c r="R1044"/>
      <c r="T1044" s="460"/>
    </row>
    <row r="1045" spans="1:24" s="1468" customFormat="1" x14ac:dyDescent="0.25">
      <c r="A1045"/>
      <c r="B1045"/>
      <c r="C1045"/>
      <c r="D1045"/>
      <c r="E1045"/>
      <c r="F1045"/>
      <c r="G1045"/>
      <c r="H1045"/>
      <c r="I1045"/>
      <c r="J1045"/>
      <c r="K1045"/>
      <c r="L1045"/>
      <c r="M1045"/>
      <c r="N1045"/>
      <c r="O1045"/>
      <c r="P1045"/>
      <c r="Q1045"/>
      <c r="R1045"/>
      <c r="T1045" s="460"/>
    </row>
    <row r="1046" spans="1:24" s="1468" customFormat="1" x14ac:dyDescent="0.25">
      <c r="A1046"/>
      <c r="B1046" s="125" t="s">
        <v>1370</v>
      </c>
      <c r="C1046"/>
      <c r="D1046"/>
      <c r="E1046"/>
      <c r="F1046"/>
      <c r="G1046"/>
      <c r="H1046"/>
      <c r="I1046"/>
      <c r="J1046"/>
      <c r="K1046"/>
      <c r="L1046"/>
      <c r="M1046"/>
      <c r="N1046"/>
      <c r="O1046"/>
      <c r="P1046"/>
      <c r="Q1046"/>
      <c r="R1046"/>
      <c r="T1046" s="460"/>
    </row>
    <row r="1047" spans="1:24" s="125" customFormat="1" x14ac:dyDescent="0.25">
      <c r="A1047" s="461"/>
      <c r="B1047" s="1469"/>
      <c r="C1047" s="152"/>
      <c r="E1047" s="1470"/>
      <c r="F1047" s="1471"/>
      <c r="G1047" s="1472"/>
      <c r="H1047" s="1473"/>
      <c r="I1047" s="1473"/>
      <c r="J1047" s="1473"/>
      <c r="K1047" s="1473"/>
      <c r="L1047" s="1473"/>
      <c r="M1047" s="1473"/>
      <c r="N1047" s="1473"/>
      <c r="O1047" s="1473"/>
      <c r="P1047" s="1473"/>
      <c r="U1047" s="126"/>
      <c r="W1047" s="443"/>
      <c r="X1047" s="458"/>
    </row>
    <row r="1048" spans="1:24" s="1468" customFormat="1" x14ac:dyDescent="0.25">
      <c r="A1048" s="462">
        <v>68</v>
      </c>
      <c r="B1048" s="460" t="s">
        <v>1282</v>
      </c>
      <c r="C1048" s="1467"/>
      <c r="T1048" s="460" t="s">
        <v>1282</v>
      </c>
    </row>
    <row r="1049" spans="1:24" s="1468" customFormat="1" x14ac:dyDescent="0.25">
      <c r="A1049" s="462"/>
      <c r="B1049" s="460"/>
      <c r="C1049" s="1467"/>
    </row>
    <row r="1050" spans="1:24" s="1468" customFormat="1" x14ac:dyDescent="0.25">
      <c r="A1050" s="462">
        <v>69</v>
      </c>
      <c r="B1050" s="460" t="s">
        <v>1283</v>
      </c>
      <c r="C1050" s="1467"/>
      <c r="T1050" s="460" t="s">
        <v>1283</v>
      </c>
    </row>
    <row r="1051" spans="1:24" s="1468" customFormat="1" x14ac:dyDescent="0.25">
      <c r="A1051" s="462"/>
      <c r="B1051" s="460"/>
      <c r="C1051" s="1467"/>
    </row>
    <row r="1052" spans="1:24" s="1468" customFormat="1" x14ac:dyDescent="0.25">
      <c r="A1052" s="462">
        <v>70</v>
      </c>
      <c r="B1052" s="460" t="s">
        <v>1284</v>
      </c>
      <c r="C1052" s="1467"/>
      <c r="T1052" s="460" t="s">
        <v>1284</v>
      </c>
    </row>
    <row r="1053" spans="1:24" s="1468" customFormat="1" x14ac:dyDescent="0.25">
      <c r="A1053" s="462"/>
      <c r="B1053" s="460"/>
      <c r="C1053" s="1467"/>
    </row>
    <row r="1054" spans="1:24" s="1468" customFormat="1" x14ac:dyDescent="0.25">
      <c r="A1054" s="462">
        <v>71</v>
      </c>
      <c r="B1054" s="460" t="s">
        <v>1285</v>
      </c>
      <c r="C1054" s="1467"/>
      <c r="T1054" s="460" t="s">
        <v>1285</v>
      </c>
    </row>
    <row r="1055" spans="1:24" s="1468" customFormat="1" x14ac:dyDescent="0.25">
      <c r="A1055" s="462"/>
      <c r="B1055" s="712" t="s">
        <v>1427</v>
      </c>
      <c r="C1055" s="1646"/>
      <c r="D1055" s="1183"/>
      <c r="E1055" s="1183"/>
      <c r="F1055" s="1183"/>
      <c r="G1055" s="1183"/>
      <c r="H1055" s="1183"/>
      <c r="I1055" s="1183"/>
      <c r="J1055" s="1183"/>
      <c r="K1055" s="713"/>
      <c r="L1055" s="713"/>
      <c r="M1055" s="713"/>
      <c r="N1055" s="713"/>
      <c r="O1055" s="713"/>
      <c r="P1055" s="714"/>
      <c r="Q1055" s="715"/>
      <c r="R1055" s="716"/>
      <c r="S1055" s="1211"/>
      <c r="T1055" s="1647"/>
      <c r="U1055" s="1150"/>
    </row>
    <row r="1056" spans="1:24" s="1468" customFormat="1" x14ac:dyDescent="0.25">
      <c r="A1056" s="462"/>
      <c r="B1056" s="717" t="s">
        <v>337</v>
      </c>
      <c r="C1056" s="1648"/>
      <c r="D1056" s="719">
        <v>42217</v>
      </c>
      <c r="E1056" s="719">
        <v>42248</v>
      </c>
      <c r="F1056" s="719">
        <v>42278</v>
      </c>
      <c r="G1056" s="719">
        <v>42309</v>
      </c>
      <c r="H1056" s="719">
        <v>42339</v>
      </c>
      <c r="I1056" s="719">
        <v>42370</v>
      </c>
      <c r="J1056" s="719">
        <v>42401</v>
      </c>
      <c r="K1056" s="719">
        <v>42430</v>
      </c>
      <c r="L1056" s="719">
        <v>42461</v>
      </c>
      <c r="M1056" s="719">
        <v>42491</v>
      </c>
      <c r="N1056" s="719">
        <v>42522</v>
      </c>
      <c r="O1056" s="719">
        <v>42552</v>
      </c>
      <c r="P1056" s="735"/>
      <c r="Q1056" s="720" t="s">
        <v>338</v>
      </c>
      <c r="R1056" s="721" t="s">
        <v>339</v>
      </c>
      <c r="S1056" s="1222"/>
      <c r="T1056" s="720" t="s">
        <v>338</v>
      </c>
      <c r="U1056" s="721" t="s">
        <v>339</v>
      </c>
    </row>
    <row r="1057" spans="1:21" s="1468" customFormat="1" x14ac:dyDescent="0.25">
      <c r="A1057" s="462"/>
      <c r="B1057" s="722" t="s">
        <v>360</v>
      </c>
      <c r="C1057" s="730"/>
      <c r="D1057" s="454">
        <v>388256.66080729669</v>
      </c>
      <c r="E1057" s="454">
        <v>401822.68254206231</v>
      </c>
      <c r="F1057" s="454">
        <v>401297.66842858162</v>
      </c>
      <c r="G1057" s="454">
        <v>373326.61965435604</v>
      </c>
      <c r="H1057" s="454">
        <v>344497.62498263887</v>
      </c>
      <c r="I1057" s="454">
        <v>368648.90137553419</v>
      </c>
      <c r="J1057" s="454">
        <v>368706.30119570624</v>
      </c>
      <c r="K1057" s="454">
        <v>377279.10329433496</v>
      </c>
      <c r="L1057" s="454">
        <v>398226.43415178574</v>
      </c>
      <c r="M1057" s="454">
        <v>344496.56897321431</v>
      </c>
      <c r="N1057" s="454">
        <v>337694.25133928569</v>
      </c>
      <c r="O1057" s="454">
        <v>346360.3196824597</v>
      </c>
      <c r="P1057" s="1171"/>
      <c r="Q1057" s="724">
        <f t="shared" ref="Q1057:Q1066" si="75">SUM(D1057:O1057)</f>
        <v>4450613.1364272563</v>
      </c>
      <c r="R1057" s="1145" t="s">
        <v>361</v>
      </c>
      <c r="S1057" s="1211"/>
      <c r="T1057" s="734">
        <f>Q1057*0.003409512</f>
        <v>15174.418896006368</v>
      </c>
      <c r="U1057" s="1145" t="s">
        <v>342</v>
      </c>
    </row>
    <row r="1058" spans="1:21" s="1468" customFormat="1" x14ac:dyDescent="0.25">
      <c r="A1058" s="462"/>
      <c r="B1058" s="722" t="s">
        <v>362</v>
      </c>
      <c r="C1058" s="730"/>
      <c r="D1058" s="454">
        <v>2989.47</v>
      </c>
      <c r="E1058" s="454">
        <v>2818.7938125000001</v>
      </c>
      <c r="F1058" s="454">
        <v>984.34468749999996</v>
      </c>
      <c r="G1058" s="454">
        <v>1134.2844375</v>
      </c>
      <c r="H1058" s="454">
        <v>1098.026875</v>
      </c>
      <c r="I1058" s="454">
        <v>420.6158125</v>
      </c>
      <c r="J1058" s="454">
        <v>312.22643749999997</v>
      </c>
      <c r="K1058" s="454">
        <v>565.59718750000002</v>
      </c>
      <c r="L1058" s="454">
        <v>704.34024999999997</v>
      </c>
      <c r="M1058" s="454">
        <v>746.4358749999999</v>
      </c>
      <c r="N1058" s="454">
        <v>2103.3341250000003</v>
      </c>
      <c r="O1058" s="454">
        <v>3060.2535000000003</v>
      </c>
      <c r="P1058" s="1171"/>
      <c r="Q1058" s="724">
        <f t="shared" si="75"/>
        <v>16937.722999999994</v>
      </c>
      <c r="R1058" s="1145" t="s">
        <v>363</v>
      </c>
      <c r="S1058" s="1211"/>
      <c r="T1058" s="1649">
        <f>Q1058</f>
        <v>16937.722999999994</v>
      </c>
      <c r="U1058" s="1145" t="s">
        <v>342</v>
      </c>
    </row>
    <row r="1059" spans="1:21" s="1468" customFormat="1" x14ac:dyDescent="0.25">
      <c r="A1059" s="462"/>
      <c r="B1059" s="722" t="s">
        <v>364</v>
      </c>
      <c r="C1059" s="730"/>
      <c r="D1059" s="454">
        <v>495.7705078125</v>
      </c>
      <c r="E1059" s="454">
        <v>589.2001953125</v>
      </c>
      <c r="F1059" s="454">
        <v>940.5302734375</v>
      </c>
      <c r="G1059" s="454">
        <v>1062.16015625</v>
      </c>
      <c r="H1059" s="454">
        <v>1047.5390625</v>
      </c>
      <c r="I1059" s="454">
        <v>1897.791015625</v>
      </c>
      <c r="J1059" s="454">
        <v>1572.4190735594375</v>
      </c>
      <c r="K1059" s="454">
        <v>1016.0754783442983</v>
      </c>
      <c r="L1059" s="454">
        <v>955.70538589015155</v>
      </c>
      <c r="M1059" s="454">
        <v>605.16015625</v>
      </c>
      <c r="N1059" s="454">
        <v>462.359375</v>
      </c>
      <c r="O1059" s="454">
        <v>385.10546875</v>
      </c>
      <c r="P1059" s="1171"/>
      <c r="Q1059" s="724">
        <f t="shared" si="75"/>
        <v>11029.816148731386</v>
      </c>
      <c r="R1059" s="1146" t="s">
        <v>365</v>
      </c>
      <c r="S1059" s="1211"/>
      <c r="T1059" s="756">
        <f>Q1059</f>
        <v>11029.816148731386</v>
      </c>
      <c r="U1059" s="1145" t="s">
        <v>342</v>
      </c>
    </row>
    <row r="1060" spans="1:21" s="1468" customFormat="1" x14ac:dyDescent="0.25">
      <c r="A1060" s="462"/>
      <c r="B1060" s="728" t="s">
        <v>864</v>
      </c>
      <c r="C1060" s="730"/>
      <c r="D1060" s="1170">
        <v>595.28342245989302</v>
      </c>
      <c r="E1060" s="1170">
        <v>713.02803308823525</v>
      </c>
      <c r="F1060" s="1170">
        <v>726.20187165775405</v>
      </c>
      <c r="G1060" s="1170">
        <v>698.27139037433153</v>
      </c>
      <c r="H1060" s="1170">
        <v>426.4317764037433</v>
      </c>
      <c r="I1060" s="1170">
        <v>615.84224598930484</v>
      </c>
      <c r="J1060" s="1170">
        <v>705.97593582887703</v>
      </c>
      <c r="K1060" s="1170">
        <v>656.95721925133694</v>
      </c>
      <c r="L1060" s="1170">
        <v>816.87299465240642</v>
      </c>
      <c r="M1060" s="1170">
        <v>395.69117647058823</v>
      </c>
      <c r="N1060" s="1170">
        <v>357.40491310160428</v>
      </c>
      <c r="O1060" s="1170">
        <v>422.05347593582889</v>
      </c>
      <c r="P1060" s="1171"/>
      <c r="Q1060" s="724">
        <f t="shared" si="75"/>
        <v>7130.0144552139036</v>
      </c>
      <c r="R1060" s="1146" t="s">
        <v>379</v>
      </c>
      <c r="S1060" s="1211"/>
      <c r="T1060" s="756">
        <f>Q1060*748</f>
        <v>5333250.8125</v>
      </c>
      <c r="U1060" s="1146" t="s">
        <v>346</v>
      </c>
    </row>
    <row r="1061" spans="1:21" s="1468" customFormat="1" x14ac:dyDescent="0.25">
      <c r="A1061" s="462"/>
      <c r="B1061" s="728" t="s">
        <v>1130</v>
      </c>
      <c r="C1061" s="730"/>
      <c r="D1061" s="759">
        <v>2568</v>
      </c>
      <c r="E1061" s="760">
        <v>3948</v>
      </c>
      <c r="F1061" s="760">
        <v>3553</v>
      </c>
      <c r="G1061" s="760">
        <v>3645</v>
      </c>
      <c r="H1061" s="760">
        <v>2396</v>
      </c>
      <c r="I1061" s="760">
        <v>3635</v>
      </c>
      <c r="J1061" s="750">
        <v>3761</v>
      </c>
      <c r="K1061" s="750">
        <v>3131</v>
      </c>
      <c r="L1061" s="750">
        <v>3758</v>
      </c>
      <c r="M1061" s="750">
        <v>1767</v>
      </c>
      <c r="N1061" s="750">
        <v>1580</v>
      </c>
      <c r="O1061" s="750">
        <v>2029</v>
      </c>
      <c r="P1061" s="1191"/>
      <c r="Q1061" s="724">
        <f t="shared" si="75"/>
        <v>35771</v>
      </c>
      <c r="R1061" s="1146" t="s">
        <v>1131</v>
      </c>
      <c r="S1061" s="1211"/>
      <c r="T1061" s="756">
        <f>Q1061</f>
        <v>35771</v>
      </c>
      <c r="U1061" s="1146" t="s">
        <v>1131</v>
      </c>
    </row>
    <row r="1062" spans="1:21" s="1468" customFormat="1" x14ac:dyDescent="0.25">
      <c r="A1062" s="462"/>
      <c r="B1062" s="722" t="s">
        <v>368</v>
      </c>
      <c r="C1062" s="730"/>
      <c r="D1062" s="1208">
        <f>D1057*0.086</f>
        <v>33390.07282942751</v>
      </c>
      <c r="E1062" s="1208">
        <f t="shared" ref="E1062:N1062" si="76">E1057*0.086</f>
        <v>34556.750698617354</v>
      </c>
      <c r="F1062" s="1208">
        <f t="shared" si="76"/>
        <v>34511.599484858016</v>
      </c>
      <c r="G1062" s="1208">
        <f t="shared" si="76"/>
        <v>32106.089290274616</v>
      </c>
      <c r="H1062" s="1208">
        <f t="shared" si="76"/>
        <v>29626.795748506942</v>
      </c>
      <c r="I1062" s="1208">
        <f t="shared" si="76"/>
        <v>31703.805518295936</v>
      </c>
      <c r="J1062" s="1208">
        <f t="shared" si="76"/>
        <v>31708.741902830734</v>
      </c>
      <c r="K1062" s="1208">
        <f t="shared" si="76"/>
        <v>32446.002883312805</v>
      </c>
      <c r="L1062" s="1208">
        <f t="shared" si="76"/>
        <v>34247.473337053569</v>
      </c>
      <c r="M1062" s="1208">
        <f t="shared" si="76"/>
        <v>29626.704931696429</v>
      </c>
      <c r="N1062" s="1208">
        <f t="shared" si="76"/>
        <v>29041.705615178565</v>
      </c>
      <c r="O1062" s="1208">
        <f>O1057*0.087</f>
        <v>30133.347812373991</v>
      </c>
      <c r="P1062" s="745"/>
      <c r="Q1062" s="724">
        <f t="shared" si="75"/>
        <v>383099.09005242644</v>
      </c>
      <c r="R1062" s="1145" t="s">
        <v>865</v>
      </c>
      <c r="S1062" s="1211"/>
      <c r="T1062" s="1651"/>
      <c r="U1062" s="1652"/>
    </row>
    <row r="1063" spans="1:21" s="1468" customFormat="1" x14ac:dyDescent="0.25">
      <c r="A1063" s="462"/>
      <c r="B1063" s="722" t="s">
        <v>369</v>
      </c>
      <c r="C1063" s="730"/>
      <c r="D1063" s="1208">
        <f>D1058*13.97</f>
        <v>41762.895899999996</v>
      </c>
      <c r="E1063" s="1208">
        <f t="shared" ref="E1063:N1063" si="77">E1058*13.97</f>
        <v>39378.549560625004</v>
      </c>
      <c r="F1063" s="1208">
        <f t="shared" si="77"/>
        <v>13751.295284375001</v>
      </c>
      <c r="G1063" s="1208">
        <f t="shared" si="77"/>
        <v>15845.953591875001</v>
      </c>
      <c r="H1063" s="1208">
        <f t="shared" si="77"/>
        <v>15339.435443750001</v>
      </c>
      <c r="I1063" s="1208">
        <f t="shared" si="77"/>
        <v>5876.0029006250006</v>
      </c>
      <c r="J1063" s="1208">
        <f t="shared" si="77"/>
        <v>4361.8033318749995</v>
      </c>
      <c r="K1063" s="1208">
        <f t="shared" si="77"/>
        <v>7901.3927093750008</v>
      </c>
      <c r="L1063" s="1208">
        <f t="shared" si="77"/>
        <v>9839.6332925000006</v>
      </c>
      <c r="M1063" s="1208">
        <f t="shared" si="77"/>
        <v>10427.70917375</v>
      </c>
      <c r="N1063" s="1208">
        <f t="shared" si="77"/>
        <v>29383.577726250005</v>
      </c>
      <c r="O1063" s="1208">
        <f>O1058*12.95</f>
        <v>39630.282825000002</v>
      </c>
      <c r="P1063" s="745"/>
      <c r="Q1063" s="724">
        <f t="shared" si="75"/>
        <v>233498.53174000001</v>
      </c>
      <c r="R1063" s="1145" t="s">
        <v>865</v>
      </c>
      <c r="S1063" s="1211"/>
      <c r="T1063" s="1647"/>
      <c r="U1063" s="1150"/>
    </row>
    <row r="1064" spans="1:21" s="1468" customFormat="1" ht="16.5" x14ac:dyDescent="0.35">
      <c r="A1064" s="462"/>
      <c r="B1064" s="722" t="s">
        <v>326</v>
      </c>
      <c r="C1064" s="730"/>
      <c r="D1064" s="1208">
        <f>D1059*13.39</f>
        <v>6638.3670996093751</v>
      </c>
      <c r="E1064" s="1208">
        <f t="shared" ref="E1064:N1064" si="78">E1059*13.39</f>
        <v>7889.3906152343752</v>
      </c>
      <c r="F1064" s="1208">
        <f t="shared" si="78"/>
        <v>12593.700361328125</v>
      </c>
      <c r="G1064" s="1208">
        <f t="shared" si="78"/>
        <v>14222.324492187501</v>
      </c>
      <c r="H1064" s="1208">
        <f t="shared" si="78"/>
        <v>14026.548046875001</v>
      </c>
      <c r="I1064" s="1208">
        <f t="shared" si="78"/>
        <v>25411.42169921875</v>
      </c>
      <c r="J1064" s="1208">
        <f t="shared" si="78"/>
        <v>21054.691394960868</v>
      </c>
      <c r="K1064" s="1208">
        <f t="shared" si="78"/>
        <v>13605.250655030155</v>
      </c>
      <c r="L1064" s="1208">
        <f t="shared" si="78"/>
        <v>12796.895117069129</v>
      </c>
      <c r="M1064" s="1208">
        <f t="shared" si="78"/>
        <v>8103.0944921875007</v>
      </c>
      <c r="N1064" s="1208">
        <f t="shared" si="78"/>
        <v>6190.9920312499999</v>
      </c>
      <c r="O1064" s="1208">
        <f>O1059*12.02</f>
        <v>4628.967734375</v>
      </c>
      <c r="P1064" s="745"/>
      <c r="Q1064" s="724">
        <f t="shared" si="75"/>
        <v>147161.64373932578</v>
      </c>
      <c r="R1064" s="1145" t="s">
        <v>865</v>
      </c>
      <c r="S1064" s="1211"/>
      <c r="T1064" s="1653"/>
      <c r="U1064" s="1150"/>
    </row>
    <row r="1065" spans="1:21" s="1468" customFormat="1" ht="16.5" x14ac:dyDescent="0.35">
      <c r="A1065" s="462"/>
      <c r="B1065" s="732" t="s">
        <v>325</v>
      </c>
      <c r="C1065" s="714"/>
      <c r="D1065" s="1147">
        <f>D1060*9.2</f>
        <v>5476.6074866310155</v>
      </c>
      <c r="E1065" s="1147">
        <f t="shared" ref="E1065:N1065" si="79">E1060*9.2</f>
        <v>6559.8579044117641</v>
      </c>
      <c r="F1065" s="1147">
        <f t="shared" si="79"/>
        <v>6681.0572192513364</v>
      </c>
      <c r="G1065" s="1147">
        <f t="shared" si="79"/>
        <v>6424.0967914438497</v>
      </c>
      <c r="H1065" s="1147">
        <f t="shared" si="79"/>
        <v>3923.1723429144381</v>
      </c>
      <c r="I1065" s="1147">
        <f t="shared" si="79"/>
        <v>5665.7486631016045</v>
      </c>
      <c r="J1065" s="1147">
        <f t="shared" si="79"/>
        <v>6494.9786096256685</v>
      </c>
      <c r="K1065" s="1147">
        <f t="shared" si="79"/>
        <v>6044.0064171122995</v>
      </c>
      <c r="L1065" s="1147">
        <f t="shared" si="79"/>
        <v>7515.2315508021384</v>
      </c>
      <c r="M1065" s="1147">
        <f t="shared" si="79"/>
        <v>3640.3588235294114</v>
      </c>
      <c r="N1065" s="1147">
        <f t="shared" si="79"/>
        <v>3288.1252005347592</v>
      </c>
      <c r="O1065" s="1147">
        <f>O1060*9.33</f>
        <v>3937.7589304812836</v>
      </c>
      <c r="P1065" s="1148"/>
      <c r="Q1065" s="724">
        <f t="shared" si="75"/>
        <v>65650.999939839559</v>
      </c>
      <c r="R1065" s="1145" t="s">
        <v>865</v>
      </c>
      <c r="S1065" s="1211"/>
      <c r="T1065" s="1653"/>
      <c r="U1065" s="1150"/>
    </row>
    <row r="1066" spans="1:21" s="1468" customFormat="1" x14ac:dyDescent="0.25">
      <c r="A1066" s="462"/>
      <c r="B1066" s="732" t="s">
        <v>829</v>
      </c>
      <c r="C1066" s="714"/>
      <c r="D1066" s="775">
        <v>1844.29</v>
      </c>
      <c r="E1066" s="775">
        <v>2807.19</v>
      </c>
      <c r="F1066" s="775">
        <v>2513.7800000000002</v>
      </c>
      <c r="G1066" s="775">
        <v>2394.85</v>
      </c>
      <c r="H1066" s="775">
        <v>1576.31</v>
      </c>
      <c r="I1066" s="1147">
        <v>2136.7800000000002</v>
      </c>
      <c r="J1066" s="1147">
        <v>2270.12</v>
      </c>
      <c r="K1066" s="1147">
        <v>1909.88</v>
      </c>
      <c r="L1066" s="1147">
        <v>2378.54</v>
      </c>
      <c r="M1066" s="1147">
        <v>1145.4100000000001</v>
      </c>
      <c r="N1066" s="1147">
        <v>1029.5999999999999</v>
      </c>
      <c r="O1066" s="1147">
        <v>1307.68</v>
      </c>
      <c r="P1066" s="1148"/>
      <c r="Q1066" s="724">
        <f t="shared" si="75"/>
        <v>23314.43</v>
      </c>
      <c r="R1066" s="1145" t="s">
        <v>865</v>
      </c>
      <c r="S1066" s="1211"/>
      <c r="T1066" s="1647"/>
      <c r="U1066" s="1150"/>
    </row>
    <row r="1067" spans="1:21" s="1468" customFormat="1" x14ac:dyDescent="0.25">
      <c r="A1067" s="462"/>
      <c r="B1067" s="460"/>
      <c r="C1067" s="1467"/>
      <c r="T1067" s="460"/>
    </row>
    <row r="1068" spans="1:21" s="1468" customFormat="1" x14ac:dyDescent="0.25">
      <c r="A1068" s="462">
        <v>72</v>
      </c>
      <c r="B1068" s="460" t="s">
        <v>1286</v>
      </c>
      <c r="C1068" s="1467"/>
      <c r="T1068" s="460" t="s">
        <v>1286</v>
      </c>
    </row>
    <row r="1069" spans="1:21" s="1468" customFormat="1" x14ac:dyDescent="0.25">
      <c r="A1069" s="462"/>
      <c r="B1069" s="1679" t="s">
        <v>1429</v>
      </c>
      <c r="C1069" s="1680"/>
      <c r="D1069" s="996"/>
      <c r="E1069" s="996"/>
      <c r="F1069" s="996"/>
      <c r="G1069" s="996"/>
      <c r="H1069" s="996"/>
      <c r="I1069" s="996"/>
      <c r="J1069"/>
      <c r="K1069"/>
      <c r="L1069"/>
      <c r="M1069"/>
      <c r="N1069"/>
      <c r="O1069"/>
      <c r="P1069"/>
      <c r="Q1069"/>
      <c r="R1069"/>
      <c r="T1069" s="460"/>
    </row>
    <row r="1070" spans="1:21" s="1468" customFormat="1" x14ac:dyDescent="0.25">
      <c r="A1070" s="462"/>
      <c r="B1070" s="130" t="s">
        <v>337</v>
      </c>
      <c r="C1070" s="186" t="s">
        <v>1318</v>
      </c>
      <c r="D1070" s="131">
        <v>42186</v>
      </c>
      <c r="E1070" s="131">
        <v>42217</v>
      </c>
      <c r="F1070" s="131">
        <v>42248</v>
      </c>
      <c r="G1070" s="131">
        <v>42278</v>
      </c>
      <c r="H1070" s="131">
        <v>42309</v>
      </c>
      <c r="I1070" s="131">
        <v>42339</v>
      </c>
      <c r="J1070" s="131">
        <v>42370</v>
      </c>
      <c r="K1070" s="131">
        <v>42401</v>
      </c>
      <c r="L1070" s="131">
        <v>42430</v>
      </c>
      <c r="M1070" s="131">
        <v>42461</v>
      </c>
      <c r="N1070" s="131">
        <v>42491</v>
      </c>
      <c r="O1070" s="131">
        <v>42522</v>
      </c>
      <c r="P1070" s="131">
        <v>42552</v>
      </c>
      <c r="Q1070" s="151">
        <v>42583</v>
      </c>
      <c r="R1070" s="131">
        <v>42627</v>
      </c>
      <c r="T1070" s="460"/>
    </row>
    <row r="1071" spans="1:21" s="1468" customFormat="1" x14ac:dyDescent="0.25">
      <c r="A1071" s="462"/>
      <c r="B1071" s="135" t="s">
        <v>319</v>
      </c>
      <c r="C1071" s="1092"/>
      <c r="D1071" s="153" t="s">
        <v>38</v>
      </c>
      <c r="E1071" s="153">
        <v>68480</v>
      </c>
      <c r="F1071" s="153">
        <v>102000</v>
      </c>
      <c r="G1071" s="136">
        <v>85760</v>
      </c>
      <c r="H1071" s="136">
        <v>62880</v>
      </c>
      <c r="I1071" s="136">
        <v>62400</v>
      </c>
      <c r="J1071" s="136">
        <v>66240</v>
      </c>
      <c r="K1071" s="136">
        <v>46000</v>
      </c>
      <c r="L1071" s="136">
        <v>60080</v>
      </c>
      <c r="M1071" s="136">
        <v>59840</v>
      </c>
      <c r="N1071" s="136">
        <v>82000</v>
      </c>
      <c r="O1071" s="136">
        <v>89840</v>
      </c>
      <c r="P1071" s="136"/>
      <c r="Q1071" s="136"/>
      <c r="R1071" s="153"/>
      <c r="T1071" s="460"/>
    </row>
    <row r="1072" spans="1:21" s="1468" customFormat="1" x14ac:dyDescent="0.25">
      <c r="A1072" s="462"/>
      <c r="B1072" s="135" t="s">
        <v>343</v>
      </c>
      <c r="C1072" s="1092"/>
      <c r="D1072" s="153"/>
      <c r="E1072" s="153"/>
      <c r="F1072" s="137"/>
      <c r="G1072" s="137"/>
      <c r="H1072" s="137"/>
      <c r="I1072" s="136"/>
      <c r="J1072" s="136"/>
      <c r="K1072" s="136"/>
      <c r="L1072" s="136"/>
      <c r="M1072" s="136"/>
      <c r="N1072" s="136"/>
      <c r="O1072" s="136"/>
      <c r="P1072" s="136"/>
      <c r="Q1072" s="136"/>
      <c r="R1072" s="153"/>
      <c r="T1072" s="460"/>
    </row>
    <row r="1073" spans="1:26" s="1468" customFormat="1" x14ac:dyDescent="0.25">
      <c r="A1073" s="462"/>
      <c r="B1073" s="153" t="s">
        <v>362</v>
      </c>
      <c r="C1073" s="1092"/>
      <c r="D1073" s="153"/>
      <c r="E1073" s="153"/>
      <c r="F1073" s="141"/>
      <c r="G1073" s="141"/>
      <c r="H1073" s="141"/>
      <c r="I1073" s="141"/>
      <c r="J1073" s="141"/>
      <c r="K1073" s="141"/>
      <c r="L1073" s="141"/>
      <c r="M1073" s="141"/>
      <c r="N1073" s="141"/>
      <c r="O1073" s="141"/>
      <c r="P1073" s="141"/>
      <c r="Q1073" s="141"/>
      <c r="R1073" s="153"/>
      <c r="T1073" s="460"/>
    </row>
    <row r="1074" spans="1:26" s="1468" customFormat="1" x14ac:dyDescent="0.25">
      <c r="A1074" s="462"/>
      <c r="B1074" s="153" t="s">
        <v>641</v>
      </c>
      <c r="C1074" s="1092"/>
      <c r="D1074" s="153">
        <v>244</v>
      </c>
      <c r="E1074" s="153">
        <v>479</v>
      </c>
      <c r="F1074" s="141">
        <v>724</v>
      </c>
      <c r="G1074" s="141">
        <v>1416</v>
      </c>
      <c r="H1074" s="141">
        <v>2857</v>
      </c>
      <c r="I1074" s="141">
        <v>4292</v>
      </c>
      <c r="J1074" s="141">
        <v>4199</v>
      </c>
      <c r="K1074" s="141">
        <v>6262</v>
      </c>
      <c r="L1074" s="141">
        <v>5811</v>
      </c>
      <c r="M1074" s="141">
        <v>2043</v>
      </c>
      <c r="N1074" s="141">
        <v>1464</v>
      </c>
      <c r="O1074" s="141">
        <v>1040</v>
      </c>
      <c r="P1074" s="141"/>
      <c r="Q1074" s="141"/>
      <c r="R1074" s="153"/>
      <c r="T1074" s="460"/>
    </row>
    <row r="1075" spans="1:26" s="1468" customFormat="1" x14ac:dyDescent="0.25">
      <c r="A1075" s="462"/>
      <c r="B1075" s="135" t="s">
        <v>864</v>
      </c>
      <c r="C1075" s="1092"/>
      <c r="D1075" s="153">
        <v>320</v>
      </c>
      <c r="E1075" s="153">
        <v>300</v>
      </c>
      <c r="F1075" s="760">
        <v>295</v>
      </c>
      <c r="G1075" s="760">
        <v>33</v>
      </c>
      <c r="H1075" s="760">
        <v>31</v>
      </c>
      <c r="I1075" s="760">
        <v>21</v>
      </c>
      <c r="J1075" s="760">
        <v>13</v>
      </c>
      <c r="K1075" s="760">
        <v>23</v>
      </c>
      <c r="L1075" s="760">
        <v>38</v>
      </c>
      <c r="M1075" s="760">
        <v>31</v>
      </c>
      <c r="N1075" s="760">
        <v>29</v>
      </c>
      <c r="O1075" s="760">
        <v>137</v>
      </c>
      <c r="P1075" s="750"/>
      <c r="Q1075" s="728"/>
      <c r="R1075" s="153"/>
      <c r="T1075" s="460"/>
    </row>
    <row r="1076" spans="1:26" s="1468" customFormat="1" x14ac:dyDescent="0.25">
      <c r="A1076" s="462"/>
      <c r="B1076" s="135" t="s">
        <v>324</v>
      </c>
      <c r="C1076" s="1092"/>
      <c r="D1076" s="1681">
        <v>75.84</v>
      </c>
      <c r="E1076" s="1682">
        <v>7149.64</v>
      </c>
      <c r="F1076" s="1681">
        <v>10385.950000000001</v>
      </c>
      <c r="G1076" s="1681">
        <v>8599.1200000000008</v>
      </c>
      <c r="H1076" s="1681">
        <v>6849.76</v>
      </c>
      <c r="I1076" s="1681">
        <v>6747.39</v>
      </c>
      <c r="J1076" s="1681">
        <v>7022.24</v>
      </c>
      <c r="K1076" s="1681">
        <v>5657.86</v>
      </c>
      <c r="L1076" s="1681">
        <v>6744.76</v>
      </c>
      <c r="M1076" s="1681">
        <v>6727.04</v>
      </c>
      <c r="N1076" s="1681">
        <v>8476.17</v>
      </c>
      <c r="O1076" s="1681">
        <v>8942.58</v>
      </c>
      <c r="P1076" s="731"/>
      <c r="Q1076" s="731"/>
      <c r="R1076" s="153"/>
      <c r="T1076" s="460"/>
    </row>
    <row r="1077" spans="1:26" s="1468" customFormat="1" x14ac:dyDescent="0.25">
      <c r="A1077" s="462"/>
      <c r="B1077" s="144" t="s">
        <v>348</v>
      </c>
      <c r="C1077" s="1092"/>
      <c r="D1077" s="153"/>
      <c r="E1077" s="153"/>
      <c r="F1077" s="736"/>
      <c r="G1077" s="736"/>
      <c r="H1077" s="736"/>
      <c r="I1077" s="736"/>
      <c r="J1077" s="731"/>
      <c r="K1077" s="731"/>
      <c r="L1077" s="731"/>
      <c r="M1077" s="731"/>
      <c r="N1077" s="731"/>
      <c r="O1077" s="731"/>
      <c r="P1077" s="731"/>
      <c r="Q1077" s="731"/>
      <c r="R1077" s="153"/>
      <c r="T1077" s="460"/>
    </row>
    <row r="1078" spans="1:26" s="1468" customFormat="1" x14ac:dyDescent="0.25">
      <c r="A1078" s="462"/>
      <c r="B1078" s="195" t="s">
        <v>1087</v>
      </c>
      <c r="C1078" s="1092"/>
      <c r="D1078" s="145">
        <v>695.2</v>
      </c>
      <c r="E1078" s="145">
        <v>1304.4000000000001</v>
      </c>
      <c r="F1078" s="145">
        <v>1282.9000000000001</v>
      </c>
      <c r="G1078" s="145">
        <v>156.30000000000001</v>
      </c>
      <c r="H1078" s="145">
        <v>147.69999999999999</v>
      </c>
      <c r="I1078" s="145">
        <v>104.7</v>
      </c>
      <c r="J1078" s="145">
        <v>70.3</v>
      </c>
      <c r="K1078" s="145">
        <v>133.30000000000001</v>
      </c>
      <c r="L1078" s="145">
        <v>177.8</v>
      </c>
      <c r="M1078" s="145">
        <v>147.69999999999999</v>
      </c>
      <c r="N1078" s="145">
        <v>139.1</v>
      </c>
      <c r="O1078" s="145">
        <v>603.5</v>
      </c>
      <c r="P1078" s="145"/>
      <c r="Q1078" s="145"/>
      <c r="R1078" s="145"/>
      <c r="T1078" s="460"/>
    </row>
    <row r="1079" spans="1:26" s="1468" customFormat="1" x14ac:dyDescent="0.25">
      <c r="A1079" s="462"/>
      <c r="B1079" s="144" t="s">
        <v>883</v>
      </c>
      <c r="C1079" s="604"/>
      <c r="D1079" s="145">
        <v>323.85000000000002</v>
      </c>
      <c r="E1079" s="145">
        <v>638.73</v>
      </c>
      <c r="F1079" s="145">
        <v>897.5</v>
      </c>
      <c r="G1079" s="145">
        <v>1458.84</v>
      </c>
      <c r="H1079" s="145">
        <v>2901.99</v>
      </c>
      <c r="I1079" s="145">
        <v>4313.7</v>
      </c>
      <c r="J1079" s="145">
        <v>4221.68</v>
      </c>
      <c r="K1079" s="145">
        <v>6326.38</v>
      </c>
      <c r="L1079" s="145">
        <v>5807.43</v>
      </c>
      <c r="M1079" s="145">
        <v>2093.56</v>
      </c>
      <c r="N1079" s="145">
        <v>1499.91</v>
      </c>
      <c r="O1079" s="145">
        <v>1082.29</v>
      </c>
      <c r="P1079" s="145"/>
      <c r="Q1079" s="145"/>
      <c r="R1079" s="145"/>
      <c r="T1079" s="460"/>
    </row>
    <row r="1080" spans="1:26" s="1468" customFormat="1" x14ac:dyDescent="0.25">
      <c r="A1080" s="462"/>
      <c r="B1080"/>
      <c r="C1080"/>
      <c r="D1080"/>
      <c r="E1080"/>
      <c r="F1080"/>
      <c r="G1080"/>
      <c r="H1080"/>
      <c r="I1080"/>
      <c r="J1080"/>
      <c r="K1080"/>
      <c r="L1080"/>
      <c r="M1080"/>
      <c r="N1080"/>
      <c r="O1080"/>
      <c r="P1080"/>
      <c r="Q1080"/>
      <c r="R1080"/>
      <c r="T1080" s="460"/>
    </row>
    <row r="1081" spans="1:26" s="1468" customFormat="1" x14ac:dyDescent="0.25">
      <c r="A1081" s="462"/>
      <c r="B1081" s="1683" t="s">
        <v>1430</v>
      </c>
      <c r="C1081" s="1684"/>
      <c r="D1081" s="1684"/>
      <c r="E1081" s="1684"/>
      <c r="F1081" s="1685"/>
      <c r="G1081"/>
      <c r="H1081"/>
      <c r="I1081"/>
      <c r="J1081"/>
      <c r="K1081"/>
      <c r="L1081"/>
      <c r="M1081"/>
      <c r="N1081"/>
      <c r="O1081"/>
      <c r="P1081"/>
      <c r="Q1081"/>
      <c r="R1081"/>
      <c r="T1081" s="460"/>
    </row>
    <row r="1082" spans="1:26" s="1468" customFormat="1" x14ac:dyDescent="0.25">
      <c r="A1082" s="462"/>
      <c r="B1082" s="460"/>
      <c r="C1082" s="1467"/>
    </row>
    <row r="1083" spans="1:26" s="1468" customFormat="1" x14ac:dyDescent="0.25">
      <c r="A1083" s="462">
        <v>73</v>
      </c>
      <c r="B1083" s="460" t="s">
        <v>1287</v>
      </c>
      <c r="C1083" s="1467"/>
      <c r="T1083" s="460" t="s">
        <v>1287</v>
      </c>
    </row>
    <row r="1084" spans="1:26" s="1468" customFormat="1" x14ac:dyDescent="0.25">
      <c r="A1084" s="462"/>
      <c r="B1084" s="460"/>
      <c r="C1084" s="1467"/>
    </row>
    <row r="1085" spans="1:26" s="1468" customFormat="1" x14ac:dyDescent="0.25">
      <c r="A1085" s="462">
        <v>74</v>
      </c>
      <c r="B1085" s="460" t="s">
        <v>1288</v>
      </c>
      <c r="C1085" s="1467"/>
      <c r="T1085" s="460" t="s">
        <v>1288</v>
      </c>
    </row>
    <row r="1086" spans="1:26" s="128" customFormat="1" x14ac:dyDescent="0.25">
      <c r="A1086" s="459"/>
      <c r="B1086" s="127"/>
      <c r="C1086" s="173"/>
      <c r="S1086" s="173"/>
      <c r="T1086" s="127"/>
      <c r="W1086" s="129"/>
      <c r="Y1086" s="166"/>
      <c r="Z1086" s="166"/>
    </row>
    <row r="1087" spans="1:26" s="128" customFormat="1" x14ac:dyDescent="0.25">
      <c r="A1087" s="459"/>
      <c r="B1087" s="127"/>
      <c r="C1087" s="173"/>
      <c r="S1087" s="173"/>
      <c r="T1087" s="127"/>
      <c r="W1087" s="129"/>
      <c r="Y1087" s="166"/>
      <c r="Z1087" s="166"/>
    </row>
    <row r="1088" spans="1:26" s="128" customFormat="1" x14ac:dyDescent="0.25">
      <c r="A1088" s="459"/>
      <c r="B1088" s="127"/>
      <c r="C1088" s="173"/>
      <c r="S1088" s="173"/>
      <c r="T1088" s="127"/>
      <c r="W1088" s="129"/>
      <c r="Y1088" s="166"/>
      <c r="Z1088" s="166"/>
    </row>
    <row r="1089" spans="1:26" s="128" customFormat="1" x14ac:dyDescent="0.25">
      <c r="A1089" s="459"/>
      <c r="B1089" s="127"/>
      <c r="C1089" s="173"/>
      <c r="S1089" s="173"/>
      <c r="T1089" s="127"/>
      <c r="W1089" s="129"/>
      <c r="Y1089" s="166"/>
      <c r="Z1089" s="166"/>
    </row>
    <row r="1090" spans="1:26" s="128" customFormat="1" x14ac:dyDescent="0.25">
      <c r="A1090" s="459"/>
      <c r="B1090" s="127"/>
      <c r="C1090" s="173"/>
      <c r="S1090" s="173"/>
      <c r="T1090" s="127"/>
      <c r="W1090" s="129"/>
      <c r="Y1090" s="166"/>
      <c r="Z1090" s="166"/>
    </row>
    <row r="1091" spans="1:26" s="128" customFormat="1" x14ac:dyDescent="0.25">
      <c r="A1091" s="459"/>
      <c r="B1091" s="127"/>
      <c r="C1091" s="173"/>
      <c r="S1091" s="173"/>
      <c r="T1091" s="127"/>
      <c r="W1091" s="129"/>
      <c r="Y1091" s="166"/>
      <c r="Z1091" s="166"/>
    </row>
    <row r="1092" spans="1:26" s="128" customFormat="1" x14ac:dyDescent="0.25">
      <c r="A1092" s="459"/>
      <c r="B1092" s="127"/>
      <c r="C1092" s="173"/>
      <c r="S1092" s="173"/>
      <c r="T1092" s="127"/>
      <c r="W1092" s="129"/>
      <c r="Y1092" s="166"/>
      <c r="Z1092" s="166"/>
    </row>
    <row r="1093" spans="1:26" s="128" customFormat="1" x14ac:dyDescent="0.25">
      <c r="A1093" s="459"/>
      <c r="B1093" s="127"/>
      <c r="C1093" s="173"/>
      <c r="S1093" s="173"/>
      <c r="T1093" s="127"/>
      <c r="W1093" s="129"/>
      <c r="Y1093" s="166"/>
      <c r="Z1093" s="166"/>
    </row>
    <row r="1094" spans="1:26" s="128" customFormat="1" x14ac:dyDescent="0.25">
      <c r="A1094" s="459"/>
      <c r="B1094" s="127"/>
      <c r="C1094" s="173"/>
      <c r="S1094" s="173"/>
      <c r="T1094" s="127"/>
      <c r="W1094" s="129"/>
      <c r="Y1094" s="166"/>
      <c r="Z1094" s="166"/>
    </row>
    <row r="1095" spans="1:26" s="128" customFormat="1" x14ac:dyDescent="0.25">
      <c r="A1095" s="459"/>
      <c r="B1095" s="127"/>
      <c r="C1095" s="173"/>
      <c r="S1095" s="173"/>
      <c r="T1095" s="127"/>
      <c r="W1095" s="129"/>
      <c r="Y1095" s="166"/>
      <c r="Z1095" s="166"/>
    </row>
    <row r="1096" spans="1:26" s="128" customFormat="1" x14ac:dyDescent="0.25">
      <c r="A1096" s="459"/>
      <c r="B1096" s="127"/>
      <c r="C1096" s="173"/>
      <c r="S1096" s="173"/>
      <c r="T1096" s="127"/>
      <c r="W1096" s="129"/>
      <c r="Y1096" s="166"/>
      <c r="Z1096" s="166"/>
    </row>
    <row r="1097" spans="1:26" s="128" customFormat="1" x14ac:dyDescent="0.25">
      <c r="A1097" s="459"/>
      <c r="B1097" s="127"/>
      <c r="C1097" s="173"/>
      <c r="S1097" s="173"/>
      <c r="T1097" s="127"/>
      <c r="W1097" s="129"/>
      <c r="Y1097" s="166"/>
      <c r="Z1097" s="166"/>
    </row>
    <row r="1098" spans="1:26" s="128" customFormat="1" x14ac:dyDescent="0.25">
      <c r="A1098" s="459"/>
      <c r="B1098" s="127"/>
      <c r="C1098" s="173"/>
      <c r="S1098" s="173"/>
      <c r="T1098" s="127"/>
      <c r="W1098" s="129"/>
      <c r="Y1098" s="166"/>
      <c r="Z1098" s="166"/>
    </row>
    <row r="1099" spans="1:26" s="128" customFormat="1" x14ac:dyDescent="0.25">
      <c r="A1099" s="459"/>
      <c r="B1099" s="127"/>
      <c r="C1099" s="173"/>
      <c r="S1099" s="173"/>
      <c r="T1099" s="127"/>
      <c r="W1099" s="129"/>
      <c r="Y1099" s="166"/>
      <c r="Z1099" s="166"/>
    </row>
    <row r="1100" spans="1:26" s="128" customFormat="1" x14ac:dyDescent="0.25">
      <c r="A1100" s="459"/>
      <c r="B1100" s="127"/>
      <c r="C1100" s="173"/>
      <c r="S1100" s="173"/>
      <c r="T1100" s="127"/>
      <c r="W1100" s="129"/>
      <c r="Y1100" s="166"/>
      <c r="Z1100" s="166"/>
    </row>
    <row r="1101" spans="1:26" s="128" customFormat="1" x14ac:dyDescent="0.25">
      <c r="A1101" s="459"/>
      <c r="B1101" s="127"/>
      <c r="C1101" s="173"/>
      <c r="S1101" s="173"/>
      <c r="T1101" s="127"/>
      <c r="W1101" s="129"/>
      <c r="Y1101" s="166"/>
      <c r="Z1101" s="166"/>
    </row>
    <row r="1102" spans="1:26" s="128" customFormat="1" x14ac:dyDescent="0.25">
      <c r="A1102" s="459"/>
      <c r="B1102" s="127"/>
      <c r="C1102" s="173"/>
      <c r="S1102" s="173"/>
      <c r="T1102" s="127"/>
      <c r="W1102" s="129"/>
      <c r="Y1102" s="166"/>
      <c r="Z1102" s="166"/>
    </row>
    <row r="1103" spans="1:26" s="128" customFormat="1" x14ac:dyDescent="0.25">
      <c r="A1103" s="459"/>
      <c r="B1103" s="127"/>
      <c r="C1103" s="173"/>
      <c r="S1103" s="173"/>
      <c r="T1103" s="127"/>
      <c r="W1103" s="129"/>
      <c r="Y1103" s="166"/>
      <c r="Z1103" s="166"/>
    </row>
    <row r="1104" spans="1:26" s="128" customFormat="1" x14ac:dyDescent="0.25">
      <c r="A1104" s="459"/>
      <c r="B1104" s="127"/>
      <c r="C1104" s="173"/>
      <c r="S1104" s="173"/>
      <c r="T1104" s="127"/>
      <c r="W1104" s="129"/>
      <c r="Y1104" s="166"/>
      <c r="Z1104" s="166"/>
    </row>
    <row r="1105" spans="1:26" s="128" customFormat="1" x14ac:dyDescent="0.25">
      <c r="A1105" s="459"/>
      <c r="B1105" s="127"/>
      <c r="C1105" s="173"/>
      <c r="S1105" s="173"/>
      <c r="T1105" s="127"/>
      <c r="W1105" s="129"/>
      <c r="Y1105" s="166"/>
      <c r="Z1105" s="166"/>
    </row>
    <row r="1106" spans="1:26" s="128" customFormat="1" x14ac:dyDescent="0.25">
      <c r="A1106" s="459"/>
      <c r="B1106" s="127"/>
      <c r="C1106" s="173"/>
      <c r="S1106" s="173"/>
      <c r="T1106" s="127"/>
      <c r="W1106" s="129"/>
      <c r="Y1106" s="166"/>
      <c r="Z1106" s="166"/>
    </row>
    <row r="1107" spans="1:26" s="128" customFormat="1" x14ac:dyDescent="0.25">
      <c r="A1107" s="459"/>
      <c r="B1107" s="127"/>
      <c r="C1107" s="173"/>
      <c r="S1107" s="173"/>
      <c r="T1107" s="127"/>
      <c r="W1107" s="129"/>
      <c r="Y1107" s="166"/>
      <c r="Z1107" s="166"/>
    </row>
    <row r="1108" spans="1:26" s="128" customFormat="1" x14ac:dyDescent="0.25">
      <c r="A1108" s="459"/>
      <c r="B1108" s="127"/>
      <c r="C1108" s="173"/>
      <c r="S1108" s="173"/>
      <c r="T1108" s="127"/>
      <c r="W1108" s="129"/>
      <c r="Y1108" s="166"/>
      <c r="Z1108" s="166"/>
    </row>
    <row r="1109" spans="1:26" s="128" customFormat="1" x14ac:dyDescent="0.25">
      <c r="A1109" s="459"/>
      <c r="B1109" s="127"/>
      <c r="C1109" s="173"/>
      <c r="S1109" s="173"/>
      <c r="T1109" s="127"/>
      <c r="W1109" s="129"/>
      <c r="Y1109" s="166"/>
      <c r="Z1109" s="166"/>
    </row>
    <row r="1110" spans="1:26" s="128" customFormat="1" x14ac:dyDescent="0.25">
      <c r="A1110" s="459"/>
      <c r="B1110" s="127"/>
      <c r="C1110" s="173"/>
      <c r="S1110" s="173"/>
      <c r="T1110" s="127"/>
      <c r="W1110" s="129"/>
      <c r="Y1110" s="166"/>
      <c r="Z1110" s="166"/>
    </row>
    <row r="1111" spans="1:26" s="128" customFormat="1" x14ac:dyDescent="0.25">
      <c r="A1111" s="459"/>
      <c r="B1111" s="127"/>
      <c r="C1111" s="173"/>
      <c r="S1111" s="173"/>
      <c r="T1111" s="127"/>
      <c r="W1111" s="129"/>
      <c r="Y1111" s="166"/>
      <c r="Z1111" s="166"/>
    </row>
    <row r="1112" spans="1:26" s="128" customFormat="1" x14ac:dyDescent="0.25">
      <c r="A1112" s="459"/>
      <c r="B1112" s="127"/>
      <c r="C1112" s="173"/>
      <c r="S1112" s="173"/>
      <c r="T1112" s="127"/>
      <c r="W1112" s="129"/>
      <c r="Y1112" s="166"/>
      <c r="Z1112" s="166"/>
    </row>
    <row r="1113" spans="1:26" s="128" customFormat="1" x14ac:dyDescent="0.25">
      <c r="A1113" s="459"/>
      <c r="B1113" s="127"/>
      <c r="C1113" s="173"/>
      <c r="S1113" s="173"/>
      <c r="T1113" s="127"/>
      <c r="W1113" s="129"/>
      <c r="Y1113" s="166"/>
      <c r="Z1113" s="166"/>
    </row>
    <row r="1114" spans="1:26" s="128" customFormat="1" x14ac:dyDescent="0.25">
      <c r="A1114" s="459"/>
      <c r="B1114" s="127"/>
      <c r="C1114" s="173"/>
      <c r="S1114" s="173"/>
      <c r="T1114" s="127"/>
      <c r="W1114" s="129"/>
      <c r="Y1114" s="166"/>
      <c r="Z1114" s="166"/>
    </row>
    <row r="1115" spans="1:26" s="128" customFormat="1" x14ac:dyDescent="0.25">
      <c r="A1115" s="459"/>
      <c r="B1115" s="127"/>
      <c r="C1115" s="173"/>
      <c r="S1115" s="173"/>
      <c r="T1115" s="127"/>
      <c r="W1115" s="129"/>
      <c r="Y1115" s="166"/>
      <c r="Z1115" s="166"/>
    </row>
    <row r="1116" spans="1:26" s="128" customFormat="1" x14ac:dyDescent="0.25">
      <c r="A1116" s="459"/>
      <c r="B1116" s="127"/>
      <c r="C1116" s="173"/>
      <c r="S1116" s="173"/>
      <c r="T1116" s="127"/>
      <c r="W1116" s="129"/>
      <c r="Y1116" s="166"/>
      <c r="Z1116" s="166"/>
    </row>
    <row r="1119" spans="1:26" x14ac:dyDescent="0.25">
      <c r="B1119" s="666"/>
    </row>
    <row r="1120" spans="1:26" s="1468" customFormat="1" x14ac:dyDescent="0.25">
      <c r="A1120" s="462">
        <v>75</v>
      </c>
      <c r="B1120" s="460" t="s">
        <v>1289</v>
      </c>
      <c r="C1120" s="1467"/>
      <c r="T1120" s="460" t="s">
        <v>1289</v>
      </c>
    </row>
    <row r="1121" spans="1:74" s="1468" customFormat="1" x14ac:dyDescent="0.25">
      <c r="A1121" s="462"/>
      <c r="B1121" s="460"/>
      <c r="C1121" s="1467"/>
    </row>
    <row r="1122" spans="1:74" s="1468" customFormat="1" x14ac:dyDescent="0.25">
      <c r="A1122" s="462">
        <v>76</v>
      </c>
      <c r="B1122" s="460" t="s">
        <v>1290</v>
      </c>
      <c r="C1122" s="1467"/>
      <c r="T1122" s="460" t="s">
        <v>1290</v>
      </c>
    </row>
    <row r="1123" spans="1:74" ht="12.75" x14ac:dyDescent="0.2">
      <c r="A1123" s="1564" t="s">
        <v>654</v>
      </c>
      <c r="B1123" s="1565" t="s">
        <v>655</v>
      </c>
      <c r="C1123" s="1566">
        <v>40360</v>
      </c>
      <c r="D1123" s="1566">
        <v>40391</v>
      </c>
      <c r="E1123" s="1566">
        <v>40422</v>
      </c>
      <c r="F1123" s="1566">
        <v>40452</v>
      </c>
      <c r="G1123" s="1567">
        <v>40483</v>
      </c>
      <c r="H1123" s="826">
        <v>40513</v>
      </c>
      <c r="I1123" s="826">
        <v>40544</v>
      </c>
      <c r="J1123" s="826">
        <v>40575</v>
      </c>
      <c r="K1123" s="826">
        <v>40603</v>
      </c>
      <c r="L1123" s="826">
        <v>40634</v>
      </c>
      <c r="M1123" s="826">
        <v>40664</v>
      </c>
      <c r="N1123" s="826">
        <v>40695</v>
      </c>
      <c r="O1123" s="826">
        <v>40725</v>
      </c>
      <c r="P1123" s="826">
        <v>40756</v>
      </c>
      <c r="Q1123" s="826">
        <v>40787</v>
      </c>
      <c r="R1123" s="826">
        <v>40817</v>
      </c>
      <c r="S1123" s="826">
        <v>40848</v>
      </c>
      <c r="T1123" s="826">
        <v>40878</v>
      </c>
      <c r="U1123" s="826">
        <v>40909</v>
      </c>
      <c r="V1123" s="826">
        <v>40940</v>
      </c>
      <c r="W1123" s="826">
        <v>40969</v>
      </c>
      <c r="X1123" s="826">
        <v>41000</v>
      </c>
      <c r="Y1123" s="826">
        <v>41030</v>
      </c>
      <c r="Z1123" s="826">
        <v>41061</v>
      </c>
      <c r="AA1123" s="826">
        <v>41091</v>
      </c>
      <c r="AB1123" s="826">
        <v>41122</v>
      </c>
      <c r="AC1123" s="826">
        <v>41153</v>
      </c>
      <c r="AD1123" s="826">
        <v>41183</v>
      </c>
      <c r="AE1123" s="826">
        <v>41214</v>
      </c>
      <c r="AF1123" s="826">
        <v>41244</v>
      </c>
      <c r="AG1123" s="826">
        <v>41275</v>
      </c>
      <c r="AH1123" s="826">
        <v>41306</v>
      </c>
      <c r="AI1123" s="826">
        <v>41334</v>
      </c>
      <c r="AJ1123" s="826">
        <v>41365</v>
      </c>
      <c r="AK1123" s="826">
        <v>41395</v>
      </c>
      <c r="AL1123" s="826">
        <v>41426</v>
      </c>
      <c r="AM1123" s="826">
        <v>41456</v>
      </c>
      <c r="AN1123" s="826">
        <v>41487</v>
      </c>
      <c r="AO1123" s="826">
        <v>41518</v>
      </c>
      <c r="AP1123" s="826">
        <v>41548</v>
      </c>
      <c r="AQ1123" s="826">
        <v>41579</v>
      </c>
      <c r="AR1123" s="826">
        <v>41609</v>
      </c>
      <c r="AS1123" s="826">
        <v>41640</v>
      </c>
      <c r="AT1123" s="826">
        <v>41671</v>
      </c>
      <c r="AU1123" s="826">
        <v>41699</v>
      </c>
      <c r="AV1123" s="826">
        <v>41730</v>
      </c>
      <c r="AW1123" s="826">
        <v>41760</v>
      </c>
      <c r="AX1123" s="826">
        <v>41791</v>
      </c>
      <c r="AY1123" s="826">
        <v>41821</v>
      </c>
      <c r="AZ1123" s="826">
        <v>41852</v>
      </c>
      <c r="BA1123" s="826">
        <v>41883</v>
      </c>
      <c r="BB1123" s="826">
        <v>41913</v>
      </c>
      <c r="BC1123" s="826">
        <v>41944</v>
      </c>
      <c r="BD1123" s="826">
        <v>41974</v>
      </c>
      <c r="BE1123" s="826">
        <v>42005</v>
      </c>
      <c r="BF1123" s="826">
        <v>42036</v>
      </c>
      <c r="BG1123" s="826">
        <v>42064</v>
      </c>
      <c r="BH1123" s="826">
        <v>42095</v>
      </c>
      <c r="BI1123" s="826">
        <v>42125</v>
      </c>
      <c r="BJ1123" s="826">
        <v>42156</v>
      </c>
      <c r="BK1123" s="826">
        <v>42186</v>
      </c>
      <c r="BL1123" s="826">
        <v>42217</v>
      </c>
      <c r="BM1123" s="826">
        <v>42248</v>
      </c>
      <c r="BN1123" s="826">
        <v>42278</v>
      </c>
      <c r="BO1123" s="826">
        <v>42309</v>
      </c>
      <c r="BP1123" s="826">
        <v>42339</v>
      </c>
      <c r="BQ1123" s="826">
        <v>42370</v>
      </c>
      <c r="BR1123" s="826">
        <v>42401</v>
      </c>
      <c r="BS1123" s="826">
        <v>42430</v>
      </c>
      <c r="BT1123" s="826">
        <v>42461</v>
      </c>
      <c r="BU1123" s="826">
        <v>42491</v>
      </c>
      <c r="BV1123" s="826">
        <v>42522</v>
      </c>
    </row>
    <row r="1124" spans="1:74" ht="12.75" x14ac:dyDescent="0.2">
      <c r="A1124" s="1508" t="s">
        <v>888</v>
      </c>
      <c r="B1124" s="1573"/>
      <c r="C1124" s="1573"/>
      <c r="D1124" s="1573"/>
      <c r="E1124" s="1573"/>
      <c r="F1124" s="1573"/>
      <c r="G1124" s="1574"/>
      <c r="H1124" s="1509"/>
      <c r="I1124" s="1509"/>
      <c r="J1124" s="1509"/>
      <c r="K1124" s="1509"/>
      <c r="L1124" s="1509"/>
      <c r="M1124" s="1509"/>
      <c r="N1124" s="1509"/>
      <c r="O1124" s="1509"/>
      <c r="P1124" s="1509"/>
      <c r="Q1124" s="1509"/>
      <c r="R1124" s="1509"/>
      <c r="S1124" s="1509"/>
      <c r="T1124" s="1509"/>
      <c r="U1124" s="1509"/>
      <c r="V1124" s="1509"/>
      <c r="W1124" s="1509"/>
      <c r="X1124" s="1509"/>
      <c r="Y1124" s="1509"/>
      <c r="Z1124" s="1509"/>
      <c r="AA1124" s="1509"/>
      <c r="AB1124" s="1509"/>
      <c r="AC1124" s="1509"/>
      <c r="AD1124" s="1509"/>
      <c r="AE1124" s="1509"/>
      <c r="AF1124" s="1509"/>
      <c r="AG1124" s="1509"/>
      <c r="AH1124" s="1509"/>
      <c r="AI1124" s="1509"/>
      <c r="AJ1124" s="1509"/>
      <c r="AK1124" s="1509"/>
      <c r="AL1124" s="1509"/>
      <c r="AM1124" s="1509"/>
      <c r="AN1124" s="1509"/>
      <c r="AO1124" s="1509"/>
      <c r="AP1124" s="1509"/>
      <c r="AQ1124" s="1509"/>
      <c r="AR1124" s="1509"/>
      <c r="AS1124" s="1509"/>
      <c r="AT1124" s="1509"/>
      <c r="AU1124" s="1509"/>
      <c r="AV1124" s="1509"/>
      <c r="AW1124" s="1509"/>
      <c r="AX1124" s="1509"/>
      <c r="AY1124" s="1510"/>
      <c r="AZ1124" s="697"/>
      <c r="BA1124" s="697"/>
      <c r="BB1124" s="697"/>
      <c r="BC1124" s="697"/>
      <c r="BD1124" s="697"/>
      <c r="BE1124" s="697"/>
      <c r="BF1124" s="697"/>
      <c r="BG1124" s="697"/>
      <c r="BH1124" s="697"/>
      <c r="BI1124" s="697"/>
      <c r="BJ1124" s="697"/>
      <c r="BK1124" s="697"/>
      <c r="BL1124" s="697"/>
      <c r="BM1124" s="697"/>
      <c r="BN1124" s="697"/>
      <c r="BO1124" s="697"/>
      <c r="BP1124" s="697"/>
      <c r="BQ1124" s="697"/>
      <c r="BR1124" s="697"/>
      <c r="BS1124" s="697"/>
      <c r="BT1124" s="697"/>
      <c r="BU1124" s="697"/>
      <c r="BV1124" s="697"/>
    </row>
    <row r="1125" spans="1:74" ht="12.75" x14ac:dyDescent="0.2">
      <c r="A1125" s="1561">
        <v>239</v>
      </c>
      <c r="B1125" s="1562" t="s">
        <v>1378</v>
      </c>
      <c r="C1125" s="1563">
        <v>16320</v>
      </c>
      <c r="D1125" s="1563">
        <v>10720</v>
      </c>
      <c r="E1125" s="1563">
        <v>26400</v>
      </c>
      <c r="F1125" s="1563">
        <v>28160</v>
      </c>
      <c r="G1125" s="1563">
        <v>24320</v>
      </c>
      <c r="H1125" s="1563">
        <v>20960</v>
      </c>
      <c r="I1125" s="1563">
        <v>13920</v>
      </c>
      <c r="J1125" s="1563">
        <v>20000</v>
      </c>
      <c r="K1125" s="1563">
        <v>19040</v>
      </c>
      <c r="L1125" s="1563">
        <v>21120</v>
      </c>
      <c r="M1125" s="1563">
        <v>15680</v>
      </c>
      <c r="N1125" s="1563">
        <v>11040</v>
      </c>
      <c r="O1125" s="1563">
        <v>13920</v>
      </c>
      <c r="P1125" s="1563">
        <v>10080</v>
      </c>
      <c r="Q1125" s="1563">
        <v>25920</v>
      </c>
      <c r="R1125" s="1563">
        <v>20640</v>
      </c>
      <c r="S1125" s="1563">
        <v>21920</v>
      </c>
      <c r="T1125" s="1563">
        <v>20800</v>
      </c>
      <c r="U1125" s="1563">
        <v>10880</v>
      </c>
      <c r="V1125" s="1563">
        <v>21440</v>
      </c>
      <c r="W1125" s="1563">
        <v>17440</v>
      </c>
      <c r="X1125" s="1563">
        <v>21760</v>
      </c>
      <c r="Y1125" s="1563">
        <v>18240</v>
      </c>
      <c r="Z1125" s="1563">
        <v>11040</v>
      </c>
      <c r="AA1125" s="1563">
        <v>14240</v>
      </c>
      <c r="AB1125" s="1563">
        <v>11520</v>
      </c>
      <c r="AC1125" s="1563">
        <v>23840</v>
      </c>
      <c r="AD1125" s="1563">
        <v>21440</v>
      </c>
      <c r="AE1125" s="1563">
        <v>20960</v>
      </c>
      <c r="AF1125" s="1563">
        <v>19520</v>
      </c>
      <c r="AG1125" s="1563">
        <v>11680</v>
      </c>
      <c r="AH1125" s="1563">
        <v>21760</v>
      </c>
      <c r="AI1125" s="1563">
        <v>16000</v>
      </c>
      <c r="AJ1125" s="1563">
        <v>19520</v>
      </c>
      <c r="AK1125" s="1563">
        <v>17600</v>
      </c>
      <c r="AL1125" s="1563">
        <v>9920</v>
      </c>
      <c r="AM1125" s="1563">
        <v>12960</v>
      </c>
      <c r="AN1125" s="1563">
        <v>10080</v>
      </c>
      <c r="AO1125" s="1563">
        <v>24960</v>
      </c>
      <c r="AP1125" s="1563">
        <v>20960</v>
      </c>
      <c r="AQ1125" s="1563">
        <v>17920</v>
      </c>
      <c r="AR1125" s="1563">
        <v>20800</v>
      </c>
      <c r="AS1125" s="1563">
        <v>12000</v>
      </c>
      <c r="AT1125" s="1563">
        <v>21280</v>
      </c>
      <c r="AU1125" s="1563">
        <v>16160</v>
      </c>
      <c r="AV1125" s="1563">
        <v>19040</v>
      </c>
      <c r="AW1125" s="1563">
        <v>18720</v>
      </c>
      <c r="AX1125" s="1563">
        <v>5600</v>
      </c>
      <c r="AY1125" s="1563">
        <v>631</v>
      </c>
      <c r="AZ1125" s="1563">
        <v>482</v>
      </c>
      <c r="BA1125" s="1563">
        <v>1192</v>
      </c>
      <c r="BB1125" s="1563">
        <v>2305</v>
      </c>
      <c r="BC1125" s="1563">
        <v>5419</v>
      </c>
      <c r="BD1125" s="1563">
        <v>6325</v>
      </c>
      <c r="BE1125" s="1563">
        <v>7358</v>
      </c>
      <c r="BF1125" s="1563">
        <v>8245</v>
      </c>
      <c r="BG1125" s="1563">
        <v>7236</v>
      </c>
      <c r="BH1125" s="1563">
        <v>6239</v>
      </c>
      <c r="BI1125" s="1563">
        <v>6000</v>
      </c>
      <c r="BJ1125" s="1563">
        <v>11400</v>
      </c>
      <c r="BK1125" s="1563">
        <v>48240</v>
      </c>
      <c r="BL1125" s="1563">
        <v>51720</v>
      </c>
      <c r="BM1125" s="1563">
        <v>54840</v>
      </c>
      <c r="BN1125" s="1563">
        <v>46320</v>
      </c>
      <c r="BO1125" s="1563">
        <v>38280</v>
      </c>
      <c r="BP1125" s="1563">
        <v>31800</v>
      </c>
      <c r="BQ1125" s="1563">
        <v>30720</v>
      </c>
      <c r="BR1125" s="1563">
        <v>36120</v>
      </c>
      <c r="BS1125" s="1563">
        <v>35040</v>
      </c>
      <c r="BT1125" s="1563">
        <v>38760</v>
      </c>
      <c r="BU1125" s="1563">
        <v>36240</v>
      </c>
      <c r="BV1125" s="1563">
        <v>28800</v>
      </c>
    </row>
    <row r="1126" spans="1:74" ht="12.75" x14ac:dyDescent="0.2">
      <c r="A1126" s="1568">
        <v>239</v>
      </c>
      <c r="B1126" s="1569" t="s">
        <v>1379</v>
      </c>
      <c r="C1126" s="1570">
        <v>1142.01</v>
      </c>
      <c r="D1126" s="1570">
        <v>754.39</v>
      </c>
      <c r="E1126" s="1570">
        <v>1839.74</v>
      </c>
      <c r="F1126" s="1570">
        <v>1961.57</v>
      </c>
      <c r="G1126" s="1570">
        <v>1695.77</v>
      </c>
      <c r="H1126" s="1570">
        <v>1463.19</v>
      </c>
      <c r="I1126" s="1570">
        <v>1085.8499999999999</v>
      </c>
      <c r="J1126" s="1570">
        <v>1660.05</v>
      </c>
      <c r="K1126" s="1570">
        <v>1580.96</v>
      </c>
      <c r="L1126" s="1570">
        <v>1752.32</v>
      </c>
      <c r="M1126" s="1570">
        <v>1304.1400000000001</v>
      </c>
      <c r="N1126" s="1570">
        <v>921.88</v>
      </c>
      <c r="O1126" s="1570">
        <v>1159.1500000000001</v>
      </c>
      <c r="P1126" s="1570">
        <v>842.8</v>
      </c>
      <c r="Q1126" s="1570">
        <v>2147.77</v>
      </c>
      <c r="R1126" s="1570">
        <v>1712.78</v>
      </c>
      <c r="S1126" s="1570">
        <v>1818.23</v>
      </c>
      <c r="T1126" s="1570">
        <v>1725.96</v>
      </c>
      <c r="U1126" s="1570">
        <v>919.61</v>
      </c>
      <c r="V1126" s="1570">
        <v>2008.07</v>
      </c>
      <c r="W1126" s="1570">
        <v>1635.73</v>
      </c>
      <c r="X1126" s="1570">
        <v>2037.84</v>
      </c>
      <c r="Y1126" s="1570">
        <v>1710.2</v>
      </c>
      <c r="Z1126" s="1570">
        <v>1040</v>
      </c>
      <c r="AA1126" s="1570">
        <v>1337.87</v>
      </c>
      <c r="AB1126" s="1570">
        <v>1084.68</v>
      </c>
      <c r="AC1126" s="1570">
        <v>2231.46</v>
      </c>
      <c r="AD1126" s="1570">
        <v>2008.07</v>
      </c>
      <c r="AE1126" s="1570">
        <v>1963.39</v>
      </c>
      <c r="AF1126" s="1570">
        <v>1829.34</v>
      </c>
      <c r="AG1126" s="1570">
        <v>916.63</v>
      </c>
      <c r="AH1126" s="1570">
        <v>2027.47</v>
      </c>
      <c r="AI1126" s="1570">
        <v>1492.97</v>
      </c>
      <c r="AJ1126" s="1570">
        <v>1818.71</v>
      </c>
      <c r="AK1126" s="1570">
        <v>1641.04</v>
      </c>
      <c r="AL1126" s="1570">
        <v>930.34</v>
      </c>
      <c r="AM1126" s="1570">
        <v>1211.6600000000001</v>
      </c>
      <c r="AN1126" s="1570">
        <v>915.7</v>
      </c>
      <c r="AO1126" s="1570">
        <v>2249.1999999999998</v>
      </c>
      <c r="AP1126" s="1570">
        <v>1890.74</v>
      </c>
      <c r="AQ1126" s="1570">
        <v>1618.31</v>
      </c>
      <c r="AR1126" s="1570">
        <v>1876.39</v>
      </c>
      <c r="AS1126" s="1570">
        <v>1122.82</v>
      </c>
      <c r="AT1126" s="1570">
        <v>1941.43</v>
      </c>
      <c r="AU1126" s="1570">
        <v>1448.59</v>
      </c>
      <c r="AV1126" s="1570">
        <v>1704.55</v>
      </c>
      <c r="AW1126" s="1570">
        <v>1676.11</v>
      </c>
      <c r="AX1126" s="1570">
        <v>510.07</v>
      </c>
      <c r="AY1126" s="1570">
        <v>66.64</v>
      </c>
      <c r="AZ1126" s="1570">
        <v>53.85</v>
      </c>
      <c r="BA1126" s="1570">
        <v>119.45</v>
      </c>
      <c r="BB1126" s="1570">
        <v>222.28</v>
      </c>
      <c r="BC1126" s="1570">
        <v>510</v>
      </c>
      <c r="BD1126" s="1570">
        <v>593.71</v>
      </c>
      <c r="BE1126" s="1570">
        <v>711.77</v>
      </c>
      <c r="BF1126" s="1570">
        <v>748.31</v>
      </c>
      <c r="BG1126" s="1570">
        <v>677.97</v>
      </c>
      <c r="BH1126" s="1570">
        <v>578</v>
      </c>
      <c r="BI1126" s="1570">
        <v>545.97</v>
      </c>
      <c r="BJ1126" s="1570">
        <v>1026.1600000000001</v>
      </c>
      <c r="BK1126" s="1570">
        <v>4302.1400000000003</v>
      </c>
      <c r="BL1126" s="1570">
        <v>4611.59</v>
      </c>
      <c r="BM1126" s="1570">
        <v>4889.04</v>
      </c>
      <c r="BN1126" s="1570">
        <v>4131.41</v>
      </c>
      <c r="BO1126" s="1570">
        <v>3416.46</v>
      </c>
      <c r="BP1126" s="1570">
        <v>2840.22</v>
      </c>
      <c r="BQ1126" s="1570">
        <v>2744.19</v>
      </c>
      <c r="BR1126" s="1570">
        <v>3062.34</v>
      </c>
      <c r="BS1126" s="1570">
        <v>2834.92</v>
      </c>
      <c r="BT1126" s="1570">
        <v>3134.57</v>
      </c>
      <c r="BU1126" s="1570">
        <v>2931.58</v>
      </c>
      <c r="BV1126" s="1570">
        <v>2332.2800000000002</v>
      </c>
    </row>
    <row r="1127" spans="1:74" ht="12.75" x14ac:dyDescent="0.2">
      <c r="A1127" s="1508" t="s">
        <v>897</v>
      </c>
      <c r="B1127" s="1509"/>
      <c r="C1127" s="1509"/>
      <c r="D1127" s="1509"/>
      <c r="E1127" s="1509"/>
      <c r="F1127" s="1509"/>
      <c r="G1127" s="1509"/>
      <c r="H1127" s="1509"/>
      <c r="I1127" s="1509"/>
      <c r="J1127" s="1509"/>
      <c r="K1127" s="1509"/>
      <c r="L1127" s="1509"/>
      <c r="M1127" s="1509"/>
      <c r="N1127" s="1509"/>
      <c r="O1127" s="1509"/>
      <c r="P1127" s="1509"/>
      <c r="Q1127" s="1509"/>
      <c r="R1127" s="1509"/>
      <c r="S1127" s="1509"/>
      <c r="T1127" s="1509"/>
      <c r="U1127" s="1509"/>
      <c r="V1127" s="1509"/>
      <c r="W1127" s="1509"/>
      <c r="X1127" s="1509"/>
      <c r="Y1127" s="1509"/>
      <c r="Z1127" s="1509"/>
      <c r="AA1127" s="1509"/>
      <c r="AB1127" s="1509"/>
      <c r="AC1127" s="1509"/>
      <c r="AD1127" s="1509"/>
      <c r="AE1127" s="1509"/>
      <c r="AF1127" s="1509"/>
      <c r="AG1127" s="1509"/>
      <c r="AH1127" s="1509"/>
      <c r="AI1127" s="1509"/>
      <c r="AJ1127" s="1509"/>
      <c r="AK1127" s="1509"/>
      <c r="AL1127" s="1509"/>
      <c r="AM1127" s="1509"/>
      <c r="AN1127" s="1509"/>
      <c r="AO1127" s="1509"/>
      <c r="AP1127" s="1509"/>
      <c r="AQ1127" s="1509"/>
      <c r="AR1127" s="1509"/>
      <c r="AS1127" s="1509"/>
      <c r="AT1127" s="1509"/>
      <c r="AU1127" s="1509"/>
      <c r="AV1127" s="1509"/>
      <c r="AW1127" s="1509"/>
      <c r="AX1127" s="1509"/>
      <c r="AY1127" s="1510"/>
      <c r="AZ1127" s="26"/>
      <c r="BA1127" s="26"/>
      <c r="BB1127" s="26"/>
      <c r="BC1127" s="26"/>
      <c r="BD1127" s="26"/>
      <c r="BE1127" s="26"/>
      <c r="BF1127" s="26"/>
      <c r="BG1127" s="26"/>
      <c r="BH1127" s="26"/>
      <c r="BI1127" s="26"/>
      <c r="BJ1127" s="26"/>
      <c r="BK1127" s="26"/>
      <c r="BL1127" s="26"/>
      <c r="BM1127" s="26"/>
      <c r="BN1127" s="26"/>
      <c r="BO1127" s="26"/>
      <c r="BP1127" s="26"/>
      <c r="BQ1127" s="26"/>
      <c r="BR1127" s="26"/>
      <c r="BS1127" s="26"/>
      <c r="BT1127" s="26"/>
      <c r="BU1127" s="26"/>
      <c r="BV1127" s="26"/>
    </row>
    <row r="1128" spans="1:74" ht="12.75" x14ac:dyDescent="0.2">
      <c r="A1128" s="1575">
        <v>239</v>
      </c>
      <c r="B1128" s="1576" t="s">
        <v>1380</v>
      </c>
      <c r="C1128" s="1577">
        <v>54223</v>
      </c>
      <c r="D1128" s="1577">
        <v>70907</v>
      </c>
      <c r="E1128" s="1577">
        <v>75078</v>
      </c>
      <c r="F1128" s="1577">
        <v>78414.8</v>
      </c>
      <c r="G1128" s="1577">
        <v>171845.2</v>
      </c>
      <c r="H1128" s="1577">
        <v>283628</v>
      </c>
      <c r="I1128" s="1577">
        <v>308654</v>
      </c>
      <c r="J1128" s="1577">
        <v>250260.00000000003</v>
      </c>
      <c r="K1128" s="1577">
        <v>287799</v>
      </c>
      <c r="L1128" s="1577">
        <v>193534.40000000002</v>
      </c>
      <c r="M1128" s="1577">
        <v>78414.8</v>
      </c>
      <c r="N1128" s="1577">
        <v>74243.8</v>
      </c>
      <c r="O1128" s="1577">
        <v>58394.000000000007</v>
      </c>
      <c r="P1128" s="1577">
        <v>115953.8</v>
      </c>
      <c r="Q1128" s="1577">
        <v>117622.20000000001</v>
      </c>
      <c r="R1128" s="1577">
        <v>103440.8</v>
      </c>
      <c r="S1128" s="1577">
        <v>161000.6</v>
      </c>
      <c r="T1128" s="1577">
        <v>241918.00000000003</v>
      </c>
      <c r="U1128" s="1577">
        <v>279457</v>
      </c>
      <c r="V1128" s="1577">
        <v>285296.40000000002</v>
      </c>
      <c r="W1128" s="1577">
        <v>258602.00000000003</v>
      </c>
      <c r="X1128" s="1577">
        <v>191031.80000000002</v>
      </c>
      <c r="Y1128" s="1577">
        <v>103440.8</v>
      </c>
      <c r="Z1128" s="1577">
        <v>113451.20000000001</v>
      </c>
      <c r="AA1128" s="1577">
        <v>97601.400000000009</v>
      </c>
      <c r="AB1128" s="1577">
        <v>118456.40000000001</v>
      </c>
      <c r="AC1128" s="1577">
        <v>134306.20000000001</v>
      </c>
      <c r="AD1128" s="1577">
        <v>141814</v>
      </c>
      <c r="AE1128" s="1577">
        <v>201042.2</v>
      </c>
      <c r="AF1128" s="1577">
        <v>216892</v>
      </c>
      <c r="AG1128" s="1577">
        <v>275286</v>
      </c>
      <c r="AH1128" s="1577">
        <v>291970</v>
      </c>
      <c r="AI1128" s="1577">
        <v>316996</v>
      </c>
      <c r="AJ1128" s="1577">
        <v>201042.2</v>
      </c>
      <c r="AK1128" s="1577">
        <v>150156</v>
      </c>
      <c r="AL1128" s="1577">
        <v>116788.00000000001</v>
      </c>
      <c r="AM1128" s="1577">
        <v>114285.40000000001</v>
      </c>
      <c r="AN1128" s="1577">
        <v>125130.00000000001</v>
      </c>
      <c r="AO1128" s="1577">
        <v>136808.80000000002</v>
      </c>
      <c r="AP1128" s="1577">
        <v>145985</v>
      </c>
      <c r="AQ1128" s="1577">
        <v>223565.6</v>
      </c>
      <c r="AR1128" s="1577">
        <v>250260.00000000003</v>
      </c>
      <c r="AS1128" s="1577">
        <v>392908.2</v>
      </c>
      <c r="AT1128" s="1577">
        <v>302814.60000000003</v>
      </c>
      <c r="AU1128" s="1577">
        <v>310322.40000000002</v>
      </c>
      <c r="AV1128" s="1577">
        <v>243586.40000000002</v>
      </c>
      <c r="AW1128" s="1577">
        <v>116788.00000000001</v>
      </c>
      <c r="AX1128" s="1577">
        <v>4171</v>
      </c>
      <c r="AY1128" s="1577">
        <v>4171</v>
      </c>
      <c r="AZ1128" s="1577">
        <v>4171</v>
      </c>
      <c r="BA1128" s="1577">
        <v>4171</v>
      </c>
      <c r="BB1128" s="1577">
        <v>4171</v>
      </c>
      <c r="BC1128" s="1577">
        <v>4171</v>
      </c>
      <c r="BD1128" s="1577">
        <v>218560.40000000002</v>
      </c>
      <c r="BE1128" s="1577">
        <v>500520.00000000006</v>
      </c>
      <c r="BF1128" s="1577">
        <v>583940</v>
      </c>
      <c r="BG1128" s="1577">
        <v>291970</v>
      </c>
      <c r="BH1128" s="1577">
        <v>125130.00000000001</v>
      </c>
      <c r="BI1128" s="1577">
        <v>16684</v>
      </c>
      <c r="BJ1128" s="1577">
        <v>25026</v>
      </c>
      <c r="BK1128" s="1577">
        <v>133472</v>
      </c>
      <c r="BL1128" s="1577">
        <v>125130.00000000001</v>
      </c>
      <c r="BM1128" s="1577">
        <v>108446</v>
      </c>
      <c r="BN1128" s="1577">
        <v>133472</v>
      </c>
      <c r="BO1128" s="1577">
        <v>165171.6</v>
      </c>
      <c r="BP1128" s="1577">
        <v>250260.00000000003</v>
      </c>
      <c r="BQ1128" s="1577">
        <v>107611.8</v>
      </c>
      <c r="BR1128" s="1577">
        <v>125964.20000000001</v>
      </c>
      <c r="BS1128" s="1577">
        <v>80083.200000000012</v>
      </c>
      <c r="BT1128" s="1577">
        <v>69238.600000000006</v>
      </c>
      <c r="BU1128" s="1577">
        <v>36704.800000000003</v>
      </c>
      <c r="BV1128" s="1577">
        <v>35036.400000000001</v>
      </c>
    </row>
    <row r="1129" spans="1:74" ht="12.75" x14ac:dyDescent="0.2">
      <c r="A1129" s="1568">
        <v>239</v>
      </c>
      <c r="B1129" s="1569" t="s">
        <v>1381</v>
      </c>
      <c r="C1129" s="1570">
        <v>2386.15</v>
      </c>
      <c r="D1129" s="1570">
        <v>3120.35</v>
      </c>
      <c r="E1129" s="1570">
        <v>3303.9</v>
      </c>
      <c r="F1129" s="1570">
        <v>3450.74</v>
      </c>
      <c r="G1129" s="1570">
        <v>7562.26</v>
      </c>
      <c r="H1129" s="1570">
        <v>12481.4</v>
      </c>
      <c r="I1129" s="1570">
        <v>13582.7</v>
      </c>
      <c r="J1129" s="1570">
        <v>11013</v>
      </c>
      <c r="K1129" s="1570">
        <v>12664.95</v>
      </c>
      <c r="L1129" s="1570">
        <v>8516.7199999999993</v>
      </c>
      <c r="M1129" s="1570">
        <v>3450.74</v>
      </c>
      <c r="N1129" s="1570">
        <v>1559.28</v>
      </c>
      <c r="O1129" s="1570">
        <v>1226.4000000000001</v>
      </c>
      <c r="P1129" s="1570">
        <v>2435.2800000000002</v>
      </c>
      <c r="Q1129" s="1570">
        <v>2470.3200000000002</v>
      </c>
      <c r="R1129" s="1570">
        <v>2172.48</v>
      </c>
      <c r="S1129" s="1570">
        <v>3381.36</v>
      </c>
      <c r="T1129" s="1570">
        <v>5080.8</v>
      </c>
      <c r="U1129" s="1570">
        <v>5869.2</v>
      </c>
      <c r="V1129" s="1570">
        <v>5991.84</v>
      </c>
      <c r="W1129" s="1570">
        <v>5431.2</v>
      </c>
      <c r="X1129" s="1570">
        <v>4012.08</v>
      </c>
      <c r="Y1129" s="1570">
        <v>2172.48</v>
      </c>
      <c r="Z1129" s="1570">
        <v>2382.7199999999998</v>
      </c>
      <c r="AA1129" s="1570">
        <v>2049.84</v>
      </c>
      <c r="AB1129" s="1570">
        <v>2487.84</v>
      </c>
      <c r="AC1129" s="1570">
        <v>2820.72</v>
      </c>
      <c r="AD1129" s="1570">
        <v>2978.4</v>
      </c>
      <c r="AE1129" s="1570">
        <v>4222.32</v>
      </c>
      <c r="AF1129" s="1570">
        <v>4555.2</v>
      </c>
      <c r="AG1129" s="1570">
        <v>5781.6</v>
      </c>
      <c r="AH1129" s="1570">
        <v>6132</v>
      </c>
      <c r="AI1129" s="1570">
        <v>6657.6</v>
      </c>
      <c r="AJ1129" s="1570">
        <v>4222.32</v>
      </c>
      <c r="AK1129" s="1570">
        <v>3153.6</v>
      </c>
      <c r="AL1129" s="1570">
        <v>2452.8000000000002</v>
      </c>
      <c r="AM1129" s="1570">
        <v>2400.2399999999998</v>
      </c>
      <c r="AN1129" s="1570">
        <v>2628</v>
      </c>
      <c r="AO1129" s="1570">
        <v>2873.28</v>
      </c>
      <c r="AP1129" s="1570">
        <v>3066</v>
      </c>
      <c r="AQ1129" s="1570">
        <v>4695.3599999999997</v>
      </c>
      <c r="AR1129" s="1570">
        <v>5256</v>
      </c>
      <c r="AS1129" s="1570">
        <v>8251.92</v>
      </c>
      <c r="AT1129" s="1570">
        <v>6359.76</v>
      </c>
      <c r="AU1129" s="1570">
        <v>6517.44</v>
      </c>
      <c r="AV1129" s="1570">
        <v>5115.84</v>
      </c>
      <c r="AW1129" s="1570">
        <v>2452.8000000000002</v>
      </c>
      <c r="AX1129" s="1570">
        <v>87.6</v>
      </c>
      <c r="AY1129" s="1570">
        <v>87.6</v>
      </c>
      <c r="AZ1129" s="1570">
        <v>87.6</v>
      </c>
      <c r="BA1129" s="1570">
        <v>87.6</v>
      </c>
      <c r="BB1129" s="1570">
        <v>87.6</v>
      </c>
      <c r="BC1129" s="1570">
        <v>87.6</v>
      </c>
      <c r="BD1129" s="1570">
        <v>4590.24</v>
      </c>
      <c r="BE1129" s="1570">
        <v>10512</v>
      </c>
      <c r="BF1129" s="1570">
        <v>12264</v>
      </c>
      <c r="BG1129" s="1570">
        <v>6132</v>
      </c>
      <c r="BH1129" s="1570">
        <v>2628</v>
      </c>
      <c r="BI1129" s="1570">
        <v>350.4</v>
      </c>
      <c r="BJ1129" s="1570">
        <v>525.6</v>
      </c>
      <c r="BK1129" s="1570">
        <v>2803.2</v>
      </c>
      <c r="BL1129" s="1570">
        <v>2628</v>
      </c>
      <c r="BM1129" s="1570">
        <v>2277.6</v>
      </c>
      <c r="BN1129" s="1570">
        <v>2803.2</v>
      </c>
      <c r="BO1129" s="1570">
        <v>3468.96</v>
      </c>
      <c r="BP1129" s="1570">
        <v>5256</v>
      </c>
      <c r="BQ1129" s="1570">
        <v>2260.08</v>
      </c>
      <c r="BR1129" s="1570">
        <v>2645.52</v>
      </c>
      <c r="BS1129" s="1570">
        <v>1681.92</v>
      </c>
      <c r="BT1129" s="1570">
        <v>1454.16</v>
      </c>
      <c r="BU1129" s="1570">
        <v>770.88</v>
      </c>
      <c r="BV1129" s="1570">
        <v>735.84</v>
      </c>
    </row>
    <row r="1130" spans="1:74" ht="12.75" x14ac:dyDescent="0.2">
      <c r="A1130" s="1508" t="s">
        <v>904</v>
      </c>
      <c r="B1130" s="1509"/>
      <c r="C1130" s="1509"/>
      <c r="D1130" s="1509"/>
      <c r="E1130" s="1509"/>
      <c r="F1130" s="1509"/>
      <c r="G1130" s="1509"/>
      <c r="H1130" s="1509"/>
      <c r="I1130" s="1509"/>
      <c r="J1130" s="1509"/>
      <c r="K1130" s="1509"/>
      <c r="L1130" s="1509"/>
      <c r="M1130" s="1509"/>
      <c r="N1130" s="1509"/>
      <c r="O1130" s="1509"/>
      <c r="P1130" s="1509"/>
      <c r="Q1130" s="1509"/>
      <c r="R1130" s="1509"/>
      <c r="S1130" s="1509"/>
      <c r="T1130" s="1509"/>
      <c r="U1130" s="1509"/>
      <c r="V1130" s="1509"/>
      <c r="W1130" s="1509"/>
      <c r="X1130" s="1509"/>
      <c r="Y1130" s="1509"/>
      <c r="Z1130" s="1509"/>
      <c r="AA1130" s="1509"/>
      <c r="AB1130" s="1509"/>
      <c r="AC1130" s="1509"/>
      <c r="AD1130" s="1509"/>
      <c r="AE1130" s="1509"/>
      <c r="AF1130" s="1509"/>
      <c r="AG1130" s="1509"/>
      <c r="AH1130" s="1509"/>
      <c r="AI1130" s="1509"/>
      <c r="AJ1130" s="1509"/>
      <c r="AK1130" s="1509"/>
      <c r="AL1130" s="1509"/>
      <c r="AM1130" s="1509"/>
      <c r="AN1130" s="1509"/>
      <c r="AO1130" s="1509"/>
      <c r="AP1130" s="1509"/>
      <c r="AQ1130" s="1509"/>
      <c r="AR1130" s="1509"/>
      <c r="AS1130" s="1509"/>
      <c r="AT1130" s="1509"/>
      <c r="AU1130" s="1509"/>
      <c r="AV1130" s="1509"/>
      <c r="AW1130" s="1509"/>
      <c r="AX1130" s="1509"/>
      <c r="AY1130" s="1510"/>
      <c r="AZ1130" s="26"/>
      <c r="BA1130" s="26"/>
      <c r="BB1130" s="26"/>
      <c r="BC1130" s="26"/>
      <c r="BD1130" s="26"/>
      <c r="BE1130" s="26"/>
      <c r="BF1130" s="26"/>
      <c r="BG1130" s="26"/>
      <c r="BH1130" s="26"/>
      <c r="BI1130" s="26"/>
      <c r="BJ1130" s="26"/>
      <c r="BK1130" s="26"/>
      <c r="BL1130" s="26"/>
      <c r="BM1130" s="26"/>
      <c r="BN1130" s="26"/>
      <c r="BO1130" s="26"/>
      <c r="BP1130" s="26"/>
      <c r="BQ1130" s="26"/>
      <c r="BR1130" s="26"/>
      <c r="BS1130" s="26"/>
      <c r="BT1130" s="26"/>
      <c r="BU1130" s="26"/>
      <c r="BV1130" s="26"/>
    </row>
    <row r="1131" spans="1:74" ht="12.75" x14ac:dyDescent="0.2">
      <c r="A1131" s="1578">
        <v>239</v>
      </c>
      <c r="B1131" s="1579" t="s">
        <v>1382</v>
      </c>
      <c r="C1131" s="1580">
        <v>40000</v>
      </c>
      <c r="D1131" s="1580">
        <v>46000</v>
      </c>
      <c r="E1131" s="1580">
        <v>118000</v>
      </c>
      <c r="F1131" s="1580">
        <v>160000</v>
      </c>
      <c r="G1131" s="1580">
        <v>100000</v>
      </c>
      <c r="H1131" s="1580">
        <v>90000</v>
      </c>
      <c r="I1131" s="1580">
        <v>60000</v>
      </c>
      <c r="J1131" s="1580">
        <v>190000</v>
      </c>
      <c r="K1131" s="1580">
        <v>160000</v>
      </c>
      <c r="L1131" s="1580">
        <v>50000</v>
      </c>
      <c r="M1131" s="1580">
        <v>20000</v>
      </c>
      <c r="N1131" s="1580">
        <v>30000</v>
      </c>
      <c r="O1131" s="1580">
        <v>24000</v>
      </c>
      <c r="P1131" s="1580">
        <v>92000</v>
      </c>
      <c r="Q1131" s="1580">
        <v>140000</v>
      </c>
      <c r="R1131" s="1580">
        <v>130000</v>
      </c>
      <c r="S1131" s="1580">
        <v>124000</v>
      </c>
      <c r="T1131" s="1580">
        <v>72000</v>
      </c>
      <c r="U1131" s="1580">
        <v>103000</v>
      </c>
      <c r="V1131" s="1580">
        <v>135000</v>
      </c>
      <c r="W1131" s="1580">
        <v>116000</v>
      </c>
      <c r="X1131" s="1580">
        <v>129000</v>
      </c>
      <c r="Y1131" s="1580">
        <v>48000</v>
      </c>
      <c r="Z1131" s="1580">
        <v>34000</v>
      </c>
      <c r="AA1131" s="1580">
        <v>20000</v>
      </c>
      <c r="AB1131" s="1580">
        <v>94000</v>
      </c>
      <c r="AC1131" s="1580">
        <v>137000</v>
      </c>
      <c r="AD1131" s="1580">
        <v>147000</v>
      </c>
      <c r="AE1131" s="1580">
        <v>131000</v>
      </c>
      <c r="AF1131" s="1580">
        <v>52000</v>
      </c>
      <c r="AG1131" s="1580">
        <v>118000</v>
      </c>
      <c r="AH1131" s="1580">
        <v>137000</v>
      </c>
      <c r="AI1131" s="1580">
        <v>92000</v>
      </c>
      <c r="AJ1131" s="1580">
        <v>128000</v>
      </c>
      <c r="AK1131" s="1580">
        <v>45000</v>
      </c>
      <c r="AL1131" s="1580">
        <v>25000</v>
      </c>
      <c r="AM1131" s="1580">
        <v>25000</v>
      </c>
      <c r="AN1131" s="1580">
        <v>92000</v>
      </c>
      <c r="AO1131" s="1580">
        <v>141000</v>
      </c>
      <c r="AP1131" s="1580">
        <v>151000</v>
      </c>
      <c r="AQ1131" s="1580">
        <v>111000</v>
      </c>
      <c r="AR1131" s="1580">
        <v>58000</v>
      </c>
      <c r="AS1131" s="1580">
        <v>115000</v>
      </c>
      <c r="AT1131" s="1580">
        <v>135000</v>
      </c>
      <c r="AU1131" s="1580">
        <v>104000</v>
      </c>
      <c r="AV1131" s="1580">
        <v>124000</v>
      </c>
      <c r="AW1131" s="1580">
        <v>13000</v>
      </c>
      <c r="AX1131" s="1580">
        <v>21000</v>
      </c>
      <c r="AY1131" s="1580">
        <v>0</v>
      </c>
      <c r="AZ1131" s="1580">
        <v>0</v>
      </c>
      <c r="BA1131" s="1580">
        <v>0</v>
      </c>
      <c r="BB1131" s="1580">
        <v>9000</v>
      </c>
      <c r="BC1131" s="1580">
        <v>20000</v>
      </c>
      <c r="BD1131" s="1580">
        <v>21000</v>
      </c>
      <c r="BE1131" s="1580">
        <v>29000</v>
      </c>
      <c r="BF1131" s="1580">
        <v>30000</v>
      </c>
      <c r="BG1131" s="1580">
        <v>554000</v>
      </c>
      <c r="BH1131" s="1580">
        <v>0</v>
      </c>
      <c r="BI1131" s="1580">
        <v>6000</v>
      </c>
      <c r="BJ1131" s="1580">
        <v>22000</v>
      </c>
      <c r="BK1131" s="1580">
        <v>44000</v>
      </c>
      <c r="BL1131" s="1580">
        <v>110000</v>
      </c>
      <c r="BM1131" s="1580">
        <v>162000</v>
      </c>
      <c r="BN1131" s="1580">
        <v>144000</v>
      </c>
      <c r="BO1131" s="1580">
        <v>114000</v>
      </c>
      <c r="BP1131" s="1580">
        <v>37000</v>
      </c>
      <c r="BQ1131" s="1580">
        <v>94000</v>
      </c>
      <c r="BR1131" s="1580">
        <v>104000</v>
      </c>
      <c r="BS1131" s="1580">
        <v>81000</v>
      </c>
      <c r="BT1131" s="1580">
        <v>110000</v>
      </c>
      <c r="BU1131" s="1580">
        <v>50000</v>
      </c>
      <c r="BV1131" s="1580">
        <v>53000</v>
      </c>
    </row>
    <row r="1132" spans="1:74" ht="12.75" x14ac:dyDescent="0.2">
      <c r="A1132" s="1568">
        <v>239</v>
      </c>
      <c r="B1132" s="1569" t="s">
        <v>1383</v>
      </c>
      <c r="C1132" s="1570">
        <v>184</v>
      </c>
      <c r="D1132" s="1570">
        <v>151.80000000000001</v>
      </c>
      <c r="E1132" s="1570">
        <v>247.8</v>
      </c>
      <c r="F1132" s="1570">
        <v>288</v>
      </c>
      <c r="G1132" s="1570">
        <v>320</v>
      </c>
      <c r="H1132" s="1570">
        <v>198</v>
      </c>
      <c r="I1132" s="1570">
        <v>240</v>
      </c>
      <c r="J1132" s="1570">
        <v>361</v>
      </c>
      <c r="K1132" s="1570">
        <v>640</v>
      </c>
      <c r="L1132" s="1570">
        <v>215</v>
      </c>
      <c r="M1132" s="1570">
        <v>94</v>
      </c>
      <c r="N1132" s="1570">
        <v>102</v>
      </c>
      <c r="O1132" s="1570">
        <v>100.8</v>
      </c>
      <c r="P1132" s="1570">
        <v>230</v>
      </c>
      <c r="Q1132" s="1570">
        <v>294</v>
      </c>
      <c r="R1132" s="1570">
        <v>468</v>
      </c>
      <c r="S1132" s="1570">
        <v>483.6</v>
      </c>
      <c r="T1132" s="1570">
        <v>280.8</v>
      </c>
      <c r="U1132" s="1570">
        <v>412</v>
      </c>
      <c r="V1132" s="1570">
        <v>364.5</v>
      </c>
      <c r="W1132" s="1570">
        <v>371.2</v>
      </c>
      <c r="X1132" s="1570">
        <v>670.8</v>
      </c>
      <c r="Y1132" s="1570">
        <v>211.2</v>
      </c>
      <c r="Z1132" s="1570">
        <v>248.2</v>
      </c>
      <c r="AA1132" s="1570">
        <v>62</v>
      </c>
      <c r="AB1132" s="1570">
        <v>338.4</v>
      </c>
      <c r="AC1132" s="1570">
        <v>315.10000000000002</v>
      </c>
      <c r="AD1132" s="1570">
        <v>426.3</v>
      </c>
      <c r="AE1132" s="1570">
        <v>379.9</v>
      </c>
      <c r="AF1132" s="1570">
        <v>239.2</v>
      </c>
      <c r="AG1132" s="1570">
        <v>436.6</v>
      </c>
      <c r="AH1132" s="1570">
        <v>616.5</v>
      </c>
      <c r="AI1132" s="1570">
        <v>386.4</v>
      </c>
      <c r="AJ1132" s="1570">
        <v>627.20000000000005</v>
      </c>
      <c r="AK1132" s="1570">
        <v>315</v>
      </c>
      <c r="AL1132" s="1570">
        <v>150</v>
      </c>
      <c r="AM1132" s="1570">
        <v>210</v>
      </c>
      <c r="AN1132" s="1570">
        <v>441.6</v>
      </c>
      <c r="AO1132" s="1570">
        <v>648.6</v>
      </c>
      <c r="AP1132" s="1570">
        <v>649.29999999999995</v>
      </c>
      <c r="AQ1132" s="1570">
        <v>588.29999999999995</v>
      </c>
      <c r="AR1132" s="1570">
        <v>458.2</v>
      </c>
      <c r="AS1132" s="1570">
        <v>667</v>
      </c>
      <c r="AT1132" s="1570">
        <v>877.5</v>
      </c>
      <c r="AU1132" s="1570">
        <v>676</v>
      </c>
      <c r="AV1132" s="1570">
        <v>744</v>
      </c>
      <c r="AW1132" s="1570">
        <v>88.4</v>
      </c>
      <c r="AX1132" s="1570">
        <v>140.69999999999999</v>
      </c>
      <c r="AY1132" s="1570">
        <v>0</v>
      </c>
      <c r="AZ1132" s="1570">
        <v>0</v>
      </c>
      <c r="BA1132" s="1570">
        <v>0</v>
      </c>
      <c r="BB1132" s="1570">
        <v>76.5</v>
      </c>
      <c r="BC1132" s="1570">
        <v>148</v>
      </c>
      <c r="BD1132" s="1570">
        <v>205.8</v>
      </c>
      <c r="BE1132" s="1570">
        <v>118.9</v>
      </c>
      <c r="BF1132" s="1570">
        <v>228</v>
      </c>
      <c r="BG1132" s="1570">
        <v>2548.4</v>
      </c>
      <c r="BH1132" s="1570">
        <v>0</v>
      </c>
      <c r="BI1132" s="1570">
        <v>38.4</v>
      </c>
      <c r="BJ1132" s="1570">
        <v>151.80000000000001</v>
      </c>
      <c r="BK1132" s="1570">
        <v>211.2</v>
      </c>
      <c r="BL1132" s="1570">
        <v>473</v>
      </c>
      <c r="BM1132" s="1570">
        <v>502.2</v>
      </c>
      <c r="BN1132" s="1570">
        <v>1065.5999999999999</v>
      </c>
      <c r="BO1132" s="1570">
        <v>615.6</v>
      </c>
      <c r="BP1132" s="1570">
        <v>247.9</v>
      </c>
      <c r="BQ1132" s="1570">
        <v>357.2</v>
      </c>
      <c r="BR1132" s="1570">
        <v>436.8</v>
      </c>
      <c r="BS1132" s="1570">
        <v>421.2</v>
      </c>
      <c r="BT1132" s="1570">
        <v>385</v>
      </c>
      <c r="BU1132" s="1570">
        <v>340</v>
      </c>
      <c r="BV1132" s="1570">
        <v>439.9</v>
      </c>
    </row>
    <row r="1133" spans="1:74" s="697" customFormat="1" ht="12.75" x14ac:dyDescent="0.2">
      <c r="A1133" s="1571"/>
      <c r="B1133" s="500"/>
      <c r="C1133" s="1572"/>
      <c r="D1133" s="1572"/>
      <c r="E1133" s="1572"/>
      <c r="F1133" s="1572"/>
      <c r="G1133" s="1572"/>
      <c r="H1133" s="1572"/>
      <c r="I1133" s="1572"/>
      <c r="J1133" s="1572"/>
      <c r="K1133" s="1572"/>
      <c r="L1133" s="1572"/>
      <c r="M1133" s="1572"/>
      <c r="N1133" s="1572"/>
      <c r="O1133" s="1572"/>
      <c r="P1133" s="1572"/>
      <c r="Q1133" s="1572"/>
      <c r="R1133" s="1572"/>
      <c r="S1133" s="1572"/>
      <c r="T1133" s="1572"/>
      <c r="U1133" s="1572"/>
      <c r="V1133" s="1572"/>
      <c r="W1133" s="1572"/>
      <c r="X1133" s="1572"/>
      <c r="Y1133" s="1572"/>
      <c r="Z1133" s="1572"/>
      <c r="AA1133" s="1572"/>
      <c r="AB1133" s="1572"/>
      <c r="AC1133" s="1572"/>
      <c r="AD1133" s="1572"/>
      <c r="AE1133" s="1572"/>
      <c r="AF1133" s="1572"/>
      <c r="AG1133" s="1572"/>
      <c r="AH1133" s="1572"/>
      <c r="AI1133" s="1572"/>
      <c r="AJ1133" s="1572"/>
      <c r="AK1133" s="1572"/>
      <c r="AL1133" s="1572"/>
      <c r="AM1133" s="1572"/>
      <c r="AN1133" s="1572"/>
      <c r="AO1133" s="1572"/>
      <c r="AP1133" s="1572"/>
      <c r="AQ1133" s="1572"/>
      <c r="AR1133" s="1572"/>
      <c r="AS1133" s="1572"/>
      <c r="AT1133" s="1572"/>
      <c r="AU1133" s="1572"/>
      <c r="AV1133" s="1572"/>
      <c r="AW1133" s="1572"/>
      <c r="AX1133" s="1572"/>
      <c r="AY1133" s="1572"/>
      <c r="AZ1133" s="1572"/>
      <c r="BA1133" s="1572"/>
      <c r="BB1133" s="1572"/>
      <c r="BC1133" s="1572"/>
      <c r="BD1133" s="1572"/>
      <c r="BE1133" s="1572"/>
      <c r="BF1133" s="1572"/>
      <c r="BG1133" s="1572"/>
      <c r="BH1133" s="1572"/>
      <c r="BI1133" s="1572"/>
      <c r="BJ1133" s="1572"/>
      <c r="BK1133" s="1572"/>
      <c r="BL1133" s="1572"/>
      <c r="BM1133" s="1572"/>
      <c r="BN1133" s="1572"/>
      <c r="BO1133" s="1572"/>
      <c r="BP1133" s="1572"/>
      <c r="BQ1133" s="1572"/>
      <c r="BR1133" s="1572"/>
      <c r="BS1133" s="1572"/>
      <c r="BT1133" s="1572"/>
      <c r="BU1133" s="1572"/>
      <c r="BV1133" s="1572"/>
    </row>
    <row r="1134" spans="1:74" s="1468" customFormat="1" x14ac:dyDescent="0.25">
      <c r="A1134" s="462">
        <v>77</v>
      </c>
      <c r="B1134" s="460" t="s">
        <v>1291</v>
      </c>
      <c r="C1134" s="1467"/>
      <c r="T1134" s="460" t="s">
        <v>1291</v>
      </c>
    </row>
    <row r="1135" spans="1:74" s="1468" customFormat="1" x14ac:dyDescent="0.25">
      <c r="A1135" s="462"/>
      <c r="B1135" s="460"/>
      <c r="C1135" s="1467"/>
    </row>
    <row r="1136" spans="1:74" s="1468" customFormat="1" x14ac:dyDescent="0.25">
      <c r="A1136" s="462">
        <v>78</v>
      </c>
      <c r="B1136" s="460" t="s">
        <v>1292</v>
      </c>
      <c r="C1136" s="1467"/>
      <c r="T1136" s="460" t="s">
        <v>1292</v>
      </c>
    </row>
    <row r="1137" spans="1:20" s="1468" customFormat="1" x14ac:dyDescent="0.25">
      <c r="A1137" s="462">
        <v>3</v>
      </c>
      <c r="B1137" s="666" t="s">
        <v>1292</v>
      </c>
      <c r="C1137" s="497"/>
      <c r="D1137"/>
      <c r="E1137"/>
      <c r="F1137"/>
      <c r="G1137"/>
      <c r="H1137"/>
      <c r="I1137"/>
      <c r="J1137"/>
      <c r="K1137"/>
      <c r="L1137"/>
      <c r="M1137"/>
      <c r="N1137"/>
      <c r="O1137"/>
      <c r="P1137"/>
      <c r="Q1137"/>
      <c r="R1137"/>
      <c r="T1137" s="460"/>
    </row>
    <row r="1138" spans="1:20" s="1468" customFormat="1" x14ac:dyDescent="0.25">
      <c r="A1138" s="461"/>
      <c r="B1138" s="130" t="s">
        <v>337</v>
      </c>
      <c r="C1138" s="186" t="s">
        <v>1318</v>
      </c>
      <c r="D1138" s="131">
        <v>42186</v>
      </c>
      <c r="E1138" s="1606">
        <v>42217</v>
      </c>
      <c r="F1138" s="1606">
        <v>42248</v>
      </c>
      <c r="G1138" s="1606">
        <v>42278</v>
      </c>
      <c r="H1138" s="1606">
        <v>42309</v>
      </c>
      <c r="I1138" s="1606">
        <v>42339</v>
      </c>
      <c r="J1138" s="1606">
        <v>42370</v>
      </c>
      <c r="K1138" s="1606">
        <v>42401</v>
      </c>
      <c r="L1138" s="1606">
        <v>42430</v>
      </c>
      <c r="M1138" s="1606">
        <v>42461</v>
      </c>
      <c r="N1138" s="1606">
        <v>42491</v>
      </c>
      <c r="O1138" s="1606">
        <v>42522</v>
      </c>
      <c r="P1138" s="1606">
        <v>42552</v>
      </c>
      <c r="Q1138" s="151">
        <v>42583</v>
      </c>
      <c r="R1138" s="131">
        <v>42627</v>
      </c>
      <c r="T1138" s="460"/>
    </row>
    <row r="1139" spans="1:20" s="1468" customFormat="1" x14ac:dyDescent="0.25">
      <c r="A1139" s="461"/>
      <c r="B1139" s="135" t="s">
        <v>319</v>
      </c>
      <c r="C1139" s="187"/>
      <c r="D1139" s="141"/>
      <c r="E1139" s="1094">
        <v>270712.90999999997</v>
      </c>
      <c r="F1139" s="1094">
        <v>280841.82999999996</v>
      </c>
      <c r="G1139" s="1094">
        <v>227735.55</v>
      </c>
      <c r="H1139" s="1094">
        <v>202331.36</v>
      </c>
      <c r="I1139" s="1094">
        <v>182200.91</v>
      </c>
      <c r="J1139" s="1094">
        <v>160156.85</v>
      </c>
      <c r="K1139" s="1094">
        <v>175411.62</v>
      </c>
      <c r="L1139" s="1094">
        <v>187663.05</v>
      </c>
      <c r="M1139" s="1094">
        <v>196419.51</v>
      </c>
      <c r="N1139" s="1094">
        <v>183772.96000000002</v>
      </c>
      <c r="O1139" s="1094">
        <v>197344.59</v>
      </c>
      <c r="P1139" s="1094">
        <v>271022.3</v>
      </c>
      <c r="Q1139" s="141"/>
      <c r="R1139" s="141"/>
      <c r="T1139" s="460"/>
    </row>
    <row r="1140" spans="1:20" s="1468" customFormat="1" x14ac:dyDescent="0.25">
      <c r="A1140" s="461"/>
      <c r="B1140" s="135" t="s">
        <v>343</v>
      </c>
      <c r="C1140" t="s">
        <v>1375</v>
      </c>
      <c r="D1140" s="153"/>
      <c r="E1140" s="165"/>
      <c r="F1140" s="170"/>
      <c r="G1140" s="170"/>
      <c r="H1140" s="170"/>
      <c r="I1140" s="136"/>
      <c r="J1140" s="136"/>
      <c r="K1140" s="136"/>
      <c r="L1140" s="136"/>
      <c r="M1140" s="136"/>
      <c r="N1140" s="136"/>
      <c r="O1140" s="136"/>
      <c r="P1140" s="136"/>
      <c r="Q1140" s="136"/>
      <c r="R1140" s="153"/>
      <c r="T1140" s="460"/>
    </row>
    <row r="1141" spans="1:20" s="1468" customFormat="1" x14ac:dyDescent="0.25">
      <c r="A1141" s="461"/>
      <c r="B1141" s="153" t="s">
        <v>362</v>
      </c>
      <c r="C1141" s="1092"/>
      <c r="D1141" s="153"/>
      <c r="E1141" s="165"/>
      <c r="F1141" s="1094"/>
      <c r="G1141" s="1094"/>
      <c r="H1141" s="1094"/>
      <c r="I1141" s="1094"/>
      <c r="J1141" s="1094"/>
      <c r="K1141" s="1094"/>
      <c r="L1141" s="1094"/>
      <c r="M1141" s="1094"/>
      <c r="N1141" s="1094"/>
      <c r="O1141" s="1094"/>
      <c r="P1141" s="1094"/>
      <c r="Q1141" s="141"/>
      <c r="R1141" s="153"/>
      <c r="T1141" s="460"/>
    </row>
    <row r="1142" spans="1:20" s="1468" customFormat="1" x14ac:dyDescent="0.25">
      <c r="A1142" s="461"/>
      <c r="B1142" s="153" t="s">
        <v>641</v>
      </c>
      <c r="C1142" s="1092"/>
      <c r="D1142" s="153"/>
      <c r="E1142" s="165"/>
      <c r="F1142" s="1094"/>
      <c r="G1142" s="1094"/>
      <c r="H1142" s="1094"/>
      <c r="I1142" s="1094"/>
      <c r="J1142" s="1094"/>
      <c r="K1142" s="1094"/>
      <c r="L1142" s="1094"/>
      <c r="M1142" s="1094"/>
      <c r="N1142" s="1094"/>
      <c r="O1142" s="1094"/>
      <c r="P1142" s="1695"/>
      <c r="Q1142" s="141"/>
      <c r="R1142" s="153"/>
      <c r="T1142" s="460"/>
    </row>
    <row r="1143" spans="1:20" s="1468" customFormat="1" x14ac:dyDescent="0.25">
      <c r="A1143" s="461"/>
      <c r="B1143" s="135" t="s">
        <v>1376</v>
      </c>
      <c r="C1143" s="1559"/>
      <c r="D1143" s="1427"/>
      <c r="E1143" s="1696"/>
      <c r="F1143" s="1697">
        <v>1059.1600000000001</v>
      </c>
      <c r="G1143" s="1697">
        <v>851.97</v>
      </c>
      <c r="H1143" s="1697">
        <v>709.1</v>
      </c>
      <c r="I1143" s="1697">
        <v>532.57000000000005</v>
      </c>
      <c r="J1143" s="1697">
        <v>202.7</v>
      </c>
      <c r="K1143" s="1309">
        <v>667.21</v>
      </c>
      <c r="L1143" s="1309">
        <v>525.83000000000004</v>
      </c>
      <c r="M1143" s="1309">
        <v>724.05</v>
      </c>
      <c r="N1143" s="1309">
        <v>488.43</v>
      </c>
      <c r="O1143" s="1309">
        <v>213</v>
      </c>
      <c r="P1143" s="1309"/>
      <c r="Q1143" s="1560"/>
      <c r="R1143" s="1427"/>
      <c r="T1143" s="460"/>
    </row>
    <row r="1144" spans="1:20" s="1468" customFormat="1" x14ac:dyDescent="0.25">
      <c r="A1144" s="461"/>
      <c r="B1144" s="135" t="s">
        <v>324</v>
      </c>
      <c r="C1144" s="1557">
        <f>0.08775*C1139</f>
        <v>0</v>
      </c>
      <c r="D1144" s="1557">
        <f t="shared" ref="D1144:R1144" si="80">0.08775*D1139</f>
        <v>0</v>
      </c>
      <c r="E1144" s="1590">
        <f t="shared" si="80"/>
        <v>23755.057852499995</v>
      </c>
      <c r="F1144" s="1590">
        <f t="shared" si="80"/>
        <v>24643.870582499996</v>
      </c>
      <c r="G1144" s="1590">
        <f t="shared" si="80"/>
        <v>19983.794512499997</v>
      </c>
      <c r="H1144" s="1590">
        <f t="shared" si="80"/>
        <v>17754.576839999998</v>
      </c>
      <c r="I1144" s="1590">
        <f t="shared" si="80"/>
        <v>15988.1298525</v>
      </c>
      <c r="J1144" s="1590">
        <f t="shared" si="80"/>
        <v>14053.7635875</v>
      </c>
      <c r="K1144" s="1590">
        <f t="shared" si="80"/>
        <v>15392.369654999999</v>
      </c>
      <c r="L1144" s="1590">
        <f t="shared" si="80"/>
        <v>16467.432637499998</v>
      </c>
      <c r="M1144" s="1590">
        <f t="shared" si="80"/>
        <v>17235.812002499999</v>
      </c>
      <c r="N1144" s="1590">
        <f t="shared" si="80"/>
        <v>16126.077240000001</v>
      </c>
      <c r="O1144" s="1590">
        <f t="shared" si="80"/>
        <v>17316.987772499997</v>
      </c>
      <c r="P1144" s="1590">
        <f t="shared" si="80"/>
        <v>23782.206824999997</v>
      </c>
      <c r="Q1144" s="1557">
        <f t="shared" si="80"/>
        <v>0</v>
      </c>
      <c r="R1144" s="1557">
        <f t="shared" si="80"/>
        <v>0</v>
      </c>
      <c r="T1144" s="460"/>
    </row>
    <row r="1145" spans="1:20" s="1468" customFormat="1" x14ac:dyDescent="0.25">
      <c r="A1145" s="461"/>
      <c r="B1145" s="144" t="s">
        <v>348</v>
      </c>
      <c r="C1145" s="1092"/>
      <c r="D1145" s="153"/>
      <c r="E1145" s="153"/>
      <c r="F1145" s="736"/>
      <c r="G1145" s="736"/>
      <c r="H1145" s="736"/>
      <c r="I1145" s="736"/>
      <c r="J1145" s="731"/>
      <c r="K1145" s="731"/>
      <c r="L1145" s="731"/>
      <c r="M1145" s="731"/>
      <c r="N1145" s="731"/>
      <c r="O1145" s="731"/>
      <c r="P1145" s="731"/>
      <c r="Q1145" s="731"/>
      <c r="R1145" s="153"/>
      <c r="T1145" s="460"/>
    </row>
    <row r="1146" spans="1:20" s="1468" customFormat="1" x14ac:dyDescent="0.25">
      <c r="A1146" s="461"/>
      <c r="B1146" s="195" t="s">
        <v>1087</v>
      </c>
      <c r="C1146" s="1092"/>
      <c r="D1146" s="153"/>
      <c r="E1146" s="153"/>
      <c r="F1146" s="731"/>
      <c r="G1146" s="731"/>
      <c r="H1146" s="731"/>
      <c r="I1146" s="731"/>
      <c r="J1146" s="731"/>
      <c r="K1146" s="731"/>
      <c r="L1146" s="731"/>
      <c r="M1146" s="731"/>
      <c r="N1146" s="731"/>
      <c r="O1146" s="731"/>
      <c r="P1146" s="731"/>
      <c r="Q1146" s="731"/>
      <c r="R1146" s="153"/>
      <c r="T1146" s="460"/>
    </row>
    <row r="1147" spans="1:20" s="1468" customFormat="1" x14ac:dyDescent="0.25">
      <c r="A1147" s="461"/>
      <c r="B1147" s="144" t="s">
        <v>883</v>
      </c>
      <c r="C1147" s="604"/>
      <c r="D1147" s="145"/>
      <c r="E1147" s="145"/>
      <c r="F1147" s="145"/>
      <c r="G1147" s="145"/>
      <c r="H1147" s="145"/>
      <c r="I1147" s="145"/>
      <c r="J1147" s="145"/>
      <c r="K1147" s="145"/>
      <c r="L1147" s="145"/>
      <c r="M1147" s="145"/>
      <c r="N1147" s="145"/>
      <c r="O1147" s="145"/>
      <c r="P1147" s="145"/>
      <c r="Q1147" s="145"/>
      <c r="R1147" s="145"/>
      <c r="T1147" s="460"/>
    </row>
    <row r="1148" spans="1:20" s="1468" customFormat="1" x14ac:dyDescent="0.25">
      <c r="A1148" s="462"/>
      <c r="B1148" s="460"/>
      <c r="C1148" s="1467"/>
    </row>
    <row r="1149" spans="1:20" s="1468" customFormat="1" x14ac:dyDescent="0.25">
      <c r="A1149" s="462">
        <v>79</v>
      </c>
      <c r="B1149" s="460" t="s">
        <v>1293</v>
      </c>
      <c r="C1149" s="1467"/>
      <c r="T1149" s="460" t="s">
        <v>1293</v>
      </c>
    </row>
  </sheetData>
  <mergeCells count="14">
    <mergeCell ref="E95:F95"/>
    <mergeCell ref="A5:AY5"/>
    <mergeCell ref="A14:AY14"/>
    <mergeCell ref="A23:AY23"/>
    <mergeCell ref="A583:AY583"/>
    <mergeCell ref="B382:N382"/>
    <mergeCell ref="B405:P405"/>
    <mergeCell ref="B419:P419"/>
    <mergeCell ref="B433:P433"/>
    <mergeCell ref="A612:AY612"/>
    <mergeCell ref="A621:AY621"/>
    <mergeCell ref="A630:AY630"/>
    <mergeCell ref="A592:AY592"/>
    <mergeCell ref="A601:AY601"/>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134"/>
  <sheetViews>
    <sheetView topLeftCell="P22" zoomScale="88" zoomScaleNormal="88" workbookViewId="0">
      <selection activeCell="P39" sqref="A39:XFD39"/>
    </sheetView>
  </sheetViews>
  <sheetFormatPr defaultColWidth="8.85546875" defaultRowHeight="14.25" x14ac:dyDescent="0.2"/>
  <cols>
    <col min="1" max="1" width="23.140625" style="26" customWidth="1"/>
    <col min="2" max="2" width="9" style="1" customWidth="1"/>
    <col min="3" max="3" width="9.5703125" style="26" customWidth="1"/>
    <col min="4" max="4" width="9.5703125" style="26" hidden="1" customWidth="1"/>
    <col min="5" max="5" width="8.85546875" style="26" hidden="1" customWidth="1"/>
    <col min="6" max="6" width="15.28515625" style="26" bestFit="1" customWidth="1"/>
    <col min="7" max="7" width="11.7109375" style="72" customWidth="1"/>
    <col min="8" max="8" width="7.5703125" style="26" customWidth="1"/>
    <col min="9" max="9" width="13.42578125" style="35" customWidth="1"/>
    <col min="10" max="10" width="13" style="35" customWidth="1"/>
    <col min="11" max="11" width="15.42578125" style="32" customWidth="1"/>
    <col min="12" max="12" width="6.28515625" style="31" customWidth="1"/>
    <col min="13" max="13" width="12.28515625" style="38" customWidth="1"/>
    <col min="14" max="14" width="10.28515625" style="84" customWidth="1"/>
    <col min="15" max="15" width="23.140625" style="26" customWidth="1"/>
    <col min="16" max="16" width="9.85546875" style="31" customWidth="1"/>
    <col min="17" max="17" width="11" style="38" bestFit="1" customWidth="1"/>
    <col min="18" max="18" width="9.42578125" style="26" customWidth="1"/>
    <col min="19" max="19" width="11.28515625" style="38" customWidth="1"/>
    <col min="20" max="20" width="10.140625" style="26" customWidth="1"/>
    <col min="21" max="21" width="10.28515625" style="39" customWidth="1"/>
    <col min="22" max="22" width="10.42578125" style="26" customWidth="1"/>
    <col min="23" max="23" width="10.42578125" style="31" customWidth="1"/>
    <col min="24" max="24" width="12.85546875" style="26" bestFit="1" customWidth="1"/>
    <col min="25" max="25" width="9.42578125" style="26" customWidth="1"/>
    <col min="26" max="26" width="10.28515625" style="26" customWidth="1"/>
    <col min="27" max="27" width="7.5703125" style="26" customWidth="1"/>
    <col min="28" max="28" width="9.85546875" style="26" bestFit="1" customWidth="1"/>
    <col min="29" max="29" width="23.140625" style="26" customWidth="1"/>
    <col min="30" max="30" width="13.5703125" style="26" customWidth="1"/>
    <col min="31" max="31" width="11.5703125" style="26" customWidth="1"/>
    <col min="32" max="32" width="13.5703125" style="26" customWidth="1"/>
    <col min="33" max="33" width="11.5703125" style="26" customWidth="1"/>
    <col min="34" max="34" width="10.28515625" style="26" customWidth="1"/>
    <col min="35" max="35" width="13.140625" style="26" customWidth="1"/>
    <col min="36" max="36" width="12.85546875" style="26" customWidth="1"/>
    <col min="37" max="37" width="12" style="26" customWidth="1"/>
    <col min="38" max="38" width="10.28515625" style="26" customWidth="1"/>
    <col min="39" max="39" width="13.7109375" style="26" customWidth="1"/>
    <col min="40" max="40" width="23.140625" style="26" customWidth="1"/>
    <col min="41" max="41" width="15.140625" style="26" customWidth="1"/>
    <col min="42" max="42" width="10.28515625" style="26" customWidth="1"/>
    <col min="43" max="43" width="10.42578125" style="26" customWidth="1"/>
    <col min="44" max="44" width="15.140625" style="26" customWidth="1"/>
    <col min="45" max="45" width="10.28515625" style="31" customWidth="1"/>
    <col min="46" max="46" width="11" style="26" customWidth="1"/>
    <col min="47" max="47" width="13.28515625" style="26" customWidth="1"/>
    <col min="48" max="48" width="15.140625" style="26" customWidth="1"/>
    <col min="49" max="49" width="14.42578125" style="26" customWidth="1"/>
    <col min="50" max="50" width="10.140625" style="26" customWidth="1"/>
    <col min="51" max="51" width="8.42578125" style="26" customWidth="1"/>
    <col min="52" max="52" width="11.28515625" style="26" customWidth="1"/>
    <col min="53" max="53" width="23.140625" style="26" customWidth="1"/>
    <col min="54" max="54" width="15" style="947" customWidth="1"/>
    <col min="55" max="55" width="10" style="26" customWidth="1"/>
    <col min="56" max="56" width="18.7109375" style="26" bestFit="1" customWidth="1"/>
    <col min="57" max="57" width="15.42578125" style="15" customWidth="1"/>
    <col min="58" max="58" width="13.5703125" style="15" bestFit="1" customWidth="1"/>
    <col min="59" max="59" width="13.28515625" style="3" customWidth="1"/>
    <col min="60" max="60" width="15.85546875" style="3" bestFit="1" customWidth="1"/>
    <col min="61" max="61" width="15" style="31" customWidth="1"/>
    <col min="62" max="62" width="8.85546875" style="1"/>
    <col min="63" max="63" width="9.85546875" style="31" customWidth="1"/>
    <col min="64" max="64" width="12.7109375" style="26" bestFit="1" customWidth="1"/>
    <col min="65" max="16384" width="8.85546875" style="26"/>
  </cols>
  <sheetData>
    <row r="1" spans="1:63" s="45" customFormat="1" ht="112.9" customHeight="1" x14ac:dyDescent="0.2">
      <c r="A1" s="1387"/>
      <c r="B1" s="89"/>
      <c r="C1" s="2250" t="s">
        <v>1005</v>
      </c>
      <c r="D1" s="2250"/>
      <c r="E1" s="2250"/>
      <c r="F1" s="2250"/>
      <c r="G1" s="2250"/>
      <c r="H1" s="2250"/>
      <c r="I1" s="2250"/>
      <c r="J1" s="2250"/>
      <c r="K1" s="2250"/>
      <c r="L1" s="2250"/>
      <c r="M1" s="2250"/>
      <c r="N1" s="2250"/>
      <c r="O1" s="1357"/>
      <c r="P1" s="2250" t="s">
        <v>962</v>
      </c>
      <c r="Q1" s="2250"/>
      <c r="R1" s="2250"/>
      <c r="S1" s="2250"/>
      <c r="T1" s="2250"/>
      <c r="U1" s="2250"/>
      <c r="V1" s="2250"/>
      <c r="W1" s="2250"/>
      <c r="X1" s="2250"/>
      <c r="Y1" s="2250"/>
      <c r="Z1" s="2250"/>
      <c r="AA1" s="2250"/>
      <c r="AB1" s="2250"/>
      <c r="AC1" s="1357"/>
      <c r="AD1" s="2250" t="s">
        <v>962</v>
      </c>
      <c r="AE1" s="2250"/>
      <c r="AF1" s="2250"/>
      <c r="AG1" s="2250"/>
      <c r="AH1" s="2250"/>
      <c r="AI1" s="2250"/>
      <c r="AJ1" s="2250"/>
      <c r="AK1" s="2250"/>
      <c r="AL1" s="2250"/>
      <c r="AM1" s="2250"/>
      <c r="AN1" s="1387"/>
      <c r="AO1" s="2250" t="s">
        <v>963</v>
      </c>
      <c r="AP1" s="2250"/>
      <c r="AQ1" s="2250"/>
      <c r="AR1" s="2250"/>
      <c r="AS1" s="2250"/>
      <c r="AT1" s="2250"/>
      <c r="AU1" s="2250"/>
      <c r="AV1" s="2250"/>
      <c r="AW1" s="2250"/>
      <c r="AX1" s="2250"/>
      <c r="AY1" s="2250"/>
      <c r="AZ1" s="2250"/>
      <c r="BA1" s="1388"/>
      <c r="BB1" s="2264" t="s">
        <v>964</v>
      </c>
      <c r="BC1" s="2264"/>
      <c r="BD1" s="2264"/>
      <c r="BE1" s="2264"/>
      <c r="BF1" s="2264"/>
      <c r="BG1" s="2264"/>
      <c r="BH1" s="2265"/>
      <c r="BI1" s="1358"/>
      <c r="BJ1" s="88"/>
    </row>
    <row r="2" spans="1:63" s="63" customFormat="1" ht="17.45" customHeight="1" x14ac:dyDescent="0.2">
      <c r="A2" s="81">
        <v>42269</v>
      </c>
      <c r="B2" s="942"/>
      <c r="C2" s="2251" t="s">
        <v>218</v>
      </c>
      <c r="D2" s="2251"/>
      <c r="E2" s="2251"/>
      <c r="F2" s="2251"/>
      <c r="G2" s="2251"/>
      <c r="H2" s="2251"/>
      <c r="I2" s="2251"/>
      <c r="J2" s="2251"/>
      <c r="K2" s="2251"/>
      <c r="L2" s="2251"/>
      <c r="M2" s="2251"/>
      <c r="N2" s="2251"/>
      <c r="O2" s="81">
        <v>42269</v>
      </c>
      <c r="P2" s="2252" t="s">
        <v>219</v>
      </c>
      <c r="Q2" s="2262"/>
      <c r="R2" s="2262"/>
      <c r="S2" s="2262"/>
      <c r="T2" s="2262"/>
      <c r="U2" s="2262"/>
      <c r="V2" s="2262"/>
      <c r="W2" s="2262"/>
      <c r="X2" s="2262"/>
      <c r="Y2" s="2262"/>
      <c r="Z2" s="2262"/>
      <c r="AA2" s="2262"/>
      <c r="AB2" s="2262"/>
      <c r="AC2" s="81">
        <v>42269</v>
      </c>
      <c r="AD2" s="2251" t="s">
        <v>220</v>
      </c>
      <c r="AE2" s="2251"/>
      <c r="AF2" s="2251"/>
      <c r="AG2" s="2251"/>
      <c r="AH2" s="2251"/>
      <c r="AI2" s="2251"/>
      <c r="AJ2" s="2251"/>
      <c r="AK2" s="2251"/>
      <c r="AL2" s="2251"/>
      <c r="AM2" s="2251"/>
      <c r="AN2" s="81">
        <v>42269</v>
      </c>
      <c r="AO2" s="2251" t="s">
        <v>290</v>
      </c>
      <c r="AP2" s="2251"/>
      <c r="AQ2" s="2251"/>
      <c r="AR2" s="2251"/>
      <c r="AS2" s="2251"/>
      <c r="AT2" s="2251"/>
      <c r="AU2" s="2251"/>
      <c r="AV2" s="2251"/>
      <c r="AW2" s="2251"/>
      <c r="AX2" s="2251"/>
      <c r="AY2" s="2251"/>
      <c r="AZ2" s="2251"/>
      <c r="BA2" s="81">
        <v>42269</v>
      </c>
      <c r="BB2" s="2251" t="s">
        <v>291</v>
      </c>
      <c r="BC2" s="2251"/>
      <c r="BD2" s="2251"/>
      <c r="BE2" s="2251"/>
      <c r="BF2" s="2251"/>
      <c r="BG2" s="2251"/>
      <c r="BH2" s="2263"/>
      <c r="BJ2" s="89"/>
    </row>
    <row r="3" spans="1:63" ht="105" x14ac:dyDescent="0.25">
      <c r="A3" s="53" t="s">
        <v>0</v>
      </c>
      <c r="B3" s="53" t="s">
        <v>949</v>
      </c>
      <c r="C3" s="428" t="s">
        <v>207</v>
      </c>
      <c r="D3" s="53" t="s">
        <v>983</v>
      </c>
      <c r="E3" s="53" t="s">
        <v>550</v>
      </c>
      <c r="F3" s="54" t="s">
        <v>3</v>
      </c>
      <c r="G3" s="55" t="s">
        <v>38</v>
      </c>
      <c r="H3" s="53" t="s">
        <v>205</v>
      </c>
      <c r="I3" s="55" t="s">
        <v>206</v>
      </c>
      <c r="J3" s="55" t="s">
        <v>277</v>
      </c>
      <c r="K3" s="53" t="s">
        <v>968</v>
      </c>
      <c r="L3" s="53" t="s">
        <v>75</v>
      </c>
      <c r="M3" s="56" t="s">
        <v>259</v>
      </c>
      <c r="N3" s="56" t="s">
        <v>489</v>
      </c>
      <c r="O3" s="53" t="s">
        <v>0</v>
      </c>
      <c r="P3" s="53" t="s">
        <v>246</v>
      </c>
      <c r="Q3" s="57" t="s">
        <v>1</v>
      </c>
      <c r="R3" s="53" t="s">
        <v>966</v>
      </c>
      <c r="S3" s="57" t="s">
        <v>2</v>
      </c>
      <c r="T3" s="53" t="s">
        <v>965</v>
      </c>
      <c r="U3" s="58" t="s">
        <v>272</v>
      </c>
      <c r="V3" s="53" t="s">
        <v>41</v>
      </c>
      <c r="W3" s="53" t="s">
        <v>1036</v>
      </c>
      <c r="X3" s="53" t="s">
        <v>236</v>
      </c>
      <c r="Y3" s="53" t="s">
        <v>967</v>
      </c>
      <c r="Z3" s="53" t="s">
        <v>273</v>
      </c>
      <c r="AA3" s="53" t="s">
        <v>969</v>
      </c>
      <c r="AB3" s="53" t="s">
        <v>970</v>
      </c>
      <c r="AC3" s="53" t="s">
        <v>0</v>
      </c>
      <c r="AD3" s="59" t="s">
        <v>1</v>
      </c>
      <c r="AE3" s="53" t="s">
        <v>33</v>
      </c>
      <c r="AF3" s="54" t="s">
        <v>2</v>
      </c>
      <c r="AG3" s="53" t="s">
        <v>201</v>
      </c>
      <c r="AH3" s="53" t="s">
        <v>39</v>
      </c>
      <c r="AI3" s="53" t="s">
        <v>42</v>
      </c>
      <c r="AJ3" s="54" t="s">
        <v>237</v>
      </c>
      <c r="AK3" s="53" t="s">
        <v>238</v>
      </c>
      <c r="AL3" s="53" t="s">
        <v>239</v>
      </c>
      <c r="AM3" s="53" t="s">
        <v>240</v>
      </c>
      <c r="AN3" s="53" t="s">
        <v>0</v>
      </c>
      <c r="AO3" s="53" t="s">
        <v>71</v>
      </c>
      <c r="AP3" s="53" t="s">
        <v>29</v>
      </c>
      <c r="AQ3" s="53" t="s">
        <v>30</v>
      </c>
      <c r="AR3" s="53" t="s">
        <v>72</v>
      </c>
      <c r="AS3" s="53" t="s">
        <v>31</v>
      </c>
      <c r="AT3" s="53" t="s">
        <v>32</v>
      </c>
      <c r="AU3" s="53" t="s">
        <v>40</v>
      </c>
      <c r="AV3" s="53" t="s">
        <v>43</v>
      </c>
      <c r="AW3" s="53" t="s">
        <v>241</v>
      </c>
      <c r="AX3" s="53" t="s">
        <v>242</v>
      </c>
      <c r="AY3" s="53" t="s">
        <v>243</v>
      </c>
      <c r="AZ3" s="53" t="s">
        <v>274</v>
      </c>
      <c r="BA3" s="904" t="s">
        <v>0</v>
      </c>
      <c r="BB3" s="75" t="s">
        <v>255</v>
      </c>
      <c r="BC3" s="53" t="s">
        <v>293</v>
      </c>
      <c r="BD3" s="53" t="s">
        <v>256</v>
      </c>
      <c r="BE3" s="75" t="s">
        <v>257</v>
      </c>
      <c r="BF3" s="75" t="s">
        <v>258</v>
      </c>
      <c r="BG3" s="53" t="s">
        <v>254</v>
      </c>
      <c r="BH3" s="905" t="s">
        <v>171</v>
      </c>
      <c r="BI3" s="53" t="s">
        <v>292</v>
      </c>
      <c r="BJ3" s="54" t="s">
        <v>316</v>
      </c>
      <c r="BK3" s="53" t="s">
        <v>246</v>
      </c>
    </row>
    <row r="4" spans="1:63" s="41" customFormat="1" ht="27.6" customHeight="1" x14ac:dyDescent="0.2">
      <c r="A4" s="4" t="s">
        <v>169</v>
      </c>
      <c r="B4" s="915" t="s">
        <v>950</v>
      </c>
      <c r="C4" s="11" t="s">
        <v>26</v>
      </c>
      <c r="D4" s="11" t="s">
        <v>984</v>
      </c>
      <c r="E4" s="11" t="s">
        <v>508</v>
      </c>
      <c r="F4" s="1" t="s">
        <v>141</v>
      </c>
      <c r="G4" s="33">
        <v>39833</v>
      </c>
      <c r="H4" s="11" t="s">
        <v>10</v>
      </c>
      <c r="I4" s="33">
        <v>40070</v>
      </c>
      <c r="J4" s="60">
        <v>40352</v>
      </c>
      <c r="K4" s="4" t="s">
        <v>135</v>
      </c>
      <c r="L4" s="11">
        <v>278</v>
      </c>
      <c r="M4" s="19">
        <v>58803</v>
      </c>
      <c r="N4" s="83">
        <v>8</v>
      </c>
      <c r="O4" s="4" t="s">
        <v>169</v>
      </c>
      <c r="P4" s="11" t="s">
        <v>247</v>
      </c>
      <c r="Q4" s="9">
        <v>3467</v>
      </c>
      <c r="R4" s="12">
        <f t="shared" ref="R4:R47" si="0">Q4/M4*1000</f>
        <v>58.959576892335427</v>
      </c>
      <c r="S4" s="9">
        <v>1993</v>
      </c>
      <c r="T4" s="23">
        <f t="shared" ref="T4:T64" si="1">S4/M4*1000</f>
        <v>33.892828597180419</v>
      </c>
      <c r="U4" s="5">
        <f t="shared" ref="U4:U67" si="2">(Q4-S4)/Q4</f>
        <v>0.425151427747332</v>
      </c>
      <c r="V4" s="13">
        <f t="shared" ref="V4:V64" si="3">Q4-S4</f>
        <v>1474</v>
      </c>
      <c r="W4" s="967">
        <v>42242</v>
      </c>
      <c r="X4" s="9">
        <f>'[2]14.15 Meter Data'!Y6</f>
        <v>4977.5036684419101</v>
      </c>
      <c r="Y4" s="40">
        <f t="shared" ref="Y4:Y24" si="4">X4/M4*1000</f>
        <v>84.647104202879277</v>
      </c>
      <c r="Z4" s="5">
        <f t="shared" ref="Z4:Z24" si="5">(Q4-X4)/Q4</f>
        <v>-0.43568031971211713</v>
      </c>
      <c r="AA4" s="5"/>
      <c r="AB4" s="51">
        <f t="shared" ref="AB4:AB24" si="6">Q4-X4</f>
        <v>-1510.5036684419101</v>
      </c>
      <c r="AC4" s="4" t="s">
        <v>169</v>
      </c>
      <c r="AD4" s="29">
        <v>81830</v>
      </c>
      <c r="AE4" s="7">
        <f t="shared" ref="AE4:AE64" si="7">AD4/M4</f>
        <v>1.3915956668877438</v>
      </c>
      <c r="AF4" s="29">
        <v>43969</v>
      </c>
      <c r="AG4" s="7">
        <f t="shared" ref="AG4:AG64" si="8">AF4/M4</f>
        <v>0.74773395915174401</v>
      </c>
      <c r="AH4" s="8">
        <f t="shared" ref="AH4:AH67" si="9">(AD4-AF4)/AD4</f>
        <v>0.46267872418428452</v>
      </c>
      <c r="AI4" s="16">
        <f t="shared" ref="AI4:AI64" si="10">AD4-AF4</f>
        <v>37861</v>
      </c>
      <c r="AJ4" s="29">
        <f>'[2]14.15 Meter Data'!W10</f>
        <v>119426.84585</v>
      </c>
      <c r="AK4" s="46">
        <f t="shared" ref="AK4:AK24" si="11">AJ4/M4</f>
        <v>2.0309651863000187</v>
      </c>
      <c r="AL4" s="47">
        <f t="shared" ref="AL4:AL24" si="12">(AD4-AJ4)/AD4</f>
        <v>-0.45945063974092626</v>
      </c>
      <c r="AM4" s="48">
        <f t="shared" ref="AM4:AM24" si="13">AD4-AJ4</f>
        <v>-37596.845849999998</v>
      </c>
      <c r="AN4" s="4" t="s">
        <v>169</v>
      </c>
      <c r="AO4" s="19">
        <v>2000376</v>
      </c>
      <c r="AP4" s="2">
        <f>AO4/L4</f>
        <v>7195.5971223021579</v>
      </c>
      <c r="AQ4" s="2">
        <f t="shared" ref="AQ4:AQ64" si="14">AO4/M4</f>
        <v>34.018264374266622</v>
      </c>
      <c r="AR4" s="19">
        <v>1397116</v>
      </c>
      <c r="AS4" s="9">
        <f>AR4/L4</f>
        <v>5025.5971223021579</v>
      </c>
      <c r="AT4" s="2">
        <f t="shared" ref="AT4:AT64" si="15">AR4/M4</f>
        <v>23.759263983130111</v>
      </c>
      <c r="AU4" s="8">
        <f t="shared" ref="AU4:AU64" si="16">(AO4-AR4)/AO4</f>
        <v>0.30157330421880685</v>
      </c>
      <c r="AV4" s="17">
        <f t="shared" ref="AV4:AV64" si="17">AO4-AR4</f>
        <v>603260</v>
      </c>
      <c r="AW4" s="50">
        <f>'[2]14.15 Meter Data'!W7</f>
        <v>1690222.9999654</v>
      </c>
      <c r="AX4" s="2">
        <f>AW4/L4</f>
        <v>6079.9388487964025</v>
      </c>
      <c r="AY4" s="2">
        <f t="shared" ref="AY4:AY24" si="18">AW4/M4</f>
        <v>28.74382259349693</v>
      </c>
      <c r="AZ4" s="8">
        <f t="shared" ref="AZ4:AZ24" si="19">(AO4-AW4)/AO4</f>
        <v>0.15504735111529033</v>
      </c>
      <c r="BA4" s="247" t="s">
        <v>169</v>
      </c>
      <c r="BB4" s="64">
        <v>7585100</v>
      </c>
      <c r="BC4" s="42">
        <f>BB4/M4</f>
        <v>128.99171810962025</v>
      </c>
      <c r="BD4" s="15">
        <v>5965486</v>
      </c>
      <c r="BE4" s="15">
        <v>883660</v>
      </c>
      <c r="BF4" s="85">
        <v>0</v>
      </c>
      <c r="BG4" s="3"/>
      <c r="BH4" s="256">
        <v>62500</v>
      </c>
      <c r="BI4" s="1353">
        <f>((BB4-BD4)+BF4+BG4+BH4)/AI4</f>
        <v>44.428673304984024</v>
      </c>
      <c r="BJ4" s="1" t="s">
        <v>294</v>
      </c>
      <c r="BK4" s="11" t="s">
        <v>247</v>
      </c>
    </row>
    <row r="5" spans="1:63" s="41" customFormat="1" ht="27.6" customHeight="1" x14ac:dyDescent="0.2">
      <c r="A5" s="4" t="s">
        <v>83</v>
      </c>
      <c r="B5" s="11" t="s">
        <v>951</v>
      </c>
      <c r="C5" s="11" t="s">
        <v>63</v>
      </c>
      <c r="D5" s="11" t="s">
        <v>985</v>
      </c>
      <c r="E5" s="11" t="s">
        <v>545</v>
      </c>
      <c r="F5" s="1" t="s">
        <v>82</v>
      </c>
      <c r="G5" s="33">
        <v>41348</v>
      </c>
      <c r="H5" s="11" t="s">
        <v>168</v>
      </c>
      <c r="I5" s="33">
        <v>40402</v>
      </c>
      <c r="J5" s="60">
        <v>40693</v>
      </c>
      <c r="K5" s="4" t="s">
        <v>202</v>
      </c>
      <c r="L5" s="11" t="s">
        <v>13</v>
      </c>
      <c r="M5" s="6">
        <v>22705</v>
      </c>
      <c r="N5" s="49">
        <v>2</v>
      </c>
      <c r="O5" s="4" t="s">
        <v>83</v>
      </c>
      <c r="P5" s="11" t="s">
        <v>247</v>
      </c>
      <c r="Q5" s="2">
        <v>2082</v>
      </c>
      <c r="R5" s="12">
        <f t="shared" si="0"/>
        <v>91.697863906628498</v>
      </c>
      <c r="S5" s="2">
        <v>1477</v>
      </c>
      <c r="T5" s="23">
        <f t="shared" si="1"/>
        <v>65.051750715701388</v>
      </c>
      <c r="U5" s="5">
        <f t="shared" si="2"/>
        <v>0.2905859750240154</v>
      </c>
      <c r="V5" s="13">
        <f t="shared" si="3"/>
        <v>605</v>
      </c>
      <c r="W5" s="967">
        <v>42220</v>
      </c>
      <c r="X5" s="49">
        <f>'[2]14.15 Meter Data'!Y16</f>
        <v>7539.9079772952082</v>
      </c>
      <c r="Y5" s="40">
        <f t="shared" si="4"/>
        <v>332.08139076393786</v>
      </c>
      <c r="Z5" s="5">
        <f t="shared" si="5"/>
        <v>-2.6214735721879001</v>
      </c>
      <c r="AA5" s="5"/>
      <c r="AB5" s="51">
        <f t="shared" si="6"/>
        <v>-5457.9079772952082</v>
      </c>
      <c r="AC5" s="4" t="s">
        <v>83</v>
      </c>
      <c r="AD5" s="15">
        <v>30538</v>
      </c>
      <c r="AE5" s="7">
        <f t="shared" si="7"/>
        <v>1.3449900902884828</v>
      </c>
      <c r="AF5" s="15">
        <v>21943</v>
      </c>
      <c r="AG5" s="7">
        <f t="shared" si="8"/>
        <v>0.96643911032812158</v>
      </c>
      <c r="AH5" s="8">
        <f t="shared" si="9"/>
        <v>0.28145261641233871</v>
      </c>
      <c r="AI5" s="16">
        <f t="shared" si="10"/>
        <v>8595</v>
      </c>
      <c r="AJ5" s="15">
        <f>'[2]14.15 Meter Data'!W21</f>
        <v>74557.258902409856</v>
      </c>
      <c r="AK5" s="46">
        <f t="shared" si="11"/>
        <v>3.2837374544113569</v>
      </c>
      <c r="AL5" s="47">
        <f t="shared" si="12"/>
        <v>-1.4414584747661883</v>
      </c>
      <c r="AM5" s="48">
        <f t="shared" si="13"/>
        <v>-44019.258902409856</v>
      </c>
      <c r="AN5" s="4" t="s">
        <v>83</v>
      </c>
      <c r="AO5" s="2">
        <v>48654</v>
      </c>
      <c r="AP5" s="9" t="s">
        <v>13</v>
      </c>
      <c r="AQ5" s="2">
        <f t="shared" si="14"/>
        <v>2.1428760184981281</v>
      </c>
      <c r="AR5" s="2">
        <v>27934</v>
      </c>
      <c r="AS5" s="1" t="s">
        <v>13</v>
      </c>
      <c r="AT5" s="2">
        <f t="shared" si="15"/>
        <v>1.2303016956617485</v>
      </c>
      <c r="AU5" s="8">
        <f t="shared" si="16"/>
        <v>0.42586426604184652</v>
      </c>
      <c r="AV5" s="17">
        <f t="shared" si="17"/>
        <v>20720</v>
      </c>
      <c r="AW5" s="2">
        <f>'[2]14.15 Meter Data'!W27</f>
        <v>4749014.6000000006</v>
      </c>
      <c r="AX5" s="9" t="s">
        <v>13</v>
      </c>
      <c r="AY5" s="2">
        <f t="shared" si="18"/>
        <v>209.16162078837263</v>
      </c>
      <c r="AZ5" s="8">
        <f t="shared" si="19"/>
        <v>-96.607896575821115</v>
      </c>
      <c r="BA5" s="247" t="s">
        <v>83</v>
      </c>
      <c r="BB5" s="64">
        <v>4029200</v>
      </c>
      <c r="BC5" s="42">
        <f>BB5/M5</f>
        <v>177.45870953534464</v>
      </c>
      <c r="BD5" s="15">
        <v>3944812</v>
      </c>
      <c r="BE5" s="15">
        <v>295500</v>
      </c>
      <c r="BF5" s="85">
        <v>0</v>
      </c>
      <c r="BG5" s="3"/>
      <c r="BH5" s="256">
        <v>65100</v>
      </c>
      <c r="BI5" s="1353">
        <f>((BB5-BD5)+BF5+BG5+BH5)/AI5</f>
        <v>17.392437463641652</v>
      </c>
      <c r="BJ5" s="1" t="s">
        <v>295</v>
      </c>
      <c r="BK5" s="11" t="s">
        <v>247</v>
      </c>
    </row>
    <row r="6" spans="1:63" s="41" customFormat="1" ht="27.6" customHeight="1" x14ac:dyDescent="0.2">
      <c r="A6" s="4" t="s">
        <v>283</v>
      </c>
      <c r="B6" s="915" t="s">
        <v>952</v>
      </c>
      <c r="C6" s="11" t="s">
        <v>63</v>
      </c>
      <c r="D6" s="11" t="s">
        <v>985</v>
      </c>
      <c r="E6" s="11" t="s">
        <v>545</v>
      </c>
      <c r="F6" s="1" t="s">
        <v>64</v>
      </c>
      <c r="G6" s="33">
        <v>39974</v>
      </c>
      <c r="H6" s="11" t="s">
        <v>10</v>
      </c>
      <c r="I6" s="33">
        <v>40016</v>
      </c>
      <c r="J6" s="60">
        <v>40743</v>
      </c>
      <c r="K6" s="4" t="s">
        <v>54</v>
      </c>
      <c r="L6" s="11">
        <v>431</v>
      </c>
      <c r="M6" s="6">
        <v>173086</v>
      </c>
      <c r="N6" s="83">
        <v>5</v>
      </c>
      <c r="O6" s="4" t="s">
        <v>283</v>
      </c>
      <c r="P6" s="11" t="s">
        <v>247</v>
      </c>
      <c r="Q6" s="2">
        <v>38283</v>
      </c>
      <c r="R6" s="12">
        <f t="shared" si="0"/>
        <v>221.17906705337231</v>
      </c>
      <c r="S6" s="2">
        <v>32882</v>
      </c>
      <c r="T6" s="23">
        <f t="shared" si="1"/>
        <v>189.97492575944904</v>
      </c>
      <c r="U6" s="5">
        <f t="shared" si="2"/>
        <v>0.14108089752631717</v>
      </c>
      <c r="V6" s="13">
        <f t="shared" si="3"/>
        <v>5401</v>
      </c>
      <c r="W6" s="967">
        <v>42220</v>
      </c>
      <c r="X6" s="49">
        <f>'[2]14.15 Meter Data'!Y26</f>
        <v>11699.818652976777</v>
      </c>
      <c r="Y6" s="40">
        <f t="shared" si="4"/>
        <v>67.595407213620845</v>
      </c>
      <c r="Z6" s="5">
        <f t="shared" si="5"/>
        <v>0.69438605509033313</v>
      </c>
      <c r="AA6" s="903" t="s">
        <v>955</v>
      </c>
      <c r="AB6" s="51">
        <f t="shared" si="6"/>
        <v>26583.181347023223</v>
      </c>
      <c r="AC6" s="4" t="s">
        <v>283</v>
      </c>
      <c r="AD6" s="15">
        <v>478677</v>
      </c>
      <c r="AE6" s="7">
        <f t="shared" si="7"/>
        <v>2.7655442958991485</v>
      </c>
      <c r="AF6" s="15">
        <v>411144</v>
      </c>
      <c r="AG6" s="7">
        <f t="shared" si="8"/>
        <v>2.3753740914920907</v>
      </c>
      <c r="AH6" s="8">
        <f t="shared" si="9"/>
        <v>0.14108260894089333</v>
      </c>
      <c r="AI6" s="16">
        <f t="shared" si="10"/>
        <v>67533</v>
      </c>
      <c r="AJ6" s="15">
        <f>'[2]14.15 Meter Data'!W30</f>
        <v>152079.25159317223</v>
      </c>
      <c r="AK6" s="46">
        <f t="shared" si="11"/>
        <v>0.87863404084196428</v>
      </c>
      <c r="AL6" s="47">
        <f t="shared" si="12"/>
        <v>0.68229254467381517</v>
      </c>
      <c r="AM6" s="48">
        <f t="shared" si="13"/>
        <v>326597.7484068278</v>
      </c>
      <c r="AN6" s="4" t="s">
        <v>283</v>
      </c>
      <c r="AO6" s="2">
        <v>6961135</v>
      </c>
      <c r="AP6" s="2">
        <f>AO6/L6</f>
        <v>16151.125290023201</v>
      </c>
      <c r="AQ6" s="10">
        <f t="shared" si="14"/>
        <v>40.217781911881957</v>
      </c>
      <c r="AR6" s="2">
        <v>5188175</v>
      </c>
      <c r="AS6" s="9">
        <f>AR6/L6</f>
        <v>12037.529002320185</v>
      </c>
      <c r="AT6" s="10">
        <f t="shared" si="15"/>
        <v>29.974550223588274</v>
      </c>
      <c r="AU6" s="8">
        <f t="shared" si="16"/>
        <v>0.25469409801706189</v>
      </c>
      <c r="AV6" s="2">
        <f t="shared" si="17"/>
        <v>1772960</v>
      </c>
      <c r="AW6" s="2">
        <f>'[2]14.15 Meter Data'!W27</f>
        <v>4749014.6000000006</v>
      </c>
      <c r="AX6" s="2">
        <f>AW6/L6</f>
        <v>11018.595359628771</v>
      </c>
      <c r="AY6" s="2">
        <f t="shared" si="18"/>
        <v>27.437312087632741</v>
      </c>
      <c r="AZ6" s="8">
        <f t="shared" si="19"/>
        <v>0.31778156866660384</v>
      </c>
      <c r="BA6" s="247" t="s">
        <v>283</v>
      </c>
      <c r="BB6" s="64">
        <v>32995620</v>
      </c>
      <c r="BC6" s="42">
        <f>BB6/M6</f>
        <v>190.63136244410293</v>
      </c>
      <c r="BD6" s="15">
        <v>33000165</v>
      </c>
      <c r="BE6" s="15">
        <v>2747550</v>
      </c>
      <c r="BF6" s="15">
        <v>58700</v>
      </c>
      <c r="BG6" s="15"/>
      <c r="BH6" s="256">
        <v>177000</v>
      </c>
      <c r="BI6" s="1353">
        <f>((BB6-BD6)+BF6+BG6+BH6)/AI6</f>
        <v>3.4228451275672636</v>
      </c>
      <c r="BJ6" s="1" t="s">
        <v>296</v>
      </c>
      <c r="BK6" s="11" t="s">
        <v>247</v>
      </c>
    </row>
    <row r="7" spans="1:63" s="41" customFormat="1" ht="27.6" customHeight="1" x14ac:dyDescent="0.2">
      <c r="A7" s="4" t="s">
        <v>529</v>
      </c>
      <c r="B7" s="915" t="s">
        <v>952</v>
      </c>
      <c r="C7" s="11" t="s">
        <v>20</v>
      </c>
      <c r="D7" s="11" t="s">
        <v>986</v>
      </c>
      <c r="E7" s="429" t="s">
        <v>1029</v>
      </c>
      <c r="F7" s="1" t="s">
        <v>470</v>
      </c>
      <c r="G7" s="33">
        <v>40169</v>
      </c>
      <c r="H7" s="11" t="s">
        <v>10</v>
      </c>
      <c r="I7" s="33">
        <v>40203</v>
      </c>
      <c r="J7" s="60">
        <v>40760</v>
      </c>
      <c r="K7" s="4" t="s">
        <v>267</v>
      </c>
      <c r="L7" s="11" t="s">
        <v>13</v>
      </c>
      <c r="M7" s="6">
        <v>69610</v>
      </c>
      <c r="N7" s="49">
        <v>5</v>
      </c>
      <c r="O7" s="4" t="s">
        <v>529</v>
      </c>
      <c r="P7" s="11" t="s">
        <v>247</v>
      </c>
      <c r="Q7" s="2">
        <v>6048.6</v>
      </c>
      <c r="R7" s="12">
        <f t="shared" si="0"/>
        <v>86.892687832208026</v>
      </c>
      <c r="S7" s="2">
        <v>2596.1999999999998</v>
      </c>
      <c r="T7" s="23">
        <f t="shared" si="1"/>
        <v>37.296365464732077</v>
      </c>
      <c r="U7" s="5">
        <f t="shared" si="2"/>
        <v>0.57077670865985519</v>
      </c>
      <c r="V7" s="13">
        <f t="shared" si="3"/>
        <v>3452.4000000000005</v>
      </c>
      <c r="W7" s="967">
        <v>42242</v>
      </c>
      <c r="X7" s="9">
        <f>'[2]14.15 Meter Data'!Y36</f>
        <v>5266.0815018623443</v>
      </c>
      <c r="Y7" s="40">
        <f t="shared" si="4"/>
        <v>75.651221115677984</v>
      </c>
      <c r="Z7" s="5">
        <f t="shared" si="5"/>
        <v>0.12937183780340178</v>
      </c>
      <c r="AA7" s="5"/>
      <c r="AB7" s="51">
        <f t="shared" si="6"/>
        <v>782.51849813765602</v>
      </c>
      <c r="AC7" s="4" t="s">
        <v>529</v>
      </c>
      <c r="AD7" s="15">
        <v>148249</v>
      </c>
      <c r="AE7" s="7">
        <f t="shared" si="7"/>
        <v>2.1297083752334434</v>
      </c>
      <c r="AF7" s="15">
        <v>61035</v>
      </c>
      <c r="AG7" s="7">
        <f t="shared" si="8"/>
        <v>0.87681367619594885</v>
      </c>
      <c r="AH7" s="8">
        <f t="shared" si="9"/>
        <v>0.5882940188466701</v>
      </c>
      <c r="AI7" s="16">
        <f t="shared" si="10"/>
        <v>87214</v>
      </c>
      <c r="AJ7" s="29">
        <f>'[2]14.15 Meter Data'!W41</f>
        <v>53111.429999999993</v>
      </c>
      <c r="AK7" s="46">
        <f t="shared" si="11"/>
        <v>0.76298563424795274</v>
      </c>
      <c r="AL7" s="47">
        <f t="shared" si="12"/>
        <v>0.64174173181606631</v>
      </c>
      <c r="AM7" s="48">
        <f t="shared" si="13"/>
        <v>95137.57</v>
      </c>
      <c r="AN7" s="4" t="s">
        <v>529</v>
      </c>
      <c r="AO7" s="2">
        <v>871150</v>
      </c>
      <c r="AP7" s="9" t="s">
        <v>13</v>
      </c>
      <c r="AQ7" s="10">
        <f t="shared" si="14"/>
        <v>12.514724895848298</v>
      </c>
      <c r="AR7" s="2">
        <v>601563</v>
      </c>
      <c r="AS7" s="9" t="s">
        <v>13</v>
      </c>
      <c r="AT7" s="10">
        <f t="shared" si="15"/>
        <v>8.6419048987214477</v>
      </c>
      <c r="AU7" s="8">
        <f t="shared" si="16"/>
        <v>0.30946105722321071</v>
      </c>
      <c r="AV7" s="17">
        <f t="shared" si="17"/>
        <v>269587</v>
      </c>
      <c r="AW7" s="2">
        <f>'[2]14.15 Meter Data'!W37</f>
        <v>573514.04</v>
      </c>
      <c r="AX7" s="9" t="s">
        <v>13</v>
      </c>
      <c r="AY7" s="2">
        <f t="shared" si="18"/>
        <v>8.238960494181871</v>
      </c>
      <c r="AZ7" s="8">
        <f t="shared" si="19"/>
        <v>0.34165868105377944</v>
      </c>
      <c r="BA7" s="247" t="s">
        <v>529</v>
      </c>
      <c r="BB7" s="64">
        <v>16198787</v>
      </c>
      <c r="BC7" s="42">
        <f>BB7/M7</f>
        <v>232.70775750610545</v>
      </c>
      <c r="BD7" s="15">
        <f>BB7-195321</f>
        <v>16003466</v>
      </c>
      <c r="BE7" s="15">
        <v>1795875</v>
      </c>
      <c r="BF7" s="15">
        <v>82875</v>
      </c>
      <c r="BG7" s="15">
        <v>16175</v>
      </c>
      <c r="BH7" s="256">
        <v>265694</v>
      </c>
      <c r="BI7" s="1353">
        <f>((BB7-BD7)+BF7+BG7+BH7)/AI7</f>
        <v>6.4217327493292364</v>
      </c>
      <c r="BJ7" s="1" t="s">
        <v>302</v>
      </c>
      <c r="BK7" s="11" t="s">
        <v>247</v>
      </c>
    </row>
    <row r="8" spans="1:63" s="41" customFormat="1" ht="27.6" customHeight="1" x14ac:dyDescent="0.2">
      <c r="A8" s="4" t="s">
        <v>191</v>
      </c>
      <c r="B8" s="915" t="s">
        <v>950</v>
      </c>
      <c r="C8" s="11" t="s">
        <v>20</v>
      </c>
      <c r="D8" s="11" t="s">
        <v>986</v>
      </c>
      <c r="E8" s="429" t="s">
        <v>1029</v>
      </c>
      <c r="F8" s="1" t="s">
        <v>70</v>
      </c>
      <c r="G8" s="33">
        <v>40991</v>
      </c>
      <c r="H8" s="11" t="s">
        <v>168</v>
      </c>
      <c r="I8" s="33">
        <v>40028</v>
      </c>
      <c r="J8" s="60">
        <v>40765</v>
      </c>
      <c r="K8" s="4" t="s">
        <v>54</v>
      </c>
      <c r="L8" s="19">
        <v>528</v>
      </c>
      <c r="M8" s="6">
        <v>133570</v>
      </c>
      <c r="N8" s="49">
        <v>4</v>
      </c>
      <c r="O8" s="4" t="s">
        <v>191</v>
      </c>
      <c r="P8" s="11" t="s">
        <v>247</v>
      </c>
      <c r="Q8" s="2">
        <v>16482</v>
      </c>
      <c r="R8" s="12">
        <f t="shared" si="0"/>
        <v>123.39597214943475</v>
      </c>
      <c r="S8" s="2">
        <v>10635</v>
      </c>
      <c r="T8" s="23">
        <f t="shared" si="1"/>
        <v>79.621172418956348</v>
      </c>
      <c r="U8" s="5">
        <f t="shared" si="2"/>
        <v>0.35475063705860937</v>
      </c>
      <c r="V8" s="13">
        <f t="shared" si="3"/>
        <v>5847</v>
      </c>
      <c r="W8" s="967">
        <v>42242</v>
      </c>
      <c r="X8" s="49">
        <f>'[2]14.15 Meter Data'!Y47</f>
        <v>5468.1767792151441</v>
      </c>
      <c r="Y8" s="40">
        <f t="shared" si="4"/>
        <v>40.938659723105069</v>
      </c>
      <c r="Z8" s="5">
        <f t="shared" si="5"/>
        <v>0.66823341953554516</v>
      </c>
      <c r="AA8" s="5"/>
      <c r="AB8" s="51">
        <f t="shared" si="6"/>
        <v>11013.823220784856</v>
      </c>
      <c r="AC8" s="4" t="s">
        <v>191</v>
      </c>
      <c r="AD8" s="15">
        <v>292778</v>
      </c>
      <c r="AE8" s="7">
        <f t="shared" si="7"/>
        <v>2.1919442988695068</v>
      </c>
      <c r="AF8" s="15">
        <v>198708</v>
      </c>
      <c r="AG8" s="7">
        <f t="shared" si="8"/>
        <v>1.4876693868383619</v>
      </c>
      <c r="AH8" s="8">
        <f t="shared" si="9"/>
        <v>0.32130146390780728</v>
      </c>
      <c r="AI8" s="16">
        <f t="shared" si="10"/>
        <v>94070</v>
      </c>
      <c r="AJ8" s="15">
        <f>'[2]14.15 Meter Data'!W52</f>
        <v>90016.62</v>
      </c>
      <c r="AK8" s="46">
        <f t="shared" si="11"/>
        <v>0.6739284270420004</v>
      </c>
      <c r="AL8" s="47">
        <f t="shared" si="12"/>
        <v>0.69254308725382374</v>
      </c>
      <c r="AM8" s="48">
        <f t="shared" si="13"/>
        <v>202761.38</v>
      </c>
      <c r="AN8" s="4" t="s">
        <v>191</v>
      </c>
      <c r="AO8" s="2">
        <v>6283057</v>
      </c>
      <c r="AP8" s="2">
        <f>AO8/L8</f>
        <v>11899.729166666666</v>
      </c>
      <c r="AQ8" s="2">
        <f t="shared" si="14"/>
        <v>47.039432507299544</v>
      </c>
      <c r="AR8" s="2">
        <v>4373148</v>
      </c>
      <c r="AS8" s="9">
        <f>AR8/L8</f>
        <v>8282.4772727272721</v>
      </c>
      <c r="AT8" s="2">
        <f t="shared" si="15"/>
        <v>32.740495620274011</v>
      </c>
      <c r="AU8" s="8">
        <f t="shared" si="16"/>
        <v>0.30397766564906226</v>
      </c>
      <c r="AV8" s="17">
        <f t="shared" si="17"/>
        <v>1909909</v>
      </c>
      <c r="AW8" s="2">
        <f>'[2]14.15 Meter Data'!W48</f>
        <v>6365098.5200000005</v>
      </c>
      <c r="AX8" s="2">
        <f>AW8/L8</f>
        <v>12055.110833333334</v>
      </c>
      <c r="AY8" s="2">
        <f t="shared" si="18"/>
        <v>47.653653664745079</v>
      </c>
      <c r="AZ8" s="8">
        <f t="shared" si="19"/>
        <v>-1.3057580091983963E-2</v>
      </c>
      <c r="BA8" s="247" t="s">
        <v>191</v>
      </c>
      <c r="BB8" s="64">
        <v>23276802</v>
      </c>
      <c r="BC8" s="42">
        <f>BB8/M8</f>
        <v>174.2666916223703</v>
      </c>
      <c r="BD8" s="15">
        <v>21956196</v>
      </c>
      <c r="BE8" s="15">
        <v>2186050</v>
      </c>
      <c r="BF8" s="15">
        <f>99800+73700</f>
        <v>173500</v>
      </c>
      <c r="BG8" s="15"/>
      <c r="BH8" s="255">
        <v>104934</v>
      </c>
      <c r="BI8" s="1353">
        <f>((BB8-BD8)+BF8+BG8+BH8)/AI8</f>
        <v>16.998405442755395</v>
      </c>
      <c r="BJ8" s="1" t="s">
        <v>297</v>
      </c>
      <c r="BK8" s="11" t="s">
        <v>247</v>
      </c>
    </row>
    <row r="9" spans="1:63" s="41" customFormat="1" ht="27.6" customHeight="1" x14ac:dyDescent="0.2">
      <c r="A9" s="349" t="s">
        <v>1018</v>
      </c>
      <c r="B9" s="899" t="s">
        <v>951</v>
      </c>
      <c r="C9" s="11" t="s">
        <v>147</v>
      </c>
      <c r="D9" s="11" t="s">
        <v>987</v>
      </c>
      <c r="E9" s="429"/>
      <c r="F9" s="1" t="s">
        <v>523</v>
      </c>
      <c r="G9" s="33">
        <v>40315</v>
      </c>
      <c r="H9" s="11" t="s">
        <v>10</v>
      </c>
      <c r="I9" s="33" t="s">
        <v>475</v>
      </c>
      <c r="J9" s="60">
        <v>40773</v>
      </c>
      <c r="K9" s="4" t="s">
        <v>524</v>
      </c>
      <c r="L9" s="19" t="s">
        <v>13</v>
      </c>
      <c r="M9" s="6">
        <v>170189</v>
      </c>
      <c r="N9" s="49">
        <v>6</v>
      </c>
      <c r="O9" s="349" t="s">
        <v>1018</v>
      </c>
      <c r="P9" s="11" t="s">
        <v>247</v>
      </c>
      <c r="Q9" s="2">
        <v>10672</v>
      </c>
      <c r="R9" s="12">
        <f t="shared" si="0"/>
        <v>62.706755430727014</v>
      </c>
      <c r="S9" s="2">
        <v>7143</v>
      </c>
      <c r="T9" s="23">
        <f t="shared" si="1"/>
        <v>41.970985198808378</v>
      </c>
      <c r="U9" s="5">
        <f t="shared" si="2"/>
        <v>0.3306784107946027</v>
      </c>
      <c r="V9" s="13">
        <f t="shared" si="3"/>
        <v>3529</v>
      </c>
      <c r="W9" s="967">
        <v>42233</v>
      </c>
      <c r="X9" s="49">
        <f>'[2]14.15 Meter Data'!Y59</f>
        <v>25820.052486299279</v>
      </c>
      <c r="Y9" s="40">
        <f t="shared" si="4"/>
        <v>151.71399142306072</v>
      </c>
      <c r="Z9" s="5">
        <f t="shared" si="5"/>
        <v>-1.4194202104853146</v>
      </c>
      <c r="AA9" s="5"/>
      <c r="AB9" s="51">
        <f t="shared" si="6"/>
        <v>-15148.052486299279</v>
      </c>
      <c r="AC9" s="349" t="s">
        <v>1018</v>
      </c>
      <c r="AD9" s="15">
        <v>116674</v>
      </c>
      <c r="AE9" s="7">
        <f t="shared" si="7"/>
        <v>0.68555547068259404</v>
      </c>
      <c r="AF9" s="15">
        <v>78320</v>
      </c>
      <c r="AG9" s="7">
        <f t="shared" si="8"/>
        <v>0.46019425462280172</v>
      </c>
      <c r="AH9" s="8">
        <f t="shared" si="9"/>
        <v>0.32872790853146372</v>
      </c>
      <c r="AI9" s="16">
        <f t="shared" si="10"/>
        <v>38354</v>
      </c>
      <c r="AJ9" s="15">
        <f>'[2]14.15 Meter Data'!W65</f>
        <v>274420.26</v>
      </c>
      <c r="AK9" s="22">
        <f t="shared" si="11"/>
        <v>1.6124441650165404</v>
      </c>
      <c r="AL9" s="47">
        <f t="shared" si="12"/>
        <v>-1.3520258155201674</v>
      </c>
      <c r="AM9" s="48">
        <f t="shared" si="13"/>
        <v>-157746.26</v>
      </c>
      <c r="AN9" s="349" t="s">
        <v>1018</v>
      </c>
      <c r="AO9" s="2">
        <v>1518337</v>
      </c>
      <c r="AP9" s="9" t="s">
        <v>13</v>
      </c>
      <c r="AQ9" s="2">
        <f t="shared" si="14"/>
        <v>8.9214755360217168</v>
      </c>
      <c r="AR9" s="2">
        <v>991995</v>
      </c>
      <c r="AS9" s="9" t="s">
        <v>13</v>
      </c>
      <c r="AT9" s="2">
        <f t="shared" si="15"/>
        <v>5.8287844690314889</v>
      </c>
      <c r="AU9" s="8">
        <f t="shared" si="16"/>
        <v>0.34665690159694457</v>
      </c>
      <c r="AV9" s="17">
        <f t="shared" si="17"/>
        <v>526342</v>
      </c>
      <c r="AW9" s="2">
        <f>'[2]14.15 Meter Data'!W60</f>
        <v>1871000</v>
      </c>
      <c r="AX9" s="9" t="s">
        <v>13</v>
      </c>
      <c r="AY9" s="2">
        <f t="shared" si="18"/>
        <v>10.993659989776072</v>
      </c>
      <c r="AZ9" s="8">
        <f t="shared" si="19"/>
        <v>-0.23226925247820476</v>
      </c>
      <c r="BA9" s="349" t="s">
        <v>1018</v>
      </c>
      <c r="BB9" s="71" t="s">
        <v>288</v>
      </c>
      <c r="BC9" s="42"/>
      <c r="BD9" s="15"/>
      <c r="BE9" s="33" t="s">
        <v>288</v>
      </c>
      <c r="BF9" s="15"/>
      <c r="BG9" s="33" t="s">
        <v>288</v>
      </c>
      <c r="BH9" s="33" t="s">
        <v>288</v>
      </c>
      <c r="BI9" s="1353"/>
      <c r="BJ9" s="1" t="s">
        <v>301</v>
      </c>
      <c r="BK9" s="11" t="s">
        <v>247</v>
      </c>
    </row>
    <row r="10" spans="1:63" s="41" customFormat="1" ht="27.6" customHeight="1" x14ac:dyDescent="0.2">
      <c r="A10" s="4" t="s">
        <v>982</v>
      </c>
      <c r="B10" s="915" t="s">
        <v>953</v>
      </c>
      <c r="C10" s="11" t="s">
        <v>276</v>
      </c>
      <c r="D10" s="11" t="s">
        <v>988</v>
      </c>
      <c r="E10" s="11" t="s">
        <v>656</v>
      </c>
      <c r="F10" s="1" t="s">
        <v>118</v>
      </c>
      <c r="G10" s="33">
        <v>40304</v>
      </c>
      <c r="H10" s="11" t="s">
        <v>10</v>
      </c>
      <c r="I10" s="33">
        <v>40477</v>
      </c>
      <c r="J10" s="60">
        <v>40774</v>
      </c>
      <c r="K10" s="4" t="s">
        <v>93</v>
      </c>
      <c r="L10" s="11" t="s">
        <v>13</v>
      </c>
      <c r="M10" s="6">
        <v>67904</v>
      </c>
      <c r="N10" s="83">
        <v>1</v>
      </c>
      <c r="O10" s="4" t="s">
        <v>92</v>
      </c>
      <c r="P10" s="11" t="s">
        <v>247</v>
      </c>
      <c r="Q10" s="2">
        <v>2961</v>
      </c>
      <c r="R10" s="12">
        <f t="shared" si="0"/>
        <v>43.605678605089537</v>
      </c>
      <c r="S10" s="2">
        <v>1736</v>
      </c>
      <c r="T10" s="23">
        <f t="shared" si="1"/>
        <v>25.565504241281811</v>
      </c>
      <c r="U10" s="5">
        <f t="shared" si="2"/>
        <v>0.41371158392434987</v>
      </c>
      <c r="V10" s="13">
        <f t="shared" si="3"/>
        <v>1225</v>
      </c>
      <c r="W10" s="967">
        <v>42240</v>
      </c>
      <c r="X10" s="49">
        <f>'[2]14.15 Meter Data'!Y70</f>
        <v>3571.0090664579279</v>
      </c>
      <c r="Y10" s="40">
        <f t="shared" si="4"/>
        <v>52.589082623379007</v>
      </c>
      <c r="Z10" s="5">
        <f t="shared" si="5"/>
        <v>-0.2060145445653252</v>
      </c>
      <c r="AA10" s="5"/>
      <c r="AB10" s="51">
        <f t="shared" si="6"/>
        <v>-610.00906645792793</v>
      </c>
      <c r="AC10" s="4" t="s">
        <v>92</v>
      </c>
      <c r="AD10" s="15">
        <v>72840</v>
      </c>
      <c r="AE10" s="24">
        <f t="shared" si="7"/>
        <v>1.0726908576814327</v>
      </c>
      <c r="AF10" s="15">
        <v>42637</v>
      </c>
      <c r="AG10" s="24">
        <f t="shared" si="8"/>
        <v>0.62790115457115925</v>
      </c>
      <c r="AH10" s="8">
        <f t="shared" si="9"/>
        <v>0.41464854475562879</v>
      </c>
      <c r="AI10" s="16">
        <f t="shared" si="10"/>
        <v>30203</v>
      </c>
      <c r="AJ10" s="15">
        <f>'[2]14.15 Meter Data'!W74</f>
        <v>67408.87000000001</v>
      </c>
      <c r="AK10" s="22">
        <f t="shared" si="11"/>
        <v>0.99270838242224335</v>
      </c>
      <c r="AL10" s="47">
        <f t="shared" si="12"/>
        <v>7.4562465678198658E-2</v>
      </c>
      <c r="AM10" s="48">
        <f t="shared" si="13"/>
        <v>5431.1299999999901</v>
      </c>
      <c r="AN10" s="4" t="s">
        <v>92</v>
      </c>
      <c r="AO10" s="2">
        <v>109500</v>
      </c>
      <c r="AP10" s="9" t="s">
        <v>13</v>
      </c>
      <c r="AQ10" s="2">
        <f t="shared" si="14"/>
        <v>1.6125706880301602</v>
      </c>
      <c r="AR10" s="2">
        <v>87313</v>
      </c>
      <c r="AS10" s="9" t="s">
        <v>13</v>
      </c>
      <c r="AT10" s="2">
        <f t="shared" si="15"/>
        <v>1.2858299952874646</v>
      </c>
      <c r="AU10" s="8">
        <f t="shared" si="16"/>
        <v>0.20262100456621004</v>
      </c>
      <c r="AV10" s="17">
        <f t="shared" si="17"/>
        <v>22187</v>
      </c>
      <c r="AW10" s="2">
        <f>'[2]14.15 Meter Data'!W71</f>
        <v>913308</v>
      </c>
      <c r="AX10" s="9" t="s">
        <v>13</v>
      </c>
      <c r="AY10" s="2">
        <f t="shared" si="18"/>
        <v>13.449988218661639</v>
      </c>
      <c r="AZ10" s="8">
        <f t="shared" si="19"/>
        <v>-7.3407123287671237</v>
      </c>
      <c r="BA10" s="247" t="s">
        <v>92</v>
      </c>
      <c r="BB10" s="64">
        <v>5507600</v>
      </c>
      <c r="BC10" s="42">
        <f t="shared" ref="BC10:BC24" si="20">BB10/M10</f>
        <v>81.108623939679546</v>
      </c>
      <c r="BD10" s="15">
        <v>5351000</v>
      </c>
      <c r="BE10" s="15">
        <v>484000</v>
      </c>
      <c r="BF10" s="15">
        <v>15000</v>
      </c>
      <c r="BG10" s="3"/>
      <c r="BH10" s="256">
        <v>43640</v>
      </c>
      <c r="BI10" s="1353">
        <f t="shared" ref="BI10:BI24" si="21">((BB10-BD10)+BF10+BG10+BH10)/AI10</f>
        <v>7.1264443929410985</v>
      </c>
      <c r="BJ10" s="1"/>
      <c r="BK10" s="11" t="s">
        <v>247</v>
      </c>
    </row>
    <row r="11" spans="1:63" s="41" customFormat="1" ht="27.6" customHeight="1" x14ac:dyDescent="0.2">
      <c r="A11" s="4" t="s">
        <v>269</v>
      </c>
      <c r="B11" s="915" t="s">
        <v>950</v>
      </c>
      <c r="C11" s="11" t="s">
        <v>60</v>
      </c>
      <c r="D11" s="11" t="s">
        <v>989</v>
      </c>
      <c r="E11" s="11" t="s">
        <v>510</v>
      </c>
      <c r="F11" s="1" t="s">
        <v>1023</v>
      </c>
      <c r="G11" s="33">
        <v>40249</v>
      </c>
      <c r="H11" s="11" t="s">
        <v>10</v>
      </c>
      <c r="I11" s="33">
        <v>40339</v>
      </c>
      <c r="J11" s="60">
        <v>40798</v>
      </c>
      <c r="K11" s="4" t="s">
        <v>112</v>
      </c>
      <c r="L11" s="11" t="s">
        <v>13</v>
      </c>
      <c r="M11" s="6">
        <v>24663</v>
      </c>
      <c r="N11" s="49">
        <v>2</v>
      </c>
      <c r="O11" s="4" t="s">
        <v>208</v>
      </c>
      <c r="P11" s="11" t="s">
        <v>247</v>
      </c>
      <c r="Q11" s="2">
        <v>2746</v>
      </c>
      <c r="R11" s="12">
        <f t="shared" si="0"/>
        <v>111.34087499493168</v>
      </c>
      <c r="S11" s="2">
        <v>1547</v>
      </c>
      <c r="T11" s="23">
        <f t="shared" si="1"/>
        <v>62.725540283015036</v>
      </c>
      <c r="U11" s="5">
        <f t="shared" si="2"/>
        <v>0.43663510560815733</v>
      </c>
      <c r="V11" s="13">
        <f t="shared" si="3"/>
        <v>1199</v>
      </c>
      <c r="W11" s="967">
        <v>42242</v>
      </c>
      <c r="X11" s="49">
        <f>'[2]14.15 Meter Data'!Y80</f>
        <v>13935.835685824706</v>
      </c>
      <c r="Y11" s="40">
        <f t="shared" si="4"/>
        <v>565.05030555182691</v>
      </c>
      <c r="Z11" s="5">
        <f t="shared" si="5"/>
        <v>-4.074958370657213</v>
      </c>
      <c r="AA11" s="5"/>
      <c r="AB11" s="51">
        <f t="shared" si="6"/>
        <v>-11189.835685824706</v>
      </c>
      <c r="AC11" s="4" t="s">
        <v>208</v>
      </c>
      <c r="AD11" s="15">
        <v>69316</v>
      </c>
      <c r="AE11" s="7">
        <f t="shared" si="7"/>
        <v>2.8105258889834976</v>
      </c>
      <c r="AF11" s="15">
        <v>38688</v>
      </c>
      <c r="AG11" s="7">
        <f t="shared" si="8"/>
        <v>1.5686656124559055</v>
      </c>
      <c r="AH11" s="8">
        <f t="shared" si="9"/>
        <v>0.44186046511627908</v>
      </c>
      <c r="AI11" s="16">
        <f t="shared" si="10"/>
        <v>30628</v>
      </c>
      <c r="AJ11" s="15">
        <f>'[2]14.15 Meter Data'!W85</f>
        <v>227815.72310912667</v>
      </c>
      <c r="AK11" s="22">
        <f t="shared" si="11"/>
        <v>9.2371456476960088</v>
      </c>
      <c r="AL11" s="47">
        <f t="shared" si="12"/>
        <v>-2.2866253550280842</v>
      </c>
      <c r="AM11" s="48">
        <f t="shared" si="13"/>
        <v>-158499.72310912667</v>
      </c>
      <c r="AN11" s="4" t="s">
        <v>208</v>
      </c>
      <c r="AO11" s="2">
        <v>320198</v>
      </c>
      <c r="AP11" s="9" t="s">
        <v>13</v>
      </c>
      <c r="AQ11" s="2">
        <f t="shared" si="14"/>
        <v>12.982929894984389</v>
      </c>
      <c r="AR11" s="2">
        <v>230958</v>
      </c>
      <c r="AS11" s="9" t="s">
        <v>13</v>
      </c>
      <c r="AT11" s="2">
        <f t="shared" si="15"/>
        <v>9.3645541904877749</v>
      </c>
      <c r="AU11" s="8">
        <f t="shared" si="16"/>
        <v>0.2787025527954578</v>
      </c>
      <c r="AV11" s="17">
        <f t="shared" si="17"/>
        <v>89240</v>
      </c>
      <c r="AW11" s="2">
        <f>'[2]14.15 Meter Data'!W85</f>
        <v>227815.72310912667</v>
      </c>
      <c r="AX11" s="9" t="s">
        <v>13</v>
      </c>
      <c r="AY11" s="2">
        <f t="shared" si="18"/>
        <v>9.2371456476960088</v>
      </c>
      <c r="AZ11" s="8">
        <f t="shared" si="19"/>
        <v>0.28851609594961031</v>
      </c>
      <c r="BA11" s="247" t="s">
        <v>208</v>
      </c>
      <c r="BB11" s="64">
        <v>6017900</v>
      </c>
      <c r="BC11" s="42">
        <f t="shared" si="20"/>
        <v>244.00518996066984</v>
      </c>
      <c r="BD11" s="15">
        <v>5778782</v>
      </c>
      <c r="BE11" s="15">
        <v>634045</v>
      </c>
      <c r="BF11" s="15">
        <f>23400+42175</f>
        <v>65575</v>
      </c>
      <c r="BG11" s="3"/>
      <c r="BH11" s="256">
        <v>106438</v>
      </c>
      <c r="BI11" s="1353">
        <f t="shared" si="21"/>
        <v>13.423370771842759</v>
      </c>
      <c r="BJ11" s="1" t="s">
        <v>302</v>
      </c>
      <c r="BK11" s="11" t="s">
        <v>247</v>
      </c>
    </row>
    <row r="12" spans="1:63" s="41" customFormat="1" ht="27.6" customHeight="1" x14ac:dyDescent="0.2">
      <c r="A12" s="241" t="s">
        <v>282</v>
      </c>
      <c r="B12" s="943" t="s">
        <v>953</v>
      </c>
      <c r="C12" s="11" t="s">
        <v>6</v>
      </c>
      <c r="D12" s="11" t="s">
        <v>990</v>
      </c>
      <c r="E12" s="11" t="s">
        <v>547</v>
      </c>
      <c r="F12" s="1" t="s">
        <v>37</v>
      </c>
      <c r="G12" s="33">
        <v>40189</v>
      </c>
      <c r="H12" s="11" t="s">
        <v>10</v>
      </c>
      <c r="I12" s="33">
        <v>40183</v>
      </c>
      <c r="J12" s="60">
        <v>40940</v>
      </c>
      <c r="K12" s="4" t="s">
        <v>12</v>
      </c>
      <c r="L12" s="11" t="s">
        <v>13</v>
      </c>
      <c r="M12" s="6">
        <v>48112</v>
      </c>
      <c r="N12" s="49">
        <v>3</v>
      </c>
      <c r="O12" s="241" t="s">
        <v>282</v>
      </c>
      <c r="P12" s="11" t="s">
        <v>247</v>
      </c>
      <c r="Q12" s="2">
        <v>3078</v>
      </c>
      <c r="R12" s="12">
        <f t="shared" si="0"/>
        <v>63.975723312271377</v>
      </c>
      <c r="S12" s="2">
        <v>1625</v>
      </c>
      <c r="T12" s="23">
        <f t="shared" si="1"/>
        <v>33.775357499168607</v>
      </c>
      <c r="U12" s="5">
        <f t="shared" si="2"/>
        <v>0.47205977907732294</v>
      </c>
      <c r="V12" s="13">
        <f t="shared" si="3"/>
        <v>1453</v>
      </c>
      <c r="W12" s="967">
        <v>42243</v>
      </c>
      <c r="X12" s="49">
        <f>'[2]14.15 Meter Data'!W89</f>
        <v>2146.7496959999999</v>
      </c>
      <c r="Y12" s="40">
        <f t="shared" si="4"/>
        <v>44.61983904223478</v>
      </c>
      <c r="Z12" s="5">
        <f t="shared" si="5"/>
        <v>0.30255045614035092</v>
      </c>
      <c r="AA12" s="903" t="s">
        <v>955</v>
      </c>
      <c r="AB12" s="51">
        <f t="shared" si="6"/>
        <v>931.25030400000014</v>
      </c>
      <c r="AC12" s="241" t="s">
        <v>282</v>
      </c>
      <c r="AD12" s="15">
        <v>64655</v>
      </c>
      <c r="AE12" s="7">
        <f t="shared" si="7"/>
        <v>1.3438435317592285</v>
      </c>
      <c r="AF12" s="15">
        <v>34128</v>
      </c>
      <c r="AG12" s="7">
        <f t="shared" si="8"/>
        <v>0.70934486198869307</v>
      </c>
      <c r="AH12" s="8">
        <f t="shared" si="9"/>
        <v>0.47215219240584644</v>
      </c>
      <c r="AI12" s="16">
        <f t="shared" si="10"/>
        <v>30527</v>
      </c>
      <c r="AJ12" s="15">
        <f>'[2]14.15 Meter Data'!W91</f>
        <v>76577.070000000007</v>
      </c>
      <c r="AK12" s="22">
        <f t="shared" si="11"/>
        <v>1.5916417941469905</v>
      </c>
      <c r="AL12" s="47">
        <f t="shared" si="12"/>
        <v>-0.18439517438713179</v>
      </c>
      <c r="AM12" s="48">
        <f t="shared" si="13"/>
        <v>-11922.070000000007</v>
      </c>
      <c r="AN12" s="241" t="s">
        <v>282</v>
      </c>
      <c r="AO12" s="2">
        <v>1506938</v>
      </c>
      <c r="AP12" s="9" t="s">
        <v>13</v>
      </c>
      <c r="AQ12" s="2">
        <f t="shared" si="14"/>
        <v>31.321458264050548</v>
      </c>
      <c r="AR12" s="2">
        <v>1056525</v>
      </c>
      <c r="AS12" s="1" t="s">
        <v>13</v>
      </c>
      <c r="AT12" s="2">
        <f t="shared" si="15"/>
        <v>21.959698204190222</v>
      </c>
      <c r="AU12" s="8">
        <f t="shared" si="16"/>
        <v>0.29889285425146889</v>
      </c>
      <c r="AV12" s="17">
        <f t="shared" si="17"/>
        <v>450413</v>
      </c>
      <c r="AW12" s="242">
        <f>'[2]14.15 Meter Data'!W90</f>
        <v>56394.562399999995</v>
      </c>
      <c r="AX12" s="9" t="s">
        <v>13</v>
      </c>
      <c r="AY12" s="2">
        <f t="shared" si="18"/>
        <v>1.1721516960425673</v>
      </c>
      <c r="AZ12" s="8">
        <f t="shared" si="19"/>
        <v>0.96257672021012153</v>
      </c>
      <c r="BA12" s="938" t="s">
        <v>282</v>
      </c>
      <c r="BB12" s="64">
        <v>14394127</v>
      </c>
      <c r="BC12" s="42">
        <f t="shared" si="20"/>
        <v>299.17956019288329</v>
      </c>
      <c r="BD12" s="15">
        <v>13822099</v>
      </c>
      <c r="BE12" s="15">
        <v>1654600</v>
      </c>
      <c r="BF12" s="15">
        <v>35000</v>
      </c>
      <c r="BG12" s="3"/>
      <c r="BH12" s="256">
        <v>57000</v>
      </c>
      <c r="BI12" s="1353">
        <f t="shared" si="21"/>
        <v>21.752153831034821</v>
      </c>
      <c r="BJ12" s="1" t="s">
        <v>298</v>
      </c>
      <c r="BK12" s="11" t="s">
        <v>247</v>
      </c>
    </row>
    <row r="13" spans="1:63" s="41" customFormat="1" ht="27.6" customHeight="1" x14ac:dyDescent="0.2">
      <c r="A13" s="4" t="s">
        <v>307</v>
      </c>
      <c r="B13" s="11" t="s">
        <v>951</v>
      </c>
      <c r="C13" s="11" t="s">
        <v>63</v>
      </c>
      <c r="D13" s="11" t="s">
        <v>985</v>
      </c>
      <c r="E13" s="11" t="s">
        <v>545</v>
      </c>
      <c r="F13" s="1" t="s">
        <v>308</v>
      </c>
      <c r="G13" s="33">
        <v>40046</v>
      </c>
      <c r="H13" s="11" t="s">
        <v>10</v>
      </c>
      <c r="I13" s="33">
        <v>40086</v>
      </c>
      <c r="J13" s="60">
        <v>41011</v>
      </c>
      <c r="K13" s="4" t="s">
        <v>309</v>
      </c>
      <c r="L13" s="11" t="s">
        <v>13</v>
      </c>
      <c r="M13" s="6">
        <v>200164</v>
      </c>
      <c r="N13" s="49">
        <v>4</v>
      </c>
      <c r="O13" s="4" t="s">
        <v>307</v>
      </c>
      <c r="P13" s="11" t="s">
        <v>247</v>
      </c>
      <c r="Q13" s="2">
        <v>30494.5</v>
      </c>
      <c r="R13" s="12">
        <f t="shared" si="0"/>
        <v>152.34757498850942</v>
      </c>
      <c r="S13" s="2">
        <v>18910.599999999999</v>
      </c>
      <c r="T13" s="23">
        <f t="shared" si="1"/>
        <v>94.475530065346405</v>
      </c>
      <c r="U13" s="5">
        <f t="shared" si="2"/>
        <v>0.37986850087720742</v>
      </c>
      <c r="V13" s="13">
        <f t="shared" si="3"/>
        <v>11583.900000000001</v>
      </c>
      <c r="W13" s="967">
        <v>42220</v>
      </c>
      <c r="X13" s="49">
        <f>'[2]14.15 Meter Data'!Y108</f>
        <v>66560.086071436031</v>
      </c>
      <c r="Y13" s="2">
        <f t="shared" si="4"/>
        <v>332.52775759595147</v>
      </c>
      <c r="Z13" s="5">
        <f t="shared" si="5"/>
        <v>-1.182691504088804</v>
      </c>
      <c r="AA13" s="5"/>
      <c r="AB13" s="2">
        <f t="shared" si="6"/>
        <v>-36065.586071436031</v>
      </c>
      <c r="AC13" s="4" t="s">
        <v>307</v>
      </c>
      <c r="AD13" s="15">
        <v>284103</v>
      </c>
      <c r="AE13" s="7">
        <f t="shared" si="7"/>
        <v>1.4193511320717012</v>
      </c>
      <c r="AF13" s="15">
        <v>165774</v>
      </c>
      <c r="AG13" s="7">
        <f t="shared" si="8"/>
        <v>0.82819088347555003</v>
      </c>
      <c r="AH13" s="8">
        <f t="shared" si="9"/>
        <v>0.4165003537449446</v>
      </c>
      <c r="AI13" s="16">
        <f t="shared" si="10"/>
        <v>118329</v>
      </c>
      <c r="AJ13" s="15">
        <f>'[2]14.15 Meter Data'!W114</f>
        <v>518840.92753381701</v>
      </c>
      <c r="AK13" s="22">
        <f t="shared" si="11"/>
        <v>2.5920791327802051</v>
      </c>
      <c r="AL13" s="47">
        <f t="shared" si="12"/>
        <v>-0.8262423400450436</v>
      </c>
      <c r="AM13" s="48">
        <f t="shared" si="13"/>
        <v>-234737.92753381701</v>
      </c>
      <c r="AN13" s="4" t="s">
        <v>307</v>
      </c>
      <c r="AO13" s="2">
        <v>3172838</v>
      </c>
      <c r="AP13" s="9" t="s">
        <v>13</v>
      </c>
      <c r="AQ13" s="2">
        <f t="shared" si="14"/>
        <v>15.851192022541516</v>
      </c>
      <c r="AR13" s="2">
        <v>1985718</v>
      </c>
      <c r="AS13" s="9" t="s">
        <v>13</v>
      </c>
      <c r="AT13" s="2">
        <f t="shared" si="15"/>
        <v>9.9204552267140951</v>
      </c>
      <c r="AU13" s="8">
        <f t="shared" si="16"/>
        <v>0.37415083909105978</v>
      </c>
      <c r="AV13" s="17">
        <f t="shared" si="17"/>
        <v>1187120</v>
      </c>
      <c r="AW13" s="2">
        <f>'[2]14.15 Meter Data'!W109</f>
        <v>663640.56000000006</v>
      </c>
      <c r="AX13" s="9" t="s">
        <v>13</v>
      </c>
      <c r="AY13" s="2">
        <f t="shared" si="18"/>
        <v>3.3154841030355113</v>
      </c>
      <c r="AZ13" s="8">
        <f t="shared" si="19"/>
        <v>0.79083692265410332</v>
      </c>
      <c r="BA13" s="247" t="s">
        <v>307</v>
      </c>
      <c r="BB13" s="64">
        <v>61500000</v>
      </c>
      <c r="BC13" s="42">
        <f t="shared" si="20"/>
        <v>307.24805659359328</v>
      </c>
      <c r="BD13" s="15">
        <v>51725930</v>
      </c>
      <c r="BE13" s="433">
        <v>5792635</v>
      </c>
      <c r="BF13" s="15">
        <f>180000+41084</f>
        <v>221084</v>
      </c>
      <c r="BG13" s="3"/>
      <c r="BH13" s="941">
        <v>404815</v>
      </c>
      <c r="BI13" s="1353">
        <f t="shared" si="21"/>
        <v>87.890280489144672</v>
      </c>
      <c r="BJ13" s="1" t="s">
        <v>304</v>
      </c>
      <c r="BK13" s="11" t="s">
        <v>247</v>
      </c>
    </row>
    <row r="14" spans="1:63" s="41" customFormat="1" ht="27.6" customHeight="1" x14ac:dyDescent="0.2">
      <c r="A14" s="4" t="s">
        <v>95</v>
      </c>
      <c r="B14" s="11" t="s">
        <v>951</v>
      </c>
      <c r="C14" s="11" t="s">
        <v>276</v>
      </c>
      <c r="D14" s="11" t="s">
        <v>991</v>
      </c>
      <c r="E14" s="11" t="s">
        <v>656</v>
      </c>
      <c r="F14" s="1" t="s">
        <v>94</v>
      </c>
      <c r="G14" s="33">
        <v>40357</v>
      </c>
      <c r="H14" s="77" t="s">
        <v>4</v>
      </c>
      <c r="I14" s="33">
        <v>40624</v>
      </c>
      <c r="J14" s="60">
        <v>41011</v>
      </c>
      <c r="K14" s="4" t="s">
        <v>96</v>
      </c>
      <c r="L14" s="11" t="s">
        <v>13</v>
      </c>
      <c r="M14" s="6">
        <v>55605</v>
      </c>
      <c r="N14" s="49">
        <v>1</v>
      </c>
      <c r="O14" s="4" t="s">
        <v>95</v>
      </c>
      <c r="P14" s="11" t="s">
        <v>247</v>
      </c>
      <c r="Q14" s="2">
        <v>1743</v>
      </c>
      <c r="R14" s="12">
        <f t="shared" si="0"/>
        <v>31.346101969247371</v>
      </c>
      <c r="S14" s="2">
        <v>749</v>
      </c>
      <c r="T14" s="23">
        <f t="shared" si="1"/>
        <v>13.470011689596259</v>
      </c>
      <c r="U14" s="5">
        <f t="shared" si="2"/>
        <v>0.57028112449799195</v>
      </c>
      <c r="V14" s="13">
        <f t="shared" si="3"/>
        <v>994</v>
      </c>
      <c r="W14" s="967">
        <v>42240</v>
      </c>
      <c r="X14" s="9">
        <f>'[2]14.15 Meter Data'!Y97</f>
        <v>731.97846893619203</v>
      </c>
      <c r="Y14" s="2">
        <f t="shared" si="4"/>
        <v>13.163896572901574</v>
      </c>
      <c r="Z14" s="5">
        <f t="shared" si="5"/>
        <v>0.58004677628445667</v>
      </c>
      <c r="AA14" s="903" t="s">
        <v>955</v>
      </c>
      <c r="AB14" s="2">
        <f t="shared" si="6"/>
        <v>1011.021531063808</v>
      </c>
      <c r="AC14" s="4" t="s">
        <v>95</v>
      </c>
      <c r="AD14" s="15">
        <v>42886</v>
      </c>
      <c r="AE14" s="7">
        <f t="shared" si="7"/>
        <v>0.77126157719629529</v>
      </c>
      <c r="AF14" s="15">
        <v>28420</v>
      </c>
      <c r="AG14" s="7">
        <f t="shared" si="8"/>
        <v>0.5111051164463627</v>
      </c>
      <c r="AH14" s="8">
        <f t="shared" si="9"/>
        <v>0.3373128759968288</v>
      </c>
      <c r="AI14" s="16">
        <f t="shared" si="10"/>
        <v>14466</v>
      </c>
      <c r="AJ14" s="29">
        <f>'[2]14.15 Meter Data'!W101</f>
        <v>12828.84</v>
      </c>
      <c r="AK14" s="22">
        <f t="shared" si="11"/>
        <v>0.23071378473158888</v>
      </c>
      <c r="AL14" s="47">
        <f t="shared" si="12"/>
        <v>0.70086181970806327</v>
      </c>
      <c r="AM14" s="48">
        <f t="shared" si="13"/>
        <v>30057.16</v>
      </c>
      <c r="AN14" s="4" t="s">
        <v>95</v>
      </c>
      <c r="AO14" s="2">
        <v>243256</v>
      </c>
      <c r="AP14" s="9" t="s">
        <v>13</v>
      </c>
      <c r="AQ14" s="2">
        <f t="shared" si="14"/>
        <v>4.3747145040913589</v>
      </c>
      <c r="AR14" s="2">
        <v>171756</v>
      </c>
      <c r="AS14" s="9" t="s">
        <v>13</v>
      </c>
      <c r="AT14" s="2">
        <f t="shared" si="15"/>
        <v>3.0888589155651469</v>
      </c>
      <c r="AU14" s="8">
        <f t="shared" si="16"/>
        <v>0.29392902949978622</v>
      </c>
      <c r="AV14" s="17">
        <f t="shared" si="17"/>
        <v>71500</v>
      </c>
      <c r="AW14" s="1350">
        <f>'[2]14.15 Meter Data'!W98</f>
        <v>594770</v>
      </c>
      <c r="AX14" s="9" t="s">
        <v>13</v>
      </c>
      <c r="AY14" s="2">
        <f t="shared" si="18"/>
        <v>10.696340257171117</v>
      </c>
      <c r="AZ14" s="8">
        <f t="shared" si="19"/>
        <v>-1.4450373269312986</v>
      </c>
      <c r="BA14" s="247" t="s">
        <v>95</v>
      </c>
      <c r="BB14" s="64">
        <v>4072395</v>
      </c>
      <c r="BC14" s="42">
        <f t="shared" si="20"/>
        <v>73.237928243862967</v>
      </c>
      <c r="BD14" s="15">
        <v>3919435</v>
      </c>
      <c r="BE14" s="15">
        <v>363080</v>
      </c>
      <c r="BF14" s="15">
        <v>0</v>
      </c>
      <c r="BG14" s="3"/>
      <c r="BH14" s="256">
        <v>11870</v>
      </c>
      <c r="BI14" s="1353">
        <f t="shared" si="21"/>
        <v>11.394303884971658</v>
      </c>
      <c r="BJ14" s="1"/>
      <c r="BK14" s="11" t="s">
        <v>247</v>
      </c>
    </row>
    <row r="15" spans="1:63" s="41" customFormat="1" ht="27.6" customHeight="1" x14ac:dyDescent="0.2">
      <c r="A15" s="4" t="s">
        <v>287</v>
      </c>
      <c r="B15" s="11" t="s">
        <v>951</v>
      </c>
      <c r="C15" s="11" t="s">
        <v>36</v>
      </c>
      <c r="D15" s="11" t="s">
        <v>988</v>
      </c>
      <c r="E15" s="822" t="s">
        <v>743</v>
      </c>
      <c r="F15" s="1" t="s">
        <v>35</v>
      </c>
      <c r="G15" s="33">
        <v>40169</v>
      </c>
      <c r="H15" s="11" t="s">
        <v>10</v>
      </c>
      <c r="I15" s="33">
        <v>40322</v>
      </c>
      <c r="J15" s="60">
        <v>41060</v>
      </c>
      <c r="K15" s="4" t="s">
        <v>250</v>
      </c>
      <c r="L15" s="11">
        <v>100</v>
      </c>
      <c r="M15" s="6">
        <v>108770</v>
      </c>
      <c r="N15" s="83">
        <v>1</v>
      </c>
      <c r="O15" s="4" t="s">
        <v>145</v>
      </c>
      <c r="P15" s="11" t="s">
        <v>247</v>
      </c>
      <c r="Q15" s="2">
        <v>8495</v>
      </c>
      <c r="R15" s="12">
        <f t="shared" si="0"/>
        <v>78.10057920382458</v>
      </c>
      <c r="S15" s="2">
        <v>5163</v>
      </c>
      <c r="T15" s="23">
        <f t="shared" si="1"/>
        <v>47.467132481382734</v>
      </c>
      <c r="U15" s="5">
        <f t="shared" si="2"/>
        <v>0.39223072395526781</v>
      </c>
      <c r="V15" s="13">
        <f t="shared" si="3"/>
        <v>3332</v>
      </c>
      <c r="W15" s="967">
        <v>42221</v>
      </c>
      <c r="X15" s="49">
        <f>'[2]14.15 Meter Data'!Y119</f>
        <v>9280.6087317574802</v>
      </c>
      <c r="Y15" s="2">
        <f t="shared" si="4"/>
        <v>85.323239236531023</v>
      </c>
      <c r="Z15" s="5">
        <f t="shared" si="5"/>
        <v>-9.2478956063270182E-2</v>
      </c>
      <c r="AA15" s="5"/>
      <c r="AB15" s="2">
        <f t="shared" si="6"/>
        <v>-785.6087317574802</v>
      </c>
      <c r="AC15" s="4" t="s">
        <v>145</v>
      </c>
      <c r="AD15" s="15">
        <v>213106</v>
      </c>
      <c r="AE15" s="7">
        <f t="shared" si="7"/>
        <v>1.9592350832030891</v>
      </c>
      <c r="AF15" s="15">
        <v>120807</v>
      </c>
      <c r="AG15" s="7">
        <f t="shared" si="8"/>
        <v>1.1106647053415464</v>
      </c>
      <c r="AH15" s="8">
        <f t="shared" si="9"/>
        <v>0.43311309864574438</v>
      </c>
      <c r="AI15" s="16">
        <f t="shared" si="10"/>
        <v>92299</v>
      </c>
      <c r="AJ15" s="15">
        <f>'[2]14.15 Meter Data'!W123</f>
        <v>173458.66</v>
      </c>
      <c r="AK15" s="22">
        <f t="shared" si="11"/>
        <v>1.5947288774478257</v>
      </c>
      <c r="AL15" s="47">
        <f t="shared" si="12"/>
        <v>0.18604516062429025</v>
      </c>
      <c r="AM15" s="48">
        <f t="shared" si="13"/>
        <v>39647.339999999997</v>
      </c>
      <c r="AN15" s="4" t="s">
        <v>145</v>
      </c>
      <c r="AO15" s="2">
        <v>4378540</v>
      </c>
      <c r="AP15" s="2">
        <f>AO15/L15</f>
        <v>43785.4</v>
      </c>
      <c r="AQ15" s="2">
        <f t="shared" si="14"/>
        <v>40.255033557046978</v>
      </c>
      <c r="AR15" s="2">
        <v>3400982</v>
      </c>
      <c r="AS15" s="9">
        <f>AR15/L15</f>
        <v>34009.82</v>
      </c>
      <c r="AT15" s="2">
        <f t="shared" si="15"/>
        <v>31.267647329226808</v>
      </c>
      <c r="AU15" s="8">
        <f t="shared" si="16"/>
        <v>0.22326117838366213</v>
      </c>
      <c r="AV15" s="17">
        <f t="shared" si="17"/>
        <v>977558</v>
      </c>
      <c r="AW15" s="242">
        <f>'[2]14.15 Meter Data'!W120</f>
        <v>3709584</v>
      </c>
      <c r="AX15" s="2">
        <f>AW15/L15</f>
        <v>37095.839999999997</v>
      </c>
      <c r="AY15" s="2">
        <f t="shared" si="18"/>
        <v>34.104845085961202</v>
      </c>
      <c r="AZ15" s="8">
        <f t="shared" si="19"/>
        <v>0.15278060723437492</v>
      </c>
      <c r="BA15" s="247" t="s">
        <v>145</v>
      </c>
      <c r="BB15" s="64">
        <v>16135100</v>
      </c>
      <c r="BC15" s="42">
        <f t="shared" si="20"/>
        <v>148.34145444515951</v>
      </c>
      <c r="BD15" s="15">
        <v>15834228</v>
      </c>
      <c r="BE15" s="15">
        <v>1250000</v>
      </c>
      <c r="BF15" s="15">
        <v>0</v>
      </c>
      <c r="BG15" s="3"/>
      <c r="BH15" s="256">
        <v>96941</v>
      </c>
      <c r="BI15" s="1353">
        <f t="shared" si="21"/>
        <v>4.3100466960638792</v>
      </c>
      <c r="BJ15" s="1" t="s">
        <v>299</v>
      </c>
      <c r="BK15" s="11" t="s">
        <v>247</v>
      </c>
    </row>
    <row r="16" spans="1:63" s="41" customFormat="1" ht="27.6" customHeight="1" x14ac:dyDescent="0.2">
      <c r="A16" s="4" t="s">
        <v>278</v>
      </c>
      <c r="B16" s="11" t="s">
        <v>951</v>
      </c>
      <c r="C16" s="11" t="s">
        <v>81</v>
      </c>
      <c r="D16" s="11" t="s">
        <v>992</v>
      </c>
      <c r="E16" s="11" t="s">
        <v>551</v>
      </c>
      <c r="F16" s="1" t="s">
        <v>24</v>
      </c>
      <c r="G16" s="33">
        <v>40280</v>
      </c>
      <c r="H16" s="11" t="s">
        <v>10</v>
      </c>
      <c r="I16" s="33">
        <v>40518</v>
      </c>
      <c r="J16" s="60">
        <v>41087</v>
      </c>
      <c r="K16" s="4" t="s">
        <v>12</v>
      </c>
      <c r="L16" s="11" t="s">
        <v>13</v>
      </c>
      <c r="M16" s="6">
        <v>50434</v>
      </c>
      <c r="N16" s="49">
        <v>2</v>
      </c>
      <c r="O16" s="4" t="s">
        <v>278</v>
      </c>
      <c r="P16" s="11" t="s">
        <v>247</v>
      </c>
      <c r="Q16" s="2">
        <v>3018</v>
      </c>
      <c r="R16" s="12">
        <f t="shared" si="0"/>
        <v>59.840583733195864</v>
      </c>
      <c r="S16" s="2">
        <v>1900</v>
      </c>
      <c r="T16" s="23">
        <f t="shared" si="1"/>
        <v>37.672998374112701</v>
      </c>
      <c r="U16" s="5">
        <f t="shared" si="2"/>
        <v>0.37044400265076211</v>
      </c>
      <c r="V16" s="13">
        <f t="shared" si="3"/>
        <v>1118</v>
      </c>
      <c r="W16" s="967">
        <v>42237</v>
      </c>
      <c r="X16" s="49">
        <f>'[2]14.15 Meter Data'!Y128</f>
        <v>2060.4272501071468</v>
      </c>
      <c r="Y16" s="2">
        <f t="shared" si="4"/>
        <v>40.853932864875816</v>
      </c>
      <c r="Z16" s="5">
        <f t="shared" si="5"/>
        <v>0.31728719347013029</v>
      </c>
      <c r="AA16" s="903" t="s">
        <v>955</v>
      </c>
      <c r="AB16" s="2">
        <f t="shared" si="6"/>
        <v>957.57274989285315</v>
      </c>
      <c r="AC16" s="4" t="s">
        <v>278</v>
      </c>
      <c r="AD16" s="15">
        <v>91928</v>
      </c>
      <c r="AE16" s="7">
        <f t="shared" si="7"/>
        <v>1.8227386287028591</v>
      </c>
      <c r="AF16" s="15">
        <v>56777</v>
      </c>
      <c r="AG16" s="7">
        <f t="shared" si="8"/>
        <v>1.1257683308878932</v>
      </c>
      <c r="AH16" s="8">
        <f t="shared" si="9"/>
        <v>0.38237533722043338</v>
      </c>
      <c r="AI16" s="16">
        <f t="shared" si="10"/>
        <v>35151</v>
      </c>
      <c r="AJ16" s="15">
        <f>'[2]14.15 Meter Data'!W132</f>
        <v>86351.1</v>
      </c>
      <c r="AK16" s="22">
        <f t="shared" si="11"/>
        <v>1.712160447317286</v>
      </c>
      <c r="AL16" s="47">
        <f t="shared" si="12"/>
        <v>6.0665955965538185E-2</v>
      </c>
      <c r="AM16" s="48">
        <f t="shared" si="13"/>
        <v>5576.8999999999942</v>
      </c>
      <c r="AN16" s="4" t="s">
        <v>278</v>
      </c>
      <c r="AO16" s="2">
        <v>1217970</v>
      </c>
      <c r="AP16" s="9" t="s">
        <v>13</v>
      </c>
      <c r="AQ16" s="2">
        <f t="shared" si="14"/>
        <v>24.149779910377919</v>
      </c>
      <c r="AR16" s="2">
        <v>954495</v>
      </c>
      <c r="AS16" s="9" t="s">
        <v>13</v>
      </c>
      <c r="AT16" s="2">
        <f t="shared" si="15"/>
        <v>18.925625570051949</v>
      </c>
      <c r="AU16" s="8">
        <f t="shared" si="16"/>
        <v>0.21632306214438779</v>
      </c>
      <c r="AV16" s="17">
        <f t="shared" si="17"/>
        <v>263475</v>
      </c>
      <c r="AW16" s="82">
        <f>'[2]14.15 Meter Data'!W129</f>
        <v>340018.36</v>
      </c>
      <c r="AX16" s="9" t="s">
        <v>13</v>
      </c>
      <c r="AY16" s="2">
        <f t="shared" si="18"/>
        <v>6.7418479597097196</v>
      </c>
      <c r="AZ16" s="8">
        <f t="shared" si="19"/>
        <v>0.72083190883190884</v>
      </c>
      <c r="BA16" s="247" t="s">
        <v>278</v>
      </c>
      <c r="BB16" s="64">
        <v>7393799</v>
      </c>
      <c r="BC16" s="42">
        <f t="shared" si="20"/>
        <v>146.60346195027165</v>
      </c>
      <c r="BD16" s="15">
        <v>7243287</v>
      </c>
      <c r="BE16" s="15">
        <v>943138</v>
      </c>
      <c r="BF16" s="15">
        <v>52150</v>
      </c>
      <c r="BG16" s="3"/>
      <c r="BH16" s="256">
        <v>42310</v>
      </c>
      <c r="BI16" s="1353">
        <f t="shared" si="21"/>
        <v>6.9691331683309148</v>
      </c>
      <c r="BJ16" s="1" t="s">
        <v>300</v>
      </c>
      <c r="BK16" s="11" t="s">
        <v>247</v>
      </c>
    </row>
    <row r="17" spans="1:63" s="41" customFormat="1" ht="27.6" customHeight="1" x14ac:dyDescent="0.2">
      <c r="A17" s="4" t="s">
        <v>533</v>
      </c>
      <c r="B17" s="915" t="s">
        <v>950</v>
      </c>
      <c r="C17" s="11" t="s">
        <v>53</v>
      </c>
      <c r="D17" s="11" t="s">
        <v>993</v>
      </c>
      <c r="E17" s="11" t="s">
        <v>548</v>
      </c>
      <c r="F17" s="1" t="s">
        <v>52</v>
      </c>
      <c r="G17" s="33">
        <v>40436</v>
      </c>
      <c r="H17" s="11" t="s">
        <v>10</v>
      </c>
      <c r="I17" s="33">
        <v>40511</v>
      </c>
      <c r="J17" s="60">
        <v>41091</v>
      </c>
      <c r="K17" s="4" t="s">
        <v>135</v>
      </c>
      <c r="L17" s="11">
        <v>86</v>
      </c>
      <c r="M17" s="6">
        <v>30735</v>
      </c>
      <c r="N17" s="49">
        <v>4</v>
      </c>
      <c r="O17" s="4" t="s">
        <v>533</v>
      </c>
      <c r="P17" s="11" t="s">
        <v>247</v>
      </c>
      <c r="Q17" s="2">
        <v>4056</v>
      </c>
      <c r="R17" s="12">
        <f t="shared" si="0"/>
        <v>131.966813079551</v>
      </c>
      <c r="S17" s="2">
        <v>3076</v>
      </c>
      <c r="T17" s="23">
        <f t="shared" si="1"/>
        <v>100.08134049129656</v>
      </c>
      <c r="U17" s="5">
        <f t="shared" si="2"/>
        <v>0.2416173570019724</v>
      </c>
      <c r="V17" s="9">
        <f t="shared" si="3"/>
        <v>980</v>
      </c>
      <c r="W17" s="992">
        <v>42235</v>
      </c>
      <c r="X17" s="49">
        <f>'[2]14.15 Meter Data'!Y138</f>
        <v>3737.6974960000002</v>
      </c>
      <c r="Y17" s="2">
        <f t="shared" si="4"/>
        <v>121.61046025703597</v>
      </c>
      <c r="Z17" s="5">
        <f t="shared" si="5"/>
        <v>7.8476948717948664E-2</v>
      </c>
      <c r="AA17" s="5"/>
      <c r="AB17" s="2">
        <f t="shared" si="6"/>
        <v>318.30250399999977</v>
      </c>
      <c r="AC17" s="4" t="s">
        <v>533</v>
      </c>
      <c r="AD17" s="15">
        <v>59608</v>
      </c>
      <c r="AE17" s="7">
        <f t="shared" si="7"/>
        <v>1.9394176020823166</v>
      </c>
      <c r="AF17" s="15">
        <v>46163</v>
      </c>
      <c r="AG17" s="7">
        <f t="shared" si="8"/>
        <v>1.5019684398893769</v>
      </c>
      <c r="AH17" s="8">
        <f t="shared" si="9"/>
        <v>0.22555697221849416</v>
      </c>
      <c r="AI17" s="15">
        <f t="shared" si="10"/>
        <v>13445</v>
      </c>
      <c r="AJ17" s="15">
        <f>'[2]14.15 Meter Data'!W143</f>
        <v>21544.620000000003</v>
      </c>
      <c r="AK17" s="22">
        <f t="shared" si="11"/>
        <v>0.70097999023914115</v>
      </c>
      <c r="AL17" s="47">
        <f t="shared" si="12"/>
        <v>0.63856160246946714</v>
      </c>
      <c r="AM17" s="48">
        <f t="shared" si="13"/>
        <v>38063.379999999997</v>
      </c>
      <c r="AN17" s="4" t="s">
        <v>533</v>
      </c>
      <c r="AO17" s="2">
        <v>327880</v>
      </c>
      <c r="AP17" s="2">
        <f t="shared" ref="AP17:AP25" si="22">AO17/L17</f>
        <v>3812.5581395348836</v>
      </c>
      <c r="AQ17" s="10">
        <f t="shared" si="14"/>
        <v>10.667968114527412</v>
      </c>
      <c r="AR17" s="2">
        <v>209536</v>
      </c>
      <c r="AS17" s="9">
        <f t="shared" ref="AS17:AS25" si="23">AR17/L17</f>
        <v>2436.4651162790697</v>
      </c>
      <c r="AT17" s="10">
        <f t="shared" si="15"/>
        <v>6.8175044737270216</v>
      </c>
      <c r="AU17" s="8">
        <f t="shared" si="16"/>
        <v>0.36093692814444311</v>
      </c>
      <c r="AV17" s="2">
        <f t="shared" si="17"/>
        <v>118344</v>
      </c>
      <c r="AW17" s="2">
        <f>'[2]14.15 Meter Data'!W139</f>
        <v>463600</v>
      </c>
      <c r="AX17" s="2">
        <f t="shared" ref="AX17:AX24" si="24">AW17/L17</f>
        <v>5390.6976744186049</v>
      </c>
      <c r="AY17" s="2">
        <f t="shared" si="18"/>
        <v>15.083780706035464</v>
      </c>
      <c r="AZ17" s="8">
        <f t="shared" si="19"/>
        <v>-0.41393192631450532</v>
      </c>
      <c r="BA17" s="247" t="s">
        <v>533</v>
      </c>
      <c r="BB17" s="64">
        <f t="shared" ref="BB17:BB23" si="25">43376488/7</f>
        <v>6196641.1428571427</v>
      </c>
      <c r="BC17" s="42">
        <f t="shared" si="20"/>
        <v>201.61513397940922</v>
      </c>
      <c r="BD17" s="15">
        <v>6016156</v>
      </c>
      <c r="BE17" s="15">
        <f t="shared" ref="BE17:BE23" si="26">4205215/7</f>
        <v>600745</v>
      </c>
      <c r="BF17" s="15">
        <f t="shared" ref="BF17:BF23" si="27">80000/7</f>
        <v>11428.571428571429</v>
      </c>
      <c r="BG17" s="3"/>
      <c r="BH17" s="256">
        <f t="shared" ref="BH17:BH23" si="28">286151/7</f>
        <v>40878.714285714283</v>
      </c>
      <c r="BI17" s="1353">
        <f t="shared" si="21"/>
        <v>17.31442384317058</v>
      </c>
      <c r="BJ17" s="1" t="s">
        <v>297</v>
      </c>
      <c r="BK17" s="11" t="s">
        <v>247</v>
      </c>
    </row>
    <row r="18" spans="1:63" s="41" customFormat="1" ht="27.6" customHeight="1" x14ac:dyDescent="0.2">
      <c r="A18" s="4" t="s">
        <v>534</v>
      </c>
      <c r="B18" s="915" t="s">
        <v>950</v>
      </c>
      <c r="C18" s="11" t="s">
        <v>53</v>
      </c>
      <c r="D18" s="11" t="s">
        <v>993</v>
      </c>
      <c r="E18" s="11" t="s">
        <v>548</v>
      </c>
      <c r="F18" s="1" t="s">
        <v>52</v>
      </c>
      <c r="G18" s="33">
        <v>40436</v>
      </c>
      <c r="H18" s="11" t="s">
        <v>10</v>
      </c>
      <c r="I18" s="33">
        <v>40511</v>
      </c>
      <c r="J18" s="60">
        <v>41091</v>
      </c>
      <c r="K18" s="4" t="s">
        <v>135</v>
      </c>
      <c r="L18" s="11">
        <v>86</v>
      </c>
      <c r="M18" s="6">
        <v>30735</v>
      </c>
      <c r="N18" s="49">
        <v>4</v>
      </c>
      <c r="O18" s="4" t="s">
        <v>534</v>
      </c>
      <c r="P18" s="11" t="s">
        <v>247</v>
      </c>
      <c r="Q18" s="2">
        <v>4056</v>
      </c>
      <c r="R18" s="12">
        <f t="shared" si="0"/>
        <v>131.966813079551</v>
      </c>
      <c r="S18" s="2">
        <v>3076</v>
      </c>
      <c r="T18" s="23">
        <f t="shared" si="1"/>
        <v>100.08134049129656</v>
      </c>
      <c r="U18" s="5">
        <f t="shared" si="2"/>
        <v>0.2416173570019724</v>
      </c>
      <c r="V18" s="9">
        <f t="shared" si="3"/>
        <v>980</v>
      </c>
      <c r="W18" s="992">
        <v>42235</v>
      </c>
      <c r="X18" s="49">
        <f>'[2]14.15 Meter Data'!Y149</f>
        <v>2996.5500750000001</v>
      </c>
      <c r="Y18" s="2">
        <f t="shared" si="4"/>
        <v>97.496342118106398</v>
      </c>
      <c r="Z18" s="5">
        <f t="shared" si="5"/>
        <v>0.26120560281065086</v>
      </c>
      <c r="AA18" s="903" t="s">
        <v>955</v>
      </c>
      <c r="AB18" s="2">
        <f t="shared" si="6"/>
        <v>1059.4499249999999</v>
      </c>
      <c r="AC18" s="4" t="s">
        <v>534</v>
      </c>
      <c r="AD18" s="15">
        <v>59608</v>
      </c>
      <c r="AE18" s="7">
        <f t="shared" si="7"/>
        <v>1.9394176020823166</v>
      </c>
      <c r="AF18" s="15">
        <v>46163</v>
      </c>
      <c r="AG18" s="7">
        <f t="shared" si="8"/>
        <v>1.5019684398893769</v>
      </c>
      <c r="AH18" s="8">
        <f t="shared" si="9"/>
        <v>0.22555697221849416</v>
      </c>
      <c r="AI18" s="15">
        <f t="shared" si="10"/>
        <v>13445</v>
      </c>
      <c r="AJ18" s="15">
        <f>'[2]14.15 Meter Data'!W154</f>
        <v>14804.89</v>
      </c>
      <c r="AK18" s="22">
        <f t="shared" si="11"/>
        <v>0.48169481047665524</v>
      </c>
      <c r="AL18" s="47">
        <f t="shared" si="12"/>
        <v>0.7516291437390954</v>
      </c>
      <c r="AM18" s="48">
        <f t="shared" si="13"/>
        <v>44803.11</v>
      </c>
      <c r="AN18" s="4" t="s">
        <v>534</v>
      </c>
      <c r="AO18" s="2">
        <v>327880</v>
      </c>
      <c r="AP18" s="2">
        <f t="shared" si="22"/>
        <v>3812.5581395348836</v>
      </c>
      <c r="AQ18" s="10">
        <f t="shared" si="14"/>
        <v>10.667968114527412</v>
      </c>
      <c r="AR18" s="2">
        <v>209536</v>
      </c>
      <c r="AS18" s="9">
        <f t="shared" si="23"/>
        <v>2436.4651162790697</v>
      </c>
      <c r="AT18" s="10">
        <f t="shared" si="15"/>
        <v>6.8175044737270216</v>
      </c>
      <c r="AU18" s="8">
        <f t="shared" si="16"/>
        <v>0.36093692814444311</v>
      </c>
      <c r="AV18" s="2">
        <f t="shared" si="17"/>
        <v>118344</v>
      </c>
      <c r="AW18" s="2">
        <f>'[2]14.15 Meter Data'!W150</f>
        <v>465900</v>
      </c>
      <c r="AX18" s="2">
        <f t="shared" si="24"/>
        <v>5417.4418604651164</v>
      </c>
      <c r="AY18" s="2">
        <f t="shared" si="18"/>
        <v>15.158613958028306</v>
      </c>
      <c r="AZ18" s="8">
        <f t="shared" si="19"/>
        <v>-0.42094668781261435</v>
      </c>
      <c r="BA18" s="247" t="s">
        <v>534</v>
      </c>
      <c r="BB18" s="64">
        <f t="shared" si="25"/>
        <v>6196641.1428571427</v>
      </c>
      <c r="BC18" s="42">
        <f t="shared" si="20"/>
        <v>201.61513397940922</v>
      </c>
      <c r="BD18" s="15">
        <v>6016156</v>
      </c>
      <c r="BE18" s="15">
        <f t="shared" si="26"/>
        <v>600745</v>
      </c>
      <c r="BF18" s="15">
        <f t="shared" si="27"/>
        <v>11428.571428571429</v>
      </c>
      <c r="BG18" s="3"/>
      <c r="BH18" s="256">
        <f t="shared" si="28"/>
        <v>40878.714285714283</v>
      </c>
      <c r="BI18" s="1353">
        <f t="shared" si="21"/>
        <v>17.31442384317058</v>
      </c>
      <c r="BJ18" s="1" t="s">
        <v>297</v>
      </c>
      <c r="BK18" s="11" t="s">
        <v>247</v>
      </c>
    </row>
    <row r="19" spans="1:63" s="41" customFormat="1" ht="27.6" customHeight="1" x14ac:dyDescent="0.2">
      <c r="A19" s="4" t="s">
        <v>1113</v>
      </c>
      <c r="B19" s="915" t="s">
        <v>950</v>
      </c>
      <c r="C19" s="11" t="s">
        <v>53</v>
      </c>
      <c r="D19" s="11" t="s">
        <v>993</v>
      </c>
      <c r="E19" s="11" t="s">
        <v>548</v>
      </c>
      <c r="F19" s="1" t="s">
        <v>52</v>
      </c>
      <c r="G19" s="33">
        <v>40436</v>
      </c>
      <c r="H19" s="11" t="s">
        <v>10</v>
      </c>
      <c r="I19" s="33">
        <v>40511</v>
      </c>
      <c r="J19" s="60">
        <v>41091</v>
      </c>
      <c r="K19" s="4" t="s">
        <v>135</v>
      </c>
      <c r="L19" s="11">
        <v>86</v>
      </c>
      <c r="M19" s="6">
        <v>30735</v>
      </c>
      <c r="N19" s="49">
        <v>4</v>
      </c>
      <c r="O19" s="4" t="s">
        <v>1113</v>
      </c>
      <c r="P19" s="11" t="s">
        <v>247</v>
      </c>
      <c r="Q19" s="2">
        <v>4056</v>
      </c>
      <c r="R19" s="12">
        <f t="shared" si="0"/>
        <v>131.966813079551</v>
      </c>
      <c r="S19" s="2">
        <v>3076</v>
      </c>
      <c r="T19" s="23">
        <f t="shared" si="1"/>
        <v>100.08134049129656</v>
      </c>
      <c r="U19" s="5">
        <f t="shared" si="2"/>
        <v>0.2416173570019724</v>
      </c>
      <c r="V19" s="9">
        <f t="shared" si="3"/>
        <v>980</v>
      </c>
      <c r="W19" s="992">
        <v>42235</v>
      </c>
      <c r="X19" s="49">
        <f>'[2]14.15 Meter Data'!Y160</f>
        <v>3009.2254520000001</v>
      </c>
      <c r="Y19" s="2">
        <f t="shared" si="4"/>
        <v>97.908750675126086</v>
      </c>
      <c r="Z19" s="5">
        <f t="shared" si="5"/>
        <v>0.25808050986193293</v>
      </c>
      <c r="AA19" s="903" t="s">
        <v>955</v>
      </c>
      <c r="AB19" s="2">
        <f t="shared" si="6"/>
        <v>1046.7745479999999</v>
      </c>
      <c r="AC19" s="4" t="s">
        <v>1113</v>
      </c>
      <c r="AD19" s="15">
        <v>59608</v>
      </c>
      <c r="AE19" s="7">
        <f t="shared" si="7"/>
        <v>1.9394176020823166</v>
      </c>
      <c r="AF19" s="15">
        <v>46163</v>
      </c>
      <c r="AG19" s="7">
        <f t="shared" si="8"/>
        <v>1.5019684398893769</v>
      </c>
      <c r="AH19" s="8">
        <f t="shared" si="9"/>
        <v>0.22555697221849416</v>
      </c>
      <c r="AI19" s="15">
        <f t="shared" si="10"/>
        <v>13445</v>
      </c>
      <c r="AJ19" s="15">
        <f>'[2]14.15 Meter Data'!W165</f>
        <v>19763.29</v>
      </c>
      <c r="AK19" s="22">
        <f t="shared" si="11"/>
        <v>0.6430222872946153</v>
      </c>
      <c r="AL19" s="47">
        <f t="shared" si="12"/>
        <v>0.66844567843242519</v>
      </c>
      <c r="AM19" s="48">
        <f t="shared" si="13"/>
        <v>39844.71</v>
      </c>
      <c r="AN19" s="4" t="s">
        <v>1113</v>
      </c>
      <c r="AO19" s="2">
        <v>327880</v>
      </c>
      <c r="AP19" s="2">
        <f t="shared" si="22"/>
        <v>3812.5581395348836</v>
      </c>
      <c r="AQ19" s="10">
        <f t="shared" si="14"/>
        <v>10.667968114527412</v>
      </c>
      <c r="AR19" s="2">
        <v>209536</v>
      </c>
      <c r="AS19" s="9">
        <f t="shared" si="23"/>
        <v>2436.4651162790697</v>
      </c>
      <c r="AT19" s="10">
        <f t="shared" si="15"/>
        <v>6.8175044737270216</v>
      </c>
      <c r="AU19" s="8">
        <f t="shared" si="16"/>
        <v>0.36093692814444311</v>
      </c>
      <c r="AV19" s="2">
        <f t="shared" si="17"/>
        <v>118344</v>
      </c>
      <c r="AW19" s="2">
        <f>'[2]14.15 Meter Data'!W161</f>
        <v>525800</v>
      </c>
      <c r="AX19" s="2">
        <f t="shared" si="24"/>
        <v>6113.9534883720926</v>
      </c>
      <c r="AY19" s="2">
        <f t="shared" si="18"/>
        <v>17.107532129494061</v>
      </c>
      <c r="AZ19" s="8">
        <f t="shared" si="19"/>
        <v>-0.60363547639380266</v>
      </c>
      <c r="BA19" s="4" t="s">
        <v>1113</v>
      </c>
      <c r="BB19" s="64">
        <f t="shared" si="25"/>
        <v>6196641.1428571427</v>
      </c>
      <c r="BC19" s="42">
        <f t="shared" si="20"/>
        <v>201.61513397940922</v>
      </c>
      <c r="BD19" s="15">
        <v>6016156</v>
      </c>
      <c r="BE19" s="15">
        <f t="shared" si="26"/>
        <v>600745</v>
      </c>
      <c r="BF19" s="15">
        <f t="shared" si="27"/>
        <v>11428.571428571429</v>
      </c>
      <c r="BG19" s="3"/>
      <c r="BH19" s="256">
        <f t="shared" si="28"/>
        <v>40878.714285714283</v>
      </c>
      <c r="BI19" s="1353">
        <f t="shared" si="21"/>
        <v>17.31442384317058</v>
      </c>
      <c r="BJ19" s="1" t="s">
        <v>297</v>
      </c>
      <c r="BK19" s="11" t="s">
        <v>247</v>
      </c>
    </row>
    <row r="20" spans="1:63" s="41" customFormat="1" ht="27.6" customHeight="1" x14ac:dyDescent="0.2">
      <c r="A20" s="4" t="s">
        <v>535</v>
      </c>
      <c r="B20" s="915" t="s">
        <v>950</v>
      </c>
      <c r="C20" s="11" t="s">
        <v>53</v>
      </c>
      <c r="D20" s="11" t="s">
        <v>993</v>
      </c>
      <c r="E20" s="11" t="s">
        <v>548</v>
      </c>
      <c r="F20" s="1" t="s">
        <v>52</v>
      </c>
      <c r="G20" s="33">
        <v>40436</v>
      </c>
      <c r="H20" s="11" t="s">
        <v>10</v>
      </c>
      <c r="I20" s="33">
        <v>40511</v>
      </c>
      <c r="J20" s="60">
        <v>41091</v>
      </c>
      <c r="K20" s="4" t="s">
        <v>135</v>
      </c>
      <c r="L20" s="11">
        <v>86</v>
      </c>
      <c r="M20" s="6">
        <v>30735</v>
      </c>
      <c r="N20" s="49">
        <v>4</v>
      </c>
      <c r="O20" s="4" t="s">
        <v>535</v>
      </c>
      <c r="P20" s="11" t="s">
        <v>247</v>
      </c>
      <c r="Q20" s="2">
        <v>4056</v>
      </c>
      <c r="R20" s="12">
        <f t="shared" si="0"/>
        <v>131.966813079551</v>
      </c>
      <c r="S20" s="2">
        <v>3076</v>
      </c>
      <c r="T20" s="23">
        <f t="shared" si="1"/>
        <v>100.08134049129656</v>
      </c>
      <c r="U20" s="5">
        <f t="shared" si="2"/>
        <v>0.2416173570019724</v>
      </c>
      <c r="V20" s="9">
        <f t="shared" si="3"/>
        <v>980</v>
      </c>
      <c r="W20" s="992">
        <v>42235</v>
      </c>
      <c r="X20" s="49">
        <f>'[2]14.15 Meter Data'!Y171</f>
        <v>2464.3936359999998</v>
      </c>
      <c r="Y20" s="2">
        <f t="shared" si="4"/>
        <v>80.181995640149665</v>
      </c>
      <c r="Z20" s="5">
        <f t="shared" si="5"/>
        <v>0.3924078806706115</v>
      </c>
      <c r="AA20" s="903" t="s">
        <v>955</v>
      </c>
      <c r="AB20" s="2">
        <f t="shared" si="6"/>
        <v>1591.6063640000002</v>
      </c>
      <c r="AC20" s="4" t="s">
        <v>535</v>
      </c>
      <c r="AD20" s="15">
        <v>59608</v>
      </c>
      <c r="AE20" s="7">
        <f t="shared" si="7"/>
        <v>1.9394176020823166</v>
      </c>
      <c r="AF20" s="15">
        <v>46163</v>
      </c>
      <c r="AG20" s="7">
        <f t="shared" si="8"/>
        <v>1.5019684398893769</v>
      </c>
      <c r="AH20" s="8">
        <f t="shared" si="9"/>
        <v>0.22555697221849416</v>
      </c>
      <c r="AI20" s="15">
        <f t="shared" si="10"/>
        <v>13445</v>
      </c>
      <c r="AJ20" s="15">
        <f>'[2]14.15 Meter Data'!W176</f>
        <v>19024.340000000004</v>
      </c>
      <c r="AK20" s="22">
        <f t="shared" si="11"/>
        <v>0.61897966487717593</v>
      </c>
      <c r="AL20" s="47">
        <f t="shared" si="12"/>
        <v>0.68084250436183058</v>
      </c>
      <c r="AM20" s="48">
        <f t="shared" si="13"/>
        <v>40583.659999999996</v>
      </c>
      <c r="AN20" s="4" t="s">
        <v>535</v>
      </c>
      <c r="AO20" s="2">
        <v>327880</v>
      </c>
      <c r="AP20" s="2">
        <f t="shared" si="22"/>
        <v>3812.5581395348836</v>
      </c>
      <c r="AQ20" s="10">
        <f t="shared" si="14"/>
        <v>10.667968114527412</v>
      </c>
      <c r="AR20" s="2">
        <v>209536</v>
      </c>
      <c r="AS20" s="9">
        <f t="shared" si="23"/>
        <v>2436.4651162790697</v>
      </c>
      <c r="AT20" s="10">
        <f t="shared" si="15"/>
        <v>6.8175044737270216</v>
      </c>
      <c r="AU20" s="8">
        <f t="shared" si="16"/>
        <v>0.36093692814444311</v>
      </c>
      <c r="AV20" s="2">
        <f t="shared" si="17"/>
        <v>118344</v>
      </c>
      <c r="AW20" s="2">
        <f>'[2]14.15 Meter Data'!W172</f>
        <v>496800</v>
      </c>
      <c r="AX20" s="2">
        <f t="shared" si="24"/>
        <v>5776.7441860465115</v>
      </c>
      <c r="AY20" s="2">
        <f t="shared" si="18"/>
        <v>16.163982430453881</v>
      </c>
      <c r="AZ20" s="8">
        <f t="shared" si="19"/>
        <v>-0.51518848359155789</v>
      </c>
      <c r="BA20" s="247" t="s">
        <v>535</v>
      </c>
      <c r="BB20" s="64">
        <f t="shared" si="25"/>
        <v>6196641.1428571427</v>
      </c>
      <c r="BC20" s="42">
        <f t="shared" si="20"/>
        <v>201.61513397940922</v>
      </c>
      <c r="BD20" s="15">
        <v>6016156</v>
      </c>
      <c r="BE20" s="15">
        <f t="shared" si="26"/>
        <v>600745</v>
      </c>
      <c r="BF20" s="15">
        <f t="shared" si="27"/>
        <v>11428.571428571429</v>
      </c>
      <c r="BG20" s="3"/>
      <c r="BH20" s="256">
        <f t="shared" si="28"/>
        <v>40878.714285714283</v>
      </c>
      <c r="BI20" s="1353">
        <f t="shared" si="21"/>
        <v>17.31442384317058</v>
      </c>
      <c r="BJ20" s="1" t="s">
        <v>297</v>
      </c>
      <c r="BK20" s="11" t="s">
        <v>247</v>
      </c>
    </row>
    <row r="21" spans="1:63" s="41" customFormat="1" ht="27.6" customHeight="1" x14ac:dyDescent="0.2">
      <c r="A21" s="4" t="s">
        <v>536</v>
      </c>
      <c r="B21" s="915" t="s">
        <v>950</v>
      </c>
      <c r="C21" s="11" t="s">
        <v>53</v>
      </c>
      <c r="D21" s="11" t="s">
        <v>993</v>
      </c>
      <c r="E21" s="11" t="s">
        <v>548</v>
      </c>
      <c r="F21" s="1" t="s">
        <v>52</v>
      </c>
      <c r="G21" s="33">
        <v>40436</v>
      </c>
      <c r="H21" s="11" t="s">
        <v>10</v>
      </c>
      <c r="I21" s="33">
        <v>40511</v>
      </c>
      <c r="J21" s="60">
        <v>41091</v>
      </c>
      <c r="K21" s="4" t="s">
        <v>135</v>
      </c>
      <c r="L21" s="11">
        <v>86</v>
      </c>
      <c r="M21" s="6">
        <v>30735</v>
      </c>
      <c r="N21" s="49">
        <v>4</v>
      </c>
      <c r="O21" s="4" t="s">
        <v>536</v>
      </c>
      <c r="P21" s="11" t="s">
        <v>247</v>
      </c>
      <c r="Q21" s="2">
        <v>4056</v>
      </c>
      <c r="R21" s="12">
        <f t="shared" si="0"/>
        <v>131.966813079551</v>
      </c>
      <c r="S21" s="2">
        <v>3076</v>
      </c>
      <c r="T21" s="23">
        <f t="shared" si="1"/>
        <v>100.08134049129656</v>
      </c>
      <c r="U21" s="5">
        <f t="shared" si="2"/>
        <v>0.2416173570019724</v>
      </c>
      <c r="V21" s="9">
        <f t="shared" si="3"/>
        <v>980</v>
      </c>
      <c r="W21" s="992">
        <v>42235</v>
      </c>
      <c r="X21" s="49">
        <f>'[2]14.15 Meter Data'!Y182</f>
        <v>3205.4453800000001</v>
      </c>
      <c r="Y21" s="2">
        <f t="shared" si="4"/>
        <v>104.29300081340493</v>
      </c>
      <c r="Z21" s="5">
        <f t="shared" si="5"/>
        <v>0.20970281558185402</v>
      </c>
      <c r="AA21" s="903" t="s">
        <v>955</v>
      </c>
      <c r="AB21" s="2">
        <f t="shared" si="6"/>
        <v>850.55461999999989</v>
      </c>
      <c r="AC21" s="4" t="s">
        <v>536</v>
      </c>
      <c r="AD21" s="15">
        <v>59608</v>
      </c>
      <c r="AE21" s="7">
        <f t="shared" si="7"/>
        <v>1.9394176020823166</v>
      </c>
      <c r="AF21" s="15">
        <v>46163</v>
      </c>
      <c r="AG21" s="7">
        <f t="shared" si="8"/>
        <v>1.5019684398893769</v>
      </c>
      <c r="AH21" s="8">
        <f t="shared" si="9"/>
        <v>0.22555697221849416</v>
      </c>
      <c r="AI21" s="15">
        <f t="shared" si="10"/>
        <v>13445</v>
      </c>
      <c r="AJ21" s="15">
        <f>'[2]14.15 Meter Data'!W187</f>
        <v>23000.829999999998</v>
      </c>
      <c r="AK21" s="22">
        <f t="shared" si="11"/>
        <v>0.7483595249715308</v>
      </c>
      <c r="AL21" s="47">
        <f t="shared" si="12"/>
        <v>0.61413182794255805</v>
      </c>
      <c r="AM21" s="48">
        <f t="shared" si="13"/>
        <v>36607.17</v>
      </c>
      <c r="AN21" s="4" t="s">
        <v>536</v>
      </c>
      <c r="AO21" s="2">
        <v>327880</v>
      </c>
      <c r="AP21" s="2">
        <f t="shared" si="22"/>
        <v>3812.5581395348836</v>
      </c>
      <c r="AQ21" s="10">
        <f t="shared" si="14"/>
        <v>10.667968114527412</v>
      </c>
      <c r="AR21" s="2">
        <v>209536</v>
      </c>
      <c r="AS21" s="9">
        <f t="shared" si="23"/>
        <v>2436.4651162790697</v>
      </c>
      <c r="AT21" s="10">
        <f t="shared" si="15"/>
        <v>6.8175044737270216</v>
      </c>
      <c r="AU21" s="8">
        <f t="shared" si="16"/>
        <v>0.36093692814444311</v>
      </c>
      <c r="AV21" s="2">
        <f t="shared" si="17"/>
        <v>118344</v>
      </c>
      <c r="AW21" s="2">
        <f>'[2]14.15 Meter Data'!W183</f>
        <v>536100</v>
      </c>
      <c r="AX21" s="2">
        <f t="shared" si="24"/>
        <v>6233.7209302325582</v>
      </c>
      <c r="AY21" s="2">
        <f t="shared" si="18"/>
        <v>17.44265495363592</v>
      </c>
      <c r="AZ21" s="8">
        <f t="shared" si="19"/>
        <v>-0.63504940832011714</v>
      </c>
      <c r="BA21" s="247" t="s">
        <v>536</v>
      </c>
      <c r="BB21" s="64">
        <f t="shared" si="25"/>
        <v>6196641.1428571427</v>
      </c>
      <c r="BC21" s="42">
        <f t="shared" si="20"/>
        <v>201.61513397940922</v>
      </c>
      <c r="BD21" s="15">
        <v>6016156</v>
      </c>
      <c r="BE21" s="15">
        <f t="shared" si="26"/>
        <v>600745</v>
      </c>
      <c r="BF21" s="15">
        <f t="shared" si="27"/>
        <v>11428.571428571429</v>
      </c>
      <c r="BG21" s="3"/>
      <c r="BH21" s="256">
        <f t="shared" si="28"/>
        <v>40878.714285714283</v>
      </c>
      <c r="BI21" s="1353">
        <f t="shared" si="21"/>
        <v>17.31442384317058</v>
      </c>
      <c r="BJ21" s="1" t="s">
        <v>297</v>
      </c>
      <c r="BK21" s="11" t="s">
        <v>247</v>
      </c>
    </row>
    <row r="22" spans="1:63" s="41" customFormat="1" ht="27.6" customHeight="1" x14ac:dyDescent="0.2">
      <c r="A22" s="4" t="s">
        <v>537</v>
      </c>
      <c r="B22" s="915" t="s">
        <v>950</v>
      </c>
      <c r="C22" s="11" t="s">
        <v>53</v>
      </c>
      <c r="D22" s="11" t="s">
        <v>993</v>
      </c>
      <c r="E22" s="11" t="s">
        <v>548</v>
      </c>
      <c r="F22" s="1" t="s">
        <v>52</v>
      </c>
      <c r="G22" s="33">
        <v>40436</v>
      </c>
      <c r="H22" s="11" t="s">
        <v>10</v>
      </c>
      <c r="I22" s="33">
        <v>40511</v>
      </c>
      <c r="J22" s="60">
        <v>41091</v>
      </c>
      <c r="K22" s="4" t="s">
        <v>135</v>
      </c>
      <c r="L22" s="11">
        <v>86</v>
      </c>
      <c r="M22" s="6">
        <v>30735</v>
      </c>
      <c r="N22" s="49">
        <v>4</v>
      </c>
      <c r="O22" s="4" t="s">
        <v>537</v>
      </c>
      <c r="P22" s="11" t="s">
        <v>247</v>
      </c>
      <c r="Q22" s="2">
        <v>4056</v>
      </c>
      <c r="R22" s="12">
        <f t="shared" si="0"/>
        <v>131.966813079551</v>
      </c>
      <c r="S22" s="2">
        <v>3076</v>
      </c>
      <c r="T22" s="23">
        <f t="shared" si="1"/>
        <v>100.08134049129656</v>
      </c>
      <c r="U22" s="5">
        <f t="shared" si="2"/>
        <v>0.2416173570019724</v>
      </c>
      <c r="V22" s="9">
        <f t="shared" si="3"/>
        <v>980</v>
      </c>
      <c r="W22" s="992">
        <v>42235</v>
      </c>
      <c r="X22" s="49">
        <f>'[2]14.15 Meter Data'!Y193</f>
        <v>7152.6503499999999</v>
      </c>
      <c r="Y22" s="2">
        <f t="shared" si="4"/>
        <v>232.72003741662601</v>
      </c>
      <c r="Z22" s="5">
        <f t="shared" si="5"/>
        <v>-0.76347395216962521</v>
      </c>
      <c r="AA22" s="903"/>
      <c r="AB22" s="2">
        <f t="shared" si="6"/>
        <v>-3096.6503499999999</v>
      </c>
      <c r="AC22" s="4" t="s">
        <v>537</v>
      </c>
      <c r="AD22" s="15">
        <v>59608</v>
      </c>
      <c r="AE22" s="7">
        <f t="shared" si="7"/>
        <v>1.9394176020823166</v>
      </c>
      <c r="AF22" s="15">
        <v>46163</v>
      </c>
      <c r="AG22" s="7">
        <f t="shared" si="8"/>
        <v>1.5019684398893769</v>
      </c>
      <c r="AH22" s="8">
        <f t="shared" si="9"/>
        <v>0.22555697221849416</v>
      </c>
      <c r="AI22" s="15">
        <f t="shared" si="10"/>
        <v>13445</v>
      </c>
      <c r="AJ22" s="15">
        <f>'[2]14.15 Meter Data'!W198</f>
        <v>19585.989999999998</v>
      </c>
      <c r="AK22" s="22">
        <f t="shared" si="11"/>
        <v>0.63725361965186267</v>
      </c>
      <c r="AL22" s="47">
        <f t="shared" si="12"/>
        <v>0.67142011139444369</v>
      </c>
      <c r="AM22" s="48">
        <f t="shared" si="13"/>
        <v>40022.01</v>
      </c>
      <c r="AN22" s="4" t="s">
        <v>537</v>
      </c>
      <c r="AO22" s="2">
        <v>327880</v>
      </c>
      <c r="AP22" s="2">
        <f t="shared" si="22"/>
        <v>3812.5581395348836</v>
      </c>
      <c r="AQ22" s="10">
        <f t="shared" si="14"/>
        <v>10.667968114527412</v>
      </c>
      <c r="AR22" s="2">
        <v>209536</v>
      </c>
      <c r="AS22" s="9">
        <f t="shared" si="23"/>
        <v>2436.4651162790697</v>
      </c>
      <c r="AT22" s="10">
        <f t="shared" si="15"/>
        <v>6.8175044737270216</v>
      </c>
      <c r="AU22" s="8">
        <f t="shared" si="16"/>
        <v>0.36093692814444311</v>
      </c>
      <c r="AV22" s="2">
        <f t="shared" si="17"/>
        <v>118344</v>
      </c>
      <c r="AW22" s="2">
        <f>'[2]14.15 Meter Data'!W194</f>
        <v>525200</v>
      </c>
      <c r="AX22" s="2">
        <f t="shared" si="24"/>
        <v>6106.9767441860467</v>
      </c>
      <c r="AY22" s="2">
        <f t="shared" si="18"/>
        <v>17.088010411582886</v>
      </c>
      <c r="AZ22" s="8">
        <f t="shared" si="19"/>
        <v>-0.60180553861168717</v>
      </c>
      <c r="BA22" s="247" t="s">
        <v>537</v>
      </c>
      <c r="BB22" s="64">
        <f t="shared" si="25"/>
        <v>6196641.1428571427</v>
      </c>
      <c r="BC22" s="42">
        <f t="shared" si="20"/>
        <v>201.61513397940922</v>
      </c>
      <c r="BD22" s="15">
        <v>6016156</v>
      </c>
      <c r="BE22" s="15">
        <f t="shared" si="26"/>
        <v>600745</v>
      </c>
      <c r="BF22" s="15">
        <f t="shared" si="27"/>
        <v>11428.571428571429</v>
      </c>
      <c r="BG22" s="3"/>
      <c r="BH22" s="256">
        <f t="shared" si="28"/>
        <v>40878.714285714283</v>
      </c>
      <c r="BI22" s="1353">
        <f t="shared" si="21"/>
        <v>17.31442384317058</v>
      </c>
      <c r="BJ22" s="1" t="s">
        <v>297</v>
      </c>
      <c r="BK22" s="11" t="s">
        <v>247</v>
      </c>
    </row>
    <row r="23" spans="1:63" s="41" customFormat="1" ht="27.6" customHeight="1" thickBot="1" x14ac:dyDescent="0.25">
      <c r="A23" s="4" t="s">
        <v>538</v>
      </c>
      <c r="B23" s="915" t="s">
        <v>950</v>
      </c>
      <c r="C23" s="11" t="s">
        <v>53</v>
      </c>
      <c r="D23" s="11" t="s">
        <v>993</v>
      </c>
      <c r="E23" s="11" t="s">
        <v>548</v>
      </c>
      <c r="F23" s="1" t="s">
        <v>52</v>
      </c>
      <c r="G23" s="33">
        <v>40436</v>
      </c>
      <c r="H23" s="11" t="s">
        <v>10</v>
      </c>
      <c r="I23" s="33">
        <v>40511</v>
      </c>
      <c r="J23" s="60">
        <v>41091</v>
      </c>
      <c r="K23" s="4" t="s">
        <v>135</v>
      </c>
      <c r="L23" s="11">
        <v>118</v>
      </c>
      <c r="M23" s="6">
        <v>54847</v>
      </c>
      <c r="N23" s="49">
        <v>4</v>
      </c>
      <c r="O23" s="4" t="s">
        <v>538</v>
      </c>
      <c r="P23" s="11" t="s">
        <v>247</v>
      </c>
      <c r="Q23" s="2">
        <v>4056</v>
      </c>
      <c r="R23" s="12">
        <f t="shared" si="0"/>
        <v>73.951173263806581</v>
      </c>
      <c r="S23" s="2">
        <v>3076</v>
      </c>
      <c r="T23" s="23">
        <f t="shared" si="1"/>
        <v>56.083286232610718</v>
      </c>
      <c r="U23" s="5">
        <f t="shared" si="2"/>
        <v>0.2416173570019724</v>
      </c>
      <c r="V23" s="9">
        <f t="shared" si="3"/>
        <v>980</v>
      </c>
      <c r="W23" s="992">
        <v>42235</v>
      </c>
      <c r="X23" s="49">
        <f>'[2]14.15 Meter Data'!Y204</f>
        <v>7720.2166030000008</v>
      </c>
      <c r="Y23" s="2">
        <f t="shared" si="4"/>
        <v>140.75914093751709</v>
      </c>
      <c r="Z23" s="5">
        <f t="shared" si="5"/>
        <v>-0.90340646030572014</v>
      </c>
      <c r="AA23" s="903"/>
      <c r="AB23" s="2">
        <f t="shared" si="6"/>
        <v>-3664.2166030000008</v>
      </c>
      <c r="AC23" s="4" t="s">
        <v>538</v>
      </c>
      <c r="AD23" s="15">
        <v>59608</v>
      </c>
      <c r="AE23" s="7">
        <f t="shared" si="7"/>
        <v>1.0868051124035956</v>
      </c>
      <c r="AF23" s="15">
        <v>46163</v>
      </c>
      <c r="AG23" s="7">
        <f t="shared" si="8"/>
        <v>0.84166864185826029</v>
      </c>
      <c r="AH23" s="8">
        <f t="shared" si="9"/>
        <v>0.22555697221849416</v>
      </c>
      <c r="AI23" s="15">
        <f t="shared" si="10"/>
        <v>13445</v>
      </c>
      <c r="AJ23" s="15">
        <f>'[2]14.15 Meter Data'!W209</f>
        <v>38727.49</v>
      </c>
      <c r="AK23" s="22">
        <f t="shared" si="11"/>
        <v>0.7061004248181304</v>
      </c>
      <c r="AL23" s="47">
        <f t="shared" si="12"/>
        <v>0.35029710777076906</v>
      </c>
      <c r="AM23" s="48">
        <f t="shared" si="13"/>
        <v>20880.510000000002</v>
      </c>
      <c r="AN23" s="4" t="s">
        <v>538</v>
      </c>
      <c r="AO23" s="2">
        <v>327880</v>
      </c>
      <c r="AP23" s="2">
        <f t="shared" si="22"/>
        <v>2778.6440677966102</v>
      </c>
      <c r="AQ23" s="10">
        <f t="shared" si="14"/>
        <v>5.9780844895801044</v>
      </c>
      <c r="AR23" s="2">
        <v>209536</v>
      </c>
      <c r="AS23" s="9">
        <f t="shared" si="23"/>
        <v>1775.7288135593221</v>
      </c>
      <c r="AT23" s="10">
        <f t="shared" si="15"/>
        <v>3.8203730377231206</v>
      </c>
      <c r="AU23" s="8">
        <f t="shared" si="16"/>
        <v>0.36093692814444311</v>
      </c>
      <c r="AV23" s="2">
        <f t="shared" si="17"/>
        <v>118344</v>
      </c>
      <c r="AW23" s="2">
        <f>'[2]14.15 Meter Data'!W205</f>
        <v>925800</v>
      </c>
      <c r="AX23" s="2">
        <f t="shared" si="24"/>
        <v>7845.7627118644068</v>
      </c>
      <c r="AY23" s="2">
        <f t="shared" si="18"/>
        <v>16.879683483144017</v>
      </c>
      <c r="AZ23" s="8">
        <f t="shared" si="19"/>
        <v>-1.8235939978040747</v>
      </c>
      <c r="BA23" s="250" t="s">
        <v>538</v>
      </c>
      <c r="BB23" s="939">
        <f t="shared" si="25"/>
        <v>6196641.1428571427</v>
      </c>
      <c r="BC23" s="906">
        <f t="shared" si="20"/>
        <v>112.98049378921623</v>
      </c>
      <c r="BD23" s="258">
        <v>6016156</v>
      </c>
      <c r="BE23" s="258">
        <f t="shared" si="26"/>
        <v>600745</v>
      </c>
      <c r="BF23" s="258">
        <f t="shared" si="27"/>
        <v>11428.571428571429</v>
      </c>
      <c r="BG23" s="259"/>
      <c r="BH23" s="940">
        <f t="shared" si="28"/>
        <v>40878.714285714283</v>
      </c>
      <c r="BI23" s="1353">
        <f t="shared" si="21"/>
        <v>17.31442384317058</v>
      </c>
      <c r="BJ23" s="1" t="s">
        <v>297</v>
      </c>
      <c r="BK23" s="11" t="s">
        <v>247</v>
      </c>
    </row>
    <row r="24" spans="1:63" s="41" customFormat="1" ht="27.6" customHeight="1" x14ac:dyDescent="0.2">
      <c r="A24" s="20" t="s">
        <v>119</v>
      </c>
      <c r="B24" s="929" t="s">
        <v>950</v>
      </c>
      <c r="C24" s="19" t="s">
        <v>8</v>
      </c>
      <c r="D24" s="19" t="s">
        <v>994</v>
      </c>
      <c r="E24" s="19" t="s">
        <v>651</v>
      </c>
      <c r="F24" s="9" t="s">
        <v>7</v>
      </c>
      <c r="G24" s="36">
        <v>40550</v>
      </c>
      <c r="H24" s="19" t="s">
        <v>10</v>
      </c>
      <c r="I24" s="34">
        <v>40758</v>
      </c>
      <c r="J24" s="61">
        <v>41123</v>
      </c>
      <c r="K24" s="20" t="s">
        <v>54</v>
      </c>
      <c r="L24" s="19">
        <v>350</v>
      </c>
      <c r="M24" s="6">
        <v>71505</v>
      </c>
      <c r="N24" s="49">
        <v>10</v>
      </c>
      <c r="O24" s="20" t="s">
        <v>119</v>
      </c>
      <c r="P24" s="11" t="s">
        <v>247</v>
      </c>
      <c r="Q24" s="2">
        <v>5122</v>
      </c>
      <c r="R24" s="12">
        <f t="shared" si="0"/>
        <v>71.631354450737703</v>
      </c>
      <c r="S24" s="2">
        <v>3189</v>
      </c>
      <c r="T24" s="23">
        <f t="shared" si="1"/>
        <v>44.598279840570591</v>
      </c>
      <c r="U24" s="5">
        <f t="shared" si="2"/>
        <v>0.37739164388910584</v>
      </c>
      <c r="V24" s="13">
        <f t="shared" si="3"/>
        <v>1933</v>
      </c>
      <c r="W24" s="992">
        <v>42214</v>
      </c>
      <c r="X24" s="49">
        <f>'[2]14.15 Meter Data'!W213</f>
        <v>2923.6884289999998</v>
      </c>
      <c r="Y24" s="40">
        <f t="shared" si="4"/>
        <v>40.887887965876509</v>
      </c>
      <c r="Z24" s="5">
        <f t="shared" si="5"/>
        <v>0.42919007633736828</v>
      </c>
      <c r="AA24" s="903" t="s">
        <v>955</v>
      </c>
      <c r="AB24" s="51">
        <f t="shared" si="6"/>
        <v>2198.3115710000002</v>
      </c>
      <c r="AC24" s="20" t="s">
        <v>119</v>
      </c>
      <c r="AD24" s="15">
        <v>114129</v>
      </c>
      <c r="AE24" s="24">
        <f t="shared" si="7"/>
        <v>1.5960981749528005</v>
      </c>
      <c r="AF24" s="15">
        <v>82978</v>
      </c>
      <c r="AG24" s="24">
        <f t="shared" si="8"/>
        <v>1.1604503181595693</v>
      </c>
      <c r="AH24" s="8">
        <f t="shared" si="9"/>
        <v>0.27294552655328619</v>
      </c>
      <c r="AI24" s="16">
        <f t="shared" si="10"/>
        <v>31151</v>
      </c>
      <c r="AJ24" s="15">
        <f>'[2]14.15 Meter Data'!W215</f>
        <v>96702.531759999998</v>
      </c>
      <c r="AK24" s="22">
        <f t="shared" si="11"/>
        <v>1.3523883890637018</v>
      </c>
      <c r="AL24" s="47">
        <f t="shared" si="12"/>
        <v>0.15269097459891878</v>
      </c>
      <c r="AM24" s="48">
        <f t="shared" si="13"/>
        <v>17426.468240000002</v>
      </c>
      <c r="AN24" s="20" t="s">
        <v>119</v>
      </c>
      <c r="AO24" s="2">
        <v>2675470</v>
      </c>
      <c r="AP24" s="2">
        <f t="shared" si="22"/>
        <v>7644.2</v>
      </c>
      <c r="AQ24" s="2">
        <f t="shared" si="14"/>
        <v>37.416544297601568</v>
      </c>
      <c r="AR24" s="2">
        <v>1801347</v>
      </c>
      <c r="AS24" s="9">
        <f t="shared" si="23"/>
        <v>5146.7057142857138</v>
      </c>
      <c r="AT24" s="2">
        <f t="shared" si="15"/>
        <v>25.19190266414936</v>
      </c>
      <c r="AU24" s="8">
        <f t="shared" si="16"/>
        <v>0.32671754869237929</v>
      </c>
      <c r="AV24" s="17">
        <f t="shared" si="17"/>
        <v>874123</v>
      </c>
      <c r="AW24" s="2">
        <f>'[2]14.15 Meter Data'!W214</f>
        <v>1553840</v>
      </c>
      <c r="AX24" s="2">
        <f t="shared" si="24"/>
        <v>4439.5428571428574</v>
      </c>
      <c r="AY24" s="2">
        <f t="shared" si="18"/>
        <v>21.730508356059016</v>
      </c>
      <c r="AZ24" s="8">
        <f t="shared" si="19"/>
        <v>0.41922727595525272</v>
      </c>
      <c r="BA24" s="20" t="s">
        <v>119</v>
      </c>
      <c r="BB24" s="64">
        <v>13435000</v>
      </c>
      <c r="BC24" s="42">
        <f t="shared" si="20"/>
        <v>187.88895881406896</v>
      </c>
      <c r="BD24" s="15">
        <v>11750000</v>
      </c>
      <c r="BE24" s="15">
        <v>998800</v>
      </c>
      <c r="BF24" s="15">
        <v>0</v>
      </c>
      <c r="BG24" s="3"/>
      <c r="BH24" s="15">
        <v>153235</v>
      </c>
      <c r="BI24" s="1353">
        <f t="shared" si="21"/>
        <v>59.010465153606624</v>
      </c>
      <c r="BJ24" s="1" t="s">
        <v>313</v>
      </c>
      <c r="BK24" s="11" t="s">
        <v>247</v>
      </c>
    </row>
    <row r="25" spans="1:63" s="41" customFormat="1" ht="27.6" customHeight="1" x14ac:dyDescent="0.2">
      <c r="A25" s="4" t="s">
        <v>1019</v>
      </c>
      <c r="B25" s="915" t="s">
        <v>952</v>
      </c>
      <c r="C25" s="11" t="s">
        <v>56</v>
      </c>
      <c r="D25" s="11" t="s">
        <v>995</v>
      </c>
      <c r="E25" s="11" t="s">
        <v>546</v>
      </c>
      <c r="F25" s="1" t="s">
        <v>55</v>
      </c>
      <c r="G25" s="33">
        <v>40798</v>
      </c>
      <c r="H25" s="11" t="s">
        <v>10</v>
      </c>
      <c r="I25" s="33" t="s">
        <v>475</v>
      </c>
      <c r="J25" s="60">
        <v>41128</v>
      </c>
      <c r="K25" s="4" t="s">
        <v>54</v>
      </c>
      <c r="L25" s="11">
        <v>340</v>
      </c>
      <c r="M25" s="6">
        <v>85000</v>
      </c>
      <c r="N25" s="14">
        <v>3</v>
      </c>
      <c r="O25" s="4" t="s">
        <v>1019</v>
      </c>
      <c r="P25" s="11" t="s">
        <v>247</v>
      </c>
      <c r="Q25" s="2">
        <v>5499</v>
      </c>
      <c r="R25" s="12">
        <f t="shared" si="0"/>
        <v>64.694117647058818</v>
      </c>
      <c r="S25" s="2">
        <v>3624</v>
      </c>
      <c r="T25" s="23">
        <f t="shared" si="1"/>
        <v>42.635294117647057</v>
      </c>
      <c r="U25" s="5">
        <f t="shared" si="2"/>
        <v>0.34097108565193673</v>
      </c>
      <c r="V25" s="6">
        <f t="shared" si="3"/>
        <v>1875</v>
      </c>
      <c r="W25" s="1343">
        <v>42244</v>
      </c>
      <c r="X25" s="992" t="s">
        <v>321</v>
      </c>
      <c r="Y25" s="40"/>
      <c r="Z25" s="5"/>
      <c r="AA25" s="903"/>
      <c r="AB25" s="2"/>
      <c r="AC25" s="4" t="s">
        <v>1019</v>
      </c>
      <c r="AD25" s="15">
        <v>174915</v>
      </c>
      <c r="AE25" s="7">
        <f t="shared" si="7"/>
        <v>2.0578235294117646</v>
      </c>
      <c r="AF25" s="15">
        <v>88110</v>
      </c>
      <c r="AG25" s="7">
        <f t="shared" si="8"/>
        <v>1.0365882352941176</v>
      </c>
      <c r="AH25" s="8">
        <f t="shared" si="9"/>
        <v>0.49626961667095448</v>
      </c>
      <c r="AI25" s="15">
        <f t="shared" si="10"/>
        <v>86805</v>
      </c>
      <c r="AJ25" s="1" t="s">
        <v>321</v>
      </c>
      <c r="AK25" s="3"/>
      <c r="AL25" s="3"/>
      <c r="AM25" s="2"/>
      <c r="AN25" s="4" t="s">
        <v>1019</v>
      </c>
      <c r="AO25" s="2">
        <v>2636463</v>
      </c>
      <c r="AP25" s="2">
        <f t="shared" si="22"/>
        <v>7754.302941176471</v>
      </c>
      <c r="AQ25" s="10">
        <f t="shared" si="14"/>
        <v>31.017211764705884</v>
      </c>
      <c r="AR25" s="2">
        <v>1734140</v>
      </c>
      <c r="AS25" s="9">
        <f t="shared" si="23"/>
        <v>5100.411764705882</v>
      </c>
      <c r="AT25" s="10">
        <f t="shared" si="15"/>
        <v>20.401647058823528</v>
      </c>
      <c r="AU25" s="8">
        <f t="shared" si="16"/>
        <v>0.34224754908375349</v>
      </c>
      <c r="AV25" s="2">
        <f t="shared" si="17"/>
        <v>902323</v>
      </c>
      <c r="AW25" s="1" t="s">
        <v>321</v>
      </c>
      <c r="AX25" s="3"/>
      <c r="AY25" s="3"/>
      <c r="AZ25" s="3"/>
      <c r="BA25" s="4" t="s">
        <v>1019</v>
      </c>
      <c r="BB25" s="71" t="s">
        <v>288</v>
      </c>
      <c r="BC25" s="42"/>
      <c r="BD25" s="3"/>
      <c r="BE25" s="33" t="s">
        <v>288</v>
      </c>
      <c r="BF25" s="33" t="s">
        <v>288</v>
      </c>
      <c r="BG25" s="3"/>
      <c r="BH25" s="33" t="s">
        <v>288</v>
      </c>
      <c r="BI25" s="1353"/>
      <c r="BJ25" s="1" t="s">
        <v>313</v>
      </c>
      <c r="BK25" s="11" t="s">
        <v>247</v>
      </c>
    </row>
    <row r="26" spans="1:63" s="41" customFormat="1" ht="27.6" customHeight="1" x14ac:dyDescent="0.2">
      <c r="A26" s="20" t="s">
        <v>286</v>
      </c>
      <c r="B26" s="929" t="s">
        <v>952</v>
      </c>
      <c r="C26" s="19" t="s">
        <v>11</v>
      </c>
      <c r="D26" s="19" t="s">
        <v>991</v>
      </c>
      <c r="E26" s="19" t="s">
        <v>648</v>
      </c>
      <c r="F26" s="9" t="s">
        <v>9</v>
      </c>
      <c r="G26" s="34">
        <v>40134</v>
      </c>
      <c r="H26" s="19" t="s">
        <v>10</v>
      </c>
      <c r="I26" s="34">
        <v>40375</v>
      </c>
      <c r="J26" s="61">
        <v>41128</v>
      </c>
      <c r="K26" s="20" t="s">
        <v>12</v>
      </c>
      <c r="L26" s="19" t="s">
        <v>13</v>
      </c>
      <c r="M26" s="6">
        <v>87000</v>
      </c>
      <c r="N26" s="49">
        <v>3</v>
      </c>
      <c r="O26" s="20" t="s">
        <v>286</v>
      </c>
      <c r="P26" s="11" t="s">
        <v>247</v>
      </c>
      <c r="Q26" s="2">
        <v>7163</v>
      </c>
      <c r="R26" s="12">
        <f t="shared" si="0"/>
        <v>82.333333333333329</v>
      </c>
      <c r="S26" s="2">
        <v>4954</v>
      </c>
      <c r="T26" s="23">
        <f t="shared" si="1"/>
        <v>56.942528735632187</v>
      </c>
      <c r="U26" s="5">
        <f t="shared" si="2"/>
        <v>0.30839033924333381</v>
      </c>
      <c r="V26" s="13">
        <f t="shared" si="3"/>
        <v>2209</v>
      </c>
      <c r="W26" s="967">
        <v>42219</v>
      </c>
      <c r="X26" s="49">
        <f>'[2]14.15 Meter Data'!Y220</f>
        <v>7364.6859658110316</v>
      </c>
      <c r="Y26" s="40">
        <f>X26/M26*1000</f>
        <v>84.65156282541416</v>
      </c>
      <c r="Z26" s="5">
        <f>(Q26-X26)/Q26</f>
        <v>-2.8156633507054524E-2</v>
      </c>
      <c r="AA26" s="903"/>
      <c r="AB26" s="2">
        <f>Q26-X26</f>
        <v>-201.68596581103156</v>
      </c>
      <c r="AC26" s="20" t="s">
        <v>286</v>
      </c>
      <c r="AD26" s="15">
        <v>98379</v>
      </c>
      <c r="AE26" s="24">
        <f t="shared" si="7"/>
        <v>1.1307931034482759</v>
      </c>
      <c r="AF26" s="15">
        <v>65154</v>
      </c>
      <c r="AG26" s="24">
        <f t="shared" si="8"/>
        <v>0.74889655172413794</v>
      </c>
      <c r="AH26" s="8">
        <f t="shared" si="9"/>
        <v>0.3377245143780685</v>
      </c>
      <c r="AI26" s="16">
        <f t="shared" si="10"/>
        <v>33225</v>
      </c>
      <c r="AJ26" s="15">
        <f>'[2]14.15 Meter Data'!W224</f>
        <v>130334.91504000002</v>
      </c>
      <c r="AK26" s="22">
        <f>AJ26/M26</f>
        <v>1.4981024717241382</v>
      </c>
      <c r="AL26" s="47">
        <f>(AD26-AJ26)/AD26</f>
        <v>-0.3248245564602204</v>
      </c>
      <c r="AM26" s="48">
        <f>AD26-AJ26</f>
        <v>-31955.915040000022</v>
      </c>
      <c r="AN26" s="20" t="s">
        <v>286</v>
      </c>
      <c r="AO26" s="2">
        <v>2606625</v>
      </c>
      <c r="AP26" s="9" t="s">
        <v>13</v>
      </c>
      <c r="AQ26" s="2">
        <f t="shared" si="14"/>
        <v>29.961206896551722</v>
      </c>
      <c r="AR26" s="2">
        <v>1672375</v>
      </c>
      <c r="AS26" s="9" t="s">
        <v>13</v>
      </c>
      <c r="AT26" s="2">
        <f t="shared" si="15"/>
        <v>19.222701149425287</v>
      </c>
      <c r="AU26" s="8">
        <f t="shared" si="16"/>
        <v>0.35841365750731308</v>
      </c>
      <c r="AV26" s="17">
        <f t="shared" si="17"/>
        <v>934250</v>
      </c>
      <c r="AW26" s="2">
        <f>'[2]14.15 Meter Data'!W221</f>
        <v>848245</v>
      </c>
      <c r="AX26" s="9" t="s">
        <v>13</v>
      </c>
      <c r="AY26" s="2">
        <f>AW26/M26</f>
        <v>9.7499425287356321</v>
      </c>
      <c r="AZ26" s="8">
        <f>(AO26-AW26)/AO26</f>
        <v>0.67458111542703691</v>
      </c>
      <c r="BA26" s="20" t="s">
        <v>286</v>
      </c>
      <c r="BB26" s="64">
        <v>14834300</v>
      </c>
      <c r="BC26" s="42">
        <f t="shared" ref="BC26:BC49" si="29">BB26/M26</f>
        <v>170.50919540229884</v>
      </c>
      <c r="BD26" s="15">
        <v>14419316</v>
      </c>
      <c r="BE26" s="15">
        <v>2004260</v>
      </c>
      <c r="BF26" s="15">
        <v>47460</v>
      </c>
      <c r="BG26" s="3"/>
      <c r="BH26" s="85">
        <v>0</v>
      </c>
      <c r="BI26" s="1353">
        <f>((BB26-BD26)+BF26+BG26+BH26)/AI26</f>
        <v>13.918555304740407</v>
      </c>
      <c r="BJ26" s="1" t="s">
        <v>301</v>
      </c>
      <c r="BK26" s="11" t="s">
        <v>247</v>
      </c>
    </row>
    <row r="27" spans="1:63" s="41" customFormat="1" ht="27.6" customHeight="1" x14ac:dyDescent="0.2">
      <c r="A27" s="20" t="s">
        <v>279</v>
      </c>
      <c r="B27" s="19" t="s">
        <v>951</v>
      </c>
      <c r="C27" s="19" t="s">
        <v>14</v>
      </c>
      <c r="D27" s="19" t="s">
        <v>988</v>
      </c>
      <c r="E27" s="19" t="s">
        <v>552</v>
      </c>
      <c r="F27" s="9" t="s">
        <v>186</v>
      </c>
      <c r="G27" s="34">
        <v>40602</v>
      </c>
      <c r="H27" s="19" t="s">
        <v>10</v>
      </c>
      <c r="I27" s="34">
        <v>40738</v>
      </c>
      <c r="J27" s="61">
        <v>41129</v>
      </c>
      <c r="K27" s="20" t="s">
        <v>54</v>
      </c>
      <c r="L27" s="19">
        <v>300</v>
      </c>
      <c r="M27" s="6">
        <v>91370</v>
      </c>
      <c r="N27" s="49">
        <v>6</v>
      </c>
      <c r="O27" s="20" t="s">
        <v>279</v>
      </c>
      <c r="P27" s="11" t="s">
        <v>247</v>
      </c>
      <c r="Q27" s="2">
        <v>5737</v>
      </c>
      <c r="R27" s="12">
        <f t="shared" si="0"/>
        <v>62.788661486264637</v>
      </c>
      <c r="S27" s="2">
        <v>3460</v>
      </c>
      <c r="T27" s="23">
        <f t="shared" si="1"/>
        <v>37.868009193389511</v>
      </c>
      <c r="U27" s="5">
        <f t="shared" si="2"/>
        <v>0.39689733310092384</v>
      </c>
      <c r="V27" s="13">
        <f t="shared" si="3"/>
        <v>2277</v>
      </c>
      <c r="W27" s="967" t="s">
        <v>321</v>
      </c>
      <c r="X27" s="49"/>
      <c r="Y27" s="40"/>
      <c r="Z27" s="5"/>
      <c r="AA27" s="901"/>
      <c r="AB27" s="51"/>
      <c r="AC27" s="20" t="s">
        <v>279</v>
      </c>
      <c r="AD27" s="15">
        <v>89281</v>
      </c>
      <c r="AE27" s="24">
        <f t="shared" si="7"/>
        <v>0.97713691583670792</v>
      </c>
      <c r="AF27" s="15">
        <v>63609</v>
      </c>
      <c r="AG27" s="24">
        <f t="shared" si="8"/>
        <v>0.69616942103535073</v>
      </c>
      <c r="AH27" s="8">
        <f t="shared" si="9"/>
        <v>0.28754158219553994</v>
      </c>
      <c r="AI27" s="16">
        <f t="shared" si="10"/>
        <v>25672</v>
      </c>
      <c r="AJ27" s="29" t="s">
        <v>321</v>
      </c>
      <c r="AK27" s="22"/>
      <c r="AL27" s="47"/>
      <c r="AM27" s="48"/>
      <c r="AN27" s="20" t="s">
        <v>279</v>
      </c>
      <c r="AO27" s="2">
        <v>2888310</v>
      </c>
      <c r="AP27" s="2">
        <f>AO27/L27</f>
        <v>9627.7000000000007</v>
      </c>
      <c r="AQ27" s="2">
        <f t="shared" si="14"/>
        <v>31.611141512531464</v>
      </c>
      <c r="AR27" s="2">
        <v>1728304</v>
      </c>
      <c r="AS27" s="9">
        <f>AR27/L27</f>
        <v>5761.0133333333333</v>
      </c>
      <c r="AT27" s="2">
        <f t="shared" si="15"/>
        <v>18.915442705483201</v>
      </c>
      <c r="AU27" s="8">
        <f t="shared" si="16"/>
        <v>0.40162101713458737</v>
      </c>
      <c r="AV27" s="17">
        <f t="shared" si="17"/>
        <v>1160006</v>
      </c>
      <c r="AW27" s="9" t="s">
        <v>321</v>
      </c>
      <c r="AX27" s="2"/>
      <c r="AY27" s="2"/>
      <c r="AZ27" s="8"/>
      <c r="BA27" s="20" t="s">
        <v>279</v>
      </c>
      <c r="BB27" s="64">
        <v>16467600</v>
      </c>
      <c r="BC27" s="42">
        <f t="shared" si="29"/>
        <v>180.22983473787895</v>
      </c>
      <c r="BD27" s="15">
        <v>14927082</v>
      </c>
      <c r="BE27" s="15">
        <v>1685000</v>
      </c>
      <c r="BF27" s="15">
        <v>0</v>
      </c>
      <c r="BG27" s="3"/>
      <c r="BH27" s="15">
        <v>85000</v>
      </c>
      <c r="BI27" s="1353">
        <f>((BB27-BD27)+BF27+BG27+BH27)/AI27</f>
        <v>63.318712994702402</v>
      </c>
      <c r="BJ27" s="1" t="s">
        <v>301</v>
      </c>
      <c r="BK27" s="11" t="s">
        <v>247</v>
      </c>
    </row>
    <row r="28" spans="1:63" s="41" customFormat="1" ht="27.6" customHeight="1" x14ac:dyDescent="0.2">
      <c r="A28" s="20" t="s">
        <v>280</v>
      </c>
      <c r="B28" s="19" t="s">
        <v>951</v>
      </c>
      <c r="C28" s="19" t="s">
        <v>6</v>
      </c>
      <c r="D28" s="19" t="s">
        <v>990</v>
      </c>
      <c r="E28" s="19" t="s">
        <v>547</v>
      </c>
      <c r="F28" s="9" t="s">
        <v>5</v>
      </c>
      <c r="G28" s="36">
        <v>40424</v>
      </c>
      <c r="H28" s="19" t="s">
        <v>10</v>
      </c>
      <c r="I28" s="34">
        <v>40568</v>
      </c>
      <c r="J28" s="61">
        <v>41138</v>
      </c>
      <c r="K28" s="20" t="s">
        <v>54</v>
      </c>
      <c r="L28" s="19">
        <v>210</v>
      </c>
      <c r="M28" s="6">
        <v>53896</v>
      </c>
      <c r="N28" s="49">
        <v>3</v>
      </c>
      <c r="O28" s="20" t="s">
        <v>280</v>
      </c>
      <c r="P28" s="11" t="s">
        <v>247</v>
      </c>
      <c r="Q28" s="2">
        <v>9118</v>
      </c>
      <c r="R28" s="12">
        <f t="shared" si="0"/>
        <v>169.17767552322994</v>
      </c>
      <c r="S28" s="2">
        <v>6399</v>
      </c>
      <c r="T28" s="23">
        <f t="shared" si="1"/>
        <v>118.72866260947008</v>
      </c>
      <c r="U28" s="5">
        <f t="shared" si="2"/>
        <v>0.29820135994735686</v>
      </c>
      <c r="V28" s="13">
        <f t="shared" si="3"/>
        <v>2719</v>
      </c>
      <c r="W28" s="967">
        <v>42243</v>
      </c>
      <c r="X28" s="49">
        <f>'[2]14.15 Meter Data'!W240</f>
        <v>2074.1585989999999</v>
      </c>
      <c r="Y28" s="40">
        <f>X28/M28*1000</f>
        <v>38.484462650289444</v>
      </c>
      <c r="Z28" s="5">
        <f>(Q28-X28)/Q28</f>
        <v>0.77252044318929591</v>
      </c>
      <c r="AA28" s="903" t="s">
        <v>955</v>
      </c>
      <c r="AB28" s="2">
        <f>Q28-X28</f>
        <v>7043.8414009999997</v>
      </c>
      <c r="AC28" s="20" t="s">
        <v>280</v>
      </c>
      <c r="AD28" s="15">
        <v>217417</v>
      </c>
      <c r="AE28" s="24">
        <f t="shared" si="7"/>
        <v>4.0340099450794122</v>
      </c>
      <c r="AF28" s="15">
        <v>145256</v>
      </c>
      <c r="AG28" s="24">
        <f t="shared" si="8"/>
        <v>2.6951165207065459</v>
      </c>
      <c r="AH28" s="8">
        <f t="shared" si="9"/>
        <v>0.33190136925815367</v>
      </c>
      <c r="AI28" s="16">
        <f t="shared" si="10"/>
        <v>72161</v>
      </c>
      <c r="AJ28" s="15">
        <f>'[2]14.15 Meter Data'!W242</f>
        <v>64911.06</v>
      </c>
      <c r="AK28" s="22">
        <f>AJ28/M28</f>
        <v>1.2043762060264211</v>
      </c>
      <c r="AL28" s="47">
        <f>(AD28-AJ28)/AD28</f>
        <v>0.70144441327035145</v>
      </c>
      <c r="AM28" s="48">
        <f>AD28-AJ28</f>
        <v>152505.94</v>
      </c>
      <c r="AN28" s="20" t="s">
        <v>280</v>
      </c>
      <c r="AO28" s="2">
        <v>1193460</v>
      </c>
      <c r="AP28" s="2">
        <f>AO28/L28</f>
        <v>5683.1428571428569</v>
      </c>
      <c r="AQ28" s="2">
        <f t="shared" si="14"/>
        <v>22.143758349413687</v>
      </c>
      <c r="AR28" s="2">
        <v>938250</v>
      </c>
      <c r="AS28" s="9">
        <f>AR28/L28</f>
        <v>4467.8571428571431</v>
      </c>
      <c r="AT28" s="2">
        <f t="shared" si="15"/>
        <v>17.40852753451091</v>
      </c>
      <c r="AU28" s="8">
        <f t="shared" si="16"/>
        <v>0.21384043034538233</v>
      </c>
      <c r="AV28" s="17">
        <f t="shared" si="17"/>
        <v>255210</v>
      </c>
      <c r="AW28" s="2">
        <f>'[2]14.15 Meter Data'!W241</f>
        <v>2650585.7971999999</v>
      </c>
      <c r="AX28" s="2">
        <f>AW28/L28</f>
        <v>12621.837129523808</v>
      </c>
      <c r="AY28" s="2">
        <f>AW28/M28</f>
        <v>49.179638511206768</v>
      </c>
      <c r="AZ28" s="8">
        <f>(AO28-AW28)/AO28</f>
        <v>-1.2209255418698572</v>
      </c>
      <c r="BA28" s="20" t="s">
        <v>280</v>
      </c>
      <c r="BB28" s="64">
        <v>12474496</v>
      </c>
      <c r="BC28" s="42">
        <f t="shared" si="29"/>
        <v>231.45495027460294</v>
      </c>
      <c r="BD28" s="15">
        <v>12222788</v>
      </c>
      <c r="BE28" s="15">
        <f>499000+700950</f>
        <v>1199950</v>
      </c>
      <c r="BF28" s="15">
        <v>40000</v>
      </c>
      <c r="BG28" s="3"/>
      <c r="BH28" s="15">
        <v>85000</v>
      </c>
      <c r="BI28" s="1353">
        <f>((BB28-BD28)+BF28+BG28+BH28)/AI28</f>
        <v>5.2203822009118497</v>
      </c>
      <c r="BJ28" s="1" t="s">
        <v>302</v>
      </c>
      <c r="BK28" s="11" t="s">
        <v>247</v>
      </c>
    </row>
    <row r="29" spans="1:63" s="41" customFormat="1" ht="27.6" customHeight="1" x14ac:dyDescent="0.2">
      <c r="A29" s="4" t="s">
        <v>281</v>
      </c>
      <c r="B29" s="915" t="s">
        <v>952</v>
      </c>
      <c r="C29" s="11" t="s">
        <v>98</v>
      </c>
      <c r="D29" s="11" t="s">
        <v>996</v>
      </c>
      <c r="E29" s="11" t="s">
        <v>723</v>
      </c>
      <c r="F29" s="1" t="s">
        <v>97</v>
      </c>
      <c r="G29" s="33">
        <v>40396</v>
      </c>
      <c r="H29" s="11" t="s">
        <v>10</v>
      </c>
      <c r="I29" s="33">
        <v>40564</v>
      </c>
      <c r="J29" s="60">
        <v>41145</v>
      </c>
      <c r="K29" s="4" t="s">
        <v>88</v>
      </c>
      <c r="L29" s="11" t="s">
        <v>13</v>
      </c>
      <c r="M29" s="6">
        <v>85000</v>
      </c>
      <c r="N29" s="49">
        <v>3</v>
      </c>
      <c r="O29" s="4" t="s">
        <v>281</v>
      </c>
      <c r="P29" s="11" t="s">
        <v>247</v>
      </c>
      <c r="Q29" s="2">
        <v>7739</v>
      </c>
      <c r="R29" s="12">
        <f t="shared" si="0"/>
        <v>91.047058823529412</v>
      </c>
      <c r="S29" s="2">
        <v>4808</v>
      </c>
      <c r="T29" s="23">
        <f t="shared" si="1"/>
        <v>56.564705882352939</v>
      </c>
      <c r="U29" s="5">
        <f t="shared" si="2"/>
        <v>0.37873110220958778</v>
      </c>
      <c r="V29" s="13">
        <f t="shared" si="3"/>
        <v>2931</v>
      </c>
      <c r="W29" s="967">
        <v>42243</v>
      </c>
      <c r="X29" s="49">
        <f>'[2]14.15 Meter Data'!Y249</f>
        <v>21319.329958500006</v>
      </c>
      <c r="Y29" s="40">
        <f>X29/M29*1000</f>
        <v>250.81564657058831</v>
      </c>
      <c r="Z29" s="5">
        <f>(Q29-X29)/Q29</f>
        <v>-1.7547913113451359</v>
      </c>
      <c r="AA29" s="903"/>
      <c r="AB29" s="2">
        <f>Q29-X29</f>
        <v>-13580.329958500006</v>
      </c>
      <c r="AC29" s="4" t="s">
        <v>281</v>
      </c>
      <c r="AD29" s="15">
        <v>142633</v>
      </c>
      <c r="AE29" s="7">
        <f t="shared" si="7"/>
        <v>1.6780352941176471</v>
      </c>
      <c r="AF29" s="15">
        <v>90792</v>
      </c>
      <c r="AG29" s="7">
        <f t="shared" si="8"/>
        <v>1.0681411764705881</v>
      </c>
      <c r="AH29" s="8">
        <f t="shared" si="9"/>
        <v>0.36345726444791876</v>
      </c>
      <c r="AI29" s="16">
        <f t="shared" si="10"/>
        <v>51841</v>
      </c>
      <c r="AJ29" s="15">
        <f>'[2]14.15 Meter Data'!W254</f>
        <v>206164.52999999997</v>
      </c>
      <c r="AK29" s="22">
        <f>AJ29/M29</f>
        <v>2.4254650588235291</v>
      </c>
      <c r="AL29" s="47">
        <f>(AD29-AJ29)/AD29</f>
        <v>-0.44541957331052401</v>
      </c>
      <c r="AM29" s="48">
        <f>AD29-AJ29</f>
        <v>-63531.52999999997</v>
      </c>
      <c r="AN29" s="4" t="s">
        <v>281</v>
      </c>
      <c r="AO29" s="2">
        <v>751030</v>
      </c>
      <c r="AP29" s="9" t="s">
        <v>13</v>
      </c>
      <c r="AQ29" s="2">
        <f t="shared" si="14"/>
        <v>8.835647058823529</v>
      </c>
      <c r="AR29" s="2">
        <v>507514</v>
      </c>
      <c r="AS29" s="9" t="s">
        <v>13</v>
      </c>
      <c r="AT29" s="2">
        <f t="shared" si="15"/>
        <v>5.9707529411764702</v>
      </c>
      <c r="AU29" s="8">
        <f t="shared" si="16"/>
        <v>0.32424270668282223</v>
      </c>
      <c r="AV29" s="17">
        <f t="shared" si="17"/>
        <v>243516</v>
      </c>
      <c r="AW29" s="242">
        <f>'[2]14.15 Meter Data'!W250</f>
        <v>858349</v>
      </c>
      <c r="AX29" s="9" t="s">
        <v>13</v>
      </c>
      <c r="AY29" s="2">
        <f>AW29/M29</f>
        <v>10.098223529411765</v>
      </c>
      <c r="AZ29" s="8">
        <f>(AO29-AW29)/AO29</f>
        <v>-0.14289575649441433</v>
      </c>
      <c r="BA29" s="4" t="s">
        <v>281</v>
      </c>
      <c r="BB29" s="64">
        <v>15645200</v>
      </c>
      <c r="BC29" s="42">
        <f t="shared" si="29"/>
        <v>184.06117647058824</v>
      </c>
      <c r="BD29" s="15">
        <v>15440699</v>
      </c>
      <c r="BE29" s="15">
        <v>2615450</v>
      </c>
      <c r="BF29" s="15">
        <f>17520+139300</f>
        <v>156820</v>
      </c>
      <c r="BG29" s="3"/>
      <c r="BH29" s="86">
        <v>0</v>
      </c>
      <c r="BI29" s="1353">
        <f>((BB29-BD29)+BF29+BG29+BH29)/AI29</f>
        <v>6.9697922493779059</v>
      </c>
      <c r="BJ29" s="1" t="s">
        <v>302</v>
      </c>
      <c r="BK29" s="11" t="s">
        <v>247</v>
      </c>
    </row>
    <row r="30" spans="1:63" s="41" customFormat="1" ht="27.6" customHeight="1" x14ac:dyDescent="0.2">
      <c r="A30" s="4" t="s">
        <v>209</v>
      </c>
      <c r="B30" s="11" t="s">
        <v>951</v>
      </c>
      <c r="C30" s="11" t="s">
        <v>14</v>
      </c>
      <c r="D30" s="11" t="s">
        <v>988</v>
      </c>
      <c r="E30" s="11" t="s">
        <v>552</v>
      </c>
      <c r="F30" s="1" t="s">
        <v>89</v>
      </c>
      <c r="G30" s="33">
        <v>39944</v>
      </c>
      <c r="H30" s="11" t="s">
        <v>10</v>
      </c>
      <c r="I30" s="33">
        <v>40294</v>
      </c>
      <c r="J30" s="60">
        <v>41162</v>
      </c>
      <c r="K30" s="4" t="s">
        <v>90</v>
      </c>
      <c r="L30" s="11" t="s">
        <v>13</v>
      </c>
      <c r="M30" s="19">
        <v>40434</v>
      </c>
      <c r="N30" s="83" t="s">
        <v>91</v>
      </c>
      <c r="O30" s="4" t="s">
        <v>209</v>
      </c>
      <c r="P30" s="11" t="s">
        <v>247</v>
      </c>
      <c r="Q30" s="9">
        <v>3231</v>
      </c>
      <c r="R30" s="12">
        <f t="shared" si="0"/>
        <v>79.907998219320376</v>
      </c>
      <c r="S30" s="9">
        <v>1185</v>
      </c>
      <c r="T30" s="23">
        <f t="shared" si="1"/>
        <v>29.307018845526041</v>
      </c>
      <c r="U30" s="5">
        <f t="shared" si="2"/>
        <v>0.63324048282265555</v>
      </c>
      <c r="V30" s="13">
        <f t="shared" si="3"/>
        <v>2046</v>
      </c>
      <c r="W30" s="967" t="s">
        <v>321</v>
      </c>
      <c r="X30" s="873"/>
      <c r="Y30" s="40"/>
      <c r="Z30" s="11"/>
      <c r="AA30" s="11"/>
      <c r="AB30" s="11"/>
      <c r="AC30" s="4" t="s">
        <v>209</v>
      </c>
      <c r="AD30" s="29">
        <v>98370</v>
      </c>
      <c r="AE30" s="7">
        <f t="shared" si="7"/>
        <v>2.4328535391007566</v>
      </c>
      <c r="AF30" s="29">
        <v>43014</v>
      </c>
      <c r="AG30" s="7">
        <f t="shared" si="8"/>
        <v>1.0638076866003858</v>
      </c>
      <c r="AH30" s="8">
        <f t="shared" si="9"/>
        <v>0.56273254040866116</v>
      </c>
      <c r="AI30" s="16">
        <f t="shared" si="10"/>
        <v>55356</v>
      </c>
      <c r="AJ30" s="1" t="s">
        <v>321</v>
      </c>
      <c r="AK30" s="11"/>
      <c r="AL30" s="11"/>
      <c r="AM30" s="11"/>
      <c r="AN30" s="4" t="s">
        <v>209</v>
      </c>
      <c r="AO30" s="19">
        <v>957500</v>
      </c>
      <c r="AP30" s="11" t="s">
        <v>13</v>
      </c>
      <c r="AQ30" s="2">
        <f t="shared" si="14"/>
        <v>23.680565860414504</v>
      </c>
      <c r="AR30" s="19">
        <v>655500</v>
      </c>
      <c r="AS30" s="11" t="s">
        <v>13</v>
      </c>
      <c r="AT30" s="2">
        <f t="shared" si="15"/>
        <v>16.211604095563139</v>
      </c>
      <c r="AU30" s="8">
        <f t="shared" si="16"/>
        <v>0.31540469973890339</v>
      </c>
      <c r="AV30" s="17">
        <f t="shared" si="17"/>
        <v>302000</v>
      </c>
      <c r="AW30" s="1" t="s">
        <v>321</v>
      </c>
      <c r="AX30" s="11"/>
      <c r="AY30" s="11"/>
      <c r="AZ30" s="11"/>
      <c r="BA30" s="4" t="s">
        <v>209</v>
      </c>
      <c r="BB30" s="64">
        <v>5996300</v>
      </c>
      <c r="BC30" s="42">
        <f t="shared" si="29"/>
        <v>148.29846169065638</v>
      </c>
      <c r="BD30" s="346">
        <f>BB30-161700</f>
        <v>5834600</v>
      </c>
      <c r="BE30" s="15">
        <v>859165</v>
      </c>
      <c r="BF30" s="15">
        <v>76500</v>
      </c>
      <c r="BG30" s="3"/>
      <c r="BH30" s="86">
        <v>0</v>
      </c>
      <c r="BI30" s="1353"/>
      <c r="BJ30" s="1" t="s">
        <v>317</v>
      </c>
      <c r="BK30" s="11" t="s">
        <v>247</v>
      </c>
    </row>
    <row r="31" spans="1:63" s="41" customFormat="1" ht="27.6" customHeight="1" x14ac:dyDescent="0.2">
      <c r="A31" s="4" t="s">
        <v>1020</v>
      </c>
      <c r="B31" s="11" t="s">
        <v>951</v>
      </c>
      <c r="C31" s="11" t="s">
        <v>68</v>
      </c>
      <c r="D31" s="11" t="s">
        <v>992</v>
      </c>
      <c r="E31" s="11" t="s">
        <v>650</v>
      </c>
      <c r="F31" s="1" t="s">
        <v>120</v>
      </c>
      <c r="G31" s="33">
        <v>40284</v>
      </c>
      <c r="H31" s="11" t="s">
        <v>10</v>
      </c>
      <c r="I31" s="33">
        <v>40360</v>
      </c>
      <c r="J31" s="60">
        <v>41166</v>
      </c>
      <c r="K31" s="4" t="s">
        <v>121</v>
      </c>
      <c r="L31" s="11" t="s">
        <v>13</v>
      </c>
      <c r="M31" s="6">
        <v>157410</v>
      </c>
      <c r="N31" s="49">
        <v>5</v>
      </c>
      <c r="O31" s="4" t="s">
        <v>1020</v>
      </c>
      <c r="P31" s="11" t="s">
        <v>247</v>
      </c>
      <c r="Q31" s="2">
        <v>43253</v>
      </c>
      <c r="R31" s="12">
        <f t="shared" si="0"/>
        <v>274.77923893018232</v>
      </c>
      <c r="S31" s="2">
        <v>27864</v>
      </c>
      <c r="T31" s="23">
        <f t="shared" si="1"/>
        <v>177.01543739279589</v>
      </c>
      <c r="U31" s="5">
        <f t="shared" si="2"/>
        <v>0.35579034980232582</v>
      </c>
      <c r="V31" s="13">
        <f t="shared" si="3"/>
        <v>15389</v>
      </c>
      <c r="W31" s="967">
        <v>42230</v>
      </c>
      <c r="X31" s="1341" t="s">
        <v>1248</v>
      </c>
      <c r="Y31" s="2"/>
      <c r="Z31" s="2"/>
      <c r="AA31" s="2"/>
      <c r="AB31" s="2"/>
      <c r="AC31" s="4" t="s">
        <v>1020</v>
      </c>
      <c r="AD31" s="15">
        <v>420065</v>
      </c>
      <c r="AE31" s="7">
        <f t="shared" si="7"/>
        <v>2.6686042818118292</v>
      </c>
      <c r="AF31" s="15">
        <v>302543</v>
      </c>
      <c r="AG31" s="7">
        <f t="shared" si="8"/>
        <v>1.9220062257798107</v>
      </c>
      <c r="AH31" s="8">
        <f t="shared" si="9"/>
        <v>0.27977098782331306</v>
      </c>
      <c r="AI31" s="16">
        <f t="shared" si="10"/>
        <v>117522</v>
      </c>
      <c r="AJ31" s="11" t="s">
        <v>1248</v>
      </c>
      <c r="AK31" s="2"/>
      <c r="AL31" s="2"/>
      <c r="AM31" s="2"/>
      <c r="AN31" s="4" t="s">
        <v>1020</v>
      </c>
      <c r="AO31" s="2">
        <v>1373584</v>
      </c>
      <c r="AP31" s="9" t="s">
        <v>13</v>
      </c>
      <c r="AQ31" s="2">
        <f t="shared" si="14"/>
        <v>8.7261546280414208</v>
      </c>
      <c r="AR31" s="2">
        <v>905161</v>
      </c>
      <c r="AS31" s="9" t="s">
        <v>13</v>
      </c>
      <c r="AT31" s="2">
        <f t="shared" si="15"/>
        <v>5.7503398767549712</v>
      </c>
      <c r="AU31" s="8">
        <f t="shared" si="16"/>
        <v>0.34102246386096519</v>
      </c>
      <c r="AV31" s="17">
        <f t="shared" si="17"/>
        <v>468423</v>
      </c>
      <c r="AW31" s="1" t="s">
        <v>321</v>
      </c>
      <c r="AX31" s="9"/>
      <c r="AY31" s="2"/>
      <c r="AZ31" s="2"/>
      <c r="BA31" s="4" t="s">
        <v>1020</v>
      </c>
      <c r="BB31" s="64">
        <v>33176057</v>
      </c>
      <c r="BC31" s="42">
        <f t="shared" si="29"/>
        <v>210.7620672130106</v>
      </c>
      <c r="BD31" s="346">
        <f>BB31-253510</f>
        <v>32922547</v>
      </c>
      <c r="BE31" s="15">
        <v>5394860</v>
      </c>
      <c r="BF31" s="15">
        <v>100000</v>
      </c>
      <c r="BG31" s="3"/>
      <c r="BH31" s="15">
        <v>346397</v>
      </c>
      <c r="BI31" s="1353"/>
      <c r="BJ31" s="1" t="s">
        <v>303</v>
      </c>
      <c r="BK31" s="11" t="s">
        <v>247</v>
      </c>
    </row>
    <row r="32" spans="1:63" s="41" customFormat="1" ht="27.6" customHeight="1" x14ac:dyDescent="0.2">
      <c r="A32" s="4" t="s">
        <v>16</v>
      </c>
      <c r="B32" s="11" t="s">
        <v>951</v>
      </c>
      <c r="C32" s="11" t="s">
        <v>1139</v>
      </c>
      <c r="D32" s="11" t="s">
        <v>997</v>
      </c>
      <c r="E32" s="11" t="s">
        <v>620</v>
      </c>
      <c r="F32" s="1" t="s">
        <v>15</v>
      </c>
      <c r="G32" s="33">
        <v>40605</v>
      </c>
      <c r="H32" s="11" t="s">
        <v>10</v>
      </c>
      <c r="I32" s="33">
        <v>40753</v>
      </c>
      <c r="J32" s="60">
        <v>41185</v>
      </c>
      <c r="K32" s="4" t="s">
        <v>12</v>
      </c>
      <c r="L32" s="11" t="s">
        <v>13</v>
      </c>
      <c r="M32" s="6">
        <v>31418</v>
      </c>
      <c r="N32" s="49">
        <v>2</v>
      </c>
      <c r="O32" s="4" t="s">
        <v>16</v>
      </c>
      <c r="P32" s="11" t="s">
        <v>247</v>
      </c>
      <c r="Q32" s="2">
        <v>1732</v>
      </c>
      <c r="R32" s="12">
        <f t="shared" si="0"/>
        <v>55.127633840473614</v>
      </c>
      <c r="S32" s="2">
        <v>1161</v>
      </c>
      <c r="T32" s="23">
        <f t="shared" si="1"/>
        <v>36.953338850340572</v>
      </c>
      <c r="U32" s="5">
        <f t="shared" si="2"/>
        <v>0.32967667436489606</v>
      </c>
      <c r="V32" s="13">
        <f t="shared" si="3"/>
        <v>571</v>
      </c>
      <c r="W32" s="967">
        <v>42244</v>
      </c>
      <c r="X32" s="1341" t="s">
        <v>1248</v>
      </c>
      <c r="Y32" s="2"/>
      <c r="Z32" s="2"/>
      <c r="AA32" s="2"/>
      <c r="AB32" s="2"/>
      <c r="AC32" s="4" t="s">
        <v>16</v>
      </c>
      <c r="AD32" s="15">
        <v>36406</v>
      </c>
      <c r="AE32" s="7">
        <f t="shared" si="7"/>
        <v>1.1587624928385003</v>
      </c>
      <c r="AF32" s="15">
        <v>25403</v>
      </c>
      <c r="AG32" s="7">
        <f t="shared" si="8"/>
        <v>0.80854923928957922</v>
      </c>
      <c r="AH32" s="8">
        <f t="shared" si="9"/>
        <v>0.3022304015821568</v>
      </c>
      <c r="AI32" s="16">
        <f t="shared" si="10"/>
        <v>11003</v>
      </c>
      <c r="AJ32" s="1342" t="s">
        <v>1248</v>
      </c>
      <c r="AK32" s="2"/>
      <c r="AL32" s="2"/>
      <c r="AM32" s="2"/>
      <c r="AN32" s="4" t="s">
        <v>16</v>
      </c>
      <c r="AO32" s="2">
        <v>689715</v>
      </c>
      <c r="AP32" s="9" t="s">
        <v>13</v>
      </c>
      <c r="AQ32" s="2">
        <f t="shared" si="14"/>
        <v>21.952861417022088</v>
      </c>
      <c r="AR32" s="2">
        <v>403299</v>
      </c>
      <c r="AS32" s="9" t="s">
        <v>13</v>
      </c>
      <c r="AT32" s="2">
        <f t="shared" si="15"/>
        <v>12.836558660640398</v>
      </c>
      <c r="AU32" s="8">
        <f t="shared" si="16"/>
        <v>0.41526717557251908</v>
      </c>
      <c r="AV32" s="17">
        <f t="shared" si="17"/>
        <v>286416</v>
      </c>
      <c r="AW32" s="9">
        <f>'[2]14.15 Meter Data'!W279</f>
        <v>82682</v>
      </c>
      <c r="AX32" s="9" t="s">
        <v>13</v>
      </c>
      <c r="AY32" s="2">
        <f t="shared" ref="AY32:AY38" si="30">AW32/M32</f>
        <v>2.6316761092367433</v>
      </c>
      <c r="AZ32" s="8">
        <f t="shared" ref="AZ32:AZ38" si="31">(AO32-AW32)/AO32</f>
        <v>0.8801214994599218</v>
      </c>
      <c r="BA32" s="4" t="s">
        <v>16</v>
      </c>
      <c r="BB32" s="64">
        <v>4701800</v>
      </c>
      <c r="BC32" s="42">
        <f t="shared" si="29"/>
        <v>149.65306512190463</v>
      </c>
      <c r="BD32" s="346">
        <f>BB32-44306</f>
        <v>4657494</v>
      </c>
      <c r="BE32" s="15">
        <v>474000</v>
      </c>
      <c r="BF32" s="15">
        <v>0</v>
      </c>
      <c r="BG32" s="3"/>
      <c r="BH32" s="15">
        <v>56984</v>
      </c>
      <c r="BI32" s="1353">
        <f>((BB32-BD32)+BF32+BG32+BH32)/AI32</f>
        <v>9.2056711805871121</v>
      </c>
      <c r="BJ32" s="1" t="s">
        <v>304</v>
      </c>
      <c r="BK32" s="11" t="s">
        <v>247</v>
      </c>
    </row>
    <row r="33" spans="1:63" s="41" customFormat="1" ht="27.6" customHeight="1" x14ac:dyDescent="0.2">
      <c r="A33" s="4" t="s">
        <v>102</v>
      </c>
      <c r="B33" s="915" t="s">
        <v>952</v>
      </c>
      <c r="C33" s="11" t="s">
        <v>60</v>
      </c>
      <c r="D33" s="11" t="s">
        <v>989</v>
      </c>
      <c r="E33" s="11" t="s">
        <v>510</v>
      </c>
      <c r="F33" s="1" t="s">
        <v>101</v>
      </c>
      <c r="G33" s="33">
        <v>40396</v>
      </c>
      <c r="H33" s="11" t="s">
        <v>103</v>
      </c>
      <c r="I33" s="33">
        <v>40050</v>
      </c>
      <c r="J33" s="60">
        <v>41200</v>
      </c>
      <c r="K33" s="4" t="s">
        <v>289</v>
      </c>
      <c r="L33" s="11" t="s">
        <v>13</v>
      </c>
      <c r="M33" s="817">
        <v>253028</v>
      </c>
      <c r="N33" s="49">
        <v>4</v>
      </c>
      <c r="O33" s="4" t="s">
        <v>102</v>
      </c>
      <c r="P33" s="11" t="s">
        <v>247</v>
      </c>
      <c r="Q33" s="2">
        <v>15191</v>
      </c>
      <c r="R33" s="12">
        <f t="shared" si="0"/>
        <v>60.036833868188495</v>
      </c>
      <c r="S33" s="2">
        <v>10342</v>
      </c>
      <c r="T33" s="23">
        <f t="shared" si="1"/>
        <v>40.87294686754035</v>
      </c>
      <c r="U33" s="5">
        <f t="shared" si="2"/>
        <v>0.31920215917319467</v>
      </c>
      <c r="V33" s="9">
        <f t="shared" si="3"/>
        <v>4849</v>
      </c>
      <c r="W33" s="992">
        <v>42242</v>
      </c>
      <c r="X33" s="49">
        <f>'[2]14.15 Meter Data'!Y289</f>
        <v>38091.304762939471</v>
      </c>
      <c r="Y33" s="40">
        <f t="shared" ref="Y33:Y40" si="32">X33/M33*1000</f>
        <v>150.54185609078627</v>
      </c>
      <c r="Z33" s="5">
        <f t="shared" ref="Z33:Z40" si="33">(Q33-X33)/Q33</f>
        <v>-1.5074915912671629</v>
      </c>
      <c r="AA33" s="5"/>
      <c r="AB33" s="51">
        <f t="shared" ref="AB33:AB40" si="34">Q33-X33</f>
        <v>-22900.304762939471</v>
      </c>
      <c r="AC33" s="4" t="s">
        <v>102</v>
      </c>
      <c r="AD33" s="15">
        <v>268448</v>
      </c>
      <c r="AE33" s="7">
        <f t="shared" si="7"/>
        <v>1.0609418720457815</v>
      </c>
      <c r="AF33" s="15">
        <v>184680</v>
      </c>
      <c r="AG33" s="7">
        <f t="shared" si="8"/>
        <v>0.72987969710862044</v>
      </c>
      <c r="AH33" s="27">
        <f t="shared" si="9"/>
        <v>0.31204553582071759</v>
      </c>
      <c r="AI33" s="15">
        <f t="shared" si="10"/>
        <v>83768</v>
      </c>
      <c r="AJ33" s="15">
        <f>'[2]14.15 Meter Data'!W294</f>
        <v>709069.85437539103</v>
      </c>
      <c r="AK33" s="22">
        <f t="shared" ref="AK33:AK40" si="35">AJ33/M33</f>
        <v>2.8023375056333331</v>
      </c>
      <c r="AL33" s="47">
        <f t="shared" ref="AL33:AL40" si="36">(AD33-AJ33)/AD33</f>
        <v>-1.6413676182180199</v>
      </c>
      <c r="AM33" s="48">
        <f t="shared" ref="AM33:AM40" si="37">AD33-AJ33</f>
        <v>-440621.85437539103</v>
      </c>
      <c r="AN33" s="4" t="s">
        <v>102</v>
      </c>
      <c r="AO33" s="2">
        <v>4536750</v>
      </c>
      <c r="AP33" s="1" t="s">
        <v>13</v>
      </c>
      <c r="AQ33" s="10">
        <f t="shared" si="14"/>
        <v>17.929833852379975</v>
      </c>
      <c r="AR33" s="2">
        <v>2948625</v>
      </c>
      <c r="AS33" s="1" t="s">
        <v>13</v>
      </c>
      <c r="AT33" s="18">
        <f t="shared" si="15"/>
        <v>11.653354569454764</v>
      </c>
      <c r="AU33" s="8">
        <f t="shared" si="16"/>
        <v>0.35005786080343859</v>
      </c>
      <c r="AV33" s="2">
        <f t="shared" si="17"/>
        <v>1588125</v>
      </c>
      <c r="AW33" s="2">
        <f>'[2]14.15 Meter Data'!W294</f>
        <v>709069.85437539103</v>
      </c>
      <c r="AX33" s="9" t="s">
        <v>13</v>
      </c>
      <c r="AY33" s="2">
        <f t="shared" si="30"/>
        <v>2.8023375056333331</v>
      </c>
      <c r="AZ33" s="8">
        <f t="shared" si="31"/>
        <v>0.84370532774003604</v>
      </c>
      <c r="BA33" s="4" t="s">
        <v>102</v>
      </c>
      <c r="BB33" s="65">
        <v>81306000</v>
      </c>
      <c r="BC33" s="42">
        <f t="shared" si="29"/>
        <v>321.33202649509144</v>
      </c>
      <c r="BD33" s="346">
        <f>BB33-461772</f>
        <v>80844228</v>
      </c>
      <c r="BE33" s="15">
        <v>9829956</v>
      </c>
      <c r="BF33" s="15">
        <v>200000</v>
      </c>
      <c r="BG33" s="3"/>
      <c r="BH33" s="15">
        <v>605005</v>
      </c>
      <c r="BI33" s="1353"/>
      <c r="BJ33" s="1" t="s">
        <v>298</v>
      </c>
      <c r="BK33" s="11" t="s">
        <v>247</v>
      </c>
    </row>
    <row r="34" spans="1:63" s="41" customFormat="1" ht="27.6" customHeight="1" x14ac:dyDescent="0.2">
      <c r="A34" s="4" t="s">
        <v>122</v>
      </c>
      <c r="B34" s="11" t="s">
        <v>951</v>
      </c>
      <c r="C34" s="11" t="s">
        <v>36</v>
      </c>
      <c r="D34" s="11" t="s">
        <v>998</v>
      </c>
      <c r="E34" s="822" t="s">
        <v>743</v>
      </c>
      <c r="F34" s="1" t="s">
        <v>35</v>
      </c>
      <c r="G34" s="33">
        <v>40169</v>
      </c>
      <c r="H34" s="11" t="s">
        <v>10</v>
      </c>
      <c r="I34" s="33">
        <v>40322</v>
      </c>
      <c r="J34" s="60">
        <v>41213</v>
      </c>
      <c r="K34" s="4" t="s">
        <v>232</v>
      </c>
      <c r="L34" s="11">
        <v>100</v>
      </c>
      <c r="M34" s="6">
        <v>108770</v>
      </c>
      <c r="N34" s="83">
        <v>1</v>
      </c>
      <c r="O34" s="4" t="s">
        <v>122</v>
      </c>
      <c r="P34" s="11" t="s">
        <v>247</v>
      </c>
      <c r="Q34" s="2">
        <v>8495</v>
      </c>
      <c r="R34" s="12">
        <f t="shared" si="0"/>
        <v>78.10057920382458</v>
      </c>
      <c r="S34" s="2">
        <v>5163</v>
      </c>
      <c r="T34" s="23">
        <f t="shared" si="1"/>
        <v>47.467132481382734</v>
      </c>
      <c r="U34" s="5">
        <f t="shared" si="2"/>
        <v>0.39223072395526781</v>
      </c>
      <c r="V34" s="13">
        <f t="shared" si="3"/>
        <v>3332</v>
      </c>
      <c r="W34" s="967">
        <v>42228</v>
      </c>
      <c r="X34" s="49">
        <f>'[2]14.15 Meter Data'!Y308</f>
        <v>9115.7525597749282</v>
      </c>
      <c r="Y34" s="40">
        <f t="shared" si="32"/>
        <v>83.80759915210929</v>
      </c>
      <c r="Z34" s="5">
        <f t="shared" si="33"/>
        <v>-7.3072696854023331E-2</v>
      </c>
      <c r="AA34" s="5"/>
      <c r="AB34" s="51">
        <f t="shared" si="34"/>
        <v>-620.75255977492816</v>
      </c>
      <c r="AC34" s="4" t="s">
        <v>122</v>
      </c>
      <c r="AD34" s="15">
        <v>213106</v>
      </c>
      <c r="AE34" s="7">
        <f t="shared" si="7"/>
        <v>1.9592350832030891</v>
      </c>
      <c r="AF34" s="15">
        <v>120807</v>
      </c>
      <c r="AG34" s="7">
        <f t="shared" si="8"/>
        <v>1.1106647053415464</v>
      </c>
      <c r="AH34" s="8">
        <f t="shared" si="9"/>
        <v>0.43311309864574438</v>
      </c>
      <c r="AI34" s="16">
        <f t="shared" si="10"/>
        <v>92299</v>
      </c>
      <c r="AJ34" s="15">
        <f>'[2]14.15 Meter Data'!W312</f>
        <v>195648.13</v>
      </c>
      <c r="AK34" s="22">
        <f t="shared" si="35"/>
        <v>1.7987324629953112</v>
      </c>
      <c r="AL34" s="47">
        <f t="shared" si="36"/>
        <v>8.192106275750094E-2</v>
      </c>
      <c r="AM34" s="48">
        <f t="shared" si="37"/>
        <v>17457.869999999995</v>
      </c>
      <c r="AN34" s="4" t="s">
        <v>122</v>
      </c>
      <c r="AO34" s="2">
        <v>4378540</v>
      </c>
      <c r="AP34" s="2">
        <f>AO34/L34</f>
        <v>43785.4</v>
      </c>
      <c r="AQ34" s="2">
        <f t="shared" si="14"/>
        <v>40.255033557046978</v>
      </c>
      <c r="AR34" s="2">
        <v>3400982</v>
      </c>
      <c r="AS34" s="9">
        <f>AR34/L34</f>
        <v>34009.82</v>
      </c>
      <c r="AT34" s="2">
        <f t="shared" si="15"/>
        <v>31.267647329226808</v>
      </c>
      <c r="AU34" s="8">
        <f t="shared" si="16"/>
        <v>0.22326117838366213</v>
      </c>
      <c r="AV34" s="17">
        <f t="shared" si="17"/>
        <v>977558</v>
      </c>
      <c r="AW34" s="242">
        <f>'[2]14.15 Meter Data'!W309</f>
        <v>2992050</v>
      </c>
      <c r="AX34" s="2">
        <f>AW34/L34</f>
        <v>29920.5</v>
      </c>
      <c r="AY34" s="2">
        <f t="shared" si="30"/>
        <v>27.508044497563667</v>
      </c>
      <c r="AZ34" s="8">
        <f t="shared" si="31"/>
        <v>0.31665578023724805</v>
      </c>
      <c r="BA34" s="4" t="s">
        <v>122</v>
      </c>
      <c r="BB34" s="64">
        <v>12903000</v>
      </c>
      <c r="BC34" s="42">
        <f t="shared" si="29"/>
        <v>118.62645950170084</v>
      </c>
      <c r="BD34" s="346">
        <f>BB34-300872</f>
        <v>12602128</v>
      </c>
      <c r="BE34" s="15">
        <v>1077600</v>
      </c>
      <c r="BF34" s="15">
        <v>0</v>
      </c>
      <c r="BG34" s="3"/>
      <c r="BH34" s="15">
        <v>107804</v>
      </c>
      <c r="BI34" s="1353">
        <f>((BB34-BD34)+BF34+BG34+BH34)/AI34</f>
        <v>4.4277402788762608</v>
      </c>
      <c r="BJ34" s="1" t="s">
        <v>299</v>
      </c>
      <c r="BK34" s="11" t="s">
        <v>247</v>
      </c>
    </row>
    <row r="35" spans="1:63" s="41" customFormat="1" ht="27.6" customHeight="1" x14ac:dyDescent="0.2">
      <c r="A35" s="1226" t="s">
        <v>527</v>
      </c>
      <c r="B35" s="943" t="s">
        <v>954</v>
      </c>
      <c r="C35" s="11" t="s">
        <v>63</v>
      </c>
      <c r="D35" s="11" t="s">
        <v>985</v>
      </c>
      <c r="E35" s="11" t="s">
        <v>545</v>
      </c>
      <c r="F35" s="1" t="s">
        <v>104</v>
      </c>
      <c r="G35" s="33">
        <v>40522</v>
      </c>
      <c r="H35" s="11" t="s">
        <v>10</v>
      </c>
      <c r="I35" s="33">
        <v>40631</v>
      </c>
      <c r="J35" s="60">
        <v>41213</v>
      </c>
      <c r="K35" s="4" t="s">
        <v>105</v>
      </c>
      <c r="L35" s="11" t="s">
        <v>13</v>
      </c>
      <c r="M35" s="6">
        <v>43290</v>
      </c>
      <c r="N35" s="49">
        <v>2</v>
      </c>
      <c r="O35" s="1226" t="s">
        <v>527</v>
      </c>
      <c r="P35" s="11" t="s">
        <v>247</v>
      </c>
      <c r="Q35" s="2">
        <v>8320</v>
      </c>
      <c r="R35" s="12">
        <f t="shared" si="0"/>
        <v>192.19219219219218</v>
      </c>
      <c r="S35" s="2">
        <v>5184</v>
      </c>
      <c r="T35" s="23">
        <f t="shared" si="1"/>
        <v>119.75051975051976</v>
      </c>
      <c r="U35" s="5">
        <f t="shared" si="2"/>
        <v>0.37692307692307692</v>
      </c>
      <c r="V35" s="13">
        <f t="shared" si="3"/>
        <v>3136</v>
      </c>
      <c r="W35" s="967">
        <v>42220</v>
      </c>
      <c r="X35" s="49">
        <f>'[2]14.15 Meter Data'!Y299</f>
        <v>9876.4026610886467</v>
      </c>
      <c r="Y35" s="40">
        <f t="shared" si="32"/>
        <v>228.14512961627736</v>
      </c>
      <c r="Z35" s="5">
        <f t="shared" si="33"/>
        <v>-0.18706762753469311</v>
      </c>
      <c r="AA35" s="5"/>
      <c r="AB35" s="51">
        <f t="shared" si="34"/>
        <v>-1556.4026610886467</v>
      </c>
      <c r="AC35" s="1226" t="s">
        <v>527</v>
      </c>
      <c r="AD35" s="15">
        <v>65175</v>
      </c>
      <c r="AE35" s="7">
        <f t="shared" si="7"/>
        <v>1.5055440055440055</v>
      </c>
      <c r="AF35" s="15">
        <v>44151</v>
      </c>
      <c r="AG35" s="7">
        <f t="shared" si="8"/>
        <v>1.0198891198891198</v>
      </c>
      <c r="AH35" s="8">
        <f t="shared" si="9"/>
        <v>0.32257767548906791</v>
      </c>
      <c r="AI35" s="16">
        <f t="shared" si="10"/>
        <v>21024</v>
      </c>
      <c r="AJ35" s="15">
        <f>'[2]14.15 Meter Data'!W303</f>
        <v>143891.52185329096</v>
      </c>
      <c r="AK35" s="22">
        <f t="shared" si="35"/>
        <v>3.3238974787085001</v>
      </c>
      <c r="AL35" s="47">
        <f t="shared" si="36"/>
        <v>-1.207771720035151</v>
      </c>
      <c r="AM35" s="48">
        <f t="shared" si="37"/>
        <v>-78716.521853290964</v>
      </c>
      <c r="AN35" s="1226" t="s">
        <v>527</v>
      </c>
      <c r="AO35" s="2">
        <v>1349491</v>
      </c>
      <c r="AP35" s="9" t="s">
        <v>13</v>
      </c>
      <c r="AQ35" s="2">
        <f t="shared" si="14"/>
        <v>31.173273273273274</v>
      </c>
      <c r="AR35" s="2">
        <v>1113354</v>
      </c>
      <c r="AS35" s="9" t="s">
        <v>13</v>
      </c>
      <c r="AT35" s="2">
        <f t="shared" si="15"/>
        <v>25.718503118503119</v>
      </c>
      <c r="AU35" s="8">
        <f t="shared" si="16"/>
        <v>0.17498227109332334</v>
      </c>
      <c r="AV35" s="17">
        <f t="shared" si="17"/>
        <v>236137</v>
      </c>
      <c r="AW35" s="2">
        <f>'[2]14.15 Meter Data'!W300</f>
        <v>2243237.04</v>
      </c>
      <c r="AX35" s="9" t="s">
        <v>13</v>
      </c>
      <c r="AY35" s="2">
        <f t="shared" si="30"/>
        <v>51.818827442827441</v>
      </c>
      <c r="AZ35" s="8">
        <f t="shared" si="31"/>
        <v>-0.66228380922881291</v>
      </c>
      <c r="BA35" s="1355" t="s">
        <v>527</v>
      </c>
      <c r="BB35" s="65">
        <f>300*M35</f>
        <v>12987000</v>
      </c>
      <c r="BC35" s="1227">
        <f t="shared" si="29"/>
        <v>300</v>
      </c>
      <c r="BD35" s="346">
        <f>BB35-465544</f>
        <v>12521456</v>
      </c>
      <c r="BE35" s="15">
        <v>3448472</v>
      </c>
      <c r="BF35" s="15">
        <v>45000</v>
      </c>
      <c r="BG35" s="3"/>
      <c r="BH35" s="15">
        <v>99500</v>
      </c>
      <c r="BI35" s="1353"/>
      <c r="BJ35" s="1" t="s">
        <v>295</v>
      </c>
      <c r="BK35" s="11" t="s">
        <v>247</v>
      </c>
    </row>
    <row r="36" spans="1:63" s="41" customFormat="1" ht="27.6" customHeight="1" x14ac:dyDescent="0.2">
      <c r="A36" s="4" t="s">
        <v>544</v>
      </c>
      <c r="B36" s="915" t="s">
        <v>950</v>
      </c>
      <c r="C36" s="11" t="s">
        <v>78</v>
      </c>
      <c r="D36" s="11" t="s">
        <v>999</v>
      </c>
      <c r="E36" s="11" t="s">
        <v>619</v>
      </c>
      <c r="F36" s="1" t="s">
        <v>23</v>
      </c>
      <c r="G36" s="33">
        <v>40520</v>
      </c>
      <c r="H36" s="11" t="s">
        <v>10</v>
      </c>
      <c r="I36" s="33">
        <v>40830</v>
      </c>
      <c r="J36" s="60">
        <v>41240</v>
      </c>
      <c r="K36" s="4" t="s">
        <v>88</v>
      </c>
      <c r="L36" s="11" t="s">
        <v>13</v>
      </c>
      <c r="M36" s="6">
        <v>43967</v>
      </c>
      <c r="N36" s="49">
        <v>1</v>
      </c>
      <c r="O36" s="4" t="s">
        <v>530</v>
      </c>
      <c r="P36" s="11" t="s">
        <v>247</v>
      </c>
      <c r="Q36" s="2">
        <v>2940</v>
      </c>
      <c r="R36" s="12">
        <f t="shared" si="0"/>
        <v>66.868333067982803</v>
      </c>
      <c r="S36" s="2">
        <v>1839</v>
      </c>
      <c r="T36" s="23">
        <f t="shared" si="1"/>
        <v>41.826824663952507</v>
      </c>
      <c r="U36" s="5">
        <f t="shared" si="2"/>
        <v>0.37448979591836734</v>
      </c>
      <c r="V36" s="13">
        <f t="shared" si="3"/>
        <v>1101</v>
      </c>
      <c r="W36" s="967">
        <v>42221</v>
      </c>
      <c r="X36" s="74">
        <f>'[2]14.15 Meter Data'!Y317</f>
        <v>3211.15887893428</v>
      </c>
      <c r="Y36" s="40">
        <f t="shared" si="32"/>
        <v>73.035660357410791</v>
      </c>
      <c r="Z36" s="5">
        <f t="shared" si="33"/>
        <v>-9.2230911202136043E-2</v>
      </c>
      <c r="AA36" s="5"/>
      <c r="AB36" s="51">
        <f t="shared" si="34"/>
        <v>-271.15887893427998</v>
      </c>
      <c r="AC36" s="4" t="s">
        <v>530</v>
      </c>
      <c r="AD36" s="15">
        <v>67485</v>
      </c>
      <c r="AE36" s="7">
        <f t="shared" si="7"/>
        <v>1.5349011758819113</v>
      </c>
      <c r="AF36" s="15">
        <v>43675</v>
      </c>
      <c r="AG36" s="7">
        <f t="shared" si="8"/>
        <v>0.99335865535515278</v>
      </c>
      <c r="AH36" s="8">
        <f t="shared" si="9"/>
        <v>0.35281914499518413</v>
      </c>
      <c r="AI36" s="16">
        <f t="shared" si="10"/>
        <v>23810</v>
      </c>
      <c r="AJ36" s="15">
        <f>'[2]14.15 Meter Data'!W321</f>
        <v>70680.679999999993</v>
      </c>
      <c r="AK36" s="22">
        <f t="shared" si="35"/>
        <v>1.607584779493711</v>
      </c>
      <c r="AL36" s="47">
        <f t="shared" si="36"/>
        <v>-4.7353930503074654E-2</v>
      </c>
      <c r="AM36" s="48">
        <f t="shared" si="37"/>
        <v>-3195.679999999993</v>
      </c>
      <c r="AN36" s="4" t="s">
        <v>530</v>
      </c>
      <c r="AO36" s="2">
        <v>544858</v>
      </c>
      <c r="AP36" s="9" t="s">
        <v>13</v>
      </c>
      <c r="AQ36" s="2">
        <f t="shared" si="14"/>
        <v>12.392430686651352</v>
      </c>
      <c r="AR36" s="2">
        <v>436998</v>
      </c>
      <c r="AS36" s="9" t="s">
        <v>13</v>
      </c>
      <c r="AT36" s="2">
        <f t="shared" si="15"/>
        <v>9.9392271476334528</v>
      </c>
      <c r="AU36" s="8">
        <f t="shared" si="16"/>
        <v>0.1979598354066564</v>
      </c>
      <c r="AV36" s="17">
        <f t="shared" si="17"/>
        <v>107860</v>
      </c>
      <c r="AW36" s="242">
        <f>'[2]14.15 Meter Data'!W318</f>
        <v>15176.92</v>
      </c>
      <c r="AX36" s="9" t="s">
        <v>13</v>
      </c>
      <c r="AY36" s="2">
        <f t="shared" si="30"/>
        <v>0.34518889166875155</v>
      </c>
      <c r="AZ36" s="8">
        <f t="shared" si="31"/>
        <v>0.9721451827815687</v>
      </c>
      <c r="BA36" s="4" t="s">
        <v>530</v>
      </c>
      <c r="BB36" s="64">
        <v>6361300</v>
      </c>
      <c r="BC36" s="42">
        <f t="shared" si="29"/>
        <v>144.68351263447585</v>
      </c>
      <c r="BD36" s="346">
        <f>BB36-300735</f>
        <v>6060565</v>
      </c>
      <c r="BE36" s="15">
        <v>363200</v>
      </c>
      <c r="BF36" s="15">
        <v>0</v>
      </c>
      <c r="BG36" s="3"/>
      <c r="BH36" s="15">
        <v>49800</v>
      </c>
      <c r="BI36" s="1353">
        <f t="shared" ref="BI36:BI44" si="38">((BB36-BD36)+BF36+BG36+BH36)/AI36</f>
        <v>14.722175556488871</v>
      </c>
      <c r="BJ36" s="1" t="s">
        <v>300</v>
      </c>
      <c r="BK36" s="11" t="s">
        <v>247</v>
      </c>
    </row>
    <row r="37" spans="1:63" s="41" customFormat="1" ht="27.6" customHeight="1" x14ac:dyDescent="0.2">
      <c r="A37" s="4" t="s">
        <v>540</v>
      </c>
      <c r="B37" s="915" t="s">
        <v>953</v>
      </c>
      <c r="C37" s="11" t="s">
        <v>26</v>
      </c>
      <c r="D37" s="11" t="s">
        <v>984</v>
      </c>
      <c r="E37" s="11" t="s">
        <v>508</v>
      </c>
      <c r="F37" s="1" t="s">
        <v>25</v>
      </c>
      <c r="G37" s="33">
        <v>40409</v>
      </c>
      <c r="H37" s="11" t="s">
        <v>10</v>
      </c>
      <c r="I37" s="33">
        <v>40337</v>
      </c>
      <c r="J37" s="60">
        <v>41261</v>
      </c>
      <c r="K37" s="4" t="s">
        <v>28</v>
      </c>
      <c r="L37" s="11" t="s">
        <v>13</v>
      </c>
      <c r="M37" s="6">
        <v>50560</v>
      </c>
      <c r="N37" s="49">
        <v>4</v>
      </c>
      <c r="O37" s="4" t="s">
        <v>27</v>
      </c>
      <c r="P37" s="11" t="s">
        <v>247</v>
      </c>
      <c r="Q37" s="2">
        <v>2185</v>
      </c>
      <c r="R37" s="12">
        <f t="shared" si="0"/>
        <v>43.215981012658226</v>
      </c>
      <c r="S37" s="2">
        <v>1346</v>
      </c>
      <c r="T37" s="23">
        <f t="shared" si="1"/>
        <v>26.621835443037973</v>
      </c>
      <c r="U37" s="5">
        <f t="shared" si="2"/>
        <v>0.38398169336384441</v>
      </c>
      <c r="V37" s="13">
        <f t="shared" si="3"/>
        <v>839</v>
      </c>
      <c r="W37" s="967">
        <v>42242</v>
      </c>
      <c r="X37" s="49">
        <f>'[2]14.15 Meter Data'!Y326</f>
        <v>12682.828782166687</v>
      </c>
      <c r="Y37" s="40">
        <f t="shared" si="32"/>
        <v>250.84708825487911</v>
      </c>
      <c r="Z37" s="5">
        <f t="shared" si="33"/>
        <v>-4.8044982984744564</v>
      </c>
      <c r="AA37" s="5"/>
      <c r="AB37" s="51">
        <f t="shared" si="34"/>
        <v>-10497.828782166687</v>
      </c>
      <c r="AC37" s="4" t="s">
        <v>27</v>
      </c>
      <c r="AD37" s="15">
        <v>53367</v>
      </c>
      <c r="AE37" s="7">
        <f t="shared" si="7"/>
        <v>1.0555181962025317</v>
      </c>
      <c r="AF37" s="15">
        <v>32912</v>
      </c>
      <c r="AG37" s="7">
        <f t="shared" si="8"/>
        <v>0.65094936708860762</v>
      </c>
      <c r="AH37" s="8">
        <f t="shared" si="9"/>
        <v>0.38328929863023964</v>
      </c>
      <c r="AI37" s="16">
        <f t="shared" si="10"/>
        <v>20455</v>
      </c>
      <c r="AJ37" s="15">
        <f>'[2]14.15 Meter Data'!W330</f>
        <v>298171.30054999999</v>
      </c>
      <c r="AK37" s="22">
        <f t="shared" si="35"/>
        <v>5.8973754064477841</v>
      </c>
      <c r="AL37" s="47">
        <f t="shared" si="36"/>
        <v>-4.5871849747971591</v>
      </c>
      <c r="AM37" s="48">
        <f t="shared" si="37"/>
        <v>-244804.30054999999</v>
      </c>
      <c r="AN37" s="4" t="s">
        <v>27</v>
      </c>
      <c r="AO37" s="2">
        <v>1220706</v>
      </c>
      <c r="AP37" s="9" t="s">
        <v>13</v>
      </c>
      <c r="AQ37" s="2">
        <f t="shared" si="14"/>
        <v>24.143710443037975</v>
      </c>
      <c r="AR37" s="2">
        <v>950466</v>
      </c>
      <c r="AS37" s="9" t="s">
        <v>13</v>
      </c>
      <c r="AT37" s="2">
        <f t="shared" si="15"/>
        <v>18.798773734177214</v>
      </c>
      <c r="AU37" s="8">
        <f t="shared" si="16"/>
        <v>0.22138008660562003</v>
      </c>
      <c r="AV37" s="17">
        <f t="shared" si="17"/>
        <v>270240</v>
      </c>
      <c r="AW37" s="242">
        <f>'[2]14.15 Meter Data'!W327</f>
        <v>2355608.9999082</v>
      </c>
      <c r="AX37" s="9" t="s">
        <v>13</v>
      </c>
      <c r="AY37" s="2">
        <f t="shared" si="30"/>
        <v>46.590367877931172</v>
      </c>
      <c r="AZ37" s="8">
        <f t="shared" si="31"/>
        <v>-0.92971034787098616</v>
      </c>
      <c r="BA37" s="4" t="s">
        <v>27</v>
      </c>
      <c r="BB37" s="65">
        <v>15232506</v>
      </c>
      <c r="BC37" s="42">
        <f t="shared" si="29"/>
        <v>301.27583069620255</v>
      </c>
      <c r="BD37" s="346">
        <f>BB37-603500</f>
        <v>14629006</v>
      </c>
      <c r="BE37" s="15">
        <f>3650080*0.27</f>
        <v>985521.60000000009</v>
      </c>
      <c r="BF37" s="15">
        <v>90950</v>
      </c>
      <c r="BG37" s="3"/>
      <c r="BH37" s="15">
        <f>263882*0.27</f>
        <v>71248.14</v>
      </c>
      <c r="BI37" s="1353">
        <f t="shared" si="38"/>
        <v>37.433299437790275</v>
      </c>
      <c r="BJ37" s="1" t="s">
        <v>294</v>
      </c>
      <c r="BK37" s="11" t="s">
        <v>247</v>
      </c>
    </row>
    <row r="38" spans="1:63" s="41" customFormat="1" ht="27.6" customHeight="1" x14ac:dyDescent="0.2">
      <c r="A38" s="4" t="s">
        <v>1021</v>
      </c>
      <c r="B38" s="915" t="s">
        <v>953</v>
      </c>
      <c r="C38" s="11" t="s">
        <v>26</v>
      </c>
      <c r="D38" s="11" t="s">
        <v>984</v>
      </c>
      <c r="E38" s="11" t="s">
        <v>508</v>
      </c>
      <c r="F38" s="1" t="s">
        <v>25</v>
      </c>
      <c r="G38" s="33">
        <v>40409</v>
      </c>
      <c r="H38" s="11" t="s">
        <v>10</v>
      </c>
      <c r="I38" s="33">
        <v>40337</v>
      </c>
      <c r="J38" s="60">
        <v>41261</v>
      </c>
      <c r="K38" s="4" t="s">
        <v>192</v>
      </c>
      <c r="L38" s="11">
        <v>333</v>
      </c>
      <c r="M38" s="6">
        <v>128585</v>
      </c>
      <c r="N38" s="83" t="s">
        <v>34</v>
      </c>
      <c r="O38" s="4" t="s">
        <v>1021</v>
      </c>
      <c r="P38" s="11" t="s">
        <v>247</v>
      </c>
      <c r="Q38" s="2">
        <v>6323</v>
      </c>
      <c r="R38" s="12">
        <f t="shared" si="0"/>
        <v>49.173698331842751</v>
      </c>
      <c r="S38" s="2">
        <v>3660</v>
      </c>
      <c r="T38" s="23">
        <f t="shared" si="1"/>
        <v>28.46366216899327</v>
      </c>
      <c r="U38" s="5">
        <f t="shared" si="2"/>
        <v>0.4211608413727661</v>
      </c>
      <c r="V38" s="13">
        <f t="shared" si="3"/>
        <v>2663</v>
      </c>
      <c r="W38" s="967">
        <v>42242</v>
      </c>
      <c r="X38" s="49">
        <f>'[2]14.15 Meter Data'!Y335</f>
        <v>8724.2833687088041</v>
      </c>
      <c r="Y38" s="40">
        <f t="shared" si="32"/>
        <v>67.848375539206003</v>
      </c>
      <c r="Z38" s="5">
        <f t="shared" si="33"/>
        <v>-0.37976962971829892</v>
      </c>
      <c r="AA38" s="5"/>
      <c r="AB38" s="51">
        <f t="shared" si="34"/>
        <v>-2401.2833687088041</v>
      </c>
      <c r="AC38" s="4" t="s">
        <v>1021</v>
      </c>
      <c r="AD38" s="15">
        <v>153208</v>
      </c>
      <c r="AE38" s="7">
        <f t="shared" si="7"/>
        <v>1.1914920091768091</v>
      </c>
      <c r="AF38" s="15">
        <v>89024</v>
      </c>
      <c r="AG38" s="7">
        <f t="shared" si="8"/>
        <v>0.69233580899793912</v>
      </c>
      <c r="AH38" s="8">
        <f t="shared" si="9"/>
        <v>0.4189337371416636</v>
      </c>
      <c r="AI38" s="16">
        <f t="shared" si="10"/>
        <v>64184</v>
      </c>
      <c r="AJ38" s="15">
        <f>'[2]14.15 Meter Data'!W339</f>
        <v>220128.31359999999</v>
      </c>
      <c r="AK38" s="22">
        <f t="shared" si="35"/>
        <v>1.7119284022242096</v>
      </c>
      <c r="AL38" s="47">
        <f t="shared" si="36"/>
        <v>-0.43679385932849457</v>
      </c>
      <c r="AM38" s="48">
        <f t="shared" si="37"/>
        <v>-66920.313599999994</v>
      </c>
      <c r="AN38" s="4" t="s">
        <v>1021</v>
      </c>
      <c r="AO38" s="2">
        <v>3388865</v>
      </c>
      <c r="AP38" s="2">
        <f>AO38/L38</f>
        <v>10176.771771771771</v>
      </c>
      <c r="AQ38" s="2">
        <f t="shared" si="14"/>
        <v>26.355056966209123</v>
      </c>
      <c r="AR38" s="2">
        <v>1928009</v>
      </c>
      <c r="AS38" s="9">
        <f>AR38/L38</f>
        <v>5789.8168168168168</v>
      </c>
      <c r="AT38" s="2">
        <f t="shared" si="15"/>
        <v>14.994042851032392</v>
      </c>
      <c r="AU38" s="8">
        <f t="shared" si="16"/>
        <v>0.43107530102261377</v>
      </c>
      <c r="AV38" s="17">
        <f t="shared" si="17"/>
        <v>1460856</v>
      </c>
      <c r="AW38" s="242">
        <f>'[2]14.15 Meter Data'!W336</f>
        <v>2745167.9999263999</v>
      </c>
      <c r="AX38" s="2">
        <f>AW38/L38</f>
        <v>8243.747747526726</v>
      </c>
      <c r="AY38" s="2">
        <f t="shared" si="30"/>
        <v>21.349053154927869</v>
      </c>
      <c r="AZ38" s="8">
        <f t="shared" si="31"/>
        <v>0.18994471602545399</v>
      </c>
      <c r="BA38" s="4" t="s">
        <v>1021</v>
      </c>
      <c r="BB38" s="244">
        <v>40691217</v>
      </c>
      <c r="BC38" s="42">
        <f t="shared" si="29"/>
        <v>316.45383987245793</v>
      </c>
      <c r="BD38" s="346">
        <f>BB38-1381478</f>
        <v>39309739</v>
      </c>
      <c r="BE38" s="71">
        <f>3650080*0.73</f>
        <v>2664558.4</v>
      </c>
      <c r="BF38" s="15">
        <v>94925</v>
      </c>
      <c r="BG38" s="3"/>
      <c r="BH38" s="71">
        <f>263882*0.73</f>
        <v>192633.86</v>
      </c>
      <c r="BI38" s="1353">
        <f t="shared" si="38"/>
        <v>26.003939611118035</v>
      </c>
      <c r="BJ38" s="1" t="s">
        <v>294</v>
      </c>
      <c r="BK38" s="11" t="s">
        <v>247</v>
      </c>
    </row>
    <row r="39" spans="1:63" s="41" customFormat="1" ht="27.6" customHeight="1" x14ac:dyDescent="0.2">
      <c r="A39" s="347" t="s">
        <v>541</v>
      </c>
      <c r="B39" s="943" t="s">
        <v>953</v>
      </c>
      <c r="C39" s="11" t="s">
        <v>98</v>
      </c>
      <c r="D39" s="11" t="s">
        <v>996</v>
      </c>
      <c r="E39" s="11" t="s">
        <v>723</v>
      </c>
      <c r="F39" s="348" t="s">
        <v>492</v>
      </c>
      <c r="G39" s="33">
        <v>40332</v>
      </c>
      <c r="H39" s="77" t="s">
        <v>4</v>
      </c>
      <c r="I39" s="33">
        <v>40756</v>
      </c>
      <c r="J39" s="60">
        <v>41303</v>
      </c>
      <c r="K39" s="4" t="s">
        <v>200</v>
      </c>
      <c r="L39" s="11" t="s">
        <v>13</v>
      </c>
      <c r="M39" s="6">
        <v>68000</v>
      </c>
      <c r="N39" s="83">
        <v>2</v>
      </c>
      <c r="O39" s="347" t="s">
        <v>493</v>
      </c>
      <c r="P39" s="11" t="s">
        <v>247</v>
      </c>
      <c r="Q39" s="2">
        <v>31233</v>
      </c>
      <c r="R39" s="12">
        <f t="shared" si="0"/>
        <v>459.30882352941177</v>
      </c>
      <c r="S39" s="2">
        <v>19781</v>
      </c>
      <c r="T39" s="23">
        <f t="shared" si="1"/>
        <v>290.89705882352939</v>
      </c>
      <c r="U39" s="5">
        <f t="shared" si="2"/>
        <v>0.36666346492491914</v>
      </c>
      <c r="V39" s="13">
        <f t="shared" si="3"/>
        <v>11452</v>
      </c>
      <c r="W39" s="967">
        <v>42243</v>
      </c>
      <c r="X39" s="49">
        <f>'[2]14.15 Meter Data'!Y344</f>
        <v>23198.791299999997</v>
      </c>
      <c r="Y39" s="40">
        <f t="shared" si="32"/>
        <v>341.15869558823528</v>
      </c>
      <c r="Z39" s="5">
        <f t="shared" si="33"/>
        <v>0.25723461403003245</v>
      </c>
      <c r="AA39" s="903" t="s">
        <v>955</v>
      </c>
      <c r="AB39" s="51">
        <f t="shared" si="34"/>
        <v>8034.2087000000029</v>
      </c>
      <c r="AC39" s="347" t="s">
        <v>493</v>
      </c>
      <c r="AD39" s="15">
        <v>425995</v>
      </c>
      <c r="AE39" s="7">
        <f t="shared" si="7"/>
        <v>6.2646323529411765</v>
      </c>
      <c r="AF39" s="15">
        <v>301801</v>
      </c>
      <c r="AG39" s="7">
        <f t="shared" si="8"/>
        <v>4.43825</v>
      </c>
      <c r="AH39" s="8">
        <f t="shared" si="9"/>
        <v>0.2915386330825479</v>
      </c>
      <c r="AI39" s="16">
        <f t="shared" si="10"/>
        <v>124194</v>
      </c>
      <c r="AJ39" s="15">
        <f>'[2]14.15 Meter Data'!W348</f>
        <v>340591.26</v>
      </c>
      <c r="AK39" s="22">
        <f t="shared" si="35"/>
        <v>5.0086950000000003</v>
      </c>
      <c r="AL39" s="47">
        <f t="shared" si="36"/>
        <v>0.20048061596967098</v>
      </c>
      <c r="AM39" s="48">
        <f t="shared" si="37"/>
        <v>85403.739999999991</v>
      </c>
      <c r="AN39" s="347" t="s">
        <v>493</v>
      </c>
      <c r="AO39" s="2">
        <v>5139169</v>
      </c>
      <c r="AP39" s="9" t="s">
        <v>13</v>
      </c>
      <c r="AQ39" s="2">
        <f t="shared" si="14"/>
        <v>75.576014705882358</v>
      </c>
      <c r="AR39" s="2">
        <v>4083469</v>
      </c>
      <c r="AS39" s="9" t="s">
        <v>13</v>
      </c>
      <c r="AT39" s="2">
        <f t="shared" si="15"/>
        <v>60.051014705882352</v>
      </c>
      <c r="AU39" s="8">
        <f t="shared" si="16"/>
        <v>0.20542231633168709</v>
      </c>
      <c r="AV39" s="17">
        <f t="shared" si="17"/>
        <v>1055700</v>
      </c>
      <c r="AW39" s="1" t="s">
        <v>352</v>
      </c>
      <c r="AX39" s="2"/>
      <c r="AY39" s="2"/>
      <c r="AZ39" s="2"/>
      <c r="BA39" s="3" t="s">
        <v>493</v>
      </c>
      <c r="BB39" s="70">
        <v>24371201</v>
      </c>
      <c r="BC39" s="42">
        <f t="shared" si="29"/>
        <v>358.40001470588237</v>
      </c>
      <c r="BD39" s="73">
        <v>19975000</v>
      </c>
      <c r="BE39" s="73">
        <v>2804957</v>
      </c>
      <c r="BF39" s="73">
        <v>110280</v>
      </c>
      <c r="BG39" s="3"/>
      <c r="BH39" s="15">
        <v>294243</v>
      </c>
      <c r="BI39" s="1353">
        <f t="shared" si="38"/>
        <v>38.655039695959545</v>
      </c>
      <c r="BJ39" s="1" t="s">
        <v>494</v>
      </c>
      <c r="BK39" s="11" t="s">
        <v>247</v>
      </c>
    </row>
    <row r="40" spans="1:63" s="41" customFormat="1" ht="27.6" customHeight="1" x14ac:dyDescent="0.2">
      <c r="A40" s="4" t="s">
        <v>61</v>
      </c>
      <c r="B40" s="915" t="s">
        <v>953</v>
      </c>
      <c r="C40" s="11" t="s">
        <v>45</v>
      </c>
      <c r="D40" s="11" t="s">
        <v>989</v>
      </c>
      <c r="E40" s="349" t="s">
        <v>738</v>
      </c>
      <c r="F40" s="1" t="s">
        <v>44</v>
      </c>
      <c r="G40" s="37">
        <v>40694</v>
      </c>
      <c r="H40" s="1" t="s">
        <v>10</v>
      </c>
      <c r="I40" s="33">
        <v>40875</v>
      </c>
      <c r="J40" s="60">
        <v>41389</v>
      </c>
      <c r="K40" s="4" t="s">
        <v>46</v>
      </c>
      <c r="L40" s="1" t="s">
        <v>13</v>
      </c>
      <c r="M40" s="6">
        <v>54565</v>
      </c>
      <c r="N40" s="14">
        <v>4</v>
      </c>
      <c r="O40" s="4" t="s">
        <v>61</v>
      </c>
      <c r="P40" s="11" t="s">
        <v>247</v>
      </c>
      <c r="Q40" s="2">
        <v>1689</v>
      </c>
      <c r="R40" s="12">
        <f t="shared" si="0"/>
        <v>30.953908182901127</v>
      </c>
      <c r="S40" s="2">
        <v>1116</v>
      </c>
      <c r="T40" s="23">
        <f t="shared" si="1"/>
        <v>20.452671126179784</v>
      </c>
      <c r="U40" s="5">
        <f t="shared" si="2"/>
        <v>0.33925399644760212</v>
      </c>
      <c r="V40" s="6">
        <f t="shared" si="3"/>
        <v>573</v>
      </c>
      <c r="W40" s="992">
        <v>42221</v>
      </c>
      <c r="X40" s="2">
        <f>'[2]14.15 Meter Data'!W352</f>
        <v>3243.7152000000001</v>
      </c>
      <c r="Y40" s="40">
        <f t="shared" si="32"/>
        <v>59.446810226335565</v>
      </c>
      <c r="Z40" s="5">
        <f t="shared" si="33"/>
        <v>-0.92049449378330384</v>
      </c>
      <c r="AA40" s="5"/>
      <c r="AB40" s="51">
        <f t="shared" si="34"/>
        <v>-1554.7152000000001</v>
      </c>
      <c r="AC40" s="4" t="s">
        <v>61</v>
      </c>
      <c r="AD40" s="15">
        <v>45238</v>
      </c>
      <c r="AE40" s="7">
        <f t="shared" si="7"/>
        <v>0.82906625125996514</v>
      </c>
      <c r="AF40" s="15">
        <v>29457</v>
      </c>
      <c r="AG40" s="7">
        <f t="shared" si="8"/>
        <v>0.53985155319343903</v>
      </c>
      <c r="AH40" s="8">
        <f t="shared" si="9"/>
        <v>0.34884389230293117</v>
      </c>
      <c r="AI40" s="15">
        <f t="shared" si="10"/>
        <v>15781</v>
      </c>
      <c r="AJ40" s="15">
        <f>'[2]14.15 Meter Data'!W355</f>
        <v>83917.500000000015</v>
      </c>
      <c r="AK40" s="22">
        <f t="shared" si="35"/>
        <v>1.5379364061211402</v>
      </c>
      <c r="AL40" s="47">
        <f t="shared" si="36"/>
        <v>-0.85502232636279263</v>
      </c>
      <c r="AM40" s="48">
        <f t="shared" si="37"/>
        <v>-38679.500000000015</v>
      </c>
      <c r="AN40" s="4" t="s">
        <v>61</v>
      </c>
      <c r="AO40" s="2">
        <v>175310</v>
      </c>
      <c r="AP40" s="9" t="s">
        <v>13</v>
      </c>
      <c r="AQ40" s="10">
        <f t="shared" si="14"/>
        <v>3.2128653899019519</v>
      </c>
      <c r="AR40" s="2">
        <v>116629</v>
      </c>
      <c r="AS40" s="1" t="s">
        <v>13</v>
      </c>
      <c r="AT40" s="10">
        <f t="shared" si="15"/>
        <v>2.1374324200494823</v>
      </c>
      <c r="AU40" s="8">
        <f t="shared" si="16"/>
        <v>0.33472705493126459</v>
      </c>
      <c r="AV40" s="2">
        <f t="shared" si="17"/>
        <v>58681</v>
      </c>
      <c r="AW40" s="242">
        <f>'[2]14.15 Meter Data'!W353</f>
        <v>220660</v>
      </c>
      <c r="AX40" s="9" t="s">
        <v>13</v>
      </c>
      <c r="AY40" s="2">
        <f>AW40/M40</f>
        <v>4.0439842389810314</v>
      </c>
      <c r="AZ40" s="8">
        <f>(AO40-AW40)/AO40</f>
        <v>-0.25868461582339858</v>
      </c>
      <c r="BA40" s="4" t="s">
        <v>61</v>
      </c>
      <c r="BB40" s="64">
        <v>12962700</v>
      </c>
      <c r="BC40" s="42">
        <f t="shared" si="29"/>
        <v>237.56437276642535</v>
      </c>
      <c r="BD40" s="15">
        <v>12687413</v>
      </c>
      <c r="BE40" s="71">
        <v>1125000</v>
      </c>
      <c r="BF40" s="71">
        <v>6000</v>
      </c>
      <c r="BG40" s="3"/>
      <c r="BH40" s="71">
        <v>56200</v>
      </c>
      <c r="BI40" s="1353">
        <f t="shared" si="38"/>
        <v>21.385653634116977</v>
      </c>
      <c r="BJ40" s="1" t="s">
        <v>416</v>
      </c>
      <c r="BK40" s="11" t="s">
        <v>247</v>
      </c>
    </row>
    <row r="41" spans="1:63" s="41" customFormat="1" ht="27.6" customHeight="1" x14ac:dyDescent="0.2">
      <c r="A41" s="20" t="s">
        <v>187</v>
      </c>
      <c r="B41" s="929" t="s">
        <v>953</v>
      </c>
      <c r="C41" s="19" t="s">
        <v>56</v>
      </c>
      <c r="D41" s="19" t="s">
        <v>995</v>
      </c>
      <c r="E41" s="19" t="s">
        <v>546</v>
      </c>
      <c r="F41" s="9" t="s">
        <v>188</v>
      </c>
      <c r="G41" s="36">
        <v>40554</v>
      </c>
      <c r="H41" s="19" t="s">
        <v>189</v>
      </c>
      <c r="I41" s="34">
        <v>40721</v>
      </c>
      <c r="J41" s="61">
        <v>41415</v>
      </c>
      <c r="K41" s="20" t="s">
        <v>190</v>
      </c>
      <c r="L41" s="19" t="s">
        <v>13</v>
      </c>
      <c r="M41" s="6">
        <v>65861</v>
      </c>
      <c r="N41" s="49">
        <v>4</v>
      </c>
      <c r="O41" s="20" t="s">
        <v>187</v>
      </c>
      <c r="P41" s="11" t="s">
        <v>247</v>
      </c>
      <c r="Q41" s="2">
        <v>13356</v>
      </c>
      <c r="R41" s="12">
        <f t="shared" si="0"/>
        <v>202.79072592277674</v>
      </c>
      <c r="S41" s="2">
        <v>9641</v>
      </c>
      <c r="T41" s="23">
        <f t="shared" si="1"/>
        <v>146.38405125947071</v>
      </c>
      <c r="U41" s="5">
        <f t="shared" si="2"/>
        <v>0.27815214135968852</v>
      </c>
      <c r="V41" s="13">
        <f t="shared" si="3"/>
        <v>3715</v>
      </c>
      <c r="W41" s="967">
        <v>42244</v>
      </c>
      <c r="X41" s="873" t="s">
        <v>321</v>
      </c>
      <c r="Y41" s="2"/>
      <c r="Z41" s="2"/>
      <c r="AA41" s="2"/>
      <c r="AB41" s="2"/>
      <c r="AC41" s="20" t="s">
        <v>187</v>
      </c>
      <c r="AD41" s="15">
        <v>151889</v>
      </c>
      <c r="AE41" s="24">
        <f t="shared" si="7"/>
        <v>2.3062054933875888</v>
      </c>
      <c r="AF41" s="15">
        <v>100888</v>
      </c>
      <c r="AG41" s="24">
        <f t="shared" si="8"/>
        <v>1.5318321920408133</v>
      </c>
      <c r="AH41" s="8">
        <f t="shared" si="9"/>
        <v>0.33577810111331302</v>
      </c>
      <c r="AI41" s="16">
        <f t="shared" si="10"/>
        <v>51001</v>
      </c>
      <c r="AJ41" s="916" t="s">
        <v>321</v>
      </c>
      <c r="AK41" s="2"/>
      <c r="AL41" s="2"/>
      <c r="AM41" s="2"/>
      <c r="AN41" s="20" t="s">
        <v>187</v>
      </c>
      <c r="AO41" s="2">
        <v>2163492</v>
      </c>
      <c r="AP41" s="9" t="s">
        <v>13</v>
      </c>
      <c r="AQ41" s="2">
        <f t="shared" si="14"/>
        <v>32.849364570838581</v>
      </c>
      <c r="AR41" s="2">
        <v>1785946</v>
      </c>
      <c r="AS41" s="9" t="s">
        <v>13</v>
      </c>
      <c r="AT41" s="2">
        <f t="shared" si="15"/>
        <v>27.116897708810981</v>
      </c>
      <c r="AU41" s="8">
        <f t="shared" si="16"/>
        <v>0.17450769404277899</v>
      </c>
      <c r="AV41" s="17">
        <f t="shared" si="17"/>
        <v>377546</v>
      </c>
      <c r="AW41" s="1" t="s">
        <v>321</v>
      </c>
      <c r="AX41" s="2"/>
      <c r="AY41" s="2"/>
      <c r="AZ41" s="2"/>
      <c r="BA41" s="20" t="s">
        <v>187</v>
      </c>
      <c r="BB41" s="64">
        <v>17028032</v>
      </c>
      <c r="BC41" s="42">
        <f t="shared" si="29"/>
        <v>258.54499628004436</v>
      </c>
      <c r="BD41" s="15">
        <v>16327000</v>
      </c>
      <c r="BE41" s="15">
        <v>1576000</v>
      </c>
      <c r="BF41" s="15">
        <f>67500+67500</f>
        <v>135000</v>
      </c>
      <c r="BG41" s="3"/>
      <c r="BH41" s="15">
        <v>290182</v>
      </c>
      <c r="BI41" s="1353">
        <f t="shared" si="38"/>
        <v>22.08219446677516</v>
      </c>
      <c r="BJ41" s="1" t="s">
        <v>295</v>
      </c>
      <c r="BK41" s="11" t="s">
        <v>247</v>
      </c>
    </row>
    <row r="42" spans="1:63" s="41" customFormat="1" ht="27.6" customHeight="1" x14ac:dyDescent="0.2">
      <c r="A42" s="28" t="s">
        <v>210</v>
      </c>
      <c r="B42" s="915" t="s">
        <v>953</v>
      </c>
      <c r="C42" s="11" t="s">
        <v>98</v>
      </c>
      <c r="D42" s="11" t="s">
        <v>996</v>
      </c>
      <c r="E42" s="11" t="s">
        <v>723</v>
      </c>
      <c r="F42" s="1" t="s">
        <v>136</v>
      </c>
      <c r="G42" s="37">
        <v>40331</v>
      </c>
      <c r="H42" s="1" t="s">
        <v>10</v>
      </c>
      <c r="I42" s="33">
        <v>40658</v>
      </c>
      <c r="J42" s="60">
        <v>41416</v>
      </c>
      <c r="K42" s="28" t="s">
        <v>261</v>
      </c>
      <c r="L42" s="1" t="s">
        <v>13</v>
      </c>
      <c r="M42" s="2">
        <v>93917</v>
      </c>
      <c r="N42" s="14">
        <v>2</v>
      </c>
      <c r="O42" s="28" t="s">
        <v>210</v>
      </c>
      <c r="P42" s="11" t="s">
        <v>247</v>
      </c>
      <c r="Q42" s="2">
        <v>22917</v>
      </c>
      <c r="R42" s="10">
        <f t="shared" si="0"/>
        <v>244.01333091985478</v>
      </c>
      <c r="S42" s="2">
        <v>15931</v>
      </c>
      <c r="T42" s="10">
        <f t="shared" si="1"/>
        <v>169.62850176219428</v>
      </c>
      <c r="U42" s="8">
        <f t="shared" si="2"/>
        <v>0.30483920233887507</v>
      </c>
      <c r="V42" s="2">
        <f t="shared" si="3"/>
        <v>6986</v>
      </c>
      <c r="W42" s="992">
        <v>42243</v>
      </c>
      <c r="X42" s="2">
        <f>'[2]14.15 Meter Data'!Y368</f>
        <v>24630.68361600022</v>
      </c>
      <c r="Y42" s="40">
        <f t="shared" ref="Y42:Y54" si="39">X42/M42*1000</f>
        <v>262.26011921164667</v>
      </c>
      <c r="Z42" s="5">
        <f t="shared" ref="Z42:Z54" si="40">(Q42-X42)/Q42</f>
        <v>-7.4777833747882369E-2</v>
      </c>
      <c r="AA42" s="5"/>
      <c r="AB42" s="51">
        <f t="shared" ref="AB42:AB54" si="41">Q42-X42</f>
        <v>-1713.6836160002204</v>
      </c>
      <c r="AC42" s="28" t="s">
        <v>210</v>
      </c>
      <c r="AD42" s="15">
        <v>351452</v>
      </c>
      <c r="AE42" s="7">
        <f t="shared" si="7"/>
        <v>3.7421553073458478</v>
      </c>
      <c r="AF42" s="15">
        <v>248190</v>
      </c>
      <c r="AG42" s="7">
        <f t="shared" si="8"/>
        <v>2.6426525549155104</v>
      </c>
      <c r="AH42" s="8">
        <f t="shared" si="9"/>
        <v>0.29381537165814964</v>
      </c>
      <c r="AI42" s="15">
        <f t="shared" si="10"/>
        <v>103262</v>
      </c>
      <c r="AJ42" s="15">
        <f>'[2]14.15 Meter Data'!W374</f>
        <v>220426.58</v>
      </c>
      <c r="AK42" s="22">
        <f t="shared" ref="AK42:AK54" si="42">AJ42/M42</f>
        <v>2.3470359998722277</v>
      </c>
      <c r="AL42" s="47">
        <f t="shared" ref="AL42:AL54" si="43">(AD42-AJ42)/AD42</f>
        <v>0.37281170686181903</v>
      </c>
      <c r="AM42" s="48">
        <f t="shared" ref="AM42:AM54" si="44">AD42-AJ42</f>
        <v>131025.42000000001</v>
      </c>
      <c r="AN42" s="28" t="s">
        <v>210</v>
      </c>
      <c r="AO42" s="2">
        <v>810220</v>
      </c>
      <c r="AP42" s="1" t="s">
        <v>13</v>
      </c>
      <c r="AQ42" s="10">
        <f t="shared" si="14"/>
        <v>8.6269791411565535</v>
      </c>
      <c r="AR42" s="2">
        <v>634243</v>
      </c>
      <c r="AS42" s="1" t="s">
        <v>13</v>
      </c>
      <c r="AT42" s="10">
        <f t="shared" si="15"/>
        <v>6.7532289148929374</v>
      </c>
      <c r="AU42" s="8">
        <f t="shared" si="16"/>
        <v>0.21719656389622571</v>
      </c>
      <c r="AV42" s="2">
        <f t="shared" si="17"/>
        <v>175977</v>
      </c>
      <c r="AW42" s="242">
        <f>'[2]14.15 Meter Data'!W369</f>
        <v>1160700</v>
      </c>
      <c r="AX42" s="9" t="s">
        <v>13</v>
      </c>
      <c r="AY42" s="2">
        <f t="shared" ref="AY42:AY54" si="45">AW42/M42</f>
        <v>12.358784884525699</v>
      </c>
      <c r="AZ42" s="8">
        <f t="shared" ref="AZ42:AZ54" si="46">(AO42-AW42)/AO42</f>
        <v>-0.43257386882575105</v>
      </c>
      <c r="BA42" s="28" t="s">
        <v>210</v>
      </c>
      <c r="BB42" s="64">
        <v>21478228</v>
      </c>
      <c r="BC42" s="42">
        <f t="shared" si="29"/>
        <v>228.6937189220269</v>
      </c>
      <c r="BD42" s="346">
        <f>BB42-632796</f>
        <v>20845432</v>
      </c>
      <c r="BE42" s="468">
        <v>2510110</v>
      </c>
      <c r="BF42" s="469">
        <f>90000+125000</f>
        <v>215000</v>
      </c>
      <c r="BG42" s="3"/>
      <c r="BH42" s="15">
        <v>126000</v>
      </c>
      <c r="BI42" s="1353">
        <f t="shared" si="38"/>
        <v>9.4303422362534128</v>
      </c>
      <c r="BJ42" s="1" t="s">
        <v>297</v>
      </c>
      <c r="BK42" s="11" t="s">
        <v>247</v>
      </c>
    </row>
    <row r="43" spans="1:63" s="41" customFormat="1" ht="27.6" customHeight="1" x14ac:dyDescent="0.2">
      <c r="A43" s="857" t="s">
        <v>285</v>
      </c>
      <c r="B43" s="943" t="s">
        <v>950</v>
      </c>
      <c r="C43" s="11" t="s">
        <v>100</v>
      </c>
      <c r="D43" s="11" t="s">
        <v>1000</v>
      </c>
      <c r="E43" s="11" t="s">
        <v>549</v>
      </c>
      <c r="F43" s="1" t="s">
        <v>99</v>
      </c>
      <c r="G43" s="33">
        <v>40476</v>
      </c>
      <c r="H43" s="11" t="s">
        <v>10</v>
      </c>
      <c r="I43" s="33">
        <v>40680</v>
      </c>
      <c r="J43" s="60">
        <v>41449</v>
      </c>
      <c r="K43" s="4" t="s">
        <v>262</v>
      </c>
      <c r="L43" s="11" t="s">
        <v>13</v>
      </c>
      <c r="M43" s="6">
        <v>91513</v>
      </c>
      <c r="N43" s="49">
        <v>3</v>
      </c>
      <c r="O43" s="857" t="s">
        <v>285</v>
      </c>
      <c r="P43" s="11" t="s">
        <v>247</v>
      </c>
      <c r="Q43" s="2">
        <v>7587</v>
      </c>
      <c r="R43" s="12">
        <f t="shared" si="0"/>
        <v>82.90625375629692</v>
      </c>
      <c r="S43" s="2">
        <v>5004</v>
      </c>
      <c r="T43" s="23">
        <f t="shared" si="1"/>
        <v>54.680755739621695</v>
      </c>
      <c r="U43" s="5">
        <f t="shared" si="2"/>
        <v>0.34045077105575328</v>
      </c>
      <c r="V43" s="13">
        <f t="shared" si="3"/>
        <v>2583</v>
      </c>
      <c r="W43" s="967">
        <v>42244</v>
      </c>
      <c r="X43" s="49">
        <f>'[2]14.15 Meter Data'!Y381</f>
        <v>12978.529484032564</v>
      </c>
      <c r="Y43" s="40">
        <f t="shared" si="39"/>
        <v>141.82170275297022</v>
      </c>
      <c r="Z43" s="5">
        <f t="shared" si="40"/>
        <v>-0.71062732094801162</v>
      </c>
      <c r="AA43" s="5"/>
      <c r="AB43" s="51">
        <f t="shared" si="41"/>
        <v>-5391.5294840325641</v>
      </c>
      <c r="AC43" s="857" t="s">
        <v>285</v>
      </c>
      <c r="AD43" s="15">
        <v>105529</v>
      </c>
      <c r="AE43" s="7">
        <f t="shared" si="7"/>
        <v>1.1531585676351994</v>
      </c>
      <c r="AF43" s="15">
        <v>66125</v>
      </c>
      <c r="AG43" s="7">
        <f t="shared" si="8"/>
        <v>0.72257493470872991</v>
      </c>
      <c r="AH43" s="8">
        <f t="shared" si="9"/>
        <v>0.37339499095035489</v>
      </c>
      <c r="AI43" s="16">
        <f t="shared" si="10"/>
        <v>39404</v>
      </c>
      <c r="AJ43" s="15">
        <f>'[2]14.15 Meter Data'!W387</f>
        <v>193521.09789769488</v>
      </c>
      <c r="AK43" s="22">
        <f t="shared" si="42"/>
        <v>2.1146842295378239</v>
      </c>
      <c r="AL43" s="47">
        <f t="shared" si="43"/>
        <v>-0.83381911984094303</v>
      </c>
      <c r="AM43" s="48">
        <f t="shared" si="44"/>
        <v>-87992.097897694883</v>
      </c>
      <c r="AN43" s="857" t="s">
        <v>285</v>
      </c>
      <c r="AO43" s="2">
        <v>1434603</v>
      </c>
      <c r="AP43" s="9" t="s">
        <v>13</v>
      </c>
      <c r="AQ43" s="2">
        <f t="shared" si="14"/>
        <v>15.67649405002568</v>
      </c>
      <c r="AR43" s="2">
        <v>990985</v>
      </c>
      <c r="AS43" s="9" t="s">
        <v>13</v>
      </c>
      <c r="AT43" s="2">
        <f t="shared" si="15"/>
        <v>10.82889862642466</v>
      </c>
      <c r="AU43" s="8">
        <f t="shared" si="16"/>
        <v>0.30922701262997498</v>
      </c>
      <c r="AV43" s="17">
        <f t="shared" si="17"/>
        <v>443618</v>
      </c>
      <c r="AW43" s="242">
        <f>'[2]14.15 Meter Data'!W382</f>
        <v>625746.88</v>
      </c>
      <c r="AX43" s="9" t="s">
        <v>13</v>
      </c>
      <c r="AY43" s="2">
        <f t="shared" si="45"/>
        <v>6.8377922262410804</v>
      </c>
      <c r="AZ43" s="8">
        <f t="shared" si="46"/>
        <v>0.56381878470907976</v>
      </c>
      <c r="BA43" s="937" t="s">
        <v>285</v>
      </c>
      <c r="BB43" s="64">
        <v>25393206</v>
      </c>
      <c r="BC43" s="42">
        <f t="shared" si="29"/>
        <v>277.48195338367225</v>
      </c>
      <c r="BD43" s="346">
        <f>BB43-77939</f>
        <v>25315267</v>
      </c>
      <c r="BE43" s="15">
        <f>2230879+177240</f>
        <v>2408119</v>
      </c>
      <c r="BF43" s="68">
        <v>177240</v>
      </c>
      <c r="BG43" s="3"/>
      <c r="BH43" s="15">
        <v>287625</v>
      </c>
      <c r="BI43" s="1353">
        <f t="shared" si="38"/>
        <v>13.775352756065374</v>
      </c>
      <c r="BJ43" s="1" t="s">
        <v>305</v>
      </c>
      <c r="BK43" s="11" t="s">
        <v>247</v>
      </c>
    </row>
    <row r="44" spans="1:63" s="41" customFormat="1" ht="27.6" customHeight="1" x14ac:dyDescent="0.2">
      <c r="A44" s="4" t="s">
        <v>956</v>
      </c>
      <c r="B44" s="915" t="s">
        <v>953</v>
      </c>
      <c r="C44" s="11" t="s">
        <v>957</v>
      </c>
      <c r="D44" s="11" t="s">
        <v>1001</v>
      </c>
      <c r="E44" s="969" t="s">
        <v>1043</v>
      </c>
      <c r="F44" s="1" t="s">
        <v>958</v>
      </c>
      <c r="G44" s="37">
        <v>40119</v>
      </c>
      <c r="H44" s="1" t="s">
        <v>407</v>
      </c>
      <c r="I44" s="33">
        <v>40479</v>
      </c>
      <c r="J44" s="60">
        <v>41455</v>
      </c>
      <c r="K44" s="4" t="s">
        <v>959</v>
      </c>
      <c r="L44" s="1" t="s">
        <v>13</v>
      </c>
      <c r="M44" s="6">
        <v>40722</v>
      </c>
      <c r="N44" s="14">
        <v>3</v>
      </c>
      <c r="O44" s="4" t="s">
        <v>956</v>
      </c>
      <c r="P44" s="11" t="s">
        <v>247</v>
      </c>
      <c r="Q44" s="2">
        <v>3603</v>
      </c>
      <c r="R44" s="12">
        <f t="shared" si="0"/>
        <v>88.477972594666284</v>
      </c>
      <c r="S44" s="2">
        <v>1672</v>
      </c>
      <c r="T44" s="23">
        <f t="shared" si="1"/>
        <v>41.058887088060509</v>
      </c>
      <c r="U44" s="5">
        <f t="shared" si="2"/>
        <v>0.5359422703302803</v>
      </c>
      <c r="V44" s="6">
        <f t="shared" si="3"/>
        <v>1931</v>
      </c>
      <c r="W44" s="992">
        <v>42244</v>
      </c>
      <c r="X44" s="9">
        <f>'[2]14.15 Meter Data'!Y392</f>
        <v>1698.635820484752</v>
      </c>
      <c r="Y44" s="40">
        <f t="shared" si="39"/>
        <v>41.712976290082807</v>
      </c>
      <c r="Z44" s="5">
        <f t="shared" si="40"/>
        <v>0.52854959187211992</v>
      </c>
      <c r="AA44" s="903"/>
      <c r="AB44" s="51">
        <f t="shared" si="41"/>
        <v>1904.364179515248</v>
      </c>
      <c r="AC44" s="4" t="s">
        <v>956</v>
      </c>
      <c r="AD44" s="15">
        <v>65069</v>
      </c>
      <c r="AE44" s="7">
        <f t="shared" si="7"/>
        <v>1.5978832080939049</v>
      </c>
      <c r="AF44" s="15">
        <v>19856</v>
      </c>
      <c r="AG44" s="7">
        <f t="shared" si="8"/>
        <v>0.48759884092136929</v>
      </c>
      <c r="AH44" s="8">
        <f t="shared" si="9"/>
        <v>0.69484700856014381</v>
      </c>
      <c r="AI44" s="15">
        <f t="shared" si="10"/>
        <v>45213</v>
      </c>
      <c r="AJ44" s="469">
        <f>'[2]14.15 Meter Data'!W396</f>
        <v>22920.42</v>
      </c>
      <c r="AK44" s="22">
        <f t="shared" si="42"/>
        <v>0.56285103875055253</v>
      </c>
      <c r="AL44" s="47">
        <f t="shared" si="43"/>
        <v>0.64775207856275652</v>
      </c>
      <c r="AM44" s="48">
        <f t="shared" si="44"/>
        <v>42148.58</v>
      </c>
      <c r="AN44" s="4" t="s">
        <v>956</v>
      </c>
      <c r="AO44" s="2">
        <v>977508</v>
      </c>
      <c r="AP44" s="9" t="s">
        <v>13</v>
      </c>
      <c r="AQ44" s="10">
        <f t="shared" si="14"/>
        <v>24.004420215117136</v>
      </c>
      <c r="AR44" s="2">
        <f>AO44-722295</f>
        <v>255213</v>
      </c>
      <c r="AS44" s="9" t="s">
        <v>13</v>
      </c>
      <c r="AT44" s="2">
        <f t="shared" si="15"/>
        <v>6.2672020038308531</v>
      </c>
      <c r="AU44" s="8">
        <f t="shared" si="16"/>
        <v>0.73891466872905387</v>
      </c>
      <c r="AV44" s="17">
        <f t="shared" si="17"/>
        <v>722295</v>
      </c>
      <c r="AW44" s="9">
        <f>'[2]14.15 Meter Data'!W393</f>
        <v>154338</v>
      </c>
      <c r="AX44" s="9" t="s">
        <v>13</v>
      </c>
      <c r="AY44" s="2">
        <f t="shared" si="45"/>
        <v>3.7900397819360543</v>
      </c>
      <c r="AZ44" s="8">
        <f t="shared" si="46"/>
        <v>0.84211075510379452</v>
      </c>
      <c r="BA44" s="4" t="s">
        <v>956</v>
      </c>
      <c r="BB44" s="64">
        <v>8385286</v>
      </c>
      <c r="BC44" s="42">
        <f t="shared" si="29"/>
        <v>205.91537743725749</v>
      </c>
      <c r="BD44" s="67">
        <f>BB44-26353-63254-77323-1684000-72135-26487-32960</f>
        <v>6402774</v>
      </c>
      <c r="BE44" s="71">
        <v>851000</v>
      </c>
      <c r="BF44" s="433">
        <v>50000</v>
      </c>
      <c r="BG44" s="3"/>
      <c r="BH44" s="71">
        <v>80000</v>
      </c>
      <c r="BI44" s="1353">
        <f t="shared" si="38"/>
        <v>46.723552960431732</v>
      </c>
      <c r="BJ44" s="1" t="s">
        <v>960</v>
      </c>
      <c r="BK44" s="11" t="s">
        <v>247</v>
      </c>
    </row>
    <row r="45" spans="1:63" s="41" customFormat="1" ht="27.6" customHeight="1" x14ac:dyDescent="0.2">
      <c r="A45" s="4" t="s">
        <v>531</v>
      </c>
      <c r="B45" s="11" t="s">
        <v>951</v>
      </c>
      <c r="C45" s="11" t="s">
        <v>63</v>
      </c>
      <c r="D45" s="11" t="s">
        <v>985</v>
      </c>
      <c r="E45" s="11" t="s">
        <v>545</v>
      </c>
      <c r="F45" s="1" t="s">
        <v>62</v>
      </c>
      <c r="G45" s="37">
        <v>40899</v>
      </c>
      <c r="H45" s="1" t="s">
        <v>103</v>
      </c>
      <c r="I45" s="33">
        <v>40925</v>
      </c>
      <c r="J45" s="60">
        <v>41464</v>
      </c>
      <c r="K45" s="4" t="s">
        <v>135</v>
      </c>
      <c r="L45" s="1">
        <v>400</v>
      </c>
      <c r="M45" s="6">
        <v>164377</v>
      </c>
      <c r="N45" s="14">
        <v>5</v>
      </c>
      <c r="O45" s="4" t="s">
        <v>531</v>
      </c>
      <c r="P45" s="11" t="s">
        <v>247</v>
      </c>
      <c r="Q45" s="2">
        <v>10765</v>
      </c>
      <c r="R45" s="12">
        <f t="shared" si="0"/>
        <v>65.489697463757096</v>
      </c>
      <c r="S45" s="2">
        <v>7239</v>
      </c>
      <c r="T45" s="23">
        <f t="shared" si="1"/>
        <v>44.039007890398295</v>
      </c>
      <c r="U45" s="5">
        <f t="shared" si="2"/>
        <v>0.32754296330701349</v>
      </c>
      <c r="V45" s="6">
        <f t="shared" si="3"/>
        <v>3526</v>
      </c>
      <c r="W45" s="967">
        <v>42220</v>
      </c>
      <c r="X45" s="2">
        <f>'[2]14.15 Meter Data'!Y401</f>
        <v>10981.178534218929</v>
      </c>
      <c r="Y45" s="40">
        <f t="shared" si="39"/>
        <v>66.804836042870534</v>
      </c>
      <c r="Z45" s="5">
        <f t="shared" si="40"/>
        <v>-2.0081610238637127E-2</v>
      </c>
      <c r="AA45" s="5"/>
      <c r="AB45" s="51">
        <f t="shared" si="41"/>
        <v>-216.17853421892869</v>
      </c>
      <c r="AC45" s="4" t="s">
        <v>531</v>
      </c>
      <c r="AD45" s="15">
        <v>149183</v>
      </c>
      <c r="AE45" s="7">
        <f t="shared" si="7"/>
        <v>0.90756614368190192</v>
      </c>
      <c r="AF45" s="15">
        <v>97190</v>
      </c>
      <c r="AG45" s="7">
        <f t="shared" si="8"/>
        <v>0.5912627679054856</v>
      </c>
      <c r="AH45" s="8">
        <f t="shared" si="9"/>
        <v>0.34851826280474318</v>
      </c>
      <c r="AI45" s="15">
        <f t="shared" si="10"/>
        <v>51993</v>
      </c>
      <c r="AJ45" s="15">
        <f>'[2]14.15 Meter Data'!W405</f>
        <v>149629.63892493953</v>
      </c>
      <c r="AK45" s="22">
        <f t="shared" si="42"/>
        <v>0.91028330560199744</v>
      </c>
      <c r="AL45" s="47">
        <f t="shared" si="43"/>
        <v>-2.9938996061181825E-3</v>
      </c>
      <c r="AM45" s="48">
        <f t="shared" si="44"/>
        <v>-446.63892493952881</v>
      </c>
      <c r="AN45" s="4" t="s">
        <v>531</v>
      </c>
      <c r="AO45" s="2">
        <v>2719308</v>
      </c>
      <c r="AP45" s="2">
        <f>AO45/L45</f>
        <v>6798.27</v>
      </c>
      <c r="AQ45" s="10">
        <f t="shared" si="14"/>
        <v>16.543117346100733</v>
      </c>
      <c r="AR45" s="2">
        <v>1869230</v>
      </c>
      <c r="AS45" s="9">
        <f>AR45/L45</f>
        <v>4673.0749999999998</v>
      </c>
      <c r="AT45" s="10">
        <f t="shared" si="15"/>
        <v>11.371603083156403</v>
      </c>
      <c r="AU45" s="8">
        <f t="shared" si="16"/>
        <v>0.31260820767636471</v>
      </c>
      <c r="AV45" s="2">
        <f t="shared" si="17"/>
        <v>850078</v>
      </c>
      <c r="AW45" s="242">
        <f>'[2]14.15 Meter Data'!W402</f>
        <v>8471370</v>
      </c>
      <c r="AX45" s="2">
        <f>AW45/L45</f>
        <v>21178.424999999999</v>
      </c>
      <c r="AY45" s="2">
        <f t="shared" si="45"/>
        <v>51.536224654300781</v>
      </c>
      <c r="AZ45" s="8">
        <f t="shared" si="46"/>
        <v>-2.1152668252364206</v>
      </c>
      <c r="BA45" s="4" t="s">
        <v>531</v>
      </c>
      <c r="BB45" s="64">
        <f>1297571+28729713</f>
        <v>30027284</v>
      </c>
      <c r="BC45" s="42">
        <f t="shared" si="29"/>
        <v>182.67326937466922</v>
      </c>
      <c r="BD45" s="346">
        <f>BB45</f>
        <v>30027284</v>
      </c>
      <c r="BE45" s="15">
        <v>2167790</v>
      </c>
      <c r="BF45" s="15">
        <v>126000</v>
      </c>
      <c r="BG45" s="3"/>
      <c r="BH45" s="15">
        <v>186000</v>
      </c>
      <c r="BI45" s="1353"/>
      <c r="BJ45" s="1"/>
      <c r="BK45" s="11" t="s">
        <v>247</v>
      </c>
    </row>
    <row r="46" spans="1:63" s="41" customFormat="1" ht="27.6" customHeight="1" x14ac:dyDescent="0.2">
      <c r="A46" s="4" t="s">
        <v>542</v>
      </c>
      <c r="B46" s="11" t="s">
        <v>951</v>
      </c>
      <c r="C46" s="11" t="s">
        <v>60</v>
      </c>
      <c r="D46" s="11" t="s">
        <v>989</v>
      </c>
      <c r="E46" s="11" t="s">
        <v>510</v>
      </c>
      <c r="F46" s="1" t="s">
        <v>66</v>
      </c>
      <c r="G46" s="37">
        <v>40864</v>
      </c>
      <c r="H46" s="1" t="s">
        <v>10</v>
      </c>
      <c r="I46" s="33">
        <v>41102</v>
      </c>
      <c r="J46" s="60">
        <v>41470</v>
      </c>
      <c r="K46" s="4" t="s">
        <v>12</v>
      </c>
      <c r="L46" s="262" t="s">
        <v>13</v>
      </c>
      <c r="M46" s="2">
        <v>22482</v>
      </c>
      <c r="N46" s="14">
        <v>2.5</v>
      </c>
      <c r="O46" s="4" t="s">
        <v>542</v>
      </c>
      <c r="P46" s="11" t="s">
        <v>247</v>
      </c>
      <c r="Q46" s="2">
        <v>1449</v>
      </c>
      <c r="R46" s="12">
        <f t="shared" si="0"/>
        <v>64.451561248999198</v>
      </c>
      <c r="S46" s="2">
        <v>1017</v>
      </c>
      <c r="T46" s="23">
        <f t="shared" si="1"/>
        <v>45.236188951160933</v>
      </c>
      <c r="U46" s="5">
        <f t="shared" si="2"/>
        <v>0.29813664596273293</v>
      </c>
      <c r="V46" s="6">
        <f t="shared" si="3"/>
        <v>432</v>
      </c>
      <c r="W46" s="992">
        <v>42242</v>
      </c>
      <c r="X46" s="2">
        <f>'[2]14.15 Meter Data'!Y410</f>
        <v>1918.2502478482638</v>
      </c>
      <c r="Y46" s="40">
        <f t="shared" si="39"/>
        <v>85.323825631539179</v>
      </c>
      <c r="Z46" s="5">
        <f t="shared" si="40"/>
        <v>-0.32384420141357062</v>
      </c>
      <c r="AA46" s="5"/>
      <c r="AB46" s="51">
        <f t="shared" si="41"/>
        <v>-469.25024784826383</v>
      </c>
      <c r="AC46" s="4" t="s">
        <v>542</v>
      </c>
      <c r="AD46" s="15">
        <v>27666</v>
      </c>
      <c r="AE46" s="7">
        <f t="shared" si="7"/>
        <v>1.2305844675740591</v>
      </c>
      <c r="AF46" s="15">
        <v>21821</v>
      </c>
      <c r="AG46" s="7">
        <f t="shared" si="8"/>
        <v>0.97059870118316871</v>
      </c>
      <c r="AH46" s="8">
        <f t="shared" si="9"/>
        <v>0.21127015108797803</v>
      </c>
      <c r="AI46" s="15">
        <f t="shared" si="10"/>
        <v>5845</v>
      </c>
      <c r="AJ46" s="15">
        <f>'[2]14.15 Meter Data'!W414</f>
        <v>33166.25</v>
      </c>
      <c r="AK46" s="22">
        <f t="shared" si="42"/>
        <v>1.4752357441508763</v>
      </c>
      <c r="AL46" s="47">
        <f t="shared" si="43"/>
        <v>-0.19880900744596255</v>
      </c>
      <c r="AM46" s="48">
        <f t="shared" si="44"/>
        <v>-5500.25</v>
      </c>
      <c r="AN46" s="4" t="s">
        <v>542</v>
      </c>
      <c r="AO46" s="2">
        <v>166500</v>
      </c>
      <c r="AP46" s="9" t="s">
        <v>13</v>
      </c>
      <c r="AQ46" s="10">
        <f t="shared" si="14"/>
        <v>7.4059247397918337</v>
      </c>
      <c r="AR46" s="2">
        <v>120425</v>
      </c>
      <c r="AS46" s="9" t="s">
        <v>13</v>
      </c>
      <c r="AT46" s="10">
        <f t="shared" si="15"/>
        <v>5.356507428164754</v>
      </c>
      <c r="AU46" s="8">
        <f t="shared" si="16"/>
        <v>0.27672672672672671</v>
      </c>
      <c r="AV46" s="2">
        <f t="shared" si="17"/>
        <v>46075</v>
      </c>
      <c r="AW46" s="242">
        <f>'[2]14.15 Meter Data'!W411</f>
        <v>120550.17333333332</v>
      </c>
      <c r="AX46" s="9" t="s">
        <v>13</v>
      </c>
      <c r="AY46" s="2">
        <f t="shared" si="45"/>
        <v>5.3620751415947572</v>
      </c>
      <c r="AZ46" s="8">
        <f t="shared" si="46"/>
        <v>0.27597493493493497</v>
      </c>
      <c r="BA46" s="4" t="s">
        <v>542</v>
      </c>
      <c r="BB46" s="64">
        <v>2670270</v>
      </c>
      <c r="BC46" s="42">
        <f t="shared" si="29"/>
        <v>118.7736856151588</v>
      </c>
      <c r="BD46" s="15">
        <f>BB46-24776</f>
        <v>2645494</v>
      </c>
      <c r="BE46" s="15">
        <v>292501</v>
      </c>
      <c r="BF46" s="15">
        <v>0</v>
      </c>
      <c r="BG46" s="3"/>
      <c r="BH46" s="85">
        <v>0</v>
      </c>
      <c r="BI46" s="1353"/>
      <c r="BJ46" s="1" t="s">
        <v>297</v>
      </c>
      <c r="BK46" s="11" t="s">
        <v>247</v>
      </c>
    </row>
    <row r="47" spans="1:63" s="41" customFormat="1" ht="27.6" customHeight="1" x14ac:dyDescent="0.2">
      <c r="A47" s="28" t="s">
        <v>532</v>
      </c>
      <c r="B47" s="11" t="s">
        <v>951</v>
      </c>
      <c r="C47" s="11" t="s">
        <v>63</v>
      </c>
      <c r="D47" s="11" t="s">
        <v>985</v>
      </c>
      <c r="E47" s="11" t="s">
        <v>545</v>
      </c>
      <c r="F47" s="1" t="s">
        <v>84</v>
      </c>
      <c r="G47" s="33">
        <v>40963</v>
      </c>
      <c r="H47" s="1" t="s">
        <v>10</v>
      </c>
      <c r="I47" s="33">
        <v>40925</v>
      </c>
      <c r="J47" s="60">
        <v>41484</v>
      </c>
      <c r="K47" s="28" t="s">
        <v>54</v>
      </c>
      <c r="L47" s="1">
        <v>436</v>
      </c>
      <c r="M47" s="2">
        <v>144175</v>
      </c>
      <c r="N47" s="14">
        <v>5</v>
      </c>
      <c r="O47" s="28" t="s">
        <v>532</v>
      </c>
      <c r="P47" s="11" t="s">
        <v>247</v>
      </c>
      <c r="Q47" s="2">
        <v>11671</v>
      </c>
      <c r="R47" s="10">
        <f t="shared" si="0"/>
        <v>80.950234090514996</v>
      </c>
      <c r="S47" s="2">
        <v>6976</v>
      </c>
      <c r="T47" s="23">
        <f t="shared" si="1"/>
        <v>48.385642448413392</v>
      </c>
      <c r="U47" s="5">
        <f t="shared" si="2"/>
        <v>0.40227915345728732</v>
      </c>
      <c r="V47" s="2">
        <f t="shared" si="3"/>
        <v>4695</v>
      </c>
      <c r="W47" s="967">
        <v>42220</v>
      </c>
      <c r="X47" s="2">
        <f>'[2]14.15 Meter Data'!Y421</f>
        <v>9709.0475361490317</v>
      </c>
      <c r="Y47" s="40">
        <f t="shared" si="39"/>
        <v>67.342101863353776</v>
      </c>
      <c r="Z47" s="5">
        <f t="shared" si="40"/>
        <v>0.16810491507591194</v>
      </c>
      <c r="AA47" s="903"/>
      <c r="AB47" s="51">
        <f t="shared" si="41"/>
        <v>1961.9524638509683</v>
      </c>
      <c r="AC47" s="28" t="s">
        <v>532</v>
      </c>
      <c r="AD47" s="15">
        <v>141674</v>
      </c>
      <c r="AE47" s="7">
        <f t="shared" si="7"/>
        <v>0.98265302583665681</v>
      </c>
      <c r="AF47" s="15">
        <v>87499</v>
      </c>
      <c r="AG47" s="7">
        <f t="shared" si="8"/>
        <v>0.60689439916767818</v>
      </c>
      <c r="AH47" s="8">
        <f t="shared" si="9"/>
        <v>0.38239197029800809</v>
      </c>
      <c r="AI47" s="15">
        <f t="shared" si="10"/>
        <v>54175</v>
      </c>
      <c r="AJ47" s="15">
        <f>'[2]14.15 Meter Data'!W427</f>
        <v>144007.70119133021</v>
      </c>
      <c r="AK47" s="22">
        <f t="shared" si="42"/>
        <v>0.99883961291021472</v>
      </c>
      <c r="AL47" s="47">
        <f t="shared" si="43"/>
        <v>-1.6472332194546722E-2</v>
      </c>
      <c r="AM47" s="48">
        <f t="shared" si="44"/>
        <v>-2333.7011913302122</v>
      </c>
      <c r="AN47" s="28" t="s">
        <v>532</v>
      </c>
      <c r="AO47" s="2">
        <v>1100206</v>
      </c>
      <c r="AP47" s="2">
        <f t="shared" ref="AP47:AP53" si="47">AO47/L47</f>
        <v>2523.4082568807339</v>
      </c>
      <c r="AQ47" s="10">
        <f t="shared" si="14"/>
        <v>7.6310456043003292</v>
      </c>
      <c r="AR47" s="2">
        <v>860579</v>
      </c>
      <c r="AS47" s="9">
        <f t="shared" ref="AS47:AS53" si="48">AR47/L47</f>
        <v>1973.8050458715597</v>
      </c>
      <c r="AT47" s="10">
        <f t="shared" si="15"/>
        <v>5.9689890757759665</v>
      </c>
      <c r="AU47" s="8">
        <f t="shared" si="16"/>
        <v>0.21780193890962238</v>
      </c>
      <c r="AV47" s="2">
        <f t="shared" si="17"/>
        <v>239627</v>
      </c>
      <c r="AW47" s="242">
        <f>'[2]14.15 Meter Data'!W422</f>
        <v>2377256.2000000002</v>
      </c>
      <c r="AX47" s="2">
        <f t="shared" ref="AX47:AX53" si="49">AW47/L47</f>
        <v>5452.4224770642204</v>
      </c>
      <c r="AY47" s="2">
        <f t="shared" si="45"/>
        <v>16.488685278307614</v>
      </c>
      <c r="AZ47" s="8">
        <f t="shared" si="46"/>
        <v>-1.1607373528230169</v>
      </c>
      <c r="BA47" s="28" t="s">
        <v>532</v>
      </c>
      <c r="BB47" s="64">
        <f>21815053+2840314</f>
        <v>24655367</v>
      </c>
      <c r="BC47" s="42">
        <f t="shared" si="29"/>
        <v>171.01000173400382</v>
      </c>
      <c r="BD47" s="346">
        <f>BB47-1838674</f>
        <v>22816693</v>
      </c>
      <c r="BE47" s="15">
        <v>2078598</v>
      </c>
      <c r="BF47" s="15">
        <v>0</v>
      </c>
      <c r="BG47" s="3"/>
      <c r="BH47" s="73">
        <v>297680</v>
      </c>
      <c r="BI47" s="1353"/>
      <c r="BJ47" s="1" t="s">
        <v>296</v>
      </c>
      <c r="BK47" s="11" t="s">
        <v>247</v>
      </c>
    </row>
    <row r="48" spans="1:63" s="41" customFormat="1" ht="27.6" customHeight="1" x14ac:dyDescent="0.2">
      <c r="A48" s="4" t="s">
        <v>935</v>
      </c>
      <c r="B48" s="11" t="s">
        <v>952</v>
      </c>
      <c r="C48" s="11" t="s">
        <v>60</v>
      </c>
      <c r="D48" s="11" t="s">
        <v>989</v>
      </c>
      <c r="E48" s="11" t="s">
        <v>510</v>
      </c>
      <c r="F48" s="1" t="s">
        <v>59</v>
      </c>
      <c r="G48" s="33">
        <v>40819</v>
      </c>
      <c r="H48" s="11" t="s">
        <v>10</v>
      </c>
      <c r="I48" s="33">
        <v>40816</v>
      </c>
      <c r="J48" s="60">
        <v>41487</v>
      </c>
      <c r="K48" s="4" t="s">
        <v>54</v>
      </c>
      <c r="L48" s="1">
        <v>151</v>
      </c>
      <c r="M48" s="2">
        <v>67202</v>
      </c>
      <c r="N48" s="49">
        <v>6</v>
      </c>
      <c r="O48" s="4" t="s">
        <v>436</v>
      </c>
      <c r="P48" s="11" t="s">
        <v>247</v>
      </c>
      <c r="Q48" s="2">
        <v>4126</v>
      </c>
      <c r="R48" s="12">
        <f>(Q48/M48)*1000</f>
        <v>61.396982232671647</v>
      </c>
      <c r="S48" s="2">
        <v>2853</v>
      </c>
      <c r="T48" s="23">
        <f t="shared" si="1"/>
        <v>42.454093628165829</v>
      </c>
      <c r="U48" s="5">
        <f t="shared" si="2"/>
        <v>0.30853126514784296</v>
      </c>
      <c r="V48" s="13">
        <f t="shared" si="3"/>
        <v>1273</v>
      </c>
      <c r="W48" s="992">
        <v>42242</v>
      </c>
      <c r="X48" s="49">
        <f>'[2]14.15 Meter Data'!Y433</f>
        <v>5261.3204450872308</v>
      </c>
      <c r="Y48" s="40">
        <f t="shared" si="39"/>
        <v>78.291128911151915</v>
      </c>
      <c r="Z48" s="5">
        <f t="shared" si="40"/>
        <v>-0.27516249275017712</v>
      </c>
      <c r="AA48" s="5"/>
      <c r="AB48" s="51">
        <f t="shared" si="41"/>
        <v>-1135.3204450872308</v>
      </c>
      <c r="AC48" s="4" t="s">
        <v>436</v>
      </c>
      <c r="AD48" s="15">
        <v>76622</v>
      </c>
      <c r="AE48" s="7">
        <f t="shared" si="7"/>
        <v>1.1401743995714413</v>
      </c>
      <c r="AF48" s="15">
        <v>51093</v>
      </c>
      <c r="AG48" s="7">
        <f t="shared" si="8"/>
        <v>0.76028987232522838</v>
      </c>
      <c r="AH48" s="8">
        <f t="shared" si="9"/>
        <v>0.33318107071076192</v>
      </c>
      <c r="AI48" s="16">
        <f t="shared" si="10"/>
        <v>25529</v>
      </c>
      <c r="AJ48" s="15">
        <f>'[2]14.15 Meter Data'!W438</f>
        <v>91337.879146259482</v>
      </c>
      <c r="AK48" s="22">
        <f t="shared" si="42"/>
        <v>1.3591541791354347</v>
      </c>
      <c r="AL48" s="47">
        <f t="shared" si="43"/>
        <v>-0.19205814447886355</v>
      </c>
      <c r="AM48" s="48">
        <f t="shared" si="44"/>
        <v>-14715.879146259482</v>
      </c>
      <c r="AN48" s="4" t="s">
        <v>436</v>
      </c>
      <c r="AO48" s="2">
        <v>1630661</v>
      </c>
      <c r="AP48" s="2">
        <f t="shared" si="47"/>
        <v>10799.079470198676</v>
      </c>
      <c r="AQ48" s="2">
        <f t="shared" si="14"/>
        <v>24.265066515877503</v>
      </c>
      <c r="AR48" s="2">
        <v>1029702</v>
      </c>
      <c r="AS48" s="9">
        <f t="shared" si="48"/>
        <v>6819.2185430463578</v>
      </c>
      <c r="AT48" s="10">
        <f t="shared" si="15"/>
        <v>15.322490402071367</v>
      </c>
      <c r="AU48" s="8">
        <f t="shared" si="16"/>
        <v>0.36853705337896719</v>
      </c>
      <c r="AV48" s="2">
        <f t="shared" si="17"/>
        <v>600959</v>
      </c>
      <c r="AW48" s="242">
        <f>'[2]14.15 Meter Data'!W434</f>
        <v>571472</v>
      </c>
      <c r="AX48" s="2">
        <f t="shared" si="49"/>
        <v>3784.5827814569539</v>
      </c>
      <c r="AY48" s="2">
        <f t="shared" si="45"/>
        <v>8.5037945299247042</v>
      </c>
      <c r="AZ48" s="8">
        <f t="shared" si="46"/>
        <v>0.64954579768572374</v>
      </c>
      <c r="BA48" s="4" t="s">
        <v>436</v>
      </c>
      <c r="BB48" s="64">
        <v>14207759</v>
      </c>
      <c r="BC48" s="42">
        <f t="shared" si="29"/>
        <v>211.41869289604477</v>
      </c>
      <c r="BD48" s="42">
        <f>BB48-41.63*M48</f>
        <v>11410139.74</v>
      </c>
      <c r="BE48" s="73">
        <f>8023000*M48/541421</f>
        <v>995826.99230358633</v>
      </c>
      <c r="BF48" s="15">
        <v>0</v>
      </c>
      <c r="BG48" s="3"/>
      <c r="BH48" s="15">
        <f>379066*M48/541421</f>
        <v>47050.249864707868</v>
      </c>
      <c r="BI48" s="1353"/>
      <c r="BJ48" s="1" t="s">
        <v>314</v>
      </c>
      <c r="BK48" s="11" t="s">
        <v>247</v>
      </c>
    </row>
    <row r="49" spans="1:65" s="41" customFormat="1" ht="27.6" customHeight="1" x14ac:dyDescent="0.2">
      <c r="A49" s="4" t="s">
        <v>936</v>
      </c>
      <c r="B49" s="11" t="s">
        <v>952</v>
      </c>
      <c r="C49" s="11" t="s">
        <v>60</v>
      </c>
      <c r="D49" s="11" t="s">
        <v>989</v>
      </c>
      <c r="E49" s="11" t="s">
        <v>510</v>
      </c>
      <c r="F49" s="1" t="s">
        <v>59</v>
      </c>
      <c r="G49" s="33">
        <v>40819</v>
      </c>
      <c r="H49" s="11" t="s">
        <v>10</v>
      </c>
      <c r="I49" s="33">
        <v>40816</v>
      </c>
      <c r="J49" s="60">
        <v>41487</v>
      </c>
      <c r="K49" s="4" t="s">
        <v>54</v>
      </c>
      <c r="L49" s="1">
        <v>251</v>
      </c>
      <c r="M49" s="2">
        <v>154726</v>
      </c>
      <c r="N49" s="49">
        <v>6</v>
      </c>
      <c r="O49" s="4" t="s">
        <v>936</v>
      </c>
      <c r="P49" s="11" t="s">
        <v>247</v>
      </c>
      <c r="Q49" s="2">
        <v>12056</v>
      </c>
      <c r="R49" s="12">
        <f t="shared" ref="R49:R55" si="50">Q49/M49*1000</f>
        <v>77.918384757571445</v>
      </c>
      <c r="S49" s="2">
        <v>8300</v>
      </c>
      <c r="T49" s="23">
        <f t="shared" si="1"/>
        <v>53.643214456523147</v>
      </c>
      <c r="U49" s="5">
        <f t="shared" si="2"/>
        <v>0.31154611811546118</v>
      </c>
      <c r="V49" s="13">
        <f t="shared" si="3"/>
        <v>3756</v>
      </c>
      <c r="W49" s="992">
        <v>42242</v>
      </c>
      <c r="X49" s="49">
        <f>'[2]14.15 Meter Data'!Y445</f>
        <v>16548.506401013936</v>
      </c>
      <c r="Y49" s="40">
        <f t="shared" si="39"/>
        <v>106.95362383189597</v>
      </c>
      <c r="Z49" s="5">
        <f t="shared" si="40"/>
        <v>-0.37263656279146778</v>
      </c>
      <c r="AA49" s="5"/>
      <c r="AB49" s="51">
        <f t="shared" si="41"/>
        <v>-4492.5064010139358</v>
      </c>
      <c r="AC49" s="4" t="s">
        <v>936</v>
      </c>
      <c r="AD49" s="15">
        <v>220350</v>
      </c>
      <c r="AE49" s="7">
        <f t="shared" si="7"/>
        <v>1.4241303982523945</v>
      </c>
      <c r="AF49" s="15">
        <v>143383</v>
      </c>
      <c r="AG49" s="7">
        <f t="shared" si="8"/>
        <v>0.9266897612553805</v>
      </c>
      <c r="AH49" s="8">
        <f t="shared" si="9"/>
        <v>0.34929430451554344</v>
      </c>
      <c r="AI49" s="16">
        <f t="shared" si="10"/>
        <v>76967</v>
      </c>
      <c r="AJ49" s="15">
        <f>'[2]14.15 Meter Data'!W451</f>
        <v>300411.61470485321</v>
      </c>
      <c r="AK49" s="22">
        <f t="shared" si="42"/>
        <v>1.9415716473304629</v>
      </c>
      <c r="AL49" s="47">
        <f t="shared" si="43"/>
        <v>-0.36333839212549679</v>
      </c>
      <c r="AM49" s="48">
        <f t="shared" si="44"/>
        <v>-80061.614704853215</v>
      </c>
      <c r="AN49" s="4" t="s">
        <v>936</v>
      </c>
      <c r="AO49" s="2">
        <v>5618485</v>
      </c>
      <c r="AP49" s="2">
        <f t="shared" si="47"/>
        <v>22384.402390438248</v>
      </c>
      <c r="AQ49" s="2">
        <f t="shared" si="14"/>
        <v>36.312481418766076</v>
      </c>
      <c r="AR49" s="2">
        <v>4483837</v>
      </c>
      <c r="AS49" s="9">
        <f t="shared" si="48"/>
        <v>17863.892430278884</v>
      </c>
      <c r="AT49" s="10">
        <f t="shared" si="15"/>
        <v>28.979208407119682</v>
      </c>
      <c r="AU49" s="8">
        <f t="shared" si="16"/>
        <v>0.20194910193762197</v>
      </c>
      <c r="AV49" s="2">
        <f t="shared" si="17"/>
        <v>1134648</v>
      </c>
      <c r="AW49" s="242">
        <f>'[2]14.15 Meter Data'!W446</f>
        <v>1964248</v>
      </c>
      <c r="AX49" s="2">
        <f t="shared" si="49"/>
        <v>7825.6892430278886</v>
      </c>
      <c r="AY49" s="2">
        <f t="shared" si="45"/>
        <v>12.695009242144177</v>
      </c>
      <c r="AZ49" s="8">
        <f t="shared" si="46"/>
        <v>0.65039543578028591</v>
      </c>
      <c r="BA49" s="4" t="s">
        <v>437</v>
      </c>
      <c r="BB49" s="64">
        <v>32712171</v>
      </c>
      <c r="BC49" s="42">
        <f t="shared" si="29"/>
        <v>211.42000051704304</v>
      </c>
      <c r="BD49" s="42">
        <f>BB49-41.63*M49</f>
        <v>26270927.619999997</v>
      </c>
      <c r="BE49" s="73">
        <f>8023000*M49/541421</f>
        <v>2292793.7741609579</v>
      </c>
      <c r="BF49" s="15">
        <v>0</v>
      </c>
      <c r="BG49" s="3"/>
      <c r="BH49" s="15">
        <f>379066*M49/541421</f>
        <v>108328.57594367415</v>
      </c>
      <c r="BI49" s="1353"/>
      <c r="BJ49" s="1" t="s">
        <v>314</v>
      </c>
      <c r="BK49" s="11" t="s">
        <v>247</v>
      </c>
      <c r="BL49" s="3"/>
      <c r="BM49" s="3"/>
    </row>
    <row r="50" spans="1:65" s="41" customFormat="1" ht="27.6" customHeight="1" x14ac:dyDescent="0.2">
      <c r="A50" s="28" t="s">
        <v>1249</v>
      </c>
      <c r="B50" s="915" t="s">
        <v>953</v>
      </c>
      <c r="C50" s="11" t="s">
        <v>109</v>
      </c>
      <c r="D50" s="11" t="s">
        <v>993</v>
      </c>
      <c r="E50" s="11" t="s">
        <v>548</v>
      </c>
      <c r="F50" s="1" t="s">
        <v>134</v>
      </c>
      <c r="G50" s="37">
        <v>40840</v>
      </c>
      <c r="H50" s="1" t="s">
        <v>4</v>
      </c>
      <c r="I50" s="33" t="s">
        <v>244</v>
      </c>
      <c r="J50" s="60">
        <v>41493</v>
      </c>
      <c r="K50" s="28" t="s">
        <v>135</v>
      </c>
      <c r="L50" s="1">
        <v>243</v>
      </c>
      <c r="M50" s="2">
        <v>116224</v>
      </c>
      <c r="N50" s="14">
        <v>5</v>
      </c>
      <c r="O50" s="28" t="s">
        <v>1249</v>
      </c>
      <c r="P50" s="11" t="s">
        <v>247</v>
      </c>
      <c r="Q50" s="2">
        <v>5889</v>
      </c>
      <c r="R50" s="10">
        <f t="shared" si="50"/>
        <v>50.669397026431717</v>
      </c>
      <c r="S50" s="2">
        <v>4141</v>
      </c>
      <c r="T50" s="10">
        <f t="shared" si="1"/>
        <v>35.629474118942731</v>
      </c>
      <c r="U50" s="8">
        <f t="shared" si="2"/>
        <v>0.29682458821531671</v>
      </c>
      <c r="V50" s="2">
        <f t="shared" si="3"/>
        <v>1748</v>
      </c>
      <c r="W50" s="992">
        <v>42235</v>
      </c>
      <c r="X50" s="2">
        <f>'[2]14.15 Meter Data'!Y456</f>
        <v>3553.5589867846397</v>
      </c>
      <c r="Y50" s="40">
        <f t="shared" si="39"/>
        <v>30.575087647857927</v>
      </c>
      <c r="Z50" s="5">
        <f t="shared" si="40"/>
        <v>0.39657684041694008</v>
      </c>
      <c r="AA50" s="903" t="s">
        <v>955</v>
      </c>
      <c r="AB50" s="51">
        <f t="shared" si="41"/>
        <v>2335.4410132153603</v>
      </c>
      <c r="AC50" s="28" t="s">
        <v>1249</v>
      </c>
      <c r="AD50" s="15">
        <v>127318</v>
      </c>
      <c r="AE50" s="7">
        <f t="shared" si="7"/>
        <v>1.0954536068281939</v>
      </c>
      <c r="AF50" s="15">
        <v>80286</v>
      </c>
      <c r="AG50" s="7">
        <f t="shared" si="8"/>
        <v>0.69078675660792954</v>
      </c>
      <c r="AH50" s="8">
        <f t="shared" si="9"/>
        <v>0.36940573995821485</v>
      </c>
      <c r="AI50" s="15">
        <f t="shared" si="10"/>
        <v>47032</v>
      </c>
      <c r="AJ50" s="15">
        <f>'[2]14.15 Meter Data'!W460</f>
        <v>78620.689999999988</v>
      </c>
      <c r="AK50" s="22">
        <f t="shared" si="42"/>
        <v>0.67645830465308354</v>
      </c>
      <c r="AL50" s="47">
        <f t="shared" si="43"/>
        <v>0.38248566581316085</v>
      </c>
      <c r="AM50" s="48">
        <f t="shared" si="44"/>
        <v>48697.310000000012</v>
      </c>
      <c r="AN50" s="28" t="s">
        <v>1249</v>
      </c>
      <c r="AO50" s="2">
        <v>2900134</v>
      </c>
      <c r="AP50" s="2">
        <f t="shared" si="47"/>
        <v>11934.707818930041</v>
      </c>
      <c r="AQ50" s="10">
        <f t="shared" si="14"/>
        <v>24.952970126651984</v>
      </c>
      <c r="AR50" s="2">
        <v>2258696</v>
      </c>
      <c r="AS50" s="9">
        <f t="shared" si="48"/>
        <v>9295.0452674897115</v>
      </c>
      <c r="AT50" s="10">
        <f t="shared" si="15"/>
        <v>19.433989537444933</v>
      </c>
      <c r="AU50" s="8">
        <f t="shared" si="16"/>
        <v>0.22117529741729175</v>
      </c>
      <c r="AV50" s="2">
        <f t="shared" si="17"/>
        <v>641438</v>
      </c>
      <c r="AW50" s="242">
        <f>'[2]14.15 Meter Data'!W457</f>
        <v>1941869</v>
      </c>
      <c r="AX50" s="2">
        <f t="shared" si="49"/>
        <v>7991.2304526748967</v>
      </c>
      <c r="AY50" s="2">
        <f t="shared" si="45"/>
        <v>16.707986302312776</v>
      </c>
      <c r="AZ50" s="8">
        <f t="shared" si="46"/>
        <v>0.33042093917039694</v>
      </c>
      <c r="BA50" s="28" t="s">
        <v>1249</v>
      </c>
      <c r="BB50" s="71" t="s">
        <v>244</v>
      </c>
      <c r="BC50" s="42"/>
      <c r="BD50" s="3"/>
      <c r="BE50" s="71" t="s">
        <v>244</v>
      </c>
      <c r="BF50" s="15"/>
      <c r="BG50" s="3"/>
      <c r="BH50" s="33" t="s">
        <v>244</v>
      </c>
      <c r="BI50" s="1353"/>
      <c r="BJ50" s="1" t="s">
        <v>297</v>
      </c>
      <c r="BK50" s="11" t="s">
        <v>247</v>
      </c>
    </row>
    <row r="51" spans="1:65" s="41" customFormat="1" ht="27.6" customHeight="1" x14ac:dyDescent="0.2">
      <c r="A51" s="28" t="s">
        <v>1250</v>
      </c>
      <c r="B51" s="915" t="s">
        <v>953</v>
      </c>
      <c r="C51" s="11" t="s">
        <v>109</v>
      </c>
      <c r="D51" s="11" t="s">
        <v>993</v>
      </c>
      <c r="E51" s="11" t="s">
        <v>548</v>
      </c>
      <c r="F51" s="1" t="s">
        <v>134</v>
      </c>
      <c r="G51" s="37">
        <v>40840</v>
      </c>
      <c r="H51" s="1" t="s">
        <v>4</v>
      </c>
      <c r="I51" s="33" t="s">
        <v>244</v>
      </c>
      <c r="J51" s="60">
        <v>41493</v>
      </c>
      <c r="K51" s="28" t="s">
        <v>135</v>
      </c>
      <c r="L51" s="1">
        <v>130</v>
      </c>
      <c r="M51" s="2">
        <v>56295</v>
      </c>
      <c r="N51" s="14">
        <v>5</v>
      </c>
      <c r="O51" s="28" t="s">
        <v>1250</v>
      </c>
      <c r="P51" s="11" t="s">
        <v>247</v>
      </c>
      <c r="Q51" s="2">
        <v>5889</v>
      </c>
      <c r="R51" s="10">
        <f t="shared" si="50"/>
        <v>104.60964561683986</v>
      </c>
      <c r="S51" s="2">
        <v>4141</v>
      </c>
      <c r="T51" s="10">
        <f t="shared" si="1"/>
        <v>73.55893063327116</v>
      </c>
      <c r="U51" s="8">
        <f t="shared" si="2"/>
        <v>0.29682458821531671</v>
      </c>
      <c r="V51" s="2">
        <f t="shared" si="3"/>
        <v>1748</v>
      </c>
      <c r="W51" s="992">
        <v>42235</v>
      </c>
      <c r="X51" s="2">
        <f>'[2]14.15 Meter Data'!Y465</f>
        <v>2070.3852206900078</v>
      </c>
      <c r="Y51" s="40">
        <f t="shared" si="39"/>
        <v>36.777426426681018</v>
      </c>
      <c r="Z51" s="5">
        <f t="shared" si="40"/>
        <v>0.64843178456613892</v>
      </c>
      <c r="AA51" s="903" t="s">
        <v>955</v>
      </c>
      <c r="AB51" s="51">
        <f t="shared" si="41"/>
        <v>3818.6147793099922</v>
      </c>
      <c r="AC51" s="28" t="s">
        <v>1250</v>
      </c>
      <c r="AD51" s="15">
        <v>127318</v>
      </c>
      <c r="AE51" s="7">
        <f t="shared" si="7"/>
        <v>2.2616218136601831</v>
      </c>
      <c r="AF51" s="15">
        <v>80286</v>
      </c>
      <c r="AG51" s="7">
        <f t="shared" si="8"/>
        <v>1.4261657340794032</v>
      </c>
      <c r="AH51" s="8">
        <f t="shared" si="9"/>
        <v>0.36940573995821485</v>
      </c>
      <c r="AI51" s="15">
        <f t="shared" si="10"/>
        <v>47032</v>
      </c>
      <c r="AJ51" s="15">
        <f>'[2]14.15 Meter Data'!W469</f>
        <v>46912.73</v>
      </c>
      <c r="AK51" s="22">
        <f t="shared" si="42"/>
        <v>0.83333741895372593</v>
      </c>
      <c r="AL51" s="47">
        <f t="shared" si="43"/>
        <v>0.63153104824141115</v>
      </c>
      <c r="AM51" s="48">
        <f t="shared" si="44"/>
        <v>80405.26999999999</v>
      </c>
      <c r="AN51" s="28" t="s">
        <v>1250</v>
      </c>
      <c r="AO51" s="2">
        <v>1736095</v>
      </c>
      <c r="AP51" s="2">
        <f t="shared" si="47"/>
        <v>13354.576923076924</v>
      </c>
      <c r="AQ51" s="10">
        <f t="shared" si="14"/>
        <v>30.839239719335641</v>
      </c>
      <c r="AR51" s="2">
        <v>1384588</v>
      </c>
      <c r="AS51" s="9">
        <f t="shared" si="48"/>
        <v>10650.676923076922</v>
      </c>
      <c r="AT51" s="10">
        <f t="shared" si="15"/>
        <v>24.595221600497378</v>
      </c>
      <c r="AU51" s="8">
        <f t="shared" si="16"/>
        <v>0.20246991092077335</v>
      </c>
      <c r="AV51" s="2">
        <f t="shared" si="17"/>
        <v>351507</v>
      </c>
      <c r="AW51" s="242">
        <f>'[2]14.15 Meter Data'!W466</f>
        <v>699260</v>
      </c>
      <c r="AX51" s="2">
        <f t="shared" si="49"/>
        <v>5378.9230769230771</v>
      </c>
      <c r="AY51" s="2">
        <f t="shared" si="45"/>
        <v>12.421351807442935</v>
      </c>
      <c r="AZ51" s="8">
        <f t="shared" si="46"/>
        <v>0.59722250222482065</v>
      </c>
      <c r="BA51" s="28" t="s">
        <v>1250</v>
      </c>
      <c r="BB51" s="71" t="s">
        <v>244</v>
      </c>
      <c r="BC51" s="42"/>
      <c r="BD51" s="3"/>
      <c r="BE51" s="71" t="s">
        <v>244</v>
      </c>
      <c r="BF51" s="15"/>
      <c r="BG51" s="3"/>
      <c r="BH51" s="33" t="s">
        <v>244</v>
      </c>
      <c r="BI51" s="1353"/>
      <c r="BJ51" s="1" t="s">
        <v>297</v>
      </c>
      <c r="BK51" s="11" t="s">
        <v>247</v>
      </c>
    </row>
    <row r="52" spans="1:65" s="41" customFormat="1" ht="27.6" customHeight="1" x14ac:dyDescent="0.2">
      <c r="A52" s="28" t="s">
        <v>1251</v>
      </c>
      <c r="B52" s="915" t="s">
        <v>953</v>
      </c>
      <c r="C52" s="11" t="s">
        <v>109</v>
      </c>
      <c r="D52" s="11" t="s">
        <v>993</v>
      </c>
      <c r="E52" s="11" t="s">
        <v>548</v>
      </c>
      <c r="F52" s="1" t="s">
        <v>134</v>
      </c>
      <c r="G52" s="37">
        <v>40840</v>
      </c>
      <c r="H52" s="1" t="s">
        <v>4</v>
      </c>
      <c r="I52" s="33" t="s">
        <v>244</v>
      </c>
      <c r="J52" s="60">
        <v>41493</v>
      </c>
      <c r="K52" s="28" t="s">
        <v>135</v>
      </c>
      <c r="L52" s="1">
        <v>209</v>
      </c>
      <c r="M52" s="2">
        <v>89104</v>
      </c>
      <c r="N52" s="14">
        <v>5</v>
      </c>
      <c r="O52" s="28" t="s">
        <v>1251</v>
      </c>
      <c r="P52" s="11" t="s">
        <v>247</v>
      </c>
      <c r="Q52" s="2">
        <v>5889</v>
      </c>
      <c r="R52" s="10">
        <f t="shared" si="50"/>
        <v>66.09130903214222</v>
      </c>
      <c r="S52" s="2">
        <v>4141</v>
      </c>
      <c r="T52" s="10">
        <f t="shared" si="1"/>
        <v>46.473783444065361</v>
      </c>
      <c r="U52" s="8">
        <f t="shared" si="2"/>
        <v>0.29682458821531671</v>
      </c>
      <c r="V52" s="2">
        <f t="shared" si="3"/>
        <v>1748</v>
      </c>
      <c r="W52" s="992">
        <v>42235</v>
      </c>
      <c r="X52" s="2">
        <f>'[2]14.15 Meter Data'!Y474</f>
        <v>2565.031698526016</v>
      </c>
      <c r="Y52" s="40">
        <f t="shared" si="39"/>
        <v>28.786942208273658</v>
      </c>
      <c r="Z52" s="5">
        <f t="shared" si="40"/>
        <v>0.56443679766921107</v>
      </c>
      <c r="AA52" s="903" t="s">
        <v>955</v>
      </c>
      <c r="AB52" s="51">
        <f t="shared" si="41"/>
        <v>3323.968301473984</v>
      </c>
      <c r="AC52" s="28" t="s">
        <v>1251</v>
      </c>
      <c r="AD52" s="15">
        <v>127318</v>
      </c>
      <c r="AE52" s="7">
        <f t="shared" si="7"/>
        <v>1.4288696354821333</v>
      </c>
      <c r="AF52" s="15">
        <v>80286</v>
      </c>
      <c r="AG52" s="7">
        <f t="shared" si="8"/>
        <v>0.9010369904830311</v>
      </c>
      <c r="AH52" s="8">
        <f t="shared" si="9"/>
        <v>0.36940573995821485</v>
      </c>
      <c r="AI52" s="15">
        <f t="shared" si="10"/>
        <v>47032</v>
      </c>
      <c r="AJ52" s="15">
        <f>'[2]14.15 Meter Data'!W478</f>
        <v>57265.61</v>
      </c>
      <c r="AK52" s="22">
        <f t="shared" si="42"/>
        <v>0.64268282007541755</v>
      </c>
      <c r="AL52" s="47">
        <f t="shared" si="43"/>
        <v>0.55021591605271836</v>
      </c>
      <c r="AM52" s="48">
        <f t="shared" si="44"/>
        <v>70052.39</v>
      </c>
      <c r="AN52" s="28" t="s">
        <v>435</v>
      </c>
      <c r="AO52" s="2">
        <v>2627757</v>
      </c>
      <c r="AP52" s="2">
        <f t="shared" si="47"/>
        <v>12573</v>
      </c>
      <c r="AQ52" s="10">
        <f t="shared" si="14"/>
        <v>29.490898276171663</v>
      </c>
      <c r="AR52" s="2">
        <v>2069683</v>
      </c>
      <c r="AS52" s="9">
        <f t="shared" si="48"/>
        <v>9902.78947368421</v>
      </c>
      <c r="AT52" s="10">
        <f t="shared" si="15"/>
        <v>23.227722661159994</v>
      </c>
      <c r="AU52" s="8">
        <f t="shared" si="16"/>
        <v>0.2123765629774747</v>
      </c>
      <c r="AV52" s="2">
        <f t="shared" si="17"/>
        <v>558074</v>
      </c>
      <c r="AW52" s="242">
        <f>'[2]14.15 Meter Data'!W475</f>
        <v>1202269</v>
      </c>
      <c r="AX52" s="2">
        <f t="shared" si="49"/>
        <v>5752.4832535885171</v>
      </c>
      <c r="AY52" s="2">
        <f t="shared" si="45"/>
        <v>13.492873496139342</v>
      </c>
      <c r="AZ52" s="8">
        <f t="shared" si="46"/>
        <v>0.54247329566622793</v>
      </c>
      <c r="BA52" s="28" t="s">
        <v>1251</v>
      </c>
      <c r="BB52" s="71" t="s">
        <v>244</v>
      </c>
      <c r="BC52" s="42"/>
      <c r="BD52" s="3"/>
      <c r="BE52" s="71" t="s">
        <v>244</v>
      </c>
      <c r="BF52" s="15"/>
      <c r="BG52" s="3"/>
      <c r="BH52" s="33" t="s">
        <v>244</v>
      </c>
      <c r="BI52" s="1353"/>
      <c r="BJ52" s="1" t="s">
        <v>297</v>
      </c>
      <c r="BK52" s="11" t="s">
        <v>247</v>
      </c>
    </row>
    <row r="53" spans="1:65" s="3" customFormat="1" ht="27.6" customHeight="1" x14ac:dyDescent="0.2">
      <c r="A53" s="349" t="s">
        <v>284</v>
      </c>
      <c r="B53" s="943" t="s">
        <v>954</v>
      </c>
      <c r="C53" s="11" t="s">
        <v>100</v>
      </c>
      <c r="D53" s="11" t="s">
        <v>1000</v>
      </c>
      <c r="E53" s="11" t="s">
        <v>549</v>
      </c>
      <c r="F53" s="1" t="s">
        <v>159</v>
      </c>
      <c r="G53" s="37">
        <v>41108</v>
      </c>
      <c r="H53" s="1" t="s">
        <v>10</v>
      </c>
      <c r="I53" s="33" t="s">
        <v>244</v>
      </c>
      <c r="J53" s="60">
        <v>41499</v>
      </c>
      <c r="K53" s="28" t="s">
        <v>135</v>
      </c>
      <c r="L53" s="1">
        <v>227</v>
      </c>
      <c r="M53" s="2">
        <v>55626</v>
      </c>
      <c r="N53" s="14">
        <v>5</v>
      </c>
      <c r="O53" s="349" t="s">
        <v>284</v>
      </c>
      <c r="P53" s="11" t="s">
        <v>247</v>
      </c>
      <c r="Q53" s="2">
        <v>6193</v>
      </c>
      <c r="R53" s="10">
        <f t="shared" si="50"/>
        <v>111.33282997159603</v>
      </c>
      <c r="S53" s="2">
        <v>4672</v>
      </c>
      <c r="T53" s="10">
        <f t="shared" si="1"/>
        <v>83.98950131233596</v>
      </c>
      <c r="U53" s="8">
        <f t="shared" si="2"/>
        <v>0.24559987082189569</v>
      </c>
      <c r="V53" s="2">
        <f t="shared" si="3"/>
        <v>1521</v>
      </c>
      <c r="W53" s="992">
        <v>42244</v>
      </c>
      <c r="X53" s="2">
        <f>'[2]14.15 Meter Data'!Y484</f>
        <v>8101.0625187544583</v>
      </c>
      <c r="Y53" s="40">
        <f t="shared" si="39"/>
        <v>145.63446084123359</v>
      </c>
      <c r="Z53" s="5">
        <f t="shared" si="40"/>
        <v>-0.30809987385022741</v>
      </c>
      <c r="AA53" s="5"/>
      <c r="AB53" s="51">
        <f t="shared" si="41"/>
        <v>-1908.0625187544583</v>
      </c>
      <c r="AC53" s="349" t="s">
        <v>284</v>
      </c>
      <c r="AD53" s="15">
        <v>87219</v>
      </c>
      <c r="AE53" s="7">
        <f t="shared" si="7"/>
        <v>1.5679538345378061</v>
      </c>
      <c r="AF53" s="15">
        <v>53012</v>
      </c>
      <c r="AG53" s="7">
        <f t="shared" si="8"/>
        <v>0.95300758638046956</v>
      </c>
      <c r="AH53" s="8">
        <f t="shared" si="9"/>
        <v>0.39219665439869755</v>
      </c>
      <c r="AI53" s="15">
        <f t="shared" si="10"/>
        <v>34207</v>
      </c>
      <c r="AJ53" s="15">
        <f>'[2]14.15 Meter Data'!W489</f>
        <v>93751.755506297428</v>
      </c>
      <c r="AK53" s="22">
        <f t="shared" si="42"/>
        <v>1.6853945188634349</v>
      </c>
      <c r="AL53" s="47">
        <f t="shared" si="43"/>
        <v>-7.490060085872835E-2</v>
      </c>
      <c r="AM53" s="48">
        <f t="shared" si="44"/>
        <v>-6532.7555062974279</v>
      </c>
      <c r="AN53" s="349" t="s">
        <v>284</v>
      </c>
      <c r="AO53" s="2">
        <v>2317437</v>
      </c>
      <c r="AP53" s="2">
        <f t="shared" si="47"/>
        <v>10208.973568281939</v>
      </c>
      <c r="AQ53" s="10">
        <f t="shared" si="14"/>
        <v>41.661039801531658</v>
      </c>
      <c r="AR53" s="2">
        <v>1848705</v>
      </c>
      <c r="AS53" s="9">
        <f t="shared" si="48"/>
        <v>8144.0748898678412</v>
      </c>
      <c r="AT53" s="10">
        <f t="shared" si="15"/>
        <v>33.234548592384854</v>
      </c>
      <c r="AU53" s="8">
        <f t="shared" si="16"/>
        <v>0.20226310359246011</v>
      </c>
      <c r="AV53" s="2">
        <f t="shared" si="17"/>
        <v>468732</v>
      </c>
      <c r="AW53" s="242">
        <f>'[2]14.15 Meter Data'!W485</f>
        <v>2293936.4799999995</v>
      </c>
      <c r="AX53" s="2">
        <f t="shared" si="49"/>
        <v>10105.447048458147</v>
      </c>
      <c r="AY53" s="2">
        <f t="shared" si="45"/>
        <v>41.238566138136832</v>
      </c>
      <c r="AZ53" s="8">
        <f t="shared" si="46"/>
        <v>1.014073737495366E-2</v>
      </c>
      <c r="BA53" s="28" t="s">
        <v>284</v>
      </c>
      <c r="BB53" s="244">
        <v>10000000</v>
      </c>
      <c r="BC53" s="42">
        <f>BB53/M53</f>
        <v>179.77204904181497</v>
      </c>
      <c r="BD53" s="15">
        <v>9516280</v>
      </c>
      <c r="BE53" s="71" t="s">
        <v>244</v>
      </c>
      <c r="BF53" s="15"/>
      <c r="BH53" s="33" t="s">
        <v>244</v>
      </c>
      <c r="BI53" s="1353"/>
      <c r="BJ53" s="1" t="s">
        <v>295</v>
      </c>
      <c r="BK53" s="11" t="s">
        <v>247</v>
      </c>
      <c r="BL53" s="41"/>
      <c r="BM53" s="41"/>
    </row>
    <row r="54" spans="1:65" s="41" customFormat="1" ht="27.6" customHeight="1" x14ac:dyDescent="0.2">
      <c r="A54" s="4" t="s">
        <v>47</v>
      </c>
      <c r="B54" s="915" t="s">
        <v>953</v>
      </c>
      <c r="C54" s="11" t="s">
        <v>80</v>
      </c>
      <c r="D54" s="11" t="s">
        <v>996</v>
      </c>
      <c r="E54" s="11" t="s">
        <v>509</v>
      </c>
      <c r="F54" s="1" t="s">
        <v>74</v>
      </c>
      <c r="G54" s="33">
        <v>40303</v>
      </c>
      <c r="H54" s="11" t="s">
        <v>10</v>
      </c>
      <c r="I54" s="33">
        <v>40492</v>
      </c>
      <c r="J54" s="60">
        <v>41508</v>
      </c>
      <c r="K54" s="4" t="s">
        <v>48</v>
      </c>
      <c r="L54" s="11" t="s">
        <v>13</v>
      </c>
      <c r="M54" s="6">
        <v>233900</v>
      </c>
      <c r="N54" s="49">
        <v>6</v>
      </c>
      <c r="O54" s="4" t="s">
        <v>47</v>
      </c>
      <c r="P54" s="11" t="s">
        <v>247</v>
      </c>
      <c r="Q54" s="2">
        <v>12463</v>
      </c>
      <c r="R54" s="12">
        <f t="shared" si="50"/>
        <v>53.283454467721249</v>
      </c>
      <c r="S54" s="2">
        <v>8391</v>
      </c>
      <c r="T54" s="23">
        <f t="shared" si="1"/>
        <v>35.87430525865755</v>
      </c>
      <c r="U54" s="5">
        <f t="shared" si="2"/>
        <v>0.32672711225226669</v>
      </c>
      <c r="V54" s="9">
        <f t="shared" si="3"/>
        <v>4072</v>
      </c>
      <c r="W54" s="992">
        <v>42247</v>
      </c>
      <c r="X54" s="9">
        <f>'[2]14.15 Meter Data'!Y494</f>
        <v>28132.099969486808</v>
      </c>
      <c r="Y54" s="40">
        <f t="shared" si="39"/>
        <v>120.27404860832324</v>
      </c>
      <c r="Z54" s="5">
        <f t="shared" si="40"/>
        <v>-1.2572494559485523</v>
      </c>
      <c r="AA54" s="5"/>
      <c r="AB54" s="51">
        <f t="shared" si="41"/>
        <v>-15669.099969486808</v>
      </c>
      <c r="AC54" s="4" t="s">
        <v>47</v>
      </c>
      <c r="AD54" s="15">
        <v>407210</v>
      </c>
      <c r="AE54" s="7">
        <f t="shared" si="7"/>
        <v>1.7409576742197521</v>
      </c>
      <c r="AF54" s="15">
        <v>294497</v>
      </c>
      <c r="AG54" s="7">
        <f t="shared" si="8"/>
        <v>1.2590722530996152</v>
      </c>
      <c r="AH54" s="8">
        <f t="shared" si="9"/>
        <v>0.27679330075391073</v>
      </c>
      <c r="AI54" s="15">
        <f t="shared" si="10"/>
        <v>112713</v>
      </c>
      <c r="AJ54" s="29">
        <f>'[2]14.15 Meter Data'!W498</f>
        <v>410213.44999999995</v>
      </c>
      <c r="AK54" s="22">
        <f t="shared" si="42"/>
        <v>1.7537984181274047</v>
      </c>
      <c r="AL54" s="47">
        <f t="shared" si="43"/>
        <v>-7.3756783968958357E-3</v>
      </c>
      <c r="AM54" s="48">
        <f t="shared" si="44"/>
        <v>-3003.4499999999534</v>
      </c>
      <c r="AN54" s="4" t="s">
        <v>47</v>
      </c>
      <c r="AO54" s="2">
        <v>1939781</v>
      </c>
      <c r="AP54" s="1" t="s">
        <v>13</v>
      </c>
      <c r="AQ54" s="10">
        <f t="shared" si="14"/>
        <v>8.2932064985036344</v>
      </c>
      <c r="AR54" s="2">
        <v>1222056</v>
      </c>
      <c r="AS54" s="1" t="s">
        <v>13</v>
      </c>
      <c r="AT54" s="18">
        <f t="shared" si="15"/>
        <v>5.2246943138093203</v>
      </c>
      <c r="AU54" s="8">
        <f t="shared" si="16"/>
        <v>0.37000310859834179</v>
      </c>
      <c r="AV54" s="2">
        <f t="shared" si="17"/>
        <v>717725</v>
      </c>
      <c r="AW54" s="1349">
        <f>'[2]14.15 Meter Data'!W495</f>
        <v>2997984</v>
      </c>
      <c r="AX54" s="9" t="s">
        <v>13</v>
      </c>
      <c r="AY54" s="2">
        <f t="shared" si="45"/>
        <v>12.817374946558358</v>
      </c>
      <c r="AZ54" s="8">
        <f t="shared" si="46"/>
        <v>-0.54552704660990081</v>
      </c>
      <c r="BA54" s="4" t="s">
        <v>47</v>
      </c>
      <c r="BB54" s="64">
        <v>38141300</v>
      </c>
      <c r="BC54" s="42">
        <f>BB54/M54</f>
        <v>163.06669516887558</v>
      </c>
      <c r="BD54" s="15">
        <f>BB54-514107</f>
        <v>37627193</v>
      </c>
      <c r="BE54" s="15">
        <v>6113085</v>
      </c>
      <c r="BF54" s="15">
        <f>110000+229250</f>
        <v>339250</v>
      </c>
      <c r="BG54" s="3"/>
      <c r="BH54" s="15">
        <v>237711</v>
      </c>
      <c r="BI54" s="1353">
        <f>((BB54-BD54)+BF54+BG54+BH54)/AI54</f>
        <v>9.6800546520809494</v>
      </c>
      <c r="BJ54" s="11" t="s">
        <v>312</v>
      </c>
      <c r="BK54" s="11" t="s">
        <v>247</v>
      </c>
    </row>
    <row r="55" spans="1:65" s="263" customFormat="1" ht="27.6" customHeight="1" x14ac:dyDescent="0.2">
      <c r="A55" s="4" t="s">
        <v>1022</v>
      </c>
      <c r="B55" s="11" t="s">
        <v>951</v>
      </c>
      <c r="C55" s="11" t="s">
        <v>68</v>
      </c>
      <c r="D55" s="11" t="s">
        <v>992</v>
      </c>
      <c r="E55" s="11" t="s">
        <v>650</v>
      </c>
      <c r="F55" s="1" t="s">
        <v>67</v>
      </c>
      <c r="G55" s="37">
        <v>40969</v>
      </c>
      <c r="H55" s="1" t="s">
        <v>10</v>
      </c>
      <c r="I55" s="33">
        <v>41030</v>
      </c>
      <c r="J55" s="60">
        <v>41513</v>
      </c>
      <c r="K55" s="4" t="s">
        <v>69</v>
      </c>
      <c r="L55" s="1" t="s">
        <v>13</v>
      </c>
      <c r="M55" s="6">
        <v>49170</v>
      </c>
      <c r="N55" s="14">
        <v>2</v>
      </c>
      <c r="O55" s="4" t="s">
        <v>1022</v>
      </c>
      <c r="P55" s="11" t="s">
        <v>247</v>
      </c>
      <c r="Q55" s="2">
        <v>2396</v>
      </c>
      <c r="R55" s="12">
        <f t="shared" si="50"/>
        <v>48.728899735611151</v>
      </c>
      <c r="S55" s="2">
        <v>1518</v>
      </c>
      <c r="T55" s="23">
        <f t="shared" si="1"/>
        <v>30.872483221476511</v>
      </c>
      <c r="U55" s="5">
        <f t="shared" si="2"/>
        <v>0.36644407345575958</v>
      </c>
      <c r="V55" s="6">
        <f t="shared" si="3"/>
        <v>878</v>
      </c>
      <c r="W55" s="967">
        <v>42230</v>
      </c>
      <c r="X55" s="1341" t="s">
        <v>1248</v>
      </c>
      <c r="Y55" s="41"/>
      <c r="Z55" s="41"/>
      <c r="AA55" s="41"/>
      <c r="AB55" s="41"/>
      <c r="AC55" s="4" t="s">
        <v>1022</v>
      </c>
      <c r="AD55" s="15">
        <v>48568</v>
      </c>
      <c r="AE55" s="7">
        <f t="shared" si="7"/>
        <v>0.98775676225340658</v>
      </c>
      <c r="AF55" s="15">
        <v>38507</v>
      </c>
      <c r="AG55" s="7">
        <f t="shared" si="8"/>
        <v>0.7831401260931462</v>
      </c>
      <c r="AH55" s="8">
        <f t="shared" si="9"/>
        <v>0.20715285784878934</v>
      </c>
      <c r="AI55" s="15">
        <f t="shared" si="10"/>
        <v>10061</v>
      </c>
      <c r="AJ55" s="11" t="s">
        <v>1248</v>
      </c>
      <c r="AK55" s="41"/>
      <c r="AL55" s="41"/>
      <c r="AM55" s="41"/>
      <c r="AN55" s="4" t="s">
        <v>1022</v>
      </c>
      <c r="AO55" s="2">
        <v>347984</v>
      </c>
      <c r="AP55" s="9" t="s">
        <v>13</v>
      </c>
      <c r="AQ55" s="10">
        <f t="shared" si="14"/>
        <v>7.0771608704494611</v>
      </c>
      <c r="AR55" s="2">
        <v>227682</v>
      </c>
      <c r="AS55" s="9" t="s">
        <v>13</v>
      </c>
      <c r="AT55" s="10">
        <f t="shared" si="15"/>
        <v>4.6305064063453329</v>
      </c>
      <c r="AU55" s="8">
        <f t="shared" si="16"/>
        <v>0.34571129707112969</v>
      </c>
      <c r="AV55" s="2">
        <f t="shared" si="17"/>
        <v>120302</v>
      </c>
      <c r="AW55" s="11" t="s">
        <v>1248</v>
      </c>
      <c r="AX55" s="41"/>
      <c r="AY55" s="41"/>
      <c r="AZ55" s="41"/>
      <c r="BA55" s="4" t="s">
        <v>1022</v>
      </c>
      <c r="BB55" s="64">
        <v>13828376</v>
      </c>
      <c r="BC55" s="42">
        <f>BB55/M55</f>
        <v>281.23603823469597</v>
      </c>
      <c r="BD55" s="15">
        <v>12357348</v>
      </c>
      <c r="BE55" s="71">
        <v>736500</v>
      </c>
      <c r="BF55" s="470"/>
      <c r="BG55" s="3"/>
      <c r="BH55" s="71">
        <v>128800</v>
      </c>
      <c r="BI55" s="1353"/>
      <c r="BJ55" s="1" t="s">
        <v>306</v>
      </c>
      <c r="BK55" s="11" t="s">
        <v>247</v>
      </c>
      <c r="BL55" s="41"/>
      <c r="BM55" s="41"/>
    </row>
    <row r="56" spans="1:65" s="3" customFormat="1" ht="27.6" customHeight="1" x14ac:dyDescent="0.2">
      <c r="A56" s="4" t="s">
        <v>937</v>
      </c>
      <c r="B56" s="915" t="s">
        <v>952</v>
      </c>
      <c r="C56" s="11" t="s">
        <v>60</v>
      </c>
      <c r="D56" s="11" t="s">
        <v>989</v>
      </c>
      <c r="E56" s="11" t="s">
        <v>510</v>
      </c>
      <c r="F56" s="1" t="s">
        <v>59</v>
      </c>
      <c r="G56" s="33">
        <v>40819</v>
      </c>
      <c r="H56" s="11" t="s">
        <v>10</v>
      </c>
      <c r="I56" s="33">
        <v>40816</v>
      </c>
      <c r="J56" s="60">
        <v>41613</v>
      </c>
      <c r="K56" s="4" t="s">
        <v>54</v>
      </c>
      <c r="L56" s="1">
        <v>223</v>
      </c>
      <c r="M56" s="2">
        <v>84876</v>
      </c>
      <c r="N56" s="49">
        <v>6</v>
      </c>
      <c r="O56" s="4" t="s">
        <v>937</v>
      </c>
      <c r="P56" s="11" t="s">
        <v>247</v>
      </c>
      <c r="Q56" s="2">
        <v>5653</v>
      </c>
      <c r="R56" s="10">
        <f>(Q56/M56)*1000</f>
        <v>66.6030444413026</v>
      </c>
      <c r="S56" s="2">
        <v>3934</v>
      </c>
      <c r="T56" s="23">
        <f t="shared" si="1"/>
        <v>46.349969367076682</v>
      </c>
      <c r="U56" s="5">
        <f t="shared" si="2"/>
        <v>0.30408632584468426</v>
      </c>
      <c r="V56" s="6">
        <f t="shared" si="3"/>
        <v>1719</v>
      </c>
      <c r="W56" s="992">
        <v>42242</v>
      </c>
      <c r="X56" s="49">
        <f>'[2]14.15 Meter Data'!Y515</f>
        <v>6186.9997828501491</v>
      </c>
      <c r="Y56" s="40">
        <f t="shared" ref="Y56:Y64" si="51">X56/M56*1000</f>
        <v>72.894573057756588</v>
      </c>
      <c r="Z56" s="5">
        <f t="shared" ref="Z56:Z64" si="52">(Q56-X56)/Q56</f>
        <v>-9.4463078515858681E-2</v>
      </c>
      <c r="AA56" s="5"/>
      <c r="AB56" s="51">
        <f t="shared" ref="AB56:AB64" si="53">Q56-X56</f>
        <v>-533.99978285014913</v>
      </c>
      <c r="AC56" s="4" t="s">
        <v>937</v>
      </c>
      <c r="AD56" s="15">
        <v>102040</v>
      </c>
      <c r="AE56" s="7">
        <f t="shared" si="7"/>
        <v>1.202224421509025</v>
      </c>
      <c r="AF56" s="15">
        <v>70049</v>
      </c>
      <c r="AG56" s="7">
        <f t="shared" si="8"/>
        <v>0.82530986380131011</v>
      </c>
      <c r="AH56" s="8">
        <f t="shared" si="9"/>
        <v>0.3135143081144649</v>
      </c>
      <c r="AI56" s="16">
        <f t="shared" si="10"/>
        <v>31991</v>
      </c>
      <c r="AJ56" s="15">
        <f>'[2]14.15 Meter Data'!W520</f>
        <v>109251.26561439942</v>
      </c>
      <c r="AK56" s="22">
        <f t="shared" ref="AK56:AK64" si="54">AJ56/M56</f>
        <v>1.2871867855978065</v>
      </c>
      <c r="AL56" s="47">
        <f t="shared" ref="AL56:AL64" si="55">(AD56-AJ56)/AD56</f>
        <v>-7.0670968388861471E-2</v>
      </c>
      <c r="AM56" s="48">
        <f t="shared" ref="AM56:AM64" si="56">AD56-AJ56</f>
        <v>-7211.2656143994245</v>
      </c>
      <c r="AN56" s="4" t="s">
        <v>937</v>
      </c>
      <c r="AO56" s="2">
        <v>2385879</v>
      </c>
      <c r="AP56" s="2">
        <f>AO56/L56</f>
        <v>10699.008968609865</v>
      </c>
      <c r="AQ56" s="2">
        <f t="shared" si="14"/>
        <v>28.110172486922099</v>
      </c>
      <c r="AR56" s="2">
        <v>1498371</v>
      </c>
      <c r="AS56" s="9">
        <f>AR56/L56</f>
        <v>6719.1524663677128</v>
      </c>
      <c r="AT56" s="10">
        <f t="shared" si="15"/>
        <v>17.653647674254206</v>
      </c>
      <c r="AU56" s="8">
        <f t="shared" si="16"/>
        <v>0.37198365885277501</v>
      </c>
      <c r="AV56" s="2">
        <f t="shared" si="17"/>
        <v>887508</v>
      </c>
      <c r="AW56" s="242">
        <f>'[2]14.15 Meter Data'!W516</f>
        <v>1422696</v>
      </c>
      <c r="AX56" s="2">
        <f>AW56/L56</f>
        <v>6379.8026905829593</v>
      </c>
      <c r="AY56" s="2">
        <f t="shared" ref="AY56:AY64" si="57">AW56/M56</f>
        <v>16.762052877138412</v>
      </c>
      <c r="AZ56" s="8">
        <f t="shared" ref="AZ56:AZ64" si="58">(AO56-AW56)/AO56</f>
        <v>0.40370152887049177</v>
      </c>
      <c r="BA56" s="4" t="s">
        <v>937</v>
      </c>
      <c r="BB56" s="64">
        <v>17944484</v>
      </c>
      <c r="BC56" s="42">
        <f>BB56/M56</f>
        <v>211.4200009425515</v>
      </c>
      <c r="BD56" s="346">
        <f>BB56-3658268</f>
        <v>14286216</v>
      </c>
      <c r="BE56" s="73">
        <f>8023000*M56/541421</f>
        <v>1257727.624159388</v>
      </c>
      <c r="BF56" s="15">
        <v>0</v>
      </c>
      <c r="BH56" s="15">
        <f>379066*M56/541421</f>
        <v>59424.377362533036</v>
      </c>
      <c r="BI56" s="1353"/>
      <c r="BJ56" s="1" t="s">
        <v>961</v>
      </c>
      <c r="BK56" s="11" t="s">
        <v>247</v>
      </c>
      <c r="BL56" s="41"/>
      <c r="BM56" s="41"/>
    </row>
    <row r="57" spans="1:65" s="3" customFormat="1" ht="27.6" customHeight="1" x14ac:dyDescent="0.2">
      <c r="A57" s="28" t="s">
        <v>1252</v>
      </c>
      <c r="B57" s="915" t="s">
        <v>953</v>
      </c>
      <c r="C57" s="11" t="s">
        <v>109</v>
      </c>
      <c r="D57" s="11" t="s">
        <v>993</v>
      </c>
      <c r="E57" s="11" t="s">
        <v>548</v>
      </c>
      <c r="F57" s="1" t="s">
        <v>134</v>
      </c>
      <c r="G57" s="37">
        <v>40840</v>
      </c>
      <c r="H57" s="1" t="s">
        <v>4</v>
      </c>
      <c r="I57" s="33" t="s">
        <v>244</v>
      </c>
      <c r="J57" s="60">
        <v>41648</v>
      </c>
      <c r="K57" s="28" t="s">
        <v>135</v>
      </c>
      <c r="L57" s="1">
        <v>231</v>
      </c>
      <c r="M57" s="2">
        <v>110627</v>
      </c>
      <c r="N57" s="14">
        <v>5</v>
      </c>
      <c r="O57" s="28" t="s">
        <v>1252</v>
      </c>
      <c r="P57" s="11" t="s">
        <v>247</v>
      </c>
      <c r="Q57" s="2">
        <v>5889</v>
      </c>
      <c r="R57" s="10">
        <f>Q57/M57*1000</f>
        <v>53.232935901723806</v>
      </c>
      <c r="S57" s="2">
        <v>4141</v>
      </c>
      <c r="T57" s="10">
        <f t="shared" si="1"/>
        <v>37.43209162320229</v>
      </c>
      <c r="U57" s="8">
        <f t="shared" si="2"/>
        <v>0.29682458821531671</v>
      </c>
      <c r="V57" s="2">
        <f t="shared" si="3"/>
        <v>1748</v>
      </c>
      <c r="W57" s="992">
        <v>42235</v>
      </c>
      <c r="X57" s="2">
        <f>'[2]14.15 Meter Data'!Y525</f>
        <v>3208.6927340583438</v>
      </c>
      <c r="Y57" s="40">
        <f t="shared" si="51"/>
        <v>29.004607682196422</v>
      </c>
      <c r="Z57" s="5">
        <f t="shared" si="52"/>
        <v>0.45513792934991615</v>
      </c>
      <c r="AA57" s="903" t="s">
        <v>955</v>
      </c>
      <c r="AB57" s="51">
        <f t="shared" si="53"/>
        <v>2680.3072659416562</v>
      </c>
      <c r="AC57" s="28" t="s">
        <v>1252</v>
      </c>
      <c r="AD57" s="15">
        <v>127318</v>
      </c>
      <c r="AE57" s="7">
        <f t="shared" si="7"/>
        <v>1.1508763683368437</v>
      </c>
      <c r="AF57" s="15">
        <v>80286</v>
      </c>
      <c r="AG57" s="7">
        <f t="shared" si="8"/>
        <v>0.72573603189094882</v>
      </c>
      <c r="AH57" s="8">
        <f t="shared" si="9"/>
        <v>0.36940573995821485</v>
      </c>
      <c r="AI57" s="15">
        <f t="shared" si="10"/>
        <v>47032</v>
      </c>
      <c r="AJ57" s="15">
        <f>'[2]14.15 Meter Data'!W529</f>
        <v>74606.12</v>
      </c>
      <c r="AK57" s="22">
        <f t="shared" si="54"/>
        <v>0.67439341209650439</v>
      </c>
      <c r="AL57" s="47">
        <f t="shared" si="55"/>
        <v>0.41401749948946737</v>
      </c>
      <c r="AM57" s="48">
        <f t="shared" si="56"/>
        <v>52711.880000000005</v>
      </c>
      <c r="AN57" s="28" t="s">
        <v>1252</v>
      </c>
      <c r="AO57" s="2">
        <v>2916495</v>
      </c>
      <c r="AP57" s="2">
        <f>AO57/L57</f>
        <v>12625.519480519481</v>
      </c>
      <c r="AQ57" s="10">
        <f t="shared" si="14"/>
        <v>26.363319985175409</v>
      </c>
      <c r="AR57" s="2">
        <v>2297942</v>
      </c>
      <c r="AS57" s="9">
        <f>AR57/L57</f>
        <v>9947.8008658008657</v>
      </c>
      <c r="AT57" s="10">
        <f t="shared" si="15"/>
        <v>20.771981523497882</v>
      </c>
      <c r="AU57" s="8">
        <f t="shared" si="16"/>
        <v>0.21208779716749043</v>
      </c>
      <c r="AV57" s="2">
        <f t="shared" si="17"/>
        <v>618553</v>
      </c>
      <c r="AW57" s="242">
        <f>'[2]14.15 Meter Data'!W526</f>
        <v>1541790</v>
      </c>
      <c r="AX57" s="2">
        <f>AW57/L57</f>
        <v>6674.4155844155848</v>
      </c>
      <c r="AY57" s="2">
        <f t="shared" si="57"/>
        <v>13.936832780424309</v>
      </c>
      <c r="AZ57" s="8">
        <f t="shared" si="58"/>
        <v>0.47135517119007575</v>
      </c>
      <c r="BA57" s="28" t="s">
        <v>1252</v>
      </c>
      <c r="BB57" s="71" t="s">
        <v>244</v>
      </c>
      <c r="BC57" s="42"/>
      <c r="BE57" s="71" t="s">
        <v>244</v>
      </c>
      <c r="BF57" s="15"/>
      <c r="BG57" s="3" t="s">
        <v>38</v>
      </c>
      <c r="BH57" s="33" t="s">
        <v>244</v>
      </c>
      <c r="BI57" s="1353"/>
      <c r="BJ57" s="1" t="s">
        <v>297</v>
      </c>
      <c r="BK57" s="11" t="s">
        <v>247</v>
      </c>
      <c r="BL57" s="41"/>
      <c r="BM57" s="41"/>
    </row>
    <row r="58" spans="1:65" s="41" customFormat="1" ht="27.6" customHeight="1" x14ac:dyDescent="0.2">
      <c r="A58" s="20" t="s">
        <v>139</v>
      </c>
      <c r="B58" s="19" t="s">
        <v>951</v>
      </c>
      <c r="C58" s="19" t="s">
        <v>63</v>
      </c>
      <c r="D58" s="19" t="s">
        <v>985</v>
      </c>
      <c r="E58" s="19" t="s">
        <v>545</v>
      </c>
      <c r="F58" s="9" t="s">
        <v>138</v>
      </c>
      <c r="G58" s="34">
        <v>40577</v>
      </c>
      <c r="H58" s="19" t="s">
        <v>10</v>
      </c>
      <c r="I58" s="34">
        <v>41008</v>
      </c>
      <c r="J58" s="61">
        <v>41667</v>
      </c>
      <c r="K58" s="20" t="s">
        <v>140</v>
      </c>
      <c r="L58" s="19" t="s">
        <v>13</v>
      </c>
      <c r="M58" s="6">
        <v>102914</v>
      </c>
      <c r="N58" s="49">
        <v>4</v>
      </c>
      <c r="O58" s="20" t="s">
        <v>139</v>
      </c>
      <c r="P58" s="11" t="s">
        <v>247</v>
      </c>
      <c r="Q58" s="2">
        <v>7934</v>
      </c>
      <c r="R58" s="12">
        <f>Q58/M58*1000</f>
        <v>77.093495539965403</v>
      </c>
      <c r="S58" s="2">
        <v>5513</v>
      </c>
      <c r="T58" s="23">
        <f t="shared" si="1"/>
        <v>53.568999358687833</v>
      </c>
      <c r="U58" s="5">
        <f t="shared" si="2"/>
        <v>0.30514242500630201</v>
      </c>
      <c r="V58" s="13">
        <f t="shared" si="3"/>
        <v>2421</v>
      </c>
      <c r="W58" s="967">
        <v>42220</v>
      </c>
      <c r="X58" s="49">
        <f>'[2]14.15 Meter Data'!Y536</f>
        <v>11226.271627351072</v>
      </c>
      <c r="Y58" s="40">
        <f t="shared" si="51"/>
        <v>109.08400827245148</v>
      </c>
      <c r="Z58" s="5">
        <f t="shared" si="52"/>
        <v>-0.414957351569331</v>
      </c>
      <c r="AA58" s="5"/>
      <c r="AB58" s="51">
        <f t="shared" si="53"/>
        <v>-3292.2716273510723</v>
      </c>
      <c r="AC58" s="20" t="s">
        <v>139</v>
      </c>
      <c r="AD58" s="15">
        <v>142246</v>
      </c>
      <c r="AE58" s="7">
        <f t="shared" si="7"/>
        <v>1.3821831820743533</v>
      </c>
      <c r="AF58" s="15">
        <v>98494</v>
      </c>
      <c r="AG58" s="7">
        <f t="shared" si="8"/>
        <v>0.95705151874380556</v>
      </c>
      <c r="AH58" s="8">
        <f t="shared" si="9"/>
        <v>0.30757982649775739</v>
      </c>
      <c r="AI58" s="16">
        <f t="shared" si="10"/>
        <v>43752</v>
      </c>
      <c r="AJ58" s="15">
        <f>'[2]14.15 Meter Data'!W542</f>
        <v>93136.063444034837</v>
      </c>
      <c r="AK58" s="22">
        <f t="shared" si="54"/>
        <v>0.90498924776060441</v>
      </c>
      <c r="AL58" s="47">
        <f t="shared" si="55"/>
        <v>0.34524652050648286</v>
      </c>
      <c r="AM58" s="48">
        <f t="shared" si="56"/>
        <v>49109.936555965163</v>
      </c>
      <c r="AN58" s="20" t="s">
        <v>139</v>
      </c>
      <c r="AO58" s="2">
        <v>776459</v>
      </c>
      <c r="AP58" s="9" t="s">
        <v>13</v>
      </c>
      <c r="AQ58" s="2">
        <f t="shared" si="14"/>
        <v>7.544736381833375</v>
      </c>
      <c r="AR58" s="2">
        <v>565009</v>
      </c>
      <c r="AS58" s="9" t="s">
        <v>13</v>
      </c>
      <c r="AT58" s="2">
        <f t="shared" si="15"/>
        <v>5.4901082457197274</v>
      </c>
      <c r="AU58" s="8">
        <f t="shared" si="16"/>
        <v>0.27232603395671889</v>
      </c>
      <c r="AV58" s="17">
        <f t="shared" si="17"/>
        <v>211450</v>
      </c>
      <c r="AW58" s="2">
        <f>'[2]14.15 Meter Data'!W537</f>
        <v>98967.88</v>
      </c>
      <c r="AX58" s="9" t="s">
        <v>13</v>
      </c>
      <c r="AY58" s="2">
        <f t="shared" si="57"/>
        <v>0.9616561400781235</v>
      </c>
      <c r="AZ58" s="8">
        <f t="shared" si="58"/>
        <v>0.87253946441473407</v>
      </c>
      <c r="BA58" s="20" t="s">
        <v>139</v>
      </c>
      <c r="BB58" s="70">
        <v>25748184</v>
      </c>
      <c r="BC58" s="42">
        <f t="shared" ref="BC58:BC64" si="59">BB58/M58</f>
        <v>250.19126649435452</v>
      </c>
      <c r="BD58" s="346">
        <f>BB58-1012000</f>
        <v>24736184</v>
      </c>
      <c r="BE58" s="15">
        <v>2215000</v>
      </c>
      <c r="BF58" s="15">
        <v>0</v>
      </c>
      <c r="BG58" s="3"/>
      <c r="BH58" s="15">
        <v>240424</v>
      </c>
      <c r="BI58" s="1353">
        <f>((BB58-BD58)+BF58+BG58+BH58)/AI58</f>
        <v>28.625525690254161</v>
      </c>
      <c r="BJ58" s="1" t="s">
        <v>295</v>
      </c>
      <c r="BK58" s="11" t="s">
        <v>247</v>
      </c>
    </row>
    <row r="59" spans="1:65" s="41" customFormat="1" ht="27.6" customHeight="1" x14ac:dyDescent="0.2">
      <c r="A59" s="4" t="s">
        <v>938</v>
      </c>
      <c r="B59" s="11" t="s">
        <v>952</v>
      </c>
      <c r="C59" s="11" t="s">
        <v>60</v>
      </c>
      <c r="D59" s="11" t="s">
        <v>989</v>
      </c>
      <c r="E59" s="11" t="s">
        <v>510</v>
      </c>
      <c r="F59" s="1" t="s">
        <v>59</v>
      </c>
      <c r="G59" s="33">
        <v>40819</v>
      </c>
      <c r="H59" s="11" t="s">
        <v>10</v>
      </c>
      <c r="I59" s="33">
        <v>40816</v>
      </c>
      <c r="J59" s="60">
        <v>41676</v>
      </c>
      <c r="K59" s="4" t="s">
        <v>54</v>
      </c>
      <c r="L59" s="1">
        <v>219</v>
      </c>
      <c r="M59" s="2">
        <v>88512</v>
      </c>
      <c r="N59" s="49">
        <v>6</v>
      </c>
      <c r="O59" s="4" t="s">
        <v>938</v>
      </c>
      <c r="P59" s="11" t="s">
        <v>247</v>
      </c>
      <c r="Q59" s="2">
        <v>5069</v>
      </c>
      <c r="R59" s="12">
        <f>(Q59/M59)*1000</f>
        <v>57.269070860448302</v>
      </c>
      <c r="S59" s="2">
        <v>3543</v>
      </c>
      <c r="T59" s="23">
        <f t="shared" si="1"/>
        <v>40.028470715835141</v>
      </c>
      <c r="U59" s="5">
        <f t="shared" si="2"/>
        <v>0.30104557111856384</v>
      </c>
      <c r="V59" s="13">
        <f t="shared" si="3"/>
        <v>1526</v>
      </c>
      <c r="W59" s="967">
        <v>42242</v>
      </c>
      <c r="X59" s="49">
        <f>'[2]14.15 Meter Data'!Y548</f>
        <v>5491.1639275531697</v>
      </c>
      <c r="Y59" s="40">
        <f t="shared" si="51"/>
        <v>62.038638010136133</v>
      </c>
      <c r="Z59" s="5">
        <f t="shared" si="52"/>
        <v>-8.3283473575294878E-2</v>
      </c>
      <c r="AA59" s="5"/>
      <c r="AB59" s="51">
        <f t="shared" si="53"/>
        <v>-422.16392755316974</v>
      </c>
      <c r="AC59" s="4" t="s">
        <v>938</v>
      </c>
      <c r="AD59" s="15">
        <v>91459</v>
      </c>
      <c r="AE59" s="7">
        <f t="shared" si="7"/>
        <v>1.0332949204627622</v>
      </c>
      <c r="AF59" s="15">
        <v>63494</v>
      </c>
      <c r="AG59" s="7">
        <f t="shared" si="8"/>
        <v>0.7173490600144613</v>
      </c>
      <c r="AH59" s="8">
        <f t="shared" si="9"/>
        <v>0.30576542494451064</v>
      </c>
      <c r="AI59" s="16">
        <f t="shared" si="10"/>
        <v>27965</v>
      </c>
      <c r="AJ59" s="15">
        <f>'[2]14.15 Meter Data'!W553</f>
        <v>96718.143756609585</v>
      </c>
      <c r="AK59" s="22">
        <f t="shared" si="54"/>
        <v>1.0927122170622015</v>
      </c>
      <c r="AL59" s="47">
        <f t="shared" si="55"/>
        <v>-5.7502747204863217E-2</v>
      </c>
      <c r="AM59" s="48">
        <f t="shared" si="56"/>
        <v>-5259.1437566095847</v>
      </c>
      <c r="AN59" s="4" t="s">
        <v>439</v>
      </c>
      <c r="AO59" s="2">
        <v>2343922</v>
      </c>
      <c r="AP59" s="2">
        <f>AO59/L59</f>
        <v>10702.840182648402</v>
      </c>
      <c r="AQ59" s="2">
        <f t="shared" si="14"/>
        <v>26.481403651482285</v>
      </c>
      <c r="AR59" s="2">
        <v>1472334</v>
      </c>
      <c r="AS59" s="9">
        <f>AR59/L59</f>
        <v>6722.9863013698632</v>
      </c>
      <c r="AT59" s="10">
        <f t="shared" si="15"/>
        <v>16.634286876355748</v>
      </c>
      <c r="AU59" s="8">
        <f t="shared" si="16"/>
        <v>0.37185025781574643</v>
      </c>
      <c r="AV59" s="2">
        <f t="shared" si="17"/>
        <v>871588</v>
      </c>
      <c r="AW59" s="242">
        <f>'[2]14.15 Meter Data'!W549</f>
        <v>690404</v>
      </c>
      <c r="AX59" s="2">
        <f>AW59/L59</f>
        <v>3152.5296803652968</v>
      </c>
      <c r="AY59" s="2">
        <f t="shared" si="57"/>
        <v>7.8001174981923356</v>
      </c>
      <c r="AZ59" s="8">
        <f t="shared" si="58"/>
        <v>0.70544924276490428</v>
      </c>
      <c r="BA59" s="4" t="s">
        <v>938</v>
      </c>
      <c r="BB59" s="64">
        <v>18713207</v>
      </c>
      <c r="BC59" s="42">
        <f t="shared" si="59"/>
        <v>211.41999954808387</v>
      </c>
      <c r="BE59" s="73">
        <f>8023000*M59/541421</f>
        <v>1311607.3739289758</v>
      </c>
      <c r="BF59" s="15" t="s">
        <v>253</v>
      </c>
      <c r="BG59" s="3"/>
      <c r="BH59" s="15">
        <f>379066*M59/541421</f>
        <v>61970.056189176263</v>
      </c>
      <c r="BI59" s="1353"/>
      <c r="BJ59" s="1" t="s">
        <v>314</v>
      </c>
      <c r="BK59" s="11" t="s">
        <v>247</v>
      </c>
    </row>
    <row r="60" spans="1:65" s="41" customFormat="1" ht="27.6" customHeight="1" x14ac:dyDescent="0.2">
      <c r="A60" s="28" t="s">
        <v>1026</v>
      </c>
      <c r="B60" s="915" t="s">
        <v>950</v>
      </c>
      <c r="C60" s="11" t="s">
        <v>100</v>
      </c>
      <c r="D60" s="11" t="s">
        <v>1000</v>
      </c>
      <c r="E60" s="11" t="s">
        <v>549</v>
      </c>
      <c r="F60" s="1" t="s">
        <v>160</v>
      </c>
      <c r="G60" s="37">
        <v>41179</v>
      </c>
      <c r="H60" s="1" t="s">
        <v>10</v>
      </c>
      <c r="I60" s="33">
        <v>41256</v>
      </c>
      <c r="J60" s="60">
        <v>41723</v>
      </c>
      <c r="K60" s="28" t="s">
        <v>128</v>
      </c>
      <c r="L60" s="1" t="s">
        <v>13</v>
      </c>
      <c r="M60" s="2">
        <v>37898</v>
      </c>
      <c r="N60" s="14">
        <v>3</v>
      </c>
      <c r="O60" s="28" t="s">
        <v>212</v>
      </c>
      <c r="P60" s="11" t="s">
        <v>249</v>
      </c>
      <c r="Q60" s="2">
        <v>2638</v>
      </c>
      <c r="R60" s="10">
        <f>Q60/M60*1000</f>
        <v>69.607894875719026</v>
      </c>
      <c r="S60" s="2">
        <v>1913</v>
      </c>
      <c r="T60" s="10">
        <f t="shared" si="1"/>
        <v>50.477597762414902</v>
      </c>
      <c r="U60" s="8">
        <f t="shared" si="2"/>
        <v>0.27482941622441243</v>
      </c>
      <c r="V60" s="3">
        <f t="shared" si="3"/>
        <v>725</v>
      </c>
      <c r="W60" s="967">
        <v>42244</v>
      </c>
      <c r="X60" s="2">
        <f>'[2]14.15 Meter Data'!Y559</f>
        <v>6334.0540519178348</v>
      </c>
      <c r="Y60" s="40">
        <f t="shared" si="51"/>
        <v>167.13425647574633</v>
      </c>
      <c r="Z60" s="5">
        <f t="shared" si="52"/>
        <v>-1.4010818998930383</v>
      </c>
      <c r="AA60" s="5"/>
      <c r="AB60" s="51">
        <f t="shared" si="53"/>
        <v>-3696.0540519178348</v>
      </c>
      <c r="AC60" s="28" t="s">
        <v>212</v>
      </c>
      <c r="AD60" s="15">
        <v>41267</v>
      </c>
      <c r="AE60" s="7">
        <f t="shared" si="7"/>
        <v>1.0888965116892713</v>
      </c>
      <c r="AF60" s="15">
        <v>25579</v>
      </c>
      <c r="AG60" s="7">
        <f t="shared" si="8"/>
        <v>0.67494326877407784</v>
      </c>
      <c r="AH60" s="8">
        <f t="shared" si="9"/>
        <v>0.38015848014151743</v>
      </c>
      <c r="AI60" s="15">
        <f t="shared" si="10"/>
        <v>15688</v>
      </c>
      <c r="AJ60" s="15">
        <f>'[2]14.15 Meter Data'!W564</f>
        <v>80823.197825704876</v>
      </c>
      <c r="AK60" s="22">
        <f t="shared" si="54"/>
        <v>2.1326507421421943</v>
      </c>
      <c r="AL60" s="47">
        <f t="shared" si="55"/>
        <v>-0.95854309316657071</v>
      </c>
      <c r="AM60" s="48">
        <f t="shared" si="56"/>
        <v>-39556.197825704876</v>
      </c>
      <c r="AN60" s="28" t="s">
        <v>212</v>
      </c>
      <c r="AO60" s="2">
        <v>2719308</v>
      </c>
      <c r="AP60" s="1" t="s">
        <v>157</v>
      </c>
      <c r="AQ60" s="10">
        <f t="shared" si="14"/>
        <v>71.75333790701356</v>
      </c>
      <c r="AR60" s="2">
        <v>1869230</v>
      </c>
      <c r="AS60" s="1" t="s">
        <v>13</v>
      </c>
      <c r="AT60" s="10">
        <f t="shared" si="15"/>
        <v>49.322655549105491</v>
      </c>
      <c r="AU60" s="8">
        <f t="shared" si="16"/>
        <v>0.31260820767636471</v>
      </c>
      <c r="AV60" s="2">
        <f t="shared" si="17"/>
        <v>850078</v>
      </c>
      <c r="AW60" s="242">
        <f>'[2]14.15 Meter Data'!W560</f>
        <v>184307.20000000001</v>
      </c>
      <c r="AX60" s="9" t="s">
        <v>13</v>
      </c>
      <c r="AY60" s="2">
        <f t="shared" si="57"/>
        <v>4.8632434429257483</v>
      </c>
      <c r="AZ60" s="8">
        <f t="shared" si="58"/>
        <v>0.9322227566719179</v>
      </c>
      <c r="BA60" s="28" t="s">
        <v>212</v>
      </c>
      <c r="BB60" s="70">
        <f>1970229+8920241</f>
        <v>10890470</v>
      </c>
      <c r="BC60" s="42">
        <f t="shared" si="59"/>
        <v>287.36265766003481</v>
      </c>
      <c r="BD60" s="15">
        <v>10890470</v>
      </c>
      <c r="BE60" s="73">
        <v>1125000</v>
      </c>
      <c r="BF60" s="15">
        <v>100000</v>
      </c>
      <c r="BG60" s="3"/>
      <c r="BH60" s="15">
        <v>90000</v>
      </c>
      <c r="BI60" s="1353">
        <f>((BB60-BD60)+BF60+BG60+BH60)/AI60</f>
        <v>12.11116777154513</v>
      </c>
      <c r="BJ60" s="1" t="s">
        <v>296</v>
      </c>
      <c r="BK60" s="11" t="s">
        <v>249</v>
      </c>
    </row>
    <row r="61" spans="1:65" s="41" customFormat="1" ht="27.6" customHeight="1" x14ac:dyDescent="0.2">
      <c r="A61" s="4" t="s">
        <v>939</v>
      </c>
      <c r="B61" s="11" t="s">
        <v>952</v>
      </c>
      <c r="C61" s="11" t="s">
        <v>60</v>
      </c>
      <c r="D61" s="11" t="s">
        <v>989</v>
      </c>
      <c r="E61" s="429" t="s">
        <v>510</v>
      </c>
      <c r="F61" s="1" t="s">
        <v>59</v>
      </c>
      <c r="G61" s="33">
        <v>40819</v>
      </c>
      <c r="H61" s="11" t="s">
        <v>10</v>
      </c>
      <c r="I61" s="33">
        <v>40816</v>
      </c>
      <c r="J61" s="60">
        <v>41738</v>
      </c>
      <c r="K61" s="4" t="s">
        <v>135</v>
      </c>
      <c r="L61" s="1">
        <v>144</v>
      </c>
      <c r="M61" s="2">
        <v>62645</v>
      </c>
      <c r="N61" s="49">
        <v>6</v>
      </c>
      <c r="O61" s="4" t="s">
        <v>939</v>
      </c>
      <c r="P61" s="11" t="s">
        <v>247</v>
      </c>
      <c r="Q61" s="2">
        <v>3959</v>
      </c>
      <c r="R61" s="12">
        <f>(Q61/M61)*1000</f>
        <v>63.197382073589267</v>
      </c>
      <c r="S61" s="2">
        <v>2756</v>
      </c>
      <c r="T61" s="23">
        <f t="shared" si="1"/>
        <v>43.993934072950758</v>
      </c>
      <c r="U61" s="5">
        <f t="shared" si="2"/>
        <v>0.30386461227582723</v>
      </c>
      <c r="V61" s="13">
        <f t="shared" si="3"/>
        <v>1203</v>
      </c>
      <c r="W61" s="967">
        <v>42242</v>
      </c>
      <c r="X61" s="49">
        <f>'[2]14.15 Meter Data'!Y570</f>
        <v>4198.2810588613384</v>
      </c>
      <c r="Y61" s="40">
        <f t="shared" si="51"/>
        <v>67.017017461271266</v>
      </c>
      <c r="Z61" s="5">
        <f t="shared" si="52"/>
        <v>-6.0439772382252677E-2</v>
      </c>
      <c r="AA61" s="5"/>
      <c r="AB61" s="51">
        <f t="shared" si="53"/>
        <v>-239.28105886133835</v>
      </c>
      <c r="AC61" s="4" t="s">
        <v>939</v>
      </c>
      <c r="AD61" s="15">
        <v>73439</v>
      </c>
      <c r="AE61" s="7">
        <f t="shared" si="7"/>
        <v>1.1723042541304174</v>
      </c>
      <c r="AF61" s="15">
        <v>49084</v>
      </c>
      <c r="AG61" s="7">
        <f t="shared" si="8"/>
        <v>0.7835262191715221</v>
      </c>
      <c r="AH61" s="8">
        <f t="shared" si="9"/>
        <v>0.33163577935429406</v>
      </c>
      <c r="AI61" s="16">
        <f t="shared" si="10"/>
        <v>24355</v>
      </c>
      <c r="AJ61" s="15">
        <f>'[2]14.15 Meter Data'!W575</f>
        <v>73828.681368761434</v>
      </c>
      <c r="AK61" s="22">
        <f t="shared" si="54"/>
        <v>1.1785247245392518</v>
      </c>
      <c r="AL61" s="47">
        <f t="shared" si="55"/>
        <v>-5.3061911077415813E-3</v>
      </c>
      <c r="AM61" s="48">
        <f t="shared" si="56"/>
        <v>-389.68136876143399</v>
      </c>
      <c r="AN61" s="4" t="s">
        <v>939</v>
      </c>
      <c r="AO61" s="2">
        <v>1557237</v>
      </c>
      <c r="AP61" s="2">
        <f>AO61/L61</f>
        <v>10814.145833333334</v>
      </c>
      <c r="AQ61" s="2">
        <f t="shared" si="14"/>
        <v>24.858121158911327</v>
      </c>
      <c r="AR61" s="2">
        <v>984137</v>
      </c>
      <c r="AS61" s="9">
        <f>AR61/L61</f>
        <v>6834.2847222222226</v>
      </c>
      <c r="AT61" s="10">
        <f t="shared" si="15"/>
        <v>15.709745390693591</v>
      </c>
      <c r="AU61" s="8">
        <f t="shared" si="16"/>
        <v>0.36802362132417865</v>
      </c>
      <c r="AV61" s="2">
        <f t="shared" si="17"/>
        <v>573100</v>
      </c>
      <c r="AW61" s="242">
        <f>'[2]14.15 Meter Data'!W571</f>
        <v>757724</v>
      </c>
      <c r="AX61" s="2">
        <f>AW61/L61</f>
        <v>5261.9722222222226</v>
      </c>
      <c r="AY61" s="2">
        <f t="shared" si="57"/>
        <v>12.095522388059701</v>
      </c>
      <c r="AZ61" s="8">
        <f t="shared" si="58"/>
        <v>0.51341767502313396</v>
      </c>
      <c r="BA61" s="4" t="s">
        <v>939</v>
      </c>
      <c r="BB61" s="64">
        <v>13244406</v>
      </c>
      <c r="BC61" s="42">
        <f t="shared" si="59"/>
        <v>211.4200015962966</v>
      </c>
      <c r="BE61" s="73">
        <f>8023000*M61/541421</f>
        <v>928299.48413526628</v>
      </c>
      <c r="BF61" s="15" t="s">
        <v>253</v>
      </c>
      <c r="BG61" s="3"/>
      <c r="BH61" s="15">
        <f>379066*M61/541421</f>
        <v>43859.749751117888</v>
      </c>
      <c r="BI61" s="1353"/>
      <c r="BJ61" s="1" t="s">
        <v>314</v>
      </c>
      <c r="BK61" s="11" t="s">
        <v>247</v>
      </c>
    </row>
    <row r="62" spans="1:65" s="41" customFormat="1" ht="27.6" customHeight="1" x14ac:dyDescent="0.2">
      <c r="A62" s="4" t="s">
        <v>940</v>
      </c>
      <c r="B62" s="11" t="s">
        <v>952</v>
      </c>
      <c r="C62" s="11" t="s">
        <v>60</v>
      </c>
      <c r="D62" s="11" t="s">
        <v>989</v>
      </c>
      <c r="E62" s="11" t="s">
        <v>510</v>
      </c>
      <c r="F62" s="1" t="s">
        <v>59</v>
      </c>
      <c r="G62" s="33">
        <v>40819</v>
      </c>
      <c r="H62" s="11" t="s">
        <v>10</v>
      </c>
      <c r="I62" s="33">
        <v>40816</v>
      </c>
      <c r="J62" s="60">
        <v>41768</v>
      </c>
      <c r="K62" s="4" t="s">
        <v>54</v>
      </c>
      <c r="L62" s="1">
        <v>219</v>
      </c>
      <c r="M62" s="2">
        <v>83460</v>
      </c>
      <c r="N62" s="49">
        <v>6</v>
      </c>
      <c r="O62" s="4" t="s">
        <v>940</v>
      </c>
      <c r="P62" s="11" t="s">
        <v>247</v>
      </c>
      <c r="Q62" s="2">
        <v>5197</v>
      </c>
      <c r="R62" s="12">
        <f>(Q62/M62)*1000</f>
        <v>62.269350587107603</v>
      </c>
      <c r="S62" s="2">
        <v>3476</v>
      </c>
      <c r="T62" s="23">
        <f t="shared" si="1"/>
        <v>41.648693985142586</v>
      </c>
      <c r="U62" s="5">
        <f t="shared" si="2"/>
        <v>0.33115258803155667</v>
      </c>
      <c r="V62" s="13">
        <f t="shared" si="3"/>
        <v>1721</v>
      </c>
      <c r="W62" s="967">
        <v>42242</v>
      </c>
      <c r="X62" s="49">
        <f>'[2]14.15 Meter Data'!Y582</f>
        <v>4461.83066249693</v>
      </c>
      <c r="Y62" s="40">
        <f t="shared" si="51"/>
        <v>53.460707674298227</v>
      </c>
      <c r="Z62" s="5">
        <f t="shared" si="52"/>
        <v>0.14146033047971329</v>
      </c>
      <c r="AA62" s="5"/>
      <c r="AB62" s="51">
        <f t="shared" si="53"/>
        <v>735.16933750306998</v>
      </c>
      <c r="AC62" s="4" t="s">
        <v>940</v>
      </c>
      <c r="AD62" s="15">
        <v>96219</v>
      </c>
      <c r="AE62" s="7">
        <f t="shared" si="7"/>
        <v>1.1528756290438533</v>
      </c>
      <c r="AF62" s="15">
        <v>61768</v>
      </c>
      <c r="AG62" s="7">
        <f t="shared" si="8"/>
        <v>0.74009106158638871</v>
      </c>
      <c r="AH62" s="8">
        <f t="shared" si="9"/>
        <v>0.35804778681965099</v>
      </c>
      <c r="AI62" s="16">
        <f t="shared" si="10"/>
        <v>34451</v>
      </c>
      <c r="AJ62" s="15">
        <f>'[2]14.15 Meter Data'!W587</f>
        <v>77046.874437856401</v>
      </c>
      <c r="AK62" s="22">
        <f t="shared" si="54"/>
        <v>0.92315929113175654</v>
      </c>
      <c r="AL62" s="47">
        <f t="shared" si="55"/>
        <v>0.19925509059690497</v>
      </c>
      <c r="AM62" s="48">
        <f t="shared" si="56"/>
        <v>19172.125562143599</v>
      </c>
      <c r="AN62" s="4" t="s">
        <v>940</v>
      </c>
      <c r="AO62" s="2">
        <v>2343922</v>
      </c>
      <c r="AP62" s="2">
        <f>AO62/L62</f>
        <v>10702.840182648402</v>
      </c>
      <c r="AQ62" s="2">
        <f t="shared" si="14"/>
        <v>28.084375748861731</v>
      </c>
      <c r="AR62" s="2">
        <v>1472334</v>
      </c>
      <c r="AS62" s="9">
        <f>AR62/L62</f>
        <v>6722.9863013698632</v>
      </c>
      <c r="AT62" s="10">
        <f t="shared" si="15"/>
        <v>17.6411933860532</v>
      </c>
      <c r="AU62" s="8">
        <f t="shared" si="16"/>
        <v>0.37185025781574643</v>
      </c>
      <c r="AV62" s="2">
        <f t="shared" si="17"/>
        <v>871588</v>
      </c>
      <c r="AW62" s="242">
        <f>'[2]14.15 Meter Data'!W583</f>
        <v>160072</v>
      </c>
      <c r="AX62" s="2">
        <f>AW62/L62</f>
        <v>730.92237442922374</v>
      </c>
      <c r="AY62" s="2">
        <f t="shared" si="57"/>
        <v>1.917948717948718</v>
      </c>
      <c r="AZ62" s="8">
        <f t="shared" si="58"/>
        <v>0.93170762508308724</v>
      </c>
      <c r="BA62" s="4" t="s">
        <v>940</v>
      </c>
      <c r="BB62" s="64">
        <v>17645113</v>
      </c>
      <c r="BC62" s="42">
        <f t="shared" si="59"/>
        <v>211.41999760364246</v>
      </c>
      <c r="BE62" s="73">
        <f>8023000*M62/541421</f>
        <v>1236744.7513118258</v>
      </c>
      <c r="BF62" s="15" t="s">
        <v>253</v>
      </c>
      <c r="BG62" s="3"/>
      <c r="BH62" s="15">
        <f>379066*M62/541421</f>
        <v>58432.990888790795</v>
      </c>
      <c r="BI62" s="1353"/>
      <c r="BJ62" s="1" t="s">
        <v>314</v>
      </c>
      <c r="BK62" s="11" t="s">
        <v>247</v>
      </c>
    </row>
    <row r="63" spans="1:65" s="41" customFormat="1" ht="27.6" customHeight="1" x14ac:dyDescent="0.2">
      <c r="A63" s="28" t="s">
        <v>972</v>
      </c>
      <c r="B63" s="915" t="s">
        <v>953</v>
      </c>
      <c r="C63" s="11" t="s">
        <v>144</v>
      </c>
      <c r="D63" s="11" t="s">
        <v>993</v>
      </c>
      <c r="E63" s="11" t="s">
        <v>1030</v>
      </c>
      <c r="F63" s="1" t="s">
        <v>143</v>
      </c>
      <c r="G63" s="37">
        <v>40977</v>
      </c>
      <c r="H63" s="1" t="s">
        <v>10</v>
      </c>
      <c r="I63" s="33">
        <v>41169</v>
      </c>
      <c r="J63" s="60">
        <v>41841</v>
      </c>
      <c r="K63" s="28" t="s">
        <v>12</v>
      </c>
      <c r="L63" s="1" t="s">
        <v>13</v>
      </c>
      <c r="M63" s="2">
        <v>42087</v>
      </c>
      <c r="N63" s="14">
        <v>4</v>
      </c>
      <c r="O63" s="28" t="s">
        <v>972</v>
      </c>
      <c r="P63" s="11" t="s">
        <v>247</v>
      </c>
      <c r="Q63" s="2">
        <v>2425</v>
      </c>
      <c r="R63" s="10">
        <f>Q63/M63*1000</f>
        <v>57.618742129398626</v>
      </c>
      <c r="S63" s="2">
        <v>1699</v>
      </c>
      <c r="T63" s="10">
        <f t="shared" si="1"/>
        <v>40.368759949628149</v>
      </c>
      <c r="U63" s="8">
        <f t="shared" si="2"/>
        <v>0.2993814432989691</v>
      </c>
      <c r="V63" s="2">
        <f t="shared" si="3"/>
        <v>726</v>
      </c>
      <c r="W63" s="992">
        <v>42236</v>
      </c>
      <c r="X63" s="2">
        <f>'[2]14.15 Meter Data'!Y592</f>
        <v>2341.9331527041759</v>
      </c>
      <c r="Y63" s="40">
        <f t="shared" si="51"/>
        <v>55.645048416474822</v>
      </c>
      <c r="Z63" s="5">
        <f t="shared" si="52"/>
        <v>3.4254370018896543E-2</v>
      </c>
      <c r="AA63" s="5"/>
      <c r="AB63" s="51">
        <f t="shared" si="53"/>
        <v>83.066847295824118</v>
      </c>
      <c r="AC63" s="28" t="s">
        <v>972</v>
      </c>
      <c r="AD63" s="15">
        <v>68705</v>
      </c>
      <c r="AE63" s="7">
        <f t="shared" si="7"/>
        <v>1.6324518259795187</v>
      </c>
      <c r="AF63" s="15">
        <v>55378</v>
      </c>
      <c r="AG63" s="7">
        <f t="shared" si="8"/>
        <v>1.3157982274811699</v>
      </c>
      <c r="AH63" s="8">
        <f t="shared" si="9"/>
        <v>0.19397423768284697</v>
      </c>
      <c r="AI63" s="15">
        <f t="shared" si="10"/>
        <v>13327</v>
      </c>
      <c r="AJ63" s="15">
        <f>'[2]14.15 Meter Data'!W596</f>
        <v>53289.919999999991</v>
      </c>
      <c r="AK63" s="22">
        <f t="shared" si="54"/>
        <v>1.2661848076603224</v>
      </c>
      <c r="AL63" s="47">
        <f t="shared" si="55"/>
        <v>0.22436620333309087</v>
      </c>
      <c r="AM63" s="48">
        <f t="shared" si="56"/>
        <v>15415.080000000009</v>
      </c>
      <c r="AN63" s="28" t="s">
        <v>972</v>
      </c>
      <c r="AO63" s="2">
        <v>1135125</v>
      </c>
      <c r="AP63" s="9" t="s">
        <v>13</v>
      </c>
      <c r="AQ63" s="10">
        <f t="shared" si="14"/>
        <v>26.970917385415923</v>
      </c>
      <c r="AR63" s="2">
        <v>550575</v>
      </c>
      <c r="AS63" s="9" t="s">
        <v>13</v>
      </c>
      <c r="AT63" s="10">
        <f t="shared" si="15"/>
        <v>13.081830493976762</v>
      </c>
      <c r="AU63" s="8">
        <f t="shared" si="16"/>
        <v>0.51496531219028741</v>
      </c>
      <c r="AV63" s="2">
        <f t="shared" si="17"/>
        <v>584550</v>
      </c>
      <c r="AW63" s="242">
        <f>'[2]14.15 Meter Data'!W593</f>
        <v>51612</v>
      </c>
      <c r="AX63" s="9" t="s">
        <v>13</v>
      </c>
      <c r="AY63" s="2">
        <f t="shared" si="57"/>
        <v>1.2263169149618647</v>
      </c>
      <c r="AZ63" s="8">
        <f t="shared" si="58"/>
        <v>0.95453187974892628</v>
      </c>
      <c r="BA63" s="28" t="s">
        <v>972</v>
      </c>
      <c r="BB63" s="64">
        <v>6535600</v>
      </c>
      <c r="BC63" s="42">
        <f t="shared" si="59"/>
        <v>155.28785610758666</v>
      </c>
      <c r="BD63" s="3"/>
      <c r="BE63" s="15">
        <v>686500</v>
      </c>
      <c r="BF63" s="15">
        <v>20000</v>
      </c>
      <c r="BG63" s="3"/>
      <c r="BH63" s="15">
        <v>149249</v>
      </c>
      <c r="BI63" s="1353"/>
      <c r="BJ63" s="1" t="s">
        <v>297</v>
      </c>
      <c r="BK63" s="11" t="s">
        <v>247</v>
      </c>
    </row>
    <row r="64" spans="1:65" s="3" customFormat="1" ht="27.6" customHeight="1" x14ac:dyDescent="0.2">
      <c r="A64" s="28" t="s">
        <v>1017</v>
      </c>
      <c r="B64" s="11" t="s">
        <v>951</v>
      </c>
      <c r="C64" s="11" t="s">
        <v>63</v>
      </c>
      <c r="D64" s="11" t="s">
        <v>985</v>
      </c>
      <c r="E64" s="11" t="s">
        <v>545</v>
      </c>
      <c r="F64" s="1" t="s">
        <v>170</v>
      </c>
      <c r="G64" s="37">
        <v>41262</v>
      </c>
      <c r="H64" s="1" t="s">
        <v>10</v>
      </c>
      <c r="I64" s="33">
        <v>41369</v>
      </c>
      <c r="J64" s="60">
        <v>41864</v>
      </c>
      <c r="K64" s="28" t="s">
        <v>135</v>
      </c>
      <c r="L64" s="1">
        <v>408</v>
      </c>
      <c r="M64" s="2">
        <v>174657</v>
      </c>
      <c r="N64" s="14">
        <v>6</v>
      </c>
      <c r="O64" s="28" t="s">
        <v>1017</v>
      </c>
      <c r="P64" s="11" t="s">
        <v>249</v>
      </c>
      <c r="Q64" s="2">
        <v>21396</v>
      </c>
      <c r="R64" s="10">
        <f>Q64/M64*1000</f>
        <v>122.50296295023962</v>
      </c>
      <c r="S64" s="2">
        <v>13060</v>
      </c>
      <c r="T64" s="10">
        <f t="shared" si="1"/>
        <v>74.77513068471346</v>
      </c>
      <c r="U64" s="8">
        <f t="shared" si="2"/>
        <v>0.38960553374462514</v>
      </c>
      <c r="V64" s="2">
        <f t="shared" si="3"/>
        <v>8336</v>
      </c>
      <c r="W64" s="967">
        <v>42220</v>
      </c>
      <c r="X64" s="2">
        <f>'[2]14.15 Meter Data'!Y602</f>
        <v>10477.984292818264</v>
      </c>
      <c r="Y64" s="40">
        <f t="shared" si="51"/>
        <v>59.991779847462539</v>
      </c>
      <c r="Z64" s="5">
        <f t="shared" si="52"/>
        <v>0.51028302987388929</v>
      </c>
      <c r="AA64" s="903" t="s">
        <v>955</v>
      </c>
      <c r="AB64" s="51">
        <f t="shared" si="53"/>
        <v>10918.015707181736</v>
      </c>
      <c r="AC64" s="28" t="s">
        <v>1017</v>
      </c>
      <c r="AD64" s="15">
        <v>306609</v>
      </c>
      <c r="AE64" s="7">
        <f t="shared" si="7"/>
        <v>1.7554921932702383</v>
      </c>
      <c r="AF64" s="15">
        <v>210750</v>
      </c>
      <c r="AG64" s="7">
        <f t="shared" si="8"/>
        <v>1.2066507497552346</v>
      </c>
      <c r="AH64" s="8">
        <f t="shared" si="9"/>
        <v>0.31264248603269962</v>
      </c>
      <c r="AI64" s="15">
        <f t="shared" si="10"/>
        <v>95859</v>
      </c>
      <c r="AJ64" s="15">
        <f>'[2]14.15 Meter Data'!W606</f>
        <v>146344.37647964407</v>
      </c>
      <c r="AK64" s="22">
        <f t="shared" si="54"/>
        <v>0.83789585576097192</v>
      </c>
      <c r="AL64" s="47">
        <f t="shared" si="55"/>
        <v>0.52270032360549079</v>
      </c>
      <c r="AM64" s="48">
        <f t="shared" si="56"/>
        <v>160264.62352035593</v>
      </c>
      <c r="AN64" s="28" t="s">
        <v>1017</v>
      </c>
      <c r="AO64" s="2">
        <v>4970906</v>
      </c>
      <c r="AP64" s="2">
        <f>AO64/L64</f>
        <v>12183.593137254902</v>
      </c>
      <c r="AQ64" s="10">
        <f t="shared" si="14"/>
        <v>28.460960625683484</v>
      </c>
      <c r="AR64" s="2">
        <v>3510140</v>
      </c>
      <c r="AS64" s="9">
        <f>AR64/L64</f>
        <v>8603.2843137254895</v>
      </c>
      <c r="AT64" s="10">
        <f t="shared" si="15"/>
        <v>20.097333631059733</v>
      </c>
      <c r="AU64" s="8">
        <f t="shared" si="16"/>
        <v>0.29386313078541415</v>
      </c>
      <c r="AV64" s="2">
        <f t="shared" si="17"/>
        <v>1460766</v>
      </c>
      <c r="AW64" s="242">
        <f>'[2]14.15 Meter Data'!W603</f>
        <v>3504533.3400000003</v>
      </c>
      <c r="AX64" s="2">
        <f>AW64/L64</f>
        <v>8589.5425000000014</v>
      </c>
      <c r="AY64" s="2">
        <f t="shared" si="57"/>
        <v>20.065232656005772</v>
      </c>
      <c r="AZ64" s="8">
        <f t="shared" si="58"/>
        <v>0.29499102578081332</v>
      </c>
      <c r="BA64" s="28" t="s">
        <v>1017</v>
      </c>
      <c r="BB64" s="70">
        <v>35192772</v>
      </c>
      <c r="BC64" s="42">
        <f t="shared" si="59"/>
        <v>201.49648740102029</v>
      </c>
      <c r="BD64" s="15">
        <v>29686104</v>
      </c>
      <c r="BE64" s="73">
        <v>2733245</v>
      </c>
      <c r="BF64" s="15">
        <v>15000</v>
      </c>
      <c r="BH64" s="15">
        <v>175000</v>
      </c>
      <c r="BI64" s="1353">
        <f>((BB64-BD64)+BF64+BG64+BH64)/AI64</f>
        <v>59.427575918797402</v>
      </c>
      <c r="BJ64" s="1"/>
      <c r="BK64" s="11" t="s">
        <v>249</v>
      </c>
    </row>
    <row r="65" spans="1:65" s="430" customFormat="1" ht="27.6" hidden="1" customHeight="1" x14ac:dyDescent="0.2">
      <c r="A65" s="935" t="s">
        <v>1006</v>
      </c>
      <c r="B65" s="917">
        <v>44</v>
      </c>
      <c r="C65" s="917"/>
      <c r="D65" s="917"/>
      <c r="E65" s="917"/>
      <c r="F65" s="918"/>
      <c r="G65" s="919"/>
      <c r="H65" s="918"/>
      <c r="I65" s="920"/>
      <c r="J65" s="932"/>
      <c r="K65" s="921"/>
      <c r="L65" s="918">
        <f>SUM(L4:L64)</f>
        <v>7095</v>
      </c>
      <c r="M65" s="922">
        <f>SUM(M4:M64)</f>
        <v>5109640</v>
      </c>
      <c r="N65" s="933"/>
      <c r="O65" s="935" t="s">
        <v>1006</v>
      </c>
      <c r="P65" s="917"/>
      <c r="Q65" s="922">
        <f>SUM(Q4:Q64)</f>
        <v>509341.1</v>
      </c>
      <c r="R65" s="923"/>
      <c r="S65" s="922">
        <f>SUM(S4:S64)</f>
        <v>340635.8</v>
      </c>
      <c r="T65" s="923"/>
      <c r="U65" s="924">
        <f t="shared" si="2"/>
        <v>0.3312226325344646</v>
      </c>
      <c r="V65" s="922">
        <f>SUM(V4:V64)</f>
        <v>168705.3</v>
      </c>
      <c r="W65" s="992"/>
      <c r="AC65" s="935" t="s">
        <v>1006</v>
      </c>
      <c r="AD65" s="926">
        <f>SUM(AD4:AD64)</f>
        <v>8352140</v>
      </c>
      <c r="AE65" s="927"/>
      <c r="AF65" s="926">
        <f>SUM(AF4:AF64)</f>
        <v>5556658</v>
      </c>
      <c r="AG65" s="927"/>
      <c r="AH65" s="924">
        <f t="shared" si="9"/>
        <v>0.334702483435383</v>
      </c>
      <c r="AI65" s="926">
        <f>SUM(AI4:AI64)</f>
        <v>2795482</v>
      </c>
      <c r="AN65" s="935" t="s">
        <v>1006</v>
      </c>
      <c r="AO65" s="922"/>
      <c r="AP65" s="922"/>
      <c r="AQ65" s="923"/>
      <c r="AR65" s="922"/>
      <c r="AS65" s="925"/>
      <c r="AT65" s="923"/>
      <c r="AU65" s="924"/>
      <c r="AV65" s="922">
        <f>SUM(AV4:AV64)</f>
        <v>34551885</v>
      </c>
      <c r="AX65" s="936">
        <f>AV65/660000</f>
        <v>52.351340909090908</v>
      </c>
      <c r="BA65" s="935" t="s">
        <v>1006</v>
      </c>
      <c r="BB65" s="934">
        <f>SUM(BB4:BB64)</f>
        <v>950470110</v>
      </c>
      <c r="BC65" s="928"/>
      <c r="BD65" s="926"/>
      <c r="BE65" s="934">
        <f>SUM(BE4:BE64)</f>
        <v>94282545.999999985</v>
      </c>
      <c r="BF65" s="934">
        <f>SUM(BF4:BF64)</f>
        <v>2929309.0000000005</v>
      </c>
      <c r="BH65" s="934">
        <f>SUM(BH4:BH64)</f>
        <v>6595180.0000000009</v>
      </c>
      <c r="BI65" s="1354">
        <f>SUM(BB65:BH65)</f>
        <v>1054277145</v>
      </c>
      <c r="BJ65" s="918"/>
      <c r="BK65" s="917"/>
    </row>
    <row r="66" spans="1:65" s="3" customFormat="1" ht="27.6" customHeight="1" x14ac:dyDescent="0.2">
      <c r="A66" s="28" t="s">
        <v>149</v>
      </c>
      <c r="B66" s="11" t="s">
        <v>951</v>
      </c>
      <c r="C66" s="11" t="s">
        <v>126</v>
      </c>
      <c r="D66" s="11" t="s">
        <v>1000</v>
      </c>
      <c r="E66" s="11"/>
      <c r="F66" s="1" t="s">
        <v>148</v>
      </c>
      <c r="G66" s="37">
        <v>41117</v>
      </c>
      <c r="H66" s="1" t="s">
        <v>173</v>
      </c>
      <c r="I66" s="33">
        <v>41292</v>
      </c>
      <c r="J66" s="60">
        <v>41891</v>
      </c>
      <c r="K66" s="28" t="s">
        <v>150</v>
      </c>
      <c r="L66" s="1" t="s">
        <v>13</v>
      </c>
      <c r="M66" s="2">
        <v>73432</v>
      </c>
      <c r="N66" s="14">
        <v>4</v>
      </c>
      <c r="O66" s="28" t="s">
        <v>149</v>
      </c>
      <c r="P66" s="11" t="s">
        <v>247</v>
      </c>
      <c r="Q66" s="2">
        <v>6402</v>
      </c>
      <c r="R66" s="10">
        <f t="shared" ref="R66:R90" si="60">Q66/M66*1000</f>
        <v>87.182699640483705</v>
      </c>
      <c r="S66" s="2">
        <v>4631</v>
      </c>
      <c r="T66" s="10">
        <f t="shared" ref="T66:T90" si="61">S66/M66*1000</f>
        <v>63.065148709009698</v>
      </c>
      <c r="U66" s="8">
        <f t="shared" si="2"/>
        <v>0.2766323024054983</v>
      </c>
      <c r="V66" s="2">
        <f t="shared" ref="V66:V90" si="62">Q66-S66</f>
        <v>1771</v>
      </c>
      <c r="W66" s="992"/>
      <c r="AC66" s="28" t="s">
        <v>149</v>
      </c>
      <c r="AD66" s="15">
        <v>90245</v>
      </c>
      <c r="AE66" s="7">
        <f t="shared" ref="AE66:AE119" si="63">AD66/M66</f>
        <v>1.2289601263754222</v>
      </c>
      <c r="AF66" s="15">
        <v>62106</v>
      </c>
      <c r="AG66" s="7">
        <f t="shared" ref="AG66:AG119" si="64">AF66/M66</f>
        <v>0.8457620655844863</v>
      </c>
      <c r="AH66" s="8">
        <f t="shared" si="9"/>
        <v>0.3118067482963045</v>
      </c>
      <c r="AI66" s="15">
        <f t="shared" ref="AI66:AI119" si="65">AD66-AF66</f>
        <v>28139</v>
      </c>
      <c r="AN66" s="28" t="s">
        <v>149</v>
      </c>
      <c r="AO66" s="2">
        <v>706800</v>
      </c>
      <c r="AP66" s="1" t="s">
        <v>13</v>
      </c>
      <c r="AQ66" s="10">
        <f t="shared" ref="AQ66:AQ90" si="66">AO66/M66</f>
        <v>9.6252315067000769</v>
      </c>
      <c r="AR66" s="2">
        <v>478350</v>
      </c>
      <c r="AS66" s="1" t="s">
        <v>13</v>
      </c>
      <c r="AT66" s="10">
        <f t="shared" ref="AT66:AT90" si="67">AR66/M66</f>
        <v>6.5141899989105569</v>
      </c>
      <c r="AU66" s="8">
        <f t="shared" ref="AU66:AU87" si="68">(AO66-AR66)/AO66</f>
        <v>0.32321731748726656</v>
      </c>
      <c r="AV66" s="2">
        <f t="shared" ref="AV66:AV90" si="69">AO66-AR66</f>
        <v>228450</v>
      </c>
      <c r="BA66" s="28" t="s">
        <v>149</v>
      </c>
      <c r="BB66" s="70">
        <v>15433000</v>
      </c>
      <c r="BC66" s="42">
        <f t="shared" ref="BC66:BC93" si="70">BB66/M66</f>
        <v>210.16722954570216</v>
      </c>
      <c r="BD66" s="76">
        <v>17328709</v>
      </c>
      <c r="BE66" s="73">
        <v>1833332</v>
      </c>
      <c r="BF66" s="15">
        <v>0</v>
      </c>
      <c r="BH66" s="15">
        <v>108825</v>
      </c>
      <c r="BI66" s="1353">
        <f>((BB66-BD66)+BF66+BG66+BH66)/AI66</f>
        <v>-63.502043427271758</v>
      </c>
      <c r="BJ66" s="1"/>
      <c r="BK66" s="11" t="s">
        <v>247</v>
      </c>
    </row>
    <row r="67" spans="1:65" s="3" customFormat="1" ht="27.6" customHeight="1" thickBot="1" x14ac:dyDescent="0.25">
      <c r="A67" s="28" t="s">
        <v>111</v>
      </c>
      <c r="B67" s="915" t="s">
        <v>953</v>
      </c>
      <c r="C67" s="11" t="s">
        <v>133</v>
      </c>
      <c r="D67" s="11" t="s">
        <v>993</v>
      </c>
      <c r="E67" s="11" t="s">
        <v>1031</v>
      </c>
      <c r="F67" s="1" t="s">
        <v>1024</v>
      </c>
      <c r="G67" s="37">
        <v>40898</v>
      </c>
      <c r="H67" s="432" t="s">
        <v>4</v>
      </c>
      <c r="I67" s="33">
        <v>41372</v>
      </c>
      <c r="J67" s="60">
        <v>41941</v>
      </c>
      <c r="K67" s="28" t="s">
        <v>112</v>
      </c>
      <c r="L67" s="1" t="s">
        <v>13</v>
      </c>
      <c r="M67" s="2">
        <v>27548</v>
      </c>
      <c r="N67" s="14">
        <v>2</v>
      </c>
      <c r="O67" s="28" t="s">
        <v>111</v>
      </c>
      <c r="P67" s="11" t="s">
        <v>247</v>
      </c>
      <c r="Q67" s="2">
        <v>1911</v>
      </c>
      <c r="R67" s="10">
        <f t="shared" si="60"/>
        <v>69.369827210686793</v>
      </c>
      <c r="S67" s="2">
        <v>1336</v>
      </c>
      <c r="T67" s="10">
        <f t="shared" si="61"/>
        <v>48.497168578481194</v>
      </c>
      <c r="U67" s="8">
        <f t="shared" si="2"/>
        <v>0.30088958660387233</v>
      </c>
      <c r="V67" s="3">
        <f t="shared" si="62"/>
        <v>575</v>
      </c>
      <c r="W67" s="967"/>
      <c r="AC67" s="28" t="s">
        <v>111</v>
      </c>
      <c r="AD67" s="15">
        <v>50033</v>
      </c>
      <c r="AE67" s="7">
        <f t="shared" si="63"/>
        <v>1.8162117032089444</v>
      </c>
      <c r="AF67" s="15">
        <v>33648</v>
      </c>
      <c r="AG67" s="7">
        <f t="shared" si="64"/>
        <v>1.2214316828807898</v>
      </c>
      <c r="AH67" s="8">
        <f t="shared" si="9"/>
        <v>0.32748386065196972</v>
      </c>
      <c r="AI67" s="15">
        <f t="shared" si="65"/>
        <v>16385</v>
      </c>
      <c r="AN67" s="28" t="s">
        <v>111</v>
      </c>
      <c r="AO67" s="2">
        <v>154588</v>
      </c>
      <c r="AP67" s="1" t="s">
        <v>13</v>
      </c>
      <c r="AQ67" s="10">
        <f t="shared" si="66"/>
        <v>5.6115870480615655</v>
      </c>
      <c r="AR67" s="2">
        <v>101825</v>
      </c>
      <c r="AS67" s="1" t="s">
        <v>157</v>
      </c>
      <c r="AT67" s="10">
        <f t="shared" si="67"/>
        <v>3.6962755916944969</v>
      </c>
      <c r="AU67" s="8">
        <f t="shared" si="68"/>
        <v>0.34131368540895801</v>
      </c>
      <c r="AV67" s="2">
        <f t="shared" si="69"/>
        <v>52763</v>
      </c>
      <c r="BA67" s="28" t="s">
        <v>111</v>
      </c>
      <c r="BB67" s="70">
        <v>7444000</v>
      </c>
      <c r="BC67" s="42">
        <f t="shared" si="70"/>
        <v>270.21925366632786</v>
      </c>
      <c r="BD67" s="346">
        <f>BB67-192367</f>
        <v>7251633</v>
      </c>
      <c r="BE67" s="73">
        <v>785500</v>
      </c>
      <c r="BF67" s="15">
        <v>92000</v>
      </c>
      <c r="BH67" s="15">
        <v>51400</v>
      </c>
      <c r="BI67" s="1353">
        <f>((BB67-BD67)+BF67+BG67+BH67)/AI67</f>
        <v>20.492340555386022</v>
      </c>
      <c r="BJ67" s="1" t="s">
        <v>302</v>
      </c>
      <c r="BK67" s="11" t="s">
        <v>247</v>
      </c>
    </row>
    <row r="68" spans="1:65" s="3" customFormat="1" ht="27.6" customHeight="1" x14ac:dyDescent="0.2">
      <c r="A68" s="28" t="s">
        <v>127</v>
      </c>
      <c r="B68" s="915" t="s">
        <v>952</v>
      </c>
      <c r="C68" s="11" t="s">
        <v>109</v>
      </c>
      <c r="D68" s="11" t="s">
        <v>993</v>
      </c>
      <c r="E68" s="11" t="s">
        <v>548</v>
      </c>
      <c r="F68" s="1" t="s">
        <v>137</v>
      </c>
      <c r="G68" s="37">
        <v>40997</v>
      </c>
      <c r="H68" s="1" t="s">
        <v>10</v>
      </c>
      <c r="I68" s="33">
        <v>41214</v>
      </c>
      <c r="J68" s="60">
        <v>41955</v>
      </c>
      <c r="K68" s="28" t="s">
        <v>128</v>
      </c>
      <c r="L68" s="1" t="s">
        <v>13</v>
      </c>
      <c r="M68" s="2">
        <v>25877</v>
      </c>
      <c r="N68" s="14">
        <v>2</v>
      </c>
      <c r="O68" s="28" t="s">
        <v>127</v>
      </c>
      <c r="P68" s="11" t="s">
        <v>247</v>
      </c>
      <c r="Q68" s="2">
        <v>2330</v>
      </c>
      <c r="R68" s="10">
        <f t="shared" si="60"/>
        <v>90.041349460911235</v>
      </c>
      <c r="S68" s="2">
        <v>1242</v>
      </c>
      <c r="T68" s="10">
        <f t="shared" si="61"/>
        <v>47.996290141824787</v>
      </c>
      <c r="U68" s="8">
        <f t="shared" ref="U68:U90" si="71">(Q68-S68)/Q68</f>
        <v>0.46695278969957082</v>
      </c>
      <c r="V68" s="2">
        <f t="shared" si="62"/>
        <v>1088</v>
      </c>
      <c r="W68" s="992"/>
      <c r="AC68" s="28" t="s">
        <v>127</v>
      </c>
      <c r="AD68" s="15">
        <v>44281</v>
      </c>
      <c r="AE68" s="7">
        <f t="shared" si="63"/>
        <v>1.7112107276732234</v>
      </c>
      <c r="AF68" s="15">
        <v>29471</v>
      </c>
      <c r="AG68" s="7">
        <f t="shared" si="64"/>
        <v>1.1388878154345559</v>
      </c>
      <c r="AH68" s="8">
        <f t="shared" ref="AH68:AH119" si="72">(AD68-AF68)/AD68</f>
        <v>0.33445495810844378</v>
      </c>
      <c r="AI68" s="15">
        <f t="shared" si="65"/>
        <v>14810</v>
      </c>
      <c r="AN68" s="28" t="s">
        <v>127</v>
      </c>
      <c r="AO68" s="2">
        <v>617945</v>
      </c>
      <c r="AP68" s="1" t="s">
        <v>13</v>
      </c>
      <c r="AQ68" s="10">
        <f t="shared" si="66"/>
        <v>23.880086563357423</v>
      </c>
      <c r="AR68" s="2">
        <v>478128</v>
      </c>
      <c r="AS68" s="1" t="s">
        <v>13</v>
      </c>
      <c r="AT68" s="10">
        <f t="shared" si="67"/>
        <v>18.476948641650885</v>
      </c>
      <c r="AU68" s="8">
        <f t="shared" si="68"/>
        <v>0.22626123684146648</v>
      </c>
      <c r="AV68" s="2">
        <f t="shared" si="69"/>
        <v>139817</v>
      </c>
      <c r="AY68" s="3" t="s">
        <v>38</v>
      </c>
      <c r="BA68" s="1359" t="s">
        <v>127</v>
      </c>
      <c r="BB68" s="1360">
        <v>6143700</v>
      </c>
      <c r="BC68" s="1361">
        <f t="shared" si="70"/>
        <v>237.41932990686709</v>
      </c>
      <c r="BD68" s="1362"/>
      <c r="BE68" s="1363">
        <v>854040</v>
      </c>
      <c r="BF68" s="1363">
        <v>43000</v>
      </c>
      <c r="BG68" s="1362"/>
      <c r="BH68" s="1364">
        <v>81680</v>
      </c>
      <c r="BI68" s="1353"/>
      <c r="BJ68" s="1" t="s">
        <v>297</v>
      </c>
      <c r="BK68" s="11" t="s">
        <v>247</v>
      </c>
      <c r="BL68" s="41"/>
      <c r="BM68" s="41"/>
    </row>
    <row r="69" spans="1:65" s="3" customFormat="1" ht="27.6" customHeight="1" x14ac:dyDescent="0.2">
      <c r="A69" s="28" t="s">
        <v>195</v>
      </c>
      <c r="B69" s="11" t="s">
        <v>951</v>
      </c>
      <c r="C69" s="11" t="s">
        <v>63</v>
      </c>
      <c r="D69" s="11" t="s">
        <v>985</v>
      </c>
      <c r="E69" s="11" t="s">
        <v>545</v>
      </c>
      <c r="F69" s="1" t="s">
        <v>142</v>
      </c>
      <c r="G69" s="37">
        <v>41381</v>
      </c>
      <c r="H69" s="1" t="s">
        <v>173</v>
      </c>
      <c r="I69" s="33">
        <v>41186</v>
      </c>
      <c r="J69" s="60">
        <v>41964</v>
      </c>
      <c r="K69" s="28" t="s">
        <v>202</v>
      </c>
      <c r="L69" s="1" t="s">
        <v>13</v>
      </c>
      <c r="M69" s="2">
        <v>56146</v>
      </c>
      <c r="N69" s="14">
        <v>2</v>
      </c>
      <c r="O69" s="28" t="s">
        <v>195</v>
      </c>
      <c r="P69" s="11" t="s">
        <v>247</v>
      </c>
      <c r="Q69" s="2">
        <v>12578</v>
      </c>
      <c r="R69" s="10">
        <f t="shared" si="60"/>
        <v>224.02308267730558</v>
      </c>
      <c r="S69" s="2">
        <v>7334</v>
      </c>
      <c r="T69" s="10">
        <f t="shared" si="61"/>
        <v>130.62373098706942</v>
      </c>
      <c r="U69" s="8">
        <f t="shared" si="71"/>
        <v>0.41691842900302117</v>
      </c>
      <c r="V69" s="2">
        <f t="shared" si="62"/>
        <v>5244</v>
      </c>
      <c r="W69" s="992"/>
      <c r="AC69" s="28" t="s">
        <v>195</v>
      </c>
      <c r="AD69" s="15">
        <v>163454</v>
      </c>
      <c r="AE69" s="7">
        <f t="shared" si="63"/>
        <v>2.9112314323371211</v>
      </c>
      <c r="AF69" s="15">
        <v>113314</v>
      </c>
      <c r="AG69" s="7">
        <f t="shared" si="64"/>
        <v>2.0182025433690733</v>
      </c>
      <c r="AH69" s="8">
        <f t="shared" si="72"/>
        <v>0.30675297025462822</v>
      </c>
      <c r="AI69" s="15">
        <f t="shared" si="65"/>
        <v>50140</v>
      </c>
      <c r="AN69" s="28" t="s">
        <v>195</v>
      </c>
      <c r="AO69" s="2">
        <v>546557</v>
      </c>
      <c r="AP69" s="9" t="s">
        <v>13</v>
      </c>
      <c r="AQ69" s="10">
        <f t="shared" si="66"/>
        <v>9.7345670216934419</v>
      </c>
      <c r="AR69" s="2">
        <v>435029</v>
      </c>
      <c r="AS69" s="9" t="s">
        <v>13</v>
      </c>
      <c r="AT69" s="10">
        <f t="shared" si="67"/>
        <v>7.7481744024507533</v>
      </c>
      <c r="AU69" s="8">
        <f t="shared" si="68"/>
        <v>0.20405556968440619</v>
      </c>
      <c r="AV69" s="2">
        <f t="shared" si="69"/>
        <v>111528</v>
      </c>
      <c r="BA69" s="245" t="s">
        <v>195</v>
      </c>
      <c r="BB69" s="952">
        <v>26618418.390000001</v>
      </c>
      <c r="BC69" s="42">
        <f t="shared" si="70"/>
        <v>474.09287197663235</v>
      </c>
      <c r="BD69" s="15">
        <f>BB69-968700</f>
        <v>25649718.390000001</v>
      </c>
      <c r="BE69" s="15">
        <v>1918410</v>
      </c>
      <c r="BF69" s="15">
        <v>78000</v>
      </c>
      <c r="BG69" s="15"/>
      <c r="BH69" s="256">
        <v>182024</v>
      </c>
      <c r="BI69" s="1353">
        <f>((BB69-BD69)+BF69+BG69+BH69)/AI69</f>
        <v>24.505863581970484</v>
      </c>
      <c r="BJ69" s="1" t="s">
        <v>295</v>
      </c>
      <c r="BK69" s="11" t="s">
        <v>247</v>
      </c>
      <c r="BL69" s="41"/>
      <c r="BM69" s="41"/>
    </row>
    <row r="70" spans="1:65" s="3" customFormat="1" ht="27.6" customHeight="1" x14ac:dyDescent="0.2">
      <c r="A70" s="4" t="s">
        <v>110</v>
      </c>
      <c r="B70" s="11" t="s">
        <v>951</v>
      </c>
      <c r="C70" s="11" t="s">
        <v>109</v>
      </c>
      <c r="D70" s="11" t="s">
        <v>993</v>
      </c>
      <c r="E70" s="11" t="s">
        <v>548</v>
      </c>
      <c r="F70" s="1" t="s">
        <v>108</v>
      </c>
      <c r="G70" s="33">
        <v>40661</v>
      </c>
      <c r="H70" s="11" t="s">
        <v>10</v>
      </c>
      <c r="I70" s="33">
        <v>40700</v>
      </c>
      <c r="J70" s="60">
        <v>42040</v>
      </c>
      <c r="K70" s="4" t="s">
        <v>202</v>
      </c>
      <c r="L70" s="11" t="s">
        <v>13</v>
      </c>
      <c r="M70" s="6">
        <v>111160</v>
      </c>
      <c r="N70" s="49">
        <v>2</v>
      </c>
      <c r="O70" s="4" t="s">
        <v>110</v>
      </c>
      <c r="P70" s="11" t="s">
        <v>247</v>
      </c>
      <c r="Q70" s="2">
        <v>18584</v>
      </c>
      <c r="R70" s="12">
        <f t="shared" si="60"/>
        <v>167.18243972652033</v>
      </c>
      <c r="S70" s="2">
        <v>12522</v>
      </c>
      <c r="T70" s="23">
        <f t="shared" si="61"/>
        <v>112.64843468873696</v>
      </c>
      <c r="U70" s="5">
        <f t="shared" si="71"/>
        <v>0.32619457597933704</v>
      </c>
      <c r="V70" s="13">
        <f t="shared" si="62"/>
        <v>6062</v>
      </c>
      <c r="W70" s="967"/>
      <c r="X70" s="25"/>
      <c r="Y70" s="2"/>
      <c r="Z70" s="2"/>
      <c r="AA70" s="2"/>
      <c r="AB70" s="2"/>
      <c r="AC70" s="4" t="s">
        <v>110</v>
      </c>
      <c r="AD70" s="15">
        <v>269366</v>
      </c>
      <c r="AE70" s="7">
        <f t="shared" si="63"/>
        <v>2.423227779776898</v>
      </c>
      <c r="AF70" s="15">
        <v>187898</v>
      </c>
      <c r="AG70" s="7">
        <f t="shared" si="64"/>
        <v>1.6903382511694853</v>
      </c>
      <c r="AH70" s="8">
        <f t="shared" si="72"/>
        <v>0.30244351551420745</v>
      </c>
      <c r="AI70" s="16">
        <f t="shared" si="65"/>
        <v>81468</v>
      </c>
      <c r="AJ70" s="7"/>
      <c r="AK70" s="2"/>
      <c r="AL70" s="2"/>
      <c r="AM70" s="2"/>
      <c r="AN70" s="4" t="s">
        <v>110</v>
      </c>
      <c r="AO70" s="2">
        <v>6216053</v>
      </c>
      <c r="AP70" s="9" t="s">
        <v>13</v>
      </c>
      <c r="AQ70" s="2">
        <f t="shared" si="66"/>
        <v>55.91987225620727</v>
      </c>
      <c r="AR70" s="2">
        <v>3532573</v>
      </c>
      <c r="AS70" s="9" t="s">
        <v>13</v>
      </c>
      <c r="AT70" s="2">
        <f t="shared" si="67"/>
        <v>31.779174163368118</v>
      </c>
      <c r="AU70" s="8">
        <f t="shared" si="68"/>
        <v>0.43170159585190154</v>
      </c>
      <c r="AV70" s="17">
        <f t="shared" si="69"/>
        <v>2683480</v>
      </c>
      <c r="AX70" s="9"/>
      <c r="AY70" s="2"/>
      <c r="AZ70" s="2"/>
      <c r="BA70" s="247" t="s">
        <v>110</v>
      </c>
      <c r="BB70" s="64">
        <f>1862755+26596280</f>
        <v>28459035</v>
      </c>
      <c r="BC70" s="42">
        <f t="shared" si="70"/>
        <v>256.01866678661389</v>
      </c>
      <c r="BD70" s="41"/>
      <c r="BE70" s="15">
        <v>2837884</v>
      </c>
      <c r="BF70" s="15">
        <v>60000</v>
      </c>
      <c r="BH70" s="256">
        <v>283540</v>
      </c>
      <c r="BI70" s="1353"/>
      <c r="BJ70" s="1" t="s">
        <v>304</v>
      </c>
      <c r="BK70" s="11" t="s">
        <v>247</v>
      </c>
    </row>
    <row r="71" spans="1:65" s="41" customFormat="1" ht="27.6" customHeight="1" x14ac:dyDescent="0.2">
      <c r="A71" s="28" t="s">
        <v>124</v>
      </c>
      <c r="B71" s="915" t="s">
        <v>953</v>
      </c>
      <c r="C71" s="11" t="s">
        <v>100</v>
      </c>
      <c r="D71" s="11" t="s">
        <v>1000</v>
      </c>
      <c r="E71" s="11" t="s">
        <v>549</v>
      </c>
      <c r="F71" s="1" t="s">
        <v>123</v>
      </c>
      <c r="G71" s="37">
        <v>41397</v>
      </c>
      <c r="H71" s="1" t="s">
        <v>173</v>
      </c>
      <c r="I71" s="33">
        <v>41011</v>
      </c>
      <c r="J71" s="60">
        <v>42066</v>
      </c>
      <c r="K71" s="28" t="s">
        <v>421</v>
      </c>
      <c r="L71" s="1" t="s">
        <v>13</v>
      </c>
      <c r="M71" s="2">
        <v>23982</v>
      </c>
      <c r="N71" s="14">
        <v>3</v>
      </c>
      <c r="O71" s="28" t="s">
        <v>124</v>
      </c>
      <c r="P71" s="11" t="s">
        <v>249</v>
      </c>
      <c r="Q71" s="2">
        <v>4288</v>
      </c>
      <c r="R71" s="10">
        <f t="shared" si="60"/>
        <v>178.80076724209823</v>
      </c>
      <c r="S71" s="2">
        <v>2361</v>
      </c>
      <c r="T71" s="10">
        <f t="shared" si="61"/>
        <v>98.448836627470598</v>
      </c>
      <c r="U71" s="8">
        <f t="shared" si="71"/>
        <v>0.4493936567164179</v>
      </c>
      <c r="V71" s="2">
        <f t="shared" si="62"/>
        <v>1927</v>
      </c>
      <c r="W71" s="992"/>
      <c r="X71" s="3"/>
      <c r="Y71" s="3"/>
      <c r="Z71" s="3"/>
      <c r="AA71" s="3"/>
      <c r="AB71" s="3"/>
      <c r="AC71" s="28" t="s">
        <v>124</v>
      </c>
      <c r="AD71" s="15">
        <v>106582</v>
      </c>
      <c r="AE71" s="7">
        <f t="shared" si="63"/>
        <v>4.44424985405721</v>
      </c>
      <c r="AF71" s="15">
        <v>65369</v>
      </c>
      <c r="AG71" s="7">
        <f t="shared" si="64"/>
        <v>2.7257526478191978</v>
      </c>
      <c r="AH71" s="8">
        <f t="shared" si="72"/>
        <v>0.38667880129853072</v>
      </c>
      <c r="AI71" s="15">
        <f t="shared" si="65"/>
        <v>41213</v>
      </c>
      <c r="AJ71" s="3"/>
      <c r="AK71" s="3"/>
      <c r="AL71" s="3"/>
      <c r="AM71" s="3"/>
      <c r="AN71" s="28" t="s">
        <v>124</v>
      </c>
      <c r="AO71" s="2">
        <v>67775</v>
      </c>
      <c r="AP71" s="1" t="s">
        <v>13</v>
      </c>
      <c r="AQ71" s="10">
        <f t="shared" si="66"/>
        <v>2.8260778917521474</v>
      </c>
      <c r="AR71" s="2">
        <v>44733</v>
      </c>
      <c r="AS71" s="1" t="s">
        <v>13</v>
      </c>
      <c r="AT71" s="10">
        <f t="shared" si="67"/>
        <v>1.8652739554666</v>
      </c>
      <c r="AU71" s="8">
        <f t="shared" si="68"/>
        <v>0.33997786794540757</v>
      </c>
      <c r="AV71" s="2">
        <f t="shared" si="69"/>
        <v>23042</v>
      </c>
      <c r="AW71" s="3"/>
      <c r="AX71" s="3"/>
      <c r="AY71" s="3"/>
      <c r="AZ71" s="3"/>
      <c r="BA71" s="245" t="s">
        <v>124</v>
      </c>
      <c r="BB71" s="952">
        <v>8727727</v>
      </c>
      <c r="BC71" s="42">
        <f t="shared" si="70"/>
        <v>363.92823784505043</v>
      </c>
      <c r="BD71" s="15">
        <v>6497174</v>
      </c>
      <c r="BE71" s="15">
        <v>700000</v>
      </c>
      <c r="BF71" s="15">
        <v>50000</v>
      </c>
      <c r="BG71" s="15"/>
      <c r="BH71" s="256">
        <v>80300</v>
      </c>
      <c r="BI71" s="1353">
        <f>((BB71-BD71)+BF71+BG71+BH71)/AI71</f>
        <v>57.284182175527143</v>
      </c>
      <c r="BJ71" s="1" t="s">
        <v>302</v>
      </c>
      <c r="BK71" s="11" t="s">
        <v>249</v>
      </c>
    </row>
    <row r="72" spans="1:65" s="3" customFormat="1" ht="27.6" customHeight="1" x14ac:dyDescent="0.2">
      <c r="A72" s="28" t="s">
        <v>196</v>
      </c>
      <c r="B72" s="915" t="s">
        <v>953</v>
      </c>
      <c r="C72" s="11" t="s">
        <v>56</v>
      </c>
      <c r="D72" s="11" t="s">
        <v>995</v>
      </c>
      <c r="E72" s="11" t="s">
        <v>546</v>
      </c>
      <c r="F72" s="1" t="s">
        <v>174</v>
      </c>
      <c r="G72" s="37">
        <v>41453</v>
      </c>
      <c r="H72" s="1" t="s">
        <v>173</v>
      </c>
      <c r="I72" s="33">
        <v>41435</v>
      </c>
      <c r="J72" s="60">
        <v>42069</v>
      </c>
      <c r="K72" s="28" t="s">
        <v>175</v>
      </c>
      <c r="L72" s="1" t="s">
        <v>13</v>
      </c>
      <c r="M72" s="2">
        <v>82961</v>
      </c>
      <c r="N72" s="14">
        <v>2</v>
      </c>
      <c r="O72" s="28" t="s">
        <v>196</v>
      </c>
      <c r="P72" s="11" t="s">
        <v>249</v>
      </c>
      <c r="Q72" s="2">
        <v>14304</v>
      </c>
      <c r="R72" s="10">
        <f t="shared" si="60"/>
        <v>172.41836525596366</v>
      </c>
      <c r="S72" s="2">
        <v>11048</v>
      </c>
      <c r="T72" s="10">
        <f t="shared" si="61"/>
        <v>133.1710080640301</v>
      </c>
      <c r="U72" s="8">
        <f t="shared" si="71"/>
        <v>0.22762863534675615</v>
      </c>
      <c r="V72" s="2">
        <f t="shared" si="62"/>
        <v>3256</v>
      </c>
      <c r="W72" s="992"/>
      <c r="AC72" s="28" t="s">
        <v>196</v>
      </c>
      <c r="AD72" s="15">
        <v>215110</v>
      </c>
      <c r="AE72" s="7">
        <f t="shared" si="63"/>
        <v>2.5929050999867407</v>
      </c>
      <c r="AF72" s="15">
        <v>143121</v>
      </c>
      <c r="AG72" s="7">
        <f t="shared" si="64"/>
        <v>1.7251600149467823</v>
      </c>
      <c r="AH72" s="8">
        <f t="shared" si="72"/>
        <v>0.33466133606062015</v>
      </c>
      <c r="AI72" s="15">
        <f t="shared" si="65"/>
        <v>71989</v>
      </c>
      <c r="AN72" s="28" t="s">
        <v>196</v>
      </c>
      <c r="AO72" s="2">
        <v>4017684</v>
      </c>
      <c r="AP72" s="9" t="s">
        <v>13</v>
      </c>
      <c r="AQ72" s="10">
        <f t="shared" si="66"/>
        <v>48.428586926387098</v>
      </c>
      <c r="AR72" s="2">
        <v>3910346</v>
      </c>
      <c r="AS72" s="9" t="s">
        <v>13</v>
      </c>
      <c r="AT72" s="10">
        <f t="shared" si="67"/>
        <v>47.134750063282745</v>
      </c>
      <c r="AU72" s="8">
        <f t="shared" si="68"/>
        <v>2.6716386853719704E-2</v>
      </c>
      <c r="AV72" s="2">
        <f t="shared" si="69"/>
        <v>107338</v>
      </c>
      <c r="BA72" s="245" t="s">
        <v>196</v>
      </c>
      <c r="BB72" s="64">
        <v>17090447</v>
      </c>
      <c r="BC72" s="42">
        <f t="shared" si="70"/>
        <v>206.00579790503971</v>
      </c>
      <c r="BD72" s="15">
        <v>16915711</v>
      </c>
      <c r="BE72" s="15">
        <v>1536300</v>
      </c>
      <c r="BF72" s="71">
        <v>0</v>
      </c>
      <c r="BG72" s="11"/>
      <c r="BH72" s="256">
        <v>207560</v>
      </c>
      <c r="BI72" s="1353">
        <f>((BB72-BD72)+BF72+BG72+BH72)/AI72</f>
        <v>5.3104779896928695</v>
      </c>
      <c r="BJ72" s="1" t="s">
        <v>313</v>
      </c>
      <c r="BK72" s="11" t="s">
        <v>249</v>
      </c>
    </row>
    <row r="73" spans="1:65" s="41" customFormat="1" ht="27.6" customHeight="1" x14ac:dyDescent="0.2">
      <c r="A73" s="4" t="s">
        <v>127</v>
      </c>
      <c r="B73" s="11" t="s">
        <v>951</v>
      </c>
      <c r="C73" s="11" t="s">
        <v>126</v>
      </c>
      <c r="D73" s="11" t="s">
        <v>1000</v>
      </c>
      <c r="E73" s="11" t="s">
        <v>1032</v>
      </c>
      <c r="F73" s="1" t="s">
        <v>125</v>
      </c>
      <c r="G73" s="37">
        <v>41004</v>
      </c>
      <c r="H73" s="1" t="s">
        <v>10</v>
      </c>
      <c r="I73" s="33">
        <v>41424</v>
      </c>
      <c r="J73" s="60">
        <v>42075</v>
      </c>
      <c r="K73" s="4" t="s">
        <v>128</v>
      </c>
      <c r="L73" s="1" t="s">
        <v>13</v>
      </c>
      <c r="M73" s="6">
        <v>9023</v>
      </c>
      <c r="N73" s="14">
        <v>2</v>
      </c>
      <c r="O73" s="4" t="s">
        <v>127</v>
      </c>
      <c r="P73" s="11" t="s">
        <v>247</v>
      </c>
      <c r="Q73" s="2">
        <v>1171</v>
      </c>
      <c r="R73" s="10">
        <f t="shared" si="60"/>
        <v>129.77945251025159</v>
      </c>
      <c r="S73" s="2">
        <v>689</v>
      </c>
      <c r="T73" s="10">
        <f t="shared" si="61"/>
        <v>76.360412279729573</v>
      </c>
      <c r="U73" s="5">
        <f t="shared" si="71"/>
        <v>0.41161400512382579</v>
      </c>
      <c r="V73" s="2">
        <f t="shared" si="62"/>
        <v>482</v>
      </c>
      <c r="W73" s="992"/>
      <c r="X73" s="3"/>
      <c r="Y73" s="3"/>
      <c r="Z73" s="3"/>
      <c r="AA73" s="3"/>
      <c r="AB73" s="3"/>
      <c r="AC73" s="4" t="s">
        <v>127</v>
      </c>
      <c r="AD73" s="15">
        <v>18288</v>
      </c>
      <c r="AE73" s="7">
        <f t="shared" si="63"/>
        <v>2.0268203479995566</v>
      </c>
      <c r="AF73" s="15">
        <v>12209</v>
      </c>
      <c r="AG73" s="7">
        <f t="shared" si="64"/>
        <v>1.3530976393660645</v>
      </c>
      <c r="AH73" s="8">
        <f t="shared" si="72"/>
        <v>0.33240376202974631</v>
      </c>
      <c r="AI73" s="15">
        <f t="shared" si="65"/>
        <v>6079</v>
      </c>
      <c r="AJ73" s="3"/>
      <c r="AK73" s="3"/>
      <c r="AL73" s="3"/>
      <c r="AM73" s="3"/>
      <c r="AN73" s="4" t="s">
        <v>127</v>
      </c>
      <c r="AO73" s="2">
        <v>289717</v>
      </c>
      <c r="AP73" s="9" t="s">
        <v>13</v>
      </c>
      <c r="AQ73" s="10">
        <f t="shared" si="66"/>
        <v>32.108722154494068</v>
      </c>
      <c r="AR73" s="2">
        <v>195438</v>
      </c>
      <c r="AS73" s="9" t="s">
        <v>13</v>
      </c>
      <c r="AT73" s="10">
        <f t="shared" si="67"/>
        <v>21.659980050980828</v>
      </c>
      <c r="AU73" s="8">
        <f t="shared" si="68"/>
        <v>0.32541756265597116</v>
      </c>
      <c r="AV73" s="2">
        <f t="shared" si="69"/>
        <v>94279</v>
      </c>
      <c r="AW73" s="3"/>
      <c r="AX73" s="3"/>
      <c r="AY73" s="3"/>
      <c r="AZ73" s="3"/>
      <c r="BA73" s="247" t="s">
        <v>127</v>
      </c>
      <c r="BB73" s="64">
        <v>3059704</v>
      </c>
      <c r="BC73" s="42">
        <f t="shared" si="70"/>
        <v>339.10052089105619</v>
      </c>
      <c r="BD73" s="3"/>
      <c r="BE73" s="15">
        <v>292220</v>
      </c>
      <c r="BF73" s="15" t="s">
        <v>253</v>
      </c>
      <c r="BG73" s="3"/>
      <c r="BH73" s="256">
        <v>68561</v>
      </c>
      <c r="BI73" s="1353"/>
      <c r="BJ73" s="1" t="s">
        <v>297</v>
      </c>
      <c r="BK73" s="11" t="s">
        <v>247</v>
      </c>
    </row>
    <row r="74" spans="1:65" s="41" customFormat="1" ht="27.6" customHeight="1" x14ac:dyDescent="0.2">
      <c r="A74" s="28" t="s">
        <v>155</v>
      </c>
      <c r="B74" s="11" t="s">
        <v>951</v>
      </c>
      <c r="C74" s="11" t="s">
        <v>126</v>
      </c>
      <c r="D74" s="11" t="s">
        <v>1000</v>
      </c>
      <c r="E74" s="11" t="s">
        <v>1032</v>
      </c>
      <c r="F74" s="1" t="s">
        <v>154</v>
      </c>
      <c r="G74" s="37">
        <v>41052</v>
      </c>
      <c r="H74" s="1" t="s">
        <v>10</v>
      </c>
      <c r="I74" s="33">
        <v>41395</v>
      </c>
      <c r="J74" s="60">
        <v>42088</v>
      </c>
      <c r="K74" s="28" t="s">
        <v>156</v>
      </c>
      <c r="L74" s="1" t="s">
        <v>13</v>
      </c>
      <c r="M74" s="2">
        <v>43637</v>
      </c>
      <c r="N74" s="14">
        <v>2</v>
      </c>
      <c r="O74" s="28" t="s">
        <v>155</v>
      </c>
      <c r="P74" s="11" t="s">
        <v>249</v>
      </c>
      <c r="Q74" s="2">
        <v>1506</v>
      </c>
      <c r="R74" s="10">
        <f t="shared" si="60"/>
        <v>34.51199670004813</v>
      </c>
      <c r="S74" s="2">
        <v>754</v>
      </c>
      <c r="T74" s="10">
        <f t="shared" si="61"/>
        <v>17.278914682494214</v>
      </c>
      <c r="U74" s="8">
        <f t="shared" si="71"/>
        <v>0.49933598937583001</v>
      </c>
      <c r="V74" s="2">
        <f t="shared" si="62"/>
        <v>752</v>
      </c>
      <c r="W74" s="992"/>
      <c r="X74" s="3"/>
      <c r="Y74" s="3"/>
      <c r="Z74" s="3"/>
      <c r="AA74" s="3"/>
      <c r="AB74" s="3"/>
      <c r="AC74" s="28" t="s">
        <v>155</v>
      </c>
      <c r="AD74" s="15">
        <v>27891</v>
      </c>
      <c r="AE74" s="7">
        <f t="shared" si="63"/>
        <v>0.63915942892499489</v>
      </c>
      <c r="AF74" s="15">
        <v>14976</v>
      </c>
      <c r="AG74" s="7">
        <f t="shared" si="64"/>
        <v>0.34319499507298851</v>
      </c>
      <c r="AH74" s="8">
        <f t="shared" si="72"/>
        <v>0.46305259761213297</v>
      </c>
      <c r="AI74" s="15">
        <f t="shared" si="65"/>
        <v>12915</v>
      </c>
      <c r="AJ74" s="3"/>
      <c r="AK74" s="3"/>
      <c r="AL74" s="3"/>
      <c r="AM74" s="3"/>
      <c r="AN74" s="28" t="s">
        <v>155</v>
      </c>
      <c r="AO74" s="2">
        <v>128138</v>
      </c>
      <c r="AP74" s="1" t="s">
        <v>13</v>
      </c>
      <c r="AQ74" s="10">
        <f t="shared" si="66"/>
        <v>2.9364530100602702</v>
      </c>
      <c r="AR74" s="2">
        <v>58898</v>
      </c>
      <c r="AS74" s="1" t="s">
        <v>13</v>
      </c>
      <c r="AT74" s="10">
        <f t="shared" si="67"/>
        <v>1.3497261498269817</v>
      </c>
      <c r="AU74" s="8">
        <f t="shared" si="68"/>
        <v>0.54035492984126487</v>
      </c>
      <c r="AV74" s="2">
        <f t="shared" si="69"/>
        <v>69240</v>
      </c>
      <c r="AW74" s="3"/>
      <c r="AX74" s="3"/>
      <c r="AY74" s="3"/>
      <c r="AZ74" s="3"/>
      <c r="BA74" s="245" t="s">
        <v>155</v>
      </c>
      <c r="BB74" s="64">
        <v>5260039</v>
      </c>
      <c r="BC74" s="42">
        <f t="shared" si="70"/>
        <v>120.5408025299631</v>
      </c>
      <c r="BD74" s="76">
        <v>1412707</v>
      </c>
      <c r="BE74" s="15">
        <v>596884</v>
      </c>
      <c r="BF74" s="15">
        <v>0</v>
      </c>
      <c r="BG74" s="3"/>
      <c r="BH74" s="256">
        <v>65343</v>
      </c>
      <c r="BI74" s="1353"/>
      <c r="BJ74" s="1"/>
      <c r="BK74" s="11" t="s">
        <v>249</v>
      </c>
      <c r="BL74" s="3"/>
      <c r="BM74" s="3"/>
    </row>
    <row r="75" spans="1:65" s="41" customFormat="1" ht="27.6" customHeight="1" x14ac:dyDescent="0.2">
      <c r="A75" s="4" t="s">
        <v>211</v>
      </c>
      <c r="B75" s="915" t="s">
        <v>953</v>
      </c>
      <c r="C75" s="11" t="s">
        <v>60</v>
      </c>
      <c r="D75" s="11" t="s">
        <v>989</v>
      </c>
      <c r="E75" s="11" t="s">
        <v>510</v>
      </c>
      <c r="F75" s="1" t="s">
        <v>106</v>
      </c>
      <c r="G75" s="33">
        <v>40961</v>
      </c>
      <c r="H75" s="11" t="s">
        <v>10</v>
      </c>
      <c r="I75" s="33">
        <v>40595</v>
      </c>
      <c r="J75" s="60">
        <v>42131</v>
      </c>
      <c r="K75" s="4" t="s">
        <v>107</v>
      </c>
      <c r="L75" s="11" t="s">
        <v>13</v>
      </c>
      <c r="M75" s="6">
        <v>294736</v>
      </c>
      <c r="N75" s="14">
        <v>5</v>
      </c>
      <c r="O75" s="4" t="s">
        <v>211</v>
      </c>
      <c r="P75" s="11" t="s">
        <v>247</v>
      </c>
      <c r="Q75" s="2">
        <v>41725</v>
      </c>
      <c r="R75" s="12">
        <f t="shared" si="60"/>
        <v>141.56736876391076</v>
      </c>
      <c r="S75" s="2">
        <v>27808</v>
      </c>
      <c r="T75" s="23">
        <f t="shared" si="61"/>
        <v>94.348840996688565</v>
      </c>
      <c r="U75" s="5">
        <f t="shared" si="71"/>
        <v>0.33354104254044337</v>
      </c>
      <c r="V75" s="13">
        <f t="shared" si="62"/>
        <v>13917</v>
      </c>
      <c r="W75" s="967"/>
      <c r="X75" s="25"/>
      <c r="Y75" s="2"/>
      <c r="Z75" s="2"/>
      <c r="AA75" s="2"/>
      <c r="AB75" s="2"/>
      <c r="AC75" s="4" t="s">
        <v>211</v>
      </c>
      <c r="AD75" s="15">
        <v>940212</v>
      </c>
      <c r="AE75" s="7">
        <f t="shared" si="63"/>
        <v>3.1900141143260408</v>
      </c>
      <c r="AF75" s="15">
        <v>699461</v>
      </c>
      <c r="AG75" s="7">
        <f t="shared" si="64"/>
        <v>2.3731780305086585</v>
      </c>
      <c r="AH75" s="8">
        <f t="shared" si="72"/>
        <v>0.25606033532862799</v>
      </c>
      <c r="AI75" s="16">
        <f t="shared" si="65"/>
        <v>240751</v>
      </c>
      <c r="AJ75" s="7"/>
      <c r="AK75" s="2"/>
      <c r="AL75" s="2"/>
      <c r="AM75" s="2"/>
      <c r="AN75" s="4" t="s">
        <v>211</v>
      </c>
      <c r="AO75" s="2">
        <v>1088442</v>
      </c>
      <c r="AP75" s="9" t="s">
        <v>13</v>
      </c>
      <c r="AQ75" s="2">
        <f t="shared" si="66"/>
        <v>3.69293876553933</v>
      </c>
      <c r="AR75" s="2">
        <v>869385</v>
      </c>
      <c r="AS75" s="9" t="s">
        <v>13</v>
      </c>
      <c r="AT75" s="2">
        <f t="shared" si="67"/>
        <v>2.9497075348786712</v>
      </c>
      <c r="AU75" s="8">
        <f t="shared" si="68"/>
        <v>0.20125739359561648</v>
      </c>
      <c r="AV75" s="2">
        <f t="shared" si="69"/>
        <v>219057</v>
      </c>
      <c r="AW75" s="3"/>
      <c r="AX75" s="9"/>
      <c r="AY75" s="2"/>
      <c r="AZ75" s="2"/>
      <c r="BA75" s="247" t="s">
        <v>211</v>
      </c>
      <c r="BB75" s="64">
        <f>1313896+5398362+16733777+8332055+57337600</f>
        <v>89115690</v>
      </c>
      <c r="BC75" s="42">
        <f t="shared" si="70"/>
        <v>302.35766923619781</v>
      </c>
      <c r="BE75" s="15">
        <v>9079497</v>
      </c>
      <c r="BF75" s="15">
        <v>178918</v>
      </c>
      <c r="BG75" s="3"/>
      <c r="BH75" s="256">
        <v>526000</v>
      </c>
      <c r="BI75" s="1353"/>
      <c r="BJ75" s="1" t="s">
        <v>297</v>
      </c>
      <c r="BK75" s="11" t="s">
        <v>247</v>
      </c>
      <c r="BL75" s="3" t="s">
        <v>38</v>
      </c>
      <c r="BM75" s="3"/>
    </row>
    <row r="76" spans="1:65" s="3" customFormat="1" ht="27.6" customHeight="1" x14ac:dyDescent="0.2">
      <c r="A76" s="28" t="s">
        <v>163</v>
      </c>
      <c r="B76" s="11" t="s">
        <v>951</v>
      </c>
      <c r="C76" s="11" t="s">
        <v>162</v>
      </c>
      <c r="D76" s="11" t="s">
        <v>1002</v>
      </c>
      <c r="E76" s="11"/>
      <c r="F76" s="1" t="s">
        <v>161</v>
      </c>
      <c r="G76" s="37">
        <v>41232</v>
      </c>
      <c r="H76" s="1" t="s">
        <v>10</v>
      </c>
      <c r="I76" s="33">
        <v>41583</v>
      </c>
      <c r="J76" s="60">
        <v>42160</v>
      </c>
      <c r="K76" s="28" t="s">
        <v>164</v>
      </c>
      <c r="L76" s="1" t="s">
        <v>13</v>
      </c>
      <c r="M76" s="2">
        <v>79295</v>
      </c>
      <c r="N76" s="14">
        <v>2</v>
      </c>
      <c r="O76" s="28" t="s">
        <v>163</v>
      </c>
      <c r="P76" s="11" t="s">
        <v>249</v>
      </c>
      <c r="Q76" s="2">
        <v>5941</v>
      </c>
      <c r="R76" s="10">
        <f t="shared" si="60"/>
        <v>74.922756794249324</v>
      </c>
      <c r="S76" s="2">
        <v>4122</v>
      </c>
      <c r="T76" s="10">
        <f t="shared" si="61"/>
        <v>51.983101078252098</v>
      </c>
      <c r="U76" s="8">
        <f t="shared" si="71"/>
        <v>0.30617741121023395</v>
      </c>
      <c r="V76" s="2">
        <f t="shared" si="62"/>
        <v>1819</v>
      </c>
      <c r="W76" s="992"/>
      <c r="AC76" s="28" t="s">
        <v>163</v>
      </c>
      <c r="AD76" s="15">
        <v>95436</v>
      </c>
      <c r="AE76" s="7">
        <f t="shared" si="63"/>
        <v>1.2035563402484393</v>
      </c>
      <c r="AF76" s="15">
        <v>64835</v>
      </c>
      <c r="AG76" s="7">
        <f t="shared" si="64"/>
        <v>0.8176429787502365</v>
      </c>
      <c r="AH76" s="8">
        <f t="shared" si="72"/>
        <v>0.32064420134959554</v>
      </c>
      <c r="AI76" s="15">
        <f t="shared" si="65"/>
        <v>30601</v>
      </c>
      <c r="AN76" s="28" t="s">
        <v>163</v>
      </c>
      <c r="AO76" s="2">
        <v>2356578</v>
      </c>
      <c r="AP76" s="1" t="s">
        <v>13</v>
      </c>
      <c r="AQ76" s="10">
        <f t="shared" si="66"/>
        <v>29.719124787187088</v>
      </c>
      <c r="AR76" s="2">
        <v>1527392</v>
      </c>
      <c r="AS76" s="1" t="s">
        <v>13</v>
      </c>
      <c r="AT76" s="10">
        <f t="shared" si="67"/>
        <v>19.262147676398261</v>
      </c>
      <c r="AU76" s="8">
        <f t="shared" si="68"/>
        <v>0.35186019728606477</v>
      </c>
      <c r="AV76" s="2">
        <f t="shared" si="69"/>
        <v>829186</v>
      </c>
      <c r="BA76" s="245" t="s">
        <v>163</v>
      </c>
      <c r="BB76" s="64">
        <v>11310270</v>
      </c>
      <c r="BC76" s="42">
        <f t="shared" si="70"/>
        <v>142.63534901317863</v>
      </c>
      <c r="BE76" s="15">
        <v>861998</v>
      </c>
      <c r="BF76" s="71" t="s">
        <v>172</v>
      </c>
      <c r="BG76" s="11"/>
      <c r="BH76" s="256">
        <v>52620</v>
      </c>
      <c r="BI76" s="1353"/>
      <c r="BJ76" s="1" t="s">
        <v>297</v>
      </c>
      <c r="BK76" s="11" t="s">
        <v>249</v>
      </c>
      <c r="BL76" s="41"/>
      <c r="BM76" s="41"/>
    </row>
    <row r="77" spans="1:65" s="3" customFormat="1" ht="27.6" customHeight="1" x14ac:dyDescent="0.2">
      <c r="A77" s="28" t="s">
        <v>152</v>
      </c>
      <c r="B77" s="11" t="s">
        <v>951</v>
      </c>
      <c r="C77" s="11" t="s">
        <v>126</v>
      </c>
      <c r="D77" s="11" t="s">
        <v>1000</v>
      </c>
      <c r="E77" s="11" t="s">
        <v>1032</v>
      </c>
      <c r="F77" s="1" t="s">
        <v>151</v>
      </c>
      <c r="G77" s="37">
        <v>40998</v>
      </c>
      <c r="H77" s="1" t="s">
        <v>10</v>
      </c>
      <c r="I77" s="33">
        <v>41375</v>
      </c>
      <c r="J77" s="60">
        <v>42171</v>
      </c>
      <c r="K77" s="28" t="s">
        <v>153</v>
      </c>
      <c r="L77" s="1" t="s">
        <v>13</v>
      </c>
      <c r="M77" s="2">
        <v>29936</v>
      </c>
      <c r="N77" s="14">
        <v>2</v>
      </c>
      <c r="O77" s="28" t="s">
        <v>152</v>
      </c>
      <c r="P77" s="11" t="s">
        <v>247</v>
      </c>
      <c r="Q77" s="2">
        <v>8887</v>
      </c>
      <c r="R77" s="10">
        <f t="shared" si="60"/>
        <v>296.86664885088186</v>
      </c>
      <c r="S77" s="2">
        <v>5860</v>
      </c>
      <c r="T77" s="10">
        <f t="shared" si="61"/>
        <v>195.75093532870122</v>
      </c>
      <c r="U77" s="8">
        <f t="shared" si="71"/>
        <v>0.34060987959941486</v>
      </c>
      <c r="V77" s="2">
        <f t="shared" si="62"/>
        <v>3027</v>
      </c>
      <c r="W77" s="992"/>
      <c r="AC77" s="28" t="s">
        <v>152</v>
      </c>
      <c r="AD77" s="15">
        <v>148285</v>
      </c>
      <c r="AE77" s="7">
        <f t="shared" si="63"/>
        <v>4.953400587920898</v>
      </c>
      <c r="AF77" s="15">
        <v>99346</v>
      </c>
      <c r="AG77" s="7">
        <f t="shared" si="64"/>
        <v>3.318613041154463</v>
      </c>
      <c r="AH77" s="8">
        <f t="shared" si="72"/>
        <v>0.33003338166368817</v>
      </c>
      <c r="AI77" s="15">
        <f t="shared" si="65"/>
        <v>48939</v>
      </c>
      <c r="AN77" s="28" t="s">
        <v>152</v>
      </c>
      <c r="AO77" s="2">
        <v>55005</v>
      </c>
      <c r="AP77" s="1" t="s">
        <v>13</v>
      </c>
      <c r="AQ77" s="10">
        <f t="shared" si="66"/>
        <v>1.837419828968466</v>
      </c>
      <c r="AR77" s="2">
        <v>40257</v>
      </c>
      <c r="AS77" s="1" t="s">
        <v>13</v>
      </c>
      <c r="AT77" s="10">
        <f t="shared" si="67"/>
        <v>1.3447688401924105</v>
      </c>
      <c r="AU77" s="8">
        <f t="shared" si="68"/>
        <v>0.2681210799018271</v>
      </c>
      <c r="AV77" s="2">
        <f t="shared" si="69"/>
        <v>14748</v>
      </c>
      <c r="BA77" s="245" t="s">
        <v>152</v>
      </c>
      <c r="BB77" s="64">
        <v>7820696</v>
      </c>
      <c r="BC77" s="42">
        <f t="shared" si="70"/>
        <v>261.24719401389632</v>
      </c>
      <c r="BE77" s="15">
        <v>827850</v>
      </c>
      <c r="BF77" s="15" t="s">
        <v>253</v>
      </c>
      <c r="BH77" s="256">
        <v>47760</v>
      </c>
      <c r="BI77" s="1353"/>
      <c r="BJ77" s="1"/>
      <c r="BK77" s="11" t="s">
        <v>247</v>
      </c>
      <c r="BL77" s="41"/>
      <c r="BM77" s="41"/>
    </row>
    <row r="78" spans="1:65" s="3" customFormat="1" ht="27.6" customHeight="1" x14ac:dyDescent="0.2">
      <c r="A78" s="28" t="s">
        <v>214</v>
      </c>
      <c r="B78" s="11" t="s">
        <v>951</v>
      </c>
      <c r="C78" s="11" t="s">
        <v>63</v>
      </c>
      <c r="D78" s="11" t="s">
        <v>985</v>
      </c>
      <c r="E78" s="11" t="s">
        <v>545</v>
      </c>
      <c r="F78" s="1" t="s">
        <v>231</v>
      </c>
      <c r="G78" s="37">
        <v>41715</v>
      </c>
      <c r="H78" s="11" t="s">
        <v>528</v>
      </c>
      <c r="I78" s="33">
        <v>41676</v>
      </c>
      <c r="J78" s="60">
        <v>42213</v>
      </c>
      <c r="K78" s="28" t="s">
        <v>135</v>
      </c>
      <c r="L78" s="1">
        <v>400</v>
      </c>
      <c r="M78" s="2">
        <v>99713</v>
      </c>
      <c r="N78" s="14">
        <v>12</v>
      </c>
      <c r="O78" s="28" t="s">
        <v>214</v>
      </c>
      <c r="P78" s="11" t="s">
        <v>249</v>
      </c>
      <c r="Q78" s="2">
        <v>12163</v>
      </c>
      <c r="R78" s="10">
        <f t="shared" si="60"/>
        <v>121.98008283774432</v>
      </c>
      <c r="S78" s="2">
        <v>9302</v>
      </c>
      <c r="T78" s="10">
        <f t="shared" si="61"/>
        <v>93.287735801751026</v>
      </c>
      <c r="U78" s="8">
        <f t="shared" si="71"/>
        <v>0.23522157362492807</v>
      </c>
      <c r="V78" s="2">
        <f t="shared" si="62"/>
        <v>2861</v>
      </c>
      <c r="W78" s="992"/>
      <c r="AC78" s="28" t="s">
        <v>214</v>
      </c>
      <c r="AD78" s="15">
        <v>169440</v>
      </c>
      <c r="AE78" s="7">
        <f t="shared" si="63"/>
        <v>1.6992769247741017</v>
      </c>
      <c r="AF78" s="15">
        <v>126115</v>
      </c>
      <c r="AG78" s="7">
        <f t="shared" si="64"/>
        <v>1.2647799183657096</v>
      </c>
      <c r="AH78" s="8">
        <f t="shared" si="72"/>
        <v>0.25569523135033051</v>
      </c>
      <c r="AI78" s="15">
        <f t="shared" si="65"/>
        <v>43325</v>
      </c>
      <c r="AN78" s="28" t="s">
        <v>214</v>
      </c>
      <c r="AO78" s="2">
        <v>3663471</v>
      </c>
      <c r="AP78" s="9">
        <f>AO78/L78</f>
        <v>9158.6774999999998</v>
      </c>
      <c r="AQ78" s="10">
        <f t="shared" si="66"/>
        <v>36.740154242676482</v>
      </c>
      <c r="AR78" s="2">
        <v>2570153</v>
      </c>
      <c r="AS78" s="9">
        <f>AR78/L78</f>
        <v>6425.3824999999997</v>
      </c>
      <c r="AT78" s="10">
        <f t="shared" si="67"/>
        <v>25.77550570136291</v>
      </c>
      <c r="AU78" s="8">
        <f t="shared" si="68"/>
        <v>0.2984377384180194</v>
      </c>
      <c r="AV78" s="2">
        <f t="shared" si="69"/>
        <v>1093318</v>
      </c>
      <c r="BA78" s="245" t="s">
        <v>214</v>
      </c>
      <c r="BB78" s="64">
        <v>15172636</v>
      </c>
      <c r="BC78" s="42">
        <f t="shared" si="70"/>
        <v>152.16306800517486</v>
      </c>
      <c r="BD78" s="15">
        <v>14796933</v>
      </c>
      <c r="BE78" s="15">
        <v>1251550</v>
      </c>
      <c r="BF78" s="71">
        <v>11880</v>
      </c>
      <c r="BG78" s="71"/>
      <c r="BH78" s="256">
        <v>95000</v>
      </c>
      <c r="BI78" s="1353">
        <f t="shared" ref="BI78:BI84" si="73">((BB78-BD78)+BF78+BG78+BH78)/AI78</f>
        <v>11.138672821696479</v>
      </c>
      <c r="BJ78" s="1" t="s">
        <v>296</v>
      </c>
      <c r="BK78" s="11" t="s">
        <v>249</v>
      </c>
      <c r="BL78" s="346">
        <f>BB78-BD78</f>
        <v>375703</v>
      </c>
    </row>
    <row r="79" spans="1:65" s="3" customFormat="1" ht="27.6" customHeight="1" x14ac:dyDescent="0.2">
      <c r="A79" s="28" t="s">
        <v>203</v>
      </c>
      <c r="B79" s="11" t="s">
        <v>951</v>
      </c>
      <c r="C79" s="11" t="s">
        <v>63</v>
      </c>
      <c r="D79" s="11" t="s">
        <v>985</v>
      </c>
      <c r="E79" s="11" t="s">
        <v>545</v>
      </c>
      <c r="F79" s="1" t="s">
        <v>275</v>
      </c>
      <c r="G79" s="37">
        <v>41558</v>
      </c>
      <c r="H79" s="432" t="s">
        <v>407</v>
      </c>
      <c r="I79" s="33">
        <v>41641</v>
      </c>
      <c r="J79" s="60">
        <v>42214</v>
      </c>
      <c r="K79" s="4" t="s">
        <v>135</v>
      </c>
      <c r="L79" s="1">
        <v>412</v>
      </c>
      <c r="M79" s="2">
        <v>143986</v>
      </c>
      <c r="N79" s="14">
        <v>6</v>
      </c>
      <c r="O79" s="28" t="s">
        <v>203</v>
      </c>
      <c r="P79" s="11" t="s">
        <v>249</v>
      </c>
      <c r="Q79" s="2">
        <v>7705</v>
      </c>
      <c r="R79" s="10">
        <f t="shared" si="60"/>
        <v>53.512147014293056</v>
      </c>
      <c r="S79" s="2">
        <v>5840</v>
      </c>
      <c r="T79" s="10">
        <f t="shared" si="61"/>
        <v>40.559498840165013</v>
      </c>
      <c r="U79" s="8">
        <f t="shared" si="71"/>
        <v>0.24205061648280338</v>
      </c>
      <c r="V79" s="2">
        <f t="shared" si="62"/>
        <v>1865</v>
      </c>
      <c r="W79" s="992"/>
      <c r="AC79" s="28" t="s">
        <v>203</v>
      </c>
      <c r="AD79" s="15">
        <v>102473</v>
      </c>
      <c r="AE79" s="7">
        <f t="shared" si="63"/>
        <v>0.7116872473712722</v>
      </c>
      <c r="AF79" s="15">
        <v>56750</v>
      </c>
      <c r="AG79" s="7">
        <f t="shared" si="64"/>
        <v>0.39413554095537068</v>
      </c>
      <c r="AH79" s="8">
        <f t="shared" si="72"/>
        <v>0.4461955832268012</v>
      </c>
      <c r="AI79" s="15">
        <f t="shared" si="65"/>
        <v>45723</v>
      </c>
      <c r="AN79" s="28" t="s">
        <v>203</v>
      </c>
      <c r="AO79" s="2">
        <v>4730466</v>
      </c>
      <c r="AP79" s="9">
        <f>AO79/L79</f>
        <v>11481.713592233009</v>
      </c>
      <c r="AQ79" s="10">
        <f t="shared" si="66"/>
        <v>32.853652438431517</v>
      </c>
      <c r="AR79" s="2">
        <v>2731460</v>
      </c>
      <c r="AS79" s="9">
        <f>AR79/L79</f>
        <v>6629.7572815533977</v>
      </c>
      <c r="AT79" s="10">
        <f t="shared" si="67"/>
        <v>18.970316558554305</v>
      </c>
      <c r="AU79" s="8">
        <f t="shared" si="68"/>
        <v>0.42258120024538809</v>
      </c>
      <c r="AV79" s="2">
        <f t="shared" si="69"/>
        <v>1999006</v>
      </c>
      <c r="BA79" s="245" t="s">
        <v>203</v>
      </c>
      <c r="BB79" s="64">
        <v>28765101</v>
      </c>
      <c r="BC79" s="42">
        <f t="shared" si="70"/>
        <v>199.77706860389205</v>
      </c>
      <c r="BD79" s="15">
        <v>26520850</v>
      </c>
      <c r="BE79" s="15">
        <v>2312090</v>
      </c>
      <c r="BF79" s="15">
        <v>13945</v>
      </c>
      <c r="BG79" s="15"/>
      <c r="BH79" s="256">
        <v>200000</v>
      </c>
      <c r="BI79" s="1353">
        <f t="shared" si="73"/>
        <v>53.762788968352908</v>
      </c>
      <c r="BJ79" s="1" t="s">
        <v>313</v>
      </c>
      <c r="BK79" s="11" t="s">
        <v>249</v>
      </c>
    </row>
    <row r="80" spans="1:65" s="3" customFormat="1" ht="27.6" customHeight="1" x14ac:dyDescent="0.2">
      <c r="A80" s="28" t="s">
        <v>213</v>
      </c>
      <c r="B80" s="915" t="s">
        <v>953</v>
      </c>
      <c r="C80" s="11" t="s">
        <v>26</v>
      </c>
      <c r="D80" s="11" t="s">
        <v>984</v>
      </c>
      <c r="E80" s="11" t="s">
        <v>508</v>
      </c>
      <c r="F80" s="1" t="s">
        <v>176</v>
      </c>
      <c r="G80" s="37">
        <v>41691</v>
      </c>
      <c r="H80" s="1" t="s">
        <v>474</v>
      </c>
      <c r="I80" s="33">
        <v>41764</v>
      </c>
      <c r="J80" s="60">
        <v>42215</v>
      </c>
      <c r="K80" s="28" t="s">
        <v>135</v>
      </c>
      <c r="L80" s="1">
        <v>176</v>
      </c>
      <c r="M80" s="2">
        <v>32839</v>
      </c>
      <c r="N80" s="14">
        <v>5</v>
      </c>
      <c r="O80" s="28" t="s">
        <v>213</v>
      </c>
      <c r="P80" s="11" t="s">
        <v>249</v>
      </c>
      <c r="Q80" s="2">
        <v>3330</v>
      </c>
      <c r="R80" s="10">
        <f t="shared" si="60"/>
        <v>101.40381863028716</v>
      </c>
      <c r="S80" s="2">
        <v>2305</v>
      </c>
      <c r="T80" s="10">
        <f t="shared" si="61"/>
        <v>70.190931514357928</v>
      </c>
      <c r="U80" s="8">
        <f t="shared" si="71"/>
        <v>0.30780780780780781</v>
      </c>
      <c r="V80" s="2">
        <f t="shared" si="62"/>
        <v>1025</v>
      </c>
      <c r="W80" s="992"/>
      <c r="AC80" s="28" t="s">
        <v>213</v>
      </c>
      <c r="AD80" s="15">
        <v>87029</v>
      </c>
      <c r="AE80" s="7">
        <f t="shared" si="63"/>
        <v>2.6501720515241023</v>
      </c>
      <c r="AF80" s="15">
        <v>60703</v>
      </c>
      <c r="AG80" s="7">
        <f t="shared" si="64"/>
        <v>1.8485033039982948</v>
      </c>
      <c r="AH80" s="8">
        <f t="shared" si="72"/>
        <v>0.30249686885980537</v>
      </c>
      <c r="AI80" s="15">
        <f t="shared" si="65"/>
        <v>26326</v>
      </c>
      <c r="AN80" s="28" t="s">
        <v>213</v>
      </c>
      <c r="AO80" s="2">
        <v>1209992</v>
      </c>
      <c r="AP80" s="2">
        <f>AO80/L80</f>
        <v>6874.954545454545</v>
      </c>
      <c r="AQ80" s="10">
        <f t="shared" si="66"/>
        <v>36.846188982612141</v>
      </c>
      <c r="AR80" s="2">
        <v>755467</v>
      </c>
      <c r="AS80" s="9">
        <f>AR80/L80</f>
        <v>4292.426136363636</v>
      </c>
      <c r="AT80" s="10">
        <f t="shared" si="67"/>
        <v>23.005176771521665</v>
      </c>
      <c r="AU80" s="8">
        <f t="shared" si="68"/>
        <v>0.37564297945771541</v>
      </c>
      <c r="AV80" s="2">
        <f t="shared" si="69"/>
        <v>454525</v>
      </c>
      <c r="BA80" s="245" t="s">
        <v>213</v>
      </c>
      <c r="BB80" s="64">
        <v>7222300</v>
      </c>
      <c r="BC80" s="42">
        <f t="shared" si="70"/>
        <v>219.93057035841531</v>
      </c>
      <c r="BD80" s="15">
        <f>BB80-710194</f>
        <v>6512106</v>
      </c>
      <c r="BE80" s="15">
        <v>806400</v>
      </c>
      <c r="BF80" s="15">
        <v>50600</v>
      </c>
      <c r="BG80" s="15"/>
      <c r="BH80" s="256">
        <v>125000</v>
      </c>
      <c r="BI80" s="1353">
        <f t="shared" si="73"/>
        <v>33.647116918635568</v>
      </c>
      <c r="BJ80" s="1" t="s">
        <v>296</v>
      </c>
      <c r="BK80" s="11" t="s">
        <v>249</v>
      </c>
    </row>
    <row r="81" spans="1:65" s="3" customFormat="1" ht="27.6" customHeight="1" x14ac:dyDescent="0.2">
      <c r="A81" s="28" t="s">
        <v>420</v>
      </c>
      <c r="B81" s="11" t="s">
        <v>951</v>
      </c>
      <c r="C81" s="11" t="s">
        <v>98</v>
      </c>
      <c r="D81" s="11" t="s">
        <v>996</v>
      </c>
      <c r="E81" s="11" t="s">
        <v>723</v>
      </c>
      <c r="F81" s="1" t="s">
        <v>491</v>
      </c>
      <c r="G81" s="37">
        <v>41822</v>
      </c>
      <c r="H81" s="1" t="s">
        <v>10</v>
      </c>
      <c r="I81" s="33">
        <v>41789</v>
      </c>
      <c r="J81" s="60">
        <v>42219</v>
      </c>
      <c r="K81" s="4" t="s">
        <v>421</v>
      </c>
      <c r="L81" s="1" t="s">
        <v>13</v>
      </c>
      <c r="M81" s="2">
        <v>43554</v>
      </c>
      <c r="N81" s="14">
        <v>2</v>
      </c>
      <c r="O81" s="28" t="s">
        <v>420</v>
      </c>
      <c r="P81" s="11" t="s">
        <v>248</v>
      </c>
      <c r="Q81" s="2">
        <v>5934.9</v>
      </c>
      <c r="R81" s="10">
        <f t="shared" si="60"/>
        <v>136.26532580245214</v>
      </c>
      <c r="S81" s="2">
        <v>5079</v>
      </c>
      <c r="T81" s="10">
        <f t="shared" si="61"/>
        <v>116.61385865821738</v>
      </c>
      <c r="U81" s="8">
        <f t="shared" si="71"/>
        <v>0.14421472981853101</v>
      </c>
      <c r="V81" s="2">
        <f t="shared" si="62"/>
        <v>855.89999999999964</v>
      </c>
      <c r="W81" s="992"/>
      <c r="AC81" s="28" t="s">
        <v>420</v>
      </c>
      <c r="AD81" s="15">
        <v>110349</v>
      </c>
      <c r="AE81" s="7">
        <f t="shared" si="63"/>
        <v>2.5336134453781511</v>
      </c>
      <c r="AF81" s="15">
        <v>91957</v>
      </c>
      <c r="AG81" s="7">
        <f t="shared" si="64"/>
        <v>2.1113330578132894</v>
      </c>
      <c r="AH81" s="8">
        <f t="shared" si="72"/>
        <v>0.16667119774533526</v>
      </c>
      <c r="AI81" s="15">
        <f t="shared" si="65"/>
        <v>18392</v>
      </c>
      <c r="AN81" s="28" t="s">
        <v>420</v>
      </c>
      <c r="AO81" s="9">
        <v>1075870</v>
      </c>
      <c r="AP81" s="9" t="s">
        <v>13</v>
      </c>
      <c r="AQ81" s="2">
        <f t="shared" si="66"/>
        <v>24.701979152316664</v>
      </c>
      <c r="AR81" s="9">
        <v>760602</v>
      </c>
      <c r="AS81" s="9" t="s">
        <v>13</v>
      </c>
      <c r="AT81" s="2">
        <f t="shared" si="67"/>
        <v>17.463424714147955</v>
      </c>
      <c r="AU81" s="8">
        <f t="shared" si="68"/>
        <v>0.29303540390567634</v>
      </c>
      <c r="AV81" s="2">
        <f t="shared" si="69"/>
        <v>315268</v>
      </c>
      <c r="AW81" s="14"/>
      <c r="BA81" s="245" t="s">
        <v>420</v>
      </c>
      <c r="BB81" s="64">
        <v>9820475</v>
      </c>
      <c r="BC81" s="42">
        <f t="shared" si="70"/>
        <v>225.47814207650273</v>
      </c>
      <c r="BD81" s="243">
        <v>5837018</v>
      </c>
      <c r="BE81" s="244">
        <v>859450</v>
      </c>
      <c r="BF81" s="65"/>
      <c r="BG81" s="15">
        <v>17250</v>
      </c>
      <c r="BH81" s="953">
        <f>0.01*BB81</f>
        <v>98204.75</v>
      </c>
      <c r="BI81" s="1353">
        <f t="shared" si="73"/>
        <v>222.86384025663332</v>
      </c>
      <c r="BJ81" s="1" t="s">
        <v>299</v>
      </c>
      <c r="BK81" s="11" t="s">
        <v>248</v>
      </c>
      <c r="BL81" s="41"/>
      <c r="BM81" s="41"/>
    </row>
    <row r="82" spans="1:65" s="3" customFormat="1" ht="27.6" customHeight="1" x14ac:dyDescent="0.2">
      <c r="A82" s="28" t="s">
        <v>531</v>
      </c>
      <c r="B82" s="915" t="s">
        <v>953</v>
      </c>
      <c r="C82" s="11" t="s">
        <v>68</v>
      </c>
      <c r="D82" s="11" t="s">
        <v>992</v>
      </c>
      <c r="E82" s="11" t="s">
        <v>650</v>
      </c>
      <c r="F82" s="1" t="s">
        <v>177</v>
      </c>
      <c r="G82" s="37">
        <v>41550</v>
      </c>
      <c r="H82" s="1" t="s">
        <v>10</v>
      </c>
      <c r="I82" s="33">
        <v>41416</v>
      </c>
      <c r="J82" s="60">
        <v>42226</v>
      </c>
      <c r="K82" s="28" t="s">
        <v>135</v>
      </c>
      <c r="L82" s="1">
        <v>720</v>
      </c>
      <c r="M82" s="2">
        <v>208077</v>
      </c>
      <c r="N82" s="14">
        <v>5</v>
      </c>
      <c r="O82" s="28" t="s">
        <v>531</v>
      </c>
      <c r="P82" s="11" t="s">
        <v>249</v>
      </c>
      <c r="Q82" s="2">
        <v>22829</v>
      </c>
      <c r="R82" s="10">
        <f t="shared" si="60"/>
        <v>109.71419234225792</v>
      </c>
      <c r="S82" s="2">
        <v>15444</v>
      </c>
      <c r="T82" s="10">
        <f t="shared" si="61"/>
        <v>74.222523392782492</v>
      </c>
      <c r="U82" s="8">
        <f t="shared" si="71"/>
        <v>0.32349204958605282</v>
      </c>
      <c r="V82" s="2">
        <f t="shared" si="62"/>
        <v>7385</v>
      </c>
      <c r="W82" s="992"/>
      <c r="AC82" s="28" t="s">
        <v>531</v>
      </c>
      <c r="AD82" s="15">
        <v>519318</v>
      </c>
      <c r="AE82" s="7">
        <f t="shared" si="63"/>
        <v>2.4957972289104515</v>
      </c>
      <c r="AF82" s="15">
        <v>339219</v>
      </c>
      <c r="AG82" s="7">
        <f t="shared" si="64"/>
        <v>1.6302570682968325</v>
      </c>
      <c r="AH82" s="8">
        <f t="shared" si="72"/>
        <v>0.34679907108939034</v>
      </c>
      <c r="AI82" s="15">
        <f t="shared" si="65"/>
        <v>180099</v>
      </c>
      <c r="AN82" s="28" t="s">
        <v>531</v>
      </c>
      <c r="AO82" s="2">
        <v>11970900</v>
      </c>
      <c r="AP82" s="2">
        <f>AO82/L82</f>
        <v>16626.25</v>
      </c>
      <c r="AQ82" s="10">
        <f t="shared" si="66"/>
        <v>57.531106273158493</v>
      </c>
      <c r="AR82" s="2">
        <v>7250002</v>
      </c>
      <c r="AS82" s="9">
        <f>AR82/L82</f>
        <v>10069.447222222223</v>
      </c>
      <c r="AT82" s="10">
        <f t="shared" si="67"/>
        <v>34.842880279896384</v>
      </c>
      <c r="AU82" s="8">
        <f t="shared" si="68"/>
        <v>0.39436450058057454</v>
      </c>
      <c r="AV82" s="2">
        <f t="shared" si="69"/>
        <v>4720898</v>
      </c>
      <c r="BA82" s="245" t="s">
        <v>531</v>
      </c>
      <c r="BB82" s="64">
        <v>48137413</v>
      </c>
      <c r="BC82" s="42">
        <f t="shared" si="70"/>
        <v>231.34422833854774</v>
      </c>
      <c r="BD82" s="15">
        <v>41707231</v>
      </c>
      <c r="BE82" s="15">
        <v>3917050</v>
      </c>
      <c r="BF82" s="15">
        <v>91100</v>
      </c>
      <c r="BG82" s="15"/>
      <c r="BH82" s="256">
        <v>322840</v>
      </c>
      <c r="BI82" s="1353">
        <f t="shared" si="73"/>
        <v>38.001998900604669</v>
      </c>
      <c r="BJ82" s="1" t="s">
        <v>297</v>
      </c>
      <c r="BK82" s="11" t="s">
        <v>249</v>
      </c>
    </row>
    <row r="83" spans="1:65" s="3" customFormat="1" ht="27.6" customHeight="1" x14ac:dyDescent="0.2">
      <c r="A83" s="28" t="s">
        <v>233</v>
      </c>
      <c r="B83" s="11" t="s">
        <v>951</v>
      </c>
      <c r="C83" s="11" t="s">
        <v>63</v>
      </c>
      <c r="D83" s="11" t="s">
        <v>985</v>
      </c>
      <c r="E83" s="11" t="s">
        <v>545</v>
      </c>
      <c r="F83" s="1" t="s">
        <v>310</v>
      </c>
      <c r="G83" s="37">
        <v>41645</v>
      </c>
      <c r="H83" s="1" t="s">
        <v>103</v>
      </c>
      <c r="I83" s="33">
        <v>41778</v>
      </c>
      <c r="J83" s="60">
        <v>42240</v>
      </c>
      <c r="K83" s="4" t="s">
        <v>135</v>
      </c>
      <c r="L83" s="1">
        <v>248</v>
      </c>
      <c r="M83" s="2">
        <v>52844</v>
      </c>
      <c r="N83" s="14">
        <v>4</v>
      </c>
      <c r="O83" s="28" t="s">
        <v>233</v>
      </c>
      <c r="P83" s="11" t="s">
        <v>249</v>
      </c>
      <c r="Q83" s="2">
        <v>4104</v>
      </c>
      <c r="R83" s="12">
        <f t="shared" si="60"/>
        <v>77.662553932329132</v>
      </c>
      <c r="S83" s="2">
        <v>2776</v>
      </c>
      <c r="T83" s="23">
        <f t="shared" si="61"/>
        <v>52.531980924986755</v>
      </c>
      <c r="U83" s="8">
        <f t="shared" si="71"/>
        <v>0.3235867446393762</v>
      </c>
      <c r="V83" s="2">
        <f t="shared" si="62"/>
        <v>1328</v>
      </c>
      <c r="W83" s="992"/>
      <c r="AC83" s="28" t="s">
        <v>233</v>
      </c>
      <c r="AD83" s="15">
        <v>78156</v>
      </c>
      <c r="AE83" s="7">
        <f t="shared" si="63"/>
        <v>1.4789947770797063</v>
      </c>
      <c r="AF83" s="15">
        <v>52863</v>
      </c>
      <c r="AG83" s="7">
        <f t="shared" si="64"/>
        <v>1.0003595488607979</v>
      </c>
      <c r="AH83" s="8">
        <f t="shared" si="72"/>
        <v>0.32362198679563947</v>
      </c>
      <c r="AI83" s="15">
        <f t="shared" si="65"/>
        <v>25293</v>
      </c>
      <c r="AN83" s="28" t="s">
        <v>233</v>
      </c>
      <c r="AO83" s="9">
        <v>3786332</v>
      </c>
      <c r="AP83" s="9">
        <f>AO83/L83</f>
        <v>15267.467741935483</v>
      </c>
      <c r="AQ83" s="10">
        <f t="shared" si="66"/>
        <v>71.651124063280605</v>
      </c>
      <c r="AR83" s="9">
        <v>2951199</v>
      </c>
      <c r="AS83" s="9">
        <f>AR83/L83</f>
        <v>11899.995967741936</v>
      </c>
      <c r="AT83" s="10">
        <f t="shared" si="67"/>
        <v>55.847380970403449</v>
      </c>
      <c r="AU83" s="8">
        <f t="shared" si="68"/>
        <v>0.22056518023247829</v>
      </c>
      <c r="AV83" s="2">
        <f t="shared" si="69"/>
        <v>835133</v>
      </c>
      <c r="AW83" s="14"/>
      <c r="BA83" s="245" t="s">
        <v>233</v>
      </c>
      <c r="BB83" s="64">
        <v>7187260</v>
      </c>
      <c r="BC83" s="42">
        <f t="shared" si="70"/>
        <v>136.00900764514421</v>
      </c>
      <c r="BD83" s="68">
        <v>5929373</v>
      </c>
      <c r="BE83" s="71">
        <v>591176</v>
      </c>
      <c r="BF83" s="15">
        <v>0</v>
      </c>
      <c r="BG83" s="15"/>
      <c r="BH83" s="255">
        <v>77500</v>
      </c>
      <c r="BI83" s="1353">
        <f t="shared" si="73"/>
        <v>52.796702645000593</v>
      </c>
      <c r="BJ83" s="1" t="s">
        <v>311</v>
      </c>
      <c r="BK83" s="11" t="s">
        <v>249</v>
      </c>
      <c r="BL83" s="41"/>
      <c r="BM83" s="41"/>
    </row>
    <row r="84" spans="1:65" s="3" customFormat="1" ht="27.6" customHeight="1" x14ac:dyDescent="0.2">
      <c r="A84" s="28" t="s">
        <v>1027</v>
      </c>
      <c r="B84" s="11" t="s">
        <v>951</v>
      </c>
      <c r="C84" s="11" t="s">
        <v>63</v>
      </c>
      <c r="D84" s="11" t="s">
        <v>985</v>
      </c>
      <c r="E84" s="11" t="s">
        <v>545</v>
      </c>
      <c r="F84" s="1" t="s">
        <v>270</v>
      </c>
      <c r="G84" s="37">
        <v>41565</v>
      </c>
      <c r="H84" s="432" t="s">
        <v>4</v>
      </c>
      <c r="I84" s="33">
        <v>41764</v>
      </c>
      <c r="J84" s="62">
        <v>42292</v>
      </c>
      <c r="K84" s="4" t="s">
        <v>245</v>
      </c>
      <c r="L84" s="1" t="s">
        <v>13</v>
      </c>
      <c r="M84" s="2">
        <v>105000</v>
      </c>
      <c r="N84" s="14">
        <v>3</v>
      </c>
      <c r="O84" s="28" t="s">
        <v>271</v>
      </c>
      <c r="P84" s="11" t="s">
        <v>248</v>
      </c>
      <c r="Q84" s="2">
        <v>5893</v>
      </c>
      <c r="R84" s="10">
        <f t="shared" si="60"/>
        <v>56.123809523809527</v>
      </c>
      <c r="S84" s="2">
        <v>5553</v>
      </c>
      <c r="T84" s="10">
        <f t="shared" si="61"/>
        <v>52.885714285714286</v>
      </c>
      <c r="U84" s="8">
        <f t="shared" si="71"/>
        <v>5.7695571016460209E-2</v>
      </c>
      <c r="V84" s="2">
        <f t="shared" si="62"/>
        <v>340</v>
      </c>
      <c r="W84" s="992"/>
      <c r="AC84" s="28" t="s">
        <v>271</v>
      </c>
      <c r="AD84" s="15">
        <v>96234</v>
      </c>
      <c r="AE84" s="7">
        <f t="shared" si="63"/>
        <v>0.91651428571428573</v>
      </c>
      <c r="AF84" s="15">
        <v>84246</v>
      </c>
      <c r="AG84" s="7">
        <f t="shared" si="64"/>
        <v>0.80234285714285714</v>
      </c>
      <c r="AH84" s="8">
        <f t="shared" si="72"/>
        <v>0.12457135731654093</v>
      </c>
      <c r="AI84" s="15">
        <f t="shared" si="65"/>
        <v>11988</v>
      </c>
      <c r="AN84" s="28" t="s">
        <v>271</v>
      </c>
      <c r="AO84" s="19">
        <v>2939272</v>
      </c>
      <c r="AP84" s="19" t="s">
        <v>13</v>
      </c>
      <c r="AQ84" s="10">
        <f t="shared" si="66"/>
        <v>27.993066666666667</v>
      </c>
      <c r="AR84" s="19">
        <v>1888963</v>
      </c>
      <c r="AS84" s="19" t="s">
        <v>13</v>
      </c>
      <c r="AT84" s="10">
        <f t="shared" si="67"/>
        <v>17.990123809523809</v>
      </c>
      <c r="AU84" s="8">
        <f t="shared" si="68"/>
        <v>0.3573364424932432</v>
      </c>
      <c r="AV84" s="2">
        <f t="shared" si="69"/>
        <v>1050309</v>
      </c>
      <c r="AW84" s="14"/>
      <c r="AX84" s="14"/>
      <c r="AY84" s="14"/>
      <c r="AZ84" s="14"/>
      <c r="BA84" s="245" t="s">
        <v>271</v>
      </c>
      <c r="BB84" s="64">
        <v>14388687</v>
      </c>
      <c r="BC84" s="42">
        <f t="shared" si="70"/>
        <v>137.03511428571429</v>
      </c>
      <c r="BD84" s="68">
        <v>13744319</v>
      </c>
      <c r="BE84" s="71">
        <v>1224800</v>
      </c>
      <c r="BF84" s="15">
        <v>0</v>
      </c>
      <c r="BG84" s="15"/>
      <c r="BH84" s="255">
        <v>136650</v>
      </c>
      <c r="BI84" s="1353">
        <f t="shared" si="73"/>
        <v>65.14998331664998</v>
      </c>
      <c r="BJ84" s="1" t="s">
        <v>304</v>
      </c>
      <c r="BK84" s="11" t="s">
        <v>248</v>
      </c>
      <c r="BL84" s="41"/>
      <c r="BM84" s="41"/>
    </row>
    <row r="85" spans="1:65" s="3" customFormat="1" ht="27.6" customHeight="1" thickBot="1" x14ac:dyDescent="0.25">
      <c r="A85" s="28" t="s">
        <v>263</v>
      </c>
      <c r="B85" s="11"/>
      <c r="C85" s="11" t="s">
        <v>147</v>
      </c>
      <c r="D85" s="11" t="s">
        <v>987</v>
      </c>
      <c r="E85" s="11"/>
      <c r="F85" s="1" t="s">
        <v>146</v>
      </c>
      <c r="G85" s="37">
        <v>41156</v>
      </c>
      <c r="H85" s="1" t="s">
        <v>10</v>
      </c>
      <c r="I85" s="33" t="s">
        <v>945</v>
      </c>
      <c r="J85" s="62">
        <v>42278</v>
      </c>
      <c r="K85" s="28" t="s">
        <v>234</v>
      </c>
      <c r="L85" s="1">
        <v>66</v>
      </c>
      <c r="M85" s="2">
        <v>97014</v>
      </c>
      <c r="N85" s="14">
        <v>5</v>
      </c>
      <c r="O85" s="28" t="s">
        <v>263</v>
      </c>
      <c r="P85" s="11" t="s">
        <v>247</v>
      </c>
      <c r="Q85" s="2">
        <v>6933</v>
      </c>
      <c r="R85" s="10">
        <f t="shared" si="60"/>
        <v>71.463912425010818</v>
      </c>
      <c r="S85" s="2">
        <v>4473</v>
      </c>
      <c r="T85" s="10">
        <f t="shared" si="61"/>
        <v>46.106747479745195</v>
      </c>
      <c r="U85" s="8">
        <f t="shared" si="71"/>
        <v>0.35482475118996104</v>
      </c>
      <c r="V85" s="2">
        <f t="shared" si="62"/>
        <v>2460</v>
      </c>
      <c r="W85" s="992"/>
      <c r="AC85" s="28" t="s">
        <v>263</v>
      </c>
      <c r="AD85" s="15">
        <v>14092</v>
      </c>
      <c r="AE85" s="7">
        <f t="shared" si="63"/>
        <v>0.14525738553198508</v>
      </c>
      <c r="AF85" s="15">
        <v>10313</v>
      </c>
      <c r="AG85" s="7">
        <f t="shared" si="64"/>
        <v>0.10630424474818068</v>
      </c>
      <c r="AH85" s="8">
        <f t="shared" si="72"/>
        <v>0.26816633550950897</v>
      </c>
      <c r="AI85" s="15">
        <f t="shared" si="65"/>
        <v>3779</v>
      </c>
      <c r="AN85" s="28" t="s">
        <v>263</v>
      </c>
      <c r="AO85" s="2">
        <v>2116678</v>
      </c>
      <c r="AP85" s="2">
        <f>AO85/L85</f>
        <v>32070.878787878788</v>
      </c>
      <c r="AQ85" s="10">
        <f t="shared" si="66"/>
        <v>21.818273651225596</v>
      </c>
      <c r="AR85" s="2">
        <v>1698607</v>
      </c>
      <c r="AS85" s="9">
        <f>AR85/L85</f>
        <v>25736.469696969696</v>
      </c>
      <c r="AT85" s="10">
        <f t="shared" si="67"/>
        <v>17.508885315521471</v>
      </c>
      <c r="AU85" s="8">
        <f t="shared" si="68"/>
        <v>0.19751280071886229</v>
      </c>
      <c r="AV85" s="2">
        <f t="shared" si="69"/>
        <v>418071</v>
      </c>
      <c r="BA85" s="1365" t="s">
        <v>263</v>
      </c>
      <c r="BB85" s="1366">
        <v>25040939</v>
      </c>
      <c r="BC85" s="906">
        <f t="shared" si="70"/>
        <v>258.11675634444515</v>
      </c>
      <c r="BD85" s="259"/>
      <c r="BE85" s="1367" t="s">
        <v>244</v>
      </c>
      <c r="BF85" s="258"/>
      <c r="BG85" s="259"/>
      <c r="BH85" s="1368" t="s">
        <v>244</v>
      </c>
      <c r="BI85" s="1353"/>
      <c r="BJ85" s="1"/>
      <c r="BK85" s="11" t="s">
        <v>247</v>
      </c>
      <c r="BL85" s="41"/>
      <c r="BM85" s="41"/>
    </row>
    <row r="86" spans="1:65" s="430" customFormat="1" ht="27.6" customHeight="1" x14ac:dyDescent="0.2">
      <c r="A86" s="1359" t="s">
        <v>265</v>
      </c>
      <c r="B86" s="1369" t="s">
        <v>953</v>
      </c>
      <c r="C86" s="1370" t="s">
        <v>264</v>
      </c>
      <c r="D86" s="1370" t="s">
        <v>989</v>
      </c>
      <c r="E86" s="1370"/>
      <c r="F86" s="1371" t="s">
        <v>266</v>
      </c>
      <c r="G86" s="1372">
        <v>41596</v>
      </c>
      <c r="H86" s="1371" t="s">
        <v>10</v>
      </c>
      <c r="I86" s="1373">
        <v>41870</v>
      </c>
      <c r="J86" s="1374">
        <v>42311</v>
      </c>
      <c r="K86" s="1375" t="s">
        <v>267</v>
      </c>
      <c r="L86" s="1371" t="s">
        <v>13</v>
      </c>
      <c r="M86" s="1376">
        <v>47729</v>
      </c>
      <c r="N86" s="1377">
        <v>1</v>
      </c>
      <c r="O86" s="28" t="s">
        <v>265</v>
      </c>
      <c r="P86" s="11" t="s">
        <v>249</v>
      </c>
      <c r="Q86" s="2">
        <v>2614</v>
      </c>
      <c r="R86" s="10">
        <f t="shared" si="60"/>
        <v>54.767541746108236</v>
      </c>
      <c r="S86" s="2">
        <v>1818</v>
      </c>
      <c r="T86" s="10">
        <f t="shared" si="61"/>
        <v>38.090050074378262</v>
      </c>
      <c r="U86" s="27">
        <f t="shared" si="71"/>
        <v>0.3045141545524101</v>
      </c>
      <c r="V86" s="2">
        <f t="shared" si="62"/>
        <v>796</v>
      </c>
      <c r="W86" s="992"/>
      <c r="X86" s="3"/>
      <c r="Y86" s="3"/>
      <c r="Z86" s="3"/>
      <c r="AA86" s="3"/>
      <c r="AB86" s="3"/>
      <c r="AC86" s="1359" t="s">
        <v>265</v>
      </c>
      <c r="AD86" s="1363">
        <v>52390</v>
      </c>
      <c r="AE86" s="1378">
        <f t="shared" si="63"/>
        <v>1.0976555134195143</v>
      </c>
      <c r="AF86" s="1363">
        <v>33542</v>
      </c>
      <c r="AG86" s="1378">
        <f t="shared" si="64"/>
        <v>0.70275932871000857</v>
      </c>
      <c r="AH86" s="1379">
        <f t="shared" si="72"/>
        <v>0.35976331360946745</v>
      </c>
      <c r="AI86" s="1363">
        <f t="shared" si="65"/>
        <v>18848</v>
      </c>
      <c r="AJ86" s="1362"/>
      <c r="AK86" s="1362"/>
      <c r="AL86" s="1362"/>
      <c r="AM86" s="1380"/>
      <c r="AN86" s="28" t="s">
        <v>265</v>
      </c>
      <c r="AO86" s="9">
        <v>1075022</v>
      </c>
      <c r="AP86" s="9" t="s">
        <v>13</v>
      </c>
      <c r="AQ86" s="2">
        <f t="shared" si="66"/>
        <v>22.523455341616209</v>
      </c>
      <c r="AR86" s="9">
        <v>817762</v>
      </c>
      <c r="AS86" s="9" t="s">
        <v>13</v>
      </c>
      <c r="AT86" s="2">
        <f t="shared" si="67"/>
        <v>17.133440884996542</v>
      </c>
      <c r="AU86" s="8">
        <f t="shared" si="68"/>
        <v>0.23930673046691137</v>
      </c>
      <c r="AV86" s="2">
        <f t="shared" si="69"/>
        <v>257260</v>
      </c>
      <c r="AW86" s="14"/>
      <c r="AX86" s="3"/>
      <c r="AY86" s="3"/>
      <c r="AZ86" s="3"/>
      <c r="BA86" s="28" t="s">
        <v>265</v>
      </c>
      <c r="BB86" s="65">
        <v>3636045</v>
      </c>
      <c r="BC86" s="42">
        <f t="shared" si="70"/>
        <v>76.181042971778169</v>
      </c>
      <c r="BD86" s="68">
        <v>3327846</v>
      </c>
      <c r="BE86" s="71">
        <v>449750</v>
      </c>
      <c r="BF86" s="15">
        <v>41200</v>
      </c>
      <c r="BG86" s="15"/>
      <c r="BH86" s="29"/>
      <c r="BI86" s="1353">
        <f t="shared" ref="BI86:BI93" si="74">((BB86-BD86)+BF86+BG86+BH86)/AI86</f>
        <v>18.537722835314092</v>
      </c>
      <c r="BJ86" s="1" t="s">
        <v>314</v>
      </c>
      <c r="BK86" s="11" t="s">
        <v>249</v>
      </c>
      <c r="BL86" s="41"/>
      <c r="BM86" s="41"/>
    </row>
    <row r="87" spans="1:65" s="41" customFormat="1" ht="27.6" hidden="1" customHeight="1" x14ac:dyDescent="0.2">
      <c r="A87" s="951" t="s">
        <v>521</v>
      </c>
      <c r="B87" s="900"/>
      <c r="C87" s="11" t="s">
        <v>26</v>
      </c>
      <c r="D87" s="11"/>
      <c r="E87" s="11" t="s">
        <v>508</v>
      </c>
      <c r="F87" s="1" t="s">
        <v>158</v>
      </c>
      <c r="G87" s="37">
        <v>41166</v>
      </c>
      <c r="H87" s="1" t="s">
        <v>10</v>
      </c>
      <c r="I87" s="33" t="s">
        <v>522</v>
      </c>
      <c r="J87" s="33" t="s">
        <v>522</v>
      </c>
      <c r="K87" s="28" t="s">
        <v>135</v>
      </c>
      <c r="L87" s="1">
        <v>192</v>
      </c>
      <c r="M87" s="2">
        <v>78450</v>
      </c>
      <c r="N87" s="246">
        <v>12</v>
      </c>
      <c r="O87" s="431" t="s">
        <v>521</v>
      </c>
      <c r="P87" s="11" t="s">
        <v>247</v>
      </c>
      <c r="Q87" s="2">
        <v>6070</v>
      </c>
      <c r="R87" s="10">
        <f t="shared" si="60"/>
        <v>77.374123645634157</v>
      </c>
      <c r="S87" s="2">
        <v>3601</v>
      </c>
      <c r="T87" s="10">
        <f t="shared" si="61"/>
        <v>45.901848311026129</v>
      </c>
      <c r="U87" s="8">
        <f t="shared" si="71"/>
        <v>0.40675453047775945</v>
      </c>
      <c r="V87" s="2">
        <f t="shared" si="62"/>
        <v>2469</v>
      </c>
      <c r="W87" s="992"/>
      <c r="X87" s="3"/>
      <c r="Y87" s="3"/>
      <c r="Z87" s="3"/>
      <c r="AA87" s="3"/>
      <c r="AB87" s="3"/>
      <c r="AC87" s="951" t="s">
        <v>521</v>
      </c>
      <c r="AD87" s="15">
        <v>143502</v>
      </c>
      <c r="AE87" s="7">
        <f t="shared" si="63"/>
        <v>1.8292160611854684</v>
      </c>
      <c r="AF87" s="15">
        <v>87933</v>
      </c>
      <c r="AG87" s="7">
        <f t="shared" si="64"/>
        <v>1.1208795411089867</v>
      </c>
      <c r="AH87" s="8">
        <f t="shared" si="72"/>
        <v>0.38723502111468827</v>
      </c>
      <c r="AI87" s="15">
        <f t="shared" si="65"/>
        <v>55569</v>
      </c>
      <c r="AJ87" s="3"/>
      <c r="AK87" s="3"/>
      <c r="AL87" s="3"/>
      <c r="AM87" s="257"/>
      <c r="AN87" s="431" t="s">
        <v>521</v>
      </c>
      <c r="AO87" s="2">
        <v>2528379</v>
      </c>
      <c r="AP87" s="2">
        <f>AO87/L87</f>
        <v>13168.640625</v>
      </c>
      <c r="AQ87" s="10">
        <f t="shared" si="66"/>
        <v>32.229177820267687</v>
      </c>
      <c r="AR87" s="2">
        <v>1493037</v>
      </c>
      <c r="AS87" s="9">
        <f>AR87/L87</f>
        <v>7776.234375</v>
      </c>
      <c r="AT87" s="10">
        <f t="shared" si="67"/>
        <v>19.031701720841301</v>
      </c>
      <c r="AU87" s="8">
        <f t="shared" si="68"/>
        <v>0.40948845090075497</v>
      </c>
      <c r="AV87" s="2">
        <f t="shared" si="69"/>
        <v>1035342</v>
      </c>
      <c r="AW87" s="3"/>
      <c r="AX87" s="3"/>
      <c r="AY87" s="3"/>
      <c r="AZ87" s="3"/>
      <c r="BA87" s="431" t="s">
        <v>521</v>
      </c>
      <c r="BB87" s="79">
        <v>11873469</v>
      </c>
      <c r="BC87" s="42">
        <f t="shared" si="70"/>
        <v>151.35078393881454</v>
      </c>
      <c r="BD87" s="3"/>
      <c r="BE87" s="15">
        <v>1313285</v>
      </c>
      <c r="BF87" s="15">
        <v>103000</v>
      </c>
      <c r="BG87" s="3"/>
      <c r="BH87" s="15">
        <v>92600</v>
      </c>
      <c r="BI87" s="1353">
        <f t="shared" si="74"/>
        <v>217.19068185499108</v>
      </c>
      <c r="BJ87" s="1"/>
      <c r="BK87" s="11" t="s">
        <v>247</v>
      </c>
      <c r="BL87" s="3"/>
      <c r="BM87" s="3"/>
    </row>
    <row r="88" spans="1:65" s="41" customFormat="1" ht="27.6" hidden="1" customHeight="1" x14ac:dyDescent="0.2">
      <c r="A88" s="247" t="s">
        <v>519</v>
      </c>
      <c r="B88" s="11"/>
      <c r="C88" s="11" t="s">
        <v>79</v>
      </c>
      <c r="D88" s="11"/>
      <c r="E88" s="11"/>
      <c r="F88" s="1" t="s">
        <v>21</v>
      </c>
      <c r="G88" s="33">
        <v>41738</v>
      </c>
      <c r="H88" s="11" t="s">
        <v>4</v>
      </c>
      <c r="I88" s="33" t="s">
        <v>518</v>
      </c>
      <c r="J88" s="33" t="s">
        <v>518</v>
      </c>
      <c r="K88" s="4" t="s">
        <v>88</v>
      </c>
      <c r="L88" s="11" t="s">
        <v>13</v>
      </c>
      <c r="M88" s="6">
        <v>44978</v>
      </c>
      <c r="N88" s="248">
        <v>3</v>
      </c>
      <c r="O88" s="4" t="s">
        <v>519</v>
      </c>
      <c r="P88" s="11" t="s">
        <v>249</v>
      </c>
      <c r="Q88" s="2">
        <v>6871</v>
      </c>
      <c r="R88" s="12">
        <f t="shared" si="60"/>
        <v>152.76357330250346</v>
      </c>
      <c r="S88" s="2">
        <v>4929</v>
      </c>
      <c r="T88" s="23">
        <f t="shared" si="61"/>
        <v>109.58690915558718</v>
      </c>
      <c r="U88" s="5">
        <f t="shared" si="71"/>
        <v>0.28263717071750838</v>
      </c>
      <c r="V88" s="13">
        <f t="shared" si="62"/>
        <v>1942</v>
      </c>
      <c r="W88" s="967"/>
      <c r="X88" s="14"/>
      <c r="Y88" s="2"/>
      <c r="Z88" s="2"/>
      <c r="AA88" s="2"/>
      <c r="AB88" s="2"/>
      <c r="AC88" s="247" t="s">
        <v>519</v>
      </c>
      <c r="AD88" s="15">
        <v>134054</v>
      </c>
      <c r="AE88" s="7">
        <f t="shared" si="63"/>
        <v>2.9804348792743118</v>
      </c>
      <c r="AF88" s="15">
        <v>98221</v>
      </c>
      <c r="AG88" s="7">
        <f t="shared" si="64"/>
        <v>2.1837565031793322</v>
      </c>
      <c r="AH88" s="8">
        <f t="shared" si="72"/>
        <v>0.26730272875110028</v>
      </c>
      <c r="AI88" s="16">
        <f t="shared" si="65"/>
        <v>35833</v>
      </c>
      <c r="AJ88" s="3"/>
      <c r="AK88" s="2"/>
      <c r="AL88" s="2"/>
      <c r="AM88" s="908"/>
      <c r="AN88" s="4" t="s">
        <v>519</v>
      </c>
      <c r="AO88" s="3"/>
      <c r="AP88" s="9" t="s">
        <v>13</v>
      </c>
      <c r="AQ88" s="2">
        <f t="shared" si="66"/>
        <v>0</v>
      </c>
      <c r="AR88" s="3"/>
      <c r="AS88" s="9" t="s">
        <v>13</v>
      </c>
      <c r="AT88" s="2">
        <f t="shared" si="67"/>
        <v>0</v>
      </c>
      <c r="AU88" s="8"/>
      <c r="AV88" s="17">
        <f t="shared" si="69"/>
        <v>0</v>
      </c>
      <c r="AW88" s="3"/>
      <c r="AX88" s="9"/>
      <c r="AY88" s="2"/>
      <c r="AZ88" s="2"/>
      <c r="BA88" s="4" t="s">
        <v>519</v>
      </c>
      <c r="BB88" s="65">
        <v>4825393</v>
      </c>
      <c r="BC88" s="42">
        <f t="shared" si="70"/>
        <v>107.28340522032994</v>
      </c>
      <c r="BD88" s="15">
        <v>4180000</v>
      </c>
      <c r="BE88" s="15">
        <v>932460</v>
      </c>
      <c r="BF88" s="15">
        <v>308832</v>
      </c>
      <c r="BG88" s="3"/>
      <c r="BH88" s="15">
        <v>28700</v>
      </c>
      <c r="BI88" s="1353">
        <f t="shared" si="74"/>
        <v>27.4307202857701</v>
      </c>
      <c r="BJ88" s="1"/>
      <c r="BK88" s="11" t="s">
        <v>249</v>
      </c>
      <c r="BL88" s="3"/>
      <c r="BM88" s="3"/>
    </row>
    <row r="89" spans="1:65" s="41" customFormat="1" ht="27.6" customHeight="1" x14ac:dyDescent="0.2">
      <c r="A89" s="245" t="s">
        <v>178</v>
      </c>
      <c r="B89" s="915" t="s">
        <v>953</v>
      </c>
      <c r="C89" s="11" t="s">
        <v>109</v>
      </c>
      <c r="D89" s="11" t="s">
        <v>993</v>
      </c>
      <c r="E89" s="11" t="s">
        <v>548</v>
      </c>
      <c r="F89" s="1" t="s">
        <v>226</v>
      </c>
      <c r="G89" s="37">
        <v>41715</v>
      </c>
      <c r="H89" s="1" t="s">
        <v>10</v>
      </c>
      <c r="I89" s="33">
        <v>41704</v>
      </c>
      <c r="J89" s="62">
        <v>42565</v>
      </c>
      <c r="K89" s="28" t="s">
        <v>235</v>
      </c>
      <c r="L89" s="1" t="s">
        <v>13</v>
      </c>
      <c r="M89" s="2">
        <v>213000</v>
      </c>
      <c r="N89" s="246">
        <v>3</v>
      </c>
      <c r="O89" s="28" t="s">
        <v>178</v>
      </c>
      <c r="P89" s="11" t="s">
        <v>249</v>
      </c>
      <c r="Q89" s="2">
        <v>20211</v>
      </c>
      <c r="R89" s="10">
        <f t="shared" si="60"/>
        <v>94.887323943661983</v>
      </c>
      <c r="S89" s="2">
        <v>15288</v>
      </c>
      <c r="T89" s="10">
        <f t="shared" si="61"/>
        <v>71.774647887323951</v>
      </c>
      <c r="U89" s="8">
        <f t="shared" si="71"/>
        <v>0.24358022858839246</v>
      </c>
      <c r="V89" s="2">
        <f t="shared" si="62"/>
        <v>4923</v>
      </c>
      <c r="W89" s="992"/>
      <c r="X89" s="3"/>
      <c r="Y89" s="3"/>
      <c r="Z89" s="3"/>
      <c r="AA89" s="3"/>
      <c r="AB89" s="3"/>
      <c r="AC89" s="245" t="s">
        <v>178</v>
      </c>
      <c r="AD89" s="15">
        <v>275822</v>
      </c>
      <c r="AE89" s="7">
        <f t="shared" si="63"/>
        <v>1.2949389671361502</v>
      </c>
      <c r="AF89" s="15">
        <v>188166</v>
      </c>
      <c r="AG89" s="7">
        <f t="shared" si="64"/>
        <v>0.88340845070422536</v>
      </c>
      <c r="AH89" s="8">
        <f t="shared" si="72"/>
        <v>0.31779916032803762</v>
      </c>
      <c r="AI89" s="15">
        <f t="shared" si="65"/>
        <v>87656</v>
      </c>
      <c r="AJ89" s="3"/>
      <c r="AK89" s="3"/>
      <c r="AL89" s="3"/>
      <c r="AM89" s="257"/>
      <c r="AN89" s="28" t="s">
        <v>178</v>
      </c>
      <c r="AO89" s="2">
        <v>2060500</v>
      </c>
      <c r="AP89" s="9" t="s">
        <v>13</v>
      </c>
      <c r="AQ89" s="10">
        <f t="shared" si="66"/>
        <v>9.6737089201877939</v>
      </c>
      <c r="AR89" s="2">
        <v>1524900</v>
      </c>
      <c r="AS89" s="9" t="s">
        <v>13</v>
      </c>
      <c r="AT89" s="10">
        <f t="shared" si="67"/>
        <v>7.1591549295774648</v>
      </c>
      <c r="AU89" s="8">
        <f>(AO89-AR89)/AO89</f>
        <v>0.25993690851735018</v>
      </c>
      <c r="AV89" s="2">
        <f t="shared" si="69"/>
        <v>535600</v>
      </c>
      <c r="AW89" s="3"/>
      <c r="AX89" s="3"/>
      <c r="AY89" s="3"/>
      <c r="AZ89" s="3"/>
      <c r="BA89" s="28" t="s">
        <v>315</v>
      </c>
      <c r="BB89" s="70">
        <v>69872746</v>
      </c>
      <c r="BC89" s="42">
        <f t="shared" si="70"/>
        <v>328.04106103286387</v>
      </c>
      <c r="BD89" s="15">
        <v>63588816</v>
      </c>
      <c r="BE89" s="15">
        <v>6427000</v>
      </c>
      <c r="BF89" s="15">
        <v>67200</v>
      </c>
      <c r="BG89" s="15"/>
      <c r="BH89" s="15">
        <v>344800</v>
      </c>
      <c r="BI89" s="1353">
        <f t="shared" si="74"/>
        <v>76.388724103312953</v>
      </c>
      <c r="BJ89" s="1" t="s">
        <v>304</v>
      </c>
      <c r="BK89" s="11" t="s">
        <v>249</v>
      </c>
      <c r="BL89" s="3"/>
      <c r="BM89" s="3"/>
    </row>
    <row r="90" spans="1:65" s="263" customFormat="1" ht="27.6" customHeight="1" x14ac:dyDescent="0.2">
      <c r="A90" s="245" t="s">
        <v>425</v>
      </c>
      <c r="B90" s="11"/>
      <c r="C90" s="11" t="s">
        <v>63</v>
      </c>
      <c r="D90" s="11" t="s">
        <v>985</v>
      </c>
      <c r="E90" s="11" t="s">
        <v>545</v>
      </c>
      <c r="F90" s="1" t="s">
        <v>517</v>
      </c>
      <c r="G90" s="37">
        <v>41934</v>
      </c>
      <c r="H90" s="1" t="s">
        <v>10</v>
      </c>
      <c r="I90" s="33">
        <v>42093</v>
      </c>
      <c r="J90" s="62">
        <v>42573</v>
      </c>
      <c r="K90" s="4" t="s">
        <v>135</v>
      </c>
      <c r="L90" s="1">
        <v>436</v>
      </c>
      <c r="M90" s="2">
        <v>157219</v>
      </c>
      <c r="N90" s="246">
        <v>6</v>
      </c>
      <c r="O90" s="28" t="s">
        <v>425</v>
      </c>
      <c r="P90" s="11" t="s">
        <v>249</v>
      </c>
      <c r="Q90" s="2">
        <v>8086</v>
      </c>
      <c r="R90" s="10">
        <f t="shared" si="60"/>
        <v>51.431442764551363</v>
      </c>
      <c r="S90" s="2">
        <v>6532</v>
      </c>
      <c r="T90" s="10">
        <f t="shared" si="61"/>
        <v>41.547141248831252</v>
      </c>
      <c r="U90" s="8">
        <f t="shared" si="71"/>
        <v>0.19218402176601534</v>
      </c>
      <c r="V90" s="2">
        <f t="shared" si="62"/>
        <v>1554</v>
      </c>
      <c r="W90" s="992"/>
      <c r="X90" s="3"/>
      <c r="Y90" s="3"/>
      <c r="Z90" s="3"/>
      <c r="AA90" s="3"/>
      <c r="AB90" s="3"/>
      <c r="AC90" s="245" t="s">
        <v>425</v>
      </c>
      <c r="AD90" s="15">
        <v>132669</v>
      </c>
      <c r="AE90" s="7">
        <f t="shared" si="63"/>
        <v>0.84384838982565724</v>
      </c>
      <c r="AF90" s="15">
        <v>106400</v>
      </c>
      <c r="AG90" s="7">
        <f t="shared" si="64"/>
        <v>0.67676298666191748</v>
      </c>
      <c r="AH90" s="8">
        <f t="shared" si="72"/>
        <v>0.1980040552050592</v>
      </c>
      <c r="AI90" s="15">
        <f t="shared" si="65"/>
        <v>26269</v>
      </c>
      <c r="AJ90" s="3"/>
      <c r="AK90" s="3"/>
      <c r="AL90" s="3"/>
      <c r="AM90" s="257"/>
      <c r="AN90" s="28" t="s">
        <v>425</v>
      </c>
      <c r="AO90" s="2">
        <v>3855098</v>
      </c>
      <c r="AP90" s="9">
        <f>AO90/L90</f>
        <v>8841.9678899082573</v>
      </c>
      <c r="AQ90" s="10">
        <f t="shared" si="66"/>
        <v>24.520560492052486</v>
      </c>
      <c r="AR90" s="2">
        <v>2204228</v>
      </c>
      <c r="AS90" s="9">
        <f>AR90/L90</f>
        <v>5055.5688073394494</v>
      </c>
      <c r="AT90" s="10">
        <f t="shared" si="67"/>
        <v>14.02011207296828</v>
      </c>
      <c r="AU90" s="8">
        <f>(AO90-AR90)/AO90</f>
        <v>0.42823035886506644</v>
      </c>
      <c r="AV90" s="2">
        <f t="shared" si="69"/>
        <v>1650870</v>
      </c>
      <c r="AW90" s="3"/>
      <c r="AX90" s="3"/>
      <c r="AY90" s="3"/>
      <c r="AZ90" s="3"/>
      <c r="BA90" s="28" t="s">
        <v>425</v>
      </c>
      <c r="BB90" s="65">
        <v>38708442</v>
      </c>
      <c r="BC90" s="42">
        <f t="shared" si="70"/>
        <v>246.20715053524066</v>
      </c>
      <c r="BD90" s="15">
        <v>36840000</v>
      </c>
      <c r="BE90" s="73">
        <v>3018220</v>
      </c>
      <c r="BF90" s="15"/>
      <c r="BG90" s="15">
        <v>27500</v>
      </c>
      <c r="BH90" s="15">
        <v>164340</v>
      </c>
      <c r="BI90" s="1353">
        <f t="shared" si="74"/>
        <v>78.430164833073206</v>
      </c>
      <c r="BJ90" s="1" t="s">
        <v>313</v>
      </c>
      <c r="BK90" s="11" t="s">
        <v>249</v>
      </c>
      <c r="BL90" s="3"/>
      <c r="BM90" s="3"/>
    </row>
    <row r="91" spans="1:65" s="263" customFormat="1" ht="27.6" customHeight="1" x14ac:dyDescent="0.2">
      <c r="A91" s="245" t="s">
        <v>417</v>
      </c>
      <c r="B91" s="915" t="s">
        <v>953</v>
      </c>
      <c r="C91" s="11" t="s">
        <v>60</v>
      </c>
      <c r="D91" s="11" t="s">
        <v>989</v>
      </c>
      <c r="E91" s="11" t="s">
        <v>510</v>
      </c>
      <c r="F91" s="1" t="s">
        <v>428</v>
      </c>
      <c r="G91" s="37">
        <v>41961</v>
      </c>
      <c r="H91" s="1" t="s">
        <v>10</v>
      </c>
      <c r="I91" s="33">
        <v>42171</v>
      </c>
      <c r="J91" s="62">
        <v>42654</v>
      </c>
      <c r="K91" s="4" t="s">
        <v>418</v>
      </c>
      <c r="L91" s="1" t="s">
        <v>13</v>
      </c>
      <c r="M91" s="2">
        <v>165584</v>
      </c>
      <c r="N91" s="246">
        <v>3</v>
      </c>
      <c r="O91" s="28" t="s">
        <v>417</v>
      </c>
      <c r="P91" s="11" t="s">
        <v>249</v>
      </c>
      <c r="Q91" s="2">
        <v>29857</v>
      </c>
      <c r="R91" s="10">
        <f>Q91/M91*1000</f>
        <v>180.31331529616386</v>
      </c>
      <c r="S91" s="2">
        <v>22062</v>
      </c>
      <c r="T91" s="10">
        <f>S91/M91*1000</f>
        <v>133.23751087061552</v>
      </c>
      <c r="U91" s="8">
        <f>(Q91-S91)/Q91</f>
        <v>0.26107780420002008</v>
      </c>
      <c r="V91" s="2">
        <f>Q91-S91</f>
        <v>7795</v>
      </c>
      <c r="W91" s="992"/>
      <c r="X91" s="3"/>
      <c r="Y91" s="3"/>
      <c r="Z91" s="3"/>
      <c r="AA91" s="3"/>
      <c r="AB91" s="3"/>
      <c r="AC91" s="245" t="s">
        <v>417</v>
      </c>
      <c r="AD91" s="15">
        <v>534913</v>
      </c>
      <c r="AE91" s="7">
        <f t="shared" si="63"/>
        <v>3.2304630882210841</v>
      </c>
      <c r="AF91" s="15">
        <v>426967</v>
      </c>
      <c r="AG91" s="7">
        <f t="shared" si="64"/>
        <v>2.5785522755821817</v>
      </c>
      <c r="AH91" s="8">
        <f t="shared" si="72"/>
        <v>0.20180104054304157</v>
      </c>
      <c r="AI91" s="15">
        <f t="shared" si="65"/>
        <v>107946</v>
      </c>
      <c r="AJ91" s="3"/>
      <c r="AK91" s="3"/>
      <c r="AL91" s="3"/>
      <c r="AM91" s="257"/>
      <c r="AN91" s="28" t="s">
        <v>417</v>
      </c>
      <c r="AO91" s="9">
        <v>330635</v>
      </c>
      <c r="AP91" s="9" t="s">
        <v>13</v>
      </c>
      <c r="AQ91" s="2">
        <f>AO91/M91</f>
        <v>1.9967810899603826</v>
      </c>
      <c r="AR91" s="9">
        <v>247594</v>
      </c>
      <c r="AS91" s="9" t="s">
        <v>13</v>
      </c>
      <c r="AT91" s="2">
        <f>AR91/M91</f>
        <v>1.4952773214803363</v>
      </c>
      <c r="AU91" s="8">
        <f>(AO91-AR91)/AO91</f>
        <v>0.25115610869992588</v>
      </c>
      <c r="AV91" s="2">
        <f>AO91-AR91</f>
        <v>83041</v>
      </c>
      <c r="AW91" s="14"/>
      <c r="AX91" s="3"/>
      <c r="AY91" s="3"/>
      <c r="AZ91" s="3"/>
      <c r="BA91" s="28" t="s">
        <v>417</v>
      </c>
      <c r="BB91" s="64">
        <v>23473863</v>
      </c>
      <c r="BC91" s="42">
        <f t="shared" si="70"/>
        <v>141.76407744709633</v>
      </c>
      <c r="BD91" s="68">
        <f>BB91</f>
        <v>23473863</v>
      </c>
      <c r="BE91" s="73">
        <v>3170473</v>
      </c>
      <c r="BF91" s="15">
        <v>35000</v>
      </c>
      <c r="BG91" s="15">
        <v>60000</v>
      </c>
      <c r="BH91" s="433">
        <v>58725</v>
      </c>
      <c r="BI91" s="1353">
        <f t="shared" si="74"/>
        <v>1.4240916754673634</v>
      </c>
      <c r="BJ91" s="1" t="s">
        <v>419</v>
      </c>
      <c r="BK91" s="11" t="s">
        <v>249</v>
      </c>
      <c r="BL91" s="41"/>
      <c r="BM91" s="41"/>
    </row>
    <row r="92" spans="1:65" s="41" customFormat="1" ht="27.6" customHeight="1" x14ac:dyDescent="0.2">
      <c r="A92" s="245" t="s">
        <v>251</v>
      </c>
      <c r="B92" s="11" t="s">
        <v>951</v>
      </c>
      <c r="C92" s="11" t="s">
        <v>252</v>
      </c>
      <c r="D92" s="11" t="s">
        <v>1003</v>
      </c>
      <c r="E92" s="11"/>
      <c r="F92" s="1" t="s">
        <v>427</v>
      </c>
      <c r="G92" s="37">
        <v>41943</v>
      </c>
      <c r="H92" s="1" t="s">
        <v>103</v>
      </c>
      <c r="I92" s="33">
        <v>42215</v>
      </c>
      <c r="J92" s="62">
        <v>42774</v>
      </c>
      <c r="K92" s="4" t="s">
        <v>200</v>
      </c>
      <c r="L92" s="1" t="s">
        <v>13</v>
      </c>
      <c r="M92" s="2">
        <v>35357</v>
      </c>
      <c r="N92" s="246">
        <v>2</v>
      </c>
      <c r="O92" s="28" t="s">
        <v>251</v>
      </c>
      <c r="P92" s="11" t="s">
        <v>249</v>
      </c>
      <c r="Q92" s="2">
        <v>7819</v>
      </c>
      <c r="R92" s="10">
        <f>Q92/M92*1000</f>
        <v>221.14432785587013</v>
      </c>
      <c r="S92" s="2">
        <v>5695</v>
      </c>
      <c r="T92" s="10">
        <f>S92/M92*1000</f>
        <v>161.07135786407218</v>
      </c>
      <c r="U92" s="8">
        <f>(Q92-S92)/Q92</f>
        <v>0.27164599053587413</v>
      </c>
      <c r="V92" s="2">
        <f>Q92-S92</f>
        <v>2124</v>
      </c>
      <c r="W92" s="992"/>
      <c r="X92" s="3"/>
      <c r="Y92" s="3"/>
      <c r="Z92" s="3"/>
      <c r="AA92" s="3"/>
      <c r="AB92" s="3"/>
      <c r="AC92" s="245" t="s">
        <v>251</v>
      </c>
      <c r="AD92" s="15">
        <v>205920</v>
      </c>
      <c r="AE92" s="7">
        <f t="shared" si="63"/>
        <v>5.8240235314082076</v>
      </c>
      <c r="AF92" s="15">
        <v>145347</v>
      </c>
      <c r="AG92" s="7">
        <f t="shared" si="64"/>
        <v>4.1108408518822301</v>
      </c>
      <c r="AH92" s="8">
        <f t="shared" si="72"/>
        <v>0.2941579254079254</v>
      </c>
      <c r="AI92" s="15">
        <f t="shared" si="65"/>
        <v>60573</v>
      </c>
      <c r="AJ92" s="3"/>
      <c r="AK92" s="3"/>
      <c r="AL92" s="3"/>
      <c r="AM92" s="257"/>
      <c r="AN92" s="28" t="s">
        <v>251</v>
      </c>
      <c r="AO92" s="9">
        <v>142308</v>
      </c>
      <c r="AP92" s="19" t="s">
        <v>13</v>
      </c>
      <c r="AQ92" s="10">
        <f>AO92/M92</f>
        <v>4.0248889894504627</v>
      </c>
      <c r="AR92" s="9">
        <v>97350</v>
      </c>
      <c r="AS92" s="19" t="s">
        <v>13</v>
      </c>
      <c r="AT92" s="10">
        <f>AR92/M92</f>
        <v>2.753344457957406</v>
      </c>
      <c r="AU92" s="8">
        <f>(AO92-AR92)/AO92</f>
        <v>0.31592039800995025</v>
      </c>
      <c r="AV92" s="2">
        <f>AO92-AR92</f>
        <v>44958</v>
      </c>
      <c r="AW92" s="14"/>
      <c r="AX92" s="3"/>
      <c r="AY92" s="3"/>
      <c r="AZ92" s="3"/>
      <c r="BA92" s="28" t="s">
        <v>251</v>
      </c>
      <c r="BB92" s="64">
        <v>14468100</v>
      </c>
      <c r="BC92" s="42">
        <f t="shared" si="70"/>
        <v>409.2004412139039</v>
      </c>
      <c r="BD92" s="68">
        <v>13630000</v>
      </c>
      <c r="BE92" s="71">
        <v>1440000</v>
      </c>
      <c r="BF92" s="15"/>
      <c r="BG92" s="15"/>
      <c r="BH92" s="29">
        <v>120000</v>
      </c>
      <c r="BI92" s="1353">
        <f t="shared" si="74"/>
        <v>15.817278325326466</v>
      </c>
      <c r="BJ92" s="1" t="s">
        <v>295</v>
      </c>
      <c r="BK92" s="11" t="s">
        <v>249</v>
      </c>
      <c r="BM92" s="41" t="s">
        <v>38</v>
      </c>
    </row>
    <row r="93" spans="1:65" s="41" customFormat="1" ht="27.6" customHeight="1" x14ac:dyDescent="0.2">
      <c r="A93" s="245" t="s">
        <v>215</v>
      </c>
      <c r="B93" s="915" t="s">
        <v>953</v>
      </c>
      <c r="C93" s="11" t="s">
        <v>133</v>
      </c>
      <c r="D93" s="11" t="s">
        <v>993</v>
      </c>
      <c r="E93" s="11"/>
      <c r="F93" s="1" t="s">
        <v>194</v>
      </c>
      <c r="G93" s="37">
        <v>41768</v>
      </c>
      <c r="H93" s="1" t="s">
        <v>10</v>
      </c>
      <c r="I93" s="33">
        <v>41690</v>
      </c>
      <c r="J93" s="62">
        <v>43013</v>
      </c>
      <c r="K93" s="4" t="s">
        <v>107</v>
      </c>
      <c r="L93" s="1" t="s">
        <v>13</v>
      </c>
      <c r="M93" s="2">
        <v>182275</v>
      </c>
      <c r="N93" s="246">
        <v>4</v>
      </c>
      <c r="O93" s="28" t="s">
        <v>215</v>
      </c>
      <c r="P93" s="11" t="s">
        <v>249</v>
      </c>
      <c r="Q93" s="2">
        <v>31691</v>
      </c>
      <c r="R93" s="10">
        <f>Q93/M93*1000</f>
        <v>173.86366753531752</v>
      </c>
      <c r="S93" s="2">
        <v>23425</v>
      </c>
      <c r="T93" s="10">
        <f>S93/M93*1000</f>
        <v>128.5146070497874</v>
      </c>
      <c r="U93" s="8">
        <f>(Q93-S93)/Q93</f>
        <v>0.26083115079991165</v>
      </c>
      <c r="V93" s="2">
        <f>Q93-S93</f>
        <v>8266</v>
      </c>
      <c r="W93" s="992"/>
      <c r="X93" s="3"/>
      <c r="Y93" s="3"/>
      <c r="Z93" s="3"/>
      <c r="AA93" s="3"/>
      <c r="AB93" s="3"/>
      <c r="AC93" s="245" t="s">
        <v>215</v>
      </c>
      <c r="AD93" s="15">
        <v>529117</v>
      </c>
      <c r="AE93" s="7">
        <f t="shared" si="63"/>
        <v>2.9028500891510083</v>
      </c>
      <c r="AF93" s="15">
        <v>366504</v>
      </c>
      <c r="AG93" s="7">
        <f t="shared" si="64"/>
        <v>2.0107200658345907</v>
      </c>
      <c r="AH93" s="8">
        <f t="shared" si="72"/>
        <v>0.30732900284814135</v>
      </c>
      <c r="AI93" s="15">
        <f t="shared" si="65"/>
        <v>162613</v>
      </c>
      <c r="AJ93" s="3"/>
      <c r="AK93" s="3"/>
      <c r="AL93" s="3"/>
      <c r="AM93" s="257"/>
      <c r="AN93" s="28" t="s">
        <v>215</v>
      </c>
      <c r="AO93" s="2">
        <v>5763776</v>
      </c>
      <c r="AP93" s="1" t="s">
        <v>13</v>
      </c>
      <c r="AQ93" s="10">
        <f>AO93/M93</f>
        <v>31.621319434919766</v>
      </c>
      <c r="AR93" s="2">
        <v>4434106</v>
      </c>
      <c r="AS93" s="1" t="s">
        <v>13</v>
      </c>
      <c r="AT93" s="10">
        <f>AR93/M93</f>
        <v>24.326462762309696</v>
      </c>
      <c r="AU93" s="8">
        <f>(AO93-AR93)/AO93</f>
        <v>0.23069425321178338</v>
      </c>
      <c r="AV93" s="2">
        <f>AO93-AR93</f>
        <v>1329670</v>
      </c>
      <c r="AW93" s="3"/>
      <c r="AX93" s="3"/>
      <c r="AY93" s="3"/>
      <c r="AZ93" s="3"/>
      <c r="BA93" s="245" t="s">
        <v>215</v>
      </c>
      <c r="BB93" s="69">
        <v>71806942</v>
      </c>
      <c r="BC93" s="42">
        <f t="shared" si="70"/>
        <v>393.94838568097657</v>
      </c>
      <c r="BD93" s="15">
        <v>64958142</v>
      </c>
      <c r="BE93" s="15">
        <v>7250000</v>
      </c>
      <c r="BF93" s="15">
        <v>166000</v>
      </c>
      <c r="BG93" s="15"/>
      <c r="BH93" s="256">
        <v>594000</v>
      </c>
      <c r="BI93" s="1353">
        <f t="shared" si="74"/>
        <v>46.790846980253733</v>
      </c>
      <c r="BJ93" s="1" t="s">
        <v>302</v>
      </c>
      <c r="BK93" s="11" t="s">
        <v>249</v>
      </c>
      <c r="BL93" s="3"/>
      <c r="BM93" s="3"/>
    </row>
    <row r="94" spans="1:65" s="41" customFormat="1" ht="27.6" customHeight="1" x14ac:dyDescent="0.2">
      <c r="A94" s="245" t="s">
        <v>429</v>
      </c>
      <c r="B94" s="11"/>
      <c r="C94" s="11" t="s">
        <v>216</v>
      </c>
      <c r="D94" s="11"/>
      <c r="E94" s="11" t="s">
        <v>509</v>
      </c>
      <c r="F94" s="1" t="s">
        <v>217</v>
      </c>
      <c r="G94" s="37">
        <v>41474</v>
      </c>
      <c r="H94" s="1" t="s">
        <v>4</v>
      </c>
      <c r="I94" s="33">
        <v>42192</v>
      </c>
      <c r="J94" s="62">
        <v>42793</v>
      </c>
      <c r="K94" s="4" t="s">
        <v>221</v>
      </c>
      <c r="L94" s="1" t="s">
        <v>13</v>
      </c>
      <c r="M94" s="2">
        <v>94236</v>
      </c>
      <c r="N94" s="246">
        <v>2</v>
      </c>
      <c r="O94" s="28" t="s">
        <v>429</v>
      </c>
      <c r="P94" s="11" t="s">
        <v>249</v>
      </c>
      <c r="Q94" s="2">
        <v>6944</v>
      </c>
      <c r="R94" s="12">
        <f>Q94/M94*1000</f>
        <v>73.687338172248403</v>
      </c>
      <c r="S94" s="2">
        <v>6610</v>
      </c>
      <c r="T94" s="10">
        <f>S94/M94*1000</f>
        <v>70.143045120760632</v>
      </c>
      <c r="U94" s="8">
        <f>(Q94-S94)/Q94</f>
        <v>4.8099078341013825E-2</v>
      </c>
      <c r="V94" s="2">
        <f>Q94-S94</f>
        <v>334</v>
      </c>
      <c r="W94" s="992"/>
      <c r="X94" s="3"/>
      <c r="Y94" s="3"/>
      <c r="Z94" s="3"/>
      <c r="AA94" s="3"/>
      <c r="AB94" s="3"/>
      <c r="AC94" s="245" t="s">
        <v>440</v>
      </c>
      <c r="AD94" s="15">
        <v>249013</v>
      </c>
      <c r="AE94" s="7">
        <f t="shared" si="63"/>
        <v>2.642440256377605</v>
      </c>
      <c r="AF94" s="15">
        <v>222050</v>
      </c>
      <c r="AG94" s="7">
        <f t="shared" si="64"/>
        <v>2.35631817988879</v>
      </c>
      <c r="AH94" s="8">
        <f t="shared" si="72"/>
        <v>0.10827948741631963</v>
      </c>
      <c r="AI94" s="15">
        <f t="shared" si="65"/>
        <v>26963</v>
      </c>
      <c r="AJ94" s="3"/>
      <c r="AK94" s="3"/>
      <c r="AL94" s="3"/>
      <c r="AM94" s="257"/>
      <c r="AN94" s="28" t="s">
        <v>429</v>
      </c>
      <c r="AO94" s="80" t="s">
        <v>222</v>
      </c>
      <c r="AP94" s="80" t="s">
        <v>222</v>
      </c>
      <c r="AQ94" s="80" t="s">
        <v>222</v>
      </c>
      <c r="AR94" s="80" t="s">
        <v>222</v>
      </c>
      <c r="AS94" s="80" t="s">
        <v>222</v>
      </c>
      <c r="AT94" s="80" t="s">
        <v>222</v>
      </c>
      <c r="AU94" s="80" t="s">
        <v>222</v>
      </c>
      <c r="AV94" s="80" t="s">
        <v>222</v>
      </c>
      <c r="AW94" s="3"/>
      <c r="AX94" s="3"/>
      <c r="AY94" s="3"/>
      <c r="AZ94" s="3"/>
      <c r="BA94" s="245" t="s">
        <v>429</v>
      </c>
      <c r="BB94" s="64">
        <v>31280403</v>
      </c>
      <c r="BC94" s="42">
        <f>BB94/(M94+M95)</f>
        <v>247.3599958879303</v>
      </c>
      <c r="BD94" s="68">
        <v>3432421</v>
      </c>
      <c r="BE94" s="15">
        <v>2079762</v>
      </c>
      <c r="BF94" s="15">
        <v>0</v>
      </c>
      <c r="BG94" s="15"/>
      <c r="BH94" s="1351">
        <v>0</v>
      </c>
      <c r="BI94" s="1353"/>
      <c r="BJ94" s="1"/>
      <c r="BK94" s="11" t="s">
        <v>249</v>
      </c>
      <c r="BL94" s="3"/>
      <c r="BM94" s="3"/>
    </row>
    <row r="95" spans="1:65" s="41" customFormat="1" ht="27.6" customHeight="1" x14ac:dyDescent="0.2">
      <c r="A95" s="245" t="s">
        <v>430</v>
      </c>
      <c r="B95" s="11"/>
      <c r="C95" s="11" t="s">
        <v>216</v>
      </c>
      <c r="D95" s="11"/>
      <c r="E95" s="11" t="s">
        <v>509</v>
      </c>
      <c r="F95" s="1" t="s">
        <v>217</v>
      </c>
      <c r="G95" s="37">
        <v>41474</v>
      </c>
      <c r="H95" s="1" t="s">
        <v>4</v>
      </c>
      <c r="I95" s="33">
        <v>42192</v>
      </c>
      <c r="J95" s="62">
        <v>42793</v>
      </c>
      <c r="K95" s="4" t="s">
        <v>225</v>
      </c>
      <c r="L95" s="1" t="s">
        <v>13</v>
      </c>
      <c r="M95" s="2">
        <v>32221</v>
      </c>
      <c r="N95" s="246">
        <v>2</v>
      </c>
      <c r="O95" s="28" t="s">
        <v>430</v>
      </c>
      <c r="P95" s="11" t="s">
        <v>249</v>
      </c>
      <c r="Q95" s="2"/>
      <c r="R95" s="10"/>
      <c r="S95" s="2"/>
      <c r="T95" s="10"/>
      <c r="U95" s="8"/>
      <c r="V95" s="2"/>
      <c r="W95" s="992"/>
      <c r="X95" s="3"/>
      <c r="Y95" s="3"/>
      <c r="Z95" s="3"/>
      <c r="AA95" s="3"/>
      <c r="AB95" s="3"/>
      <c r="AC95" s="245" t="s">
        <v>430</v>
      </c>
      <c r="AD95" s="15">
        <v>28938</v>
      </c>
      <c r="AE95" s="7">
        <f t="shared" si="63"/>
        <v>0.89810992830762548</v>
      </c>
      <c r="AF95" s="15">
        <v>22854</v>
      </c>
      <c r="AG95" s="7">
        <f t="shared" si="64"/>
        <v>0.70928897303001148</v>
      </c>
      <c r="AH95" s="8">
        <f t="shared" si="72"/>
        <v>0.21024258760107817</v>
      </c>
      <c r="AI95" s="15">
        <f t="shared" si="65"/>
        <v>6084</v>
      </c>
      <c r="AJ95" s="3"/>
      <c r="AK95" s="3"/>
      <c r="AL95" s="3"/>
      <c r="AM95" s="257"/>
      <c r="AN95" s="28" t="s">
        <v>430</v>
      </c>
      <c r="AO95" s="80" t="s">
        <v>222</v>
      </c>
      <c r="AP95" s="80" t="s">
        <v>222</v>
      </c>
      <c r="AQ95" s="80" t="s">
        <v>222</v>
      </c>
      <c r="AR95" s="80" t="s">
        <v>222</v>
      </c>
      <c r="AS95" s="80" t="s">
        <v>222</v>
      </c>
      <c r="AT95" s="80" t="s">
        <v>222</v>
      </c>
      <c r="AU95" s="80" t="s">
        <v>222</v>
      </c>
      <c r="AV95" s="80" t="s">
        <v>222</v>
      </c>
      <c r="AW95" s="3"/>
      <c r="AX95" s="3"/>
      <c r="AY95" s="3"/>
      <c r="AZ95" s="3"/>
      <c r="BA95" s="245" t="s">
        <v>430</v>
      </c>
      <c r="BB95" s="1352" t="s">
        <v>1254</v>
      </c>
      <c r="BC95" s="42"/>
      <c r="BD95" s="68">
        <v>2041899</v>
      </c>
      <c r="BE95" s="71" t="s">
        <v>224</v>
      </c>
      <c r="BF95" s="15">
        <v>0</v>
      </c>
      <c r="BG95" s="15"/>
      <c r="BH95" s="1351" t="s">
        <v>223</v>
      </c>
      <c r="BI95" s="1353"/>
      <c r="BJ95" s="1"/>
      <c r="BK95" s="11" t="s">
        <v>249</v>
      </c>
      <c r="BL95" s="3"/>
      <c r="BM95" s="3"/>
    </row>
    <row r="96" spans="1:65" s="41" customFormat="1" ht="27.6" customHeight="1" x14ac:dyDescent="0.25">
      <c r="A96" s="247" t="s">
        <v>115</v>
      </c>
      <c r="B96" s="915" t="s">
        <v>953</v>
      </c>
      <c r="C96" s="11" t="s">
        <v>100</v>
      </c>
      <c r="D96" s="11" t="s">
        <v>1000</v>
      </c>
      <c r="E96" s="11" t="s">
        <v>549</v>
      </c>
      <c r="F96" s="1" t="s">
        <v>114</v>
      </c>
      <c r="G96" s="898">
        <v>41365</v>
      </c>
      <c r="H96" s="11" t="s">
        <v>10</v>
      </c>
      <c r="I96" s="33" t="s">
        <v>526</v>
      </c>
      <c r="J96" s="33" t="s">
        <v>73</v>
      </c>
      <c r="K96" s="4" t="s">
        <v>90</v>
      </c>
      <c r="L96" s="11" t="s">
        <v>13</v>
      </c>
      <c r="M96" s="6">
        <v>123275</v>
      </c>
      <c r="N96" s="248">
        <v>6</v>
      </c>
      <c r="O96" s="4" t="s">
        <v>115</v>
      </c>
      <c r="P96" s="11" t="s">
        <v>247</v>
      </c>
      <c r="Q96" s="2">
        <v>23068</v>
      </c>
      <c r="R96" s="12">
        <f t="shared" ref="R96:R119" si="75">Q96/M96*1000</f>
        <v>187.1263435408639</v>
      </c>
      <c r="S96" s="2">
        <v>15903</v>
      </c>
      <c r="T96" s="23">
        <f t="shared" ref="T96:T119" si="76">S96/M96*1000</f>
        <v>129.00425877104036</v>
      </c>
      <c r="U96" s="5">
        <f t="shared" ref="U96:U119" si="77">(Q96-S96)/Q96</f>
        <v>0.3106034333275533</v>
      </c>
      <c r="V96" s="13">
        <f t="shared" ref="V96:V119" si="78">Q96-S96</f>
        <v>7165</v>
      </c>
      <c r="W96" s="967"/>
      <c r="X96" s="14"/>
      <c r="Y96" s="2"/>
      <c r="Z96" s="2"/>
      <c r="AA96" s="2"/>
      <c r="AB96" s="2"/>
      <c r="AC96" s="247" t="s">
        <v>115</v>
      </c>
      <c r="AD96" s="15">
        <v>425425</v>
      </c>
      <c r="AE96" s="7">
        <f t="shared" si="63"/>
        <v>3.4510241330358955</v>
      </c>
      <c r="AF96" s="15">
        <v>296267</v>
      </c>
      <c r="AG96" s="7">
        <f t="shared" si="64"/>
        <v>2.4033015615493816</v>
      </c>
      <c r="AH96" s="8">
        <f t="shared" si="72"/>
        <v>0.30359757889169653</v>
      </c>
      <c r="AI96" s="16">
        <f t="shared" si="65"/>
        <v>129158</v>
      </c>
      <c r="AJ96" s="3"/>
      <c r="AK96" s="2"/>
      <c r="AL96" s="2"/>
      <c r="AM96" s="908"/>
      <c r="AN96" s="4" t="s">
        <v>115</v>
      </c>
      <c r="AO96" s="2">
        <v>1377837</v>
      </c>
      <c r="AP96" s="9" t="s">
        <v>13</v>
      </c>
      <c r="AQ96" s="2">
        <f>AO96/M96</f>
        <v>11.176937740823362</v>
      </c>
      <c r="AR96" s="2">
        <v>878485</v>
      </c>
      <c r="AS96" s="9" t="s">
        <v>13</v>
      </c>
      <c r="AT96" s="2">
        <f>AR96/M96</f>
        <v>7.1262218616913406</v>
      </c>
      <c r="AU96" s="8">
        <f>(AO96-AR96)/AO96</f>
        <v>0.36241732512626673</v>
      </c>
      <c r="AV96" s="17">
        <f>AO96-AR96</f>
        <v>499352</v>
      </c>
      <c r="AW96" s="3"/>
      <c r="AX96" s="9"/>
      <c r="AY96" s="2"/>
      <c r="AZ96" s="2"/>
      <c r="BA96" s="4" t="s">
        <v>115</v>
      </c>
      <c r="BB96" s="65">
        <v>42881459</v>
      </c>
      <c r="BC96" s="42">
        <f t="shared" ref="BC96:BC113" si="79">BB96/M96</f>
        <v>347.85203001419592</v>
      </c>
      <c r="BD96" s="15">
        <v>39331912</v>
      </c>
      <c r="BE96" s="15">
        <v>4603210</v>
      </c>
      <c r="BF96" s="15">
        <v>138000</v>
      </c>
      <c r="BG96" s="15"/>
      <c r="BH96" s="15">
        <v>455967</v>
      </c>
      <c r="BI96" s="1353">
        <f t="shared" ref="BI96:BI108" si="80">((BB96-BD96)+BF96+BG96+BH96)/AI96</f>
        <v>32.080970594155993</v>
      </c>
      <c r="BJ96" s="1" t="s">
        <v>298</v>
      </c>
      <c r="BK96" s="11" t="s">
        <v>247</v>
      </c>
      <c r="BL96" s="3"/>
      <c r="BM96" s="3"/>
    </row>
    <row r="97" spans="1:65" s="41" customFormat="1" ht="27.6" customHeight="1" x14ac:dyDescent="0.2">
      <c r="A97" s="245" t="s">
        <v>414</v>
      </c>
      <c r="B97" s="11"/>
      <c r="C97" s="11" t="s">
        <v>130</v>
      </c>
      <c r="D97" s="11"/>
      <c r="E97" s="11" t="s">
        <v>570</v>
      </c>
      <c r="F97" s="1" t="s">
        <v>511</v>
      </c>
      <c r="G97" s="37">
        <v>42167</v>
      </c>
      <c r="H97" s="1" t="s">
        <v>4</v>
      </c>
      <c r="I97" s="33" t="s">
        <v>73</v>
      </c>
      <c r="J97" s="33" t="s">
        <v>73</v>
      </c>
      <c r="K97" s="4" t="s">
        <v>415</v>
      </c>
      <c r="L97" s="1" t="s">
        <v>13</v>
      </c>
      <c r="M97" s="2">
        <v>38995</v>
      </c>
      <c r="N97" s="246">
        <v>1</v>
      </c>
      <c r="O97" s="28" t="s">
        <v>414</v>
      </c>
      <c r="P97" s="11" t="s">
        <v>249</v>
      </c>
      <c r="Q97" s="2">
        <v>1434.6</v>
      </c>
      <c r="R97" s="10">
        <f t="shared" si="75"/>
        <v>36.78933196563662</v>
      </c>
      <c r="S97" s="2">
        <v>1435</v>
      </c>
      <c r="T97" s="10">
        <f t="shared" si="76"/>
        <v>36.799589690986025</v>
      </c>
      <c r="U97" s="8">
        <f t="shared" si="77"/>
        <v>-2.7882336539808379E-4</v>
      </c>
      <c r="V97" s="2">
        <f t="shared" si="78"/>
        <v>-0.40000000000009095</v>
      </c>
      <c r="W97" s="992"/>
      <c r="X97" s="3"/>
      <c r="Y97" s="3"/>
      <c r="Z97" s="3"/>
      <c r="AA97" s="3"/>
      <c r="AB97" s="3"/>
      <c r="AC97" s="245" t="s">
        <v>414</v>
      </c>
      <c r="AD97" s="15">
        <v>86379</v>
      </c>
      <c r="AE97" s="7">
        <f t="shared" si="63"/>
        <v>2.2151301448903706</v>
      </c>
      <c r="AF97" s="15">
        <v>86379</v>
      </c>
      <c r="AG97" s="7">
        <f t="shared" si="64"/>
        <v>2.2151301448903706</v>
      </c>
      <c r="AH97" s="8">
        <f t="shared" si="72"/>
        <v>0</v>
      </c>
      <c r="AI97" s="15">
        <f t="shared" si="65"/>
        <v>0</v>
      </c>
      <c r="AJ97" s="3"/>
      <c r="AK97" s="3"/>
      <c r="AL97" s="3"/>
      <c r="AM97" s="257"/>
      <c r="AN97" s="28" t="s">
        <v>414</v>
      </c>
      <c r="AO97" s="9"/>
      <c r="AP97" s="9"/>
      <c r="AQ97" s="2"/>
      <c r="AR97" s="9"/>
      <c r="AS97" s="9"/>
      <c r="AT97" s="2"/>
      <c r="AU97" s="8"/>
      <c r="AV97" s="2"/>
      <c r="AW97" s="14"/>
      <c r="AX97" s="3"/>
      <c r="AY97" s="3"/>
      <c r="AZ97" s="3"/>
      <c r="BA97" s="245" t="s">
        <v>414</v>
      </c>
      <c r="BB97" s="65">
        <v>6459881</v>
      </c>
      <c r="BC97" s="42">
        <f t="shared" si="79"/>
        <v>165.65921271957944</v>
      </c>
      <c r="BD97" s="68">
        <f>0.95*BB97</f>
        <v>6136886.9499999993</v>
      </c>
      <c r="BE97" s="71">
        <v>539733</v>
      </c>
      <c r="BF97" s="15">
        <v>12290</v>
      </c>
      <c r="BG97" s="15">
        <v>8000</v>
      </c>
      <c r="BH97" s="255">
        <v>37090</v>
      </c>
      <c r="BI97" s="1353" t="e">
        <f t="shared" si="80"/>
        <v>#DIV/0!</v>
      </c>
      <c r="BJ97" s="11" t="s">
        <v>512</v>
      </c>
      <c r="BK97" s="11" t="s">
        <v>249</v>
      </c>
    </row>
    <row r="98" spans="1:65" s="41" customFormat="1" ht="27.6" customHeight="1" x14ac:dyDescent="0.25">
      <c r="A98" s="245" t="s">
        <v>514</v>
      </c>
      <c r="B98" s="11"/>
      <c r="C98" s="11" t="s">
        <v>63</v>
      </c>
      <c r="D98" s="11" t="s">
        <v>985</v>
      </c>
      <c r="E98" s="11" t="s">
        <v>545</v>
      </c>
      <c r="F98" s="1" t="s">
        <v>513</v>
      </c>
      <c r="G98" s="1381">
        <v>41813</v>
      </c>
      <c r="H98" s="11" t="s">
        <v>4</v>
      </c>
      <c r="I98" s="33" t="s">
        <v>73</v>
      </c>
      <c r="J98" s="33" t="s">
        <v>73</v>
      </c>
      <c r="K98" s="28" t="s">
        <v>135</v>
      </c>
      <c r="L98" s="1">
        <v>95</v>
      </c>
      <c r="M98" s="2">
        <v>29845</v>
      </c>
      <c r="N98" s="246">
        <v>3</v>
      </c>
      <c r="O98" s="28" t="s">
        <v>514</v>
      </c>
      <c r="P98" s="11" t="s">
        <v>249</v>
      </c>
      <c r="Q98" s="2">
        <v>2122</v>
      </c>
      <c r="R98" s="12">
        <f t="shared" si="75"/>
        <v>71.100686882224835</v>
      </c>
      <c r="S98" s="2">
        <v>1669</v>
      </c>
      <c r="T98" s="10">
        <f t="shared" si="76"/>
        <v>55.922265036019439</v>
      </c>
      <c r="U98" s="8">
        <f t="shared" si="77"/>
        <v>0.21347785108388312</v>
      </c>
      <c r="V98" s="2">
        <f t="shared" si="78"/>
        <v>453</v>
      </c>
      <c r="W98" s="992"/>
      <c r="X98" s="3"/>
      <c r="Y98" s="3"/>
      <c r="Z98" s="3"/>
      <c r="AA98" s="3"/>
      <c r="AB98" s="3"/>
      <c r="AC98" s="245" t="s">
        <v>514</v>
      </c>
      <c r="AD98" s="15">
        <v>34775</v>
      </c>
      <c r="AE98" s="7">
        <f t="shared" si="63"/>
        <v>1.1651867984587032</v>
      </c>
      <c r="AF98" s="15">
        <v>26751</v>
      </c>
      <c r="AG98" s="7">
        <f t="shared" si="64"/>
        <v>0.89633104372591721</v>
      </c>
      <c r="AH98" s="8">
        <f t="shared" si="72"/>
        <v>0.23074047447879223</v>
      </c>
      <c r="AI98" s="15">
        <f t="shared" si="65"/>
        <v>8024</v>
      </c>
      <c r="AJ98" s="3"/>
      <c r="AK98" s="3"/>
      <c r="AL98" s="3"/>
      <c r="AM98" s="257"/>
      <c r="AN98" s="28" t="s">
        <v>514</v>
      </c>
      <c r="AO98" s="2">
        <v>1069151</v>
      </c>
      <c r="AP98" s="2">
        <f>AO98/L98</f>
        <v>11254.221052631579</v>
      </c>
      <c r="AQ98" s="2">
        <f t="shared" ref="AQ98:AQ117" si="81">AO98/M98</f>
        <v>35.82345451499414</v>
      </c>
      <c r="AR98" s="2">
        <v>696432</v>
      </c>
      <c r="AS98" s="9">
        <f>AR98/L98</f>
        <v>7330.863157894737</v>
      </c>
      <c r="AT98" s="10">
        <f t="shared" ref="AT98:AT117" si="82">AR98/M98</f>
        <v>23.334963980566258</v>
      </c>
      <c r="AU98" s="8">
        <f t="shared" ref="AU98:AU114" si="83">(AO98-AR98)/AO98</f>
        <v>0.34861212307709577</v>
      </c>
      <c r="AV98" s="2">
        <f t="shared" ref="AV98:AV117" si="84">AO98-AR98</f>
        <v>372719</v>
      </c>
      <c r="AW98" s="3"/>
      <c r="AX98" s="3"/>
      <c r="AY98" s="3"/>
      <c r="AZ98" s="3"/>
      <c r="BA98" s="28" t="s">
        <v>514</v>
      </c>
      <c r="BB98" s="944">
        <f>0.36*14905786</f>
        <v>5366082.96</v>
      </c>
      <c r="BC98" s="42">
        <f t="shared" si="79"/>
        <v>179.7983903501424</v>
      </c>
      <c r="BD98" s="15">
        <f>0.36*14328323</f>
        <v>5158196.28</v>
      </c>
      <c r="BE98" s="67">
        <f>0.36*1245525</f>
        <v>448389</v>
      </c>
      <c r="BF98" s="71"/>
      <c r="BG98" s="71">
        <f>0.36*9200</f>
        <v>3312</v>
      </c>
      <c r="BH98" s="15">
        <f>0.36*65000</f>
        <v>23400</v>
      </c>
      <c r="BI98" s="1353">
        <f t="shared" si="80"/>
        <v>29.237123629112624</v>
      </c>
      <c r="BJ98" s="1" t="s">
        <v>311</v>
      </c>
      <c r="BK98" s="11" t="s">
        <v>249</v>
      </c>
      <c r="BL98" s="346"/>
      <c r="BM98" s="3"/>
    </row>
    <row r="99" spans="1:65" s="3" customFormat="1" ht="27.6" customHeight="1" x14ac:dyDescent="0.25">
      <c r="A99" s="245" t="s">
        <v>515</v>
      </c>
      <c r="B99" s="11"/>
      <c r="C99" s="11" t="s">
        <v>63</v>
      </c>
      <c r="D99" s="11" t="s">
        <v>985</v>
      </c>
      <c r="E99" s="11" t="s">
        <v>545</v>
      </c>
      <c r="F99" s="1" t="s">
        <v>513</v>
      </c>
      <c r="G99" s="1381">
        <v>41813</v>
      </c>
      <c r="H99" s="11" t="s">
        <v>4</v>
      </c>
      <c r="I99" s="33" t="s">
        <v>73</v>
      </c>
      <c r="J99" s="33" t="s">
        <v>73</v>
      </c>
      <c r="K99" s="28" t="s">
        <v>135</v>
      </c>
      <c r="L99" s="1">
        <v>64</v>
      </c>
      <c r="M99" s="2">
        <v>23270</v>
      </c>
      <c r="N99" s="246">
        <v>3</v>
      </c>
      <c r="O99" s="28" t="s">
        <v>515</v>
      </c>
      <c r="P99" s="11" t="s">
        <v>249</v>
      </c>
      <c r="Q99" s="2">
        <v>1704</v>
      </c>
      <c r="R99" s="12">
        <f t="shared" si="75"/>
        <v>73.227331327889985</v>
      </c>
      <c r="S99" s="2">
        <v>1196</v>
      </c>
      <c r="T99" s="10">
        <f t="shared" si="76"/>
        <v>51.396648044692739</v>
      </c>
      <c r="U99" s="8">
        <f t="shared" si="77"/>
        <v>0.2981220657276995</v>
      </c>
      <c r="V99" s="2">
        <f t="shared" si="78"/>
        <v>508</v>
      </c>
      <c r="W99" s="992"/>
      <c r="AC99" s="245" t="s">
        <v>515</v>
      </c>
      <c r="AD99" s="15">
        <v>28673</v>
      </c>
      <c r="AE99" s="7">
        <f t="shared" si="63"/>
        <v>1.2321873657069187</v>
      </c>
      <c r="AF99" s="15">
        <v>19427</v>
      </c>
      <c r="AG99" s="7">
        <f t="shared" si="64"/>
        <v>0.83485174043833266</v>
      </c>
      <c r="AH99" s="8">
        <f t="shared" si="72"/>
        <v>0.32246364175356607</v>
      </c>
      <c r="AI99" s="15">
        <f t="shared" si="65"/>
        <v>9246</v>
      </c>
      <c r="AM99" s="257"/>
      <c r="AN99" s="28" t="s">
        <v>515</v>
      </c>
      <c r="AO99" s="2">
        <v>710168</v>
      </c>
      <c r="AP99" s="2">
        <f>AO99/L99</f>
        <v>11096.375</v>
      </c>
      <c r="AQ99" s="2">
        <f t="shared" si="81"/>
        <v>30.518607649333905</v>
      </c>
      <c r="AR99" s="2">
        <v>462765</v>
      </c>
      <c r="AS99" s="9">
        <f>AR99/L99</f>
        <v>7230.703125</v>
      </c>
      <c r="AT99" s="10">
        <f t="shared" si="82"/>
        <v>19.886764073914911</v>
      </c>
      <c r="AU99" s="8">
        <f t="shared" si="83"/>
        <v>0.34837249777517432</v>
      </c>
      <c r="AV99" s="2">
        <f t="shared" si="84"/>
        <v>247403</v>
      </c>
      <c r="BA99" s="28" t="s">
        <v>515</v>
      </c>
      <c r="BB99" s="944">
        <f>0.28*14905786</f>
        <v>4173620.0800000005</v>
      </c>
      <c r="BC99" s="42">
        <f t="shared" si="79"/>
        <v>179.35625612376452</v>
      </c>
      <c r="BD99" s="15">
        <f>0.28*14328323</f>
        <v>4011930.4400000004</v>
      </c>
      <c r="BE99" s="67">
        <f>0.28*1245525</f>
        <v>348747.00000000006</v>
      </c>
      <c r="BF99" s="71"/>
      <c r="BG99" s="71">
        <f>0.28*9200</f>
        <v>2576.0000000000005</v>
      </c>
      <c r="BH99" s="15">
        <f>0.28*65000</f>
        <v>18200</v>
      </c>
      <c r="BI99" s="1353">
        <f t="shared" si="80"/>
        <v>19.734548994159649</v>
      </c>
      <c r="BJ99" s="1" t="s">
        <v>311</v>
      </c>
      <c r="BK99" s="11" t="s">
        <v>249</v>
      </c>
      <c r="BL99" s="346"/>
    </row>
    <row r="100" spans="1:65" s="3" customFormat="1" ht="27.6" customHeight="1" x14ac:dyDescent="0.25">
      <c r="A100" s="245" t="s">
        <v>516</v>
      </c>
      <c r="B100" s="11"/>
      <c r="C100" s="11" t="s">
        <v>63</v>
      </c>
      <c r="D100" s="11" t="s">
        <v>985</v>
      </c>
      <c r="E100" s="11" t="s">
        <v>545</v>
      </c>
      <c r="F100" s="1" t="s">
        <v>513</v>
      </c>
      <c r="G100" s="1381">
        <v>41813</v>
      </c>
      <c r="H100" s="11" t="s">
        <v>4</v>
      </c>
      <c r="I100" s="33" t="s">
        <v>73</v>
      </c>
      <c r="J100" s="33" t="s">
        <v>73</v>
      </c>
      <c r="K100" s="28" t="s">
        <v>135</v>
      </c>
      <c r="L100" s="1">
        <v>95</v>
      </c>
      <c r="M100" s="2">
        <v>29799</v>
      </c>
      <c r="N100" s="246">
        <v>3</v>
      </c>
      <c r="O100" s="28" t="s">
        <v>516</v>
      </c>
      <c r="P100" s="11" t="s">
        <v>249</v>
      </c>
      <c r="Q100" s="2">
        <v>2122</v>
      </c>
      <c r="R100" s="12">
        <f t="shared" si="75"/>
        <v>71.210443303466562</v>
      </c>
      <c r="S100" s="2">
        <v>1669</v>
      </c>
      <c r="T100" s="10">
        <f t="shared" si="76"/>
        <v>56.008590892311823</v>
      </c>
      <c r="U100" s="8">
        <f t="shared" si="77"/>
        <v>0.21347785108388312</v>
      </c>
      <c r="V100" s="2">
        <f t="shared" si="78"/>
        <v>453</v>
      </c>
      <c r="W100" s="992"/>
      <c r="AC100" s="245" t="s">
        <v>516</v>
      </c>
      <c r="AD100" s="15">
        <v>34775</v>
      </c>
      <c r="AE100" s="7">
        <f t="shared" si="63"/>
        <v>1.1669854693110506</v>
      </c>
      <c r="AF100" s="15">
        <v>26751</v>
      </c>
      <c r="AG100" s="7">
        <f t="shared" si="64"/>
        <v>0.89771468841236279</v>
      </c>
      <c r="AH100" s="8">
        <f t="shared" si="72"/>
        <v>0.23074047447879223</v>
      </c>
      <c r="AI100" s="15">
        <f t="shared" si="65"/>
        <v>8024</v>
      </c>
      <c r="AM100" s="257"/>
      <c r="AN100" s="28" t="s">
        <v>516</v>
      </c>
      <c r="AO100" s="2">
        <v>1069151</v>
      </c>
      <c r="AP100" s="2">
        <f>AO100/L100</f>
        <v>11254.221052631579</v>
      </c>
      <c r="AQ100" s="2">
        <f t="shared" si="81"/>
        <v>35.878754320614789</v>
      </c>
      <c r="AR100" s="2">
        <v>696432</v>
      </c>
      <c r="AS100" s="9">
        <f>AR100/L100</f>
        <v>7330.863157894737</v>
      </c>
      <c r="AT100" s="10">
        <f t="shared" si="82"/>
        <v>23.370985603543744</v>
      </c>
      <c r="AU100" s="8">
        <f t="shared" si="83"/>
        <v>0.34861212307709577</v>
      </c>
      <c r="AV100" s="2">
        <f t="shared" si="84"/>
        <v>372719</v>
      </c>
      <c r="BA100" s="28" t="s">
        <v>516</v>
      </c>
      <c r="BB100" s="65">
        <f>0.36*14905786</f>
        <v>5366082.96</v>
      </c>
      <c r="BC100" s="42">
        <f t="shared" si="79"/>
        <v>180.07594080338265</v>
      </c>
      <c r="BD100" s="15">
        <f>0.36*14328323</f>
        <v>5158196.28</v>
      </c>
      <c r="BE100" s="433">
        <f>0.36*1245525</f>
        <v>448389</v>
      </c>
      <c r="BF100" s="71"/>
      <c r="BG100" s="71">
        <f>0.36*9200</f>
        <v>3312</v>
      </c>
      <c r="BH100" s="15">
        <f>0.36*65000</f>
        <v>23400</v>
      </c>
      <c r="BI100" s="1353">
        <f t="shared" si="80"/>
        <v>29.237123629112624</v>
      </c>
      <c r="BJ100" s="1" t="s">
        <v>311</v>
      </c>
      <c r="BK100" s="11" t="s">
        <v>249</v>
      </c>
      <c r="BL100" s="346"/>
      <c r="BM100" s="3" t="s">
        <v>38</v>
      </c>
    </row>
    <row r="101" spans="1:65" s="3" customFormat="1" ht="27.6" customHeight="1" x14ac:dyDescent="0.2">
      <c r="A101" s="245" t="s">
        <v>539</v>
      </c>
      <c r="B101" s="11"/>
      <c r="C101" s="11" t="s">
        <v>100</v>
      </c>
      <c r="D101" s="11" t="s">
        <v>1000</v>
      </c>
      <c r="E101" s="11" t="s">
        <v>549</v>
      </c>
      <c r="F101" s="1" t="s">
        <v>520</v>
      </c>
      <c r="G101" s="37">
        <v>41932</v>
      </c>
      <c r="H101" s="11" t="s">
        <v>10</v>
      </c>
      <c r="I101" s="33" t="s">
        <v>73</v>
      </c>
      <c r="J101" s="33" t="s">
        <v>73</v>
      </c>
      <c r="K101" s="28" t="s">
        <v>135</v>
      </c>
      <c r="L101" s="1">
        <v>290</v>
      </c>
      <c r="M101" s="2">
        <v>71021</v>
      </c>
      <c r="N101" s="246">
        <v>6</v>
      </c>
      <c r="O101" s="28" t="s">
        <v>539</v>
      </c>
      <c r="P101" s="11" t="s">
        <v>248</v>
      </c>
      <c r="Q101" s="2">
        <v>3347</v>
      </c>
      <c r="R101" s="10">
        <f t="shared" si="75"/>
        <v>47.126906126356992</v>
      </c>
      <c r="S101" s="2">
        <v>3202</v>
      </c>
      <c r="T101" s="10">
        <f t="shared" si="76"/>
        <v>45.085256473437433</v>
      </c>
      <c r="U101" s="8">
        <f t="shared" si="77"/>
        <v>4.3322378249178367E-2</v>
      </c>
      <c r="V101" s="2">
        <f t="shared" si="78"/>
        <v>145</v>
      </c>
      <c r="W101" s="992"/>
      <c r="AC101" s="245" t="s">
        <v>539</v>
      </c>
      <c r="AD101" s="15">
        <v>54763</v>
      </c>
      <c r="AE101" s="7">
        <f t="shared" si="63"/>
        <v>0.77108179270919863</v>
      </c>
      <c r="AF101" s="15">
        <v>50499</v>
      </c>
      <c r="AG101" s="7">
        <f t="shared" si="64"/>
        <v>0.71104321257092973</v>
      </c>
      <c r="AH101" s="8">
        <f t="shared" si="72"/>
        <v>7.786279057027555E-2</v>
      </c>
      <c r="AI101" s="15">
        <f t="shared" si="65"/>
        <v>4264</v>
      </c>
      <c r="AM101" s="257"/>
      <c r="AN101" s="28" t="s">
        <v>539</v>
      </c>
      <c r="AO101" s="2">
        <v>2798472</v>
      </c>
      <c r="AP101" s="9">
        <f>AO101/L101</f>
        <v>9649.9034482758616</v>
      </c>
      <c r="AQ101" s="10">
        <f t="shared" si="81"/>
        <v>39.403444051759337</v>
      </c>
      <c r="AR101" s="2">
        <v>2000107</v>
      </c>
      <c r="AS101" s="9">
        <f>AR101/L101</f>
        <v>6896.9206896551723</v>
      </c>
      <c r="AT101" s="10">
        <f t="shared" si="82"/>
        <v>28.162191464496416</v>
      </c>
      <c r="AU101" s="8">
        <f t="shared" si="83"/>
        <v>0.2852860418113885</v>
      </c>
      <c r="AV101" s="2">
        <f t="shared" si="84"/>
        <v>798365</v>
      </c>
      <c r="BA101" s="28" t="s">
        <v>539</v>
      </c>
      <c r="BB101" s="944">
        <v>16712500</v>
      </c>
      <c r="BC101" s="42">
        <f t="shared" si="79"/>
        <v>235.31772292702158</v>
      </c>
      <c r="BD101" s="15">
        <v>16000000</v>
      </c>
      <c r="BE101" s="15">
        <v>1735188</v>
      </c>
      <c r="BF101" s="71">
        <v>75000</v>
      </c>
      <c r="BG101" s="71">
        <v>11000</v>
      </c>
      <c r="BH101" s="15">
        <v>176132</v>
      </c>
      <c r="BI101" s="1353">
        <f t="shared" si="80"/>
        <v>228.57223264540337</v>
      </c>
      <c r="BJ101" s="1" t="s">
        <v>302</v>
      </c>
      <c r="BK101" s="11" t="s">
        <v>248</v>
      </c>
      <c r="BL101" s="346"/>
    </row>
    <row r="102" spans="1:65" s="41" customFormat="1" ht="27.6" customHeight="1" x14ac:dyDescent="0.2">
      <c r="A102" s="245" t="s">
        <v>941</v>
      </c>
      <c r="B102" s="915" t="s">
        <v>953</v>
      </c>
      <c r="C102" s="11" t="s">
        <v>8</v>
      </c>
      <c r="D102" s="11"/>
      <c r="E102" s="11"/>
      <c r="F102" s="1" t="s">
        <v>971</v>
      </c>
      <c r="G102" s="37">
        <v>42167</v>
      </c>
      <c r="H102" s="11" t="s">
        <v>4</v>
      </c>
      <c r="I102" s="33" t="s">
        <v>73</v>
      </c>
      <c r="J102" s="33" t="s">
        <v>73</v>
      </c>
      <c r="K102" s="28" t="s">
        <v>202</v>
      </c>
      <c r="L102" s="1" t="s">
        <v>13</v>
      </c>
      <c r="M102" s="2">
        <v>64342</v>
      </c>
      <c r="N102" s="246">
        <v>3</v>
      </c>
      <c r="O102" s="28" t="s">
        <v>941</v>
      </c>
      <c r="P102" s="11" t="s">
        <v>248</v>
      </c>
      <c r="Q102" s="2">
        <v>9153</v>
      </c>
      <c r="R102" s="10">
        <f t="shared" si="75"/>
        <v>142.25544745267476</v>
      </c>
      <c r="S102" s="2">
        <v>8749</v>
      </c>
      <c r="T102" s="10">
        <f t="shared" si="76"/>
        <v>135.97650057505206</v>
      </c>
      <c r="U102" s="8">
        <f t="shared" si="77"/>
        <v>4.4138533814050036E-2</v>
      </c>
      <c r="V102" s="2">
        <f t="shared" si="78"/>
        <v>404</v>
      </c>
      <c r="W102" s="992"/>
      <c r="X102" s="3"/>
      <c r="Y102" s="3"/>
      <c r="Z102" s="3"/>
      <c r="AA102" s="3"/>
      <c r="AB102" s="3"/>
      <c r="AC102" s="245" t="s">
        <v>941</v>
      </c>
      <c r="AD102" s="15">
        <v>122323</v>
      </c>
      <c r="AE102" s="7">
        <f t="shared" si="63"/>
        <v>1.9011376705728762</v>
      </c>
      <c r="AF102" s="15">
        <v>108903</v>
      </c>
      <c r="AG102" s="7">
        <f t="shared" si="64"/>
        <v>1.6925647322122408</v>
      </c>
      <c r="AH102" s="8">
        <f t="shared" si="72"/>
        <v>0.10970953949788674</v>
      </c>
      <c r="AI102" s="15">
        <f t="shared" si="65"/>
        <v>13420</v>
      </c>
      <c r="AJ102" s="3"/>
      <c r="AK102" s="3"/>
      <c r="AL102" s="3"/>
      <c r="AM102" s="257"/>
      <c r="AN102" s="28" t="s">
        <v>941</v>
      </c>
      <c r="AO102" s="2">
        <v>62160</v>
      </c>
      <c r="AP102" s="9" t="s">
        <v>13</v>
      </c>
      <c r="AQ102" s="10">
        <f t="shared" si="81"/>
        <v>0.96608747008175067</v>
      </c>
      <c r="AR102" s="2">
        <v>44226</v>
      </c>
      <c r="AS102" s="9" t="s">
        <v>13</v>
      </c>
      <c r="AT102" s="10">
        <f t="shared" si="82"/>
        <v>0.68735817972708335</v>
      </c>
      <c r="AU102" s="8">
        <f t="shared" si="83"/>
        <v>0.28851351351351351</v>
      </c>
      <c r="AV102" s="2">
        <f t="shared" si="84"/>
        <v>17934</v>
      </c>
      <c r="AW102" s="3"/>
      <c r="AX102" s="3"/>
      <c r="AY102" s="3"/>
      <c r="AZ102" s="3"/>
      <c r="BA102" s="245" t="s">
        <v>941</v>
      </c>
      <c r="BB102" s="944">
        <v>20832572</v>
      </c>
      <c r="BC102" s="42">
        <f t="shared" si="79"/>
        <v>323.77874483230238</v>
      </c>
      <c r="BD102" s="15">
        <v>20139556</v>
      </c>
      <c r="BE102" s="15">
        <v>2504600</v>
      </c>
      <c r="BF102" s="71">
        <v>62800</v>
      </c>
      <c r="BG102" s="71">
        <v>17574</v>
      </c>
      <c r="BH102" s="256">
        <v>139652</v>
      </c>
      <c r="BI102" s="1353">
        <f t="shared" si="80"/>
        <v>68.035916542473913</v>
      </c>
      <c r="BJ102" s="1" t="s">
        <v>313</v>
      </c>
      <c r="BK102" s="11" t="s">
        <v>248</v>
      </c>
      <c r="BL102" s="346"/>
      <c r="BM102" s="3"/>
    </row>
    <row r="103" spans="1:65" s="41" customFormat="1" ht="27.6" customHeight="1" thickBot="1" x14ac:dyDescent="0.25">
      <c r="A103" s="1365" t="s">
        <v>1025</v>
      </c>
      <c r="B103" s="1382" t="s">
        <v>953</v>
      </c>
      <c r="C103" s="251" t="s">
        <v>165</v>
      </c>
      <c r="D103" s="251" t="s">
        <v>1004</v>
      </c>
      <c r="E103" s="251"/>
      <c r="F103" s="252" t="s">
        <v>942</v>
      </c>
      <c r="G103" s="1383" t="s">
        <v>1268</v>
      </c>
      <c r="H103" s="252" t="s">
        <v>4</v>
      </c>
      <c r="I103" s="253" t="s">
        <v>73</v>
      </c>
      <c r="J103" s="253" t="s">
        <v>73</v>
      </c>
      <c r="K103" s="1384" t="s">
        <v>166</v>
      </c>
      <c r="L103" s="252" t="s">
        <v>13</v>
      </c>
      <c r="M103" s="948">
        <v>80200</v>
      </c>
      <c r="N103" s="1385">
        <v>1</v>
      </c>
      <c r="O103" s="28" t="s">
        <v>1025</v>
      </c>
      <c r="P103" s="11" t="s">
        <v>248</v>
      </c>
      <c r="Q103" s="2">
        <v>6020</v>
      </c>
      <c r="R103" s="10">
        <f t="shared" si="75"/>
        <v>75.062344139650875</v>
      </c>
      <c r="S103" s="2">
        <v>5167</v>
      </c>
      <c r="T103" s="10">
        <f t="shared" si="76"/>
        <v>64.426433915211973</v>
      </c>
      <c r="U103" s="8">
        <f t="shared" si="77"/>
        <v>0.14169435215946843</v>
      </c>
      <c r="V103" s="2">
        <f t="shared" si="78"/>
        <v>853</v>
      </c>
      <c r="W103" s="992"/>
      <c r="X103" s="3"/>
      <c r="Y103" s="3"/>
      <c r="Z103" s="3"/>
      <c r="AA103" s="3"/>
      <c r="AB103" s="3"/>
      <c r="AC103" s="1365" t="s">
        <v>1025</v>
      </c>
      <c r="AD103" s="258">
        <v>88975</v>
      </c>
      <c r="AE103" s="1386">
        <f t="shared" si="63"/>
        <v>1.1094139650872819</v>
      </c>
      <c r="AF103" s="258">
        <v>79804</v>
      </c>
      <c r="AG103" s="1386">
        <f t="shared" si="64"/>
        <v>0.99506234413965089</v>
      </c>
      <c r="AH103" s="949">
        <f t="shared" si="72"/>
        <v>0.10307389716212419</v>
      </c>
      <c r="AI103" s="258">
        <f t="shared" si="65"/>
        <v>9171</v>
      </c>
      <c r="AJ103" s="259"/>
      <c r="AK103" s="259"/>
      <c r="AL103" s="259"/>
      <c r="AM103" s="260"/>
      <c r="AN103" s="28" t="s">
        <v>1025</v>
      </c>
      <c r="AO103" s="2">
        <v>935004</v>
      </c>
      <c r="AP103" s="1" t="s">
        <v>13</v>
      </c>
      <c r="AQ103" s="10">
        <f t="shared" si="81"/>
        <v>11.658403990024938</v>
      </c>
      <c r="AR103" s="2">
        <v>509544</v>
      </c>
      <c r="AS103" s="1" t="s">
        <v>13</v>
      </c>
      <c r="AT103" s="10">
        <f t="shared" si="82"/>
        <v>6.3534164588528679</v>
      </c>
      <c r="AU103" s="8">
        <f t="shared" si="83"/>
        <v>0.45503548647920222</v>
      </c>
      <c r="AV103" s="2">
        <f t="shared" si="84"/>
        <v>425460</v>
      </c>
      <c r="AW103" s="3"/>
      <c r="AX103" s="3"/>
      <c r="AY103" s="3"/>
      <c r="AZ103" s="3"/>
      <c r="BA103" s="245" t="s">
        <v>1025</v>
      </c>
      <c r="BB103" s="65">
        <v>20979000</v>
      </c>
      <c r="BC103" s="42">
        <f t="shared" si="79"/>
        <v>261.58354114713217</v>
      </c>
      <c r="BD103" s="15">
        <v>20407437</v>
      </c>
      <c r="BE103" s="15">
        <v>1928500</v>
      </c>
      <c r="BF103" s="15">
        <v>53000</v>
      </c>
      <c r="BG103" s="15"/>
      <c r="BH103" s="256">
        <v>45670</v>
      </c>
      <c r="BI103" s="1353">
        <f t="shared" si="80"/>
        <v>73.081779522407587</v>
      </c>
      <c r="BJ103" s="1" t="s">
        <v>304</v>
      </c>
      <c r="BK103" s="11" t="s">
        <v>247</v>
      </c>
      <c r="BL103" s="3"/>
      <c r="BM103" s="3"/>
    </row>
    <row r="104" spans="1:65" s="3" customFormat="1" ht="27.6" hidden="1" customHeight="1" x14ac:dyDescent="0.2">
      <c r="A104" s="28" t="s">
        <v>422</v>
      </c>
      <c r="B104" s="11"/>
      <c r="C104" s="11" t="s">
        <v>180</v>
      </c>
      <c r="D104" s="11"/>
      <c r="E104" s="11"/>
      <c r="F104" s="1" t="s">
        <v>181</v>
      </c>
      <c r="G104" s="37">
        <v>41226</v>
      </c>
      <c r="H104" s="1" t="s">
        <v>4</v>
      </c>
      <c r="I104" s="33" t="s">
        <v>73</v>
      </c>
      <c r="J104" s="33" t="s">
        <v>73</v>
      </c>
      <c r="K104" s="28" t="s">
        <v>182</v>
      </c>
      <c r="L104" s="1" t="s">
        <v>13</v>
      </c>
      <c r="M104" s="2">
        <v>185810</v>
      </c>
      <c r="N104" s="14">
        <v>6</v>
      </c>
      <c r="O104" s="28" t="s">
        <v>179</v>
      </c>
      <c r="P104" s="11" t="s">
        <v>247</v>
      </c>
      <c r="Q104" s="2">
        <v>10582</v>
      </c>
      <c r="R104" s="10">
        <f t="shared" si="75"/>
        <v>56.950648511920775</v>
      </c>
      <c r="S104" s="2">
        <v>3675</v>
      </c>
      <c r="T104" s="10">
        <f t="shared" si="76"/>
        <v>19.778268123351811</v>
      </c>
      <c r="U104" s="8">
        <f t="shared" si="77"/>
        <v>0.65271215271215266</v>
      </c>
      <c r="V104" s="2">
        <f t="shared" si="78"/>
        <v>6907</v>
      </c>
      <c r="W104" s="992"/>
      <c r="AC104" s="28" t="s">
        <v>179</v>
      </c>
      <c r="AD104" s="15">
        <v>267259</v>
      </c>
      <c r="AE104" s="7">
        <f t="shared" si="63"/>
        <v>1.4383456218718045</v>
      </c>
      <c r="AF104" s="15">
        <v>93214</v>
      </c>
      <c r="AG104" s="7">
        <f t="shared" si="64"/>
        <v>0.5016629890748614</v>
      </c>
      <c r="AH104" s="8">
        <f t="shared" si="72"/>
        <v>0.65122222263796536</v>
      </c>
      <c r="AI104" s="15">
        <f t="shared" si="65"/>
        <v>174045</v>
      </c>
      <c r="AN104" s="28" t="s">
        <v>179</v>
      </c>
      <c r="AO104" s="2">
        <v>115375</v>
      </c>
      <c r="AP104" s="9" t="s">
        <v>13</v>
      </c>
      <c r="AQ104" s="7">
        <f t="shared" si="81"/>
        <v>0.62092998223992246</v>
      </c>
      <c r="AR104" s="2">
        <v>50944</v>
      </c>
      <c r="AS104" s="9" t="s">
        <v>13</v>
      </c>
      <c r="AT104" s="7">
        <f t="shared" si="82"/>
        <v>0.27417254184381895</v>
      </c>
      <c r="AU104" s="8">
        <f t="shared" si="83"/>
        <v>0.55844853737811484</v>
      </c>
      <c r="AV104" s="2">
        <f t="shared" si="84"/>
        <v>64431</v>
      </c>
      <c r="BA104" s="28" t="s">
        <v>179</v>
      </c>
      <c r="BB104" s="65">
        <v>45400738</v>
      </c>
      <c r="BC104" s="42">
        <f t="shared" si="79"/>
        <v>244.33958344545505</v>
      </c>
      <c r="BD104" s="15">
        <v>42736000</v>
      </c>
      <c r="BE104" s="29" t="s">
        <v>260</v>
      </c>
      <c r="BF104" s="15"/>
      <c r="BG104" s="15"/>
      <c r="BH104" s="15"/>
      <c r="BI104" s="1353">
        <f t="shared" si="80"/>
        <v>15.31062656209601</v>
      </c>
      <c r="BJ104" s="1"/>
      <c r="BK104" s="11" t="s">
        <v>247</v>
      </c>
      <c r="BL104" s="41"/>
      <c r="BM104" s="41"/>
    </row>
    <row r="105" spans="1:65" s="41" customFormat="1" ht="27.6" hidden="1" customHeight="1" x14ac:dyDescent="0.2">
      <c r="A105" s="245" t="s">
        <v>431</v>
      </c>
      <c r="B105" s="11"/>
      <c r="C105" s="11" t="s">
        <v>227</v>
      </c>
      <c r="D105" s="11"/>
      <c r="E105" s="11"/>
      <c r="F105" s="1" t="s">
        <v>228</v>
      </c>
      <c r="G105" s="37">
        <v>41299</v>
      </c>
      <c r="H105" s="1" t="s">
        <v>4</v>
      </c>
      <c r="I105" s="33" t="s">
        <v>73</v>
      </c>
      <c r="J105" s="33" t="s">
        <v>73</v>
      </c>
      <c r="K105" s="4" t="s">
        <v>229</v>
      </c>
      <c r="L105" s="1" t="s">
        <v>13</v>
      </c>
      <c r="M105" s="2">
        <v>69250</v>
      </c>
      <c r="N105" s="14">
        <v>2</v>
      </c>
      <c r="O105" s="28" t="s">
        <v>431</v>
      </c>
      <c r="P105" s="11" t="s">
        <v>247</v>
      </c>
      <c r="Q105" s="2">
        <v>4413</v>
      </c>
      <c r="R105" s="12">
        <f t="shared" si="75"/>
        <v>63.725631768953072</v>
      </c>
      <c r="S105" s="2">
        <v>2774</v>
      </c>
      <c r="T105" s="23">
        <f t="shared" si="76"/>
        <v>40.057761732851986</v>
      </c>
      <c r="U105" s="8">
        <f t="shared" si="77"/>
        <v>0.37140267391796966</v>
      </c>
      <c r="V105" s="2">
        <f t="shared" si="78"/>
        <v>1639</v>
      </c>
      <c r="W105" s="992"/>
      <c r="X105" s="3"/>
      <c r="Y105" s="3"/>
      <c r="Z105" s="3"/>
      <c r="AA105" s="3"/>
      <c r="AB105" s="3"/>
      <c r="AC105" s="28" t="s">
        <v>431</v>
      </c>
      <c r="AD105" s="15">
        <v>82649</v>
      </c>
      <c r="AE105" s="7">
        <f t="shared" si="63"/>
        <v>1.1934873646209385</v>
      </c>
      <c r="AF105" s="15">
        <v>58907</v>
      </c>
      <c r="AG105" s="7">
        <f t="shared" si="64"/>
        <v>0.85064259927797836</v>
      </c>
      <c r="AH105" s="8">
        <f t="shared" si="72"/>
        <v>0.28726300378709968</v>
      </c>
      <c r="AI105" s="15">
        <f t="shared" si="65"/>
        <v>23742</v>
      </c>
      <c r="AJ105" s="3"/>
      <c r="AK105" s="3"/>
      <c r="AL105" s="3"/>
      <c r="AM105" s="3"/>
      <c r="AN105" s="28" t="s">
        <v>431</v>
      </c>
      <c r="AO105" s="9">
        <v>60744</v>
      </c>
      <c r="AP105" s="9" t="s">
        <v>13</v>
      </c>
      <c r="AQ105" s="2">
        <f t="shared" si="81"/>
        <v>0.87716967509025268</v>
      </c>
      <c r="AR105" s="9">
        <v>45643</v>
      </c>
      <c r="AS105" s="9" t="s">
        <v>13</v>
      </c>
      <c r="AT105" s="2">
        <f t="shared" si="82"/>
        <v>0.65910469314079423</v>
      </c>
      <c r="AU105" s="8">
        <f t="shared" si="83"/>
        <v>0.24860068484130121</v>
      </c>
      <c r="AV105" s="2">
        <f t="shared" si="84"/>
        <v>15101</v>
      </c>
      <c r="AW105" s="14"/>
      <c r="AX105" s="3"/>
      <c r="AY105" s="3"/>
      <c r="AZ105" s="3"/>
      <c r="BA105" s="28" t="s">
        <v>431</v>
      </c>
      <c r="BB105" s="65">
        <v>10191099</v>
      </c>
      <c r="BC105" s="42">
        <f t="shared" si="79"/>
        <v>147.16388447653429</v>
      </c>
      <c r="BD105" s="68">
        <v>8586550</v>
      </c>
      <c r="BE105" s="66" t="s">
        <v>230</v>
      </c>
      <c r="BF105" s="15">
        <v>0</v>
      </c>
      <c r="BG105" s="15"/>
      <c r="BH105" s="29">
        <v>0</v>
      </c>
      <c r="BI105" s="1353">
        <f t="shared" si="80"/>
        <v>67.582722601297277</v>
      </c>
      <c r="BJ105" s="1"/>
      <c r="BK105" s="11" t="s">
        <v>247</v>
      </c>
    </row>
    <row r="106" spans="1:65" s="41" customFormat="1" ht="27.6" customHeight="1" x14ac:dyDescent="0.2">
      <c r="A106" s="245" t="s">
        <v>944</v>
      </c>
      <c r="B106" s="11"/>
      <c r="C106" s="11" t="s">
        <v>68</v>
      </c>
      <c r="D106" s="11" t="s">
        <v>992</v>
      </c>
      <c r="E106" s="11" t="s">
        <v>650</v>
      </c>
      <c r="F106" s="1" t="s">
        <v>472</v>
      </c>
      <c r="G106" s="37">
        <v>42023</v>
      </c>
      <c r="H106" s="1" t="s">
        <v>10</v>
      </c>
      <c r="I106" s="33" t="s">
        <v>73</v>
      </c>
      <c r="J106" s="33" t="s">
        <v>73</v>
      </c>
      <c r="K106" s="4" t="s">
        <v>471</v>
      </c>
      <c r="L106" s="1" t="s">
        <v>13</v>
      </c>
      <c r="M106" s="2">
        <v>75843</v>
      </c>
      <c r="N106" s="14">
        <v>4</v>
      </c>
      <c r="O106" s="28" t="s">
        <v>944</v>
      </c>
      <c r="P106" s="11" t="s">
        <v>248</v>
      </c>
      <c r="Q106" s="2">
        <v>10944</v>
      </c>
      <c r="R106" s="10">
        <f t="shared" si="75"/>
        <v>144.29808947430877</v>
      </c>
      <c r="S106" s="2">
        <v>9185</v>
      </c>
      <c r="T106" s="10">
        <f t="shared" si="76"/>
        <v>121.1054415041599</v>
      </c>
      <c r="U106" s="8">
        <f t="shared" si="77"/>
        <v>0.16072733918128654</v>
      </c>
      <c r="V106" s="2">
        <f t="shared" si="78"/>
        <v>1759</v>
      </c>
      <c r="W106" s="992"/>
      <c r="X106" s="3"/>
      <c r="Y106" s="3"/>
      <c r="Z106" s="3"/>
      <c r="AA106" s="3"/>
      <c r="AB106" s="3"/>
      <c r="AC106" s="28" t="s">
        <v>944</v>
      </c>
      <c r="AD106" s="15">
        <v>107685</v>
      </c>
      <c r="AE106" s="7">
        <f t="shared" si="63"/>
        <v>1.4198409873027174</v>
      </c>
      <c r="AF106" s="15">
        <v>91262</v>
      </c>
      <c r="AG106" s="7">
        <f t="shared" si="64"/>
        <v>1.2033015571641417</v>
      </c>
      <c r="AH106" s="8">
        <f t="shared" si="72"/>
        <v>0.15250963458234665</v>
      </c>
      <c r="AI106" s="15">
        <f t="shared" si="65"/>
        <v>16423</v>
      </c>
      <c r="AJ106" s="3"/>
      <c r="AK106" s="3"/>
      <c r="AL106" s="3"/>
      <c r="AM106" s="3"/>
      <c r="AN106" s="28" t="s">
        <v>944</v>
      </c>
      <c r="AO106" s="9">
        <v>1899740</v>
      </c>
      <c r="AP106" s="9" t="s">
        <v>13</v>
      </c>
      <c r="AQ106" s="10">
        <f t="shared" si="81"/>
        <v>25.048323510409663</v>
      </c>
      <c r="AR106" s="9">
        <v>1215180</v>
      </c>
      <c r="AS106" s="19" t="s">
        <v>13</v>
      </c>
      <c r="AT106" s="10">
        <f t="shared" si="82"/>
        <v>16.022309244096355</v>
      </c>
      <c r="AU106" s="8">
        <f t="shared" si="83"/>
        <v>0.36034404708012674</v>
      </c>
      <c r="AV106" s="2">
        <f t="shared" si="84"/>
        <v>684560</v>
      </c>
      <c r="AW106" s="14"/>
      <c r="AX106" s="3"/>
      <c r="AY106" s="3"/>
      <c r="AZ106" s="3"/>
      <c r="BA106" s="28" t="s">
        <v>944</v>
      </c>
      <c r="BB106" s="65">
        <v>25507078.25</v>
      </c>
      <c r="BC106" s="42">
        <f t="shared" si="79"/>
        <v>336.31420500243922</v>
      </c>
      <c r="BD106" s="68">
        <v>21220000</v>
      </c>
      <c r="BE106" s="71">
        <v>2903738</v>
      </c>
      <c r="BF106" s="15">
        <v>154488</v>
      </c>
      <c r="BG106" s="15"/>
      <c r="BH106" s="29">
        <v>300000</v>
      </c>
      <c r="BI106" s="1353">
        <f t="shared" si="80"/>
        <v>288.71498812640806</v>
      </c>
      <c r="BJ106" s="1" t="s">
        <v>473</v>
      </c>
      <c r="BK106" s="11" t="s">
        <v>247</v>
      </c>
      <c r="BL106" s="41" t="s">
        <v>38</v>
      </c>
    </row>
    <row r="107" spans="1:65" s="41" customFormat="1" ht="27.6" customHeight="1" x14ac:dyDescent="0.2">
      <c r="A107" s="245" t="s">
        <v>943</v>
      </c>
      <c r="B107" s="915" t="s">
        <v>953</v>
      </c>
      <c r="C107" s="11" t="s">
        <v>68</v>
      </c>
      <c r="D107" s="11" t="s">
        <v>992</v>
      </c>
      <c r="E107" s="11" t="s">
        <v>650</v>
      </c>
      <c r="F107" s="1" t="s">
        <v>525</v>
      </c>
      <c r="G107" s="37">
        <v>42205</v>
      </c>
      <c r="H107" s="1" t="s">
        <v>10</v>
      </c>
      <c r="I107" s="33" t="s">
        <v>73</v>
      </c>
      <c r="J107" s="33" t="s">
        <v>73</v>
      </c>
      <c r="K107" s="4" t="s">
        <v>432</v>
      </c>
      <c r="L107" s="1" t="s">
        <v>13</v>
      </c>
      <c r="M107" s="2">
        <v>213911</v>
      </c>
      <c r="N107" s="14">
        <v>4</v>
      </c>
      <c r="O107" s="245" t="s">
        <v>943</v>
      </c>
      <c r="P107" s="11" t="s">
        <v>249</v>
      </c>
      <c r="Q107" s="2">
        <v>38581</v>
      </c>
      <c r="R107" s="10">
        <f t="shared" si="75"/>
        <v>180.36005628509054</v>
      </c>
      <c r="S107" s="2">
        <v>23447</v>
      </c>
      <c r="T107" s="10">
        <f t="shared" si="76"/>
        <v>109.61100644660631</v>
      </c>
      <c r="U107" s="8">
        <f t="shared" si="77"/>
        <v>0.39226562297503953</v>
      </c>
      <c r="V107" s="2">
        <f t="shared" si="78"/>
        <v>15134</v>
      </c>
      <c r="W107" s="992"/>
      <c r="X107" s="3"/>
      <c r="Y107" s="3"/>
      <c r="Z107" s="3"/>
      <c r="AA107" s="3"/>
      <c r="AB107" s="257"/>
      <c r="AC107" s="28" t="s">
        <v>943</v>
      </c>
      <c r="AD107" s="15">
        <v>629463</v>
      </c>
      <c r="AE107" s="7">
        <f t="shared" si="63"/>
        <v>2.9426396959483148</v>
      </c>
      <c r="AF107" s="15">
        <v>393838</v>
      </c>
      <c r="AG107" s="7">
        <f t="shared" si="64"/>
        <v>1.8411301896583159</v>
      </c>
      <c r="AH107" s="8">
        <f t="shared" si="72"/>
        <v>0.37432700571757194</v>
      </c>
      <c r="AI107" s="15">
        <f t="shared" si="65"/>
        <v>235625</v>
      </c>
      <c r="AJ107" s="3"/>
      <c r="AK107" s="3"/>
      <c r="AL107" s="3"/>
      <c r="AM107" s="3"/>
      <c r="AN107" s="245" t="s">
        <v>943</v>
      </c>
      <c r="AO107" s="9">
        <v>1394940</v>
      </c>
      <c r="AP107" s="9" t="s">
        <v>13</v>
      </c>
      <c r="AQ107" s="2">
        <f t="shared" si="81"/>
        <v>6.5211232708930353</v>
      </c>
      <c r="AR107" s="9">
        <v>863295</v>
      </c>
      <c r="AS107" s="9" t="s">
        <v>13</v>
      </c>
      <c r="AT107" s="2">
        <f t="shared" si="82"/>
        <v>4.0357672115973466</v>
      </c>
      <c r="AU107" s="8">
        <f t="shared" si="83"/>
        <v>0.38112391930835737</v>
      </c>
      <c r="AV107" s="2">
        <f t="shared" si="84"/>
        <v>531645</v>
      </c>
      <c r="AW107" s="14"/>
      <c r="AX107" s="3"/>
      <c r="AY107" s="3"/>
      <c r="AZ107" s="257"/>
      <c r="BA107" s="245" t="s">
        <v>943</v>
      </c>
      <c r="BB107" s="65">
        <v>75104396</v>
      </c>
      <c r="BC107" s="42">
        <f t="shared" si="79"/>
        <v>351.10114019381894</v>
      </c>
      <c r="BD107" s="68">
        <f>BB107-2000000</f>
        <v>73104396</v>
      </c>
      <c r="BE107" s="433">
        <v>9640712</v>
      </c>
      <c r="BF107" s="15">
        <v>161300</v>
      </c>
      <c r="BG107" s="15"/>
      <c r="BH107" s="255">
        <v>707030</v>
      </c>
      <c r="BI107" s="1353">
        <f t="shared" si="80"/>
        <v>12.173283819628647</v>
      </c>
      <c r="BJ107" s="1" t="s">
        <v>298</v>
      </c>
      <c r="BK107" s="11" t="s">
        <v>249</v>
      </c>
    </row>
    <row r="108" spans="1:65" s="3" customFormat="1" ht="27.6" customHeight="1" x14ac:dyDescent="0.2">
      <c r="A108" s="245" t="s">
        <v>268</v>
      </c>
      <c r="B108" s="11"/>
      <c r="C108" s="11" t="s">
        <v>198</v>
      </c>
      <c r="D108" s="11" t="s">
        <v>987</v>
      </c>
      <c r="E108" s="11"/>
      <c r="F108" s="11" t="s">
        <v>948</v>
      </c>
      <c r="G108" s="37">
        <v>42044</v>
      </c>
      <c r="H108" s="1" t="s">
        <v>407</v>
      </c>
      <c r="I108" s="33" t="s">
        <v>73</v>
      </c>
      <c r="J108" s="33" t="s">
        <v>73</v>
      </c>
      <c r="K108" s="4" t="s">
        <v>200</v>
      </c>
      <c r="L108" s="1" t="s">
        <v>13</v>
      </c>
      <c r="M108" s="2">
        <v>221618</v>
      </c>
      <c r="N108" s="14">
        <v>11</v>
      </c>
      <c r="O108" s="245" t="s">
        <v>268</v>
      </c>
      <c r="P108" s="11" t="s">
        <v>248</v>
      </c>
      <c r="Q108" s="2">
        <v>27375.8</v>
      </c>
      <c r="R108" s="10">
        <f t="shared" si="75"/>
        <v>123.5269698309704</v>
      </c>
      <c r="S108" s="2">
        <v>22956.3</v>
      </c>
      <c r="T108" s="10">
        <f t="shared" si="76"/>
        <v>103.5849976084975</v>
      </c>
      <c r="U108" s="8">
        <f t="shared" si="77"/>
        <v>0.16143820454562058</v>
      </c>
      <c r="V108" s="2">
        <f t="shared" si="78"/>
        <v>4419.5</v>
      </c>
      <c r="W108" s="992"/>
      <c r="AB108" s="257"/>
      <c r="AC108" s="28" t="s">
        <v>268</v>
      </c>
      <c r="AD108" s="15">
        <v>1006324</v>
      </c>
      <c r="AE108" s="7">
        <f t="shared" si="63"/>
        <v>4.5408044472921878</v>
      </c>
      <c r="AF108" s="15">
        <v>813664</v>
      </c>
      <c r="AG108" s="7">
        <f t="shared" si="64"/>
        <v>3.6714707289119115</v>
      </c>
      <c r="AH108" s="8">
        <f t="shared" si="72"/>
        <v>0.19144927478625173</v>
      </c>
      <c r="AI108" s="15">
        <f t="shared" si="65"/>
        <v>192660</v>
      </c>
      <c r="AN108" s="245" t="s">
        <v>268</v>
      </c>
      <c r="AO108" s="9">
        <v>663675</v>
      </c>
      <c r="AP108" s="9" t="s">
        <v>13</v>
      </c>
      <c r="AQ108" s="2">
        <f t="shared" si="81"/>
        <v>2.9946800350152065</v>
      </c>
      <c r="AR108" s="9">
        <v>445591</v>
      </c>
      <c r="AS108" s="9" t="s">
        <v>13</v>
      </c>
      <c r="AT108" s="2">
        <f t="shared" si="82"/>
        <v>2.0106263931630104</v>
      </c>
      <c r="AU108" s="8">
        <f t="shared" si="83"/>
        <v>0.32860059517082907</v>
      </c>
      <c r="AV108" s="2">
        <f t="shared" si="84"/>
        <v>218084</v>
      </c>
      <c r="AW108" s="14"/>
      <c r="AZ108" s="257"/>
      <c r="BA108" s="245" t="s">
        <v>268</v>
      </c>
      <c r="BB108" s="65">
        <v>77779202</v>
      </c>
      <c r="BC108" s="42">
        <f t="shared" si="79"/>
        <v>350.96067106462471</v>
      </c>
      <c r="BD108" s="68">
        <v>75208000</v>
      </c>
      <c r="BE108" s="71">
        <v>8628179</v>
      </c>
      <c r="BF108" s="15"/>
      <c r="BG108" s="15">
        <v>10370</v>
      </c>
      <c r="BH108" s="255">
        <v>730000</v>
      </c>
      <c r="BI108" s="1353">
        <f t="shared" si="80"/>
        <v>17.188684729575417</v>
      </c>
      <c r="BJ108" s="11" t="s">
        <v>424</v>
      </c>
      <c r="BK108" s="11" t="s">
        <v>249</v>
      </c>
      <c r="BL108" s="41"/>
      <c r="BM108" s="41"/>
    </row>
    <row r="109" spans="1:65" s="430" customFormat="1" ht="27.6" customHeight="1" x14ac:dyDescent="0.2">
      <c r="A109" s="245" t="s">
        <v>946</v>
      </c>
      <c r="B109" s="11" t="s">
        <v>951</v>
      </c>
      <c r="C109" s="11" t="s">
        <v>68</v>
      </c>
      <c r="D109" s="11" t="s">
        <v>992</v>
      </c>
      <c r="E109" s="11" t="s">
        <v>650</v>
      </c>
      <c r="F109" s="1" t="s">
        <v>1028</v>
      </c>
      <c r="G109" s="37">
        <v>42231</v>
      </c>
      <c r="H109" s="1" t="s">
        <v>4</v>
      </c>
      <c r="I109" s="33" t="s">
        <v>73</v>
      </c>
      <c r="J109" s="33" t="s">
        <v>73</v>
      </c>
      <c r="K109" s="28" t="s">
        <v>135</v>
      </c>
      <c r="L109" s="1">
        <v>360</v>
      </c>
      <c r="M109" s="2">
        <v>79783</v>
      </c>
      <c r="N109" s="14">
        <v>10</v>
      </c>
      <c r="O109" s="245" t="s">
        <v>946</v>
      </c>
      <c r="P109" s="11" t="s">
        <v>248</v>
      </c>
      <c r="Q109" s="2">
        <v>6062</v>
      </c>
      <c r="R109" s="10">
        <f t="shared" si="75"/>
        <v>75.981098730305945</v>
      </c>
      <c r="S109" s="2">
        <v>5097</v>
      </c>
      <c r="T109" s="10">
        <f t="shared" si="76"/>
        <v>63.885790205933603</v>
      </c>
      <c r="U109" s="8">
        <f t="shared" si="77"/>
        <v>0.15918838667106566</v>
      </c>
      <c r="V109" s="2">
        <f t="shared" si="78"/>
        <v>965</v>
      </c>
      <c r="W109" s="992"/>
      <c r="X109" s="3"/>
      <c r="Y109" s="3"/>
      <c r="Z109" s="3"/>
      <c r="AA109" s="3"/>
      <c r="AB109" s="257"/>
      <c r="AC109" s="28" t="s">
        <v>946</v>
      </c>
      <c r="AD109" s="15">
        <v>126562</v>
      </c>
      <c r="AE109" s="7">
        <f t="shared" si="63"/>
        <v>1.5863279144679945</v>
      </c>
      <c r="AF109" s="15">
        <v>114895</v>
      </c>
      <c r="AG109" s="7">
        <f t="shared" si="64"/>
        <v>1.4400937543085619</v>
      </c>
      <c r="AH109" s="8">
        <f t="shared" si="72"/>
        <v>9.2184067887675608E-2</v>
      </c>
      <c r="AI109" s="15">
        <f t="shared" si="65"/>
        <v>11667</v>
      </c>
      <c r="AJ109" s="3"/>
      <c r="AK109" s="3"/>
      <c r="AL109" s="3"/>
      <c r="AM109" s="3"/>
      <c r="AN109" s="245" t="s">
        <v>946</v>
      </c>
      <c r="AO109" s="2">
        <v>1606527</v>
      </c>
      <c r="AP109" s="9">
        <f>AO109/L109</f>
        <v>4462.5749999999998</v>
      </c>
      <c r="AQ109" s="10">
        <f t="shared" si="81"/>
        <v>20.136206961382751</v>
      </c>
      <c r="AR109" s="2">
        <v>982138</v>
      </c>
      <c r="AS109" s="9">
        <f>AR109/L109</f>
        <v>2728.161111111111</v>
      </c>
      <c r="AT109" s="10">
        <f t="shared" si="82"/>
        <v>12.310116190165825</v>
      </c>
      <c r="AU109" s="8">
        <f t="shared" si="83"/>
        <v>0.38865764472056802</v>
      </c>
      <c r="AV109" s="2">
        <f t="shared" si="84"/>
        <v>624389</v>
      </c>
      <c r="AW109" s="3"/>
      <c r="AX109" s="3"/>
      <c r="AY109" s="3"/>
      <c r="AZ109" s="257"/>
      <c r="BA109" s="245" t="s">
        <v>946</v>
      </c>
      <c r="BB109" s="65">
        <v>15757980.67</v>
      </c>
      <c r="BC109" s="42">
        <f t="shared" si="79"/>
        <v>197.51050562149831</v>
      </c>
      <c r="BD109" s="15"/>
      <c r="BE109" s="15">
        <v>1750000</v>
      </c>
      <c r="BF109" s="15"/>
      <c r="BG109" s="15">
        <v>23400</v>
      </c>
      <c r="BH109" s="256">
        <f>0.005*BB109</f>
        <v>78789.903350000008</v>
      </c>
      <c r="BI109" s="1353"/>
      <c r="BJ109" s="1" t="s">
        <v>947</v>
      </c>
      <c r="BK109" s="11" t="s">
        <v>248</v>
      </c>
      <c r="BL109" s="3"/>
      <c r="BM109" s="3"/>
    </row>
    <row r="110" spans="1:65" s="3" customFormat="1" ht="27.6" customHeight="1" x14ac:dyDescent="0.2">
      <c r="A110" s="28" t="s">
        <v>1255</v>
      </c>
      <c r="B110" s="11" t="s">
        <v>952</v>
      </c>
      <c r="C110" s="11" t="s">
        <v>1256</v>
      </c>
      <c r="D110" s="11"/>
      <c r="E110" s="11"/>
      <c r="F110" s="1" t="s">
        <v>1257</v>
      </c>
      <c r="G110" s="37">
        <v>42247</v>
      </c>
      <c r="H110" s="1" t="s">
        <v>22</v>
      </c>
      <c r="I110" s="33" t="s">
        <v>73</v>
      </c>
      <c r="J110" s="33" t="s">
        <v>73</v>
      </c>
      <c r="K110" s="28" t="s">
        <v>1258</v>
      </c>
      <c r="L110" s="1" t="s">
        <v>13</v>
      </c>
      <c r="M110" s="2">
        <v>55028</v>
      </c>
      <c r="N110" s="14">
        <v>1</v>
      </c>
      <c r="O110" s="245" t="s">
        <v>1255</v>
      </c>
      <c r="P110" s="11" t="s">
        <v>248</v>
      </c>
      <c r="Q110" s="2">
        <v>3345.491</v>
      </c>
      <c r="R110" s="10">
        <f t="shared" si="75"/>
        <v>60.79615831940103</v>
      </c>
      <c r="S110" s="2">
        <v>3310.6149999999998</v>
      </c>
      <c r="T110" s="10">
        <f t="shared" si="76"/>
        <v>60.162371883404809</v>
      </c>
      <c r="U110" s="8">
        <f t="shared" si="77"/>
        <v>1.0424777708264707E-2</v>
      </c>
      <c r="V110" s="2">
        <f t="shared" si="78"/>
        <v>34.876000000000204</v>
      </c>
      <c r="W110" s="992"/>
      <c r="AB110" s="257"/>
      <c r="AC110" s="28" t="s">
        <v>1255</v>
      </c>
      <c r="AD110" s="15">
        <v>80013</v>
      </c>
      <c r="AE110" s="7">
        <f t="shared" si="63"/>
        <v>1.4540415788325942</v>
      </c>
      <c r="AF110" s="15">
        <v>79195</v>
      </c>
      <c r="AG110" s="7">
        <f t="shared" si="64"/>
        <v>1.4391764192774588</v>
      </c>
      <c r="AH110" s="8">
        <f t="shared" si="72"/>
        <v>1.0223338707460037E-2</v>
      </c>
      <c r="AI110" s="15">
        <f t="shared" si="65"/>
        <v>818</v>
      </c>
      <c r="AN110" s="28" t="s">
        <v>1255</v>
      </c>
      <c r="AO110" s="2">
        <v>588719</v>
      </c>
      <c r="AP110" s="9" t="s">
        <v>13</v>
      </c>
      <c r="AQ110" s="10">
        <f t="shared" si="81"/>
        <v>10.698535291124518</v>
      </c>
      <c r="AR110" s="2"/>
      <c r="AS110" s="9"/>
      <c r="AT110" s="10"/>
      <c r="AU110" s="8"/>
      <c r="AV110" s="2"/>
      <c r="AZ110" s="257"/>
      <c r="BA110" s="28" t="s">
        <v>1255</v>
      </c>
      <c r="BB110" s="65">
        <v>12593715</v>
      </c>
      <c r="BC110" s="42">
        <f t="shared" si="79"/>
        <v>228.86012575416152</v>
      </c>
      <c r="BD110" s="15"/>
      <c r="BE110" s="15">
        <v>861500</v>
      </c>
      <c r="BF110" s="15">
        <f>35000+8500</f>
        <v>43500</v>
      </c>
      <c r="BG110" s="15">
        <v>0</v>
      </c>
      <c r="BH110" s="256">
        <v>100000</v>
      </c>
      <c r="BI110" s="1353"/>
      <c r="BJ110" s="1" t="s">
        <v>1259</v>
      </c>
      <c r="BK110" s="11" t="s">
        <v>248</v>
      </c>
    </row>
    <row r="111" spans="1:65" s="41" customFormat="1" ht="27.6" customHeight="1" x14ac:dyDescent="0.25">
      <c r="A111" s="245" t="s">
        <v>197</v>
      </c>
      <c r="B111" s="11"/>
      <c r="C111" s="11" t="s">
        <v>198</v>
      </c>
      <c r="D111" s="11" t="s">
        <v>987</v>
      </c>
      <c r="E111" s="11"/>
      <c r="F111" s="1" t="s">
        <v>199</v>
      </c>
      <c r="G111" s="1381">
        <v>41579</v>
      </c>
      <c r="H111" s="1" t="s">
        <v>4</v>
      </c>
      <c r="I111" s="33" t="s">
        <v>73</v>
      </c>
      <c r="J111" s="33" t="s">
        <v>73</v>
      </c>
      <c r="K111" s="4" t="s">
        <v>200</v>
      </c>
      <c r="L111" s="1" t="s">
        <v>13</v>
      </c>
      <c r="M111" s="2">
        <v>274810</v>
      </c>
      <c r="N111" s="246">
        <v>9</v>
      </c>
      <c r="O111" s="28" t="s">
        <v>197</v>
      </c>
      <c r="P111" s="11" t="s">
        <v>249</v>
      </c>
      <c r="Q111" s="2">
        <v>15342</v>
      </c>
      <c r="R111" s="10">
        <f>Q111/M111*1000</f>
        <v>55.827662748808265</v>
      </c>
      <c r="S111" s="2">
        <v>11509</v>
      </c>
      <c r="T111" s="10">
        <f>S111/M111*1000</f>
        <v>41.87984425603144</v>
      </c>
      <c r="U111" s="8">
        <f>(Q111-S111)/Q111</f>
        <v>0.24983704862469039</v>
      </c>
      <c r="V111" s="2">
        <f>Q111-S111</f>
        <v>3833</v>
      </c>
      <c r="W111" s="992"/>
      <c r="X111" s="3"/>
      <c r="Y111" s="3"/>
      <c r="Z111" s="3"/>
      <c r="AA111" s="3"/>
      <c r="AB111" s="3"/>
      <c r="AC111" s="245" t="s">
        <v>197</v>
      </c>
      <c r="AD111" s="15">
        <v>293091</v>
      </c>
      <c r="AE111" s="7">
        <f>AD111/M111</f>
        <v>1.0665223245151196</v>
      </c>
      <c r="AF111" s="15">
        <v>229379</v>
      </c>
      <c r="AG111" s="7">
        <f>AF111/M111</f>
        <v>0.83468214402678209</v>
      </c>
      <c r="AH111" s="8">
        <f>(AD111-AF111)/AD111</f>
        <v>0.21737958518002942</v>
      </c>
      <c r="AI111" s="15">
        <f>AD111-AF111</f>
        <v>63712</v>
      </c>
      <c r="AJ111" s="3"/>
      <c r="AK111" s="3"/>
      <c r="AL111" s="3"/>
      <c r="AM111" s="257"/>
      <c r="AN111" s="28" t="s">
        <v>197</v>
      </c>
      <c r="AO111" s="2">
        <v>1871354</v>
      </c>
      <c r="AP111" s="1" t="s">
        <v>13</v>
      </c>
      <c r="AQ111" s="10">
        <f>AO111/M111</f>
        <v>6.809628470579673</v>
      </c>
      <c r="AR111" s="2">
        <v>1339798</v>
      </c>
      <c r="AS111" s="1" t="s">
        <v>13</v>
      </c>
      <c r="AT111" s="10">
        <f>AR111/M111</f>
        <v>4.8753611586186816</v>
      </c>
      <c r="AU111" s="8">
        <f>(AO111-AR111)/AO111</f>
        <v>0.28404887584070143</v>
      </c>
      <c r="AV111" s="2">
        <f>AO111-AR111</f>
        <v>531556</v>
      </c>
      <c r="AW111" s="3"/>
      <c r="AX111" s="3"/>
      <c r="AY111" s="3"/>
      <c r="AZ111" s="3"/>
      <c r="BA111" s="245" t="s">
        <v>197</v>
      </c>
      <c r="BB111" s="65">
        <v>72817169</v>
      </c>
      <c r="BC111" s="42">
        <f>BB111/M111</f>
        <v>264.97277755540193</v>
      </c>
      <c r="BD111" s="15">
        <v>78341076</v>
      </c>
      <c r="BE111" s="15">
        <v>7995000</v>
      </c>
      <c r="BF111" s="15">
        <f>178500+44500</f>
        <v>223000</v>
      </c>
      <c r="BG111" s="15">
        <v>65350</v>
      </c>
      <c r="BH111" s="256">
        <v>500000</v>
      </c>
      <c r="BI111" s="1353">
        <f>((BB111-BD111)+BF111+BG111+BH111)/AI111</f>
        <v>-74.327552109492714</v>
      </c>
      <c r="BJ111" s="11" t="s">
        <v>423</v>
      </c>
      <c r="BK111" s="11" t="s">
        <v>249</v>
      </c>
      <c r="BL111" s="3"/>
      <c r="BM111" s="3"/>
    </row>
    <row r="112" spans="1:65" s="41" customFormat="1" ht="27.6" customHeight="1" x14ac:dyDescent="0.2">
      <c r="A112" s="28" t="s">
        <v>495</v>
      </c>
      <c r="B112" s="11"/>
      <c r="C112" s="11" t="s">
        <v>198</v>
      </c>
      <c r="D112" s="11" t="s">
        <v>987</v>
      </c>
      <c r="E112" s="11"/>
      <c r="F112" s="1" t="s">
        <v>543</v>
      </c>
      <c r="G112" s="37">
        <v>42018</v>
      </c>
      <c r="H112" s="11" t="s">
        <v>4</v>
      </c>
      <c r="I112" s="33" t="s">
        <v>73</v>
      </c>
      <c r="J112" s="33" t="s">
        <v>184</v>
      </c>
      <c r="K112" s="28" t="s">
        <v>496</v>
      </c>
      <c r="L112" s="1">
        <v>275</v>
      </c>
      <c r="M112" s="2">
        <v>112886</v>
      </c>
      <c r="N112" s="14">
        <v>7</v>
      </c>
      <c r="O112" s="245" t="s">
        <v>495</v>
      </c>
      <c r="P112" s="11" t="s">
        <v>248</v>
      </c>
      <c r="Q112" s="2">
        <v>9032</v>
      </c>
      <c r="R112" s="10">
        <f t="shared" si="75"/>
        <v>80.009921513739528</v>
      </c>
      <c r="S112" s="2">
        <v>7916</v>
      </c>
      <c r="T112" s="10">
        <f t="shared" si="76"/>
        <v>70.123841751855849</v>
      </c>
      <c r="U112" s="8">
        <f t="shared" si="77"/>
        <v>0.12356067316209035</v>
      </c>
      <c r="V112" s="2">
        <f t="shared" si="78"/>
        <v>1116</v>
      </c>
      <c r="W112" s="992"/>
      <c r="X112" s="3"/>
      <c r="Y112" s="3"/>
      <c r="Z112" s="3"/>
      <c r="AA112" s="3"/>
      <c r="AB112" s="257"/>
      <c r="AC112" s="28" t="s">
        <v>495</v>
      </c>
      <c r="AD112" s="15">
        <v>219320</v>
      </c>
      <c r="AE112" s="7">
        <f t="shared" si="63"/>
        <v>1.9428449940648087</v>
      </c>
      <c r="AF112" s="15">
        <v>186485</v>
      </c>
      <c r="AG112" s="7">
        <f t="shared" si="64"/>
        <v>1.6519763301029358</v>
      </c>
      <c r="AH112" s="8">
        <f t="shared" si="72"/>
        <v>0.14971274849534927</v>
      </c>
      <c r="AI112" s="15">
        <f t="shared" si="65"/>
        <v>32835</v>
      </c>
      <c r="AJ112" s="3"/>
      <c r="AK112" s="3"/>
      <c r="AL112" s="3"/>
      <c r="AM112" s="3"/>
      <c r="AN112" s="245" t="s">
        <v>495</v>
      </c>
      <c r="AO112" s="2">
        <v>917871</v>
      </c>
      <c r="AP112" s="9">
        <f>AO112/L112</f>
        <v>3337.7127272727271</v>
      </c>
      <c r="AQ112" s="10">
        <f t="shared" si="81"/>
        <v>8.1309551228673183</v>
      </c>
      <c r="AR112" s="2">
        <v>584333</v>
      </c>
      <c r="AS112" s="9">
        <f>AR112/L112</f>
        <v>2124.8472727272729</v>
      </c>
      <c r="AT112" s="10">
        <f t="shared" si="82"/>
        <v>5.1763106142480027</v>
      </c>
      <c r="AU112" s="8">
        <f t="shared" si="83"/>
        <v>0.36338221819841787</v>
      </c>
      <c r="AV112" s="2">
        <f t="shared" si="84"/>
        <v>333538</v>
      </c>
      <c r="AW112" s="3"/>
      <c r="AX112" s="3"/>
      <c r="AY112" s="3"/>
      <c r="AZ112" s="257"/>
      <c r="BA112" s="245" t="s">
        <v>495</v>
      </c>
      <c r="BB112" s="65">
        <v>26052469</v>
      </c>
      <c r="BC112" s="42">
        <f t="shared" si="79"/>
        <v>230.78565101075421</v>
      </c>
      <c r="BD112" s="15">
        <v>25799369</v>
      </c>
      <c r="BE112" s="242">
        <v>1961668</v>
      </c>
      <c r="BF112" s="71">
        <v>53300</v>
      </c>
      <c r="BG112" s="71">
        <v>31970</v>
      </c>
      <c r="BH112" s="256">
        <v>250000</v>
      </c>
      <c r="BI112" s="1353">
        <f>((BB112-BD112)+BF112+BG112+BH112)/AI112</f>
        <v>17.918988883813004</v>
      </c>
      <c r="BJ112" s="1" t="s">
        <v>296</v>
      </c>
      <c r="BK112" s="11" t="s">
        <v>248</v>
      </c>
      <c r="BL112" s="346"/>
      <c r="BM112" s="3"/>
    </row>
    <row r="113" spans="1:65" s="41" customFormat="1" ht="27.6" customHeight="1" x14ac:dyDescent="0.2">
      <c r="A113" s="245" t="s">
        <v>426</v>
      </c>
      <c r="B113" s="11"/>
      <c r="C113" s="11" t="s">
        <v>63</v>
      </c>
      <c r="D113" s="11" t="s">
        <v>985</v>
      </c>
      <c r="E113" s="11" t="s">
        <v>545</v>
      </c>
      <c r="F113" s="1" t="s">
        <v>490</v>
      </c>
      <c r="G113" s="37">
        <v>41829</v>
      </c>
      <c r="H113" s="11" t="s">
        <v>4</v>
      </c>
      <c r="I113" s="33" t="s">
        <v>73</v>
      </c>
      <c r="J113" s="33" t="s">
        <v>184</v>
      </c>
      <c r="K113" s="28" t="s">
        <v>135</v>
      </c>
      <c r="L113" s="1">
        <v>440</v>
      </c>
      <c r="M113" s="2">
        <v>99436</v>
      </c>
      <c r="N113" s="14">
        <v>12</v>
      </c>
      <c r="O113" s="245" t="s">
        <v>426</v>
      </c>
      <c r="P113" s="11" t="s">
        <v>248</v>
      </c>
      <c r="Q113" s="2">
        <v>5384</v>
      </c>
      <c r="R113" s="10">
        <f t="shared" si="75"/>
        <v>54.145379942877831</v>
      </c>
      <c r="S113" s="2">
        <v>4674</v>
      </c>
      <c r="T113" s="10">
        <f t="shared" si="76"/>
        <v>47.00510881370932</v>
      </c>
      <c r="U113" s="8">
        <f t="shared" si="77"/>
        <v>0.13187221396731055</v>
      </c>
      <c r="V113" s="2">
        <f t="shared" si="78"/>
        <v>710</v>
      </c>
      <c r="W113" s="992"/>
      <c r="X113" s="3"/>
      <c r="Y113" s="3"/>
      <c r="Z113" s="3"/>
      <c r="AA113" s="3"/>
      <c r="AB113" s="257"/>
      <c r="AC113" s="28" t="s">
        <v>426</v>
      </c>
      <c r="AD113" s="15">
        <v>58913</v>
      </c>
      <c r="AE113" s="7">
        <f t="shared" si="63"/>
        <v>0.59247153948268227</v>
      </c>
      <c r="AF113" s="15">
        <v>50839</v>
      </c>
      <c r="AG113" s="7">
        <f t="shared" si="64"/>
        <v>0.51127358300816605</v>
      </c>
      <c r="AH113" s="8">
        <f t="shared" si="72"/>
        <v>0.13704954763804253</v>
      </c>
      <c r="AI113" s="15">
        <f t="shared" si="65"/>
        <v>8074</v>
      </c>
      <c r="AJ113" s="3"/>
      <c r="AK113" s="3"/>
      <c r="AL113" s="3"/>
      <c r="AM113" s="3"/>
      <c r="AN113" s="245" t="s">
        <v>426</v>
      </c>
      <c r="AO113" s="2">
        <v>4280271</v>
      </c>
      <c r="AP113" s="9">
        <f>AO113/L113</f>
        <v>9727.8886363636357</v>
      </c>
      <c r="AQ113" s="10">
        <f t="shared" si="81"/>
        <v>43.045486544108776</v>
      </c>
      <c r="AR113" s="2">
        <v>2887348</v>
      </c>
      <c r="AS113" s="9">
        <f>AR113/L113</f>
        <v>6562.1545454545458</v>
      </c>
      <c r="AT113" s="10">
        <f t="shared" si="82"/>
        <v>29.037250090510479</v>
      </c>
      <c r="AU113" s="8">
        <f t="shared" si="83"/>
        <v>0.32542869365047211</v>
      </c>
      <c r="AV113" s="2">
        <f t="shared" si="84"/>
        <v>1392923</v>
      </c>
      <c r="AW113" s="3"/>
      <c r="AX113" s="3"/>
      <c r="AY113" s="3"/>
      <c r="AZ113" s="257"/>
      <c r="BA113" s="245" t="s">
        <v>426</v>
      </c>
      <c r="BB113" s="65">
        <v>15688400</v>
      </c>
      <c r="BC113" s="42">
        <f t="shared" si="79"/>
        <v>157.77384448288348</v>
      </c>
      <c r="BD113" s="15">
        <v>15615290</v>
      </c>
      <c r="BE113" s="433">
        <v>1287470</v>
      </c>
      <c r="BF113" s="71"/>
      <c r="BG113" s="71">
        <v>4100</v>
      </c>
      <c r="BH113" s="256">
        <v>100000</v>
      </c>
      <c r="BI113" s="1353">
        <f>((BB113-BD113)+BF113+BG113+BH113)/AI113</f>
        <v>21.948228882833789</v>
      </c>
      <c r="BJ113" s="1" t="s">
        <v>304</v>
      </c>
      <c r="BK113" s="11" t="s">
        <v>248</v>
      </c>
      <c r="BL113" s="346">
        <f>BB113-BD113</f>
        <v>73110</v>
      </c>
      <c r="BM113" s="3"/>
    </row>
    <row r="114" spans="1:65" s="3" customFormat="1" ht="27.6" customHeight="1" x14ac:dyDescent="0.2">
      <c r="A114" s="247" t="s">
        <v>58</v>
      </c>
      <c r="B114" s="11"/>
      <c r="C114" s="11" t="s">
        <v>45</v>
      </c>
      <c r="D114" s="11" t="s">
        <v>989</v>
      </c>
      <c r="E114" s="11"/>
      <c r="F114" s="1" t="s">
        <v>57</v>
      </c>
      <c r="G114" s="33">
        <v>41088</v>
      </c>
      <c r="H114" s="11" t="s">
        <v>10</v>
      </c>
      <c r="I114" s="33" t="s">
        <v>184</v>
      </c>
      <c r="J114" s="33" t="s">
        <v>184</v>
      </c>
      <c r="K114" s="4" t="s">
        <v>65</v>
      </c>
      <c r="L114" s="11" t="s">
        <v>13</v>
      </c>
      <c r="M114" s="6">
        <v>34386</v>
      </c>
      <c r="N114" s="14">
        <v>2</v>
      </c>
      <c r="O114" s="247" t="s">
        <v>58</v>
      </c>
      <c r="P114" s="11" t="s">
        <v>247</v>
      </c>
      <c r="Q114" s="2">
        <v>2484</v>
      </c>
      <c r="R114" s="12">
        <f t="shared" si="75"/>
        <v>72.238701797243067</v>
      </c>
      <c r="S114" s="2">
        <v>1436</v>
      </c>
      <c r="T114" s="23">
        <f t="shared" si="76"/>
        <v>41.761181876345027</v>
      </c>
      <c r="U114" s="5">
        <f t="shared" si="77"/>
        <v>0.4219001610305958</v>
      </c>
      <c r="V114" s="13">
        <f t="shared" si="78"/>
        <v>1048</v>
      </c>
      <c r="W114" s="967"/>
      <c r="X114" s="25"/>
      <c r="Y114" s="2"/>
      <c r="Z114" s="2"/>
      <c r="AA114" s="2"/>
      <c r="AB114" s="908"/>
      <c r="AC114" s="4" t="s">
        <v>58</v>
      </c>
      <c r="AD114" s="15">
        <v>59882</v>
      </c>
      <c r="AE114" s="7">
        <f t="shared" si="63"/>
        <v>1.74146454952597</v>
      </c>
      <c r="AF114" s="15">
        <v>41042</v>
      </c>
      <c r="AG114" s="7">
        <f t="shared" si="64"/>
        <v>1.1935671494212761</v>
      </c>
      <c r="AH114" s="8">
        <f t="shared" si="72"/>
        <v>0.31461875020874386</v>
      </c>
      <c r="AI114" s="16">
        <f t="shared" si="65"/>
        <v>18840</v>
      </c>
      <c r="AJ114" s="7"/>
      <c r="AK114" s="2"/>
      <c r="AL114" s="2"/>
      <c r="AM114" s="2"/>
      <c r="AN114" s="247" t="s">
        <v>58</v>
      </c>
      <c r="AO114" s="2">
        <v>667359</v>
      </c>
      <c r="AP114" s="9" t="s">
        <v>13</v>
      </c>
      <c r="AQ114" s="2">
        <f t="shared" si="81"/>
        <v>19.407869481765836</v>
      </c>
      <c r="AR114" s="2">
        <v>310095</v>
      </c>
      <c r="AS114" s="9" t="s">
        <v>13</v>
      </c>
      <c r="AT114" s="2">
        <f t="shared" si="82"/>
        <v>9.0180596754493116</v>
      </c>
      <c r="AU114" s="8">
        <f t="shared" si="83"/>
        <v>0.53534004935874091</v>
      </c>
      <c r="AV114" s="2">
        <f t="shared" si="84"/>
        <v>357264</v>
      </c>
      <c r="AX114" s="9"/>
      <c r="AY114" s="2"/>
      <c r="AZ114" s="908"/>
      <c r="BA114" s="247" t="s">
        <v>58</v>
      </c>
      <c r="BB114" s="65">
        <v>6245727</v>
      </c>
      <c r="BC114" s="42" t="s">
        <v>38</v>
      </c>
      <c r="BD114" s="15">
        <v>5604454</v>
      </c>
      <c r="BE114" s="71" t="s">
        <v>204</v>
      </c>
      <c r="BF114" s="71" t="s">
        <v>204</v>
      </c>
      <c r="BG114" s="11"/>
      <c r="BH114" s="256">
        <v>84000</v>
      </c>
      <c r="BI114" s="1353"/>
      <c r="BJ114" s="1"/>
      <c r="BK114" s="11" t="s">
        <v>247</v>
      </c>
      <c r="BL114" s="41"/>
      <c r="BM114" s="41"/>
    </row>
    <row r="115" spans="1:65" s="3" customFormat="1" ht="27.6" customHeight="1" x14ac:dyDescent="0.2">
      <c r="A115" s="247" t="s">
        <v>18</v>
      </c>
      <c r="B115" s="11"/>
      <c r="C115" s="11" t="s">
        <v>77</v>
      </c>
      <c r="D115" s="11" t="s">
        <v>991</v>
      </c>
      <c r="E115" s="11"/>
      <c r="F115" s="1" t="s">
        <v>17</v>
      </c>
      <c r="G115" s="33">
        <v>40534</v>
      </c>
      <c r="H115" s="11" t="s">
        <v>19</v>
      </c>
      <c r="I115" s="33" t="s">
        <v>184</v>
      </c>
      <c r="J115" s="33" t="s">
        <v>184</v>
      </c>
      <c r="K115" s="4" t="s">
        <v>12</v>
      </c>
      <c r="L115" s="11" t="s">
        <v>13</v>
      </c>
      <c r="M115" s="6">
        <v>34271</v>
      </c>
      <c r="N115" s="49">
        <v>2</v>
      </c>
      <c r="O115" s="247" t="s">
        <v>18</v>
      </c>
      <c r="P115" s="11" t="s">
        <v>247</v>
      </c>
      <c r="Q115" s="2">
        <v>2178</v>
      </c>
      <c r="R115" s="12">
        <f t="shared" si="75"/>
        <v>63.552274517813892</v>
      </c>
      <c r="S115" s="2">
        <v>1492</v>
      </c>
      <c r="T115" s="23">
        <f t="shared" si="76"/>
        <v>43.535350587960664</v>
      </c>
      <c r="U115" s="5">
        <f t="shared" si="77"/>
        <v>0.31496786042240588</v>
      </c>
      <c r="V115" s="13">
        <f t="shared" si="78"/>
        <v>686</v>
      </c>
      <c r="W115" s="967"/>
      <c r="X115" s="25"/>
      <c r="Y115" s="2"/>
      <c r="Z115" s="2"/>
      <c r="AA115" s="2"/>
      <c r="AB115" s="908"/>
      <c r="AC115" s="4" t="s">
        <v>18</v>
      </c>
      <c r="AD115" s="15">
        <v>51338</v>
      </c>
      <c r="AE115" s="7">
        <f t="shared" si="63"/>
        <v>1.4980012255259549</v>
      </c>
      <c r="AF115" s="15">
        <v>36026</v>
      </c>
      <c r="AG115" s="7">
        <f t="shared" si="64"/>
        <v>1.0512094774007179</v>
      </c>
      <c r="AH115" s="8">
        <f t="shared" si="72"/>
        <v>0.29825859986754449</v>
      </c>
      <c r="AI115" s="16">
        <f t="shared" si="65"/>
        <v>15312</v>
      </c>
      <c r="AJ115" s="7"/>
      <c r="AK115" s="2"/>
      <c r="AL115" s="2"/>
      <c r="AM115" s="2"/>
      <c r="AN115" s="247" t="s">
        <v>18</v>
      </c>
      <c r="AO115" s="2"/>
      <c r="AP115" s="9" t="s">
        <v>13</v>
      </c>
      <c r="AQ115" s="2">
        <f t="shared" si="81"/>
        <v>0</v>
      </c>
      <c r="AS115" s="9" t="s">
        <v>13</v>
      </c>
      <c r="AT115" s="2">
        <f t="shared" si="82"/>
        <v>0</v>
      </c>
      <c r="AU115" s="8"/>
      <c r="AV115" s="17">
        <f t="shared" si="84"/>
        <v>0</v>
      </c>
      <c r="AX115" s="9"/>
      <c r="AY115" s="2"/>
      <c r="AZ115" s="908"/>
      <c r="BA115" s="247" t="s">
        <v>18</v>
      </c>
      <c r="BB115" s="945"/>
      <c r="BC115" s="261"/>
      <c r="BD115" s="41"/>
      <c r="BE115" s="15"/>
      <c r="BF115" s="15"/>
      <c r="BH115" s="257"/>
      <c r="BI115" s="1353"/>
      <c r="BJ115" s="1"/>
      <c r="BK115" s="11" t="s">
        <v>247</v>
      </c>
    </row>
    <row r="116" spans="1:65" s="3" customFormat="1" ht="27.6" customHeight="1" x14ac:dyDescent="0.2">
      <c r="A116" s="249" t="s">
        <v>50</v>
      </c>
      <c r="B116" s="19"/>
      <c r="C116" s="19" t="s">
        <v>6</v>
      </c>
      <c r="D116" s="19" t="s">
        <v>990</v>
      </c>
      <c r="E116" s="19" t="s">
        <v>547</v>
      </c>
      <c r="F116" s="9" t="s">
        <v>49</v>
      </c>
      <c r="G116" s="34">
        <v>40567</v>
      </c>
      <c r="H116" s="19" t="s">
        <v>10</v>
      </c>
      <c r="I116" s="33" t="s">
        <v>184</v>
      </c>
      <c r="J116" s="34" t="s">
        <v>184</v>
      </c>
      <c r="K116" s="20" t="s">
        <v>51</v>
      </c>
      <c r="L116" s="19" t="s">
        <v>13</v>
      </c>
      <c r="M116" s="6">
        <v>44000</v>
      </c>
      <c r="N116" s="49">
        <v>1</v>
      </c>
      <c r="O116" s="249" t="s">
        <v>50</v>
      </c>
      <c r="P116" s="11" t="s">
        <v>247</v>
      </c>
      <c r="Q116" s="2">
        <v>1913</v>
      </c>
      <c r="R116" s="12">
        <f t="shared" si="75"/>
        <v>43.477272727272727</v>
      </c>
      <c r="S116" s="2">
        <v>1115</v>
      </c>
      <c r="T116" s="23">
        <f t="shared" si="76"/>
        <v>25.34090909090909</v>
      </c>
      <c r="U116" s="5">
        <f t="shared" si="77"/>
        <v>0.41714584422373235</v>
      </c>
      <c r="V116" s="13">
        <f t="shared" si="78"/>
        <v>798</v>
      </c>
      <c r="W116" s="967"/>
      <c r="X116" s="21"/>
      <c r="Y116" s="2"/>
      <c r="Z116" s="2"/>
      <c r="AA116" s="2"/>
      <c r="AB116" s="908"/>
      <c r="AC116" s="20" t="s">
        <v>50</v>
      </c>
      <c r="AD116" s="15">
        <v>118819</v>
      </c>
      <c r="AE116" s="7">
        <f t="shared" si="63"/>
        <v>2.7004318181818183</v>
      </c>
      <c r="AF116" s="15">
        <v>67443</v>
      </c>
      <c r="AG116" s="7">
        <f t="shared" si="64"/>
        <v>1.5327954545454545</v>
      </c>
      <c r="AH116" s="8">
        <f t="shared" si="72"/>
        <v>0.43238875937350085</v>
      </c>
      <c r="AI116" s="16">
        <f t="shared" si="65"/>
        <v>51376</v>
      </c>
      <c r="AJ116" s="22"/>
      <c r="AK116" s="2"/>
      <c r="AL116" s="2"/>
      <c r="AM116" s="2"/>
      <c r="AN116" s="249" t="s">
        <v>50</v>
      </c>
      <c r="AO116" s="2">
        <v>179563</v>
      </c>
      <c r="AP116" s="9" t="s">
        <v>13</v>
      </c>
      <c r="AQ116" s="2">
        <f t="shared" si="81"/>
        <v>4.0809772727272726</v>
      </c>
      <c r="AR116" s="2">
        <v>121788</v>
      </c>
      <c r="AS116" s="9" t="s">
        <v>13</v>
      </c>
      <c r="AT116" s="2">
        <f t="shared" si="82"/>
        <v>2.7679090909090909</v>
      </c>
      <c r="AU116" s="8">
        <f>(AO116-AR116)/AO116</f>
        <v>0.32175336789873193</v>
      </c>
      <c r="AV116" s="17">
        <f t="shared" si="84"/>
        <v>57775</v>
      </c>
      <c r="AW116" s="2"/>
      <c r="AX116" s="2"/>
      <c r="AY116" s="2"/>
      <c r="AZ116" s="908"/>
      <c r="BA116" s="249" t="s">
        <v>50</v>
      </c>
      <c r="BB116" s="945"/>
      <c r="BC116" s="261"/>
      <c r="BD116" s="41"/>
      <c r="BE116" s="15"/>
      <c r="BF116" s="15"/>
      <c r="BH116" s="257"/>
      <c r="BI116" s="1353"/>
      <c r="BJ116" s="1"/>
      <c r="BK116" s="11" t="s">
        <v>247</v>
      </c>
    </row>
    <row r="117" spans="1:65" s="3" customFormat="1" ht="27.6" customHeight="1" x14ac:dyDescent="0.2">
      <c r="A117" s="247" t="s">
        <v>87</v>
      </c>
      <c r="B117" s="11"/>
      <c r="C117" s="11" t="s">
        <v>86</v>
      </c>
      <c r="D117" s="11"/>
      <c r="E117" s="11"/>
      <c r="F117" s="1" t="s">
        <v>85</v>
      </c>
      <c r="G117" s="33">
        <v>40382</v>
      </c>
      <c r="H117" s="11" t="s">
        <v>10</v>
      </c>
      <c r="I117" s="33" t="s">
        <v>185</v>
      </c>
      <c r="J117" s="33" t="s">
        <v>184</v>
      </c>
      <c r="K117" s="4" t="s">
        <v>88</v>
      </c>
      <c r="L117" s="11" t="s">
        <v>13</v>
      </c>
      <c r="M117" s="6">
        <v>75000</v>
      </c>
      <c r="N117" s="49">
        <v>3</v>
      </c>
      <c r="O117" s="247" t="s">
        <v>87</v>
      </c>
      <c r="P117" s="11" t="s">
        <v>247</v>
      </c>
      <c r="Q117" s="2">
        <v>5827</v>
      </c>
      <c r="R117" s="12">
        <f t="shared" si="75"/>
        <v>77.693333333333342</v>
      </c>
      <c r="S117" s="2">
        <v>3550</v>
      </c>
      <c r="T117" s="23">
        <f t="shared" si="76"/>
        <v>47.333333333333329</v>
      </c>
      <c r="U117" s="5">
        <f t="shared" si="77"/>
        <v>0.39076711858589325</v>
      </c>
      <c r="V117" s="13">
        <f t="shared" si="78"/>
        <v>2277</v>
      </c>
      <c r="W117" s="967"/>
      <c r="X117" s="14"/>
      <c r="Y117" s="2"/>
      <c r="Z117" s="2"/>
      <c r="AA117" s="2"/>
      <c r="AB117" s="908"/>
      <c r="AC117" s="4" t="s">
        <v>87</v>
      </c>
      <c r="AD117" s="15">
        <v>135642</v>
      </c>
      <c r="AE117" s="7">
        <f t="shared" si="63"/>
        <v>1.8085599999999999</v>
      </c>
      <c r="AF117" s="15">
        <v>87360</v>
      </c>
      <c r="AG117" s="7">
        <f t="shared" si="64"/>
        <v>1.1648000000000001</v>
      </c>
      <c r="AH117" s="8">
        <f t="shared" si="72"/>
        <v>0.35595169637722829</v>
      </c>
      <c r="AI117" s="16">
        <f t="shared" si="65"/>
        <v>48282</v>
      </c>
      <c r="AK117" s="2"/>
      <c r="AL117" s="2"/>
      <c r="AM117" s="2"/>
      <c r="AN117" s="247" t="s">
        <v>87</v>
      </c>
      <c r="AO117" s="2">
        <v>587500</v>
      </c>
      <c r="AP117" s="9" t="s">
        <v>13</v>
      </c>
      <c r="AQ117" s="2">
        <f t="shared" si="81"/>
        <v>7.833333333333333</v>
      </c>
      <c r="AR117" s="2">
        <v>398125</v>
      </c>
      <c r="AS117" s="9" t="s">
        <v>13</v>
      </c>
      <c r="AT117" s="2">
        <f t="shared" si="82"/>
        <v>5.3083333333333336</v>
      </c>
      <c r="AU117" s="8">
        <f>(AO117-AR117)/AO117</f>
        <v>0.32234042553191489</v>
      </c>
      <c r="AV117" s="17">
        <f t="shared" si="84"/>
        <v>189375</v>
      </c>
      <c r="AX117" s="9"/>
      <c r="AY117" s="2"/>
      <c r="AZ117" s="908"/>
      <c r="BA117" s="247" t="s">
        <v>87</v>
      </c>
      <c r="BB117" s="945"/>
      <c r="BC117" s="261"/>
      <c r="BD117" s="41"/>
      <c r="BE117" s="15"/>
      <c r="BF117" s="15"/>
      <c r="BH117" s="257"/>
      <c r="BI117" s="1353"/>
      <c r="BJ117" s="1"/>
      <c r="BK117" s="11" t="s">
        <v>247</v>
      </c>
    </row>
    <row r="118" spans="1:65" s="3" customFormat="1" ht="27.6" customHeight="1" x14ac:dyDescent="0.2">
      <c r="A118" s="245" t="s">
        <v>131</v>
      </c>
      <c r="B118" s="11"/>
      <c r="C118" s="11" t="s">
        <v>130</v>
      </c>
      <c r="D118" s="11" t="s">
        <v>985</v>
      </c>
      <c r="E118" s="11"/>
      <c r="F118" s="1" t="s">
        <v>129</v>
      </c>
      <c r="G118" s="37">
        <v>40836</v>
      </c>
      <c r="H118" s="1" t="s">
        <v>22</v>
      </c>
      <c r="I118" s="33" t="s">
        <v>184</v>
      </c>
      <c r="J118" s="33" t="s">
        <v>184</v>
      </c>
      <c r="K118" s="28" t="s">
        <v>132</v>
      </c>
      <c r="L118" s="1" t="s">
        <v>13</v>
      </c>
      <c r="M118" s="2">
        <v>68400</v>
      </c>
      <c r="N118" s="14">
        <v>1</v>
      </c>
      <c r="O118" s="245" t="s">
        <v>131</v>
      </c>
      <c r="P118" s="11" t="s">
        <v>247</v>
      </c>
      <c r="Q118" s="2">
        <v>23291</v>
      </c>
      <c r="R118" s="10">
        <f t="shared" si="75"/>
        <v>340.51169590643275</v>
      </c>
      <c r="S118" s="2">
        <v>8015</v>
      </c>
      <c r="T118" s="10">
        <f t="shared" si="76"/>
        <v>117.17836257309941</v>
      </c>
      <c r="U118" s="8">
        <f t="shared" si="77"/>
        <v>0.655875660126229</v>
      </c>
      <c r="V118" s="2">
        <f t="shared" si="78"/>
        <v>15276</v>
      </c>
      <c r="W118" s="992"/>
      <c r="AB118" s="257"/>
      <c r="AC118" s="28" t="s">
        <v>131</v>
      </c>
      <c r="AD118" s="15">
        <v>210152</v>
      </c>
      <c r="AE118" s="7">
        <f t="shared" si="63"/>
        <v>3.0723976608187136</v>
      </c>
      <c r="AF118" s="15">
        <v>107570</v>
      </c>
      <c r="AG118" s="7">
        <f t="shared" si="64"/>
        <v>1.5726608187134503</v>
      </c>
      <c r="AH118" s="8">
        <f t="shared" si="72"/>
        <v>0.48813239940614411</v>
      </c>
      <c r="AI118" s="15">
        <f t="shared" si="65"/>
        <v>102582</v>
      </c>
      <c r="AN118" s="245" t="s">
        <v>131</v>
      </c>
      <c r="AS118" s="1"/>
      <c r="AZ118" s="257"/>
      <c r="BA118" s="245" t="s">
        <v>131</v>
      </c>
      <c r="BB118" s="65"/>
      <c r="BC118" s="42"/>
      <c r="BE118" s="15"/>
      <c r="BF118" s="15"/>
      <c r="BH118" s="257"/>
      <c r="BI118" s="1353"/>
      <c r="BJ118" s="1"/>
      <c r="BK118" s="11" t="s">
        <v>247</v>
      </c>
    </row>
    <row r="119" spans="1:65" s="3" customFormat="1" ht="27.6" customHeight="1" thickBot="1" x14ac:dyDescent="0.25">
      <c r="A119" s="250" t="s">
        <v>117</v>
      </c>
      <c r="B119" s="251"/>
      <c r="C119" s="251" t="s">
        <v>113</v>
      </c>
      <c r="D119" s="251" t="s">
        <v>986</v>
      </c>
      <c r="E119" s="251"/>
      <c r="F119" s="252" t="s">
        <v>116</v>
      </c>
      <c r="G119" s="253">
        <v>40308</v>
      </c>
      <c r="H119" s="251" t="s">
        <v>10</v>
      </c>
      <c r="I119" s="253" t="s">
        <v>183</v>
      </c>
      <c r="J119" s="253" t="s">
        <v>184</v>
      </c>
      <c r="K119" s="251" t="s">
        <v>193</v>
      </c>
      <c r="L119" s="251">
        <v>31</v>
      </c>
      <c r="M119" s="254">
        <v>26000</v>
      </c>
      <c r="N119" s="907">
        <v>4</v>
      </c>
      <c r="O119" s="250" t="s">
        <v>117</v>
      </c>
      <c r="P119" s="251" t="s">
        <v>247</v>
      </c>
      <c r="Q119" s="909">
        <v>1846</v>
      </c>
      <c r="R119" s="910">
        <f t="shared" si="75"/>
        <v>71</v>
      </c>
      <c r="S119" s="909">
        <v>1121</v>
      </c>
      <c r="T119" s="911">
        <f t="shared" si="76"/>
        <v>43.11538461538462</v>
      </c>
      <c r="U119" s="912">
        <f t="shared" si="77"/>
        <v>0.39274106175514628</v>
      </c>
      <c r="V119" s="913">
        <f t="shared" si="78"/>
        <v>725</v>
      </c>
      <c r="W119" s="1097"/>
      <c r="X119" s="252"/>
      <c r="Y119" s="251"/>
      <c r="Z119" s="251"/>
      <c r="AA119" s="251"/>
      <c r="AB119" s="914"/>
      <c r="AC119" s="4" t="s">
        <v>117</v>
      </c>
      <c r="AD119" s="29">
        <v>30466</v>
      </c>
      <c r="AE119" s="7">
        <f t="shared" si="63"/>
        <v>1.1717692307692307</v>
      </c>
      <c r="AF119" s="29">
        <v>19282</v>
      </c>
      <c r="AG119" s="7">
        <f t="shared" si="64"/>
        <v>0.74161538461538457</v>
      </c>
      <c r="AH119" s="8">
        <f t="shared" si="72"/>
        <v>0.36709774830959102</v>
      </c>
      <c r="AI119" s="16">
        <f t="shared" si="65"/>
        <v>11184</v>
      </c>
      <c r="AJ119" s="1"/>
      <c r="AK119" s="11"/>
      <c r="AL119" s="11"/>
      <c r="AM119" s="11"/>
      <c r="AN119" s="250" t="s">
        <v>117</v>
      </c>
      <c r="AO119" s="254">
        <v>475929</v>
      </c>
      <c r="AP119" s="948">
        <f>AO119/L119</f>
        <v>15352.548387096775</v>
      </c>
      <c r="AQ119" s="948">
        <f>AO119/M119</f>
        <v>18.304961538461537</v>
      </c>
      <c r="AR119" s="254">
        <v>337075</v>
      </c>
      <c r="AS119" s="909">
        <f>AR119/L119</f>
        <v>10873.387096774193</v>
      </c>
      <c r="AT119" s="948">
        <f>AR119/M119</f>
        <v>12.964423076923078</v>
      </c>
      <c r="AU119" s="949">
        <f>(AO119-AR119)/AO119</f>
        <v>0.2917536019028048</v>
      </c>
      <c r="AV119" s="950">
        <f>AO119-AR119</f>
        <v>138854</v>
      </c>
      <c r="AW119" s="251"/>
      <c r="AX119" s="251"/>
      <c r="AY119" s="251"/>
      <c r="AZ119" s="914"/>
      <c r="BA119" s="250" t="s">
        <v>117</v>
      </c>
      <c r="BB119" s="946"/>
      <c r="BC119" s="264"/>
      <c r="BD119" s="265"/>
      <c r="BE119" s="258"/>
      <c r="BF119" s="258"/>
      <c r="BG119" s="259"/>
      <c r="BH119" s="260"/>
      <c r="BI119" s="1353"/>
      <c r="BJ119" s="1"/>
      <c r="BK119" s="11" t="s">
        <v>247</v>
      </c>
    </row>
    <row r="120" spans="1:65" x14ac:dyDescent="0.2">
      <c r="BH120" s="87"/>
      <c r="BI120" s="1353"/>
    </row>
    <row r="121" spans="1:65" x14ac:dyDescent="0.2">
      <c r="R121" s="902"/>
      <c r="BH121" s="87"/>
      <c r="BI121" s="1353"/>
    </row>
    <row r="122" spans="1:65" x14ac:dyDescent="0.2">
      <c r="A122" s="28"/>
      <c r="B122" s="11"/>
      <c r="O122" s="28"/>
      <c r="P122" s="11"/>
      <c r="AC122" s="28"/>
      <c r="AN122" s="28"/>
      <c r="BA122" s="28"/>
      <c r="BK122" s="11"/>
    </row>
    <row r="123" spans="1:65" x14ac:dyDescent="0.2">
      <c r="A123" s="28"/>
      <c r="B123" s="11"/>
      <c r="O123" s="28"/>
      <c r="P123" s="11"/>
      <c r="AC123" s="28"/>
      <c r="AF123" s="41"/>
      <c r="AN123" s="28"/>
      <c r="BA123" s="28"/>
      <c r="BK123" s="11"/>
    </row>
    <row r="124" spans="1:65" x14ac:dyDescent="0.2">
      <c r="BD124" s="43"/>
    </row>
    <row r="125" spans="1:65" x14ac:dyDescent="0.2">
      <c r="AD125" s="502"/>
      <c r="AF125" s="43"/>
      <c r="AH125" s="8"/>
    </row>
    <row r="126" spans="1:65" x14ac:dyDescent="0.2">
      <c r="BD126" s="44"/>
    </row>
    <row r="128" spans="1:65" x14ac:dyDescent="0.2">
      <c r="AF128" s="43">
        <f>AD125-AF125</f>
        <v>0</v>
      </c>
    </row>
    <row r="134" spans="52:52" x14ac:dyDescent="0.2">
      <c r="AZ134" s="26" t="s">
        <v>38</v>
      </c>
    </row>
  </sheetData>
  <mergeCells count="10">
    <mergeCell ref="C1:N1"/>
    <mergeCell ref="P1:AB1"/>
    <mergeCell ref="AD1:AM1"/>
    <mergeCell ref="AO1:AZ1"/>
    <mergeCell ref="BB1:BH1"/>
    <mergeCell ref="C2:N2"/>
    <mergeCell ref="P2:AB2"/>
    <mergeCell ref="AD2:AM2"/>
    <mergeCell ref="AO2:AZ2"/>
    <mergeCell ref="BB2:BH2"/>
  </mergeCells>
  <hyperlinks>
    <hyperlink ref="E34" r:id="rId1"/>
    <hyperlink ref="E15" r:id="rId2"/>
    <hyperlink ref="B80" r:id="rId3"/>
    <hyperlink ref="B75" r:id="rId4"/>
    <hyperlink ref="B24" r:id="rId5"/>
    <hyperlink ref="B63" r:id="rId6"/>
    <hyperlink ref="B86" r:id="rId7"/>
    <hyperlink ref="B107" r:id="rId8"/>
    <hyperlink ref="B89" r:id="rId9"/>
    <hyperlink ref="B4" r:id="rId10"/>
    <hyperlink ref="B6" r:id="rId11"/>
    <hyperlink ref="B7" r:id="rId12"/>
    <hyperlink ref="B8" r:id="rId13"/>
    <hyperlink ref="B10" r:id="rId14"/>
    <hyperlink ref="B11" r:id="rId15"/>
    <hyperlink ref="B12" r:id="rId16"/>
    <hyperlink ref="B17" r:id="rId17"/>
    <hyperlink ref="B18:B23" r:id="rId18" display="Gold"/>
    <hyperlink ref="B25" r:id="rId19"/>
    <hyperlink ref="B26" r:id="rId20" display="In Progress"/>
    <hyperlink ref="B29" r:id="rId21"/>
    <hyperlink ref="B33" r:id="rId22"/>
    <hyperlink ref="B35" r:id="rId23"/>
    <hyperlink ref="B36" r:id="rId24"/>
    <hyperlink ref="B37" r:id="rId25"/>
    <hyperlink ref="B38" r:id="rId26"/>
    <hyperlink ref="B39" r:id="rId27"/>
    <hyperlink ref="B40" r:id="rId28"/>
    <hyperlink ref="B41" r:id="rId29"/>
    <hyperlink ref="B42" r:id="rId30"/>
    <hyperlink ref="B43" r:id="rId31"/>
    <hyperlink ref="B44" r:id="rId32"/>
    <hyperlink ref="B56" r:id="rId33"/>
    <hyperlink ref="B50" r:id="rId34"/>
    <hyperlink ref="B51" r:id="rId35"/>
    <hyperlink ref="B52" r:id="rId36"/>
    <hyperlink ref="B53" r:id="rId37" display="In Progress"/>
    <hyperlink ref="B54" r:id="rId38"/>
    <hyperlink ref="B57" r:id="rId39"/>
    <hyperlink ref="B60" r:id="rId40"/>
    <hyperlink ref="B67" r:id="rId41"/>
    <hyperlink ref="B68" r:id="rId42" display="In Progress"/>
    <hyperlink ref="B71" r:id="rId43"/>
    <hyperlink ref="B72" r:id="rId44"/>
    <hyperlink ref="B96" r:id="rId45"/>
    <hyperlink ref="B91" r:id="rId46"/>
    <hyperlink ref="B93" r:id="rId47"/>
    <hyperlink ref="B82" r:id="rId48"/>
    <hyperlink ref="B103" r:id="rId49"/>
    <hyperlink ref="E44" r:id="rId50" display="rjbest@haywood.edu"/>
    <hyperlink ref="B102" r:id="rId51"/>
  </hyperlinks>
  <pageMargins left="0.7" right="0.7" top="0.75" bottom="0.75" header="0.3" footer="0.3"/>
  <drawing r:id="rId52"/>
  <legacyDrawing r:id="rId5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06"/>
  <sheetViews>
    <sheetView topLeftCell="A283" zoomScale="85" zoomScaleNormal="85" workbookViewId="0">
      <selection activeCell="W495" sqref="W495"/>
    </sheetView>
  </sheetViews>
  <sheetFormatPr defaultRowHeight="15" x14ac:dyDescent="0.25"/>
  <cols>
    <col min="1" max="1" width="8.85546875" style="462"/>
    <col min="2" max="2" width="17.5703125" customWidth="1"/>
    <col min="3" max="3" width="11.7109375" style="497" customWidth="1"/>
    <col min="4" max="5" width="12.5703125" bestFit="1" customWidth="1"/>
    <col min="6" max="6" width="11.85546875" bestFit="1" customWidth="1"/>
    <col min="7" max="8" width="12.28515625" bestFit="1" customWidth="1"/>
    <col min="9" max="9" width="11.85546875" bestFit="1" customWidth="1"/>
    <col min="10" max="10" width="14.28515625" bestFit="1" customWidth="1"/>
    <col min="11" max="13" width="12.28515625" bestFit="1" customWidth="1"/>
    <col min="14" max="14" width="11.85546875" bestFit="1" customWidth="1"/>
    <col min="15" max="15" width="12.28515625" bestFit="1" customWidth="1"/>
    <col min="16" max="16" width="11.5703125" bestFit="1" customWidth="1"/>
    <col min="17" max="17" width="12.7109375" bestFit="1" customWidth="1"/>
    <col min="18" max="18" width="11.42578125" bestFit="1" customWidth="1"/>
    <col min="20" max="20" width="14.28515625" bestFit="1" customWidth="1"/>
    <col min="23" max="23" width="14.140625" bestFit="1" customWidth="1"/>
    <col min="25" max="25" width="9.85546875" style="345" bestFit="1" customWidth="1"/>
    <col min="26" max="26" width="8.85546875" style="345"/>
  </cols>
  <sheetData>
    <row r="1" spans="1:26" s="125" customFormat="1" ht="18" x14ac:dyDescent="0.25">
      <c r="A1" s="461"/>
      <c r="B1" s="124" t="s">
        <v>973</v>
      </c>
      <c r="C1" s="601"/>
      <c r="U1" s="126"/>
      <c r="X1" s="126"/>
      <c r="Y1" s="157"/>
      <c r="Z1" s="157"/>
    </row>
    <row r="2" spans="1:26" s="125" customFormat="1" x14ac:dyDescent="0.25">
      <c r="A2" s="461"/>
      <c r="C2" s="152"/>
      <c r="U2" s="126"/>
      <c r="X2" s="126"/>
      <c r="Y2" s="157"/>
      <c r="Z2" s="157"/>
    </row>
    <row r="3" spans="1:26" s="128" customFormat="1" x14ac:dyDescent="0.25">
      <c r="A3" s="459">
        <v>1</v>
      </c>
      <c r="B3" s="127" t="s">
        <v>336</v>
      </c>
      <c r="C3" s="602"/>
      <c r="T3" s="172" t="s">
        <v>336</v>
      </c>
      <c r="U3" s="129"/>
      <c r="X3" s="129"/>
      <c r="Y3" s="166"/>
      <c r="Z3" s="166"/>
    </row>
    <row r="4" spans="1:26" s="125" customFormat="1" x14ac:dyDescent="0.25">
      <c r="A4" s="461"/>
      <c r="B4" s="130" t="s">
        <v>337</v>
      </c>
      <c r="C4" s="186" t="s">
        <v>977</v>
      </c>
      <c r="D4" s="131">
        <v>41821</v>
      </c>
      <c r="E4" s="131">
        <v>41852</v>
      </c>
      <c r="F4" s="131">
        <v>41883</v>
      </c>
      <c r="G4" s="131">
        <v>41913</v>
      </c>
      <c r="H4" s="131">
        <v>41944</v>
      </c>
      <c r="I4" s="131">
        <v>41974</v>
      </c>
      <c r="J4" s="131">
        <v>42005</v>
      </c>
      <c r="K4" s="131">
        <v>42036</v>
      </c>
      <c r="L4" s="131">
        <v>42064</v>
      </c>
      <c r="M4" s="131">
        <v>42095</v>
      </c>
      <c r="N4" s="131">
        <v>42125</v>
      </c>
      <c r="O4" s="131">
        <v>42156</v>
      </c>
      <c r="P4" s="131">
        <v>42186</v>
      </c>
      <c r="Q4" s="151">
        <v>42217</v>
      </c>
      <c r="R4" s="131">
        <v>42261</v>
      </c>
      <c r="S4" s="132"/>
      <c r="T4" s="133" t="s">
        <v>338</v>
      </c>
      <c r="U4" s="134" t="s">
        <v>339</v>
      </c>
      <c r="V4" s="132"/>
      <c r="W4" s="133" t="s">
        <v>338</v>
      </c>
      <c r="X4" s="134" t="s">
        <v>339</v>
      </c>
      <c r="Y4" s="157"/>
      <c r="Z4" s="157"/>
    </row>
    <row r="5" spans="1:26" s="125" customFormat="1" x14ac:dyDescent="0.25">
      <c r="A5" s="461"/>
      <c r="B5" s="135" t="s">
        <v>340</v>
      </c>
      <c r="C5" s="603"/>
      <c r="D5" s="136"/>
      <c r="E5" s="96"/>
      <c r="F5" s="96"/>
      <c r="G5" s="96"/>
      <c r="H5" s="96"/>
      <c r="I5" s="96"/>
      <c r="J5" s="96"/>
      <c r="K5" s="96"/>
      <c r="L5" s="96"/>
      <c r="M5" s="96"/>
      <c r="N5" s="96"/>
      <c r="O5" s="96"/>
      <c r="P5" s="96"/>
      <c r="Q5" s="434"/>
      <c r="R5" s="136"/>
      <c r="T5" s="140">
        <v>906743.11996539996</v>
      </c>
      <c r="U5" s="138" t="s">
        <v>341</v>
      </c>
      <c r="V5" s="139"/>
      <c r="W5" s="140">
        <f>T5*3413/1000000</f>
        <v>3094.7142684419105</v>
      </c>
      <c r="X5" s="138" t="s">
        <v>342</v>
      </c>
      <c r="Y5" s="157"/>
      <c r="Z5" s="157"/>
    </row>
    <row r="6" spans="1:26" s="125" customFormat="1" x14ac:dyDescent="0.25">
      <c r="A6" s="461"/>
      <c r="B6" s="135" t="s">
        <v>343</v>
      </c>
      <c r="C6" s="603"/>
      <c r="D6" s="136"/>
      <c r="E6" s="96"/>
      <c r="F6" s="96"/>
      <c r="G6" s="96"/>
      <c r="H6" s="96"/>
      <c r="I6" s="96"/>
      <c r="J6" s="96"/>
      <c r="K6" s="96"/>
      <c r="L6" s="96"/>
      <c r="M6" s="96"/>
      <c r="N6" s="96"/>
      <c r="O6" s="96"/>
      <c r="P6" s="96"/>
      <c r="Q6" s="434"/>
      <c r="R6" s="136"/>
      <c r="T6" s="140">
        <v>1882789.4000000001</v>
      </c>
      <c r="U6" s="138" t="s">
        <v>344</v>
      </c>
      <c r="V6" s="139"/>
      <c r="W6" s="140">
        <f>T6/1000</f>
        <v>1882.7894000000001</v>
      </c>
      <c r="X6" s="138" t="s">
        <v>342</v>
      </c>
      <c r="Y6" s="495">
        <f>W6+W5</f>
        <v>4977.5036684419101</v>
      </c>
      <c r="Z6" s="138" t="s">
        <v>342</v>
      </c>
    </row>
    <row r="7" spans="1:26" s="125" customFormat="1" x14ac:dyDescent="0.25">
      <c r="A7" s="461"/>
      <c r="B7" s="135" t="s">
        <v>345</v>
      </c>
      <c r="C7" s="603"/>
      <c r="D7" s="141"/>
      <c r="E7" s="101"/>
      <c r="F7" s="101"/>
      <c r="G7" s="101"/>
      <c r="H7" s="101"/>
      <c r="I7" s="101"/>
      <c r="J7" s="101"/>
      <c r="K7" s="101"/>
      <c r="L7" s="101"/>
      <c r="M7" s="101"/>
      <c r="N7" s="101"/>
      <c r="O7" s="101"/>
      <c r="P7" s="101"/>
      <c r="Q7" s="435"/>
      <c r="R7" s="141"/>
      <c r="T7" s="140">
        <v>1690222.9999654</v>
      </c>
      <c r="U7" s="138" t="s">
        <v>346</v>
      </c>
      <c r="V7" s="139"/>
      <c r="W7" s="137">
        <f>T7</f>
        <v>1690222.9999654</v>
      </c>
      <c r="X7" s="138" t="s">
        <v>346</v>
      </c>
      <c r="Y7" s="157"/>
      <c r="Z7" s="157"/>
    </row>
    <row r="8" spans="1:26" s="125" customFormat="1" x14ac:dyDescent="0.25">
      <c r="A8" s="461"/>
      <c r="B8" s="135" t="s">
        <v>324</v>
      </c>
      <c r="C8" s="603"/>
      <c r="D8" s="142"/>
      <c r="E8" s="467"/>
      <c r="F8" s="467"/>
      <c r="G8" s="467"/>
      <c r="H8" s="467"/>
      <c r="I8" s="467"/>
      <c r="J8" s="467"/>
      <c r="K8" s="467"/>
      <c r="L8" s="467"/>
      <c r="M8" s="467"/>
      <c r="N8" s="467"/>
      <c r="O8" s="467"/>
      <c r="P8" s="467"/>
      <c r="Q8" s="436"/>
      <c r="R8" s="142"/>
      <c r="T8" s="143">
        <v>79884.205849999998</v>
      </c>
      <c r="U8" s="138"/>
      <c r="V8" s="139"/>
      <c r="W8" s="143">
        <f>T8</f>
        <v>79884.205849999998</v>
      </c>
      <c r="X8" s="138"/>
      <c r="Y8" s="157"/>
      <c r="Z8" s="157"/>
    </row>
    <row r="9" spans="1:26" s="125" customFormat="1" ht="16.5" x14ac:dyDescent="0.35">
      <c r="A9" s="461"/>
      <c r="B9" s="144" t="s">
        <v>348</v>
      </c>
      <c r="C9" s="604"/>
      <c r="D9" s="145"/>
      <c r="E9" s="466"/>
      <c r="F9" s="466"/>
      <c r="G9" s="466"/>
      <c r="H9" s="466"/>
      <c r="I9" s="466"/>
      <c r="J9" s="466"/>
      <c r="K9" s="466"/>
      <c r="L9" s="466"/>
      <c r="M9" s="466"/>
      <c r="N9" s="466"/>
      <c r="O9" s="466"/>
      <c r="P9" s="466"/>
      <c r="Q9" s="437"/>
      <c r="R9" s="145"/>
      <c r="T9" s="143">
        <v>39542.639999999999</v>
      </c>
      <c r="U9" s="138"/>
      <c r="V9" s="139"/>
      <c r="W9" s="146">
        <f>T9</f>
        <v>39542.639999999999</v>
      </c>
      <c r="X9" s="138"/>
      <c r="Y9" s="157"/>
      <c r="Z9" s="157"/>
    </row>
    <row r="10" spans="1:26" x14ac:dyDescent="0.25">
      <c r="W10" s="143">
        <f>SUM(W8:W9)</f>
        <v>119426.84585</v>
      </c>
      <c r="X10" s="138"/>
    </row>
    <row r="11" spans="1:26" x14ac:dyDescent="0.25">
      <c r="W11" s="149"/>
      <c r="X11" s="150"/>
    </row>
    <row r="12" spans="1:26" s="128" customFormat="1" x14ac:dyDescent="0.25">
      <c r="A12" s="459">
        <v>2</v>
      </c>
      <c r="B12" s="172" t="s">
        <v>371</v>
      </c>
      <c r="C12" s="173"/>
      <c r="S12" s="173"/>
      <c r="T12" s="598" t="s">
        <v>371</v>
      </c>
      <c r="W12" s="129"/>
      <c r="Y12" s="166"/>
      <c r="Z12" s="764"/>
    </row>
    <row r="13" spans="1:26" s="125" customFormat="1" x14ac:dyDescent="0.25">
      <c r="A13" s="461"/>
      <c r="B13" s="130" t="s">
        <v>337</v>
      </c>
      <c r="C13" s="186" t="s">
        <v>977</v>
      </c>
      <c r="D13" s="131">
        <v>41821</v>
      </c>
      <c r="E13" s="131">
        <v>41852</v>
      </c>
      <c r="F13" s="131">
        <v>41883</v>
      </c>
      <c r="G13" s="131">
        <v>41913</v>
      </c>
      <c r="H13" s="131">
        <v>41944</v>
      </c>
      <c r="I13" s="131">
        <v>41974</v>
      </c>
      <c r="J13" s="131">
        <v>42005</v>
      </c>
      <c r="K13" s="131">
        <v>42036</v>
      </c>
      <c r="L13" s="131">
        <v>42064</v>
      </c>
      <c r="M13" s="131">
        <v>42095</v>
      </c>
      <c r="N13" s="131">
        <v>42125</v>
      </c>
      <c r="O13" s="131">
        <v>42156</v>
      </c>
      <c r="P13" s="131">
        <v>42186</v>
      </c>
      <c r="Q13" s="151">
        <v>42217</v>
      </c>
      <c r="R13" s="131">
        <v>42261</v>
      </c>
      <c r="S13" s="132"/>
      <c r="T13" s="133" t="s">
        <v>338</v>
      </c>
      <c r="U13" s="134" t="s">
        <v>339</v>
      </c>
      <c r="V13" s="132"/>
      <c r="W13" s="133" t="s">
        <v>338</v>
      </c>
      <c r="X13" s="134" t="s">
        <v>339</v>
      </c>
      <c r="Y13" s="157"/>
      <c r="Z13" s="157"/>
    </row>
    <row r="14" spans="1:26" s="125" customFormat="1" x14ac:dyDescent="0.25">
      <c r="A14" s="461"/>
      <c r="B14" s="135" t="s">
        <v>340</v>
      </c>
      <c r="C14" s="606"/>
      <c r="D14" s="136">
        <v>58248</v>
      </c>
      <c r="E14" s="136">
        <v>73841</v>
      </c>
      <c r="F14" s="136">
        <v>64140</v>
      </c>
      <c r="G14" s="136">
        <v>48489</v>
      </c>
      <c r="H14" s="136">
        <v>74632</v>
      </c>
      <c r="I14" s="136">
        <v>62878</v>
      </c>
      <c r="J14" s="136">
        <v>23850</v>
      </c>
      <c r="K14" s="136">
        <v>52081</v>
      </c>
      <c r="L14" s="136">
        <v>57328</v>
      </c>
      <c r="M14" s="136">
        <v>60797</v>
      </c>
      <c r="N14" s="136">
        <v>63751</v>
      </c>
      <c r="O14" s="136">
        <v>47783</v>
      </c>
      <c r="P14" s="174"/>
      <c r="Q14" s="174"/>
      <c r="R14" s="174"/>
      <c r="T14" s="140">
        <f t="shared" ref="T14:T19" si="0">SUM(C14:S14)</f>
        <v>687818</v>
      </c>
      <c r="U14" s="138" t="s">
        <v>341</v>
      </c>
      <c r="V14" s="139"/>
      <c r="W14" s="140">
        <f>T14*3413/1000000</f>
        <v>2347.5228339999999</v>
      </c>
      <c r="X14" s="138" t="s">
        <v>342</v>
      </c>
      <c r="Y14" s="157"/>
      <c r="Z14" s="157"/>
    </row>
    <row r="15" spans="1:26" s="125" customFormat="1" x14ac:dyDescent="0.25">
      <c r="A15" s="461"/>
      <c r="B15" s="135" t="s">
        <v>372</v>
      </c>
      <c r="C15" s="606"/>
      <c r="D15" s="136">
        <v>1544</v>
      </c>
      <c r="E15" s="136">
        <v>1757</v>
      </c>
      <c r="F15" s="136">
        <v>2603</v>
      </c>
      <c r="G15" s="136">
        <v>2191</v>
      </c>
      <c r="H15" s="136">
        <v>3206</v>
      </c>
      <c r="I15" s="136">
        <v>2740</v>
      </c>
      <c r="J15" s="136">
        <v>3855</v>
      </c>
      <c r="K15" s="136">
        <v>4075</v>
      </c>
      <c r="L15" s="136">
        <v>3194</v>
      </c>
      <c r="M15" s="136">
        <v>2249</v>
      </c>
      <c r="N15" s="136">
        <v>1506</v>
      </c>
      <c r="O15" s="136">
        <v>1021</v>
      </c>
      <c r="P15" s="174"/>
      <c r="Q15" s="174"/>
      <c r="R15" s="174"/>
      <c r="T15" s="140">
        <f t="shared" si="0"/>
        <v>29941</v>
      </c>
      <c r="U15" s="138" t="s">
        <v>354</v>
      </c>
      <c r="V15" s="139"/>
      <c r="W15" s="140">
        <f>T15*99976.124488/1000000</f>
        <v>2993.3851432952079</v>
      </c>
      <c r="X15" s="138" t="s">
        <v>342</v>
      </c>
    </row>
    <row r="16" spans="1:26" s="125" customFormat="1" x14ac:dyDescent="0.25">
      <c r="A16" s="461"/>
      <c r="B16" s="135" t="s">
        <v>1059</v>
      </c>
      <c r="C16" s="606"/>
      <c r="D16" s="136"/>
      <c r="E16" s="136"/>
      <c r="F16" s="136"/>
      <c r="G16" s="136"/>
      <c r="H16" s="136"/>
      <c r="I16" s="136">
        <v>0</v>
      </c>
      <c r="J16" s="136">
        <v>0</v>
      </c>
      <c r="K16" s="136">
        <v>42</v>
      </c>
      <c r="L16" s="136">
        <v>120</v>
      </c>
      <c r="M16" s="136">
        <v>489</v>
      </c>
      <c r="N16" s="136">
        <v>688</v>
      </c>
      <c r="O16" s="136">
        <v>860</v>
      </c>
      <c r="P16" s="174"/>
      <c r="Q16" s="174"/>
      <c r="R16" s="174"/>
      <c r="T16" s="140">
        <f t="shared" si="0"/>
        <v>2199</v>
      </c>
      <c r="U16" s="138" t="s">
        <v>342</v>
      </c>
      <c r="V16" s="139"/>
      <c r="W16" s="140">
        <f>T16</f>
        <v>2199</v>
      </c>
      <c r="X16" s="138" t="s">
        <v>1064</v>
      </c>
      <c r="Y16" s="495">
        <f>W14+W15+W16</f>
        <v>7539.9079772952082</v>
      </c>
      <c r="Z16" s="153" t="s">
        <v>342</v>
      </c>
    </row>
    <row r="17" spans="1:26" s="125" customFormat="1" x14ac:dyDescent="0.25">
      <c r="A17" s="461"/>
      <c r="B17" s="135" t="s">
        <v>373</v>
      </c>
      <c r="C17" s="606"/>
      <c r="D17" s="141">
        <v>11520</v>
      </c>
      <c r="E17" s="141">
        <v>14330</v>
      </c>
      <c r="F17" s="141">
        <v>19980</v>
      </c>
      <c r="G17" s="141">
        <v>19980</v>
      </c>
      <c r="H17" s="141">
        <v>14640</v>
      </c>
      <c r="I17" s="141">
        <v>6652</v>
      </c>
      <c r="J17" s="141">
        <v>13970</v>
      </c>
      <c r="K17" s="141">
        <v>10420</v>
      </c>
      <c r="L17" s="141">
        <v>12020</v>
      </c>
      <c r="M17" s="141">
        <v>13120</v>
      </c>
      <c r="N17" s="141">
        <v>7020</v>
      </c>
      <c r="O17" s="141">
        <v>6172</v>
      </c>
      <c r="P17" s="178"/>
      <c r="Q17" s="178"/>
      <c r="R17" s="178"/>
      <c r="T17" s="140">
        <f t="shared" si="0"/>
        <v>149824</v>
      </c>
      <c r="U17" s="138" t="s">
        <v>367</v>
      </c>
      <c r="V17" s="139"/>
      <c r="W17" s="137">
        <f>T17*7.48</f>
        <v>1120683.52</v>
      </c>
      <c r="X17" s="138" t="s">
        <v>346</v>
      </c>
      <c r="Y17" s="157"/>
      <c r="Z17" s="157"/>
    </row>
    <row r="18" spans="1:26" s="125" customFormat="1" x14ac:dyDescent="0.25">
      <c r="A18" s="461"/>
      <c r="B18" s="135" t="s">
        <v>324</v>
      </c>
      <c r="C18" s="606"/>
      <c r="D18" s="142">
        <v>4058.8744996517958</v>
      </c>
      <c r="E18" s="142">
        <v>5285.4110578221289</v>
      </c>
      <c r="F18" s="142">
        <v>4441.4562253176937</v>
      </c>
      <c r="G18" s="142">
        <v>2974.7086089816935</v>
      </c>
      <c r="H18" s="142">
        <v>4292.490576666667</v>
      </c>
      <c r="I18" s="142">
        <v>3620.5882736984768</v>
      </c>
      <c r="J18" s="142">
        <v>1330.1395790389972</v>
      </c>
      <c r="K18" s="142">
        <v>2935.9062505337201</v>
      </c>
      <c r="L18" s="142">
        <v>3353.0620622782449</v>
      </c>
      <c r="M18" s="142">
        <v>3392.9641602403099</v>
      </c>
      <c r="N18" s="142">
        <v>3583.1817030492421</v>
      </c>
      <c r="O18" s="142">
        <v>2999.0629325448717</v>
      </c>
      <c r="P18" s="176"/>
      <c r="Q18" s="176"/>
      <c r="R18" s="176"/>
      <c r="T18" s="143">
        <f t="shared" si="0"/>
        <v>42267.845929823845</v>
      </c>
      <c r="U18" s="138"/>
      <c r="V18" s="139"/>
      <c r="W18" s="143">
        <f>T18</f>
        <v>42267.845929823845</v>
      </c>
      <c r="X18" s="138"/>
      <c r="Y18" s="157"/>
      <c r="Z18" s="157"/>
    </row>
    <row r="19" spans="1:26" s="125" customFormat="1" x14ac:dyDescent="0.25">
      <c r="A19" s="461"/>
      <c r="B19" s="144" t="s">
        <v>374</v>
      </c>
      <c r="C19" s="607"/>
      <c r="D19" s="145">
        <v>1340.56</v>
      </c>
      <c r="E19" s="145">
        <v>1522.46</v>
      </c>
      <c r="F19" s="145">
        <v>2244.94</v>
      </c>
      <c r="G19" s="145">
        <v>1893.09</v>
      </c>
      <c r="H19" s="145">
        <v>2743.17</v>
      </c>
      <c r="I19" s="145">
        <v>2319.9499999999998</v>
      </c>
      <c r="J19" s="145">
        <v>3115.79</v>
      </c>
      <c r="K19" s="145">
        <v>3040.89</v>
      </c>
      <c r="L19" s="145">
        <v>2037.24</v>
      </c>
      <c r="M19" s="145">
        <v>0</v>
      </c>
      <c r="N19" s="145">
        <v>683.8</v>
      </c>
      <c r="O19" s="145">
        <v>703.85</v>
      </c>
      <c r="P19" s="179"/>
      <c r="Q19" s="179"/>
      <c r="R19" s="179"/>
      <c r="T19" s="143">
        <f t="shared" si="0"/>
        <v>21645.74</v>
      </c>
      <c r="U19" s="138"/>
      <c r="V19" s="139"/>
      <c r="W19" s="143">
        <f>T19</f>
        <v>21645.74</v>
      </c>
      <c r="X19" s="138"/>
      <c r="Y19" s="157"/>
      <c r="Z19" s="157"/>
    </row>
    <row r="20" spans="1:26" s="125" customFormat="1" ht="16.5" x14ac:dyDescent="0.35">
      <c r="A20" s="461"/>
      <c r="B20" s="204" t="s">
        <v>398</v>
      </c>
      <c r="C20" s="607"/>
      <c r="D20" s="145">
        <v>0</v>
      </c>
      <c r="E20" s="145">
        <v>0</v>
      </c>
      <c r="F20" s="145">
        <v>0</v>
      </c>
      <c r="G20" s="145">
        <v>0</v>
      </c>
      <c r="H20" s="145">
        <v>0</v>
      </c>
      <c r="I20" s="145">
        <v>0</v>
      </c>
      <c r="J20" s="145">
        <v>0</v>
      </c>
      <c r="K20" s="145">
        <v>252.96890062700757</v>
      </c>
      <c r="L20" s="145">
        <v>721.59733087369614</v>
      </c>
      <c r="M20" s="145">
        <v>2609.4160310248822</v>
      </c>
      <c r="N20" s="145">
        <v>2878.4578573002314</v>
      </c>
      <c r="O20" s="145">
        <v>4181.2328527601921</v>
      </c>
      <c r="P20" s="179"/>
      <c r="Q20" s="179"/>
      <c r="R20" s="179"/>
      <c r="T20" s="143">
        <f>SUM(C20:S20)</f>
        <v>10643.67297258601</v>
      </c>
      <c r="U20" s="138"/>
      <c r="V20" s="139"/>
      <c r="W20" s="146">
        <f>T20</f>
        <v>10643.67297258601</v>
      </c>
      <c r="X20" s="138"/>
      <c r="Y20" s="157"/>
      <c r="Z20" s="157"/>
    </row>
    <row r="21" spans="1:26" x14ac:dyDescent="0.25">
      <c r="W21" s="143">
        <f>SUM(W18:W20)</f>
        <v>74557.258902409856</v>
      </c>
      <c r="X21" s="138"/>
    </row>
    <row r="22" spans="1:26" x14ac:dyDescent="0.25">
      <c r="W22" s="149"/>
      <c r="X22" s="150"/>
      <c r="Z22" s="345" t="s">
        <v>38</v>
      </c>
    </row>
    <row r="23" spans="1:26" s="128" customFormat="1" x14ac:dyDescent="0.25">
      <c r="A23" s="459">
        <v>3</v>
      </c>
      <c r="B23" s="127" t="s">
        <v>375</v>
      </c>
      <c r="C23" s="173"/>
      <c r="S23" s="173"/>
      <c r="T23" s="598" t="s">
        <v>375</v>
      </c>
      <c r="W23" s="129"/>
      <c r="Y23" s="166"/>
      <c r="Z23" s="166"/>
    </row>
    <row r="24" spans="1:26" s="125" customFormat="1" x14ac:dyDescent="0.25">
      <c r="A24" s="461"/>
      <c r="B24" s="130" t="s">
        <v>337</v>
      </c>
      <c r="C24" s="186" t="s">
        <v>977</v>
      </c>
      <c r="D24" s="131">
        <v>41821</v>
      </c>
      <c r="E24" s="131">
        <v>41852</v>
      </c>
      <c r="F24" s="131">
        <v>41883</v>
      </c>
      <c r="G24" s="131">
        <v>41913</v>
      </c>
      <c r="H24" s="131">
        <v>41944</v>
      </c>
      <c r="I24" s="131">
        <v>41974</v>
      </c>
      <c r="J24" s="131">
        <v>42005</v>
      </c>
      <c r="K24" s="131">
        <v>42036</v>
      </c>
      <c r="L24" s="131">
        <v>42064</v>
      </c>
      <c r="M24" s="131">
        <v>42095</v>
      </c>
      <c r="N24" s="131">
        <v>42125</v>
      </c>
      <c r="O24" s="131">
        <v>42156</v>
      </c>
      <c r="P24" s="131">
        <v>42186</v>
      </c>
      <c r="Q24" s="151">
        <v>42217</v>
      </c>
      <c r="R24" s="131">
        <v>42261</v>
      </c>
      <c r="S24" s="132"/>
      <c r="T24" s="133" t="s">
        <v>338</v>
      </c>
      <c r="U24" s="134" t="s">
        <v>339</v>
      </c>
      <c r="V24" s="132"/>
      <c r="W24" s="133" t="s">
        <v>338</v>
      </c>
      <c r="X24" s="134" t="s">
        <v>339</v>
      </c>
      <c r="Y24" s="157"/>
      <c r="Z24" s="157"/>
    </row>
    <row r="25" spans="1:26" s="125" customFormat="1" x14ac:dyDescent="0.25">
      <c r="A25" s="461"/>
      <c r="B25" s="135" t="s">
        <v>340</v>
      </c>
      <c r="C25" s="606"/>
      <c r="D25" s="136">
        <v>180200</v>
      </c>
      <c r="E25" s="136">
        <v>207501</v>
      </c>
      <c r="F25" s="136">
        <v>167465</v>
      </c>
      <c r="G25" s="136">
        <v>164770</v>
      </c>
      <c r="H25" s="136">
        <v>135799</v>
      </c>
      <c r="I25" s="136">
        <v>119754</v>
      </c>
      <c r="J25" s="136">
        <v>138887</v>
      </c>
      <c r="K25" s="136">
        <v>118400</v>
      </c>
      <c r="L25" s="136">
        <v>123371</v>
      </c>
      <c r="M25" s="136">
        <v>153382</v>
      </c>
      <c r="N25" s="136">
        <v>149826</v>
      </c>
      <c r="O25" s="136">
        <v>158234</v>
      </c>
      <c r="P25" s="174"/>
      <c r="Q25" s="174"/>
      <c r="R25" s="174"/>
      <c r="T25" s="140">
        <f>SUM(C25:S25)</f>
        <v>1817589</v>
      </c>
      <c r="U25" s="138" t="s">
        <v>341</v>
      </c>
      <c r="V25" s="139"/>
      <c r="W25" s="140">
        <f>T25*3413/1000000</f>
        <v>6203.4312570000002</v>
      </c>
      <c r="X25" s="138" t="s">
        <v>342</v>
      </c>
      <c r="Y25" s="157"/>
      <c r="Z25" s="157"/>
    </row>
    <row r="26" spans="1:26" s="125" customFormat="1" x14ac:dyDescent="0.25">
      <c r="A26" s="461"/>
      <c r="B26" s="135" t="s">
        <v>372</v>
      </c>
      <c r="C26" s="606"/>
      <c r="D26" s="136">
        <v>3393</v>
      </c>
      <c r="E26" s="136">
        <v>3385</v>
      </c>
      <c r="F26" s="136">
        <v>3936</v>
      </c>
      <c r="G26" s="136">
        <v>2828</v>
      </c>
      <c r="H26" s="136">
        <v>5568</v>
      </c>
      <c r="I26" s="136">
        <v>6248</v>
      </c>
      <c r="J26" s="136">
        <v>8297</v>
      </c>
      <c r="K26" s="136">
        <v>6995</v>
      </c>
      <c r="L26" s="136">
        <v>5056</v>
      </c>
      <c r="M26" s="136">
        <v>3796</v>
      </c>
      <c r="N26" s="136">
        <v>3010</v>
      </c>
      <c r="O26" s="136">
        <v>2465</v>
      </c>
      <c r="P26" s="174"/>
      <c r="Q26" s="174"/>
      <c r="R26" s="174"/>
      <c r="T26" s="140">
        <f>SUM(C26:S26)</f>
        <v>54977</v>
      </c>
      <c r="U26" s="138" t="s">
        <v>354</v>
      </c>
      <c r="V26" s="139"/>
      <c r="W26" s="140">
        <f>T26*99976.124488/1000000</f>
        <v>5496.3873959767761</v>
      </c>
      <c r="X26" s="138" t="s">
        <v>342</v>
      </c>
      <c r="Y26" s="495">
        <f>W25+W26</f>
        <v>11699.818652976777</v>
      </c>
      <c r="Z26" s="153" t="s">
        <v>342</v>
      </c>
    </row>
    <row r="27" spans="1:26" s="125" customFormat="1" x14ac:dyDescent="0.25">
      <c r="A27" s="461"/>
      <c r="B27" s="135" t="s">
        <v>373</v>
      </c>
      <c r="C27" s="606"/>
      <c r="D27" s="141">
        <v>59844</v>
      </c>
      <c r="E27" s="141">
        <v>55320</v>
      </c>
      <c r="F27" s="141">
        <v>72656</v>
      </c>
      <c r="G27" s="141">
        <v>53662</v>
      </c>
      <c r="H27" s="141">
        <v>45363</v>
      </c>
      <c r="I27" s="141">
        <v>25194</v>
      </c>
      <c r="J27" s="141">
        <v>49194</v>
      </c>
      <c r="K27" s="141">
        <v>68476</v>
      </c>
      <c r="L27" s="141">
        <v>52813</v>
      </c>
      <c r="M27" s="141">
        <v>63623</v>
      </c>
      <c r="N27" s="141">
        <v>42380</v>
      </c>
      <c r="O27" s="141">
        <v>46370</v>
      </c>
      <c r="P27" s="178"/>
      <c r="Q27" s="178"/>
      <c r="R27" s="178"/>
      <c r="T27" s="140">
        <f>SUM(C27:S27)</f>
        <v>634895</v>
      </c>
      <c r="U27" s="138" t="s">
        <v>367</v>
      </c>
      <c r="V27" s="139"/>
      <c r="W27" s="137">
        <f>T27*7.48</f>
        <v>4749014.6000000006</v>
      </c>
      <c r="X27" s="138" t="s">
        <v>346</v>
      </c>
      <c r="Y27" s="157"/>
      <c r="Z27" s="157"/>
    </row>
    <row r="28" spans="1:26" s="125" customFormat="1" x14ac:dyDescent="0.25">
      <c r="A28" s="461"/>
      <c r="B28" s="135" t="s">
        <v>324</v>
      </c>
      <c r="C28" s="606"/>
      <c r="D28" s="142">
        <v>12556.811990750817</v>
      </c>
      <c r="E28" s="142">
        <v>14852.562667205882</v>
      </c>
      <c r="F28" s="142">
        <v>11596.327826205606</v>
      </c>
      <c r="G28" s="142">
        <v>10108.328435354691</v>
      </c>
      <c r="H28" s="142">
        <v>7810.536067916667</v>
      </c>
      <c r="I28" s="142">
        <v>6895.5744159879032</v>
      </c>
      <c r="J28" s="142">
        <v>7745.8740341295261</v>
      </c>
      <c r="K28" s="142">
        <v>6674.4359759450172</v>
      </c>
      <c r="L28" s="142">
        <v>7215.8564695319801</v>
      </c>
      <c r="M28" s="142">
        <v>8559.9557350852701</v>
      </c>
      <c r="N28" s="142">
        <v>8421.1036978409084</v>
      </c>
      <c r="O28" s="142">
        <v>9931.434277217948</v>
      </c>
      <c r="P28" s="176"/>
      <c r="Q28" s="176"/>
      <c r="R28" s="176"/>
      <c r="T28" s="143">
        <f>SUM(C28:S28)</f>
        <v>112368.80159317222</v>
      </c>
      <c r="U28" s="138"/>
      <c r="V28" s="139"/>
      <c r="W28" s="143">
        <f>T28</f>
        <v>112368.80159317222</v>
      </c>
      <c r="X28" s="138"/>
      <c r="Y28" s="157"/>
      <c r="Z28" s="157"/>
    </row>
    <row r="29" spans="1:26" s="125" customFormat="1" ht="16.5" x14ac:dyDescent="0.35">
      <c r="A29" s="461"/>
      <c r="B29" s="144" t="s">
        <v>374</v>
      </c>
      <c r="C29" s="607"/>
      <c r="D29" s="145">
        <v>2919.59</v>
      </c>
      <c r="E29" s="145">
        <v>2912.76</v>
      </c>
      <c r="F29" s="145">
        <v>3383.3</v>
      </c>
      <c r="G29" s="145">
        <v>2522.48</v>
      </c>
      <c r="H29" s="145">
        <v>4747.9799999999996</v>
      </c>
      <c r="I29" s="145">
        <v>5331.75</v>
      </c>
      <c r="J29" s="145">
        <v>6680.67</v>
      </c>
      <c r="K29" s="145">
        <v>5204.12</v>
      </c>
      <c r="L29" s="145">
        <v>3212.06</v>
      </c>
      <c r="M29" s="145">
        <v>0</v>
      </c>
      <c r="N29" s="145">
        <v>1127.55</v>
      </c>
      <c r="O29" s="145">
        <v>1668.19</v>
      </c>
      <c r="P29" s="179"/>
      <c r="Q29" s="179"/>
      <c r="R29" s="179"/>
      <c r="T29" s="143">
        <f>SUM(C29:S29)</f>
        <v>39710.450000000004</v>
      </c>
      <c r="U29" s="138"/>
      <c r="V29" s="139"/>
      <c r="W29" s="146">
        <f>T29</f>
        <v>39710.450000000004</v>
      </c>
      <c r="X29" s="138"/>
      <c r="Y29" s="157"/>
      <c r="Z29" s="157"/>
    </row>
    <row r="30" spans="1:26" x14ac:dyDescent="0.25">
      <c r="W30" s="143">
        <f>SUM(W28:W29)</f>
        <v>152079.25159317223</v>
      </c>
      <c r="X30" s="138"/>
    </row>
    <row r="31" spans="1:26" x14ac:dyDescent="0.25">
      <c r="W31" s="149"/>
      <c r="X31" s="150"/>
    </row>
    <row r="32" spans="1:26" s="125" customFormat="1" x14ac:dyDescent="0.25">
      <c r="A32" s="461">
        <v>4</v>
      </c>
      <c r="B32" s="148" t="s">
        <v>553</v>
      </c>
      <c r="C32" s="152"/>
      <c r="S32" s="139"/>
      <c r="T32" s="766" t="s">
        <v>553</v>
      </c>
      <c r="U32" s="139"/>
      <c r="V32" s="149"/>
      <c r="W32" s="150"/>
      <c r="Y32" s="157"/>
      <c r="Z32" s="157"/>
    </row>
    <row r="33" spans="1:26" s="125" customFormat="1" x14ac:dyDescent="0.25">
      <c r="A33" s="461"/>
      <c r="B33" s="130" t="s">
        <v>337</v>
      </c>
      <c r="C33" s="186" t="s">
        <v>977</v>
      </c>
      <c r="D33" s="131">
        <v>41821</v>
      </c>
      <c r="E33" s="131">
        <v>41852</v>
      </c>
      <c r="F33" s="131">
        <v>41883</v>
      </c>
      <c r="G33" s="131">
        <v>41913</v>
      </c>
      <c r="H33" s="131">
        <v>41944</v>
      </c>
      <c r="I33" s="131">
        <v>41974</v>
      </c>
      <c r="J33" s="131">
        <v>42005</v>
      </c>
      <c r="K33" s="131">
        <v>42036</v>
      </c>
      <c r="L33" s="131">
        <v>42064</v>
      </c>
      <c r="M33" s="131">
        <v>42095</v>
      </c>
      <c r="N33" s="131">
        <v>42125</v>
      </c>
      <c r="O33" s="131">
        <v>42156</v>
      </c>
      <c r="P33" s="131">
        <v>42186</v>
      </c>
      <c r="Q33" s="151">
        <v>42217</v>
      </c>
      <c r="R33" s="131">
        <v>42261</v>
      </c>
      <c r="S33" s="132"/>
      <c r="T33" s="133" t="s">
        <v>338</v>
      </c>
      <c r="U33" s="134" t="s">
        <v>339</v>
      </c>
      <c r="V33" s="132"/>
      <c r="W33" s="133" t="s">
        <v>338</v>
      </c>
      <c r="X33" s="134" t="s">
        <v>339</v>
      </c>
      <c r="Y33" s="157"/>
      <c r="Z33" s="157"/>
    </row>
    <row r="34" spans="1:26" s="125" customFormat="1" x14ac:dyDescent="0.25">
      <c r="A34" s="461"/>
      <c r="B34" s="135" t="s">
        <v>340</v>
      </c>
      <c r="C34" s="152"/>
      <c r="D34" s="444"/>
      <c r="E34" s="444"/>
      <c r="F34" s="136">
        <v>101656</v>
      </c>
      <c r="G34" s="136">
        <v>83961</v>
      </c>
      <c r="H34" s="136">
        <v>61140</v>
      </c>
      <c r="I34" s="136">
        <v>51127</v>
      </c>
      <c r="J34" s="136">
        <v>58131</v>
      </c>
      <c r="K34" s="136">
        <v>51184</v>
      </c>
      <c r="L34" s="136">
        <v>66259</v>
      </c>
      <c r="M34" s="136">
        <v>77568</v>
      </c>
      <c r="N34" s="136">
        <v>74983</v>
      </c>
      <c r="O34" s="136">
        <v>71978</v>
      </c>
      <c r="P34" s="136">
        <v>85948</v>
      </c>
      <c r="Q34" s="136">
        <v>66815</v>
      </c>
      <c r="R34" s="174"/>
      <c r="T34" s="140">
        <f>SUM(C34:S34)</f>
        <v>850750</v>
      </c>
      <c r="U34" s="138" t="s">
        <v>341</v>
      </c>
      <c r="V34" s="139"/>
      <c r="W34" s="140">
        <f>T34*3413/1000000</f>
        <v>2903.6097500000001</v>
      </c>
      <c r="X34" s="138" t="s">
        <v>342</v>
      </c>
      <c r="Y34" s="157"/>
      <c r="Z34" s="157"/>
    </row>
    <row r="35" spans="1:26" s="125" customFormat="1" x14ac:dyDescent="0.25">
      <c r="A35" s="461"/>
      <c r="B35" s="135" t="s">
        <v>350</v>
      </c>
      <c r="C35" s="152" t="s">
        <v>1117</v>
      </c>
      <c r="D35" s="615"/>
      <c r="E35" s="444"/>
      <c r="F35" s="137"/>
      <c r="G35" s="137"/>
      <c r="H35" s="137"/>
      <c r="I35" s="136"/>
      <c r="J35" s="136"/>
      <c r="K35" s="136">
        <v>434277</v>
      </c>
      <c r="L35" s="136">
        <v>646511</v>
      </c>
      <c r="M35" s="136">
        <v>375662</v>
      </c>
      <c r="N35" s="136">
        <v>311334</v>
      </c>
      <c r="O35" s="136">
        <v>186544</v>
      </c>
      <c r="P35" s="136">
        <v>176351</v>
      </c>
      <c r="Q35" s="136">
        <v>180505</v>
      </c>
      <c r="R35" s="174"/>
      <c r="T35" s="140">
        <f t="shared" ref="T35:T40" si="1">SUM(C35:S35)</f>
        <v>2311184</v>
      </c>
      <c r="U35" s="138" t="s">
        <v>344</v>
      </c>
      <c r="V35" s="139"/>
      <c r="W35" s="140">
        <f>T35/1000</f>
        <v>2311.1840000000002</v>
      </c>
      <c r="X35" s="138" t="s">
        <v>342</v>
      </c>
      <c r="Y35" s="157"/>
      <c r="Z35" s="157"/>
    </row>
    <row r="36" spans="1:26" s="125" customFormat="1" x14ac:dyDescent="0.25">
      <c r="A36" s="461"/>
      <c r="B36" s="135" t="s">
        <v>353</v>
      </c>
      <c r="C36" s="152"/>
      <c r="D36" s="444"/>
      <c r="E36" s="444"/>
      <c r="F36" s="141">
        <v>42</v>
      </c>
      <c r="G36" s="141">
        <v>46</v>
      </c>
      <c r="H36" s="141">
        <v>43</v>
      </c>
      <c r="I36" s="141">
        <v>47</v>
      </c>
      <c r="J36" s="141">
        <v>27</v>
      </c>
      <c r="K36" s="141">
        <v>45</v>
      </c>
      <c r="L36" s="141">
        <v>49</v>
      </c>
      <c r="M36" s="141">
        <v>48</v>
      </c>
      <c r="N36" s="141">
        <v>44</v>
      </c>
      <c r="O36" s="141">
        <v>44</v>
      </c>
      <c r="P36" s="141">
        <v>42</v>
      </c>
      <c r="Q36" s="141">
        <v>36</v>
      </c>
      <c r="R36" s="178"/>
      <c r="T36" s="140">
        <f t="shared" si="1"/>
        <v>513</v>
      </c>
      <c r="U36" s="138" t="s">
        <v>354</v>
      </c>
      <c r="V36" s="139"/>
      <c r="W36" s="140">
        <f>T36*99976.124488/1000000</f>
        <v>51.287751862344003</v>
      </c>
      <c r="X36" s="138" t="s">
        <v>342</v>
      </c>
      <c r="Y36" s="495">
        <f>W34+W35+W36</f>
        <v>5266.0815018623443</v>
      </c>
      <c r="Z36" s="153" t="s">
        <v>342</v>
      </c>
    </row>
    <row r="37" spans="1:26" s="125" customFormat="1" x14ac:dyDescent="0.25">
      <c r="A37" s="461"/>
      <c r="B37" s="135" t="s">
        <v>366</v>
      </c>
      <c r="C37" s="152"/>
      <c r="D37" s="614"/>
      <c r="E37" s="991"/>
      <c r="F37" s="760">
        <v>15613</v>
      </c>
      <c r="G37" s="760">
        <v>8642</v>
      </c>
      <c r="H37" s="760">
        <v>2880</v>
      </c>
      <c r="I37" s="760">
        <v>795</v>
      </c>
      <c r="J37" s="760">
        <v>1141</v>
      </c>
      <c r="K37" s="750">
        <v>1906</v>
      </c>
      <c r="L37" s="750">
        <v>4043</v>
      </c>
      <c r="M37" s="750">
        <v>8228</v>
      </c>
      <c r="N37" s="750">
        <v>8130</v>
      </c>
      <c r="O37" s="750">
        <v>13138</v>
      </c>
      <c r="P37" s="750">
        <v>12157</v>
      </c>
      <c r="Q37" s="728"/>
      <c r="R37" s="176"/>
      <c r="T37" s="140">
        <f t="shared" si="1"/>
        <v>76673</v>
      </c>
      <c r="U37" s="138" t="s">
        <v>367</v>
      </c>
      <c r="V37" s="139"/>
      <c r="W37" s="137">
        <f>T37*7.48</f>
        <v>573514.04</v>
      </c>
      <c r="X37" s="138" t="s">
        <v>346</v>
      </c>
      <c r="Y37" s="157"/>
      <c r="Z37" s="157"/>
    </row>
    <row r="38" spans="1:26" s="125" customFormat="1" x14ac:dyDescent="0.25">
      <c r="A38" s="461"/>
      <c r="B38" s="135" t="s">
        <v>324</v>
      </c>
      <c r="C38" s="152"/>
      <c r="D38" s="444"/>
      <c r="E38" s="444"/>
      <c r="F38" s="731">
        <v>6269.63</v>
      </c>
      <c r="G38" s="731">
        <v>5178.29</v>
      </c>
      <c r="H38" s="731">
        <v>3770.81</v>
      </c>
      <c r="I38" s="731">
        <v>3153.26</v>
      </c>
      <c r="J38" s="731">
        <v>3585.23</v>
      </c>
      <c r="K38" s="731">
        <v>3156.77</v>
      </c>
      <c r="L38" s="731">
        <v>4086.52</v>
      </c>
      <c r="M38" s="731">
        <v>4784.01</v>
      </c>
      <c r="N38" s="731">
        <v>4624.58</v>
      </c>
      <c r="O38" s="731">
        <v>4439.24</v>
      </c>
      <c r="P38" s="731">
        <v>5300</v>
      </c>
      <c r="Q38" s="731">
        <v>4120</v>
      </c>
      <c r="R38" s="179"/>
      <c r="S38" s="155"/>
      <c r="T38" s="143">
        <f t="shared" si="1"/>
        <v>52468.34</v>
      </c>
      <c r="U38" s="138"/>
      <c r="V38" s="139"/>
      <c r="W38" s="143">
        <f>T38</f>
        <v>52468.34</v>
      </c>
      <c r="X38" s="138"/>
      <c r="Y38" s="157"/>
      <c r="Z38" s="157"/>
    </row>
    <row r="39" spans="1:26" s="125" customFormat="1" x14ac:dyDescent="0.25">
      <c r="A39" s="461"/>
      <c r="B39" s="144" t="s">
        <v>348</v>
      </c>
      <c r="C39" s="152" t="s">
        <v>321</v>
      </c>
      <c r="D39" s="615"/>
      <c r="E39" s="444"/>
      <c r="F39" s="153"/>
      <c r="G39" s="153"/>
      <c r="H39" s="153"/>
      <c r="I39" s="153"/>
      <c r="J39" s="153"/>
      <c r="K39" s="153"/>
      <c r="L39" s="153"/>
      <c r="M39" s="153"/>
      <c r="N39" s="153"/>
      <c r="O39" s="153"/>
      <c r="P39" s="153"/>
      <c r="Q39" s="153"/>
      <c r="R39" s="554"/>
      <c r="S39" s="157"/>
      <c r="T39" s="143">
        <f t="shared" si="1"/>
        <v>0</v>
      </c>
      <c r="U39" s="138"/>
      <c r="V39" s="139"/>
      <c r="W39" s="143">
        <f>T39</f>
        <v>0</v>
      </c>
      <c r="X39" s="138"/>
      <c r="Y39" s="157"/>
      <c r="Z39" s="157"/>
    </row>
    <row r="40" spans="1:26" s="125" customFormat="1" ht="16.5" x14ac:dyDescent="0.35">
      <c r="A40" s="461"/>
      <c r="B40" s="135" t="s">
        <v>356</v>
      </c>
      <c r="C40" s="152"/>
      <c r="D40" s="1131"/>
      <c r="E40" s="1131"/>
      <c r="F40" s="145">
        <v>57.66</v>
      </c>
      <c r="G40" s="145">
        <v>61.33</v>
      </c>
      <c r="H40" s="145">
        <v>57.88</v>
      </c>
      <c r="I40" s="145">
        <v>57.04</v>
      </c>
      <c r="J40" s="145">
        <v>40.729999999999997</v>
      </c>
      <c r="K40" s="145">
        <v>55.28</v>
      </c>
      <c r="L40" s="145">
        <v>56.06</v>
      </c>
      <c r="M40" s="145">
        <v>55.3</v>
      </c>
      <c r="N40" s="145">
        <v>52.39</v>
      </c>
      <c r="O40" s="145">
        <v>52.39</v>
      </c>
      <c r="P40" s="145">
        <v>50.84</v>
      </c>
      <c r="Q40" s="145">
        <v>46.19</v>
      </c>
      <c r="R40" s="179"/>
      <c r="S40" s="155"/>
      <c r="T40" s="143">
        <f t="shared" si="1"/>
        <v>643.08999999999992</v>
      </c>
      <c r="U40" s="138"/>
      <c r="V40" s="139"/>
      <c r="W40" s="146">
        <f>T40</f>
        <v>643.08999999999992</v>
      </c>
      <c r="X40" s="138"/>
      <c r="Y40" s="157"/>
      <c r="Z40" s="157"/>
    </row>
    <row r="41" spans="1:26" x14ac:dyDescent="0.25">
      <c r="C41" s="609"/>
      <c r="W41" s="143">
        <f>SUM(W38:W40)</f>
        <v>53111.429999999993</v>
      </c>
      <c r="X41" s="138"/>
    </row>
    <row r="42" spans="1:26" x14ac:dyDescent="0.25">
      <c r="W42" s="149"/>
      <c r="X42" s="150"/>
    </row>
    <row r="43" spans="1:26" s="125" customFormat="1" x14ac:dyDescent="0.25">
      <c r="A43" s="461">
        <v>5</v>
      </c>
      <c r="B43" s="148" t="s">
        <v>555</v>
      </c>
      <c r="C43" s="152"/>
      <c r="S43" s="139"/>
      <c r="T43" s="766" t="s">
        <v>555</v>
      </c>
      <c r="U43" s="139"/>
      <c r="V43" s="149"/>
      <c r="W43" s="150"/>
      <c r="Y43" s="157"/>
      <c r="Z43" s="157"/>
    </row>
    <row r="44" spans="1:26" s="125" customFormat="1" x14ac:dyDescent="0.25">
      <c r="A44" s="461"/>
      <c r="B44" s="130" t="s">
        <v>337</v>
      </c>
      <c r="C44" s="186" t="s">
        <v>977</v>
      </c>
      <c r="D44" s="451">
        <v>41821</v>
      </c>
      <c r="E44" s="553">
        <v>41852</v>
      </c>
      <c r="F44" s="131">
        <v>41883</v>
      </c>
      <c r="G44" s="131">
        <v>41913</v>
      </c>
      <c r="H44" s="131">
        <v>41944</v>
      </c>
      <c r="I44" s="131">
        <v>41974</v>
      </c>
      <c r="J44" s="131">
        <v>42005</v>
      </c>
      <c r="K44" s="131">
        <v>42036</v>
      </c>
      <c r="L44" s="131">
        <v>42064</v>
      </c>
      <c r="M44" s="131">
        <v>42095</v>
      </c>
      <c r="N44" s="131">
        <v>42125</v>
      </c>
      <c r="O44" s="131">
        <v>42156</v>
      </c>
      <c r="P44" s="131">
        <v>42186</v>
      </c>
      <c r="Q44" s="151">
        <v>42217</v>
      </c>
      <c r="R44" s="131">
        <v>42261</v>
      </c>
      <c r="S44" s="132"/>
      <c r="T44" s="133" t="s">
        <v>338</v>
      </c>
      <c r="U44" s="134" t="s">
        <v>339</v>
      </c>
      <c r="V44" s="132"/>
      <c r="W44" s="133" t="s">
        <v>338</v>
      </c>
      <c r="X44" s="134" t="s">
        <v>339</v>
      </c>
      <c r="Y44" s="157"/>
      <c r="Z44" s="157"/>
    </row>
    <row r="45" spans="1:26" s="125" customFormat="1" x14ac:dyDescent="0.25">
      <c r="A45" s="461"/>
      <c r="B45" s="135" t="s">
        <v>340</v>
      </c>
      <c r="C45" s="152"/>
      <c r="D45" s="991"/>
      <c r="E45" s="991"/>
      <c r="F45" s="136">
        <v>240288</v>
      </c>
      <c r="G45" s="136">
        <v>181085</v>
      </c>
      <c r="H45" s="136">
        <v>109864</v>
      </c>
      <c r="I45" s="136">
        <v>71448</v>
      </c>
      <c r="J45" s="136">
        <v>98048</v>
      </c>
      <c r="K45" s="136">
        <v>80600</v>
      </c>
      <c r="L45" s="136">
        <v>95216</v>
      </c>
      <c r="M45" s="136">
        <v>127066</v>
      </c>
      <c r="N45" s="136">
        <v>71760</v>
      </c>
      <c r="O45" s="136">
        <v>85624</v>
      </c>
      <c r="P45" s="136">
        <v>106024</v>
      </c>
      <c r="Q45" s="136">
        <v>82840</v>
      </c>
      <c r="R45" s="174"/>
      <c r="T45" s="140">
        <f t="shared" ref="T45:T51" si="2">SUM(C45:S45)</f>
        <v>1349863</v>
      </c>
      <c r="U45" s="138" t="s">
        <v>341</v>
      </c>
      <c r="V45" s="139"/>
      <c r="W45" s="140">
        <f>T45*3413/1000000</f>
        <v>4607.0824190000003</v>
      </c>
      <c r="X45" s="138" t="s">
        <v>342</v>
      </c>
      <c r="Y45" s="157"/>
      <c r="Z45" s="157"/>
    </row>
    <row r="46" spans="1:26" s="125" customFormat="1" x14ac:dyDescent="0.25">
      <c r="A46" s="461"/>
      <c r="B46" s="135" t="s">
        <v>350</v>
      </c>
      <c r="C46" s="152" t="s">
        <v>321</v>
      </c>
      <c r="D46" s="615"/>
      <c r="E46" s="444"/>
      <c r="F46" s="153"/>
      <c r="G46" s="153"/>
      <c r="H46" s="153"/>
      <c r="I46" s="153"/>
      <c r="J46" s="153"/>
      <c r="K46" s="153"/>
      <c r="L46" s="153"/>
      <c r="M46" s="153"/>
      <c r="N46" s="153"/>
      <c r="O46" s="153"/>
      <c r="P46" s="153"/>
      <c r="Q46" s="136"/>
      <c r="R46" s="174"/>
      <c r="T46" s="140">
        <f t="shared" si="2"/>
        <v>0</v>
      </c>
      <c r="U46" s="138" t="s">
        <v>344</v>
      </c>
      <c r="V46" s="139"/>
      <c r="W46" s="140">
        <f>T46/1000</f>
        <v>0</v>
      </c>
      <c r="X46" s="138" t="s">
        <v>342</v>
      </c>
      <c r="Y46" s="157"/>
      <c r="Z46" s="157"/>
    </row>
    <row r="47" spans="1:26" s="125" customFormat="1" x14ac:dyDescent="0.25">
      <c r="A47" s="461"/>
      <c r="B47" s="135" t="s">
        <v>353</v>
      </c>
      <c r="C47" s="152"/>
      <c r="D47" s="444"/>
      <c r="E47" s="444"/>
      <c r="F47" s="141">
        <v>576</v>
      </c>
      <c r="G47" s="141">
        <v>0</v>
      </c>
      <c r="H47" s="141">
        <v>0</v>
      </c>
      <c r="I47" s="141">
        <v>776</v>
      </c>
      <c r="J47" s="141">
        <v>242</v>
      </c>
      <c r="K47" s="141">
        <v>1458</v>
      </c>
      <c r="L47" s="141">
        <v>1904</v>
      </c>
      <c r="M47" s="141">
        <v>1379</v>
      </c>
      <c r="N47" s="141">
        <v>1405</v>
      </c>
      <c r="O47" s="141">
        <v>275</v>
      </c>
      <c r="P47" s="141">
        <v>299</v>
      </c>
      <c r="Q47" s="141">
        <v>299</v>
      </c>
      <c r="R47" s="178"/>
      <c r="T47" s="140">
        <f t="shared" si="2"/>
        <v>8613</v>
      </c>
      <c r="U47" s="138" t="s">
        <v>354</v>
      </c>
      <c r="V47" s="139"/>
      <c r="W47" s="140">
        <f>T47*99976.124488/1000000</f>
        <v>861.09436021514409</v>
      </c>
      <c r="X47" s="138" t="s">
        <v>342</v>
      </c>
      <c r="Y47" s="495">
        <f>W45+W46+W47</f>
        <v>5468.1767792151441</v>
      </c>
      <c r="Z47" s="153" t="s">
        <v>677</v>
      </c>
    </row>
    <row r="48" spans="1:26" s="125" customFormat="1" x14ac:dyDescent="0.25">
      <c r="A48" s="461"/>
      <c r="B48" s="135" t="s">
        <v>366</v>
      </c>
      <c r="C48" s="152"/>
      <c r="D48" s="614"/>
      <c r="E48" s="991"/>
      <c r="F48" s="760">
        <v>128629</v>
      </c>
      <c r="G48" s="760">
        <v>64361</v>
      </c>
      <c r="H48" s="760">
        <v>57810</v>
      </c>
      <c r="I48" s="760">
        <v>34713</v>
      </c>
      <c r="J48" s="760">
        <v>130637</v>
      </c>
      <c r="K48" s="750">
        <v>44559</v>
      </c>
      <c r="L48" s="750">
        <v>62488</v>
      </c>
      <c r="M48" s="750">
        <v>58412</v>
      </c>
      <c r="N48" s="750">
        <v>21227</v>
      </c>
      <c r="O48" s="750">
        <v>120430</v>
      </c>
      <c r="P48" s="750">
        <v>127683</v>
      </c>
      <c r="Q48" s="728"/>
      <c r="R48" s="176"/>
      <c r="T48" s="140">
        <f t="shared" si="2"/>
        <v>850949</v>
      </c>
      <c r="U48" s="138" t="s">
        <v>367</v>
      </c>
      <c r="V48" s="139"/>
      <c r="W48" s="137">
        <f>T48*7.48</f>
        <v>6365098.5200000005</v>
      </c>
      <c r="X48" s="138" t="s">
        <v>346</v>
      </c>
      <c r="Y48" s="157"/>
      <c r="Z48" s="157"/>
    </row>
    <row r="49" spans="1:26" s="125" customFormat="1" x14ac:dyDescent="0.25">
      <c r="A49" s="461"/>
      <c r="B49" s="135" t="s">
        <v>324</v>
      </c>
      <c r="C49" s="152"/>
      <c r="D49" s="1131"/>
      <c r="E49" s="1131"/>
      <c r="F49" s="731">
        <v>14819.76</v>
      </c>
      <c r="G49" s="731">
        <v>11168.42</v>
      </c>
      <c r="H49" s="731">
        <v>6775.15</v>
      </c>
      <c r="I49" s="731">
        <v>4406.5600000000004</v>
      </c>
      <c r="J49" s="731">
        <v>6047.11</v>
      </c>
      <c r="K49" s="731">
        <v>4971.01</v>
      </c>
      <c r="L49" s="731">
        <v>5872.45</v>
      </c>
      <c r="M49" s="731">
        <v>7836.8</v>
      </c>
      <c r="N49" s="731">
        <v>4425.8</v>
      </c>
      <c r="O49" s="731">
        <v>5280.86</v>
      </c>
      <c r="P49" s="731">
        <v>6539.03</v>
      </c>
      <c r="Q49" s="731">
        <v>5109.16</v>
      </c>
      <c r="R49" s="179"/>
      <c r="S49" s="155"/>
      <c r="T49" s="143">
        <f t="shared" si="2"/>
        <v>83252.11</v>
      </c>
      <c r="U49" s="138"/>
      <c r="V49" s="139"/>
      <c r="W49" s="143">
        <f>T49</f>
        <v>83252.11</v>
      </c>
      <c r="X49" s="138"/>
      <c r="Y49" s="157"/>
      <c r="Z49" s="157"/>
    </row>
    <row r="50" spans="1:26" s="125" customFormat="1" x14ac:dyDescent="0.25">
      <c r="A50" s="461"/>
      <c r="B50" s="144" t="s">
        <v>348</v>
      </c>
      <c r="C50" s="152" t="s">
        <v>321</v>
      </c>
      <c r="D50" s="615"/>
      <c r="E50" s="444"/>
      <c r="F50" s="153"/>
      <c r="G50" s="153"/>
      <c r="H50" s="153"/>
      <c r="I50" s="153"/>
      <c r="J50" s="153"/>
      <c r="K50" s="153"/>
      <c r="L50" s="153"/>
      <c r="M50" s="153"/>
      <c r="N50" s="153"/>
      <c r="O50" s="153"/>
      <c r="P50" s="153"/>
      <c r="Q50" s="153"/>
      <c r="R50" s="554"/>
      <c r="S50" s="157"/>
      <c r="T50" s="143">
        <f t="shared" si="2"/>
        <v>0</v>
      </c>
      <c r="U50" s="138"/>
      <c r="V50" s="139"/>
      <c r="W50" s="143">
        <f>T50</f>
        <v>0</v>
      </c>
      <c r="X50" s="138"/>
      <c r="Y50" s="157"/>
      <c r="Z50" s="157"/>
    </row>
    <row r="51" spans="1:26" s="125" customFormat="1" ht="16.5" x14ac:dyDescent="0.35">
      <c r="A51" s="461"/>
      <c r="B51" s="135" t="s">
        <v>356</v>
      </c>
      <c r="C51" s="152"/>
      <c r="D51" s="1131"/>
      <c r="E51" s="1131"/>
      <c r="F51" s="145">
        <v>547.85</v>
      </c>
      <c r="G51" s="145">
        <v>18.73</v>
      </c>
      <c r="H51" s="145">
        <v>18.73</v>
      </c>
      <c r="I51" s="145">
        <v>639.22</v>
      </c>
      <c r="J51" s="145">
        <v>216.03</v>
      </c>
      <c r="K51" s="145">
        <v>1153.1600000000001</v>
      </c>
      <c r="L51" s="145">
        <v>1399.56</v>
      </c>
      <c r="M51" s="145">
        <v>1012.81</v>
      </c>
      <c r="N51" s="145">
        <v>1035.19</v>
      </c>
      <c r="O51" s="145">
        <v>229.12</v>
      </c>
      <c r="P51" s="145">
        <v>247.28</v>
      </c>
      <c r="Q51" s="145">
        <v>246.83</v>
      </c>
      <c r="R51" s="179"/>
      <c r="S51" s="155"/>
      <c r="T51" s="143">
        <f t="shared" si="2"/>
        <v>6764.51</v>
      </c>
      <c r="U51" s="138"/>
      <c r="V51" s="139"/>
      <c r="W51" s="146">
        <f>T51</f>
        <v>6764.51</v>
      </c>
      <c r="X51" s="138"/>
      <c r="Y51" s="157"/>
      <c r="Z51" s="157"/>
    </row>
    <row r="52" spans="1:26" x14ac:dyDescent="0.25">
      <c r="C52" s="711"/>
      <c r="W52" s="143">
        <f>SUM(W49:W51)</f>
        <v>90016.62</v>
      </c>
      <c r="X52" s="138"/>
    </row>
    <row r="53" spans="1:26" x14ac:dyDescent="0.25">
      <c r="W53" s="149"/>
      <c r="X53" s="150"/>
    </row>
    <row r="54" spans="1:26" s="125" customFormat="1" x14ac:dyDescent="0.25">
      <c r="A54" s="461">
        <v>6</v>
      </c>
      <c r="B54" s="148" t="s">
        <v>556</v>
      </c>
      <c r="C54" s="152"/>
      <c r="D54" s="157"/>
      <c r="S54" s="126"/>
      <c r="T54" s="569" t="s">
        <v>556</v>
      </c>
      <c r="V54" s="126"/>
      <c r="Y54" s="157"/>
      <c r="Z54" s="157"/>
    </row>
    <row r="55" spans="1:26" s="125" customFormat="1" x14ac:dyDescent="0.25">
      <c r="A55" s="461"/>
      <c r="B55" s="130" t="s">
        <v>337</v>
      </c>
      <c r="C55" s="186" t="s">
        <v>977</v>
      </c>
      <c r="D55" s="151">
        <v>41821</v>
      </c>
      <c r="E55" s="131">
        <v>41852</v>
      </c>
      <c r="F55" s="131">
        <v>41883</v>
      </c>
      <c r="G55" s="131">
        <v>41913</v>
      </c>
      <c r="H55" s="131">
        <v>41944</v>
      </c>
      <c r="I55" s="131">
        <v>41974</v>
      </c>
      <c r="J55" s="131">
        <v>42005</v>
      </c>
      <c r="K55" s="131">
        <v>42036</v>
      </c>
      <c r="L55" s="131">
        <v>42064</v>
      </c>
      <c r="M55" s="131">
        <v>42095</v>
      </c>
      <c r="N55" s="131">
        <v>42125</v>
      </c>
      <c r="O55" s="131">
        <v>42156</v>
      </c>
      <c r="P55" s="131">
        <v>42186</v>
      </c>
      <c r="Q55" s="131">
        <v>42217</v>
      </c>
      <c r="R55" s="131">
        <v>42261</v>
      </c>
      <c r="S55" s="132"/>
      <c r="T55" s="133" t="s">
        <v>338</v>
      </c>
      <c r="U55" s="134" t="s">
        <v>339</v>
      </c>
      <c r="V55" s="132"/>
      <c r="W55" s="133" t="s">
        <v>338</v>
      </c>
      <c r="X55" s="134" t="s">
        <v>339</v>
      </c>
      <c r="Y55" s="157"/>
      <c r="Z55" s="157"/>
    </row>
    <row r="56" spans="1:26" s="157" customFormat="1" x14ac:dyDescent="0.25">
      <c r="A56" s="461"/>
      <c r="B56" s="135" t="s">
        <v>319</v>
      </c>
      <c r="C56" s="599"/>
      <c r="E56" s="1346">
        <v>145460</v>
      </c>
      <c r="F56" s="1346">
        <v>148965</v>
      </c>
      <c r="G56" s="1346">
        <v>204667</v>
      </c>
      <c r="H56" s="1346">
        <v>174103</v>
      </c>
      <c r="I56" s="1346">
        <v>172559</v>
      </c>
      <c r="J56" s="1346">
        <v>153194</v>
      </c>
      <c r="K56" s="1346">
        <v>141867</v>
      </c>
      <c r="L56" s="1346">
        <v>174836</v>
      </c>
      <c r="M56" s="1346">
        <v>164868</v>
      </c>
      <c r="N56" s="1346">
        <v>156341</v>
      </c>
      <c r="O56" s="1346">
        <v>135067</v>
      </c>
      <c r="P56" s="1346">
        <v>174677</v>
      </c>
      <c r="Q56" s="174"/>
      <c r="T56" s="141">
        <f t="shared" ref="T56:T64" si="3">SUM(C56:Q56)</f>
        <v>1946604</v>
      </c>
      <c r="U56" s="188" t="s">
        <v>341</v>
      </c>
      <c r="W56" s="160">
        <f>T56*3413/1000000</f>
        <v>6643.7594520000002</v>
      </c>
      <c r="X56" s="138" t="s">
        <v>342</v>
      </c>
    </row>
    <row r="57" spans="1:26" s="157" customFormat="1" x14ac:dyDescent="0.25">
      <c r="A57" s="461"/>
      <c r="B57" s="135" t="s">
        <v>859</v>
      </c>
      <c r="C57" s="599"/>
      <c r="E57" s="1346">
        <v>734</v>
      </c>
      <c r="F57" s="1346">
        <v>629</v>
      </c>
      <c r="G57" s="1346">
        <v>594</v>
      </c>
      <c r="H57" s="1346">
        <v>485</v>
      </c>
      <c r="I57" s="1346">
        <v>540</v>
      </c>
      <c r="J57" s="1346">
        <v>730</v>
      </c>
      <c r="K57" s="1346">
        <v>769</v>
      </c>
      <c r="L57" s="1346">
        <v>943</v>
      </c>
      <c r="M57" s="1346">
        <v>454</v>
      </c>
      <c r="N57" s="1346">
        <v>437</v>
      </c>
      <c r="O57" s="1346">
        <v>484</v>
      </c>
      <c r="P57" s="1346">
        <v>525</v>
      </c>
      <c r="Q57" s="174"/>
      <c r="T57" s="141">
        <f t="shared" si="3"/>
        <v>7324</v>
      </c>
      <c r="U57" s="188" t="s">
        <v>860</v>
      </c>
      <c r="W57" s="160">
        <f>T57*1194000/1000000</f>
        <v>8744.8559999999998</v>
      </c>
      <c r="X57" s="138" t="s">
        <v>342</v>
      </c>
    </row>
    <row r="58" spans="1:26" s="157" customFormat="1" x14ac:dyDescent="0.25">
      <c r="A58" s="461"/>
      <c r="B58" s="192" t="s">
        <v>323</v>
      </c>
      <c r="C58" s="599"/>
      <c r="E58" s="1346">
        <v>166476</v>
      </c>
      <c r="F58" s="1346">
        <v>172661</v>
      </c>
      <c r="G58" s="1346">
        <v>142526</v>
      </c>
      <c r="H58" s="1346">
        <v>56574</v>
      </c>
      <c r="I58" s="1346">
        <v>11017</v>
      </c>
      <c r="J58" s="1346">
        <v>1310</v>
      </c>
      <c r="K58" s="1346">
        <v>1023</v>
      </c>
      <c r="L58" s="1346">
        <v>16</v>
      </c>
      <c r="M58" s="1346">
        <v>7543</v>
      </c>
      <c r="N58" s="1346">
        <v>34751</v>
      </c>
      <c r="O58" s="1346">
        <v>92308</v>
      </c>
      <c r="P58" s="1346">
        <v>151339</v>
      </c>
      <c r="Q58" s="178"/>
      <c r="T58" s="141">
        <f t="shared" si="3"/>
        <v>837544</v>
      </c>
      <c r="U58" s="188" t="s">
        <v>397</v>
      </c>
      <c r="W58" s="160">
        <f>T58*0.012</f>
        <v>10050.528</v>
      </c>
      <c r="X58" s="138" t="s">
        <v>342</v>
      </c>
    </row>
    <row r="59" spans="1:26" s="157" customFormat="1" x14ac:dyDescent="0.25">
      <c r="A59" s="461"/>
      <c r="B59" s="192" t="s">
        <v>861</v>
      </c>
      <c r="C59" s="599"/>
      <c r="E59" s="1346">
        <v>130</v>
      </c>
      <c r="F59" s="1346">
        <v>247</v>
      </c>
      <c r="G59" s="1346">
        <v>474</v>
      </c>
      <c r="H59" s="1346">
        <v>428</v>
      </c>
      <c r="I59" s="1346">
        <v>332</v>
      </c>
      <c r="J59" s="1346">
        <v>405</v>
      </c>
      <c r="K59" s="1346">
        <v>161</v>
      </c>
      <c r="L59" s="1346">
        <v>384</v>
      </c>
      <c r="M59" s="1346">
        <v>325</v>
      </c>
      <c r="N59" s="1346">
        <v>398</v>
      </c>
      <c r="O59" s="1346">
        <v>339</v>
      </c>
      <c r="P59" s="1346">
        <v>187</v>
      </c>
      <c r="Q59" s="178"/>
      <c r="T59" s="141">
        <f t="shared" si="3"/>
        <v>3810</v>
      </c>
      <c r="U59" s="188" t="s">
        <v>354</v>
      </c>
      <c r="W59" s="140">
        <f>T59*99976.124488/1000000</f>
        <v>380.90903429927999</v>
      </c>
      <c r="X59" s="138" t="s">
        <v>342</v>
      </c>
      <c r="Y59" s="495">
        <f>W56+W57+W58+W59</f>
        <v>25820.052486299279</v>
      </c>
      <c r="Z59" s="153" t="s">
        <v>677</v>
      </c>
    </row>
    <row r="60" spans="1:26" s="157" customFormat="1" x14ac:dyDescent="0.25">
      <c r="A60" s="461"/>
      <c r="B60" s="135" t="s">
        <v>862</v>
      </c>
      <c r="C60" s="599"/>
      <c r="E60" s="1346">
        <v>132</v>
      </c>
      <c r="F60" s="1346">
        <v>183</v>
      </c>
      <c r="G60" s="1346">
        <v>184</v>
      </c>
      <c r="H60" s="1346">
        <v>133</v>
      </c>
      <c r="I60" s="1346">
        <v>97</v>
      </c>
      <c r="J60" s="1346">
        <v>29</v>
      </c>
      <c r="K60" s="1346">
        <v>82</v>
      </c>
      <c r="L60" s="1346">
        <v>67</v>
      </c>
      <c r="M60" s="1346">
        <v>102</v>
      </c>
      <c r="N60" s="1346">
        <v>122</v>
      </c>
      <c r="O60" s="1346">
        <v>309</v>
      </c>
      <c r="P60" s="1346">
        <v>431</v>
      </c>
      <c r="Q60" s="178"/>
      <c r="T60" s="141">
        <f t="shared" si="3"/>
        <v>1871</v>
      </c>
      <c r="U60" s="188" t="s">
        <v>863</v>
      </c>
      <c r="W60" s="141">
        <f>T60*1000</f>
        <v>1871000</v>
      </c>
      <c r="X60" s="188" t="s">
        <v>346</v>
      </c>
    </row>
    <row r="61" spans="1:26" s="157" customFormat="1" x14ac:dyDescent="0.25">
      <c r="A61" s="461"/>
      <c r="B61" s="135" t="s">
        <v>324</v>
      </c>
      <c r="C61" s="599"/>
      <c r="E61" s="171">
        <v>9833.1</v>
      </c>
      <c r="F61" s="171">
        <v>10025.34</v>
      </c>
      <c r="G61" s="171">
        <v>11911.62</v>
      </c>
      <c r="H61" s="171">
        <v>10132.790000000001</v>
      </c>
      <c r="I61" s="171">
        <v>8610.69</v>
      </c>
      <c r="J61" s="171">
        <v>8839.2900000000009</v>
      </c>
      <c r="K61" s="171">
        <v>9334.85</v>
      </c>
      <c r="L61" s="171">
        <v>8741.7999999999993</v>
      </c>
      <c r="M61" s="171">
        <v>9562.34</v>
      </c>
      <c r="N61" s="171">
        <v>9130.31</v>
      </c>
      <c r="O61" s="171">
        <v>8104.02</v>
      </c>
      <c r="P61" s="171">
        <v>9554.83</v>
      </c>
      <c r="Q61" s="176"/>
      <c r="T61" s="171">
        <f t="shared" si="3"/>
        <v>113780.98000000001</v>
      </c>
      <c r="U61" s="188"/>
      <c r="W61" s="439">
        <f>T61</f>
        <v>113780.98000000001</v>
      </c>
      <c r="X61" s="188"/>
    </row>
    <row r="62" spans="1:26" s="157" customFormat="1" x14ac:dyDescent="0.25">
      <c r="A62" s="461"/>
      <c r="B62" s="195" t="s">
        <v>326</v>
      </c>
      <c r="C62" s="599"/>
      <c r="E62" s="171">
        <v>8245.83</v>
      </c>
      <c r="F62" s="171">
        <v>7066.25</v>
      </c>
      <c r="G62" s="171">
        <v>6673.06</v>
      </c>
      <c r="H62" s="171">
        <v>5448.54</v>
      </c>
      <c r="I62" s="171">
        <v>6066.41</v>
      </c>
      <c r="J62" s="171">
        <v>8200.89</v>
      </c>
      <c r="K62" s="171">
        <v>8639.02</v>
      </c>
      <c r="L62" s="171">
        <v>10593.76</v>
      </c>
      <c r="M62" s="171">
        <v>5100.28</v>
      </c>
      <c r="N62" s="171">
        <v>4909.3</v>
      </c>
      <c r="O62" s="171">
        <v>5437.3</v>
      </c>
      <c r="P62" s="171">
        <v>5897.9</v>
      </c>
      <c r="Q62" s="1058"/>
      <c r="T62" s="171">
        <f t="shared" si="3"/>
        <v>82278.540000000008</v>
      </c>
      <c r="U62" s="188"/>
      <c r="W62" s="190">
        <f>T62</f>
        <v>82278.540000000008</v>
      </c>
      <c r="X62" s="438"/>
    </row>
    <row r="63" spans="1:26" s="157" customFormat="1" x14ac:dyDescent="0.25">
      <c r="A63" s="461"/>
      <c r="B63" s="195" t="s">
        <v>398</v>
      </c>
      <c r="C63" s="599"/>
      <c r="E63" s="171">
        <v>15482.27</v>
      </c>
      <c r="F63" s="171">
        <v>16057.47</v>
      </c>
      <c r="G63" s="171">
        <v>13254.92</v>
      </c>
      <c r="H63" s="171">
        <v>5261.38</v>
      </c>
      <c r="I63" s="171">
        <v>1024.58</v>
      </c>
      <c r="J63" s="171">
        <v>121.83</v>
      </c>
      <c r="K63" s="171">
        <v>95.14</v>
      </c>
      <c r="L63" s="171">
        <v>1.49</v>
      </c>
      <c r="M63" s="171">
        <v>701.5</v>
      </c>
      <c r="N63" s="171">
        <v>3231.84</v>
      </c>
      <c r="O63" s="171">
        <v>8584.64</v>
      </c>
      <c r="P63" s="171">
        <v>14543.68</v>
      </c>
      <c r="Q63" s="446"/>
      <c r="T63" s="171">
        <f t="shared" si="3"/>
        <v>78360.739999999991</v>
      </c>
      <c r="U63" s="188"/>
      <c r="W63" s="190">
        <f>T63</f>
        <v>78360.739999999991</v>
      </c>
      <c r="X63" s="188"/>
    </row>
    <row r="64" spans="1:26" s="157" customFormat="1" x14ac:dyDescent="0.25">
      <c r="A64" s="461"/>
      <c r="B64" s="195" t="s">
        <v>829</v>
      </c>
      <c r="C64" s="599"/>
      <c r="E64" s="171">
        <v>112.64</v>
      </c>
      <c r="F64" s="171">
        <v>214.02</v>
      </c>
      <c r="G64" s="171">
        <v>410.71</v>
      </c>
      <c r="H64" s="171">
        <v>326.06</v>
      </c>
      <c r="I64" s="171">
        <v>252.92</v>
      </c>
      <c r="J64" s="171">
        <v>308.89</v>
      </c>
      <c r="K64" s="171">
        <v>114.67</v>
      </c>
      <c r="L64" s="171">
        <v>273.08999999999997</v>
      </c>
      <c r="M64" s="171">
        <v>232.38</v>
      </c>
      <c r="N64" s="171">
        <v>284.57</v>
      </c>
      <c r="O64" s="171">
        <v>221.94</v>
      </c>
      <c r="P64" s="171">
        <v>122.04</v>
      </c>
      <c r="Q64" s="446"/>
      <c r="T64" s="171">
        <f t="shared" si="3"/>
        <v>2873.9300000000003</v>
      </c>
      <c r="U64" s="188"/>
      <c r="W64" s="190">
        <f>T64</f>
        <v>2873.9300000000003</v>
      </c>
      <c r="X64" s="188"/>
    </row>
    <row r="65" spans="1:26" s="125" customFormat="1" x14ac:dyDescent="0.25">
      <c r="A65" s="461"/>
      <c r="B65" s="200"/>
      <c r="C65" s="152"/>
      <c r="E65" s="201"/>
      <c r="F65" s="202"/>
      <c r="G65" s="202"/>
      <c r="H65" s="203"/>
      <c r="I65" s="203"/>
      <c r="J65" s="203"/>
      <c r="K65" s="203"/>
      <c r="L65" s="203"/>
      <c r="M65" s="203"/>
      <c r="N65" s="203"/>
      <c r="O65" s="203"/>
      <c r="P65" s="203"/>
      <c r="S65" s="126"/>
      <c r="V65" s="126"/>
      <c r="W65" s="190">
        <f>SUM(W61:W63)</f>
        <v>274420.26</v>
      </c>
      <c r="X65" s="440"/>
      <c r="Y65" s="157"/>
      <c r="Z65" s="157"/>
    </row>
    <row r="66" spans="1:26" s="125" customFormat="1" x14ac:dyDescent="0.25">
      <c r="A66" s="461"/>
      <c r="B66" s="200"/>
      <c r="C66" s="152"/>
      <c r="E66" s="201"/>
      <c r="F66" s="202"/>
      <c r="G66" s="202"/>
      <c r="H66" s="203"/>
      <c r="I66" s="203"/>
      <c r="J66" s="203"/>
      <c r="K66" s="203"/>
      <c r="L66" s="203"/>
      <c r="M66" s="203"/>
      <c r="N66" s="203"/>
      <c r="O66" s="203"/>
      <c r="P66" s="203"/>
      <c r="S66" s="126"/>
      <c r="V66" s="126"/>
      <c r="W66" s="443"/>
      <c r="X66" s="444"/>
      <c r="Y66" s="157"/>
      <c r="Z66" s="157"/>
    </row>
    <row r="67" spans="1:26" s="128" customFormat="1" x14ac:dyDescent="0.25">
      <c r="A67" s="459">
        <v>7</v>
      </c>
      <c r="B67" s="172" t="s">
        <v>981</v>
      </c>
      <c r="C67" s="173"/>
      <c r="S67" s="173"/>
      <c r="T67" s="598" t="s">
        <v>557</v>
      </c>
      <c r="W67" s="129"/>
      <c r="Y67" s="166"/>
      <c r="Z67" s="764"/>
    </row>
    <row r="68" spans="1:26" s="125" customFormat="1" x14ac:dyDescent="0.25">
      <c r="A68" s="461"/>
      <c r="B68" s="130" t="s">
        <v>337</v>
      </c>
      <c r="C68" s="186" t="s">
        <v>977</v>
      </c>
      <c r="D68" s="451">
        <v>41821</v>
      </c>
      <c r="E68" s="451">
        <v>41852</v>
      </c>
      <c r="F68" s="451">
        <v>41883</v>
      </c>
      <c r="G68" s="451">
        <v>41913</v>
      </c>
      <c r="H68" s="451">
        <v>41944</v>
      </c>
      <c r="I68" s="451">
        <v>41974</v>
      </c>
      <c r="J68" s="451">
        <v>42005</v>
      </c>
      <c r="K68" s="451">
        <v>42036</v>
      </c>
      <c r="L68" s="451">
        <v>42064</v>
      </c>
      <c r="M68" s="451">
        <v>42095</v>
      </c>
      <c r="N68" s="451">
        <v>42125</v>
      </c>
      <c r="O68" s="451">
        <v>42156</v>
      </c>
      <c r="P68" s="131">
        <v>42186</v>
      </c>
      <c r="Q68" s="131">
        <v>42217</v>
      </c>
      <c r="R68" s="131">
        <v>42261</v>
      </c>
      <c r="S68" s="132"/>
      <c r="T68" s="133" t="s">
        <v>338</v>
      </c>
      <c r="U68" s="134" t="s">
        <v>339</v>
      </c>
      <c r="V68" s="132"/>
      <c r="W68" s="133" t="s">
        <v>338</v>
      </c>
      <c r="X68" s="134" t="s">
        <v>339</v>
      </c>
      <c r="Y68" s="157"/>
      <c r="Z68" s="157"/>
    </row>
    <row r="69" spans="1:26" s="125" customFormat="1" x14ac:dyDescent="0.25">
      <c r="A69" s="461"/>
      <c r="B69" s="135" t="s">
        <v>340</v>
      </c>
      <c r="C69" s="606"/>
      <c r="D69" s="136">
        <v>20500</v>
      </c>
      <c r="E69" s="136">
        <v>56120</v>
      </c>
      <c r="F69" s="136">
        <v>47040</v>
      </c>
      <c r="G69" s="136">
        <v>67800</v>
      </c>
      <c r="H69" s="136">
        <v>53240</v>
      </c>
      <c r="I69" s="136">
        <v>29280</v>
      </c>
      <c r="J69" s="136">
        <v>33400</v>
      </c>
      <c r="K69" s="136">
        <v>33000</v>
      </c>
      <c r="L69" s="136">
        <v>49720</v>
      </c>
      <c r="M69" s="136">
        <v>32800</v>
      </c>
      <c r="N69" s="136">
        <v>32200</v>
      </c>
      <c r="O69" s="136">
        <v>38120</v>
      </c>
      <c r="P69" s="174"/>
      <c r="Q69" s="174"/>
      <c r="R69" s="174"/>
      <c r="T69" s="140">
        <f>SUM(C69:S69)</f>
        <v>493220</v>
      </c>
      <c r="U69" s="138" t="s">
        <v>341</v>
      </c>
      <c r="V69" s="139"/>
      <c r="W69" s="140">
        <f>T69*3413/1000000</f>
        <v>1683.35986</v>
      </c>
      <c r="X69" s="138" t="s">
        <v>342</v>
      </c>
      <c r="Y69" s="157"/>
      <c r="Z69" s="157"/>
    </row>
    <row r="70" spans="1:26" s="125" customFormat="1" x14ac:dyDescent="0.25">
      <c r="A70" s="461"/>
      <c r="B70" s="135" t="s">
        <v>372</v>
      </c>
      <c r="C70" s="606"/>
      <c r="D70" s="154">
        <v>166</v>
      </c>
      <c r="E70" s="154">
        <v>114</v>
      </c>
      <c r="F70" s="154">
        <v>96</v>
      </c>
      <c r="G70" s="154">
        <v>302</v>
      </c>
      <c r="H70" s="154">
        <v>1418</v>
      </c>
      <c r="I70" s="154">
        <v>2056</v>
      </c>
      <c r="J70" s="154">
        <v>2162</v>
      </c>
      <c r="K70" s="154">
        <v>4388</v>
      </c>
      <c r="L70" s="154">
        <v>6471</v>
      </c>
      <c r="M70" s="154">
        <v>1096</v>
      </c>
      <c r="N70" s="154">
        <v>455</v>
      </c>
      <c r="O70" s="154">
        <v>157</v>
      </c>
      <c r="P70" s="174"/>
      <c r="Q70" s="174"/>
      <c r="R70" s="174"/>
      <c r="T70" s="140">
        <f>SUM(C70:S70)</f>
        <v>18881</v>
      </c>
      <c r="U70" s="138" t="s">
        <v>354</v>
      </c>
      <c r="V70" s="139"/>
      <c r="W70" s="140">
        <f>T70*99976.124488/1000000</f>
        <v>1887.6492064579279</v>
      </c>
      <c r="X70" s="138" t="s">
        <v>342</v>
      </c>
      <c r="Y70" s="495">
        <f>W69+W70</f>
        <v>3571.0090664579279</v>
      </c>
      <c r="Z70" s="153" t="s">
        <v>677</v>
      </c>
    </row>
    <row r="71" spans="1:26" s="125" customFormat="1" x14ac:dyDescent="0.25">
      <c r="A71" s="461"/>
      <c r="B71" s="135" t="s">
        <v>322</v>
      </c>
      <c r="C71" s="606"/>
      <c r="D71" s="141">
        <v>19448</v>
      </c>
      <c r="E71" s="1094">
        <v>77792</v>
      </c>
      <c r="F71" s="141">
        <v>70312</v>
      </c>
      <c r="G71" s="136">
        <v>72556</v>
      </c>
      <c r="H71" s="136">
        <v>55352</v>
      </c>
      <c r="I71" s="136">
        <v>23188</v>
      </c>
      <c r="J71" s="136">
        <v>276760</v>
      </c>
      <c r="K71" s="136">
        <v>58344</v>
      </c>
      <c r="L71" s="136">
        <v>74800</v>
      </c>
      <c r="M71" s="136">
        <v>103972</v>
      </c>
      <c r="N71" s="136">
        <v>61336</v>
      </c>
      <c r="O71" s="136">
        <v>19448</v>
      </c>
      <c r="P71" s="178"/>
      <c r="Q71" s="178"/>
      <c r="R71" s="178"/>
      <c r="T71" s="140">
        <f>SUM(C71:S71)</f>
        <v>913308</v>
      </c>
      <c r="U71" s="138" t="s">
        <v>346</v>
      </c>
      <c r="V71" s="139"/>
      <c r="W71" s="137">
        <f>T71</f>
        <v>913308</v>
      </c>
      <c r="X71" s="138" t="s">
        <v>346</v>
      </c>
      <c r="Y71" s="157"/>
      <c r="Z71" s="157"/>
    </row>
    <row r="72" spans="1:26" s="125" customFormat="1" x14ac:dyDescent="0.25">
      <c r="A72" s="461"/>
      <c r="B72" s="135" t="s">
        <v>324</v>
      </c>
      <c r="C72" s="606"/>
      <c r="D72" s="142">
        <v>3902.46</v>
      </c>
      <c r="E72" s="142">
        <v>5467.49</v>
      </c>
      <c r="F72" s="142">
        <v>4715.7299999999996</v>
      </c>
      <c r="G72" s="142">
        <v>6518.57</v>
      </c>
      <c r="H72" s="142">
        <v>5215.84</v>
      </c>
      <c r="I72" s="142">
        <v>3423.54</v>
      </c>
      <c r="J72" s="142">
        <v>3835</v>
      </c>
      <c r="K72" s="142">
        <v>3806.76</v>
      </c>
      <c r="L72" s="142">
        <v>5078.95</v>
      </c>
      <c r="M72" s="142">
        <v>3791.55</v>
      </c>
      <c r="N72" s="142">
        <v>3745.89</v>
      </c>
      <c r="O72" s="142">
        <v>4210.33</v>
      </c>
      <c r="P72" s="176"/>
      <c r="Q72" s="176"/>
      <c r="R72" s="176"/>
      <c r="T72" s="143">
        <f>SUM(C72:S72)</f>
        <v>53712.110000000008</v>
      </c>
      <c r="U72" s="138"/>
      <c r="V72" s="139"/>
      <c r="W72" s="143">
        <f>T72</f>
        <v>53712.110000000008</v>
      </c>
      <c r="X72" s="138"/>
      <c r="Y72" s="157"/>
      <c r="Z72" s="157"/>
    </row>
    <row r="73" spans="1:26" s="125" customFormat="1" ht="16.5" x14ac:dyDescent="0.35">
      <c r="A73" s="461"/>
      <c r="B73" s="144" t="s">
        <v>374</v>
      </c>
      <c r="C73" s="607"/>
      <c r="D73" s="145">
        <v>172.77</v>
      </c>
      <c r="E73" s="145">
        <v>124.42</v>
      </c>
      <c r="F73" s="145">
        <v>107.73</v>
      </c>
      <c r="G73" s="145">
        <v>298.43</v>
      </c>
      <c r="H73" s="145">
        <v>1144.3499999999999</v>
      </c>
      <c r="I73" s="145">
        <v>1520.27</v>
      </c>
      <c r="J73" s="145">
        <v>1596.99</v>
      </c>
      <c r="K73" s="145">
        <v>3182.58</v>
      </c>
      <c r="L73" s="145">
        <v>4314.88</v>
      </c>
      <c r="M73" s="145">
        <v>761.75</v>
      </c>
      <c r="N73" s="145">
        <v>342.83</v>
      </c>
      <c r="O73" s="145">
        <v>129.76</v>
      </c>
      <c r="P73" s="179"/>
      <c r="Q73" s="179"/>
      <c r="R73" s="179"/>
      <c r="T73" s="143">
        <f>SUM(C73:S73)</f>
        <v>13696.76</v>
      </c>
      <c r="U73" s="138"/>
      <c r="V73" s="139"/>
      <c r="W73" s="146">
        <f>T73</f>
        <v>13696.76</v>
      </c>
      <c r="X73" s="138"/>
      <c r="Y73" s="157"/>
      <c r="Z73" s="157"/>
    </row>
    <row r="74" spans="1:26" x14ac:dyDescent="0.25">
      <c r="W74" s="455">
        <f>SUM(W72:W73)</f>
        <v>67408.87000000001</v>
      </c>
      <c r="X74" s="441"/>
    </row>
    <row r="75" spans="1:26" x14ac:dyDescent="0.25">
      <c r="W75" s="445"/>
      <c r="X75" s="116"/>
    </row>
    <row r="76" spans="1:26" s="125" customFormat="1" x14ac:dyDescent="0.25">
      <c r="A76" s="461">
        <v>8</v>
      </c>
      <c r="B76" s="148" t="s">
        <v>359</v>
      </c>
      <c r="C76" s="152"/>
      <c r="R76" s="139"/>
      <c r="S76" s="147"/>
      <c r="T76" s="569" t="s">
        <v>359</v>
      </c>
      <c r="U76" s="149"/>
      <c r="V76" s="150"/>
      <c r="Y76" s="157"/>
      <c r="Z76" s="157"/>
    </row>
    <row r="77" spans="1:26" s="125" customFormat="1" x14ac:dyDescent="0.25">
      <c r="A77" s="461"/>
      <c r="B77" s="130" t="s">
        <v>337</v>
      </c>
      <c r="C77" s="186" t="s">
        <v>977</v>
      </c>
      <c r="D77" s="131">
        <v>41821</v>
      </c>
      <c r="E77" s="131">
        <v>41852</v>
      </c>
      <c r="F77" s="131">
        <v>41883</v>
      </c>
      <c r="G77" s="131">
        <v>41913</v>
      </c>
      <c r="H77" s="131">
        <v>41944</v>
      </c>
      <c r="I77" s="131">
        <v>41974</v>
      </c>
      <c r="J77" s="131">
        <v>42005</v>
      </c>
      <c r="K77" s="131">
        <v>42036</v>
      </c>
      <c r="L77" s="131">
        <v>42064</v>
      </c>
      <c r="M77" s="131">
        <v>42095</v>
      </c>
      <c r="N77" s="131">
        <v>42125</v>
      </c>
      <c r="O77" s="131">
        <v>42156</v>
      </c>
      <c r="P77" s="131">
        <v>42186</v>
      </c>
      <c r="Q77" s="1152">
        <v>42217</v>
      </c>
      <c r="R77" s="131">
        <v>42261</v>
      </c>
      <c r="S77" s="132"/>
      <c r="T77" s="133" t="s">
        <v>338</v>
      </c>
      <c r="U77" s="134" t="s">
        <v>339</v>
      </c>
      <c r="V77" s="132"/>
      <c r="W77" s="133" t="s">
        <v>338</v>
      </c>
      <c r="X77" s="134" t="s">
        <v>339</v>
      </c>
      <c r="Y77" s="157"/>
      <c r="Z77" s="157"/>
    </row>
    <row r="78" spans="1:26" s="125" customFormat="1" x14ac:dyDescent="0.25">
      <c r="A78" s="461"/>
      <c r="B78" s="153" t="s">
        <v>360</v>
      </c>
      <c r="C78" s="152"/>
      <c r="E78" s="140">
        <v>74291.666666666672</v>
      </c>
      <c r="F78" s="140">
        <v>65168.6</v>
      </c>
      <c r="G78" s="140">
        <v>69007.996320724473</v>
      </c>
      <c r="H78" s="140">
        <v>66408.996582030697</v>
      </c>
      <c r="I78" s="140">
        <v>61874.008178710996</v>
      </c>
      <c r="J78" s="140">
        <v>66953.002929688009</v>
      </c>
      <c r="K78" s="140">
        <v>64019.996093750022</v>
      </c>
      <c r="L78" s="140">
        <v>70716.999999999985</v>
      </c>
      <c r="M78" s="140">
        <v>67461.000000000015</v>
      </c>
      <c r="N78" s="140">
        <v>68775.999999999956</v>
      </c>
      <c r="O78" s="140">
        <v>65683</v>
      </c>
      <c r="P78" s="140">
        <v>66473.000000000073</v>
      </c>
      <c r="Q78" s="456"/>
      <c r="T78" s="159">
        <f>SUM(E78:Q78)</f>
        <v>806834.26677157101</v>
      </c>
      <c r="U78" s="138" t="s">
        <v>341</v>
      </c>
      <c r="V78" s="139"/>
      <c r="W78" s="140">
        <f>T78*3413/1000000</f>
        <v>2753.7253524913717</v>
      </c>
      <c r="X78" s="138" t="s">
        <v>342</v>
      </c>
      <c r="Y78" s="157"/>
      <c r="Z78" s="157"/>
    </row>
    <row r="79" spans="1:26" s="125" customFormat="1" x14ac:dyDescent="0.25">
      <c r="A79" s="461"/>
      <c r="B79" s="153" t="s">
        <v>362</v>
      </c>
      <c r="C79" s="152"/>
      <c r="E79" s="140">
        <v>937.07033333333334</v>
      </c>
      <c r="F79" s="140">
        <v>689.78</v>
      </c>
      <c r="G79" s="140">
        <v>315.52</v>
      </c>
      <c r="H79" s="140">
        <v>181.24</v>
      </c>
      <c r="I79" s="140">
        <v>92.17</v>
      </c>
      <c r="J79" s="140">
        <v>124.6</v>
      </c>
      <c r="K79" s="140">
        <v>125.84</v>
      </c>
      <c r="L79" s="140">
        <v>259.69</v>
      </c>
      <c r="M79" s="140">
        <v>409.01</v>
      </c>
      <c r="N79" s="140">
        <v>656.94</v>
      </c>
      <c r="O79" s="140">
        <v>953.24</v>
      </c>
      <c r="P79" s="140">
        <v>1018.01</v>
      </c>
      <c r="Q79" s="456"/>
      <c r="T79" s="159">
        <f t="shared" ref="T79:T84" si="4">SUM(E79:Q79)</f>
        <v>5763.110333333334</v>
      </c>
      <c r="U79" s="138" t="s">
        <v>363</v>
      </c>
      <c r="V79" s="139"/>
      <c r="W79" s="160">
        <f>T79*10*100000/1000000</f>
        <v>5763.110333333334</v>
      </c>
      <c r="X79" s="138" t="s">
        <v>342</v>
      </c>
      <c r="Y79" s="157"/>
      <c r="Z79" s="157"/>
    </row>
    <row r="80" spans="1:26" s="125" customFormat="1" x14ac:dyDescent="0.25">
      <c r="A80" s="461"/>
      <c r="B80" s="153" t="s">
        <v>364</v>
      </c>
      <c r="C80" s="152"/>
      <c r="E80" s="140">
        <v>192</v>
      </c>
      <c r="F80" s="140">
        <v>261</v>
      </c>
      <c r="G80" s="140">
        <v>343</v>
      </c>
      <c r="H80" s="140">
        <v>574</v>
      </c>
      <c r="I80" s="140">
        <v>591</v>
      </c>
      <c r="J80" s="140">
        <v>733</v>
      </c>
      <c r="K80" s="140">
        <v>741</v>
      </c>
      <c r="L80" s="140">
        <v>566</v>
      </c>
      <c r="M80" s="140">
        <v>414</v>
      </c>
      <c r="N80" s="140">
        <v>360</v>
      </c>
      <c r="O80" s="140">
        <v>329</v>
      </c>
      <c r="P80" s="140">
        <v>315</v>
      </c>
      <c r="Q80" s="456"/>
      <c r="T80" s="161">
        <f t="shared" si="4"/>
        <v>5419</v>
      </c>
      <c r="U80" s="162" t="s">
        <v>365</v>
      </c>
      <c r="V80" s="163"/>
      <c r="W80" s="164">
        <f>T80</f>
        <v>5419</v>
      </c>
      <c r="X80" s="138" t="s">
        <v>342</v>
      </c>
      <c r="Y80" s="495">
        <f>W78+W79+W80</f>
        <v>13935.835685824706</v>
      </c>
      <c r="Z80" s="153" t="s">
        <v>677</v>
      </c>
    </row>
    <row r="81" spans="1:26" s="166" customFormat="1" x14ac:dyDescent="0.25">
      <c r="A81" s="459"/>
      <c r="B81" s="165" t="s">
        <v>864</v>
      </c>
      <c r="C81" s="610"/>
      <c r="E81" s="167">
        <v>47.634658444022769</v>
      </c>
      <c r="F81" s="771">
        <v>51.685392156862747</v>
      </c>
      <c r="G81" s="771">
        <v>57.17861111111111</v>
      </c>
      <c r="H81" s="771">
        <v>50.473055555555547</v>
      </c>
      <c r="I81" s="771">
        <v>37.181428571428576</v>
      </c>
      <c r="J81" s="771">
        <v>45.694971428571428</v>
      </c>
      <c r="K81" s="771">
        <v>47.512974999999997</v>
      </c>
      <c r="L81" s="771">
        <v>54.379742647058819</v>
      </c>
      <c r="M81" s="771">
        <v>54.250882352941176</v>
      </c>
      <c r="N81" s="771">
        <v>44</v>
      </c>
      <c r="O81" s="771">
        <v>37.386764705882356</v>
      </c>
      <c r="P81" s="771">
        <v>43.381417112299467</v>
      </c>
      <c r="Q81" s="1151"/>
      <c r="T81" s="170">
        <f t="shared" si="4"/>
        <v>570.75989908573399</v>
      </c>
      <c r="U81" s="162" t="s">
        <v>379</v>
      </c>
      <c r="V81" s="163"/>
      <c r="W81" s="164">
        <f>T81*748</f>
        <v>426928.404516129</v>
      </c>
      <c r="X81" s="162" t="s">
        <v>346</v>
      </c>
    </row>
    <row r="82" spans="1:26" s="125" customFormat="1" x14ac:dyDescent="0.25">
      <c r="A82" s="461"/>
      <c r="B82" s="153" t="s">
        <v>324</v>
      </c>
      <c r="C82" s="152"/>
      <c r="E82" s="171">
        <v>6463.375</v>
      </c>
      <c r="F82" s="171">
        <v>5669.6681999999992</v>
      </c>
      <c r="G82" s="171">
        <v>6003.6956799030286</v>
      </c>
      <c r="H82" s="171">
        <v>5777.5827026366705</v>
      </c>
      <c r="I82" s="171">
        <v>5383.0387115478561</v>
      </c>
      <c r="J82" s="171">
        <v>5824.9112548828562</v>
      </c>
      <c r="K82" s="171">
        <v>5569.7396601562514</v>
      </c>
      <c r="L82" s="171">
        <v>6152.3789999999981</v>
      </c>
      <c r="M82" s="171">
        <v>5869.1070000000009</v>
      </c>
      <c r="N82" s="171">
        <v>5983.5119999999961</v>
      </c>
      <c r="O82" s="171">
        <v>5714.4209999999994</v>
      </c>
      <c r="P82" s="171">
        <v>5783.1510000000062</v>
      </c>
      <c r="Q82" s="184"/>
      <c r="T82" s="143">
        <f t="shared" si="4"/>
        <v>70194.581209126671</v>
      </c>
      <c r="U82" s="138"/>
      <c r="V82" s="139"/>
      <c r="W82" s="143">
        <f>T82</f>
        <v>70194.581209126671</v>
      </c>
      <c r="X82" s="138"/>
      <c r="Y82" s="157"/>
      <c r="Z82" s="157"/>
    </row>
    <row r="83" spans="1:26" s="125" customFormat="1" x14ac:dyDescent="0.25">
      <c r="A83" s="461"/>
      <c r="B83" s="153" t="s">
        <v>369</v>
      </c>
      <c r="C83" s="152"/>
      <c r="E83" s="171">
        <v>13493.8128</v>
      </c>
      <c r="F83" s="171">
        <v>9932.8320000000003</v>
      </c>
      <c r="G83" s="171">
        <v>4543.4880000000003</v>
      </c>
      <c r="H83" s="171">
        <v>2609.8560000000002</v>
      </c>
      <c r="I83" s="171">
        <v>1327.248</v>
      </c>
      <c r="J83" s="171">
        <v>1794.24</v>
      </c>
      <c r="K83" s="171">
        <v>1812.096</v>
      </c>
      <c r="L83" s="171">
        <v>3739.5360000000001</v>
      </c>
      <c r="M83" s="171">
        <v>5889.7439999999997</v>
      </c>
      <c r="N83" s="171">
        <v>9459.9360000000015</v>
      </c>
      <c r="O83" s="171">
        <v>13726.656000000001</v>
      </c>
      <c r="P83" s="171">
        <v>13956.917100000001</v>
      </c>
      <c r="Q83" s="184"/>
      <c r="T83" s="143">
        <f t="shared" si="4"/>
        <v>82286.361900000004</v>
      </c>
      <c r="U83" s="138"/>
      <c r="V83" s="139"/>
      <c r="W83" s="143">
        <f>T83</f>
        <v>82286.361900000004</v>
      </c>
      <c r="X83" s="138"/>
      <c r="Y83" s="157"/>
      <c r="Z83" s="157"/>
    </row>
    <row r="84" spans="1:26" s="125" customFormat="1" ht="16.5" x14ac:dyDescent="0.35">
      <c r="A84" s="461"/>
      <c r="B84" s="153" t="s">
        <v>326</v>
      </c>
      <c r="C84" s="152"/>
      <c r="E84" s="171">
        <v>2663.04</v>
      </c>
      <c r="F84" s="171">
        <v>3620.0699999999997</v>
      </c>
      <c r="G84" s="171">
        <v>4757.41</v>
      </c>
      <c r="H84" s="171">
        <v>7961.3799999999992</v>
      </c>
      <c r="I84" s="171">
        <v>8197.17</v>
      </c>
      <c r="J84" s="171">
        <v>10166.709999999999</v>
      </c>
      <c r="K84" s="171">
        <v>10277.67</v>
      </c>
      <c r="L84" s="171">
        <v>7850.4199999999992</v>
      </c>
      <c r="M84" s="171">
        <v>5742.1799999999994</v>
      </c>
      <c r="N84" s="171">
        <v>4993.2</v>
      </c>
      <c r="O84" s="171">
        <v>4563.2299999999996</v>
      </c>
      <c r="P84" s="171">
        <v>4542.3</v>
      </c>
      <c r="Q84" s="184"/>
      <c r="T84" s="143">
        <f t="shared" si="4"/>
        <v>75334.78</v>
      </c>
      <c r="U84" s="138"/>
      <c r="V84" s="139"/>
      <c r="W84" s="146">
        <f>T84</f>
        <v>75334.78</v>
      </c>
      <c r="X84" s="138"/>
      <c r="Y84" s="157"/>
      <c r="Z84" s="157"/>
    </row>
    <row r="85" spans="1:26" s="125" customFormat="1" x14ac:dyDescent="0.25">
      <c r="A85" s="461"/>
      <c r="C85" s="152"/>
      <c r="E85" s="125" t="s">
        <v>1128</v>
      </c>
      <c r="T85" s="139"/>
      <c r="U85" s="147"/>
      <c r="V85" s="139"/>
      <c r="W85" s="143">
        <f>SUM(W82:W84)</f>
        <v>227815.72310912667</v>
      </c>
      <c r="X85" s="150"/>
      <c r="Y85" s="157"/>
      <c r="Z85" s="157"/>
    </row>
    <row r="86" spans="1:26" s="125" customFormat="1" x14ac:dyDescent="0.25">
      <c r="A86" s="461"/>
      <c r="C86" s="152"/>
      <c r="T86" s="139"/>
      <c r="U86" s="147"/>
      <c r="V86" s="139"/>
      <c r="W86" s="149"/>
      <c r="X86" s="150"/>
      <c r="Y86" s="157"/>
      <c r="Z86" s="157"/>
    </row>
    <row r="87" spans="1:26" s="125" customFormat="1" x14ac:dyDescent="0.25">
      <c r="A87" s="461">
        <v>9</v>
      </c>
      <c r="B87" s="148" t="s">
        <v>413</v>
      </c>
      <c r="C87" s="152"/>
      <c r="S87" s="126"/>
      <c r="T87" s="569" t="s">
        <v>413</v>
      </c>
      <c r="V87" s="126"/>
      <c r="Y87" s="157"/>
      <c r="Z87" s="157"/>
    </row>
    <row r="88" spans="1:26" s="125" customFormat="1" x14ac:dyDescent="0.25">
      <c r="A88" s="461"/>
      <c r="B88" s="130" t="s">
        <v>337</v>
      </c>
      <c r="C88" s="186" t="s">
        <v>977</v>
      </c>
      <c r="D88" s="131">
        <v>41821</v>
      </c>
      <c r="E88" s="131">
        <v>41852</v>
      </c>
      <c r="F88" s="131">
        <v>41883</v>
      </c>
      <c r="G88" s="131">
        <v>41913</v>
      </c>
      <c r="H88" s="131">
        <v>41944</v>
      </c>
      <c r="I88" s="131">
        <v>41974</v>
      </c>
      <c r="J88" s="131">
        <v>42005</v>
      </c>
      <c r="K88" s="131">
        <v>42036</v>
      </c>
      <c r="L88" s="131">
        <v>42064</v>
      </c>
      <c r="M88" s="131">
        <v>42095</v>
      </c>
      <c r="N88" s="131">
        <v>42125</v>
      </c>
      <c r="O88" s="131">
        <v>42156</v>
      </c>
      <c r="P88" s="131">
        <v>42186</v>
      </c>
      <c r="Q88" s="151">
        <v>42217</v>
      </c>
      <c r="R88" s="131">
        <v>42261</v>
      </c>
      <c r="S88" s="132"/>
      <c r="T88" s="133" t="s">
        <v>338</v>
      </c>
      <c r="U88" s="134" t="s">
        <v>339</v>
      </c>
      <c r="V88" s="132"/>
      <c r="W88" s="133" t="s">
        <v>338</v>
      </c>
      <c r="X88" s="134" t="s">
        <v>339</v>
      </c>
      <c r="Y88" s="157"/>
      <c r="Z88" s="157"/>
    </row>
    <row r="89" spans="1:26" s="125" customFormat="1" x14ac:dyDescent="0.25">
      <c r="A89" s="461"/>
      <c r="B89" s="238" t="s">
        <v>409</v>
      </c>
      <c r="C89" s="152"/>
      <c r="D89" s="136">
        <v>52224</v>
      </c>
      <c r="E89" s="136">
        <v>55872</v>
      </c>
      <c r="F89" s="136">
        <v>56832</v>
      </c>
      <c r="G89" s="136">
        <v>50880</v>
      </c>
      <c r="H89" s="136">
        <v>50112</v>
      </c>
      <c r="I89" s="136">
        <v>50112</v>
      </c>
      <c r="J89" s="136">
        <v>55872</v>
      </c>
      <c r="K89" s="136">
        <v>64320</v>
      </c>
      <c r="L89" s="136">
        <v>60480</v>
      </c>
      <c r="M89" s="136">
        <v>43584</v>
      </c>
      <c r="N89" s="136">
        <v>45312</v>
      </c>
      <c r="O89" s="136">
        <v>43392</v>
      </c>
      <c r="T89" s="137">
        <f>SUM(D89:O89)</f>
        <v>628992</v>
      </c>
      <c r="U89" s="138" t="s">
        <v>341</v>
      </c>
      <c r="V89" s="139"/>
      <c r="W89" s="140">
        <f>T89*3413/1000000</f>
        <v>2146.7496959999999</v>
      </c>
      <c r="X89" s="138" t="s">
        <v>342</v>
      </c>
      <c r="Y89" s="157"/>
      <c r="Z89" s="157"/>
    </row>
    <row r="90" spans="1:26" s="125" customFormat="1" x14ac:dyDescent="0.25">
      <c r="A90" s="461"/>
      <c r="B90" s="238" t="s">
        <v>614</v>
      </c>
      <c r="C90" s="152"/>
      <c r="D90" s="760">
        <v>529.61</v>
      </c>
      <c r="E90" s="760">
        <v>938.42</v>
      </c>
      <c r="F90" s="760">
        <v>896.81</v>
      </c>
      <c r="G90" s="760">
        <v>817.2</v>
      </c>
      <c r="H90" s="760">
        <v>782</v>
      </c>
      <c r="I90" s="760">
        <v>252.56</v>
      </c>
      <c r="J90" s="760">
        <v>365.83</v>
      </c>
      <c r="K90" s="750">
        <v>232.19</v>
      </c>
      <c r="L90" s="750">
        <v>411.89</v>
      </c>
      <c r="M90" s="750">
        <v>625.05999999999995</v>
      </c>
      <c r="N90" s="750">
        <v>1124.08</v>
      </c>
      <c r="O90" s="750">
        <v>563.73</v>
      </c>
      <c r="T90" s="137">
        <f>SUM(D90:O90)</f>
        <v>7539.3799999999992</v>
      </c>
      <c r="U90" s="138" t="s">
        <v>379</v>
      </c>
      <c r="V90" s="139"/>
      <c r="W90" s="137">
        <f>T90*7.48</f>
        <v>56394.562399999995</v>
      </c>
      <c r="X90" s="138" t="s">
        <v>346</v>
      </c>
      <c r="Y90" s="157"/>
      <c r="Z90" s="157"/>
    </row>
    <row r="91" spans="1:26" s="125" customFormat="1" x14ac:dyDescent="0.25">
      <c r="A91" s="461"/>
      <c r="B91" s="238" t="s">
        <v>324</v>
      </c>
      <c r="C91" s="152"/>
      <c r="D91" s="731">
        <v>6467.55</v>
      </c>
      <c r="E91" s="731">
        <v>6834.85</v>
      </c>
      <c r="F91" s="731">
        <v>7158.93</v>
      </c>
      <c r="G91" s="731">
        <v>5973.78</v>
      </c>
      <c r="H91" s="731">
        <v>5956.18</v>
      </c>
      <c r="I91" s="731">
        <v>6277.44</v>
      </c>
      <c r="J91" s="731">
        <v>6560.56</v>
      </c>
      <c r="K91" s="731">
        <v>7264.31</v>
      </c>
      <c r="L91" s="731">
        <v>6987.37</v>
      </c>
      <c r="M91" s="731">
        <v>5296.43</v>
      </c>
      <c r="N91" s="731">
        <v>5969.07</v>
      </c>
      <c r="O91" s="731">
        <v>5830.6</v>
      </c>
      <c r="T91" s="143">
        <f>SUM(D91:O91)</f>
        <v>76577.070000000007</v>
      </c>
      <c r="U91" s="138"/>
      <c r="V91" s="139"/>
      <c r="W91" s="143">
        <f>T91</f>
        <v>76577.070000000007</v>
      </c>
      <c r="X91" s="138"/>
      <c r="Y91" s="157"/>
      <c r="Z91" s="157"/>
    </row>
    <row r="92" spans="1:26" s="125" customFormat="1" x14ac:dyDescent="0.25">
      <c r="A92" s="461"/>
      <c r="C92" s="152"/>
      <c r="S92" s="126"/>
      <c r="V92" s="126"/>
      <c r="Y92" s="157"/>
      <c r="Z92" s="157"/>
    </row>
    <row r="93" spans="1:26" s="125" customFormat="1" x14ac:dyDescent="0.25">
      <c r="A93" s="461"/>
      <c r="C93" s="152"/>
      <c r="S93" s="126"/>
      <c r="V93" s="126"/>
      <c r="Y93" s="157"/>
      <c r="Z93" s="157"/>
    </row>
    <row r="94" spans="1:26" s="128" customFormat="1" x14ac:dyDescent="0.25">
      <c r="A94" s="459">
        <v>10</v>
      </c>
      <c r="B94" s="172" t="s">
        <v>558</v>
      </c>
      <c r="C94" s="173"/>
      <c r="S94" s="173"/>
      <c r="T94" s="598" t="s">
        <v>558</v>
      </c>
      <c r="W94" s="129"/>
      <c r="Y94" s="166"/>
      <c r="Z94" s="764"/>
    </row>
    <row r="95" spans="1:26" s="125" customFormat="1" x14ac:dyDescent="0.25">
      <c r="A95" s="461"/>
      <c r="B95" s="130" t="s">
        <v>337</v>
      </c>
      <c r="C95" s="186" t="s">
        <v>977</v>
      </c>
      <c r="D95" s="131">
        <v>41821</v>
      </c>
      <c r="E95" s="131">
        <v>41852</v>
      </c>
      <c r="F95" s="131">
        <v>41883</v>
      </c>
      <c r="G95" s="131">
        <v>41913</v>
      </c>
      <c r="H95" s="131">
        <v>41944</v>
      </c>
      <c r="I95" s="131">
        <v>41974</v>
      </c>
      <c r="J95" s="131">
        <v>42005</v>
      </c>
      <c r="K95" s="131">
        <v>42036</v>
      </c>
      <c r="L95" s="131">
        <v>42064</v>
      </c>
      <c r="M95" s="131">
        <v>42095</v>
      </c>
      <c r="N95" s="131">
        <v>42125</v>
      </c>
      <c r="O95" s="131">
        <v>42156</v>
      </c>
      <c r="P95" s="131">
        <v>42186</v>
      </c>
      <c r="Q95" s="151">
        <v>42217</v>
      </c>
      <c r="R95" s="131">
        <v>42261</v>
      </c>
      <c r="S95" s="132"/>
      <c r="T95" s="133" t="s">
        <v>338</v>
      </c>
      <c r="U95" s="134" t="s">
        <v>339</v>
      </c>
      <c r="V95" s="132"/>
      <c r="W95" s="133" t="s">
        <v>338</v>
      </c>
      <c r="X95" s="134" t="s">
        <v>339</v>
      </c>
      <c r="Y95" s="157"/>
      <c r="Z95" s="157"/>
    </row>
    <row r="96" spans="1:26" s="125" customFormat="1" x14ac:dyDescent="0.25">
      <c r="A96" s="461"/>
      <c r="B96" s="135" t="s">
        <v>340</v>
      </c>
      <c r="C96" s="603"/>
      <c r="D96" s="136">
        <v>2360</v>
      </c>
      <c r="E96" s="136">
        <v>2600</v>
      </c>
      <c r="F96" s="136">
        <v>3180</v>
      </c>
      <c r="G96" s="136">
        <v>4320</v>
      </c>
      <c r="H96" s="136">
        <v>4320</v>
      </c>
      <c r="I96" s="136">
        <v>2520</v>
      </c>
      <c r="J96" s="136">
        <v>2640</v>
      </c>
      <c r="K96" s="136">
        <v>3040</v>
      </c>
      <c r="L96" s="136">
        <v>1800</v>
      </c>
      <c r="M96" s="136">
        <v>3360</v>
      </c>
      <c r="N96" s="136">
        <v>4680</v>
      </c>
      <c r="O96" s="136">
        <v>4360</v>
      </c>
      <c r="P96" s="136"/>
      <c r="Q96" s="434"/>
      <c r="R96" s="136"/>
      <c r="T96" s="140">
        <f>SUM(C96:S96)</f>
        <v>39180</v>
      </c>
      <c r="U96" s="138" t="s">
        <v>341</v>
      </c>
      <c r="V96" s="139"/>
      <c r="W96" s="140">
        <f>T96*3413/1000000</f>
        <v>133.72134</v>
      </c>
      <c r="X96" s="138" t="s">
        <v>342</v>
      </c>
      <c r="Y96" s="157"/>
      <c r="Z96" s="157"/>
    </row>
    <row r="97" spans="1:26" s="125" customFormat="1" x14ac:dyDescent="0.25">
      <c r="A97" s="461"/>
      <c r="B97" s="135" t="s">
        <v>372</v>
      </c>
      <c r="C97" s="603"/>
      <c r="D97" s="153">
        <v>23</v>
      </c>
      <c r="E97" s="153">
        <v>22</v>
      </c>
      <c r="F97" s="153">
        <v>28</v>
      </c>
      <c r="G97" s="153">
        <v>29</v>
      </c>
      <c r="H97" s="153">
        <v>1458</v>
      </c>
      <c r="I97" s="153">
        <v>1195</v>
      </c>
      <c r="J97" s="141">
        <v>1162</v>
      </c>
      <c r="K97" s="153">
        <v>1264</v>
      </c>
      <c r="L97" s="153">
        <v>654</v>
      </c>
      <c r="M97" s="153">
        <v>33</v>
      </c>
      <c r="N97" s="153">
        <v>29</v>
      </c>
      <c r="O97" s="153">
        <v>87</v>
      </c>
      <c r="P97" s="136"/>
      <c r="Q97" s="434"/>
      <c r="R97" s="136"/>
      <c r="T97" s="140">
        <f>SUM(C97:S97)</f>
        <v>5984</v>
      </c>
      <c r="U97" s="138" t="s">
        <v>354</v>
      </c>
      <c r="V97" s="139"/>
      <c r="W97" s="140">
        <f>T97*99976.124488/1000000</f>
        <v>598.25712893619209</v>
      </c>
      <c r="X97" s="138" t="s">
        <v>342</v>
      </c>
      <c r="Y97" s="495">
        <f>W96+W97</f>
        <v>731.97846893619203</v>
      </c>
      <c r="Z97" s="153" t="s">
        <v>677</v>
      </c>
    </row>
    <row r="98" spans="1:26" s="125" customFormat="1" x14ac:dyDescent="0.25">
      <c r="A98" s="461"/>
      <c r="B98" s="135" t="s">
        <v>322</v>
      </c>
      <c r="C98" s="603"/>
      <c r="D98" s="141">
        <v>30470</v>
      </c>
      <c r="E98" s="141">
        <v>53490</v>
      </c>
      <c r="F98" s="141">
        <v>40810</v>
      </c>
      <c r="G98" s="141">
        <v>62630</v>
      </c>
      <c r="H98" s="1347" t="s">
        <v>330</v>
      </c>
      <c r="I98" s="141">
        <v>53920</v>
      </c>
      <c r="J98" s="141">
        <v>60016</v>
      </c>
      <c r="K98" s="1348">
        <v>68914</v>
      </c>
      <c r="L98" s="141">
        <v>15210</v>
      </c>
      <c r="M98" s="141">
        <v>5800</v>
      </c>
      <c r="N98" s="141">
        <v>77670</v>
      </c>
      <c r="O98" s="141">
        <v>125840</v>
      </c>
      <c r="P98" s="141"/>
      <c r="Q98" s="435"/>
      <c r="R98" s="141"/>
      <c r="T98" s="140">
        <f>SUM(C98:S98)</f>
        <v>594770</v>
      </c>
      <c r="U98" s="138" t="s">
        <v>346</v>
      </c>
      <c r="V98" s="139"/>
      <c r="W98" s="137">
        <f>T98</f>
        <v>594770</v>
      </c>
      <c r="X98" s="138" t="s">
        <v>346</v>
      </c>
      <c r="Y98" s="157"/>
      <c r="Z98" s="157"/>
    </row>
    <row r="99" spans="1:26" s="125" customFormat="1" x14ac:dyDescent="0.25">
      <c r="A99" s="461"/>
      <c r="B99" s="135" t="s">
        <v>324</v>
      </c>
      <c r="C99" s="603"/>
      <c r="D99" s="142">
        <v>483.83</v>
      </c>
      <c r="E99" s="142">
        <v>606.25</v>
      </c>
      <c r="F99" s="142">
        <v>552.75</v>
      </c>
      <c r="G99" s="142">
        <v>1045.67</v>
      </c>
      <c r="H99" s="142">
        <v>856.41</v>
      </c>
      <c r="I99" s="142">
        <v>510.76</v>
      </c>
      <c r="J99" s="142">
        <v>570.39</v>
      </c>
      <c r="K99" s="142">
        <v>599.9</v>
      </c>
      <c r="L99" s="142">
        <v>405.87</v>
      </c>
      <c r="M99" s="142">
        <v>852.49</v>
      </c>
      <c r="N99" s="142">
        <v>890.21</v>
      </c>
      <c r="O99" s="142">
        <v>823.7</v>
      </c>
      <c r="P99" s="142"/>
      <c r="Q99" s="436"/>
      <c r="R99" s="142"/>
      <c r="T99" s="143">
        <f>SUM(C99:S99)</f>
        <v>8198.23</v>
      </c>
      <c r="U99" s="138"/>
      <c r="V99" s="139"/>
      <c r="W99" s="143">
        <f>T99</f>
        <v>8198.23</v>
      </c>
      <c r="X99" s="138"/>
      <c r="Y99" s="157"/>
      <c r="Z99" s="157"/>
    </row>
    <row r="100" spans="1:26" s="125" customFormat="1" ht="16.5" x14ac:dyDescent="0.35">
      <c r="A100" s="461"/>
      <c r="B100" s="144" t="s">
        <v>374</v>
      </c>
      <c r="C100" s="604"/>
      <c r="D100" s="1147">
        <v>44.55</v>
      </c>
      <c r="E100" s="1147">
        <v>43.65</v>
      </c>
      <c r="F100" s="1147">
        <v>45.91</v>
      </c>
      <c r="G100" s="1147">
        <v>38.450000000000003</v>
      </c>
      <c r="H100" s="1147">
        <v>1242.3800000000001</v>
      </c>
      <c r="I100" s="1147">
        <v>1045.21</v>
      </c>
      <c r="J100" s="1147">
        <v>926.42</v>
      </c>
      <c r="K100" s="1147">
        <v>133.03</v>
      </c>
      <c r="L100" s="1147">
        <v>947.21</v>
      </c>
      <c r="M100" s="1147">
        <v>41.76</v>
      </c>
      <c r="N100" s="1147">
        <v>39.369999999999997</v>
      </c>
      <c r="O100" s="1147">
        <v>82.67</v>
      </c>
      <c r="P100" s="145"/>
      <c r="Q100" s="437"/>
      <c r="R100" s="145"/>
      <c r="T100" s="143">
        <f>SUM(C100:S100)</f>
        <v>4630.6100000000006</v>
      </c>
      <c r="U100" s="138"/>
      <c r="V100" s="139"/>
      <c r="W100" s="146">
        <f>T100</f>
        <v>4630.6100000000006</v>
      </c>
      <c r="X100" s="138"/>
      <c r="Y100" s="157"/>
      <c r="Z100" s="157"/>
    </row>
    <row r="101" spans="1:26" x14ac:dyDescent="0.25">
      <c r="W101" s="455">
        <f>SUM(W99:W100)</f>
        <v>12828.84</v>
      </c>
      <c r="X101" s="441"/>
    </row>
    <row r="102" spans="1:26" x14ac:dyDescent="0.25">
      <c r="W102" s="445"/>
      <c r="X102" s="116"/>
    </row>
    <row r="103" spans="1:26" s="125" customFormat="1" ht="16.5" x14ac:dyDescent="0.35">
      <c r="A103" s="461">
        <v>11</v>
      </c>
      <c r="B103" s="127" t="s">
        <v>376</v>
      </c>
      <c r="C103" s="611"/>
      <c r="D103" s="179"/>
      <c r="E103" s="179"/>
      <c r="F103" s="179"/>
      <c r="G103" s="179"/>
      <c r="H103" s="179"/>
      <c r="I103" s="179"/>
      <c r="J103" s="179"/>
      <c r="K103" s="179"/>
      <c r="L103" s="179"/>
      <c r="M103" s="179"/>
      <c r="N103" s="179"/>
      <c r="O103" s="179"/>
      <c r="R103" s="149"/>
      <c r="S103" s="150"/>
      <c r="T103" s="569" t="s">
        <v>376</v>
      </c>
      <c r="U103" s="181"/>
      <c r="V103" s="150"/>
      <c r="Y103" s="157"/>
      <c r="Z103" s="157"/>
    </row>
    <row r="104" spans="1:26" s="125" customFormat="1" x14ac:dyDescent="0.25">
      <c r="A104" s="461"/>
      <c r="B104" s="130" t="s">
        <v>337</v>
      </c>
      <c r="C104" s="186" t="s">
        <v>977</v>
      </c>
      <c r="D104" s="131">
        <v>41821</v>
      </c>
      <c r="E104" s="131">
        <v>41852</v>
      </c>
      <c r="F104" s="131">
        <v>41883</v>
      </c>
      <c r="G104" s="131">
        <v>41913</v>
      </c>
      <c r="H104" s="131">
        <v>41944</v>
      </c>
      <c r="I104" s="131">
        <v>41974</v>
      </c>
      <c r="J104" s="131">
        <v>42005</v>
      </c>
      <c r="K104" s="131">
        <v>42036</v>
      </c>
      <c r="L104" s="131">
        <v>42064</v>
      </c>
      <c r="M104" s="131">
        <v>42095</v>
      </c>
      <c r="N104" s="131">
        <v>42125</v>
      </c>
      <c r="O104" s="131">
        <v>42156</v>
      </c>
      <c r="P104" s="131">
        <v>42186</v>
      </c>
      <c r="Q104" s="151">
        <v>42217</v>
      </c>
      <c r="R104" s="131">
        <v>42261</v>
      </c>
      <c r="S104" s="132"/>
      <c r="T104" s="133" t="s">
        <v>338</v>
      </c>
      <c r="U104" s="134" t="s">
        <v>339</v>
      </c>
      <c r="V104" s="132"/>
      <c r="W104" s="133" t="s">
        <v>338</v>
      </c>
      <c r="X104" s="134" t="s">
        <v>339</v>
      </c>
      <c r="Y104" s="157"/>
      <c r="Z104" s="157"/>
    </row>
    <row r="105" spans="1:26" s="125" customFormat="1" x14ac:dyDescent="0.25">
      <c r="A105" s="461"/>
      <c r="B105" s="135" t="s">
        <v>340</v>
      </c>
      <c r="C105" s="612"/>
      <c r="D105" s="160">
        <v>415523</v>
      </c>
      <c r="E105" s="160">
        <v>415560</v>
      </c>
      <c r="F105" s="160">
        <v>377745</v>
      </c>
      <c r="G105" s="160">
        <v>440404</v>
      </c>
      <c r="H105" s="160">
        <v>435530</v>
      </c>
      <c r="I105" s="160">
        <v>448250</v>
      </c>
      <c r="J105" s="160">
        <v>455310</v>
      </c>
      <c r="K105" s="160">
        <v>414430</v>
      </c>
      <c r="L105" s="160">
        <v>456675</v>
      </c>
      <c r="M105" s="160">
        <v>448690</v>
      </c>
      <c r="N105" s="160">
        <v>453830</v>
      </c>
      <c r="O105" s="160">
        <v>419430</v>
      </c>
      <c r="P105" s="456"/>
      <c r="Q105" s="444"/>
      <c r="T105" s="137">
        <f t="shared" ref="T105:T113" si="5">SUM(D105:Q105)</f>
        <v>5181377</v>
      </c>
      <c r="U105" s="138" t="s">
        <v>341</v>
      </c>
      <c r="V105" s="139"/>
      <c r="W105" s="140">
        <f>T105*3413/1000000</f>
        <v>17684.039701000002</v>
      </c>
      <c r="X105" s="138" t="s">
        <v>342</v>
      </c>
      <c r="Y105" s="157"/>
      <c r="Z105" s="157"/>
    </row>
    <row r="106" spans="1:26" s="125" customFormat="1" x14ac:dyDescent="0.25">
      <c r="A106" s="461"/>
      <c r="B106" s="135" t="s">
        <v>372</v>
      </c>
      <c r="C106" s="612"/>
      <c r="D106" s="557">
        <v>182</v>
      </c>
      <c r="E106" s="557">
        <v>131</v>
      </c>
      <c r="F106" s="557">
        <v>142</v>
      </c>
      <c r="G106" s="557">
        <v>531</v>
      </c>
      <c r="H106" s="557">
        <v>2083</v>
      </c>
      <c r="I106" s="557">
        <v>2611</v>
      </c>
      <c r="J106" s="557">
        <v>979</v>
      </c>
      <c r="K106" s="557">
        <v>805</v>
      </c>
      <c r="L106" s="557">
        <v>689</v>
      </c>
      <c r="M106" s="557">
        <v>1625</v>
      </c>
      <c r="N106" s="557">
        <v>679</v>
      </c>
      <c r="O106" s="557">
        <v>166</v>
      </c>
      <c r="P106" s="456"/>
      <c r="Q106" s="444"/>
      <c r="T106" s="137">
        <f t="shared" si="5"/>
        <v>10623</v>
      </c>
      <c r="U106" s="138" t="s">
        <v>354</v>
      </c>
      <c r="V106" s="139"/>
      <c r="W106" s="140">
        <f>T106*99976.124488/1000000</f>
        <v>1062.0463704360241</v>
      </c>
      <c r="X106" s="138" t="s">
        <v>342</v>
      </c>
      <c r="Y106" s="157"/>
      <c r="Z106" s="157"/>
    </row>
    <row r="107" spans="1:26" s="157" customFormat="1" x14ac:dyDescent="0.25">
      <c r="A107" s="461"/>
      <c r="B107" s="192" t="s">
        <v>739</v>
      </c>
      <c r="C107" s="599"/>
      <c r="D107" s="160">
        <v>2555</v>
      </c>
      <c r="E107" s="160">
        <v>18112</v>
      </c>
      <c r="F107" s="160">
        <v>9894</v>
      </c>
      <c r="G107" s="160">
        <v>1481</v>
      </c>
      <c r="H107" s="160">
        <v>640</v>
      </c>
      <c r="I107" s="160">
        <v>685</v>
      </c>
      <c r="J107" s="160">
        <v>456</v>
      </c>
      <c r="K107" s="160">
        <v>486</v>
      </c>
      <c r="L107" s="160">
        <v>1141</v>
      </c>
      <c r="M107" s="160">
        <v>1269</v>
      </c>
      <c r="N107" s="160">
        <v>2273</v>
      </c>
      <c r="O107" s="160">
        <v>2539</v>
      </c>
      <c r="P107" s="178"/>
      <c r="Q107" s="178"/>
      <c r="T107" s="141">
        <f t="shared" si="5"/>
        <v>41531</v>
      </c>
      <c r="U107" s="138" t="s">
        <v>342</v>
      </c>
      <c r="W107" s="193">
        <f>T107</f>
        <v>41531</v>
      </c>
      <c r="X107" s="138" t="s">
        <v>342</v>
      </c>
    </row>
    <row r="108" spans="1:26" s="125" customFormat="1" x14ac:dyDescent="0.25">
      <c r="A108" s="461"/>
      <c r="B108" s="153" t="s">
        <v>740</v>
      </c>
      <c r="C108" s="152"/>
      <c r="D108" s="153">
        <v>205</v>
      </c>
      <c r="E108" s="140">
        <v>345</v>
      </c>
      <c r="F108" s="140">
        <v>333</v>
      </c>
      <c r="G108" s="140">
        <v>498</v>
      </c>
      <c r="H108" s="140">
        <v>624</v>
      </c>
      <c r="I108" s="140">
        <v>891</v>
      </c>
      <c r="J108" s="140">
        <v>735</v>
      </c>
      <c r="K108" s="140">
        <v>858</v>
      </c>
      <c r="L108" s="140">
        <v>665</v>
      </c>
      <c r="M108" s="140">
        <v>416</v>
      </c>
      <c r="N108" s="140">
        <v>439</v>
      </c>
      <c r="O108" s="140">
        <v>274</v>
      </c>
      <c r="P108" s="596"/>
      <c r="Q108" s="444"/>
      <c r="T108" s="161">
        <f t="shared" si="5"/>
        <v>6283</v>
      </c>
      <c r="U108" s="162" t="s">
        <v>342</v>
      </c>
      <c r="V108" s="163"/>
      <c r="W108" s="164">
        <f>T108</f>
        <v>6283</v>
      </c>
      <c r="X108" s="138" t="s">
        <v>342</v>
      </c>
      <c r="Y108" s="495">
        <f>W105+W106+W107+W108</f>
        <v>66560.086071436031</v>
      </c>
      <c r="Z108" s="153" t="s">
        <v>342</v>
      </c>
    </row>
    <row r="109" spans="1:26" s="125" customFormat="1" x14ac:dyDescent="0.25">
      <c r="A109" s="461"/>
      <c r="B109" s="135" t="s">
        <v>373</v>
      </c>
      <c r="C109" s="201"/>
      <c r="D109" s="160">
        <v>4963</v>
      </c>
      <c r="E109" s="160">
        <v>4932</v>
      </c>
      <c r="F109" s="160">
        <v>7234</v>
      </c>
      <c r="G109" s="160">
        <v>8982</v>
      </c>
      <c r="H109" s="160">
        <v>9050</v>
      </c>
      <c r="I109" s="160">
        <v>7383</v>
      </c>
      <c r="J109" s="160">
        <v>6346</v>
      </c>
      <c r="K109" s="160">
        <v>6550</v>
      </c>
      <c r="L109" s="160">
        <v>10382</v>
      </c>
      <c r="M109" s="160">
        <v>10707</v>
      </c>
      <c r="N109" s="160">
        <v>5507</v>
      </c>
      <c r="O109" s="160">
        <v>6686</v>
      </c>
      <c r="P109" s="456"/>
      <c r="Q109" s="444"/>
      <c r="T109" s="137">
        <f t="shared" si="5"/>
        <v>88722</v>
      </c>
      <c r="U109" s="138" t="s">
        <v>367</v>
      </c>
      <c r="V109" s="139"/>
      <c r="W109" s="137">
        <f>T109*7.48</f>
        <v>663640.56000000006</v>
      </c>
      <c r="X109" s="138" t="s">
        <v>346</v>
      </c>
      <c r="Y109" s="157"/>
      <c r="Z109" s="157"/>
    </row>
    <row r="110" spans="1:26" s="125" customFormat="1" x14ac:dyDescent="0.25">
      <c r="A110" s="461"/>
      <c r="B110" s="135" t="s">
        <v>324</v>
      </c>
      <c r="C110" s="613"/>
      <c r="D110" s="171">
        <v>28954.740226596845</v>
      </c>
      <c r="E110" s="142">
        <v>29745.066009243696</v>
      </c>
      <c r="F110" s="142">
        <v>26157.43501454057</v>
      </c>
      <c r="G110" s="142">
        <v>27017.953973684213</v>
      </c>
      <c r="H110" s="142">
        <v>25049.689420833332</v>
      </c>
      <c r="I110" s="142">
        <v>25810.755648801525</v>
      </c>
      <c r="J110" s="142">
        <v>25393.117473050141</v>
      </c>
      <c r="K110" s="142">
        <v>23362.217073571734</v>
      </c>
      <c r="L110" s="142">
        <v>26710.501278448879</v>
      </c>
      <c r="M110" s="142">
        <v>25040.529780387595</v>
      </c>
      <c r="N110" s="142">
        <v>25507.919127462119</v>
      </c>
      <c r="O110" s="142">
        <v>26325.198622884614</v>
      </c>
      <c r="P110" s="176"/>
      <c r="Q110" s="444"/>
      <c r="T110" s="143">
        <f t="shared" si="5"/>
        <v>315075.12364950526</v>
      </c>
      <c r="U110" s="138"/>
      <c r="V110" s="139"/>
      <c r="W110" s="156">
        <f>T110</f>
        <v>315075.12364950526</v>
      </c>
      <c r="X110" s="138"/>
      <c r="Y110" s="157"/>
      <c r="Z110" s="157"/>
    </row>
    <row r="111" spans="1:26" s="125" customFormat="1" x14ac:dyDescent="0.25">
      <c r="A111" s="461"/>
      <c r="B111" s="144" t="s">
        <v>374</v>
      </c>
      <c r="C111" s="611"/>
      <c r="D111" s="171">
        <v>177.43</v>
      </c>
      <c r="E111" s="145">
        <v>133.87</v>
      </c>
      <c r="F111" s="145">
        <v>143.27000000000001</v>
      </c>
      <c r="G111" s="145">
        <v>475.47</v>
      </c>
      <c r="H111" s="145">
        <v>1790</v>
      </c>
      <c r="I111" s="145">
        <v>2240.91</v>
      </c>
      <c r="J111" s="145">
        <v>807.69</v>
      </c>
      <c r="K111" s="145">
        <v>618.37</v>
      </c>
      <c r="L111" s="145">
        <v>456.72</v>
      </c>
      <c r="M111" s="145">
        <v>353.28</v>
      </c>
      <c r="N111" s="145">
        <v>428.59</v>
      </c>
      <c r="O111" s="145">
        <v>132.86000000000001</v>
      </c>
      <c r="P111" s="179"/>
      <c r="Q111" s="444"/>
      <c r="T111" s="143">
        <f t="shared" si="5"/>
        <v>7758.4599999999991</v>
      </c>
      <c r="U111" s="138"/>
      <c r="V111" s="139"/>
      <c r="W111" s="156">
        <f>T111</f>
        <v>7758.4599999999991</v>
      </c>
      <c r="X111" s="138"/>
      <c r="Y111" s="157"/>
      <c r="Z111" s="157"/>
    </row>
    <row r="112" spans="1:26" s="125" customFormat="1" x14ac:dyDescent="0.25">
      <c r="A112" s="461"/>
      <c r="B112" s="144" t="s">
        <v>742</v>
      </c>
      <c r="C112" s="611"/>
      <c r="D112" s="171">
        <v>12034.023588388472</v>
      </c>
      <c r="E112" s="145">
        <v>42822.350792086218</v>
      </c>
      <c r="F112" s="145">
        <v>32682.768370101174</v>
      </c>
      <c r="G112" s="145">
        <v>6593.3436580164162</v>
      </c>
      <c r="H112" s="145">
        <v>9279.7439107161899</v>
      </c>
      <c r="I112" s="145">
        <v>5684.7613225955347</v>
      </c>
      <c r="J112" s="145">
        <v>1813.3641007088524</v>
      </c>
      <c r="K112" s="145">
        <v>3422.7781004280982</v>
      </c>
      <c r="L112" s="145">
        <v>3692.5994394530144</v>
      </c>
      <c r="M112" s="145">
        <v>4106.8437236335458</v>
      </c>
      <c r="N112" s="145">
        <v>11697.404898024643</v>
      </c>
      <c r="O112" s="145">
        <v>15243.351980159556</v>
      </c>
      <c r="P112" s="179"/>
      <c r="Q112" s="444"/>
      <c r="T112" s="143">
        <f t="shared" si="5"/>
        <v>149073.33388431169</v>
      </c>
      <c r="U112" s="138"/>
      <c r="V112" s="139"/>
      <c r="W112" s="156">
        <f>T112</f>
        <v>149073.33388431169</v>
      </c>
      <c r="X112" s="138"/>
      <c r="Y112" s="157"/>
      <c r="Z112" s="157"/>
    </row>
    <row r="113" spans="1:26" s="125" customFormat="1" ht="16.5" x14ac:dyDescent="0.35">
      <c r="A113" s="461"/>
      <c r="B113" s="144" t="s">
        <v>741</v>
      </c>
      <c r="C113" s="611"/>
      <c r="D113" s="171">
        <v>1531.35</v>
      </c>
      <c r="E113" s="145">
        <v>2577.15</v>
      </c>
      <c r="F113" s="145">
        <v>2487.5099999999998</v>
      </c>
      <c r="G113" s="145">
        <v>3720.06</v>
      </c>
      <c r="H113" s="145">
        <v>4661.28</v>
      </c>
      <c r="I113" s="145">
        <v>6655.7699999999995</v>
      </c>
      <c r="J113" s="145">
        <v>5490.45</v>
      </c>
      <c r="K113" s="145">
        <v>6409.26</v>
      </c>
      <c r="L113" s="145">
        <v>4967.55</v>
      </c>
      <c r="M113" s="145">
        <v>3107.52</v>
      </c>
      <c r="N113" s="145">
        <v>3279.33</v>
      </c>
      <c r="O113" s="145">
        <v>2046.78</v>
      </c>
      <c r="P113" s="179"/>
      <c r="Q113" s="444"/>
      <c r="T113" s="143">
        <f t="shared" si="5"/>
        <v>46934.01</v>
      </c>
      <c r="U113" s="138"/>
      <c r="V113" s="139"/>
      <c r="W113" s="597">
        <f>T113</f>
        <v>46934.01</v>
      </c>
      <c r="X113" s="138"/>
      <c r="Y113" s="157"/>
      <c r="Z113" s="157"/>
    </row>
    <row r="114" spans="1:26" s="125" customFormat="1" x14ac:dyDescent="0.25">
      <c r="A114" s="461"/>
      <c r="B114" s="180"/>
      <c r="C114" s="611"/>
      <c r="D114" s="179"/>
      <c r="E114" s="179"/>
      <c r="F114" s="179"/>
      <c r="G114" s="179"/>
      <c r="H114" s="179"/>
      <c r="I114" s="179"/>
      <c r="J114" s="179"/>
      <c r="K114" s="179"/>
      <c r="L114" s="179"/>
      <c r="M114" s="179"/>
      <c r="N114" s="179"/>
      <c r="O114" s="179"/>
      <c r="T114" s="149"/>
      <c r="U114" s="150"/>
      <c r="V114" s="139"/>
      <c r="W114" s="156">
        <f>SUM(W110:W113)</f>
        <v>518840.92753381701</v>
      </c>
      <c r="X114" s="138"/>
      <c r="Y114" s="157"/>
      <c r="Z114" s="157"/>
    </row>
    <row r="116" spans="1:26" s="125" customFormat="1" ht="16.5" x14ac:dyDescent="0.35">
      <c r="A116" s="461">
        <v>12</v>
      </c>
      <c r="B116" s="127" t="s">
        <v>559</v>
      </c>
      <c r="C116" s="611"/>
      <c r="D116" s="179"/>
      <c r="E116" s="179"/>
      <c r="F116" s="179"/>
      <c r="G116" s="179"/>
      <c r="H116" s="179"/>
      <c r="I116" s="179"/>
      <c r="J116" s="179"/>
      <c r="K116" s="179"/>
      <c r="L116" s="179"/>
      <c r="M116" s="179"/>
      <c r="N116" s="179"/>
      <c r="O116" s="179"/>
      <c r="R116" s="149"/>
      <c r="S116" s="150"/>
      <c r="T116" s="569" t="s">
        <v>559</v>
      </c>
      <c r="U116" s="181"/>
      <c r="V116" s="150"/>
      <c r="Y116" s="157"/>
      <c r="Z116" s="157"/>
    </row>
    <row r="117" spans="1:26" s="125" customFormat="1" x14ac:dyDescent="0.25">
      <c r="A117" s="461"/>
      <c r="B117" s="130" t="s">
        <v>337</v>
      </c>
      <c r="C117" s="186" t="s">
        <v>977</v>
      </c>
      <c r="D117" s="131">
        <v>41821</v>
      </c>
      <c r="E117" s="131">
        <v>41852</v>
      </c>
      <c r="F117" s="131">
        <v>41883</v>
      </c>
      <c r="G117" s="131">
        <v>41913</v>
      </c>
      <c r="H117" s="131">
        <v>41944</v>
      </c>
      <c r="I117" s="131">
        <v>41974</v>
      </c>
      <c r="J117" s="131">
        <v>42005</v>
      </c>
      <c r="K117" s="131">
        <v>42036</v>
      </c>
      <c r="L117" s="131">
        <v>42064</v>
      </c>
      <c r="M117" s="131">
        <v>42095</v>
      </c>
      <c r="N117" s="131">
        <v>42125</v>
      </c>
      <c r="O117" s="131">
        <v>42156</v>
      </c>
      <c r="P117" s="451">
        <v>42186</v>
      </c>
      <c r="Q117" s="553">
        <v>42217</v>
      </c>
      <c r="R117" s="131">
        <v>42261</v>
      </c>
      <c r="S117" s="132"/>
      <c r="T117" s="133" t="s">
        <v>338</v>
      </c>
      <c r="U117" s="134" t="s">
        <v>339</v>
      </c>
      <c r="V117" s="132"/>
      <c r="W117" s="133" t="s">
        <v>338</v>
      </c>
      <c r="X117" s="134" t="s">
        <v>339</v>
      </c>
      <c r="Y117" s="157"/>
      <c r="Z117" s="157"/>
    </row>
    <row r="118" spans="1:26" s="125" customFormat="1" x14ac:dyDescent="0.25">
      <c r="A118" s="461"/>
      <c r="B118" s="135" t="s">
        <v>340</v>
      </c>
      <c r="C118" s="612"/>
      <c r="D118" s="160">
        <v>173700</v>
      </c>
      <c r="E118" s="160">
        <v>171400</v>
      </c>
      <c r="F118" s="160">
        <v>202200</v>
      </c>
      <c r="G118" s="160">
        <v>153000</v>
      </c>
      <c r="H118" s="160">
        <v>136900</v>
      </c>
      <c r="I118" s="160">
        <v>161700</v>
      </c>
      <c r="J118" s="160">
        <v>160600</v>
      </c>
      <c r="K118" s="160">
        <v>155100</v>
      </c>
      <c r="L118" s="160">
        <v>146400</v>
      </c>
      <c r="M118" s="160">
        <v>119900</v>
      </c>
      <c r="N118" s="160">
        <v>166900</v>
      </c>
      <c r="O118" s="160">
        <v>178000</v>
      </c>
      <c r="P118" s="456"/>
      <c r="Q118" s="554"/>
      <c r="T118" s="137">
        <f>SUM(C118:Q118)</f>
        <v>1925800</v>
      </c>
      <c r="U118" s="138" t="s">
        <v>341</v>
      </c>
      <c r="V118" s="139"/>
      <c r="W118" s="140">
        <f>T118*3413/1000000</f>
        <v>6572.7554</v>
      </c>
      <c r="X118" s="138" t="s">
        <v>342</v>
      </c>
      <c r="Y118" s="157"/>
      <c r="Z118" s="157"/>
    </row>
    <row r="119" spans="1:26" s="125" customFormat="1" x14ac:dyDescent="0.25">
      <c r="A119" s="461"/>
      <c r="B119" s="135" t="s">
        <v>372</v>
      </c>
      <c r="C119" s="612"/>
      <c r="D119" s="160">
        <v>1898</v>
      </c>
      <c r="E119" s="160">
        <v>1719</v>
      </c>
      <c r="F119" s="160">
        <v>1966</v>
      </c>
      <c r="G119" s="160">
        <v>2064</v>
      </c>
      <c r="H119" s="160">
        <v>2100</v>
      </c>
      <c r="I119" s="160">
        <v>2587</v>
      </c>
      <c r="J119" s="160">
        <v>2456</v>
      </c>
      <c r="K119" s="160">
        <v>2408</v>
      </c>
      <c r="L119" s="160">
        <v>2827</v>
      </c>
      <c r="M119" s="160">
        <v>2648</v>
      </c>
      <c r="N119" s="160">
        <v>2193</v>
      </c>
      <c r="O119" s="160">
        <v>2219</v>
      </c>
      <c r="P119" s="456"/>
      <c r="Q119" s="554"/>
      <c r="T119" s="137">
        <f>SUM(C119:Q119)</f>
        <v>27085</v>
      </c>
      <c r="U119" s="138" t="s">
        <v>354</v>
      </c>
      <c r="V119" s="139"/>
      <c r="W119" s="140">
        <f>T119*99976.124488/1000000</f>
        <v>2707.8533317574802</v>
      </c>
      <c r="X119" s="138" t="s">
        <v>342</v>
      </c>
      <c r="Y119" s="495">
        <f>W118+W119</f>
        <v>9280.6087317574802</v>
      </c>
      <c r="Z119" s="153" t="s">
        <v>677</v>
      </c>
    </row>
    <row r="120" spans="1:26" s="125" customFormat="1" x14ac:dyDescent="0.25">
      <c r="A120" s="461"/>
      <c r="B120" s="135" t="s">
        <v>322</v>
      </c>
      <c r="C120" s="201"/>
      <c r="D120" s="160">
        <v>248353</v>
      </c>
      <c r="E120" s="160">
        <v>276779</v>
      </c>
      <c r="F120" s="160">
        <v>301464</v>
      </c>
      <c r="G120" s="160">
        <v>261070</v>
      </c>
      <c r="H120" s="160">
        <v>308945</v>
      </c>
      <c r="I120" s="160">
        <v>267054</v>
      </c>
      <c r="J120" s="160">
        <v>365049</v>
      </c>
      <c r="K120" s="160">
        <v>323906</v>
      </c>
      <c r="L120" s="160">
        <v>362057</v>
      </c>
      <c r="M120" s="160">
        <v>300716</v>
      </c>
      <c r="N120" s="160">
        <v>387490</v>
      </c>
      <c r="O120" s="160">
        <v>306701</v>
      </c>
      <c r="P120" s="456"/>
      <c r="Q120" s="554"/>
      <c r="T120" s="137">
        <f>SUM(C120:Q120)</f>
        <v>3709584</v>
      </c>
      <c r="U120" s="138" t="s">
        <v>346</v>
      </c>
      <c r="V120" s="139"/>
      <c r="W120" s="137">
        <f>T120</f>
        <v>3709584</v>
      </c>
      <c r="X120" s="138" t="s">
        <v>346</v>
      </c>
      <c r="Y120" s="157"/>
      <c r="Z120" s="157"/>
    </row>
    <row r="121" spans="1:26" s="125" customFormat="1" x14ac:dyDescent="0.25">
      <c r="A121" s="461"/>
      <c r="B121" s="135" t="s">
        <v>324</v>
      </c>
      <c r="C121" s="613"/>
      <c r="D121" s="171">
        <v>13329.99</v>
      </c>
      <c r="E121" s="142">
        <v>13121.53</v>
      </c>
      <c r="F121" s="142">
        <v>15209.35</v>
      </c>
      <c r="G121" s="142">
        <v>11819.42</v>
      </c>
      <c r="H121" s="142">
        <v>10615.14</v>
      </c>
      <c r="I121" s="142">
        <v>12709.56</v>
      </c>
      <c r="J121" s="142">
        <v>12463.86</v>
      </c>
      <c r="K121" s="142">
        <v>11939.57</v>
      </c>
      <c r="L121" s="142">
        <v>12358.56</v>
      </c>
      <c r="M121" s="142">
        <v>10139.299999999999</v>
      </c>
      <c r="N121" s="142">
        <v>13776.57</v>
      </c>
      <c r="O121" s="142">
        <v>14631.04</v>
      </c>
      <c r="P121" s="176"/>
      <c r="Q121" s="184"/>
      <c r="T121" s="143">
        <f>SUM(C121:Q121)</f>
        <v>152113.89000000001</v>
      </c>
      <c r="U121" s="138"/>
      <c r="V121" s="139"/>
      <c r="W121" s="143">
        <f>T121</f>
        <v>152113.89000000001</v>
      </c>
      <c r="X121" s="138"/>
      <c r="Y121" s="157"/>
      <c r="Z121" s="157"/>
    </row>
    <row r="122" spans="1:26" s="125" customFormat="1" ht="16.5" x14ac:dyDescent="0.35">
      <c r="A122" s="461"/>
      <c r="B122" s="144" t="s">
        <v>374</v>
      </c>
      <c r="C122" s="611"/>
      <c r="D122" s="171">
        <v>1688.33</v>
      </c>
      <c r="E122" s="145">
        <v>1533.74</v>
      </c>
      <c r="F122" s="145">
        <v>1746.79</v>
      </c>
      <c r="G122" s="145">
        <v>1820.97</v>
      </c>
      <c r="H122" s="145">
        <v>1674.26</v>
      </c>
      <c r="I122" s="145">
        <v>2036.34</v>
      </c>
      <c r="J122" s="145">
        <v>1937.51</v>
      </c>
      <c r="K122" s="145">
        <v>1784.45</v>
      </c>
      <c r="L122" s="145">
        <v>2024.33</v>
      </c>
      <c r="M122" s="145">
        <v>1905.52</v>
      </c>
      <c r="N122" s="145">
        <v>1587.16</v>
      </c>
      <c r="O122" s="145">
        <v>1605.37</v>
      </c>
      <c r="P122" s="179"/>
      <c r="Q122" s="184"/>
      <c r="T122" s="143">
        <f>SUM(C122:Q122)</f>
        <v>21344.77</v>
      </c>
      <c r="U122" s="138"/>
      <c r="V122" s="139"/>
      <c r="W122" s="146">
        <f>T122</f>
        <v>21344.77</v>
      </c>
      <c r="X122" s="138"/>
      <c r="Y122" s="157"/>
      <c r="Z122" s="157"/>
    </row>
    <row r="123" spans="1:26" s="125" customFormat="1" x14ac:dyDescent="0.25">
      <c r="A123" s="461"/>
      <c r="B123" s="180"/>
      <c r="C123" s="611"/>
      <c r="D123" s="179"/>
      <c r="E123" s="179"/>
      <c r="F123" s="179"/>
      <c r="G123" s="179"/>
      <c r="H123" s="179"/>
      <c r="I123" s="179"/>
      <c r="J123" s="179"/>
      <c r="K123" s="179"/>
      <c r="L123" s="179"/>
      <c r="M123" s="179"/>
      <c r="N123" s="179"/>
      <c r="O123" s="179"/>
      <c r="T123" s="149"/>
      <c r="U123" s="150"/>
      <c r="V123" s="139"/>
      <c r="W123" s="143">
        <f>SUM(W121:W122)</f>
        <v>173458.66</v>
      </c>
      <c r="X123" s="138"/>
      <c r="Y123" s="157"/>
      <c r="Z123" s="157"/>
    </row>
    <row r="125" spans="1:26" s="128" customFormat="1" x14ac:dyDescent="0.25">
      <c r="A125" s="459">
        <v>13</v>
      </c>
      <c r="B125" s="127" t="s">
        <v>377</v>
      </c>
      <c r="C125" s="173"/>
      <c r="Q125" s="173"/>
      <c r="R125" s="129"/>
      <c r="T125" s="598" t="s">
        <v>377</v>
      </c>
      <c r="U125" s="129"/>
      <c r="Y125" s="166"/>
      <c r="Z125" s="166"/>
    </row>
    <row r="126" spans="1:26" s="128" customFormat="1" x14ac:dyDescent="0.25">
      <c r="A126" s="459"/>
      <c r="B126" s="130" t="s">
        <v>337</v>
      </c>
      <c r="C126" s="186" t="s">
        <v>977</v>
      </c>
      <c r="D126" s="131">
        <v>41821</v>
      </c>
      <c r="E126" s="131">
        <v>41852</v>
      </c>
      <c r="F126" s="131">
        <v>41883</v>
      </c>
      <c r="G126" s="131">
        <v>41913</v>
      </c>
      <c r="H126" s="131">
        <v>41944</v>
      </c>
      <c r="I126" s="131">
        <v>41974</v>
      </c>
      <c r="J126" s="131">
        <v>42005</v>
      </c>
      <c r="K126" s="131">
        <v>42036</v>
      </c>
      <c r="L126" s="131">
        <v>42064</v>
      </c>
      <c r="M126" s="131">
        <v>42095</v>
      </c>
      <c r="N126" s="131">
        <v>42125</v>
      </c>
      <c r="O126" s="131">
        <v>42156</v>
      </c>
      <c r="P126" s="131">
        <v>42186</v>
      </c>
      <c r="Q126" s="151">
        <v>42217</v>
      </c>
      <c r="R126" s="131">
        <v>42261</v>
      </c>
      <c r="S126" s="132"/>
      <c r="T126" s="133" t="s">
        <v>338</v>
      </c>
      <c r="U126" s="134" t="s">
        <v>339</v>
      </c>
      <c r="V126" s="132"/>
      <c r="W126" s="133" t="s">
        <v>338</v>
      </c>
      <c r="X126" s="134" t="s">
        <v>339</v>
      </c>
      <c r="Y126" s="166"/>
      <c r="Z126" s="166"/>
    </row>
    <row r="127" spans="1:26" s="128" customFormat="1" x14ac:dyDescent="0.25">
      <c r="A127" s="459"/>
      <c r="B127" s="204" t="s">
        <v>340</v>
      </c>
      <c r="C127" s="173"/>
      <c r="E127" s="136">
        <v>60672</v>
      </c>
      <c r="F127" s="136">
        <v>58872</v>
      </c>
      <c r="G127" s="136">
        <v>52676</v>
      </c>
      <c r="H127" s="136">
        <v>41202</v>
      </c>
      <c r="I127" s="136">
        <v>38303</v>
      </c>
      <c r="J127" s="136">
        <v>41087</v>
      </c>
      <c r="K127" s="136">
        <v>39456</v>
      </c>
      <c r="L127" s="136">
        <v>46614</v>
      </c>
      <c r="M127" s="136">
        <v>46234</v>
      </c>
      <c r="N127" s="136">
        <v>50102</v>
      </c>
      <c r="O127" s="136">
        <v>62826</v>
      </c>
      <c r="P127" s="136">
        <v>63061</v>
      </c>
      <c r="T127" s="170">
        <f>SUM(E127:P127)</f>
        <v>601105</v>
      </c>
      <c r="U127" s="162" t="s">
        <v>341</v>
      </c>
      <c r="V127" s="163"/>
      <c r="W127" s="164">
        <f>T127*3413/1000000</f>
        <v>2051.5713649999998</v>
      </c>
      <c r="X127" s="162" t="s">
        <v>342</v>
      </c>
      <c r="Y127" s="166"/>
      <c r="Z127" s="166"/>
    </row>
    <row r="128" spans="1:26" s="128" customFormat="1" x14ac:dyDescent="0.25">
      <c r="A128" s="459"/>
      <c r="B128" s="204" t="s">
        <v>1092</v>
      </c>
      <c r="C128" s="173"/>
      <c r="E128" s="136">
        <v>1.28</v>
      </c>
      <c r="F128" s="165">
        <v>2.15</v>
      </c>
      <c r="G128" s="165">
        <v>5.26</v>
      </c>
      <c r="H128" s="165">
        <v>12.87</v>
      </c>
      <c r="I128" s="165">
        <v>11.43</v>
      </c>
      <c r="J128" s="165">
        <v>17.670000000000002</v>
      </c>
      <c r="K128" s="165">
        <v>21.27</v>
      </c>
      <c r="L128" s="165">
        <v>7.99</v>
      </c>
      <c r="M128" s="165">
        <v>5.36</v>
      </c>
      <c r="N128" s="165">
        <v>1.97</v>
      </c>
      <c r="O128" s="165">
        <v>0.65</v>
      </c>
      <c r="P128" s="165">
        <v>0.68</v>
      </c>
      <c r="T128" s="170">
        <f>SUM(E128:P128)</f>
        <v>88.58</v>
      </c>
      <c r="U128" s="162" t="s">
        <v>665</v>
      </c>
      <c r="V128" s="163"/>
      <c r="W128" s="164">
        <f>T128*99976.124488/1000000</f>
        <v>8.8558851071470404</v>
      </c>
      <c r="X128" s="162" t="s">
        <v>342</v>
      </c>
      <c r="Y128" s="1093">
        <f>W127+W128</f>
        <v>2060.4272501071468</v>
      </c>
      <c r="Z128" s="165" t="s">
        <v>677</v>
      </c>
    </row>
    <row r="129" spans="1:26" s="128" customFormat="1" x14ac:dyDescent="0.25">
      <c r="A129" s="459"/>
      <c r="B129" s="204" t="s">
        <v>1007</v>
      </c>
      <c r="C129" s="173"/>
      <c r="E129" s="1094">
        <v>56.1</v>
      </c>
      <c r="F129" s="1094">
        <v>61.9</v>
      </c>
      <c r="G129" s="1094">
        <v>48.4</v>
      </c>
      <c r="H129" s="1094">
        <v>38.700000000000003</v>
      </c>
      <c r="I129" s="1094">
        <v>15.5</v>
      </c>
      <c r="J129" s="1094">
        <v>58</v>
      </c>
      <c r="K129" s="1094">
        <v>46.4</v>
      </c>
      <c r="L129" s="1094">
        <v>48.4</v>
      </c>
      <c r="M129" s="1094">
        <v>40.6</v>
      </c>
      <c r="N129" s="1094">
        <v>13.5</v>
      </c>
      <c r="O129" s="1094">
        <v>15.5</v>
      </c>
      <c r="P129" s="1094">
        <v>11.57</v>
      </c>
      <c r="T129" s="170">
        <f>SUM(E129:P129)</f>
        <v>454.57</v>
      </c>
      <c r="U129" s="162" t="s">
        <v>379</v>
      </c>
      <c r="V129" s="163" t="s">
        <v>38</v>
      </c>
      <c r="W129" s="164">
        <f>T129*748</f>
        <v>340018.36</v>
      </c>
      <c r="X129" s="162" t="s">
        <v>346</v>
      </c>
      <c r="Y129" s="166"/>
      <c r="Z129" s="166"/>
    </row>
    <row r="130" spans="1:26" s="128" customFormat="1" x14ac:dyDescent="0.25">
      <c r="A130" s="459"/>
      <c r="B130" s="204" t="s">
        <v>324</v>
      </c>
      <c r="C130" s="173"/>
      <c r="E130" s="775">
        <v>7985</v>
      </c>
      <c r="F130" s="775">
        <v>8153</v>
      </c>
      <c r="G130" s="775">
        <v>6422</v>
      </c>
      <c r="H130" s="775">
        <v>5048</v>
      </c>
      <c r="I130" s="775">
        <v>4407</v>
      </c>
      <c r="J130" s="775">
        <v>5081</v>
      </c>
      <c r="K130" s="775">
        <v>4047</v>
      </c>
      <c r="L130" s="775">
        <v>5306</v>
      </c>
      <c r="M130" s="775">
        <v>6614</v>
      </c>
      <c r="N130" s="775">
        <v>6576</v>
      </c>
      <c r="O130" s="775">
        <v>8175</v>
      </c>
      <c r="P130" s="775">
        <v>8246</v>
      </c>
      <c r="T130" s="1095">
        <f>SUM(E130:P130)</f>
        <v>76060</v>
      </c>
      <c r="U130" s="162"/>
      <c r="V130" s="163"/>
      <c r="W130" s="1095">
        <f>T130</f>
        <v>76060</v>
      </c>
      <c r="X130" s="162"/>
      <c r="Y130" s="166"/>
      <c r="Z130" s="166"/>
    </row>
    <row r="131" spans="1:26" s="128" customFormat="1" ht="16.5" x14ac:dyDescent="0.35">
      <c r="A131" s="459"/>
      <c r="B131" s="204" t="s">
        <v>381</v>
      </c>
      <c r="C131" s="173"/>
      <c r="E131" s="1264">
        <v>185.13</v>
      </c>
      <c r="F131" s="1264">
        <v>292.33</v>
      </c>
      <c r="G131" s="1264">
        <v>670.57</v>
      </c>
      <c r="H131" s="1264">
        <v>1463</v>
      </c>
      <c r="I131" s="1264">
        <v>1313</v>
      </c>
      <c r="J131" s="1264">
        <v>1963</v>
      </c>
      <c r="K131" s="1264">
        <v>2337</v>
      </c>
      <c r="L131" s="1264">
        <v>955</v>
      </c>
      <c r="M131" s="1264">
        <v>653</v>
      </c>
      <c r="N131" s="1264">
        <v>248</v>
      </c>
      <c r="O131" s="1264">
        <v>104</v>
      </c>
      <c r="P131" s="1264">
        <v>107.07</v>
      </c>
      <c r="T131" s="1095">
        <f>SUM(E131:P131)</f>
        <v>10291.099999999999</v>
      </c>
      <c r="U131" s="162"/>
      <c r="V131" s="163"/>
      <c r="W131" s="1096">
        <f>T131</f>
        <v>10291.099999999999</v>
      </c>
      <c r="X131" s="162"/>
      <c r="Y131" s="166"/>
      <c r="Z131" s="166"/>
    </row>
    <row r="132" spans="1:26" s="125" customFormat="1" x14ac:dyDescent="0.25">
      <c r="A132" s="463"/>
      <c r="B132" s="157"/>
      <c r="C132" s="446"/>
      <c r="D132" s="185"/>
      <c r="E132" s="185"/>
      <c r="F132" s="185"/>
      <c r="G132" s="185"/>
      <c r="H132" s="185"/>
      <c r="I132" s="185"/>
      <c r="J132" s="185"/>
      <c r="K132" s="185"/>
      <c r="L132" s="185"/>
      <c r="M132" s="185"/>
      <c r="N132" s="185"/>
      <c r="T132" s="149"/>
      <c r="U132" s="150"/>
      <c r="V132" s="139"/>
      <c r="W132" s="143">
        <f>SUM(W130:W131)</f>
        <v>86351.1</v>
      </c>
      <c r="X132" s="150"/>
      <c r="Y132" s="157"/>
      <c r="Z132" s="157"/>
    </row>
    <row r="133" spans="1:26" s="157" customFormat="1" x14ac:dyDescent="0.25">
      <c r="A133" s="461"/>
      <c r="C133" s="599"/>
      <c r="R133" s="182"/>
      <c r="U133" s="182"/>
    </row>
    <row r="134" spans="1:26" s="125" customFormat="1" x14ac:dyDescent="0.25">
      <c r="A134" s="461">
        <v>14</v>
      </c>
      <c r="B134" s="148" t="s">
        <v>396</v>
      </c>
      <c r="C134" s="152"/>
      <c r="D134" s="157"/>
      <c r="S134" s="126"/>
      <c r="T134" s="148" t="s">
        <v>396</v>
      </c>
      <c r="V134" s="126"/>
      <c r="Y134" s="157"/>
      <c r="Z134" s="157"/>
    </row>
    <row r="135" spans="1:26" s="125" customFormat="1" x14ac:dyDescent="0.25">
      <c r="A135" s="461"/>
      <c r="B135" s="130" t="s">
        <v>337</v>
      </c>
      <c r="C135" s="186" t="s">
        <v>977</v>
      </c>
      <c r="D135" s="131">
        <v>41821</v>
      </c>
      <c r="E135" s="131">
        <v>41852</v>
      </c>
      <c r="F135" s="131">
        <v>41883</v>
      </c>
      <c r="G135" s="131">
        <v>41913</v>
      </c>
      <c r="H135" s="131">
        <v>41944</v>
      </c>
      <c r="I135" s="131">
        <v>41974</v>
      </c>
      <c r="J135" s="131">
        <v>42005</v>
      </c>
      <c r="K135" s="131">
        <v>42036</v>
      </c>
      <c r="L135" s="131">
        <v>42064</v>
      </c>
      <c r="M135" s="131">
        <v>42095</v>
      </c>
      <c r="N135" s="131">
        <v>42125</v>
      </c>
      <c r="O135" s="131">
        <v>42156</v>
      </c>
      <c r="P135" s="131">
        <v>42186</v>
      </c>
      <c r="Q135" s="131">
        <v>42217</v>
      </c>
      <c r="R135" s="131">
        <v>42261</v>
      </c>
      <c r="S135" s="132"/>
      <c r="T135" s="133" t="s">
        <v>338</v>
      </c>
      <c r="U135" s="134" t="s">
        <v>339</v>
      </c>
      <c r="V135" s="132"/>
      <c r="W135" s="133" t="s">
        <v>338</v>
      </c>
      <c r="X135" s="134" t="s">
        <v>339</v>
      </c>
      <c r="Y135" s="157"/>
      <c r="Z135" s="157"/>
    </row>
    <row r="136" spans="1:26" s="157" customFormat="1" x14ac:dyDescent="0.25">
      <c r="A136" s="461"/>
      <c r="B136" s="135" t="s">
        <v>319</v>
      </c>
      <c r="C136" s="599"/>
      <c r="E136" s="1247">
        <v>25182</v>
      </c>
      <c r="F136" s="136">
        <v>25236</v>
      </c>
      <c r="G136" s="136">
        <v>27426</v>
      </c>
      <c r="H136" s="136">
        <v>22419</v>
      </c>
      <c r="I136" s="136">
        <v>22341</v>
      </c>
      <c r="J136" s="136">
        <v>22298</v>
      </c>
      <c r="K136" s="136">
        <v>21389</v>
      </c>
      <c r="L136" s="136">
        <v>19621</v>
      </c>
      <c r="M136" s="136">
        <v>26668</v>
      </c>
      <c r="N136" s="136">
        <v>17996</v>
      </c>
      <c r="O136" s="136">
        <v>18459</v>
      </c>
      <c r="P136" s="1247">
        <v>18557</v>
      </c>
      <c r="Q136" s="174"/>
      <c r="T136" s="141">
        <f t="shared" ref="T136:T141" si="6">SUM(E136:P136)</f>
        <v>267592</v>
      </c>
      <c r="U136" s="188" t="s">
        <v>341</v>
      </c>
      <c r="W136" s="140">
        <f>T136*3413/1000000</f>
        <v>913.29149600000005</v>
      </c>
      <c r="X136" s="138" t="s">
        <v>342</v>
      </c>
    </row>
    <row r="137" spans="1:26" s="157" customFormat="1" x14ac:dyDescent="0.25">
      <c r="A137" s="461"/>
      <c r="B137" s="135" t="s">
        <v>320</v>
      </c>
      <c r="C137" s="599"/>
      <c r="E137" s="1247">
        <v>9290</v>
      </c>
      <c r="F137" s="137">
        <v>11270</v>
      </c>
      <c r="G137" s="137">
        <v>17980</v>
      </c>
      <c r="H137" s="137">
        <v>109290</v>
      </c>
      <c r="I137" s="136">
        <v>109540</v>
      </c>
      <c r="J137" s="136">
        <v>116840</v>
      </c>
      <c r="K137" s="136">
        <v>148210</v>
      </c>
      <c r="L137" s="136">
        <v>29320</v>
      </c>
      <c r="M137" s="136">
        <v>14890</v>
      </c>
      <c r="N137" s="136">
        <v>3930</v>
      </c>
      <c r="O137" s="136">
        <v>7960</v>
      </c>
      <c r="P137" s="1247">
        <v>5030</v>
      </c>
      <c r="Q137" s="174"/>
      <c r="T137" s="141">
        <f t="shared" si="6"/>
        <v>583550</v>
      </c>
      <c r="U137" s="188" t="s">
        <v>344</v>
      </c>
      <c r="W137" s="160">
        <f>T137/1000</f>
        <v>583.54999999999995</v>
      </c>
      <c r="X137" s="138" t="s">
        <v>342</v>
      </c>
    </row>
    <row r="138" spans="1:26" s="157" customFormat="1" x14ac:dyDescent="0.25">
      <c r="A138" s="461"/>
      <c r="B138" s="192" t="s">
        <v>323</v>
      </c>
      <c r="C138" s="599"/>
      <c r="E138" s="1248">
        <v>28341</v>
      </c>
      <c r="F138" s="141">
        <v>23764</v>
      </c>
      <c r="G138" s="141">
        <v>17575</v>
      </c>
      <c r="H138" s="141">
        <v>10474</v>
      </c>
      <c r="I138" s="141">
        <v>9538</v>
      </c>
      <c r="J138" s="141">
        <v>6006</v>
      </c>
      <c r="K138" s="141">
        <v>4472</v>
      </c>
      <c r="L138" s="141">
        <v>8930</v>
      </c>
      <c r="M138" s="141">
        <v>14827</v>
      </c>
      <c r="N138" s="141">
        <v>18012</v>
      </c>
      <c r="O138" s="141">
        <v>24276</v>
      </c>
      <c r="P138" s="1248">
        <v>20523</v>
      </c>
      <c r="Q138" s="178"/>
      <c r="T138" s="141">
        <f t="shared" si="6"/>
        <v>186738</v>
      </c>
      <c r="U138" s="188" t="s">
        <v>397</v>
      </c>
      <c r="W138" s="193">
        <f>T138*0.012</f>
        <v>2240.8560000000002</v>
      </c>
      <c r="X138" s="138" t="s">
        <v>342</v>
      </c>
      <c r="Y138" s="495">
        <f>W136+W137+W138</f>
        <v>3737.6974960000002</v>
      </c>
      <c r="Z138" s="153" t="s">
        <v>677</v>
      </c>
    </row>
    <row r="139" spans="1:26" s="157" customFormat="1" x14ac:dyDescent="0.25">
      <c r="A139" s="461"/>
      <c r="B139" s="135" t="s">
        <v>345</v>
      </c>
      <c r="C139" s="599"/>
      <c r="E139" s="1248">
        <v>47500</v>
      </c>
      <c r="F139" s="141">
        <v>62200</v>
      </c>
      <c r="G139" s="141">
        <v>51000</v>
      </c>
      <c r="H139" s="141">
        <v>44300</v>
      </c>
      <c r="I139" s="141">
        <v>19000</v>
      </c>
      <c r="J139" s="141">
        <v>42600</v>
      </c>
      <c r="K139" s="141">
        <v>52200</v>
      </c>
      <c r="L139" s="141">
        <v>45200</v>
      </c>
      <c r="M139" s="141">
        <v>52300</v>
      </c>
      <c r="N139" s="141">
        <v>15200</v>
      </c>
      <c r="O139" s="141">
        <v>21300</v>
      </c>
      <c r="P139" s="1248">
        <v>10800</v>
      </c>
      <c r="Q139" s="178"/>
      <c r="T139" s="141">
        <f t="shared" si="6"/>
        <v>463600</v>
      </c>
      <c r="U139" s="188" t="s">
        <v>346</v>
      </c>
      <c r="W139" s="141">
        <f>T139</f>
        <v>463600</v>
      </c>
      <c r="X139" s="188" t="s">
        <v>346</v>
      </c>
    </row>
    <row r="140" spans="1:26" s="157" customFormat="1" x14ac:dyDescent="0.25">
      <c r="A140" s="461"/>
      <c r="B140" s="135" t="s">
        <v>324</v>
      </c>
      <c r="C140" s="599"/>
      <c r="E140" s="1249">
        <v>1708.09</v>
      </c>
      <c r="F140" s="142">
        <v>1806.6</v>
      </c>
      <c r="G140" s="142">
        <v>2051.0700000000002</v>
      </c>
      <c r="H140" s="142">
        <v>1351.18</v>
      </c>
      <c r="I140" s="142">
        <v>1372.39</v>
      </c>
      <c r="J140" s="142">
        <v>1346.37</v>
      </c>
      <c r="K140" s="142">
        <v>1259.52</v>
      </c>
      <c r="L140" s="142">
        <v>1219.31</v>
      </c>
      <c r="M140" s="142">
        <v>1543.43</v>
      </c>
      <c r="N140" s="142">
        <v>1041.53</v>
      </c>
      <c r="O140" s="142">
        <v>1211.79</v>
      </c>
      <c r="P140" s="1249">
        <v>1074</v>
      </c>
      <c r="Q140" s="176"/>
      <c r="T140" s="171">
        <f t="shared" si="6"/>
        <v>16985.280000000002</v>
      </c>
      <c r="U140" s="188"/>
      <c r="W140" s="190">
        <f>T140</f>
        <v>16985.280000000002</v>
      </c>
      <c r="X140" s="188"/>
    </row>
    <row r="141" spans="1:26" s="157" customFormat="1" x14ac:dyDescent="0.25">
      <c r="A141" s="461"/>
      <c r="B141" s="195" t="s">
        <v>326</v>
      </c>
      <c r="C141" s="599"/>
      <c r="E141" s="1250">
        <v>72.58</v>
      </c>
      <c r="F141" s="156">
        <v>88.05</v>
      </c>
      <c r="G141" s="156">
        <v>140.47999999999999</v>
      </c>
      <c r="H141" s="156">
        <v>853.89</v>
      </c>
      <c r="I141" s="171">
        <v>855.85</v>
      </c>
      <c r="J141" s="171">
        <v>912.88</v>
      </c>
      <c r="K141" s="171">
        <v>1157.98</v>
      </c>
      <c r="L141" s="171">
        <v>229.08</v>
      </c>
      <c r="M141" s="171">
        <v>116.34</v>
      </c>
      <c r="N141" s="171">
        <v>30.71</v>
      </c>
      <c r="O141" s="171">
        <v>62.2</v>
      </c>
      <c r="P141" s="1250">
        <v>39.299999999999997</v>
      </c>
      <c r="Q141" s="1058"/>
      <c r="T141" s="171">
        <f t="shared" si="6"/>
        <v>4559.34</v>
      </c>
      <c r="U141" s="188"/>
      <c r="W141" s="190">
        <f>T141</f>
        <v>4559.34</v>
      </c>
      <c r="X141" s="188"/>
    </row>
    <row r="142" spans="1:26" s="157" customFormat="1" ht="16.5" x14ac:dyDescent="0.35">
      <c r="A142" s="461"/>
      <c r="B142" s="195" t="s">
        <v>398</v>
      </c>
      <c r="C142" s="599" t="s">
        <v>321</v>
      </c>
      <c r="E142" s="1092"/>
      <c r="F142" s="198"/>
      <c r="G142" s="198"/>
      <c r="H142" s="198"/>
      <c r="I142" s="198"/>
      <c r="J142" s="198"/>
      <c r="K142" s="198"/>
      <c r="L142" s="198"/>
      <c r="M142" s="198"/>
      <c r="N142" s="198"/>
      <c r="O142" s="198"/>
      <c r="P142" s="198"/>
      <c r="Q142" s="446"/>
      <c r="T142" s="171">
        <f>SUM(F142:Q142)</f>
        <v>0</v>
      </c>
      <c r="U142" s="188"/>
      <c r="W142" s="197">
        <f>T142</f>
        <v>0</v>
      </c>
      <c r="X142" s="188"/>
    </row>
    <row r="143" spans="1:26" s="157" customFormat="1" x14ac:dyDescent="0.25">
      <c r="A143" s="461"/>
      <c r="B143" s="200"/>
      <c r="C143" s="599"/>
      <c r="E143" s="446"/>
      <c r="F143" s="600"/>
      <c r="G143" s="446"/>
      <c r="H143" s="446"/>
      <c r="I143" s="446"/>
      <c r="J143" s="446"/>
      <c r="K143" s="446"/>
      <c r="L143" s="446"/>
      <c r="M143" s="446"/>
      <c r="N143" s="446"/>
      <c r="O143" s="446"/>
      <c r="P143" s="446"/>
      <c r="Q143" s="194"/>
      <c r="T143" s="184"/>
      <c r="U143" s="199"/>
      <c r="W143" s="190">
        <f>SUM(W140:W142)</f>
        <v>21544.620000000003</v>
      </c>
      <c r="X143" s="188"/>
    </row>
    <row r="144" spans="1:26" s="125" customFormat="1" x14ac:dyDescent="0.25">
      <c r="A144" s="461"/>
      <c r="B144" s="200"/>
      <c r="C144" s="152"/>
      <c r="E144" s="201"/>
      <c r="F144" s="202"/>
      <c r="G144" s="202"/>
      <c r="H144" s="203"/>
      <c r="I144" s="203"/>
      <c r="J144" s="203"/>
      <c r="K144" s="203"/>
      <c r="L144" s="203"/>
      <c r="M144" s="203"/>
      <c r="N144" s="203"/>
      <c r="O144" s="203"/>
      <c r="P144" s="203"/>
      <c r="S144" s="126"/>
      <c r="V144" s="126"/>
      <c r="Y144" s="157"/>
      <c r="Z144" s="157"/>
    </row>
    <row r="145" spans="1:26" s="125" customFormat="1" x14ac:dyDescent="0.25">
      <c r="A145" s="461">
        <v>15</v>
      </c>
      <c r="B145" s="148" t="s">
        <v>560</v>
      </c>
      <c r="C145" s="152"/>
      <c r="S145" s="126"/>
      <c r="T145" s="148" t="s">
        <v>560</v>
      </c>
      <c r="V145" s="126"/>
      <c r="Y145" s="157"/>
      <c r="Z145" s="157"/>
    </row>
    <row r="146" spans="1:26" s="125" customFormat="1" x14ac:dyDescent="0.25">
      <c r="A146" s="461"/>
      <c r="B146" s="130" t="s">
        <v>337</v>
      </c>
      <c r="C146" s="186" t="s">
        <v>977</v>
      </c>
      <c r="D146" s="151">
        <v>41821</v>
      </c>
      <c r="E146" s="131">
        <v>41852</v>
      </c>
      <c r="F146" s="131">
        <v>41883</v>
      </c>
      <c r="G146" s="131">
        <v>41913</v>
      </c>
      <c r="H146" s="131">
        <v>41944</v>
      </c>
      <c r="I146" s="131">
        <v>41974</v>
      </c>
      <c r="J146" s="131">
        <v>42005</v>
      </c>
      <c r="K146" s="131">
        <v>42036</v>
      </c>
      <c r="L146" s="131">
        <v>42064</v>
      </c>
      <c r="M146" s="131">
        <v>42095</v>
      </c>
      <c r="N146" s="131">
        <v>42125</v>
      </c>
      <c r="O146" s="131">
        <v>42156</v>
      </c>
      <c r="P146" s="131">
        <v>42186</v>
      </c>
      <c r="Q146" s="131">
        <v>42217</v>
      </c>
      <c r="R146" s="131">
        <v>42261</v>
      </c>
      <c r="S146" s="132"/>
      <c r="T146" s="133" t="s">
        <v>338</v>
      </c>
      <c r="U146" s="134" t="s">
        <v>339</v>
      </c>
      <c r="V146" s="132"/>
      <c r="W146" s="133" t="s">
        <v>338</v>
      </c>
      <c r="X146" s="134" t="s">
        <v>339</v>
      </c>
      <c r="Y146" s="157"/>
      <c r="Z146" s="157"/>
    </row>
    <row r="147" spans="1:26" s="157" customFormat="1" x14ac:dyDescent="0.25">
      <c r="A147" s="461"/>
      <c r="B147" s="135" t="s">
        <v>319</v>
      </c>
      <c r="C147" s="599"/>
      <c r="E147" s="1247">
        <v>22964</v>
      </c>
      <c r="F147" s="136">
        <v>22523</v>
      </c>
      <c r="G147" s="136">
        <v>21812</v>
      </c>
      <c r="H147" s="136">
        <v>17902</v>
      </c>
      <c r="I147" s="136">
        <v>17834</v>
      </c>
      <c r="J147" s="136">
        <v>18258</v>
      </c>
      <c r="K147" s="136">
        <v>19041</v>
      </c>
      <c r="L147" s="136">
        <v>18479</v>
      </c>
      <c r="M147" s="136">
        <v>22274</v>
      </c>
      <c r="N147" s="136">
        <v>14896</v>
      </c>
      <c r="O147" s="136">
        <v>14053</v>
      </c>
      <c r="P147" s="1247">
        <v>15739</v>
      </c>
      <c r="Q147" s="174"/>
      <c r="T147" s="141">
        <f t="shared" ref="T147:T152" si="7">SUM(E147:P147)</f>
        <v>225775</v>
      </c>
      <c r="U147" s="188" t="s">
        <v>341</v>
      </c>
      <c r="W147" s="140">
        <f>T147*3413/1000000</f>
        <v>770.57007499999997</v>
      </c>
      <c r="X147" s="138" t="s">
        <v>342</v>
      </c>
    </row>
    <row r="148" spans="1:26" s="157" customFormat="1" x14ac:dyDescent="0.25">
      <c r="A148" s="461"/>
      <c r="B148" s="135" t="s">
        <v>320</v>
      </c>
      <c r="C148" s="599"/>
      <c r="E148" s="1247">
        <v>7620</v>
      </c>
      <c r="F148" s="137">
        <v>7720</v>
      </c>
      <c r="G148" s="137">
        <v>8150</v>
      </c>
      <c r="H148" s="137">
        <v>8080</v>
      </c>
      <c r="I148" s="136">
        <v>4490</v>
      </c>
      <c r="J148" s="136">
        <v>2190</v>
      </c>
      <c r="K148" s="136">
        <v>1990</v>
      </c>
      <c r="L148" s="136">
        <v>3970</v>
      </c>
      <c r="M148" s="136">
        <v>8830</v>
      </c>
      <c r="N148" s="136">
        <v>3510</v>
      </c>
      <c r="O148" s="136">
        <v>1760</v>
      </c>
      <c r="P148" s="1247">
        <v>2150</v>
      </c>
      <c r="Q148" s="174"/>
      <c r="T148" s="141">
        <f t="shared" si="7"/>
        <v>60460</v>
      </c>
      <c r="U148" s="188" t="s">
        <v>344</v>
      </c>
      <c r="W148" s="160">
        <f>T148/1000</f>
        <v>60.46</v>
      </c>
      <c r="X148" s="138" t="s">
        <v>342</v>
      </c>
    </row>
    <row r="149" spans="1:26" s="157" customFormat="1" x14ac:dyDescent="0.25">
      <c r="A149" s="461"/>
      <c r="B149" s="192" t="s">
        <v>323</v>
      </c>
      <c r="C149" s="599"/>
      <c r="E149" s="1248">
        <v>23987</v>
      </c>
      <c r="F149" s="141">
        <v>18955</v>
      </c>
      <c r="G149" s="141">
        <v>15893</v>
      </c>
      <c r="H149" s="141">
        <v>12571</v>
      </c>
      <c r="I149" s="141">
        <v>11494</v>
      </c>
      <c r="J149" s="141">
        <v>11455</v>
      </c>
      <c r="K149" s="141">
        <v>10102</v>
      </c>
      <c r="L149" s="141">
        <v>12252</v>
      </c>
      <c r="M149" s="141">
        <v>13560</v>
      </c>
      <c r="N149" s="141">
        <v>14870</v>
      </c>
      <c r="O149" s="141">
        <v>16792</v>
      </c>
      <c r="P149" s="1248">
        <v>18529</v>
      </c>
      <c r="Q149" s="178"/>
      <c r="T149" s="141">
        <f t="shared" si="7"/>
        <v>180460</v>
      </c>
      <c r="U149" s="188" t="s">
        <v>397</v>
      </c>
      <c r="W149" s="193">
        <f>T149*0.012</f>
        <v>2165.52</v>
      </c>
      <c r="X149" s="138" t="s">
        <v>342</v>
      </c>
      <c r="Y149" s="495">
        <f>W147+W148+W149</f>
        <v>2996.5500750000001</v>
      </c>
      <c r="Z149" s="153" t="s">
        <v>677</v>
      </c>
    </row>
    <row r="150" spans="1:26" s="157" customFormat="1" x14ac:dyDescent="0.25">
      <c r="A150" s="461"/>
      <c r="B150" s="135" t="s">
        <v>345</v>
      </c>
      <c r="C150" s="599"/>
      <c r="E150" s="1248">
        <v>32800</v>
      </c>
      <c r="F150" s="141">
        <v>53900</v>
      </c>
      <c r="G150" s="141">
        <v>47600</v>
      </c>
      <c r="H150" s="141">
        <v>42600</v>
      </c>
      <c r="I150" s="141">
        <v>13800</v>
      </c>
      <c r="J150" s="141">
        <v>42500</v>
      </c>
      <c r="K150" s="141">
        <v>59300</v>
      </c>
      <c r="L150" s="141">
        <v>85000</v>
      </c>
      <c r="M150" s="141">
        <v>62700</v>
      </c>
      <c r="N150" s="141">
        <v>18900</v>
      </c>
      <c r="O150" s="141">
        <v>2400</v>
      </c>
      <c r="P150" s="1248">
        <v>4400</v>
      </c>
      <c r="Q150" s="178"/>
      <c r="T150" s="141">
        <f t="shared" si="7"/>
        <v>465900</v>
      </c>
      <c r="U150" s="188" t="s">
        <v>346</v>
      </c>
      <c r="W150" s="141">
        <f>T150</f>
        <v>465900</v>
      </c>
      <c r="X150" s="188" t="s">
        <v>346</v>
      </c>
    </row>
    <row r="151" spans="1:26" s="157" customFormat="1" x14ac:dyDescent="0.25">
      <c r="A151" s="461"/>
      <c r="B151" s="135" t="s">
        <v>324</v>
      </c>
      <c r="C151" s="599"/>
      <c r="E151" s="1249">
        <v>1557.65</v>
      </c>
      <c r="F151" s="142">
        <v>1612.38</v>
      </c>
      <c r="G151" s="142">
        <v>1631.22</v>
      </c>
      <c r="H151" s="142">
        <v>1078.95</v>
      </c>
      <c r="I151" s="142">
        <v>1095.53</v>
      </c>
      <c r="J151" s="142">
        <v>1102.43</v>
      </c>
      <c r="K151" s="142">
        <v>1121.25</v>
      </c>
      <c r="L151" s="142">
        <v>1148.42</v>
      </c>
      <c r="M151" s="142">
        <v>1289.1300000000001</v>
      </c>
      <c r="N151" s="142">
        <v>862.12</v>
      </c>
      <c r="O151" s="142">
        <v>922.54</v>
      </c>
      <c r="P151" s="1249">
        <v>910.9</v>
      </c>
      <c r="Q151" s="176"/>
      <c r="T151" s="171">
        <f t="shared" si="7"/>
        <v>14332.519999999999</v>
      </c>
      <c r="U151" s="188"/>
      <c r="W151" s="190">
        <f>T151</f>
        <v>14332.519999999999</v>
      </c>
      <c r="X151" s="188"/>
    </row>
    <row r="152" spans="1:26" s="157" customFormat="1" x14ac:dyDescent="0.25">
      <c r="A152" s="461"/>
      <c r="B152" s="204" t="s">
        <v>326</v>
      </c>
      <c r="C152" s="599"/>
      <c r="E152" s="1250">
        <v>59.53</v>
      </c>
      <c r="F152" s="156">
        <v>60.32</v>
      </c>
      <c r="G152" s="156">
        <v>63.68</v>
      </c>
      <c r="H152" s="156">
        <v>63.13</v>
      </c>
      <c r="I152" s="171">
        <v>35.08</v>
      </c>
      <c r="J152" s="171">
        <v>17.11</v>
      </c>
      <c r="K152" s="171">
        <v>15.55</v>
      </c>
      <c r="L152" s="171">
        <v>31.02</v>
      </c>
      <c r="M152" s="171">
        <v>68.98</v>
      </c>
      <c r="N152" s="171">
        <v>27.42</v>
      </c>
      <c r="O152" s="171">
        <v>13.75</v>
      </c>
      <c r="P152" s="1250">
        <v>16.8</v>
      </c>
      <c r="Q152" s="1058"/>
      <c r="T152" s="171">
        <f t="shared" si="7"/>
        <v>472.37000000000006</v>
      </c>
      <c r="U152" s="188"/>
      <c r="W152" s="190">
        <f>T152</f>
        <v>472.37000000000006</v>
      </c>
      <c r="X152" s="188"/>
    </row>
    <row r="153" spans="1:26" s="157" customFormat="1" ht="16.5" x14ac:dyDescent="0.35">
      <c r="A153" s="461"/>
      <c r="B153" s="195" t="s">
        <v>398</v>
      </c>
      <c r="C153" s="599" t="s">
        <v>321</v>
      </c>
      <c r="E153" s="1092"/>
      <c r="F153" s="198"/>
      <c r="G153" s="198"/>
      <c r="H153" s="198"/>
      <c r="I153" s="198"/>
      <c r="J153" s="198"/>
      <c r="K153" s="198"/>
      <c r="L153" s="198"/>
      <c r="M153" s="198"/>
      <c r="N153" s="198"/>
      <c r="O153" s="198"/>
      <c r="P153" s="198"/>
      <c r="Q153" s="446"/>
      <c r="T153" s="171">
        <f>SUM(G153:Q153)</f>
        <v>0</v>
      </c>
      <c r="U153" s="188"/>
      <c r="W153" s="197">
        <f>T153</f>
        <v>0</v>
      </c>
      <c r="X153" s="188"/>
    </row>
    <row r="154" spans="1:26" s="125" customFormat="1" x14ac:dyDescent="0.25">
      <c r="A154" s="461"/>
      <c r="C154" s="599"/>
      <c r="D154" s="157"/>
      <c r="E154" s="446"/>
      <c r="F154" s="600"/>
      <c r="G154" s="446"/>
      <c r="H154" s="446"/>
      <c r="I154" s="446"/>
      <c r="J154" s="446"/>
      <c r="K154" s="446"/>
      <c r="L154" s="446"/>
      <c r="M154" s="446"/>
      <c r="N154" s="446"/>
      <c r="O154" s="446"/>
      <c r="P154" s="446"/>
      <c r="Q154" s="194"/>
      <c r="R154" s="157"/>
      <c r="S154" s="157"/>
      <c r="T154" s="184"/>
      <c r="U154" s="199"/>
      <c r="V154" s="157"/>
      <c r="W154" s="190">
        <f>SUM(W151:W153)</f>
        <v>14804.89</v>
      </c>
      <c r="X154" s="188"/>
      <c r="Y154" s="157"/>
      <c r="Z154" s="157"/>
    </row>
    <row r="155" spans="1:26" s="125" customFormat="1" x14ac:dyDescent="0.25">
      <c r="A155" s="461"/>
      <c r="C155" s="152"/>
      <c r="S155" s="126"/>
      <c r="U155" s="447"/>
      <c r="V155" s="126"/>
      <c r="Y155" s="157"/>
      <c r="Z155" s="157"/>
    </row>
    <row r="156" spans="1:26" s="125" customFormat="1" x14ac:dyDescent="0.25">
      <c r="A156" s="461">
        <v>16</v>
      </c>
      <c r="B156" s="148" t="s">
        <v>561</v>
      </c>
      <c r="C156" s="152"/>
      <c r="S156" s="126"/>
      <c r="T156" s="148" t="s">
        <v>561</v>
      </c>
      <c r="V156" s="126"/>
      <c r="Y156" s="157"/>
      <c r="Z156" s="157"/>
    </row>
    <row r="157" spans="1:26" s="125" customFormat="1" x14ac:dyDescent="0.25">
      <c r="A157" s="461"/>
      <c r="B157" s="130" t="s">
        <v>337</v>
      </c>
      <c r="C157" s="186" t="s">
        <v>977</v>
      </c>
      <c r="D157" s="151">
        <v>41821</v>
      </c>
      <c r="E157" s="131">
        <v>41852</v>
      </c>
      <c r="F157" s="131">
        <v>41883</v>
      </c>
      <c r="G157" s="131">
        <v>41913</v>
      </c>
      <c r="H157" s="131">
        <v>41944</v>
      </c>
      <c r="I157" s="131">
        <v>41974</v>
      </c>
      <c r="J157" s="131">
        <v>42005</v>
      </c>
      <c r="K157" s="131">
        <v>42036</v>
      </c>
      <c r="L157" s="131">
        <v>42064</v>
      </c>
      <c r="M157" s="131">
        <v>42095</v>
      </c>
      <c r="N157" s="131">
        <v>42125</v>
      </c>
      <c r="O157" s="131">
        <v>42156</v>
      </c>
      <c r="P157" s="131">
        <v>42186</v>
      </c>
      <c r="Q157" s="131">
        <v>42217</v>
      </c>
      <c r="R157" s="131">
        <v>42261</v>
      </c>
      <c r="S157" s="132"/>
      <c r="T157" s="133" t="s">
        <v>338</v>
      </c>
      <c r="U157" s="134" t="s">
        <v>339</v>
      </c>
      <c r="V157" s="132"/>
      <c r="W157" s="133" t="s">
        <v>338</v>
      </c>
      <c r="X157" s="134" t="s">
        <v>339</v>
      </c>
      <c r="Y157" s="157"/>
      <c r="Z157" s="157"/>
    </row>
    <row r="158" spans="1:26" s="157" customFormat="1" x14ac:dyDescent="0.25">
      <c r="A158" s="461"/>
      <c r="B158" s="135" t="s">
        <v>319</v>
      </c>
      <c r="C158" s="599"/>
      <c r="E158" s="1247">
        <v>24495</v>
      </c>
      <c r="F158" s="136">
        <v>25411</v>
      </c>
      <c r="G158" s="136">
        <v>26518</v>
      </c>
      <c r="H158" s="136">
        <v>22416</v>
      </c>
      <c r="I158" s="136">
        <v>21871</v>
      </c>
      <c r="J158" s="136">
        <v>21506</v>
      </c>
      <c r="K158" s="136">
        <v>22596</v>
      </c>
      <c r="L158" s="136">
        <v>22466</v>
      </c>
      <c r="M158" s="136">
        <v>27110</v>
      </c>
      <c r="N158" s="136">
        <v>18572</v>
      </c>
      <c r="O158" s="136">
        <v>18579</v>
      </c>
      <c r="P158" s="1247">
        <v>19064</v>
      </c>
      <c r="Q158" s="174"/>
      <c r="T158" s="141">
        <f t="shared" ref="T158:T163" si="8">SUM(E158:P158)</f>
        <v>270604</v>
      </c>
      <c r="U158" s="188" t="s">
        <v>341</v>
      </c>
      <c r="W158" s="140">
        <f>T158*3413/1000000</f>
        <v>923.57145200000002</v>
      </c>
      <c r="X158" s="138" t="s">
        <v>342</v>
      </c>
    </row>
    <row r="159" spans="1:26" s="157" customFormat="1" x14ac:dyDescent="0.25">
      <c r="A159" s="461"/>
      <c r="B159" s="135" t="s">
        <v>320</v>
      </c>
      <c r="C159" s="599"/>
      <c r="E159" s="1247">
        <v>17550</v>
      </c>
      <c r="F159" s="137">
        <v>12732</v>
      </c>
      <c r="G159" s="137">
        <v>9979</v>
      </c>
      <c r="H159" s="137">
        <v>38280</v>
      </c>
      <c r="I159" s="136">
        <v>39810</v>
      </c>
      <c r="J159" s="136">
        <v>43710</v>
      </c>
      <c r="K159" s="136">
        <v>41860</v>
      </c>
      <c r="L159" s="136">
        <v>36410</v>
      </c>
      <c r="M159" s="136">
        <v>31070</v>
      </c>
      <c r="N159" s="136">
        <v>24400</v>
      </c>
      <c r="O159" s="136">
        <v>25670</v>
      </c>
      <c r="P159" s="1247">
        <v>12939</v>
      </c>
      <c r="Q159" s="174"/>
      <c r="T159" s="141">
        <f t="shared" si="8"/>
        <v>334410</v>
      </c>
      <c r="U159" s="188" t="s">
        <v>344</v>
      </c>
      <c r="W159" s="160">
        <f>T159/1000</f>
        <v>334.41</v>
      </c>
      <c r="X159" s="138" t="s">
        <v>342</v>
      </c>
    </row>
    <row r="160" spans="1:26" s="157" customFormat="1" x14ac:dyDescent="0.25">
      <c r="A160" s="461"/>
      <c r="B160" s="192" t="s">
        <v>323</v>
      </c>
      <c r="C160" s="599"/>
      <c r="E160" s="1248">
        <v>20417</v>
      </c>
      <c r="F160" s="141">
        <v>18544</v>
      </c>
      <c r="G160" s="141">
        <v>13312</v>
      </c>
      <c r="H160" s="141">
        <v>7876</v>
      </c>
      <c r="I160" s="141">
        <v>6822</v>
      </c>
      <c r="J160" s="141">
        <v>5563</v>
      </c>
      <c r="K160" s="141">
        <v>3988</v>
      </c>
      <c r="L160" s="141">
        <v>8682</v>
      </c>
      <c r="M160" s="141">
        <v>11908</v>
      </c>
      <c r="N160" s="141">
        <v>12609</v>
      </c>
      <c r="O160" s="141">
        <v>16985</v>
      </c>
      <c r="P160" s="1248">
        <v>19231</v>
      </c>
      <c r="Q160" s="178"/>
      <c r="T160" s="141">
        <f t="shared" si="8"/>
        <v>145937</v>
      </c>
      <c r="U160" s="188" t="s">
        <v>397</v>
      </c>
      <c r="W160" s="160">
        <f>T160*0.012</f>
        <v>1751.2440000000001</v>
      </c>
      <c r="X160" s="138" t="s">
        <v>342</v>
      </c>
      <c r="Y160" s="495">
        <f>W158+W159+W160</f>
        <v>3009.2254520000001</v>
      </c>
      <c r="Z160" s="153" t="s">
        <v>677</v>
      </c>
    </row>
    <row r="161" spans="1:26" s="157" customFormat="1" x14ac:dyDescent="0.25">
      <c r="A161" s="461"/>
      <c r="B161" s="135" t="s">
        <v>345</v>
      </c>
      <c r="C161" s="599"/>
      <c r="E161" s="1248">
        <v>38200</v>
      </c>
      <c r="F161" s="141">
        <v>59400</v>
      </c>
      <c r="G161" s="141">
        <v>53900</v>
      </c>
      <c r="H161" s="141">
        <v>55900</v>
      </c>
      <c r="I161" s="141">
        <v>14100</v>
      </c>
      <c r="J161" s="141">
        <v>51700</v>
      </c>
      <c r="K161" s="141">
        <v>53200</v>
      </c>
      <c r="L161" s="141">
        <v>71000</v>
      </c>
      <c r="M161" s="141">
        <v>58900</v>
      </c>
      <c r="N161" s="141">
        <v>18000</v>
      </c>
      <c r="O161" s="141">
        <v>37200</v>
      </c>
      <c r="P161" s="1248">
        <v>14300</v>
      </c>
      <c r="Q161" s="178"/>
      <c r="T161" s="141">
        <f t="shared" si="8"/>
        <v>525800</v>
      </c>
      <c r="U161" s="188" t="s">
        <v>346</v>
      </c>
      <c r="W161" s="141">
        <f>T161</f>
        <v>525800</v>
      </c>
      <c r="X161" s="188" t="s">
        <v>346</v>
      </c>
    </row>
    <row r="162" spans="1:26" s="157" customFormat="1" x14ac:dyDescent="0.25">
      <c r="A162" s="461"/>
      <c r="B162" s="135" t="s">
        <v>324</v>
      </c>
      <c r="C162" s="599"/>
      <c r="E162" s="1249">
        <v>1661.49</v>
      </c>
      <c r="F162" s="142">
        <v>1819.12</v>
      </c>
      <c r="G162" s="142">
        <v>1983.16</v>
      </c>
      <c r="H162" s="142">
        <v>1351</v>
      </c>
      <c r="I162" s="142">
        <v>1343.52</v>
      </c>
      <c r="J162" s="142">
        <v>1298.55</v>
      </c>
      <c r="K162" s="142">
        <v>1330.59</v>
      </c>
      <c r="L162" s="142">
        <v>1396.2</v>
      </c>
      <c r="M162" s="142">
        <v>1569.01</v>
      </c>
      <c r="N162" s="142">
        <v>1074.8699999999999</v>
      </c>
      <c r="O162" s="142">
        <v>1219.67</v>
      </c>
      <c r="P162" s="1249">
        <v>1103.3499999999999</v>
      </c>
      <c r="Q162" s="176"/>
      <c r="T162" s="171">
        <f t="shared" si="8"/>
        <v>17150.53</v>
      </c>
      <c r="U162" s="188"/>
      <c r="W162" s="190">
        <f>T162</f>
        <v>17150.53</v>
      </c>
      <c r="X162" s="188"/>
    </row>
    <row r="163" spans="1:26" s="157" customFormat="1" x14ac:dyDescent="0.25">
      <c r="A163" s="461"/>
      <c r="B163" s="204" t="s">
        <v>326</v>
      </c>
      <c r="C163" s="599"/>
      <c r="E163" s="1250">
        <v>137.11000000000001</v>
      </c>
      <c r="F163" s="156">
        <v>99.48</v>
      </c>
      <c r="G163" s="156">
        <v>77.97</v>
      </c>
      <c r="H163" s="156">
        <v>299.08</v>
      </c>
      <c r="I163" s="171">
        <v>311.04000000000002</v>
      </c>
      <c r="J163" s="171">
        <v>341.51</v>
      </c>
      <c r="K163" s="171">
        <v>327.06</v>
      </c>
      <c r="L163" s="171">
        <v>284.47000000000003</v>
      </c>
      <c r="M163" s="171">
        <v>242.75</v>
      </c>
      <c r="N163" s="171">
        <v>190.64</v>
      </c>
      <c r="O163" s="171">
        <v>200.56</v>
      </c>
      <c r="P163" s="1250">
        <v>101.09</v>
      </c>
      <c r="Q163" s="1058"/>
      <c r="T163" s="171">
        <f t="shared" si="8"/>
        <v>2612.7600000000002</v>
      </c>
      <c r="U163" s="188"/>
      <c r="W163" s="190">
        <f>T163</f>
        <v>2612.7600000000002</v>
      </c>
      <c r="X163" s="188"/>
    </row>
    <row r="164" spans="1:26" s="157" customFormat="1" ht="16.5" x14ac:dyDescent="0.35">
      <c r="A164" s="461"/>
      <c r="B164" s="195" t="s">
        <v>398</v>
      </c>
      <c r="C164" s="599" t="s">
        <v>321</v>
      </c>
      <c r="E164" s="1092"/>
      <c r="F164" s="198"/>
      <c r="G164" s="198"/>
      <c r="H164" s="198"/>
      <c r="I164" s="198"/>
      <c r="J164" s="198"/>
      <c r="K164" s="198"/>
      <c r="L164" s="198"/>
      <c r="M164" s="198"/>
      <c r="N164" s="198"/>
      <c r="O164" s="198"/>
      <c r="P164" s="198"/>
      <c r="Q164" s="446"/>
      <c r="T164" s="171">
        <f>SUM(G164:Q164)</f>
        <v>0</v>
      </c>
      <c r="U164" s="188"/>
      <c r="W164" s="197">
        <f>T164</f>
        <v>0</v>
      </c>
      <c r="X164" s="188"/>
    </row>
    <row r="165" spans="1:26" s="125" customFormat="1" x14ac:dyDescent="0.25">
      <c r="A165" s="461"/>
      <c r="C165" s="599"/>
      <c r="D165" s="157"/>
      <c r="E165" s="446"/>
      <c r="F165" s="600"/>
      <c r="G165" s="446"/>
      <c r="H165" s="446"/>
      <c r="I165" s="446"/>
      <c r="J165" s="446"/>
      <c r="K165" s="446"/>
      <c r="L165" s="446"/>
      <c r="M165" s="446"/>
      <c r="N165" s="446"/>
      <c r="O165" s="446"/>
      <c r="P165" s="446"/>
      <c r="Q165" s="194"/>
      <c r="R165" s="157"/>
      <c r="S165" s="157"/>
      <c r="T165" s="184"/>
      <c r="U165" s="199"/>
      <c r="V165" s="157"/>
      <c r="W165" s="190">
        <f>SUM(W162:W164)</f>
        <v>19763.29</v>
      </c>
      <c r="X165" s="188"/>
      <c r="Y165" s="157"/>
      <c r="Z165" s="157"/>
    </row>
    <row r="166" spans="1:26" s="125" customFormat="1" x14ac:dyDescent="0.25">
      <c r="A166" s="461"/>
      <c r="C166" s="152"/>
      <c r="S166" s="126"/>
      <c r="U166" s="447"/>
      <c r="V166" s="126"/>
      <c r="Y166" s="157"/>
      <c r="Z166" s="157"/>
    </row>
    <row r="167" spans="1:26" s="125" customFormat="1" x14ac:dyDescent="0.25">
      <c r="A167" s="461">
        <v>17</v>
      </c>
      <c r="B167" s="148" t="s">
        <v>562</v>
      </c>
      <c r="C167" s="152"/>
      <c r="S167" s="126"/>
      <c r="T167" s="148" t="s">
        <v>562</v>
      </c>
      <c r="V167" s="126"/>
      <c r="Y167" s="157"/>
      <c r="Z167" s="157"/>
    </row>
    <row r="168" spans="1:26" s="125" customFormat="1" x14ac:dyDescent="0.25">
      <c r="A168" s="461"/>
      <c r="B168" s="130" t="s">
        <v>337</v>
      </c>
      <c r="C168" s="186" t="s">
        <v>977</v>
      </c>
      <c r="D168" s="131">
        <v>41821</v>
      </c>
      <c r="E168" s="131">
        <v>41852</v>
      </c>
      <c r="F168" s="131">
        <v>41883</v>
      </c>
      <c r="G168" s="131">
        <v>41913</v>
      </c>
      <c r="H168" s="131">
        <v>41944</v>
      </c>
      <c r="I168" s="131">
        <v>41974</v>
      </c>
      <c r="J168" s="131">
        <v>42005</v>
      </c>
      <c r="K168" s="131">
        <v>42036</v>
      </c>
      <c r="L168" s="131">
        <v>42064</v>
      </c>
      <c r="M168" s="131">
        <v>42095</v>
      </c>
      <c r="N168" s="131">
        <v>42125</v>
      </c>
      <c r="O168" s="131">
        <v>42156</v>
      </c>
      <c r="P168" s="131">
        <v>42186</v>
      </c>
      <c r="Q168" s="131">
        <v>42217</v>
      </c>
      <c r="R168" s="131">
        <v>42261</v>
      </c>
      <c r="S168" s="132"/>
      <c r="T168" s="133" t="s">
        <v>338</v>
      </c>
      <c r="U168" s="134" t="s">
        <v>339</v>
      </c>
      <c r="V168" s="132"/>
      <c r="W168" s="133" t="s">
        <v>338</v>
      </c>
      <c r="X168" s="134" t="s">
        <v>339</v>
      </c>
      <c r="Y168" s="157"/>
      <c r="Z168" s="157"/>
    </row>
    <row r="169" spans="1:26" s="157" customFormat="1" x14ac:dyDescent="0.25">
      <c r="A169" s="461"/>
      <c r="B169" s="135" t="s">
        <v>319</v>
      </c>
      <c r="C169" s="599"/>
      <c r="E169" s="1247">
        <v>24553</v>
      </c>
      <c r="F169" s="136">
        <v>23453</v>
      </c>
      <c r="G169" s="136">
        <v>25958</v>
      </c>
      <c r="H169" s="136">
        <v>21316</v>
      </c>
      <c r="I169" s="136">
        <v>21784</v>
      </c>
      <c r="J169" s="136">
        <v>19256</v>
      </c>
      <c r="K169" s="136">
        <v>19638</v>
      </c>
      <c r="L169" s="136">
        <v>21133</v>
      </c>
      <c r="M169" s="136">
        <v>24940</v>
      </c>
      <c r="N169" s="136">
        <v>18405</v>
      </c>
      <c r="O169" s="136">
        <v>18933</v>
      </c>
      <c r="P169" s="1247">
        <v>19003</v>
      </c>
      <c r="Q169" s="174"/>
      <c r="T169" s="141">
        <f>SUM(E169:P169)</f>
        <v>258372</v>
      </c>
      <c r="U169" s="188" t="s">
        <v>341</v>
      </c>
      <c r="W169" s="140">
        <f>T169*3413/1000000</f>
        <v>881.82363599999996</v>
      </c>
      <c r="X169" s="138" t="s">
        <v>342</v>
      </c>
    </row>
    <row r="170" spans="1:26" s="157" customFormat="1" x14ac:dyDescent="0.25">
      <c r="A170" s="461"/>
      <c r="B170" s="135" t="s">
        <v>320</v>
      </c>
      <c r="C170" s="599"/>
      <c r="E170" s="1247">
        <v>8350</v>
      </c>
      <c r="F170" s="137">
        <v>10920</v>
      </c>
      <c r="G170" s="137">
        <v>8520</v>
      </c>
      <c r="H170" s="137">
        <v>10990</v>
      </c>
      <c r="I170" s="136">
        <v>49270</v>
      </c>
      <c r="J170" s="136">
        <v>36690</v>
      </c>
      <c r="K170" s="136">
        <v>88540</v>
      </c>
      <c r="L170" s="136">
        <v>57360</v>
      </c>
      <c r="M170" s="136">
        <v>46910</v>
      </c>
      <c r="N170" s="136">
        <v>12810</v>
      </c>
      <c r="O170" s="136">
        <v>4460</v>
      </c>
      <c r="P170" s="1247">
        <v>2990</v>
      </c>
      <c r="Q170" s="1246"/>
      <c r="T170" s="141">
        <f t="shared" ref="T170:T175" si="9">SUM(E170:P170)</f>
        <v>337810</v>
      </c>
      <c r="U170" s="188" t="s">
        <v>344</v>
      </c>
      <c r="W170" s="160">
        <f>T170/1000</f>
        <v>337.81</v>
      </c>
      <c r="X170" s="138" t="s">
        <v>342</v>
      </c>
    </row>
    <row r="171" spans="1:26" s="157" customFormat="1" x14ac:dyDescent="0.25">
      <c r="A171" s="461"/>
      <c r="B171" s="192" t="s">
        <v>323</v>
      </c>
      <c r="C171" s="599"/>
      <c r="E171" s="1248">
        <v>18369</v>
      </c>
      <c r="F171" s="141">
        <v>15458</v>
      </c>
      <c r="G171" s="141">
        <v>8036</v>
      </c>
      <c r="H171" s="141">
        <v>2089</v>
      </c>
      <c r="I171" s="141">
        <v>680</v>
      </c>
      <c r="J171" s="141">
        <v>963</v>
      </c>
      <c r="K171" s="141">
        <v>1142</v>
      </c>
      <c r="L171" s="141">
        <v>3540</v>
      </c>
      <c r="M171" s="141">
        <v>6454</v>
      </c>
      <c r="N171" s="141">
        <v>10571</v>
      </c>
      <c r="O171" s="141">
        <v>17518</v>
      </c>
      <c r="P171" s="1248">
        <v>18910</v>
      </c>
      <c r="Q171" s="178"/>
      <c r="T171" s="141">
        <f t="shared" si="9"/>
        <v>103730</v>
      </c>
      <c r="U171" s="188" t="s">
        <v>397</v>
      </c>
      <c r="W171" s="193">
        <f>T171*0.012</f>
        <v>1244.76</v>
      </c>
      <c r="X171" s="138" t="s">
        <v>342</v>
      </c>
      <c r="Y171" s="495">
        <f>W169+W170+W171</f>
        <v>2464.3936359999998</v>
      </c>
      <c r="Z171" s="153" t="s">
        <v>677</v>
      </c>
    </row>
    <row r="172" spans="1:26" s="157" customFormat="1" x14ac:dyDescent="0.25">
      <c r="A172" s="461"/>
      <c r="B172" s="135" t="s">
        <v>345</v>
      </c>
      <c r="C172" s="599"/>
      <c r="E172" s="1248">
        <v>39200</v>
      </c>
      <c r="F172" s="141">
        <v>61200</v>
      </c>
      <c r="G172" s="141">
        <v>55100</v>
      </c>
      <c r="H172" s="141">
        <v>52400</v>
      </c>
      <c r="I172" s="141">
        <v>18000</v>
      </c>
      <c r="J172" s="141">
        <v>45300</v>
      </c>
      <c r="K172" s="141">
        <v>62400</v>
      </c>
      <c r="L172" s="141">
        <v>56700</v>
      </c>
      <c r="M172" s="141">
        <v>58900</v>
      </c>
      <c r="N172" s="141">
        <v>16100</v>
      </c>
      <c r="O172" s="141">
        <v>21400</v>
      </c>
      <c r="P172" s="1248">
        <v>10100</v>
      </c>
      <c r="Q172" s="178"/>
      <c r="T172" s="141">
        <f t="shared" si="9"/>
        <v>496800</v>
      </c>
      <c r="U172" s="188" t="s">
        <v>346</v>
      </c>
      <c r="W172" s="141">
        <f>T172</f>
        <v>496800</v>
      </c>
      <c r="X172" s="188" t="s">
        <v>346</v>
      </c>
    </row>
    <row r="173" spans="1:26" s="157" customFormat="1" x14ac:dyDescent="0.25">
      <c r="A173" s="461"/>
      <c r="B173" s="135" t="s">
        <v>324</v>
      </c>
      <c r="C173" s="599"/>
      <c r="E173" s="1249">
        <v>1665.43</v>
      </c>
      <c r="F173" s="142">
        <v>1678.95</v>
      </c>
      <c r="G173" s="142">
        <v>1941.28</v>
      </c>
      <c r="H173" s="142">
        <v>1284.71</v>
      </c>
      <c r="I173" s="142">
        <v>1338.18</v>
      </c>
      <c r="J173" s="142">
        <v>1162.69</v>
      </c>
      <c r="K173" s="142">
        <v>1185.75</v>
      </c>
      <c r="L173" s="142">
        <v>1276.02</v>
      </c>
      <c r="M173" s="142">
        <v>1443.42</v>
      </c>
      <c r="N173" s="142">
        <v>1065.2</v>
      </c>
      <c r="O173" s="142">
        <v>1242.9000000000001</v>
      </c>
      <c r="P173" s="1249">
        <v>1099.82</v>
      </c>
      <c r="Q173" s="176"/>
      <c r="T173" s="171">
        <f t="shared" si="9"/>
        <v>16384.350000000002</v>
      </c>
      <c r="U173" s="188"/>
      <c r="W173" s="190">
        <f>T173</f>
        <v>16384.350000000002</v>
      </c>
      <c r="X173" s="188"/>
    </row>
    <row r="174" spans="1:26" s="157" customFormat="1" x14ac:dyDescent="0.25">
      <c r="A174" s="461"/>
      <c r="B174" s="204" t="s">
        <v>326</v>
      </c>
      <c r="C174" s="599"/>
      <c r="E174" s="171">
        <v>65.239999999999995</v>
      </c>
      <c r="F174" s="196">
        <v>85.32</v>
      </c>
      <c r="G174" s="196">
        <v>66.569999999999993</v>
      </c>
      <c r="H174" s="196">
        <v>85.86</v>
      </c>
      <c r="I174" s="196">
        <v>384.95</v>
      </c>
      <c r="J174" s="196">
        <v>286.66000000000003</v>
      </c>
      <c r="K174" s="196">
        <v>691.77</v>
      </c>
      <c r="L174" s="196">
        <v>448.82</v>
      </c>
      <c r="M174" s="196">
        <v>366.51</v>
      </c>
      <c r="N174" s="196">
        <v>100.08</v>
      </c>
      <c r="O174" s="196">
        <v>34.85</v>
      </c>
      <c r="P174" s="196">
        <v>23.36</v>
      </c>
      <c r="Q174" s="1058"/>
      <c r="T174" s="141">
        <f t="shared" si="9"/>
        <v>2639.99</v>
      </c>
      <c r="U174" s="188"/>
      <c r="W174" s="190">
        <f>T174</f>
        <v>2639.99</v>
      </c>
      <c r="X174" s="188"/>
    </row>
    <row r="175" spans="1:26" s="157" customFormat="1" ht="16.5" x14ac:dyDescent="0.35">
      <c r="A175" s="461"/>
      <c r="B175" s="195" t="s">
        <v>398</v>
      </c>
      <c r="C175" s="599" t="s">
        <v>321</v>
      </c>
      <c r="E175" s="1092"/>
      <c r="F175" s="198"/>
      <c r="G175" s="198"/>
      <c r="H175" s="198"/>
      <c r="I175" s="198"/>
      <c r="J175" s="198"/>
      <c r="K175" s="198"/>
      <c r="L175" s="198"/>
      <c r="M175" s="198"/>
      <c r="N175" s="198"/>
      <c r="O175" s="198"/>
      <c r="P175" s="198"/>
      <c r="Q175" s="446"/>
      <c r="T175" s="141">
        <f t="shared" si="9"/>
        <v>0</v>
      </c>
      <c r="U175" s="188"/>
      <c r="W175" s="197">
        <f>T175</f>
        <v>0</v>
      </c>
      <c r="X175" s="188"/>
    </row>
    <row r="176" spans="1:26" s="125" customFormat="1" x14ac:dyDescent="0.25">
      <c r="A176" s="461"/>
      <c r="B176" s="205"/>
      <c r="C176" s="599"/>
      <c r="D176" s="157"/>
      <c r="E176" s="446"/>
      <c r="F176" s="600"/>
      <c r="G176" s="446"/>
      <c r="H176" s="446"/>
      <c r="I176" s="446"/>
      <c r="J176" s="446"/>
      <c r="K176" s="446"/>
      <c r="L176" s="446"/>
      <c r="M176" s="446"/>
      <c r="N176" s="446"/>
      <c r="O176" s="446"/>
      <c r="P176" s="446"/>
      <c r="Q176" s="194"/>
      <c r="R176" s="157"/>
      <c r="S176" s="157"/>
      <c r="T176" s="184"/>
      <c r="U176" s="199"/>
      <c r="V176" s="157"/>
      <c r="W176" s="190">
        <f>SUM(W173:W175)</f>
        <v>19024.340000000004</v>
      </c>
      <c r="X176" s="188"/>
      <c r="Y176" s="157"/>
      <c r="Z176" s="157"/>
    </row>
    <row r="177" spans="1:26" s="125" customFormat="1" x14ac:dyDescent="0.25">
      <c r="A177" s="461"/>
      <c r="B177" s="205"/>
      <c r="C177" s="152"/>
      <c r="E177" s="201"/>
      <c r="F177" s="202"/>
      <c r="G177" s="202"/>
      <c r="H177" s="203"/>
      <c r="I177" s="203"/>
      <c r="J177" s="203"/>
      <c r="K177" s="203"/>
      <c r="L177" s="203"/>
      <c r="M177" s="203"/>
      <c r="N177" s="203"/>
      <c r="O177" s="203"/>
      <c r="P177" s="203"/>
      <c r="S177" s="126"/>
      <c r="U177" s="447"/>
      <c r="V177" s="126"/>
      <c r="Y177" s="157"/>
      <c r="Z177" s="157"/>
    </row>
    <row r="178" spans="1:26" s="125" customFormat="1" x14ac:dyDescent="0.25">
      <c r="A178" s="461">
        <v>18</v>
      </c>
      <c r="B178" s="148" t="s">
        <v>563</v>
      </c>
      <c r="C178" s="152"/>
      <c r="E178" s="157"/>
      <c r="F178" s="157"/>
      <c r="G178" s="157"/>
      <c r="H178" s="157"/>
      <c r="I178" s="157"/>
      <c r="J178" s="157"/>
      <c r="K178" s="157"/>
      <c r="L178" s="157"/>
      <c r="M178" s="157"/>
      <c r="N178" s="157"/>
      <c r="O178" s="157"/>
      <c r="P178" s="157"/>
      <c r="S178" s="126"/>
      <c r="T178" s="148" t="s">
        <v>563</v>
      </c>
      <c r="V178" s="126"/>
      <c r="Y178" s="157"/>
      <c r="Z178" s="157"/>
    </row>
    <row r="179" spans="1:26" s="125" customFormat="1" x14ac:dyDescent="0.25">
      <c r="A179" s="461"/>
      <c r="B179" s="130" t="s">
        <v>337</v>
      </c>
      <c r="C179" s="186" t="s">
        <v>977</v>
      </c>
      <c r="D179" s="131">
        <v>41821</v>
      </c>
      <c r="E179" s="131">
        <v>41852</v>
      </c>
      <c r="F179" s="131">
        <v>41883</v>
      </c>
      <c r="G179" s="131">
        <v>41913</v>
      </c>
      <c r="H179" s="131">
        <v>41944</v>
      </c>
      <c r="I179" s="131">
        <v>41974</v>
      </c>
      <c r="J179" s="131">
        <v>42005</v>
      </c>
      <c r="K179" s="131">
        <v>42036</v>
      </c>
      <c r="L179" s="131">
        <v>42064</v>
      </c>
      <c r="M179" s="131">
        <v>42095</v>
      </c>
      <c r="N179" s="131">
        <v>42125</v>
      </c>
      <c r="O179" s="131">
        <v>42156</v>
      </c>
      <c r="P179" s="131">
        <v>42186</v>
      </c>
      <c r="Q179" s="560">
        <v>42217</v>
      </c>
      <c r="R179" s="131">
        <v>42261</v>
      </c>
      <c r="S179" s="132"/>
      <c r="T179" s="133" t="s">
        <v>338</v>
      </c>
      <c r="U179" s="134" t="s">
        <v>339</v>
      </c>
      <c r="V179" s="132"/>
      <c r="W179" s="133" t="s">
        <v>338</v>
      </c>
      <c r="X179" s="134" t="s">
        <v>339</v>
      </c>
      <c r="Y179" s="157"/>
      <c r="Z179" s="157"/>
    </row>
    <row r="180" spans="1:26" s="157" customFormat="1" x14ac:dyDescent="0.25">
      <c r="A180" s="461"/>
      <c r="B180" s="135" t="s">
        <v>319</v>
      </c>
      <c r="C180" s="599"/>
      <c r="E180" s="1247">
        <v>31432</v>
      </c>
      <c r="F180" s="136">
        <v>30723</v>
      </c>
      <c r="G180" s="136">
        <v>33436</v>
      </c>
      <c r="H180" s="136">
        <v>27231</v>
      </c>
      <c r="I180" s="136">
        <v>28302</v>
      </c>
      <c r="J180" s="136">
        <v>27151</v>
      </c>
      <c r="K180" s="136">
        <v>25452</v>
      </c>
      <c r="L180" s="136">
        <v>25746</v>
      </c>
      <c r="M180" s="136">
        <v>31702</v>
      </c>
      <c r="N180" s="136">
        <v>22632</v>
      </c>
      <c r="O180" s="136">
        <v>22465</v>
      </c>
      <c r="P180" s="1247">
        <v>21988</v>
      </c>
      <c r="Q180" s="174"/>
      <c r="T180" s="141">
        <f>SUM(E180:P180)</f>
        <v>328260</v>
      </c>
      <c r="U180" s="188" t="s">
        <v>341</v>
      </c>
      <c r="W180" s="140">
        <f>T180*3413/1000000</f>
        <v>1120.3513800000001</v>
      </c>
      <c r="X180" s="138" t="s">
        <v>342</v>
      </c>
    </row>
    <row r="181" spans="1:26" s="157" customFormat="1" x14ac:dyDescent="0.25">
      <c r="A181" s="461"/>
      <c r="B181" s="135" t="s">
        <v>320</v>
      </c>
      <c r="C181" s="599"/>
      <c r="E181" s="1247">
        <v>16160</v>
      </c>
      <c r="F181" s="137">
        <v>19240</v>
      </c>
      <c r="G181" s="137">
        <v>21050</v>
      </c>
      <c r="H181" s="137">
        <v>25010</v>
      </c>
      <c r="I181" s="136">
        <v>19710</v>
      </c>
      <c r="J181" s="136">
        <v>42370</v>
      </c>
      <c r="K181" s="136">
        <v>61490</v>
      </c>
      <c r="L181" s="136">
        <v>30000</v>
      </c>
      <c r="M181" s="136">
        <v>22580</v>
      </c>
      <c r="N181" s="136">
        <v>8290</v>
      </c>
      <c r="O181" s="136">
        <v>6020</v>
      </c>
      <c r="P181" s="1247">
        <v>4390</v>
      </c>
      <c r="Q181" s="174"/>
      <c r="T181" s="141">
        <f t="shared" ref="T181:T186" si="10">SUM(E181:P181)</f>
        <v>276310</v>
      </c>
      <c r="U181" s="188" t="s">
        <v>344</v>
      </c>
      <c r="W181" s="160">
        <f>T181/1000</f>
        <v>276.31</v>
      </c>
      <c r="X181" s="138" t="s">
        <v>342</v>
      </c>
    </row>
    <row r="182" spans="1:26" s="157" customFormat="1" x14ac:dyDescent="0.25">
      <c r="A182" s="461"/>
      <c r="B182" s="192" t="s">
        <v>323</v>
      </c>
      <c r="C182" s="599"/>
      <c r="E182" s="1248">
        <v>24184</v>
      </c>
      <c r="F182" s="141">
        <v>20787</v>
      </c>
      <c r="G182" s="141">
        <v>13290</v>
      </c>
      <c r="H182" s="141">
        <v>7131</v>
      </c>
      <c r="I182" s="141">
        <v>5843</v>
      </c>
      <c r="J182" s="141">
        <v>4637</v>
      </c>
      <c r="K182" s="141">
        <v>3069</v>
      </c>
      <c r="L182" s="141">
        <v>8030</v>
      </c>
      <c r="M182" s="141">
        <v>12007</v>
      </c>
      <c r="N182" s="141">
        <v>14003</v>
      </c>
      <c r="O182" s="141">
        <v>19467</v>
      </c>
      <c r="P182" s="1248">
        <v>18284</v>
      </c>
      <c r="Q182" s="178"/>
      <c r="T182" s="141">
        <f t="shared" si="10"/>
        <v>150732</v>
      </c>
      <c r="U182" s="188" t="s">
        <v>397</v>
      </c>
      <c r="W182" s="193">
        <f>T182*0.012</f>
        <v>1808.7840000000001</v>
      </c>
      <c r="X182" s="138" t="s">
        <v>342</v>
      </c>
      <c r="Y182" s="495">
        <f>W180+W181+W182</f>
        <v>3205.4453800000001</v>
      </c>
      <c r="Z182" s="153" t="s">
        <v>677</v>
      </c>
    </row>
    <row r="183" spans="1:26" s="157" customFormat="1" x14ac:dyDescent="0.25">
      <c r="A183" s="461"/>
      <c r="B183" s="135" t="s">
        <v>345</v>
      </c>
      <c r="C183" s="599"/>
      <c r="E183" s="1248">
        <v>46000</v>
      </c>
      <c r="F183" s="137">
        <v>61400</v>
      </c>
      <c r="G183" s="141">
        <v>61600</v>
      </c>
      <c r="H183" s="141">
        <v>57900</v>
      </c>
      <c r="I183" s="141">
        <v>35600</v>
      </c>
      <c r="J183" s="141">
        <v>61800</v>
      </c>
      <c r="K183" s="141">
        <v>62700</v>
      </c>
      <c r="L183" s="141">
        <v>55300</v>
      </c>
      <c r="M183" s="141">
        <v>58800</v>
      </c>
      <c r="N183" s="141">
        <v>15500</v>
      </c>
      <c r="O183" s="141">
        <v>14800</v>
      </c>
      <c r="P183" s="1248">
        <v>4700</v>
      </c>
      <c r="Q183" s="178"/>
      <c r="T183" s="141">
        <f t="shared" si="10"/>
        <v>536100</v>
      </c>
      <c r="U183" s="188" t="s">
        <v>346</v>
      </c>
      <c r="W183" s="141">
        <f>T183</f>
        <v>536100</v>
      </c>
      <c r="X183" s="188" t="s">
        <v>346</v>
      </c>
    </row>
    <row r="184" spans="1:26" s="157" customFormat="1" x14ac:dyDescent="0.25">
      <c r="A184" s="461"/>
      <c r="B184" s="135" t="s">
        <v>324</v>
      </c>
      <c r="C184" s="599"/>
      <c r="E184" s="1249">
        <v>2132.3000000000002</v>
      </c>
      <c r="F184" s="142">
        <v>2199.4</v>
      </c>
      <c r="G184" s="142">
        <v>2500.5300000000002</v>
      </c>
      <c r="H184" s="142">
        <v>1641.2</v>
      </c>
      <c r="I184" s="142">
        <v>1738.57</v>
      </c>
      <c r="J184" s="142">
        <v>1639.39</v>
      </c>
      <c r="K184" s="142">
        <v>1498.77</v>
      </c>
      <c r="L184" s="142">
        <v>1600.04</v>
      </c>
      <c r="M184" s="142">
        <v>1834.78</v>
      </c>
      <c r="N184" s="142">
        <v>1309.8499999999999</v>
      </c>
      <c r="O184" s="142">
        <v>1474.77</v>
      </c>
      <c r="P184" s="1249">
        <v>1272.57</v>
      </c>
      <c r="Q184" s="176"/>
      <c r="T184" s="171">
        <f t="shared" si="10"/>
        <v>20842.169999999998</v>
      </c>
      <c r="U184" s="188"/>
      <c r="W184" s="190">
        <f>T184</f>
        <v>20842.169999999998</v>
      </c>
      <c r="X184" s="188"/>
    </row>
    <row r="185" spans="1:26" s="157" customFormat="1" x14ac:dyDescent="0.25">
      <c r="A185" s="461"/>
      <c r="B185" s="204" t="s">
        <v>326</v>
      </c>
      <c r="C185" s="599"/>
      <c r="E185" s="1250">
        <v>126.25</v>
      </c>
      <c r="F185" s="156">
        <v>150.32</v>
      </c>
      <c r="G185" s="156">
        <v>164.45</v>
      </c>
      <c r="H185" s="156">
        <v>195.39</v>
      </c>
      <c r="I185" s="171">
        <v>153.97999999999999</v>
      </c>
      <c r="J185" s="171">
        <v>331.01</v>
      </c>
      <c r="K185" s="171">
        <v>480.39</v>
      </c>
      <c r="L185" s="171">
        <v>234.37</v>
      </c>
      <c r="M185" s="171">
        <v>176.41</v>
      </c>
      <c r="N185" s="171">
        <v>64.760000000000005</v>
      </c>
      <c r="O185" s="171">
        <v>47.03</v>
      </c>
      <c r="P185" s="1250">
        <v>34.299999999999997</v>
      </c>
      <c r="Q185" s="1058"/>
      <c r="T185" s="171">
        <f t="shared" si="10"/>
        <v>2158.6600000000003</v>
      </c>
      <c r="U185" s="188"/>
      <c r="W185" s="190">
        <f>T185</f>
        <v>2158.6600000000003</v>
      </c>
      <c r="X185" s="188"/>
    </row>
    <row r="186" spans="1:26" s="157" customFormat="1" ht="16.5" x14ac:dyDescent="0.35">
      <c r="A186" s="461"/>
      <c r="B186" s="195" t="s">
        <v>398</v>
      </c>
      <c r="C186" s="599" t="s">
        <v>321</v>
      </c>
      <c r="E186" s="198"/>
      <c r="F186" s="198"/>
      <c r="G186" s="198"/>
      <c r="H186" s="198"/>
      <c r="I186" s="198"/>
      <c r="J186" s="198"/>
      <c r="K186" s="198"/>
      <c r="L186" s="198"/>
      <c r="M186" s="198"/>
      <c r="N186" s="198"/>
      <c r="O186" s="198"/>
      <c r="P186" s="198"/>
      <c r="Q186" s="446"/>
      <c r="T186" s="171">
        <f t="shared" si="10"/>
        <v>0</v>
      </c>
      <c r="U186" s="188"/>
      <c r="W186" s="197">
        <f>T186</f>
        <v>0</v>
      </c>
      <c r="X186" s="188"/>
    </row>
    <row r="187" spans="1:26" s="125" customFormat="1" x14ac:dyDescent="0.25">
      <c r="A187" s="461"/>
      <c r="B187" s="205"/>
      <c r="C187" s="599"/>
      <c r="D187" s="157"/>
      <c r="E187" s="446"/>
      <c r="F187" s="600"/>
      <c r="G187" s="446"/>
      <c r="H187" s="446"/>
      <c r="I187" s="446"/>
      <c r="J187" s="446"/>
      <c r="K187" s="446"/>
      <c r="L187" s="446"/>
      <c r="M187" s="446"/>
      <c r="N187" s="446"/>
      <c r="O187" s="446"/>
      <c r="P187" s="446"/>
      <c r="Q187" s="194"/>
      <c r="R187" s="157"/>
      <c r="S187" s="157"/>
      <c r="T187" s="184"/>
      <c r="U187" s="199"/>
      <c r="V187" s="157"/>
      <c r="W187" s="190">
        <f>SUM(W184:W186)</f>
        <v>23000.829999999998</v>
      </c>
      <c r="X187" s="188"/>
      <c r="Y187" s="157"/>
      <c r="Z187" s="157"/>
    </row>
    <row r="188" spans="1:26" s="125" customFormat="1" x14ac:dyDescent="0.25">
      <c r="A188" s="461"/>
      <c r="B188" s="205"/>
      <c r="C188" s="152"/>
      <c r="E188" s="201"/>
      <c r="F188" s="206"/>
      <c r="G188" s="202"/>
      <c r="H188" s="203"/>
      <c r="I188" s="203"/>
      <c r="J188" s="203"/>
      <c r="K188" s="203"/>
      <c r="L188" s="203"/>
      <c r="M188" s="203"/>
      <c r="N188" s="203"/>
      <c r="O188" s="203"/>
      <c r="P188" s="203"/>
      <c r="S188" s="126"/>
      <c r="U188" s="447"/>
      <c r="V188" s="126"/>
      <c r="Y188" s="157"/>
      <c r="Z188" s="157"/>
    </row>
    <row r="189" spans="1:26" s="125" customFormat="1" x14ac:dyDescent="0.25">
      <c r="A189" s="461">
        <v>19</v>
      </c>
      <c r="B189" s="148" t="s">
        <v>564</v>
      </c>
      <c r="C189" s="152"/>
      <c r="E189" s="157"/>
      <c r="F189" s="157"/>
      <c r="G189" s="157"/>
      <c r="H189" s="157"/>
      <c r="I189" s="157"/>
      <c r="J189" s="157"/>
      <c r="K189" s="157"/>
      <c r="L189" s="157"/>
      <c r="M189" s="157"/>
      <c r="N189" s="157"/>
      <c r="O189" s="157"/>
      <c r="P189" s="157"/>
      <c r="S189" s="126"/>
      <c r="T189" s="148" t="s">
        <v>564</v>
      </c>
      <c r="V189" s="126"/>
      <c r="Y189" s="157"/>
      <c r="Z189" s="157"/>
    </row>
    <row r="190" spans="1:26" s="125" customFormat="1" x14ac:dyDescent="0.25">
      <c r="A190" s="461"/>
      <c r="B190" s="130" t="s">
        <v>337</v>
      </c>
      <c r="C190" s="186" t="s">
        <v>977</v>
      </c>
      <c r="D190" s="131">
        <v>41821</v>
      </c>
      <c r="E190" s="131">
        <v>41852</v>
      </c>
      <c r="F190" s="131">
        <v>41883</v>
      </c>
      <c r="G190" s="131">
        <v>41913</v>
      </c>
      <c r="H190" s="131">
        <v>41944</v>
      </c>
      <c r="I190" s="131">
        <v>41974</v>
      </c>
      <c r="J190" s="131">
        <v>42005</v>
      </c>
      <c r="K190" s="131">
        <v>42036</v>
      </c>
      <c r="L190" s="131">
        <v>42064</v>
      </c>
      <c r="M190" s="131">
        <v>42095</v>
      </c>
      <c r="N190" s="131">
        <v>42125</v>
      </c>
      <c r="O190" s="131">
        <v>42156</v>
      </c>
      <c r="P190" s="131">
        <v>42186</v>
      </c>
      <c r="Q190" s="131">
        <v>42217</v>
      </c>
      <c r="R190" s="131">
        <v>42261</v>
      </c>
      <c r="S190" s="132"/>
      <c r="T190" s="133" t="s">
        <v>338</v>
      </c>
      <c r="U190" s="134" t="s">
        <v>339</v>
      </c>
      <c r="V190" s="132"/>
      <c r="W190" s="133" t="s">
        <v>338</v>
      </c>
      <c r="X190" s="134" t="s">
        <v>339</v>
      </c>
      <c r="Y190" s="157"/>
      <c r="Z190" s="157"/>
    </row>
    <row r="191" spans="1:26" s="157" customFormat="1" x14ac:dyDescent="0.25">
      <c r="A191" s="461"/>
      <c r="B191" s="135" t="s">
        <v>319</v>
      </c>
      <c r="C191" s="599"/>
      <c r="E191" s="1247">
        <v>25698</v>
      </c>
      <c r="F191" s="136">
        <v>25723</v>
      </c>
      <c r="G191" s="136">
        <v>28328</v>
      </c>
      <c r="H191" s="136">
        <v>23316</v>
      </c>
      <c r="I191" s="136">
        <v>22429</v>
      </c>
      <c r="J191" s="136">
        <v>22776</v>
      </c>
      <c r="K191" s="136">
        <v>23748</v>
      </c>
      <c r="L191" s="136">
        <v>23139</v>
      </c>
      <c r="M191" s="136">
        <v>27712</v>
      </c>
      <c r="N191" s="136">
        <v>19002</v>
      </c>
      <c r="O191" s="136">
        <v>16703</v>
      </c>
      <c r="P191" s="1247">
        <v>18376</v>
      </c>
      <c r="Q191" s="174"/>
      <c r="T191" s="141">
        <f>SUM(E191:P191)</f>
        <v>276950</v>
      </c>
      <c r="U191" s="188" t="s">
        <v>341</v>
      </c>
      <c r="W191" s="140">
        <f>T191*3413/1000000</f>
        <v>945.23035000000004</v>
      </c>
      <c r="X191" s="138" t="s">
        <v>342</v>
      </c>
    </row>
    <row r="192" spans="1:26" s="157" customFormat="1" x14ac:dyDescent="0.25">
      <c r="A192" s="461"/>
      <c r="B192" s="135" t="s">
        <v>320</v>
      </c>
      <c r="C192" s="599"/>
      <c r="E192" s="1247">
        <v>7090</v>
      </c>
      <c r="F192" s="137">
        <v>10100</v>
      </c>
      <c r="G192" s="137">
        <v>12230</v>
      </c>
      <c r="H192" s="137">
        <v>27480</v>
      </c>
      <c r="I192" s="137">
        <v>22220</v>
      </c>
      <c r="J192" s="1251">
        <v>70310</v>
      </c>
      <c r="K192" s="1251">
        <v>73750</v>
      </c>
      <c r="L192" s="137">
        <v>24070</v>
      </c>
      <c r="M192" s="1251">
        <v>6400</v>
      </c>
      <c r="N192" s="1251">
        <v>1960</v>
      </c>
      <c r="O192" s="1251">
        <v>1840</v>
      </c>
      <c r="P192" s="1247">
        <v>1690</v>
      </c>
      <c r="Q192" s="174"/>
      <c r="T192" s="141">
        <f t="shared" ref="T192:T197" si="11">SUM(E192:P192)</f>
        <v>259140</v>
      </c>
      <c r="U192" s="188" t="s">
        <v>344</v>
      </c>
      <c r="W192" s="160">
        <f>T192/1000</f>
        <v>259.14</v>
      </c>
      <c r="X192" s="138" t="s">
        <v>342</v>
      </c>
    </row>
    <row r="193" spans="1:26" s="157" customFormat="1" x14ac:dyDescent="0.25">
      <c r="A193" s="461"/>
      <c r="B193" s="192" t="s">
        <v>323</v>
      </c>
      <c r="C193" s="599"/>
      <c r="E193" s="1248">
        <v>90670</v>
      </c>
      <c r="F193" s="141">
        <v>87000</v>
      </c>
      <c r="G193" s="141">
        <v>58900</v>
      </c>
      <c r="H193" s="141">
        <v>36370</v>
      </c>
      <c r="I193" s="141">
        <v>34920</v>
      </c>
      <c r="J193" s="141">
        <v>29920</v>
      </c>
      <c r="K193" s="141">
        <v>20640</v>
      </c>
      <c r="L193" s="141">
        <v>26810</v>
      </c>
      <c r="M193" s="141">
        <v>33920</v>
      </c>
      <c r="N193" s="141">
        <v>38460</v>
      </c>
      <c r="O193" s="141">
        <v>19340</v>
      </c>
      <c r="P193" s="1248">
        <v>18740</v>
      </c>
      <c r="Q193" s="178"/>
      <c r="T193" s="141">
        <f t="shared" si="11"/>
        <v>495690</v>
      </c>
      <c r="U193" s="188" t="s">
        <v>397</v>
      </c>
      <c r="W193" s="160">
        <f>T193*0.012</f>
        <v>5948.28</v>
      </c>
      <c r="X193" s="138" t="s">
        <v>342</v>
      </c>
      <c r="Y193" s="495">
        <f>W191+W192+W193</f>
        <v>7152.6503499999999</v>
      </c>
      <c r="Z193" s="153" t="s">
        <v>677</v>
      </c>
    </row>
    <row r="194" spans="1:26" s="157" customFormat="1" x14ac:dyDescent="0.25">
      <c r="A194" s="461"/>
      <c r="B194" s="135" t="s">
        <v>345</v>
      </c>
      <c r="C194" s="599"/>
      <c r="E194" s="1248">
        <v>43600</v>
      </c>
      <c r="F194" s="141">
        <v>56000</v>
      </c>
      <c r="G194" s="141">
        <v>54000</v>
      </c>
      <c r="H194" s="141">
        <v>54600</v>
      </c>
      <c r="I194" s="141">
        <v>22000</v>
      </c>
      <c r="J194" s="141">
        <v>50200</v>
      </c>
      <c r="K194" s="141">
        <v>75900</v>
      </c>
      <c r="L194" s="141">
        <v>71900</v>
      </c>
      <c r="M194" s="141">
        <v>69200</v>
      </c>
      <c r="N194" s="141">
        <v>19300</v>
      </c>
      <c r="O194" s="141">
        <v>2900</v>
      </c>
      <c r="P194" s="1248">
        <v>5600</v>
      </c>
      <c r="Q194" s="178"/>
      <c r="T194" s="141">
        <f t="shared" si="11"/>
        <v>525200</v>
      </c>
      <c r="U194" s="188" t="s">
        <v>346</v>
      </c>
      <c r="W194" s="141">
        <f>T194</f>
        <v>525200</v>
      </c>
      <c r="X194" s="188" t="s">
        <v>346</v>
      </c>
    </row>
    <row r="195" spans="1:26" s="157" customFormat="1" x14ac:dyDescent="0.25">
      <c r="A195" s="461"/>
      <c r="B195" s="135" t="s">
        <v>324</v>
      </c>
      <c r="C195" s="599"/>
      <c r="E195" s="1249">
        <v>1743.09</v>
      </c>
      <c r="F195" s="142">
        <v>1841.46</v>
      </c>
      <c r="G195" s="142">
        <v>2118.52</v>
      </c>
      <c r="H195" s="142">
        <v>1405.24</v>
      </c>
      <c r="I195" s="142">
        <v>1377.8</v>
      </c>
      <c r="J195" s="142">
        <v>1375.23</v>
      </c>
      <c r="K195" s="142">
        <v>1398.43</v>
      </c>
      <c r="L195" s="142">
        <v>1438.02</v>
      </c>
      <c r="M195" s="142">
        <v>1603.85</v>
      </c>
      <c r="N195" s="142">
        <v>1099.76</v>
      </c>
      <c r="O195" s="142">
        <v>1096.51</v>
      </c>
      <c r="P195" s="1249">
        <v>1063.53</v>
      </c>
      <c r="Q195" s="176"/>
      <c r="T195" s="171">
        <f t="shared" si="11"/>
        <v>17561.439999999999</v>
      </c>
      <c r="U195" s="188"/>
      <c r="W195" s="190">
        <f>T195</f>
        <v>17561.439999999999</v>
      </c>
      <c r="X195" s="188"/>
    </row>
    <row r="196" spans="1:26" s="157" customFormat="1" x14ac:dyDescent="0.25">
      <c r="A196" s="461"/>
      <c r="B196" s="204" t="s">
        <v>326</v>
      </c>
      <c r="C196" s="599"/>
      <c r="E196" s="1250">
        <v>55.39</v>
      </c>
      <c r="F196" s="156">
        <v>78.91</v>
      </c>
      <c r="G196" s="156">
        <v>95.55</v>
      </c>
      <c r="H196" s="156">
        <v>214.69</v>
      </c>
      <c r="I196" s="156">
        <v>173.59</v>
      </c>
      <c r="J196" s="171">
        <v>549.29999999999995</v>
      </c>
      <c r="K196" s="156">
        <v>576.16999999999996</v>
      </c>
      <c r="L196" s="156">
        <v>188.05</v>
      </c>
      <c r="M196" s="171">
        <v>50</v>
      </c>
      <c r="N196" s="171">
        <v>15.32</v>
      </c>
      <c r="O196" s="171">
        <v>14.38</v>
      </c>
      <c r="P196" s="1250">
        <v>13.2</v>
      </c>
      <c r="Q196" s="1058"/>
      <c r="T196" s="171">
        <f t="shared" si="11"/>
        <v>2024.55</v>
      </c>
      <c r="U196" s="188"/>
      <c r="W196" s="190">
        <f>T196</f>
        <v>2024.55</v>
      </c>
      <c r="X196" s="188"/>
    </row>
    <row r="197" spans="1:26" s="157" customFormat="1" ht="16.5" x14ac:dyDescent="0.35">
      <c r="A197" s="461"/>
      <c r="B197" s="195" t="s">
        <v>398</v>
      </c>
      <c r="C197" s="599" t="s">
        <v>321</v>
      </c>
      <c r="E197" s="171"/>
      <c r="F197" s="198"/>
      <c r="G197" s="198"/>
      <c r="H197" s="198"/>
      <c r="I197" s="198"/>
      <c r="J197" s="198"/>
      <c r="K197" s="198"/>
      <c r="L197" s="198"/>
      <c r="M197" s="198"/>
      <c r="N197" s="198"/>
      <c r="O197" s="198"/>
      <c r="P197" s="198"/>
      <c r="Q197" s="446"/>
      <c r="T197" s="171">
        <f t="shared" si="11"/>
        <v>0</v>
      </c>
      <c r="U197" s="188"/>
      <c r="W197" s="197">
        <f>T197</f>
        <v>0</v>
      </c>
      <c r="X197" s="188"/>
    </row>
    <row r="198" spans="1:26" s="125" customFormat="1" x14ac:dyDescent="0.25">
      <c r="A198" s="461"/>
      <c r="B198" s="205"/>
      <c r="C198" s="599"/>
      <c r="D198" s="157"/>
      <c r="E198" s="446"/>
      <c r="F198" s="446"/>
      <c r="G198" s="446"/>
      <c r="H198" s="446"/>
      <c r="I198" s="446"/>
      <c r="J198" s="446"/>
      <c r="K198" s="446"/>
      <c r="L198" s="446"/>
      <c r="M198" s="446"/>
      <c r="N198" s="446"/>
      <c r="O198" s="446"/>
      <c r="P198" s="446"/>
      <c r="Q198" s="194"/>
      <c r="R198" s="157"/>
      <c r="S198" s="157"/>
      <c r="T198" s="184"/>
      <c r="U198" s="199"/>
      <c r="V198" s="157"/>
      <c r="W198" s="190">
        <f>SUM(W195:W197)</f>
        <v>19585.989999999998</v>
      </c>
      <c r="X198" s="188"/>
      <c r="Y198" s="157"/>
      <c r="Z198" s="157"/>
    </row>
    <row r="199" spans="1:26" s="125" customFormat="1" x14ac:dyDescent="0.25">
      <c r="A199" s="461"/>
      <c r="B199" s="205"/>
      <c r="C199" s="152"/>
      <c r="E199" s="201"/>
      <c r="F199" s="206"/>
      <c r="G199" s="202"/>
      <c r="H199" s="203"/>
      <c r="I199" s="203"/>
      <c r="J199" s="203"/>
      <c r="K199" s="203"/>
      <c r="L199" s="203"/>
      <c r="M199" s="203"/>
      <c r="N199" s="203"/>
      <c r="O199" s="203"/>
      <c r="P199" s="203"/>
      <c r="S199" s="126"/>
      <c r="U199" s="447"/>
      <c r="V199" s="126"/>
      <c r="Y199" s="157"/>
      <c r="Z199" s="157"/>
    </row>
    <row r="200" spans="1:26" s="125" customFormat="1" x14ac:dyDescent="0.25">
      <c r="A200" s="461">
        <v>20</v>
      </c>
      <c r="B200" s="148" t="s">
        <v>565</v>
      </c>
      <c r="C200" s="152"/>
      <c r="E200" s="157"/>
      <c r="F200" s="157"/>
      <c r="G200" s="157"/>
      <c r="H200" s="157"/>
      <c r="I200" s="157"/>
      <c r="J200" s="157"/>
      <c r="K200" s="157"/>
      <c r="L200" s="157"/>
      <c r="M200" s="157"/>
      <c r="N200" s="157"/>
      <c r="O200" s="157"/>
      <c r="P200" s="157"/>
      <c r="S200" s="126"/>
      <c r="T200" s="148" t="s">
        <v>565</v>
      </c>
      <c r="V200" s="126"/>
      <c r="Y200" s="157"/>
      <c r="Z200" s="157"/>
    </row>
    <row r="201" spans="1:26" s="125" customFormat="1" x14ac:dyDescent="0.25">
      <c r="A201" s="461"/>
      <c r="B201" s="130" t="s">
        <v>337</v>
      </c>
      <c r="C201" s="186" t="s">
        <v>977</v>
      </c>
      <c r="D201" s="131">
        <v>41821</v>
      </c>
      <c r="E201" s="131">
        <v>41852</v>
      </c>
      <c r="F201" s="131">
        <v>41883</v>
      </c>
      <c r="G201" s="131">
        <v>41913</v>
      </c>
      <c r="H201" s="131">
        <v>41944</v>
      </c>
      <c r="I201" s="131">
        <v>41974</v>
      </c>
      <c r="J201" s="131">
        <v>42005</v>
      </c>
      <c r="K201" s="131">
        <v>42036</v>
      </c>
      <c r="L201" s="131">
        <v>42064</v>
      </c>
      <c r="M201" s="131">
        <v>42095</v>
      </c>
      <c r="N201" s="131">
        <v>42125</v>
      </c>
      <c r="O201" s="131">
        <v>42156</v>
      </c>
      <c r="P201" s="131">
        <v>42186</v>
      </c>
      <c r="Q201" s="131">
        <v>42217</v>
      </c>
      <c r="R201" s="131">
        <v>42261</v>
      </c>
      <c r="S201" s="132"/>
      <c r="T201" s="133" t="s">
        <v>338</v>
      </c>
      <c r="U201" s="134" t="s">
        <v>339</v>
      </c>
      <c r="V201" s="132"/>
      <c r="W201" s="133" t="s">
        <v>338</v>
      </c>
      <c r="X201" s="134" t="s">
        <v>339</v>
      </c>
      <c r="Y201" s="157"/>
      <c r="Z201" s="157"/>
    </row>
    <row r="202" spans="1:26" s="157" customFormat="1" x14ac:dyDescent="0.25">
      <c r="A202" s="461"/>
      <c r="B202" s="135" t="s">
        <v>319</v>
      </c>
      <c r="C202" s="599"/>
      <c r="E202" s="1247">
        <v>44245</v>
      </c>
      <c r="F202" s="136">
        <v>47094</v>
      </c>
      <c r="G202" s="136">
        <v>53020</v>
      </c>
      <c r="H202" s="136">
        <v>44629</v>
      </c>
      <c r="I202" s="136">
        <v>46112</v>
      </c>
      <c r="J202" s="136">
        <v>44102</v>
      </c>
      <c r="K202" s="136">
        <v>44996</v>
      </c>
      <c r="L202" s="136">
        <v>44367</v>
      </c>
      <c r="M202" s="136">
        <v>51886</v>
      </c>
      <c r="N202" s="136">
        <v>38929</v>
      </c>
      <c r="O202" s="136">
        <v>38420</v>
      </c>
      <c r="P202" s="1247">
        <v>37831</v>
      </c>
      <c r="Q202" s="174"/>
      <c r="T202" s="141">
        <f>SUM(E202:P202)</f>
        <v>535631</v>
      </c>
      <c r="U202" s="188" t="s">
        <v>341</v>
      </c>
      <c r="W202" s="140">
        <f>T202*3413/1000000</f>
        <v>1828.1086029999999</v>
      </c>
      <c r="X202" s="138" t="s">
        <v>342</v>
      </c>
    </row>
    <row r="203" spans="1:26" s="157" customFormat="1" x14ac:dyDescent="0.25">
      <c r="A203" s="461"/>
      <c r="B203" s="135" t="s">
        <v>320</v>
      </c>
      <c r="C203" s="599"/>
      <c r="E203" s="1247">
        <v>12360</v>
      </c>
      <c r="F203" s="137">
        <v>88760</v>
      </c>
      <c r="G203" s="137">
        <v>98090</v>
      </c>
      <c r="H203" s="137">
        <v>73480</v>
      </c>
      <c r="I203" s="136">
        <v>75810</v>
      </c>
      <c r="J203" s="136">
        <v>96760</v>
      </c>
      <c r="K203" s="136">
        <v>97940</v>
      </c>
      <c r="L203" s="136">
        <v>50950</v>
      </c>
      <c r="M203" s="136">
        <v>8810</v>
      </c>
      <c r="N203" s="136">
        <v>10820</v>
      </c>
      <c r="O203" s="136">
        <v>2980</v>
      </c>
      <c r="P203" s="1247">
        <v>1480</v>
      </c>
      <c r="Q203" s="174"/>
      <c r="T203" s="141">
        <f t="shared" ref="T203:T208" si="12">SUM(E203:P203)</f>
        <v>618240</v>
      </c>
      <c r="U203" s="188" t="s">
        <v>344</v>
      </c>
      <c r="W203" s="160">
        <f>T203/1000</f>
        <v>618.24</v>
      </c>
      <c r="X203" s="138" t="s">
        <v>342</v>
      </c>
    </row>
    <row r="204" spans="1:26" s="157" customFormat="1" x14ac:dyDescent="0.25">
      <c r="A204" s="461"/>
      <c r="B204" s="192" t="s">
        <v>323</v>
      </c>
      <c r="C204" s="599"/>
      <c r="E204" s="1248">
        <v>55574</v>
      </c>
      <c r="F204" s="141">
        <v>50017</v>
      </c>
      <c r="G204" s="141">
        <v>37051</v>
      </c>
      <c r="H204" s="141">
        <v>30148</v>
      </c>
      <c r="I204" s="141">
        <v>29138</v>
      </c>
      <c r="J204" s="141">
        <v>27972</v>
      </c>
      <c r="K204" s="141">
        <v>21820</v>
      </c>
      <c r="L204" s="141">
        <v>26412</v>
      </c>
      <c r="M204" s="141">
        <v>29447</v>
      </c>
      <c r="N204" s="141">
        <v>37054</v>
      </c>
      <c r="O204" s="141">
        <v>46880</v>
      </c>
      <c r="P204" s="1248">
        <v>47976</v>
      </c>
      <c r="Q204" s="178"/>
      <c r="T204" s="141">
        <f t="shared" si="12"/>
        <v>439489</v>
      </c>
      <c r="U204" s="188" t="s">
        <v>397</v>
      </c>
      <c r="W204" s="160">
        <f>T204*0.012</f>
        <v>5273.8680000000004</v>
      </c>
      <c r="X204" s="138" t="s">
        <v>342</v>
      </c>
      <c r="Y204" s="495">
        <f>W202+W203+W204</f>
        <v>7720.2166030000008</v>
      </c>
      <c r="Z204" s="153" t="s">
        <v>677</v>
      </c>
    </row>
    <row r="205" spans="1:26" s="157" customFormat="1" x14ac:dyDescent="0.25">
      <c r="A205" s="461"/>
      <c r="B205" s="135" t="s">
        <v>345</v>
      </c>
      <c r="C205" s="599"/>
      <c r="E205" s="1248">
        <v>66600</v>
      </c>
      <c r="F205" s="141">
        <v>101200</v>
      </c>
      <c r="G205" s="141">
        <v>97600</v>
      </c>
      <c r="H205" s="141">
        <v>95900</v>
      </c>
      <c r="I205" s="141">
        <v>48700</v>
      </c>
      <c r="J205" s="141">
        <v>87300</v>
      </c>
      <c r="K205" s="141">
        <v>121900</v>
      </c>
      <c r="L205" s="141">
        <v>101400</v>
      </c>
      <c r="M205" s="141">
        <v>109300</v>
      </c>
      <c r="N205" s="141">
        <v>38200</v>
      </c>
      <c r="O205" s="141">
        <v>42400</v>
      </c>
      <c r="P205" s="1248">
        <v>15300</v>
      </c>
      <c r="Q205" s="178"/>
      <c r="T205" s="141">
        <f>SUM(E205:P205)</f>
        <v>925800</v>
      </c>
      <c r="U205" s="188" t="s">
        <v>346</v>
      </c>
      <c r="W205" s="141">
        <f>T205</f>
        <v>925800</v>
      </c>
      <c r="X205" s="188" t="s">
        <v>346</v>
      </c>
    </row>
    <row r="206" spans="1:26" s="157" customFormat="1" x14ac:dyDescent="0.25">
      <c r="A206" s="461"/>
      <c r="B206" s="135" t="s">
        <v>324</v>
      </c>
      <c r="C206" s="599"/>
      <c r="E206" s="1249">
        <v>3001.13</v>
      </c>
      <c r="F206" s="142">
        <v>3371.37</v>
      </c>
      <c r="G206" s="142">
        <v>3965.13</v>
      </c>
      <c r="H206" s="142">
        <v>2689.77</v>
      </c>
      <c r="I206" s="142">
        <v>2832.63</v>
      </c>
      <c r="J206" s="142">
        <v>2662.91</v>
      </c>
      <c r="K206" s="142">
        <v>2649.64</v>
      </c>
      <c r="L206" s="142">
        <v>2757.28</v>
      </c>
      <c r="M206" s="142">
        <v>3002.94</v>
      </c>
      <c r="N206" s="142">
        <v>2253.0500000000002</v>
      </c>
      <c r="O206" s="142">
        <v>2522.1799999999998</v>
      </c>
      <c r="P206" s="1249">
        <v>2189.5</v>
      </c>
      <c r="Q206" s="176"/>
      <c r="T206" s="171">
        <f>SUM(E206:P206)</f>
        <v>33897.53</v>
      </c>
      <c r="U206" s="188"/>
      <c r="W206" s="190">
        <f>T206</f>
        <v>33897.53</v>
      </c>
      <c r="X206" s="188"/>
    </row>
    <row r="207" spans="1:26" s="157" customFormat="1" x14ac:dyDescent="0.25">
      <c r="A207" s="461"/>
      <c r="B207" s="204" t="s">
        <v>326</v>
      </c>
      <c r="C207" s="599"/>
      <c r="E207" s="1250">
        <v>96.56</v>
      </c>
      <c r="F207" s="156">
        <v>693.5</v>
      </c>
      <c r="G207" s="156">
        <v>766.3</v>
      </c>
      <c r="H207" s="156">
        <v>574.1</v>
      </c>
      <c r="I207" s="171">
        <v>592.20000000000005</v>
      </c>
      <c r="J207" s="171">
        <v>755.9</v>
      </c>
      <c r="K207" s="171">
        <v>765.1</v>
      </c>
      <c r="L207" s="171">
        <v>398.1</v>
      </c>
      <c r="M207" s="171">
        <v>68.83</v>
      </c>
      <c r="N207" s="171">
        <v>84.53</v>
      </c>
      <c r="O207" s="171">
        <v>23.28</v>
      </c>
      <c r="P207" s="1250">
        <v>11.56</v>
      </c>
      <c r="Q207" s="1058"/>
      <c r="T207" s="171">
        <f>SUM(E207:P207)</f>
        <v>4829.96</v>
      </c>
      <c r="U207" s="188"/>
      <c r="W207" s="190">
        <f>T207</f>
        <v>4829.96</v>
      </c>
      <c r="X207" s="188"/>
    </row>
    <row r="208" spans="1:26" s="157" customFormat="1" ht="16.5" x14ac:dyDescent="0.35">
      <c r="A208" s="461"/>
      <c r="B208" s="195" t="s">
        <v>398</v>
      </c>
      <c r="C208" s="599" t="s">
        <v>321</v>
      </c>
      <c r="E208" s="171"/>
      <c r="F208" s="198"/>
      <c r="G208" s="198"/>
      <c r="H208" s="198"/>
      <c r="I208" s="198"/>
      <c r="J208" s="198"/>
      <c r="K208" s="198"/>
      <c r="L208" s="198"/>
      <c r="M208" s="198"/>
      <c r="N208" s="198"/>
      <c r="O208" s="198"/>
      <c r="P208" s="198"/>
      <c r="Q208" s="446"/>
      <c r="T208" s="171">
        <f t="shared" si="12"/>
        <v>0</v>
      </c>
      <c r="U208" s="188"/>
      <c r="W208" s="197">
        <f>T208</f>
        <v>0</v>
      </c>
      <c r="X208" s="188"/>
    </row>
    <row r="209" spans="1:26" s="125" customFormat="1" x14ac:dyDescent="0.25">
      <c r="A209" s="461"/>
      <c r="C209" s="599"/>
      <c r="D209" s="157"/>
      <c r="E209" s="446"/>
      <c r="F209" s="446"/>
      <c r="G209" s="446"/>
      <c r="H209" s="446"/>
      <c r="I209" s="446"/>
      <c r="J209" s="446"/>
      <c r="K209" s="446"/>
      <c r="L209" s="446"/>
      <c r="M209" s="446"/>
      <c r="N209" s="446"/>
      <c r="O209" s="446"/>
      <c r="P209" s="446"/>
      <c r="Q209" s="194"/>
      <c r="R209" s="157"/>
      <c r="S209" s="157"/>
      <c r="T209" s="184"/>
      <c r="U209" s="199"/>
      <c r="V209" s="157"/>
      <c r="W209" s="190">
        <f>SUM(W206:W208)</f>
        <v>38727.49</v>
      </c>
      <c r="X209" s="188"/>
      <c r="Y209" s="157"/>
      <c r="Z209" s="157"/>
    </row>
    <row r="211" spans="1:26" s="128" customFormat="1" x14ac:dyDescent="0.25">
      <c r="A211" s="459">
        <v>21</v>
      </c>
      <c r="B211" s="127" t="s">
        <v>384</v>
      </c>
      <c r="C211" s="173"/>
      <c r="S211" s="129"/>
      <c r="T211" s="127" t="s">
        <v>384</v>
      </c>
      <c r="V211" s="129"/>
      <c r="Y211" s="166"/>
      <c r="Z211" s="166"/>
    </row>
    <row r="212" spans="1:26" s="125" customFormat="1" x14ac:dyDescent="0.25">
      <c r="A212" s="461"/>
      <c r="B212" s="130" t="s">
        <v>337</v>
      </c>
      <c r="C212" s="186" t="s">
        <v>977</v>
      </c>
      <c r="D212" s="131">
        <v>41821</v>
      </c>
      <c r="E212" s="131">
        <v>41852</v>
      </c>
      <c r="F212" s="131">
        <v>41883</v>
      </c>
      <c r="G212" s="131">
        <v>41913</v>
      </c>
      <c r="H212" s="131">
        <v>41944</v>
      </c>
      <c r="I212" s="131">
        <v>41974</v>
      </c>
      <c r="J212" s="131">
        <v>42005</v>
      </c>
      <c r="K212" s="131">
        <v>42036</v>
      </c>
      <c r="L212" s="131">
        <v>42064</v>
      </c>
      <c r="M212" s="131">
        <v>42095</v>
      </c>
      <c r="N212" s="131">
        <v>42125</v>
      </c>
      <c r="O212" s="131">
        <v>42156</v>
      </c>
      <c r="P212" s="131">
        <v>42186</v>
      </c>
      <c r="Q212" s="131">
        <v>42217</v>
      </c>
      <c r="R212" s="131">
        <v>42261</v>
      </c>
      <c r="S212" s="132"/>
      <c r="T212" s="133" t="s">
        <v>338</v>
      </c>
      <c r="U212" s="134" t="s">
        <v>339</v>
      </c>
      <c r="V212" s="132"/>
      <c r="W212" s="133" t="s">
        <v>338</v>
      </c>
      <c r="X212" s="134" t="s">
        <v>339</v>
      </c>
      <c r="Y212" s="157"/>
      <c r="Z212" s="157"/>
    </row>
    <row r="213" spans="1:26" s="125" customFormat="1" x14ac:dyDescent="0.25">
      <c r="A213" s="461"/>
      <c r="B213" s="135" t="s">
        <v>340</v>
      </c>
      <c r="C213" s="152"/>
      <c r="D213" s="593">
        <v>60739</v>
      </c>
      <c r="E213" s="593">
        <v>78737</v>
      </c>
      <c r="F213" s="593">
        <v>86657</v>
      </c>
      <c r="G213" s="593">
        <v>75803</v>
      </c>
      <c r="H213" s="593">
        <v>77415</v>
      </c>
      <c r="I213" s="593">
        <v>51474</v>
      </c>
      <c r="J213" s="593">
        <v>78316</v>
      </c>
      <c r="K213" s="593">
        <v>82982</v>
      </c>
      <c r="L213" s="593">
        <v>73544</v>
      </c>
      <c r="M213" s="593">
        <v>74750</v>
      </c>
      <c r="N213" s="593">
        <v>59697</v>
      </c>
      <c r="O213" s="593">
        <v>56519</v>
      </c>
      <c r="P213" s="174"/>
      <c r="Q213" s="174"/>
      <c r="T213" s="137">
        <f>SUM(D213:Q213)</f>
        <v>856633</v>
      </c>
      <c r="U213" s="188" t="s">
        <v>341</v>
      </c>
      <c r="V213" s="157"/>
      <c r="W213" s="140">
        <f>T213*3413/1000000</f>
        <v>2923.6884289999998</v>
      </c>
      <c r="X213" s="138" t="s">
        <v>342</v>
      </c>
      <c r="Y213" s="157"/>
      <c r="Z213" s="157"/>
    </row>
    <row r="214" spans="1:26" s="125" customFormat="1" x14ac:dyDescent="0.25">
      <c r="A214" s="461"/>
      <c r="B214" s="135" t="s">
        <v>345</v>
      </c>
      <c r="C214" s="152"/>
      <c r="D214" s="593">
        <v>14690</v>
      </c>
      <c r="E214" s="593">
        <v>114850</v>
      </c>
      <c r="F214" s="593">
        <v>226300</v>
      </c>
      <c r="G214" s="593">
        <v>198250</v>
      </c>
      <c r="H214" s="593">
        <v>167200</v>
      </c>
      <c r="I214" s="593">
        <v>79360</v>
      </c>
      <c r="J214" s="593">
        <v>144200</v>
      </c>
      <c r="K214" s="593">
        <v>197810</v>
      </c>
      <c r="L214" s="593">
        <v>167900</v>
      </c>
      <c r="M214" s="593">
        <v>180230</v>
      </c>
      <c r="N214" s="593">
        <v>55320</v>
      </c>
      <c r="O214" s="593">
        <v>7730</v>
      </c>
      <c r="P214" s="178"/>
      <c r="Q214" s="178"/>
      <c r="T214" s="137">
        <f>SUM(D214:Q214)</f>
        <v>1553840</v>
      </c>
      <c r="U214" s="188" t="s">
        <v>346</v>
      </c>
      <c r="V214" s="157"/>
      <c r="W214" s="141">
        <f>T214</f>
        <v>1553840</v>
      </c>
      <c r="X214" s="188" t="s">
        <v>346</v>
      </c>
      <c r="Y214" s="157"/>
      <c r="Z214" s="157"/>
    </row>
    <row r="215" spans="1:26" s="125" customFormat="1" x14ac:dyDescent="0.25">
      <c r="A215" s="461"/>
      <c r="B215" s="135" t="s">
        <v>324</v>
      </c>
      <c r="C215" s="152"/>
      <c r="D215" s="171">
        <f>D214*0.072529</f>
        <v>1065.45101</v>
      </c>
      <c r="E215" s="171">
        <f>E214*0.073699</f>
        <v>8464.3301499999998</v>
      </c>
      <c r="F215" s="156">
        <f>F214*0.072532</f>
        <v>16413.991600000001</v>
      </c>
      <c r="G215" s="156">
        <f>G214*0.0586</f>
        <v>11617.45</v>
      </c>
      <c r="H215" s="156">
        <f>H214*0.0602</f>
        <v>10065.439999999999</v>
      </c>
      <c r="I215" s="142">
        <f>I214*0.0629</f>
        <v>4991.7439999999997</v>
      </c>
      <c r="J215" s="142">
        <f>J214*0.0589</f>
        <v>8493.380000000001</v>
      </c>
      <c r="K215" s="142">
        <f>K214*0.0557</f>
        <v>11018.017</v>
      </c>
      <c r="L215" s="142">
        <f>L214*0.0596</f>
        <v>10006.84</v>
      </c>
      <c r="M215" s="142">
        <f>M214*0.0594</f>
        <v>10705.662</v>
      </c>
      <c r="N215" s="142">
        <f>N214*0.0593</f>
        <v>3280.4760000000001</v>
      </c>
      <c r="O215" s="142">
        <f>O214*0.075</f>
        <v>579.75</v>
      </c>
      <c r="P215" s="176"/>
      <c r="Q215" s="176"/>
      <c r="T215" s="189">
        <f>SUM(D215:Q215)</f>
        <v>96702.531759999998</v>
      </c>
      <c r="U215" s="188"/>
      <c r="V215" s="157"/>
      <c r="W215" s="190">
        <f>T215</f>
        <v>96702.531759999998</v>
      </c>
      <c r="X215" s="188"/>
      <c r="Y215" s="157"/>
      <c r="Z215" s="157"/>
    </row>
    <row r="216" spans="1:26" s="125" customFormat="1" x14ac:dyDescent="0.25">
      <c r="A216" s="461"/>
      <c r="C216" s="152"/>
      <c r="D216" s="157"/>
      <c r="U216" s="126"/>
      <c r="X216" s="126"/>
      <c r="Y216" s="157"/>
      <c r="Z216" s="157"/>
    </row>
    <row r="217" spans="1:26" s="125" customFormat="1" x14ac:dyDescent="0.25">
      <c r="A217" s="461">
        <v>22</v>
      </c>
      <c r="B217" s="148" t="s">
        <v>406</v>
      </c>
      <c r="C217" s="152"/>
      <c r="S217" s="126"/>
      <c r="T217" s="148" t="s">
        <v>406</v>
      </c>
      <c r="V217" s="126"/>
      <c r="Y217" s="157"/>
      <c r="Z217" s="157"/>
    </row>
    <row r="218" spans="1:26" s="125" customFormat="1" x14ac:dyDescent="0.25">
      <c r="A218" s="461"/>
      <c r="B218" s="130" t="s">
        <v>337</v>
      </c>
      <c r="C218" s="186" t="s">
        <v>977</v>
      </c>
      <c r="D218" s="131">
        <v>41821</v>
      </c>
      <c r="E218" s="131">
        <v>41852</v>
      </c>
      <c r="F218" s="131">
        <v>41883</v>
      </c>
      <c r="G218" s="131">
        <v>41913</v>
      </c>
      <c r="H218" s="131">
        <v>41944</v>
      </c>
      <c r="I218" s="131">
        <v>41974</v>
      </c>
      <c r="J218" s="131">
        <v>42005</v>
      </c>
      <c r="K218" s="131">
        <v>42036</v>
      </c>
      <c r="L218" s="131">
        <v>42064</v>
      </c>
      <c r="M218" s="131">
        <v>42095</v>
      </c>
      <c r="N218" s="131">
        <v>42125</v>
      </c>
      <c r="O218" s="131">
        <v>42156</v>
      </c>
      <c r="P218" s="131">
        <v>42186</v>
      </c>
      <c r="Q218" s="151">
        <v>42217</v>
      </c>
      <c r="R218" s="131">
        <v>42261</v>
      </c>
      <c r="S218" s="132"/>
      <c r="T218" s="133" t="s">
        <v>338</v>
      </c>
      <c r="U218" s="134" t="s">
        <v>339</v>
      </c>
      <c r="V218" s="132"/>
      <c r="W218" s="133" t="s">
        <v>338</v>
      </c>
      <c r="X218" s="134" t="s">
        <v>339</v>
      </c>
      <c r="Y218" s="157"/>
      <c r="Z218" s="157"/>
    </row>
    <row r="219" spans="1:26" s="157" customFormat="1" x14ac:dyDescent="0.25">
      <c r="A219" s="461"/>
      <c r="B219" s="135" t="s">
        <v>319</v>
      </c>
      <c r="C219" s="599"/>
      <c r="D219" s="208">
        <v>124350</v>
      </c>
      <c r="E219" s="208">
        <v>124506</v>
      </c>
      <c r="F219" s="208">
        <v>157696</v>
      </c>
      <c r="G219" s="208">
        <v>138410</v>
      </c>
      <c r="H219" s="208">
        <v>115773</v>
      </c>
      <c r="I219" s="208">
        <v>107197</v>
      </c>
      <c r="J219" s="208">
        <v>96118</v>
      </c>
      <c r="K219" s="208">
        <v>110983</v>
      </c>
      <c r="L219" s="208">
        <v>90056</v>
      </c>
      <c r="M219" s="208">
        <v>131594</v>
      </c>
      <c r="N219" s="208">
        <v>122952</v>
      </c>
      <c r="O219" s="208">
        <v>119384</v>
      </c>
      <c r="T219" s="137">
        <f>SUM(D219:O219)</f>
        <v>1439019</v>
      </c>
      <c r="U219" s="138" t="s">
        <v>341</v>
      </c>
      <c r="V219" s="139"/>
      <c r="W219" s="140">
        <f>T219*3413/1000000</f>
        <v>4911.3718470000003</v>
      </c>
      <c r="X219" s="138" t="s">
        <v>342</v>
      </c>
    </row>
    <row r="220" spans="1:26" s="157" customFormat="1" x14ac:dyDescent="0.25">
      <c r="A220" s="461"/>
      <c r="B220" s="135" t="s">
        <v>372</v>
      </c>
      <c r="C220" s="599"/>
      <c r="D220" s="209">
        <v>878</v>
      </c>
      <c r="E220" s="209">
        <v>1123</v>
      </c>
      <c r="F220" s="209">
        <v>1488</v>
      </c>
      <c r="G220" s="209">
        <v>1741</v>
      </c>
      <c r="H220" s="209">
        <v>1756</v>
      </c>
      <c r="I220" s="209">
        <v>2813</v>
      </c>
      <c r="J220" s="209">
        <v>2829</v>
      </c>
      <c r="K220" s="209">
        <v>3202</v>
      </c>
      <c r="L220" s="209">
        <v>3083</v>
      </c>
      <c r="M220" s="209">
        <v>2150</v>
      </c>
      <c r="N220" s="209">
        <v>1769</v>
      </c>
      <c r="O220" s="209">
        <v>1707</v>
      </c>
      <c r="T220" s="137">
        <f>SUM(D220:O220)</f>
        <v>24539</v>
      </c>
      <c r="U220" s="138" t="s">
        <v>354</v>
      </c>
      <c r="V220" s="139"/>
      <c r="W220" s="140">
        <f>T220*99976.124488/1000000</f>
        <v>2453.3141188110317</v>
      </c>
      <c r="X220" s="138" t="s">
        <v>342</v>
      </c>
      <c r="Y220" s="495">
        <f>W219+W220</f>
        <v>7364.6859658110316</v>
      </c>
      <c r="Z220" s="153" t="s">
        <v>649</v>
      </c>
    </row>
    <row r="221" spans="1:26" s="157" customFormat="1" x14ac:dyDescent="0.25">
      <c r="A221" s="461"/>
      <c r="B221" s="135" t="s">
        <v>345</v>
      </c>
      <c r="C221" s="599"/>
      <c r="D221" s="494">
        <v>147700</v>
      </c>
      <c r="E221" s="494">
        <v>141500</v>
      </c>
      <c r="F221" s="494">
        <v>131000</v>
      </c>
      <c r="G221" s="494">
        <v>67100</v>
      </c>
      <c r="H221" s="494">
        <v>31250</v>
      </c>
      <c r="I221" s="494">
        <v>18300</v>
      </c>
      <c r="J221" s="494">
        <v>9750</v>
      </c>
      <c r="K221" s="494">
        <v>10120</v>
      </c>
      <c r="L221" s="494">
        <v>26800</v>
      </c>
      <c r="M221" s="494">
        <v>50000</v>
      </c>
      <c r="N221" s="494">
        <v>94225</v>
      </c>
      <c r="O221" s="494">
        <v>120500</v>
      </c>
      <c r="T221" s="137">
        <f>SUM(D221:O221)</f>
        <v>848245</v>
      </c>
      <c r="U221" s="138" t="s">
        <v>346</v>
      </c>
      <c r="V221" s="139"/>
      <c r="W221" s="137">
        <f>T221</f>
        <v>848245</v>
      </c>
      <c r="X221" s="138" t="s">
        <v>346</v>
      </c>
    </row>
    <row r="222" spans="1:26" s="157" customFormat="1" x14ac:dyDescent="0.25">
      <c r="A222" s="461"/>
      <c r="B222" s="135" t="s">
        <v>324</v>
      </c>
      <c r="C222" s="599"/>
      <c r="D222" s="211">
        <v>10042.505999999999</v>
      </c>
      <c r="E222" s="211">
        <v>10055.10456</v>
      </c>
      <c r="F222" s="211">
        <v>12735.52896</v>
      </c>
      <c r="G222" s="211">
        <v>11177.991599999999</v>
      </c>
      <c r="H222" s="211">
        <v>9349.8274799999999</v>
      </c>
      <c r="I222" s="211">
        <v>8657.2297199999994</v>
      </c>
      <c r="J222" s="211">
        <v>7762.4896799999997</v>
      </c>
      <c r="K222" s="211">
        <v>8962.987079999999</v>
      </c>
      <c r="L222" s="211">
        <v>7272.92256</v>
      </c>
      <c r="M222" s="211">
        <v>10627.531440000001</v>
      </c>
      <c r="N222" s="211">
        <v>9929.6035200000006</v>
      </c>
      <c r="O222" s="211">
        <v>9641.4518399999997</v>
      </c>
      <c r="T222" s="143">
        <f>SUM(D222:Q222)</f>
        <v>116215.17444000002</v>
      </c>
      <c r="U222" s="138"/>
      <c r="V222" s="139"/>
      <c r="W222" s="143">
        <f>T222</f>
        <v>116215.17444000002</v>
      </c>
      <c r="X222" s="138"/>
    </row>
    <row r="223" spans="1:26" s="157" customFormat="1" ht="16.5" x14ac:dyDescent="0.35">
      <c r="A223" s="461"/>
      <c r="B223" s="144" t="s">
        <v>374</v>
      </c>
      <c r="C223" s="599"/>
      <c r="D223" s="212">
        <v>505.20120000000003</v>
      </c>
      <c r="E223" s="212">
        <v>646.17420000000004</v>
      </c>
      <c r="F223" s="212">
        <v>856.19520000000011</v>
      </c>
      <c r="G223" s="212">
        <v>1001.7714000000001</v>
      </c>
      <c r="H223" s="212">
        <v>1010.4024000000001</v>
      </c>
      <c r="I223" s="212">
        <v>1618.6002000000001</v>
      </c>
      <c r="J223" s="212">
        <v>1627.8066000000001</v>
      </c>
      <c r="K223" s="212">
        <v>1842.4308000000001</v>
      </c>
      <c r="L223" s="212">
        <v>1773.9582</v>
      </c>
      <c r="M223" s="212">
        <v>1237.1100000000001</v>
      </c>
      <c r="N223" s="212">
        <v>1017.8826000000001</v>
      </c>
      <c r="O223" s="212">
        <v>982.20780000000002</v>
      </c>
      <c r="T223" s="143">
        <f>SUM(D223:Q223)</f>
        <v>14119.740600000001</v>
      </c>
      <c r="U223" s="138"/>
      <c r="V223" s="139"/>
      <c r="W223" s="146">
        <f>T223</f>
        <v>14119.740600000001</v>
      </c>
      <c r="X223" s="138"/>
    </row>
    <row r="224" spans="1:26" s="125" customFormat="1" x14ac:dyDescent="0.25">
      <c r="A224" s="461"/>
      <c r="C224" s="152"/>
      <c r="T224" s="139"/>
      <c r="U224" s="147"/>
      <c r="V224" s="139"/>
      <c r="W224" s="143">
        <f>SUM(W222:W223)</f>
        <v>130334.91504000002</v>
      </c>
      <c r="X224" s="138"/>
      <c r="Y224" s="157"/>
      <c r="Z224" s="157" t="s">
        <v>38</v>
      </c>
    </row>
    <row r="226" spans="1:26" s="128" customFormat="1" x14ac:dyDescent="0.25">
      <c r="A226" s="459">
        <v>23</v>
      </c>
      <c r="B226" s="127" t="s">
        <v>566</v>
      </c>
      <c r="C226" s="173"/>
      <c r="S226" s="129"/>
      <c r="T226" s="127" t="s">
        <v>566</v>
      </c>
      <c r="V226" s="129"/>
      <c r="Y226" s="166"/>
      <c r="Z226" s="166"/>
    </row>
    <row r="227" spans="1:26" s="125" customFormat="1" x14ac:dyDescent="0.25">
      <c r="A227" s="461"/>
      <c r="B227" s="130" t="s">
        <v>337</v>
      </c>
      <c r="C227" s="186" t="s">
        <v>977</v>
      </c>
      <c r="D227" s="131">
        <v>41821</v>
      </c>
      <c r="E227" s="131">
        <v>41852</v>
      </c>
      <c r="F227" s="131">
        <v>41883</v>
      </c>
      <c r="G227" s="131">
        <v>41913</v>
      </c>
      <c r="H227" s="131">
        <v>41944</v>
      </c>
      <c r="I227" s="131">
        <v>41974</v>
      </c>
      <c r="J227" s="131">
        <v>42005</v>
      </c>
      <c r="K227" s="131">
        <v>42036</v>
      </c>
      <c r="L227" s="131">
        <v>42064</v>
      </c>
      <c r="M227" s="131">
        <v>42095</v>
      </c>
      <c r="N227" s="131">
        <v>42125</v>
      </c>
      <c r="O227" s="131">
        <v>42156</v>
      </c>
      <c r="P227" s="131">
        <v>42186</v>
      </c>
      <c r="Q227" s="151">
        <v>42217</v>
      </c>
      <c r="R227" s="131">
        <v>42261</v>
      </c>
      <c r="S227" s="132"/>
      <c r="T227" s="133" t="s">
        <v>338</v>
      </c>
      <c r="U227" s="134" t="s">
        <v>339</v>
      </c>
      <c r="V227" s="132"/>
      <c r="W227" s="133" t="s">
        <v>338</v>
      </c>
      <c r="X227" s="134" t="s">
        <v>339</v>
      </c>
      <c r="Y227" s="157"/>
      <c r="Z227" s="157"/>
    </row>
    <row r="228" spans="1:26" s="125" customFormat="1" x14ac:dyDescent="0.25">
      <c r="A228" s="461"/>
      <c r="B228" s="135" t="s">
        <v>340</v>
      </c>
      <c r="C228" s="556" t="s">
        <v>1217</v>
      </c>
      <c r="D228" s="449"/>
      <c r="E228" s="448"/>
      <c r="F228" s="136"/>
      <c r="G228" s="136"/>
      <c r="H228" s="136"/>
      <c r="I228" s="136"/>
      <c r="J228" s="136"/>
      <c r="K228" s="136"/>
      <c r="L228" s="136"/>
      <c r="M228" s="136"/>
      <c r="N228" s="136"/>
      <c r="O228" s="174"/>
      <c r="P228" s="174"/>
      <c r="Q228" s="174"/>
      <c r="T228" s="187">
        <f>SUM(F228:Q228)</f>
        <v>0</v>
      </c>
      <c r="U228" s="188" t="s">
        <v>341</v>
      </c>
      <c r="V228" s="157"/>
      <c r="W228" s="140">
        <f>T228*3413/1000000</f>
        <v>0</v>
      </c>
      <c r="X228" s="138" t="s">
        <v>342</v>
      </c>
      <c r="Y228" s="157"/>
      <c r="Z228" s="157"/>
    </row>
    <row r="229" spans="1:26" s="125" customFormat="1" x14ac:dyDescent="0.25">
      <c r="A229" s="461"/>
      <c r="B229" s="135" t="s">
        <v>345</v>
      </c>
      <c r="C229" s="556" t="s">
        <v>1217</v>
      </c>
      <c r="D229" s="450"/>
      <c r="E229" s="440"/>
      <c r="F229" s="141"/>
      <c r="G229" s="141"/>
      <c r="H229" s="154"/>
      <c r="I229" s="154"/>
      <c r="J229" s="154"/>
      <c r="K229" s="141"/>
      <c r="L229" s="154"/>
      <c r="M229" s="141"/>
      <c r="N229" s="141"/>
      <c r="O229" s="178"/>
      <c r="P229" s="178"/>
      <c r="Q229" s="178"/>
      <c r="T229" s="187">
        <f>SUM(F229:Q229)</f>
        <v>0</v>
      </c>
      <c r="U229" s="188" t="s">
        <v>346</v>
      </c>
      <c r="V229" s="157"/>
      <c r="W229" s="141">
        <f>T229</f>
        <v>0</v>
      </c>
      <c r="X229" s="188" t="s">
        <v>346</v>
      </c>
      <c r="Y229" s="157"/>
      <c r="Z229" s="157"/>
    </row>
    <row r="230" spans="1:26" s="125" customFormat="1" x14ac:dyDescent="0.25">
      <c r="A230" s="461"/>
      <c r="B230" s="135" t="s">
        <v>324</v>
      </c>
      <c r="C230" s="556" t="s">
        <v>1217</v>
      </c>
      <c r="D230" s="450"/>
      <c r="E230" s="440"/>
      <c r="F230" s="142"/>
      <c r="G230" s="142"/>
      <c r="H230" s="142"/>
      <c r="I230" s="142"/>
      <c r="J230" s="142"/>
      <c r="K230" s="142"/>
      <c r="L230" s="142"/>
      <c r="M230" s="142"/>
      <c r="N230" s="142"/>
      <c r="O230" s="176"/>
      <c r="P230" s="176"/>
      <c r="Q230" s="176"/>
      <c r="T230" s="189">
        <f>SUM(F230:Q230)</f>
        <v>0</v>
      </c>
      <c r="U230" s="188"/>
      <c r="V230" s="157"/>
      <c r="W230" s="190">
        <f>T230</f>
        <v>0</v>
      </c>
      <c r="X230" s="188"/>
      <c r="Y230" s="157"/>
      <c r="Z230" s="157"/>
    </row>
    <row r="232" spans="1:26" s="125" customFormat="1" x14ac:dyDescent="0.25">
      <c r="A232" s="461">
        <v>24</v>
      </c>
      <c r="B232" s="207" t="s">
        <v>405</v>
      </c>
      <c r="C232" s="152"/>
      <c r="E232" s="1345" t="s">
        <v>1253</v>
      </c>
      <c r="S232" s="126"/>
      <c r="T232" s="207" t="s">
        <v>405</v>
      </c>
      <c r="V232" s="126"/>
      <c r="Y232" s="157"/>
      <c r="Z232" s="157"/>
    </row>
    <row r="233" spans="1:26" s="125" customFormat="1" x14ac:dyDescent="0.25">
      <c r="A233" s="461"/>
      <c r="B233" s="130" t="s">
        <v>337</v>
      </c>
      <c r="C233" s="186" t="s">
        <v>977</v>
      </c>
      <c r="D233" s="131">
        <v>41821</v>
      </c>
      <c r="E233" s="131">
        <v>41852</v>
      </c>
      <c r="F233" s="131">
        <v>41883</v>
      </c>
      <c r="G233" s="131">
        <v>41913</v>
      </c>
      <c r="H233" s="131">
        <v>41944</v>
      </c>
      <c r="I233" s="131">
        <v>41974</v>
      </c>
      <c r="J233" s="131">
        <v>42005</v>
      </c>
      <c r="K233" s="131">
        <v>42036</v>
      </c>
      <c r="L233" s="131">
        <v>42064</v>
      </c>
      <c r="M233" s="131">
        <v>42095</v>
      </c>
      <c r="N233" s="131">
        <v>42125</v>
      </c>
      <c r="O233" s="131">
        <v>42156</v>
      </c>
      <c r="P233" s="131">
        <v>42186</v>
      </c>
      <c r="Q233" s="151">
        <v>42217</v>
      </c>
      <c r="R233" s="131">
        <v>42261</v>
      </c>
      <c r="S233" s="132"/>
      <c r="T233" s="133" t="s">
        <v>338</v>
      </c>
      <c r="U233" s="134" t="s">
        <v>339</v>
      </c>
      <c r="V233" s="132"/>
      <c r="W233" s="133" t="s">
        <v>338</v>
      </c>
      <c r="X233" s="134" t="s">
        <v>339</v>
      </c>
      <c r="Y233" s="157"/>
      <c r="Z233" s="157"/>
    </row>
    <row r="234" spans="1:26" s="125" customFormat="1" x14ac:dyDescent="0.25">
      <c r="A234" s="461"/>
      <c r="B234" s="135" t="s">
        <v>340</v>
      </c>
      <c r="C234" s="152"/>
      <c r="F234" s="136"/>
      <c r="G234" s="136"/>
      <c r="H234" s="136"/>
      <c r="I234" s="136"/>
      <c r="J234" s="136"/>
      <c r="K234" s="136"/>
      <c r="L234" s="136"/>
      <c r="M234" s="136"/>
      <c r="N234" s="136"/>
      <c r="O234" s="136"/>
      <c r="P234" s="136"/>
      <c r="Q234" s="136"/>
      <c r="T234" s="137">
        <f>SUM(F234:Q234)</f>
        <v>0</v>
      </c>
      <c r="U234" s="138" t="s">
        <v>341</v>
      </c>
      <c r="V234" s="139"/>
      <c r="W234" s="140">
        <f>T234*3413/1000000</f>
        <v>0</v>
      </c>
      <c r="X234" s="138" t="s">
        <v>342</v>
      </c>
      <c r="Y234" s="157"/>
      <c r="Z234" s="157"/>
    </row>
    <row r="235" spans="1:26" s="125" customFormat="1" x14ac:dyDescent="0.25">
      <c r="A235" s="461"/>
      <c r="B235" s="135" t="s">
        <v>345</v>
      </c>
      <c r="C235" s="152"/>
      <c r="F235" s="141"/>
      <c r="G235" s="141"/>
      <c r="H235" s="141"/>
      <c r="I235" s="141"/>
      <c r="J235" s="141"/>
      <c r="K235" s="141"/>
      <c r="L235" s="141"/>
      <c r="M235" s="141"/>
      <c r="N235" s="141"/>
      <c r="O235" s="141"/>
      <c r="P235" s="141"/>
      <c r="Q235" s="141"/>
      <c r="T235" s="137">
        <f>SUM(F235:Q235)</f>
        <v>0</v>
      </c>
      <c r="U235" s="138" t="s">
        <v>346</v>
      </c>
      <c r="V235" s="139"/>
      <c r="W235" s="137">
        <f>T235</f>
        <v>0</v>
      </c>
      <c r="X235" s="138" t="s">
        <v>346</v>
      </c>
      <c r="Y235" s="157"/>
      <c r="Z235" s="157"/>
    </row>
    <row r="236" spans="1:26" s="125" customFormat="1" x14ac:dyDescent="0.25">
      <c r="A236" s="461"/>
      <c r="B236" s="135" t="s">
        <v>324</v>
      </c>
      <c r="C236" s="152"/>
      <c r="F236" s="142"/>
      <c r="G236" s="142"/>
      <c r="H236" s="142"/>
      <c r="I236" s="142"/>
      <c r="J236" s="142"/>
      <c r="K236" s="142"/>
      <c r="L236" s="142"/>
      <c r="M236" s="142"/>
      <c r="N236" s="142"/>
      <c r="O236" s="142"/>
      <c r="P236" s="142"/>
      <c r="Q236" s="142"/>
      <c r="T236" s="143">
        <f>SUM(F236:Q236)</f>
        <v>0</v>
      </c>
      <c r="U236" s="138"/>
      <c r="V236" s="139"/>
      <c r="W236" s="143">
        <f>T236</f>
        <v>0</v>
      </c>
      <c r="X236" s="138"/>
      <c r="Y236" s="157"/>
      <c r="Z236" s="157"/>
    </row>
    <row r="237" spans="1:26" s="125" customFormat="1" x14ac:dyDescent="0.25">
      <c r="A237" s="461"/>
      <c r="C237" s="152"/>
      <c r="S237" s="126"/>
      <c r="V237" s="126"/>
      <c r="Y237" s="157"/>
      <c r="Z237" s="157"/>
    </row>
    <row r="238" spans="1:26" s="125" customFormat="1" x14ac:dyDescent="0.25">
      <c r="A238" s="461">
        <v>25</v>
      </c>
      <c r="B238" s="148" t="s">
        <v>633</v>
      </c>
      <c r="C238" s="152"/>
      <c r="S238" s="126"/>
      <c r="T238" s="148" t="s">
        <v>633</v>
      </c>
      <c r="V238" s="126"/>
      <c r="Y238" s="157"/>
      <c r="Z238" s="157"/>
    </row>
    <row r="239" spans="1:26" s="125" customFormat="1" x14ac:dyDescent="0.25">
      <c r="A239" s="461"/>
      <c r="B239" s="130" t="s">
        <v>337</v>
      </c>
      <c r="C239" s="616" t="s">
        <v>977</v>
      </c>
      <c r="D239" s="131">
        <v>41821</v>
      </c>
      <c r="E239" s="131">
        <v>41852</v>
      </c>
      <c r="F239" s="131">
        <v>41883</v>
      </c>
      <c r="G239" s="131">
        <v>41913</v>
      </c>
      <c r="H239" s="131">
        <v>41944</v>
      </c>
      <c r="I239" s="131">
        <v>41974</v>
      </c>
      <c r="J239" s="131">
        <v>42005</v>
      </c>
      <c r="K239" s="131">
        <v>42036</v>
      </c>
      <c r="L239" s="131">
        <v>42064</v>
      </c>
      <c r="M239" s="131">
        <v>42095</v>
      </c>
      <c r="N239" s="131">
        <v>42125</v>
      </c>
      <c r="O239" s="131">
        <v>42156</v>
      </c>
      <c r="P239" s="131">
        <v>42186</v>
      </c>
      <c r="Q239" s="1244">
        <v>42217</v>
      </c>
      <c r="R239" s="131">
        <v>42261</v>
      </c>
      <c r="S239" s="132"/>
      <c r="T239" s="133" t="s">
        <v>338</v>
      </c>
      <c r="U239" s="134" t="s">
        <v>339</v>
      </c>
      <c r="V239" s="132"/>
      <c r="W239" s="133" t="s">
        <v>338</v>
      </c>
      <c r="X239" s="134" t="s">
        <v>339</v>
      </c>
      <c r="Y239" s="157"/>
      <c r="Z239" s="157"/>
    </row>
    <row r="240" spans="1:26" s="125" customFormat="1" x14ac:dyDescent="0.25">
      <c r="A240" s="461"/>
      <c r="B240" s="238" t="s">
        <v>409</v>
      </c>
      <c r="C240" s="152"/>
      <c r="D240" s="136">
        <v>46151</v>
      </c>
      <c r="E240" s="136">
        <v>49957</v>
      </c>
      <c r="F240" s="136">
        <v>57090</v>
      </c>
      <c r="G240" s="136">
        <v>57474</v>
      </c>
      <c r="H240" s="136">
        <v>52506</v>
      </c>
      <c r="I240" s="136">
        <v>46523</v>
      </c>
      <c r="J240" s="136">
        <v>49953</v>
      </c>
      <c r="K240" s="136">
        <v>50798</v>
      </c>
      <c r="L240" s="136">
        <v>50829</v>
      </c>
      <c r="M240" s="136">
        <v>54029</v>
      </c>
      <c r="N240" s="136">
        <v>50270</v>
      </c>
      <c r="O240" s="136">
        <v>42143</v>
      </c>
      <c r="P240" s="174"/>
      <c r="T240" s="137">
        <f>SUM(D240:O240)</f>
        <v>607723</v>
      </c>
      <c r="U240" s="138" t="s">
        <v>341</v>
      </c>
      <c r="V240" s="139"/>
      <c r="W240" s="140">
        <f>T240*3413/1000000</f>
        <v>2074.1585989999999</v>
      </c>
      <c r="X240" s="138" t="s">
        <v>342</v>
      </c>
      <c r="Y240" s="157"/>
      <c r="Z240" s="157"/>
    </row>
    <row r="241" spans="1:26" s="125" customFormat="1" x14ac:dyDescent="0.25">
      <c r="A241" s="461"/>
      <c r="B241" s="135" t="s">
        <v>864</v>
      </c>
      <c r="C241" s="152"/>
      <c r="D241" s="760">
        <v>12794.38</v>
      </c>
      <c r="E241" s="760">
        <v>33655.54</v>
      </c>
      <c r="F241" s="760">
        <v>33655.54</v>
      </c>
      <c r="G241" s="760">
        <v>41491.730000000003</v>
      </c>
      <c r="H241" s="760">
        <v>41491.730000000003</v>
      </c>
      <c r="I241" s="760">
        <v>32685.43</v>
      </c>
      <c r="J241" s="760">
        <v>32685.43</v>
      </c>
      <c r="K241" s="750">
        <v>35705.26</v>
      </c>
      <c r="L241" s="750">
        <v>35705.26</v>
      </c>
      <c r="M241" s="750">
        <v>29886.57</v>
      </c>
      <c r="N241" s="750">
        <v>11631.36</v>
      </c>
      <c r="O241" s="750">
        <v>12968.16</v>
      </c>
      <c r="P241" s="444"/>
      <c r="T241" s="137">
        <f>SUM(D241:O241)</f>
        <v>354356.38999999996</v>
      </c>
      <c r="U241" s="138" t="s">
        <v>379</v>
      </c>
      <c r="V241" s="139"/>
      <c r="W241" s="137">
        <f>T241*7.48</f>
        <v>2650585.7971999999</v>
      </c>
      <c r="X241" s="138" t="s">
        <v>346</v>
      </c>
      <c r="Y241" s="157"/>
      <c r="Z241" s="157"/>
    </row>
    <row r="242" spans="1:26" s="125" customFormat="1" x14ac:dyDescent="0.25">
      <c r="A242" s="461"/>
      <c r="B242" s="238" t="s">
        <v>324</v>
      </c>
      <c r="C242" s="152"/>
      <c r="D242" s="731">
        <v>4859.6899999999996</v>
      </c>
      <c r="E242" s="731">
        <v>5365.42</v>
      </c>
      <c r="F242" s="731">
        <v>6102.94</v>
      </c>
      <c r="G242" s="731">
        <v>6120.96</v>
      </c>
      <c r="H242" s="731">
        <v>5691.63</v>
      </c>
      <c r="I242" s="731">
        <v>5024.47</v>
      </c>
      <c r="J242" s="731">
        <v>5280.02</v>
      </c>
      <c r="K242" s="731">
        <v>5562.35</v>
      </c>
      <c r="L242" s="731">
        <v>5403.08</v>
      </c>
      <c r="M242" s="731">
        <v>5678.49</v>
      </c>
      <c r="N242" s="731">
        <v>5308.49</v>
      </c>
      <c r="O242" s="731">
        <v>4513.5200000000004</v>
      </c>
      <c r="P242" s="444"/>
      <c r="T242" s="143">
        <f>SUM(D242:Q242)</f>
        <v>64911.06</v>
      </c>
      <c r="U242" s="138"/>
      <c r="V242" s="139"/>
      <c r="W242" s="143">
        <f>T242</f>
        <v>64911.06</v>
      </c>
      <c r="X242" s="138"/>
      <c r="Y242" s="157"/>
      <c r="Z242" s="157"/>
    </row>
    <row r="243" spans="1:26" s="125" customFormat="1" x14ac:dyDescent="0.25">
      <c r="A243" s="461"/>
      <c r="C243" s="152"/>
      <c r="S243" s="126"/>
      <c r="V243" s="126"/>
      <c r="Y243" s="157"/>
      <c r="Z243" s="157"/>
    </row>
    <row r="244" spans="1:26" s="125" customFormat="1" x14ac:dyDescent="0.25">
      <c r="A244" s="461"/>
      <c r="C244" s="152"/>
      <c r="S244" s="126"/>
      <c r="V244" s="126"/>
      <c r="Y244" s="157"/>
      <c r="Z244" s="157"/>
    </row>
    <row r="245" spans="1:26" s="128" customFormat="1" x14ac:dyDescent="0.25">
      <c r="A245" s="459">
        <v>26</v>
      </c>
      <c r="B245" s="172" t="s">
        <v>1218</v>
      </c>
      <c r="C245" s="173"/>
      <c r="E245" s="166"/>
      <c r="F245" s="166"/>
      <c r="G245" s="166"/>
      <c r="H245" s="166"/>
      <c r="I245" s="166"/>
      <c r="J245" s="166"/>
      <c r="K245" s="166"/>
      <c r="L245" s="166"/>
      <c r="M245" s="166"/>
      <c r="N245" s="166"/>
      <c r="O245" s="166"/>
      <c r="P245" s="166"/>
      <c r="S245" s="129"/>
      <c r="T245" s="172" t="s">
        <v>567</v>
      </c>
      <c r="V245" s="129"/>
      <c r="Y245" s="166"/>
      <c r="Z245" s="166"/>
    </row>
    <row r="246" spans="1:26" s="125" customFormat="1" x14ac:dyDescent="0.25">
      <c r="A246" s="461"/>
      <c r="B246" s="130" t="s">
        <v>337</v>
      </c>
      <c r="C246" s="186" t="s">
        <v>977</v>
      </c>
      <c r="D246" s="131">
        <v>41821</v>
      </c>
      <c r="E246" s="131">
        <v>41852</v>
      </c>
      <c r="F246" s="131">
        <v>41883</v>
      </c>
      <c r="G246" s="131">
        <v>41913</v>
      </c>
      <c r="H246" s="131">
        <v>41944</v>
      </c>
      <c r="I246" s="131">
        <v>41974</v>
      </c>
      <c r="J246" s="131">
        <v>42005</v>
      </c>
      <c r="K246" s="131">
        <v>42036</v>
      </c>
      <c r="L246" s="131">
        <v>42064</v>
      </c>
      <c r="M246" s="131">
        <v>42095</v>
      </c>
      <c r="N246" s="131">
        <v>42125</v>
      </c>
      <c r="O246" s="131">
        <v>42156</v>
      </c>
      <c r="P246" s="131">
        <v>42186</v>
      </c>
      <c r="Q246" s="151">
        <v>42217</v>
      </c>
      <c r="R246" s="131">
        <v>42261</v>
      </c>
      <c r="S246" s="132"/>
      <c r="T246" s="133" t="s">
        <v>338</v>
      </c>
      <c r="U246" s="134" t="s">
        <v>339</v>
      </c>
      <c r="V246" s="132"/>
      <c r="W246" s="133" t="s">
        <v>338</v>
      </c>
      <c r="X246" s="134" t="s">
        <v>339</v>
      </c>
      <c r="Y246" s="157"/>
      <c r="Z246" s="157"/>
    </row>
    <row r="247" spans="1:26" s="157" customFormat="1" x14ac:dyDescent="0.25">
      <c r="A247" s="461"/>
      <c r="B247" s="135" t="s">
        <v>319</v>
      </c>
      <c r="C247" s="599"/>
      <c r="D247" s="1253">
        <v>100845</v>
      </c>
      <c r="E247" s="1253">
        <v>78204</v>
      </c>
      <c r="F247" s="1253">
        <v>93223</v>
      </c>
      <c r="G247" s="1253">
        <v>110163</v>
      </c>
      <c r="H247" s="1253">
        <v>109266</v>
      </c>
      <c r="I247" s="1253">
        <v>122835</v>
      </c>
      <c r="J247" s="1253">
        <v>135652</v>
      </c>
      <c r="K247" s="1253">
        <v>119214</v>
      </c>
      <c r="L247" s="1253">
        <v>106070</v>
      </c>
      <c r="M247" s="1253">
        <v>104028</v>
      </c>
      <c r="N247" s="1253">
        <v>81870</v>
      </c>
      <c r="O247" s="1253">
        <v>81322</v>
      </c>
      <c r="P247" s="174"/>
      <c r="Q247" s="174"/>
      <c r="T247" s="141">
        <f>SUM(D247:Q247)</f>
        <v>1242692</v>
      </c>
      <c r="U247" s="188" t="s">
        <v>341</v>
      </c>
      <c r="W247" s="140">
        <f>T247*3413/1000000</f>
        <v>4241.3077960000001</v>
      </c>
      <c r="X247" s="138" t="s">
        <v>342</v>
      </c>
    </row>
    <row r="248" spans="1:26" s="157" customFormat="1" x14ac:dyDescent="0.25">
      <c r="A248" s="461"/>
      <c r="B248" s="135" t="s">
        <v>1207</v>
      </c>
      <c r="C248" s="599"/>
      <c r="D248" s="1254">
        <v>185760.63749999975</v>
      </c>
      <c r="E248" s="1254">
        <v>182846.58750000005</v>
      </c>
      <c r="F248" s="1254">
        <v>177215.62500000055</v>
      </c>
      <c r="G248" s="1254">
        <v>195564.5624999998</v>
      </c>
      <c r="H248" s="1254">
        <v>353043.6249999993</v>
      </c>
      <c r="I248" s="1254">
        <v>353908.83749999915</v>
      </c>
      <c r="J248" s="1254">
        <v>422476.13750000054</v>
      </c>
      <c r="K248" s="1254">
        <v>495615.66249999945</v>
      </c>
      <c r="L248" s="1254">
        <v>317742.16249999881</v>
      </c>
      <c r="M248" s="1254">
        <v>195338.19999999998</v>
      </c>
      <c r="N248" s="1254">
        <v>202179.68750000035</v>
      </c>
      <c r="O248" s="1254">
        <v>187366.97500000003</v>
      </c>
      <c r="P248" s="174"/>
      <c r="Q248" s="174"/>
      <c r="T248" s="141">
        <f>SUM(D248:Q248)</f>
        <v>3269058.6999999983</v>
      </c>
      <c r="U248" s="138" t="s">
        <v>497</v>
      </c>
      <c r="W248" s="160">
        <f>T248/1000</f>
        <v>3269.0586999999982</v>
      </c>
      <c r="X248" s="138" t="s">
        <v>342</v>
      </c>
    </row>
    <row r="249" spans="1:26" s="157" customFormat="1" x14ac:dyDescent="0.25">
      <c r="A249" s="461"/>
      <c r="B249" s="192" t="s">
        <v>323</v>
      </c>
      <c r="C249" s="599"/>
      <c r="D249" s="1254">
        <v>184925.65000000023</v>
      </c>
      <c r="E249" s="1254">
        <v>187610.71458333361</v>
      </c>
      <c r="F249" s="1254">
        <v>161643.91562500002</v>
      </c>
      <c r="G249" s="1254">
        <v>92603.63125000018</v>
      </c>
      <c r="H249" s="1254">
        <v>42747.975000000028</v>
      </c>
      <c r="I249" s="1254">
        <v>24144.979166666682</v>
      </c>
      <c r="J249" s="1254">
        <v>20962.698958333291</v>
      </c>
      <c r="K249" s="1254">
        <v>9090.1406250000182</v>
      </c>
      <c r="L249" s="1254">
        <v>41390.976041666756</v>
      </c>
      <c r="M249" s="1254">
        <v>73507.148958333259</v>
      </c>
      <c r="N249" s="1254">
        <v>122285.9531249999</v>
      </c>
      <c r="O249" s="1254">
        <v>189833.17187500009</v>
      </c>
      <c r="P249" s="178"/>
      <c r="Q249" s="178"/>
      <c r="T249" s="141">
        <f>SUM(D249:Q249)</f>
        <v>1150746.9552083339</v>
      </c>
      <c r="U249" s="188" t="s">
        <v>397</v>
      </c>
      <c r="W249" s="160">
        <f>T249*0.012</f>
        <v>13808.963462500007</v>
      </c>
      <c r="X249" s="138" t="s">
        <v>342</v>
      </c>
      <c r="Y249" s="495">
        <f>W247+W248+W249</f>
        <v>21319.329958500006</v>
      </c>
      <c r="Z249" s="138" t="s">
        <v>342</v>
      </c>
    </row>
    <row r="250" spans="1:26" s="157" customFormat="1" x14ac:dyDescent="0.25">
      <c r="A250" s="461"/>
      <c r="B250" s="135" t="s">
        <v>322</v>
      </c>
      <c r="C250" s="599"/>
      <c r="D250" s="1253">
        <v>59987</v>
      </c>
      <c r="E250" s="1253">
        <v>60321</v>
      </c>
      <c r="F250" s="1253">
        <v>93677</v>
      </c>
      <c r="G250" s="1253">
        <v>93797</v>
      </c>
      <c r="H250" s="1253">
        <v>82883</v>
      </c>
      <c r="I250" s="1253">
        <v>67813</v>
      </c>
      <c r="J250" s="1253">
        <v>82585</v>
      </c>
      <c r="K250" s="1253">
        <v>78934</v>
      </c>
      <c r="L250" s="1253">
        <v>77250</v>
      </c>
      <c r="M250" s="1253">
        <v>78573</v>
      </c>
      <c r="N250" s="1253">
        <v>44429</v>
      </c>
      <c r="O250" s="1253">
        <v>38100</v>
      </c>
      <c r="P250" s="178"/>
      <c r="Q250" s="178"/>
      <c r="T250" s="141">
        <f>SUM(D250:Q250)</f>
        <v>858349</v>
      </c>
      <c r="U250" s="188" t="s">
        <v>346</v>
      </c>
      <c r="W250" s="141">
        <f>T250</f>
        <v>858349</v>
      </c>
      <c r="X250" s="188" t="s">
        <v>346</v>
      </c>
    </row>
    <row r="251" spans="1:26" s="157" customFormat="1" x14ac:dyDescent="0.25">
      <c r="A251" s="461"/>
      <c r="B251" s="135" t="s">
        <v>324</v>
      </c>
      <c r="C251" s="599"/>
      <c r="D251" s="1255">
        <v>8390.2999999999993</v>
      </c>
      <c r="E251" s="1255">
        <v>6381.45</v>
      </c>
      <c r="F251" s="1255">
        <v>7541.74</v>
      </c>
      <c r="G251" s="1255">
        <v>7975.8</v>
      </c>
      <c r="H251" s="1255">
        <v>8347.92</v>
      </c>
      <c r="I251" s="1255">
        <v>9433.73</v>
      </c>
      <c r="J251" s="1255">
        <v>10241.73</v>
      </c>
      <c r="K251" s="1255">
        <v>8821.84</v>
      </c>
      <c r="L251" s="1255">
        <v>7965.86</v>
      </c>
      <c r="M251" s="1255">
        <v>7968.54</v>
      </c>
      <c r="N251" s="1255">
        <v>6091.13</v>
      </c>
      <c r="O251" s="1255">
        <v>6774.12</v>
      </c>
      <c r="P251" s="176"/>
      <c r="Q251" s="176"/>
      <c r="T251" s="171">
        <f>SUM(D251:Q251)</f>
        <v>95934.159999999989</v>
      </c>
      <c r="U251" s="188"/>
      <c r="W251" s="190">
        <f>T251</f>
        <v>95934.159999999989</v>
      </c>
      <c r="X251" s="188"/>
    </row>
    <row r="252" spans="1:26" s="157" customFormat="1" x14ac:dyDescent="0.25">
      <c r="A252" s="461"/>
      <c r="B252" s="204" t="s">
        <v>819</v>
      </c>
      <c r="C252" s="599"/>
      <c r="D252" s="145">
        <v>1991.48</v>
      </c>
      <c r="E252" s="145">
        <v>1230.58</v>
      </c>
      <c r="F252" s="145">
        <v>1424.64</v>
      </c>
      <c r="G252" s="145">
        <v>1651.44</v>
      </c>
      <c r="H252" s="145">
        <v>2368.8000000000002</v>
      </c>
      <c r="I252" s="145">
        <v>3424.12</v>
      </c>
      <c r="J252" s="145">
        <v>2639.52</v>
      </c>
      <c r="K252" s="145">
        <v>1759.68</v>
      </c>
      <c r="L252" s="145">
        <v>2454.0500000000002</v>
      </c>
      <c r="M252" s="145">
        <v>1963.63</v>
      </c>
      <c r="N252" s="145">
        <v>1263.33</v>
      </c>
      <c r="O252" s="145">
        <v>1306.98</v>
      </c>
      <c r="P252" s="184"/>
      <c r="Q252" s="184"/>
      <c r="T252" s="171">
        <f>SUM(D252:O252)</f>
        <v>23478.249999999996</v>
      </c>
      <c r="U252" s="188"/>
      <c r="W252" s="190">
        <f>T252</f>
        <v>23478.249999999996</v>
      </c>
      <c r="X252" s="188"/>
    </row>
    <row r="253" spans="1:26" s="157" customFormat="1" ht="16.5" x14ac:dyDescent="0.35">
      <c r="A253" s="461"/>
      <c r="B253" s="195" t="s">
        <v>398</v>
      </c>
      <c r="C253" s="599"/>
      <c r="D253" s="1255">
        <v>16199.1</v>
      </c>
      <c r="E253" s="1255">
        <v>12131.34</v>
      </c>
      <c r="F253" s="1255">
        <v>11104.35</v>
      </c>
      <c r="G253" s="1255">
        <v>7007.04</v>
      </c>
      <c r="H253" s="1255">
        <v>3332.0299999999997</v>
      </c>
      <c r="I253" s="1255">
        <v>3691.6</v>
      </c>
      <c r="J253" s="1255">
        <v>1790.24</v>
      </c>
      <c r="K253" s="1255">
        <v>1136.79</v>
      </c>
      <c r="L253" s="1255">
        <v>4071.71</v>
      </c>
      <c r="M253" s="1255">
        <v>7374.5099999999993</v>
      </c>
      <c r="N253" s="1255">
        <v>8692.64</v>
      </c>
      <c r="O253" s="1255">
        <v>10220.77</v>
      </c>
      <c r="P253" s="446"/>
      <c r="Q253" s="446"/>
      <c r="T253" s="171">
        <f>SUM(D253:O253)</f>
        <v>86752.12</v>
      </c>
      <c r="U253" s="188"/>
      <c r="W253" s="197">
        <f>T253</f>
        <v>86752.12</v>
      </c>
      <c r="X253" s="188"/>
    </row>
    <row r="254" spans="1:26" s="125" customFormat="1" x14ac:dyDescent="0.25">
      <c r="A254" s="461"/>
      <c r="B254" s="205"/>
      <c r="C254" s="152"/>
      <c r="E254" s="201"/>
      <c r="F254" s="206"/>
      <c r="G254" s="202"/>
      <c r="H254" s="203"/>
      <c r="I254" s="203"/>
      <c r="J254" s="203"/>
      <c r="K254" s="203"/>
      <c r="L254" s="203"/>
      <c r="M254" s="203"/>
      <c r="N254" s="203"/>
      <c r="O254" s="203"/>
      <c r="P254" s="203"/>
      <c r="U254" s="126"/>
      <c r="W254" s="190">
        <f>SUM(W251:W253)</f>
        <v>206164.52999999997</v>
      </c>
      <c r="X254" s="450"/>
      <c r="Y254" s="157"/>
      <c r="Z254" s="157"/>
    </row>
    <row r="255" spans="1:26" s="125" customFormat="1" x14ac:dyDescent="0.25">
      <c r="A255" s="461"/>
      <c r="B255" s="205"/>
      <c r="C255" s="152"/>
      <c r="E255" s="201"/>
      <c r="F255" s="206"/>
      <c r="G255" s="202"/>
      <c r="H255" s="203"/>
      <c r="I255" s="203"/>
      <c r="J255" s="203"/>
      <c r="K255" s="203"/>
      <c r="L255" s="203"/>
      <c r="M255" s="203"/>
      <c r="N255" s="203"/>
      <c r="O255" s="203"/>
      <c r="P255" s="203"/>
      <c r="U255" s="126"/>
      <c r="W255" s="447"/>
      <c r="X255" s="126"/>
      <c r="Y255" s="157"/>
      <c r="Z255" s="157"/>
    </row>
    <row r="256" spans="1:26" s="125" customFormat="1" x14ac:dyDescent="0.25">
      <c r="A256" s="461">
        <v>27</v>
      </c>
      <c r="B256" s="207" t="s">
        <v>568</v>
      </c>
      <c r="C256" s="152"/>
      <c r="E256" s="1345" t="s">
        <v>1253</v>
      </c>
      <c r="S256" s="126"/>
      <c r="T256" s="207" t="s">
        <v>568</v>
      </c>
      <c r="V256" s="126"/>
      <c r="Y256" s="157"/>
      <c r="Z256" s="157"/>
    </row>
    <row r="257" spans="1:26" s="125" customFormat="1" x14ac:dyDescent="0.25">
      <c r="A257" s="461"/>
      <c r="B257" s="130" t="s">
        <v>337</v>
      </c>
      <c r="C257" s="186" t="s">
        <v>977</v>
      </c>
      <c r="D257" s="131">
        <v>41821</v>
      </c>
      <c r="E257" s="131">
        <v>41852</v>
      </c>
      <c r="F257" s="131">
        <v>41883</v>
      </c>
      <c r="G257" s="131">
        <v>41913</v>
      </c>
      <c r="H257" s="131">
        <v>41944</v>
      </c>
      <c r="I257" s="131">
        <v>41974</v>
      </c>
      <c r="J257" s="131">
        <v>42005</v>
      </c>
      <c r="K257" s="131">
        <v>42036</v>
      </c>
      <c r="L257" s="131">
        <v>42064</v>
      </c>
      <c r="M257" s="131">
        <v>42095</v>
      </c>
      <c r="N257" s="131">
        <v>42125</v>
      </c>
      <c r="O257" s="131">
        <v>42156</v>
      </c>
      <c r="P257" s="131">
        <v>42186</v>
      </c>
      <c r="Q257" s="151">
        <v>42217</v>
      </c>
      <c r="R257" s="131">
        <v>42261</v>
      </c>
      <c r="S257" s="132"/>
      <c r="T257" s="133" t="s">
        <v>338</v>
      </c>
      <c r="U257" s="134" t="s">
        <v>339</v>
      </c>
      <c r="V257" s="132"/>
      <c r="W257" s="133" t="s">
        <v>338</v>
      </c>
      <c r="X257" s="134" t="s">
        <v>339</v>
      </c>
      <c r="Y257" s="157"/>
      <c r="Z257" s="157"/>
    </row>
    <row r="258" spans="1:26" s="125" customFormat="1" x14ac:dyDescent="0.25">
      <c r="A258" s="461"/>
      <c r="B258" s="135" t="s">
        <v>340</v>
      </c>
      <c r="C258" s="152"/>
      <c r="F258" s="136"/>
      <c r="G258" s="136"/>
      <c r="H258" s="136"/>
      <c r="I258" s="136"/>
      <c r="J258" s="136"/>
      <c r="K258" s="136"/>
      <c r="L258" s="136"/>
      <c r="M258" s="136"/>
      <c r="N258" s="136"/>
      <c r="O258" s="136"/>
      <c r="P258" s="136"/>
      <c r="Q258" s="136"/>
      <c r="T258" s="137">
        <f>SUM(F258:Q258)</f>
        <v>0</v>
      </c>
      <c r="U258" s="138" t="s">
        <v>341</v>
      </c>
      <c r="V258" s="139"/>
      <c r="W258" s="140">
        <f>T258*3413/1000000</f>
        <v>0</v>
      </c>
      <c r="X258" s="138" t="s">
        <v>342</v>
      </c>
      <c r="Y258" s="157"/>
      <c r="Z258" s="157"/>
    </row>
    <row r="259" spans="1:26" s="125" customFormat="1" x14ac:dyDescent="0.25">
      <c r="A259" s="461"/>
      <c r="B259" s="135" t="s">
        <v>345</v>
      </c>
      <c r="C259" s="152"/>
      <c r="F259" s="141"/>
      <c r="G259" s="141"/>
      <c r="H259" s="141"/>
      <c r="I259" s="141"/>
      <c r="J259" s="141"/>
      <c r="K259" s="141"/>
      <c r="L259" s="141"/>
      <c r="M259" s="141"/>
      <c r="N259" s="141"/>
      <c r="O259" s="141"/>
      <c r="P259" s="141"/>
      <c r="Q259" s="141"/>
      <c r="T259" s="137">
        <f>SUM(F259:Q259)</f>
        <v>0</v>
      </c>
      <c r="U259" s="138" t="s">
        <v>346</v>
      </c>
      <c r="V259" s="139"/>
      <c r="W259" s="137">
        <f>T259</f>
        <v>0</v>
      </c>
      <c r="X259" s="138" t="s">
        <v>346</v>
      </c>
      <c r="Y259" s="157"/>
      <c r="Z259" s="157"/>
    </row>
    <row r="260" spans="1:26" s="125" customFormat="1" x14ac:dyDescent="0.25">
      <c r="A260" s="461"/>
      <c r="B260" s="135" t="s">
        <v>324</v>
      </c>
      <c r="C260" s="152"/>
      <c r="F260" s="142"/>
      <c r="G260" s="142"/>
      <c r="H260" s="142"/>
      <c r="I260" s="142"/>
      <c r="J260" s="142"/>
      <c r="K260" s="142"/>
      <c r="L260" s="142"/>
      <c r="M260" s="142"/>
      <c r="N260" s="142"/>
      <c r="O260" s="142"/>
      <c r="P260" s="142"/>
      <c r="Q260" s="142"/>
      <c r="T260" s="143">
        <f>SUM(F260:Q260)</f>
        <v>0</v>
      </c>
      <c r="U260" s="138"/>
      <c r="V260" s="139"/>
      <c r="W260" s="143">
        <f>T260</f>
        <v>0</v>
      </c>
      <c r="X260" s="138"/>
      <c r="Y260" s="157"/>
      <c r="Z260" s="157"/>
    </row>
    <row r="261" spans="1:26" s="125" customFormat="1" x14ac:dyDescent="0.25">
      <c r="A261" s="461"/>
      <c r="B261" s="183"/>
      <c r="C261" s="152"/>
      <c r="F261" s="176"/>
      <c r="G261" s="176"/>
      <c r="H261" s="176"/>
      <c r="I261" s="176"/>
      <c r="J261" s="176"/>
      <c r="K261" s="176"/>
      <c r="L261" s="176"/>
      <c r="M261" s="176"/>
      <c r="N261" s="176"/>
      <c r="O261" s="176"/>
      <c r="P261" s="176"/>
      <c r="Q261" s="176"/>
      <c r="T261" s="149"/>
      <c r="U261" s="150"/>
      <c r="V261" s="139"/>
      <c r="W261" s="149"/>
      <c r="X261" s="150"/>
      <c r="Y261" s="157"/>
      <c r="Z261" s="157"/>
    </row>
    <row r="262" spans="1:26" s="125" customFormat="1" x14ac:dyDescent="0.25">
      <c r="A262" s="461"/>
      <c r="C262" s="152"/>
      <c r="S262" s="126"/>
      <c r="V262" s="126"/>
      <c r="Y262" s="157"/>
      <c r="Z262" s="157"/>
    </row>
    <row r="263" spans="1:26" s="125" customFormat="1" x14ac:dyDescent="0.25">
      <c r="A263" s="461">
        <v>28</v>
      </c>
      <c r="B263" s="148" t="s">
        <v>569</v>
      </c>
      <c r="C263" s="152"/>
      <c r="E263" s="157"/>
      <c r="F263" s="157"/>
      <c r="G263" s="157"/>
      <c r="H263" s="157"/>
      <c r="I263" s="157"/>
      <c r="J263" s="157"/>
      <c r="K263" s="157"/>
      <c r="L263" s="157"/>
      <c r="M263" s="157"/>
      <c r="N263" s="157"/>
      <c r="O263" s="157"/>
      <c r="P263" s="157"/>
      <c r="S263" s="126"/>
      <c r="T263" s="148" t="s">
        <v>569</v>
      </c>
      <c r="V263" s="126"/>
      <c r="Y263" s="157"/>
      <c r="Z263" s="157"/>
    </row>
    <row r="264" spans="1:26" s="125" customFormat="1" x14ac:dyDescent="0.25">
      <c r="A264" s="461"/>
      <c r="B264" s="130" t="s">
        <v>337</v>
      </c>
      <c r="C264" s="186" t="s">
        <v>977</v>
      </c>
      <c r="D264" s="131">
        <v>41821</v>
      </c>
      <c r="E264" s="131">
        <v>41852</v>
      </c>
      <c r="F264" s="131">
        <v>41883</v>
      </c>
      <c r="G264" s="131">
        <v>41913</v>
      </c>
      <c r="H264" s="131">
        <v>41944</v>
      </c>
      <c r="I264" s="131">
        <v>41974</v>
      </c>
      <c r="J264" s="131">
        <v>42005</v>
      </c>
      <c r="K264" s="131">
        <v>42036</v>
      </c>
      <c r="L264" s="131">
        <v>42064</v>
      </c>
      <c r="M264" s="131">
        <v>42095</v>
      </c>
      <c r="N264" s="131">
        <v>42125</v>
      </c>
      <c r="O264" s="131">
        <v>42156</v>
      </c>
      <c r="P264" s="131">
        <v>42186</v>
      </c>
      <c r="Q264" s="131">
        <v>42217</v>
      </c>
      <c r="R264" s="131">
        <v>42261</v>
      </c>
      <c r="S264" s="132"/>
      <c r="T264" s="133" t="s">
        <v>338</v>
      </c>
      <c r="U264" s="134" t="s">
        <v>339</v>
      </c>
      <c r="V264" s="132"/>
      <c r="W264" s="133" t="s">
        <v>338</v>
      </c>
      <c r="X264" s="134" t="s">
        <v>339</v>
      </c>
      <c r="Y264" s="157"/>
      <c r="Z264" s="157"/>
    </row>
    <row r="265" spans="1:26" s="157" customFormat="1" x14ac:dyDescent="0.25">
      <c r="A265" s="461"/>
      <c r="B265" s="135" t="s">
        <v>319</v>
      </c>
      <c r="C265" s="599"/>
      <c r="D265" s="160">
        <v>190224.69</v>
      </c>
      <c r="E265" s="160">
        <v>191998.96</v>
      </c>
      <c r="F265" s="558">
        <v>188596.37</v>
      </c>
      <c r="G265" s="558">
        <v>199761.09</v>
      </c>
      <c r="H265" s="558">
        <v>187643.35</v>
      </c>
      <c r="I265" s="558">
        <v>182052.4</v>
      </c>
      <c r="J265" s="558">
        <v>193078.83</v>
      </c>
      <c r="K265" s="558">
        <v>174839.47</v>
      </c>
      <c r="L265" s="558">
        <v>188608.53</v>
      </c>
      <c r="M265" s="558">
        <v>184840.94</v>
      </c>
      <c r="N265" s="558">
        <v>192226.79</v>
      </c>
      <c r="O265" s="558">
        <v>190063.41</v>
      </c>
      <c r="P265" s="1340"/>
      <c r="Q265" s="456"/>
      <c r="R265" s="554"/>
      <c r="T265" s="141">
        <f>SUM(D265:O265)</f>
        <v>2263934.83</v>
      </c>
      <c r="U265" s="188" t="s">
        <v>341</v>
      </c>
      <c r="W265" s="140">
        <f>T265*3413/1000000</f>
        <v>7726.8095747899997</v>
      </c>
      <c r="X265" s="138" t="s">
        <v>342</v>
      </c>
    </row>
    <row r="266" spans="1:26" s="157" customFormat="1" x14ac:dyDescent="0.25">
      <c r="A266" s="461"/>
      <c r="B266" s="192" t="s">
        <v>323</v>
      </c>
      <c r="C266" s="599"/>
      <c r="D266" s="160">
        <v>114762</v>
      </c>
      <c r="E266" s="160">
        <v>107728</v>
      </c>
      <c r="F266" s="160">
        <v>102847</v>
      </c>
      <c r="G266" s="160">
        <v>80668</v>
      </c>
      <c r="H266" s="160">
        <v>23516</v>
      </c>
      <c r="I266" s="160">
        <v>22610</v>
      </c>
      <c r="J266" s="160">
        <v>19803</v>
      </c>
      <c r="K266" s="160">
        <v>15782</v>
      </c>
      <c r="L266" s="160">
        <v>28793</v>
      </c>
      <c r="M266" s="160">
        <v>54040</v>
      </c>
      <c r="N266" s="160">
        <v>81870</v>
      </c>
      <c r="O266" s="160">
        <v>115647</v>
      </c>
      <c r="P266" s="178"/>
      <c r="Q266" s="178"/>
      <c r="R266" s="554"/>
      <c r="T266" s="141">
        <f t="shared" ref="T266:T271" si="13">SUM(D266:O266)</f>
        <v>768066</v>
      </c>
      <c r="U266" s="188" t="s">
        <v>397</v>
      </c>
      <c r="W266" s="160">
        <f>T266*0.012</f>
        <v>9216.7919999999995</v>
      </c>
      <c r="X266" s="138" t="s">
        <v>342</v>
      </c>
    </row>
    <row r="267" spans="1:26" s="157" customFormat="1" x14ac:dyDescent="0.25">
      <c r="A267" s="461"/>
      <c r="B267" s="192" t="s">
        <v>641</v>
      </c>
      <c r="C267" s="599" t="s">
        <v>1247</v>
      </c>
      <c r="D267" s="136">
        <v>77.025999999999996</v>
      </c>
      <c r="E267" s="136">
        <v>0</v>
      </c>
      <c r="F267" s="141">
        <v>140.65600000000001</v>
      </c>
      <c r="G267" s="141">
        <v>226.952</v>
      </c>
      <c r="H267" s="141">
        <v>48.165999999999997</v>
      </c>
      <c r="I267" s="141">
        <v>364.77800000000002</v>
      </c>
      <c r="J267" s="141">
        <v>1599.2370000000001</v>
      </c>
      <c r="K267" s="141">
        <v>661.08100000000002</v>
      </c>
      <c r="L267" s="141">
        <v>274.46300000000002</v>
      </c>
      <c r="M267" s="141">
        <v>189.666</v>
      </c>
      <c r="N267" s="141">
        <v>1.835</v>
      </c>
      <c r="O267" s="141">
        <v>60.305999999999997</v>
      </c>
      <c r="P267" s="178"/>
      <c r="Q267" s="178"/>
      <c r="R267" s="554"/>
      <c r="T267" s="141">
        <f t="shared" si="13"/>
        <v>3644.1660000000006</v>
      </c>
      <c r="U267" s="188" t="s">
        <v>354</v>
      </c>
      <c r="W267" s="140">
        <f>T267*99976.124488/1000000</f>
        <v>364.32959367093707</v>
      </c>
      <c r="X267" s="138" t="s">
        <v>342</v>
      </c>
      <c r="Y267" s="495">
        <f>W265+W266+W267</f>
        <v>17307.931168460935</v>
      </c>
      <c r="Z267" s="138" t="s">
        <v>342</v>
      </c>
    </row>
    <row r="268" spans="1:26" s="157" customFormat="1" x14ac:dyDescent="0.25">
      <c r="A268" s="461"/>
      <c r="B268" s="135" t="s">
        <v>322</v>
      </c>
      <c r="C268" s="599" t="s">
        <v>1217</v>
      </c>
      <c r="D268" s="160"/>
      <c r="E268" s="160"/>
      <c r="F268" s="160"/>
      <c r="G268" s="160"/>
      <c r="H268" s="160"/>
      <c r="I268" s="160"/>
      <c r="J268" s="160"/>
      <c r="K268" s="160"/>
      <c r="L268" s="160"/>
      <c r="M268" s="160"/>
      <c r="N268" s="160"/>
      <c r="O268" s="160"/>
      <c r="P268" s="178"/>
      <c r="Q268" s="178"/>
      <c r="R268" s="554"/>
      <c r="T268" s="141">
        <f t="shared" si="13"/>
        <v>0</v>
      </c>
      <c r="U268" s="188" t="s">
        <v>346</v>
      </c>
      <c r="W268" s="141">
        <f>T268</f>
        <v>0</v>
      </c>
      <c r="X268" s="188" t="s">
        <v>346</v>
      </c>
    </row>
    <row r="269" spans="1:26" s="157" customFormat="1" x14ac:dyDescent="0.25">
      <c r="A269" s="461"/>
      <c r="B269" s="135" t="s">
        <v>324</v>
      </c>
      <c r="C269" s="599"/>
      <c r="D269" s="1059">
        <v>17919.165798000002</v>
      </c>
      <c r="E269" s="1059">
        <v>18086.302032</v>
      </c>
      <c r="F269" s="1059">
        <v>17765.778054000002</v>
      </c>
      <c r="G269" s="1059">
        <v>18817.494677999999</v>
      </c>
      <c r="H269" s="1059">
        <v>17676.003570000001</v>
      </c>
      <c r="I269" s="1059">
        <v>17149.336080000001</v>
      </c>
      <c r="J269" s="1059">
        <v>18188.025785999998</v>
      </c>
      <c r="K269" s="1059">
        <v>16469.878074</v>
      </c>
      <c r="L269" s="1059">
        <v>17766.923526000002</v>
      </c>
      <c r="M269" s="1059">
        <v>17412.016548</v>
      </c>
      <c r="N269" s="1059">
        <v>18107.763618000001</v>
      </c>
      <c r="O269" s="1059">
        <v>17903.973222000001</v>
      </c>
      <c r="P269" s="176"/>
      <c r="Q269" s="176"/>
      <c r="R269" s="554"/>
      <c r="T269" s="141">
        <f t="shared" si="13"/>
        <v>213262.660986</v>
      </c>
      <c r="U269" s="188"/>
      <c r="W269" s="190">
        <f>T269</f>
        <v>213262.660986</v>
      </c>
      <c r="X269" s="188"/>
    </row>
    <row r="270" spans="1:26" s="157" customFormat="1" x14ac:dyDescent="0.25">
      <c r="A270" s="461"/>
      <c r="B270" s="195" t="s">
        <v>398</v>
      </c>
      <c r="C270" s="599" t="s">
        <v>1217</v>
      </c>
      <c r="D270" s="153"/>
      <c r="E270" s="153"/>
      <c r="F270" s="198"/>
      <c r="G270" s="198"/>
      <c r="H270" s="198"/>
      <c r="I270" s="198"/>
      <c r="J270" s="198"/>
      <c r="K270" s="198"/>
      <c r="L270" s="198"/>
      <c r="M270" s="198"/>
      <c r="N270" s="198"/>
      <c r="O270" s="198"/>
      <c r="P270" s="446"/>
      <c r="Q270" s="446"/>
      <c r="R270" s="554"/>
      <c r="T270" s="141">
        <f t="shared" si="13"/>
        <v>0</v>
      </c>
      <c r="U270" s="188"/>
      <c r="W270" s="190">
        <v>0</v>
      </c>
      <c r="X270" s="188"/>
    </row>
    <row r="271" spans="1:26" s="125" customFormat="1" ht="16.5" x14ac:dyDescent="0.35">
      <c r="A271" s="461"/>
      <c r="B271" s="144" t="s">
        <v>374</v>
      </c>
      <c r="C271" s="611" t="s">
        <v>1247</v>
      </c>
      <c r="D271" s="171">
        <v>64.253203561551231</v>
      </c>
      <c r="E271" s="145">
        <v>0</v>
      </c>
      <c r="F271" s="145">
        <v>117.33179186448147</v>
      </c>
      <c r="G271" s="145">
        <v>189.3178024913818</v>
      </c>
      <c r="H271" s="145">
        <v>40.178898070076031</v>
      </c>
      <c r="I271" s="145">
        <v>304.28887763580525</v>
      </c>
      <c r="J271" s="145">
        <v>1334.0443552068718</v>
      </c>
      <c r="K271" s="145">
        <v>551.45758657692011</v>
      </c>
      <c r="L271" s="145">
        <v>228.95031559621475</v>
      </c>
      <c r="M271" s="145">
        <v>158.21473407297765</v>
      </c>
      <c r="N271" s="145">
        <v>1.5307120782001726</v>
      </c>
      <c r="O271" s="145">
        <v>50.305788876261367</v>
      </c>
      <c r="P271" s="179"/>
      <c r="Q271" s="444"/>
      <c r="R271" s="444"/>
      <c r="T271" s="141">
        <f t="shared" si="13"/>
        <v>3039.8740660307421</v>
      </c>
      <c r="U271" s="138"/>
      <c r="V271" s="139"/>
      <c r="W271" s="146">
        <f>T271</f>
        <v>3039.8740660307421</v>
      </c>
      <c r="X271" s="138"/>
      <c r="Y271" s="157"/>
      <c r="Z271" s="157"/>
    </row>
    <row r="272" spans="1:26" s="125" customFormat="1" x14ac:dyDescent="0.25">
      <c r="A272" s="461"/>
      <c r="B272" s="205"/>
      <c r="C272" s="152"/>
      <c r="E272" s="201"/>
      <c r="F272" s="206"/>
      <c r="G272" s="202"/>
      <c r="H272" s="203"/>
      <c r="I272" s="203"/>
      <c r="J272" s="203"/>
      <c r="K272" s="203"/>
      <c r="L272" s="203"/>
      <c r="M272" s="203"/>
      <c r="N272" s="203"/>
      <c r="O272" s="203"/>
      <c r="P272" s="203"/>
      <c r="U272" s="126"/>
      <c r="W272" s="190">
        <f>SUM(W269:W270)</f>
        <v>213262.660986</v>
      </c>
      <c r="X272" s="450"/>
      <c r="Y272" s="157"/>
      <c r="Z272" s="157"/>
    </row>
    <row r="274" spans="1:26" s="125" customFormat="1" x14ac:dyDescent="0.25">
      <c r="A274" s="461">
        <v>29</v>
      </c>
      <c r="B274" s="148" t="s">
        <v>571</v>
      </c>
      <c r="C274" s="152"/>
      <c r="E274" s="157"/>
      <c r="F274" s="157"/>
      <c r="G274" s="157"/>
      <c r="H274" s="157"/>
      <c r="I274" s="157"/>
      <c r="J274" s="157"/>
      <c r="K274" s="157"/>
      <c r="L274" s="157"/>
      <c r="M274" s="157"/>
      <c r="N274" s="157"/>
      <c r="O274" s="157"/>
      <c r="P274" s="157"/>
      <c r="S274" s="126"/>
      <c r="T274" s="148" t="s">
        <v>571</v>
      </c>
      <c r="V274" s="126"/>
      <c r="Y274" s="157"/>
      <c r="Z274" s="157"/>
    </row>
    <row r="275" spans="1:26" s="125" customFormat="1" x14ac:dyDescent="0.25">
      <c r="A275" s="461"/>
      <c r="B275" s="130" t="s">
        <v>337</v>
      </c>
      <c r="C275" s="186" t="s">
        <v>977</v>
      </c>
      <c r="D275" s="131">
        <v>41821</v>
      </c>
      <c r="E275" s="131">
        <v>41852</v>
      </c>
      <c r="F275" s="131">
        <v>41883</v>
      </c>
      <c r="G275" s="131">
        <v>41913</v>
      </c>
      <c r="H275" s="131">
        <v>41944</v>
      </c>
      <c r="I275" s="131">
        <v>41974</v>
      </c>
      <c r="J275" s="131">
        <v>42005</v>
      </c>
      <c r="K275" s="131">
        <v>42036</v>
      </c>
      <c r="L275" s="131">
        <v>42064</v>
      </c>
      <c r="M275" s="131">
        <v>42095</v>
      </c>
      <c r="N275" s="131">
        <v>42125</v>
      </c>
      <c r="O275" s="131">
        <v>42156</v>
      </c>
      <c r="P275" s="131">
        <v>42186</v>
      </c>
      <c r="Q275" s="1152">
        <v>42217</v>
      </c>
      <c r="R275" s="131">
        <v>42261</v>
      </c>
      <c r="S275" s="132"/>
      <c r="T275" s="133" t="s">
        <v>338</v>
      </c>
      <c r="U275" s="134" t="s">
        <v>339</v>
      </c>
      <c r="V275" s="132"/>
      <c r="W275" s="133" t="s">
        <v>338</v>
      </c>
      <c r="X275" s="134" t="s">
        <v>339</v>
      </c>
      <c r="Y275" s="157"/>
      <c r="Z275" s="157"/>
    </row>
    <row r="276" spans="1:26" s="157" customFormat="1" x14ac:dyDescent="0.25">
      <c r="A276" s="461"/>
      <c r="B276" s="135" t="s">
        <v>319</v>
      </c>
      <c r="C276" s="599"/>
      <c r="E276" s="153">
        <v>22640</v>
      </c>
      <c r="F276" s="136">
        <v>30070</v>
      </c>
      <c r="G276" s="136">
        <v>32560</v>
      </c>
      <c r="H276" s="136">
        <v>22040</v>
      </c>
      <c r="I276" s="136">
        <v>25200</v>
      </c>
      <c r="J276" s="136">
        <v>25000</v>
      </c>
      <c r="K276" s="136">
        <v>24040</v>
      </c>
      <c r="L276" s="136">
        <v>25480</v>
      </c>
      <c r="M276" s="136">
        <v>24280</v>
      </c>
      <c r="N276" s="136">
        <v>23760</v>
      </c>
      <c r="O276" s="136">
        <v>22840</v>
      </c>
      <c r="P276" s="136">
        <v>21920</v>
      </c>
      <c r="Q276" s="174"/>
      <c r="T276" s="141">
        <f>SUM(E276:P276)</f>
        <v>299830</v>
      </c>
      <c r="U276" s="188" t="s">
        <v>341</v>
      </c>
      <c r="W276" s="140">
        <f>T276*3413/1000000</f>
        <v>1023.31979</v>
      </c>
      <c r="X276" s="138" t="s">
        <v>342</v>
      </c>
    </row>
    <row r="277" spans="1:26" s="157" customFormat="1" x14ac:dyDescent="0.25">
      <c r="A277" s="461"/>
      <c r="B277" s="135" t="s">
        <v>572</v>
      </c>
      <c r="C277" s="599" t="s">
        <v>1217</v>
      </c>
      <c r="E277" s="153"/>
      <c r="F277" s="137"/>
      <c r="G277" s="137"/>
      <c r="H277" s="137"/>
      <c r="I277" s="136"/>
      <c r="J277" s="136"/>
      <c r="K277" s="136"/>
      <c r="L277" s="136"/>
      <c r="M277" s="136"/>
      <c r="N277" s="136"/>
      <c r="O277" s="136"/>
      <c r="P277" s="136"/>
      <c r="Q277" s="174"/>
      <c r="T277" s="141">
        <f>SUM(F277:Q277)</f>
        <v>0</v>
      </c>
      <c r="U277" s="188" t="s">
        <v>344</v>
      </c>
      <c r="W277" s="160">
        <f>T277/1000</f>
        <v>0</v>
      </c>
      <c r="X277" s="138" t="s">
        <v>342</v>
      </c>
    </row>
    <row r="278" spans="1:26" s="157" customFormat="1" x14ac:dyDescent="0.25">
      <c r="A278" s="461"/>
      <c r="B278" s="192" t="s">
        <v>323</v>
      </c>
      <c r="C278" s="599" t="s">
        <v>1217</v>
      </c>
      <c r="E278" s="153"/>
      <c r="F278" s="141"/>
      <c r="G278" s="141"/>
      <c r="H278" s="141"/>
      <c r="I278" s="141"/>
      <c r="J278" s="141"/>
      <c r="K278" s="141"/>
      <c r="L278" s="141"/>
      <c r="M278" s="141"/>
      <c r="N278" s="141"/>
      <c r="O278" s="141"/>
      <c r="P278" s="141"/>
      <c r="Q278" s="178"/>
      <c r="T278" s="141">
        <f>SUM(F278:Q278)</f>
        <v>0</v>
      </c>
      <c r="U278" s="188" t="s">
        <v>397</v>
      </c>
      <c r="W278" s="193">
        <f>T278*0.012</f>
        <v>0</v>
      </c>
      <c r="X278" s="138" t="s">
        <v>342</v>
      </c>
    </row>
    <row r="279" spans="1:26" s="157" customFormat="1" x14ac:dyDescent="0.25">
      <c r="A279" s="461"/>
      <c r="B279" s="135" t="s">
        <v>345</v>
      </c>
      <c r="C279" s="599"/>
      <c r="E279" s="160">
        <v>2390</v>
      </c>
      <c r="F279" s="160">
        <v>2465</v>
      </c>
      <c r="G279" s="160">
        <v>4500</v>
      </c>
      <c r="H279" s="160">
        <v>9480</v>
      </c>
      <c r="I279" s="160">
        <v>8375</v>
      </c>
      <c r="J279" s="160">
        <v>9463</v>
      </c>
      <c r="K279" s="160">
        <v>7783</v>
      </c>
      <c r="L279" s="160">
        <v>11358</v>
      </c>
      <c r="M279" s="160">
        <v>13838</v>
      </c>
      <c r="N279" s="160">
        <v>7592</v>
      </c>
      <c r="O279" s="160">
        <v>3017</v>
      </c>
      <c r="P279" s="160">
        <v>2421</v>
      </c>
      <c r="Q279" s="178"/>
      <c r="T279" s="141">
        <f>SUM(E279:P279)</f>
        <v>82682</v>
      </c>
      <c r="U279" s="188" t="s">
        <v>346</v>
      </c>
      <c r="W279" s="141">
        <f>T279</f>
        <v>82682</v>
      </c>
      <c r="X279" s="188" t="s">
        <v>346</v>
      </c>
    </row>
    <row r="280" spans="1:26" s="157" customFormat="1" x14ac:dyDescent="0.25">
      <c r="A280" s="461"/>
      <c r="B280" s="135" t="s">
        <v>324</v>
      </c>
      <c r="C280" s="599"/>
      <c r="E280" s="171">
        <v>1803.9552000000001</v>
      </c>
      <c r="F280" s="142">
        <v>2809.7408</v>
      </c>
      <c r="G280" s="142">
        <v>2521.7719999999999</v>
      </c>
      <c r="H280" s="142">
        <v>1753.2819999999999</v>
      </c>
      <c r="I280" s="142">
        <v>1884.7079999999999</v>
      </c>
      <c r="J280" s="142">
        <v>1886.7499999999998</v>
      </c>
      <c r="K280" s="142">
        <v>1765.4976000000001</v>
      </c>
      <c r="L280" s="142">
        <v>1967.5655999999999</v>
      </c>
      <c r="M280" s="142">
        <v>1781.4236000000001</v>
      </c>
      <c r="N280" s="142">
        <v>1796.9688000000001</v>
      </c>
      <c r="O280" s="142">
        <v>2093.7428</v>
      </c>
      <c r="P280" s="142">
        <v>1878.8728000000001</v>
      </c>
      <c r="Q280" s="176"/>
      <c r="T280" s="171">
        <f>SUM(E280:P280)</f>
        <v>23944.279200000004</v>
      </c>
      <c r="U280" s="188"/>
      <c r="W280" s="190">
        <f>T280</f>
        <v>23944.279200000004</v>
      </c>
      <c r="X280" s="188"/>
    </row>
    <row r="281" spans="1:26" s="157" customFormat="1" x14ac:dyDescent="0.25">
      <c r="A281" s="461"/>
      <c r="B281" s="204" t="s">
        <v>573</v>
      </c>
      <c r="C281" s="599" t="s">
        <v>1217</v>
      </c>
      <c r="E281" s="153"/>
      <c r="F281" s="198"/>
      <c r="G281" s="198"/>
      <c r="H281" s="198"/>
      <c r="I281" s="171"/>
      <c r="J281" s="171"/>
      <c r="K281" s="171"/>
      <c r="L281" s="171"/>
      <c r="M281" s="171"/>
      <c r="N281" s="171"/>
      <c r="O281" s="171"/>
      <c r="P281" s="171"/>
      <c r="Q281" s="184"/>
      <c r="T281" s="171">
        <f>SUM(G281:Q281)</f>
        <v>0</v>
      </c>
      <c r="U281" s="188"/>
      <c r="W281" s="190">
        <f>T281</f>
        <v>0</v>
      </c>
      <c r="X281" s="188"/>
    </row>
    <row r="282" spans="1:26" s="157" customFormat="1" ht="16.5" x14ac:dyDescent="0.35">
      <c r="A282" s="461"/>
      <c r="B282" s="195" t="s">
        <v>398</v>
      </c>
      <c r="C282" s="599" t="s">
        <v>1217</v>
      </c>
      <c r="E282" s="153"/>
      <c r="F282" s="198"/>
      <c r="G282" s="198"/>
      <c r="H282" s="198"/>
      <c r="I282" s="198"/>
      <c r="J282" s="198"/>
      <c r="K282" s="198"/>
      <c r="L282" s="198"/>
      <c r="M282" s="198"/>
      <c r="N282" s="198"/>
      <c r="O282" s="198"/>
      <c r="P282" s="198"/>
      <c r="Q282" s="446"/>
      <c r="T282" s="171">
        <f>SUM(G282:Q282)</f>
        <v>0</v>
      </c>
      <c r="U282" s="188"/>
      <c r="W282" s="197">
        <v>0</v>
      </c>
      <c r="X282" s="188"/>
    </row>
    <row r="283" spans="1:26" s="125" customFormat="1" x14ac:dyDescent="0.25">
      <c r="A283" s="461"/>
      <c r="B283" s="205"/>
      <c r="C283" s="152"/>
      <c r="E283" s="201"/>
      <c r="F283" s="206"/>
      <c r="G283" s="202"/>
      <c r="H283" s="203"/>
      <c r="I283" s="203"/>
      <c r="J283" s="203"/>
      <c r="K283" s="203"/>
      <c r="L283" s="203"/>
      <c r="M283" s="203"/>
      <c r="N283" s="203"/>
      <c r="O283" s="203"/>
      <c r="P283" s="203"/>
      <c r="U283" s="126"/>
      <c r="W283" s="190">
        <f>SUM(W280:W282)</f>
        <v>23944.279200000004</v>
      </c>
      <c r="X283" s="450"/>
      <c r="Y283" s="157"/>
      <c r="Z283" s="157"/>
    </row>
    <row r="285" spans="1:26" s="125" customFormat="1" x14ac:dyDescent="0.25">
      <c r="A285" s="461">
        <v>30</v>
      </c>
      <c r="B285" s="148" t="s">
        <v>574</v>
      </c>
      <c r="C285" s="152"/>
      <c r="R285" s="139"/>
      <c r="S285" s="147"/>
      <c r="T285" s="148" t="s">
        <v>574</v>
      </c>
      <c r="U285" s="149"/>
      <c r="V285" s="150"/>
      <c r="Y285" s="157"/>
      <c r="Z285" s="157"/>
    </row>
    <row r="286" spans="1:26" s="125" customFormat="1" x14ac:dyDescent="0.25">
      <c r="A286" s="461"/>
      <c r="B286" s="130" t="s">
        <v>337</v>
      </c>
      <c r="C286" s="186" t="s">
        <v>977</v>
      </c>
      <c r="D286" s="151">
        <v>41821</v>
      </c>
      <c r="E286" s="131">
        <v>41852</v>
      </c>
      <c r="F286" s="131">
        <v>41883</v>
      </c>
      <c r="G286" s="131">
        <v>41913</v>
      </c>
      <c r="H286" s="131">
        <v>41944</v>
      </c>
      <c r="I286" s="131">
        <v>41974</v>
      </c>
      <c r="J286" s="131">
        <v>42005</v>
      </c>
      <c r="K286" s="131">
        <v>42036</v>
      </c>
      <c r="L286" s="131">
        <v>42064</v>
      </c>
      <c r="M286" s="131">
        <v>42095</v>
      </c>
      <c r="N286" s="131">
        <v>42125</v>
      </c>
      <c r="O286" s="131">
        <v>42156</v>
      </c>
      <c r="P286" s="131">
        <v>42186</v>
      </c>
      <c r="Q286" s="131">
        <v>42217</v>
      </c>
      <c r="R286" s="131">
        <v>42261</v>
      </c>
      <c r="S286" s="132"/>
      <c r="T286" s="133" t="s">
        <v>338</v>
      </c>
      <c r="U286" s="134" t="s">
        <v>339</v>
      </c>
      <c r="V286" s="132"/>
      <c r="W286" s="133" t="s">
        <v>338</v>
      </c>
      <c r="X286" s="134" t="s">
        <v>339</v>
      </c>
      <c r="Y286" s="157"/>
      <c r="Z286" s="157"/>
    </row>
    <row r="287" spans="1:26" s="125" customFormat="1" x14ac:dyDescent="0.25">
      <c r="A287" s="461"/>
      <c r="B287" s="153" t="s">
        <v>1016</v>
      </c>
      <c r="C287" s="152"/>
      <c r="E287" s="140">
        <v>352410.88867188001</v>
      </c>
      <c r="F287" s="1163">
        <v>373878.17382811999</v>
      </c>
      <c r="G287" s="1163">
        <v>383077.88085938001</v>
      </c>
      <c r="H287" s="1163">
        <v>368188.96484375</v>
      </c>
      <c r="I287" s="1163">
        <v>376896.97265625</v>
      </c>
      <c r="J287" s="1163">
        <v>373953.125</v>
      </c>
      <c r="K287" s="1163">
        <v>339479.00390625</v>
      </c>
      <c r="L287" s="1164">
        <v>379661.1328125</v>
      </c>
      <c r="M287" s="1165">
        <v>373618.65234375</v>
      </c>
      <c r="N287" s="1165">
        <v>372617.1875</v>
      </c>
      <c r="O287" s="1165">
        <v>363661.1328125</v>
      </c>
      <c r="P287" s="1165">
        <v>370893.06640625</v>
      </c>
      <c r="Q287" s="456"/>
      <c r="T287" s="159">
        <f t="shared" ref="T287:T293" si="14">SUM(E287:P287)</f>
        <v>4428336.1816406306</v>
      </c>
      <c r="U287" s="138" t="s">
        <v>361</v>
      </c>
      <c r="V287" s="139"/>
      <c r="W287" s="140">
        <f>T287*3413/1000000</f>
        <v>15113.911387939472</v>
      </c>
      <c r="X287" s="138" t="s">
        <v>342</v>
      </c>
      <c r="Y287" s="157"/>
      <c r="Z287" s="157"/>
    </row>
    <row r="288" spans="1:26" s="125" customFormat="1" x14ac:dyDescent="0.25">
      <c r="A288" s="461"/>
      <c r="B288" s="153" t="s">
        <v>362</v>
      </c>
      <c r="C288" s="152"/>
      <c r="E288" s="140">
        <v>6501.92</v>
      </c>
      <c r="F288" s="1166">
        <v>1005</v>
      </c>
      <c r="G288" s="1166">
        <v>768.36</v>
      </c>
      <c r="H288" s="1166">
        <v>928.36</v>
      </c>
      <c r="I288" s="1166">
        <v>802.45</v>
      </c>
      <c r="J288" s="1166">
        <v>905.56</v>
      </c>
      <c r="K288" s="1166">
        <v>790.99</v>
      </c>
      <c r="L288" s="1164">
        <v>345.92</v>
      </c>
      <c r="M288" s="1167">
        <v>529.25599999999997</v>
      </c>
      <c r="N288" s="1167">
        <v>850.31200000000001</v>
      </c>
      <c r="O288" s="1167">
        <v>1236.704</v>
      </c>
      <c r="P288" s="1167">
        <v>1341.952</v>
      </c>
      <c r="Q288" s="456"/>
      <c r="T288" s="159">
        <f t="shared" si="14"/>
        <v>16006.784</v>
      </c>
      <c r="U288" s="138" t="s">
        <v>363</v>
      </c>
      <c r="V288" s="139"/>
      <c r="W288" s="160">
        <f>T288*10*100000/1000000</f>
        <v>16006.784</v>
      </c>
      <c r="X288" s="138" t="s">
        <v>342</v>
      </c>
      <c r="Y288" s="157"/>
      <c r="Z288" s="157"/>
    </row>
    <row r="289" spans="1:26" s="125" customFormat="1" x14ac:dyDescent="0.25">
      <c r="A289" s="461"/>
      <c r="B289" s="153" t="s">
        <v>364</v>
      </c>
      <c r="C289" s="152"/>
      <c r="E289" s="140">
        <v>345.3046875</v>
      </c>
      <c r="F289" s="1163">
        <v>358</v>
      </c>
      <c r="G289" s="1163">
        <v>405.296875</v>
      </c>
      <c r="H289" s="1163">
        <v>723.3046875</v>
      </c>
      <c r="I289" s="1163">
        <v>785.5</v>
      </c>
      <c r="J289" s="1163">
        <v>1123.5</v>
      </c>
      <c r="K289" s="1163">
        <v>1139</v>
      </c>
      <c r="L289" s="1164">
        <v>760</v>
      </c>
      <c r="M289" s="1168">
        <v>405.5</v>
      </c>
      <c r="N289" s="1168">
        <v>334.59375</v>
      </c>
      <c r="O289" s="1169">
        <v>299.796875</v>
      </c>
      <c r="P289" s="1168">
        <v>290.8125</v>
      </c>
      <c r="Q289" s="456"/>
      <c r="T289" s="159">
        <f t="shared" si="14"/>
        <v>6970.609375</v>
      </c>
      <c r="U289" s="162" t="s">
        <v>365</v>
      </c>
      <c r="V289" s="163"/>
      <c r="W289" s="164">
        <f>T289</f>
        <v>6970.609375</v>
      </c>
      <c r="X289" s="138" t="s">
        <v>342</v>
      </c>
      <c r="Y289" s="495">
        <f>W287+W288+W289</f>
        <v>38091.304762939471</v>
      </c>
      <c r="Z289" s="138" t="s">
        <v>342</v>
      </c>
    </row>
    <row r="290" spans="1:26" s="166" customFormat="1" x14ac:dyDescent="0.25">
      <c r="A290" s="459"/>
      <c r="B290" s="165" t="s">
        <v>864</v>
      </c>
      <c r="C290" s="610"/>
      <c r="E290" s="167">
        <v>301</v>
      </c>
      <c r="F290" s="1165">
        <v>394</v>
      </c>
      <c r="G290" s="1165">
        <v>300</v>
      </c>
      <c r="H290" s="1165">
        <v>156</v>
      </c>
      <c r="I290" s="1165">
        <v>113</v>
      </c>
      <c r="J290" s="1165">
        <v>104</v>
      </c>
      <c r="K290" s="1165">
        <v>156</v>
      </c>
      <c r="L290" s="1165">
        <v>135</v>
      </c>
      <c r="M290" s="1165">
        <v>183</v>
      </c>
      <c r="N290" s="1165">
        <v>202</v>
      </c>
      <c r="O290" s="1165">
        <v>310</v>
      </c>
      <c r="P290" s="1165">
        <v>206</v>
      </c>
      <c r="Q290" s="1161"/>
      <c r="T290" s="159">
        <f t="shared" si="14"/>
        <v>2560</v>
      </c>
      <c r="U290" s="162" t="s">
        <v>379</v>
      </c>
      <c r="V290" s="163"/>
      <c r="W290" s="164">
        <f>T290*748</f>
        <v>1914880</v>
      </c>
      <c r="X290" s="162" t="s">
        <v>346</v>
      </c>
    </row>
    <row r="291" spans="1:26" s="125" customFormat="1" x14ac:dyDescent="0.25">
      <c r="A291" s="461"/>
      <c r="B291" s="153" t="s">
        <v>324</v>
      </c>
      <c r="C291" s="152"/>
      <c r="E291" s="171">
        <v>30659.747314453558</v>
      </c>
      <c r="F291" s="731">
        <f>F287*0.084</f>
        <v>31405.766601562082</v>
      </c>
      <c r="G291" s="731">
        <f>G287*0.084</f>
        <v>32178.541992187922</v>
      </c>
      <c r="H291" s="731">
        <f>H287*0.084</f>
        <v>30927.873046875004</v>
      </c>
      <c r="I291" s="731">
        <f>I287*0.087</f>
        <v>32790.03662109375</v>
      </c>
      <c r="J291" s="731">
        <f t="shared" ref="J291:P291" si="15">J287*0.087</f>
        <v>32533.921874999996</v>
      </c>
      <c r="K291" s="731">
        <f t="shared" si="15"/>
        <v>29534.673339843746</v>
      </c>
      <c r="L291" s="731">
        <f t="shared" si="15"/>
        <v>33030.5185546875</v>
      </c>
      <c r="M291" s="731">
        <f t="shared" si="15"/>
        <v>32504.822753906246</v>
      </c>
      <c r="N291" s="731">
        <f t="shared" si="15"/>
        <v>32417.695312499996</v>
      </c>
      <c r="O291" s="731">
        <f t="shared" si="15"/>
        <v>31638.518554687496</v>
      </c>
      <c r="P291" s="731">
        <f t="shared" si="15"/>
        <v>32267.696777343746</v>
      </c>
      <c r="Q291" s="184"/>
      <c r="T291" s="159">
        <f t="shared" si="14"/>
        <v>381889.81274414103</v>
      </c>
      <c r="U291" s="138"/>
      <c r="V291" s="139"/>
      <c r="W291" s="143">
        <f>T291</f>
        <v>381889.81274414103</v>
      </c>
      <c r="X291" s="138"/>
      <c r="Y291" s="157"/>
      <c r="Z291" s="157"/>
    </row>
    <row r="292" spans="1:26" s="125" customFormat="1" x14ac:dyDescent="0.25">
      <c r="A292" s="461"/>
      <c r="B292" s="153" t="s">
        <v>369</v>
      </c>
      <c r="C292" s="152"/>
      <c r="E292" s="171">
        <v>93627.648000000001</v>
      </c>
      <c r="F292" s="731">
        <f>F288*14.4</f>
        <v>14472</v>
      </c>
      <c r="G292" s="731">
        <f t="shared" ref="G292:P292" si="16">G288*14.4</f>
        <v>11064.384</v>
      </c>
      <c r="H292" s="731">
        <f t="shared" si="16"/>
        <v>13368.384</v>
      </c>
      <c r="I292" s="731">
        <f t="shared" si="16"/>
        <v>11555.28</v>
      </c>
      <c r="J292" s="731">
        <f t="shared" si="16"/>
        <v>13040.064</v>
      </c>
      <c r="K292" s="731">
        <f t="shared" si="16"/>
        <v>11390.256000000001</v>
      </c>
      <c r="L292" s="731">
        <f t="shared" si="16"/>
        <v>4981.2480000000005</v>
      </c>
      <c r="M292" s="731">
        <f t="shared" si="16"/>
        <v>7621.2864</v>
      </c>
      <c r="N292" s="731">
        <f t="shared" si="16"/>
        <v>12244.4928</v>
      </c>
      <c r="O292" s="731">
        <f t="shared" si="16"/>
        <v>17808.5376</v>
      </c>
      <c r="P292" s="731">
        <f t="shared" si="16"/>
        <v>19324.108800000002</v>
      </c>
      <c r="Q292" s="184"/>
      <c r="T292" s="159">
        <f t="shared" si="14"/>
        <v>230497.68960000004</v>
      </c>
      <c r="U292" s="138"/>
      <c r="V292" s="139"/>
      <c r="W292" s="143">
        <f>T292</f>
        <v>230497.68960000004</v>
      </c>
      <c r="X292" s="138"/>
      <c r="Y292" s="157"/>
      <c r="Z292" s="157"/>
    </row>
    <row r="293" spans="1:26" s="125" customFormat="1" ht="16.5" x14ac:dyDescent="0.35">
      <c r="A293" s="461"/>
      <c r="B293" s="153" t="s">
        <v>326</v>
      </c>
      <c r="C293" s="152"/>
      <c r="E293" s="171">
        <v>4789.376015625</v>
      </c>
      <c r="F293" s="731">
        <f t="shared" ref="F293:P293" si="17">F289*13.87</f>
        <v>4965.46</v>
      </c>
      <c r="G293" s="731">
        <f t="shared" si="17"/>
        <v>5621.4676562499999</v>
      </c>
      <c r="H293" s="731">
        <f t="shared" si="17"/>
        <v>10032.236015625</v>
      </c>
      <c r="I293" s="731">
        <f t="shared" si="17"/>
        <v>10894.885</v>
      </c>
      <c r="J293" s="731">
        <f t="shared" si="17"/>
        <v>15582.945</v>
      </c>
      <c r="K293" s="731">
        <f t="shared" si="17"/>
        <v>15797.929999999998</v>
      </c>
      <c r="L293" s="731">
        <f t="shared" si="17"/>
        <v>10541.199999999999</v>
      </c>
      <c r="M293" s="731">
        <f t="shared" si="17"/>
        <v>5624.2849999999999</v>
      </c>
      <c r="N293" s="731">
        <f t="shared" si="17"/>
        <v>4640.8153124999999</v>
      </c>
      <c r="O293" s="731">
        <f t="shared" si="17"/>
        <v>4158.18265625</v>
      </c>
      <c r="P293" s="731">
        <f t="shared" si="17"/>
        <v>4033.5693749999996</v>
      </c>
      <c r="Q293" s="184"/>
      <c r="T293" s="159">
        <f t="shared" si="14"/>
        <v>96682.352031250004</v>
      </c>
      <c r="U293" s="138"/>
      <c r="V293" s="139"/>
      <c r="W293" s="146">
        <f>T293</f>
        <v>96682.352031250004</v>
      </c>
      <c r="X293" s="138"/>
      <c r="Y293" s="157"/>
      <c r="Z293" s="157"/>
    </row>
    <row r="294" spans="1:26" s="125" customFormat="1" x14ac:dyDescent="0.25">
      <c r="A294" s="461"/>
      <c r="C294" s="152"/>
      <c r="E294" s="125" t="s">
        <v>1136</v>
      </c>
      <c r="F294" s="1162"/>
      <c r="G294" s="1162"/>
      <c r="H294" s="1162"/>
      <c r="I294" s="1162"/>
      <c r="J294" s="1162"/>
      <c r="K294" s="1162"/>
      <c r="L294" s="1162"/>
      <c r="M294" s="1162"/>
      <c r="N294" s="1162"/>
      <c r="O294" s="1162"/>
      <c r="P294" s="1162"/>
      <c r="Q294" s="444"/>
      <c r="T294" s="139"/>
      <c r="U294" s="147"/>
      <c r="V294" s="139"/>
      <c r="W294" s="143">
        <f>SUM(W291:W293)</f>
        <v>709069.85437539103</v>
      </c>
      <c r="X294" s="150"/>
      <c r="Y294" s="157"/>
      <c r="Z294" s="157"/>
    </row>
    <row r="296" spans="1:26" s="125" customFormat="1" ht="16.5" x14ac:dyDescent="0.35">
      <c r="A296" s="461">
        <v>31</v>
      </c>
      <c r="B296" s="127" t="s">
        <v>611</v>
      </c>
      <c r="C296" s="611"/>
      <c r="D296" s="179"/>
      <c r="E296" s="179"/>
      <c r="F296" s="179"/>
      <c r="G296" s="179"/>
      <c r="H296" s="179"/>
      <c r="I296" s="179"/>
      <c r="J296" s="179"/>
      <c r="K296" s="179"/>
      <c r="L296" s="179"/>
      <c r="M296" s="179"/>
      <c r="N296" s="179"/>
      <c r="O296" s="179"/>
      <c r="R296" s="149"/>
      <c r="S296" s="150"/>
      <c r="T296" s="127" t="s">
        <v>611</v>
      </c>
      <c r="U296" s="181"/>
      <c r="V296" s="150"/>
      <c r="Y296" s="157"/>
      <c r="Z296" s="157"/>
    </row>
    <row r="297" spans="1:26" s="125" customFormat="1" x14ac:dyDescent="0.25">
      <c r="A297" s="461"/>
      <c r="B297" s="130" t="s">
        <v>337</v>
      </c>
      <c r="C297" s="186" t="s">
        <v>977</v>
      </c>
      <c r="D297" s="131">
        <v>41821</v>
      </c>
      <c r="E297" s="131">
        <v>41852</v>
      </c>
      <c r="F297" s="131">
        <v>41883</v>
      </c>
      <c r="G297" s="131">
        <v>41913</v>
      </c>
      <c r="H297" s="131">
        <v>41944</v>
      </c>
      <c r="I297" s="131">
        <v>41974</v>
      </c>
      <c r="J297" s="131">
        <v>42005</v>
      </c>
      <c r="K297" s="131">
        <v>42036</v>
      </c>
      <c r="L297" s="131">
        <v>42064</v>
      </c>
      <c r="M297" s="131">
        <v>42095</v>
      </c>
      <c r="N297" s="131">
        <v>42125</v>
      </c>
      <c r="O297" s="131">
        <v>42156</v>
      </c>
      <c r="P297" s="131">
        <v>42186</v>
      </c>
      <c r="Q297" s="151">
        <v>42217</v>
      </c>
      <c r="R297" s="131">
        <v>42261</v>
      </c>
      <c r="S297" s="132"/>
      <c r="T297" s="133" t="s">
        <v>338</v>
      </c>
      <c r="U297" s="134" t="s">
        <v>339</v>
      </c>
      <c r="V297" s="132"/>
      <c r="W297" s="133" t="s">
        <v>338</v>
      </c>
      <c r="X297" s="134" t="s">
        <v>339</v>
      </c>
      <c r="Y297" s="157"/>
      <c r="Z297" s="157"/>
    </row>
    <row r="298" spans="1:26" s="125" customFormat="1" x14ac:dyDescent="0.25">
      <c r="A298" s="461"/>
      <c r="B298" s="135" t="s">
        <v>340</v>
      </c>
      <c r="C298" s="612"/>
      <c r="D298" s="454">
        <v>173510</v>
      </c>
      <c r="E298" s="454">
        <v>179450</v>
      </c>
      <c r="F298" s="454">
        <v>178020</v>
      </c>
      <c r="G298" s="454">
        <v>171290</v>
      </c>
      <c r="H298" s="454">
        <v>152680</v>
      </c>
      <c r="I298" s="454">
        <v>146750</v>
      </c>
      <c r="J298" s="454">
        <v>119470</v>
      </c>
      <c r="K298" s="454">
        <v>137560</v>
      </c>
      <c r="L298" s="454">
        <v>127360</v>
      </c>
      <c r="M298" s="454">
        <v>189280</v>
      </c>
      <c r="N298" s="454">
        <v>180300</v>
      </c>
      <c r="O298" s="454">
        <v>220612</v>
      </c>
      <c r="P298" s="456"/>
      <c r="T298" s="137">
        <f>SUM(D298:Q298)</f>
        <v>1976282</v>
      </c>
      <c r="U298" s="138" t="s">
        <v>341</v>
      </c>
      <c r="V298" s="139"/>
      <c r="W298" s="140">
        <f>T298*3413/1000000</f>
        <v>6745.0504659999997</v>
      </c>
      <c r="X298" s="138" t="s">
        <v>342</v>
      </c>
      <c r="Y298" s="157"/>
      <c r="Z298" s="157"/>
    </row>
    <row r="299" spans="1:26" s="125" customFormat="1" x14ac:dyDescent="0.25">
      <c r="A299" s="461"/>
      <c r="B299" s="135" t="s">
        <v>372</v>
      </c>
      <c r="C299" s="612"/>
      <c r="D299" s="454">
        <v>1124</v>
      </c>
      <c r="E299" s="454">
        <v>1391</v>
      </c>
      <c r="F299" s="454">
        <v>1882</v>
      </c>
      <c r="G299" s="454">
        <v>1911</v>
      </c>
      <c r="H299" s="454">
        <v>2927</v>
      </c>
      <c r="I299" s="454">
        <v>3666</v>
      </c>
      <c r="J299" s="454">
        <v>5134</v>
      </c>
      <c r="K299" s="454">
        <v>4366</v>
      </c>
      <c r="L299" s="454">
        <v>3219</v>
      </c>
      <c r="M299" s="454">
        <v>2360</v>
      </c>
      <c r="N299" s="454">
        <v>1947</v>
      </c>
      <c r="O299" s="454">
        <v>1394</v>
      </c>
      <c r="P299" s="456"/>
      <c r="T299" s="137">
        <f>SUM(D299:Q299)</f>
        <v>31321</v>
      </c>
      <c r="U299" s="138" t="s">
        <v>354</v>
      </c>
      <c r="V299" s="139"/>
      <c r="W299" s="140">
        <f>T299*99976.124488/1000000</f>
        <v>3131.3521950886479</v>
      </c>
      <c r="X299" s="138" t="s">
        <v>342</v>
      </c>
      <c r="Y299" s="495">
        <f>W298+W299</f>
        <v>9876.4026610886467</v>
      </c>
      <c r="Z299" s="153" t="s">
        <v>677</v>
      </c>
    </row>
    <row r="300" spans="1:26" s="125" customFormat="1" x14ac:dyDescent="0.25">
      <c r="A300" s="461"/>
      <c r="B300" s="135" t="s">
        <v>373</v>
      </c>
      <c r="C300" s="201"/>
      <c r="D300" s="454">
        <v>25696</v>
      </c>
      <c r="E300" s="454">
        <v>28456</v>
      </c>
      <c r="F300" s="454">
        <v>23223</v>
      </c>
      <c r="G300" s="454">
        <v>16207</v>
      </c>
      <c r="H300" s="454">
        <v>35992</v>
      </c>
      <c r="I300" s="454">
        <v>14311</v>
      </c>
      <c r="J300" s="454">
        <v>25039</v>
      </c>
      <c r="K300" s="454">
        <v>6083</v>
      </c>
      <c r="L300" s="454">
        <v>8008</v>
      </c>
      <c r="M300" s="454">
        <v>20030</v>
      </c>
      <c r="N300" s="454">
        <v>41158</v>
      </c>
      <c r="O300" s="454">
        <v>55695</v>
      </c>
      <c r="P300" s="456"/>
      <c r="T300" s="137">
        <f>SUM(D300:Q300)</f>
        <v>299898</v>
      </c>
      <c r="U300" s="138" t="s">
        <v>367</v>
      </c>
      <c r="V300" s="139"/>
      <c r="W300" s="137">
        <f>T300*7.48</f>
        <v>2243237.04</v>
      </c>
      <c r="X300" s="138" t="s">
        <v>346</v>
      </c>
      <c r="Y300" s="157"/>
      <c r="Z300" s="157"/>
    </row>
    <row r="301" spans="1:26" s="125" customFormat="1" x14ac:dyDescent="0.25">
      <c r="A301" s="461"/>
      <c r="B301" s="135" t="s">
        <v>324</v>
      </c>
      <c r="C301" s="613"/>
      <c r="D301" s="455">
        <v>12090.635119396084</v>
      </c>
      <c r="E301" s="455">
        <v>12844.720606792716</v>
      </c>
      <c r="F301" s="455">
        <v>12327.222282991204</v>
      </c>
      <c r="G301" s="455">
        <v>10508.318126430206</v>
      </c>
      <c r="H301" s="455">
        <v>8781.4538166666662</v>
      </c>
      <c r="I301" s="455">
        <v>8450.0354522289435</v>
      </c>
      <c r="J301" s="455">
        <v>6662.9675265320338</v>
      </c>
      <c r="K301" s="455">
        <v>7754.5220679982822</v>
      </c>
      <c r="L301" s="455">
        <v>7449.1694154995339</v>
      </c>
      <c r="M301" s="455">
        <v>10563.354380155037</v>
      </c>
      <c r="N301" s="455">
        <v>10133.921994318182</v>
      </c>
      <c r="O301" s="455">
        <v>13846.541064282052</v>
      </c>
      <c r="P301" s="176"/>
      <c r="T301" s="143">
        <f>SUM(D301:Q301)</f>
        <v>121412.86185329095</v>
      </c>
      <c r="U301" s="138"/>
      <c r="V301" s="139"/>
      <c r="W301" s="143">
        <f>T301</f>
        <v>121412.86185329095</v>
      </c>
      <c r="X301" s="138"/>
      <c r="Y301" s="157"/>
      <c r="Z301" s="157"/>
    </row>
    <row r="302" spans="1:26" s="125" customFormat="1" ht="16.5" x14ac:dyDescent="0.35">
      <c r="A302" s="461"/>
      <c r="B302" s="144" t="s">
        <v>374</v>
      </c>
      <c r="C302" s="611"/>
      <c r="D302" s="455">
        <v>981.88</v>
      </c>
      <c r="E302" s="455">
        <v>1209.9000000000001</v>
      </c>
      <c r="F302" s="455">
        <v>1629.21</v>
      </c>
      <c r="G302" s="455">
        <v>1653.97</v>
      </c>
      <c r="H302" s="455">
        <v>2506</v>
      </c>
      <c r="I302" s="455">
        <v>3137.48</v>
      </c>
      <c r="J302" s="455">
        <v>4142.24</v>
      </c>
      <c r="K302" s="455">
        <v>3256.47</v>
      </c>
      <c r="L302" s="455">
        <v>2053.0100000000002</v>
      </c>
      <c r="M302" s="455">
        <v>0</v>
      </c>
      <c r="N302" s="455">
        <v>955.55</v>
      </c>
      <c r="O302" s="455">
        <v>952.95</v>
      </c>
      <c r="P302" s="179"/>
      <c r="T302" s="143">
        <f>SUM(D302:Q302)</f>
        <v>22478.660000000003</v>
      </c>
      <c r="U302" s="138"/>
      <c r="V302" s="139"/>
      <c r="W302" s="146">
        <f>T302</f>
        <v>22478.660000000003</v>
      </c>
      <c r="X302" s="138"/>
      <c r="Y302" s="157"/>
      <c r="Z302" s="157"/>
    </row>
    <row r="303" spans="1:26" s="125" customFormat="1" x14ac:dyDescent="0.25">
      <c r="A303" s="461"/>
      <c r="B303" s="180"/>
      <c r="C303" s="611"/>
      <c r="D303" s="179"/>
      <c r="E303" s="179"/>
      <c r="F303" s="179"/>
      <c r="G303" s="179"/>
      <c r="H303" s="179"/>
      <c r="I303" s="179"/>
      <c r="J303" s="179"/>
      <c r="K303" s="179"/>
      <c r="L303" s="179"/>
      <c r="M303" s="179"/>
      <c r="N303" s="179"/>
      <c r="O303" s="179"/>
      <c r="T303" s="149"/>
      <c r="U303" s="150"/>
      <c r="V303" s="139"/>
      <c r="W303" s="143">
        <f>SUM(W301:W302)</f>
        <v>143891.52185329096</v>
      </c>
      <c r="X303" s="138"/>
      <c r="Y303" s="157"/>
      <c r="Z303" s="157"/>
    </row>
    <row r="305" spans="1:26" s="125" customFormat="1" ht="16.5" x14ac:dyDescent="0.35">
      <c r="A305" s="461">
        <v>32</v>
      </c>
      <c r="B305" s="127" t="s">
        <v>612</v>
      </c>
      <c r="C305" s="611"/>
      <c r="D305" s="179"/>
      <c r="E305" s="179"/>
      <c r="F305" s="179"/>
      <c r="G305" s="179"/>
      <c r="H305" s="179"/>
      <c r="I305" s="179"/>
      <c r="J305" s="179"/>
      <c r="K305" s="179"/>
      <c r="L305" s="179"/>
      <c r="M305" s="179"/>
      <c r="N305" s="179"/>
      <c r="O305" s="179"/>
      <c r="R305" s="149"/>
      <c r="S305" s="150"/>
      <c r="T305" s="127" t="s">
        <v>612</v>
      </c>
      <c r="U305" s="181"/>
      <c r="V305" s="150"/>
      <c r="Y305" s="157"/>
      <c r="Z305" s="157"/>
    </row>
    <row r="306" spans="1:26" s="125" customFormat="1" x14ac:dyDescent="0.25">
      <c r="A306" s="461"/>
      <c r="B306" s="130" t="s">
        <v>337</v>
      </c>
      <c r="C306" s="186" t="s">
        <v>977</v>
      </c>
      <c r="D306" s="131">
        <v>41821</v>
      </c>
      <c r="E306" s="131">
        <v>41852</v>
      </c>
      <c r="F306" s="131">
        <v>41883</v>
      </c>
      <c r="G306" s="131">
        <v>41913</v>
      </c>
      <c r="H306" s="131">
        <v>41944</v>
      </c>
      <c r="I306" s="131">
        <v>41974</v>
      </c>
      <c r="J306" s="131">
        <v>42005</v>
      </c>
      <c r="K306" s="131">
        <v>42036</v>
      </c>
      <c r="L306" s="131">
        <v>42064</v>
      </c>
      <c r="M306" s="131">
        <v>42095</v>
      </c>
      <c r="N306" s="131">
        <v>42125</v>
      </c>
      <c r="O306" s="131">
        <v>42156</v>
      </c>
      <c r="P306" s="131">
        <v>42186</v>
      </c>
      <c r="Q306" s="151">
        <v>42217</v>
      </c>
      <c r="R306" s="131">
        <v>42261</v>
      </c>
      <c r="S306" s="132"/>
      <c r="T306" s="133" t="s">
        <v>338</v>
      </c>
      <c r="U306" s="134" t="s">
        <v>339</v>
      </c>
      <c r="V306" s="132"/>
      <c r="W306" s="133" t="s">
        <v>338</v>
      </c>
      <c r="X306" s="134" t="s">
        <v>339</v>
      </c>
      <c r="Y306" s="157"/>
      <c r="Z306" s="157"/>
    </row>
    <row r="307" spans="1:26" s="125" customFormat="1" x14ac:dyDescent="0.25">
      <c r="A307" s="461"/>
      <c r="B307" s="135" t="s">
        <v>340</v>
      </c>
      <c r="C307" s="612"/>
      <c r="D307" s="96">
        <v>192600</v>
      </c>
      <c r="E307" s="96">
        <v>188400</v>
      </c>
      <c r="F307" s="96">
        <v>206400</v>
      </c>
      <c r="G307" s="96">
        <v>154200</v>
      </c>
      <c r="H307" s="96">
        <v>170800</v>
      </c>
      <c r="I307" s="96">
        <v>165800</v>
      </c>
      <c r="J307" s="96">
        <v>167000</v>
      </c>
      <c r="K307" s="96">
        <v>171800</v>
      </c>
      <c r="L307" s="96">
        <v>170600</v>
      </c>
      <c r="M307" s="96">
        <v>159800</v>
      </c>
      <c r="N307" s="96">
        <v>187400</v>
      </c>
      <c r="O307" s="96">
        <v>194000</v>
      </c>
      <c r="P307" s="456"/>
      <c r="T307" s="137">
        <f>SUM(C307:Q307)</f>
        <v>2128800</v>
      </c>
      <c r="U307" s="138" t="s">
        <v>341</v>
      </c>
      <c r="V307" s="139"/>
      <c r="W307" s="140">
        <f>T307*3413/1000000</f>
        <v>7265.5944</v>
      </c>
      <c r="X307" s="138" t="s">
        <v>342</v>
      </c>
      <c r="Y307" s="157"/>
      <c r="Z307" s="157"/>
    </row>
    <row r="308" spans="1:26" s="125" customFormat="1" x14ac:dyDescent="0.25">
      <c r="A308" s="461"/>
      <c r="B308" s="135" t="s">
        <v>372</v>
      </c>
      <c r="C308" s="612"/>
      <c r="D308" s="96">
        <v>1161</v>
      </c>
      <c r="E308" s="96">
        <v>1190</v>
      </c>
      <c r="F308" s="96">
        <v>1404</v>
      </c>
      <c r="G308" s="96">
        <v>1379</v>
      </c>
      <c r="H308" s="96">
        <v>1566</v>
      </c>
      <c r="I308" s="96">
        <v>1997</v>
      </c>
      <c r="J308" s="96">
        <v>1716</v>
      </c>
      <c r="K308" s="96">
        <v>1693</v>
      </c>
      <c r="L308" s="96">
        <v>1835</v>
      </c>
      <c r="M308" s="96">
        <v>1666</v>
      </c>
      <c r="N308" s="96">
        <v>1780</v>
      </c>
      <c r="O308" s="96">
        <v>1119</v>
      </c>
      <c r="P308" s="456"/>
      <c r="T308" s="137">
        <f>SUM(C308:Q308)</f>
        <v>18506</v>
      </c>
      <c r="U308" s="138" t="s">
        <v>354</v>
      </c>
      <c r="V308" s="139"/>
      <c r="W308" s="140">
        <f>T308*99976.124488/1000000</f>
        <v>1850.158159774928</v>
      </c>
      <c r="X308" s="138" t="s">
        <v>342</v>
      </c>
      <c r="Y308" s="785">
        <f>W307+W308</f>
        <v>9115.7525597749282</v>
      </c>
      <c r="Z308" s="157" t="s">
        <v>649</v>
      </c>
    </row>
    <row r="309" spans="1:26" s="125" customFormat="1" x14ac:dyDescent="0.25">
      <c r="A309" s="461"/>
      <c r="B309" s="135" t="s">
        <v>322</v>
      </c>
      <c r="C309" s="201"/>
      <c r="D309" s="101">
        <v>201000</v>
      </c>
      <c r="E309" s="101">
        <v>188100</v>
      </c>
      <c r="F309" s="101">
        <v>237890</v>
      </c>
      <c r="G309" s="101">
        <v>210120</v>
      </c>
      <c r="H309" s="101">
        <v>231200</v>
      </c>
      <c r="I309" s="101">
        <v>221300</v>
      </c>
      <c r="J309" s="101">
        <v>255000</v>
      </c>
      <c r="K309" s="101">
        <v>266000</v>
      </c>
      <c r="L309" s="101">
        <v>263700</v>
      </c>
      <c r="M309" s="101">
        <v>260400</v>
      </c>
      <c r="N309" s="101">
        <v>313240</v>
      </c>
      <c r="O309" s="101">
        <v>344100</v>
      </c>
      <c r="P309" s="456"/>
      <c r="T309" s="137">
        <f>SUM(C309:Q309)</f>
        <v>2992050</v>
      </c>
      <c r="U309" s="138" t="s">
        <v>346</v>
      </c>
      <c r="V309" s="139"/>
      <c r="W309" s="137">
        <f>T309</f>
        <v>2992050</v>
      </c>
      <c r="X309" s="138" t="s">
        <v>346</v>
      </c>
      <c r="Y309" s="157"/>
      <c r="Z309" s="157"/>
    </row>
    <row r="310" spans="1:26" s="125" customFormat="1" x14ac:dyDescent="0.25">
      <c r="A310" s="461"/>
      <c r="B310" s="135" t="s">
        <v>324</v>
      </c>
      <c r="C310" s="613"/>
      <c r="D310" s="467">
        <v>15850.18</v>
      </c>
      <c r="E310" s="467">
        <v>15546.24</v>
      </c>
      <c r="F310" s="467">
        <v>16838.5</v>
      </c>
      <c r="G310" s="467">
        <v>12947.88</v>
      </c>
      <c r="H310" s="467">
        <v>13953.54</v>
      </c>
      <c r="I310" s="467">
        <v>14184.53</v>
      </c>
      <c r="J310" s="467">
        <v>14604.67</v>
      </c>
      <c r="K310" s="467">
        <v>14923.05</v>
      </c>
      <c r="L310" s="467">
        <v>14541.59</v>
      </c>
      <c r="M310" s="467">
        <v>13785.35</v>
      </c>
      <c r="N310" s="467">
        <v>16256.28</v>
      </c>
      <c r="O310" s="467">
        <v>17028.240000000002</v>
      </c>
      <c r="P310" s="176"/>
      <c r="T310" s="143">
        <f>SUM(C310:Q310)</f>
        <v>180460.05</v>
      </c>
      <c r="U310" s="138"/>
      <c r="V310" s="139"/>
      <c r="W310" s="143">
        <f>T310</f>
        <v>180460.05</v>
      </c>
      <c r="X310" s="138"/>
      <c r="Y310" s="157"/>
      <c r="Z310" s="157"/>
    </row>
    <row r="311" spans="1:26" s="125" customFormat="1" ht="16.5" x14ac:dyDescent="0.35">
      <c r="A311" s="461"/>
      <c r="B311" s="144" t="s">
        <v>374</v>
      </c>
      <c r="C311" s="611"/>
      <c r="D311" s="113">
        <v>1096</v>
      </c>
      <c r="E311" s="113">
        <v>1110.93</v>
      </c>
      <c r="F311" s="113">
        <v>1306.47</v>
      </c>
      <c r="G311" s="113">
        <v>1289.6099999999999</v>
      </c>
      <c r="H311" s="113">
        <v>1446.05</v>
      </c>
      <c r="I311" s="113">
        <v>1750.52</v>
      </c>
      <c r="J311" s="113">
        <v>1413.28</v>
      </c>
      <c r="K311" s="113">
        <v>1192.94</v>
      </c>
      <c r="L311" s="113">
        <v>1187.67</v>
      </c>
      <c r="M311" s="113">
        <v>1090.97</v>
      </c>
      <c r="N311" s="113">
        <v>1284.46</v>
      </c>
      <c r="O311" s="113">
        <v>1019.18</v>
      </c>
      <c r="P311" s="179"/>
      <c r="T311" s="143">
        <f>SUM(C311:Q311)</f>
        <v>15188.080000000002</v>
      </c>
      <c r="U311" s="138"/>
      <c r="V311" s="139"/>
      <c r="W311" s="146">
        <f>T311</f>
        <v>15188.080000000002</v>
      </c>
      <c r="X311" s="138"/>
      <c r="Y311" s="157"/>
      <c r="Z311" s="157"/>
    </row>
    <row r="312" spans="1:26" s="125" customFormat="1" x14ac:dyDescent="0.25">
      <c r="A312" s="461"/>
      <c r="B312" s="180"/>
      <c r="C312" s="611"/>
      <c r="D312" s="179"/>
      <c r="E312" s="179"/>
      <c r="F312" s="179"/>
      <c r="G312" s="179"/>
      <c r="H312" s="179"/>
      <c r="I312" s="179"/>
      <c r="J312" s="179"/>
      <c r="K312" s="179"/>
      <c r="L312" s="179"/>
      <c r="M312" s="179"/>
      <c r="N312" s="179"/>
      <c r="O312" s="179"/>
      <c r="T312" s="149"/>
      <c r="U312" s="150"/>
      <c r="V312" s="139"/>
      <c r="W312" s="143">
        <f>SUM(W310:W311)</f>
        <v>195648.13</v>
      </c>
      <c r="X312" s="138"/>
      <c r="Y312" s="157"/>
      <c r="Z312" s="157"/>
    </row>
    <row r="314" spans="1:26" s="125" customFormat="1" ht="16.5" x14ac:dyDescent="0.35">
      <c r="A314" s="461">
        <v>33</v>
      </c>
      <c r="B314" s="127" t="s">
        <v>613</v>
      </c>
      <c r="C314" s="611"/>
      <c r="D314" s="179"/>
      <c r="E314" s="179"/>
      <c r="F314" s="179"/>
      <c r="G314" s="179"/>
      <c r="H314" s="179"/>
      <c r="I314" s="179"/>
      <c r="J314" s="179"/>
      <c r="K314" s="179"/>
      <c r="L314" s="179"/>
      <c r="M314" s="179"/>
      <c r="N314" s="179"/>
      <c r="O314" s="179"/>
      <c r="R314" s="149"/>
      <c r="S314" s="150"/>
      <c r="T314" s="127" t="s">
        <v>613</v>
      </c>
      <c r="U314" s="181"/>
      <c r="V314" s="150"/>
      <c r="Y314" s="157"/>
      <c r="Z314" s="157"/>
    </row>
    <row r="315" spans="1:26" s="125" customFormat="1" x14ac:dyDescent="0.25">
      <c r="A315" s="461"/>
      <c r="B315" s="130" t="s">
        <v>337</v>
      </c>
      <c r="C315" s="186" t="s">
        <v>977</v>
      </c>
      <c r="D315" s="131">
        <v>41821</v>
      </c>
      <c r="E315" s="131">
        <v>41852</v>
      </c>
      <c r="F315" s="131">
        <v>41883</v>
      </c>
      <c r="G315" s="131">
        <v>41913</v>
      </c>
      <c r="H315" s="131">
        <v>41944</v>
      </c>
      <c r="I315" s="131">
        <v>41974</v>
      </c>
      <c r="J315" s="131">
        <v>42005</v>
      </c>
      <c r="K315" s="131">
        <v>42036</v>
      </c>
      <c r="L315" s="131">
        <v>42064</v>
      </c>
      <c r="M315" s="131">
        <v>42095</v>
      </c>
      <c r="N315" s="131">
        <v>42125</v>
      </c>
      <c r="O315" s="131">
        <v>42156</v>
      </c>
      <c r="P315" s="131">
        <v>42186</v>
      </c>
      <c r="Q315" s="151">
        <v>42217</v>
      </c>
      <c r="R315" s="131">
        <v>42261</v>
      </c>
      <c r="S315" s="132"/>
      <c r="T315" s="133" t="s">
        <v>338</v>
      </c>
      <c r="U315" s="134" t="s">
        <v>339</v>
      </c>
      <c r="V315" s="132"/>
      <c r="W315" s="133" t="s">
        <v>338</v>
      </c>
      <c r="X315" s="134" t="s">
        <v>339</v>
      </c>
      <c r="Y315" s="157"/>
      <c r="Z315" s="157"/>
    </row>
    <row r="316" spans="1:26" s="125" customFormat="1" x14ac:dyDescent="0.25">
      <c r="A316" s="461"/>
      <c r="B316" s="135" t="s">
        <v>340</v>
      </c>
      <c r="C316" s="612"/>
      <c r="D316" s="454">
        <v>72500</v>
      </c>
      <c r="E316" s="454">
        <v>64200</v>
      </c>
      <c r="F316" s="454">
        <v>78300</v>
      </c>
      <c r="G316" s="454">
        <v>57500</v>
      </c>
      <c r="H316" s="454">
        <v>46600</v>
      </c>
      <c r="I316" s="454">
        <v>42400</v>
      </c>
      <c r="J316" s="454">
        <v>41300</v>
      </c>
      <c r="K316" s="454">
        <v>45900</v>
      </c>
      <c r="L316" s="454">
        <v>53900</v>
      </c>
      <c r="M316" s="454">
        <v>56200</v>
      </c>
      <c r="N316" s="454">
        <v>60400</v>
      </c>
      <c r="O316" s="454">
        <v>81900</v>
      </c>
      <c r="P316" s="456"/>
      <c r="T316" s="137">
        <f>SUM(D316:Q316)</f>
        <v>701100</v>
      </c>
      <c r="U316" s="138" t="s">
        <v>341</v>
      </c>
      <c r="V316" s="139"/>
      <c r="W316" s="140">
        <f>T316*3413/1000000</f>
        <v>2392.8543</v>
      </c>
      <c r="X316" s="138" t="s">
        <v>342</v>
      </c>
      <c r="Y316" s="157"/>
      <c r="Z316" s="157"/>
    </row>
    <row r="317" spans="1:26" s="125" customFormat="1" x14ac:dyDescent="0.25">
      <c r="A317" s="461"/>
      <c r="B317" s="135" t="s">
        <v>372</v>
      </c>
      <c r="C317" s="612"/>
      <c r="D317" s="454">
        <v>260</v>
      </c>
      <c r="E317" s="454">
        <v>282</v>
      </c>
      <c r="F317" s="454">
        <v>368</v>
      </c>
      <c r="G317" s="454">
        <v>487</v>
      </c>
      <c r="H317" s="454">
        <v>618</v>
      </c>
      <c r="I317" s="454">
        <v>722</v>
      </c>
      <c r="J317" s="454">
        <v>1268</v>
      </c>
      <c r="K317" s="454">
        <v>1416</v>
      </c>
      <c r="L317" s="454">
        <v>1106</v>
      </c>
      <c r="M317" s="454">
        <v>553</v>
      </c>
      <c r="N317" s="454">
        <v>558</v>
      </c>
      <c r="O317" s="454">
        <v>547</v>
      </c>
      <c r="P317" s="456"/>
      <c r="T317" s="137">
        <f>SUM(D317:Q317)</f>
        <v>8185</v>
      </c>
      <c r="U317" s="138" t="s">
        <v>354</v>
      </c>
      <c r="V317" s="139"/>
      <c r="W317" s="140">
        <f>T317*99976.124488/1000000</f>
        <v>818.30457893428002</v>
      </c>
      <c r="X317" s="138" t="s">
        <v>342</v>
      </c>
      <c r="Y317" s="495">
        <f>W317+W316</f>
        <v>3211.15887893428</v>
      </c>
      <c r="Z317" s="138" t="s">
        <v>342</v>
      </c>
    </row>
    <row r="318" spans="1:26" s="125" customFormat="1" x14ac:dyDescent="0.25">
      <c r="A318" s="461"/>
      <c r="B318" s="135" t="s">
        <v>373</v>
      </c>
      <c r="C318" s="201"/>
      <c r="D318" s="441">
        <v>215</v>
      </c>
      <c r="E318" s="441">
        <v>255</v>
      </c>
      <c r="F318" s="441">
        <v>191</v>
      </c>
      <c r="G318" s="441">
        <v>252</v>
      </c>
      <c r="H318" s="441">
        <v>134</v>
      </c>
      <c r="I318" s="441">
        <v>72</v>
      </c>
      <c r="J318" s="441">
        <v>153</v>
      </c>
      <c r="K318" s="441">
        <v>110</v>
      </c>
      <c r="L318" s="441">
        <v>187</v>
      </c>
      <c r="M318" s="441">
        <v>187</v>
      </c>
      <c r="N318" s="441">
        <v>137</v>
      </c>
      <c r="O318" s="441">
        <v>136</v>
      </c>
      <c r="P318" s="456"/>
      <c r="T318" s="137">
        <f>SUM(D318:Q318)</f>
        <v>2029</v>
      </c>
      <c r="U318" s="138" t="s">
        <v>367</v>
      </c>
      <c r="V318" s="139"/>
      <c r="W318" s="137">
        <f>T318*7.48</f>
        <v>15176.92</v>
      </c>
      <c r="X318" s="138" t="s">
        <v>346</v>
      </c>
      <c r="Y318" s="157"/>
      <c r="Z318" s="157"/>
    </row>
    <row r="319" spans="1:26" s="125" customFormat="1" x14ac:dyDescent="0.25">
      <c r="A319" s="461"/>
      <c r="B319" s="135" t="s">
        <v>324</v>
      </c>
      <c r="C319" s="613"/>
      <c r="D319" s="455">
        <v>6215.02</v>
      </c>
      <c r="E319" s="455">
        <v>5721.38</v>
      </c>
      <c r="F319" s="455">
        <v>6621.8099999999995</v>
      </c>
      <c r="G319" s="455">
        <v>5269.9400000000005</v>
      </c>
      <c r="H319" s="455">
        <v>4460.1299999999992</v>
      </c>
      <c r="I319" s="455">
        <v>4236.5599999999995</v>
      </c>
      <c r="J319" s="455">
        <v>4185.45</v>
      </c>
      <c r="K319" s="455">
        <v>4541.13</v>
      </c>
      <c r="L319" s="455">
        <v>5070.7299999999996</v>
      </c>
      <c r="M319" s="455">
        <v>5215.29</v>
      </c>
      <c r="N319" s="455">
        <v>5376.4500000000007</v>
      </c>
      <c r="O319" s="455">
        <v>7033.46</v>
      </c>
      <c r="P319" s="176"/>
      <c r="T319" s="143">
        <f>SUM(D319:Q319)</f>
        <v>63947.35</v>
      </c>
      <c r="U319" s="138"/>
      <c r="V319" s="139"/>
      <c r="W319" s="143">
        <f>T319</f>
        <v>63947.35</v>
      </c>
      <c r="X319" s="138"/>
      <c r="Y319" s="157"/>
      <c r="Z319" s="157"/>
    </row>
    <row r="320" spans="1:26" s="125" customFormat="1" ht="16.5" x14ac:dyDescent="0.35">
      <c r="A320" s="461"/>
      <c r="B320" s="144" t="s">
        <v>374</v>
      </c>
      <c r="C320" s="611"/>
      <c r="D320" s="455">
        <v>261.12</v>
      </c>
      <c r="E320" s="455">
        <v>281.22999999999996</v>
      </c>
      <c r="F320" s="455">
        <v>359.81</v>
      </c>
      <c r="G320" s="455">
        <v>477.04999999999995</v>
      </c>
      <c r="H320" s="455">
        <v>578.35</v>
      </c>
      <c r="I320" s="455">
        <v>676.08</v>
      </c>
      <c r="J320" s="455">
        <v>1074.8599999999999</v>
      </c>
      <c r="K320" s="455">
        <v>1111.8900000000001</v>
      </c>
      <c r="L320" s="455">
        <v>714.28</v>
      </c>
      <c r="M320" s="455">
        <v>377.86</v>
      </c>
      <c r="N320" s="455">
        <v>387.15</v>
      </c>
      <c r="O320" s="455">
        <v>433.65</v>
      </c>
      <c r="P320" s="179"/>
      <c r="T320" s="143">
        <f>SUM(D320:Q320)</f>
        <v>6733.329999999999</v>
      </c>
      <c r="U320" s="138"/>
      <c r="V320" s="139"/>
      <c r="W320" s="146">
        <f>T320</f>
        <v>6733.329999999999</v>
      </c>
      <c r="X320" s="138"/>
      <c r="Y320" s="157"/>
      <c r="Z320" s="157"/>
    </row>
    <row r="321" spans="1:26" s="125" customFormat="1" x14ac:dyDescent="0.25">
      <c r="A321" s="461"/>
      <c r="B321" s="180"/>
      <c r="C321" s="611"/>
      <c r="D321" s="179"/>
      <c r="E321" s="179"/>
      <c r="F321" s="179"/>
      <c r="G321" s="179"/>
      <c r="H321" s="179"/>
      <c r="I321" s="179"/>
      <c r="J321" s="179"/>
      <c r="K321" s="179"/>
      <c r="L321" s="179"/>
      <c r="M321" s="179"/>
      <c r="N321" s="179"/>
      <c r="O321" s="179"/>
      <c r="T321" s="149"/>
      <c r="U321" s="150"/>
      <c r="V321" s="139"/>
      <c r="W321" s="143">
        <f>SUM(W319:W320)</f>
        <v>70680.679999999993</v>
      </c>
      <c r="X321" s="138"/>
      <c r="Y321" s="157"/>
      <c r="Z321" s="157"/>
    </row>
    <row r="323" spans="1:26" s="128" customFormat="1" x14ac:dyDescent="0.25">
      <c r="A323" s="459">
        <v>34</v>
      </c>
      <c r="B323" s="127" t="s">
        <v>615</v>
      </c>
      <c r="C323" s="602"/>
      <c r="T323" s="127" t="s">
        <v>615</v>
      </c>
      <c r="U323" s="129"/>
      <c r="X323" s="129"/>
      <c r="Y323" s="166"/>
      <c r="Z323" s="166"/>
    </row>
    <row r="324" spans="1:26" s="125" customFormat="1" x14ac:dyDescent="0.25">
      <c r="A324" s="461"/>
      <c r="B324" s="130" t="s">
        <v>337</v>
      </c>
      <c r="C324" s="186" t="s">
        <v>977</v>
      </c>
      <c r="D324" s="131">
        <v>41821</v>
      </c>
      <c r="E324" s="131">
        <v>41852</v>
      </c>
      <c r="F324" s="131">
        <v>41883</v>
      </c>
      <c r="G324" s="131">
        <v>41913</v>
      </c>
      <c r="H324" s="131">
        <v>41944</v>
      </c>
      <c r="I324" s="131">
        <v>41974</v>
      </c>
      <c r="J324" s="131">
        <v>42005</v>
      </c>
      <c r="K324" s="131">
        <v>42036</v>
      </c>
      <c r="L324" s="131">
        <v>42064</v>
      </c>
      <c r="M324" s="131">
        <v>42095</v>
      </c>
      <c r="N324" s="131">
        <v>42125</v>
      </c>
      <c r="O324" s="131">
        <v>42156</v>
      </c>
      <c r="P324" s="131">
        <v>42186</v>
      </c>
      <c r="Q324" s="151">
        <v>42217</v>
      </c>
      <c r="R324" s="131">
        <v>42261</v>
      </c>
      <c r="S324" s="132"/>
      <c r="T324" s="133" t="s">
        <v>338</v>
      </c>
      <c r="U324" s="134" t="s">
        <v>339</v>
      </c>
      <c r="V324" s="132"/>
      <c r="W324" s="133" t="s">
        <v>338</v>
      </c>
      <c r="X324" s="134" t="s">
        <v>339</v>
      </c>
      <c r="Y324" s="157"/>
      <c r="Z324" s="157"/>
    </row>
    <row r="325" spans="1:26" s="125" customFormat="1" x14ac:dyDescent="0.25">
      <c r="A325" s="461"/>
      <c r="B325" s="135" t="s">
        <v>340</v>
      </c>
      <c r="C325" s="603"/>
      <c r="D325" s="136"/>
      <c r="E325" s="136"/>
      <c r="F325" s="136"/>
      <c r="G325" s="136"/>
      <c r="H325" s="136"/>
      <c r="I325" s="136"/>
      <c r="J325" s="136"/>
      <c r="K325" s="136"/>
      <c r="L325" s="136"/>
      <c r="M325" s="136"/>
      <c r="N325" s="136"/>
      <c r="O325" s="136"/>
      <c r="P325" s="136"/>
      <c r="Q325" s="434"/>
      <c r="R325" s="136"/>
      <c r="T325" s="140">
        <v>1893162.9599082</v>
      </c>
      <c r="U325" s="138" t="s">
        <v>341</v>
      </c>
      <c r="V325" s="139"/>
      <c r="W325" s="140">
        <f>T325*3413/1000000</f>
        <v>6461.3651821666863</v>
      </c>
      <c r="X325" s="138" t="s">
        <v>342</v>
      </c>
      <c r="Y325" s="157"/>
      <c r="Z325" s="157"/>
    </row>
    <row r="326" spans="1:26" s="125" customFormat="1" x14ac:dyDescent="0.25">
      <c r="A326" s="461"/>
      <c r="B326" s="135" t="s">
        <v>343</v>
      </c>
      <c r="C326" s="603"/>
      <c r="D326" s="136"/>
      <c r="E326" s="136"/>
      <c r="F326" s="136"/>
      <c r="G326" s="136"/>
      <c r="H326" s="136"/>
      <c r="I326" s="136"/>
      <c r="J326" s="136"/>
      <c r="K326" s="136"/>
      <c r="L326" s="136"/>
      <c r="M326" s="136"/>
      <c r="N326" s="136"/>
      <c r="O326" s="136"/>
      <c r="P326" s="136"/>
      <c r="Q326" s="434"/>
      <c r="R326" s="136"/>
      <c r="T326" s="140">
        <v>6221463.6000000006</v>
      </c>
      <c r="U326" s="138" t="s">
        <v>344</v>
      </c>
      <c r="V326" s="139"/>
      <c r="W326" s="140">
        <f>T326/1000</f>
        <v>6221.463600000001</v>
      </c>
      <c r="X326" s="138" t="s">
        <v>342</v>
      </c>
      <c r="Y326" s="495">
        <f>W325+W326</f>
        <v>12682.828782166687</v>
      </c>
      <c r="Z326" s="138" t="s">
        <v>342</v>
      </c>
    </row>
    <row r="327" spans="1:26" s="125" customFormat="1" x14ac:dyDescent="0.25">
      <c r="A327" s="461"/>
      <c r="B327" s="135" t="s">
        <v>345</v>
      </c>
      <c r="C327" s="603"/>
      <c r="D327" s="141"/>
      <c r="E327" s="141"/>
      <c r="F327" s="141"/>
      <c r="G327" s="141"/>
      <c r="H327" s="141"/>
      <c r="I327" s="141"/>
      <c r="J327" s="141"/>
      <c r="K327" s="141"/>
      <c r="L327" s="141"/>
      <c r="M327" s="141"/>
      <c r="N327" s="141"/>
      <c r="O327" s="141"/>
      <c r="P327" s="141"/>
      <c r="Q327" s="435"/>
      <c r="R327" s="141"/>
      <c r="T327" s="140">
        <v>2355608.9999082</v>
      </c>
      <c r="U327" s="138" t="s">
        <v>346</v>
      </c>
      <c r="V327" s="139"/>
      <c r="W327" s="137">
        <f>T327</f>
        <v>2355608.9999082</v>
      </c>
      <c r="X327" s="138" t="s">
        <v>346</v>
      </c>
      <c r="Y327" s="157"/>
      <c r="Z327" s="157"/>
    </row>
    <row r="328" spans="1:26" s="125" customFormat="1" x14ac:dyDescent="0.25">
      <c r="A328" s="461"/>
      <c r="B328" s="135" t="s">
        <v>347</v>
      </c>
      <c r="C328" s="603"/>
      <c r="D328" s="142"/>
      <c r="E328" s="142"/>
      <c r="F328" s="142"/>
      <c r="G328" s="142"/>
      <c r="H328" s="142"/>
      <c r="I328" s="142"/>
      <c r="J328" s="142"/>
      <c r="K328" s="142"/>
      <c r="L328" s="142"/>
      <c r="M328" s="142"/>
      <c r="N328" s="142"/>
      <c r="O328" s="142"/>
      <c r="P328" s="142"/>
      <c r="Q328" s="436"/>
      <c r="R328" s="142"/>
      <c r="T328" s="143">
        <v>167507.14054999998</v>
      </c>
      <c r="U328" s="138"/>
      <c r="V328" s="139"/>
      <c r="W328" s="143">
        <f>T328</f>
        <v>167507.14054999998</v>
      </c>
      <c r="X328" s="138"/>
      <c r="Y328" s="157"/>
      <c r="Z328" s="157"/>
    </row>
    <row r="329" spans="1:26" s="125" customFormat="1" ht="16.5" x14ac:dyDescent="0.35">
      <c r="A329" s="461"/>
      <c r="B329" s="144" t="s">
        <v>348</v>
      </c>
      <c r="C329" s="604"/>
      <c r="D329" s="145"/>
      <c r="E329" s="145"/>
      <c r="F329" s="145"/>
      <c r="G329" s="145"/>
      <c r="H329" s="145"/>
      <c r="I329" s="145"/>
      <c r="J329" s="145"/>
      <c r="K329" s="145"/>
      <c r="L329" s="145"/>
      <c r="M329" s="145"/>
      <c r="N329" s="145"/>
      <c r="O329" s="145"/>
      <c r="P329" s="145"/>
      <c r="Q329" s="437"/>
      <c r="R329" s="145"/>
      <c r="T329" s="143">
        <v>130664.15999999999</v>
      </c>
      <c r="U329" s="138"/>
      <c r="V329" s="139"/>
      <c r="W329" s="146">
        <f>T329</f>
        <v>130664.15999999999</v>
      </c>
      <c r="X329" s="138"/>
      <c r="Y329" s="157"/>
      <c r="Z329" s="157"/>
    </row>
    <row r="330" spans="1:26" x14ac:dyDescent="0.25">
      <c r="W330" s="143">
        <f>SUM(W328:W329)</f>
        <v>298171.30054999999</v>
      </c>
      <c r="X330" s="138"/>
    </row>
    <row r="332" spans="1:26" s="128" customFormat="1" x14ac:dyDescent="0.25">
      <c r="A332" s="459">
        <v>35</v>
      </c>
      <c r="B332" s="127" t="s">
        <v>912</v>
      </c>
      <c r="C332" s="602"/>
      <c r="T332" s="127" t="s">
        <v>912</v>
      </c>
      <c r="U332" s="129"/>
      <c r="X332" s="129"/>
      <c r="Y332" s="166"/>
      <c r="Z332" s="166"/>
    </row>
    <row r="333" spans="1:26" s="125" customFormat="1" x14ac:dyDescent="0.25">
      <c r="A333" s="461"/>
      <c r="B333" s="130" t="s">
        <v>337</v>
      </c>
      <c r="C333" s="186" t="s">
        <v>977</v>
      </c>
      <c r="D333" s="131">
        <v>41821</v>
      </c>
      <c r="E333" s="131">
        <v>41852</v>
      </c>
      <c r="F333" s="131">
        <v>41883</v>
      </c>
      <c r="G333" s="131">
        <v>41913</v>
      </c>
      <c r="H333" s="131">
        <v>41944</v>
      </c>
      <c r="I333" s="131">
        <v>41974</v>
      </c>
      <c r="J333" s="131">
        <v>42005</v>
      </c>
      <c r="K333" s="131">
        <v>42036</v>
      </c>
      <c r="L333" s="131">
        <v>42064</v>
      </c>
      <c r="M333" s="131">
        <v>42095</v>
      </c>
      <c r="N333" s="131">
        <v>42125</v>
      </c>
      <c r="O333" s="131">
        <v>42156</v>
      </c>
      <c r="P333" s="131">
        <v>42186</v>
      </c>
      <c r="Q333" s="151">
        <v>42217</v>
      </c>
      <c r="R333" s="131">
        <v>42261</v>
      </c>
      <c r="S333" s="132"/>
      <c r="T333" s="133" t="s">
        <v>338</v>
      </c>
      <c r="U333" s="134" t="s">
        <v>339</v>
      </c>
      <c r="V333" s="132"/>
      <c r="W333" s="133" t="s">
        <v>338</v>
      </c>
      <c r="X333" s="134" t="s">
        <v>339</v>
      </c>
      <c r="Y333" s="157"/>
      <c r="Z333" s="157"/>
    </row>
    <row r="334" spans="1:26" s="125" customFormat="1" x14ac:dyDescent="0.25">
      <c r="A334" s="461"/>
      <c r="B334" s="135" t="s">
        <v>340</v>
      </c>
      <c r="C334" s="603"/>
      <c r="D334" s="136"/>
      <c r="E334" s="136"/>
      <c r="F334" s="136"/>
      <c r="G334" s="136"/>
      <c r="H334" s="136"/>
      <c r="I334" s="136"/>
      <c r="J334" s="136"/>
      <c r="K334" s="136"/>
      <c r="L334" s="136"/>
      <c r="M334" s="136"/>
      <c r="N334" s="136"/>
      <c r="O334" s="136"/>
      <c r="P334" s="136"/>
      <c r="Q334" s="434"/>
      <c r="R334" s="136"/>
      <c r="T334" s="164">
        <v>1120233.9199264001</v>
      </c>
      <c r="U334" s="138" t="s">
        <v>341</v>
      </c>
      <c r="V334" s="139"/>
      <c r="W334" s="164">
        <f>T334*3413/1000000</f>
        <v>3823.3583687088035</v>
      </c>
      <c r="X334" s="162" t="s">
        <v>342</v>
      </c>
      <c r="Y334" s="166"/>
      <c r="Z334" s="157"/>
    </row>
    <row r="335" spans="1:26" s="125" customFormat="1" x14ac:dyDescent="0.25">
      <c r="A335" s="461"/>
      <c r="B335" s="135" t="s">
        <v>343</v>
      </c>
      <c r="C335" s="603"/>
      <c r="D335" s="136"/>
      <c r="E335" s="136"/>
      <c r="F335" s="136"/>
      <c r="G335" s="136"/>
      <c r="H335" s="136"/>
      <c r="I335" s="136"/>
      <c r="J335" s="136"/>
      <c r="K335" s="136"/>
      <c r="L335" s="136"/>
      <c r="M335" s="136"/>
      <c r="N335" s="136"/>
      <c r="O335" s="136"/>
      <c r="P335" s="136"/>
      <c r="Q335" s="434"/>
      <c r="R335" s="136"/>
      <c r="T335" s="164">
        <v>4900925</v>
      </c>
      <c r="U335" s="138" t="s">
        <v>344</v>
      </c>
      <c r="V335" s="139"/>
      <c r="W335" s="164">
        <f>T335/1000</f>
        <v>4900.9250000000002</v>
      </c>
      <c r="X335" s="162" t="s">
        <v>342</v>
      </c>
      <c r="Y335" s="1093">
        <f>W334+W335</f>
        <v>8724.2833687088041</v>
      </c>
      <c r="Z335" s="138" t="s">
        <v>342</v>
      </c>
    </row>
    <row r="336" spans="1:26" s="125" customFormat="1" x14ac:dyDescent="0.25">
      <c r="A336" s="461"/>
      <c r="B336" s="135" t="s">
        <v>345</v>
      </c>
      <c r="C336" s="603"/>
      <c r="D336" s="141"/>
      <c r="E336" s="141"/>
      <c r="F336" s="141"/>
      <c r="G336" s="141"/>
      <c r="H336" s="141"/>
      <c r="I336" s="141"/>
      <c r="J336" s="141"/>
      <c r="K336" s="141"/>
      <c r="L336" s="141"/>
      <c r="M336" s="141"/>
      <c r="N336" s="141"/>
      <c r="O336" s="141"/>
      <c r="P336" s="141"/>
      <c r="Q336" s="435"/>
      <c r="R336" s="141"/>
      <c r="T336" s="164">
        <v>2745167.9999263999</v>
      </c>
      <c r="U336" s="138" t="s">
        <v>346</v>
      </c>
      <c r="V336" s="139"/>
      <c r="W336" s="170">
        <f>T336</f>
        <v>2745167.9999263999</v>
      </c>
      <c r="X336" s="162" t="s">
        <v>346</v>
      </c>
      <c r="Y336" s="166"/>
      <c r="Z336" s="157"/>
    </row>
    <row r="337" spans="1:26" s="125" customFormat="1" x14ac:dyDescent="0.25">
      <c r="A337" s="461"/>
      <c r="B337" s="135" t="s">
        <v>324</v>
      </c>
      <c r="C337" s="603"/>
      <c r="D337" s="142"/>
      <c r="E337" s="142"/>
      <c r="F337" s="142"/>
      <c r="G337" s="142"/>
      <c r="H337" s="142"/>
      <c r="I337" s="142"/>
      <c r="J337" s="142"/>
      <c r="K337" s="142"/>
      <c r="L337" s="142"/>
      <c r="M337" s="142"/>
      <c r="N337" s="142"/>
      <c r="O337" s="142"/>
      <c r="P337" s="142"/>
      <c r="Q337" s="436"/>
      <c r="R337" s="142"/>
      <c r="T337" s="1095">
        <v>100287.11360000001</v>
      </c>
      <c r="U337" s="138"/>
      <c r="V337" s="139"/>
      <c r="W337" s="1095">
        <f>T337</f>
        <v>100287.11360000001</v>
      </c>
      <c r="X337" s="162"/>
      <c r="Y337" s="166"/>
      <c r="Z337" s="157"/>
    </row>
    <row r="338" spans="1:26" s="125" customFormat="1" ht="16.5" x14ac:dyDescent="0.35">
      <c r="A338" s="461"/>
      <c r="B338" s="144" t="s">
        <v>348</v>
      </c>
      <c r="C338" s="604"/>
      <c r="D338" s="145"/>
      <c r="E338" s="145"/>
      <c r="F338" s="145"/>
      <c r="G338" s="145"/>
      <c r="H338" s="145"/>
      <c r="I338" s="145"/>
      <c r="J338" s="145"/>
      <c r="K338" s="145"/>
      <c r="L338" s="145"/>
      <c r="M338" s="145"/>
      <c r="N338" s="145"/>
      <c r="O338" s="145"/>
      <c r="P338" s="145"/>
      <c r="Q338" s="437"/>
      <c r="R338" s="145"/>
      <c r="T338" s="1095">
        <v>119841.19999999998</v>
      </c>
      <c r="U338" s="138"/>
      <c r="V338" s="139"/>
      <c r="W338" s="1096">
        <f>T338</f>
        <v>119841.19999999998</v>
      </c>
      <c r="X338" s="162"/>
      <c r="Y338" s="166"/>
      <c r="Z338" s="157"/>
    </row>
    <row r="339" spans="1:26" x14ac:dyDescent="0.25">
      <c r="W339" s="1095">
        <f>SUM(W337:W338)</f>
        <v>220128.31359999999</v>
      </c>
      <c r="X339" s="162"/>
      <c r="Y339" s="1256"/>
    </row>
    <row r="341" spans="1:26" s="128" customFormat="1" ht="16.5" x14ac:dyDescent="0.35">
      <c r="A341" s="459">
        <v>36</v>
      </c>
      <c r="B341" s="127" t="s">
        <v>617</v>
      </c>
      <c r="C341" s="613"/>
      <c r="D341" s="177"/>
      <c r="E341" s="177"/>
      <c r="F341" s="177"/>
      <c r="G341" s="177"/>
      <c r="H341" s="177"/>
      <c r="I341" s="177"/>
      <c r="J341" s="177"/>
      <c r="K341" s="177"/>
      <c r="L341" s="177"/>
      <c r="M341" s="177"/>
      <c r="N341" s="177"/>
      <c r="O341" s="177"/>
      <c r="R341" s="1261"/>
      <c r="S341" s="1262"/>
      <c r="T341" s="127" t="s">
        <v>617</v>
      </c>
      <c r="U341" s="1263"/>
      <c r="V341" s="1262"/>
      <c r="Y341" s="166"/>
      <c r="Z341" s="166"/>
    </row>
    <row r="342" spans="1:26" s="125" customFormat="1" x14ac:dyDescent="0.25">
      <c r="A342" s="461"/>
      <c r="B342" s="130" t="s">
        <v>337</v>
      </c>
      <c r="C342" s="186" t="s">
        <v>977</v>
      </c>
      <c r="D342" s="131">
        <v>41821</v>
      </c>
      <c r="E342" s="131">
        <v>41852</v>
      </c>
      <c r="F342" s="131">
        <v>41883</v>
      </c>
      <c r="G342" s="131">
        <v>41913</v>
      </c>
      <c r="H342" s="131">
        <v>41944</v>
      </c>
      <c r="I342" s="131">
        <v>41974</v>
      </c>
      <c r="J342" s="131">
        <v>42005</v>
      </c>
      <c r="K342" s="131">
        <v>42036</v>
      </c>
      <c r="L342" s="131">
        <v>42064</v>
      </c>
      <c r="M342" s="131">
        <v>42095</v>
      </c>
      <c r="N342" s="131">
        <v>42125</v>
      </c>
      <c r="O342" s="131">
        <v>42156</v>
      </c>
      <c r="P342" s="131">
        <v>42186</v>
      </c>
      <c r="Q342" s="151">
        <v>42217</v>
      </c>
      <c r="R342" s="131">
        <v>42261</v>
      </c>
      <c r="S342" s="132"/>
      <c r="T342" s="133" t="s">
        <v>338</v>
      </c>
      <c r="U342" s="134" t="s">
        <v>339</v>
      </c>
      <c r="V342" s="132"/>
      <c r="W342" s="133" t="s">
        <v>338</v>
      </c>
      <c r="X342" s="134" t="s">
        <v>339</v>
      </c>
      <c r="Y342" s="157"/>
      <c r="Z342" s="157"/>
    </row>
    <row r="343" spans="1:26" s="125" customFormat="1" x14ac:dyDescent="0.25">
      <c r="A343" s="461"/>
      <c r="B343" s="135" t="s">
        <v>340</v>
      </c>
      <c r="C343" s="612"/>
      <c r="D343" s="1258">
        <v>366800</v>
      </c>
      <c r="E343" s="1258">
        <v>369800</v>
      </c>
      <c r="F343" s="160">
        <v>388600</v>
      </c>
      <c r="G343" s="160">
        <v>286000</v>
      </c>
      <c r="H343" s="160">
        <v>250000</v>
      </c>
      <c r="I343" s="160">
        <v>216800</v>
      </c>
      <c r="J343" s="160">
        <v>209000</v>
      </c>
      <c r="K343" s="160">
        <v>204400</v>
      </c>
      <c r="L343" s="160">
        <v>245800</v>
      </c>
      <c r="M343" s="160">
        <v>272800</v>
      </c>
      <c r="N343" s="160">
        <v>331200</v>
      </c>
      <c r="O343" s="160">
        <v>384600</v>
      </c>
      <c r="P343" s="456"/>
      <c r="T343" s="137">
        <f>SUM(D343:O343)</f>
        <v>3525800</v>
      </c>
      <c r="U343" s="138" t="s">
        <v>341</v>
      </c>
      <c r="V343" s="139"/>
      <c r="W343" s="140">
        <f>T343*3413/1000000</f>
        <v>12033.555399999999</v>
      </c>
      <c r="X343" s="138" t="s">
        <v>342</v>
      </c>
      <c r="Y343" s="157"/>
      <c r="Z343" s="157"/>
    </row>
    <row r="344" spans="1:26" s="125" customFormat="1" x14ac:dyDescent="0.25">
      <c r="A344" s="461"/>
      <c r="B344" s="135" t="s">
        <v>821</v>
      </c>
      <c r="C344" s="612"/>
      <c r="D344" s="140">
        <v>628.1</v>
      </c>
      <c r="E344" s="140">
        <v>614.70000000000005</v>
      </c>
      <c r="F344" s="140">
        <v>683.6</v>
      </c>
      <c r="G344" s="140">
        <v>765</v>
      </c>
      <c r="H344" s="140">
        <v>874.8</v>
      </c>
      <c r="I344" s="140">
        <v>1261.3</v>
      </c>
      <c r="J344" s="140">
        <v>1183.4000000000001</v>
      </c>
      <c r="K344" s="140">
        <v>1312.6</v>
      </c>
      <c r="L344" s="140">
        <v>1061.3</v>
      </c>
      <c r="M344" s="140">
        <v>918</v>
      </c>
      <c r="N344" s="140">
        <v>809</v>
      </c>
      <c r="O344" s="140">
        <v>759.9</v>
      </c>
      <c r="P344" s="456"/>
      <c r="T344" s="137">
        <f>SUM(D344:O344)</f>
        <v>10871.699999999999</v>
      </c>
      <c r="U344" s="138" t="s">
        <v>822</v>
      </c>
      <c r="V344" s="139"/>
      <c r="W344" s="140">
        <f>T344*1000*1027/1000000</f>
        <v>11165.235899999998</v>
      </c>
      <c r="X344" s="138" t="s">
        <v>342</v>
      </c>
      <c r="Y344" s="495">
        <f>W343+W344</f>
        <v>23198.791299999997</v>
      </c>
      <c r="Z344" s="138" t="s">
        <v>342</v>
      </c>
    </row>
    <row r="345" spans="1:26" s="125" customFormat="1" x14ac:dyDescent="0.25">
      <c r="A345" s="461"/>
      <c r="B345" s="135" t="s">
        <v>373</v>
      </c>
      <c r="C345" s="201"/>
      <c r="D345" s="1092" t="s">
        <v>351</v>
      </c>
      <c r="E345" s="1092" t="s">
        <v>351</v>
      </c>
      <c r="F345" s="1092" t="s">
        <v>351</v>
      </c>
      <c r="G345" s="1092" t="s">
        <v>351</v>
      </c>
      <c r="H345" s="1092" t="s">
        <v>351</v>
      </c>
      <c r="I345" s="1092" t="s">
        <v>351</v>
      </c>
      <c r="J345" s="1092" t="s">
        <v>351</v>
      </c>
      <c r="K345" s="1092" t="s">
        <v>351</v>
      </c>
      <c r="L345" s="1092" t="s">
        <v>351</v>
      </c>
      <c r="M345" s="1092" t="s">
        <v>351</v>
      </c>
      <c r="N345" s="1092" t="s">
        <v>351</v>
      </c>
      <c r="O345" s="1092" t="s">
        <v>351</v>
      </c>
      <c r="P345" s="456"/>
      <c r="T345" s="137">
        <f>SUM(D345:O345)</f>
        <v>0</v>
      </c>
      <c r="U345" s="138" t="s">
        <v>367</v>
      </c>
      <c r="V345" s="139"/>
      <c r="W345" s="137">
        <f>T345*7.48</f>
        <v>0</v>
      </c>
      <c r="X345" s="138" t="s">
        <v>346</v>
      </c>
      <c r="Y345" s="157"/>
      <c r="Z345" s="157"/>
    </row>
    <row r="346" spans="1:26" s="125" customFormat="1" x14ac:dyDescent="0.25">
      <c r="A346" s="461"/>
      <c r="B346" s="135" t="s">
        <v>324</v>
      </c>
      <c r="C346" s="613"/>
      <c r="D346" s="1259">
        <v>27540.53</v>
      </c>
      <c r="E346" s="1259">
        <v>28192.91</v>
      </c>
      <c r="F346" s="1259">
        <v>28393.57</v>
      </c>
      <c r="G346" s="1259">
        <v>20454.03</v>
      </c>
      <c r="H346" s="1259">
        <v>17877.04</v>
      </c>
      <c r="I346" s="1259">
        <v>16461.45</v>
      </c>
      <c r="J346" s="1259">
        <v>15806.64</v>
      </c>
      <c r="K346" s="1259">
        <v>14454.17</v>
      </c>
      <c r="L346" s="1259">
        <v>17442.59</v>
      </c>
      <c r="M346" s="1259">
        <v>19280.93</v>
      </c>
      <c r="N346" s="1259">
        <v>22945.360000000001</v>
      </c>
      <c r="O346" s="1259">
        <v>29672.26</v>
      </c>
      <c r="P346" s="176"/>
      <c r="T346" s="1260">
        <f>SUM(D346:O346)</f>
        <v>258521.48000000004</v>
      </c>
      <c r="U346" s="138"/>
      <c r="V346" s="139"/>
      <c r="W346" s="143">
        <f>T346</f>
        <v>258521.48000000004</v>
      </c>
      <c r="X346" s="138"/>
      <c r="Y346" s="157"/>
      <c r="Z346" s="157"/>
    </row>
    <row r="347" spans="1:26" s="125" customFormat="1" ht="16.5" x14ac:dyDescent="0.35">
      <c r="A347" s="461"/>
      <c r="B347" s="144" t="s">
        <v>374</v>
      </c>
      <c r="C347" s="611"/>
      <c r="D347" s="1259">
        <v>5582.74</v>
      </c>
      <c r="E347" s="1259">
        <v>5467.48</v>
      </c>
      <c r="F347" s="1259">
        <v>6073.21</v>
      </c>
      <c r="G347" s="1259">
        <v>7190.09</v>
      </c>
      <c r="H347" s="1259">
        <v>8071.29</v>
      </c>
      <c r="I347" s="1259">
        <v>11596.27</v>
      </c>
      <c r="J347" s="1259">
        <v>10014.6</v>
      </c>
      <c r="K347" s="1259">
        <v>10147.68</v>
      </c>
      <c r="L347" s="1259">
        <v>2069.12</v>
      </c>
      <c r="M347" s="1259">
        <v>5485.29</v>
      </c>
      <c r="N347" s="1259">
        <v>4943.1099999999997</v>
      </c>
      <c r="O347" s="1259">
        <v>5428.9</v>
      </c>
      <c r="P347" s="179"/>
      <c r="T347" s="1260">
        <f>SUM(D347:O347)</f>
        <v>82069.779999999984</v>
      </c>
      <c r="U347" s="138"/>
      <c r="V347" s="139"/>
      <c r="W347" s="146">
        <f>T347</f>
        <v>82069.779999999984</v>
      </c>
      <c r="X347" s="138"/>
      <c r="Y347" s="157"/>
      <c r="Z347" s="157" t="s">
        <v>824</v>
      </c>
    </row>
    <row r="348" spans="1:26" s="125" customFormat="1" x14ac:dyDescent="0.25">
      <c r="A348" s="461"/>
      <c r="B348" s="180"/>
      <c r="C348" s="611"/>
      <c r="D348" s="611" t="s">
        <v>1210</v>
      </c>
      <c r="E348" s="179"/>
      <c r="F348" s="179"/>
      <c r="G348" s="179"/>
      <c r="H348" s="179"/>
      <c r="I348" s="179"/>
      <c r="J348" s="179"/>
      <c r="K348" s="179"/>
      <c r="L348" s="179"/>
      <c r="M348" s="179"/>
      <c r="N348" s="179"/>
      <c r="O348" s="179"/>
      <c r="T348" s="149"/>
      <c r="U348" s="150"/>
      <c r="V348" s="139"/>
      <c r="W348" s="143">
        <f>SUM(W346:W347)</f>
        <v>340591.26</v>
      </c>
      <c r="X348" s="138"/>
      <c r="Y348" s="157"/>
      <c r="Z348" s="674" t="s">
        <v>825</v>
      </c>
    </row>
    <row r="350" spans="1:26" s="125" customFormat="1" ht="16.5" x14ac:dyDescent="0.35">
      <c r="A350" s="461">
        <v>37</v>
      </c>
      <c r="B350" s="127" t="s">
        <v>618</v>
      </c>
      <c r="C350" s="611"/>
      <c r="D350" s="179"/>
      <c r="E350" s="179"/>
      <c r="F350" s="179"/>
      <c r="G350" s="179"/>
      <c r="H350" s="179"/>
      <c r="I350" s="179"/>
      <c r="J350" s="179"/>
      <c r="K350" s="179"/>
      <c r="L350" s="179"/>
      <c r="M350" s="179"/>
      <c r="N350" s="179"/>
      <c r="O350" s="179"/>
      <c r="R350" s="149"/>
      <c r="S350" s="150"/>
      <c r="T350" s="127" t="s">
        <v>618</v>
      </c>
      <c r="U350" s="181"/>
      <c r="V350" s="150"/>
      <c r="Y350" s="157"/>
      <c r="Z350" s="157"/>
    </row>
    <row r="351" spans="1:26" s="125" customFormat="1" x14ac:dyDescent="0.25">
      <c r="A351" s="461"/>
      <c r="B351" s="130" t="s">
        <v>337</v>
      </c>
      <c r="C351" s="186" t="s">
        <v>977</v>
      </c>
      <c r="D351" s="131">
        <v>41821</v>
      </c>
      <c r="E351" s="131">
        <v>41852</v>
      </c>
      <c r="F351" s="131">
        <v>41883</v>
      </c>
      <c r="G351" s="131">
        <v>41913</v>
      </c>
      <c r="H351" s="131">
        <v>41944</v>
      </c>
      <c r="I351" s="131">
        <v>41974</v>
      </c>
      <c r="J351" s="131">
        <v>42005</v>
      </c>
      <c r="K351" s="131">
        <v>42036</v>
      </c>
      <c r="L351" s="131">
        <v>42064</v>
      </c>
      <c r="M351" s="131">
        <v>42095</v>
      </c>
      <c r="N351" s="131">
        <v>42125</v>
      </c>
      <c r="O351" s="131">
        <v>42156</v>
      </c>
      <c r="P351" s="451">
        <v>42186</v>
      </c>
      <c r="Q351" s="553">
        <v>42217</v>
      </c>
      <c r="R351" s="451">
        <v>42261</v>
      </c>
      <c r="S351" s="132"/>
      <c r="T351" s="133" t="s">
        <v>338</v>
      </c>
      <c r="U351" s="134" t="s">
        <v>339</v>
      </c>
      <c r="V351" s="132"/>
      <c r="W351" s="133" t="s">
        <v>338</v>
      </c>
      <c r="X351" s="134" t="s">
        <v>339</v>
      </c>
      <c r="Y351" s="157"/>
      <c r="Z351" s="157"/>
    </row>
    <row r="352" spans="1:26" s="125" customFormat="1" x14ac:dyDescent="0.25">
      <c r="A352" s="461"/>
      <c r="B352" s="135" t="s">
        <v>340</v>
      </c>
      <c r="C352" s="612"/>
      <c r="E352" s="160">
        <v>75400</v>
      </c>
      <c r="F352" s="160">
        <v>72000</v>
      </c>
      <c r="G352" s="160">
        <v>75000</v>
      </c>
      <c r="H352" s="160">
        <v>83000</v>
      </c>
      <c r="I352" s="160">
        <v>83000</v>
      </c>
      <c r="J352" s="160">
        <v>87600</v>
      </c>
      <c r="K352" s="160">
        <v>78000</v>
      </c>
      <c r="L352" s="160">
        <v>87200</v>
      </c>
      <c r="M352" s="160">
        <v>88200</v>
      </c>
      <c r="N352" s="160">
        <v>72600</v>
      </c>
      <c r="O352" s="974">
        <v>71200</v>
      </c>
      <c r="P352" s="160">
        <v>77200</v>
      </c>
      <c r="Q352" s="991"/>
      <c r="R352" s="991"/>
      <c r="T352" s="137">
        <f>SUM(E352:R352)</f>
        <v>950400</v>
      </c>
      <c r="U352" s="138" t="s">
        <v>341</v>
      </c>
      <c r="V352" s="139"/>
      <c r="W352" s="140">
        <f>T352*3413/1000000</f>
        <v>3243.7152000000001</v>
      </c>
      <c r="X352" s="138" t="s">
        <v>342</v>
      </c>
      <c r="Y352" s="157"/>
      <c r="Z352" s="157"/>
    </row>
    <row r="353" spans="1:26" s="125" customFormat="1" x14ac:dyDescent="0.25">
      <c r="A353" s="461"/>
      <c r="B353" s="135" t="s">
        <v>614</v>
      </c>
      <c r="C353" s="201"/>
      <c r="E353" s="160">
        <v>23</v>
      </c>
      <c r="F353" s="160">
        <v>22</v>
      </c>
      <c r="G353" s="160">
        <v>21</v>
      </c>
      <c r="H353" s="160">
        <v>19</v>
      </c>
      <c r="I353" s="160">
        <v>17</v>
      </c>
      <c r="J353" s="160">
        <v>15</v>
      </c>
      <c r="K353" s="160">
        <v>20</v>
      </c>
      <c r="L353" s="160">
        <v>59</v>
      </c>
      <c r="M353" s="160">
        <v>17</v>
      </c>
      <c r="N353" s="160">
        <v>21</v>
      </c>
      <c r="O353" s="974">
        <v>24</v>
      </c>
      <c r="P353" s="160">
        <v>37</v>
      </c>
      <c r="Q353" s="444"/>
      <c r="R353" s="444"/>
      <c r="T353" s="137">
        <f>SUM(E353:R353)</f>
        <v>295</v>
      </c>
      <c r="U353" s="138" t="s">
        <v>379</v>
      </c>
      <c r="V353" s="139"/>
      <c r="W353" s="137">
        <f>T353*748</f>
        <v>220660</v>
      </c>
      <c r="X353" s="138" t="s">
        <v>346</v>
      </c>
      <c r="Y353" s="157"/>
      <c r="Z353" s="157"/>
    </row>
    <row r="354" spans="1:26" s="125" customFormat="1" x14ac:dyDescent="0.25">
      <c r="A354" s="461"/>
      <c r="B354" s="135" t="s">
        <v>347</v>
      </c>
      <c r="C354" s="613"/>
      <c r="E354" s="142">
        <v>6463.28</v>
      </c>
      <c r="F354" s="142">
        <v>6206.95</v>
      </c>
      <c r="G354" s="142">
        <v>6454.92</v>
      </c>
      <c r="H354" s="142">
        <v>7033.84</v>
      </c>
      <c r="I354" s="142">
        <v>7257.95</v>
      </c>
      <c r="J354" s="142">
        <v>7902.84</v>
      </c>
      <c r="K354" s="142">
        <v>7022.37</v>
      </c>
      <c r="L354" s="142">
        <v>7897.36</v>
      </c>
      <c r="M354" s="142">
        <v>7767.58</v>
      </c>
      <c r="N354" s="142">
        <v>6580.62</v>
      </c>
      <c r="O354" s="436">
        <v>6484.38</v>
      </c>
      <c r="P354" s="142">
        <v>6845.41</v>
      </c>
      <c r="Q354" s="444"/>
      <c r="R354" s="444"/>
      <c r="T354" s="143">
        <f>SUM(E354:R354)</f>
        <v>83917.500000000015</v>
      </c>
      <c r="U354" s="138"/>
      <c r="V354" s="139"/>
      <c r="W354" s="143">
        <f>T354</f>
        <v>83917.500000000015</v>
      </c>
      <c r="X354" s="138"/>
      <c r="Y354" s="157"/>
      <c r="Z354" s="157"/>
    </row>
    <row r="355" spans="1:26" s="125" customFormat="1" x14ac:dyDescent="0.25">
      <c r="A355" s="461"/>
      <c r="B355" s="180"/>
      <c r="C355" s="611"/>
      <c r="D355" s="179"/>
      <c r="E355" s="179"/>
      <c r="F355" s="179"/>
      <c r="G355" s="179"/>
      <c r="H355" s="179"/>
      <c r="I355" s="179"/>
      <c r="J355" s="179"/>
      <c r="K355" s="179"/>
      <c r="L355" s="179"/>
      <c r="M355" s="179"/>
      <c r="N355" s="179"/>
      <c r="O355" s="179"/>
      <c r="T355" s="149"/>
      <c r="U355" s="150"/>
      <c r="V355" s="139"/>
      <c r="W355" s="143">
        <f>SUM(W354:W354)</f>
        <v>83917.500000000015</v>
      </c>
      <c r="X355" s="138"/>
      <c r="Y355" s="157"/>
      <c r="Z355" s="157"/>
    </row>
    <row r="357" spans="1:26" s="128" customFormat="1" x14ac:dyDescent="0.25">
      <c r="A357" s="459">
        <v>38</v>
      </c>
      <c r="B357" s="127" t="s">
        <v>621</v>
      </c>
      <c r="C357" s="173"/>
      <c r="S357" s="129"/>
      <c r="T357" s="127" t="s">
        <v>621</v>
      </c>
      <c r="V357" s="129"/>
      <c r="Y357" s="166"/>
      <c r="Z357" s="166"/>
    </row>
    <row r="358" spans="1:26" s="125" customFormat="1" x14ac:dyDescent="0.25">
      <c r="A358" s="461"/>
      <c r="B358" s="130" t="s">
        <v>337</v>
      </c>
      <c r="C358" s="186" t="s">
        <v>977</v>
      </c>
      <c r="D358" s="131">
        <v>41821</v>
      </c>
      <c r="E358" s="131">
        <v>41852</v>
      </c>
      <c r="F358" s="131">
        <v>41883</v>
      </c>
      <c r="G358" s="131">
        <v>41913</v>
      </c>
      <c r="H358" s="131">
        <v>41944</v>
      </c>
      <c r="I358" s="131">
        <v>41974</v>
      </c>
      <c r="J358" s="131">
        <v>42005</v>
      </c>
      <c r="K358" s="131">
        <v>42036</v>
      </c>
      <c r="L358" s="131">
        <v>42064</v>
      </c>
      <c r="M358" s="131">
        <v>42095</v>
      </c>
      <c r="N358" s="131">
        <v>42125</v>
      </c>
      <c r="O358" s="131">
        <v>42156</v>
      </c>
      <c r="P358" s="131">
        <v>42186</v>
      </c>
      <c r="Q358" s="151">
        <v>42217</v>
      </c>
      <c r="R358" s="131">
        <v>42261</v>
      </c>
      <c r="S358" s="132"/>
      <c r="T358" s="133" t="s">
        <v>338</v>
      </c>
      <c r="U358" s="134" t="s">
        <v>339</v>
      </c>
      <c r="V358" s="132"/>
      <c r="W358" s="133" t="s">
        <v>338</v>
      </c>
      <c r="X358" s="134" t="s">
        <v>339</v>
      </c>
      <c r="Y358" s="157"/>
      <c r="Z358" s="157"/>
    </row>
    <row r="359" spans="1:26" s="125" customFormat="1" x14ac:dyDescent="0.25">
      <c r="A359" s="461"/>
      <c r="B359" s="135" t="s">
        <v>340</v>
      </c>
      <c r="C359" s="556" t="s">
        <v>1217</v>
      </c>
      <c r="D359" s="457"/>
      <c r="E359" s="448"/>
      <c r="F359" s="136"/>
      <c r="G359" s="136"/>
      <c r="H359" s="136"/>
      <c r="I359" s="136"/>
      <c r="J359" s="136"/>
      <c r="K359" s="136"/>
      <c r="L359" s="136"/>
      <c r="M359" s="136"/>
      <c r="N359" s="136"/>
      <c r="O359" s="136"/>
      <c r="P359" s="136"/>
      <c r="Q359" s="174"/>
      <c r="T359" s="187">
        <f>SUM(F359:Q359)</f>
        <v>0</v>
      </c>
      <c r="U359" s="188" t="s">
        <v>341</v>
      </c>
      <c r="V359" s="157"/>
      <c r="W359" s="140">
        <f>T359*3413/1000000</f>
        <v>0</v>
      </c>
      <c r="X359" s="138" t="s">
        <v>342</v>
      </c>
      <c r="Y359" s="157"/>
      <c r="Z359" s="157"/>
    </row>
    <row r="360" spans="1:26" s="125" customFormat="1" x14ac:dyDescent="0.25">
      <c r="A360" s="461"/>
      <c r="B360" s="135" t="s">
        <v>345</v>
      </c>
      <c r="C360" s="556" t="s">
        <v>1217</v>
      </c>
      <c r="D360" s="458"/>
      <c r="E360" s="440"/>
      <c r="F360" s="141"/>
      <c r="G360" s="141"/>
      <c r="H360" s="154"/>
      <c r="I360" s="154"/>
      <c r="J360" s="154"/>
      <c r="K360" s="141"/>
      <c r="L360" s="154"/>
      <c r="M360" s="141"/>
      <c r="N360" s="141"/>
      <c r="O360" s="141"/>
      <c r="P360" s="141"/>
      <c r="Q360" s="178"/>
      <c r="T360" s="187">
        <f>SUM(F360:Q360)</f>
        <v>0</v>
      </c>
      <c r="U360" s="188" t="s">
        <v>346</v>
      </c>
      <c r="V360" s="157"/>
      <c r="W360" s="141">
        <f>T360</f>
        <v>0</v>
      </c>
      <c r="X360" s="188" t="s">
        <v>346</v>
      </c>
      <c r="Y360" s="157"/>
      <c r="Z360" s="157"/>
    </row>
    <row r="361" spans="1:26" s="125" customFormat="1" x14ac:dyDescent="0.25">
      <c r="A361" s="461"/>
      <c r="B361" s="135" t="s">
        <v>324</v>
      </c>
      <c r="C361" s="556" t="s">
        <v>1217</v>
      </c>
      <c r="D361" s="458"/>
      <c r="E361" s="440"/>
      <c r="F361" s="142"/>
      <c r="G361" s="142"/>
      <c r="H361" s="142"/>
      <c r="I361" s="142"/>
      <c r="J361" s="142"/>
      <c r="K361" s="142"/>
      <c r="L361" s="142"/>
      <c r="M361" s="142"/>
      <c r="N361" s="142"/>
      <c r="O361" s="142"/>
      <c r="P361" s="142"/>
      <c r="Q361" s="176"/>
      <c r="T361" s="189">
        <f>SUM(F361:Q361)</f>
        <v>0</v>
      </c>
      <c r="U361" s="188"/>
      <c r="V361" s="157"/>
      <c r="W361" s="190">
        <f>T361</f>
        <v>0</v>
      </c>
      <c r="X361" s="188"/>
      <c r="Y361" s="157"/>
      <c r="Z361" s="157"/>
    </row>
    <row r="363" spans="1:26" s="125" customFormat="1" ht="16.5" x14ac:dyDescent="0.35">
      <c r="A363" s="461">
        <v>39</v>
      </c>
      <c r="B363" s="127" t="s">
        <v>622</v>
      </c>
      <c r="C363" s="611"/>
      <c r="D363" s="179"/>
      <c r="E363" s="179"/>
      <c r="F363" s="179"/>
      <c r="G363" s="179"/>
      <c r="H363" s="179"/>
      <c r="I363" s="179"/>
      <c r="J363" s="179"/>
      <c r="K363" s="179"/>
      <c r="L363" s="179"/>
      <c r="M363" s="179"/>
      <c r="N363" s="179"/>
      <c r="O363" s="179"/>
      <c r="R363" s="149"/>
      <c r="S363" s="150"/>
      <c r="T363" s="127" t="s">
        <v>622</v>
      </c>
      <c r="U363" s="181"/>
      <c r="V363" s="150"/>
      <c r="Y363" s="157"/>
      <c r="Z363" s="157"/>
    </row>
    <row r="364" spans="1:26" s="125" customFormat="1" x14ac:dyDescent="0.25">
      <c r="A364" s="461"/>
      <c r="B364" s="130" t="s">
        <v>337</v>
      </c>
      <c r="C364" s="186" t="s">
        <v>977</v>
      </c>
      <c r="D364" s="131">
        <v>41821</v>
      </c>
      <c r="E364" s="131">
        <v>41852</v>
      </c>
      <c r="F364" s="131">
        <v>41883</v>
      </c>
      <c r="G364" s="131">
        <v>41913</v>
      </c>
      <c r="H364" s="131">
        <v>41944</v>
      </c>
      <c r="I364" s="131">
        <v>41974</v>
      </c>
      <c r="J364" s="131">
        <v>42005</v>
      </c>
      <c r="K364" s="131">
        <v>42036</v>
      </c>
      <c r="L364" s="131">
        <v>42064</v>
      </c>
      <c r="M364" s="131">
        <v>42095</v>
      </c>
      <c r="N364" s="131">
        <v>42125</v>
      </c>
      <c r="O364" s="131">
        <v>42156</v>
      </c>
      <c r="P364" s="131">
        <v>42186</v>
      </c>
      <c r="Q364" s="151">
        <v>42217</v>
      </c>
      <c r="R364" s="131">
        <v>42261</v>
      </c>
      <c r="S364" s="132"/>
      <c r="T364" s="133" t="s">
        <v>338</v>
      </c>
      <c r="U364" s="134" t="s">
        <v>339</v>
      </c>
      <c r="V364" s="132"/>
      <c r="W364" s="133" t="s">
        <v>338</v>
      </c>
      <c r="X364" s="134" t="s">
        <v>339</v>
      </c>
      <c r="Y364" s="157"/>
      <c r="Z364" s="157"/>
    </row>
    <row r="365" spans="1:26" s="125" customFormat="1" x14ac:dyDescent="0.25">
      <c r="A365" s="461"/>
      <c r="B365" s="135" t="s">
        <v>340</v>
      </c>
      <c r="C365" s="612"/>
      <c r="D365" s="160">
        <v>167000</v>
      </c>
      <c r="E365" s="160">
        <v>127000</v>
      </c>
      <c r="F365" s="160">
        <v>154000</v>
      </c>
      <c r="G365" s="160">
        <v>161000</v>
      </c>
      <c r="H365" s="160">
        <v>123000</v>
      </c>
      <c r="I365" s="160">
        <v>128000</v>
      </c>
      <c r="J365" s="160">
        <v>131000</v>
      </c>
      <c r="K365" s="160">
        <v>129000</v>
      </c>
      <c r="L365" s="160">
        <v>133000</v>
      </c>
      <c r="M365" s="160">
        <v>153000</v>
      </c>
      <c r="N365" s="160">
        <v>125000</v>
      </c>
      <c r="O365" s="160">
        <v>140000</v>
      </c>
      <c r="P365" s="456"/>
      <c r="T365" s="137">
        <f>SUM(D365:O365)</f>
        <v>1671000</v>
      </c>
      <c r="U365" s="138" t="s">
        <v>341</v>
      </c>
      <c r="V365" s="139"/>
      <c r="W365" s="140">
        <f>T365*3413/1000000</f>
        <v>5703.1229999999996</v>
      </c>
      <c r="X365" s="138" t="s">
        <v>342</v>
      </c>
      <c r="Y365" s="157"/>
      <c r="Z365" s="157"/>
    </row>
    <row r="366" spans="1:26" s="125" customFormat="1" x14ac:dyDescent="0.25">
      <c r="A366" s="461"/>
      <c r="B366" s="135" t="s">
        <v>821</v>
      </c>
      <c r="C366" s="612"/>
      <c r="D366" s="153">
        <v>20</v>
      </c>
      <c r="E366" s="160">
        <v>17</v>
      </c>
      <c r="F366" s="160">
        <v>21</v>
      </c>
      <c r="G366" s="160">
        <v>27</v>
      </c>
      <c r="H366" s="160">
        <v>21</v>
      </c>
      <c r="I366" s="160">
        <v>15</v>
      </c>
      <c r="J366" s="160">
        <v>27</v>
      </c>
      <c r="K366" s="160">
        <v>22</v>
      </c>
      <c r="L366" s="160">
        <v>21</v>
      </c>
      <c r="M366" s="160">
        <v>20</v>
      </c>
      <c r="N366" s="160">
        <v>18</v>
      </c>
      <c r="O366" s="160">
        <v>14</v>
      </c>
      <c r="P366" s="456"/>
      <c r="T366" s="137">
        <f>SUM(D366:O366)</f>
        <v>243</v>
      </c>
      <c r="U366" s="138" t="s">
        <v>822</v>
      </c>
      <c r="V366" s="139"/>
      <c r="W366" s="140">
        <f>T366*1000*1027/1000000</f>
        <v>249.56100000000001</v>
      </c>
      <c r="X366" s="138" t="s">
        <v>342</v>
      </c>
      <c r="Y366" s="765"/>
      <c r="Z366" s="150"/>
    </row>
    <row r="367" spans="1:26" s="157" customFormat="1" x14ac:dyDescent="0.25">
      <c r="A367" s="461"/>
      <c r="B367" s="135" t="s">
        <v>1207</v>
      </c>
      <c r="C367" s="599"/>
      <c r="D367" s="557">
        <v>337499.13600000652</v>
      </c>
      <c r="E367" s="557">
        <v>367200.25600000616</v>
      </c>
      <c r="F367" s="557">
        <v>363899.90400000557</v>
      </c>
      <c r="G367" s="557">
        <v>314600.44800000748</v>
      </c>
      <c r="H367" s="557">
        <v>586699.77600000496</v>
      </c>
      <c r="I367" s="557">
        <v>638300.16000000539</v>
      </c>
      <c r="J367" s="557">
        <v>942000.12800002366</v>
      </c>
      <c r="K367" s="557">
        <v>738999.29600001173</v>
      </c>
      <c r="L367" s="557">
        <v>412600.32000000606</v>
      </c>
      <c r="M367" s="557">
        <v>359700.4800000051</v>
      </c>
      <c r="N367" s="557">
        <v>199000.06400000615</v>
      </c>
      <c r="O367" s="557">
        <v>119899.13599999847</v>
      </c>
      <c r="P367" s="174"/>
      <c r="Q367" s="174"/>
      <c r="T367" s="141">
        <f>SUM(D367:O367)</f>
        <v>5380399.104000086</v>
      </c>
      <c r="U367" s="138" t="s">
        <v>497</v>
      </c>
      <c r="W367" s="160">
        <f>T367/1000</f>
        <v>5380.3991040000856</v>
      </c>
      <c r="X367" s="138" t="s">
        <v>342</v>
      </c>
    </row>
    <row r="368" spans="1:26" s="157" customFormat="1" x14ac:dyDescent="0.25">
      <c r="A368" s="461"/>
      <c r="B368" s="192" t="s">
        <v>323</v>
      </c>
      <c r="C368" s="599"/>
      <c r="D368" s="557">
        <v>173808.29866666842</v>
      </c>
      <c r="E368" s="557">
        <v>174383.2746666696</v>
      </c>
      <c r="F368" s="557">
        <v>148383.40266666972</v>
      </c>
      <c r="G368" s="557">
        <v>86333.269333333534</v>
      </c>
      <c r="H368" s="557">
        <v>35283.456000000275</v>
      </c>
      <c r="I368" s="557">
        <v>25399.978666666662</v>
      </c>
      <c r="J368" s="557">
        <v>27408.213333333395</v>
      </c>
      <c r="K368" s="557">
        <v>19616.768000000047</v>
      </c>
      <c r="L368" s="557">
        <v>66858.325333333167</v>
      </c>
      <c r="M368" s="557">
        <v>91574.954666666861</v>
      </c>
      <c r="N368" s="557">
        <v>108125.01333333399</v>
      </c>
      <c r="O368" s="557">
        <v>150958.42133333549</v>
      </c>
      <c r="P368" s="178"/>
      <c r="Q368" s="178"/>
      <c r="T368" s="141">
        <f>SUM(D368:O368)</f>
        <v>1108133.3760000111</v>
      </c>
      <c r="U368" s="188" t="s">
        <v>397</v>
      </c>
      <c r="W368" s="160">
        <f>T368*0.012</f>
        <v>13297.600512000134</v>
      </c>
      <c r="X368" s="138" t="s">
        <v>342</v>
      </c>
      <c r="Y368" s="495">
        <f>W365+W366+W367+W368</f>
        <v>24630.68361600022</v>
      </c>
      <c r="Z368" s="138" t="s">
        <v>342</v>
      </c>
    </row>
    <row r="369" spans="1:26" s="125" customFormat="1" x14ac:dyDescent="0.25">
      <c r="A369" s="461"/>
      <c r="B369" s="135" t="s">
        <v>322</v>
      </c>
      <c r="C369" s="201"/>
      <c r="D369" s="160">
        <v>25000</v>
      </c>
      <c r="E369" s="160">
        <v>113900</v>
      </c>
      <c r="F369" s="160">
        <v>113500</v>
      </c>
      <c r="G369" s="160">
        <v>142500</v>
      </c>
      <c r="H369" s="160">
        <v>85100</v>
      </c>
      <c r="I369" s="160">
        <v>51900</v>
      </c>
      <c r="J369" s="160">
        <v>122400</v>
      </c>
      <c r="K369" s="160">
        <v>138400</v>
      </c>
      <c r="L369" s="160">
        <v>116400</v>
      </c>
      <c r="M369" s="160">
        <v>116500</v>
      </c>
      <c r="N369" s="160">
        <v>66500</v>
      </c>
      <c r="O369" s="160">
        <v>68600</v>
      </c>
      <c r="P369" s="456"/>
      <c r="T369" s="137">
        <f>SUM(D369:O369)</f>
        <v>1160700</v>
      </c>
      <c r="U369" s="138" t="s">
        <v>346</v>
      </c>
      <c r="V369" s="139"/>
      <c r="W369" s="137">
        <f>T369</f>
        <v>1160700</v>
      </c>
      <c r="X369" s="138" t="s">
        <v>346</v>
      </c>
      <c r="Y369" s="157"/>
      <c r="Z369" s="157"/>
    </row>
    <row r="370" spans="1:26" s="125" customFormat="1" x14ac:dyDescent="0.25">
      <c r="A370" s="461"/>
      <c r="B370" s="135" t="s">
        <v>324</v>
      </c>
      <c r="C370" s="613"/>
      <c r="D370" s="171">
        <v>13894.4</v>
      </c>
      <c r="E370" s="142">
        <v>10363.200000000001</v>
      </c>
      <c r="F370" s="142">
        <v>12458.6</v>
      </c>
      <c r="G370" s="142">
        <v>11656.4</v>
      </c>
      <c r="H370" s="142">
        <v>9397.2000000000007</v>
      </c>
      <c r="I370" s="142">
        <v>9830.4</v>
      </c>
      <c r="J370" s="142">
        <v>9890.5</v>
      </c>
      <c r="K370" s="142">
        <v>9546</v>
      </c>
      <c r="L370" s="142">
        <v>9988.2999999999993</v>
      </c>
      <c r="M370" s="142">
        <v>11719.8</v>
      </c>
      <c r="N370" s="142">
        <v>9300</v>
      </c>
      <c r="O370" s="142">
        <v>11662</v>
      </c>
      <c r="P370" s="176"/>
      <c r="T370" s="143">
        <f>SUM(D370:Q370)</f>
        <v>129706.8</v>
      </c>
      <c r="U370" s="138"/>
      <c r="V370" s="139"/>
      <c r="W370" s="143">
        <f>T370</f>
        <v>129706.8</v>
      </c>
      <c r="X370" s="138"/>
      <c r="Y370" s="157"/>
      <c r="Z370" s="157"/>
    </row>
    <row r="371" spans="1:26" s="125" customFormat="1" x14ac:dyDescent="0.25">
      <c r="A371" s="461"/>
      <c r="B371" s="144" t="s">
        <v>374</v>
      </c>
      <c r="C371" s="611"/>
      <c r="D371" s="171">
        <v>114.4</v>
      </c>
      <c r="E371" s="145">
        <v>86.36</v>
      </c>
      <c r="F371" s="145">
        <v>110.25</v>
      </c>
      <c r="G371" s="145">
        <v>141.75</v>
      </c>
      <c r="H371" s="145">
        <v>110.25</v>
      </c>
      <c r="I371" s="145">
        <v>87.9</v>
      </c>
      <c r="J371" s="145">
        <v>126.9</v>
      </c>
      <c r="K371" s="145">
        <v>93.06</v>
      </c>
      <c r="L371" s="145">
        <v>89.67</v>
      </c>
      <c r="M371" s="145">
        <v>74.2</v>
      </c>
      <c r="N371" s="145">
        <v>66.599999999999994</v>
      </c>
      <c r="O371" s="145">
        <v>56.28</v>
      </c>
      <c r="P371" s="179"/>
      <c r="T371" s="143">
        <f>SUM(D371:Q371)</f>
        <v>1157.6199999999997</v>
      </c>
      <c r="U371" s="138"/>
      <c r="V371" s="139"/>
      <c r="W371" s="143">
        <f>T371</f>
        <v>1157.6199999999997</v>
      </c>
      <c r="X371" s="138"/>
      <c r="Y371" s="157"/>
      <c r="Z371" s="157" t="s">
        <v>824</v>
      </c>
    </row>
    <row r="372" spans="1:26" s="157" customFormat="1" x14ac:dyDescent="0.25">
      <c r="A372" s="461"/>
      <c r="B372" s="204" t="s">
        <v>819</v>
      </c>
      <c r="C372" s="599"/>
      <c r="D372" s="145">
        <v>1618.07</v>
      </c>
      <c r="E372" s="145">
        <v>999.85</v>
      </c>
      <c r="F372" s="145">
        <v>1157.52</v>
      </c>
      <c r="G372" s="145">
        <v>1341.8</v>
      </c>
      <c r="H372" s="145">
        <v>1924.65</v>
      </c>
      <c r="I372" s="145">
        <v>2782.09</v>
      </c>
      <c r="J372" s="145">
        <v>2144.61</v>
      </c>
      <c r="K372" s="145">
        <v>1429.74</v>
      </c>
      <c r="L372" s="145">
        <v>1993.92</v>
      </c>
      <c r="M372" s="145">
        <v>1595.45</v>
      </c>
      <c r="N372" s="145">
        <v>1026.45</v>
      </c>
      <c r="O372" s="145">
        <v>1061.92</v>
      </c>
      <c r="P372" s="184"/>
      <c r="Q372" s="184"/>
      <c r="T372" s="171">
        <f>SUM(D372:O372)</f>
        <v>19076.07</v>
      </c>
      <c r="U372" s="188"/>
      <c r="W372" s="190">
        <f>T372</f>
        <v>19076.07</v>
      </c>
      <c r="X372" s="188"/>
    </row>
    <row r="373" spans="1:26" s="157" customFormat="1" ht="16.5" x14ac:dyDescent="0.35">
      <c r="A373" s="461"/>
      <c r="B373" s="195" t="s">
        <v>398</v>
      </c>
      <c r="C373" s="599"/>
      <c r="D373" s="145">
        <v>13161.77</v>
      </c>
      <c r="E373" s="145">
        <v>9856.7099999999991</v>
      </c>
      <c r="F373" s="145">
        <v>9022.2799999999988</v>
      </c>
      <c r="G373" s="145">
        <v>5693.2199999999993</v>
      </c>
      <c r="H373" s="145">
        <v>2707.2799999999997</v>
      </c>
      <c r="I373" s="145">
        <v>2999.43</v>
      </c>
      <c r="J373" s="145">
        <v>1454.57</v>
      </c>
      <c r="K373" s="145">
        <v>923.64</v>
      </c>
      <c r="L373" s="145">
        <v>3308.26</v>
      </c>
      <c r="M373" s="145">
        <v>5991.79</v>
      </c>
      <c r="N373" s="145">
        <v>7062.77</v>
      </c>
      <c r="O373" s="145">
        <v>8304.3700000000008</v>
      </c>
      <c r="P373" s="446"/>
      <c r="Q373" s="446"/>
      <c r="T373" s="171">
        <f>SUM(D373:O373)</f>
        <v>70486.09</v>
      </c>
      <c r="U373" s="188"/>
      <c r="W373" s="197">
        <f>T373</f>
        <v>70486.09</v>
      </c>
      <c r="X373" s="188"/>
    </row>
    <row r="374" spans="1:26" s="125" customFormat="1" x14ac:dyDescent="0.25">
      <c r="A374" s="461"/>
      <c r="B374" s="180"/>
      <c r="C374" s="611"/>
      <c r="D374" s="179"/>
      <c r="E374" s="179"/>
      <c r="F374" s="179"/>
      <c r="G374" s="179"/>
      <c r="H374" s="179"/>
      <c r="I374" s="179"/>
      <c r="J374" s="179"/>
      <c r="K374" s="179"/>
      <c r="L374" s="179"/>
      <c r="M374" s="179"/>
      <c r="N374" s="179"/>
      <c r="O374" s="179"/>
      <c r="T374" s="149"/>
      <c r="U374" s="150"/>
      <c r="V374" s="139"/>
      <c r="W374" s="143">
        <f>SUM(W370:W373)</f>
        <v>220426.58</v>
      </c>
      <c r="X374" s="138"/>
      <c r="Y374" s="157"/>
      <c r="Z374" s="674" t="s">
        <v>825</v>
      </c>
    </row>
    <row r="376" spans="1:26" s="128" customFormat="1" x14ac:dyDescent="0.25">
      <c r="A376" s="459">
        <v>40</v>
      </c>
      <c r="B376" s="127" t="s">
        <v>623</v>
      </c>
      <c r="C376" s="602"/>
      <c r="T376" s="127" t="s">
        <v>623</v>
      </c>
      <c r="U376" s="129"/>
      <c r="X376" s="129"/>
      <c r="Y376" s="166"/>
      <c r="Z376" s="166"/>
    </row>
    <row r="377" spans="1:26" s="125" customFormat="1" x14ac:dyDescent="0.25">
      <c r="A377" s="461"/>
      <c r="B377" s="130" t="s">
        <v>337</v>
      </c>
      <c r="C377" s="186" t="s">
        <v>977</v>
      </c>
      <c r="D377" s="131">
        <v>41821</v>
      </c>
      <c r="E377" s="131">
        <v>41852</v>
      </c>
      <c r="F377" s="131">
        <v>41883</v>
      </c>
      <c r="G377" s="131">
        <v>41913</v>
      </c>
      <c r="H377" s="131">
        <v>41944</v>
      </c>
      <c r="I377" s="131">
        <v>41974</v>
      </c>
      <c r="J377" s="131">
        <v>42005</v>
      </c>
      <c r="K377" s="131">
        <v>42036</v>
      </c>
      <c r="L377" s="131">
        <v>42064</v>
      </c>
      <c r="M377" s="131">
        <v>42095</v>
      </c>
      <c r="N377" s="131">
        <v>42125</v>
      </c>
      <c r="O377" s="131">
        <v>42156</v>
      </c>
      <c r="P377" s="131">
        <v>42186</v>
      </c>
      <c r="Q377" s="131">
        <v>42217</v>
      </c>
      <c r="R377" s="131">
        <v>42261</v>
      </c>
      <c r="S377" s="132"/>
      <c r="T377" s="133" t="s">
        <v>338</v>
      </c>
      <c r="U377" s="134" t="s">
        <v>339</v>
      </c>
      <c r="V377" s="132"/>
      <c r="W377" s="133" t="s">
        <v>338</v>
      </c>
      <c r="X377" s="134" t="s">
        <v>339</v>
      </c>
      <c r="Y377" s="157"/>
      <c r="Z377" s="157"/>
    </row>
    <row r="378" spans="1:26" s="125" customFormat="1" x14ac:dyDescent="0.25">
      <c r="A378" s="461"/>
      <c r="B378" s="135" t="s">
        <v>340</v>
      </c>
      <c r="C378" s="606"/>
      <c r="D378" s="174"/>
      <c r="E378" s="136">
        <v>90148</v>
      </c>
      <c r="F378" s="136">
        <v>98775</v>
      </c>
      <c r="G378" s="136">
        <v>95992</v>
      </c>
      <c r="H378" s="136">
        <v>90698</v>
      </c>
      <c r="I378" s="136">
        <v>65871</v>
      </c>
      <c r="J378" s="136">
        <v>97417</v>
      </c>
      <c r="K378" s="136">
        <v>90794</v>
      </c>
      <c r="L378" s="136">
        <v>99425</v>
      </c>
      <c r="M378" s="136">
        <v>95630</v>
      </c>
      <c r="N378" s="136">
        <v>179402</v>
      </c>
      <c r="O378" s="136">
        <v>67828</v>
      </c>
      <c r="P378" s="136">
        <v>68049</v>
      </c>
      <c r="Q378" s="174"/>
      <c r="R378" s="174"/>
      <c r="T378" s="140">
        <f>SUM(E378:P378)</f>
        <v>1140029</v>
      </c>
      <c r="U378" s="138" t="s">
        <v>341</v>
      </c>
      <c r="V378" s="139"/>
      <c r="W378" s="140">
        <f>T378*3413/1000000</f>
        <v>3890.9189769999998</v>
      </c>
      <c r="X378" s="138" t="s">
        <v>342</v>
      </c>
      <c r="Y378" s="157"/>
      <c r="Z378" s="157"/>
    </row>
    <row r="379" spans="1:26" s="125" customFormat="1" x14ac:dyDescent="0.25">
      <c r="A379" s="461"/>
      <c r="B379" s="135" t="s">
        <v>921</v>
      </c>
      <c r="C379" s="606"/>
      <c r="D379" s="174"/>
      <c r="E379" s="136">
        <v>4609.7442081406625</v>
      </c>
      <c r="F379" s="136">
        <v>4992.7298799824257</v>
      </c>
      <c r="G379" s="136">
        <v>5968.693367495639</v>
      </c>
      <c r="H379" s="136">
        <v>8884.1676278802697</v>
      </c>
      <c r="I379" s="136">
        <v>9337.0673507827887</v>
      </c>
      <c r="J379" s="136">
        <v>10576.020999377944</v>
      </c>
      <c r="K379" s="136">
        <v>9202.8223731202397</v>
      </c>
      <c r="L379" s="136">
        <v>7797.3749533458322</v>
      </c>
      <c r="M379" s="136">
        <v>5759.5345258240059</v>
      </c>
      <c r="N379" s="136">
        <v>3937.1860363750257</v>
      </c>
      <c r="O379" s="136">
        <v>3772.6088601592983</v>
      </c>
      <c r="P379" s="136">
        <v>3816.8572047519824</v>
      </c>
      <c r="Q379" s="174"/>
      <c r="R379" s="174"/>
      <c r="T379" s="140">
        <f t="shared" ref="T379:T386" si="18">SUM(E379:P379)</f>
        <v>78654.807387236113</v>
      </c>
      <c r="U379" s="138" t="s">
        <v>354</v>
      </c>
      <c r="V379" s="139"/>
      <c r="W379" s="140">
        <f>T379*99976.124488/1000000</f>
        <v>7863.6028149259801</v>
      </c>
      <c r="X379" s="138" t="s">
        <v>342</v>
      </c>
      <c r="Y379" s="157"/>
      <c r="Z379" s="157"/>
    </row>
    <row r="380" spans="1:26" s="125" customFormat="1" x14ac:dyDescent="0.25">
      <c r="A380" s="461"/>
      <c r="B380" s="135" t="s">
        <v>1231</v>
      </c>
      <c r="C380" s="606"/>
      <c r="D380" s="174"/>
      <c r="E380" s="136">
        <v>111374.42221170281</v>
      </c>
      <c r="F380" s="136">
        <v>96537.33895656692</v>
      </c>
      <c r="G380" s="136">
        <v>71467.210301534913</v>
      </c>
      <c r="H380" s="136">
        <v>160197.8071316063</v>
      </c>
      <c r="I380" s="136">
        <v>19567.311350078759</v>
      </c>
      <c r="J380" s="136">
        <v>17388.774286588025</v>
      </c>
      <c r="K380" s="136">
        <v>13207.042400465834</v>
      </c>
      <c r="L380" s="136">
        <v>44098.372955695566</v>
      </c>
      <c r="M380" s="136">
        <v>64527.85053013674</v>
      </c>
      <c r="N380" s="136">
        <v>162181.94301501391</v>
      </c>
      <c r="O380" s="136">
        <v>93334.83530572406</v>
      </c>
      <c r="P380" s="136">
        <v>111579.65689408158</v>
      </c>
      <c r="Q380" s="174"/>
      <c r="R380" s="174"/>
      <c r="T380" s="140">
        <f t="shared" si="18"/>
        <v>965462.56533919543</v>
      </c>
      <c r="U380" s="138"/>
      <c r="V380" s="139"/>
      <c r="W380" s="140">
        <f>T380*3413/1000000</f>
        <v>3295.1237355026742</v>
      </c>
      <c r="X380" s="138" t="s">
        <v>342</v>
      </c>
      <c r="Y380" s="157"/>
      <c r="Z380" s="157"/>
    </row>
    <row r="381" spans="1:26" s="125" customFormat="1" x14ac:dyDescent="0.25">
      <c r="A381" s="461"/>
      <c r="B381" s="135" t="s">
        <v>372</v>
      </c>
      <c r="C381" s="612"/>
      <c r="D381" s="444"/>
      <c r="E381" s="160">
        <v>678</v>
      </c>
      <c r="F381" s="160">
        <v>765</v>
      </c>
      <c r="G381" s="160">
        <v>765</v>
      </c>
      <c r="H381" s="160">
        <v>851</v>
      </c>
      <c r="I381" s="160">
        <v>613</v>
      </c>
      <c r="J381" s="160">
        <v>999</v>
      </c>
      <c r="K381" s="160">
        <v>942</v>
      </c>
      <c r="L381" s="160">
        <v>763</v>
      </c>
      <c r="M381" s="160">
        <v>1071</v>
      </c>
      <c r="N381" s="160">
        <v>1126</v>
      </c>
      <c r="O381" s="160">
        <v>1400</v>
      </c>
      <c r="P381" s="160">
        <v>2270</v>
      </c>
      <c r="Q381" s="554"/>
      <c r="R381" s="444"/>
      <c r="T381" s="140">
        <f t="shared" si="18"/>
        <v>12243</v>
      </c>
      <c r="U381" s="138" t="s">
        <v>354</v>
      </c>
      <c r="V381" s="139"/>
      <c r="W381" s="140">
        <f>T381*99976.124488/1000000</f>
        <v>1224.007692106584</v>
      </c>
      <c r="X381" s="138" t="s">
        <v>342</v>
      </c>
      <c r="Y381" s="495">
        <f>W378+W379+W381</f>
        <v>12978.529484032564</v>
      </c>
      <c r="Z381" s="153" t="s">
        <v>677</v>
      </c>
    </row>
    <row r="382" spans="1:26" s="125" customFormat="1" x14ac:dyDescent="0.25">
      <c r="A382" s="461"/>
      <c r="B382" s="135" t="s">
        <v>864</v>
      </c>
      <c r="C382" s="606"/>
      <c r="D382" s="178"/>
      <c r="E382" s="141">
        <v>99.75</v>
      </c>
      <c r="F382" s="141">
        <v>106</v>
      </c>
      <c r="G382" s="141">
        <v>78.790000000000006</v>
      </c>
      <c r="H382" s="141">
        <v>82.91</v>
      </c>
      <c r="I382" s="141">
        <v>33.700000000000003</v>
      </c>
      <c r="J382" s="141">
        <v>99.76</v>
      </c>
      <c r="K382" s="141">
        <v>81.819999999999993</v>
      </c>
      <c r="L382" s="141">
        <v>81.819999999999993</v>
      </c>
      <c r="M382" s="141">
        <v>86.51</v>
      </c>
      <c r="N382" s="141">
        <v>30.02</v>
      </c>
      <c r="O382" s="141">
        <v>32.47</v>
      </c>
      <c r="P382" s="141">
        <v>23.01</v>
      </c>
      <c r="Q382" s="178"/>
      <c r="R382" s="178"/>
      <c r="T382" s="140">
        <f t="shared" si="18"/>
        <v>836.56</v>
      </c>
      <c r="U382" s="138" t="s">
        <v>379</v>
      </c>
      <c r="V382" s="139"/>
      <c r="W382" s="137">
        <f>T382*748</f>
        <v>625746.88</v>
      </c>
      <c r="X382" s="138" t="s">
        <v>346</v>
      </c>
      <c r="Y382" s="157"/>
      <c r="Z382" s="157"/>
    </row>
    <row r="383" spans="1:26" s="125" customFormat="1" x14ac:dyDescent="0.25">
      <c r="A383" s="461"/>
      <c r="B383" s="135" t="s">
        <v>324</v>
      </c>
      <c r="C383" s="606"/>
      <c r="D383" s="176"/>
      <c r="E383" s="142">
        <v>6400.5079999999998</v>
      </c>
      <c r="F383" s="142">
        <v>7013.0249999999996</v>
      </c>
      <c r="G383" s="142">
        <v>6815.4319999999998</v>
      </c>
      <c r="H383" s="142">
        <v>6439.5579999999991</v>
      </c>
      <c r="I383" s="142">
        <v>4676.8409999999994</v>
      </c>
      <c r="J383" s="142">
        <v>6916.6069999999991</v>
      </c>
      <c r="K383" s="142">
        <v>6446.3739999999998</v>
      </c>
      <c r="L383" s="142">
        <v>7059.1749999999993</v>
      </c>
      <c r="M383" s="142">
        <v>6789.73</v>
      </c>
      <c r="N383" s="142">
        <v>12737.541999999999</v>
      </c>
      <c r="O383" s="142">
        <v>4815.7879999999996</v>
      </c>
      <c r="P383" s="142">
        <v>4831.4789999999994</v>
      </c>
      <c r="Q383" s="176"/>
      <c r="R383" s="176"/>
      <c r="T383" s="156">
        <f t="shared" si="18"/>
        <v>80942.059000000008</v>
      </c>
      <c r="U383" s="138"/>
      <c r="V383" s="139"/>
      <c r="W383" s="143">
        <f>T383</f>
        <v>80942.059000000008</v>
      </c>
      <c r="X383" s="138"/>
      <c r="Y383" s="157"/>
      <c r="Z383" s="157"/>
    </row>
    <row r="384" spans="1:26" s="125" customFormat="1" x14ac:dyDescent="0.25">
      <c r="A384" s="461"/>
      <c r="B384" s="144" t="s">
        <v>922</v>
      </c>
      <c r="C384" s="607"/>
      <c r="D384" s="179"/>
      <c r="E384" s="145">
        <v>2305.1887588903919</v>
      </c>
      <c r="F384" s="145">
        <v>2563.2682703549199</v>
      </c>
      <c r="G384" s="145">
        <v>3062.017111295746</v>
      </c>
      <c r="H384" s="145">
        <v>4136.1360933083351</v>
      </c>
      <c r="I384" s="145">
        <v>4879.6141118395008</v>
      </c>
      <c r="J384" s="145">
        <v>4348.8289694322766</v>
      </c>
      <c r="K384" s="145">
        <v>3881.8172744831068</v>
      </c>
      <c r="L384" s="145">
        <v>2986.1674489631682</v>
      </c>
      <c r="M384" s="145">
        <v>2144.4039407959704</v>
      </c>
      <c r="N384" s="145">
        <v>1467.4534333552283</v>
      </c>
      <c r="O384" s="145">
        <v>1529.7069376769921</v>
      </c>
      <c r="P384" s="145">
        <v>1530.4944082163533</v>
      </c>
      <c r="Q384" s="179"/>
      <c r="R384" s="179"/>
      <c r="T384" s="156">
        <f t="shared" si="18"/>
        <v>34835.096758611995</v>
      </c>
      <c r="U384" s="138"/>
      <c r="V384" s="139"/>
      <c r="W384" s="143">
        <f>T384</f>
        <v>34835.096758611995</v>
      </c>
      <c r="X384" s="138"/>
      <c r="Y384" s="157"/>
      <c r="Z384" s="157"/>
    </row>
    <row r="385" spans="1:26" s="125" customFormat="1" x14ac:dyDescent="0.25">
      <c r="A385" s="461"/>
      <c r="B385" s="144" t="s">
        <v>1232</v>
      </c>
      <c r="C385" s="607"/>
      <c r="D385" s="179"/>
      <c r="E385" s="145">
        <v>7907.5839770308985</v>
      </c>
      <c r="F385" s="145">
        <v>6854.1510659162504</v>
      </c>
      <c r="G385" s="145">
        <v>5074.1719314089787</v>
      </c>
      <c r="H385" s="145">
        <v>11374.044306344047</v>
      </c>
      <c r="I385" s="145">
        <v>1389.2791058555918</v>
      </c>
      <c r="J385" s="145">
        <v>1234.6029743477495</v>
      </c>
      <c r="K385" s="145">
        <v>937.70001043307411</v>
      </c>
      <c r="L385" s="145">
        <v>3130.984479854385</v>
      </c>
      <c r="M385" s="145">
        <v>4581.4773876397085</v>
      </c>
      <c r="N385" s="145">
        <v>11514.917954065986</v>
      </c>
      <c r="O385" s="145">
        <v>6626.7733067064073</v>
      </c>
      <c r="P385" s="145">
        <v>7922.1556394797917</v>
      </c>
      <c r="Q385" s="179"/>
      <c r="R385" s="179"/>
      <c r="T385" s="156">
        <f t="shared" si="18"/>
        <v>68547.842139082873</v>
      </c>
      <c r="U385" s="138"/>
      <c r="V385" s="139"/>
      <c r="W385" s="143">
        <f>T385</f>
        <v>68547.842139082873</v>
      </c>
      <c r="X385" s="138"/>
      <c r="Y385" s="157"/>
      <c r="Z385" s="157"/>
    </row>
    <row r="386" spans="1:26" s="125" customFormat="1" ht="16.5" x14ac:dyDescent="0.35">
      <c r="A386" s="461"/>
      <c r="B386" s="144" t="s">
        <v>374</v>
      </c>
      <c r="C386" s="611"/>
      <c r="D386" s="444"/>
      <c r="E386" s="145">
        <v>601.01</v>
      </c>
      <c r="F386" s="145">
        <v>675.3</v>
      </c>
      <c r="G386" s="145">
        <v>691.29</v>
      </c>
      <c r="H386" s="145">
        <v>735.3</v>
      </c>
      <c r="I386" s="145">
        <v>546.88</v>
      </c>
      <c r="J386" s="145">
        <v>798.14</v>
      </c>
      <c r="K386" s="145">
        <v>702.95</v>
      </c>
      <c r="L386" s="145">
        <v>466.52</v>
      </c>
      <c r="M386" s="145">
        <v>663.31</v>
      </c>
      <c r="N386" s="145">
        <v>699.83</v>
      </c>
      <c r="O386" s="145">
        <v>1002.98</v>
      </c>
      <c r="P386" s="145">
        <v>1612.59</v>
      </c>
      <c r="Q386" s="184"/>
      <c r="R386" s="444"/>
      <c r="T386" s="156">
        <f t="shared" si="18"/>
        <v>9196.0999999999985</v>
      </c>
      <c r="U386" s="138"/>
      <c r="V386" s="139"/>
      <c r="W386" s="146">
        <f>T386</f>
        <v>9196.0999999999985</v>
      </c>
      <c r="X386" s="138"/>
      <c r="Y386" s="157"/>
      <c r="Z386" s="157"/>
    </row>
    <row r="387" spans="1:26" x14ac:dyDescent="0.25">
      <c r="W387" s="143">
        <f>SUM(W383:W386)</f>
        <v>193521.09789769488</v>
      </c>
      <c r="X387" s="138"/>
    </row>
    <row r="388" spans="1:26" x14ac:dyDescent="0.25">
      <c r="W388" s="149"/>
      <c r="X388" s="150"/>
    </row>
    <row r="389" spans="1:26" x14ac:dyDescent="0.25">
      <c r="A389" s="462">
        <v>41</v>
      </c>
      <c r="B389" s="460" t="s">
        <v>1008</v>
      </c>
      <c r="T389" s="666" t="s">
        <v>1008</v>
      </c>
      <c r="W389" s="149"/>
      <c r="X389" s="150"/>
    </row>
    <row r="390" spans="1:26" s="125" customFormat="1" x14ac:dyDescent="0.25">
      <c r="A390" s="461"/>
      <c r="B390" s="130" t="s">
        <v>337</v>
      </c>
      <c r="C390" s="186" t="s">
        <v>977</v>
      </c>
      <c r="D390" s="131">
        <v>41821</v>
      </c>
      <c r="E390" s="131">
        <v>41852</v>
      </c>
      <c r="F390" s="131">
        <v>41883</v>
      </c>
      <c r="G390" s="131">
        <v>41913</v>
      </c>
      <c r="H390" s="131">
        <v>41944</v>
      </c>
      <c r="I390" s="131">
        <v>41974</v>
      </c>
      <c r="J390" s="131">
        <v>42005</v>
      </c>
      <c r="K390" s="131">
        <v>42036</v>
      </c>
      <c r="L390" s="131">
        <v>42064</v>
      </c>
      <c r="M390" s="131">
        <v>42095</v>
      </c>
      <c r="N390" s="131">
        <v>42125</v>
      </c>
      <c r="O390" s="131">
        <v>42156</v>
      </c>
      <c r="P390" s="131">
        <v>42186</v>
      </c>
      <c r="Q390" s="151">
        <v>42217</v>
      </c>
      <c r="R390" s="131">
        <v>42261</v>
      </c>
      <c r="S390" s="132"/>
      <c r="T390" s="133" t="s">
        <v>338</v>
      </c>
      <c r="U390" s="134" t="s">
        <v>339</v>
      </c>
      <c r="V390" s="132"/>
      <c r="W390" s="133" t="s">
        <v>338</v>
      </c>
      <c r="X390" s="134" t="s">
        <v>339</v>
      </c>
      <c r="Y390" s="157"/>
      <c r="Z390" s="157"/>
    </row>
    <row r="391" spans="1:26" s="125" customFormat="1" x14ac:dyDescent="0.25">
      <c r="A391" s="461"/>
      <c r="B391" s="135" t="s">
        <v>340</v>
      </c>
      <c r="C391" s="612"/>
      <c r="D391" s="615"/>
      <c r="E391" s="615"/>
      <c r="F391" s="160"/>
      <c r="G391" s="160"/>
      <c r="H391" s="160"/>
      <c r="I391" s="160"/>
      <c r="J391" s="160"/>
      <c r="K391" s="160"/>
      <c r="L391" s="160"/>
      <c r="M391" s="160"/>
      <c r="N391" s="160"/>
      <c r="O391" s="160"/>
      <c r="P391" s="160"/>
      <c r="Q391" s="440"/>
      <c r="T391" s="137">
        <v>282277</v>
      </c>
      <c r="U391" s="138" t="s">
        <v>341</v>
      </c>
      <c r="V391" s="139"/>
      <c r="W391" s="140">
        <f>T391*3413/1000000</f>
        <v>963.41140099999996</v>
      </c>
      <c r="X391" s="138" t="s">
        <v>342</v>
      </c>
      <c r="Y391" s="157"/>
      <c r="Z391" s="157"/>
    </row>
    <row r="392" spans="1:26" s="125" customFormat="1" x14ac:dyDescent="0.25">
      <c r="A392" s="461"/>
      <c r="B392" s="135" t="s">
        <v>1221</v>
      </c>
      <c r="C392" s="612"/>
      <c r="D392" s="615"/>
      <c r="E392" s="456"/>
      <c r="F392" s="160">
        <v>209</v>
      </c>
      <c r="G392" s="160">
        <v>297</v>
      </c>
      <c r="H392" s="160">
        <v>1409</v>
      </c>
      <c r="I392" s="160">
        <v>1424</v>
      </c>
      <c r="J392" s="160">
        <v>1364</v>
      </c>
      <c r="K392" s="160">
        <v>1765</v>
      </c>
      <c r="L392" s="160">
        <v>369</v>
      </c>
      <c r="M392" s="160">
        <v>179</v>
      </c>
      <c r="N392" s="160">
        <v>75</v>
      </c>
      <c r="O392" s="160">
        <v>146</v>
      </c>
      <c r="P392" s="160">
        <v>54</v>
      </c>
      <c r="Q392" s="440">
        <v>63</v>
      </c>
      <c r="T392" s="137">
        <f>SUM(E392:Q392)</f>
        <v>7354</v>
      </c>
      <c r="U392" s="138" t="s">
        <v>354</v>
      </c>
      <c r="V392" s="139"/>
      <c r="W392" s="140">
        <f>T392*99976.124488/1000000</f>
        <v>735.22441948475205</v>
      </c>
      <c r="X392" s="138" t="s">
        <v>342</v>
      </c>
      <c r="Y392" s="495">
        <f>W391+W392</f>
        <v>1698.635820484752</v>
      </c>
      <c r="Z392" s="138" t="s">
        <v>342</v>
      </c>
    </row>
    <row r="393" spans="1:26" s="125" customFormat="1" x14ac:dyDescent="0.25">
      <c r="A393" s="461"/>
      <c r="B393" s="135" t="s">
        <v>373</v>
      </c>
      <c r="C393" s="201"/>
      <c r="D393" s="615"/>
      <c r="E393" s="615"/>
      <c r="F393" s="552"/>
      <c r="G393" s="552"/>
      <c r="H393" s="552"/>
      <c r="I393" s="552"/>
      <c r="J393" s="552"/>
      <c r="K393" s="552"/>
      <c r="L393" s="552"/>
      <c r="M393" s="552"/>
      <c r="N393" s="552"/>
      <c r="O393" s="552"/>
      <c r="P393" s="160"/>
      <c r="Q393" s="440"/>
      <c r="T393" s="137">
        <v>154338</v>
      </c>
      <c r="U393" s="138" t="s">
        <v>346</v>
      </c>
      <c r="V393" s="139"/>
      <c r="W393" s="137">
        <f>T393</f>
        <v>154338</v>
      </c>
      <c r="X393" s="138" t="s">
        <v>346</v>
      </c>
      <c r="Y393" s="157"/>
      <c r="Z393" s="157"/>
    </row>
    <row r="394" spans="1:26" s="125" customFormat="1" x14ac:dyDescent="0.25">
      <c r="A394" s="461"/>
      <c r="B394" s="135" t="s">
        <v>347</v>
      </c>
      <c r="C394" s="613"/>
      <c r="D394" s="615"/>
      <c r="E394" s="615"/>
      <c r="F394" s="142"/>
      <c r="G394" s="142"/>
      <c r="H394" s="142"/>
      <c r="I394" s="142"/>
      <c r="J394" s="142"/>
      <c r="K394" s="142"/>
      <c r="L394" s="142"/>
      <c r="M394" s="142"/>
      <c r="N394" s="142"/>
      <c r="O394" s="142"/>
      <c r="P394" s="142"/>
      <c r="Q394" s="440"/>
      <c r="T394" s="143">
        <v>16996</v>
      </c>
      <c r="U394" s="138"/>
      <c r="V394" s="139"/>
      <c r="W394" s="143">
        <f>T394</f>
        <v>16996</v>
      </c>
      <c r="X394" s="138"/>
      <c r="Y394" s="157"/>
      <c r="Z394" s="157"/>
    </row>
    <row r="395" spans="1:26" s="125" customFormat="1" ht="16.5" x14ac:dyDescent="0.35">
      <c r="A395" s="461"/>
      <c r="B395" s="144" t="s">
        <v>374</v>
      </c>
      <c r="C395" s="611"/>
      <c r="D395" s="615"/>
      <c r="E395" s="179"/>
      <c r="F395" s="145"/>
      <c r="G395" s="145"/>
      <c r="H395" s="145"/>
      <c r="I395" s="145"/>
      <c r="J395" s="145"/>
      <c r="K395" s="145"/>
      <c r="L395" s="145"/>
      <c r="M395" s="145"/>
      <c r="N395" s="145"/>
      <c r="O395" s="145"/>
      <c r="P395" s="145"/>
      <c r="Q395" s="440"/>
      <c r="T395" s="143">
        <v>5924.42</v>
      </c>
      <c r="U395" s="138"/>
      <c r="V395" s="139"/>
      <c r="W395" s="146">
        <f>T395</f>
        <v>5924.42</v>
      </c>
      <c r="X395" s="138"/>
      <c r="Y395" s="157"/>
      <c r="Z395" s="157"/>
    </row>
    <row r="396" spans="1:26" s="125" customFormat="1" x14ac:dyDescent="0.25">
      <c r="A396" s="461"/>
      <c r="B396" s="180"/>
      <c r="C396" s="611"/>
      <c r="D396" s="611"/>
      <c r="E396" s="179"/>
      <c r="F396" s="179"/>
      <c r="G396" s="179"/>
      <c r="H396" s="179"/>
      <c r="I396" s="179"/>
      <c r="J396" s="179"/>
      <c r="K396" s="179"/>
      <c r="L396" s="179"/>
      <c r="M396" s="179"/>
      <c r="N396" s="179"/>
      <c r="O396" s="179"/>
      <c r="T396" s="149"/>
      <c r="U396" s="150"/>
      <c r="V396" s="139"/>
      <c r="W396" s="143">
        <f>SUM(W394:W395)</f>
        <v>22920.42</v>
      </c>
      <c r="X396" s="138"/>
      <c r="Y396" s="157"/>
      <c r="Z396" s="674"/>
    </row>
    <row r="397" spans="1:26" x14ac:dyDescent="0.25">
      <c r="W397" s="149"/>
      <c r="X397" s="150"/>
    </row>
    <row r="398" spans="1:26" s="128" customFormat="1" x14ac:dyDescent="0.25">
      <c r="A398" s="459">
        <v>42</v>
      </c>
      <c r="B398" s="127" t="s">
        <v>624</v>
      </c>
      <c r="C398" s="173"/>
      <c r="S398" s="173"/>
      <c r="T398" s="127" t="s">
        <v>624</v>
      </c>
      <c r="W398" s="129"/>
      <c r="Y398" s="166"/>
      <c r="Z398" s="166"/>
    </row>
    <row r="399" spans="1:26" s="125" customFormat="1" x14ac:dyDescent="0.25">
      <c r="A399" s="461"/>
      <c r="B399" s="130" t="s">
        <v>337</v>
      </c>
      <c r="C399" s="186" t="s">
        <v>977</v>
      </c>
      <c r="D399" s="131">
        <v>41821</v>
      </c>
      <c r="E399" s="131">
        <v>41852</v>
      </c>
      <c r="F399" s="131">
        <v>41883</v>
      </c>
      <c r="G399" s="131">
        <v>41913</v>
      </c>
      <c r="H399" s="131">
        <v>41944</v>
      </c>
      <c r="I399" s="131">
        <v>41974</v>
      </c>
      <c r="J399" s="131">
        <v>42005</v>
      </c>
      <c r="K399" s="131">
        <v>42036</v>
      </c>
      <c r="L399" s="131">
        <v>42064</v>
      </c>
      <c r="M399" s="131">
        <v>42095</v>
      </c>
      <c r="N399" s="131">
        <v>42125</v>
      </c>
      <c r="O399" s="131">
        <v>42156</v>
      </c>
      <c r="P399" s="131">
        <v>42186</v>
      </c>
      <c r="Q399" s="151">
        <v>42217</v>
      </c>
      <c r="R399" s="131">
        <v>42261</v>
      </c>
      <c r="S399" s="132"/>
      <c r="T399" s="133" t="s">
        <v>338</v>
      </c>
      <c r="U399" s="134" t="s">
        <v>339</v>
      </c>
      <c r="V399" s="132"/>
      <c r="W399" s="133" t="s">
        <v>338</v>
      </c>
      <c r="X399" s="134" t="s">
        <v>339</v>
      </c>
      <c r="Y399" s="157"/>
      <c r="Z399" s="157"/>
    </row>
    <row r="400" spans="1:26" s="125" customFormat="1" x14ac:dyDescent="0.25">
      <c r="A400" s="461"/>
      <c r="B400" s="135" t="s">
        <v>340</v>
      </c>
      <c r="C400" s="606"/>
      <c r="D400" s="454">
        <v>143000</v>
      </c>
      <c r="E400" s="454">
        <v>187917</v>
      </c>
      <c r="F400" s="454">
        <v>159676</v>
      </c>
      <c r="G400" s="454">
        <v>202458</v>
      </c>
      <c r="H400" s="454">
        <v>155992</v>
      </c>
      <c r="I400" s="454">
        <v>144957</v>
      </c>
      <c r="J400" s="454">
        <v>136202</v>
      </c>
      <c r="K400" s="454">
        <v>137208</v>
      </c>
      <c r="L400" s="454">
        <v>157337</v>
      </c>
      <c r="M400" s="454">
        <v>157170</v>
      </c>
      <c r="N400" s="454">
        <v>167331</v>
      </c>
      <c r="O400" s="454">
        <v>179152</v>
      </c>
      <c r="P400" s="174"/>
      <c r="Q400" s="174"/>
      <c r="R400" s="174"/>
      <c r="T400" s="140">
        <f>SUM(C400:S400)</f>
        <v>1928400</v>
      </c>
      <c r="U400" s="138" t="s">
        <v>341</v>
      </c>
      <c r="V400" s="139"/>
      <c r="W400" s="140">
        <f>T400*3413/1000000</f>
        <v>6581.6292000000003</v>
      </c>
      <c r="X400" s="138" t="s">
        <v>342</v>
      </c>
      <c r="Y400" s="157"/>
      <c r="Z400" s="157"/>
    </row>
    <row r="401" spans="1:26" s="125" customFormat="1" x14ac:dyDescent="0.25">
      <c r="A401" s="461"/>
      <c r="B401" s="135" t="s">
        <v>372</v>
      </c>
      <c r="C401" s="606"/>
      <c r="D401" s="454">
        <v>531</v>
      </c>
      <c r="E401" s="454">
        <v>1986</v>
      </c>
      <c r="F401" s="454">
        <v>2633</v>
      </c>
      <c r="G401" s="454">
        <v>2708</v>
      </c>
      <c r="H401" s="454">
        <v>4733</v>
      </c>
      <c r="I401" s="454">
        <v>5292</v>
      </c>
      <c r="J401" s="454">
        <v>7672</v>
      </c>
      <c r="K401" s="454">
        <v>6684</v>
      </c>
      <c r="L401" s="454">
        <v>4793</v>
      </c>
      <c r="M401" s="454">
        <v>3129</v>
      </c>
      <c r="N401" s="454">
        <v>1935</v>
      </c>
      <c r="O401" s="454">
        <v>1910</v>
      </c>
      <c r="P401" s="174"/>
      <c r="Q401" s="174"/>
      <c r="R401" s="174"/>
      <c r="T401" s="140">
        <f>SUM(C401:S401)</f>
        <v>44006</v>
      </c>
      <c r="U401" s="138" t="s">
        <v>354</v>
      </c>
      <c r="V401" s="139"/>
      <c r="W401" s="140">
        <f>T401*99976.124488/1000000</f>
        <v>4399.5493342189284</v>
      </c>
      <c r="X401" s="138" t="s">
        <v>342</v>
      </c>
      <c r="Y401" s="495">
        <f>W400+W401</f>
        <v>10981.178534218929</v>
      </c>
      <c r="Z401" s="153" t="s">
        <v>677</v>
      </c>
    </row>
    <row r="402" spans="1:26" s="125" customFormat="1" x14ac:dyDescent="0.25">
      <c r="A402" s="461"/>
      <c r="B402" s="135" t="s">
        <v>366</v>
      </c>
      <c r="C402" s="606"/>
      <c r="D402" s="454">
        <v>110859.62566844918</v>
      </c>
      <c r="E402" s="454">
        <v>255355.61497326201</v>
      </c>
      <c r="F402" s="454">
        <v>263399.73262032086</v>
      </c>
      <c r="G402" s="454">
        <v>64045.454545454544</v>
      </c>
      <c r="H402" s="454">
        <v>58498.663101604267</v>
      </c>
      <c r="I402" s="454">
        <v>33775.401069518717</v>
      </c>
      <c r="J402" s="454">
        <v>62363.63636363636</v>
      </c>
      <c r="K402" s="454">
        <v>64815.508021390371</v>
      </c>
      <c r="L402" s="454">
        <v>64834.224598930479</v>
      </c>
      <c r="M402" s="454">
        <v>76471.925133689831</v>
      </c>
      <c r="N402" s="454">
        <v>38299.465240641708</v>
      </c>
      <c r="O402" s="454">
        <v>39816.84491978609</v>
      </c>
      <c r="P402" s="178"/>
      <c r="Q402" s="178"/>
      <c r="R402" s="178"/>
      <c r="T402" s="140">
        <f>SUM(C402:S402)</f>
        <v>1132536.0962566845</v>
      </c>
      <c r="U402" s="138" t="s">
        <v>367</v>
      </c>
      <c r="V402" s="139"/>
      <c r="W402" s="137">
        <f>T402*7.48</f>
        <v>8471370</v>
      </c>
      <c r="X402" s="138" t="s">
        <v>346</v>
      </c>
      <c r="Y402" s="157"/>
      <c r="Z402" s="157"/>
    </row>
    <row r="403" spans="1:26" s="125" customFormat="1" x14ac:dyDescent="0.25">
      <c r="A403" s="461"/>
      <c r="B403" s="135" t="s">
        <v>324</v>
      </c>
      <c r="C403" s="606"/>
      <c r="D403" s="455">
        <v>9964.617728509249</v>
      </c>
      <c r="E403" s="455">
        <v>13450.773821491597</v>
      </c>
      <c r="F403" s="455">
        <v>11056.968572401434</v>
      </c>
      <c r="G403" s="455">
        <v>12420.416085240275</v>
      </c>
      <c r="H403" s="455">
        <v>8971.9448766666665</v>
      </c>
      <c r="I403" s="455">
        <v>8346.7924296337369</v>
      </c>
      <c r="J403" s="455">
        <v>7596.128760766017</v>
      </c>
      <c r="K403" s="455">
        <v>7734.6791502319584</v>
      </c>
      <c r="L403" s="455">
        <v>9202.496610603408</v>
      </c>
      <c r="M403" s="455">
        <v>8771.3567620930226</v>
      </c>
      <c r="N403" s="455">
        <v>9404.9878049431809</v>
      </c>
      <c r="O403" s="455">
        <v>11244.336322358975</v>
      </c>
      <c r="P403" s="176"/>
      <c r="Q403" s="176"/>
      <c r="R403" s="176"/>
      <c r="T403" s="143">
        <f>SUM(C403:S403)</f>
        <v>118165.49892493953</v>
      </c>
      <c r="U403" s="138"/>
      <c r="V403" s="139"/>
      <c r="W403" s="143">
        <f>T403</f>
        <v>118165.49892493953</v>
      </c>
      <c r="X403" s="138"/>
      <c r="Y403" s="157"/>
      <c r="Z403" s="157"/>
    </row>
    <row r="404" spans="1:26" s="125" customFormat="1" ht="16.5" x14ac:dyDescent="0.35">
      <c r="A404" s="461"/>
      <c r="B404" s="144" t="s">
        <v>374</v>
      </c>
      <c r="C404" s="607"/>
      <c r="D404" s="455">
        <v>475.47</v>
      </c>
      <c r="E404" s="455">
        <v>1718.02</v>
      </c>
      <c r="F404" s="455">
        <v>2270.56</v>
      </c>
      <c r="G404" s="455">
        <v>2334.6</v>
      </c>
      <c r="H404" s="455">
        <v>4039.25</v>
      </c>
      <c r="I404" s="455">
        <v>4519.3100000000004</v>
      </c>
      <c r="J404" s="455">
        <v>6179.08</v>
      </c>
      <c r="K404" s="455">
        <v>4973.72</v>
      </c>
      <c r="L404" s="455">
        <v>3046.12</v>
      </c>
      <c r="M404" s="455"/>
      <c r="N404" s="455">
        <v>610.46</v>
      </c>
      <c r="O404" s="455">
        <v>1297.55</v>
      </c>
      <c r="P404" s="179"/>
      <c r="Q404" s="179"/>
      <c r="R404" s="179"/>
      <c r="T404" s="143">
        <f>SUM(C404:S404)</f>
        <v>31464.14</v>
      </c>
      <c r="U404" s="138"/>
      <c r="V404" s="139"/>
      <c r="W404" s="146">
        <f>T404</f>
        <v>31464.14</v>
      </c>
      <c r="X404" s="138"/>
      <c r="Y404" s="157"/>
      <c r="Z404" s="157"/>
    </row>
    <row r="405" spans="1:26" x14ac:dyDescent="0.25">
      <c r="W405" s="143">
        <f>SUM(W403:W404)</f>
        <v>149629.63892493953</v>
      </c>
      <c r="X405" s="138"/>
    </row>
    <row r="407" spans="1:26" s="128" customFormat="1" x14ac:dyDescent="0.25">
      <c r="A407" s="459">
        <v>43</v>
      </c>
      <c r="B407" s="127" t="s">
        <v>625</v>
      </c>
      <c r="C407" s="173"/>
      <c r="S407" s="173"/>
      <c r="T407" s="127" t="s">
        <v>625</v>
      </c>
      <c r="W407" s="129"/>
      <c r="Y407" s="166"/>
      <c r="Z407" s="166"/>
    </row>
    <row r="408" spans="1:26" s="125" customFormat="1" x14ac:dyDescent="0.25">
      <c r="A408" s="461"/>
      <c r="B408" s="130" t="s">
        <v>337</v>
      </c>
      <c r="C408" s="605" t="s">
        <v>977</v>
      </c>
      <c r="D408" s="131">
        <v>41821</v>
      </c>
      <c r="E408" s="131">
        <v>41852</v>
      </c>
      <c r="F408" s="131">
        <v>41883</v>
      </c>
      <c r="G408" s="131">
        <v>41913</v>
      </c>
      <c r="H408" s="131">
        <v>41944</v>
      </c>
      <c r="I408" s="131">
        <v>41974</v>
      </c>
      <c r="J408" s="131">
        <v>42005</v>
      </c>
      <c r="K408" s="131">
        <v>42036</v>
      </c>
      <c r="L408" s="131">
        <v>42064</v>
      </c>
      <c r="M408" s="131">
        <v>42095</v>
      </c>
      <c r="N408" s="131">
        <v>42125</v>
      </c>
      <c r="O408" s="131">
        <v>42156</v>
      </c>
      <c r="P408" s="131">
        <v>42186</v>
      </c>
      <c r="Q408" s="560">
        <v>42217</v>
      </c>
      <c r="R408" s="131">
        <v>42261</v>
      </c>
      <c r="S408" s="132"/>
      <c r="T408" s="133" t="s">
        <v>338</v>
      </c>
      <c r="U408" s="134" t="s">
        <v>339</v>
      </c>
      <c r="V408" s="132"/>
      <c r="W408" s="133" t="s">
        <v>338</v>
      </c>
      <c r="X408" s="134" t="s">
        <v>339</v>
      </c>
      <c r="Y408" s="157"/>
      <c r="Z408" s="157"/>
    </row>
    <row r="409" spans="1:26" s="125" customFormat="1" x14ac:dyDescent="0.25">
      <c r="A409" s="461"/>
      <c r="B409" s="135" t="s">
        <v>340</v>
      </c>
      <c r="C409" s="606"/>
      <c r="D409" s="174"/>
      <c r="E409" s="136">
        <v>13560</v>
      </c>
      <c r="F409" s="734">
        <v>29200</v>
      </c>
      <c r="G409" s="734">
        <v>23900</v>
      </c>
      <c r="H409" s="734">
        <v>24200</v>
      </c>
      <c r="I409" s="734">
        <v>25900</v>
      </c>
      <c r="J409" s="734">
        <v>28100</v>
      </c>
      <c r="K409" s="736">
        <v>26700</v>
      </c>
      <c r="L409" s="736">
        <v>33200</v>
      </c>
      <c r="M409" s="736">
        <v>22200</v>
      </c>
      <c r="N409" s="736">
        <v>26500</v>
      </c>
      <c r="O409" s="736">
        <v>29900</v>
      </c>
      <c r="P409" s="736">
        <v>34000</v>
      </c>
      <c r="Q409" s="1178"/>
      <c r="R409" s="174"/>
      <c r="T409" s="140">
        <f>SUM(E409:P409)</f>
        <v>317360</v>
      </c>
      <c r="U409" s="138" t="s">
        <v>341</v>
      </c>
      <c r="V409" s="139"/>
      <c r="W409" s="140">
        <f>T409*3413/1000000</f>
        <v>1083.14968</v>
      </c>
      <c r="X409" s="138" t="s">
        <v>342</v>
      </c>
      <c r="Y409" s="157"/>
      <c r="Z409" s="157"/>
    </row>
    <row r="410" spans="1:26" s="125" customFormat="1" x14ac:dyDescent="0.25">
      <c r="A410" s="461"/>
      <c r="B410" s="135" t="s">
        <v>372</v>
      </c>
      <c r="C410" s="606"/>
      <c r="D410" s="174"/>
      <c r="E410" s="1180" t="s">
        <v>351</v>
      </c>
      <c r="F410" s="750">
        <v>193</v>
      </c>
      <c r="G410" s="750">
        <v>375</v>
      </c>
      <c r="H410" s="750">
        <v>1182</v>
      </c>
      <c r="I410" s="750">
        <v>1546</v>
      </c>
      <c r="J410" s="750">
        <v>1495</v>
      </c>
      <c r="K410" s="750">
        <v>2357</v>
      </c>
      <c r="L410" s="728">
        <v>536</v>
      </c>
      <c r="M410" s="728">
        <v>307</v>
      </c>
      <c r="N410" s="728">
        <v>195</v>
      </c>
      <c r="O410" s="728">
        <v>99</v>
      </c>
      <c r="P410" s="728">
        <v>68</v>
      </c>
      <c r="Q410" s="174"/>
      <c r="R410" s="174"/>
      <c r="T410" s="137">
        <f>SUM(E410:P410)</f>
        <v>8353</v>
      </c>
      <c r="U410" s="138" t="s">
        <v>354</v>
      </c>
      <c r="V410" s="139"/>
      <c r="W410" s="140">
        <f>T410*99976.124488/1000000</f>
        <v>835.10056784826395</v>
      </c>
      <c r="X410" s="138" t="s">
        <v>342</v>
      </c>
      <c r="Y410" s="495">
        <f>W409+W410</f>
        <v>1918.2502478482638</v>
      </c>
      <c r="Z410" s="153" t="s">
        <v>677</v>
      </c>
    </row>
    <row r="411" spans="1:26" s="125" customFormat="1" x14ac:dyDescent="0.25">
      <c r="A411" s="461"/>
      <c r="B411" s="135" t="s">
        <v>864</v>
      </c>
      <c r="C411" s="606"/>
      <c r="D411" s="178"/>
      <c r="E411" s="728">
        <v>1</v>
      </c>
      <c r="F411" s="750">
        <v>14.676923076923076</v>
      </c>
      <c r="G411" s="750">
        <v>18.751648351648353</v>
      </c>
      <c r="H411" s="750">
        <v>21.285221674876848</v>
      </c>
      <c r="I411" s="750">
        <v>16.470077864293657</v>
      </c>
      <c r="J411" s="750">
        <v>10.258064516129032</v>
      </c>
      <c r="K411" s="750">
        <v>5.6080645161290317</v>
      </c>
      <c r="L411" s="1172">
        <v>5.7214285714285715</v>
      </c>
      <c r="M411" s="1173">
        <v>8.9348214285714285</v>
      </c>
      <c r="N411" s="1173">
        <v>12.771527777777777</v>
      </c>
      <c r="O411" s="1172">
        <v>21.685555555555556</v>
      </c>
      <c r="P411" s="728">
        <v>24</v>
      </c>
      <c r="Q411" s="730"/>
      <c r="R411" s="178"/>
      <c r="T411" s="1177">
        <f>SUM(C411:S411)</f>
        <v>161.16333333333333</v>
      </c>
      <c r="U411" s="138" t="s">
        <v>379</v>
      </c>
      <c r="V411" s="139"/>
      <c r="W411" s="137">
        <f>T411*748</f>
        <v>120550.17333333332</v>
      </c>
      <c r="X411" s="138" t="s">
        <v>346</v>
      </c>
      <c r="Y411" s="157"/>
      <c r="Z411" s="157"/>
    </row>
    <row r="412" spans="1:26" s="125" customFormat="1" x14ac:dyDescent="0.25">
      <c r="A412" s="461"/>
      <c r="B412" s="135" t="s">
        <v>324</v>
      </c>
      <c r="C412" s="606"/>
      <c r="D412" s="176"/>
      <c r="E412" s="455">
        <v>1071.77</v>
      </c>
      <c r="F412" s="731">
        <v>2676.13</v>
      </c>
      <c r="G412" s="731">
        <v>1930.46</v>
      </c>
      <c r="H412" s="731">
        <v>1915.03</v>
      </c>
      <c r="I412" s="731">
        <v>1983.12</v>
      </c>
      <c r="J412" s="731">
        <v>2187.2600000000002</v>
      </c>
      <c r="K412" s="731">
        <v>2132.69</v>
      </c>
      <c r="L412" s="455">
        <v>2531.1799999999998</v>
      </c>
      <c r="M412" s="455">
        <v>1892.42</v>
      </c>
      <c r="N412" s="455">
        <v>2296.7399999999998</v>
      </c>
      <c r="O412" s="455">
        <v>2862.01</v>
      </c>
      <c r="P412" s="455">
        <v>3057.41</v>
      </c>
      <c r="Q412" s="1179"/>
      <c r="R412" s="176"/>
      <c r="T412" s="143">
        <f>SUM(C412:S412)</f>
        <v>26536.219999999998</v>
      </c>
      <c r="U412" s="138"/>
      <c r="V412" s="139"/>
      <c r="W412" s="143">
        <f>T412</f>
        <v>26536.219999999998</v>
      </c>
      <c r="X412" s="138"/>
      <c r="Y412" s="157"/>
      <c r="Z412" s="157"/>
    </row>
    <row r="413" spans="1:26" s="125" customFormat="1" ht="16.5" x14ac:dyDescent="0.35">
      <c r="A413" s="461"/>
      <c r="B413" s="144" t="s">
        <v>374</v>
      </c>
      <c r="C413" s="607"/>
      <c r="D413" s="179"/>
      <c r="E413" s="1181" t="s">
        <v>351</v>
      </c>
      <c r="F413" s="455">
        <v>197.25</v>
      </c>
      <c r="G413" s="751">
        <v>350.15</v>
      </c>
      <c r="H413" s="455">
        <v>952.44</v>
      </c>
      <c r="I413" s="455">
        <v>1233.77</v>
      </c>
      <c r="J413" s="751">
        <v>1167.48</v>
      </c>
      <c r="K413" s="455">
        <v>1717.28</v>
      </c>
      <c r="L413" s="455">
        <v>425.16</v>
      </c>
      <c r="M413" s="455">
        <v>253.6</v>
      </c>
      <c r="N413" s="455">
        <v>167.92</v>
      </c>
      <c r="O413" s="455">
        <v>94.38</v>
      </c>
      <c r="P413" s="1176">
        <v>70.599999999999994</v>
      </c>
      <c r="Q413" s="179"/>
      <c r="R413" s="179"/>
      <c r="T413" s="143">
        <f>SUM(C413:S413)</f>
        <v>6630.0300000000007</v>
      </c>
      <c r="U413" s="138"/>
      <c r="V413" s="139"/>
      <c r="W413" s="146">
        <f>T413</f>
        <v>6630.0300000000007</v>
      </c>
      <c r="X413" s="138"/>
      <c r="Y413" s="157"/>
      <c r="Z413" s="157"/>
    </row>
    <row r="414" spans="1:26" x14ac:dyDescent="0.25">
      <c r="E414" s="1182" t="s">
        <v>1129</v>
      </c>
      <c r="W414" s="143">
        <f>SUM(W412:W413)</f>
        <v>33166.25</v>
      </c>
      <c r="X414" s="138"/>
    </row>
    <row r="416" spans="1:26" s="128" customFormat="1" x14ac:dyDescent="0.25">
      <c r="A416" s="459">
        <v>44</v>
      </c>
      <c r="B416" s="127" t="s">
        <v>626</v>
      </c>
      <c r="C416" s="173"/>
      <c r="S416" s="173"/>
      <c r="T416" s="127" t="s">
        <v>626</v>
      </c>
      <c r="W416" s="129"/>
      <c r="Y416" s="166"/>
      <c r="Z416" s="166"/>
    </row>
    <row r="417" spans="1:26" s="125" customFormat="1" x14ac:dyDescent="0.25">
      <c r="A417" s="461"/>
      <c r="B417" s="130" t="s">
        <v>337</v>
      </c>
      <c r="C417" s="186" t="s">
        <v>977</v>
      </c>
      <c r="D417" s="131">
        <v>41821</v>
      </c>
      <c r="E417" s="131">
        <v>41852</v>
      </c>
      <c r="F417" s="131">
        <v>41883</v>
      </c>
      <c r="G417" s="131">
        <v>41913</v>
      </c>
      <c r="H417" s="131">
        <v>41944</v>
      </c>
      <c r="I417" s="131">
        <v>41974</v>
      </c>
      <c r="J417" s="131">
        <v>42005</v>
      </c>
      <c r="K417" s="131">
        <v>42036</v>
      </c>
      <c r="L417" s="131">
        <v>42064</v>
      </c>
      <c r="M417" s="131">
        <v>42095</v>
      </c>
      <c r="N417" s="131">
        <v>42125</v>
      </c>
      <c r="O417" s="131">
        <v>42156</v>
      </c>
      <c r="P417" s="131">
        <v>42186</v>
      </c>
      <c r="Q417" s="151">
        <v>42217</v>
      </c>
      <c r="R417" s="131">
        <v>42261</v>
      </c>
      <c r="S417" s="132"/>
      <c r="T417" s="133" t="s">
        <v>338</v>
      </c>
      <c r="U417" s="134" t="s">
        <v>339</v>
      </c>
      <c r="V417" s="132"/>
      <c r="W417" s="133" t="s">
        <v>338</v>
      </c>
      <c r="X417" s="134" t="s">
        <v>339</v>
      </c>
      <c r="Y417" s="157"/>
      <c r="Z417" s="157"/>
    </row>
    <row r="418" spans="1:26" s="125" customFormat="1" x14ac:dyDescent="0.25">
      <c r="A418" s="461"/>
      <c r="B418" s="135" t="s">
        <v>340</v>
      </c>
      <c r="C418" s="606"/>
      <c r="D418" s="454">
        <v>64434</v>
      </c>
      <c r="E418" s="454">
        <v>94275</v>
      </c>
      <c r="F418" s="454">
        <v>101437</v>
      </c>
      <c r="G418" s="454">
        <v>110986</v>
      </c>
      <c r="H418" s="454">
        <v>90523</v>
      </c>
      <c r="I418" s="454">
        <v>83795</v>
      </c>
      <c r="J418" s="454">
        <v>95329</v>
      </c>
      <c r="K418" s="454">
        <v>94561</v>
      </c>
      <c r="L418" s="454">
        <v>97703</v>
      </c>
      <c r="M418" s="454">
        <v>99476</v>
      </c>
      <c r="N418" s="454">
        <v>77330</v>
      </c>
      <c r="O418" s="454">
        <v>70230</v>
      </c>
      <c r="P418" s="174"/>
      <c r="Q418" s="174"/>
      <c r="R418" s="174"/>
      <c r="T418" s="140">
        <f t="shared" ref="T418:T425" si="19">SUM(C418:S418)</f>
        <v>1080079</v>
      </c>
      <c r="U418" s="138" t="s">
        <v>341</v>
      </c>
      <c r="V418" s="139"/>
      <c r="W418" s="140">
        <f>T418*3413/1000000</f>
        <v>3686.3096270000001</v>
      </c>
      <c r="X418" s="138" t="s">
        <v>342</v>
      </c>
      <c r="Y418" s="157"/>
      <c r="Z418" s="157"/>
    </row>
    <row r="419" spans="1:26" s="125" customFormat="1" x14ac:dyDescent="0.25">
      <c r="A419" s="461"/>
      <c r="B419" s="135" t="s">
        <v>372</v>
      </c>
      <c r="C419" s="606"/>
      <c r="D419" s="454">
        <v>96</v>
      </c>
      <c r="E419" s="454">
        <v>191</v>
      </c>
      <c r="F419" s="454">
        <v>663</v>
      </c>
      <c r="G419" s="454">
        <v>598</v>
      </c>
      <c r="H419" s="454">
        <v>764</v>
      </c>
      <c r="I419" s="454">
        <v>583</v>
      </c>
      <c r="J419" s="454">
        <v>762</v>
      </c>
      <c r="K419" s="454">
        <v>961</v>
      </c>
      <c r="L419" s="454">
        <v>772</v>
      </c>
      <c r="M419" s="454">
        <v>878</v>
      </c>
      <c r="N419" s="454">
        <v>449</v>
      </c>
      <c r="O419" s="454">
        <v>72</v>
      </c>
      <c r="P419" s="174"/>
      <c r="Q419" s="174"/>
      <c r="R419" s="174"/>
      <c r="T419" s="140">
        <f t="shared" si="19"/>
        <v>6789</v>
      </c>
      <c r="U419" s="138" t="s">
        <v>354</v>
      </c>
      <c r="V419" s="139"/>
      <c r="W419" s="140">
        <f>T419*99976.124488/1000000</f>
        <v>678.73790914903202</v>
      </c>
      <c r="X419" s="138" t="s">
        <v>342</v>
      </c>
      <c r="Y419" s="765"/>
      <c r="Z419" s="554"/>
    </row>
    <row r="420" spans="1:26" s="125" customFormat="1" x14ac:dyDescent="0.25">
      <c r="A420" s="461"/>
      <c r="B420" s="135" t="s">
        <v>1059</v>
      </c>
      <c r="C420" s="606"/>
      <c r="D420" s="454">
        <v>452</v>
      </c>
      <c r="E420" s="454">
        <v>598</v>
      </c>
      <c r="F420" s="454">
        <v>526</v>
      </c>
      <c r="G420" s="454">
        <v>340</v>
      </c>
      <c r="H420" s="454">
        <v>126</v>
      </c>
      <c r="I420" s="454">
        <v>83</v>
      </c>
      <c r="J420" s="454">
        <v>87</v>
      </c>
      <c r="K420" s="454">
        <v>87</v>
      </c>
      <c r="L420" s="454">
        <v>135</v>
      </c>
      <c r="M420" s="454">
        <v>280</v>
      </c>
      <c r="N420" s="454">
        <v>348</v>
      </c>
      <c r="O420" s="454">
        <v>474</v>
      </c>
      <c r="P420" s="174"/>
      <c r="Q420" s="174"/>
      <c r="R420" s="174"/>
      <c r="T420" s="140">
        <f>SUM(C420:S420)</f>
        <v>3536</v>
      </c>
      <c r="U420" s="138" t="s">
        <v>342</v>
      </c>
      <c r="V420" s="139"/>
      <c r="W420" s="140">
        <f>T420</f>
        <v>3536</v>
      </c>
      <c r="X420" s="138" t="s">
        <v>342</v>
      </c>
    </row>
    <row r="421" spans="1:26" s="125" customFormat="1" x14ac:dyDescent="0.25">
      <c r="A421" s="461"/>
      <c r="B421" s="135" t="s">
        <v>1060</v>
      </c>
      <c r="C421" s="606"/>
      <c r="D421" s="454">
        <v>134</v>
      </c>
      <c r="E421" s="454">
        <v>107</v>
      </c>
      <c r="F421" s="454">
        <v>116</v>
      </c>
      <c r="G421" s="454">
        <v>149</v>
      </c>
      <c r="H421" s="454">
        <v>183</v>
      </c>
      <c r="I421" s="454">
        <v>268</v>
      </c>
      <c r="J421" s="454">
        <v>223</v>
      </c>
      <c r="K421" s="454">
        <v>215</v>
      </c>
      <c r="L421" s="454">
        <v>180</v>
      </c>
      <c r="M421" s="454">
        <v>86</v>
      </c>
      <c r="N421" s="454">
        <v>76</v>
      </c>
      <c r="O421" s="454">
        <v>71</v>
      </c>
      <c r="P421" s="174"/>
      <c r="Q421" s="174"/>
      <c r="R421" s="174"/>
      <c r="T421" s="140">
        <f>SUM(C421:S421)</f>
        <v>1808</v>
      </c>
      <c r="U421" s="138" t="s">
        <v>342</v>
      </c>
      <c r="V421" s="139"/>
      <c r="W421" s="140">
        <f>T421</f>
        <v>1808</v>
      </c>
      <c r="X421" s="138" t="s">
        <v>342</v>
      </c>
      <c r="Y421" s="495">
        <f>W418+W419+W420+W421</f>
        <v>9709.0475361490317</v>
      </c>
      <c r="Z421" s="153" t="s">
        <v>342</v>
      </c>
    </row>
    <row r="422" spans="1:26" s="125" customFormat="1" x14ac:dyDescent="0.25">
      <c r="A422" s="461"/>
      <c r="B422" s="135" t="s">
        <v>366</v>
      </c>
      <c r="C422" s="606"/>
      <c r="D422" s="454">
        <v>2075</v>
      </c>
      <c r="E422" s="454">
        <v>23674</v>
      </c>
      <c r="F422" s="454">
        <v>45449</v>
      </c>
      <c r="G422" s="454">
        <v>42205</v>
      </c>
      <c r="H422" s="454">
        <v>36231</v>
      </c>
      <c r="I422" s="454">
        <v>16964</v>
      </c>
      <c r="J422" s="454">
        <v>37109</v>
      </c>
      <c r="K422" s="454">
        <v>33000</v>
      </c>
      <c r="L422" s="454">
        <v>33000</v>
      </c>
      <c r="M422" s="454">
        <v>33225</v>
      </c>
      <c r="N422" s="454">
        <v>11740</v>
      </c>
      <c r="O422" s="454">
        <v>3143</v>
      </c>
      <c r="P422" s="178"/>
      <c r="Q422" s="178"/>
      <c r="R422" s="178"/>
      <c r="T422" s="140">
        <f t="shared" si="19"/>
        <v>317815</v>
      </c>
      <c r="U422" s="138" t="s">
        <v>367</v>
      </c>
      <c r="V422" s="139"/>
      <c r="W422" s="137">
        <f>T422*7.48</f>
        <v>2377256.2000000002</v>
      </c>
      <c r="X422" s="138" t="s">
        <v>346</v>
      </c>
      <c r="Y422" s="157"/>
      <c r="Z422" s="157"/>
    </row>
    <row r="423" spans="1:26" s="125" customFormat="1" x14ac:dyDescent="0.25">
      <c r="A423" s="461"/>
      <c r="B423" s="135" t="s">
        <v>324</v>
      </c>
      <c r="C423" s="606"/>
      <c r="D423" s="455">
        <v>4489.9313197116435</v>
      </c>
      <c r="E423" s="455">
        <v>6748.0414332983191</v>
      </c>
      <c r="F423" s="455">
        <v>7024.1346293662436</v>
      </c>
      <c r="G423" s="455">
        <v>6808.7815726544623</v>
      </c>
      <c r="H423" s="455">
        <v>5206.4680629166669</v>
      </c>
      <c r="I423" s="455">
        <v>4825.0134290938622</v>
      </c>
      <c r="J423" s="455">
        <v>5316.5985714972148</v>
      </c>
      <c r="K423" s="455">
        <v>5330.5856446058851</v>
      </c>
      <c r="L423" s="455">
        <v>5714.5587264647529</v>
      </c>
      <c r="M423" s="455">
        <v>5551.5650904496115</v>
      </c>
      <c r="N423" s="455">
        <v>4346.4014854166662</v>
      </c>
      <c r="O423" s="455">
        <v>4407.9314767307687</v>
      </c>
      <c r="P423" s="176"/>
      <c r="Q423" s="176"/>
      <c r="R423" s="176"/>
      <c r="T423" s="143">
        <f t="shared" si="19"/>
        <v>65770.011442206087</v>
      </c>
      <c r="U423" s="138"/>
      <c r="V423" s="139"/>
      <c r="W423" s="143">
        <f>T423</f>
        <v>65770.011442206087</v>
      </c>
      <c r="X423" s="138"/>
      <c r="Y423" s="157"/>
      <c r="Z423" s="157"/>
    </row>
    <row r="424" spans="1:26" s="125" customFormat="1" x14ac:dyDescent="0.25">
      <c r="A424" s="461"/>
      <c r="B424" s="144" t="s">
        <v>374</v>
      </c>
      <c r="C424" s="607"/>
      <c r="D424" s="455">
        <v>103.98</v>
      </c>
      <c r="E424" s="455">
        <v>185.11</v>
      </c>
      <c r="F424" s="455">
        <v>588.20000000000005</v>
      </c>
      <c r="G424" s="455">
        <v>532.69000000000005</v>
      </c>
      <c r="H424" s="455">
        <v>670.46</v>
      </c>
      <c r="I424" s="455">
        <v>517.45000000000005</v>
      </c>
      <c r="J424" s="455">
        <v>633.54</v>
      </c>
      <c r="K424" s="455">
        <v>733.94</v>
      </c>
      <c r="L424" s="455">
        <v>509.09</v>
      </c>
      <c r="M424" s="455">
        <v>194.97</v>
      </c>
      <c r="N424" s="455">
        <v>290.86</v>
      </c>
      <c r="O424" s="455">
        <v>70.08</v>
      </c>
      <c r="P424" s="179"/>
      <c r="Q424" s="179"/>
      <c r="R424" s="179"/>
      <c r="T424" s="143">
        <f t="shared" si="19"/>
        <v>5030.37</v>
      </c>
      <c r="U424" s="138"/>
      <c r="V424" s="139"/>
      <c r="W424" s="143">
        <f>T424</f>
        <v>5030.37</v>
      </c>
      <c r="X424" s="138"/>
      <c r="Y424" s="157"/>
      <c r="Z424" s="157"/>
    </row>
    <row r="425" spans="1:26" s="125" customFormat="1" x14ac:dyDescent="0.25">
      <c r="A425" s="461"/>
      <c r="B425" s="204" t="s">
        <v>398</v>
      </c>
      <c r="C425" s="607"/>
      <c r="D425" s="455">
        <v>3283.2235474124291</v>
      </c>
      <c r="E425" s="455">
        <v>6324.0973989785998</v>
      </c>
      <c r="F425" s="455">
        <v>5166.6005424094756</v>
      </c>
      <c r="G425" s="455">
        <v>2728.3850093776878</v>
      </c>
      <c r="H425" s="455">
        <v>2340.7604911041103</v>
      </c>
      <c r="I425" s="455">
        <v>1782.0125305384286</v>
      </c>
      <c r="J425" s="455">
        <v>1219.1588467951785</v>
      </c>
      <c r="K425" s="455">
        <v>390.34264924946893</v>
      </c>
      <c r="L425" s="455">
        <v>2281.850639735037</v>
      </c>
      <c r="M425" s="455">
        <v>1476.3234132605683</v>
      </c>
      <c r="N425" s="455">
        <v>1732.9570341485733</v>
      </c>
      <c r="O425" s="455">
        <v>3040.8767021726057</v>
      </c>
      <c r="P425" s="179"/>
      <c r="Q425" s="179"/>
      <c r="R425" s="179"/>
      <c r="T425" s="143">
        <f t="shared" si="19"/>
        <v>31766.58880518216</v>
      </c>
      <c r="U425" s="138"/>
      <c r="V425" s="139"/>
      <c r="W425" s="143">
        <f>T425</f>
        <v>31766.58880518216</v>
      </c>
      <c r="X425" s="138"/>
      <c r="Y425" s="157"/>
      <c r="Z425" s="157"/>
    </row>
    <row r="426" spans="1:26" s="125" customFormat="1" ht="16.5" x14ac:dyDescent="0.35">
      <c r="A426" s="461"/>
      <c r="B426" s="204" t="s">
        <v>1058</v>
      </c>
      <c r="C426" s="607"/>
      <c r="D426" s="455">
        <v>5556.8311604754945</v>
      </c>
      <c r="E426" s="455">
        <v>2986.3488894113243</v>
      </c>
      <c r="F426" s="455">
        <v>3705.0382347535401</v>
      </c>
      <c r="G426" s="455">
        <v>3014.2207123475609</v>
      </c>
      <c r="H426" s="455">
        <v>3481.9794594152304</v>
      </c>
      <c r="I426" s="455">
        <v>7267.4249466708279</v>
      </c>
      <c r="J426" s="455">
        <v>6064.6243912093569</v>
      </c>
      <c r="K426" s="455">
        <v>3400.5635622337632</v>
      </c>
      <c r="L426" s="455">
        <v>3628.7418750833667</v>
      </c>
      <c r="M426" s="455">
        <v>-306.45480023310023</v>
      </c>
      <c r="N426" s="455">
        <v>1132.023204707792</v>
      </c>
      <c r="O426" s="455">
        <v>1509.3893078668277</v>
      </c>
      <c r="P426" s="179"/>
      <c r="Q426" s="179"/>
      <c r="R426" s="179"/>
      <c r="T426" s="143">
        <f>SUM(C426:S426)</f>
        <v>41440.730943941984</v>
      </c>
      <c r="U426" s="138"/>
      <c r="V426" s="139"/>
      <c r="W426" s="597">
        <f>T426</f>
        <v>41440.730943941984</v>
      </c>
      <c r="X426" s="138"/>
      <c r="Y426" s="157"/>
      <c r="Z426" s="157"/>
    </row>
    <row r="427" spans="1:26" x14ac:dyDescent="0.25">
      <c r="W427" s="143">
        <f>SUM(W423:W426)</f>
        <v>144007.70119133021</v>
      </c>
      <c r="X427" s="138"/>
    </row>
    <row r="429" spans="1:26" s="125" customFormat="1" x14ac:dyDescent="0.25">
      <c r="A429" s="461">
        <v>45</v>
      </c>
      <c r="B429" s="148" t="s">
        <v>976</v>
      </c>
      <c r="C429" s="152"/>
      <c r="E429" s="157"/>
      <c r="F429" s="157"/>
      <c r="G429" s="157"/>
      <c r="H429" s="157"/>
      <c r="I429" s="157"/>
      <c r="J429" s="157"/>
      <c r="K429" s="157"/>
      <c r="L429" s="157"/>
      <c r="M429" s="157"/>
      <c r="N429" s="157"/>
      <c r="O429" s="157"/>
      <c r="P429" s="157"/>
      <c r="S429" s="126"/>
      <c r="T429" s="148" t="s">
        <v>627</v>
      </c>
      <c r="V429" s="126"/>
      <c r="Y429" s="157"/>
      <c r="Z429" s="157"/>
    </row>
    <row r="430" spans="1:26" s="125" customFormat="1" x14ac:dyDescent="0.25">
      <c r="A430" s="461"/>
      <c r="B430" s="130" t="s">
        <v>337</v>
      </c>
      <c r="C430" s="186" t="s">
        <v>977</v>
      </c>
      <c r="D430" s="131">
        <v>41821</v>
      </c>
      <c r="E430" s="131">
        <v>41852</v>
      </c>
      <c r="F430" s="131">
        <v>41883</v>
      </c>
      <c r="G430" s="131">
        <v>41913</v>
      </c>
      <c r="H430" s="131">
        <v>41944</v>
      </c>
      <c r="I430" s="131">
        <v>41974</v>
      </c>
      <c r="J430" s="131">
        <v>42005</v>
      </c>
      <c r="K430" s="131">
        <v>42036</v>
      </c>
      <c r="L430" s="131">
        <v>42064</v>
      </c>
      <c r="M430" s="131">
        <v>42095</v>
      </c>
      <c r="N430" s="131">
        <v>42125</v>
      </c>
      <c r="O430" s="131">
        <v>42156</v>
      </c>
      <c r="P430" s="131">
        <v>42186</v>
      </c>
      <c r="Q430" s="131">
        <v>42217</v>
      </c>
      <c r="R430" s="131">
        <v>42261</v>
      </c>
      <c r="S430" s="132"/>
      <c r="T430" s="133" t="s">
        <v>338</v>
      </c>
      <c r="U430" s="134" t="s">
        <v>339</v>
      </c>
      <c r="V430" s="132"/>
      <c r="W430" s="133" t="s">
        <v>338</v>
      </c>
      <c r="X430" s="134" t="s">
        <v>339</v>
      </c>
      <c r="Y430" s="157"/>
      <c r="Z430" s="157"/>
    </row>
    <row r="431" spans="1:26" s="157" customFormat="1" x14ac:dyDescent="0.25">
      <c r="A431" s="461"/>
      <c r="B431" s="135" t="s">
        <v>319</v>
      </c>
      <c r="C431" s="599"/>
      <c r="E431" s="153">
        <v>38392</v>
      </c>
      <c r="F431" s="1170">
        <v>40170</v>
      </c>
      <c r="G431" s="1170">
        <v>39189.999580383301</v>
      </c>
      <c r="H431" s="1185">
        <v>37159.000396728494</v>
      </c>
      <c r="I431" s="1186">
        <v>31248.001098632401</v>
      </c>
      <c r="J431" s="1186">
        <v>35535.995483397994</v>
      </c>
      <c r="K431" s="1186">
        <v>35292.999267579005</v>
      </c>
      <c r="L431" s="1186">
        <v>35611.999511718008</v>
      </c>
      <c r="M431" s="1186">
        <v>36420.013427735001</v>
      </c>
      <c r="N431" s="1186">
        <v>35029.998779296991</v>
      </c>
      <c r="O431" s="1186">
        <v>33445.983886718008</v>
      </c>
      <c r="P431" s="756">
        <v>34214.019775390967</v>
      </c>
      <c r="Q431" s="174"/>
      <c r="T431" s="141">
        <f t="shared" ref="T431:T437" si="20">SUM(E431:P431)</f>
        <v>431710.01120758016</v>
      </c>
      <c r="U431" s="188" t="s">
        <v>341</v>
      </c>
      <c r="W431" s="140">
        <f>T431*3413/1000000</f>
        <v>1473.4262682514711</v>
      </c>
      <c r="X431" s="138" t="s">
        <v>342</v>
      </c>
    </row>
    <row r="432" spans="1:26" s="157" customFormat="1" x14ac:dyDescent="0.25">
      <c r="A432" s="461"/>
      <c r="B432" s="135" t="s">
        <v>1137</v>
      </c>
      <c r="C432" s="599"/>
      <c r="E432" s="153">
        <v>25.23</v>
      </c>
      <c r="F432" s="1188">
        <v>49.850000000000009</v>
      </c>
      <c r="G432" s="1188">
        <v>81.02000000000001</v>
      </c>
      <c r="H432" s="1188">
        <v>148</v>
      </c>
      <c r="I432" s="1188">
        <v>181.1</v>
      </c>
      <c r="J432" s="1188">
        <v>236.26000000000002</v>
      </c>
      <c r="K432" s="1188">
        <v>259</v>
      </c>
      <c r="L432" s="1188">
        <v>184</v>
      </c>
      <c r="M432" s="1188">
        <v>117</v>
      </c>
      <c r="N432" s="1188">
        <v>68</v>
      </c>
      <c r="O432" s="1189">
        <v>41.989760000000096</v>
      </c>
      <c r="P432" s="1188">
        <v>70</v>
      </c>
      <c r="Q432" s="174"/>
      <c r="T432" s="141">
        <f t="shared" si="20"/>
        <v>1461.4497600000002</v>
      </c>
      <c r="U432" s="188" t="s">
        <v>1138</v>
      </c>
      <c r="W432" s="160">
        <f>T432</f>
        <v>1461.4497600000002</v>
      </c>
      <c r="X432" s="138" t="s">
        <v>342</v>
      </c>
    </row>
    <row r="433" spans="1:26" s="157" customFormat="1" x14ac:dyDescent="0.25">
      <c r="A433" s="461"/>
      <c r="B433" s="153" t="s">
        <v>362</v>
      </c>
      <c r="C433" s="599"/>
      <c r="E433" s="153">
        <v>286</v>
      </c>
      <c r="F433" s="1170">
        <v>286</v>
      </c>
      <c r="G433" s="1170">
        <v>189</v>
      </c>
      <c r="H433" s="1170">
        <v>97</v>
      </c>
      <c r="I433" s="1170">
        <v>83</v>
      </c>
      <c r="J433" s="1170">
        <v>99</v>
      </c>
      <c r="K433" s="1170">
        <v>81</v>
      </c>
      <c r="L433" s="1170">
        <v>112</v>
      </c>
      <c r="M433" s="1170">
        <v>161</v>
      </c>
      <c r="N433" s="1170">
        <v>236</v>
      </c>
      <c r="O433" s="756">
        <v>338</v>
      </c>
      <c r="P433" s="756">
        <v>359</v>
      </c>
      <c r="Q433" s="178"/>
      <c r="T433" s="141">
        <f t="shared" si="20"/>
        <v>2327</v>
      </c>
      <c r="U433" s="188" t="s">
        <v>870</v>
      </c>
      <c r="W433" s="140">
        <f>T433*99976.124488/100000</f>
        <v>2326.44441683576</v>
      </c>
      <c r="X433" s="138" t="s">
        <v>342</v>
      </c>
      <c r="Y433" s="495">
        <f>W431+W432+W433</f>
        <v>5261.3204450872308</v>
      </c>
      <c r="Z433" s="153" t="s">
        <v>677</v>
      </c>
    </row>
    <row r="434" spans="1:26" s="157" customFormat="1" x14ac:dyDescent="0.25">
      <c r="A434" s="461"/>
      <c r="B434" s="135" t="s">
        <v>864</v>
      </c>
      <c r="C434" s="599"/>
      <c r="E434" s="153">
        <v>62</v>
      </c>
      <c r="F434" s="759">
        <v>100</v>
      </c>
      <c r="G434" s="760">
        <v>81</v>
      </c>
      <c r="H434" s="760">
        <v>80</v>
      </c>
      <c r="I434" s="760">
        <v>43</v>
      </c>
      <c r="J434" s="760">
        <v>63</v>
      </c>
      <c r="K434" s="760">
        <v>80</v>
      </c>
      <c r="L434" s="750">
        <v>57</v>
      </c>
      <c r="M434" s="750">
        <v>72</v>
      </c>
      <c r="N434" s="750">
        <v>51</v>
      </c>
      <c r="O434" s="750">
        <v>41</v>
      </c>
      <c r="P434" s="750">
        <v>34</v>
      </c>
      <c r="Q434" s="730"/>
      <c r="T434" s="141">
        <f t="shared" si="20"/>
        <v>764</v>
      </c>
      <c r="U434" s="188" t="s">
        <v>379</v>
      </c>
      <c r="W434" s="141">
        <f>T434*748</f>
        <v>571472</v>
      </c>
      <c r="X434" s="188" t="s">
        <v>346</v>
      </c>
    </row>
    <row r="435" spans="1:26" s="157" customFormat="1" x14ac:dyDescent="0.25">
      <c r="A435" s="461"/>
      <c r="B435" s="135" t="s">
        <v>324</v>
      </c>
      <c r="C435" s="599"/>
      <c r="E435" s="171">
        <v>3340.1039999999998</v>
      </c>
      <c r="F435" s="731">
        <f t="shared" ref="F435:P435" si="21">F431*0.087</f>
        <v>3494.79</v>
      </c>
      <c r="G435" s="731">
        <f t="shared" si="21"/>
        <v>3409.5299634933467</v>
      </c>
      <c r="H435" s="731">
        <f t="shared" si="21"/>
        <v>3232.8330345153786</v>
      </c>
      <c r="I435" s="731">
        <f t="shared" si="21"/>
        <v>2718.5760955810188</v>
      </c>
      <c r="J435" s="731">
        <f t="shared" si="21"/>
        <v>3091.6316070556254</v>
      </c>
      <c r="K435" s="731">
        <f t="shared" si="21"/>
        <v>3070.4909362793733</v>
      </c>
      <c r="L435" s="731">
        <f t="shared" si="21"/>
        <v>3098.2439575194667</v>
      </c>
      <c r="M435" s="731">
        <f t="shared" si="21"/>
        <v>3168.5411682129447</v>
      </c>
      <c r="N435" s="731">
        <f t="shared" si="21"/>
        <v>3047.6098937988381</v>
      </c>
      <c r="O435" s="731">
        <f t="shared" si="21"/>
        <v>2909.8005981444667</v>
      </c>
      <c r="P435" s="731">
        <f t="shared" si="21"/>
        <v>2976.6197204590139</v>
      </c>
      <c r="Q435" s="1162"/>
      <c r="T435" s="141">
        <f t="shared" si="20"/>
        <v>37558.770975059473</v>
      </c>
      <c r="U435" s="188"/>
      <c r="W435" s="190">
        <f>T435</f>
        <v>37558.770975059473</v>
      </c>
      <c r="X435" s="188"/>
    </row>
    <row r="436" spans="1:26" s="157" customFormat="1" x14ac:dyDescent="0.25">
      <c r="A436" s="461"/>
      <c r="B436" s="144" t="s">
        <v>348</v>
      </c>
      <c r="C436" s="599"/>
      <c r="E436" s="171">
        <v>349.94009999999997</v>
      </c>
      <c r="F436" s="731">
        <f>F432*13.87</f>
        <v>691.41950000000008</v>
      </c>
      <c r="G436" s="731">
        <f t="shared" ref="G436:P436" si="22">G432*13.87</f>
        <v>1123.7474</v>
      </c>
      <c r="H436" s="731">
        <f t="shared" si="22"/>
        <v>2052.7599999999998</v>
      </c>
      <c r="I436" s="731">
        <f t="shared" si="22"/>
        <v>2511.857</v>
      </c>
      <c r="J436" s="731">
        <f t="shared" si="22"/>
        <v>3276.9261999999999</v>
      </c>
      <c r="K436" s="731">
        <f t="shared" si="22"/>
        <v>3592.33</v>
      </c>
      <c r="L436" s="731">
        <f t="shared" si="22"/>
        <v>2552.08</v>
      </c>
      <c r="M436" s="731">
        <f t="shared" si="22"/>
        <v>1622.79</v>
      </c>
      <c r="N436" s="731">
        <f t="shared" si="22"/>
        <v>943.16</v>
      </c>
      <c r="O436" s="731">
        <f t="shared" si="22"/>
        <v>582.39797120000128</v>
      </c>
      <c r="P436" s="731">
        <f t="shared" si="22"/>
        <v>970.9</v>
      </c>
      <c r="Q436" s="1162"/>
      <c r="T436" s="141">
        <f t="shared" si="20"/>
        <v>20270.308171200002</v>
      </c>
      <c r="U436" s="188"/>
      <c r="W436" s="190">
        <f>T436</f>
        <v>20270.308171200002</v>
      </c>
      <c r="X436" s="188"/>
    </row>
    <row r="437" spans="1:26" s="157" customFormat="1" ht="16.5" x14ac:dyDescent="0.35">
      <c r="A437" s="461"/>
      <c r="B437" s="195" t="s">
        <v>398</v>
      </c>
      <c r="C437" s="599"/>
      <c r="E437" s="171">
        <v>4118.4000000000005</v>
      </c>
      <c r="F437" s="731">
        <f t="shared" ref="F437:P437" si="23">F433*14.4</f>
        <v>4118.4000000000005</v>
      </c>
      <c r="G437" s="731">
        <f t="shared" si="23"/>
        <v>2721.6</v>
      </c>
      <c r="H437" s="731">
        <f t="shared" si="23"/>
        <v>1396.8</v>
      </c>
      <c r="I437" s="731">
        <f t="shared" si="23"/>
        <v>1195.2</v>
      </c>
      <c r="J437" s="731">
        <f t="shared" si="23"/>
        <v>1425.6000000000001</v>
      </c>
      <c r="K437" s="731">
        <f t="shared" si="23"/>
        <v>1166.4000000000001</v>
      </c>
      <c r="L437" s="731">
        <f t="shared" si="23"/>
        <v>1612.8</v>
      </c>
      <c r="M437" s="731">
        <f t="shared" si="23"/>
        <v>2318.4</v>
      </c>
      <c r="N437" s="731">
        <f t="shared" si="23"/>
        <v>3398.4</v>
      </c>
      <c r="O437" s="731">
        <f t="shared" si="23"/>
        <v>4867.2</v>
      </c>
      <c r="P437" s="731">
        <f t="shared" si="23"/>
        <v>5169.6000000000004</v>
      </c>
      <c r="Q437" s="1162"/>
      <c r="T437" s="141">
        <f t="shared" si="20"/>
        <v>33508.800000000003</v>
      </c>
      <c r="U437" s="188"/>
      <c r="W437" s="197">
        <f>T437</f>
        <v>33508.800000000003</v>
      </c>
      <c r="X437" s="188"/>
    </row>
    <row r="438" spans="1:26" s="125" customFormat="1" x14ac:dyDescent="0.25">
      <c r="A438" s="461"/>
      <c r="B438" s="205"/>
      <c r="C438" s="152"/>
      <c r="E438" s="201"/>
      <c r="F438" s="206"/>
      <c r="G438" s="202"/>
      <c r="H438" s="203"/>
      <c r="I438" s="203"/>
      <c r="J438" s="203"/>
      <c r="K438" s="203"/>
      <c r="L438" s="203"/>
      <c r="M438" s="203"/>
      <c r="N438" s="203"/>
      <c r="O438" s="203"/>
      <c r="P438" s="203"/>
      <c r="U438" s="126"/>
      <c r="W438" s="190">
        <f>SUM(W435:W437)</f>
        <v>91337.879146259482</v>
      </c>
      <c r="X438" s="450"/>
      <c r="Y438" s="157"/>
      <c r="Z438" s="157"/>
    </row>
    <row r="440" spans="1:26" s="125" customFormat="1" x14ac:dyDescent="0.25">
      <c r="A440" s="461">
        <v>46</v>
      </c>
      <c r="B440" s="148" t="s">
        <v>975</v>
      </c>
      <c r="C440" s="152"/>
      <c r="E440" s="157"/>
      <c r="F440" s="157"/>
      <c r="G440" s="157"/>
      <c r="H440" s="157"/>
      <c r="I440" s="157"/>
      <c r="J440" s="157"/>
      <c r="K440" s="157"/>
      <c r="L440" s="157"/>
      <c r="M440" s="157"/>
      <c r="N440" s="157"/>
      <c r="O440" s="157"/>
      <c r="P440" s="157"/>
      <c r="S440" s="126"/>
      <c r="T440" s="148" t="s">
        <v>628</v>
      </c>
      <c r="V440" s="126"/>
      <c r="Y440" s="157"/>
      <c r="Z440" s="157"/>
    </row>
    <row r="441" spans="1:26" s="125" customFormat="1" x14ac:dyDescent="0.25">
      <c r="A441" s="461"/>
      <c r="B441" s="130" t="s">
        <v>337</v>
      </c>
      <c r="C441" s="186" t="s">
        <v>977</v>
      </c>
      <c r="D441" s="131">
        <v>41821</v>
      </c>
      <c r="E441" s="131">
        <v>41852</v>
      </c>
      <c r="F441" s="131">
        <v>41883</v>
      </c>
      <c r="G441" s="131">
        <v>41913</v>
      </c>
      <c r="H441" s="131">
        <v>41944</v>
      </c>
      <c r="I441" s="131">
        <v>41974</v>
      </c>
      <c r="J441" s="131">
        <v>42005</v>
      </c>
      <c r="K441" s="131">
        <v>42036</v>
      </c>
      <c r="L441" s="131">
        <v>42064</v>
      </c>
      <c r="M441" s="131">
        <v>42095</v>
      </c>
      <c r="N441" s="131">
        <v>42125</v>
      </c>
      <c r="O441" s="131">
        <v>42156</v>
      </c>
      <c r="P441" s="131">
        <v>42186</v>
      </c>
      <c r="Q441" s="560">
        <v>42217</v>
      </c>
      <c r="R441" s="131">
        <v>42261</v>
      </c>
      <c r="S441" s="132"/>
      <c r="T441" s="133" t="s">
        <v>338</v>
      </c>
      <c r="U441" s="134" t="s">
        <v>339</v>
      </c>
      <c r="V441" s="132"/>
      <c r="W441" s="133" t="s">
        <v>338</v>
      </c>
      <c r="X441" s="134" t="s">
        <v>339</v>
      </c>
      <c r="Y441" s="157"/>
      <c r="Z441" s="157"/>
    </row>
    <row r="442" spans="1:26" s="157" customFormat="1" x14ac:dyDescent="0.25">
      <c r="A442" s="461"/>
      <c r="B442" s="135" t="s">
        <v>319</v>
      </c>
      <c r="C442" s="599"/>
      <c r="E442" s="753">
        <v>151838.64591055855</v>
      </c>
      <c r="F442" s="454">
        <v>141682.98339843191</v>
      </c>
      <c r="G442" s="1170">
        <v>141580.93261719</v>
      </c>
      <c r="H442" s="1192">
        <v>129261.108398435</v>
      </c>
      <c r="I442" s="1192">
        <v>118741.943359375</v>
      </c>
      <c r="J442" s="1192">
        <v>136548.95019532001</v>
      </c>
      <c r="K442" s="1192">
        <v>133772.09472655499</v>
      </c>
      <c r="L442" s="754">
        <v>141210.87646484704</v>
      </c>
      <c r="M442" s="754">
        <v>140703.00292967999</v>
      </c>
      <c r="N442" s="754">
        <v>131492.18750001001</v>
      </c>
      <c r="O442" s="754">
        <v>121101.15559893666</v>
      </c>
      <c r="P442" s="754">
        <v>123175.02593994641</v>
      </c>
      <c r="Q442" s="1203"/>
      <c r="T442" s="141">
        <f>SUM(E442:P442)</f>
        <v>1611108.9070392856</v>
      </c>
      <c r="U442" s="188" t="s">
        <v>341</v>
      </c>
      <c r="W442" s="140">
        <f>T442*3413/1000000</f>
        <v>5498.7146997250811</v>
      </c>
      <c r="X442" s="138" t="s">
        <v>342</v>
      </c>
    </row>
    <row r="443" spans="1:26" s="157" customFormat="1" x14ac:dyDescent="0.25">
      <c r="A443" s="461"/>
      <c r="B443" s="135" t="s">
        <v>1137</v>
      </c>
      <c r="C443" s="599"/>
      <c r="E443" s="838">
        <v>146.65428955078107</v>
      </c>
      <c r="F443" s="1188">
        <v>198.13187988281999</v>
      </c>
      <c r="G443" s="1188">
        <v>303.59217285155995</v>
      </c>
      <c r="H443" s="1188">
        <v>495.39518066406998</v>
      </c>
      <c r="I443" s="1188">
        <v>542.09773437498995</v>
      </c>
      <c r="J443" s="1188">
        <v>714.74405273438003</v>
      </c>
      <c r="K443" s="1188">
        <v>825.05702501562996</v>
      </c>
      <c r="L443" s="723">
        <v>627.20327435937952</v>
      </c>
      <c r="M443" s="723">
        <v>351.67387242186987</v>
      </c>
      <c r="N443" s="723">
        <v>279.33563973437947</v>
      </c>
      <c r="O443" s="723">
        <v>258.14632398437095</v>
      </c>
      <c r="P443" s="756">
        <v>235.05343335937005</v>
      </c>
      <c r="Q443" s="1204"/>
      <c r="T443" s="141">
        <f t="shared" ref="T443:T449" si="24">SUM(E443:P443)</f>
        <v>4977.0848789336014</v>
      </c>
      <c r="U443" s="188" t="s">
        <v>1138</v>
      </c>
      <c r="W443" s="160">
        <f>T443</f>
        <v>4977.0848789336014</v>
      </c>
      <c r="X443" s="138" t="s">
        <v>342</v>
      </c>
    </row>
    <row r="444" spans="1:26" s="157" customFormat="1" x14ac:dyDescent="0.25">
      <c r="A444" s="461"/>
      <c r="B444" s="192" t="s">
        <v>911</v>
      </c>
      <c r="C444" s="599"/>
      <c r="E444" s="753">
        <v>650.12580845264256</v>
      </c>
      <c r="F444" s="1170">
        <v>824.96801757812</v>
      </c>
      <c r="G444" s="1170">
        <v>473.84594726563</v>
      </c>
      <c r="H444" s="1170">
        <v>155.57739257812</v>
      </c>
      <c r="I444" s="1170">
        <v>85.073486328130002</v>
      </c>
      <c r="J444" s="1170">
        <v>122.80712890625</v>
      </c>
      <c r="K444" s="1170">
        <v>144.70727539062</v>
      </c>
      <c r="L444" s="1170">
        <v>286.16284179688</v>
      </c>
      <c r="M444" s="1170">
        <v>485.85400390625</v>
      </c>
      <c r="N444" s="1170">
        <v>765.87963867187</v>
      </c>
      <c r="O444" s="756">
        <v>1051.19018554688</v>
      </c>
      <c r="P444" s="756">
        <v>1027.96533203125</v>
      </c>
      <c r="Q444" s="1149"/>
      <c r="T444" s="141">
        <f t="shared" si="24"/>
        <v>6074.1570584526426</v>
      </c>
      <c r="U444" s="188" t="s">
        <v>870</v>
      </c>
      <c r="W444" s="140">
        <f>T444*99976.124488/100000</f>
        <v>6072.7068223552524</v>
      </c>
      <c r="X444" s="138" t="s">
        <v>342</v>
      </c>
    </row>
    <row r="445" spans="1:26" s="157" customFormat="1" x14ac:dyDescent="0.25">
      <c r="A445" s="461"/>
      <c r="B445" s="728" t="s">
        <v>1130</v>
      </c>
      <c r="C445" s="599"/>
      <c r="E445" s="1206" t="s">
        <v>351</v>
      </c>
      <c r="F445" s="759">
        <v>1113</v>
      </c>
      <c r="G445" s="760">
        <v>1377</v>
      </c>
      <c r="H445" s="760">
        <v>1217</v>
      </c>
      <c r="I445" s="760">
        <v>1159</v>
      </c>
      <c r="J445" s="760">
        <v>768</v>
      </c>
      <c r="K445" s="760">
        <v>995</v>
      </c>
      <c r="L445" s="750">
        <v>1220</v>
      </c>
      <c r="M445" s="750">
        <v>1167</v>
      </c>
      <c r="N445" s="750">
        <v>1255</v>
      </c>
      <c r="O445" s="750">
        <v>854</v>
      </c>
      <c r="P445" s="750">
        <v>764</v>
      </c>
      <c r="Q445" s="1149"/>
      <c r="T445" s="141">
        <f t="shared" si="24"/>
        <v>11889</v>
      </c>
      <c r="U445" s="188" t="s">
        <v>354</v>
      </c>
      <c r="W445" s="140">
        <f>T445*99976.124488/1000000</f>
        <v>1188.6161440378321</v>
      </c>
      <c r="X445" s="138" t="s">
        <v>342</v>
      </c>
      <c r="Y445" s="495">
        <f>W442+W443+W444</f>
        <v>16548.506401013936</v>
      </c>
      <c r="Z445" s="153" t="s">
        <v>677</v>
      </c>
    </row>
    <row r="446" spans="1:26" s="157" customFormat="1" x14ac:dyDescent="0.25">
      <c r="A446" s="461"/>
      <c r="B446" s="135" t="s">
        <v>864</v>
      </c>
      <c r="C446" s="599"/>
      <c r="E446" s="760">
        <v>190</v>
      </c>
      <c r="F446" s="1193">
        <v>345</v>
      </c>
      <c r="G446" s="1194">
        <v>335</v>
      </c>
      <c r="H446" s="1194">
        <v>335</v>
      </c>
      <c r="I446" s="1194">
        <v>170</v>
      </c>
      <c r="J446" s="1194">
        <v>132</v>
      </c>
      <c r="K446" s="1194">
        <v>134</v>
      </c>
      <c r="L446" s="1195">
        <v>265</v>
      </c>
      <c r="M446" s="750">
        <v>345</v>
      </c>
      <c r="N446" s="750">
        <v>180</v>
      </c>
      <c r="O446" s="750">
        <v>110</v>
      </c>
      <c r="P446" s="750">
        <v>85</v>
      </c>
      <c r="Q446" s="730"/>
      <c r="T446" s="141">
        <f t="shared" si="24"/>
        <v>2626</v>
      </c>
      <c r="U446" s="188" t="s">
        <v>379</v>
      </c>
      <c r="W446" s="141">
        <f>T446*748</f>
        <v>1964248</v>
      </c>
      <c r="X446" s="188" t="s">
        <v>346</v>
      </c>
    </row>
    <row r="447" spans="1:26" s="157" customFormat="1" x14ac:dyDescent="0.25">
      <c r="A447" s="461"/>
      <c r="B447" s="135" t="s">
        <v>324</v>
      </c>
      <c r="C447" s="599"/>
      <c r="E447" s="171">
        <v>11869.329711914279</v>
      </c>
      <c r="F447" s="731">
        <f t="shared" ref="F447:P447" si="25">F442*0.087</f>
        <v>12326.419555663575</v>
      </c>
      <c r="G447" s="731">
        <f t="shared" si="25"/>
        <v>12317.541137695529</v>
      </c>
      <c r="H447" s="731">
        <f t="shared" si="25"/>
        <v>11245.716430663844</v>
      </c>
      <c r="I447" s="731">
        <f t="shared" si="25"/>
        <v>10330.549072265625</v>
      </c>
      <c r="J447" s="731">
        <f t="shared" si="25"/>
        <v>11879.758666992841</v>
      </c>
      <c r="K447" s="731">
        <f t="shared" si="25"/>
        <v>11638.172241210283</v>
      </c>
      <c r="L447" s="731">
        <f t="shared" si="25"/>
        <v>12285.346252441692</v>
      </c>
      <c r="M447" s="731">
        <f t="shared" si="25"/>
        <v>12241.161254882158</v>
      </c>
      <c r="N447" s="731">
        <f t="shared" si="25"/>
        <v>11439.820312500869</v>
      </c>
      <c r="O447" s="731">
        <f t="shared" si="25"/>
        <v>10535.800537107489</v>
      </c>
      <c r="P447" s="731">
        <f t="shared" si="25"/>
        <v>10716.227256775337</v>
      </c>
      <c r="Q447" s="1162"/>
      <c r="T447" s="171">
        <f>SUM(E447:P447)</f>
        <v>138825.84243011352</v>
      </c>
      <c r="U447" s="188"/>
      <c r="W447" s="190">
        <f>T447</f>
        <v>138825.84243011352</v>
      </c>
      <c r="X447" s="188"/>
    </row>
    <row r="448" spans="1:26" s="157" customFormat="1" x14ac:dyDescent="0.25">
      <c r="A448" s="461"/>
      <c r="B448" s="144" t="s">
        <v>348</v>
      </c>
      <c r="C448" s="599"/>
      <c r="E448" s="171">
        <v>2427.25</v>
      </c>
      <c r="F448" s="731">
        <f t="shared" ref="F448:P448" si="26">F443*13.87</f>
        <v>2748.089173974713</v>
      </c>
      <c r="G448" s="731">
        <f t="shared" si="26"/>
        <v>4210.8234374511367</v>
      </c>
      <c r="H448" s="731">
        <f t="shared" si="26"/>
        <v>6871.1311558106499</v>
      </c>
      <c r="I448" s="731">
        <f t="shared" si="26"/>
        <v>7518.89557578111</v>
      </c>
      <c r="J448" s="731">
        <f t="shared" si="26"/>
        <v>9913.500011425851</v>
      </c>
      <c r="K448" s="731">
        <f t="shared" si="26"/>
        <v>11443.540936966787</v>
      </c>
      <c r="L448" s="731">
        <f t="shared" si="26"/>
        <v>8699.3094153645943</v>
      </c>
      <c r="M448" s="731">
        <f t="shared" si="26"/>
        <v>4877.7166104913349</v>
      </c>
      <c r="N448" s="731">
        <f t="shared" si="26"/>
        <v>3874.3853231158432</v>
      </c>
      <c r="O448" s="731">
        <f t="shared" si="26"/>
        <v>3580.4895136632249</v>
      </c>
      <c r="P448" s="731">
        <f t="shared" si="26"/>
        <v>3260.1911206944624</v>
      </c>
      <c r="Q448" s="1162"/>
      <c r="T448" s="171">
        <f>SUM(E448:P448)</f>
        <v>69425.322274739709</v>
      </c>
      <c r="U448" s="188"/>
      <c r="W448" s="190">
        <f>T448</f>
        <v>69425.322274739709</v>
      </c>
      <c r="X448" s="188"/>
    </row>
    <row r="449" spans="1:26" s="157" customFormat="1" x14ac:dyDescent="0.25">
      <c r="A449" s="461"/>
      <c r="B449" s="195" t="s">
        <v>398</v>
      </c>
      <c r="C449" s="599"/>
      <c r="E449" s="171">
        <v>14054.4</v>
      </c>
      <c r="F449" s="731">
        <f t="shared" ref="F449:P449" si="27">F444*14.4</f>
        <v>11879.539453124928</v>
      </c>
      <c r="G449" s="731">
        <f t="shared" si="27"/>
        <v>6823.3816406250726</v>
      </c>
      <c r="H449" s="731">
        <f t="shared" si="27"/>
        <v>2240.3144531249281</v>
      </c>
      <c r="I449" s="731">
        <f t="shared" si="27"/>
        <v>1225.0582031250722</v>
      </c>
      <c r="J449" s="731">
        <f t="shared" si="27"/>
        <v>1768.42265625</v>
      </c>
      <c r="K449" s="731">
        <f t="shared" si="27"/>
        <v>2083.7847656249282</v>
      </c>
      <c r="L449" s="731">
        <f t="shared" si="27"/>
        <v>4120.7449218750726</v>
      </c>
      <c r="M449" s="731">
        <f t="shared" si="27"/>
        <v>6996.2976562499998</v>
      </c>
      <c r="N449" s="731">
        <f t="shared" si="27"/>
        <v>11028.666796874928</v>
      </c>
      <c r="O449" s="731">
        <f t="shared" si="27"/>
        <v>15137.138671875073</v>
      </c>
      <c r="P449" s="731">
        <f t="shared" si="27"/>
        <v>14802.70078125</v>
      </c>
      <c r="Q449" s="1162"/>
      <c r="T449" s="171">
        <f t="shared" si="24"/>
        <v>92160.45</v>
      </c>
      <c r="U449" s="188"/>
      <c r="W449" s="190">
        <f>T449</f>
        <v>92160.45</v>
      </c>
      <c r="X449" s="188"/>
    </row>
    <row r="450" spans="1:26" s="157" customFormat="1" ht="16.5" x14ac:dyDescent="0.35">
      <c r="A450" s="461"/>
      <c r="B450" s="195" t="s">
        <v>829</v>
      </c>
      <c r="C450" s="599"/>
      <c r="E450" s="1092" t="s">
        <v>351</v>
      </c>
      <c r="F450" s="731">
        <v>1035.18</v>
      </c>
      <c r="G450" s="731">
        <v>1269.93</v>
      </c>
      <c r="H450" s="731">
        <v>1120.1500000000001</v>
      </c>
      <c r="I450" s="731">
        <v>959.37</v>
      </c>
      <c r="J450" s="731">
        <v>626.91999999999996</v>
      </c>
      <c r="K450" s="731">
        <v>832.28</v>
      </c>
      <c r="L450" s="731">
        <v>941.44</v>
      </c>
      <c r="M450" s="731">
        <v>888.38</v>
      </c>
      <c r="N450" s="731">
        <v>960.95</v>
      </c>
      <c r="O450" s="731">
        <v>679.15</v>
      </c>
      <c r="P450" s="731">
        <v>604.79</v>
      </c>
      <c r="Q450" s="1162"/>
      <c r="T450" s="171">
        <f>SUM(E450:P450)</f>
        <v>9918.5400000000009</v>
      </c>
      <c r="U450" s="188"/>
      <c r="W450" s="197">
        <f>T450</f>
        <v>9918.5400000000009</v>
      </c>
      <c r="X450" s="188"/>
      <c r="Y450" s="157" t="s">
        <v>38</v>
      </c>
    </row>
    <row r="451" spans="1:26" s="125" customFormat="1" x14ac:dyDescent="0.25">
      <c r="A451" s="461"/>
      <c r="B451" s="205"/>
      <c r="C451" s="152"/>
      <c r="E451" s="1182" t="s">
        <v>1129</v>
      </c>
      <c r="F451" s="206"/>
      <c r="G451" s="202"/>
      <c r="H451" s="203"/>
      <c r="I451" s="203"/>
      <c r="J451" s="203"/>
      <c r="K451" s="203"/>
      <c r="L451" s="203"/>
      <c r="M451" s="203"/>
      <c r="N451" s="203"/>
      <c r="O451" s="203"/>
      <c r="P451" s="203"/>
      <c r="U451" s="126"/>
      <c r="W451" s="190">
        <f>SUM(W447:W449)</f>
        <v>300411.61470485321</v>
      </c>
      <c r="X451" s="450"/>
      <c r="Y451" s="157"/>
      <c r="Z451" s="157"/>
    </row>
    <row r="453" spans="1:26" s="128" customFormat="1" x14ac:dyDescent="0.25">
      <c r="A453" s="459">
        <v>47</v>
      </c>
      <c r="B453" s="127" t="s">
        <v>1009</v>
      </c>
      <c r="C453" s="173"/>
      <c r="S453" s="173"/>
      <c r="T453" s="127" t="s">
        <v>629</v>
      </c>
      <c r="W453" s="129"/>
      <c r="Y453" s="166"/>
      <c r="Z453" s="166"/>
    </row>
    <row r="454" spans="1:26" s="125" customFormat="1" x14ac:dyDescent="0.25">
      <c r="A454" s="461"/>
      <c r="B454" s="130" t="s">
        <v>337</v>
      </c>
      <c r="C454" s="186" t="s">
        <v>977</v>
      </c>
      <c r="D454" s="131">
        <v>41821</v>
      </c>
      <c r="E454" s="131">
        <v>41852</v>
      </c>
      <c r="F454" s="131">
        <v>41883</v>
      </c>
      <c r="G454" s="131">
        <v>41913</v>
      </c>
      <c r="H454" s="131">
        <v>41944</v>
      </c>
      <c r="I454" s="131">
        <v>41974</v>
      </c>
      <c r="J454" s="131">
        <v>42005</v>
      </c>
      <c r="K454" s="131">
        <v>42036</v>
      </c>
      <c r="L454" s="131">
        <v>42064</v>
      </c>
      <c r="M454" s="131">
        <v>42095</v>
      </c>
      <c r="N454" s="131">
        <v>42125</v>
      </c>
      <c r="O454" s="131">
        <v>42156</v>
      </c>
      <c r="P454" s="131">
        <v>42186</v>
      </c>
      <c r="Q454" s="131">
        <v>42217</v>
      </c>
      <c r="R454" s="131">
        <v>42261</v>
      </c>
      <c r="S454" s="132"/>
      <c r="T454" s="133" t="s">
        <v>338</v>
      </c>
      <c r="U454" s="134" t="s">
        <v>339</v>
      </c>
      <c r="V454" s="132"/>
      <c r="W454" s="133" t="s">
        <v>338</v>
      </c>
      <c r="X454" s="134" t="s">
        <v>339</v>
      </c>
      <c r="Y454" s="157"/>
      <c r="Z454" s="157"/>
    </row>
    <row r="455" spans="1:26" s="125" customFormat="1" x14ac:dyDescent="0.25">
      <c r="A455" s="461"/>
      <c r="B455" s="135" t="s">
        <v>340</v>
      </c>
      <c r="C455" s="606"/>
      <c r="D455" s="174"/>
      <c r="E455" s="136">
        <v>51376</v>
      </c>
      <c r="F455" s="617">
        <v>67310</v>
      </c>
      <c r="G455" s="136">
        <v>58835</v>
      </c>
      <c r="H455" s="136">
        <v>64810</v>
      </c>
      <c r="I455" s="136">
        <v>75371</v>
      </c>
      <c r="J455" s="136">
        <v>86365</v>
      </c>
      <c r="K455" s="136">
        <v>94925</v>
      </c>
      <c r="L455" s="136">
        <v>71614</v>
      </c>
      <c r="M455" s="136">
        <v>63508</v>
      </c>
      <c r="N455" s="136">
        <v>55389</v>
      </c>
      <c r="O455" s="136">
        <v>80642</v>
      </c>
      <c r="P455" s="136">
        <v>87080</v>
      </c>
      <c r="Q455" s="174"/>
      <c r="R455" s="174"/>
      <c r="T455" s="140">
        <f>SUM(E455:P455)</f>
        <v>857225</v>
      </c>
      <c r="U455" s="138" t="s">
        <v>341</v>
      </c>
      <c r="V455" s="139"/>
      <c r="W455" s="140">
        <f>T455*3413/1000000</f>
        <v>2925.7089249999999</v>
      </c>
      <c r="X455" s="138" t="s">
        <v>342</v>
      </c>
      <c r="Y455" s="157"/>
      <c r="Z455" s="157"/>
    </row>
    <row r="456" spans="1:26" s="125" customFormat="1" x14ac:dyDescent="0.25">
      <c r="A456" s="461"/>
      <c r="B456" s="135" t="s">
        <v>372</v>
      </c>
      <c r="C456" s="606"/>
      <c r="D456" s="174"/>
      <c r="E456" s="136">
        <v>122</v>
      </c>
      <c r="F456" s="136">
        <v>465</v>
      </c>
      <c r="G456" s="136">
        <v>460</v>
      </c>
      <c r="H456" s="136">
        <v>564</v>
      </c>
      <c r="I456" s="136">
        <v>569</v>
      </c>
      <c r="J456" s="136">
        <v>412</v>
      </c>
      <c r="K456" s="136">
        <v>750</v>
      </c>
      <c r="L456" s="136">
        <v>742</v>
      </c>
      <c r="M456" s="136">
        <v>752</v>
      </c>
      <c r="N456" s="136">
        <v>541</v>
      </c>
      <c r="O456" s="136">
        <v>452</v>
      </c>
      <c r="P456" s="136">
        <v>451</v>
      </c>
      <c r="Q456" s="174"/>
      <c r="R456" s="174"/>
      <c r="T456" s="140">
        <f>SUM(E456:P456)</f>
        <v>6280</v>
      </c>
      <c r="U456" s="138" t="s">
        <v>354</v>
      </c>
      <c r="V456" s="139"/>
      <c r="W456" s="140">
        <f>T456*99976.124488/1000000</f>
        <v>627.85006178463993</v>
      </c>
      <c r="X456" s="138" t="s">
        <v>342</v>
      </c>
      <c r="Y456" s="495">
        <f>W455+W456</f>
        <v>3553.5589867846397</v>
      </c>
      <c r="Z456" s="153" t="s">
        <v>677</v>
      </c>
    </row>
    <row r="457" spans="1:26" s="125" customFormat="1" x14ac:dyDescent="0.25">
      <c r="A457" s="461"/>
      <c r="B457" s="135" t="s">
        <v>345</v>
      </c>
      <c r="C457" s="606"/>
      <c r="D457" s="178"/>
      <c r="E457" s="1248">
        <v>33660</v>
      </c>
      <c r="F457" s="141">
        <v>183582</v>
      </c>
      <c r="G457" s="141">
        <v>231343</v>
      </c>
      <c r="H457" s="141">
        <v>259701</v>
      </c>
      <c r="I457" s="141">
        <v>96269</v>
      </c>
      <c r="J457" s="141">
        <v>129105</v>
      </c>
      <c r="K457" s="141">
        <v>210448</v>
      </c>
      <c r="L457" s="141">
        <v>204478</v>
      </c>
      <c r="M457" s="141">
        <v>164179</v>
      </c>
      <c r="N457" s="141">
        <v>179105</v>
      </c>
      <c r="O457" s="141">
        <v>126865</v>
      </c>
      <c r="P457" s="1248">
        <v>123134</v>
      </c>
      <c r="Q457" s="178"/>
      <c r="R457" s="178"/>
      <c r="T457" s="140">
        <f>SUM(E457:P457)</f>
        <v>1941869</v>
      </c>
      <c r="U457" s="138" t="s">
        <v>346</v>
      </c>
      <c r="V457" s="139"/>
      <c r="W457" s="137">
        <f>T457</f>
        <v>1941869</v>
      </c>
      <c r="X457" s="138" t="s">
        <v>346</v>
      </c>
      <c r="Y457" s="157"/>
      <c r="Z457" s="157"/>
    </row>
    <row r="458" spans="1:26" s="125" customFormat="1" x14ac:dyDescent="0.25">
      <c r="A458" s="461"/>
      <c r="B458" s="135" t="s">
        <v>324</v>
      </c>
      <c r="C458" s="606"/>
      <c r="D458" s="176"/>
      <c r="E458" s="142">
        <v>4890.97</v>
      </c>
      <c r="F458" s="142">
        <v>5840.79</v>
      </c>
      <c r="G458" s="142">
        <v>5375.91</v>
      </c>
      <c r="H458" s="142">
        <v>5689.39</v>
      </c>
      <c r="I458" s="142">
        <v>6337.58</v>
      </c>
      <c r="J458" s="142">
        <v>7133.63</v>
      </c>
      <c r="K458" s="142">
        <v>7684.1</v>
      </c>
      <c r="L458" s="142">
        <v>6134.2</v>
      </c>
      <c r="M458" s="142">
        <v>5636.92</v>
      </c>
      <c r="N458" s="142">
        <v>5138.84</v>
      </c>
      <c r="O458" s="142">
        <v>6688.05</v>
      </c>
      <c r="P458" s="142">
        <v>7073.86</v>
      </c>
      <c r="Q458" s="176"/>
      <c r="R458" s="176"/>
      <c r="T458" s="156">
        <f>SUM(E458:P458)</f>
        <v>73624.239999999991</v>
      </c>
      <c r="U458" s="138"/>
      <c r="V458" s="139"/>
      <c r="W458" s="143">
        <f>T458</f>
        <v>73624.239999999991</v>
      </c>
      <c r="X458" s="138"/>
      <c r="Y458" s="157"/>
      <c r="Z458" s="157"/>
    </row>
    <row r="459" spans="1:26" s="125" customFormat="1" ht="16.5" x14ac:dyDescent="0.35">
      <c r="A459" s="461"/>
      <c r="B459" s="144" t="s">
        <v>374</v>
      </c>
      <c r="C459" s="607"/>
      <c r="D459" s="179"/>
      <c r="E459" s="145">
        <v>135.02000000000001</v>
      </c>
      <c r="F459" s="145">
        <v>448.45</v>
      </c>
      <c r="G459" s="145">
        <v>443.88</v>
      </c>
      <c r="H459" s="145">
        <v>542.05999999999995</v>
      </c>
      <c r="I459" s="145">
        <v>537.58000000000004</v>
      </c>
      <c r="J459" s="145">
        <v>387.14</v>
      </c>
      <c r="K459" s="145">
        <v>635.13</v>
      </c>
      <c r="L459" s="145">
        <v>575.35</v>
      </c>
      <c r="M459" s="145">
        <v>225.89</v>
      </c>
      <c r="N459" s="145">
        <v>372.43</v>
      </c>
      <c r="O459" s="145">
        <v>331.84</v>
      </c>
      <c r="P459" s="145">
        <v>361.68</v>
      </c>
      <c r="Q459" s="179"/>
      <c r="R459" s="179"/>
      <c r="T459" s="156">
        <f>SUM(E459:P459)</f>
        <v>4996.45</v>
      </c>
      <c r="U459" s="138"/>
      <c r="V459" s="139"/>
      <c r="W459" s="146">
        <f>T459</f>
        <v>4996.45</v>
      </c>
      <c r="X459" s="138"/>
      <c r="Y459" s="157"/>
      <c r="Z459" s="157"/>
    </row>
    <row r="460" spans="1:26" x14ac:dyDescent="0.25">
      <c r="W460" s="143">
        <f>SUM(W458:W459)</f>
        <v>78620.689999999988</v>
      </c>
      <c r="X460" s="138"/>
    </row>
    <row r="462" spans="1:26" s="128" customFormat="1" x14ac:dyDescent="0.25">
      <c r="A462" s="459">
        <v>48</v>
      </c>
      <c r="B462" s="127" t="s">
        <v>736</v>
      </c>
      <c r="C462" s="173"/>
      <c r="S462" s="173"/>
      <c r="T462" s="127" t="s">
        <v>630</v>
      </c>
      <c r="W462" s="129"/>
      <c r="Y462" s="166"/>
      <c r="Z462" s="166"/>
    </row>
    <row r="463" spans="1:26" s="125" customFormat="1" x14ac:dyDescent="0.25">
      <c r="A463" s="461"/>
      <c r="B463" s="130" t="s">
        <v>337</v>
      </c>
      <c r="C463" s="186" t="s">
        <v>977</v>
      </c>
      <c r="D463" s="131">
        <v>41821</v>
      </c>
      <c r="E463" s="131">
        <v>41852</v>
      </c>
      <c r="F463" s="131">
        <v>41883</v>
      </c>
      <c r="G463" s="131">
        <v>41913</v>
      </c>
      <c r="H463" s="131">
        <v>41944</v>
      </c>
      <c r="I463" s="131">
        <v>41974</v>
      </c>
      <c r="J463" s="131">
        <v>42005</v>
      </c>
      <c r="K463" s="131">
        <v>42036</v>
      </c>
      <c r="L463" s="131">
        <v>42064</v>
      </c>
      <c r="M463" s="131">
        <v>42095</v>
      </c>
      <c r="N463" s="131">
        <v>42125</v>
      </c>
      <c r="O463" s="131">
        <v>42156</v>
      </c>
      <c r="P463" s="131">
        <v>42186</v>
      </c>
      <c r="Q463" s="131">
        <v>42217</v>
      </c>
      <c r="R463" s="131">
        <v>42261</v>
      </c>
      <c r="S463" s="132"/>
      <c r="T463" s="133" t="s">
        <v>338</v>
      </c>
      <c r="U463" s="134" t="s">
        <v>339</v>
      </c>
      <c r="V463" s="132"/>
      <c r="W463" s="133" t="s">
        <v>338</v>
      </c>
      <c r="X463" s="134" t="s">
        <v>339</v>
      </c>
      <c r="Y463" s="157"/>
      <c r="Z463" s="157"/>
    </row>
    <row r="464" spans="1:26" s="125" customFormat="1" x14ac:dyDescent="0.25">
      <c r="A464" s="461"/>
      <c r="B464" s="135" t="s">
        <v>340</v>
      </c>
      <c r="C464" s="606"/>
      <c r="D464" s="174"/>
      <c r="E464" s="136">
        <v>32916</v>
      </c>
      <c r="F464" s="675">
        <v>41890</v>
      </c>
      <c r="G464" s="136">
        <v>33239</v>
      </c>
      <c r="H464" s="136">
        <v>39016</v>
      </c>
      <c r="I464" s="136">
        <v>55321</v>
      </c>
      <c r="J464" s="136">
        <v>64709</v>
      </c>
      <c r="K464" s="136">
        <v>66639</v>
      </c>
      <c r="L464" s="136">
        <v>46837</v>
      </c>
      <c r="M464" s="136">
        <v>38846</v>
      </c>
      <c r="N464" s="136">
        <v>26591</v>
      </c>
      <c r="O464" s="136">
        <v>29312</v>
      </c>
      <c r="P464" s="136">
        <v>34899</v>
      </c>
      <c r="Q464" s="174"/>
      <c r="R464" s="174"/>
      <c r="T464" s="140">
        <f>SUM(E464:P464)</f>
        <v>510215</v>
      </c>
      <c r="U464" s="138" t="s">
        <v>341</v>
      </c>
      <c r="V464" s="139"/>
      <c r="W464" s="140">
        <f>T464*3413/1000000</f>
        <v>1741.363795</v>
      </c>
      <c r="X464" s="138" t="s">
        <v>342</v>
      </c>
      <c r="Y464" s="157"/>
      <c r="Z464" s="157"/>
    </row>
    <row r="465" spans="1:26" s="125" customFormat="1" x14ac:dyDescent="0.25">
      <c r="A465" s="461"/>
      <c r="B465" s="135" t="s">
        <v>372</v>
      </c>
      <c r="C465" s="606"/>
      <c r="D465" s="174"/>
      <c r="E465" s="136">
        <v>195</v>
      </c>
      <c r="F465" s="136">
        <v>257</v>
      </c>
      <c r="G465" s="136">
        <v>254</v>
      </c>
      <c r="H465" s="136">
        <v>309</v>
      </c>
      <c r="I465" s="136">
        <v>327</v>
      </c>
      <c r="J465" s="136">
        <v>229</v>
      </c>
      <c r="K465" s="136">
        <v>434</v>
      </c>
      <c r="L465" s="136">
        <v>428</v>
      </c>
      <c r="M465" s="136">
        <v>423</v>
      </c>
      <c r="N465" s="136">
        <v>282</v>
      </c>
      <c r="O465" s="136">
        <v>71</v>
      </c>
      <c r="P465" s="136">
        <v>82</v>
      </c>
      <c r="Q465" s="174"/>
      <c r="R465" s="174"/>
      <c r="T465" s="140">
        <f>SUM(E465:P465)</f>
        <v>3291</v>
      </c>
      <c r="U465" s="138" t="s">
        <v>354</v>
      </c>
      <c r="V465" s="139"/>
      <c r="W465" s="140">
        <f>T465*99976.124488/1000000</f>
        <v>329.02142569000796</v>
      </c>
      <c r="X465" s="138" t="s">
        <v>342</v>
      </c>
      <c r="Y465" s="495">
        <f>W464+W465</f>
        <v>2070.3852206900078</v>
      </c>
      <c r="Z465" s="153" t="s">
        <v>677</v>
      </c>
    </row>
    <row r="466" spans="1:26" s="125" customFormat="1" x14ac:dyDescent="0.25">
      <c r="A466" s="461"/>
      <c r="B466" s="135" t="s">
        <v>345</v>
      </c>
      <c r="C466" s="606"/>
      <c r="D466" s="178"/>
      <c r="E466" s="141">
        <v>2992</v>
      </c>
      <c r="F466" s="141">
        <v>79105</v>
      </c>
      <c r="G466" s="141">
        <v>94776</v>
      </c>
      <c r="H466" s="141">
        <v>99254</v>
      </c>
      <c r="I466" s="141">
        <v>60448</v>
      </c>
      <c r="J466" s="141">
        <v>23880</v>
      </c>
      <c r="K466" s="141">
        <v>94776</v>
      </c>
      <c r="L466" s="141">
        <v>83582</v>
      </c>
      <c r="M466" s="141">
        <v>70895</v>
      </c>
      <c r="N466" s="141">
        <v>80597</v>
      </c>
      <c r="O466" s="141">
        <v>5970</v>
      </c>
      <c r="P466" s="141">
        <v>2985</v>
      </c>
      <c r="Q466" s="178"/>
      <c r="R466" s="178"/>
      <c r="T466" s="140">
        <f>SUM(E466:P466)</f>
        <v>699260</v>
      </c>
      <c r="U466" s="138" t="s">
        <v>346</v>
      </c>
      <c r="V466" s="139"/>
      <c r="W466" s="137">
        <f>T466</f>
        <v>699260</v>
      </c>
      <c r="X466" s="138" t="s">
        <v>346</v>
      </c>
      <c r="Y466" s="157"/>
      <c r="Z466" s="157"/>
    </row>
    <row r="467" spans="1:26" s="125" customFormat="1" x14ac:dyDescent="0.25">
      <c r="A467" s="461"/>
      <c r="B467" s="135" t="s">
        <v>324</v>
      </c>
      <c r="C467" s="606"/>
      <c r="D467" s="176"/>
      <c r="E467" s="142">
        <v>3046.58</v>
      </c>
      <c r="F467" s="142">
        <v>3579.35</v>
      </c>
      <c r="G467" s="142">
        <v>3084.03</v>
      </c>
      <c r="H467" s="142">
        <v>3404.64</v>
      </c>
      <c r="I467" s="142">
        <v>4401.5200000000004</v>
      </c>
      <c r="J467" s="142">
        <v>5053.9399999999996</v>
      </c>
      <c r="K467" s="142">
        <v>5576.07</v>
      </c>
      <c r="L467" s="142">
        <v>3900.93</v>
      </c>
      <c r="M467" s="142">
        <v>3410.71</v>
      </c>
      <c r="N467" s="142">
        <v>2658.9</v>
      </c>
      <c r="O467" s="142">
        <v>2825.83</v>
      </c>
      <c r="P467" s="142">
        <v>3164.91</v>
      </c>
      <c r="Q467" s="176"/>
      <c r="R467" s="176"/>
      <c r="T467" s="156">
        <f>SUM(E467:P467)</f>
        <v>44107.41</v>
      </c>
      <c r="U467" s="138"/>
      <c r="V467" s="139"/>
      <c r="W467" s="143">
        <f>T467</f>
        <v>44107.41</v>
      </c>
      <c r="X467" s="138"/>
      <c r="Y467" s="157"/>
      <c r="Z467" s="157"/>
    </row>
    <row r="468" spans="1:26" s="125" customFormat="1" ht="16.5" x14ac:dyDescent="0.35">
      <c r="A468" s="461"/>
      <c r="B468" s="144" t="s">
        <v>374</v>
      </c>
      <c r="C468" s="607"/>
      <c r="D468" s="179"/>
      <c r="E468" s="145">
        <v>201.73</v>
      </c>
      <c r="F468" s="145">
        <v>258.38</v>
      </c>
      <c r="G468" s="145">
        <v>255.63</v>
      </c>
      <c r="H468" s="145">
        <v>307.63</v>
      </c>
      <c r="I468" s="145">
        <v>327.08999999999997</v>
      </c>
      <c r="J468" s="145">
        <v>225.63</v>
      </c>
      <c r="K468" s="145">
        <v>379.2</v>
      </c>
      <c r="L468" s="145">
        <v>349.65</v>
      </c>
      <c r="M468" s="145">
        <v>137.79</v>
      </c>
      <c r="N468" s="145">
        <v>205.6</v>
      </c>
      <c r="O468" s="145">
        <v>71.97</v>
      </c>
      <c r="P468" s="145">
        <v>85.02</v>
      </c>
      <c r="Q468" s="179"/>
      <c r="R468" s="179"/>
      <c r="T468" s="156">
        <f>SUM(E468:P468)</f>
        <v>2805.3199999999997</v>
      </c>
      <c r="U468" s="138"/>
      <c r="V468" s="139"/>
      <c r="W468" s="146">
        <f>T468</f>
        <v>2805.3199999999997</v>
      </c>
      <c r="X468" s="138"/>
      <c r="Y468" s="157"/>
      <c r="Z468" s="157"/>
    </row>
    <row r="469" spans="1:26" x14ac:dyDescent="0.25">
      <c r="W469" s="143">
        <f>SUM(W467:W468)</f>
        <v>46912.73</v>
      </c>
      <c r="X469" s="138"/>
    </row>
    <row r="471" spans="1:26" s="128" customFormat="1" x14ac:dyDescent="0.25">
      <c r="A471" s="459">
        <v>49</v>
      </c>
      <c r="B471" s="127" t="s">
        <v>1010</v>
      </c>
      <c r="C471" s="173"/>
      <c r="S471" s="173"/>
      <c r="T471" s="127" t="s">
        <v>631</v>
      </c>
      <c r="W471" s="129"/>
      <c r="Y471" s="166"/>
      <c r="Z471" s="166"/>
    </row>
    <row r="472" spans="1:26" s="125" customFormat="1" x14ac:dyDescent="0.25">
      <c r="A472" s="461"/>
      <c r="B472" s="130" t="s">
        <v>337</v>
      </c>
      <c r="C472" s="186" t="s">
        <v>977</v>
      </c>
      <c r="D472" s="131">
        <v>41821</v>
      </c>
      <c r="E472" s="131">
        <v>41852</v>
      </c>
      <c r="F472" s="131">
        <v>41883</v>
      </c>
      <c r="G472" s="131">
        <v>41913</v>
      </c>
      <c r="H472" s="131">
        <v>41944</v>
      </c>
      <c r="I472" s="131">
        <v>41974</v>
      </c>
      <c r="J472" s="131">
        <v>42005</v>
      </c>
      <c r="K472" s="131">
        <v>42036</v>
      </c>
      <c r="L472" s="131">
        <v>42064</v>
      </c>
      <c r="M472" s="131">
        <v>42095</v>
      </c>
      <c r="N472" s="131">
        <v>42125</v>
      </c>
      <c r="O472" s="131">
        <v>42156</v>
      </c>
      <c r="P472" s="131">
        <v>42186</v>
      </c>
      <c r="Q472" s="131">
        <v>42217</v>
      </c>
      <c r="R472" s="131">
        <v>42261</v>
      </c>
      <c r="S472" s="132"/>
      <c r="T472" s="133" t="s">
        <v>338</v>
      </c>
      <c r="U472" s="134" t="s">
        <v>339</v>
      </c>
      <c r="V472" s="132"/>
      <c r="W472" s="133" t="s">
        <v>338</v>
      </c>
      <c r="X472" s="134" t="s">
        <v>339</v>
      </c>
      <c r="Y472" s="157"/>
      <c r="Z472" s="157"/>
    </row>
    <row r="473" spans="1:26" s="125" customFormat="1" x14ac:dyDescent="0.25">
      <c r="A473" s="461"/>
      <c r="B473" s="135" t="s">
        <v>340</v>
      </c>
      <c r="C473" s="606"/>
      <c r="D473" s="174"/>
      <c r="E473" s="136">
        <v>39247</v>
      </c>
      <c r="F473" s="136">
        <v>53964</v>
      </c>
      <c r="G473" s="136">
        <v>44200</v>
      </c>
      <c r="H473" s="136">
        <v>51002</v>
      </c>
      <c r="I473" s="136">
        <v>59338</v>
      </c>
      <c r="J473" s="136">
        <v>66087</v>
      </c>
      <c r="K473" s="136">
        <v>69213</v>
      </c>
      <c r="L473" s="136">
        <v>54411</v>
      </c>
      <c r="M473" s="136">
        <v>47866</v>
      </c>
      <c r="N473" s="136">
        <v>35981</v>
      </c>
      <c r="O473" s="136">
        <v>41225</v>
      </c>
      <c r="P473" s="136">
        <v>47471</v>
      </c>
      <c r="Q473" s="174"/>
      <c r="R473" s="174"/>
      <c r="T473" s="140">
        <f>SUM(C473:S473)</f>
        <v>610005</v>
      </c>
      <c r="U473" s="138" t="s">
        <v>341</v>
      </c>
      <c r="V473" s="139"/>
      <c r="W473" s="140">
        <f>T473*3413/1000000</f>
        <v>2081.9470649999998</v>
      </c>
      <c r="X473" s="138" t="s">
        <v>342</v>
      </c>
      <c r="Y473" s="157"/>
      <c r="Z473" s="157"/>
    </row>
    <row r="474" spans="1:26" s="125" customFormat="1" x14ac:dyDescent="0.25">
      <c r="A474" s="461"/>
      <c r="B474" s="135" t="s">
        <v>372</v>
      </c>
      <c r="C474" s="606"/>
      <c r="D474" s="174"/>
      <c r="E474" s="136">
        <v>119</v>
      </c>
      <c r="F474" s="136">
        <v>446</v>
      </c>
      <c r="G474" s="136">
        <v>430</v>
      </c>
      <c r="H474" s="136">
        <v>492</v>
      </c>
      <c r="I474" s="136">
        <v>489</v>
      </c>
      <c r="J474" s="136">
        <v>287</v>
      </c>
      <c r="K474" s="136">
        <v>622</v>
      </c>
      <c r="L474" s="136">
        <v>638</v>
      </c>
      <c r="M474" s="136">
        <v>602</v>
      </c>
      <c r="N474" s="136">
        <v>423</v>
      </c>
      <c r="O474" s="136">
        <v>141</v>
      </c>
      <c r="P474" s="136">
        <v>143</v>
      </c>
      <c r="Q474" s="174"/>
      <c r="R474" s="174"/>
      <c r="T474" s="140">
        <f>SUM(C474:S474)</f>
        <v>4832</v>
      </c>
      <c r="U474" s="138" t="s">
        <v>354</v>
      </c>
      <c r="V474" s="139"/>
      <c r="W474" s="140">
        <f>T474*99976.124488/1000000</f>
        <v>483.08463352601598</v>
      </c>
      <c r="X474" s="138" t="s">
        <v>342</v>
      </c>
      <c r="Y474" s="495">
        <f>W473+W474</f>
        <v>2565.031698526016</v>
      </c>
      <c r="Z474" s="153" t="s">
        <v>677</v>
      </c>
    </row>
    <row r="475" spans="1:26" s="125" customFormat="1" x14ac:dyDescent="0.25">
      <c r="A475" s="461"/>
      <c r="B475" s="135" t="s">
        <v>345</v>
      </c>
      <c r="C475" s="606"/>
      <c r="D475" s="178"/>
      <c r="E475" s="141">
        <v>14212</v>
      </c>
      <c r="F475" s="141">
        <v>132835</v>
      </c>
      <c r="G475" s="141">
        <v>169403</v>
      </c>
      <c r="H475" s="141">
        <v>176119</v>
      </c>
      <c r="I475" s="141">
        <v>100000</v>
      </c>
      <c r="J475" s="141">
        <v>63433</v>
      </c>
      <c r="K475" s="141">
        <v>151492</v>
      </c>
      <c r="L475" s="141">
        <v>131343</v>
      </c>
      <c r="M475" s="141">
        <v>117164</v>
      </c>
      <c r="N475" s="141">
        <v>132836</v>
      </c>
      <c r="O475" s="141">
        <v>6716</v>
      </c>
      <c r="P475" s="141">
        <v>6716</v>
      </c>
      <c r="Q475" s="178"/>
      <c r="R475" s="178"/>
      <c r="T475" s="140">
        <f>SUM(C475:S475)</f>
        <v>1202269</v>
      </c>
      <c r="U475" s="138" t="s">
        <v>346</v>
      </c>
      <c r="V475" s="139"/>
      <c r="W475" s="137">
        <f>T475</f>
        <v>1202269</v>
      </c>
      <c r="X475" s="138" t="s">
        <v>346</v>
      </c>
      <c r="Y475" s="157"/>
      <c r="Z475" s="157"/>
    </row>
    <row r="476" spans="1:26" s="125" customFormat="1" x14ac:dyDescent="0.25">
      <c r="A476" s="461"/>
      <c r="B476" s="135" t="s">
        <v>324</v>
      </c>
      <c r="C476" s="606"/>
      <c r="D476" s="176"/>
      <c r="E476" s="142">
        <v>3731.22</v>
      </c>
      <c r="F476" s="142">
        <v>4611.42</v>
      </c>
      <c r="G476" s="142">
        <v>4057.39</v>
      </c>
      <c r="H476" s="142">
        <v>4431.6000000000004</v>
      </c>
      <c r="I476" s="142">
        <v>4943.22</v>
      </c>
      <c r="J476" s="142">
        <v>5372.3</v>
      </c>
      <c r="K476" s="142">
        <v>5576.07</v>
      </c>
      <c r="L476" s="142">
        <v>4662.3</v>
      </c>
      <c r="M476" s="142">
        <v>4260.7700000000004</v>
      </c>
      <c r="N476" s="142">
        <v>3531.66</v>
      </c>
      <c r="O476" s="142">
        <v>3853.37</v>
      </c>
      <c r="P476" s="142">
        <v>4231.5600000000004</v>
      </c>
      <c r="Q476" s="176"/>
      <c r="R476" s="176"/>
      <c r="T476" s="143">
        <f>SUM(C476:S476)</f>
        <v>53262.879999999997</v>
      </c>
      <c r="U476" s="138"/>
      <c r="V476" s="139"/>
      <c r="W476" s="143">
        <f>T476</f>
        <v>53262.879999999997</v>
      </c>
      <c r="X476" s="138"/>
      <c r="Y476" s="157"/>
      <c r="Z476" s="157"/>
    </row>
    <row r="477" spans="1:26" s="125" customFormat="1" ht="16.5" x14ac:dyDescent="0.35">
      <c r="A477" s="461"/>
      <c r="B477" s="144" t="s">
        <v>374</v>
      </c>
      <c r="C477" s="607"/>
      <c r="D477" s="179"/>
      <c r="E477" s="145">
        <v>132.27000000000001</v>
      </c>
      <c r="F477" s="145">
        <v>431.08</v>
      </c>
      <c r="G477" s="145">
        <v>416.47</v>
      </c>
      <c r="H477" s="145">
        <v>475.87</v>
      </c>
      <c r="I477" s="145">
        <v>465.31</v>
      </c>
      <c r="J477" s="145">
        <v>276.82</v>
      </c>
      <c r="K477" s="145">
        <v>532.80999999999995</v>
      </c>
      <c r="L477" s="145">
        <v>559.6</v>
      </c>
      <c r="M477" s="145">
        <v>165.82</v>
      </c>
      <c r="N477" s="145">
        <v>296.22000000000003</v>
      </c>
      <c r="O477" s="145">
        <v>119.71</v>
      </c>
      <c r="P477" s="145">
        <v>130.75</v>
      </c>
      <c r="Q477" s="179"/>
      <c r="R477" s="179"/>
      <c r="T477" s="143">
        <f>SUM(C477:S477)</f>
        <v>4002.7300000000005</v>
      </c>
      <c r="U477" s="138"/>
      <c r="V477" s="139"/>
      <c r="W477" s="146">
        <f>T477</f>
        <v>4002.7300000000005</v>
      </c>
      <c r="X477" s="138"/>
      <c r="Y477" s="157"/>
      <c r="Z477" s="157"/>
    </row>
    <row r="478" spans="1:26" x14ac:dyDescent="0.25">
      <c r="W478" s="143">
        <f>SUM(W476:W477)</f>
        <v>57265.61</v>
      </c>
      <c r="X478" s="138"/>
    </row>
    <row r="480" spans="1:26" s="128" customFormat="1" x14ac:dyDescent="0.25">
      <c r="A480" s="459">
        <v>50</v>
      </c>
      <c r="B480" s="127" t="s">
        <v>632</v>
      </c>
      <c r="C480" s="602"/>
      <c r="T480" s="127" t="s">
        <v>632</v>
      </c>
      <c r="U480" s="129"/>
      <c r="X480" s="129"/>
      <c r="Y480" s="166"/>
      <c r="Z480" s="166"/>
    </row>
    <row r="481" spans="1:26" s="125" customFormat="1" x14ac:dyDescent="0.25">
      <c r="A481" s="461"/>
      <c r="B481" s="130" t="s">
        <v>337</v>
      </c>
      <c r="C481" s="186" t="s">
        <v>977</v>
      </c>
      <c r="D481" s="131">
        <v>41821</v>
      </c>
      <c r="E481" s="131">
        <v>41852</v>
      </c>
      <c r="F481" s="131">
        <v>41883</v>
      </c>
      <c r="G481" s="131">
        <v>41913</v>
      </c>
      <c r="H481" s="131">
        <v>41944</v>
      </c>
      <c r="I481" s="131">
        <v>41974</v>
      </c>
      <c r="J481" s="131">
        <v>42005</v>
      </c>
      <c r="K481" s="131">
        <v>42036</v>
      </c>
      <c r="L481" s="131">
        <v>42064</v>
      </c>
      <c r="M481" s="131">
        <v>42095</v>
      </c>
      <c r="N481" s="131">
        <v>42125</v>
      </c>
      <c r="O481" s="131">
        <v>42156</v>
      </c>
      <c r="P481" s="131">
        <v>42186</v>
      </c>
      <c r="Q481" s="131">
        <v>42217</v>
      </c>
      <c r="R481" s="131">
        <v>42261</v>
      </c>
      <c r="S481" s="132"/>
      <c r="T481" s="133" t="s">
        <v>338</v>
      </c>
      <c r="U481" s="134" t="s">
        <v>339</v>
      </c>
      <c r="V481" s="132"/>
      <c r="W481" s="133" t="s">
        <v>338</v>
      </c>
      <c r="X481" s="134" t="s">
        <v>339</v>
      </c>
      <c r="Y481" s="157"/>
      <c r="Z481" s="157"/>
    </row>
    <row r="482" spans="1:26" s="125" customFormat="1" x14ac:dyDescent="0.25">
      <c r="A482" s="461"/>
      <c r="B482" s="135" t="s">
        <v>340</v>
      </c>
      <c r="C482" s="606"/>
      <c r="D482" s="174"/>
      <c r="E482" s="136">
        <v>35938</v>
      </c>
      <c r="F482" s="136">
        <v>46762</v>
      </c>
      <c r="G482" s="136">
        <v>37721</v>
      </c>
      <c r="H482" s="136">
        <v>36427</v>
      </c>
      <c r="I482" s="136">
        <v>24293</v>
      </c>
      <c r="J482" s="136">
        <v>35096</v>
      </c>
      <c r="K482" s="136">
        <v>43165</v>
      </c>
      <c r="L482" s="136">
        <v>34692</v>
      </c>
      <c r="M482" s="136">
        <v>33878.5</v>
      </c>
      <c r="N482" s="136">
        <v>76057</v>
      </c>
      <c r="O482" s="136">
        <v>34350</v>
      </c>
      <c r="P482" s="136">
        <v>36421</v>
      </c>
      <c r="Q482" s="174"/>
      <c r="R482" s="174"/>
      <c r="T482" s="140">
        <f t="shared" ref="T482:T488" si="28">SUM(E482:P482)</f>
        <v>474800.5</v>
      </c>
      <c r="U482" s="138" t="s">
        <v>341</v>
      </c>
      <c r="V482" s="139"/>
      <c r="W482" s="140">
        <f>T482*3413/1000000</f>
        <v>1620.4941065</v>
      </c>
      <c r="X482" s="138" t="s">
        <v>342</v>
      </c>
      <c r="Y482" s="157"/>
      <c r="Z482" s="157"/>
    </row>
    <row r="483" spans="1:26" s="125" customFormat="1" x14ac:dyDescent="0.25">
      <c r="A483" s="461"/>
      <c r="B483" s="135" t="s">
        <v>1237</v>
      </c>
      <c r="C483" s="612"/>
      <c r="D483" s="444"/>
      <c r="E483" s="160">
        <v>2677.1659444152024</v>
      </c>
      <c r="F483" s="160">
        <v>2899.5896086269972</v>
      </c>
      <c r="G483" s="160">
        <v>3466.392470952615</v>
      </c>
      <c r="H483" s="160">
        <v>5159.5901950122452</v>
      </c>
      <c r="I483" s="160">
        <v>5422.6173088049136</v>
      </c>
      <c r="J483" s="160">
        <v>6142.1549588268817</v>
      </c>
      <c r="K483" s="160">
        <v>5344.6528782032601</v>
      </c>
      <c r="L483" s="160">
        <v>4528.4219120161124</v>
      </c>
      <c r="M483" s="160">
        <v>3344.9208875819436</v>
      </c>
      <c r="N483" s="160">
        <v>2286.5694705567612</v>
      </c>
      <c r="O483" s="160">
        <v>2190.9892406137033</v>
      </c>
      <c r="P483" s="160">
        <v>2216.6870138287736</v>
      </c>
      <c r="Q483" s="456"/>
      <c r="R483" s="444"/>
      <c r="T483" s="140">
        <f t="shared" si="28"/>
        <v>45679.751889439409</v>
      </c>
      <c r="U483" s="138" t="s">
        <v>354</v>
      </c>
      <c r="V483" s="139"/>
      <c r="W483" s="140">
        <f>T483*99976.124488/1000000</f>
        <v>4566.8845614795473</v>
      </c>
      <c r="X483" s="138" t="s">
        <v>342</v>
      </c>
    </row>
    <row r="484" spans="1:26" s="125" customFormat="1" x14ac:dyDescent="0.25">
      <c r="A484" s="461"/>
      <c r="B484" s="135" t="s">
        <v>1236</v>
      </c>
      <c r="C484" s="612"/>
      <c r="D484" s="444"/>
      <c r="E484" s="160">
        <v>64682.072748751634</v>
      </c>
      <c r="F484" s="160">
        <v>56065.253200509396</v>
      </c>
      <c r="G484" s="160">
        <v>41505.466013438789</v>
      </c>
      <c r="H484" s="160">
        <v>93036.857200308325</v>
      </c>
      <c r="I484" s="160">
        <v>11363.957999597842</v>
      </c>
      <c r="J484" s="160">
        <v>10098.745664231375</v>
      </c>
      <c r="K484" s="160">
        <v>7670.1531678340425</v>
      </c>
      <c r="L484" s="160">
        <v>25610.675332618383</v>
      </c>
      <c r="M484" s="160">
        <v>37475.347026961361</v>
      </c>
      <c r="N484" s="160">
        <v>94189.168646737482</v>
      </c>
      <c r="O484" s="160">
        <v>54205.35960906867</v>
      </c>
      <c r="P484" s="160">
        <v>64801.265328094101</v>
      </c>
      <c r="Q484" s="456"/>
      <c r="R484" s="444"/>
      <c r="T484" s="140">
        <f t="shared" si="28"/>
        <v>560704.32193815138</v>
      </c>
      <c r="U484" s="138" t="s">
        <v>341</v>
      </c>
      <c r="V484" s="139"/>
      <c r="W484" s="140">
        <f>T484*3413/1000000</f>
        <v>1913.6838507749108</v>
      </c>
      <c r="X484" s="138" t="s">
        <v>342</v>
      </c>
      <c r="Y484" s="495">
        <f>W482+W483+W484</f>
        <v>8101.0625187544583</v>
      </c>
      <c r="Z484" s="153" t="s">
        <v>677</v>
      </c>
    </row>
    <row r="485" spans="1:26" s="125" customFormat="1" x14ac:dyDescent="0.25">
      <c r="A485" s="461"/>
      <c r="B485" s="135" t="s">
        <v>864</v>
      </c>
      <c r="C485" s="606"/>
      <c r="D485" s="178"/>
      <c r="E485" s="141">
        <v>413.55</v>
      </c>
      <c r="F485" s="141">
        <v>280.07</v>
      </c>
      <c r="G485" s="141">
        <v>318.23</v>
      </c>
      <c r="H485" s="141">
        <v>242.52</v>
      </c>
      <c r="I485" s="141">
        <v>88.36</v>
      </c>
      <c r="J485" s="141">
        <v>207.83</v>
      </c>
      <c r="K485" s="141">
        <v>214.64</v>
      </c>
      <c r="L485" s="141">
        <v>214.64</v>
      </c>
      <c r="M485" s="141">
        <v>312.91000000000003</v>
      </c>
      <c r="N485" s="141">
        <v>296.62</v>
      </c>
      <c r="O485" s="141">
        <v>271.37</v>
      </c>
      <c r="P485" s="141">
        <v>206.02</v>
      </c>
      <c r="Q485" s="178"/>
      <c r="R485" s="178"/>
      <c r="T485" s="140">
        <f t="shared" si="28"/>
        <v>3066.7599999999993</v>
      </c>
      <c r="U485" s="138" t="s">
        <v>379</v>
      </c>
      <c r="V485" s="139"/>
      <c r="W485" s="137">
        <f>T485*748</f>
        <v>2293936.4799999995</v>
      </c>
      <c r="X485" s="138" t="s">
        <v>346</v>
      </c>
      <c r="Y485" s="157"/>
      <c r="Z485" s="157"/>
    </row>
    <row r="486" spans="1:26" s="125" customFormat="1" x14ac:dyDescent="0.25">
      <c r="A486" s="461"/>
      <c r="B486" s="135" t="s">
        <v>324</v>
      </c>
      <c r="C486" s="606"/>
      <c r="D486" s="176"/>
      <c r="E486" s="142">
        <v>2551.598</v>
      </c>
      <c r="F486" s="142">
        <v>3320.1019999999999</v>
      </c>
      <c r="G486" s="142">
        <v>2678.1909999999998</v>
      </c>
      <c r="H486" s="142">
        <v>2586.3169999999996</v>
      </c>
      <c r="I486" s="142">
        <v>1724.8029999999999</v>
      </c>
      <c r="J486" s="142">
        <v>2491.8159999999998</v>
      </c>
      <c r="K486" s="142">
        <v>3064.7149999999997</v>
      </c>
      <c r="L486" s="142">
        <v>2463.1319999999996</v>
      </c>
      <c r="M486" s="142">
        <v>2405.3734999999997</v>
      </c>
      <c r="N486" s="142">
        <v>5400.0469999999996</v>
      </c>
      <c r="O486" s="142">
        <v>2438.85</v>
      </c>
      <c r="P486" s="142">
        <v>2585.8909999999996</v>
      </c>
      <c r="Q486" s="176"/>
      <c r="R486" s="176"/>
      <c r="T486" s="156">
        <f t="shared" si="28"/>
        <v>33710.835500000001</v>
      </c>
      <c r="U486" s="138"/>
      <c r="V486" s="139"/>
      <c r="W486" s="143">
        <f>T486</f>
        <v>33710.835500000001</v>
      </c>
      <c r="X486" s="138"/>
      <c r="Y486" s="157"/>
      <c r="Z486" s="157"/>
    </row>
    <row r="487" spans="1:26" s="125" customFormat="1" x14ac:dyDescent="0.25">
      <c r="A487" s="461"/>
      <c r="B487" s="144" t="s">
        <v>1238</v>
      </c>
      <c r="C487" s="611"/>
      <c r="D487" s="444"/>
      <c r="E487" s="145">
        <v>1338.7668734095168</v>
      </c>
      <c r="F487" s="145">
        <v>1488.6497406245787</v>
      </c>
      <c r="G487" s="145">
        <v>1778.3042966030546</v>
      </c>
      <c r="H487" s="145">
        <v>2402.1121759677749</v>
      </c>
      <c r="I487" s="145">
        <v>2833.8962276984375</v>
      </c>
      <c r="J487" s="145">
        <v>2525.6361935419322</v>
      </c>
      <c r="K487" s="145">
        <v>2254.4133775007285</v>
      </c>
      <c r="L487" s="145">
        <v>1734.253667387323</v>
      </c>
      <c r="M487" s="145">
        <v>1245.3891023346659</v>
      </c>
      <c r="N487" s="145">
        <v>852.24172522544063</v>
      </c>
      <c r="O487" s="145">
        <v>888.39621757154714</v>
      </c>
      <c r="P487" s="145">
        <v>888.85355082367983</v>
      </c>
      <c r="Q487" s="184"/>
      <c r="R487" s="444"/>
      <c r="T487" s="156">
        <f t="shared" si="28"/>
        <v>20230.91314868868</v>
      </c>
      <c r="U487" s="138"/>
      <c r="V487" s="139"/>
      <c r="W487" s="156">
        <f>T487</f>
        <v>20230.91314868868</v>
      </c>
      <c r="X487" s="138"/>
      <c r="Y487" s="157"/>
      <c r="Z487" s="157"/>
    </row>
    <row r="488" spans="1:26" s="125" customFormat="1" ht="16.5" x14ac:dyDescent="0.35">
      <c r="A488" s="461"/>
      <c r="B488" s="204" t="s">
        <v>1239</v>
      </c>
      <c r="C488" s="611"/>
      <c r="D488" s="444"/>
      <c r="E488" s="145">
        <v>4592.4271651613653</v>
      </c>
      <c r="F488" s="145">
        <v>3980.6329772361669</v>
      </c>
      <c r="G488" s="145">
        <v>2946.8880869541536</v>
      </c>
      <c r="H488" s="145">
        <v>6605.6168612218908</v>
      </c>
      <c r="I488" s="145">
        <v>806.84101797144672</v>
      </c>
      <c r="J488" s="145">
        <v>717.01094216042759</v>
      </c>
      <c r="K488" s="145">
        <v>544.580874916217</v>
      </c>
      <c r="L488" s="145">
        <v>1818.3579486159049</v>
      </c>
      <c r="M488" s="145">
        <v>2660.7496389142566</v>
      </c>
      <c r="N488" s="145">
        <v>6687.4309739183609</v>
      </c>
      <c r="O488" s="145">
        <v>3848.580532243875</v>
      </c>
      <c r="P488" s="145">
        <v>4600.8898382946809</v>
      </c>
      <c r="Q488" s="184"/>
      <c r="R488" s="444"/>
      <c r="T488" s="156">
        <f t="shared" si="28"/>
        <v>39810.006857608743</v>
      </c>
      <c r="U488" s="138"/>
      <c r="V488" s="139"/>
      <c r="W488" s="597">
        <f>T488</f>
        <v>39810.006857608743</v>
      </c>
      <c r="X488" s="138"/>
      <c r="Y488" s="157"/>
      <c r="Z488" s="157"/>
    </row>
    <row r="489" spans="1:26" x14ac:dyDescent="0.25">
      <c r="W489" s="143">
        <f>SUM(W486:W488)</f>
        <v>93751.755506297428</v>
      </c>
      <c r="X489" s="138"/>
    </row>
    <row r="491" spans="1:26" s="460" customFormat="1" x14ac:dyDescent="0.25">
      <c r="A491" s="462">
        <v>51</v>
      </c>
      <c r="B491" s="460" t="s">
        <v>634</v>
      </c>
      <c r="C491" s="462"/>
      <c r="T491" s="460" t="s">
        <v>634</v>
      </c>
      <c r="Y491" s="666"/>
      <c r="Z491" s="666"/>
    </row>
    <row r="492" spans="1:26" s="125" customFormat="1" x14ac:dyDescent="0.25">
      <c r="A492" s="461"/>
      <c r="B492" s="130" t="s">
        <v>337</v>
      </c>
      <c r="C492" s="186" t="s">
        <v>977</v>
      </c>
      <c r="D492" s="131">
        <v>41821</v>
      </c>
      <c r="E492" s="131">
        <v>41852</v>
      </c>
      <c r="F492" s="131">
        <v>41883</v>
      </c>
      <c r="G492" s="131">
        <v>41913</v>
      </c>
      <c r="H492" s="131">
        <v>41944</v>
      </c>
      <c r="I492" s="131">
        <v>41974</v>
      </c>
      <c r="J492" s="131">
        <v>42005</v>
      </c>
      <c r="K492" s="131">
        <v>42036</v>
      </c>
      <c r="L492" s="131">
        <v>42064</v>
      </c>
      <c r="M492" s="131">
        <v>42095</v>
      </c>
      <c r="N492" s="131">
        <v>42125</v>
      </c>
      <c r="O492" s="131">
        <v>42156</v>
      </c>
      <c r="P492" s="131">
        <v>42186</v>
      </c>
      <c r="Q492" s="131">
        <v>42217</v>
      </c>
      <c r="R492" s="131">
        <v>42261</v>
      </c>
      <c r="S492" s="132"/>
      <c r="T492" s="133" t="s">
        <v>338</v>
      </c>
      <c r="U492" s="134" t="s">
        <v>339</v>
      </c>
      <c r="V492" s="132"/>
      <c r="W492" s="133" t="s">
        <v>338</v>
      </c>
      <c r="X492" s="134" t="s">
        <v>339</v>
      </c>
      <c r="Y492" s="157"/>
      <c r="Z492" s="157"/>
    </row>
    <row r="493" spans="1:26" s="125" customFormat="1" x14ac:dyDescent="0.25">
      <c r="A493" s="461"/>
      <c r="B493" s="135" t="s">
        <v>340</v>
      </c>
      <c r="C493" s="606"/>
      <c r="D493" s="136">
        <v>305600</v>
      </c>
      <c r="E493" s="136">
        <v>314800</v>
      </c>
      <c r="F493" s="136">
        <v>358400</v>
      </c>
      <c r="G493" s="136">
        <v>294000</v>
      </c>
      <c r="H493" s="136">
        <v>258000</v>
      </c>
      <c r="I493" s="136">
        <v>249600</v>
      </c>
      <c r="J493" s="136">
        <v>259200</v>
      </c>
      <c r="K493" s="136">
        <v>238800</v>
      </c>
      <c r="L493" s="136">
        <v>271200</v>
      </c>
      <c r="M493" s="136">
        <v>294400</v>
      </c>
      <c r="N493" s="136">
        <v>280800</v>
      </c>
      <c r="O493" s="136">
        <v>375600</v>
      </c>
      <c r="P493" s="174"/>
      <c r="Q493" s="174"/>
      <c r="R493" s="174"/>
      <c r="T493" s="140">
        <f>SUM(D493:O493)</f>
        <v>3500400</v>
      </c>
      <c r="U493" s="138" t="s">
        <v>341</v>
      </c>
      <c r="V493" s="139"/>
      <c r="W493" s="140">
        <f>T493*3413/1000000</f>
        <v>11946.8652</v>
      </c>
      <c r="X493" s="138" t="s">
        <v>342</v>
      </c>
      <c r="Y493" s="157"/>
      <c r="Z493" s="157"/>
    </row>
    <row r="494" spans="1:26" s="125" customFormat="1" x14ac:dyDescent="0.25">
      <c r="A494" s="461"/>
      <c r="B494" s="135" t="s">
        <v>372</v>
      </c>
      <c r="C494" s="606"/>
      <c r="D494" s="136">
        <v>8429</v>
      </c>
      <c r="E494" s="136">
        <v>10007</v>
      </c>
      <c r="F494" s="136">
        <v>8611</v>
      </c>
      <c r="G494" s="136">
        <v>9993</v>
      </c>
      <c r="H494" s="136">
        <v>12959</v>
      </c>
      <c r="I494" s="136">
        <v>13657</v>
      </c>
      <c r="J494" s="136">
        <v>18058</v>
      </c>
      <c r="K494" s="136">
        <v>17223</v>
      </c>
      <c r="L494" s="136">
        <v>18541</v>
      </c>
      <c r="M494" s="136">
        <v>17712</v>
      </c>
      <c r="N494" s="136">
        <v>14560</v>
      </c>
      <c r="O494" s="136">
        <v>12141</v>
      </c>
      <c r="P494" s="174"/>
      <c r="Q494" s="174"/>
      <c r="R494" s="174"/>
      <c r="T494" s="140">
        <f>SUM(D494:O494)</f>
        <v>161891</v>
      </c>
      <c r="U494" s="138" t="s">
        <v>354</v>
      </c>
      <c r="V494" s="139"/>
      <c r="W494" s="140">
        <f>T494*99976.124488/1000000</f>
        <v>16185.234769486809</v>
      </c>
      <c r="X494" s="138" t="s">
        <v>342</v>
      </c>
      <c r="Y494" s="495">
        <f>W493+W494</f>
        <v>28132.099969486808</v>
      </c>
      <c r="Z494" s="1323" t="s">
        <v>342</v>
      </c>
    </row>
    <row r="495" spans="1:26" s="125" customFormat="1" x14ac:dyDescent="0.25">
      <c r="A495" s="461"/>
      <c r="B495" s="135" t="s">
        <v>864</v>
      </c>
      <c r="C495" s="606"/>
      <c r="D495" s="141">
        <v>883</v>
      </c>
      <c r="E495" s="141"/>
      <c r="F495" s="141">
        <v>979</v>
      </c>
      <c r="G495" s="141"/>
      <c r="H495" s="141">
        <v>735</v>
      </c>
      <c r="I495" s="141"/>
      <c r="J495" s="141">
        <v>389</v>
      </c>
      <c r="K495" s="141"/>
      <c r="L495" s="141">
        <v>374</v>
      </c>
      <c r="M495" s="141"/>
      <c r="N495" s="141">
        <v>648</v>
      </c>
      <c r="O495" s="141"/>
      <c r="P495" s="178"/>
      <c r="Q495" s="178"/>
      <c r="R495" s="178"/>
      <c r="T495" s="140">
        <f>SUM(D495:O495)</f>
        <v>4008</v>
      </c>
      <c r="U495" s="138" t="s">
        <v>367</v>
      </c>
      <c r="V495" s="139"/>
      <c r="W495" s="137">
        <f>T495*748</f>
        <v>2997984</v>
      </c>
      <c r="X495" s="138" t="s">
        <v>346</v>
      </c>
      <c r="Z495" s="157"/>
    </row>
    <row r="496" spans="1:26" s="125" customFormat="1" x14ac:dyDescent="0.25">
      <c r="A496" s="461"/>
      <c r="B496" s="135" t="s">
        <v>324</v>
      </c>
      <c r="C496" s="606"/>
      <c r="D496" s="142">
        <v>25329.439999999999</v>
      </c>
      <c r="E496" s="142">
        <v>25902.54</v>
      </c>
      <c r="F496" s="142">
        <v>29201.72</v>
      </c>
      <c r="G496" s="142">
        <v>24706.17</v>
      </c>
      <c r="H496" s="142">
        <v>21704.77</v>
      </c>
      <c r="I496" s="142">
        <v>21436.37</v>
      </c>
      <c r="J496" s="142">
        <v>22465.23</v>
      </c>
      <c r="K496" s="142">
        <v>20920.68</v>
      </c>
      <c r="L496" s="142">
        <v>18876.21</v>
      </c>
      <c r="M496" s="142">
        <v>20686.22</v>
      </c>
      <c r="N496" s="142">
        <v>20190.830000000002</v>
      </c>
      <c r="O496" s="142">
        <v>27216.1</v>
      </c>
      <c r="P496" s="176"/>
      <c r="Q496" s="176"/>
      <c r="R496" s="176"/>
      <c r="T496" s="140">
        <f>SUM(D496:O496)</f>
        <v>278636.27999999997</v>
      </c>
      <c r="U496" s="138"/>
      <c r="V496" s="139"/>
      <c r="W496" s="143">
        <f>T496</f>
        <v>278636.27999999997</v>
      </c>
      <c r="X496" s="138"/>
      <c r="Y496" s="157"/>
      <c r="Z496" s="157"/>
    </row>
    <row r="497" spans="1:26" s="125" customFormat="1" ht="16.5" x14ac:dyDescent="0.35">
      <c r="A497" s="461"/>
      <c r="B497" s="144" t="s">
        <v>374</v>
      </c>
      <c r="C497" s="607"/>
      <c r="D497" s="145">
        <v>7725.7</v>
      </c>
      <c r="E497" s="145">
        <v>9167.6299999999992</v>
      </c>
      <c r="F497" s="145">
        <v>7892.01</v>
      </c>
      <c r="G497" s="145">
        <v>9154.83</v>
      </c>
      <c r="H497" s="145">
        <v>11663.41</v>
      </c>
      <c r="I497" s="145">
        <v>12254.9</v>
      </c>
      <c r="J497" s="145">
        <v>16567.86</v>
      </c>
      <c r="K497" s="145">
        <v>14394.54</v>
      </c>
      <c r="L497" s="145">
        <v>14545</v>
      </c>
      <c r="M497" s="145">
        <v>11064.88</v>
      </c>
      <c r="N497" s="145">
        <v>9343.94</v>
      </c>
      <c r="O497" s="145">
        <v>7802.47</v>
      </c>
      <c r="P497" s="179"/>
      <c r="Q497" s="179"/>
      <c r="R497" s="179"/>
      <c r="T497" s="140">
        <f>SUM(D497:O497)</f>
        <v>131577.17000000001</v>
      </c>
      <c r="U497" s="138"/>
      <c r="V497" s="139"/>
      <c r="W497" s="146">
        <f>T497</f>
        <v>131577.17000000001</v>
      </c>
      <c r="X497" s="138"/>
      <c r="Y497" s="157"/>
      <c r="Z497" s="157"/>
    </row>
    <row r="498" spans="1:26" x14ac:dyDescent="0.25">
      <c r="W498" s="143">
        <f>SUM(W496:W497)</f>
        <v>410213.44999999995</v>
      </c>
      <c r="X498" s="138"/>
    </row>
    <row r="500" spans="1:26" s="128" customFormat="1" x14ac:dyDescent="0.25">
      <c r="A500" s="459">
        <v>52</v>
      </c>
      <c r="B500" s="127" t="s">
        <v>635</v>
      </c>
      <c r="C500" s="602"/>
      <c r="T500" s="1344" t="s">
        <v>635</v>
      </c>
      <c r="U500" s="129"/>
      <c r="X500" s="129"/>
      <c r="Y500" s="166"/>
      <c r="Z500" s="166"/>
    </row>
    <row r="501" spans="1:26" s="125" customFormat="1" x14ac:dyDescent="0.25">
      <c r="A501" s="461"/>
      <c r="B501" s="130" t="s">
        <v>337</v>
      </c>
      <c r="C501" s="186" t="s">
        <v>977</v>
      </c>
      <c r="D501" s="131">
        <v>41821</v>
      </c>
      <c r="E501" s="131">
        <v>41852</v>
      </c>
      <c r="F501" s="131">
        <v>41883</v>
      </c>
      <c r="G501" s="131">
        <v>41913</v>
      </c>
      <c r="H501" s="131">
        <v>41944</v>
      </c>
      <c r="I501" s="131">
        <v>41974</v>
      </c>
      <c r="J501" s="131">
        <v>42005</v>
      </c>
      <c r="K501" s="131">
        <v>42036</v>
      </c>
      <c r="L501" s="131">
        <v>42064</v>
      </c>
      <c r="M501" s="131">
        <v>42095</v>
      </c>
      <c r="N501" s="131">
        <v>42125</v>
      </c>
      <c r="O501" s="131">
        <v>42156</v>
      </c>
      <c r="P501" s="131">
        <v>42186</v>
      </c>
      <c r="Q501" s="151">
        <v>42217</v>
      </c>
      <c r="R501" s="131">
        <v>42261</v>
      </c>
      <c r="S501" s="132"/>
      <c r="T501" s="133" t="s">
        <v>338</v>
      </c>
      <c r="U501" s="134" t="s">
        <v>339</v>
      </c>
      <c r="V501" s="132"/>
      <c r="W501" s="133" t="s">
        <v>338</v>
      </c>
      <c r="X501" s="134" t="s">
        <v>339</v>
      </c>
      <c r="Y501" s="157"/>
      <c r="Z501" s="157"/>
    </row>
    <row r="502" spans="1:26" s="125" customFormat="1" x14ac:dyDescent="0.25">
      <c r="A502" s="461"/>
      <c r="B502" s="135" t="s">
        <v>340</v>
      </c>
      <c r="C502" s="606" t="s">
        <v>1217</v>
      </c>
      <c r="D502" s="174"/>
      <c r="E502" s="174"/>
      <c r="F502" s="174"/>
      <c r="G502" s="174"/>
      <c r="H502" s="174"/>
      <c r="I502" s="136"/>
      <c r="J502" s="136"/>
      <c r="K502" s="136"/>
      <c r="L502" s="136"/>
      <c r="M502" s="136"/>
      <c r="N502" s="136"/>
      <c r="O502" s="136"/>
      <c r="P502" s="136"/>
      <c r="Q502" s="136"/>
      <c r="R502" s="174"/>
      <c r="T502" s="140">
        <f>SUM(C502:S502)</f>
        <v>0</v>
      </c>
      <c r="U502" s="138" t="s">
        <v>341</v>
      </c>
      <c r="V502" s="139"/>
      <c r="W502" s="140">
        <f>T502*3413/1000000</f>
        <v>0</v>
      </c>
      <c r="X502" s="138" t="s">
        <v>342</v>
      </c>
      <c r="Y502" s="157"/>
      <c r="Z502" s="157"/>
    </row>
    <row r="503" spans="1:26" s="125" customFormat="1" x14ac:dyDescent="0.25">
      <c r="A503" s="461"/>
      <c r="B503" s="135" t="s">
        <v>343</v>
      </c>
      <c r="C503" s="606" t="s">
        <v>1217</v>
      </c>
      <c r="D503" s="174"/>
      <c r="E503" s="174"/>
      <c r="F503" s="174"/>
      <c r="G503" s="174"/>
      <c r="H503" s="174"/>
      <c r="I503" s="136"/>
      <c r="J503" s="136"/>
      <c r="K503" s="136"/>
      <c r="L503" s="136"/>
      <c r="M503" s="136"/>
      <c r="N503" s="136"/>
      <c r="O503" s="136"/>
      <c r="P503" s="136"/>
      <c r="Q503" s="136"/>
      <c r="R503" s="174"/>
      <c r="T503" s="140">
        <f>SUM(C503:S503)</f>
        <v>0</v>
      </c>
      <c r="U503" s="138" t="s">
        <v>344</v>
      </c>
      <c r="V503" s="139"/>
      <c r="W503" s="140">
        <f>T503/1000</f>
        <v>0</v>
      </c>
      <c r="X503" s="138" t="s">
        <v>342</v>
      </c>
      <c r="Y503" s="157"/>
      <c r="Z503" s="157"/>
    </row>
    <row r="504" spans="1:26" s="125" customFormat="1" x14ac:dyDescent="0.25">
      <c r="A504" s="461"/>
      <c r="B504" s="135" t="s">
        <v>372</v>
      </c>
      <c r="C504" s="606" t="s">
        <v>1217</v>
      </c>
      <c r="D504" s="444"/>
      <c r="E504" s="456"/>
      <c r="F504" s="456"/>
      <c r="G504" s="456"/>
      <c r="H504" s="456"/>
      <c r="I504" s="160"/>
      <c r="J504" s="160"/>
      <c r="K504" s="160"/>
      <c r="L504" s="160"/>
      <c r="M504" s="160"/>
      <c r="N504" s="160"/>
      <c r="O504" s="160"/>
      <c r="P504" s="160"/>
      <c r="Q504" s="440"/>
      <c r="R504" s="444"/>
      <c r="T504" s="140">
        <f>SUM(E504:P504)</f>
        <v>0</v>
      </c>
      <c r="U504" s="138" t="s">
        <v>354</v>
      </c>
      <c r="V504" s="139"/>
      <c r="W504" s="140">
        <f>T504*99976.124488/1000000</f>
        <v>0</v>
      </c>
      <c r="X504" s="138" t="s">
        <v>342</v>
      </c>
      <c r="Y504" s="495">
        <f>W502+W503+W504</f>
        <v>0</v>
      </c>
      <c r="Z504" s="153" t="s">
        <v>342</v>
      </c>
    </row>
    <row r="505" spans="1:26" s="125" customFormat="1" x14ac:dyDescent="0.25">
      <c r="A505" s="461"/>
      <c r="B505" s="135" t="s">
        <v>345</v>
      </c>
      <c r="C505" s="606" t="s">
        <v>1217</v>
      </c>
      <c r="D505" s="178"/>
      <c r="E505" s="178"/>
      <c r="F505" s="178"/>
      <c r="G505" s="178"/>
      <c r="H505" s="178"/>
      <c r="I505" s="141"/>
      <c r="J505" s="141"/>
      <c r="K505" s="141"/>
      <c r="L505" s="141"/>
      <c r="M505" s="141"/>
      <c r="N505" s="141"/>
      <c r="O505" s="141"/>
      <c r="P505" s="141"/>
      <c r="Q505" s="141"/>
      <c r="R505" s="178"/>
      <c r="T505" s="140">
        <f>SUM(C505:S505)</f>
        <v>0</v>
      </c>
      <c r="U505" s="138" t="s">
        <v>346</v>
      </c>
      <c r="V505" s="139"/>
      <c r="W505" s="137">
        <f>T505</f>
        <v>0</v>
      </c>
      <c r="X505" s="138" t="s">
        <v>346</v>
      </c>
      <c r="Y505" s="157"/>
      <c r="Z505" s="157"/>
    </row>
    <row r="506" spans="1:26" s="125" customFormat="1" x14ac:dyDescent="0.25">
      <c r="A506" s="461"/>
      <c r="B506" s="135" t="s">
        <v>324</v>
      </c>
      <c r="C506" s="606" t="s">
        <v>1217</v>
      </c>
      <c r="D506" s="176"/>
      <c r="E506" s="176"/>
      <c r="F506" s="176"/>
      <c r="G506" s="176"/>
      <c r="H506" s="176"/>
      <c r="I506" s="142"/>
      <c r="J506" s="142"/>
      <c r="K506" s="142"/>
      <c r="L506" s="142"/>
      <c r="M506" s="142"/>
      <c r="N506" s="142"/>
      <c r="O506" s="142"/>
      <c r="P506" s="142"/>
      <c r="Q506" s="142"/>
      <c r="R506" s="176"/>
      <c r="T506" s="143">
        <f>SUM(C506:S506)</f>
        <v>0</v>
      </c>
      <c r="U506" s="138"/>
      <c r="V506" s="139"/>
      <c r="W506" s="143">
        <f>T506</f>
        <v>0</v>
      </c>
      <c r="X506" s="138"/>
      <c r="Y506" s="157"/>
      <c r="Z506" s="157"/>
    </row>
    <row r="507" spans="1:26" s="125" customFormat="1" x14ac:dyDescent="0.25">
      <c r="A507" s="461"/>
      <c r="B507" s="144" t="s">
        <v>348</v>
      </c>
      <c r="C507" s="606" t="s">
        <v>1217</v>
      </c>
      <c r="D507" s="179"/>
      <c r="E507" s="179"/>
      <c r="F507" s="179"/>
      <c r="G507" s="179"/>
      <c r="H507" s="179"/>
      <c r="I507" s="145"/>
      <c r="J507" s="145"/>
      <c r="K507" s="145"/>
      <c r="L507" s="145"/>
      <c r="M507" s="145"/>
      <c r="N507" s="145"/>
      <c r="O507" s="145"/>
      <c r="P507" s="145"/>
      <c r="Q507" s="145"/>
      <c r="R507" s="179"/>
      <c r="T507" s="143">
        <f>SUM(C507:S507)</f>
        <v>0</v>
      </c>
      <c r="U507" s="138"/>
      <c r="V507" s="139"/>
      <c r="W507" s="143">
        <f>T507</f>
        <v>0</v>
      </c>
      <c r="X507" s="138"/>
      <c r="Y507" s="157"/>
      <c r="Z507" s="157"/>
    </row>
    <row r="508" spans="1:26" s="125" customFormat="1" ht="16.5" x14ac:dyDescent="0.35">
      <c r="A508" s="461"/>
      <c r="B508" s="144" t="s">
        <v>374</v>
      </c>
      <c r="C508" s="606" t="s">
        <v>1217</v>
      </c>
      <c r="D508" s="444"/>
      <c r="E508" s="179"/>
      <c r="F508" s="179"/>
      <c r="G508" s="179"/>
      <c r="H508" s="179"/>
      <c r="I508" s="145"/>
      <c r="J508" s="145"/>
      <c r="K508" s="145"/>
      <c r="L508" s="145"/>
      <c r="M508" s="145"/>
      <c r="N508" s="145"/>
      <c r="O508" s="145"/>
      <c r="P508" s="145"/>
      <c r="Q508" s="440"/>
      <c r="R508" s="444"/>
      <c r="T508" s="143">
        <f>SUM(E508:Q508)</f>
        <v>0</v>
      </c>
      <c r="U508" s="138"/>
      <c r="V508" s="139"/>
      <c r="W508" s="146">
        <f>T508</f>
        <v>0</v>
      </c>
      <c r="X508" s="138"/>
      <c r="Y508" s="157"/>
      <c r="Z508" s="157"/>
    </row>
    <row r="509" spans="1:26" x14ac:dyDescent="0.25">
      <c r="W509" s="143">
        <f>SUM(W506:W507)</f>
        <v>0</v>
      </c>
      <c r="X509" s="138"/>
    </row>
    <row r="511" spans="1:26" x14ac:dyDescent="0.25">
      <c r="A511" s="462">
        <v>53</v>
      </c>
      <c r="B511" s="666" t="s">
        <v>974</v>
      </c>
      <c r="T511" s="666" t="s">
        <v>974</v>
      </c>
    </row>
    <row r="512" spans="1:26" s="125" customFormat="1" x14ac:dyDescent="0.25">
      <c r="A512" s="461"/>
      <c r="B512" s="130" t="s">
        <v>337</v>
      </c>
      <c r="C512" s="186" t="s">
        <v>977</v>
      </c>
      <c r="D512" s="131">
        <v>41821</v>
      </c>
      <c r="E512" s="131">
        <v>41852</v>
      </c>
      <c r="F512" s="131">
        <v>41883</v>
      </c>
      <c r="G512" s="131">
        <v>41913</v>
      </c>
      <c r="H512" s="131">
        <v>41944</v>
      </c>
      <c r="I512" s="131">
        <v>41974</v>
      </c>
      <c r="J512" s="131">
        <v>42005</v>
      </c>
      <c r="K512" s="131">
        <v>42036</v>
      </c>
      <c r="L512" s="131">
        <v>42064</v>
      </c>
      <c r="M512" s="131">
        <v>42095</v>
      </c>
      <c r="N512" s="131">
        <v>42125</v>
      </c>
      <c r="O512" s="131">
        <v>42156</v>
      </c>
      <c r="P512" s="131">
        <v>42186</v>
      </c>
      <c r="Q512" s="131">
        <v>42217</v>
      </c>
      <c r="R512" s="131">
        <v>42261</v>
      </c>
      <c r="S512" s="132"/>
      <c r="T512" s="133" t="s">
        <v>338</v>
      </c>
      <c r="U512" s="134" t="s">
        <v>339</v>
      </c>
      <c r="V512" s="132"/>
      <c r="W512" s="133" t="s">
        <v>338</v>
      </c>
      <c r="X512" s="134" t="s">
        <v>339</v>
      </c>
      <c r="Y512" s="157"/>
      <c r="Z512" s="157"/>
    </row>
    <row r="513" spans="1:26" s="157" customFormat="1" x14ac:dyDescent="0.25">
      <c r="A513" s="461"/>
      <c r="B513" s="135" t="s">
        <v>319</v>
      </c>
      <c r="C513" s="599"/>
      <c r="E513" s="1170">
        <v>46652.008056639999</v>
      </c>
      <c r="F513" s="1170">
        <v>50276.000976563009</v>
      </c>
      <c r="G513" s="1170">
        <v>50750</v>
      </c>
      <c r="H513" s="1185">
        <v>48268.981933593008</v>
      </c>
      <c r="I513" s="1186">
        <v>43969.024658203976</v>
      </c>
      <c r="J513" s="1186">
        <v>49542.96875</v>
      </c>
      <c r="K513" s="1186">
        <v>45736.022949217957</v>
      </c>
      <c r="L513" s="1186">
        <v>45281.005859375</v>
      </c>
      <c r="M513" s="1196">
        <v>46723.999023438068</v>
      </c>
      <c r="N513" s="1196">
        <v>44320.007324218976</v>
      </c>
      <c r="O513" s="1196">
        <v>41210.998535156024</v>
      </c>
      <c r="P513" s="756">
        <v>43963.989257811932</v>
      </c>
      <c r="Q513" s="174"/>
      <c r="T513" s="141">
        <f t="shared" ref="T513:T519" si="29">SUM(E513:P513)</f>
        <v>556695.00732421794</v>
      </c>
      <c r="U513" s="188" t="s">
        <v>341</v>
      </c>
      <c r="W513" s="140">
        <f>T513*3413/1000000</f>
        <v>1900.0000599975558</v>
      </c>
      <c r="X513" s="138" t="s">
        <v>342</v>
      </c>
    </row>
    <row r="514" spans="1:26" s="157" customFormat="1" x14ac:dyDescent="0.25">
      <c r="A514" s="461"/>
      <c r="B514" s="135" t="s">
        <v>1137</v>
      </c>
      <c r="C514" s="599"/>
      <c r="E514" s="1188">
        <v>47.399999999999991</v>
      </c>
      <c r="F514" s="1188">
        <v>53.310000000000016</v>
      </c>
      <c r="G514" s="1188">
        <v>81.169999999999973</v>
      </c>
      <c r="H514" s="1188">
        <v>175.52</v>
      </c>
      <c r="I514" s="1188">
        <v>213.94</v>
      </c>
      <c r="J514" s="1188">
        <v>263</v>
      </c>
      <c r="K514" s="1188">
        <v>289</v>
      </c>
      <c r="L514" s="1188">
        <v>277</v>
      </c>
      <c r="M514" s="1198">
        <v>133</v>
      </c>
      <c r="N514" s="1198">
        <v>82</v>
      </c>
      <c r="O514" s="1198">
        <v>44.919936000000376</v>
      </c>
      <c r="P514" s="1198">
        <v>80.780287999999786</v>
      </c>
      <c r="Q514" s="174"/>
      <c r="T514" s="141">
        <f t="shared" si="29"/>
        <v>1741.0402240000001</v>
      </c>
      <c r="U514" s="188" t="s">
        <v>1138</v>
      </c>
      <c r="W514" s="160">
        <f>T514</f>
        <v>1741.0402240000001</v>
      </c>
      <c r="X514" s="138" t="s">
        <v>342</v>
      </c>
    </row>
    <row r="515" spans="1:26" s="157" customFormat="1" x14ac:dyDescent="0.25">
      <c r="A515" s="461"/>
      <c r="B515" s="153" t="s">
        <v>362</v>
      </c>
      <c r="C515" s="599"/>
      <c r="E515" s="1170">
        <v>420.55603027344</v>
      </c>
      <c r="F515" s="1170">
        <v>355.39404296875</v>
      </c>
      <c r="G515" s="1170">
        <v>202.36499023437</v>
      </c>
      <c r="H515" s="1170">
        <v>50</v>
      </c>
      <c r="I515" s="1170">
        <v>30</v>
      </c>
      <c r="J515" s="1170">
        <v>27</v>
      </c>
      <c r="K515" s="1170">
        <v>26</v>
      </c>
      <c r="L515" s="1170">
        <v>75</v>
      </c>
      <c r="M515" s="1197">
        <v>160</v>
      </c>
      <c r="N515" s="1197">
        <v>296</v>
      </c>
      <c r="O515" s="756">
        <v>445.91064453125</v>
      </c>
      <c r="P515" s="756">
        <v>458.341796875</v>
      </c>
      <c r="Q515" s="178"/>
      <c r="T515" s="141">
        <f t="shared" si="29"/>
        <v>2546.5675048828098</v>
      </c>
      <c r="U515" s="188" t="s">
        <v>870</v>
      </c>
      <c r="W515" s="140">
        <f>T515*99976.124488/100000</f>
        <v>2545.9594988525932</v>
      </c>
      <c r="X515" s="138" t="s">
        <v>342</v>
      </c>
      <c r="Y515" s="495">
        <f>W513+W514+W515</f>
        <v>6186.9997828501491</v>
      </c>
      <c r="Z515" s="153" t="s">
        <v>677</v>
      </c>
    </row>
    <row r="516" spans="1:26" s="157" customFormat="1" x14ac:dyDescent="0.25">
      <c r="A516" s="461"/>
      <c r="B516" s="135" t="s">
        <v>864</v>
      </c>
      <c r="C516" s="599"/>
      <c r="E516" s="1193">
        <v>189</v>
      </c>
      <c r="F516" s="1193">
        <v>228</v>
      </c>
      <c r="G516" s="1194">
        <v>169</v>
      </c>
      <c r="H516" s="1194">
        <v>169</v>
      </c>
      <c r="I516" s="1194">
        <v>87</v>
      </c>
      <c r="J516" s="1194">
        <v>126</v>
      </c>
      <c r="K516" s="1194">
        <v>158</v>
      </c>
      <c r="L516" s="1200">
        <v>116</v>
      </c>
      <c r="M516" s="1200">
        <v>141</v>
      </c>
      <c r="N516" s="1200">
        <v>103</v>
      </c>
      <c r="O516" s="1200">
        <v>253</v>
      </c>
      <c r="P516" s="1200">
        <v>163</v>
      </c>
      <c r="Q516" s="730"/>
      <c r="T516" s="141">
        <f t="shared" si="29"/>
        <v>1902</v>
      </c>
      <c r="U516" s="188" t="s">
        <v>379</v>
      </c>
      <c r="W516" s="141">
        <f>T516*748</f>
        <v>1422696</v>
      </c>
      <c r="X516" s="188" t="s">
        <v>346</v>
      </c>
    </row>
    <row r="517" spans="1:26" s="157" customFormat="1" x14ac:dyDescent="0.25">
      <c r="A517" s="461"/>
      <c r="B517" s="135" t="s">
        <v>324</v>
      </c>
      <c r="C517" s="599"/>
      <c r="E517" s="731">
        <f t="shared" ref="E517:P517" si="30">E513*0.087</f>
        <v>4058.7247009276798</v>
      </c>
      <c r="F517" s="731">
        <f t="shared" si="30"/>
        <v>4374.0120849609812</v>
      </c>
      <c r="G517" s="731">
        <f t="shared" si="30"/>
        <v>4415.25</v>
      </c>
      <c r="H517" s="731">
        <f t="shared" si="30"/>
        <v>4199.4014282225917</v>
      </c>
      <c r="I517" s="731">
        <f t="shared" si="30"/>
        <v>3825.3051452637455</v>
      </c>
      <c r="J517" s="731">
        <f t="shared" si="30"/>
        <v>4310.23828125</v>
      </c>
      <c r="K517" s="731">
        <f t="shared" si="30"/>
        <v>3979.0339965819621</v>
      </c>
      <c r="L517" s="731">
        <f t="shared" si="30"/>
        <v>3939.4475097656245</v>
      </c>
      <c r="M517" s="731">
        <f t="shared" si="30"/>
        <v>4064.9879150391116</v>
      </c>
      <c r="N517" s="731">
        <f t="shared" si="30"/>
        <v>3855.8406372070508</v>
      </c>
      <c r="O517" s="731">
        <f t="shared" si="30"/>
        <v>3585.3568725585737</v>
      </c>
      <c r="P517" s="731">
        <f t="shared" si="30"/>
        <v>3824.8670654296379</v>
      </c>
      <c r="Q517" s="1162"/>
      <c r="T517" s="141">
        <f t="shared" si="29"/>
        <v>48432.465637206958</v>
      </c>
      <c r="U517" s="188"/>
      <c r="W517" s="190">
        <f>T517</f>
        <v>48432.465637206958</v>
      </c>
      <c r="X517" s="188"/>
    </row>
    <row r="518" spans="1:26" s="157" customFormat="1" x14ac:dyDescent="0.25">
      <c r="A518" s="461"/>
      <c r="B518" s="144" t="s">
        <v>348</v>
      </c>
      <c r="C518" s="599"/>
      <c r="E518" s="731">
        <f>E514*13.87</f>
        <v>657.43799999999987</v>
      </c>
      <c r="F518" s="731">
        <f>F514*13.87</f>
        <v>739.40970000000016</v>
      </c>
      <c r="G518" s="731">
        <f t="shared" ref="G518:P518" si="31">G514*13.87</f>
        <v>1125.8278999999995</v>
      </c>
      <c r="H518" s="731">
        <f t="shared" si="31"/>
        <v>2434.4623999999999</v>
      </c>
      <c r="I518" s="731">
        <f t="shared" si="31"/>
        <v>2967.3478</v>
      </c>
      <c r="J518" s="731">
        <f t="shared" si="31"/>
        <v>3647.81</v>
      </c>
      <c r="K518" s="731">
        <f t="shared" si="31"/>
        <v>4008.43</v>
      </c>
      <c r="L518" s="731">
        <f t="shared" si="31"/>
        <v>3841.99</v>
      </c>
      <c r="M518" s="731">
        <f t="shared" si="31"/>
        <v>1844.7099999999998</v>
      </c>
      <c r="N518" s="731">
        <f t="shared" si="31"/>
        <v>1137.3399999999999</v>
      </c>
      <c r="O518" s="731">
        <f t="shared" si="31"/>
        <v>623.0395123200052</v>
      </c>
      <c r="P518" s="731">
        <f t="shared" si="31"/>
        <v>1120.4225945599969</v>
      </c>
      <c r="Q518" s="1162"/>
      <c r="T518" s="141">
        <f t="shared" si="29"/>
        <v>24148.227906880002</v>
      </c>
      <c r="U518" s="188"/>
      <c r="W518" s="190">
        <f>T518</f>
        <v>24148.227906880002</v>
      </c>
      <c r="X518" s="188"/>
    </row>
    <row r="519" spans="1:26" s="157" customFormat="1" ht="16.5" x14ac:dyDescent="0.35">
      <c r="A519" s="461"/>
      <c r="B519" s="195" t="s">
        <v>398</v>
      </c>
      <c r="C519" s="599"/>
      <c r="E519" s="731">
        <f t="shared" ref="E519:P519" si="32">E515*14.4</f>
        <v>6056.0068359375364</v>
      </c>
      <c r="F519" s="731">
        <f t="shared" si="32"/>
        <v>5117.6742187500004</v>
      </c>
      <c r="G519" s="731">
        <f t="shared" si="32"/>
        <v>2914.0558593749279</v>
      </c>
      <c r="H519" s="731">
        <f t="shared" si="32"/>
        <v>720</v>
      </c>
      <c r="I519" s="731">
        <f t="shared" si="32"/>
        <v>432</v>
      </c>
      <c r="J519" s="731">
        <f t="shared" si="32"/>
        <v>388.8</v>
      </c>
      <c r="K519" s="731">
        <f t="shared" si="32"/>
        <v>374.40000000000003</v>
      </c>
      <c r="L519" s="731">
        <f t="shared" si="32"/>
        <v>1080</v>
      </c>
      <c r="M519" s="731">
        <f t="shared" si="32"/>
        <v>2304</v>
      </c>
      <c r="N519" s="731">
        <f t="shared" si="32"/>
        <v>4262.4000000000005</v>
      </c>
      <c r="O519" s="731">
        <f t="shared" si="32"/>
        <v>6421.11328125</v>
      </c>
      <c r="P519" s="731">
        <f t="shared" si="32"/>
        <v>6600.1218749999998</v>
      </c>
      <c r="Q519" s="1162"/>
      <c r="T519" s="141">
        <f t="shared" si="29"/>
        <v>36670.572070312461</v>
      </c>
      <c r="U519" s="188"/>
      <c r="W519" s="197">
        <f>T519</f>
        <v>36670.572070312461</v>
      </c>
      <c r="X519" s="188"/>
    </row>
    <row r="520" spans="1:26" s="125" customFormat="1" x14ac:dyDescent="0.25">
      <c r="A520" s="461"/>
      <c r="B520" s="205"/>
      <c r="C520" s="152"/>
      <c r="E520" s="201"/>
      <c r="F520" s="206"/>
      <c r="G520" s="202"/>
      <c r="H520" s="203"/>
      <c r="I520" s="203"/>
      <c r="J520" s="203"/>
      <c r="K520" s="203"/>
      <c r="L520" s="203"/>
      <c r="M520" s="203"/>
      <c r="N520" s="203"/>
      <c r="O520" s="203"/>
      <c r="P520" s="203"/>
      <c r="U520" s="126"/>
      <c r="W520" s="190">
        <f>SUM(W517:W519)</f>
        <v>109251.26561439942</v>
      </c>
      <c r="X520" s="450"/>
      <c r="Y520" s="157"/>
      <c r="Z520" s="157"/>
    </row>
    <row r="522" spans="1:26" s="666" customFormat="1" x14ac:dyDescent="0.25">
      <c r="A522" s="462">
        <v>54</v>
      </c>
      <c r="B522" s="666" t="s">
        <v>978</v>
      </c>
      <c r="C522" s="930"/>
      <c r="T522" s="666" t="s">
        <v>978</v>
      </c>
    </row>
    <row r="523" spans="1:26" s="125" customFormat="1" x14ac:dyDescent="0.25">
      <c r="A523" s="461"/>
      <c r="B523" s="130" t="s">
        <v>337</v>
      </c>
      <c r="C523" s="186" t="s">
        <v>977</v>
      </c>
      <c r="D523" s="151">
        <v>41821</v>
      </c>
      <c r="E523" s="131">
        <v>41852</v>
      </c>
      <c r="F523" s="131">
        <v>41883</v>
      </c>
      <c r="G523" s="131">
        <v>41913</v>
      </c>
      <c r="H523" s="131">
        <v>41944</v>
      </c>
      <c r="I523" s="131">
        <v>41974</v>
      </c>
      <c r="J523" s="131">
        <v>42005</v>
      </c>
      <c r="K523" s="131">
        <v>42036</v>
      </c>
      <c r="L523" s="131">
        <v>42064</v>
      </c>
      <c r="M523" s="131">
        <v>42095</v>
      </c>
      <c r="N523" s="131">
        <v>42125</v>
      </c>
      <c r="O523" s="131">
        <v>42156</v>
      </c>
      <c r="P523" s="131">
        <v>42186</v>
      </c>
      <c r="Q523" s="131">
        <v>42217</v>
      </c>
      <c r="R523" s="131">
        <v>42261</v>
      </c>
      <c r="S523" s="132"/>
      <c r="T523" s="133" t="s">
        <v>338</v>
      </c>
      <c r="U523" s="134" t="s">
        <v>339</v>
      </c>
      <c r="V523" s="132"/>
      <c r="W523" s="133" t="s">
        <v>338</v>
      </c>
      <c r="X523" s="134" t="s">
        <v>339</v>
      </c>
      <c r="Y523" s="157"/>
      <c r="Z523" s="157"/>
    </row>
    <row r="524" spans="1:26" s="125" customFormat="1" x14ac:dyDescent="0.25">
      <c r="A524" s="461"/>
      <c r="B524" s="135" t="s">
        <v>340</v>
      </c>
      <c r="C524" s="606"/>
      <c r="D524" s="174"/>
      <c r="E524" s="136">
        <v>61500</v>
      </c>
      <c r="F524" s="136">
        <v>75600</v>
      </c>
      <c r="G524" s="136">
        <v>60000</v>
      </c>
      <c r="H524" s="136">
        <v>63600</v>
      </c>
      <c r="I524" s="136">
        <v>72900</v>
      </c>
      <c r="J524" s="136">
        <v>84900</v>
      </c>
      <c r="K524" s="136">
        <v>90300</v>
      </c>
      <c r="L524" s="136">
        <v>72900</v>
      </c>
      <c r="M524" s="136">
        <v>64200</v>
      </c>
      <c r="N524" s="136">
        <v>44400</v>
      </c>
      <c r="O524" s="136">
        <v>48413</v>
      </c>
      <c r="P524" s="136">
        <v>54581</v>
      </c>
      <c r="Q524" s="174"/>
      <c r="R524" s="174"/>
      <c r="T524" s="140">
        <f>SUM(E524:P524)</f>
        <v>793294</v>
      </c>
      <c r="U524" s="138" t="s">
        <v>341</v>
      </c>
      <c r="V524" s="139"/>
      <c r="W524" s="140">
        <f>T524*3413/1000000</f>
        <v>2707.5124219999998</v>
      </c>
      <c r="X524" s="138" t="s">
        <v>342</v>
      </c>
      <c r="Y524" s="157"/>
      <c r="Z524" s="157"/>
    </row>
    <row r="525" spans="1:26" s="125" customFormat="1" x14ac:dyDescent="0.25">
      <c r="A525" s="461"/>
      <c r="B525" s="135" t="s">
        <v>372</v>
      </c>
      <c r="C525" s="606"/>
      <c r="D525" s="174"/>
      <c r="E525" s="136">
        <v>195</v>
      </c>
      <c r="F525" s="136">
        <v>411</v>
      </c>
      <c r="G525" s="136">
        <v>417</v>
      </c>
      <c r="H525" s="136">
        <v>512</v>
      </c>
      <c r="I525" s="136">
        <v>535</v>
      </c>
      <c r="J525" s="136">
        <v>301</v>
      </c>
      <c r="K525" s="136">
        <v>699</v>
      </c>
      <c r="L525" s="136">
        <v>668</v>
      </c>
      <c r="M525" s="136">
        <v>671</v>
      </c>
      <c r="N525" s="136">
        <v>451</v>
      </c>
      <c r="O525" s="136">
        <v>69</v>
      </c>
      <c r="P525" s="136">
        <v>84</v>
      </c>
      <c r="Q525" s="174"/>
      <c r="R525" s="174"/>
      <c r="T525" s="140">
        <f>SUM(E525:P525)</f>
        <v>5013</v>
      </c>
      <c r="U525" s="138" t="s">
        <v>354</v>
      </c>
      <c r="V525" s="139"/>
      <c r="W525" s="140">
        <f>T525*99976.124488/1000000</f>
        <v>501.18031205834399</v>
      </c>
      <c r="X525" s="138" t="s">
        <v>342</v>
      </c>
      <c r="Y525" s="495">
        <f>W524+W525</f>
        <v>3208.6927340583438</v>
      </c>
      <c r="Z525" s="153" t="s">
        <v>677</v>
      </c>
    </row>
    <row r="526" spans="1:26" s="125" customFormat="1" x14ac:dyDescent="0.25">
      <c r="A526" s="461"/>
      <c r="B526" s="135" t="s">
        <v>345</v>
      </c>
      <c r="C526" s="606"/>
      <c r="D526" s="178"/>
      <c r="E526" s="141">
        <v>91044</v>
      </c>
      <c r="F526" s="141">
        <v>160448</v>
      </c>
      <c r="G526" s="141">
        <v>199253</v>
      </c>
      <c r="H526" s="141">
        <v>163433</v>
      </c>
      <c r="I526" s="141">
        <v>167164</v>
      </c>
      <c r="J526" s="141">
        <v>35075</v>
      </c>
      <c r="K526" s="141">
        <v>200746</v>
      </c>
      <c r="L526" s="141">
        <v>178358</v>
      </c>
      <c r="M526" s="141">
        <v>161194</v>
      </c>
      <c r="N526" s="141">
        <v>176866</v>
      </c>
      <c r="O526" s="141">
        <v>2985</v>
      </c>
      <c r="P526" s="141">
        <v>5224</v>
      </c>
      <c r="Q526" s="178"/>
      <c r="R526" s="178"/>
      <c r="T526" s="140">
        <f>SUM(E526:P526)</f>
        <v>1541790</v>
      </c>
      <c r="U526" s="138" t="s">
        <v>346</v>
      </c>
      <c r="V526" s="139"/>
      <c r="W526" s="137">
        <f>T526</f>
        <v>1541790</v>
      </c>
      <c r="X526" s="138" t="s">
        <v>346</v>
      </c>
      <c r="Y526" s="157"/>
      <c r="Z526" s="157"/>
    </row>
    <row r="527" spans="1:26" s="125" customFormat="1" x14ac:dyDescent="0.25">
      <c r="A527" s="461"/>
      <c r="B527" s="135" t="s">
        <v>324</v>
      </c>
      <c r="C527" s="606"/>
      <c r="D527" s="176"/>
      <c r="E527" s="142">
        <v>5691.85</v>
      </c>
      <c r="F527" s="142">
        <v>6551.91</v>
      </c>
      <c r="G527" s="142">
        <v>5631.65</v>
      </c>
      <c r="H527" s="142">
        <v>5800.03</v>
      </c>
      <c r="I527" s="142">
        <v>6388.19</v>
      </c>
      <c r="J527" s="142">
        <v>6954.93</v>
      </c>
      <c r="K527" s="142">
        <v>7266.4</v>
      </c>
      <c r="L527" s="142">
        <v>6214.87</v>
      </c>
      <c r="M527" s="142">
        <v>5689.1</v>
      </c>
      <c r="N527" s="142">
        <v>4492.54</v>
      </c>
      <c r="O527" s="142">
        <v>4735.0600000000004</v>
      </c>
      <c r="P527" s="142">
        <v>5102.08</v>
      </c>
      <c r="Q527" s="176"/>
      <c r="R527" s="176"/>
      <c r="T527" s="156">
        <f>SUM(E527:P527)</f>
        <v>70518.61</v>
      </c>
      <c r="U527" s="138"/>
      <c r="V527" s="139"/>
      <c r="W527" s="143">
        <f>T527</f>
        <v>70518.61</v>
      </c>
      <c r="X527" s="138"/>
      <c r="Y527" s="157"/>
      <c r="Z527" s="157"/>
    </row>
    <row r="528" spans="1:26" s="125" customFormat="1" ht="16.5" x14ac:dyDescent="0.35">
      <c r="A528" s="461"/>
      <c r="B528" s="144" t="s">
        <v>374</v>
      </c>
      <c r="C528" s="607"/>
      <c r="D528" s="179"/>
      <c r="E528" s="145">
        <v>201.73</v>
      </c>
      <c r="F528" s="145">
        <v>399.1</v>
      </c>
      <c r="G528" s="145">
        <v>404.58</v>
      </c>
      <c r="H528" s="145">
        <v>494.25</v>
      </c>
      <c r="I528" s="145">
        <v>506.87</v>
      </c>
      <c r="J528" s="145">
        <v>289.18</v>
      </c>
      <c r="K528" s="145">
        <v>595.63</v>
      </c>
      <c r="L528" s="145">
        <v>526.58000000000004</v>
      </c>
      <c r="M528" s="145">
        <v>197.99</v>
      </c>
      <c r="N528" s="145">
        <v>314.48</v>
      </c>
      <c r="O528" s="145">
        <v>70.599999999999994</v>
      </c>
      <c r="P528" s="145">
        <v>86.52</v>
      </c>
      <c r="Q528" s="179"/>
      <c r="R528" s="179"/>
      <c r="T528" s="156">
        <f>SUM(E528:P528)</f>
        <v>4087.5099999999998</v>
      </c>
      <c r="U528" s="138"/>
      <c r="V528" s="139"/>
      <c r="W528" s="146">
        <f>T528</f>
        <v>4087.5099999999998</v>
      </c>
      <c r="X528" s="138"/>
      <c r="Y528" s="157"/>
      <c r="Z528" s="157"/>
    </row>
    <row r="529" spans="1:26" x14ac:dyDescent="0.25">
      <c r="W529" s="143">
        <f>SUM(W527:W528)</f>
        <v>74606.12</v>
      </c>
      <c r="X529" s="138"/>
    </row>
    <row r="531" spans="1:26" x14ac:dyDescent="0.25">
      <c r="A531" s="462">
        <v>55</v>
      </c>
      <c r="B531" s="666" t="s">
        <v>979</v>
      </c>
      <c r="T531" s="666" t="s">
        <v>979</v>
      </c>
    </row>
    <row r="532" spans="1:26" s="125" customFormat="1" x14ac:dyDescent="0.25">
      <c r="A532" s="461"/>
      <c r="B532" s="130" t="s">
        <v>337</v>
      </c>
      <c r="C532" s="186" t="s">
        <v>977</v>
      </c>
      <c r="D532" s="131">
        <v>41821</v>
      </c>
      <c r="E532" s="131">
        <v>41852</v>
      </c>
      <c r="F532" s="131">
        <v>41883</v>
      </c>
      <c r="G532" s="131">
        <v>41913</v>
      </c>
      <c r="H532" s="131">
        <v>41944</v>
      </c>
      <c r="I532" s="131">
        <v>41974</v>
      </c>
      <c r="J532" s="131">
        <v>42005</v>
      </c>
      <c r="K532" s="131">
        <v>42036</v>
      </c>
      <c r="L532" s="131">
        <v>42064</v>
      </c>
      <c r="M532" s="131">
        <v>42095</v>
      </c>
      <c r="N532" s="131">
        <v>42125</v>
      </c>
      <c r="O532" s="131">
        <v>42156</v>
      </c>
      <c r="P532" s="131">
        <v>42186</v>
      </c>
      <c r="Q532" s="151">
        <v>42217</v>
      </c>
      <c r="R532" s="131">
        <v>42261</v>
      </c>
      <c r="S532" s="132"/>
      <c r="T532" s="133" t="s">
        <v>338</v>
      </c>
      <c r="U532" s="134" t="s">
        <v>339</v>
      </c>
      <c r="V532" s="132"/>
      <c r="W532" s="133" t="s">
        <v>338</v>
      </c>
      <c r="X532" s="134" t="s">
        <v>339</v>
      </c>
      <c r="Y532" s="157"/>
      <c r="Z532" s="157"/>
    </row>
    <row r="533" spans="1:26" s="125" customFormat="1" x14ac:dyDescent="0.25">
      <c r="A533" s="461"/>
      <c r="B533" s="135" t="s">
        <v>340</v>
      </c>
      <c r="C533" s="606"/>
      <c r="D533" s="454">
        <v>67060</v>
      </c>
      <c r="E533" s="454">
        <v>80854</v>
      </c>
      <c r="F533" s="454">
        <v>88878</v>
      </c>
      <c r="G533" s="454">
        <v>82852</v>
      </c>
      <c r="H533" s="454">
        <v>74272</v>
      </c>
      <c r="I533" s="454">
        <v>75624</v>
      </c>
      <c r="J533" s="454">
        <v>76572</v>
      </c>
      <c r="K533" s="454">
        <v>62522</v>
      </c>
      <c r="L533" s="454">
        <v>70095</v>
      </c>
      <c r="M533" s="454">
        <v>71961</v>
      </c>
      <c r="N533" s="454">
        <v>72570</v>
      </c>
      <c r="O533" s="454">
        <v>75048</v>
      </c>
      <c r="P533" s="174"/>
      <c r="Q533" s="174"/>
      <c r="R533" s="174"/>
      <c r="T533" s="140">
        <f t="shared" ref="T533:T541" si="33">SUM(C533:S533)</f>
        <v>898308</v>
      </c>
      <c r="U533" s="138" t="s">
        <v>341</v>
      </c>
      <c r="V533" s="139"/>
      <c r="W533" s="140">
        <f>T533*3413/1000000</f>
        <v>3065.9252040000001</v>
      </c>
      <c r="X533" s="138" t="s">
        <v>342</v>
      </c>
      <c r="Y533" s="157"/>
      <c r="Z533" s="157"/>
    </row>
    <row r="534" spans="1:26" s="125" customFormat="1" x14ac:dyDescent="0.25">
      <c r="A534" s="461"/>
      <c r="B534" s="135" t="s">
        <v>372</v>
      </c>
      <c r="C534" s="606"/>
      <c r="D534" s="454">
        <v>32</v>
      </c>
      <c r="E534" s="454">
        <v>85</v>
      </c>
      <c r="F534" s="454">
        <v>164</v>
      </c>
      <c r="G534" s="454">
        <v>170</v>
      </c>
      <c r="H534" s="454">
        <v>354</v>
      </c>
      <c r="I534" s="454">
        <v>480</v>
      </c>
      <c r="J534" s="454">
        <v>294</v>
      </c>
      <c r="K534" s="454">
        <v>102</v>
      </c>
      <c r="L534" s="454">
        <v>119</v>
      </c>
      <c r="M534" s="454">
        <v>265</v>
      </c>
      <c r="N534" s="454">
        <v>141</v>
      </c>
      <c r="O534" s="454">
        <v>38</v>
      </c>
      <c r="P534" s="174"/>
      <c r="Q534" s="174"/>
      <c r="R534" s="174"/>
      <c r="T534" s="140">
        <f t="shared" si="33"/>
        <v>2244</v>
      </c>
      <c r="U534" s="138" t="s">
        <v>354</v>
      </c>
      <c r="V534" s="139"/>
      <c r="W534" s="140">
        <f>T534*99976.124488/1000000</f>
        <v>224.34642335107202</v>
      </c>
      <c r="X534" s="138" t="s">
        <v>342</v>
      </c>
      <c r="Y534" s="765"/>
      <c r="Z534" s="554"/>
    </row>
    <row r="535" spans="1:26" s="125" customFormat="1" x14ac:dyDescent="0.25">
      <c r="A535" s="461"/>
      <c r="B535" s="135" t="s">
        <v>1056</v>
      </c>
      <c r="C535" s="606"/>
      <c r="D535" s="454">
        <v>544</v>
      </c>
      <c r="E535" s="454">
        <v>488</v>
      </c>
      <c r="F535" s="454">
        <v>603</v>
      </c>
      <c r="G535" s="454">
        <v>322</v>
      </c>
      <c r="H535" s="454">
        <v>87</v>
      </c>
      <c r="I535" s="454">
        <v>55</v>
      </c>
      <c r="J535" s="454">
        <v>56</v>
      </c>
      <c r="K535" s="454">
        <v>61</v>
      </c>
      <c r="L535" s="454">
        <v>164</v>
      </c>
      <c r="M535" s="454">
        <v>325</v>
      </c>
      <c r="N535" s="454">
        <v>569</v>
      </c>
      <c r="O535" s="454">
        <v>695</v>
      </c>
      <c r="P535" s="174"/>
      <c r="Q535" s="174"/>
      <c r="R535" s="174"/>
      <c r="T535" s="140">
        <f t="shared" si="33"/>
        <v>3969</v>
      </c>
      <c r="U535" s="138" t="s">
        <v>342</v>
      </c>
      <c r="V535" s="139"/>
      <c r="W535" s="140">
        <f>T535</f>
        <v>3969</v>
      </c>
      <c r="X535" s="138" t="s">
        <v>342</v>
      </c>
      <c r="Y535" s="765"/>
      <c r="Z535" s="554"/>
    </row>
    <row r="536" spans="1:26" s="125" customFormat="1" x14ac:dyDescent="0.25">
      <c r="A536" s="461"/>
      <c r="B536" s="135" t="s">
        <v>1057</v>
      </c>
      <c r="C536" s="606"/>
      <c r="D536" s="454">
        <v>243</v>
      </c>
      <c r="E536" s="454">
        <v>143</v>
      </c>
      <c r="F536" s="454">
        <v>258</v>
      </c>
      <c r="G536" s="454">
        <v>333</v>
      </c>
      <c r="H536" s="454">
        <v>391</v>
      </c>
      <c r="I536" s="454">
        <v>504</v>
      </c>
      <c r="J536" s="454">
        <v>444</v>
      </c>
      <c r="K536" s="454">
        <v>442</v>
      </c>
      <c r="L536" s="454">
        <v>364</v>
      </c>
      <c r="M536" s="454">
        <v>319</v>
      </c>
      <c r="N536" s="454">
        <v>285</v>
      </c>
      <c r="O536" s="454">
        <v>241</v>
      </c>
      <c r="P536" s="174"/>
      <c r="Q536" s="174"/>
      <c r="R536" s="174"/>
      <c r="T536" s="140">
        <f t="shared" si="33"/>
        <v>3967</v>
      </c>
      <c r="U536" s="138" t="s">
        <v>342</v>
      </c>
      <c r="V536" s="139"/>
      <c r="W536" s="140">
        <f>T536</f>
        <v>3967</v>
      </c>
      <c r="X536" s="138" t="s">
        <v>342</v>
      </c>
      <c r="Y536" s="495">
        <f>W533+W534+W535+W536</f>
        <v>11226.271627351072</v>
      </c>
      <c r="Z536" s="153" t="s">
        <v>677</v>
      </c>
    </row>
    <row r="537" spans="1:26" s="125" customFormat="1" x14ac:dyDescent="0.25">
      <c r="A537" s="461"/>
      <c r="B537" s="135" t="s">
        <v>366</v>
      </c>
      <c r="C537" s="606"/>
      <c r="D537" s="454">
        <v>250</v>
      </c>
      <c r="E537" s="454">
        <v>280</v>
      </c>
      <c r="F537" s="454">
        <v>267</v>
      </c>
      <c r="G537" s="454">
        <v>271</v>
      </c>
      <c r="H537" s="454">
        <v>941</v>
      </c>
      <c r="I537" s="454">
        <v>219</v>
      </c>
      <c r="J537" s="454">
        <v>6598</v>
      </c>
      <c r="K537" s="454">
        <v>995</v>
      </c>
      <c r="L537" s="454">
        <v>1537</v>
      </c>
      <c r="M537" s="454">
        <v>1457</v>
      </c>
      <c r="N537" s="454">
        <v>266</v>
      </c>
      <c r="O537" s="454">
        <v>150</v>
      </c>
      <c r="P537" s="178"/>
      <c r="Q537" s="178"/>
      <c r="R537" s="178"/>
      <c r="T537" s="140">
        <f t="shared" si="33"/>
        <v>13231</v>
      </c>
      <c r="U537" s="138" t="s">
        <v>367</v>
      </c>
      <c r="V537" s="139"/>
      <c r="W537" s="137">
        <f>T537*7.48</f>
        <v>98967.88</v>
      </c>
      <c r="X537" s="138" t="s">
        <v>346</v>
      </c>
      <c r="Y537" s="157"/>
      <c r="Z537" s="157"/>
    </row>
    <row r="538" spans="1:26" s="125" customFormat="1" x14ac:dyDescent="0.25">
      <c r="A538" s="461"/>
      <c r="B538" s="135" t="s">
        <v>324</v>
      </c>
      <c r="C538" s="606"/>
      <c r="D538" s="455">
        <v>4672.9179361806309</v>
      </c>
      <c r="E538" s="455">
        <v>5787.389467492997</v>
      </c>
      <c r="F538" s="455">
        <v>6154.4706328934517</v>
      </c>
      <c r="G538" s="455">
        <v>5082.8137860411898</v>
      </c>
      <c r="H538" s="455">
        <v>4271.7850266666665</v>
      </c>
      <c r="I538" s="455">
        <v>4354.5177583602153</v>
      </c>
      <c r="J538" s="455">
        <v>4270.5009579108637</v>
      </c>
      <c r="K538" s="455">
        <v>3524.485524392182</v>
      </c>
      <c r="L538" s="455">
        <v>4099.7921653536414</v>
      </c>
      <c r="M538" s="455">
        <v>4016.0056242093019</v>
      </c>
      <c r="N538" s="455">
        <v>4078.8614482954545</v>
      </c>
      <c r="O538" s="455">
        <v>4710.3295096923075</v>
      </c>
      <c r="P538" s="176"/>
      <c r="Q538" s="176"/>
      <c r="R538" s="176"/>
      <c r="T538" s="143">
        <f t="shared" si="33"/>
        <v>55023.869837488906</v>
      </c>
      <c r="U538" s="138"/>
      <c r="V538" s="139"/>
      <c r="W538" s="143">
        <f>T538</f>
        <v>55023.869837488906</v>
      </c>
      <c r="X538" s="138"/>
      <c r="Y538" s="157"/>
      <c r="Z538" s="157"/>
    </row>
    <row r="539" spans="1:26" s="125" customFormat="1" x14ac:dyDescent="0.25">
      <c r="A539" s="461"/>
      <c r="B539" s="144" t="s">
        <v>374</v>
      </c>
      <c r="C539" s="607"/>
      <c r="D539" s="455">
        <v>49.33</v>
      </c>
      <c r="E539" s="455">
        <v>94.59</v>
      </c>
      <c r="F539" s="455">
        <v>162.05000000000001</v>
      </c>
      <c r="G539" s="455">
        <v>167.18</v>
      </c>
      <c r="H539" s="455">
        <v>322.47000000000003</v>
      </c>
      <c r="I539" s="455">
        <v>429.92</v>
      </c>
      <c r="J539" s="455">
        <v>257.95</v>
      </c>
      <c r="K539" s="455">
        <v>97.56</v>
      </c>
      <c r="L539" s="455">
        <v>97.08</v>
      </c>
      <c r="M539" s="455">
        <v>27.93</v>
      </c>
      <c r="N539" s="455">
        <v>106.43</v>
      </c>
      <c r="O539" s="455">
        <v>47.38</v>
      </c>
      <c r="P539" s="179"/>
      <c r="Q539" s="179"/>
      <c r="R539" s="179"/>
      <c r="T539" s="143">
        <f t="shared" si="33"/>
        <v>1859.8700000000003</v>
      </c>
      <c r="U539" s="138"/>
      <c r="V539" s="139"/>
      <c r="W539" s="143">
        <f>T539</f>
        <v>1859.8700000000003</v>
      </c>
      <c r="X539" s="138"/>
      <c r="Y539" s="157"/>
      <c r="Z539" s="157"/>
    </row>
    <row r="540" spans="1:26" s="125" customFormat="1" x14ac:dyDescent="0.25">
      <c r="A540" s="461"/>
      <c r="B540" s="204" t="s">
        <v>398</v>
      </c>
      <c r="C540" s="607"/>
      <c r="D540" s="455">
        <v>2562.2343765492478</v>
      </c>
      <c r="E540" s="455">
        <v>1153.7824197514396</v>
      </c>
      <c r="F540" s="455">
        <v>1991.8849127927035</v>
      </c>
      <c r="G540" s="455">
        <v>1433.5291410407062</v>
      </c>
      <c r="H540" s="455">
        <v>1261.465187862982</v>
      </c>
      <c r="I540" s="455">
        <v>456.44069013540792</v>
      </c>
      <c r="J540" s="455">
        <v>222.6938369291573</v>
      </c>
      <c r="K540" s="455">
        <v>429.60795087677775</v>
      </c>
      <c r="L540" s="455">
        <v>530.75048910630539</v>
      </c>
      <c r="M540" s="455">
        <v>1051.7921278021295</v>
      </c>
      <c r="N540" s="455">
        <v>2928.2109049608539</v>
      </c>
      <c r="O540" s="455">
        <v>4172.5599157979086</v>
      </c>
      <c r="P540" s="179"/>
      <c r="Q540" s="179"/>
      <c r="R540" s="179"/>
      <c r="T540" s="143">
        <f t="shared" si="33"/>
        <v>18194.951953605618</v>
      </c>
      <c r="U540" s="138"/>
      <c r="V540" s="139"/>
      <c r="W540" s="143">
        <f>T540</f>
        <v>18194.951953605618</v>
      </c>
      <c r="X540" s="138"/>
      <c r="Y540" s="157"/>
      <c r="Z540" s="157"/>
    </row>
    <row r="541" spans="1:26" s="125" customFormat="1" x14ac:dyDescent="0.25">
      <c r="A541" s="461"/>
      <c r="B541" s="204" t="s">
        <v>1058</v>
      </c>
      <c r="C541" s="607"/>
      <c r="D541" s="455">
        <v>1816.2704796706514</v>
      </c>
      <c r="E541" s="455">
        <v>894.64801137191557</v>
      </c>
      <c r="F541" s="455">
        <v>1692.6702602977282</v>
      </c>
      <c r="G541" s="455">
        <v>1680.1661678112553</v>
      </c>
      <c r="H541" s="455">
        <v>1930.0289368009849</v>
      </c>
      <c r="I541" s="455">
        <v>2023.7920956445334</v>
      </c>
      <c r="J541" s="455">
        <v>1835.8460360191343</v>
      </c>
      <c r="K541" s="455">
        <v>1509.1532808621103</v>
      </c>
      <c r="L541" s="455">
        <v>1474.2816369336078</v>
      </c>
      <c r="M541" s="455">
        <v>793.40425124384865</v>
      </c>
      <c r="N541" s="455">
        <v>1086.9955561856825</v>
      </c>
      <c r="O541" s="455">
        <v>1320.11494009887</v>
      </c>
      <c r="P541" s="179"/>
      <c r="Q541" s="179"/>
      <c r="R541" s="179"/>
      <c r="T541" s="143">
        <f t="shared" si="33"/>
        <v>18057.371652940321</v>
      </c>
      <c r="U541" s="138"/>
      <c r="V541" s="139"/>
      <c r="W541" s="143">
        <f>T541</f>
        <v>18057.371652940321</v>
      </c>
      <c r="X541" s="138"/>
      <c r="Y541" s="157"/>
      <c r="Z541" s="157"/>
    </row>
    <row r="542" spans="1:26" x14ac:dyDescent="0.25">
      <c r="W542" s="143">
        <f>SUM(W538:W541)</f>
        <v>93136.063444034837</v>
      </c>
      <c r="X542" s="138"/>
    </row>
    <row r="544" spans="1:26" x14ac:dyDescent="0.25">
      <c r="A544" s="462">
        <v>56</v>
      </c>
      <c r="B544" s="666" t="s">
        <v>980</v>
      </c>
      <c r="T544" s="666" t="s">
        <v>980</v>
      </c>
    </row>
    <row r="545" spans="1:26" s="125" customFormat="1" x14ac:dyDescent="0.25">
      <c r="A545" s="461"/>
      <c r="B545" s="130" t="s">
        <v>337</v>
      </c>
      <c r="C545" s="186" t="s">
        <v>977</v>
      </c>
      <c r="D545" s="151">
        <v>41821</v>
      </c>
      <c r="E545" s="131">
        <v>41852</v>
      </c>
      <c r="F545" s="131">
        <v>41883</v>
      </c>
      <c r="G545" s="131">
        <v>41913</v>
      </c>
      <c r="H545" s="131">
        <v>41944</v>
      </c>
      <c r="I545" s="131">
        <v>41974</v>
      </c>
      <c r="J545" s="131">
        <v>42005</v>
      </c>
      <c r="K545" s="131">
        <v>42036</v>
      </c>
      <c r="L545" s="131">
        <v>42064</v>
      </c>
      <c r="M545" s="131">
        <v>42095</v>
      </c>
      <c r="N545" s="131">
        <v>42125</v>
      </c>
      <c r="O545" s="131">
        <v>42156</v>
      </c>
      <c r="P545" s="131">
        <v>42186</v>
      </c>
      <c r="Q545" s="131">
        <v>42217</v>
      </c>
      <c r="R545" s="131">
        <v>42261</v>
      </c>
      <c r="S545" s="132"/>
      <c r="T545" s="133" t="s">
        <v>338</v>
      </c>
      <c r="U545" s="134" t="s">
        <v>339</v>
      </c>
      <c r="V545" s="132"/>
      <c r="W545" s="133" t="s">
        <v>338</v>
      </c>
      <c r="X545" s="134" t="s">
        <v>339</v>
      </c>
      <c r="Y545" s="157"/>
      <c r="Z545" s="157"/>
    </row>
    <row r="546" spans="1:26" s="157" customFormat="1" x14ac:dyDescent="0.25">
      <c r="A546" s="461"/>
      <c r="B546" s="135" t="s">
        <v>319</v>
      </c>
      <c r="C546" s="599"/>
      <c r="E546" s="1170">
        <v>42294.998168945996</v>
      </c>
      <c r="F546" s="1170">
        <v>42239.990234375029</v>
      </c>
      <c r="G546" s="1170">
        <v>42876.007080077958</v>
      </c>
      <c r="H546" s="1185">
        <v>41388.000488281024</v>
      </c>
      <c r="I546" s="1186">
        <v>39213.989257813009</v>
      </c>
      <c r="J546" s="1186">
        <v>42395.99609375</v>
      </c>
      <c r="K546" s="1186">
        <v>40167.999267578009</v>
      </c>
      <c r="L546" s="1186">
        <v>40778.991699218976</v>
      </c>
      <c r="M546" s="1186">
        <v>41736.999511717957</v>
      </c>
      <c r="N546" s="1186">
        <v>38388.000488282043</v>
      </c>
      <c r="O546" s="1186">
        <v>39009.033203125</v>
      </c>
      <c r="P546" s="756">
        <v>40076.965332031024</v>
      </c>
      <c r="Q546" s="174"/>
      <c r="T546" s="141">
        <f>SUM(E546:P546)</f>
        <v>490566.97082519601</v>
      </c>
      <c r="U546" s="188" t="s">
        <v>341</v>
      </c>
      <c r="W546" s="140">
        <f>T546*3413/1000000</f>
        <v>1674.3050714263941</v>
      </c>
      <c r="X546" s="138" t="s">
        <v>342</v>
      </c>
    </row>
    <row r="547" spans="1:26" s="157" customFormat="1" x14ac:dyDescent="0.25">
      <c r="A547" s="461"/>
      <c r="B547" s="135" t="s">
        <v>1137</v>
      </c>
      <c r="C547" s="599"/>
      <c r="E547" s="1192">
        <v>47.879999999999995</v>
      </c>
      <c r="F547" s="1192">
        <v>48.069999999999993</v>
      </c>
      <c r="G547" s="1192">
        <v>95.13</v>
      </c>
      <c r="H547" s="1192">
        <v>203</v>
      </c>
      <c r="I547" s="1192">
        <v>250</v>
      </c>
      <c r="J547" s="1192">
        <v>300</v>
      </c>
      <c r="K547" s="1192">
        <v>317</v>
      </c>
      <c r="L547" s="1192">
        <v>193</v>
      </c>
      <c r="M547" s="1192">
        <v>102</v>
      </c>
      <c r="N547" s="1192">
        <v>62</v>
      </c>
      <c r="O547" s="1207">
        <v>40.679936000000183</v>
      </c>
      <c r="P547" s="1192">
        <v>97.909888000000109</v>
      </c>
      <c r="Q547" s="174"/>
      <c r="T547" s="141">
        <f t="shared" ref="T547:T552" si="34">SUM(E547:P547)</f>
        <v>1756.6698240000003</v>
      </c>
      <c r="U547" s="188" t="s">
        <v>1138</v>
      </c>
      <c r="W547" s="160">
        <f>T547</f>
        <v>1756.6698240000003</v>
      </c>
      <c r="X547" s="138" t="s">
        <v>342</v>
      </c>
    </row>
    <row r="548" spans="1:26" s="157" customFormat="1" x14ac:dyDescent="0.25">
      <c r="A548" s="461"/>
      <c r="B548" s="153" t="s">
        <v>362</v>
      </c>
      <c r="C548" s="599"/>
      <c r="E548" s="1170">
        <v>346.39501953125</v>
      </c>
      <c r="F548" s="1170">
        <v>260.73791503906</v>
      </c>
      <c r="G548" s="1170">
        <v>131.94799804688</v>
      </c>
      <c r="H548" s="1170">
        <v>27</v>
      </c>
      <c r="I548" s="1170">
        <v>18</v>
      </c>
      <c r="J548" s="1170">
        <v>12</v>
      </c>
      <c r="K548" s="1170">
        <v>13</v>
      </c>
      <c r="L548" s="1170">
        <v>44</v>
      </c>
      <c r="M548" s="1170">
        <v>109</v>
      </c>
      <c r="N548" s="1170">
        <v>228</v>
      </c>
      <c r="O548" s="756">
        <v>389.77392578125</v>
      </c>
      <c r="P548" s="756">
        <v>480.826171875</v>
      </c>
      <c r="Q548" s="178"/>
      <c r="T548" s="141">
        <f t="shared" si="34"/>
        <v>2060.6810302734402</v>
      </c>
      <c r="U548" s="188" t="s">
        <v>870</v>
      </c>
      <c r="W548" s="140">
        <f>T548*99976.124488/100000</f>
        <v>2060.1890321267756</v>
      </c>
      <c r="X548" s="138" t="s">
        <v>342</v>
      </c>
      <c r="Y548" s="495">
        <f>W546+W547+W548</f>
        <v>5491.1639275531697</v>
      </c>
      <c r="Z548" s="153" t="s">
        <v>677</v>
      </c>
    </row>
    <row r="549" spans="1:26" s="157" customFormat="1" x14ac:dyDescent="0.25">
      <c r="A549" s="461"/>
      <c r="B549" s="135" t="s">
        <v>864</v>
      </c>
      <c r="C549" s="599"/>
      <c r="E549" s="1193">
        <v>83</v>
      </c>
      <c r="F549" s="1193">
        <v>117</v>
      </c>
      <c r="G549" s="1194">
        <v>89</v>
      </c>
      <c r="H549" s="1194">
        <v>88</v>
      </c>
      <c r="I549" s="1194">
        <v>53</v>
      </c>
      <c r="J549" s="1194">
        <v>78</v>
      </c>
      <c r="K549" s="1194">
        <v>97</v>
      </c>
      <c r="L549" s="1200">
        <v>69</v>
      </c>
      <c r="M549" s="1200">
        <v>85</v>
      </c>
      <c r="N549" s="1200">
        <v>65</v>
      </c>
      <c r="O549" s="750">
        <v>59</v>
      </c>
      <c r="P549" s="750">
        <v>40</v>
      </c>
      <c r="Q549" s="730"/>
      <c r="T549" s="141">
        <f t="shared" si="34"/>
        <v>923</v>
      </c>
      <c r="U549" s="188" t="s">
        <v>379</v>
      </c>
      <c r="W549" s="141">
        <f>T549*748</f>
        <v>690404</v>
      </c>
      <c r="X549" s="188" t="s">
        <v>346</v>
      </c>
    </row>
    <row r="550" spans="1:26" s="157" customFormat="1" x14ac:dyDescent="0.25">
      <c r="A550" s="461"/>
      <c r="B550" s="135" t="s">
        <v>324</v>
      </c>
      <c r="C550" s="599"/>
      <c r="E550" s="1208">
        <f t="shared" ref="E550:P550" si="35">E546*0.087</f>
        <v>3679.6648406983013</v>
      </c>
      <c r="F550" s="1208">
        <f t="shared" si="35"/>
        <v>3674.8791503906273</v>
      </c>
      <c r="G550" s="1208">
        <f t="shared" si="35"/>
        <v>3730.2126159667819</v>
      </c>
      <c r="H550" s="1208">
        <f t="shared" si="35"/>
        <v>3600.7560424804487</v>
      </c>
      <c r="I550" s="1208">
        <f t="shared" si="35"/>
        <v>3411.6170654297316</v>
      </c>
      <c r="J550" s="1208">
        <f t="shared" si="35"/>
        <v>3688.4516601562495</v>
      </c>
      <c r="K550" s="1208">
        <f t="shared" si="35"/>
        <v>3494.6159362792864</v>
      </c>
      <c r="L550" s="1208">
        <f t="shared" si="35"/>
        <v>3547.7722778320508</v>
      </c>
      <c r="M550" s="1208">
        <f t="shared" si="35"/>
        <v>3631.1189575194621</v>
      </c>
      <c r="N550" s="1208">
        <f t="shared" si="35"/>
        <v>3339.7560424805374</v>
      </c>
      <c r="O550" s="1208">
        <f t="shared" si="35"/>
        <v>3393.7858886718745</v>
      </c>
      <c r="P550" s="1208">
        <f t="shared" si="35"/>
        <v>3486.6959838866987</v>
      </c>
      <c r="Q550" s="1162"/>
      <c r="T550" s="141">
        <f t="shared" si="34"/>
        <v>42679.32646179205</v>
      </c>
      <c r="U550" s="188"/>
      <c r="W550" s="190">
        <f>T550</f>
        <v>42679.32646179205</v>
      </c>
      <c r="X550" s="188"/>
    </row>
    <row r="551" spans="1:26" s="157" customFormat="1" x14ac:dyDescent="0.25">
      <c r="A551" s="461"/>
      <c r="B551" s="144" t="s">
        <v>348</v>
      </c>
      <c r="C551" s="599"/>
      <c r="E551" s="1208">
        <f>E547*13.87</f>
        <v>664.09559999999988</v>
      </c>
      <c r="F551" s="1208">
        <f>F547*13.87</f>
        <v>666.73089999999991</v>
      </c>
      <c r="G551" s="1208">
        <f t="shared" ref="G551:P551" si="36">G547*13.87</f>
        <v>1319.4530999999999</v>
      </c>
      <c r="H551" s="1208">
        <f t="shared" si="36"/>
        <v>2815.6099999999997</v>
      </c>
      <c r="I551" s="1208">
        <f t="shared" si="36"/>
        <v>3467.5</v>
      </c>
      <c r="J551" s="1208">
        <f t="shared" si="36"/>
        <v>4161</v>
      </c>
      <c r="K551" s="1208">
        <f t="shared" si="36"/>
        <v>4396.79</v>
      </c>
      <c r="L551" s="1208">
        <f t="shared" si="36"/>
        <v>2676.91</v>
      </c>
      <c r="M551" s="1208">
        <f t="shared" si="36"/>
        <v>1414.74</v>
      </c>
      <c r="N551" s="1208">
        <f t="shared" si="36"/>
        <v>859.93999999999994</v>
      </c>
      <c r="O551" s="1208">
        <f t="shared" si="36"/>
        <v>564.23071232000245</v>
      </c>
      <c r="P551" s="1208">
        <f t="shared" si="36"/>
        <v>1358.0101465600014</v>
      </c>
      <c r="Q551" s="1162"/>
      <c r="T551" s="141">
        <f t="shared" si="34"/>
        <v>24365.010458880002</v>
      </c>
      <c r="U551" s="188"/>
      <c r="W551" s="190">
        <f>T551</f>
        <v>24365.010458880002</v>
      </c>
      <c r="X551" s="188"/>
    </row>
    <row r="552" spans="1:26" s="157" customFormat="1" ht="16.5" x14ac:dyDescent="0.35">
      <c r="A552" s="461"/>
      <c r="B552" s="195" t="s">
        <v>398</v>
      </c>
      <c r="C552" s="599"/>
      <c r="E552" s="1208">
        <f t="shared" ref="E552:P552" si="37">E548*14.4</f>
        <v>4988.0882812500004</v>
      </c>
      <c r="F552" s="1208">
        <f t="shared" si="37"/>
        <v>3754.6259765624641</v>
      </c>
      <c r="G552" s="1208">
        <f t="shared" si="37"/>
        <v>1900.051171875072</v>
      </c>
      <c r="H552" s="1208">
        <f t="shared" si="37"/>
        <v>388.8</v>
      </c>
      <c r="I552" s="1208">
        <f t="shared" si="37"/>
        <v>259.2</v>
      </c>
      <c r="J552" s="1208">
        <f t="shared" si="37"/>
        <v>172.8</v>
      </c>
      <c r="K552" s="1208">
        <f t="shared" si="37"/>
        <v>187.20000000000002</v>
      </c>
      <c r="L552" s="1208">
        <f t="shared" si="37"/>
        <v>633.6</v>
      </c>
      <c r="M552" s="1208">
        <f t="shared" si="37"/>
        <v>1569.6000000000001</v>
      </c>
      <c r="N552" s="1208">
        <f t="shared" si="37"/>
        <v>3283.2000000000003</v>
      </c>
      <c r="O552" s="1208">
        <f t="shared" si="37"/>
        <v>5612.7445312500004</v>
      </c>
      <c r="P552" s="1208">
        <f t="shared" si="37"/>
        <v>6923.8968750000004</v>
      </c>
      <c r="Q552" s="1162"/>
      <c r="T552" s="141">
        <f t="shared" si="34"/>
        <v>29673.806835937532</v>
      </c>
      <c r="U552" s="188"/>
      <c r="W552" s="197">
        <f>T552</f>
        <v>29673.806835937532</v>
      </c>
      <c r="X552" s="188"/>
    </row>
    <row r="553" spans="1:26" s="125" customFormat="1" x14ac:dyDescent="0.25">
      <c r="A553" s="461"/>
      <c r="B553" s="205"/>
      <c r="C553" s="152"/>
      <c r="E553" s="201"/>
      <c r="F553" s="206"/>
      <c r="G553" s="202"/>
      <c r="H553" s="203"/>
      <c r="I553" s="203"/>
      <c r="J553" s="203"/>
      <c r="K553" s="203"/>
      <c r="L553" s="203"/>
      <c r="M553" s="203"/>
      <c r="N553" s="203"/>
      <c r="O553" s="203"/>
      <c r="P553" s="203"/>
      <c r="U553" s="126"/>
      <c r="W553" s="190">
        <f>SUM(W550:W552)</f>
        <v>96718.143756609585</v>
      </c>
      <c r="X553" s="450"/>
      <c r="Y553" s="157"/>
      <c r="Z553" s="157"/>
    </row>
    <row r="554" spans="1:26" s="125" customFormat="1" x14ac:dyDescent="0.25">
      <c r="A554" s="461"/>
      <c r="B554" s="205"/>
      <c r="C554" s="152"/>
      <c r="E554" s="201"/>
      <c r="F554" s="206"/>
      <c r="G554" s="202"/>
      <c r="H554" s="203"/>
      <c r="I554" s="203"/>
      <c r="J554" s="203"/>
      <c r="K554" s="203"/>
      <c r="L554" s="203"/>
      <c r="M554" s="203"/>
      <c r="N554" s="203"/>
      <c r="O554" s="203"/>
      <c r="P554" s="203"/>
      <c r="U554" s="126"/>
      <c r="W554" s="447"/>
      <c r="X554" s="458"/>
      <c r="Y554" s="157"/>
      <c r="Z554" s="157"/>
    </row>
    <row r="555" spans="1:26" s="125" customFormat="1" x14ac:dyDescent="0.25">
      <c r="A555" s="461">
        <v>57</v>
      </c>
      <c r="B555" s="931" t="s">
        <v>1011</v>
      </c>
      <c r="C555" s="152"/>
      <c r="E555" s="201"/>
      <c r="F555" s="206"/>
      <c r="G555" s="202"/>
      <c r="H555" s="203"/>
      <c r="I555" s="203"/>
      <c r="J555" s="203"/>
      <c r="K555" s="203"/>
      <c r="L555" s="203"/>
      <c r="M555" s="203"/>
      <c r="N555" s="203"/>
      <c r="O555" s="203"/>
      <c r="P555" s="203"/>
      <c r="T555" s="931" t="s">
        <v>1011</v>
      </c>
      <c r="U555" s="126"/>
      <c r="W555" s="447"/>
      <c r="X555" s="458"/>
      <c r="Y555" s="157"/>
      <c r="Z555" s="157"/>
    </row>
    <row r="556" spans="1:26" s="125" customFormat="1" x14ac:dyDescent="0.25">
      <c r="A556" s="461"/>
      <c r="B556" s="130" t="s">
        <v>337</v>
      </c>
      <c r="C556" s="186" t="s">
        <v>977</v>
      </c>
      <c r="D556" s="131">
        <v>41821</v>
      </c>
      <c r="E556" s="131">
        <v>41852</v>
      </c>
      <c r="F556" s="131">
        <v>41883</v>
      </c>
      <c r="G556" s="131">
        <v>41913</v>
      </c>
      <c r="H556" s="131">
        <v>41944</v>
      </c>
      <c r="I556" s="131">
        <v>41974</v>
      </c>
      <c r="J556" s="131">
        <v>42005</v>
      </c>
      <c r="K556" s="131">
        <v>42036</v>
      </c>
      <c r="L556" s="131">
        <v>42064</v>
      </c>
      <c r="M556" s="131">
        <v>42095</v>
      </c>
      <c r="N556" s="131">
        <v>42125</v>
      </c>
      <c r="O556" s="131">
        <v>42156</v>
      </c>
      <c r="P556" s="131">
        <v>42186</v>
      </c>
      <c r="Q556" s="131">
        <v>42217</v>
      </c>
      <c r="R556" s="131">
        <v>42261</v>
      </c>
      <c r="S556" s="132"/>
      <c r="T556" s="133" t="s">
        <v>338</v>
      </c>
      <c r="U556" s="134" t="s">
        <v>339</v>
      </c>
      <c r="V556" s="132"/>
      <c r="W556" s="133" t="s">
        <v>338</v>
      </c>
      <c r="X556" s="134" t="s">
        <v>339</v>
      </c>
      <c r="Y556" s="157"/>
      <c r="Z556" s="157"/>
    </row>
    <row r="557" spans="1:26" s="125" customFormat="1" x14ac:dyDescent="0.25">
      <c r="A557" s="461"/>
      <c r="B557" s="135" t="s">
        <v>340</v>
      </c>
      <c r="C557" s="606"/>
      <c r="D557" s="174"/>
      <c r="E557" s="136">
        <v>35080.333333333336</v>
      </c>
      <c r="F557" s="136">
        <v>35080.333333333336</v>
      </c>
      <c r="G557" s="136">
        <v>38443</v>
      </c>
      <c r="H557" s="136">
        <v>30014.9</v>
      </c>
      <c r="I557" s="136">
        <v>27611</v>
      </c>
      <c r="J557" s="136">
        <v>39068</v>
      </c>
      <c r="K557" s="136">
        <v>36579</v>
      </c>
      <c r="L557" s="136">
        <v>42433</v>
      </c>
      <c r="M557" s="136">
        <v>39707.1</v>
      </c>
      <c r="N557" s="136">
        <v>82201</v>
      </c>
      <c r="O557" s="136">
        <v>119513</v>
      </c>
      <c r="P557" s="136">
        <v>36485</v>
      </c>
      <c r="Q557" s="174"/>
      <c r="R557" s="174"/>
      <c r="T557" s="140">
        <f>SUM(E557:P557)</f>
        <v>562215.66666666663</v>
      </c>
      <c r="U557" s="138" t="s">
        <v>341</v>
      </c>
      <c r="V557" s="139"/>
      <c r="W557" s="140">
        <f>T557*3413/1000000</f>
        <v>1918.8420703333331</v>
      </c>
      <c r="X557" s="138" t="s">
        <v>342</v>
      </c>
      <c r="Y557" s="157"/>
      <c r="Z557" s="157"/>
    </row>
    <row r="558" spans="1:26" s="125" customFormat="1" x14ac:dyDescent="0.25">
      <c r="A558" s="461"/>
      <c r="B558" s="135" t="s">
        <v>921</v>
      </c>
      <c r="C558" s="612"/>
      <c r="D558" s="444"/>
      <c r="E558" s="160">
        <v>1823.953456323434</v>
      </c>
      <c r="F558" s="160">
        <v>1975.4907235419757</v>
      </c>
      <c r="G558" s="160">
        <v>2361.6535768195126</v>
      </c>
      <c r="H558" s="160">
        <v>3515.2293749429059</v>
      </c>
      <c r="I558" s="160">
        <v>3694.4297768865031</v>
      </c>
      <c r="J558" s="160">
        <v>4184.6508580451791</v>
      </c>
      <c r="K558" s="160">
        <v>3641.3126016277847</v>
      </c>
      <c r="L558" s="160">
        <v>3085.2143533884628</v>
      </c>
      <c r="M558" s="160">
        <v>2278.894973530013</v>
      </c>
      <c r="N558" s="160">
        <v>1557.8400351483147</v>
      </c>
      <c r="O558" s="160">
        <v>1492.7212138348639</v>
      </c>
      <c r="P558" s="160">
        <v>1510.2291095905309</v>
      </c>
      <c r="Q558" s="456"/>
      <c r="R558" s="444"/>
      <c r="T558" s="140">
        <f t="shared" ref="T558:T563" si="38">SUM(E558:P558)</f>
        <v>31121.620053679479</v>
      </c>
      <c r="U558" s="138" t="s">
        <v>354</v>
      </c>
      <c r="V558" s="139"/>
      <c r="W558" s="140">
        <f>T558*99976.124488/1000000</f>
        <v>3111.4189607548965</v>
      </c>
      <c r="X558" s="138" t="s">
        <v>342</v>
      </c>
    </row>
    <row r="559" spans="1:26" s="125" customFormat="1" x14ac:dyDescent="0.25">
      <c r="A559" s="461"/>
      <c r="B559" s="135" t="s">
        <v>1236</v>
      </c>
      <c r="C559" s="612"/>
      <c r="D559" s="444"/>
      <c r="E559" s="160">
        <v>44067.903373102316</v>
      </c>
      <c r="F559" s="160">
        <v>38197.263254465637</v>
      </c>
      <c r="G559" s="160">
        <v>28277.678621099905</v>
      </c>
      <c r="H559" s="160">
        <v>63386.021180334465</v>
      </c>
      <c r="I559" s="160">
        <v>7742.2658517376594</v>
      </c>
      <c r="J559" s="160">
        <v>6880.2765466336004</v>
      </c>
      <c r="K559" s="160">
        <v>5225.6762081504075</v>
      </c>
      <c r="L559" s="160">
        <v>17448.555958644727</v>
      </c>
      <c r="M559" s="160">
        <v>25531.958106421127</v>
      </c>
      <c r="N559" s="160">
        <v>64171.091097221761</v>
      </c>
      <c r="O559" s="160">
        <v>36930.117543315799</v>
      </c>
      <c r="P559" s="160">
        <v>44149.109290693392</v>
      </c>
      <c r="Q559" s="456"/>
      <c r="R559" s="444"/>
      <c r="T559" s="140">
        <f t="shared" si="38"/>
        <v>382007.91703182086</v>
      </c>
      <c r="U559" s="138" t="s">
        <v>341</v>
      </c>
      <c r="V559" s="139"/>
      <c r="W559" s="140">
        <f>T559*3413/1000000</f>
        <v>1303.7930208296045</v>
      </c>
      <c r="X559" s="138" t="s">
        <v>342</v>
      </c>
      <c r="Y559" s="495">
        <f>W557+W558+W559</f>
        <v>6334.0540519178348</v>
      </c>
      <c r="Z559" s="153" t="s">
        <v>677</v>
      </c>
    </row>
    <row r="560" spans="1:26" s="125" customFormat="1" x14ac:dyDescent="0.25">
      <c r="A560" s="461"/>
      <c r="B560" s="135" t="s">
        <v>864</v>
      </c>
      <c r="C560" s="606"/>
      <c r="D560" s="178"/>
      <c r="E560" s="141">
        <v>23.1</v>
      </c>
      <c r="F560" s="141">
        <v>29.7</v>
      </c>
      <c r="G560" s="141">
        <v>24.1</v>
      </c>
      <c r="H560" s="141">
        <v>23.8</v>
      </c>
      <c r="I560" s="141">
        <v>10.4</v>
      </c>
      <c r="J560" s="141">
        <v>24.7</v>
      </c>
      <c r="K560" s="141">
        <v>23.75</v>
      </c>
      <c r="L560" s="141">
        <v>23.75</v>
      </c>
      <c r="M560" s="141">
        <v>27.3</v>
      </c>
      <c r="N560" s="141">
        <v>12.5</v>
      </c>
      <c r="O560" s="141">
        <v>11.9</v>
      </c>
      <c r="P560" s="141">
        <v>11.4</v>
      </c>
      <c r="Q560" s="178"/>
      <c r="R560" s="178"/>
      <c r="T560" s="140">
        <f t="shared" si="38"/>
        <v>246.40000000000003</v>
      </c>
      <c r="U560" s="138" t="s">
        <v>379</v>
      </c>
      <c r="V560" s="139"/>
      <c r="W560" s="137">
        <f>T560*748</f>
        <v>184307.20000000001</v>
      </c>
      <c r="X560" s="138" t="s">
        <v>346</v>
      </c>
      <c r="Y560" s="157"/>
      <c r="Z560" s="157"/>
    </row>
    <row r="561" spans="1:26" s="125" customFormat="1" x14ac:dyDescent="0.25">
      <c r="A561" s="461"/>
      <c r="B561" s="135" t="s">
        <v>324</v>
      </c>
      <c r="C561" s="606"/>
      <c r="D561" s="176"/>
      <c r="E561" s="142">
        <v>2490.7036666666668</v>
      </c>
      <c r="F561" s="142">
        <v>2490.7036666666668</v>
      </c>
      <c r="G561" s="142">
        <v>2729.453</v>
      </c>
      <c r="H561" s="142">
        <v>2131.0578999999998</v>
      </c>
      <c r="I561" s="142">
        <v>1960.3809999999999</v>
      </c>
      <c r="J561" s="142">
        <v>2773.828</v>
      </c>
      <c r="K561" s="142">
        <v>2597.1089999999999</v>
      </c>
      <c r="L561" s="142">
        <v>3012.7429999999999</v>
      </c>
      <c r="M561" s="142">
        <v>2819.2040999999995</v>
      </c>
      <c r="N561" s="142">
        <v>5836.2709999999997</v>
      </c>
      <c r="O561" s="142">
        <v>8485.4229999999989</v>
      </c>
      <c r="P561" s="142">
        <v>2590.4349999999999</v>
      </c>
      <c r="Q561" s="176"/>
      <c r="R561" s="176"/>
      <c r="T561" s="140">
        <f t="shared" si="38"/>
        <v>39917.312333333328</v>
      </c>
      <c r="U561" s="138"/>
      <c r="V561" s="139"/>
      <c r="W561" s="143">
        <f>T561</f>
        <v>39917.312333333328</v>
      </c>
      <c r="X561" s="138"/>
      <c r="Y561" s="157"/>
      <c r="Z561" s="157"/>
    </row>
    <row r="562" spans="1:26" s="125" customFormat="1" x14ac:dyDescent="0.25">
      <c r="A562" s="461"/>
      <c r="B562" s="135" t="s">
        <v>1238</v>
      </c>
      <c r="C562" s="606"/>
      <c r="D562" s="176"/>
      <c r="E562" s="142">
        <v>912.10202007107955</v>
      </c>
      <c r="F562" s="142">
        <v>1014.2172342104462</v>
      </c>
      <c r="G562" s="142">
        <v>1211.5589154830936</v>
      </c>
      <c r="H562" s="142">
        <v>1636.5592932230743</v>
      </c>
      <c r="I562" s="142">
        <v>1930.7338157932513</v>
      </c>
      <c r="J562" s="142">
        <v>1720.7162201641704</v>
      </c>
      <c r="K562" s="142">
        <v>1535.9320853651641</v>
      </c>
      <c r="L562" s="142">
        <v>1181.547216888591</v>
      </c>
      <c r="M562" s="142">
        <v>848.48373423002135</v>
      </c>
      <c r="N562" s="142">
        <v>580.63238238582232</v>
      </c>
      <c r="O562" s="142">
        <v>605.26444205095629</v>
      </c>
      <c r="P562" s="142">
        <v>605.57602324660797</v>
      </c>
      <c r="Q562" s="176"/>
      <c r="R562" s="176"/>
      <c r="T562" s="140">
        <f t="shared" si="38"/>
        <v>13783.323383112278</v>
      </c>
      <c r="U562" s="138"/>
      <c r="V562" s="139"/>
      <c r="W562" s="143">
        <f>T562</f>
        <v>13783.323383112278</v>
      </c>
      <c r="X562" s="138"/>
      <c r="Y562" s="157"/>
      <c r="Z562" s="157"/>
    </row>
    <row r="563" spans="1:26" s="125" customFormat="1" ht="16.5" x14ac:dyDescent="0.35">
      <c r="A563" s="461"/>
      <c r="B563" s="144" t="s">
        <v>398</v>
      </c>
      <c r="C563" s="611"/>
      <c r="D563" s="444"/>
      <c r="E563" s="145">
        <v>3128.8211394902642</v>
      </c>
      <c r="F563" s="145">
        <v>2712.0056910670601</v>
      </c>
      <c r="G563" s="145">
        <v>2007.715182098093</v>
      </c>
      <c r="H563" s="145">
        <v>4500.4075038037463</v>
      </c>
      <c r="I563" s="145">
        <v>549.7008754733738</v>
      </c>
      <c r="J563" s="145">
        <v>488.49963481098558</v>
      </c>
      <c r="K563" s="145">
        <v>371.02301077867889</v>
      </c>
      <c r="L563" s="145">
        <v>1238.8474730637756</v>
      </c>
      <c r="M563" s="145">
        <v>1812.7690255558998</v>
      </c>
      <c r="N563" s="145">
        <v>4556.1474679027442</v>
      </c>
      <c r="O563" s="145">
        <v>2622.0383455754213</v>
      </c>
      <c r="P563" s="145">
        <v>3134.5867596392304</v>
      </c>
      <c r="Q563" s="184"/>
      <c r="R563" s="444"/>
      <c r="T563" s="140">
        <f t="shared" si="38"/>
        <v>27122.562109259274</v>
      </c>
      <c r="U563" s="138"/>
      <c r="V563" s="139"/>
      <c r="W563" s="146">
        <f>T563</f>
        <v>27122.562109259274</v>
      </c>
      <c r="X563" s="138"/>
      <c r="Y563" s="157"/>
      <c r="Z563" s="157"/>
    </row>
    <row r="564" spans="1:26" s="125" customFormat="1" x14ac:dyDescent="0.25">
      <c r="A564" s="461"/>
      <c r="B564" s="205"/>
      <c r="C564" s="152"/>
      <c r="E564" s="201"/>
      <c r="F564" s="206"/>
      <c r="G564" s="202"/>
      <c r="H564" s="203"/>
      <c r="I564" s="203"/>
      <c r="J564" s="203"/>
      <c r="K564" s="203"/>
      <c r="L564" s="203"/>
      <c r="M564" s="203"/>
      <c r="N564" s="203"/>
      <c r="O564" s="203"/>
      <c r="P564" s="203"/>
      <c r="U564" s="126"/>
      <c r="W564" s="190">
        <f>SUM(W561:W563)</f>
        <v>80823.197825704876</v>
      </c>
      <c r="X564" s="450"/>
      <c r="Y564" s="157"/>
      <c r="Z564" s="157"/>
    </row>
    <row r="566" spans="1:26" x14ac:dyDescent="0.25">
      <c r="A566" s="462">
        <v>58</v>
      </c>
      <c r="B566" s="666" t="s">
        <v>1012</v>
      </c>
      <c r="T566" s="666" t="s">
        <v>1012</v>
      </c>
    </row>
    <row r="567" spans="1:26" s="125" customFormat="1" x14ac:dyDescent="0.25">
      <c r="A567" s="461"/>
      <c r="B567" s="130" t="s">
        <v>337</v>
      </c>
      <c r="C567" s="186" t="s">
        <v>977</v>
      </c>
      <c r="D567" s="131">
        <v>41821</v>
      </c>
      <c r="E567" s="131">
        <v>41852</v>
      </c>
      <c r="F567" s="131">
        <v>41883</v>
      </c>
      <c r="G567" s="131">
        <v>41913</v>
      </c>
      <c r="H567" s="131">
        <v>41944</v>
      </c>
      <c r="I567" s="131">
        <v>41974</v>
      </c>
      <c r="J567" s="131">
        <v>42005</v>
      </c>
      <c r="K567" s="131">
        <v>42036</v>
      </c>
      <c r="L567" s="131">
        <v>42064</v>
      </c>
      <c r="M567" s="131">
        <v>42095</v>
      </c>
      <c r="N567" s="131">
        <v>42125</v>
      </c>
      <c r="O567" s="131">
        <v>42156</v>
      </c>
      <c r="P567" s="131">
        <v>42186</v>
      </c>
      <c r="Q567" s="131">
        <v>42217</v>
      </c>
      <c r="R567" s="131">
        <v>42261</v>
      </c>
      <c r="S567" s="132"/>
      <c r="T567" s="133" t="s">
        <v>338</v>
      </c>
      <c r="U567" s="134" t="s">
        <v>339</v>
      </c>
      <c r="V567" s="132"/>
      <c r="W567" s="133" t="s">
        <v>338</v>
      </c>
      <c r="X567" s="134" t="s">
        <v>339</v>
      </c>
      <c r="Y567" s="157"/>
      <c r="Z567" s="157"/>
    </row>
    <row r="568" spans="1:26" s="166" customFormat="1" x14ac:dyDescent="0.25">
      <c r="A568" s="459"/>
      <c r="B568" s="204" t="s">
        <v>319</v>
      </c>
      <c r="C568" s="610"/>
      <c r="E568" s="1170">
        <v>31869.003295898012</v>
      </c>
      <c r="F568" s="1170">
        <v>33372.985839843976</v>
      </c>
      <c r="G568" s="1170">
        <v>31777.008056641022</v>
      </c>
      <c r="H568" s="1218">
        <v>29947.998046875</v>
      </c>
      <c r="I568" s="1186">
        <v>26263.000488280966</v>
      </c>
      <c r="J568" s="1186">
        <v>26403.015136719034</v>
      </c>
      <c r="K568" s="1186">
        <v>37998.010158539211</v>
      </c>
      <c r="L568" s="1186">
        <v>30710.001468658407</v>
      </c>
      <c r="M568" s="1186">
        <v>32835.994720458999</v>
      </c>
      <c r="N568" s="1186">
        <v>30931.007385253408</v>
      </c>
      <c r="O568" s="1186">
        <v>29625.999450684005</v>
      </c>
      <c r="P568" s="756">
        <v>29063.003540038979</v>
      </c>
      <c r="Q568" s="174"/>
      <c r="T568" s="1094">
        <f>SUM(E568:P568)</f>
        <v>370797.02758789103</v>
      </c>
      <c r="U568" s="1223" t="s">
        <v>341</v>
      </c>
      <c r="W568" s="164">
        <f>T568*3413/1000000</f>
        <v>1265.5302551574721</v>
      </c>
      <c r="X568" s="162" t="s">
        <v>342</v>
      </c>
    </row>
    <row r="569" spans="1:26" s="157" customFormat="1" x14ac:dyDescent="0.25">
      <c r="A569" s="461"/>
      <c r="B569" s="135" t="s">
        <v>1137</v>
      </c>
      <c r="C569" s="599"/>
      <c r="E569" s="1188">
        <v>44.53</v>
      </c>
      <c r="F569" s="1188">
        <v>57.480000000000004</v>
      </c>
      <c r="G569" s="1188">
        <v>80.060000000000016</v>
      </c>
      <c r="H569" s="1188">
        <v>141</v>
      </c>
      <c r="I569" s="1188">
        <v>161</v>
      </c>
      <c r="J569" s="1188">
        <v>181</v>
      </c>
      <c r="K569" s="1188">
        <v>211</v>
      </c>
      <c r="L569" s="1188">
        <v>143</v>
      </c>
      <c r="M569" s="1188">
        <v>86</v>
      </c>
      <c r="N569" s="1188">
        <v>57</v>
      </c>
      <c r="O569" s="1189">
        <v>52.519936000000015</v>
      </c>
      <c r="P569" s="1188">
        <v>45.830016000000029</v>
      </c>
      <c r="Q569" s="174"/>
      <c r="T569" s="1094">
        <f t="shared" ref="T569:T574" si="39">SUM(E569:P569)</f>
        <v>1260.4199520000002</v>
      </c>
      <c r="U569" s="188" t="s">
        <v>1138</v>
      </c>
      <c r="W569" s="160">
        <f>T569</f>
        <v>1260.4199520000002</v>
      </c>
      <c r="X569" s="138" t="s">
        <v>342</v>
      </c>
    </row>
    <row r="570" spans="1:26" s="157" customFormat="1" x14ac:dyDescent="0.25">
      <c r="A570" s="461"/>
      <c r="B570" s="153" t="s">
        <v>362</v>
      </c>
      <c r="C570" s="599"/>
      <c r="E570" s="1170">
        <v>277.80529785156</v>
      </c>
      <c r="F570" s="1170">
        <v>226.11694335937</v>
      </c>
      <c r="G570" s="1170">
        <v>108.40100097657</v>
      </c>
      <c r="H570" s="1170">
        <v>26</v>
      </c>
      <c r="I570" s="1170">
        <v>16</v>
      </c>
      <c r="J570" s="1170">
        <v>10.491943359369998</v>
      </c>
      <c r="K570" s="1170">
        <v>11.402099609380002</v>
      </c>
      <c r="L570" s="1170">
        <v>42</v>
      </c>
      <c r="M570" s="1170">
        <v>98</v>
      </c>
      <c r="N570" s="1170">
        <v>194</v>
      </c>
      <c r="O570" s="756">
        <v>325.251953125</v>
      </c>
      <c r="P570" s="756">
        <v>337.26098632812</v>
      </c>
      <c r="Q570" s="178"/>
      <c r="T570" s="1094">
        <f t="shared" si="39"/>
        <v>1672.73022460937</v>
      </c>
      <c r="U570" s="188" t="s">
        <v>870</v>
      </c>
      <c r="W570" s="140">
        <f>T570*99976.124488/100000</f>
        <v>1672.3308517038658</v>
      </c>
      <c r="X570" s="138" t="s">
        <v>342</v>
      </c>
      <c r="Y570" s="495">
        <f>W568+W569+W570</f>
        <v>4198.2810588613384</v>
      </c>
      <c r="Z570" s="153" t="s">
        <v>677</v>
      </c>
    </row>
    <row r="571" spans="1:26" s="157" customFormat="1" x14ac:dyDescent="0.25">
      <c r="A571" s="461"/>
      <c r="B571" s="135" t="s">
        <v>864</v>
      </c>
      <c r="C571" s="599"/>
      <c r="E571" s="1193">
        <v>38</v>
      </c>
      <c r="F571" s="1193">
        <v>61</v>
      </c>
      <c r="G571" s="1194">
        <v>584</v>
      </c>
      <c r="H571" s="1194">
        <v>55</v>
      </c>
      <c r="I571" s="1194">
        <v>23</v>
      </c>
      <c r="J571" s="1194">
        <v>39</v>
      </c>
      <c r="K571" s="1194">
        <v>53</v>
      </c>
      <c r="L571" s="1200">
        <v>39</v>
      </c>
      <c r="M571" s="750">
        <v>54</v>
      </c>
      <c r="N571" s="750">
        <v>28</v>
      </c>
      <c r="O571" s="750">
        <v>24</v>
      </c>
      <c r="P571" s="750">
        <v>15</v>
      </c>
      <c r="Q571" s="730"/>
      <c r="T571" s="1094">
        <f t="shared" si="39"/>
        <v>1013</v>
      </c>
      <c r="U571" s="188" t="s">
        <v>379</v>
      </c>
      <c r="W571" s="141">
        <f>T571*748</f>
        <v>757724</v>
      </c>
      <c r="X571" s="188" t="s">
        <v>346</v>
      </c>
    </row>
    <row r="572" spans="1:26" s="157" customFormat="1" x14ac:dyDescent="0.25">
      <c r="A572" s="461"/>
      <c r="B572" s="135" t="s">
        <v>324</v>
      </c>
      <c r="C572" s="599"/>
      <c r="E572" s="731">
        <f t="shared" ref="E572:P572" si="40">E568*0.087</f>
        <v>2772.6032867431268</v>
      </c>
      <c r="F572" s="731">
        <f t="shared" si="40"/>
        <v>2903.4497680664258</v>
      </c>
      <c r="G572" s="731">
        <f t="shared" si="40"/>
        <v>2764.5997009277685</v>
      </c>
      <c r="H572" s="731">
        <f t="shared" si="40"/>
        <v>2605.475830078125</v>
      </c>
      <c r="I572" s="731">
        <f t="shared" si="40"/>
        <v>2284.8810424804437</v>
      </c>
      <c r="J572" s="731">
        <f t="shared" si="40"/>
        <v>2297.0623168945558</v>
      </c>
      <c r="K572" s="731">
        <f t="shared" si="40"/>
        <v>3305.8268837929113</v>
      </c>
      <c r="L572" s="731">
        <f t="shared" si="40"/>
        <v>2671.7701277732813</v>
      </c>
      <c r="M572" s="731">
        <f t="shared" si="40"/>
        <v>2856.7315406799326</v>
      </c>
      <c r="N572" s="731">
        <f t="shared" si="40"/>
        <v>2690.9976425170462</v>
      </c>
      <c r="O572" s="731">
        <f t="shared" si="40"/>
        <v>2577.4619522095081</v>
      </c>
      <c r="P572" s="731">
        <f t="shared" si="40"/>
        <v>2528.4813079833912</v>
      </c>
      <c r="Q572" s="1162"/>
      <c r="T572" s="1094">
        <f t="shared" si="39"/>
        <v>32259.341400146513</v>
      </c>
      <c r="U572" s="188"/>
      <c r="W572" s="190">
        <f>T572</f>
        <v>32259.341400146513</v>
      </c>
      <c r="X572" s="188"/>
    </row>
    <row r="573" spans="1:26" s="157" customFormat="1" x14ac:dyDescent="0.25">
      <c r="A573" s="461"/>
      <c r="B573" s="144" t="s">
        <v>348</v>
      </c>
      <c r="C573" s="599"/>
      <c r="E573" s="731">
        <f>E569*13.87</f>
        <v>617.63109999999995</v>
      </c>
      <c r="F573" s="731">
        <f>F569*13.87</f>
        <v>797.24760000000003</v>
      </c>
      <c r="G573" s="731">
        <f t="shared" ref="G573:P573" si="41">G569*13.87</f>
        <v>1110.4322000000002</v>
      </c>
      <c r="H573" s="731">
        <f t="shared" si="41"/>
        <v>1955.6699999999998</v>
      </c>
      <c r="I573" s="731">
        <f t="shared" si="41"/>
        <v>2233.0699999999997</v>
      </c>
      <c r="J573" s="731">
        <f t="shared" si="41"/>
        <v>2510.4699999999998</v>
      </c>
      <c r="K573" s="731">
        <f t="shared" si="41"/>
        <v>2926.5699999999997</v>
      </c>
      <c r="L573" s="731">
        <f t="shared" si="41"/>
        <v>1983.4099999999999</v>
      </c>
      <c r="M573" s="731">
        <f t="shared" si="41"/>
        <v>1192.82</v>
      </c>
      <c r="N573" s="731">
        <f t="shared" si="41"/>
        <v>790.58999999999992</v>
      </c>
      <c r="O573" s="731">
        <f t="shared" si="41"/>
        <v>728.45151232000012</v>
      </c>
      <c r="P573" s="731">
        <f t="shared" si="41"/>
        <v>635.66232192000041</v>
      </c>
      <c r="Q573" s="1162"/>
      <c r="T573" s="1094">
        <f t="shared" si="39"/>
        <v>17482.02473424</v>
      </c>
      <c r="U573" s="188"/>
      <c r="W573" s="190">
        <f>T573</f>
        <v>17482.02473424</v>
      </c>
      <c r="X573" s="188"/>
    </row>
    <row r="574" spans="1:26" s="157" customFormat="1" ht="16.5" x14ac:dyDescent="0.35">
      <c r="A574" s="461"/>
      <c r="B574" s="195" t="s">
        <v>398</v>
      </c>
      <c r="C574" s="599"/>
      <c r="E574" s="731">
        <f t="shared" ref="E574:P574" si="42">E570*14.4</f>
        <v>4000.3962890624639</v>
      </c>
      <c r="F574" s="731">
        <f t="shared" si="42"/>
        <v>3256.0839843749281</v>
      </c>
      <c r="G574" s="731">
        <f t="shared" si="42"/>
        <v>1560.974414062608</v>
      </c>
      <c r="H574" s="731">
        <f t="shared" si="42"/>
        <v>374.40000000000003</v>
      </c>
      <c r="I574" s="731">
        <f t="shared" si="42"/>
        <v>230.4</v>
      </c>
      <c r="J574" s="731">
        <f t="shared" si="42"/>
        <v>151.08398437492798</v>
      </c>
      <c r="K574" s="731">
        <f t="shared" si="42"/>
        <v>164.19023437507204</v>
      </c>
      <c r="L574" s="731">
        <f t="shared" si="42"/>
        <v>604.80000000000007</v>
      </c>
      <c r="M574" s="731">
        <f t="shared" si="42"/>
        <v>1411.2</v>
      </c>
      <c r="N574" s="731">
        <f t="shared" si="42"/>
        <v>2793.6</v>
      </c>
      <c r="O574" s="731">
        <f t="shared" si="42"/>
        <v>4683.6281250000002</v>
      </c>
      <c r="P574" s="731">
        <f t="shared" si="42"/>
        <v>4856.5582031249278</v>
      </c>
      <c r="Q574" s="1162"/>
      <c r="T574" s="1094">
        <f t="shared" si="39"/>
        <v>24087.315234374928</v>
      </c>
      <c r="U574" s="188"/>
      <c r="W574" s="197">
        <f>T574</f>
        <v>24087.315234374928</v>
      </c>
      <c r="X574" s="188"/>
    </row>
    <row r="575" spans="1:26" s="125" customFormat="1" x14ac:dyDescent="0.25">
      <c r="A575" s="461"/>
      <c r="B575" s="205"/>
      <c r="C575" s="152"/>
      <c r="E575" s="201"/>
      <c r="F575" s="206"/>
      <c r="G575" s="202"/>
      <c r="H575" s="203"/>
      <c r="I575" s="203"/>
      <c r="J575" s="203"/>
      <c r="K575" s="203"/>
      <c r="L575" s="203"/>
      <c r="M575" s="203"/>
      <c r="N575" s="203"/>
      <c r="O575" s="203"/>
      <c r="P575" s="203"/>
      <c r="U575" s="126"/>
      <c r="W575" s="190">
        <f>SUM(W572:W574)</f>
        <v>73828.681368761434</v>
      </c>
      <c r="X575" s="450"/>
      <c r="Y575" s="157"/>
      <c r="Z575" s="157"/>
    </row>
    <row r="578" spans="1:26" x14ac:dyDescent="0.25">
      <c r="A578" s="462">
        <v>59</v>
      </c>
      <c r="B578" s="666" t="s">
        <v>1013</v>
      </c>
      <c r="T578" s="666" t="s">
        <v>1013</v>
      </c>
    </row>
    <row r="579" spans="1:26" s="128" customFormat="1" x14ac:dyDescent="0.25">
      <c r="A579" s="459"/>
      <c r="B579" s="130" t="s">
        <v>337</v>
      </c>
      <c r="C579" s="186" t="s">
        <v>977</v>
      </c>
      <c r="D579" s="131">
        <v>41821</v>
      </c>
      <c r="E579" s="131">
        <v>41852</v>
      </c>
      <c r="F579" s="131">
        <v>41883</v>
      </c>
      <c r="G579" s="131">
        <v>41913</v>
      </c>
      <c r="H579" s="131">
        <v>41944</v>
      </c>
      <c r="I579" s="131">
        <v>41974</v>
      </c>
      <c r="J579" s="131">
        <v>42005</v>
      </c>
      <c r="K579" s="131">
        <v>42036</v>
      </c>
      <c r="L579" s="131">
        <v>42064</v>
      </c>
      <c r="M579" s="131">
        <v>42095</v>
      </c>
      <c r="N579" s="131">
        <v>42125</v>
      </c>
      <c r="O579" s="131">
        <v>42156</v>
      </c>
      <c r="P579" s="131">
        <v>42186</v>
      </c>
      <c r="Q579" s="131">
        <v>42217</v>
      </c>
      <c r="R579" s="131">
        <v>42261</v>
      </c>
      <c r="S579" s="132"/>
      <c r="T579" s="133" t="s">
        <v>338</v>
      </c>
      <c r="U579" s="134" t="s">
        <v>339</v>
      </c>
      <c r="V579" s="132"/>
      <c r="W579" s="133" t="s">
        <v>338</v>
      </c>
      <c r="X579" s="134" t="s">
        <v>339</v>
      </c>
      <c r="Y579" s="166"/>
      <c r="Z579" s="166"/>
    </row>
    <row r="580" spans="1:26" s="157" customFormat="1" x14ac:dyDescent="0.25">
      <c r="A580" s="461"/>
      <c r="B580" s="135" t="s">
        <v>319</v>
      </c>
      <c r="C580" s="599"/>
      <c r="E580" s="1170">
        <v>33423.004150389999</v>
      </c>
      <c r="F580" s="1170">
        <v>31042.007446290001</v>
      </c>
      <c r="G580" s="1170">
        <v>30466.003417968011</v>
      </c>
      <c r="H580" s="1202">
        <v>30248.992919921988</v>
      </c>
      <c r="I580" s="1186">
        <v>29457.000732421988</v>
      </c>
      <c r="J580" s="1186">
        <v>21910.980224609033</v>
      </c>
      <c r="K580" s="1186">
        <v>19745.025634765967</v>
      </c>
      <c r="L580" s="1186">
        <v>30752.990722656024</v>
      </c>
      <c r="M580" s="1186">
        <v>29761.993408203012</v>
      </c>
      <c r="N580" s="1186">
        <v>32721.008300781989</v>
      </c>
      <c r="O580" s="1186">
        <v>33212.005615234033</v>
      </c>
      <c r="P580" s="756">
        <v>37614.013671875</v>
      </c>
      <c r="Q580" s="174"/>
      <c r="T580" s="141">
        <f>SUM(E580:P580)</f>
        <v>360355.02624511701</v>
      </c>
      <c r="U580" s="188" t="s">
        <v>341</v>
      </c>
      <c r="W580" s="140">
        <f>T580*3413/1000000</f>
        <v>1229.8917045745845</v>
      </c>
      <c r="X580" s="138" t="s">
        <v>342</v>
      </c>
    </row>
    <row r="581" spans="1:26" s="157" customFormat="1" x14ac:dyDescent="0.25">
      <c r="A581" s="461"/>
      <c r="B581" s="135" t="s">
        <v>1137</v>
      </c>
      <c r="C581" s="599"/>
      <c r="E581" s="1188">
        <v>54.899999999999991</v>
      </c>
      <c r="F581" s="1188">
        <v>47.379999999999981</v>
      </c>
      <c r="G581" s="1188">
        <v>115.62</v>
      </c>
      <c r="H581" s="1188">
        <v>288</v>
      </c>
      <c r="I581" s="1188">
        <v>176</v>
      </c>
      <c r="J581" s="1188">
        <v>223.43800000000002</v>
      </c>
      <c r="K581" s="1188">
        <v>263.6458368000001</v>
      </c>
      <c r="L581" s="1188">
        <v>169.72423679999986</v>
      </c>
      <c r="M581" s="1188">
        <v>89.171840000000302</v>
      </c>
      <c r="N581" s="1188">
        <v>61.864140799999291</v>
      </c>
      <c r="O581" s="1189">
        <v>59.495961600000427</v>
      </c>
      <c r="P581" s="1188">
        <v>53.657983999999971</v>
      </c>
      <c r="Q581" s="174"/>
      <c r="T581" s="141">
        <f t="shared" ref="T581:T586" si="43">SUM(E581:P581)</f>
        <v>1602.8979999999995</v>
      </c>
      <c r="U581" s="188" t="s">
        <v>1138</v>
      </c>
      <c r="W581" s="160">
        <f>T581</f>
        <v>1602.8979999999995</v>
      </c>
      <c r="X581" s="138" t="s">
        <v>342</v>
      </c>
    </row>
    <row r="582" spans="1:26" s="157" customFormat="1" x14ac:dyDescent="0.25">
      <c r="A582" s="461"/>
      <c r="B582" s="153" t="s">
        <v>362</v>
      </c>
      <c r="C582" s="599"/>
      <c r="E582" s="1170">
        <v>268.70587158202898</v>
      </c>
      <c r="F582" s="1170">
        <v>202.57299804687</v>
      </c>
      <c r="G582" s="1170">
        <v>91.81396484375</v>
      </c>
      <c r="H582" s="1170">
        <v>17</v>
      </c>
      <c r="I582" s="1170">
        <v>13</v>
      </c>
      <c r="J582" s="1170">
        <v>10.25</v>
      </c>
      <c r="K582" s="1170">
        <v>7</v>
      </c>
      <c r="L582" s="1170">
        <v>40</v>
      </c>
      <c r="M582" s="1170">
        <v>89</v>
      </c>
      <c r="N582" s="1170">
        <v>209</v>
      </c>
      <c r="O582" s="756">
        <v>335.64013671875</v>
      </c>
      <c r="P582" s="756">
        <v>345.44702148438</v>
      </c>
      <c r="Q582" s="178"/>
      <c r="T582" s="141">
        <f t="shared" si="43"/>
        <v>1629.429992675779</v>
      </c>
      <c r="U582" s="188" t="s">
        <v>870</v>
      </c>
      <c r="W582" s="140">
        <f>T582*99976.124488/100000</f>
        <v>1629.040957922346</v>
      </c>
      <c r="X582" s="138" t="s">
        <v>342</v>
      </c>
      <c r="Y582" s="495">
        <f>W580+W581+W582</f>
        <v>4461.83066249693</v>
      </c>
      <c r="Z582" s="153" t="s">
        <v>677</v>
      </c>
    </row>
    <row r="583" spans="1:26" s="157" customFormat="1" x14ac:dyDescent="0.25">
      <c r="A583" s="461"/>
      <c r="B583" s="135" t="s">
        <v>864</v>
      </c>
      <c r="C583" s="599"/>
      <c r="E583" s="1193">
        <v>38</v>
      </c>
      <c r="F583" s="1193">
        <v>20</v>
      </c>
      <c r="G583" s="1194">
        <v>10</v>
      </c>
      <c r="H583" s="1194">
        <v>8</v>
      </c>
      <c r="I583" s="1194">
        <v>4</v>
      </c>
      <c r="J583" s="1194">
        <v>5</v>
      </c>
      <c r="K583" s="1194">
        <v>12</v>
      </c>
      <c r="L583" s="1200">
        <v>22</v>
      </c>
      <c r="M583" s="750">
        <v>9</v>
      </c>
      <c r="N583" s="750">
        <v>21</v>
      </c>
      <c r="O583" s="750">
        <v>29</v>
      </c>
      <c r="P583" s="750">
        <v>36</v>
      </c>
      <c r="Q583" s="730"/>
      <c r="T583" s="141">
        <f t="shared" si="43"/>
        <v>214</v>
      </c>
      <c r="U583" s="188" t="s">
        <v>379</v>
      </c>
      <c r="W583" s="141">
        <f>T583*748</f>
        <v>160072</v>
      </c>
      <c r="X583" s="188" t="s">
        <v>346</v>
      </c>
    </row>
    <row r="584" spans="1:26" s="157" customFormat="1" x14ac:dyDescent="0.25">
      <c r="A584" s="461"/>
      <c r="B584" s="135" t="s">
        <v>324</v>
      </c>
      <c r="C584" s="599"/>
      <c r="E584" s="731">
        <f t="shared" ref="E584:P584" si="44">E580*0.087</f>
        <v>2907.8013610839298</v>
      </c>
      <c r="F584" s="731">
        <f t="shared" si="44"/>
        <v>2700.6546478272298</v>
      </c>
      <c r="G584" s="731">
        <f t="shared" si="44"/>
        <v>2650.5422973632167</v>
      </c>
      <c r="H584" s="731">
        <f t="shared" si="44"/>
        <v>2631.6623840332127</v>
      </c>
      <c r="I584" s="731">
        <f t="shared" si="44"/>
        <v>2562.7590637207127</v>
      </c>
      <c r="J584" s="731">
        <f t="shared" si="44"/>
        <v>1906.2552795409858</v>
      </c>
      <c r="K584" s="731">
        <f t="shared" si="44"/>
        <v>1717.8172302246389</v>
      </c>
      <c r="L584" s="731">
        <f t="shared" si="44"/>
        <v>2675.5101928710737</v>
      </c>
      <c r="M584" s="731">
        <f t="shared" si="44"/>
        <v>2589.2934265136619</v>
      </c>
      <c r="N584" s="731">
        <f t="shared" si="44"/>
        <v>2846.7277221680329</v>
      </c>
      <c r="O584" s="731">
        <f t="shared" si="44"/>
        <v>2889.4444885253606</v>
      </c>
      <c r="P584" s="731">
        <f t="shared" si="44"/>
        <v>3272.419189453125</v>
      </c>
      <c r="Q584" s="1162"/>
      <c r="T584" s="141">
        <f t="shared" si="43"/>
        <v>31350.887283325184</v>
      </c>
      <c r="U584" s="188"/>
      <c r="W584" s="190">
        <f>T584</f>
        <v>31350.887283325184</v>
      </c>
      <c r="X584" s="188"/>
    </row>
    <row r="585" spans="1:26" s="157" customFormat="1" x14ac:dyDescent="0.25">
      <c r="A585" s="461"/>
      <c r="B585" s="144" t="s">
        <v>348</v>
      </c>
      <c r="C585" s="599"/>
      <c r="E585" s="731">
        <f>E581*13.87</f>
        <v>761.46299999999985</v>
      </c>
      <c r="F585" s="731">
        <f>F581*13.87</f>
        <v>657.1605999999997</v>
      </c>
      <c r="G585" s="731">
        <f t="shared" ref="G585:P585" si="45">G581*13.87</f>
        <v>1603.6494</v>
      </c>
      <c r="H585" s="731">
        <f t="shared" si="45"/>
        <v>3994.56</v>
      </c>
      <c r="I585" s="731">
        <f t="shared" si="45"/>
        <v>2441.12</v>
      </c>
      <c r="J585" s="731">
        <f t="shared" si="45"/>
        <v>3099.0850599999999</v>
      </c>
      <c r="K585" s="731">
        <f t="shared" si="45"/>
        <v>3656.7677564160012</v>
      </c>
      <c r="L585" s="731">
        <f t="shared" si="45"/>
        <v>2354.0751644159977</v>
      </c>
      <c r="M585" s="731">
        <f t="shared" si="45"/>
        <v>1236.8134208000042</v>
      </c>
      <c r="N585" s="731">
        <f t="shared" si="45"/>
        <v>858.05563289599013</v>
      </c>
      <c r="O585" s="731">
        <f t="shared" si="45"/>
        <v>825.20898739200584</v>
      </c>
      <c r="P585" s="731">
        <f t="shared" si="45"/>
        <v>744.23623807999957</v>
      </c>
      <c r="Q585" s="1162"/>
      <c r="T585" s="141">
        <f t="shared" si="43"/>
        <v>22232.195259999997</v>
      </c>
      <c r="U585" s="188"/>
      <c r="W585" s="190">
        <f>T585</f>
        <v>22232.195259999997</v>
      </c>
      <c r="X585" s="188"/>
    </row>
    <row r="586" spans="1:26" s="157" customFormat="1" ht="16.5" x14ac:dyDescent="0.35">
      <c r="A586" s="461"/>
      <c r="B586" s="195" t="s">
        <v>398</v>
      </c>
      <c r="C586" s="599"/>
      <c r="E586" s="731">
        <f t="shared" ref="E586:P586" si="46">E582*14.4</f>
        <v>3869.3645507812175</v>
      </c>
      <c r="F586" s="731">
        <f t="shared" si="46"/>
        <v>2917.0511718749281</v>
      </c>
      <c r="G586" s="731">
        <f t="shared" si="46"/>
        <v>1322.12109375</v>
      </c>
      <c r="H586" s="731">
        <f t="shared" si="46"/>
        <v>244.8</v>
      </c>
      <c r="I586" s="731">
        <f t="shared" si="46"/>
        <v>187.20000000000002</v>
      </c>
      <c r="J586" s="731">
        <f t="shared" si="46"/>
        <v>147.6</v>
      </c>
      <c r="K586" s="731">
        <f t="shared" si="46"/>
        <v>100.8</v>
      </c>
      <c r="L586" s="731">
        <f t="shared" si="46"/>
        <v>576</v>
      </c>
      <c r="M586" s="731">
        <f t="shared" si="46"/>
        <v>1281.6000000000001</v>
      </c>
      <c r="N586" s="731">
        <f t="shared" si="46"/>
        <v>3009.6</v>
      </c>
      <c r="O586" s="731">
        <f t="shared" si="46"/>
        <v>4833.2179687500002</v>
      </c>
      <c r="P586" s="731">
        <f t="shared" si="46"/>
        <v>4974.4371093750724</v>
      </c>
      <c r="Q586" s="1162"/>
      <c r="T586" s="141">
        <f t="shared" si="43"/>
        <v>23463.791894531219</v>
      </c>
      <c r="U586" s="188"/>
      <c r="W586" s="197">
        <f>T586</f>
        <v>23463.791894531219</v>
      </c>
      <c r="X586" s="188"/>
    </row>
    <row r="587" spans="1:26" s="125" customFormat="1" x14ac:dyDescent="0.25">
      <c r="A587" s="461"/>
      <c r="B587" s="205"/>
      <c r="C587" s="152"/>
      <c r="E587" s="201"/>
      <c r="F587" s="206"/>
      <c r="G587" s="202"/>
      <c r="H587" s="203"/>
      <c r="I587" s="203"/>
      <c r="J587" s="203"/>
      <c r="K587" s="203"/>
      <c r="L587" s="203"/>
      <c r="M587" s="203"/>
      <c r="N587" s="203"/>
      <c r="O587" s="203"/>
      <c r="P587" s="203"/>
      <c r="U587" s="126"/>
      <c r="W587" s="190">
        <f>SUM(W584:W586)</f>
        <v>77046.874437856401</v>
      </c>
      <c r="X587" s="450"/>
      <c r="Y587" s="157"/>
      <c r="Z587" s="157"/>
    </row>
    <row r="589" spans="1:26" x14ac:dyDescent="0.25">
      <c r="A589" s="462">
        <v>60</v>
      </c>
      <c r="B589" s="666" t="s">
        <v>1014</v>
      </c>
      <c r="T589" s="666" t="s">
        <v>1014</v>
      </c>
    </row>
    <row r="590" spans="1:26" s="125" customFormat="1" x14ac:dyDescent="0.25">
      <c r="A590" s="461"/>
      <c r="B590" s="130" t="s">
        <v>337</v>
      </c>
      <c r="C590" s="186" t="s">
        <v>977</v>
      </c>
      <c r="D590" s="131">
        <v>41821</v>
      </c>
      <c r="E590" s="131">
        <v>41852</v>
      </c>
      <c r="F590" s="131">
        <v>41883</v>
      </c>
      <c r="G590" s="131">
        <v>41913</v>
      </c>
      <c r="H590" s="131">
        <v>41944</v>
      </c>
      <c r="I590" s="131">
        <v>41974</v>
      </c>
      <c r="J590" s="131">
        <v>42005</v>
      </c>
      <c r="K590" s="131">
        <v>42036</v>
      </c>
      <c r="L590" s="131">
        <v>42064</v>
      </c>
      <c r="M590" s="131">
        <v>42095</v>
      </c>
      <c r="N590" s="131">
        <v>42125</v>
      </c>
      <c r="O590" s="131">
        <v>42156</v>
      </c>
      <c r="P590" s="131">
        <v>42186</v>
      </c>
      <c r="Q590" s="131">
        <v>42217</v>
      </c>
      <c r="R590" s="131">
        <v>42261</v>
      </c>
      <c r="S590" s="132"/>
      <c r="T590" s="133" t="s">
        <v>338</v>
      </c>
      <c r="U590" s="134" t="s">
        <v>339</v>
      </c>
      <c r="V590" s="132"/>
      <c r="W590" s="133" t="s">
        <v>338</v>
      </c>
      <c r="X590" s="134" t="s">
        <v>339</v>
      </c>
      <c r="Y590" s="157"/>
      <c r="Z590" s="157"/>
    </row>
    <row r="591" spans="1:26" s="125" customFormat="1" x14ac:dyDescent="0.25">
      <c r="A591" s="461"/>
      <c r="B591" s="135" t="s">
        <v>340</v>
      </c>
      <c r="C591" s="606"/>
      <c r="D591" s="136">
        <v>53143</v>
      </c>
      <c r="E591" s="136">
        <v>79571</v>
      </c>
      <c r="F591" s="136">
        <v>52336</v>
      </c>
      <c r="G591" s="136">
        <v>33992</v>
      </c>
      <c r="H591" s="136">
        <v>30329</v>
      </c>
      <c r="I591" s="136">
        <v>21414</v>
      </c>
      <c r="J591" s="136">
        <v>27379</v>
      </c>
      <c r="K591" s="136">
        <v>27186</v>
      </c>
      <c r="L591" s="136">
        <v>26404</v>
      </c>
      <c r="M591" s="136">
        <v>27688</v>
      </c>
      <c r="N591" s="136">
        <v>32815</v>
      </c>
      <c r="O591" s="136">
        <v>42452</v>
      </c>
      <c r="P591" s="174"/>
      <c r="Q591" s="174"/>
      <c r="R591" s="174"/>
      <c r="T591" s="140">
        <f>SUM(C591:S591)</f>
        <v>454709</v>
      </c>
      <c r="U591" s="138" t="s">
        <v>341</v>
      </c>
      <c r="V591" s="139"/>
      <c r="W591" s="140">
        <f>T591*3413/1000000</f>
        <v>1551.9218169999999</v>
      </c>
      <c r="X591" s="138" t="s">
        <v>342</v>
      </c>
      <c r="Y591" s="157"/>
      <c r="Z591" s="157"/>
    </row>
    <row r="592" spans="1:26" s="125" customFormat="1" x14ac:dyDescent="0.25">
      <c r="A592" s="461"/>
      <c r="B592" s="135" t="s">
        <v>372</v>
      </c>
      <c r="C592" s="606"/>
      <c r="D592" s="136">
        <v>513</v>
      </c>
      <c r="E592" s="136">
        <v>1105</v>
      </c>
      <c r="F592" s="136">
        <v>711</v>
      </c>
      <c r="G592" s="136">
        <v>503</v>
      </c>
      <c r="H592" s="136">
        <v>622</v>
      </c>
      <c r="I592" s="136">
        <v>728</v>
      </c>
      <c r="J592" s="136">
        <v>1157</v>
      </c>
      <c r="K592" s="136">
        <v>1520</v>
      </c>
      <c r="L592" s="136">
        <v>577</v>
      </c>
      <c r="M592" s="136">
        <v>224</v>
      </c>
      <c r="N592" s="136">
        <v>127</v>
      </c>
      <c r="O592" s="136">
        <v>115</v>
      </c>
      <c r="P592" s="174"/>
      <c r="Q592" s="174"/>
      <c r="R592" s="174"/>
      <c r="T592" s="140">
        <f>SUM(C592:S592)</f>
        <v>7902</v>
      </c>
      <c r="U592" s="138" t="s">
        <v>354</v>
      </c>
      <c r="V592" s="139"/>
      <c r="W592" s="140">
        <f>T592*99976.124488/1000000</f>
        <v>790.01133570417608</v>
      </c>
      <c r="X592" s="138" t="s">
        <v>342</v>
      </c>
      <c r="Y592" s="495">
        <f>W591+W592</f>
        <v>2341.9331527041759</v>
      </c>
      <c r="Z592" s="153" t="s">
        <v>677</v>
      </c>
    </row>
    <row r="593" spans="1:26" s="125" customFormat="1" x14ac:dyDescent="0.25">
      <c r="A593" s="461"/>
      <c r="B593" s="135" t="s">
        <v>345</v>
      </c>
      <c r="C593" s="606"/>
      <c r="D593" s="141">
        <v>18700</v>
      </c>
      <c r="E593" s="141">
        <v>3740</v>
      </c>
      <c r="F593" s="141">
        <v>1496</v>
      </c>
      <c r="G593" s="141">
        <v>2992</v>
      </c>
      <c r="H593" s="141">
        <v>3740</v>
      </c>
      <c r="I593" s="141">
        <v>1496</v>
      </c>
      <c r="J593" s="141">
        <v>4488</v>
      </c>
      <c r="K593" s="141">
        <v>2244</v>
      </c>
      <c r="L593" s="141">
        <v>3740</v>
      </c>
      <c r="M593" s="141">
        <v>4488</v>
      </c>
      <c r="N593" s="141">
        <v>2992</v>
      </c>
      <c r="O593" s="141">
        <v>1496</v>
      </c>
      <c r="P593" s="178"/>
      <c r="Q593" s="178"/>
      <c r="R593" s="178"/>
      <c r="T593" s="140">
        <f>SUM(C593:S593)</f>
        <v>51612</v>
      </c>
      <c r="U593" s="138" t="s">
        <v>346</v>
      </c>
      <c r="V593" s="139"/>
      <c r="W593" s="137">
        <f>T593</f>
        <v>51612</v>
      </c>
      <c r="X593" s="138" t="s">
        <v>346</v>
      </c>
      <c r="Y593" s="157"/>
      <c r="Z593" s="157"/>
    </row>
    <row r="594" spans="1:26" s="125" customFormat="1" x14ac:dyDescent="0.25">
      <c r="A594" s="461"/>
      <c r="B594" s="135" t="s">
        <v>324</v>
      </c>
      <c r="C594" s="606"/>
      <c r="D594" s="142">
        <v>4660.51</v>
      </c>
      <c r="E594" s="142">
        <v>6598.56</v>
      </c>
      <c r="F594" s="142">
        <v>4412.95</v>
      </c>
      <c r="G594" s="142">
        <v>2911.75</v>
      </c>
      <c r="H594" s="142">
        <v>2687.21</v>
      </c>
      <c r="I594" s="142">
        <v>2275.17</v>
      </c>
      <c r="J594" s="142">
        <v>2696.42</v>
      </c>
      <c r="K594" s="142">
        <v>2684.14</v>
      </c>
      <c r="L594" s="142">
        <v>2634.35</v>
      </c>
      <c r="M594" s="142">
        <v>2716.1</v>
      </c>
      <c r="N594" s="142">
        <v>3082.43</v>
      </c>
      <c r="O594" s="142">
        <v>3659.7</v>
      </c>
      <c r="P594" s="176"/>
      <c r="Q594" s="176"/>
      <c r="R594" s="176"/>
      <c r="T594" s="143">
        <f>SUM(C594:S594)</f>
        <v>41019.289999999994</v>
      </c>
      <c r="U594" s="138"/>
      <c r="V594" s="139"/>
      <c r="W594" s="143">
        <f>T594</f>
        <v>41019.289999999994</v>
      </c>
      <c r="X594" s="138"/>
      <c r="Y594" s="157"/>
      <c r="Z594" s="157"/>
    </row>
    <row r="595" spans="1:26" s="125" customFormat="1" ht="16.5" x14ac:dyDescent="0.35">
      <c r="A595" s="461"/>
      <c r="B595" s="144" t="s">
        <v>374</v>
      </c>
      <c r="C595" s="607"/>
      <c r="D595" s="145">
        <v>1735.9</v>
      </c>
      <c r="E595" s="145">
        <v>2786.52</v>
      </c>
      <c r="F595" s="145">
        <v>983.91</v>
      </c>
      <c r="G595" s="145">
        <v>715.33</v>
      </c>
      <c r="H595" s="145">
        <v>850.03</v>
      </c>
      <c r="I595" s="145">
        <v>992.45</v>
      </c>
      <c r="J595" s="145">
        <v>1438.3</v>
      </c>
      <c r="K595" s="145">
        <v>1739.67</v>
      </c>
      <c r="L595" s="145">
        <v>556.76</v>
      </c>
      <c r="M595" s="145">
        <v>234.97</v>
      </c>
      <c r="N595" s="145">
        <v>127</v>
      </c>
      <c r="O595" s="145">
        <v>109.79</v>
      </c>
      <c r="P595" s="179"/>
      <c r="Q595" s="179"/>
      <c r="R595" s="179"/>
      <c r="T595" s="143">
        <f>SUM(C595:S595)</f>
        <v>12270.63</v>
      </c>
      <c r="U595" s="138"/>
      <c r="V595" s="139"/>
      <c r="W595" s="146">
        <f>T595</f>
        <v>12270.63</v>
      </c>
      <c r="X595" s="138"/>
      <c r="Y595" s="157"/>
      <c r="Z595" s="157"/>
    </row>
    <row r="596" spans="1:26" x14ac:dyDescent="0.25">
      <c r="W596" s="143">
        <f>SUM(W594:W595)</f>
        <v>53289.919999999991</v>
      </c>
      <c r="X596" s="138"/>
    </row>
    <row r="599" spans="1:26" x14ac:dyDescent="0.25">
      <c r="A599" s="462">
        <v>61</v>
      </c>
      <c r="B599" s="666" t="s">
        <v>1015</v>
      </c>
      <c r="T599" s="666" t="s">
        <v>1015</v>
      </c>
    </row>
    <row r="600" spans="1:26" s="125" customFormat="1" x14ac:dyDescent="0.25">
      <c r="A600" s="461"/>
      <c r="B600" s="130" t="s">
        <v>337</v>
      </c>
      <c r="C600" s="186" t="s">
        <v>977</v>
      </c>
      <c r="D600" s="131">
        <v>41821</v>
      </c>
      <c r="E600" s="131">
        <v>41852</v>
      </c>
      <c r="F600" s="131">
        <v>41883</v>
      </c>
      <c r="G600" s="131">
        <v>41913</v>
      </c>
      <c r="H600" s="131">
        <v>41944</v>
      </c>
      <c r="I600" s="131">
        <v>41974</v>
      </c>
      <c r="J600" s="131">
        <v>42005</v>
      </c>
      <c r="K600" s="131">
        <v>42036</v>
      </c>
      <c r="L600" s="131">
        <v>42064</v>
      </c>
      <c r="M600" s="131">
        <v>42095</v>
      </c>
      <c r="N600" s="131">
        <v>42125</v>
      </c>
      <c r="O600" s="131">
        <v>42156</v>
      </c>
      <c r="P600" s="131" t="s">
        <v>1055</v>
      </c>
      <c r="Q600" s="151">
        <v>42217</v>
      </c>
      <c r="R600" s="131">
        <v>42261</v>
      </c>
      <c r="S600" s="132"/>
      <c r="T600" s="133" t="s">
        <v>338</v>
      </c>
      <c r="U600" s="134" t="s">
        <v>339</v>
      </c>
      <c r="V600" s="132"/>
      <c r="W600" s="133" t="s">
        <v>338</v>
      </c>
      <c r="X600" s="134" t="s">
        <v>339</v>
      </c>
      <c r="Y600" s="157"/>
      <c r="Z600" s="157"/>
    </row>
    <row r="601" spans="1:26" s="125" customFormat="1" x14ac:dyDescent="0.25">
      <c r="A601" s="461"/>
      <c r="B601" s="135" t="s">
        <v>340</v>
      </c>
      <c r="C601" s="606"/>
      <c r="D601" s="174"/>
      <c r="E601" s="454">
        <v>133266</v>
      </c>
      <c r="F601" s="454">
        <v>235067</v>
      </c>
      <c r="G601" s="454">
        <v>119199</v>
      </c>
      <c r="H601" s="454">
        <v>159826</v>
      </c>
      <c r="I601" s="454">
        <v>141346</v>
      </c>
      <c r="J601" s="454">
        <v>131900</v>
      </c>
      <c r="K601" s="454">
        <v>130400</v>
      </c>
      <c r="L601" s="454">
        <v>140609</v>
      </c>
      <c r="M601" s="454">
        <v>162851</v>
      </c>
      <c r="N601" s="454">
        <v>169035</v>
      </c>
      <c r="O601" s="454">
        <v>164385</v>
      </c>
      <c r="P601" s="136">
        <f>(E601+O601)/2</f>
        <v>148825.5</v>
      </c>
      <c r="Q601" s="174"/>
      <c r="R601" s="174"/>
      <c r="T601" s="140">
        <f>SUM(C601:S601)</f>
        <v>1836709.5</v>
      </c>
      <c r="U601" s="138" t="s">
        <v>341</v>
      </c>
      <c r="V601" s="139"/>
      <c r="W601" s="140">
        <f>T601*3413/1000000</f>
        <v>6268.6895235000002</v>
      </c>
      <c r="X601" s="138" t="s">
        <v>342</v>
      </c>
      <c r="Y601" s="157"/>
      <c r="Z601" s="157"/>
    </row>
    <row r="602" spans="1:26" s="125" customFormat="1" x14ac:dyDescent="0.25">
      <c r="A602" s="461"/>
      <c r="B602" s="135" t="s">
        <v>372</v>
      </c>
      <c r="C602" s="606"/>
      <c r="D602" s="174"/>
      <c r="E602" s="454">
        <v>1540</v>
      </c>
      <c r="F602" s="454">
        <v>1999</v>
      </c>
      <c r="G602" s="454">
        <v>2358</v>
      </c>
      <c r="H602" s="454">
        <v>3838</v>
      </c>
      <c r="I602" s="454">
        <v>4971</v>
      </c>
      <c r="J602" s="454">
        <v>7224</v>
      </c>
      <c r="K602" s="454">
        <v>6667</v>
      </c>
      <c r="L602" s="454">
        <v>4630</v>
      </c>
      <c r="M602" s="454">
        <v>3142</v>
      </c>
      <c r="N602" s="454">
        <v>2264</v>
      </c>
      <c r="O602" s="454">
        <v>1800</v>
      </c>
      <c r="P602" s="136">
        <f>(E602+O602)/2</f>
        <v>1670</v>
      </c>
      <c r="Q602" s="174"/>
      <c r="R602" s="174"/>
      <c r="T602" s="140">
        <f>SUM(C602:S602)</f>
        <v>42103</v>
      </c>
      <c r="U602" s="138" t="s">
        <v>354</v>
      </c>
      <c r="V602" s="139"/>
      <c r="W602" s="140">
        <f>T602*99976.124488/1000000</f>
        <v>4209.2947693182641</v>
      </c>
      <c r="X602" s="138" t="s">
        <v>342</v>
      </c>
      <c r="Y602" s="495">
        <f>W601+W602</f>
        <v>10477.984292818264</v>
      </c>
      <c r="Z602" s="153" t="s">
        <v>677</v>
      </c>
    </row>
    <row r="603" spans="1:26" s="125" customFormat="1" x14ac:dyDescent="0.25">
      <c r="A603" s="461"/>
      <c r="B603" s="135" t="s">
        <v>366</v>
      </c>
      <c r="C603" s="606"/>
      <c r="D603" s="178"/>
      <c r="E603" s="454">
        <v>41013</v>
      </c>
      <c r="F603" s="454">
        <v>60816</v>
      </c>
      <c r="G603" s="454">
        <v>64336</v>
      </c>
      <c r="H603" s="454">
        <v>48323</v>
      </c>
      <c r="I603" s="454">
        <v>26879</v>
      </c>
      <c r="J603" s="454">
        <v>32356</v>
      </c>
      <c r="K603" s="454">
        <v>33538</v>
      </c>
      <c r="L603" s="454">
        <v>35992</v>
      </c>
      <c r="M603" s="454">
        <v>42514</v>
      </c>
      <c r="N603" s="454">
        <v>21915</v>
      </c>
      <c r="O603" s="454">
        <v>26888</v>
      </c>
      <c r="P603" s="136">
        <f>(E603+O603)/2</f>
        <v>33950.5</v>
      </c>
      <c r="Q603" s="178"/>
      <c r="R603" s="178"/>
      <c r="T603" s="140">
        <f>SUM(C603:S603)</f>
        <v>468520.5</v>
      </c>
      <c r="U603" s="138" t="s">
        <v>367</v>
      </c>
      <c r="V603" s="139"/>
      <c r="W603" s="137">
        <f>T603*7.48</f>
        <v>3504533.3400000003</v>
      </c>
      <c r="X603" s="138" t="s">
        <v>346</v>
      </c>
      <c r="Y603" s="157"/>
      <c r="Z603" s="157"/>
    </row>
    <row r="604" spans="1:26" s="125" customFormat="1" x14ac:dyDescent="0.25">
      <c r="A604" s="461"/>
      <c r="B604" s="135" t="s">
        <v>324</v>
      </c>
      <c r="C604" s="606"/>
      <c r="D604" s="176"/>
      <c r="E604" s="455">
        <v>9538.9497708823528</v>
      </c>
      <c r="F604" s="455">
        <v>16277.514663497885</v>
      </c>
      <c r="G604" s="455">
        <v>7312.6336175629294</v>
      </c>
      <c r="H604" s="455">
        <v>9192.4589841666657</v>
      </c>
      <c r="I604" s="455">
        <v>8138.8668554054666</v>
      </c>
      <c r="J604" s="455">
        <v>7356.2016970752093</v>
      </c>
      <c r="K604" s="455">
        <v>7350.8990816151199</v>
      </c>
      <c r="L604" s="455">
        <v>8224.0912558415039</v>
      </c>
      <c r="M604" s="455">
        <v>9088.4024945193796</v>
      </c>
      <c r="N604" s="455">
        <v>9500.7626417613628</v>
      </c>
      <c r="O604" s="455">
        <v>10317.497021249999</v>
      </c>
      <c r="P604" s="136">
        <f>(E604+O604)/2</f>
        <v>9928.2233960661761</v>
      </c>
      <c r="Q604" s="176"/>
      <c r="R604" s="176"/>
      <c r="T604" s="143">
        <f>SUM(C604:S604)</f>
        <v>112226.50147964407</v>
      </c>
      <c r="U604" s="138"/>
      <c r="V604" s="139"/>
      <c r="W604" s="143">
        <f>T604</f>
        <v>112226.50147964407</v>
      </c>
      <c r="X604" s="138"/>
      <c r="Y604" s="157"/>
      <c r="Z604" s="157"/>
    </row>
    <row r="605" spans="1:26" s="125" customFormat="1" x14ac:dyDescent="0.25">
      <c r="A605" s="461"/>
      <c r="B605" s="144" t="s">
        <v>374</v>
      </c>
      <c r="C605" s="607"/>
      <c r="D605" s="179"/>
      <c r="E605" s="455">
        <v>1430.74</v>
      </c>
      <c r="F605" s="455">
        <v>1850.17</v>
      </c>
      <c r="G605" s="455">
        <v>2178.21</v>
      </c>
      <c r="H605" s="455">
        <v>3509.17</v>
      </c>
      <c r="I605" s="455">
        <v>4543.78</v>
      </c>
      <c r="J605" s="455">
        <v>6226.92</v>
      </c>
      <c r="K605" s="455">
        <v>5308.41</v>
      </c>
      <c r="L605" s="455">
        <v>3149.3</v>
      </c>
      <c r="M605" s="455">
        <f>(L605+N605)/2</f>
        <v>2172.9900000000002</v>
      </c>
      <c r="N605" s="455">
        <v>1196.68</v>
      </c>
      <c r="O605" s="455">
        <v>1224.0899999999999</v>
      </c>
      <c r="P605" s="136">
        <f>(E605+O605)/2</f>
        <v>1327.415</v>
      </c>
      <c r="Q605" s="179"/>
      <c r="R605" s="179"/>
      <c r="T605" s="143">
        <f>SUM(C605:S605)</f>
        <v>34117.875</v>
      </c>
      <c r="U605" s="138"/>
      <c r="V605" s="139"/>
      <c r="W605" s="143">
        <f>T605</f>
        <v>34117.875</v>
      </c>
      <c r="X605" s="138"/>
      <c r="Y605" s="157"/>
      <c r="Z605" s="157"/>
    </row>
    <row r="606" spans="1:26" x14ac:dyDescent="0.25">
      <c r="P606" s="345" t="s">
        <v>1054</v>
      </c>
      <c r="W606" s="143">
        <f>SUM(W604:W605)</f>
        <v>146344.37647964407</v>
      </c>
      <c r="X606" s="138"/>
    </row>
  </sheetData>
  <pageMargins left="0.7" right="0.7" top="0.75" bottom="0.75" header="0.3" footer="0.3"/>
  <pageSetup orientation="portrait" r:id="rId1"/>
  <ignoredErrors>
    <ignoredError sqref="W537 W422 W109 W81 W379"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902"/>
  <sheetViews>
    <sheetView topLeftCell="A464" zoomScale="89" zoomScaleNormal="89" workbookViewId="0">
      <selection activeCell="B367" sqref="B367"/>
    </sheetView>
  </sheetViews>
  <sheetFormatPr defaultRowHeight="12.75" x14ac:dyDescent="0.2"/>
  <cols>
    <col min="1" max="1" width="8.85546875" style="930"/>
    <col min="2" max="2" width="26.28515625" bestFit="1" customWidth="1"/>
    <col min="3" max="6" width="11.5703125" bestFit="1" customWidth="1"/>
    <col min="7" max="14" width="11.42578125" bestFit="1" customWidth="1"/>
    <col min="15" max="15" width="13.5703125" bestFit="1" customWidth="1"/>
    <col min="16" max="17" width="10.42578125" bestFit="1" customWidth="1"/>
  </cols>
  <sheetData>
    <row r="1" spans="1:14" x14ac:dyDescent="0.2">
      <c r="A1" s="930">
        <v>1</v>
      </c>
      <c r="B1" s="666" t="s">
        <v>336</v>
      </c>
    </row>
    <row r="2" spans="1:14" ht="60" x14ac:dyDescent="0.2">
      <c r="B2" s="1132" t="s">
        <v>1119</v>
      </c>
      <c r="C2" s="1132" t="s">
        <v>1120</v>
      </c>
      <c r="D2" s="1132" t="s">
        <v>1121</v>
      </c>
      <c r="E2" s="1132" t="s">
        <v>1122</v>
      </c>
      <c r="F2" s="1132" t="s">
        <v>1123</v>
      </c>
      <c r="G2" s="1132" t="s">
        <v>1124</v>
      </c>
      <c r="H2" s="1132" t="s">
        <v>1125</v>
      </c>
    </row>
    <row r="3" spans="1:14" x14ac:dyDescent="0.2">
      <c r="B3" s="1143" t="s">
        <v>1118</v>
      </c>
      <c r="C3" s="1133">
        <v>906743.11996539996</v>
      </c>
      <c r="D3" s="1134">
        <v>1882789.4000000001</v>
      </c>
      <c r="E3" s="1135">
        <v>1690222.9999654</v>
      </c>
      <c r="F3" s="1136">
        <v>79884.205849999998</v>
      </c>
      <c r="G3" s="1137">
        <v>39542.639999999999</v>
      </c>
      <c r="H3" s="1136">
        <v>20136.292300000001</v>
      </c>
    </row>
    <row r="5" spans="1:14" x14ac:dyDescent="0.2">
      <c r="A5" s="930">
        <v>2</v>
      </c>
      <c r="B5" s="666" t="s">
        <v>1046</v>
      </c>
      <c r="C5" s="666"/>
      <c r="D5" s="666" t="s">
        <v>82</v>
      </c>
    </row>
    <row r="6" spans="1:14" x14ac:dyDescent="0.2">
      <c r="C6" s="968">
        <v>42199</v>
      </c>
      <c r="D6" s="968">
        <v>42230</v>
      </c>
      <c r="E6" s="968">
        <v>42261</v>
      </c>
      <c r="F6" s="968">
        <v>42291</v>
      </c>
      <c r="G6" s="968">
        <v>42322</v>
      </c>
      <c r="H6" s="968">
        <v>42352</v>
      </c>
      <c r="I6" s="968">
        <v>42019</v>
      </c>
      <c r="J6" s="968">
        <v>42050</v>
      </c>
      <c r="K6" s="968">
        <v>42078</v>
      </c>
      <c r="L6" s="968">
        <v>42109</v>
      </c>
      <c r="M6" s="968">
        <v>42139</v>
      </c>
      <c r="N6" s="968">
        <v>42170</v>
      </c>
    </row>
    <row r="7" spans="1:14" x14ac:dyDescent="0.2">
      <c r="B7" t="s">
        <v>694</v>
      </c>
    </row>
    <row r="8" spans="1:14" x14ac:dyDescent="0.2">
      <c r="B8" t="s">
        <v>695</v>
      </c>
      <c r="C8" s="973">
        <v>58248</v>
      </c>
      <c r="D8" s="973">
        <v>73841</v>
      </c>
      <c r="E8" s="973">
        <v>64140</v>
      </c>
      <c r="F8" s="973">
        <v>48489</v>
      </c>
      <c r="G8" s="973">
        <v>74632</v>
      </c>
      <c r="H8" s="973">
        <v>62878</v>
      </c>
      <c r="I8" s="973">
        <v>23850</v>
      </c>
      <c r="J8" s="973">
        <v>52081</v>
      </c>
      <c r="K8" s="973">
        <v>57328</v>
      </c>
      <c r="L8" s="973">
        <v>60797</v>
      </c>
      <c r="M8" s="973">
        <v>63751</v>
      </c>
      <c r="N8" s="973">
        <v>47783</v>
      </c>
    </row>
    <row r="9" spans="1:14" x14ac:dyDescent="0.2">
      <c r="B9" t="s">
        <v>696</v>
      </c>
      <c r="C9" s="973">
        <v>1544</v>
      </c>
      <c r="D9" s="973">
        <v>1757</v>
      </c>
      <c r="E9" s="973">
        <v>2603</v>
      </c>
      <c r="F9" s="973">
        <v>2191</v>
      </c>
      <c r="G9" s="973">
        <v>3206</v>
      </c>
      <c r="H9" s="973">
        <v>2740</v>
      </c>
      <c r="I9" s="973">
        <v>3855</v>
      </c>
      <c r="J9" s="973">
        <v>4075</v>
      </c>
      <c r="K9" s="973">
        <v>3194</v>
      </c>
      <c r="L9" s="973">
        <v>2249</v>
      </c>
      <c r="M9" s="973">
        <v>1506</v>
      </c>
      <c r="N9" s="973">
        <v>1021</v>
      </c>
    </row>
    <row r="10" spans="1:14" x14ac:dyDescent="0.2">
      <c r="B10" t="s">
        <v>697</v>
      </c>
      <c r="C10" s="973">
        <v>11520</v>
      </c>
      <c r="D10" s="973">
        <v>14330</v>
      </c>
      <c r="E10" s="973">
        <v>19980</v>
      </c>
      <c r="F10" s="973">
        <v>19980</v>
      </c>
      <c r="G10" s="973">
        <v>14640</v>
      </c>
      <c r="H10" s="973">
        <v>6652</v>
      </c>
      <c r="I10" s="973">
        <v>13970</v>
      </c>
      <c r="J10" s="973">
        <v>10420</v>
      </c>
      <c r="K10" s="973">
        <v>12020</v>
      </c>
      <c r="L10" s="973">
        <v>13120</v>
      </c>
      <c r="M10" s="973">
        <v>7020</v>
      </c>
      <c r="N10" s="973">
        <v>6172</v>
      </c>
    </row>
    <row r="11" spans="1:14" x14ac:dyDescent="0.2">
      <c r="B11" t="s">
        <v>705</v>
      </c>
      <c r="C11" s="973"/>
      <c r="D11" s="973"/>
      <c r="E11" s="973"/>
      <c r="F11" s="973"/>
      <c r="G11" s="973"/>
      <c r="H11" s="973">
        <v>0</v>
      </c>
      <c r="I11" s="973">
        <v>0</v>
      </c>
      <c r="J11" s="973">
        <v>42</v>
      </c>
      <c r="K11" s="973">
        <v>120</v>
      </c>
      <c r="L11" s="973">
        <v>489</v>
      </c>
      <c r="M11" s="973">
        <v>688</v>
      </c>
      <c r="N11" s="973">
        <v>860</v>
      </c>
    </row>
    <row r="13" spans="1:14" x14ac:dyDescent="0.2">
      <c r="B13" t="s">
        <v>698</v>
      </c>
    </row>
    <row r="14" spans="1:14" x14ac:dyDescent="0.2">
      <c r="B14" t="s">
        <v>699</v>
      </c>
      <c r="C14" s="492">
        <v>4058.8744996517958</v>
      </c>
      <c r="D14" s="492">
        <v>5285.4110578221289</v>
      </c>
      <c r="E14" s="492">
        <v>4441.4562253176937</v>
      </c>
      <c r="F14" s="492">
        <v>2974.7086089816935</v>
      </c>
      <c r="G14" s="492">
        <v>4292.490576666667</v>
      </c>
      <c r="H14" s="492">
        <v>3620.5882736984768</v>
      </c>
      <c r="I14" s="492">
        <v>1330.1395790389972</v>
      </c>
      <c r="J14" s="492">
        <v>2935.9062505337201</v>
      </c>
      <c r="K14" s="492">
        <v>3353.0620622782449</v>
      </c>
      <c r="L14" s="492">
        <v>3392.9641602403099</v>
      </c>
      <c r="M14" s="492">
        <v>3583.1817030492421</v>
      </c>
      <c r="N14" s="492">
        <v>2999.0629325448717</v>
      </c>
    </row>
    <row r="15" spans="1:14" x14ac:dyDescent="0.2">
      <c r="B15" t="s">
        <v>700</v>
      </c>
      <c r="C15" s="492">
        <v>1340.56</v>
      </c>
      <c r="D15" s="492">
        <v>1522.46</v>
      </c>
      <c r="E15" s="492">
        <v>2244.94</v>
      </c>
      <c r="F15" s="492">
        <v>1893.09</v>
      </c>
      <c r="G15" s="492">
        <v>2743.17</v>
      </c>
      <c r="H15" s="492">
        <v>2319.9499999999998</v>
      </c>
      <c r="I15" s="492">
        <v>3115.79</v>
      </c>
      <c r="J15" s="492">
        <v>3040.89</v>
      </c>
      <c r="K15" s="492">
        <v>2037.24</v>
      </c>
      <c r="L15" s="492">
        <v>0</v>
      </c>
      <c r="M15" s="492">
        <v>683.8</v>
      </c>
      <c r="N15" s="492">
        <v>703.85</v>
      </c>
    </row>
    <row r="16" spans="1:14" x14ac:dyDescent="0.2">
      <c r="B16" t="s">
        <v>701</v>
      </c>
      <c r="C16" s="492">
        <v>818.84225629624473</v>
      </c>
      <c r="D16" s="492">
        <v>1040.7772151914787</v>
      </c>
      <c r="E16" s="492">
        <v>1453.9052657849204</v>
      </c>
      <c r="F16" s="492">
        <v>1524.029185644594</v>
      </c>
      <c r="G16" s="492">
        <v>1155.0367877399478</v>
      </c>
      <c r="H16" s="492">
        <v>564.51862031207236</v>
      </c>
      <c r="I16" s="492">
        <v>1294.6638805474488</v>
      </c>
      <c r="J16" s="492">
        <v>868.9753397849463</v>
      </c>
      <c r="K16" s="492">
        <v>990.07957366943708</v>
      </c>
      <c r="L16" s="492">
        <v>1027.5857854077253</v>
      </c>
      <c r="M16" s="492">
        <v>534.84703879016399</v>
      </c>
      <c r="N16" s="492">
        <v>449.06745483693868</v>
      </c>
    </row>
    <row r="17" spans="1:14" x14ac:dyDescent="0.2">
      <c r="B17" t="s">
        <v>707</v>
      </c>
      <c r="C17" s="492">
        <v>0</v>
      </c>
      <c r="D17" s="492">
        <v>0</v>
      </c>
      <c r="E17" s="492">
        <v>0</v>
      </c>
      <c r="F17" s="492">
        <v>0</v>
      </c>
      <c r="G17" s="492">
        <v>0</v>
      </c>
      <c r="H17" s="492">
        <v>0</v>
      </c>
      <c r="I17" s="492">
        <v>0</v>
      </c>
      <c r="J17" s="492">
        <v>252.96890062700757</v>
      </c>
      <c r="K17" s="492">
        <v>721.59733087369614</v>
      </c>
      <c r="L17" s="492">
        <v>2609.4160310248822</v>
      </c>
      <c r="M17" s="492">
        <v>2878.4578573002314</v>
      </c>
      <c r="N17" s="492">
        <v>4181.2328527601921</v>
      </c>
    </row>
    <row r="18" spans="1:14" x14ac:dyDescent="0.2">
      <c r="B18" t="s">
        <v>702</v>
      </c>
    </row>
    <row r="19" spans="1:14" x14ac:dyDescent="0.2">
      <c r="B19" t="s">
        <v>703</v>
      </c>
      <c r="J19" t="s">
        <v>1040</v>
      </c>
    </row>
    <row r="20" spans="1:14" x14ac:dyDescent="0.2">
      <c r="B20" t="s">
        <v>1041</v>
      </c>
    </row>
    <row r="21" spans="1:14" x14ac:dyDescent="0.2">
      <c r="B21" t="s">
        <v>1042</v>
      </c>
    </row>
    <row r="23" spans="1:14" s="666" customFormat="1" x14ac:dyDescent="0.2">
      <c r="A23" s="930">
        <v>3</v>
      </c>
      <c r="B23" s="666" t="s">
        <v>1045</v>
      </c>
      <c r="D23" s="666" t="s">
        <v>64</v>
      </c>
    </row>
    <row r="24" spans="1:14" x14ac:dyDescent="0.2">
      <c r="C24" s="968">
        <v>42199</v>
      </c>
      <c r="D24" s="968">
        <v>42230</v>
      </c>
      <c r="E24" s="968">
        <v>42261</v>
      </c>
      <c r="F24" s="968">
        <v>42291</v>
      </c>
      <c r="G24" s="968">
        <v>42322</v>
      </c>
      <c r="H24" s="968">
        <v>42352</v>
      </c>
      <c r="I24" s="968">
        <v>42019</v>
      </c>
      <c r="J24" s="968">
        <v>42050</v>
      </c>
      <c r="K24" s="968">
        <v>42078</v>
      </c>
      <c r="L24" s="968">
        <v>42109</v>
      </c>
      <c r="M24" s="968">
        <v>42139</v>
      </c>
      <c r="N24" s="968">
        <v>42170</v>
      </c>
    </row>
    <row r="25" spans="1:14" x14ac:dyDescent="0.2">
      <c r="B25" t="s">
        <v>694</v>
      </c>
    </row>
    <row r="26" spans="1:14" x14ac:dyDescent="0.2">
      <c r="B26" t="s">
        <v>695</v>
      </c>
      <c r="C26" s="973">
        <v>180200</v>
      </c>
      <c r="D26" s="973">
        <v>207501</v>
      </c>
      <c r="E26" s="973">
        <v>167465</v>
      </c>
      <c r="F26" s="973">
        <v>164770</v>
      </c>
      <c r="G26" s="973">
        <v>135799</v>
      </c>
      <c r="H26" s="973">
        <v>119754</v>
      </c>
      <c r="I26" s="973">
        <v>138887</v>
      </c>
      <c r="J26" s="973">
        <v>118400</v>
      </c>
      <c r="K26" s="973">
        <v>123371</v>
      </c>
      <c r="L26" s="973">
        <v>153382</v>
      </c>
      <c r="M26" s="973">
        <v>149826</v>
      </c>
      <c r="N26" s="973">
        <v>158234</v>
      </c>
    </row>
    <row r="27" spans="1:14" x14ac:dyDescent="0.2">
      <c r="B27" t="s">
        <v>696</v>
      </c>
      <c r="C27" s="973">
        <v>3393</v>
      </c>
      <c r="D27" s="973">
        <v>3385</v>
      </c>
      <c r="E27" s="973">
        <v>3936</v>
      </c>
      <c r="F27" s="973">
        <v>2828</v>
      </c>
      <c r="G27" s="973">
        <v>5568</v>
      </c>
      <c r="H27" s="973">
        <v>6248</v>
      </c>
      <c r="I27" s="973">
        <v>8297</v>
      </c>
      <c r="J27" s="973">
        <v>6995</v>
      </c>
      <c r="K27" s="973">
        <v>5056</v>
      </c>
      <c r="L27" s="973">
        <v>3796</v>
      </c>
      <c r="M27" s="973">
        <v>3010</v>
      </c>
      <c r="N27" s="973">
        <v>2465</v>
      </c>
    </row>
    <row r="28" spans="1:14" x14ac:dyDescent="0.2">
      <c r="B28" t="s">
        <v>697</v>
      </c>
      <c r="C28" s="973">
        <v>59844</v>
      </c>
      <c r="D28" s="973">
        <v>55320</v>
      </c>
      <c r="E28" s="973">
        <v>72656</v>
      </c>
      <c r="F28" s="973">
        <v>53662</v>
      </c>
      <c r="G28" s="973">
        <v>45363</v>
      </c>
      <c r="H28" s="973">
        <v>25194</v>
      </c>
      <c r="I28" s="973">
        <v>49194</v>
      </c>
      <c r="J28" s="973">
        <v>68476</v>
      </c>
      <c r="K28" s="973">
        <v>52813</v>
      </c>
      <c r="L28" s="973">
        <v>63623</v>
      </c>
      <c r="M28" s="973">
        <v>42380</v>
      </c>
      <c r="N28" s="973">
        <v>46370</v>
      </c>
    </row>
    <row r="30" spans="1:14" x14ac:dyDescent="0.2">
      <c r="B30" t="s">
        <v>698</v>
      </c>
    </row>
    <row r="31" spans="1:14" x14ac:dyDescent="0.2">
      <c r="B31" t="s">
        <v>699</v>
      </c>
      <c r="C31" s="492">
        <v>12556.811990750817</v>
      </c>
      <c r="D31" s="492">
        <v>14852.562667205882</v>
      </c>
      <c r="E31" s="492">
        <v>11596.327826205606</v>
      </c>
      <c r="F31" s="492">
        <v>10108.328435354691</v>
      </c>
      <c r="G31" s="492">
        <v>7810.536067916667</v>
      </c>
      <c r="H31" s="492">
        <v>6895.5744159879032</v>
      </c>
      <c r="I31" s="492">
        <v>7745.8740341295261</v>
      </c>
      <c r="J31" s="492">
        <v>6674.4359759450172</v>
      </c>
      <c r="K31" s="492">
        <v>7215.8564695319801</v>
      </c>
      <c r="L31" s="492">
        <v>8559.9557350852701</v>
      </c>
      <c r="M31" s="492">
        <v>8421.1036978409084</v>
      </c>
      <c r="N31" s="492">
        <v>9931.434277217948</v>
      </c>
    </row>
    <row r="32" spans="1:14" x14ac:dyDescent="0.2">
      <c r="B32" t="s">
        <v>700</v>
      </c>
      <c r="C32" s="492">
        <v>2919.59</v>
      </c>
      <c r="D32" s="492">
        <v>2912.76</v>
      </c>
      <c r="E32" s="492">
        <v>3383.3</v>
      </c>
      <c r="F32" s="492">
        <v>2522.48</v>
      </c>
      <c r="G32" s="492">
        <v>4747.9799999999996</v>
      </c>
      <c r="H32" s="492">
        <v>5331.75</v>
      </c>
      <c r="I32" s="492">
        <v>6680.67</v>
      </c>
      <c r="J32" s="492">
        <v>5204.12</v>
      </c>
      <c r="K32" s="492">
        <v>3212.06</v>
      </c>
      <c r="L32" s="492">
        <v>0</v>
      </c>
      <c r="M32" s="492">
        <v>1127.55</v>
      </c>
      <c r="N32" s="492">
        <v>1668.19</v>
      </c>
    </row>
    <row r="33" spans="1:18" x14ac:dyDescent="0.2">
      <c r="B33" t="s">
        <v>701</v>
      </c>
      <c r="C33" s="492">
        <v>4253.7149293222628</v>
      </c>
      <c r="D33" s="492">
        <v>4017.8503520162317</v>
      </c>
      <c r="E33" s="492">
        <v>5287.0340836270861</v>
      </c>
      <c r="F33" s="492">
        <v>4093.2159239269372</v>
      </c>
      <c r="G33" s="492">
        <v>3578.9572269294572</v>
      </c>
      <c r="H33" s="492">
        <v>2138.0760854092528</v>
      </c>
      <c r="I33" s="492">
        <v>4559.0332812921397</v>
      </c>
      <c r="J33" s="492">
        <v>5710.5523384946237</v>
      </c>
      <c r="K33" s="492">
        <v>4350.1724229787005</v>
      </c>
      <c r="L33" s="492">
        <v>4983.086160441746</v>
      </c>
      <c r="M33" s="492">
        <v>3228.8913823258054</v>
      </c>
      <c r="N33" s="492">
        <v>3373.8266171077198</v>
      </c>
    </row>
    <row r="34" spans="1:18" x14ac:dyDescent="0.2">
      <c r="C34" s="492"/>
      <c r="D34" s="492"/>
      <c r="E34" s="492"/>
      <c r="F34" s="492"/>
      <c r="G34" s="492"/>
      <c r="H34" s="492"/>
      <c r="I34" s="492"/>
      <c r="J34" s="492"/>
      <c r="K34" s="492"/>
      <c r="L34" s="492"/>
      <c r="M34" s="492"/>
      <c r="N34" s="492"/>
    </row>
    <row r="35" spans="1:18" x14ac:dyDescent="0.2">
      <c r="A35" s="930">
        <v>4</v>
      </c>
      <c r="B35" s="666" t="s">
        <v>1116</v>
      </c>
      <c r="C35" s="497"/>
    </row>
    <row r="36" spans="1:18" x14ac:dyDescent="0.2">
      <c r="B36" s="130" t="s">
        <v>337</v>
      </c>
      <c r="C36" s="186" t="s">
        <v>977</v>
      </c>
      <c r="D36" s="131">
        <v>41821</v>
      </c>
      <c r="E36" s="131">
        <v>41852</v>
      </c>
      <c r="F36" s="131">
        <v>41883</v>
      </c>
      <c r="G36" s="131">
        <v>41913</v>
      </c>
      <c r="H36" s="131">
        <v>41944</v>
      </c>
      <c r="I36" s="131">
        <v>41974</v>
      </c>
      <c r="J36" s="131">
        <v>42005</v>
      </c>
      <c r="K36" s="131">
        <v>42036</v>
      </c>
      <c r="L36" s="131">
        <v>42064</v>
      </c>
      <c r="M36" s="131">
        <v>42095</v>
      </c>
      <c r="N36" s="131">
        <v>42125</v>
      </c>
      <c r="O36" s="131">
        <v>42156</v>
      </c>
      <c r="P36" s="131">
        <v>42186</v>
      </c>
      <c r="Q36" s="151">
        <v>42217</v>
      </c>
      <c r="R36" s="131">
        <v>42261</v>
      </c>
    </row>
    <row r="37" spans="1:18" x14ac:dyDescent="0.2">
      <c r="B37" s="135" t="s">
        <v>319</v>
      </c>
      <c r="C37" s="599"/>
      <c r="D37" s="157"/>
      <c r="E37" s="157"/>
      <c r="F37" s="136">
        <v>101656</v>
      </c>
      <c r="G37" s="136">
        <v>83961</v>
      </c>
      <c r="H37" s="136">
        <v>61140</v>
      </c>
      <c r="I37" s="136">
        <v>51127</v>
      </c>
      <c r="J37" s="136">
        <v>58131</v>
      </c>
      <c r="K37" s="136">
        <v>51184</v>
      </c>
      <c r="L37" s="136">
        <v>66259</v>
      </c>
      <c r="M37" s="136">
        <v>77568</v>
      </c>
      <c r="N37" s="136">
        <v>74983</v>
      </c>
      <c r="O37" s="136">
        <v>71978</v>
      </c>
      <c r="P37" s="136">
        <v>85948</v>
      </c>
      <c r="Q37" s="136">
        <v>66815</v>
      </c>
      <c r="R37" s="157"/>
    </row>
    <row r="38" spans="1:18" x14ac:dyDescent="0.2">
      <c r="B38" s="135" t="s">
        <v>343</v>
      </c>
      <c r="C38" s="599"/>
      <c r="D38" s="157"/>
      <c r="E38" s="157"/>
      <c r="F38" s="137"/>
      <c r="G38" s="137"/>
      <c r="H38" s="137"/>
      <c r="I38" s="136"/>
      <c r="J38" s="136"/>
      <c r="K38" s="136">
        <v>434277</v>
      </c>
      <c r="L38" s="136">
        <v>646511</v>
      </c>
      <c r="M38" s="136">
        <v>375662</v>
      </c>
      <c r="N38" s="136">
        <v>311334</v>
      </c>
      <c r="O38" s="136">
        <v>186544</v>
      </c>
      <c r="P38" s="136">
        <v>176351</v>
      </c>
      <c r="Q38" s="136">
        <v>180505</v>
      </c>
      <c r="R38" s="157"/>
    </row>
    <row r="39" spans="1:18" x14ac:dyDescent="0.2">
      <c r="B39" s="153" t="s">
        <v>362</v>
      </c>
      <c r="C39" s="599"/>
      <c r="D39" s="157"/>
      <c r="E39" s="157"/>
      <c r="F39" s="141"/>
      <c r="G39" s="141"/>
      <c r="H39" s="141"/>
      <c r="I39" s="141"/>
      <c r="J39" s="141"/>
      <c r="K39" s="141"/>
      <c r="L39" s="141"/>
      <c r="M39" s="141"/>
      <c r="N39" s="141"/>
      <c r="O39" s="141"/>
      <c r="P39" s="141"/>
      <c r="Q39" s="141"/>
      <c r="R39" s="157"/>
    </row>
    <row r="40" spans="1:18" x14ac:dyDescent="0.2">
      <c r="B40" s="153" t="s">
        <v>641</v>
      </c>
      <c r="C40" s="599"/>
      <c r="D40" s="157"/>
      <c r="E40" s="157"/>
      <c r="F40" s="141">
        <v>42</v>
      </c>
      <c r="G40" s="141">
        <v>46</v>
      </c>
      <c r="H40" s="141">
        <v>43</v>
      </c>
      <c r="I40" s="141">
        <v>47</v>
      </c>
      <c r="J40" s="141">
        <v>27</v>
      </c>
      <c r="K40" s="141">
        <v>45</v>
      </c>
      <c r="L40" s="141">
        <v>49</v>
      </c>
      <c r="M40" s="141">
        <v>48</v>
      </c>
      <c r="N40" s="141">
        <v>44</v>
      </c>
      <c r="O40" s="141">
        <v>44</v>
      </c>
      <c r="P40" s="141">
        <v>42</v>
      </c>
      <c r="Q40" s="141">
        <v>36</v>
      </c>
      <c r="R40" s="157"/>
    </row>
    <row r="41" spans="1:18" x14ac:dyDescent="0.2">
      <c r="B41" s="135" t="s">
        <v>864</v>
      </c>
      <c r="C41" s="599"/>
      <c r="D41" s="157"/>
      <c r="E41" s="157"/>
      <c r="F41" s="760">
        <v>15613</v>
      </c>
      <c r="G41" s="760">
        <v>8642</v>
      </c>
      <c r="H41" s="760">
        <v>2880</v>
      </c>
      <c r="I41" s="760">
        <v>795</v>
      </c>
      <c r="J41" s="760">
        <v>1141</v>
      </c>
      <c r="K41" s="750">
        <v>1906</v>
      </c>
      <c r="L41" s="750">
        <v>4043</v>
      </c>
      <c r="M41" s="750">
        <v>8228</v>
      </c>
      <c r="N41" s="750">
        <v>8130</v>
      </c>
      <c r="O41" s="750">
        <v>13138</v>
      </c>
      <c r="P41" s="750">
        <v>12157</v>
      </c>
      <c r="Q41" s="728"/>
      <c r="R41" s="157"/>
    </row>
    <row r="42" spans="1:18" x14ac:dyDescent="0.2">
      <c r="B42" s="135" t="s">
        <v>324</v>
      </c>
      <c r="C42" s="599"/>
      <c r="D42" s="157"/>
      <c r="E42" s="157"/>
      <c r="F42" s="731">
        <v>6269.63</v>
      </c>
      <c r="G42" s="731">
        <v>5178.29</v>
      </c>
      <c r="H42" s="731">
        <v>3770.81</v>
      </c>
      <c r="I42" s="731">
        <v>3153.26</v>
      </c>
      <c r="J42" s="731">
        <v>3585.23</v>
      </c>
      <c r="K42" s="731">
        <v>3156.77</v>
      </c>
      <c r="L42" s="731">
        <v>4086.52</v>
      </c>
      <c r="M42" s="731">
        <v>4784.01</v>
      </c>
      <c r="N42" s="731">
        <v>4624.58</v>
      </c>
      <c r="O42" s="731">
        <v>4439.24</v>
      </c>
      <c r="P42" s="731">
        <v>5300</v>
      </c>
      <c r="Q42" s="731">
        <v>4120</v>
      </c>
      <c r="R42" s="157"/>
    </row>
    <row r="43" spans="1:18" x14ac:dyDescent="0.2">
      <c r="B43" s="144" t="s">
        <v>348</v>
      </c>
      <c r="C43" s="599"/>
      <c r="D43" s="157"/>
      <c r="E43" s="157"/>
      <c r="F43" s="736"/>
      <c r="G43" s="736"/>
      <c r="H43" s="736"/>
      <c r="I43" s="736"/>
      <c r="J43" s="731"/>
      <c r="K43" s="731"/>
      <c r="L43" s="731"/>
      <c r="M43" s="731"/>
      <c r="N43" s="731"/>
      <c r="O43" s="731"/>
      <c r="P43" s="731"/>
      <c r="Q43" s="731"/>
      <c r="R43" s="157"/>
    </row>
    <row r="44" spans="1:18" x14ac:dyDescent="0.2">
      <c r="B44" s="195" t="s">
        <v>1087</v>
      </c>
      <c r="C44" s="599"/>
      <c r="D44" s="157"/>
      <c r="E44" s="157"/>
      <c r="F44" s="731"/>
      <c r="G44" s="731"/>
      <c r="H44" s="731"/>
      <c r="I44" s="731"/>
      <c r="J44" s="731"/>
      <c r="K44" s="731"/>
      <c r="L44" s="731"/>
      <c r="M44" s="731"/>
      <c r="N44" s="731"/>
      <c r="O44" s="731"/>
      <c r="P44" s="731"/>
      <c r="Q44" s="731"/>
      <c r="R44" s="157"/>
    </row>
    <row r="45" spans="1:18" x14ac:dyDescent="0.2">
      <c r="B45" s="144" t="s">
        <v>883</v>
      </c>
      <c r="C45" s="607"/>
      <c r="D45" s="179"/>
      <c r="E45" s="179"/>
      <c r="F45" s="145">
        <v>57.66</v>
      </c>
      <c r="G45" s="145">
        <v>61.33</v>
      </c>
      <c r="H45" s="145">
        <v>57.88</v>
      </c>
      <c r="I45" s="145">
        <v>57.04</v>
      </c>
      <c r="J45" s="145">
        <v>40.729999999999997</v>
      </c>
      <c r="K45" s="145">
        <v>55.28</v>
      </c>
      <c r="L45" s="145">
        <v>56.06</v>
      </c>
      <c r="M45" s="145">
        <v>55.3</v>
      </c>
      <c r="N45" s="145">
        <v>52.39</v>
      </c>
      <c r="O45" s="145">
        <v>52.39</v>
      </c>
      <c r="P45" s="145">
        <v>50.84</v>
      </c>
      <c r="Q45" s="145">
        <v>46.19</v>
      </c>
      <c r="R45" s="179"/>
    </row>
    <row r="46" spans="1:18" ht="15" x14ac:dyDescent="0.25">
      <c r="B46" s="148"/>
      <c r="C46" s="492"/>
      <c r="D46" s="492"/>
      <c r="E46" s="492"/>
      <c r="F46" s="492"/>
      <c r="G46" s="492"/>
      <c r="H46" s="492"/>
      <c r="I46" s="492"/>
      <c r="J46" s="492"/>
      <c r="K46" s="492"/>
      <c r="L46" s="492"/>
      <c r="M46" s="492"/>
      <c r="N46" s="492"/>
    </row>
    <row r="47" spans="1:18" x14ac:dyDescent="0.2">
      <c r="A47" s="930">
        <v>5</v>
      </c>
      <c r="B47" s="666" t="s">
        <v>1115</v>
      </c>
      <c r="C47" s="497"/>
    </row>
    <row r="48" spans="1:18" x14ac:dyDescent="0.2">
      <c r="B48" s="130" t="s">
        <v>337</v>
      </c>
      <c r="C48" s="186" t="s">
        <v>977</v>
      </c>
      <c r="D48" s="131">
        <v>41821</v>
      </c>
      <c r="E48" s="131">
        <v>41852</v>
      </c>
      <c r="F48" s="131">
        <v>41883</v>
      </c>
      <c r="G48" s="131">
        <v>41913</v>
      </c>
      <c r="H48" s="131">
        <v>41944</v>
      </c>
      <c r="I48" s="131">
        <v>41974</v>
      </c>
      <c r="J48" s="131">
        <v>42005</v>
      </c>
      <c r="K48" s="131">
        <v>42036</v>
      </c>
      <c r="L48" s="131">
        <v>42064</v>
      </c>
      <c r="M48" s="131">
        <v>42095</v>
      </c>
      <c r="N48" s="131">
        <v>42125</v>
      </c>
      <c r="O48" s="131">
        <v>42156</v>
      </c>
      <c r="P48" s="131">
        <v>42186</v>
      </c>
      <c r="Q48" s="151">
        <v>42217</v>
      </c>
      <c r="R48" s="131">
        <v>42261</v>
      </c>
    </row>
    <row r="49" spans="1:18" x14ac:dyDescent="0.2">
      <c r="B49" s="135" t="s">
        <v>319</v>
      </c>
      <c r="C49" s="599"/>
      <c r="D49" s="157"/>
      <c r="E49" s="157"/>
      <c r="F49" s="136">
        <v>240288</v>
      </c>
      <c r="G49" s="136">
        <v>181085</v>
      </c>
      <c r="H49" s="136">
        <v>109864</v>
      </c>
      <c r="I49" s="136">
        <v>71448</v>
      </c>
      <c r="J49" s="136">
        <v>98048</v>
      </c>
      <c r="K49" s="136">
        <v>80600</v>
      </c>
      <c r="L49" s="136">
        <v>95216</v>
      </c>
      <c r="M49" s="136">
        <v>127066</v>
      </c>
      <c r="N49" s="136">
        <v>71760</v>
      </c>
      <c r="O49" s="136">
        <v>85624</v>
      </c>
      <c r="P49" s="136">
        <v>106024</v>
      </c>
      <c r="Q49" s="136">
        <v>82840</v>
      </c>
      <c r="R49" s="157"/>
    </row>
    <row r="50" spans="1:18" x14ac:dyDescent="0.2">
      <c r="B50" s="135" t="s">
        <v>343</v>
      </c>
      <c r="C50" s="599"/>
      <c r="D50" s="157"/>
      <c r="E50" s="157"/>
      <c r="F50" s="137"/>
      <c r="G50" s="137"/>
      <c r="H50" s="137"/>
      <c r="I50" s="136"/>
      <c r="J50" s="136"/>
      <c r="K50" s="136"/>
      <c r="L50" s="136"/>
      <c r="M50" s="136"/>
      <c r="N50" s="136"/>
      <c r="O50" s="136"/>
      <c r="P50" s="136"/>
      <c r="Q50" s="136"/>
      <c r="R50" s="157"/>
    </row>
    <row r="51" spans="1:18" x14ac:dyDescent="0.2">
      <c r="B51" s="153" t="s">
        <v>362</v>
      </c>
      <c r="C51" s="599"/>
      <c r="D51" s="157"/>
      <c r="E51" s="157"/>
      <c r="F51" s="141"/>
      <c r="G51" s="141"/>
      <c r="H51" s="141"/>
      <c r="I51" s="141"/>
      <c r="J51" s="141"/>
      <c r="K51" s="141"/>
      <c r="L51" s="141"/>
      <c r="M51" s="141"/>
      <c r="N51" s="141"/>
      <c r="O51" s="141"/>
      <c r="P51" s="141"/>
      <c r="Q51" s="141"/>
      <c r="R51" s="157"/>
    </row>
    <row r="52" spans="1:18" x14ac:dyDescent="0.2">
      <c r="B52" s="153" t="s">
        <v>641</v>
      </c>
      <c r="C52" s="599"/>
      <c r="D52" s="157"/>
      <c r="E52" s="157"/>
      <c r="F52" s="141">
        <v>576</v>
      </c>
      <c r="G52" s="141">
        <v>0</v>
      </c>
      <c r="H52" s="141">
        <v>0</v>
      </c>
      <c r="I52" s="141">
        <v>776</v>
      </c>
      <c r="J52" s="141">
        <v>242</v>
      </c>
      <c r="K52" s="141">
        <v>1458</v>
      </c>
      <c r="L52" s="141">
        <v>1904</v>
      </c>
      <c r="M52" s="141">
        <v>1379</v>
      </c>
      <c r="N52" s="141">
        <v>1405</v>
      </c>
      <c r="O52" s="141">
        <v>275</v>
      </c>
      <c r="P52" s="141">
        <v>299</v>
      </c>
      <c r="Q52" s="141">
        <v>299</v>
      </c>
      <c r="R52" s="157"/>
    </row>
    <row r="53" spans="1:18" x14ac:dyDescent="0.2">
      <c r="B53" s="135" t="s">
        <v>864</v>
      </c>
      <c r="C53" s="599"/>
      <c r="D53" s="157"/>
      <c r="E53" s="157"/>
      <c r="F53" s="760">
        <v>128629</v>
      </c>
      <c r="G53" s="760">
        <v>64361</v>
      </c>
      <c r="H53" s="760">
        <v>57810</v>
      </c>
      <c r="I53" s="760">
        <v>34713</v>
      </c>
      <c r="J53" s="760">
        <v>130637</v>
      </c>
      <c r="K53" s="750">
        <v>44559</v>
      </c>
      <c r="L53" s="750">
        <v>62488</v>
      </c>
      <c r="M53" s="750">
        <v>58412</v>
      </c>
      <c r="N53" s="750">
        <v>21227</v>
      </c>
      <c r="O53" s="750">
        <v>120430</v>
      </c>
      <c r="P53" s="750">
        <v>127683</v>
      </c>
      <c r="Q53" s="728"/>
      <c r="R53" s="157"/>
    </row>
    <row r="54" spans="1:18" x14ac:dyDescent="0.2">
      <c r="B54" s="135" t="s">
        <v>324</v>
      </c>
      <c r="C54" s="599"/>
      <c r="D54" s="157"/>
      <c r="E54" s="157"/>
      <c r="F54" s="731">
        <v>14819.76</v>
      </c>
      <c r="G54" s="731">
        <v>11168.42</v>
      </c>
      <c r="H54" s="731">
        <v>6775.15</v>
      </c>
      <c r="I54" s="731">
        <v>4406.5600000000004</v>
      </c>
      <c r="J54" s="731">
        <v>6047.11</v>
      </c>
      <c r="K54" s="731">
        <v>4971.01</v>
      </c>
      <c r="L54" s="731">
        <v>5872.45</v>
      </c>
      <c r="M54" s="731">
        <v>7836.8</v>
      </c>
      <c r="N54" s="731">
        <v>4425.8</v>
      </c>
      <c r="O54" s="731">
        <v>5280.86</v>
      </c>
      <c r="P54" s="731">
        <v>6539.03</v>
      </c>
      <c r="Q54" s="731">
        <v>5109.16</v>
      </c>
      <c r="R54" s="157"/>
    </row>
    <row r="55" spans="1:18" x14ac:dyDescent="0.2">
      <c r="B55" s="144" t="s">
        <v>348</v>
      </c>
      <c r="C55" s="599"/>
      <c r="D55" s="157"/>
      <c r="E55" s="157"/>
      <c r="F55" s="736"/>
      <c r="G55" s="736"/>
      <c r="H55" s="736"/>
      <c r="I55" s="736"/>
      <c r="J55" s="731"/>
      <c r="K55" s="731"/>
      <c r="L55" s="731"/>
      <c r="M55" s="731"/>
      <c r="N55" s="731"/>
      <c r="O55" s="731"/>
      <c r="P55" s="731"/>
      <c r="Q55" s="731"/>
      <c r="R55" s="157"/>
    </row>
    <row r="56" spans="1:18" x14ac:dyDescent="0.2">
      <c r="B56" s="195" t="s">
        <v>1087</v>
      </c>
      <c r="C56" s="599"/>
      <c r="D56" s="157"/>
      <c r="E56" s="157"/>
      <c r="F56" s="731"/>
      <c r="G56" s="731"/>
      <c r="H56" s="731"/>
      <c r="I56" s="731"/>
      <c r="J56" s="731"/>
      <c r="K56" s="731"/>
      <c r="L56" s="731"/>
      <c r="M56" s="731"/>
      <c r="N56" s="731"/>
      <c r="O56" s="731"/>
      <c r="P56" s="731"/>
      <c r="Q56" s="731"/>
      <c r="R56" s="157"/>
    </row>
    <row r="57" spans="1:18" x14ac:dyDescent="0.2">
      <c r="B57" s="144" t="s">
        <v>883</v>
      </c>
      <c r="C57" s="607"/>
      <c r="D57" s="179"/>
      <c r="E57" s="179"/>
      <c r="F57" s="145">
        <v>547.85</v>
      </c>
      <c r="G57" s="145">
        <v>18.73</v>
      </c>
      <c r="H57" s="145">
        <v>18.73</v>
      </c>
      <c r="I57" s="145">
        <v>639.22</v>
      </c>
      <c r="J57" s="145">
        <v>216.03</v>
      </c>
      <c r="K57" s="145">
        <v>1153.1600000000001</v>
      </c>
      <c r="L57" s="145">
        <v>1399.56</v>
      </c>
      <c r="M57" s="145">
        <v>1012.81</v>
      </c>
      <c r="N57" s="145">
        <v>1035.19</v>
      </c>
      <c r="O57" s="145">
        <v>229.12</v>
      </c>
      <c r="P57" s="145">
        <v>247.28</v>
      </c>
      <c r="Q57" s="145">
        <v>246.83</v>
      </c>
      <c r="R57" s="179"/>
    </row>
    <row r="58" spans="1:18" ht="15" x14ac:dyDescent="0.25">
      <c r="B58" s="148"/>
      <c r="C58" s="492"/>
      <c r="D58" s="492"/>
      <c r="E58" s="492"/>
      <c r="F58" s="492"/>
      <c r="G58" s="492"/>
      <c r="H58" s="492"/>
      <c r="I58" s="492"/>
      <c r="J58" s="492"/>
      <c r="K58" s="492"/>
      <c r="L58" s="492"/>
      <c r="M58" s="492"/>
      <c r="N58" s="492"/>
    </row>
    <row r="59" spans="1:18" ht="18.75" x14ac:dyDescent="0.3">
      <c r="A59" s="930">
        <v>6</v>
      </c>
      <c r="B59" s="1039" t="s">
        <v>830</v>
      </c>
      <c r="C59" s="1040"/>
      <c r="D59" s="1040"/>
      <c r="E59" s="2259" t="s">
        <v>1083</v>
      </c>
      <c r="F59" s="2259"/>
      <c r="G59" s="1040"/>
      <c r="H59" s="1040"/>
      <c r="I59" s="1040"/>
      <c r="J59" s="1040"/>
      <c r="K59" s="1040"/>
      <c r="L59" s="1040"/>
      <c r="M59" s="1040"/>
      <c r="N59" s="1040"/>
    </row>
    <row r="60" spans="1:18" ht="18.75" x14ac:dyDescent="0.3">
      <c r="B60" s="1039" t="s">
        <v>831</v>
      </c>
      <c r="C60" s="1040"/>
      <c r="D60" s="1040"/>
      <c r="E60" s="1040"/>
      <c r="F60" s="1040"/>
      <c r="G60" s="1040"/>
      <c r="H60" s="1040"/>
      <c r="I60" s="1040"/>
      <c r="J60" s="1040"/>
      <c r="K60" s="1040"/>
      <c r="L60" s="1040"/>
      <c r="M60" s="1040"/>
      <c r="N60" s="1040"/>
    </row>
    <row r="61" spans="1:18" ht="15" x14ac:dyDescent="0.25">
      <c r="B61" s="1040"/>
      <c r="C61" s="1040"/>
      <c r="D61" s="1040"/>
      <c r="E61" s="1040"/>
      <c r="F61" s="1040"/>
      <c r="G61" s="1040"/>
      <c r="H61" s="1040"/>
      <c r="I61" s="1040"/>
      <c r="J61" s="1040"/>
      <c r="K61" s="1040"/>
      <c r="L61" s="1040"/>
      <c r="M61" s="1040"/>
      <c r="N61" s="1040"/>
    </row>
    <row r="62" spans="1:18" ht="15" x14ac:dyDescent="0.25">
      <c r="B62" s="1040"/>
      <c r="C62" s="1040"/>
      <c r="D62" s="1040"/>
      <c r="E62" s="1040"/>
      <c r="F62" s="1040"/>
      <c r="G62" s="1040"/>
      <c r="H62" s="1040"/>
      <c r="I62" s="1040"/>
      <c r="J62" s="1040"/>
      <c r="K62" s="1040"/>
      <c r="L62" s="1040"/>
      <c r="M62" s="1040"/>
      <c r="N62" s="1040"/>
    </row>
    <row r="63" spans="1:18" ht="15.75" x14ac:dyDescent="0.25">
      <c r="B63" s="1041" t="s">
        <v>850</v>
      </c>
      <c r="C63" s="1042">
        <v>41852</v>
      </c>
      <c r="D63" s="1042">
        <v>41883</v>
      </c>
      <c r="E63" s="1042">
        <v>41913</v>
      </c>
      <c r="F63" s="1042">
        <v>41944</v>
      </c>
      <c r="G63" s="1042">
        <v>41974</v>
      </c>
      <c r="H63" s="1042">
        <v>42005</v>
      </c>
      <c r="I63" s="1042">
        <v>42036</v>
      </c>
      <c r="J63" s="1042">
        <v>42064</v>
      </c>
      <c r="K63" s="1042">
        <v>42095</v>
      </c>
      <c r="L63" s="1042">
        <v>42125</v>
      </c>
      <c r="M63" s="1042">
        <v>42156</v>
      </c>
      <c r="N63" s="1042">
        <v>42186</v>
      </c>
    </row>
    <row r="64" spans="1:18" ht="15" x14ac:dyDescent="0.25">
      <c r="B64" s="1043" t="s">
        <v>851</v>
      </c>
      <c r="C64" s="1044"/>
      <c r="D64" s="1044"/>
      <c r="E64" s="1044"/>
      <c r="F64" s="1044"/>
      <c r="G64" s="1044"/>
      <c r="H64" s="1044"/>
      <c r="I64" s="1044"/>
      <c r="J64" s="1044"/>
      <c r="K64" s="1044"/>
      <c r="L64" s="1044"/>
      <c r="M64" s="1044"/>
      <c r="N64" s="1044"/>
    </row>
    <row r="65" spans="2:14" ht="15" x14ac:dyDescent="0.25">
      <c r="B65" s="1045"/>
      <c r="C65" s="1046"/>
      <c r="D65" s="1046"/>
      <c r="E65" s="1046"/>
      <c r="F65" s="1046"/>
      <c r="G65" s="1046"/>
      <c r="H65" s="1046"/>
      <c r="I65" s="1046"/>
      <c r="J65" s="1046"/>
      <c r="K65" s="1046"/>
      <c r="L65" s="1046"/>
      <c r="M65" s="1046"/>
      <c r="N65" s="1046"/>
    </row>
    <row r="66" spans="2:14" ht="15" x14ac:dyDescent="0.25">
      <c r="B66" s="1047" t="s">
        <v>852</v>
      </c>
      <c r="C66" s="1048">
        <v>145460</v>
      </c>
      <c r="D66" s="1048">
        <v>148965</v>
      </c>
      <c r="E66" s="1048">
        <v>204667</v>
      </c>
      <c r="F66" s="1048">
        <v>174103</v>
      </c>
      <c r="G66" s="1048">
        <v>172559</v>
      </c>
      <c r="H66" s="1048">
        <v>153194</v>
      </c>
      <c r="I66" s="1048">
        <v>141867</v>
      </c>
      <c r="J66" s="1048">
        <v>174836</v>
      </c>
      <c r="K66" s="1048">
        <v>164868</v>
      </c>
      <c r="L66" s="1048">
        <v>156341</v>
      </c>
      <c r="M66" s="1048">
        <v>135067</v>
      </c>
      <c r="N66" s="1048">
        <v>174677</v>
      </c>
    </row>
    <row r="67" spans="2:14" ht="15" x14ac:dyDescent="0.25">
      <c r="B67" s="1049"/>
      <c r="C67" s="1050"/>
      <c r="D67" s="1050"/>
      <c r="E67" s="1050"/>
      <c r="F67" s="1050"/>
      <c r="G67" s="1050"/>
      <c r="H67" s="1050"/>
      <c r="I67" s="1050"/>
      <c r="J67" s="1050"/>
      <c r="K67" s="1050"/>
      <c r="L67" s="1050"/>
      <c r="M67" s="1050"/>
      <c r="N67" s="1050"/>
    </row>
    <row r="68" spans="2:14" ht="15" x14ac:dyDescent="0.25">
      <c r="B68" s="1047" t="s">
        <v>853</v>
      </c>
      <c r="C68" s="1048">
        <v>734</v>
      </c>
      <c r="D68" s="1048">
        <v>629</v>
      </c>
      <c r="E68" s="1048">
        <v>594</v>
      </c>
      <c r="F68" s="1048">
        <v>485</v>
      </c>
      <c r="G68" s="1048">
        <v>540</v>
      </c>
      <c r="H68" s="1048">
        <v>730</v>
      </c>
      <c r="I68" s="1048">
        <v>769</v>
      </c>
      <c r="J68" s="1048">
        <v>943</v>
      </c>
      <c r="K68" s="1048">
        <v>454</v>
      </c>
      <c r="L68" s="1048">
        <v>437</v>
      </c>
      <c r="M68" s="1048">
        <v>484</v>
      </c>
      <c r="N68" s="1048">
        <v>525</v>
      </c>
    </row>
    <row r="69" spans="2:14" ht="15" x14ac:dyDescent="0.25">
      <c r="B69" s="1049"/>
      <c r="C69" s="1050"/>
      <c r="D69" s="1050"/>
      <c r="E69" s="1050"/>
      <c r="F69" s="1050"/>
      <c r="G69" s="1050"/>
      <c r="H69" s="1050"/>
      <c r="I69" s="1050"/>
      <c r="J69" s="1050"/>
      <c r="K69" s="1050"/>
      <c r="L69" s="1050"/>
      <c r="M69" s="1050"/>
      <c r="N69" s="1050"/>
    </row>
    <row r="70" spans="2:14" ht="15" x14ac:dyDescent="0.25">
      <c r="B70" s="1047" t="s">
        <v>854</v>
      </c>
      <c r="C70" s="1048">
        <v>166476</v>
      </c>
      <c r="D70" s="1048">
        <v>172661</v>
      </c>
      <c r="E70" s="1048">
        <v>142526</v>
      </c>
      <c r="F70" s="1048">
        <v>56574</v>
      </c>
      <c r="G70" s="1048">
        <v>11017</v>
      </c>
      <c r="H70" s="1048">
        <v>1310</v>
      </c>
      <c r="I70" s="1048">
        <v>1023</v>
      </c>
      <c r="J70" s="1048">
        <v>16</v>
      </c>
      <c r="K70" s="1048">
        <v>7543</v>
      </c>
      <c r="L70" s="1048">
        <v>34751</v>
      </c>
      <c r="M70" s="1048">
        <v>92308</v>
      </c>
      <c r="N70" s="1048">
        <v>151339</v>
      </c>
    </row>
    <row r="71" spans="2:14" ht="15" x14ac:dyDescent="0.25">
      <c r="B71" s="1049"/>
      <c r="C71" s="1050"/>
      <c r="D71" s="1050"/>
      <c r="E71" s="1050"/>
      <c r="F71" s="1050"/>
      <c r="G71" s="1050"/>
      <c r="H71" s="1050"/>
      <c r="I71" s="1050"/>
      <c r="J71" s="1050"/>
      <c r="K71" s="1050"/>
      <c r="L71" s="1050"/>
      <c r="M71" s="1050"/>
      <c r="N71" s="1050"/>
    </row>
    <row r="72" spans="2:14" ht="15" x14ac:dyDescent="0.25">
      <c r="B72" s="1047" t="s">
        <v>855</v>
      </c>
      <c r="C72" s="1048">
        <v>130</v>
      </c>
      <c r="D72" s="1048">
        <v>247</v>
      </c>
      <c r="E72" s="1048">
        <v>474</v>
      </c>
      <c r="F72" s="1048">
        <v>428</v>
      </c>
      <c r="G72" s="1048">
        <v>332</v>
      </c>
      <c r="H72" s="1048">
        <v>405</v>
      </c>
      <c r="I72" s="1048">
        <v>161</v>
      </c>
      <c r="J72" s="1048">
        <v>384</v>
      </c>
      <c r="K72" s="1048">
        <v>325</v>
      </c>
      <c r="L72" s="1048">
        <v>398</v>
      </c>
      <c r="M72" s="1048">
        <v>339</v>
      </c>
      <c r="N72" s="1048">
        <v>187</v>
      </c>
    </row>
    <row r="73" spans="2:14" ht="15" x14ac:dyDescent="0.25">
      <c r="B73" s="1051"/>
      <c r="C73" s="1050"/>
      <c r="D73" s="1050"/>
      <c r="E73" s="1050"/>
      <c r="F73" s="1050"/>
      <c r="G73" s="1050"/>
      <c r="H73" s="1050"/>
      <c r="I73" s="1050"/>
      <c r="J73" s="1050"/>
      <c r="K73" s="1050"/>
      <c r="L73" s="1050"/>
      <c r="M73" s="1050"/>
      <c r="N73" s="1050"/>
    </row>
    <row r="74" spans="2:14" ht="15" x14ac:dyDescent="0.25">
      <c r="B74" s="1047" t="s">
        <v>856</v>
      </c>
      <c r="C74" s="1048">
        <v>132</v>
      </c>
      <c r="D74" s="1048">
        <v>183</v>
      </c>
      <c r="E74" s="1048">
        <v>184</v>
      </c>
      <c r="F74" s="1048">
        <v>133</v>
      </c>
      <c r="G74" s="1048">
        <v>97</v>
      </c>
      <c r="H74" s="1048">
        <v>29</v>
      </c>
      <c r="I74" s="1048">
        <v>82</v>
      </c>
      <c r="J74" s="1048">
        <v>67</v>
      </c>
      <c r="K74" s="1048">
        <v>102</v>
      </c>
      <c r="L74" s="1048">
        <v>122</v>
      </c>
      <c r="M74" s="1048">
        <v>309</v>
      </c>
      <c r="N74" s="1048">
        <v>431</v>
      </c>
    </row>
    <row r="75" spans="2:14" ht="15" x14ac:dyDescent="0.25">
      <c r="B75" s="1049"/>
      <c r="C75" s="1050"/>
      <c r="D75" s="1050"/>
      <c r="E75" s="1050"/>
      <c r="F75" s="1050"/>
      <c r="G75" s="1050"/>
      <c r="H75" s="1050"/>
      <c r="I75" s="1050"/>
      <c r="J75" s="1050"/>
      <c r="K75" s="1050"/>
      <c r="L75" s="1050"/>
      <c r="M75" s="1050"/>
      <c r="N75" s="1050"/>
    </row>
    <row r="76" spans="2:14" ht="15" x14ac:dyDescent="0.25">
      <c r="B76" s="1047" t="s">
        <v>857</v>
      </c>
      <c r="C76" s="1048">
        <v>132</v>
      </c>
      <c r="D76" s="1048">
        <v>183</v>
      </c>
      <c r="E76" s="1048">
        <v>184</v>
      </c>
      <c r="F76" s="1048">
        <v>133</v>
      </c>
      <c r="G76" s="1048">
        <v>96</v>
      </c>
      <c r="H76" s="1048">
        <v>29</v>
      </c>
      <c r="I76" s="1048">
        <v>82</v>
      </c>
      <c r="J76" s="1048">
        <v>67</v>
      </c>
      <c r="K76" s="1048">
        <v>102</v>
      </c>
      <c r="L76" s="1048">
        <v>122</v>
      </c>
      <c r="M76" s="1048">
        <v>309</v>
      </c>
      <c r="N76" s="1048">
        <v>431</v>
      </c>
    </row>
    <row r="77" spans="2:14" ht="15" x14ac:dyDescent="0.25">
      <c r="B77" s="1049"/>
      <c r="C77" s="1050"/>
      <c r="D77" s="1050"/>
      <c r="E77" s="1050"/>
      <c r="F77" s="1050"/>
      <c r="G77" s="1050"/>
      <c r="H77" s="1050"/>
      <c r="I77" s="1050"/>
      <c r="J77" s="1050"/>
      <c r="K77" s="1050"/>
      <c r="L77" s="1050"/>
      <c r="M77" s="1050"/>
      <c r="N77" s="1050"/>
    </row>
    <row r="78" spans="2:14" ht="15" x14ac:dyDescent="0.25">
      <c r="B78" s="1047" t="s">
        <v>858</v>
      </c>
      <c r="C78" s="1048">
        <v>135</v>
      </c>
      <c r="D78" s="1048">
        <v>135</v>
      </c>
      <c r="E78" s="1048">
        <v>135</v>
      </c>
      <c r="F78" s="1048">
        <v>135</v>
      </c>
      <c r="G78" s="1048">
        <v>135</v>
      </c>
      <c r="H78" s="1048">
        <v>135</v>
      </c>
      <c r="I78" s="1048">
        <v>135</v>
      </c>
      <c r="J78" s="1048">
        <v>135</v>
      </c>
      <c r="K78" s="1048">
        <v>135</v>
      </c>
      <c r="L78" s="1048">
        <v>135</v>
      </c>
      <c r="M78" s="1048">
        <v>135</v>
      </c>
      <c r="N78" s="1048">
        <v>135</v>
      </c>
    </row>
    <row r="79" spans="2:14" ht="15" x14ac:dyDescent="0.25">
      <c r="B79" s="1051"/>
      <c r="C79" s="1052"/>
      <c r="D79" s="1052"/>
      <c r="E79" s="1052"/>
      <c r="F79" s="1052"/>
      <c r="G79" s="1052"/>
      <c r="H79" s="1052"/>
      <c r="I79" s="1052"/>
      <c r="J79" s="1052"/>
      <c r="K79" s="1052"/>
      <c r="L79" s="1052"/>
      <c r="M79" s="1052"/>
      <c r="N79" s="1052"/>
    </row>
    <row r="80" spans="2:14" ht="15" x14ac:dyDescent="0.25">
      <c r="B80" s="1053" t="s">
        <v>913</v>
      </c>
      <c r="C80" s="1054"/>
      <c r="D80" s="1054"/>
      <c r="E80" s="1054"/>
      <c r="F80" s="1054"/>
      <c r="G80" s="1054"/>
      <c r="H80" s="1054"/>
      <c r="I80" s="1054"/>
      <c r="J80" s="1054"/>
      <c r="K80" s="1054"/>
      <c r="L80" s="1054"/>
      <c r="M80" s="1054"/>
      <c r="N80" s="1054"/>
    </row>
    <row r="81" spans="2:14" ht="15" x14ac:dyDescent="0.25">
      <c r="B81" s="1051"/>
      <c r="C81" s="1052"/>
      <c r="D81" s="1052"/>
      <c r="E81" s="1052"/>
      <c r="F81" s="1052"/>
      <c r="G81" s="1052"/>
      <c r="H81" s="1052"/>
      <c r="I81" s="1052"/>
      <c r="J81" s="1052"/>
      <c r="K81" s="1052"/>
      <c r="L81" s="1052"/>
      <c r="M81" s="1052"/>
      <c r="N81" s="1052"/>
    </row>
    <row r="82" spans="2:14" ht="15" x14ac:dyDescent="0.25">
      <c r="B82" s="1047" t="s">
        <v>914</v>
      </c>
      <c r="C82" s="1055">
        <v>9833.1</v>
      </c>
      <c r="D82" s="1055">
        <v>10025.34</v>
      </c>
      <c r="E82" s="1055">
        <v>11911.62</v>
      </c>
      <c r="F82" s="1055">
        <v>10132.790000000001</v>
      </c>
      <c r="G82" s="1055">
        <v>8610.69</v>
      </c>
      <c r="H82" s="1055">
        <v>8839.2900000000009</v>
      </c>
      <c r="I82" s="1055">
        <v>9334.85</v>
      </c>
      <c r="J82" s="1055">
        <v>8741.7999999999993</v>
      </c>
      <c r="K82" s="1055">
        <v>9562.34</v>
      </c>
      <c r="L82" s="1055">
        <v>9130.31</v>
      </c>
      <c r="M82" s="1055">
        <v>8104.02</v>
      </c>
      <c r="N82" s="1055">
        <v>9554.83</v>
      </c>
    </row>
    <row r="83" spans="2:14" ht="15" x14ac:dyDescent="0.25">
      <c r="B83" s="1049"/>
      <c r="C83" s="1056"/>
      <c r="D83" s="1056"/>
      <c r="E83" s="1056"/>
      <c r="F83" s="1056"/>
      <c r="G83" s="1056"/>
      <c r="H83" s="1056"/>
      <c r="I83" s="1056"/>
      <c r="J83" s="1056"/>
      <c r="K83" s="1056"/>
      <c r="L83" s="1056"/>
      <c r="M83" s="1056"/>
      <c r="N83" s="1056"/>
    </row>
    <row r="84" spans="2:14" ht="15" x14ac:dyDescent="0.25">
      <c r="B84" s="1047" t="s">
        <v>915</v>
      </c>
      <c r="C84" s="1055">
        <v>8245.83</v>
      </c>
      <c r="D84" s="1055">
        <v>7066.25</v>
      </c>
      <c r="E84" s="1055">
        <v>6673.06</v>
      </c>
      <c r="F84" s="1055">
        <v>5448.54</v>
      </c>
      <c r="G84" s="1055">
        <v>6066.41</v>
      </c>
      <c r="H84" s="1055">
        <v>8200.89</v>
      </c>
      <c r="I84" s="1055">
        <v>8639.02</v>
      </c>
      <c r="J84" s="1055">
        <v>10593.76</v>
      </c>
      <c r="K84" s="1055">
        <v>5100.28</v>
      </c>
      <c r="L84" s="1055">
        <v>4909.3</v>
      </c>
      <c r="M84" s="1055">
        <v>5437.3</v>
      </c>
      <c r="N84" s="1055">
        <v>5897.9</v>
      </c>
    </row>
    <row r="85" spans="2:14" ht="15" x14ac:dyDescent="0.25">
      <c r="B85" s="1049"/>
      <c r="C85" s="1056"/>
      <c r="D85" s="1056"/>
      <c r="E85" s="1056"/>
      <c r="F85" s="1056"/>
      <c r="G85" s="1056"/>
      <c r="H85" s="1056"/>
      <c r="I85" s="1056"/>
      <c r="J85" s="1056"/>
      <c r="K85" s="1056"/>
      <c r="L85" s="1056"/>
      <c r="M85" s="1056"/>
      <c r="N85" s="1056"/>
    </row>
    <row r="86" spans="2:14" ht="15" x14ac:dyDescent="0.25">
      <c r="B86" s="1047" t="s">
        <v>916</v>
      </c>
      <c r="C86" s="1055">
        <v>15482.27</v>
      </c>
      <c r="D86" s="1055">
        <v>16057.47</v>
      </c>
      <c r="E86" s="1055">
        <v>13254.92</v>
      </c>
      <c r="F86" s="1055">
        <v>5261.38</v>
      </c>
      <c r="G86" s="1055">
        <v>1024.58</v>
      </c>
      <c r="H86" s="1055">
        <v>121.83</v>
      </c>
      <c r="I86" s="1055">
        <v>95.14</v>
      </c>
      <c r="J86" s="1055">
        <v>1.49</v>
      </c>
      <c r="K86" s="1055">
        <v>701.5</v>
      </c>
      <c r="L86" s="1055">
        <v>3231.84</v>
      </c>
      <c r="M86" s="1055">
        <v>8584.64</v>
      </c>
      <c r="N86" s="1055">
        <v>14543.68</v>
      </c>
    </row>
    <row r="87" spans="2:14" ht="15" x14ac:dyDescent="0.25">
      <c r="B87" s="1049"/>
      <c r="C87" s="1056"/>
      <c r="D87" s="1056"/>
      <c r="E87" s="1056"/>
      <c r="F87" s="1056"/>
      <c r="G87" s="1056"/>
      <c r="H87" s="1056"/>
      <c r="I87" s="1056"/>
      <c r="J87" s="1056"/>
      <c r="K87" s="1056"/>
      <c r="L87" s="1056"/>
      <c r="M87" s="1056"/>
      <c r="N87" s="1056"/>
    </row>
    <row r="88" spans="2:14" ht="15" x14ac:dyDescent="0.25">
      <c r="B88" s="1047" t="s">
        <v>917</v>
      </c>
      <c r="C88" s="1055">
        <v>112.64</v>
      </c>
      <c r="D88" s="1055">
        <v>214.02</v>
      </c>
      <c r="E88" s="1055">
        <v>410.71</v>
      </c>
      <c r="F88" s="1055">
        <v>326.06</v>
      </c>
      <c r="G88" s="1055">
        <v>252.92</v>
      </c>
      <c r="H88" s="1055">
        <v>308.89</v>
      </c>
      <c r="I88" s="1055">
        <v>114.67</v>
      </c>
      <c r="J88" s="1055">
        <v>273.08999999999997</v>
      </c>
      <c r="K88" s="1055">
        <v>232.38</v>
      </c>
      <c r="L88" s="1055">
        <v>284.57</v>
      </c>
      <c r="M88" s="1055">
        <v>221.94</v>
      </c>
      <c r="N88" s="1055">
        <v>122.04</v>
      </c>
    </row>
    <row r="89" spans="2:14" ht="15" x14ac:dyDescent="0.25">
      <c r="B89" s="1051"/>
      <c r="C89" s="1056"/>
      <c r="D89" s="1056"/>
      <c r="E89" s="1056"/>
      <c r="F89" s="1056"/>
      <c r="G89" s="1056"/>
      <c r="H89" s="1056"/>
      <c r="I89" s="1056"/>
      <c r="J89" s="1056"/>
      <c r="K89" s="1056"/>
      <c r="L89" s="1056"/>
      <c r="M89" s="1056"/>
      <c r="N89" s="1056"/>
    </row>
    <row r="90" spans="2:14" ht="15" x14ac:dyDescent="0.25">
      <c r="B90" s="1047" t="s">
        <v>918</v>
      </c>
      <c r="C90" s="1055">
        <v>1096.92</v>
      </c>
      <c r="D90" s="1055">
        <v>1520.73</v>
      </c>
      <c r="E90" s="1055">
        <v>1529.04</v>
      </c>
      <c r="F90" s="1055">
        <v>581.21</v>
      </c>
      <c r="G90" s="1055">
        <v>511.28</v>
      </c>
      <c r="H90" s="1055">
        <v>126.73</v>
      </c>
      <c r="I90" s="1055">
        <v>358.34</v>
      </c>
      <c r="J90" s="1055">
        <v>292.79000000000002</v>
      </c>
      <c r="K90" s="1055">
        <v>445.74</v>
      </c>
      <c r="L90" s="1055">
        <v>533.14</v>
      </c>
      <c r="M90" s="1055">
        <v>2567.79</v>
      </c>
      <c r="N90" s="1055">
        <v>3581.61</v>
      </c>
    </row>
    <row r="91" spans="2:14" ht="15" x14ac:dyDescent="0.25">
      <c r="B91" s="1049"/>
      <c r="C91" s="1056"/>
      <c r="D91" s="1056"/>
      <c r="E91" s="1056"/>
      <c r="F91" s="1056"/>
      <c r="G91" s="1056"/>
      <c r="H91" s="1056"/>
      <c r="I91" s="1056"/>
      <c r="J91" s="1056"/>
      <c r="K91" s="1056"/>
      <c r="L91" s="1056"/>
      <c r="M91" s="1056"/>
      <c r="N91" s="1056"/>
    </row>
    <row r="92" spans="2:14" ht="15" x14ac:dyDescent="0.25">
      <c r="B92" s="1047" t="s">
        <v>919</v>
      </c>
      <c r="C92" s="1055">
        <v>897.6</v>
      </c>
      <c r="D92" s="1055">
        <v>1244.4000000000001</v>
      </c>
      <c r="E92" s="1055">
        <v>1251.2</v>
      </c>
      <c r="F92" s="1055">
        <v>904.4</v>
      </c>
      <c r="G92" s="1055">
        <v>788.8</v>
      </c>
      <c r="H92" s="1055">
        <v>197.2</v>
      </c>
      <c r="I92" s="1055">
        <v>557.6</v>
      </c>
      <c r="J92" s="1055">
        <v>455.6</v>
      </c>
      <c r="K92" s="1055">
        <v>693.6</v>
      </c>
      <c r="L92" s="1055">
        <v>829.6</v>
      </c>
      <c r="M92" s="1055">
        <v>2101.1999999999998</v>
      </c>
      <c r="N92" s="1055">
        <v>2930.8</v>
      </c>
    </row>
    <row r="93" spans="2:14" ht="15" x14ac:dyDescent="0.25">
      <c r="B93" s="1049"/>
      <c r="C93" s="1056"/>
      <c r="D93" s="1056"/>
      <c r="E93" s="1056"/>
      <c r="F93" s="1056"/>
      <c r="G93" s="1056"/>
      <c r="H93" s="1056"/>
      <c r="I93" s="1056"/>
      <c r="J93" s="1056"/>
      <c r="K93" s="1056"/>
      <c r="L93" s="1056"/>
      <c r="M93" s="1056"/>
      <c r="N93" s="1056"/>
    </row>
    <row r="94" spans="2:14" ht="15" x14ac:dyDescent="0.25">
      <c r="B94" s="1047" t="s">
        <v>920</v>
      </c>
      <c r="C94" s="1055">
        <v>307.8</v>
      </c>
      <c r="D94" s="1055">
        <v>307.8</v>
      </c>
      <c r="E94" s="1055">
        <v>307.8</v>
      </c>
      <c r="F94" s="1055">
        <v>307.8</v>
      </c>
      <c r="G94" s="1055">
        <v>307.8</v>
      </c>
      <c r="H94" s="1055">
        <v>307.8</v>
      </c>
      <c r="I94" s="1055">
        <v>307.8</v>
      </c>
      <c r="J94" s="1055">
        <v>307.8</v>
      </c>
      <c r="K94" s="1055">
        <v>307.8</v>
      </c>
      <c r="L94" s="1055">
        <v>307.8</v>
      </c>
      <c r="M94" s="1055">
        <v>307.8</v>
      </c>
      <c r="N94" s="1055">
        <v>324</v>
      </c>
    </row>
    <row r="95" spans="2:14" ht="15" x14ac:dyDescent="0.25">
      <c r="B95" s="1047"/>
      <c r="C95" s="1057"/>
      <c r="D95" s="1057"/>
      <c r="E95" s="1057"/>
      <c r="F95" s="1057"/>
      <c r="G95" s="1057"/>
      <c r="H95" s="1057"/>
      <c r="I95" s="1057"/>
      <c r="J95" s="1057"/>
      <c r="K95" s="1057"/>
      <c r="L95" s="1057"/>
      <c r="M95" s="1057"/>
      <c r="N95" s="1057"/>
    </row>
    <row r="96" spans="2:14" x14ac:dyDescent="0.2">
      <c r="C96" s="492"/>
      <c r="D96" s="492"/>
      <c r="E96" s="492"/>
      <c r="F96" s="492"/>
      <c r="G96" s="492"/>
      <c r="H96" s="492"/>
      <c r="I96" s="492"/>
      <c r="J96" s="492"/>
      <c r="K96" s="492"/>
      <c r="L96" s="492"/>
      <c r="M96" s="492"/>
      <c r="N96" s="492"/>
    </row>
    <row r="97" spans="1:17" ht="15" x14ac:dyDescent="0.2">
      <c r="A97" s="930">
        <v>7</v>
      </c>
      <c r="B97" s="464" t="s">
        <v>932</v>
      </c>
      <c r="C97" s="492"/>
      <c r="D97" s="492"/>
      <c r="E97" s="492"/>
      <c r="F97" s="492"/>
      <c r="G97" s="492"/>
      <c r="H97" s="492"/>
      <c r="I97" s="492"/>
      <c r="J97" s="492"/>
      <c r="K97" s="492"/>
      <c r="L97" s="492"/>
      <c r="M97" s="492"/>
      <c r="N97" s="492"/>
    </row>
    <row r="98" spans="1:17" x14ac:dyDescent="0.2">
      <c r="B98" s="465" t="s">
        <v>337</v>
      </c>
      <c r="C98" s="91">
        <v>41821</v>
      </c>
      <c r="D98" s="91">
        <v>41852</v>
      </c>
      <c r="E98" s="91">
        <v>41883</v>
      </c>
      <c r="F98" s="91">
        <v>41913</v>
      </c>
      <c r="G98" s="91">
        <v>41944</v>
      </c>
      <c r="H98" s="91">
        <v>41974</v>
      </c>
      <c r="I98" s="91">
        <v>42005</v>
      </c>
      <c r="J98" s="91">
        <v>42036</v>
      </c>
      <c r="K98" s="91">
        <v>42064</v>
      </c>
      <c r="L98" s="91">
        <v>42095</v>
      </c>
      <c r="M98" s="91">
        <v>42125</v>
      </c>
      <c r="N98" s="91">
        <v>42156</v>
      </c>
      <c r="O98" s="91" t="s">
        <v>923</v>
      </c>
    </row>
    <row r="99" spans="1:17" x14ac:dyDescent="0.2">
      <c r="B99" s="95" t="s">
        <v>409</v>
      </c>
      <c r="C99" s="96">
        <v>20500</v>
      </c>
      <c r="D99" s="96">
        <v>56120</v>
      </c>
      <c r="E99" s="96">
        <v>47040</v>
      </c>
      <c r="F99" s="96">
        <v>67800</v>
      </c>
      <c r="G99" s="96">
        <v>53240</v>
      </c>
      <c r="H99" s="96">
        <v>29280</v>
      </c>
      <c r="I99" s="96">
        <v>33400</v>
      </c>
      <c r="J99" s="96">
        <v>33000</v>
      </c>
      <c r="K99" s="96">
        <v>49720</v>
      </c>
      <c r="L99" s="96">
        <v>32800</v>
      </c>
      <c r="M99" s="96">
        <v>32200</v>
      </c>
      <c r="N99" s="96">
        <v>38120</v>
      </c>
      <c r="O99" s="875">
        <f>SUM(C99:N99)</f>
        <v>493220</v>
      </c>
    </row>
    <row r="100" spans="1:17" x14ac:dyDescent="0.2">
      <c r="B100" s="95" t="s">
        <v>322</v>
      </c>
      <c r="C100" s="101">
        <v>19448</v>
      </c>
      <c r="D100" s="893">
        <v>77792</v>
      </c>
      <c r="E100" s="101">
        <v>70312</v>
      </c>
      <c r="F100" s="96">
        <v>72556</v>
      </c>
      <c r="G100" s="96">
        <v>55352</v>
      </c>
      <c r="H100" s="96">
        <v>23188</v>
      </c>
      <c r="I100" s="96">
        <v>276760</v>
      </c>
      <c r="J100" s="96">
        <v>58344</v>
      </c>
      <c r="K100" s="96">
        <v>74800</v>
      </c>
      <c r="L100" s="96">
        <v>103972</v>
      </c>
      <c r="M100" s="96">
        <v>61336</v>
      </c>
      <c r="N100" s="96">
        <v>19448</v>
      </c>
      <c r="O100" s="877">
        <f>SUM(C100:N100)</f>
        <v>913308</v>
      </c>
    </row>
    <row r="101" spans="1:17" x14ac:dyDescent="0.2">
      <c r="B101" s="104" t="s">
        <v>924</v>
      </c>
      <c r="C101" s="879">
        <v>166</v>
      </c>
      <c r="D101" s="879">
        <v>114</v>
      </c>
      <c r="E101" s="879">
        <v>96</v>
      </c>
      <c r="F101" s="879">
        <v>302</v>
      </c>
      <c r="G101" s="879">
        <v>1418</v>
      </c>
      <c r="H101" s="879">
        <v>2056</v>
      </c>
      <c r="I101" s="879">
        <v>2162</v>
      </c>
      <c r="J101" s="879">
        <v>4388</v>
      </c>
      <c r="K101" s="879">
        <v>6471</v>
      </c>
      <c r="L101" s="879">
        <v>1096</v>
      </c>
      <c r="M101" s="879">
        <v>455</v>
      </c>
      <c r="N101" s="879">
        <v>157</v>
      </c>
      <c r="O101" s="880">
        <f>SUM(C101:N101)</f>
        <v>18881</v>
      </c>
    </row>
    <row r="102" spans="1:17" ht="15" x14ac:dyDescent="0.25">
      <c r="O102" s="477"/>
    </row>
    <row r="103" spans="1:17" x14ac:dyDescent="0.2">
      <c r="B103" s="95" t="s">
        <v>347</v>
      </c>
      <c r="C103" s="866">
        <v>3902.46</v>
      </c>
      <c r="D103" s="866">
        <v>5467.49</v>
      </c>
      <c r="E103" s="866">
        <v>4715.7299999999996</v>
      </c>
      <c r="F103" s="866">
        <v>6518.57</v>
      </c>
      <c r="G103" s="866">
        <v>5215.84</v>
      </c>
      <c r="H103" s="866">
        <v>3423.54</v>
      </c>
      <c r="I103" s="866">
        <v>3835</v>
      </c>
      <c r="J103" s="866">
        <v>3806.76</v>
      </c>
      <c r="K103" s="866">
        <v>5078.95</v>
      </c>
      <c r="L103" s="866">
        <v>3791.55</v>
      </c>
      <c r="M103" s="866">
        <v>3745.89</v>
      </c>
      <c r="N103" s="866">
        <v>4210.33</v>
      </c>
      <c r="O103" s="883">
        <f>SUM(C103:N103)</f>
        <v>53712.110000000008</v>
      </c>
    </row>
    <row r="104" spans="1:17" x14ac:dyDescent="0.2">
      <c r="B104" s="112" t="s">
        <v>410</v>
      </c>
      <c r="C104" s="869">
        <v>958.51</v>
      </c>
      <c r="D104" s="885">
        <v>1539.61</v>
      </c>
      <c r="E104" s="869">
        <v>1465.11</v>
      </c>
      <c r="F104" s="869">
        <v>1487.4639999999999</v>
      </c>
      <c r="G104" s="869">
        <v>1316.11</v>
      </c>
      <c r="H104" s="869">
        <v>995.76</v>
      </c>
      <c r="I104" s="869">
        <v>3521.31</v>
      </c>
      <c r="J104" s="869">
        <v>1345.91</v>
      </c>
      <c r="K104" s="869">
        <v>1509.81</v>
      </c>
      <c r="L104" s="869">
        <v>1815.36</v>
      </c>
      <c r="M104" s="869">
        <v>1375.71</v>
      </c>
      <c r="N104" s="869">
        <v>973.54</v>
      </c>
      <c r="O104" s="886">
        <f>SUM(C104:N104)</f>
        <v>18304.204000000002</v>
      </c>
    </row>
    <row r="105" spans="1:17" x14ac:dyDescent="0.2">
      <c r="B105" s="885" t="s">
        <v>925</v>
      </c>
      <c r="C105" s="869">
        <v>172.77</v>
      </c>
      <c r="D105" s="869">
        <v>124.42</v>
      </c>
      <c r="E105" s="869">
        <v>107.73</v>
      </c>
      <c r="F105" s="869">
        <v>298.43</v>
      </c>
      <c r="G105" s="869">
        <v>1144.3499999999999</v>
      </c>
      <c r="H105" s="869">
        <v>1520.27</v>
      </c>
      <c r="I105" s="869">
        <v>1596.99</v>
      </c>
      <c r="J105" s="869">
        <v>3182.58</v>
      </c>
      <c r="K105" s="869">
        <v>4314.88</v>
      </c>
      <c r="L105" s="869">
        <v>761.75</v>
      </c>
      <c r="M105" s="869">
        <v>342.83</v>
      </c>
      <c r="N105" s="869">
        <v>129.76</v>
      </c>
      <c r="O105" s="886">
        <f>SUM(C105:N105)</f>
        <v>13696.76</v>
      </c>
    </row>
    <row r="106" spans="1:17" ht="15" x14ac:dyDescent="0.25">
      <c r="B106" t="s">
        <v>1114</v>
      </c>
      <c r="C106" s="485"/>
      <c r="J106" s="485"/>
      <c r="O106" s="477"/>
    </row>
    <row r="107" spans="1:17" x14ac:dyDescent="0.2">
      <c r="C107" s="492"/>
      <c r="D107" s="492"/>
      <c r="E107" s="492"/>
      <c r="F107" s="492"/>
      <c r="G107" s="492"/>
      <c r="H107" s="492"/>
      <c r="I107" s="492"/>
      <c r="J107" s="492"/>
      <c r="K107" s="492"/>
      <c r="L107" s="492"/>
      <c r="M107" s="492"/>
      <c r="N107" s="492"/>
    </row>
    <row r="108" spans="1:17" ht="15" x14ac:dyDescent="0.25">
      <c r="A108" s="930">
        <v>8</v>
      </c>
      <c r="B108" s="712" t="s">
        <v>359</v>
      </c>
      <c r="C108" s="713"/>
      <c r="D108" s="713"/>
      <c r="E108" s="713"/>
      <c r="F108" s="713"/>
      <c r="G108" s="713"/>
      <c r="H108" s="713"/>
      <c r="I108" s="713"/>
      <c r="J108" s="713"/>
      <c r="K108" s="713"/>
      <c r="L108" s="713"/>
      <c r="M108" s="713"/>
      <c r="N108" s="713"/>
      <c r="O108" s="714"/>
      <c r="P108" s="715"/>
      <c r="Q108" s="716"/>
    </row>
    <row r="109" spans="1:17" ht="15" x14ac:dyDescent="0.25">
      <c r="B109" s="717" t="s">
        <v>337</v>
      </c>
      <c r="C109" s="718"/>
      <c r="D109" s="719">
        <v>41883</v>
      </c>
      <c r="E109" s="719">
        <v>41913</v>
      </c>
      <c r="F109" s="719">
        <v>41944</v>
      </c>
      <c r="G109" s="719">
        <v>41974</v>
      </c>
      <c r="H109" s="719">
        <v>42005</v>
      </c>
      <c r="I109" s="719">
        <v>42036</v>
      </c>
      <c r="J109" s="719">
        <v>42064</v>
      </c>
      <c r="K109" s="719">
        <v>42095</v>
      </c>
      <c r="L109" s="719">
        <v>42125</v>
      </c>
      <c r="M109" s="719">
        <v>42156</v>
      </c>
      <c r="N109" s="719">
        <v>42186</v>
      </c>
      <c r="O109" s="735"/>
      <c r="P109" s="720" t="s">
        <v>338</v>
      </c>
      <c r="Q109" s="721" t="s">
        <v>339</v>
      </c>
    </row>
    <row r="110" spans="1:17" ht="15" x14ac:dyDescent="0.25">
      <c r="B110" s="722" t="s">
        <v>360</v>
      </c>
      <c r="C110" s="713"/>
      <c r="D110" s="723">
        <v>65168.6</v>
      </c>
      <c r="E110" s="723">
        <v>69007.996320724473</v>
      </c>
      <c r="F110" s="723">
        <v>66408.996582030697</v>
      </c>
      <c r="G110" s="723">
        <v>61874.008178710996</v>
      </c>
      <c r="H110" s="723">
        <v>66953.002929688009</v>
      </c>
      <c r="I110" s="723">
        <v>64019.996093750022</v>
      </c>
      <c r="J110" s="723">
        <v>70716.999999999985</v>
      </c>
      <c r="K110" s="1144">
        <v>67461.000000000015</v>
      </c>
      <c r="L110" s="1144">
        <v>68775.999999999956</v>
      </c>
      <c r="M110" s="723">
        <v>65683</v>
      </c>
      <c r="N110" s="723">
        <v>66473.000000000073</v>
      </c>
      <c r="O110" s="744"/>
      <c r="P110" s="724">
        <f t="shared" ref="P110:P117" si="0">SUM(D110:N110)</f>
        <v>732542.60010490438</v>
      </c>
      <c r="Q110" s="1145" t="s">
        <v>361</v>
      </c>
    </row>
    <row r="111" spans="1:17" ht="15" x14ac:dyDescent="0.25">
      <c r="B111" s="722" t="s">
        <v>362</v>
      </c>
      <c r="C111" s="713"/>
      <c r="D111" s="723">
        <v>689.78</v>
      </c>
      <c r="E111" s="723">
        <v>315.52</v>
      </c>
      <c r="F111" s="723">
        <v>181.24</v>
      </c>
      <c r="G111" s="723">
        <v>92.17</v>
      </c>
      <c r="H111" s="723">
        <v>124.6</v>
      </c>
      <c r="I111" s="723">
        <v>125.84</v>
      </c>
      <c r="J111" s="723">
        <v>259.69</v>
      </c>
      <c r="K111" s="723">
        <v>409.01</v>
      </c>
      <c r="L111" s="723">
        <v>656.94</v>
      </c>
      <c r="M111" s="723">
        <v>953.24</v>
      </c>
      <c r="N111" s="723">
        <v>1018.01</v>
      </c>
      <c r="O111" s="744"/>
      <c r="P111" s="724">
        <f t="shared" si="0"/>
        <v>4826.04</v>
      </c>
      <c r="Q111" s="1145" t="s">
        <v>363</v>
      </c>
    </row>
    <row r="112" spans="1:17" ht="14.25" x14ac:dyDescent="0.2">
      <c r="B112" s="722" t="s">
        <v>364</v>
      </c>
      <c r="C112" s="726"/>
      <c r="D112" s="723">
        <v>261</v>
      </c>
      <c r="E112" s="723">
        <v>343</v>
      </c>
      <c r="F112" s="723">
        <v>574</v>
      </c>
      <c r="G112" s="723">
        <v>591</v>
      </c>
      <c r="H112" s="723">
        <v>733</v>
      </c>
      <c r="I112" s="723">
        <v>741</v>
      </c>
      <c r="J112" s="723">
        <v>566</v>
      </c>
      <c r="K112" s="723">
        <v>414</v>
      </c>
      <c r="L112" s="723">
        <v>360</v>
      </c>
      <c r="M112" s="723">
        <v>329</v>
      </c>
      <c r="N112" s="723">
        <v>315</v>
      </c>
      <c r="O112" s="744"/>
      <c r="P112" s="724">
        <f t="shared" si="0"/>
        <v>5227</v>
      </c>
      <c r="Q112" s="1146" t="s">
        <v>365</v>
      </c>
    </row>
    <row r="113" spans="1:18" x14ac:dyDescent="0.2">
      <c r="B113" s="728" t="s">
        <v>864</v>
      </c>
      <c r="C113" s="729"/>
      <c r="D113" s="723">
        <v>51.685392156862747</v>
      </c>
      <c r="E113" s="723">
        <v>57.17861111111111</v>
      </c>
      <c r="F113" s="723">
        <v>50.473055555555547</v>
      </c>
      <c r="G113" s="723">
        <v>37.181428571428576</v>
      </c>
      <c r="H113" s="723">
        <v>45.694971428571428</v>
      </c>
      <c r="I113" s="723">
        <v>47.512974999999997</v>
      </c>
      <c r="J113" s="723">
        <v>54.379742647058819</v>
      </c>
      <c r="K113" s="723">
        <v>54.250882352941176</v>
      </c>
      <c r="L113" s="723">
        <v>44</v>
      </c>
      <c r="M113" s="723">
        <v>37.386764705882356</v>
      </c>
      <c r="N113" s="723">
        <v>43.381417112299467</v>
      </c>
      <c r="O113" s="26"/>
      <c r="P113" s="724">
        <f t="shared" si="0"/>
        <v>523.12524064171123</v>
      </c>
      <c r="Q113" s="1146" t="s">
        <v>379</v>
      </c>
    </row>
    <row r="114" spans="1:18" ht="15" x14ac:dyDescent="0.25">
      <c r="B114" s="722" t="s">
        <v>368</v>
      </c>
      <c r="C114" s="713"/>
      <c r="D114" s="731">
        <f>D110*0.087</f>
        <v>5669.6681999999992</v>
      </c>
      <c r="E114" s="731">
        <f t="shared" ref="E114:N114" si="1">E110*0.087</f>
        <v>6003.6956799030286</v>
      </c>
      <c r="F114" s="731">
        <f t="shared" si="1"/>
        <v>5777.5827026366705</v>
      </c>
      <c r="G114" s="731">
        <f t="shared" si="1"/>
        <v>5383.0387115478561</v>
      </c>
      <c r="H114" s="731">
        <f t="shared" si="1"/>
        <v>5824.9112548828562</v>
      </c>
      <c r="I114" s="731">
        <f t="shared" si="1"/>
        <v>5569.7396601562514</v>
      </c>
      <c r="J114" s="731">
        <f t="shared" si="1"/>
        <v>6152.3789999999981</v>
      </c>
      <c r="K114" s="731">
        <f t="shared" si="1"/>
        <v>5869.1070000000009</v>
      </c>
      <c r="L114" s="731">
        <f t="shared" si="1"/>
        <v>5983.5119999999961</v>
      </c>
      <c r="M114" s="731">
        <f t="shared" si="1"/>
        <v>5714.4209999999994</v>
      </c>
      <c r="N114" s="731">
        <f t="shared" si="1"/>
        <v>5783.1510000000062</v>
      </c>
      <c r="O114" s="745"/>
      <c r="P114" s="724">
        <f t="shared" si="0"/>
        <v>63731.206209126671</v>
      </c>
      <c r="Q114" s="1145" t="s">
        <v>865</v>
      </c>
    </row>
    <row r="115" spans="1:18" ht="15" x14ac:dyDescent="0.25">
      <c r="B115" s="722" t="s">
        <v>369</v>
      </c>
      <c r="C115" s="713"/>
      <c r="D115" s="731">
        <f>D111*14.4</f>
        <v>9932.8320000000003</v>
      </c>
      <c r="E115" s="731">
        <f t="shared" ref="E115:M115" si="2">E111*14.4</f>
        <v>4543.4880000000003</v>
      </c>
      <c r="F115" s="731">
        <f t="shared" si="2"/>
        <v>2609.8560000000002</v>
      </c>
      <c r="G115" s="731">
        <f t="shared" si="2"/>
        <v>1327.248</v>
      </c>
      <c r="H115" s="731">
        <f t="shared" si="2"/>
        <v>1794.24</v>
      </c>
      <c r="I115" s="731">
        <f t="shared" si="2"/>
        <v>1812.096</v>
      </c>
      <c r="J115" s="731">
        <f t="shared" si="2"/>
        <v>3739.5360000000001</v>
      </c>
      <c r="K115" s="731">
        <f t="shared" si="2"/>
        <v>5889.7439999999997</v>
      </c>
      <c r="L115" s="731">
        <f t="shared" si="2"/>
        <v>9459.9360000000015</v>
      </c>
      <c r="M115" s="731">
        <f t="shared" si="2"/>
        <v>13726.656000000001</v>
      </c>
      <c r="N115" s="731">
        <f>N111*13.71</f>
        <v>13956.917100000001</v>
      </c>
      <c r="O115" s="745"/>
      <c r="P115" s="724">
        <f t="shared" si="0"/>
        <v>68792.549100000004</v>
      </c>
      <c r="Q115" s="1145" t="s">
        <v>865</v>
      </c>
    </row>
    <row r="116" spans="1:18" ht="14.25" x14ac:dyDescent="0.2">
      <c r="B116" s="722" t="s">
        <v>326</v>
      </c>
      <c r="C116" s="726"/>
      <c r="D116" s="731">
        <f>D112*13.87</f>
        <v>3620.0699999999997</v>
      </c>
      <c r="E116" s="731">
        <f t="shared" ref="E116:M116" si="3">E112*13.87</f>
        <v>4757.41</v>
      </c>
      <c r="F116" s="731">
        <f t="shared" si="3"/>
        <v>7961.3799999999992</v>
      </c>
      <c r="G116" s="731">
        <f t="shared" si="3"/>
        <v>8197.17</v>
      </c>
      <c r="H116" s="731">
        <f t="shared" si="3"/>
        <v>10166.709999999999</v>
      </c>
      <c r="I116" s="731">
        <f t="shared" si="3"/>
        <v>10277.67</v>
      </c>
      <c r="J116" s="731">
        <f t="shared" si="3"/>
        <v>7850.4199999999992</v>
      </c>
      <c r="K116" s="731">
        <f t="shared" si="3"/>
        <v>5742.1799999999994</v>
      </c>
      <c r="L116" s="731">
        <f t="shared" si="3"/>
        <v>4993.2</v>
      </c>
      <c r="M116" s="731">
        <f t="shared" si="3"/>
        <v>4563.2299999999996</v>
      </c>
      <c r="N116" s="731">
        <f>N112*14.42</f>
        <v>4542.3</v>
      </c>
      <c r="O116" s="745"/>
      <c r="P116" s="724">
        <f t="shared" si="0"/>
        <v>72671.739999999991</v>
      </c>
      <c r="Q116" s="1145" t="s">
        <v>865</v>
      </c>
    </row>
    <row r="117" spans="1:18" ht="15" x14ac:dyDescent="0.25">
      <c r="B117" s="732" t="s">
        <v>325</v>
      </c>
      <c r="C117" s="733"/>
      <c r="D117" s="145">
        <f>D113*7.86</f>
        <v>406.24718235294119</v>
      </c>
      <c r="E117" s="145">
        <f t="shared" ref="E117:M117" si="4">E113*7.86</f>
        <v>449.42388333333332</v>
      </c>
      <c r="F117" s="145">
        <f t="shared" si="4"/>
        <v>396.71821666666659</v>
      </c>
      <c r="G117" s="145">
        <f t="shared" si="4"/>
        <v>292.24602857142861</v>
      </c>
      <c r="H117" s="145">
        <f t="shared" si="4"/>
        <v>359.16247542857144</v>
      </c>
      <c r="I117" s="145">
        <f t="shared" si="4"/>
        <v>373.45198349999998</v>
      </c>
      <c r="J117" s="145">
        <f t="shared" si="4"/>
        <v>427.42477720588232</v>
      </c>
      <c r="K117" s="145">
        <f t="shared" si="4"/>
        <v>426.41193529411765</v>
      </c>
      <c r="L117" s="145">
        <f t="shared" si="4"/>
        <v>345.84000000000003</v>
      </c>
      <c r="M117" s="145">
        <f t="shared" si="4"/>
        <v>293.85997058823534</v>
      </c>
      <c r="N117" s="1147">
        <f>N113*6.55</f>
        <v>284.1482820855615</v>
      </c>
      <c r="O117" s="1148"/>
      <c r="P117" s="140">
        <f t="shared" si="0"/>
        <v>4054.9347350267381</v>
      </c>
      <c r="Q117" s="1145" t="s">
        <v>865</v>
      </c>
    </row>
    <row r="118" spans="1:18" ht="15" x14ac:dyDescent="0.25">
      <c r="B118" s="1149"/>
      <c r="C118" s="733"/>
      <c r="D118" s="179"/>
      <c r="E118" s="179"/>
      <c r="F118" s="179"/>
      <c r="G118" s="179"/>
      <c r="H118" s="179"/>
      <c r="I118" s="179"/>
      <c r="J118" s="179"/>
      <c r="K118" s="179"/>
      <c r="L118" s="179"/>
      <c r="M118" s="179"/>
      <c r="N118" s="177"/>
      <c r="O118" s="177"/>
      <c r="P118" s="596"/>
      <c r="Q118" s="1150"/>
    </row>
    <row r="119" spans="1:18" ht="23.25" x14ac:dyDescent="0.35">
      <c r="A119" s="930">
        <v>9</v>
      </c>
      <c r="B119" s="1245" t="s">
        <v>1190</v>
      </c>
      <c r="C119" s="477"/>
      <c r="D119" s="477"/>
      <c r="E119" s="477"/>
      <c r="F119" s="477"/>
      <c r="G119" s="477"/>
    </row>
    <row r="120" spans="1:18" x14ac:dyDescent="0.2">
      <c r="B120" s="130" t="s">
        <v>337</v>
      </c>
      <c r="C120" s="186" t="s">
        <v>977</v>
      </c>
      <c r="D120" s="131">
        <v>41821</v>
      </c>
      <c r="E120" s="131">
        <v>41852</v>
      </c>
      <c r="F120" s="131">
        <v>41883</v>
      </c>
      <c r="G120" s="131">
        <v>41913</v>
      </c>
      <c r="H120" s="131">
        <v>41944</v>
      </c>
      <c r="I120" s="131">
        <v>41974</v>
      </c>
      <c r="J120" s="131">
        <v>42005</v>
      </c>
      <c r="K120" s="131">
        <v>42036</v>
      </c>
      <c r="L120" s="131">
        <v>42064</v>
      </c>
      <c r="M120" s="131">
        <v>42095</v>
      </c>
      <c r="N120" s="131">
        <v>42125</v>
      </c>
      <c r="O120" s="131">
        <v>42156</v>
      </c>
      <c r="P120" s="131">
        <v>42186</v>
      </c>
      <c r="Q120" s="151">
        <v>42217</v>
      </c>
      <c r="R120" s="131">
        <v>42261</v>
      </c>
    </row>
    <row r="121" spans="1:18" x14ac:dyDescent="0.2">
      <c r="B121" s="135" t="s">
        <v>319</v>
      </c>
      <c r="C121" s="136"/>
      <c r="D121" s="136">
        <v>52224</v>
      </c>
      <c r="E121" s="136">
        <v>55872</v>
      </c>
      <c r="F121" s="136">
        <v>56832</v>
      </c>
      <c r="G121" s="136">
        <v>50880</v>
      </c>
      <c r="H121" s="136">
        <v>50112</v>
      </c>
      <c r="I121" s="136">
        <v>50112</v>
      </c>
      <c r="J121" s="136">
        <v>55872</v>
      </c>
      <c r="K121" s="136">
        <v>64320</v>
      </c>
      <c r="L121" s="136">
        <v>60480</v>
      </c>
      <c r="M121" s="136">
        <v>43584</v>
      </c>
      <c r="N121" s="136">
        <v>45312</v>
      </c>
      <c r="O121" s="136">
        <v>43392</v>
      </c>
      <c r="P121" s="136">
        <v>57984</v>
      </c>
      <c r="Q121" s="136"/>
      <c r="R121" s="157"/>
    </row>
    <row r="122" spans="1:18" x14ac:dyDescent="0.2">
      <c r="B122" s="135" t="s">
        <v>343</v>
      </c>
      <c r="C122" s="137"/>
      <c r="D122" s="137">
        <v>0</v>
      </c>
      <c r="E122" s="137">
        <v>0</v>
      </c>
      <c r="F122" s="137">
        <v>0</v>
      </c>
      <c r="G122" s="137">
        <v>0</v>
      </c>
      <c r="H122" s="137">
        <v>0</v>
      </c>
      <c r="I122" s="136">
        <v>0</v>
      </c>
      <c r="J122" s="136">
        <v>0</v>
      </c>
      <c r="K122" s="136">
        <v>0</v>
      </c>
      <c r="L122" s="136">
        <v>0</v>
      </c>
      <c r="M122" s="136">
        <v>0</v>
      </c>
      <c r="N122" s="136">
        <v>0</v>
      </c>
      <c r="O122" s="136">
        <v>0</v>
      </c>
      <c r="P122" s="136">
        <v>0</v>
      </c>
      <c r="Q122" s="136"/>
      <c r="R122" s="157"/>
    </row>
    <row r="123" spans="1:18" x14ac:dyDescent="0.2">
      <c r="B123" s="153" t="s">
        <v>362</v>
      </c>
      <c r="C123" s="141"/>
      <c r="D123" s="141">
        <v>0</v>
      </c>
      <c r="E123" s="141">
        <v>0</v>
      </c>
      <c r="F123" s="141">
        <v>0</v>
      </c>
      <c r="G123" s="141">
        <v>0</v>
      </c>
      <c r="H123" s="141">
        <v>0</v>
      </c>
      <c r="I123" s="141">
        <v>0</v>
      </c>
      <c r="J123" s="141">
        <v>0</v>
      </c>
      <c r="K123" s="141">
        <v>0</v>
      </c>
      <c r="L123" s="141">
        <v>0</v>
      </c>
      <c r="M123" s="141">
        <v>0</v>
      </c>
      <c r="N123" s="141">
        <v>0</v>
      </c>
      <c r="O123" s="141">
        <v>0</v>
      </c>
      <c r="P123" s="141">
        <v>0</v>
      </c>
      <c r="Q123" s="141"/>
      <c r="R123" s="157"/>
    </row>
    <row r="124" spans="1:18" x14ac:dyDescent="0.2">
      <c r="B124" s="153" t="s">
        <v>641</v>
      </c>
      <c r="C124" s="141"/>
      <c r="D124" s="141">
        <v>0</v>
      </c>
      <c r="E124" s="141">
        <v>0</v>
      </c>
      <c r="F124" s="141">
        <v>0</v>
      </c>
      <c r="G124" s="141">
        <v>0</v>
      </c>
      <c r="H124" s="141">
        <v>0</v>
      </c>
      <c r="I124" s="141">
        <v>0</v>
      </c>
      <c r="J124" s="141">
        <v>0</v>
      </c>
      <c r="K124" s="141">
        <v>0</v>
      </c>
      <c r="L124" s="141">
        <v>0</v>
      </c>
      <c r="M124" s="141">
        <v>0</v>
      </c>
      <c r="N124" s="141">
        <v>0</v>
      </c>
      <c r="O124" s="141">
        <v>0</v>
      </c>
      <c r="P124" s="141">
        <v>0</v>
      </c>
      <c r="Q124" s="141"/>
      <c r="R124" s="157"/>
    </row>
    <row r="125" spans="1:18" x14ac:dyDescent="0.2">
      <c r="B125" s="135" t="s">
        <v>864</v>
      </c>
      <c r="C125" s="760"/>
      <c r="D125" s="760">
        <v>529.61</v>
      </c>
      <c r="E125" s="760">
        <v>938.42</v>
      </c>
      <c r="F125" s="760">
        <v>896.81</v>
      </c>
      <c r="G125" s="760">
        <v>817.2</v>
      </c>
      <c r="H125" s="760">
        <v>782</v>
      </c>
      <c r="I125" s="760">
        <v>252.56</v>
      </c>
      <c r="J125" s="760">
        <v>365.83</v>
      </c>
      <c r="K125" s="750">
        <v>232.19</v>
      </c>
      <c r="L125" s="750">
        <v>411.89</v>
      </c>
      <c r="M125" s="750">
        <v>625.05999999999995</v>
      </c>
      <c r="N125" s="750">
        <v>1124.08</v>
      </c>
      <c r="O125" s="750">
        <v>563.73</v>
      </c>
      <c r="P125" s="750">
        <v>770.37</v>
      </c>
      <c r="Q125" s="728"/>
      <c r="R125" s="157"/>
    </row>
    <row r="126" spans="1:18" x14ac:dyDescent="0.2">
      <c r="B126" s="135" t="s">
        <v>324</v>
      </c>
      <c r="C126" s="731"/>
      <c r="D126" s="731">
        <v>6467.55</v>
      </c>
      <c r="E126" s="731">
        <v>6834.85</v>
      </c>
      <c r="F126" s="731">
        <v>7158.93</v>
      </c>
      <c r="G126" s="731">
        <v>5973.78</v>
      </c>
      <c r="H126" s="731">
        <v>5956.18</v>
      </c>
      <c r="I126" s="731">
        <v>6277.44</v>
      </c>
      <c r="J126" s="731">
        <v>6560.56</v>
      </c>
      <c r="K126" s="731">
        <v>7264.31</v>
      </c>
      <c r="L126" s="731">
        <v>6987.37</v>
      </c>
      <c r="M126" s="731">
        <v>5296.43</v>
      </c>
      <c r="N126" s="731">
        <v>5969.07</v>
      </c>
      <c r="O126" s="731">
        <v>5830.6</v>
      </c>
      <c r="P126" s="731">
        <v>6660.13</v>
      </c>
      <c r="Q126" s="731"/>
      <c r="R126" s="157"/>
    </row>
    <row r="127" spans="1:18" x14ac:dyDescent="0.2">
      <c r="B127" s="144" t="s">
        <v>348</v>
      </c>
      <c r="C127" s="736"/>
      <c r="D127" s="736">
        <v>0</v>
      </c>
      <c r="E127" s="736">
        <v>0</v>
      </c>
      <c r="F127" s="736">
        <v>0</v>
      </c>
      <c r="G127" s="736">
        <v>0</v>
      </c>
      <c r="H127" s="736">
        <v>0</v>
      </c>
      <c r="I127" s="736">
        <v>0</v>
      </c>
      <c r="J127" s="731">
        <v>0</v>
      </c>
      <c r="K127" s="731">
        <v>0</v>
      </c>
      <c r="L127" s="731">
        <v>0</v>
      </c>
      <c r="M127" s="731">
        <v>0</v>
      </c>
      <c r="N127" s="731">
        <v>0</v>
      </c>
      <c r="O127" s="731">
        <v>0</v>
      </c>
      <c r="P127" s="731">
        <v>0</v>
      </c>
      <c r="Q127" s="731"/>
      <c r="R127" s="157"/>
    </row>
    <row r="128" spans="1:18" x14ac:dyDescent="0.2">
      <c r="B128" s="195" t="s">
        <v>1087</v>
      </c>
      <c r="C128" s="731"/>
      <c r="D128" s="731">
        <v>0</v>
      </c>
      <c r="E128" s="731">
        <v>0</v>
      </c>
      <c r="F128" s="731">
        <v>0</v>
      </c>
      <c r="G128" s="731">
        <v>0</v>
      </c>
      <c r="H128" s="731">
        <v>0</v>
      </c>
      <c r="I128" s="731">
        <v>0</v>
      </c>
      <c r="J128" s="731">
        <v>0</v>
      </c>
      <c r="K128" s="731">
        <v>0</v>
      </c>
      <c r="L128" s="731">
        <v>0</v>
      </c>
      <c r="M128" s="731">
        <v>0</v>
      </c>
      <c r="N128" s="731">
        <v>0</v>
      </c>
      <c r="O128" s="731">
        <v>0</v>
      </c>
      <c r="P128" s="731">
        <v>0</v>
      </c>
      <c r="Q128" s="731"/>
      <c r="R128" s="157"/>
    </row>
    <row r="129" spans="1:18" x14ac:dyDescent="0.2">
      <c r="B129" s="144" t="s">
        <v>883</v>
      </c>
      <c r="C129" s="145"/>
      <c r="D129" s="145">
        <v>0</v>
      </c>
      <c r="E129" s="145">
        <v>0</v>
      </c>
      <c r="F129" s="145">
        <v>0</v>
      </c>
      <c r="G129" s="145">
        <v>0</v>
      </c>
      <c r="H129" s="145">
        <v>0</v>
      </c>
      <c r="I129" s="145">
        <v>0</v>
      </c>
      <c r="J129" s="145">
        <v>0</v>
      </c>
      <c r="K129" s="145">
        <v>0</v>
      </c>
      <c r="L129" s="145">
        <v>0</v>
      </c>
      <c r="M129" s="145">
        <v>0</v>
      </c>
      <c r="N129" s="145">
        <v>0</v>
      </c>
      <c r="O129" s="145">
        <v>0</v>
      </c>
      <c r="P129" s="145">
        <v>0</v>
      </c>
      <c r="Q129" s="145"/>
      <c r="R129" s="179"/>
    </row>
    <row r="130" spans="1:18" x14ac:dyDescent="0.2">
      <c r="C130" s="492"/>
      <c r="D130" s="492"/>
      <c r="E130" s="492"/>
      <c r="F130" s="492"/>
      <c r="G130" s="492"/>
      <c r="H130" s="492"/>
      <c r="I130" s="492"/>
      <c r="J130" s="492"/>
      <c r="K130" s="492"/>
      <c r="L130" s="492"/>
      <c r="M130" s="492"/>
      <c r="N130" s="492"/>
    </row>
    <row r="131" spans="1:18" x14ac:dyDescent="0.2">
      <c r="C131" s="492"/>
      <c r="D131" s="492"/>
      <c r="E131" s="492"/>
      <c r="F131" s="492"/>
      <c r="G131" s="492"/>
      <c r="H131" s="492"/>
      <c r="I131" s="492"/>
      <c r="J131" s="492"/>
      <c r="K131" s="492"/>
      <c r="L131" s="492"/>
      <c r="M131" s="492"/>
      <c r="N131" s="492"/>
    </row>
    <row r="132" spans="1:18" x14ac:dyDescent="0.2">
      <c r="C132" s="492"/>
      <c r="D132" s="492"/>
      <c r="E132" s="492"/>
      <c r="F132" s="492"/>
      <c r="G132" s="492"/>
      <c r="H132" s="492"/>
      <c r="I132" s="492"/>
      <c r="J132" s="492"/>
      <c r="K132" s="492"/>
      <c r="L132" s="492"/>
      <c r="M132" s="492"/>
      <c r="N132" s="492"/>
    </row>
    <row r="133" spans="1:18" x14ac:dyDescent="0.2">
      <c r="C133" s="492"/>
      <c r="D133" s="492"/>
      <c r="E133" s="492"/>
      <c r="F133" s="492"/>
      <c r="G133" s="492"/>
      <c r="H133" s="492"/>
      <c r="I133" s="492"/>
      <c r="J133" s="492"/>
      <c r="K133" s="492"/>
      <c r="L133" s="492"/>
      <c r="M133" s="492"/>
      <c r="N133" s="492"/>
    </row>
    <row r="134" spans="1:18" ht="15" x14ac:dyDescent="0.2">
      <c r="A134" s="930">
        <v>10</v>
      </c>
      <c r="B134" s="464" t="s">
        <v>934</v>
      </c>
      <c r="C134" s="492"/>
      <c r="D134" s="492"/>
      <c r="E134" s="492"/>
      <c r="F134" s="492"/>
      <c r="G134" s="492"/>
      <c r="H134" s="492"/>
      <c r="I134" s="492"/>
      <c r="J134" s="492"/>
      <c r="K134" s="492"/>
      <c r="L134" s="492"/>
      <c r="M134" s="492"/>
      <c r="N134" s="492"/>
    </row>
    <row r="135" spans="1:18" x14ac:dyDescent="0.2">
      <c r="B135" s="465" t="s">
        <v>337</v>
      </c>
      <c r="C135" s="91">
        <v>41821</v>
      </c>
      <c r="D135" s="91">
        <v>41852</v>
      </c>
      <c r="E135" s="91">
        <v>41883</v>
      </c>
      <c r="F135" s="91">
        <v>41913</v>
      </c>
      <c r="G135" s="91">
        <v>41944</v>
      </c>
      <c r="H135" s="91">
        <v>41974</v>
      </c>
      <c r="I135" s="91">
        <v>42005</v>
      </c>
      <c r="J135" s="91">
        <v>42036</v>
      </c>
      <c r="K135" s="91">
        <v>42064</v>
      </c>
      <c r="L135" s="91">
        <v>42095</v>
      </c>
      <c r="M135" s="91">
        <v>42125</v>
      </c>
      <c r="N135" s="91">
        <v>42156</v>
      </c>
      <c r="O135" s="91" t="s">
        <v>923</v>
      </c>
    </row>
    <row r="136" spans="1:18" ht="15" x14ac:dyDescent="0.25">
      <c r="B136" s="95" t="s">
        <v>409</v>
      </c>
      <c r="C136" s="96">
        <v>2360</v>
      </c>
      <c r="D136" s="96">
        <v>2600</v>
      </c>
      <c r="E136" s="96">
        <v>3180</v>
      </c>
      <c r="F136" s="96">
        <v>4320</v>
      </c>
      <c r="G136" s="96">
        <v>4320</v>
      </c>
      <c r="H136" s="96">
        <v>2520</v>
      </c>
      <c r="I136" s="96">
        <v>2640</v>
      </c>
      <c r="J136" s="96">
        <v>3040</v>
      </c>
      <c r="K136" s="96">
        <v>1800</v>
      </c>
      <c r="L136" s="96">
        <v>3360</v>
      </c>
      <c r="M136" s="96">
        <v>4680</v>
      </c>
      <c r="N136" s="96">
        <v>4360</v>
      </c>
      <c r="O136" s="861">
        <v>39180</v>
      </c>
    </row>
    <row r="137" spans="1:18" ht="15" x14ac:dyDescent="0.25">
      <c r="B137" s="95" t="s">
        <v>322</v>
      </c>
      <c r="C137" s="101">
        <v>30470</v>
      </c>
      <c r="D137" s="101">
        <v>53490</v>
      </c>
      <c r="E137" s="101">
        <v>40810</v>
      </c>
      <c r="F137" s="101">
        <v>62630</v>
      </c>
      <c r="G137" s="1127" t="s">
        <v>330</v>
      </c>
      <c r="H137" s="101">
        <v>53920</v>
      </c>
      <c r="I137" s="101">
        <v>60016</v>
      </c>
      <c r="J137" s="1128">
        <v>68914</v>
      </c>
      <c r="K137" s="101">
        <v>15210</v>
      </c>
      <c r="L137" s="101">
        <v>5800</v>
      </c>
      <c r="M137" s="101">
        <v>77670</v>
      </c>
      <c r="N137" s="101">
        <v>125840</v>
      </c>
      <c r="O137" s="861">
        <v>594770</v>
      </c>
    </row>
    <row r="138" spans="1:18" x14ac:dyDescent="0.2">
      <c r="B138" s="863" t="s">
        <v>924</v>
      </c>
      <c r="C138" s="820">
        <v>23</v>
      </c>
      <c r="D138" s="820">
        <v>22</v>
      </c>
      <c r="E138" s="820">
        <v>28</v>
      </c>
      <c r="F138" s="820">
        <v>29</v>
      </c>
      <c r="G138" s="820">
        <v>1458</v>
      </c>
      <c r="H138" s="820">
        <v>1195</v>
      </c>
      <c r="I138" s="101">
        <v>1162</v>
      </c>
      <c r="J138" s="820">
        <v>1264</v>
      </c>
      <c r="K138" s="820">
        <v>654</v>
      </c>
      <c r="L138" s="820">
        <v>33</v>
      </c>
      <c r="M138" s="820">
        <v>29</v>
      </c>
      <c r="N138" s="820">
        <v>87</v>
      </c>
      <c r="O138" s="877">
        <v>5984</v>
      </c>
    </row>
    <row r="139" spans="1:18" ht="15" x14ac:dyDescent="0.25">
      <c r="B139" s="865"/>
      <c r="O139" s="477"/>
    </row>
    <row r="140" spans="1:18" ht="15" x14ac:dyDescent="0.25">
      <c r="B140" s="95" t="s">
        <v>347</v>
      </c>
      <c r="C140" s="866">
        <v>483.83</v>
      </c>
      <c r="D140" s="866">
        <v>606.25</v>
      </c>
      <c r="E140" s="866">
        <v>552.75</v>
      </c>
      <c r="F140" s="866">
        <v>1045.67</v>
      </c>
      <c r="G140" s="866">
        <v>856.41</v>
      </c>
      <c r="H140" s="866">
        <v>510.76</v>
      </c>
      <c r="I140" s="866">
        <v>570.39</v>
      </c>
      <c r="J140" s="866">
        <v>599.9</v>
      </c>
      <c r="K140" s="866">
        <v>405.87</v>
      </c>
      <c r="L140" s="866">
        <v>852.49</v>
      </c>
      <c r="M140" s="866">
        <v>890.21</v>
      </c>
      <c r="N140" s="866">
        <v>823.7</v>
      </c>
      <c r="O140" s="868">
        <v>8198.23</v>
      </c>
    </row>
    <row r="141" spans="1:18" ht="15" x14ac:dyDescent="0.25">
      <c r="B141" s="112" t="s">
        <v>410</v>
      </c>
      <c r="C141" s="869">
        <v>250.44</v>
      </c>
      <c r="D141" s="869">
        <v>177.76</v>
      </c>
      <c r="E141" s="1129">
        <v>177.76</v>
      </c>
      <c r="F141" s="869">
        <v>202.15</v>
      </c>
      <c r="G141" s="869">
        <v>305.77999999999997</v>
      </c>
      <c r="H141" s="869">
        <v>229.58</v>
      </c>
      <c r="I141" s="869">
        <v>274.54000000000002</v>
      </c>
      <c r="J141" s="1130">
        <v>302.73</v>
      </c>
      <c r="K141" s="1130">
        <v>251.68</v>
      </c>
      <c r="L141" s="869">
        <v>229.96</v>
      </c>
      <c r="M141" s="869">
        <v>342.36</v>
      </c>
      <c r="N141" s="869">
        <v>396.39</v>
      </c>
      <c r="O141" s="868">
        <v>3141.13</v>
      </c>
    </row>
    <row r="142" spans="1:18" x14ac:dyDescent="0.2">
      <c r="B142" s="121" t="s">
        <v>925</v>
      </c>
      <c r="C142" s="104">
        <v>44.55</v>
      </c>
      <c r="D142" s="104">
        <v>43.65</v>
      </c>
      <c r="E142" s="871">
        <v>45.91</v>
      </c>
      <c r="F142" s="871">
        <v>38.450000000000003</v>
      </c>
      <c r="G142" s="871">
        <v>1242.3800000000001</v>
      </c>
      <c r="H142" s="871">
        <v>1045.21</v>
      </c>
      <c r="I142" s="871">
        <v>926.42</v>
      </c>
      <c r="J142" s="871">
        <v>133.03</v>
      </c>
      <c r="K142" s="871">
        <v>947.21</v>
      </c>
      <c r="L142" s="871">
        <v>41.76</v>
      </c>
      <c r="M142" s="871">
        <v>39.369999999999997</v>
      </c>
      <c r="N142" s="871">
        <v>82.67</v>
      </c>
      <c r="O142" s="872">
        <v>4630</v>
      </c>
    </row>
    <row r="143" spans="1:18" x14ac:dyDescent="0.2">
      <c r="C143" s="492"/>
      <c r="D143" s="492"/>
      <c r="E143" s="492"/>
      <c r="F143" s="492"/>
      <c r="G143" s="492"/>
      <c r="H143" s="492"/>
      <c r="I143" s="492"/>
      <c r="J143" s="492"/>
      <c r="K143" s="492"/>
      <c r="L143" s="492"/>
      <c r="M143" s="492"/>
      <c r="N143" s="492"/>
    </row>
    <row r="144" spans="1:18" s="666" customFormat="1" x14ac:dyDescent="0.2">
      <c r="A144" s="930">
        <v>11</v>
      </c>
      <c r="B144" s="666" t="s">
        <v>1047</v>
      </c>
      <c r="C144" s="970"/>
      <c r="D144" s="970" t="s">
        <v>308</v>
      </c>
      <c r="E144" s="970"/>
      <c r="F144" s="970"/>
      <c r="G144" s="970"/>
      <c r="H144" s="970"/>
      <c r="I144" s="970"/>
      <c r="J144" s="970"/>
      <c r="K144" s="970"/>
      <c r="L144" s="970"/>
      <c r="M144" s="970"/>
      <c r="N144" s="970"/>
    </row>
    <row r="145" spans="1:14" x14ac:dyDescent="0.2">
      <c r="C145" s="971">
        <v>42199</v>
      </c>
      <c r="D145" s="971">
        <v>42230</v>
      </c>
      <c r="E145" s="971">
        <v>42261</v>
      </c>
      <c r="F145" s="971">
        <v>42291</v>
      </c>
      <c r="G145" s="971">
        <v>42322</v>
      </c>
      <c r="H145" s="971">
        <v>42352</v>
      </c>
      <c r="I145" s="971">
        <v>42019</v>
      </c>
      <c r="J145" s="971">
        <v>42050</v>
      </c>
      <c r="K145" s="971">
        <v>42078</v>
      </c>
      <c r="L145" s="971">
        <v>42109</v>
      </c>
      <c r="M145" s="971">
        <v>42139</v>
      </c>
      <c r="N145" s="971">
        <v>42170</v>
      </c>
    </row>
    <row r="146" spans="1:14" x14ac:dyDescent="0.2">
      <c r="B146" t="s">
        <v>694</v>
      </c>
      <c r="C146" s="492"/>
      <c r="D146" s="492"/>
      <c r="E146" s="492"/>
      <c r="F146" s="492"/>
      <c r="G146" s="492"/>
      <c r="H146" s="492"/>
      <c r="I146" s="492"/>
      <c r="J146" s="492"/>
      <c r="K146" s="492"/>
      <c r="L146" s="492"/>
      <c r="M146" s="492"/>
      <c r="N146" s="492"/>
    </row>
    <row r="147" spans="1:14" x14ac:dyDescent="0.2">
      <c r="B147" t="s">
        <v>695</v>
      </c>
      <c r="C147" s="973">
        <v>415523</v>
      </c>
      <c r="D147" s="973">
        <v>415560</v>
      </c>
      <c r="E147" s="973">
        <v>377745</v>
      </c>
      <c r="F147" s="973">
        <v>440404</v>
      </c>
      <c r="G147" s="973">
        <v>435530</v>
      </c>
      <c r="H147" s="973">
        <v>448250</v>
      </c>
      <c r="I147" s="973">
        <v>455310</v>
      </c>
      <c r="J147" s="973">
        <v>414430</v>
      </c>
      <c r="K147" s="973">
        <v>456675</v>
      </c>
      <c r="L147" s="973">
        <v>448690</v>
      </c>
      <c r="M147" s="973">
        <v>453830</v>
      </c>
      <c r="N147" s="973">
        <v>419430</v>
      </c>
    </row>
    <row r="148" spans="1:14" x14ac:dyDescent="0.2">
      <c r="B148" t="s">
        <v>696</v>
      </c>
      <c r="C148" s="973">
        <v>182</v>
      </c>
      <c r="D148" s="973">
        <v>131</v>
      </c>
      <c r="E148" s="973">
        <v>142</v>
      </c>
      <c r="F148" s="973">
        <v>531</v>
      </c>
      <c r="G148" s="973">
        <v>2083</v>
      </c>
      <c r="H148" s="973">
        <v>2611</v>
      </c>
      <c r="I148" s="973">
        <v>979</v>
      </c>
      <c r="J148" s="973">
        <v>805</v>
      </c>
      <c r="K148" s="973">
        <v>689</v>
      </c>
      <c r="L148" s="973">
        <v>1625</v>
      </c>
      <c r="M148" s="973">
        <v>679</v>
      </c>
      <c r="N148" s="973">
        <v>166</v>
      </c>
    </row>
    <row r="149" spans="1:14" x14ac:dyDescent="0.2">
      <c r="B149" t="s">
        <v>697</v>
      </c>
      <c r="C149" s="973">
        <v>4963</v>
      </c>
      <c r="D149" s="973">
        <v>4932</v>
      </c>
      <c r="E149" s="973">
        <v>7234</v>
      </c>
      <c r="F149" s="973">
        <v>8982</v>
      </c>
      <c r="G149" s="973">
        <v>9050</v>
      </c>
      <c r="H149" s="973">
        <v>7383</v>
      </c>
      <c r="I149" s="973">
        <v>6346</v>
      </c>
      <c r="J149" s="973">
        <v>6550</v>
      </c>
      <c r="K149" s="973">
        <v>10382</v>
      </c>
      <c r="L149" s="973">
        <v>10707</v>
      </c>
      <c r="M149" s="973">
        <v>5507</v>
      </c>
      <c r="N149" s="973">
        <v>6686</v>
      </c>
    </row>
    <row r="150" spans="1:14" x14ac:dyDescent="0.2">
      <c r="B150" t="s">
        <v>705</v>
      </c>
      <c r="C150" s="973">
        <v>2555</v>
      </c>
      <c r="D150" s="973">
        <v>18112</v>
      </c>
      <c r="E150" s="973">
        <v>9894</v>
      </c>
      <c r="F150" s="973">
        <v>1481</v>
      </c>
      <c r="G150" s="973">
        <v>640</v>
      </c>
      <c r="H150" s="973">
        <v>685</v>
      </c>
      <c r="I150" s="973">
        <v>456</v>
      </c>
      <c r="J150" s="973">
        <v>486</v>
      </c>
      <c r="K150" s="973">
        <v>1141</v>
      </c>
      <c r="L150" s="973">
        <v>1269</v>
      </c>
      <c r="M150" s="973">
        <v>2273</v>
      </c>
      <c r="N150" s="973">
        <v>2539</v>
      </c>
    </row>
    <row r="151" spans="1:14" x14ac:dyDescent="0.2">
      <c r="B151" t="s">
        <v>706</v>
      </c>
      <c r="C151" s="973">
        <v>205</v>
      </c>
      <c r="D151" s="973">
        <v>345</v>
      </c>
      <c r="E151" s="973">
        <v>333</v>
      </c>
      <c r="F151" s="973">
        <v>498</v>
      </c>
      <c r="G151" s="973">
        <v>624</v>
      </c>
      <c r="H151" s="973">
        <v>891</v>
      </c>
      <c r="I151" s="973">
        <v>735</v>
      </c>
      <c r="J151" s="973">
        <v>858</v>
      </c>
      <c r="K151" s="973">
        <v>665</v>
      </c>
      <c r="L151" s="973">
        <v>416</v>
      </c>
      <c r="M151" s="973">
        <v>439</v>
      </c>
      <c r="N151" s="973">
        <v>274</v>
      </c>
    </row>
    <row r="152" spans="1:14" x14ac:dyDescent="0.2">
      <c r="C152" s="492"/>
      <c r="D152" s="492"/>
      <c r="E152" s="492"/>
      <c r="F152" s="492"/>
      <c r="G152" s="492"/>
      <c r="H152" s="492"/>
      <c r="I152" s="492"/>
      <c r="J152" s="492"/>
      <c r="K152" s="492"/>
      <c r="L152" s="492"/>
      <c r="M152" s="492"/>
      <c r="N152" s="492"/>
    </row>
    <row r="153" spans="1:14" x14ac:dyDescent="0.2">
      <c r="B153" t="s">
        <v>698</v>
      </c>
      <c r="C153" s="492"/>
      <c r="D153" s="492"/>
      <c r="E153" s="492"/>
      <c r="F153" s="492"/>
      <c r="G153" s="492"/>
      <c r="H153" s="492"/>
      <c r="I153" s="492"/>
      <c r="J153" s="492"/>
      <c r="K153" s="492"/>
      <c r="L153" s="492"/>
      <c r="M153" s="492"/>
      <c r="N153" s="492"/>
    </row>
    <row r="154" spans="1:14" x14ac:dyDescent="0.2">
      <c r="B154" t="s">
        <v>699</v>
      </c>
      <c r="C154" s="492">
        <v>28954.740226596845</v>
      </c>
      <c r="D154" s="492">
        <v>29745.066009243696</v>
      </c>
      <c r="E154" s="492">
        <v>26157.43501454057</v>
      </c>
      <c r="F154" s="492">
        <v>27017.953973684213</v>
      </c>
      <c r="G154" s="492">
        <v>25049.689420833332</v>
      </c>
      <c r="H154" s="492">
        <v>25810.755648801525</v>
      </c>
      <c r="I154" s="492">
        <v>25393.117473050141</v>
      </c>
      <c r="J154" s="492">
        <v>23362.217073571734</v>
      </c>
      <c r="K154" s="492">
        <v>26710.501278448879</v>
      </c>
      <c r="L154" s="492">
        <v>25040.529780387595</v>
      </c>
      <c r="M154" s="492">
        <v>25507.919127462119</v>
      </c>
      <c r="N154" s="492">
        <v>26325.198622884614</v>
      </c>
    </row>
    <row r="155" spans="1:14" x14ac:dyDescent="0.2">
      <c r="B155" t="s">
        <v>700</v>
      </c>
      <c r="C155" s="492">
        <v>177.43</v>
      </c>
      <c r="D155" s="492">
        <v>133.87</v>
      </c>
      <c r="E155" s="492">
        <v>143.27000000000001</v>
      </c>
      <c r="F155" s="492">
        <v>475.47</v>
      </c>
      <c r="G155" s="492">
        <v>1790</v>
      </c>
      <c r="H155" s="492">
        <v>2240.91</v>
      </c>
      <c r="I155" s="492">
        <v>807.69</v>
      </c>
      <c r="J155" s="492">
        <v>618.37</v>
      </c>
      <c r="K155" s="492">
        <v>456.72</v>
      </c>
      <c r="L155" s="492">
        <v>353.28</v>
      </c>
      <c r="M155" s="492">
        <v>428.59</v>
      </c>
      <c r="N155" s="492">
        <v>132.86000000000001</v>
      </c>
    </row>
    <row r="156" spans="1:14" x14ac:dyDescent="0.2">
      <c r="B156" t="s">
        <v>701</v>
      </c>
      <c r="C156" s="492">
        <v>352.77032274290474</v>
      </c>
      <c r="D156" s="492">
        <v>358.20748257671823</v>
      </c>
      <c r="E156" s="492">
        <v>526.40393857297863</v>
      </c>
      <c r="F156" s="492">
        <v>685.12663390689409</v>
      </c>
      <c r="G156" s="492">
        <v>714.00839679279568</v>
      </c>
      <c r="H156" s="492">
        <v>626.55456611004661</v>
      </c>
      <c r="I156" s="492">
        <v>588.11288374760989</v>
      </c>
      <c r="J156" s="492">
        <v>546.23689784946237</v>
      </c>
      <c r="K156" s="492">
        <v>855.15858018603126</v>
      </c>
      <c r="L156" s="492">
        <v>838.59458874699044</v>
      </c>
      <c r="M156" s="492">
        <v>419.57302601387943</v>
      </c>
      <c r="N156" s="492">
        <v>486.46548979905572</v>
      </c>
    </row>
    <row r="157" spans="1:14" x14ac:dyDescent="0.2">
      <c r="B157" t="s">
        <v>707</v>
      </c>
      <c r="C157" s="492">
        <v>12034.023588388472</v>
      </c>
      <c r="D157" s="492">
        <v>42822.350792086218</v>
      </c>
      <c r="E157" s="492">
        <v>32682.768370101174</v>
      </c>
      <c r="F157" s="492">
        <v>6593.3436580164162</v>
      </c>
      <c r="G157" s="492">
        <v>9279.7439107161899</v>
      </c>
      <c r="H157" s="492">
        <v>5684.7613225955347</v>
      </c>
      <c r="I157" s="492">
        <v>1813.3641007088524</v>
      </c>
      <c r="J157" s="492">
        <v>3422.7781004280982</v>
      </c>
      <c r="K157" s="492">
        <v>3692.5994394530144</v>
      </c>
      <c r="L157" s="492">
        <v>4106.8437236335458</v>
      </c>
      <c r="M157" s="492">
        <v>11697.404898024643</v>
      </c>
      <c r="N157" s="492">
        <v>15243.351980159556</v>
      </c>
    </row>
    <row r="158" spans="1:14" x14ac:dyDescent="0.2">
      <c r="B158" t="s">
        <v>708</v>
      </c>
      <c r="C158" s="492">
        <v>1531.35</v>
      </c>
      <c r="D158" s="492">
        <v>2577.15</v>
      </c>
      <c r="E158" s="492">
        <v>2487.5099999999998</v>
      </c>
      <c r="F158" s="492">
        <v>3720.06</v>
      </c>
      <c r="G158" s="492">
        <v>4661.28</v>
      </c>
      <c r="H158" s="492">
        <v>6655.7699999999995</v>
      </c>
      <c r="I158" s="492">
        <v>5490.45</v>
      </c>
      <c r="J158" s="492">
        <v>6409.26</v>
      </c>
      <c r="K158" s="492">
        <v>4967.55</v>
      </c>
      <c r="L158" s="492">
        <v>3107.52</v>
      </c>
      <c r="M158" s="492">
        <v>3279.33</v>
      </c>
      <c r="N158" s="492">
        <v>2046.78</v>
      </c>
    </row>
    <row r="159" spans="1:14" x14ac:dyDescent="0.2">
      <c r="C159" s="492"/>
      <c r="D159" s="492"/>
      <c r="E159" s="492"/>
      <c r="F159" s="492"/>
      <c r="G159" s="492"/>
      <c r="H159" s="492"/>
      <c r="I159" s="492"/>
      <c r="J159" s="492"/>
      <c r="K159" s="492"/>
      <c r="L159" s="492"/>
      <c r="M159" s="492"/>
      <c r="N159" s="492"/>
    </row>
    <row r="160" spans="1:14" s="666" customFormat="1" x14ac:dyDescent="0.2">
      <c r="A160" s="930">
        <v>12</v>
      </c>
      <c r="B160" s="666" t="s">
        <v>1065</v>
      </c>
      <c r="C160" s="970"/>
      <c r="D160" s="970"/>
      <c r="E160" s="970"/>
      <c r="F160" s="970"/>
      <c r="G160" s="970"/>
      <c r="H160" s="970"/>
      <c r="I160" s="970"/>
      <c r="J160" s="970"/>
      <c r="K160" s="970"/>
      <c r="L160" s="970"/>
      <c r="M160" s="970"/>
      <c r="N160" s="970"/>
    </row>
    <row r="161" spans="1:16" x14ac:dyDescent="0.2">
      <c r="B161" s="465" t="s">
        <v>337</v>
      </c>
      <c r="C161" s="91">
        <v>41760</v>
      </c>
      <c r="D161" s="91">
        <v>41791</v>
      </c>
      <c r="E161" s="91">
        <v>41821</v>
      </c>
      <c r="F161" s="91">
        <v>41852</v>
      </c>
      <c r="G161" s="91">
        <v>41883</v>
      </c>
      <c r="H161" s="91">
        <v>41913</v>
      </c>
      <c r="I161" s="91">
        <v>41944</v>
      </c>
      <c r="J161" s="91">
        <v>41974</v>
      </c>
      <c r="K161" s="91">
        <v>42005</v>
      </c>
      <c r="L161" s="91">
        <v>42036</v>
      </c>
      <c r="M161" s="91">
        <v>42078</v>
      </c>
      <c r="N161" s="91">
        <v>42095</v>
      </c>
      <c r="O161" s="91">
        <v>42125</v>
      </c>
      <c r="P161" s="91">
        <v>42156</v>
      </c>
    </row>
    <row r="163" spans="1:16" x14ac:dyDescent="0.2">
      <c r="B163" s="95" t="s">
        <v>409</v>
      </c>
      <c r="C163" s="96">
        <v>155700</v>
      </c>
      <c r="D163" s="96">
        <v>168900</v>
      </c>
      <c r="E163" s="96">
        <v>173700</v>
      </c>
      <c r="F163" s="96">
        <v>171400</v>
      </c>
      <c r="G163" s="96">
        <v>202200</v>
      </c>
      <c r="H163" s="96">
        <v>153000</v>
      </c>
      <c r="I163" s="96">
        <v>136900</v>
      </c>
      <c r="J163" s="96">
        <v>161700</v>
      </c>
      <c r="K163" s="96">
        <v>160600</v>
      </c>
      <c r="L163" s="96">
        <v>155100</v>
      </c>
      <c r="M163" s="96">
        <v>146400</v>
      </c>
      <c r="N163" s="96">
        <v>119900</v>
      </c>
      <c r="O163" s="96">
        <v>166900</v>
      </c>
      <c r="P163" s="96">
        <v>178000</v>
      </c>
    </row>
    <row r="164" spans="1:16" x14ac:dyDescent="0.2">
      <c r="B164" s="95" t="s">
        <v>1066</v>
      </c>
      <c r="C164" s="96">
        <v>1850</v>
      </c>
      <c r="D164" s="96">
        <v>1648</v>
      </c>
      <c r="E164" s="96">
        <v>1898</v>
      </c>
      <c r="F164" s="96">
        <v>1719</v>
      </c>
      <c r="G164" s="96">
        <v>1966</v>
      </c>
      <c r="H164" s="96">
        <v>2064</v>
      </c>
      <c r="I164" s="96">
        <v>2100</v>
      </c>
      <c r="J164" s="96">
        <v>2587</v>
      </c>
      <c r="K164" s="96">
        <v>2456</v>
      </c>
      <c r="L164" s="96">
        <v>2408</v>
      </c>
      <c r="M164" s="96">
        <v>2827</v>
      </c>
      <c r="N164" s="96">
        <v>2648</v>
      </c>
      <c r="O164" s="96">
        <v>2193</v>
      </c>
      <c r="P164" s="96">
        <v>2219</v>
      </c>
    </row>
    <row r="165" spans="1:16" x14ac:dyDescent="0.2">
      <c r="B165" s="95" t="s">
        <v>322</v>
      </c>
      <c r="C165" s="101">
        <v>294732</v>
      </c>
      <c r="D165" s="101">
        <v>307449</v>
      </c>
      <c r="E165" s="101">
        <v>248353</v>
      </c>
      <c r="F165" s="101">
        <v>276779</v>
      </c>
      <c r="G165" s="101">
        <v>301464</v>
      </c>
      <c r="H165" s="101">
        <v>261070</v>
      </c>
      <c r="I165" s="101">
        <v>308945</v>
      </c>
      <c r="J165" s="101">
        <v>267054</v>
      </c>
      <c r="K165" s="101">
        <v>365049</v>
      </c>
      <c r="L165" s="101">
        <v>323906</v>
      </c>
      <c r="M165" s="101">
        <v>362057</v>
      </c>
      <c r="N165" s="101">
        <v>300716</v>
      </c>
      <c r="O165" s="101">
        <v>387490</v>
      </c>
      <c r="P165" s="101">
        <v>306701</v>
      </c>
    </row>
    <row r="167" spans="1:16" x14ac:dyDescent="0.2">
      <c r="B167" s="95" t="s">
        <v>347</v>
      </c>
      <c r="C167" s="109">
        <v>12282.69</v>
      </c>
      <c r="D167" s="109">
        <v>13313.71</v>
      </c>
      <c r="E167" s="109">
        <v>13329.99</v>
      </c>
      <c r="F167" s="109">
        <v>13121.53</v>
      </c>
      <c r="G167" s="109">
        <v>15209.35</v>
      </c>
      <c r="H167" s="109">
        <v>11819.42</v>
      </c>
      <c r="I167" s="109">
        <v>10615.14</v>
      </c>
      <c r="J167" s="109">
        <v>12709.56</v>
      </c>
      <c r="K167" s="109">
        <v>12463.86</v>
      </c>
      <c r="L167" s="109">
        <v>11939.57</v>
      </c>
      <c r="M167" s="109">
        <v>12358.56</v>
      </c>
      <c r="N167" s="109">
        <v>10139.299999999999</v>
      </c>
      <c r="O167" s="109">
        <v>13776.57</v>
      </c>
      <c r="P167" s="109">
        <v>14631.04</v>
      </c>
    </row>
    <row r="168" spans="1:16" x14ac:dyDescent="0.2">
      <c r="B168" s="112" t="s">
        <v>1067</v>
      </c>
      <c r="C168" s="113">
        <v>1608.08</v>
      </c>
      <c r="D168" s="113">
        <v>1474.33</v>
      </c>
      <c r="E168" s="113">
        <v>1688.33</v>
      </c>
      <c r="F168" s="113">
        <v>1533.74</v>
      </c>
      <c r="G168" s="113">
        <v>1746.79</v>
      </c>
      <c r="H168" s="113">
        <v>1820.97</v>
      </c>
      <c r="I168" s="113">
        <v>1674.26</v>
      </c>
      <c r="J168" s="113">
        <v>2036.34</v>
      </c>
      <c r="K168" s="113">
        <v>1937.51</v>
      </c>
      <c r="L168" s="113">
        <v>1784.45</v>
      </c>
      <c r="M168" s="113">
        <v>2024.33</v>
      </c>
      <c r="N168" s="113">
        <v>1905.52</v>
      </c>
      <c r="O168" s="113">
        <v>1587.16</v>
      </c>
      <c r="P168" s="113">
        <v>1605.37</v>
      </c>
    </row>
    <row r="169" spans="1:16" x14ac:dyDescent="0.2">
      <c r="B169" s="112" t="s">
        <v>410</v>
      </c>
      <c r="C169" s="113">
        <v>3575.88</v>
      </c>
      <c r="D169" s="113">
        <v>3699.98</v>
      </c>
      <c r="E169" s="113">
        <v>3184.04</v>
      </c>
      <c r="F169" s="113">
        <v>3467.14</v>
      </c>
      <c r="G169" s="113">
        <v>3712.99</v>
      </c>
      <c r="H169" s="113">
        <v>3310.69</v>
      </c>
      <c r="I169" s="113">
        <v>3787.49</v>
      </c>
      <c r="J169" s="113">
        <v>3370.29</v>
      </c>
      <c r="K169" s="113">
        <v>4346.24</v>
      </c>
      <c r="L169" s="113">
        <v>3936.49</v>
      </c>
      <c r="M169" s="113">
        <v>4316.4399999999996</v>
      </c>
      <c r="N169" s="113">
        <v>3705.54</v>
      </c>
      <c r="O169" s="113">
        <v>4584.74</v>
      </c>
      <c r="P169" s="113">
        <v>3765.14</v>
      </c>
    </row>
    <row r="170" spans="1:16" x14ac:dyDescent="0.2">
      <c r="C170" s="492"/>
      <c r="D170" s="492"/>
      <c r="E170" s="492"/>
      <c r="F170" s="492"/>
      <c r="G170" s="492"/>
      <c r="H170" s="492"/>
      <c r="I170" s="492"/>
      <c r="J170" s="492"/>
      <c r="K170" s="492"/>
      <c r="L170" s="492"/>
      <c r="M170" s="492"/>
      <c r="N170" s="492"/>
    </row>
    <row r="171" spans="1:16" ht="15" x14ac:dyDescent="0.25">
      <c r="A171" s="930">
        <v>13</v>
      </c>
      <c r="B171" s="2266" t="s">
        <v>1091</v>
      </c>
      <c r="C171" s="2266"/>
      <c r="D171" s="2267"/>
      <c r="E171" s="2267"/>
      <c r="F171" s="2267"/>
      <c r="G171" s="2267"/>
    </row>
    <row r="172" spans="1:16" ht="15" x14ac:dyDescent="0.25">
      <c r="B172" s="1076" t="s">
        <v>337</v>
      </c>
      <c r="C172" s="1077">
        <v>41852</v>
      </c>
      <c r="D172" s="1078">
        <v>41883</v>
      </c>
      <c r="E172" s="1078">
        <v>41913</v>
      </c>
      <c r="F172" s="1078">
        <v>41944</v>
      </c>
      <c r="G172" s="1078">
        <v>41974</v>
      </c>
      <c r="H172" s="1078">
        <v>42005</v>
      </c>
      <c r="I172" s="1078">
        <v>42036</v>
      </c>
      <c r="J172" s="1078">
        <v>42064</v>
      </c>
      <c r="K172" s="1078">
        <v>42095</v>
      </c>
      <c r="L172" s="1078">
        <v>42125</v>
      </c>
      <c r="M172" s="1078">
        <v>42156</v>
      </c>
      <c r="N172" s="1078">
        <v>42186</v>
      </c>
    </row>
    <row r="173" spans="1:16" ht="14.25" x14ac:dyDescent="0.2">
      <c r="B173" s="1079" t="s">
        <v>319</v>
      </c>
      <c r="C173" s="1080">
        <v>60672</v>
      </c>
      <c r="D173" s="1080">
        <v>58872</v>
      </c>
      <c r="E173" s="1080">
        <v>52676</v>
      </c>
      <c r="F173" s="1080">
        <v>41202</v>
      </c>
      <c r="G173" s="1080">
        <v>38303</v>
      </c>
      <c r="H173" s="1080">
        <v>41087</v>
      </c>
      <c r="I173" s="1080">
        <v>39456</v>
      </c>
      <c r="J173" s="1080">
        <v>46614</v>
      </c>
      <c r="K173" s="1080">
        <v>46234</v>
      </c>
      <c r="L173" s="1080">
        <v>50102</v>
      </c>
      <c r="M173" s="1080">
        <v>62826</v>
      </c>
      <c r="N173" s="1080">
        <v>63061</v>
      </c>
    </row>
    <row r="174" spans="1:16" ht="14.25" x14ac:dyDescent="0.2">
      <c r="B174" s="1079" t="s">
        <v>343</v>
      </c>
      <c r="C174" s="1081" t="s">
        <v>330</v>
      </c>
      <c r="D174" s="1081" t="s">
        <v>330</v>
      </c>
      <c r="E174" s="1081" t="s">
        <v>330</v>
      </c>
      <c r="F174" s="1081" t="s">
        <v>330</v>
      </c>
      <c r="G174" s="1081" t="s">
        <v>330</v>
      </c>
      <c r="H174" s="1081" t="s">
        <v>330</v>
      </c>
      <c r="I174" s="1081" t="s">
        <v>330</v>
      </c>
      <c r="J174" s="1081" t="s">
        <v>330</v>
      </c>
      <c r="K174" s="1081" t="s">
        <v>330</v>
      </c>
      <c r="L174" s="1081" t="s">
        <v>330</v>
      </c>
      <c r="M174" s="1081" t="s">
        <v>330</v>
      </c>
      <c r="N174" s="1081" t="s">
        <v>330</v>
      </c>
    </row>
    <row r="175" spans="1:16" ht="14.25" x14ac:dyDescent="0.2">
      <c r="B175" s="440" t="s">
        <v>362</v>
      </c>
      <c r="C175" s="1081" t="s">
        <v>330</v>
      </c>
      <c r="D175" s="1081" t="s">
        <v>330</v>
      </c>
      <c r="E175" s="1081" t="s">
        <v>330</v>
      </c>
      <c r="F175" s="1081" t="s">
        <v>330</v>
      </c>
      <c r="G175" s="1081" t="s">
        <v>330</v>
      </c>
      <c r="H175" s="1081" t="s">
        <v>330</v>
      </c>
      <c r="I175" s="1081" t="s">
        <v>330</v>
      </c>
      <c r="J175" s="1081" t="s">
        <v>330</v>
      </c>
      <c r="K175" s="1081" t="s">
        <v>330</v>
      </c>
      <c r="L175" s="1081" t="s">
        <v>330</v>
      </c>
      <c r="M175" s="1081" t="s">
        <v>330</v>
      </c>
      <c r="N175" s="1081" t="s">
        <v>330</v>
      </c>
    </row>
    <row r="176" spans="1:16" ht="14.25" x14ac:dyDescent="0.2">
      <c r="B176" s="440" t="s">
        <v>641</v>
      </c>
      <c r="C176" s="1082">
        <v>1.28</v>
      </c>
      <c r="D176" s="1082">
        <v>2.15</v>
      </c>
      <c r="E176" s="1082">
        <v>5.26</v>
      </c>
      <c r="F176" s="1082">
        <v>12.87</v>
      </c>
      <c r="G176" s="1082">
        <v>11.43</v>
      </c>
      <c r="H176" s="1082">
        <v>17.670000000000002</v>
      </c>
      <c r="I176" s="1082">
        <v>21.27</v>
      </c>
      <c r="J176" s="1082">
        <v>7.99</v>
      </c>
      <c r="K176" s="1082">
        <v>5.36</v>
      </c>
      <c r="L176" s="1082">
        <v>1.97</v>
      </c>
      <c r="M176" s="1082">
        <v>0.65</v>
      </c>
      <c r="N176" s="1082">
        <v>0.68</v>
      </c>
    </row>
    <row r="177" spans="1:14" ht="14.25" x14ac:dyDescent="0.2">
      <c r="B177" s="1079" t="s">
        <v>864</v>
      </c>
      <c r="C177" s="1083">
        <v>56.1</v>
      </c>
      <c r="D177" s="1084">
        <v>61.9</v>
      </c>
      <c r="E177" s="1084">
        <v>48.4</v>
      </c>
      <c r="F177" s="1084">
        <v>38.700000000000003</v>
      </c>
      <c r="G177" s="1084">
        <v>15.5</v>
      </c>
      <c r="H177" s="1084">
        <v>58</v>
      </c>
      <c r="I177" s="1085">
        <v>46.4</v>
      </c>
      <c r="J177" s="1085">
        <v>48.4</v>
      </c>
      <c r="K177" s="1085">
        <v>40.6</v>
      </c>
      <c r="L177" s="1085">
        <v>13.5</v>
      </c>
      <c r="M177" s="1085">
        <v>15.5</v>
      </c>
      <c r="N177" s="1085">
        <v>11.57</v>
      </c>
    </row>
    <row r="178" spans="1:14" ht="14.25" x14ac:dyDescent="0.2">
      <c r="B178" s="1079" t="s">
        <v>324</v>
      </c>
      <c r="C178" s="1086">
        <v>7985</v>
      </c>
      <c r="D178" s="1086">
        <v>8153</v>
      </c>
      <c r="E178" s="1086">
        <v>6422</v>
      </c>
      <c r="F178" s="1086">
        <v>5048</v>
      </c>
      <c r="G178" s="1086">
        <v>4407</v>
      </c>
      <c r="H178" s="1086">
        <v>5081</v>
      </c>
      <c r="I178" s="1086">
        <v>4047</v>
      </c>
      <c r="J178" s="1086">
        <v>5306</v>
      </c>
      <c r="K178" s="1086">
        <v>6614</v>
      </c>
      <c r="L178" s="1086">
        <v>6576</v>
      </c>
      <c r="M178" s="1086">
        <v>8175</v>
      </c>
      <c r="N178" s="1086">
        <v>8246</v>
      </c>
    </row>
    <row r="179" spans="1:14" ht="14.25" x14ac:dyDescent="0.2">
      <c r="B179" s="1087" t="s">
        <v>348</v>
      </c>
      <c r="C179" s="1081" t="s">
        <v>330</v>
      </c>
      <c r="D179" s="1081" t="s">
        <v>330</v>
      </c>
      <c r="E179" s="1081" t="s">
        <v>330</v>
      </c>
      <c r="F179" s="1081" t="s">
        <v>330</v>
      </c>
      <c r="G179" s="1081" t="s">
        <v>330</v>
      </c>
      <c r="H179" s="1081" t="s">
        <v>330</v>
      </c>
      <c r="I179" s="1081" t="s">
        <v>330</v>
      </c>
      <c r="J179" s="1081" t="s">
        <v>330</v>
      </c>
      <c r="K179" s="1081" t="s">
        <v>330</v>
      </c>
      <c r="L179" s="1081" t="s">
        <v>330</v>
      </c>
      <c r="M179" s="1081" t="s">
        <v>330</v>
      </c>
      <c r="N179" s="1081" t="s">
        <v>330</v>
      </c>
    </row>
    <row r="180" spans="1:14" ht="14.25" x14ac:dyDescent="0.2">
      <c r="B180" s="1088" t="s">
        <v>1087</v>
      </c>
      <c r="C180" s="1081" t="s">
        <v>330</v>
      </c>
      <c r="D180" s="1081" t="s">
        <v>330</v>
      </c>
      <c r="E180" s="1081" t="s">
        <v>330</v>
      </c>
      <c r="F180" s="1081" t="s">
        <v>330</v>
      </c>
      <c r="G180" s="1081" t="s">
        <v>330</v>
      </c>
      <c r="H180" s="1081" t="s">
        <v>330</v>
      </c>
      <c r="I180" s="1081" t="s">
        <v>330</v>
      </c>
      <c r="J180" s="1081" t="s">
        <v>330</v>
      </c>
      <c r="K180" s="1081" t="s">
        <v>330</v>
      </c>
      <c r="L180" s="1081" t="s">
        <v>330</v>
      </c>
      <c r="M180" s="1081" t="s">
        <v>330</v>
      </c>
      <c r="N180" s="1081" t="s">
        <v>330</v>
      </c>
    </row>
    <row r="181" spans="1:14" ht="14.25" x14ac:dyDescent="0.2">
      <c r="B181" s="1087" t="s">
        <v>883</v>
      </c>
      <c r="C181" s="1089">
        <v>185.13</v>
      </c>
      <c r="D181" s="1089">
        <v>292.33</v>
      </c>
      <c r="E181" s="1089">
        <v>670.57</v>
      </c>
      <c r="F181" s="1089">
        <v>1463</v>
      </c>
      <c r="G181" s="1089">
        <v>1313</v>
      </c>
      <c r="H181" s="1089">
        <v>1963</v>
      </c>
      <c r="I181" s="1089">
        <v>2337</v>
      </c>
      <c r="J181" s="1089">
        <v>955</v>
      </c>
      <c r="K181" s="1089">
        <v>653</v>
      </c>
      <c r="L181" s="1089">
        <v>248</v>
      </c>
      <c r="M181" s="1089">
        <v>104</v>
      </c>
      <c r="N181" s="1089">
        <v>107.07</v>
      </c>
    </row>
    <row r="182" spans="1:14" ht="14.25" x14ac:dyDescent="0.2">
      <c r="B182" s="1090"/>
      <c r="C182" s="1091"/>
      <c r="D182" s="1091"/>
      <c r="E182" s="1091"/>
      <c r="F182" s="1091"/>
      <c r="G182" s="1091"/>
      <c r="H182" s="1091"/>
      <c r="I182" s="1091"/>
      <c r="J182" s="1091"/>
      <c r="K182" s="1091"/>
      <c r="L182" s="1091"/>
      <c r="M182" s="1091"/>
      <c r="N182" s="1091"/>
    </row>
    <row r="183" spans="1:14" ht="15.75" x14ac:dyDescent="0.25">
      <c r="A183" s="930">
        <v>14</v>
      </c>
      <c r="B183" s="1098" t="s">
        <v>725</v>
      </c>
      <c r="C183" s="473">
        <v>41852</v>
      </c>
      <c r="D183" s="473">
        <v>41883</v>
      </c>
      <c r="E183" s="473">
        <v>41913</v>
      </c>
      <c r="F183" s="473">
        <v>41944</v>
      </c>
      <c r="G183" s="473">
        <v>41974</v>
      </c>
      <c r="H183" s="473">
        <v>42005</v>
      </c>
      <c r="I183" s="473">
        <v>42036</v>
      </c>
      <c r="J183" s="473">
        <v>42064</v>
      </c>
      <c r="K183" s="473">
        <v>42095</v>
      </c>
      <c r="L183" s="473">
        <v>42125</v>
      </c>
      <c r="M183" s="473">
        <v>42156</v>
      </c>
      <c r="N183" s="473">
        <v>42186</v>
      </c>
    </row>
    <row r="184" spans="1:14" ht="15.75" x14ac:dyDescent="0.25">
      <c r="B184" s="1099"/>
      <c r="C184" s="1100"/>
      <c r="D184" s="1100"/>
      <c r="E184" s="1100"/>
      <c r="F184" s="1100"/>
      <c r="G184" s="1100"/>
      <c r="H184" s="1100"/>
      <c r="I184" s="1100"/>
      <c r="J184" s="1100"/>
      <c r="K184" s="1100"/>
      <c r="L184" s="1100"/>
      <c r="M184" s="1100"/>
      <c r="N184" s="1101"/>
    </row>
    <row r="185" spans="1:14" ht="15.75" x14ac:dyDescent="0.25">
      <c r="B185" s="1102" t="s">
        <v>1093</v>
      </c>
      <c r="C185" s="1103">
        <v>25182</v>
      </c>
      <c r="D185" s="1104">
        <v>25236</v>
      </c>
      <c r="E185" s="1104">
        <v>27426</v>
      </c>
      <c r="F185" s="1104">
        <v>22419</v>
      </c>
      <c r="G185" s="1104">
        <v>22341</v>
      </c>
      <c r="H185" s="1104">
        <v>22298</v>
      </c>
      <c r="I185" s="1104">
        <v>21389</v>
      </c>
      <c r="J185" s="1104">
        <v>19621</v>
      </c>
      <c r="K185" s="1104">
        <v>26668</v>
      </c>
      <c r="L185" s="1104">
        <v>17996</v>
      </c>
      <c r="M185" s="1104">
        <v>18459</v>
      </c>
      <c r="N185" s="1103">
        <v>18557</v>
      </c>
    </row>
    <row r="186" spans="1:14" ht="15.75" x14ac:dyDescent="0.25">
      <c r="B186" s="1102" t="s">
        <v>1094</v>
      </c>
      <c r="C186" s="1103">
        <v>5267</v>
      </c>
      <c r="D186" s="1104">
        <v>6102</v>
      </c>
      <c r="E186" s="1104">
        <v>6740</v>
      </c>
      <c r="F186" s="1104">
        <v>5436</v>
      </c>
      <c r="G186" s="1104">
        <v>4842</v>
      </c>
      <c r="H186" s="1104">
        <v>5467</v>
      </c>
      <c r="I186" s="1104">
        <v>5780</v>
      </c>
      <c r="J186" s="1104">
        <v>5218</v>
      </c>
      <c r="K186" s="1104">
        <v>6594</v>
      </c>
      <c r="L186" s="1104">
        <v>4296</v>
      </c>
      <c r="M186" s="1104">
        <v>4114</v>
      </c>
      <c r="N186" s="1103">
        <v>4039</v>
      </c>
    </row>
    <row r="187" spans="1:14" ht="15.75" x14ac:dyDescent="0.25">
      <c r="B187" s="1102" t="s">
        <v>1095</v>
      </c>
      <c r="C187" s="1103">
        <v>13086</v>
      </c>
      <c r="D187" s="1104">
        <v>13595</v>
      </c>
      <c r="E187" s="1104">
        <v>14568</v>
      </c>
      <c r="F187" s="1104">
        <v>12276</v>
      </c>
      <c r="G187" s="1104">
        <v>14038</v>
      </c>
      <c r="H187" s="1104">
        <v>11750</v>
      </c>
      <c r="I187" s="1104">
        <v>10157</v>
      </c>
      <c r="J187" s="1104">
        <v>9732</v>
      </c>
      <c r="K187" s="1104">
        <v>14700</v>
      </c>
      <c r="L187" s="1104">
        <v>11516</v>
      </c>
      <c r="M187" s="1104">
        <v>12099</v>
      </c>
      <c r="N187" s="1103">
        <v>12217</v>
      </c>
    </row>
    <row r="188" spans="1:14" ht="15.75" x14ac:dyDescent="0.25">
      <c r="B188" s="1102" t="s">
        <v>1096</v>
      </c>
      <c r="C188" s="1103">
        <v>6829</v>
      </c>
      <c r="D188" s="1104">
        <v>5539</v>
      </c>
      <c r="E188" s="1104">
        <v>6118</v>
      </c>
      <c r="F188" s="1104">
        <v>4707</v>
      </c>
      <c r="G188" s="1104">
        <v>3461</v>
      </c>
      <c r="H188" s="1104">
        <v>5081</v>
      </c>
      <c r="I188" s="1104">
        <v>5452</v>
      </c>
      <c r="J188" s="1104">
        <v>4671</v>
      </c>
      <c r="K188" s="1104">
        <v>5374</v>
      </c>
      <c r="L188" s="1104">
        <v>2184</v>
      </c>
      <c r="M188" s="1104">
        <v>2246</v>
      </c>
      <c r="N188" s="1103">
        <v>2301</v>
      </c>
    </row>
    <row r="189" spans="1:14" ht="15.75" x14ac:dyDescent="0.25">
      <c r="B189" s="1102"/>
      <c r="C189" s="1103"/>
      <c r="D189" s="1104"/>
      <c r="E189" s="1104"/>
      <c r="F189" s="1104"/>
      <c r="G189" s="1104"/>
      <c r="H189" s="1104"/>
      <c r="I189" s="1104"/>
      <c r="J189" s="1104"/>
      <c r="K189" s="1104"/>
      <c r="L189" s="1104"/>
      <c r="M189" s="1104"/>
      <c r="N189" s="1103"/>
    </row>
    <row r="190" spans="1:14" ht="15.75" x14ac:dyDescent="0.25">
      <c r="B190" s="1102" t="s">
        <v>320</v>
      </c>
      <c r="C190" s="1103">
        <v>9290</v>
      </c>
      <c r="D190" s="1105">
        <v>11270</v>
      </c>
      <c r="E190" s="1105">
        <v>17980</v>
      </c>
      <c r="F190" s="1105">
        <v>109290</v>
      </c>
      <c r="G190" s="1104">
        <v>109540</v>
      </c>
      <c r="H190" s="1104">
        <v>116840</v>
      </c>
      <c r="I190" s="1104">
        <v>148210</v>
      </c>
      <c r="J190" s="1104">
        <v>29320</v>
      </c>
      <c r="K190" s="1104">
        <v>14890</v>
      </c>
      <c r="L190" s="1104">
        <v>3930</v>
      </c>
      <c r="M190" s="1104">
        <v>7960</v>
      </c>
      <c r="N190" s="1103">
        <v>5030</v>
      </c>
    </row>
    <row r="191" spans="1:14" ht="15.75" x14ac:dyDescent="0.25">
      <c r="B191" s="1102" t="s">
        <v>322</v>
      </c>
      <c r="C191" s="1106">
        <v>47500</v>
      </c>
      <c r="D191" s="1107">
        <v>62200</v>
      </c>
      <c r="E191" s="1107">
        <v>51000</v>
      </c>
      <c r="F191" s="1107">
        <v>44300</v>
      </c>
      <c r="G191" s="1107">
        <v>19000</v>
      </c>
      <c r="H191" s="1107">
        <v>42600</v>
      </c>
      <c r="I191" s="1107">
        <v>52200</v>
      </c>
      <c r="J191" s="1107">
        <v>45200</v>
      </c>
      <c r="K191" s="1107">
        <v>52300</v>
      </c>
      <c r="L191" s="1107">
        <v>15200</v>
      </c>
      <c r="M191" s="1107">
        <v>21300</v>
      </c>
      <c r="N191" s="1106">
        <v>10800</v>
      </c>
    </row>
    <row r="192" spans="1:14" ht="15.75" x14ac:dyDescent="0.25">
      <c r="B192" s="1108" t="s">
        <v>323</v>
      </c>
      <c r="C192" s="1106">
        <v>28341</v>
      </c>
      <c r="D192" s="1107">
        <v>23764</v>
      </c>
      <c r="E192" s="1107">
        <v>17575</v>
      </c>
      <c r="F192" s="1107">
        <v>10474</v>
      </c>
      <c r="G192" s="1107">
        <v>9538</v>
      </c>
      <c r="H192" s="1107">
        <v>6006</v>
      </c>
      <c r="I192" s="1107">
        <v>4472</v>
      </c>
      <c r="J192" s="1107">
        <v>8930</v>
      </c>
      <c r="K192" s="1107">
        <v>14827</v>
      </c>
      <c r="L192" s="1107">
        <v>18012</v>
      </c>
      <c r="M192" s="1107">
        <v>24276</v>
      </c>
      <c r="N192" s="1106">
        <v>20523</v>
      </c>
    </row>
    <row r="193" spans="1:14" ht="15.75" x14ac:dyDescent="0.25">
      <c r="B193" s="1109"/>
      <c r="C193" s="1101"/>
      <c r="D193" s="1100"/>
      <c r="E193" s="1100"/>
      <c r="F193" s="1100"/>
      <c r="G193" s="1100"/>
      <c r="H193" s="1100"/>
      <c r="I193" s="1100"/>
      <c r="J193" s="1100"/>
      <c r="K193" s="1100"/>
      <c r="L193" s="1100"/>
      <c r="M193" s="1100"/>
      <c r="N193" s="1101"/>
    </row>
    <row r="194" spans="1:14" ht="15.75" x14ac:dyDescent="0.25">
      <c r="B194" s="1102" t="s">
        <v>324</v>
      </c>
      <c r="C194" s="1110">
        <v>1708.09</v>
      </c>
      <c r="D194" s="1111">
        <v>1806.6</v>
      </c>
      <c r="E194" s="1111">
        <v>2051.0700000000002</v>
      </c>
      <c r="F194" s="1111">
        <v>1351.18</v>
      </c>
      <c r="G194" s="1111">
        <v>1372.39</v>
      </c>
      <c r="H194" s="1111">
        <v>1346.37</v>
      </c>
      <c r="I194" s="1111">
        <v>1259.52</v>
      </c>
      <c r="J194" s="1111">
        <v>1219.31</v>
      </c>
      <c r="K194" s="1111">
        <v>1543.43</v>
      </c>
      <c r="L194" s="1111">
        <v>1041.53</v>
      </c>
      <c r="M194" s="1111">
        <v>1211.79</v>
      </c>
      <c r="N194" s="1110">
        <v>1074</v>
      </c>
    </row>
    <row r="195" spans="1:14" ht="15.75" x14ac:dyDescent="0.25">
      <c r="B195" s="1112" t="s">
        <v>325</v>
      </c>
      <c r="C195" s="1113">
        <v>337.09</v>
      </c>
      <c r="D195" s="1114">
        <v>441.62</v>
      </c>
      <c r="E195" s="1114">
        <v>362.1</v>
      </c>
      <c r="F195" s="1114">
        <v>314.52999999999997</v>
      </c>
      <c r="G195" s="1114">
        <v>134</v>
      </c>
      <c r="H195" s="1114">
        <v>302.45999999999998</v>
      </c>
      <c r="I195" s="1114">
        <v>370.62</v>
      </c>
      <c r="J195" s="1114">
        <v>320.92</v>
      </c>
      <c r="K195" s="1114">
        <v>371.33</v>
      </c>
      <c r="L195" s="1114">
        <v>107.92</v>
      </c>
      <c r="M195" s="1114">
        <v>151.22999999999999</v>
      </c>
      <c r="N195" s="1113">
        <v>76.680000000000007</v>
      </c>
    </row>
    <row r="196" spans="1:14" ht="15.75" x14ac:dyDescent="0.25">
      <c r="B196" s="1115" t="s">
        <v>326</v>
      </c>
      <c r="C196" s="1116">
        <v>72.58</v>
      </c>
      <c r="D196" s="1117">
        <v>88.05</v>
      </c>
      <c r="E196" s="1117">
        <v>140.47999999999999</v>
      </c>
      <c r="F196" s="1117">
        <v>853.89</v>
      </c>
      <c r="G196" s="1118">
        <v>855.85</v>
      </c>
      <c r="H196" s="1118">
        <v>912.88</v>
      </c>
      <c r="I196" s="1118">
        <v>1157.98</v>
      </c>
      <c r="J196" s="1118">
        <v>229.08</v>
      </c>
      <c r="K196" s="1118">
        <v>116.34</v>
      </c>
      <c r="L196" s="1118">
        <v>30.71</v>
      </c>
      <c r="M196" s="1118">
        <v>62.2</v>
      </c>
      <c r="N196" s="1116">
        <v>39.299999999999997</v>
      </c>
    </row>
    <row r="197" spans="1:14" ht="14.25" x14ac:dyDescent="0.2">
      <c r="B197" s="1090"/>
      <c r="C197" s="1091"/>
      <c r="D197" s="1091"/>
      <c r="E197" s="1091"/>
      <c r="F197" s="1091"/>
      <c r="G197" s="1091"/>
      <c r="H197" s="1091"/>
      <c r="I197" s="1091"/>
      <c r="J197" s="1091"/>
      <c r="K197" s="1091"/>
      <c r="L197" s="1091"/>
      <c r="M197" s="1091"/>
      <c r="N197" s="1091"/>
    </row>
    <row r="198" spans="1:14" ht="15.75" x14ac:dyDescent="0.25">
      <c r="A198" s="930">
        <v>15</v>
      </c>
      <c r="B198" s="1098" t="s">
        <v>1112</v>
      </c>
      <c r="C198" s="473">
        <v>41852</v>
      </c>
      <c r="D198" s="473">
        <v>41883</v>
      </c>
      <c r="E198" s="473">
        <v>41913</v>
      </c>
      <c r="F198" s="473">
        <v>41944</v>
      </c>
      <c r="G198" s="473">
        <v>41974</v>
      </c>
      <c r="H198" s="473">
        <v>42005</v>
      </c>
      <c r="I198" s="473">
        <v>42036</v>
      </c>
      <c r="J198" s="473">
        <v>42064</v>
      </c>
      <c r="K198" s="473">
        <v>42095</v>
      </c>
      <c r="L198" s="473">
        <v>42125</v>
      </c>
      <c r="M198" s="473">
        <v>42156</v>
      </c>
      <c r="N198" s="473">
        <v>42186</v>
      </c>
    </row>
    <row r="199" spans="1:14" ht="15.75" x14ac:dyDescent="0.25">
      <c r="B199" s="1099"/>
      <c r="C199" s="1100"/>
      <c r="D199" s="1100"/>
      <c r="E199" s="1100"/>
      <c r="F199" s="1100"/>
      <c r="G199" s="1100"/>
      <c r="H199" s="1100"/>
      <c r="I199" s="1100"/>
      <c r="J199" s="1100"/>
      <c r="K199" s="1100"/>
      <c r="L199" s="1100"/>
      <c r="M199" s="1100"/>
      <c r="N199" s="1101"/>
    </row>
    <row r="200" spans="1:14" ht="15.75" x14ac:dyDescent="0.25">
      <c r="B200" s="1102" t="s">
        <v>1093</v>
      </c>
      <c r="C200" s="1103">
        <v>22964</v>
      </c>
      <c r="D200" s="1104">
        <v>22523</v>
      </c>
      <c r="E200" s="1104">
        <v>21812</v>
      </c>
      <c r="F200" s="1104">
        <v>17902</v>
      </c>
      <c r="G200" s="1104">
        <v>17834</v>
      </c>
      <c r="H200" s="1104">
        <v>18258</v>
      </c>
      <c r="I200" s="1104">
        <v>19041</v>
      </c>
      <c r="J200" s="1104">
        <v>18479</v>
      </c>
      <c r="K200" s="1104">
        <v>22274</v>
      </c>
      <c r="L200" s="1104">
        <v>14896</v>
      </c>
      <c r="M200" s="1104">
        <v>14053</v>
      </c>
      <c r="N200" s="1103">
        <v>15739</v>
      </c>
    </row>
    <row r="201" spans="1:14" ht="15.75" x14ac:dyDescent="0.25">
      <c r="B201" s="1102" t="s">
        <v>1094</v>
      </c>
      <c r="C201" s="1103">
        <v>5164</v>
      </c>
      <c r="D201" s="1104">
        <v>5947</v>
      </c>
      <c r="E201" s="1104">
        <v>6461</v>
      </c>
      <c r="F201" s="1104">
        <v>5361</v>
      </c>
      <c r="G201" s="1104">
        <v>4862</v>
      </c>
      <c r="H201" s="1104">
        <v>5245</v>
      </c>
      <c r="I201" s="1104">
        <v>5393</v>
      </c>
      <c r="J201" s="1104">
        <v>5168</v>
      </c>
      <c r="K201" s="1104">
        <v>6433</v>
      </c>
      <c r="L201" s="1104">
        <v>4094</v>
      </c>
      <c r="M201" s="1104">
        <v>3545</v>
      </c>
      <c r="N201" s="1103">
        <v>4197</v>
      </c>
    </row>
    <row r="202" spans="1:14" ht="15.75" x14ac:dyDescent="0.25">
      <c r="B202" s="1102" t="s">
        <v>1095</v>
      </c>
      <c r="C202" s="1103">
        <v>11442</v>
      </c>
      <c r="D202" s="1104">
        <v>11241</v>
      </c>
      <c r="E202" s="1104">
        <v>9615</v>
      </c>
      <c r="F202" s="1104">
        <v>7992</v>
      </c>
      <c r="G202" s="1104">
        <v>9835</v>
      </c>
      <c r="H202" s="1104">
        <v>8494</v>
      </c>
      <c r="I202" s="1104">
        <v>8621</v>
      </c>
      <c r="J202" s="1104">
        <v>8875</v>
      </c>
      <c r="K202" s="1104">
        <v>10485</v>
      </c>
      <c r="L202" s="1104">
        <v>8814</v>
      </c>
      <c r="M202" s="1104">
        <v>8575</v>
      </c>
      <c r="N202" s="1103">
        <v>9488</v>
      </c>
    </row>
    <row r="203" spans="1:14" ht="15.75" x14ac:dyDescent="0.25">
      <c r="B203" s="1102" t="s">
        <v>1096</v>
      </c>
      <c r="C203" s="1103">
        <v>6358</v>
      </c>
      <c r="D203" s="1104">
        <v>5335</v>
      </c>
      <c r="E203" s="1104">
        <v>5736</v>
      </c>
      <c r="F203" s="1104">
        <v>4549</v>
      </c>
      <c r="G203" s="1104">
        <v>3137</v>
      </c>
      <c r="H203" s="1104">
        <v>4519</v>
      </c>
      <c r="I203" s="1104">
        <v>5027</v>
      </c>
      <c r="J203" s="1104">
        <v>4436</v>
      </c>
      <c r="K203" s="1104">
        <v>5356</v>
      </c>
      <c r="L203" s="1104">
        <v>1988</v>
      </c>
      <c r="M203" s="1104">
        <v>1933</v>
      </c>
      <c r="N203" s="1103">
        <v>2054</v>
      </c>
    </row>
    <row r="204" spans="1:14" ht="15.75" x14ac:dyDescent="0.25">
      <c r="B204" s="1102"/>
      <c r="C204" s="1103"/>
      <c r="D204" s="1104"/>
      <c r="E204" s="1104"/>
      <c r="F204" s="1104"/>
      <c r="G204" s="1104"/>
      <c r="H204" s="1104"/>
      <c r="I204" s="1104"/>
      <c r="J204" s="1104"/>
      <c r="K204" s="1104"/>
      <c r="L204" s="1104"/>
      <c r="M204" s="1104"/>
      <c r="N204" s="1103"/>
    </row>
    <row r="205" spans="1:14" ht="15.75" x14ac:dyDescent="0.25">
      <c r="B205" s="1102" t="s">
        <v>320</v>
      </c>
      <c r="C205" s="1103">
        <v>7620</v>
      </c>
      <c r="D205" s="1105">
        <v>7720</v>
      </c>
      <c r="E205" s="1105">
        <v>8150</v>
      </c>
      <c r="F205" s="1105">
        <v>8080</v>
      </c>
      <c r="G205" s="1104">
        <v>4490</v>
      </c>
      <c r="H205" s="1104">
        <v>2190</v>
      </c>
      <c r="I205" s="1104">
        <v>1990</v>
      </c>
      <c r="J205" s="1104">
        <v>3970</v>
      </c>
      <c r="K205" s="1104">
        <v>8830</v>
      </c>
      <c r="L205" s="1104">
        <v>3510</v>
      </c>
      <c r="M205" s="1104">
        <v>1760</v>
      </c>
      <c r="N205" s="1103">
        <v>2150</v>
      </c>
    </row>
    <row r="206" spans="1:14" ht="15.75" x14ac:dyDescent="0.25">
      <c r="B206" s="1102" t="s">
        <v>322</v>
      </c>
      <c r="C206" s="1106">
        <v>32800</v>
      </c>
      <c r="D206" s="1107">
        <v>53900</v>
      </c>
      <c r="E206" s="1107">
        <v>47600</v>
      </c>
      <c r="F206" s="1107">
        <v>42600</v>
      </c>
      <c r="G206" s="1107">
        <v>13800</v>
      </c>
      <c r="H206" s="1107">
        <v>42500</v>
      </c>
      <c r="I206" s="1107">
        <v>59300</v>
      </c>
      <c r="J206" s="1107">
        <v>85000</v>
      </c>
      <c r="K206" s="1107">
        <v>62700</v>
      </c>
      <c r="L206" s="1107">
        <v>18900</v>
      </c>
      <c r="M206" s="1107">
        <v>2400</v>
      </c>
      <c r="N206" s="1106">
        <v>4400</v>
      </c>
    </row>
    <row r="207" spans="1:14" ht="15.75" x14ac:dyDescent="0.25">
      <c r="B207" s="1108" t="s">
        <v>323</v>
      </c>
      <c r="C207" s="1106">
        <v>23987</v>
      </c>
      <c r="D207" s="1107">
        <v>18955</v>
      </c>
      <c r="E207" s="1107">
        <v>15893</v>
      </c>
      <c r="F207" s="1107">
        <v>12571</v>
      </c>
      <c r="G207" s="1107">
        <v>11494</v>
      </c>
      <c r="H207" s="1107">
        <v>11455</v>
      </c>
      <c r="I207" s="1107">
        <v>10102</v>
      </c>
      <c r="J207" s="1107">
        <v>12252</v>
      </c>
      <c r="K207" s="1107">
        <v>13560</v>
      </c>
      <c r="L207" s="1107">
        <v>14870</v>
      </c>
      <c r="M207" s="1107">
        <v>16792</v>
      </c>
      <c r="N207" s="1106">
        <v>18529</v>
      </c>
    </row>
    <row r="208" spans="1:14" ht="15.75" x14ac:dyDescent="0.25">
      <c r="B208" s="1109"/>
      <c r="C208" s="1101"/>
      <c r="D208" s="1100"/>
      <c r="E208" s="1100"/>
      <c r="F208" s="1100"/>
      <c r="G208" s="1100"/>
      <c r="H208" s="1100"/>
      <c r="I208" s="1100"/>
      <c r="J208" s="1100"/>
      <c r="K208" s="1100"/>
      <c r="L208" s="1100"/>
      <c r="M208" s="1100"/>
      <c r="N208" s="1101"/>
    </row>
    <row r="209" spans="1:14" ht="15.75" x14ac:dyDescent="0.25">
      <c r="B209" s="1102" t="s">
        <v>324</v>
      </c>
      <c r="C209" s="1110">
        <v>1557.65</v>
      </c>
      <c r="D209" s="1111">
        <v>1612.38</v>
      </c>
      <c r="E209" s="1111">
        <v>1631.22</v>
      </c>
      <c r="F209" s="1111">
        <v>1078.95</v>
      </c>
      <c r="G209" s="1111">
        <v>1095.53</v>
      </c>
      <c r="H209" s="1111">
        <v>1102.43</v>
      </c>
      <c r="I209" s="1111">
        <v>1121.25</v>
      </c>
      <c r="J209" s="1111">
        <v>1148.42</v>
      </c>
      <c r="K209" s="1111">
        <v>1289.1300000000001</v>
      </c>
      <c r="L209" s="1111">
        <v>862.12</v>
      </c>
      <c r="M209" s="1111">
        <v>922.54</v>
      </c>
      <c r="N209" s="1110">
        <v>910.9</v>
      </c>
    </row>
    <row r="210" spans="1:14" ht="15.75" x14ac:dyDescent="0.25">
      <c r="B210" s="1112" t="s">
        <v>328</v>
      </c>
      <c r="C210" s="1113">
        <v>232.77</v>
      </c>
      <c r="D210" s="1114">
        <v>382.69</v>
      </c>
      <c r="E210" s="1114">
        <v>337.96</v>
      </c>
      <c r="F210" s="1114">
        <v>302.45999999999998</v>
      </c>
      <c r="G210" s="1114">
        <v>97.98</v>
      </c>
      <c r="H210" s="1114">
        <v>301.75</v>
      </c>
      <c r="I210" s="1114">
        <v>421.03</v>
      </c>
      <c r="J210" s="1114">
        <v>604.91999999999996</v>
      </c>
      <c r="K210" s="1114">
        <v>445.17</v>
      </c>
      <c r="L210" s="1114">
        <v>134.19</v>
      </c>
      <c r="M210" s="1114">
        <v>17.04</v>
      </c>
      <c r="N210" s="1113">
        <v>31.24</v>
      </c>
    </row>
    <row r="211" spans="1:14" ht="15.75" x14ac:dyDescent="0.25">
      <c r="B211" s="1119" t="s">
        <v>326</v>
      </c>
      <c r="C211" s="1116">
        <v>59.53</v>
      </c>
      <c r="D211" s="1117">
        <v>60.32</v>
      </c>
      <c r="E211" s="1117">
        <v>63.68</v>
      </c>
      <c r="F211" s="1117">
        <v>63.13</v>
      </c>
      <c r="G211" s="1118">
        <v>35.08</v>
      </c>
      <c r="H211" s="1118">
        <v>17.11</v>
      </c>
      <c r="I211" s="1118">
        <v>15.55</v>
      </c>
      <c r="J211" s="1118">
        <v>31.02</v>
      </c>
      <c r="K211" s="1118">
        <v>68.98</v>
      </c>
      <c r="L211" s="1118">
        <v>27.42</v>
      </c>
      <c r="M211" s="1118">
        <v>13.75</v>
      </c>
      <c r="N211" s="1116">
        <v>16.8</v>
      </c>
    </row>
    <row r="212" spans="1:14" ht="15.75" x14ac:dyDescent="0.25">
      <c r="B212" s="1109"/>
      <c r="C212" s="1120"/>
      <c r="D212" s="1121"/>
      <c r="E212" s="1121"/>
      <c r="F212" s="1121"/>
      <c r="G212" s="1122"/>
      <c r="H212" s="1122"/>
      <c r="I212" s="1122"/>
      <c r="J212" s="1122"/>
      <c r="K212" s="1122"/>
      <c r="L212" s="1122"/>
      <c r="M212" s="1122"/>
      <c r="N212" s="1120"/>
    </row>
    <row r="213" spans="1:14" ht="15.75" x14ac:dyDescent="0.25">
      <c r="A213" s="930">
        <v>16</v>
      </c>
      <c r="B213" s="1098" t="s">
        <v>1111</v>
      </c>
      <c r="C213" s="473">
        <v>41852</v>
      </c>
      <c r="D213" s="473">
        <v>41883</v>
      </c>
      <c r="E213" s="473">
        <v>41913</v>
      </c>
      <c r="F213" s="473">
        <v>41944</v>
      </c>
      <c r="G213" s="473">
        <v>41974</v>
      </c>
      <c r="H213" s="473">
        <v>42005</v>
      </c>
      <c r="I213" s="473">
        <v>42036</v>
      </c>
      <c r="J213" s="473">
        <v>42064</v>
      </c>
      <c r="K213" s="473">
        <v>42095</v>
      </c>
      <c r="L213" s="473">
        <v>42125</v>
      </c>
      <c r="M213" s="473">
        <v>42156</v>
      </c>
      <c r="N213" s="473">
        <v>42186</v>
      </c>
    </row>
    <row r="214" spans="1:14" ht="15.75" x14ac:dyDescent="0.25">
      <c r="B214" s="1099"/>
      <c r="C214" s="1100"/>
      <c r="D214" s="1100"/>
      <c r="E214" s="1100"/>
      <c r="F214" s="1100"/>
      <c r="G214" s="1100"/>
      <c r="H214" s="1100"/>
      <c r="I214" s="1100"/>
      <c r="J214" s="1100"/>
      <c r="K214" s="1100"/>
      <c r="L214" s="1100"/>
      <c r="M214" s="1100"/>
      <c r="N214" s="1101"/>
    </row>
    <row r="215" spans="1:14" ht="15.75" x14ac:dyDescent="0.25">
      <c r="B215" s="1102" t="s">
        <v>1093</v>
      </c>
      <c r="C215" s="1103">
        <v>24495</v>
      </c>
      <c r="D215" s="1104">
        <v>25411</v>
      </c>
      <c r="E215" s="1104">
        <v>26518</v>
      </c>
      <c r="F215" s="1104">
        <v>22416</v>
      </c>
      <c r="G215" s="1104">
        <v>21871</v>
      </c>
      <c r="H215" s="1104">
        <v>21506</v>
      </c>
      <c r="I215" s="1104">
        <v>22596</v>
      </c>
      <c r="J215" s="1104">
        <v>22466</v>
      </c>
      <c r="K215" s="1104">
        <v>27110</v>
      </c>
      <c r="L215" s="1104">
        <v>18572</v>
      </c>
      <c r="M215" s="1104">
        <v>18579</v>
      </c>
      <c r="N215" s="1103">
        <v>19064</v>
      </c>
    </row>
    <row r="216" spans="1:14" ht="15.75" x14ac:dyDescent="0.25">
      <c r="B216" s="1102" t="s">
        <v>1094</v>
      </c>
      <c r="C216" s="1103">
        <v>5248</v>
      </c>
      <c r="D216" s="1104">
        <v>6628</v>
      </c>
      <c r="E216" s="1104">
        <v>6524</v>
      </c>
      <c r="F216" s="1104">
        <v>5545</v>
      </c>
      <c r="G216" s="1104">
        <v>4582</v>
      </c>
      <c r="H216" s="1104">
        <v>5393</v>
      </c>
      <c r="I216" s="1104">
        <v>5658</v>
      </c>
      <c r="J216" s="1104">
        <v>5321</v>
      </c>
      <c r="K216" s="1104">
        <v>6803</v>
      </c>
      <c r="L216" s="1104">
        <v>4193</v>
      </c>
      <c r="M216" s="1104">
        <v>4111</v>
      </c>
      <c r="N216" s="1103">
        <v>3928</v>
      </c>
    </row>
    <row r="217" spans="1:14" ht="15.75" x14ac:dyDescent="0.25">
      <c r="B217" s="1102" t="s">
        <v>1097</v>
      </c>
      <c r="C217" s="1103">
        <v>12546</v>
      </c>
      <c r="D217" s="1104">
        <v>13599</v>
      </c>
      <c r="E217" s="1104">
        <v>14504</v>
      </c>
      <c r="F217" s="1104">
        <v>12105</v>
      </c>
      <c r="G217" s="1104">
        <v>13811</v>
      </c>
      <c r="H217" s="1104">
        <v>11400</v>
      </c>
      <c r="I217" s="1104">
        <v>11772</v>
      </c>
      <c r="J217" s="1104">
        <v>9732</v>
      </c>
      <c r="K217" s="1104">
        <v>14737</v>
      </c>
      <c r="L217" s="1104">
        <v>11888</v>
      </c>
      <c r="M217" s="1104">
        <v>12146</v>
      </c>
      <c r="N217" s="1103">
        <v>12947</v>
      </c>
    </row>
    <row r="218" spans="1:14" ht="15.75" x14ac:dyDescent="0.25">
      <c r="B218" s="1102" t="s">
        <v>1096</v>
      </c>
      <c r="C218" s="1103">
        <v>6701</v>
      </c>
      <c r="D218" s="1104">
        <v>5184</v>
      </c>
      <c r="E218" s="1104">
        <v>5490</v>
      </c>
      <c r="F218" s="1104">
        <v>4766</v>
      </c>
      <c r="G218" s="1104">
        <v>3478</v>
      </c>
      <c r="H218" s="1104">
        <v>4713</v>
      </c>
      <c r="I218" s="1104">
        <v>5166</v>
      </c>
      <c r="J218" s="1104">
        <v>7413</v>
      </c>
      <c r="K218" s="1104">
        <v>5570</v>
      </c>
      <c r="L218" s="1104">
        <v>2491</v>
      </c>
      <c r="M218" s="1104">
        <v>2322</v>
      </c>
      <c r="N218" s="1103">
        <v>2189</v>
      </c>
    </row>
    <row r="219" spans="1:14" ht="15.75" x14ac:dyDescent="0.25">
      <c r="B219" s="1102"/>
      <c r="C219" s="1103"/>
      <c r="D219" s="1104"/>
      <c r="E219" s="1104"/>
      <c r="F219" s="1104"/>
      <c r="G219" s="1104"/>
      <c r="H219" s="1104"/>
      <c r="I219" s="1104"/>
      <c r="J219" s="1104"/>
      <c r="K219" s="1104"/>
      <c r="L219" s="1104"/>
      <c r="M219" s="1104"/>
      <c r="N219" s="1103"/>
    </row>
    <row r="220" spans="1:14" ht="15.75" x14ac:dyDescent="0.25">
      <c r="B220" s="1102" t="s">
        <v>320</v>
      </c>
      <c r="C220" s="1103">
        <v>17550</v>
      </c>
      <c r="D220" s="1105">
        <v>12732</v>
      </c>
      <c r="E220" s="1105">
        <v>9979</v>
      </c>
      <c r="F220" s="1105">
        <v>38280</v>
      </c>
      <c r="G220" s="1104">
        <v>39810</v>
      </c>
      <c r="H220" s="1104">
        <v>43710</v>
      </c>
      <c r="I220" s="1104">
        <v>41860</v>
      </c>
      <c r="J220" s="1104">
        <v>36410</v>
      </c>
      <c r="K220" s="1104">
        <v>31070</v>
      </c>
      <c r="L220" s="1104">
        <v>24400</v>
      </c>
      <c r="M220" s="1104">
        <v>25670</v>
      </c>
      <c r="N220" s="1103">
        <v>12939</v>
      </c>
    </row>
    <row r="221" spans="1:14" ht="15.75" x14ac:dyDescent="0.25">
      <c r="B221" s="1102" t="s">
        <v>322</v>
      </c>
      <c r="C221" s="1106">
        <v>38200</v>
      </c>
      <c r="D221" s="1107">
        <v>59400</v>
      </c>
      <c r="E221" s="1107">
        <v>53900</v>
      </c>
      <c r="F221" s="1107">
        <v>55900</v>
      </c>
      <c r="G221" s="1107">
        <v>14100</v>
      </c>
      <c r="H221" s="1107">
        <v>51700</v>
      </c>
      <c r="I221" s="1107">
        <v>53200</v>
      </c>
      <c r="J221" s="1107">
        <v>71000</v>
      </c>
      <c r="K221" s="1107">
        <v>58900</v>
      </c>
      <c r="L221" s="1107">
        <v>18000</v>
      </c>
      <c r="M221" s="1107">
        <v>37200</v>
      </c>
      <c r="N221" s="1106">
        <v>14300</v>
      </c>
    </row>
    <row r="222" spans="1:14" ht="15.75" x14ac:dyDescent="0.25">
      <c r="B222" s="1108" t="s">
        <v>323</v>
      </c>
      <c r="C222" s="1106">
        <v>20417</v>
      </c>
      <c r="D222" s="1107">
        <v>18544</v>
      </c>
      <c r="E222" s="1107">
        <v>13312</v>
      </c>
      <c r="F222" s="1107">
        <v>7876</v>
      </c>
      <c r="G222" s="1107">
        <v>6822</v>
      </c>
      <c r="H222" s="1107">
        <v>5563</v>
      </c>
      <c r="I222" s="1107">
        <v>3988</v>
      </c>
      <c r="J222" s="1107">
        <v>8682</v>
      </c>
      <c r="K222" s="1107">
        <v>11908</v>
      </c>
      <c r="L222" s="1107">
        <v>12609</v>
      </c>
      <c r="M222" s="1107">
        <v>16985</v>
      </c>
      <c r="N222" s="1106">
        <v>19231</v>
      </c>
    </row>
    <row r="223" spans="1:14" ht="15.75" x14ac:dyDescent="0.25">
      <c r="B223" s="1109"/>
      <c r="C223" s="1101"/>
      <c r="D223" s="1100"/>
      <c r="E223" s="1100"/>
      <c r="F223" s="1100"/>
      <c r="G223" s="1100"/>
      <c r="H223" s="1100"/>
      <c r="I223" s="1100"/>
      <c r="J223" s="1100"/>
      <c r="K223" s="1100"/>
      <c r="L223" s="1100"/>
      <c r="M223" s="1100"/>
      <c r="N223" s="1101"/>
    </row>
    <row r="224" spans="1:14" ht="15.75" x14ac:dyDescent="0.25">
      <c r="B224" s="1102" t="s">
        <v>324</v>
      </c>
      <c r="C224" s="1110">
        <v>1661.49</v>
      </c>
      <c r="D224" s="1111">
        <v>1819.12</v>
      </c>
      <c r="E224" s="1111">
        <v>1983.16</v>
      </c>
      <c r="F224" s="1111">
        <v>1351</v>
      </c>
      <c r="G224" s="1111">
        <v>1343.52</v>
      </c>
      <c r="H224" s="1111">
        <v>1298.55</v>
      </c>
      <c r="I224" s="1111">
        <v>1330.59</v>
      </c>
      <c r="J224" s="1111">
        <v>1396.2</v>
      </c>
      <c r="K224" s="1111">
        <v>1569.01</v>
      </c>
      <c r="L224" s="1111">
        <v>1074.8699999999999</v>
      </c>
      <c r="M224" s="1111">
        <v>1219.67</v>
      </c>
      <c r="N224" s="1110">
        <v>1103.3499999999999</v>
      </c>
    </row>
    <row r="225" spans="1:14" ht="15.75" x14ac:dyDescent="0.25">
      <c r="B225" s="1112" t="s">
        <v>328</v>
      </c>
      <c r="C225" s="1113">
        <v>271.08999999999997</v>
      </c>
      <c r="D225" s="1114">
        <v>421.74</v>
      </c>
      <c r="E225" s="1114">
        <v>384.69</v>
      </c>
      <c r="F225" s="1114">
        <v>396.89</v>
      </c>
      <c r="G225" s="1114">
        <v>100.11</v>
      </c>
      <c r="H225" s="1114">
        <v>367.07</v>
      </c>
      <c r="I225" s="1114">
        <v>377.72</v>
      </c>
      <c r="J225" s="1114">
        <v>504.1</v>
      </c>
      <c r="K225" s="1114">
        <v>418.19</v>
      </c>
      <c r="L225" s="1114">
        <v>127.8</v>
      </c>
      <c r="M225" s="1114">
        <v>264.12</v>
      </c>
      <c r="N225" s="1113">
        <v>101.53</v>
      </c>
    </row>
    <row r="226" spans="1:14" ht="15.75" x14ac:dyDescent="0.25">
      <c r="B226" s="1119" t="s">
        <v>326</v>
      </c>
      <c r="C226" s="1116">
        <v>137.11000000000001</v>
      </c>
      <c r="D226" s="1117">
        <v>99.48</v>
      </c>
      <c r="E226" s="1117">
        <v>77.97</v>
      </c>
      <c r="F226" s="1117">
        <v>299.08</v>
      </c>
      <c r="G226" s="1118">
        <v>311.04000000000002</v>
      </c>
      <c r="H226" s="1118">
        <v>341.51</v>
      </c>
      <c r="I226" s="1118">
        <v>327.06</v>
      </c>
      <c r="J226" s="1118">
        <v>284.47000000000003</v>
      </c>
      <c r="K226" s="1118">
        <v>242.75</v>
      </c>
      <c r="L226" s="1118">
        <v>190.64</v>
      </c>
      <c r="M226" s="1118">
        <v>200.56</v>
      </c>
      <c r="N226" s="1116">
        <v>101.09</v>
      </c>
    </row>
    <row r="227" spans="1:14" ht="15.75" x14ac:dyDescent="0.25">
      <c r="B227" s="1109"/>
      <c r="C227" s="1120"/>
      <c r="D227" s="1121"/>
      <c r="E227" s="1121"/>
      <c r="F227" s="1121"/>
      <c r="G227" s="1122"/>
      <c r="H227" s="1122"/>
      <c r="I227" s="1122"/>
      <c r="J227" s="1122"/>
      <c r="K227" s="1122"/>
      <c r="L227" s="1122"/>
      <c r="M227" s="1122"/>
      <c r="N227" s="1120"/>
    </row>
    <row r="228" spans="1:14" ht="15.75" x14ac:dyDescent="0.25">
      <c r="A228" s="930">
        <v>17</v>
      </c>
      <c r="B228" s="1098" t="s">
        <v>1110</v>
      </c>
      <c r="C228" s="473">
        <v>41852</v>
      </c>
      <c r="D228" s="473">
        <v>41883</v>
      </c>
      <c r="E228" s="473">
        <v>41913</v>
      </c>
      <c r="F228" s="473">
        <v>41944</v>
      </c>
      <c r="G228" s="473">
        <v>41974</v>
      </c>
      <c r="H228" s="473">
        <v>42005</v>
      </c>
      <c r="I228" s="473">
        <v>42036</v>
      </c>
      <c r="J228" s="473">
        <v>42064</v>
      </c>
      <c r="K228" s="473">
        <v>42095</v>
      </c>
      <c r="L228" s="473">
        <v>42125</v>
      </c>
      <c r="M228" s="473">
        <v>42156</v>
      </c>
      <c r="N228" s="473">
        <v>42186</v>
      </c>
    </row>
    <row r="229" spans="1:14" ht="15.75" x14ac:dyDescent="0.25">
      <c r="B229" s="1099"/>
      <c r="C229" s="1100"/>
      <c r="D229" s="1100"/>
      <c r="E229" s="1100"/>
      <c r="F229" s="1100"/>
      <c r="G229" s="1100"/>
      <c r="H229" s="1100"/>
      <c r="I229" s="1100"/>
      <c r="J229" s="1100"/>
      <c r="K229" s="1100"/>
      <c r="L229" s="1100"/>
      <c r="M229" s="1100"/>
      <c r="N229" s="1101"/>
    </row>
    <row r="230" spans="1:14" ht="15.75" x14ac:dyDescent="0.25">
      <c r="B230" s="1102" t="s">
        <v>1093</v>
      </c>
      <c r="C230" s="1103">
        <v>24553</v>
      </c>
      <c r="D230" s="1104">
        <v>23453</v>
      </c>
      <c r="E230" s="1104">
        <v>25958</v>
      </c>
      <c r="F230" s="1104">
        <v>21316</v>
      </c>
      <c r="G230" s="1104">
        <v>21784</v>
      </c>
      <c r="H230" s="1104">
        <v>19256</v>
      </c>
      <c r="I230" s="1104">
        <v>19638</v>
      </c>
      <c r="J230" s="1104">
        <v>21133</v>
      </c>
      <c r="K230" s="1104">
        <v>24940</v>
      </c>
      <c r="L230" s="1104">
        <v>18405</v>
      </c>
      <c r="M230" s="1104">
        <v>18933</v>
      </c>
      <c r="N230" s="1103">
        <v>19003</v>
      </c>
    </row>
    <row r="231" spans="1:14" ht="15.75" x14ac:dyDescent="0.25">
      <c r="B231" s="1102" t="s">
        <v>1094</v>
      </c>
      <c r="C231" s="1103">
        <v>5304</v>
      </c>
      <c r="D231" s="1104">
        <v>5852</v>
      </c>
      <c r="E231" s="1104">
        <v>6387</v>
      </c>
      <c r="F231" s="1104">
        <v>5464</v>
      </c>
      <c r="G231" s="1104">
        <v>5258</v>
      </c>
      <c r="H231" s="1104">
        <v>5419</v>
      </c>
      <c r="I231" s="1104">
        <v>5604</v>
      </c>
      <c r="J231" s="1104">
        <v>5181</v>
      </c>
      <c r="K231" s="1104">
        <v>6861</v>
      </c>
      <c r="L231" s="1104">
        <v>4711</v>
      </c>
      <c r="M231" s="1104">
        <v>4335</v>
      </c>
      <c r="N231" s="1103">
        <v>4484</v>
      </c>
    </row>
    <row r="232" spans="1:14" ht="15.75" x14ac:dyDescent="0.25">
      <c r="B232" s="1102" t="s">
        <v>1095</v>
      </c>
      <c r="C232" s="1103">
        <v>12579</v>
      </c>
      <c r="D232" s="1104">
        <v>12273</v>
      </c>
      <c r="E232" s="1104">
        <v>13712</v>
      </c>
      <c r="F232" s="1104">
        <v>11149</v>
      </c>
      <c r="G232" s="1104">
        <v>13218</v>
      </c>
      <c r="H232" s="1104">
        <v>9146</v>
      </c>
      <c r="I232" s="1104">
        <v>8771</v>
      </c>
      <c r="J232" s="1104">
        <v>9864</v>
      </c>
      <c r="K232" s="1104">
        <v>12436</v>
      </c>
      <c r="L232" s="1104">
        <v>11389</v>
      </c>
      <c r="M232" s="1104">
        <v>12156</v>
      </c>
      <c r="N232" s="1103">
        <v>12202</v>
      </c>
    </row>
    <row r="233" spans="1:14" ht="15.75" x14ac:dyDescent="0.25">
      <c r="B233" s="1102" t="s">
        <v>1096</v>
      </c>
      <c r="C233" s="1103">
        <v>6670</v>
      </c>
      <c r="D233" s="1104">
        <v>5328</v>
      </c>
      <c r="E233" s="1104">
        <v>5859</v>
      </c>
      <c r="F233" s="1104">
        <v>4703</v>
      </c>
      <c r="G233" s="1104">
        <v>3308</v>
      </c>
      <c r="H233" s="1104">
        <v>4691</v>
      </c>
      <c r="I233" s="1104">
        <v>5263</v>
      </c>
      <c r="J233" s="1104">
        <v>6088</v>
      </c>
      <c r="K233" s="1104">
        <v>5643</v>
      </c>
      <c r="L233" s="1104">
        <v>2305</v>
      </c>
      <c r="M233" s="1104">
        <v>2442</v>
      </c>
      <c r="N233" s="1103">
        <v>2317</v>
      </c>
    </row>
    <row r="234" spans="1:14" ht="15.75" x14ac:dyDescent="0.25">
      <c r="B234" s="1102"/>
      <c r="C234" s="1103"/>
      <c r="D234" s="1104"/>
      <c r="E234" s="1104"/>
      <c r="F234" s="1104"/>
      <c r="G234" s="1104"/>
      <c r="H234" s="1104"/>
      <c r="I234" s="1104"/>
      <c r="J234" s="1104"/>
      <c r="K234" s="1104"/>
      <c r="L234" s="1104"/>
      <c r="M234" s="1104"/>
      <c r="N234" s="1103"/>
    </row>
    <row r="235" spans="1:14" ht="15.75" x14ac:dyDescent="0.25">
      <c r="B235" s="1102" t="s">
        <v>320</v>
      </c>
      <c r="C235" s="1103">
        <v>8350</v>
      </c>
      <c r="D235" s="1105">
        <v>10920</v>
      </c>
      <c r="E235" s="1105">
        <v>8520</v>
      </c>
      <c r="F235" s="1105">
        <v>10990</v>
      </c>
      <c r="G235" s="1104">
        <v>49270</v>
      </c>
      <c r="H235" s="1104">
        <v>36690</v>
      </c>
      <c r="I235" s="1104">
        <v>88540</v>
      </c>
      <c r="J235" s="1104">
        <v>57360</v>
      </c>
      <c r="K235" s="1104">
        <v>46910</v>
      </c>
      <c r="L235" s="1104">
        <v>12810</v>
      </c>
      <c r="M235" s="1104">
        <v>4460</v>
      </c>
      <c r="N235" s="1103">
        <v>2990</v>
      </c>
    </row>
    <row r="236" spans="1:14" ht="15.75" x14ac:dyDescent="0.25">
      <c r="B236" s="1102" t="s">
        <v>322</v>
      </c>
      <c r="C236" s="1106">
        <v>39200</v>
      </c>
      <c r="D236" s="1107">
        <v>61200</v>
      </c>
      <c r="E236" s="1107">
        <v>55100</v>
      </c>
      <c r="F236" s="1107">
        <v>52400</v>
      </c>
      <c r="G236" s="1107">
        <v>18000</v>
      </c>
      <c r="H236" s="1107">
        <v>45300</v>
      </c>
      <c r="I236" s="1107">
        <v>62400</v>
      </c>
      <c r="J236" s="1107">
        <v>56700</v>
      </c>
      <c r="K236" s="1107">
        <v>58900</v>
      </c>
      <c r="L236" s="1107">
        <v>16100</v>
      </c>
      <c r="M236" s="1107">
        <v>21400</v>
      </c>
      <c r="N236" s="1106">
        <v>10100</v>
      </c>
    </row>
    <row r="237" spans="1:14" ht="15.75" x14ac:dyDescent="0.25">
      <c r="B237" s="1108" t="s">
        <v>323</v>
      </c>
      <c r="C237" s="1106">
        <v>18369</v>
      </c>
      <c r="D237" s="1107">
        <v>15458</v>
      </c>
      <c r="E237" s="1107">
        <v>8036</v>
      </c>
      <c r="F237" s="1107">
        <v>2089</v>
      </c>
      <c r="G237" s="1107">
        <v>680</v>
      </c>
      <c r="H237" s="1107">
        <v>963</v>
      </c>
      <c r="I237" s="1107">
        <v>1142</v>
      </c>
      <c r="J237" s="1107">
        <v>3540</v>
      </c>
      <c r="K237" s="1107">
        <v>6454</v>
      </c>
      <c r="L237" s="1107">
        <v>10571</v>
      </c>
      <c r="M237" s="1107">
        <v>17518</v>
      </c>
      <c r="N237" s="1106">
        <v>18910</v>
      </c>
    </row>
    <row r="238" spans="1:14" ht="15.75" x14ac:dyDescent="0.25">
      <c r="B238" s="1109"/>
      <c r="C238" s="1101"/>
      <c r="D238" s="1100"/>
      <c r="E238" s="1100"/>
      <c r="F238" s="1100"/>
      <c r="G238" s="1100"/>
      <c r="H238" s="1100"/>
      <c r="I238" s="1100"/>
      <c r="J238" s="1100"/>
      <c r="K238" s="1100"/>
      <c r="L238" s="1100"/>
      <c r="M238" s="1100"/>
      <c r="N238" s="1101"/>
    </row>
    <row r="239" spans="1:14" ht="15.75" x14ac:dyDescent="0.25">
      <c r="B239" s="1102" t="s">
        <v>324</v>
      </c>
      <c r="C239" s="1110">
        <v>1665.43</v>
      </c>
      <c r="D239" s="1111">
        <v>1678.95</v>
      </c>
      <c r="E239" s="1111">
        <v>1941.28</v>
      </c>
      <c r="F239" s="1111">
        <v>1284.71</v>
      </c>
      <c r="G239" s="1111">
        <v>1338.18</v>
      </c>
      <c r="H239" s="1111">
        <v>1162.69</v>
      </c>
      <c r="I239" s="1111">
        <v>1185.75</v>
      </c>
      <c r="J239" s="1111">
        <v>1276.02</v>
      </c>
      <c r="K239" s="1111">
        <v>1443.42</v>
      </c>
      <c r="L239" s="1111">
        <v>1065.2</v>
      </c>
      <c r="M239" s="1111">
        <v>1242.9000000000001</v>
      </c>
      <c r="N239" s="1110">
        <v>1099.82</v>
      </c>
    </row>
    <row r="240" spans="1:14" ht="15.75" x14ac:dyDescent="0.25">
      <c r="B240" s="1112" t="s">
        <v>328</v>
      </c>
      <c r="C240" s="1113">
        <v>278.19</v>
      </c>
      <c r="D240" s="1114">
        <v>434.52</v>
      </c>
      <c r="E240" s="1114">
        <v>391.21</v>
      </c>
      <c r="F240" s="1114">
        <v>372.04</v>
      </c>
      <c r="G240" s="1114">
        <v>127.8</v>
      </c>
      <c r="H240" s="1114">
        <v>321.63</v>
      </c>
      <c r="I240" s="1114">
        <v>443.04</v>
      </c>
      <c r="J240" s="1114">
        <v>402.57</v>
      </c>
      <c r="K240" s="1114">
        <v>418.19</v>
      </c>
      <c r="L240" s="1114">
        <v>114.31</v>
      </c>
      <c r="M240" s="1114">
        <v>151.94</v>
      </c>
      <c r="N240" s="1113">
        <v>71.709999999999994</v>
      </c>
    </row>
    <row r="241" spans="1:14" ht="15.75" x14ac:dyDescent="0.25">
      <c r="B241" s="1119" t="s">
        <v>326</v>
      </c>
      <c r="C241" s="1116">
        <v>65.239999999999995</v>
      </c>
      <c r="D241" s="1117">
        <v>85.32</v>
      </c>
      <c r="E241" s="1117">
        <v>66.569999999999993</v>
      </c>
      <c r="F241" s="1117">
        <v>85.86</v>
      </c>
      <c r="G241" s="1118">
        <v>384.95</v>
      </c>
      <c r="H241" s="1118">
        <v>286.66000000000003</v>
      </c>
      <c r="I241" s="1118">
        <v>691.77</v>
      </c>
      <c r="J241" s="1118">
        <v>448.82</v>
      </c>
      <c r="K241" s="1118">
        <v>366.51</v>
      </c>
      <c r="L241" s="1118">
        <v>100.08</v>
      </c>
      <c r="M241" s="1118">
        <v>34.85</v>
      </c>
      <c r="N241" s="1116">
        <v>23.36</v>
      </c>
    </row>
    <row r="242" spans="1:14" ht="15.75" x14ac:dyDescent="0.25">
      <c r="B242" s="1109"/>
      <c r="C242" s="1120"/>
      <c r="D242" s="1121"/>
      <c r="E242" s="1121"/>
      <c r="F242" s="1121"/>
      <c r="G242" s="1122"/>
      <c r="H242" s="1122"/>
      <c r="I242" s="1122"/>
      <c r="J242" s="1122"/>
      <c r="K242" s="1122"/>
      <c r="L242" s="1122"/>
      <c r="M242" s="1122"/>
      <c r="N242" s="1120"/>
    </row>
    <row r="243" spans="1:14" ht="15.75" x14ac:dyDescent="0.25">
      <c r="A243" s="930">
        <v>18</v>
      </c>
      <c r="B243" s="1098" t="s">
        <v>1109</v>
      </c>
      <c r="C243" s="473">
        <v>41852</v>
      </c>
      <c r="D243" s="473">
        <v>41883</v>
      </c>
      <c r="E243" s="473">
        <v>41913</v>
      </c>
      <c r="F243" s="473">
        <v>41944</v>
      </c>
      <c r="G243" s="473">
        <v>41974</v>
      </c>
      <c r="H243" s="473">
        <v>42005</v>
      </c>
      <c r="I243" s="473">
        <v>42036</v>
      </c>
      <c r="J243" s="473">
        <v>42064</v>
      </c>
      <c r="K243" s="473">
        <v>42095</v>
      </c>
      <c r="L243" s="473">
        <v>42125</v>
      </c>
      <c r="M243" s="473">
        <v>42156</v>
      </c>
      <c r="N243" s="473">
        <v>42186</v>
      </c>
    </row>
    <row r="244" spans="1:14" ht="15.75" x14ac:dyDescent="0.25">
      <c r="B244" s="1099"/>
      <c r="C244" s="1100"/>
      <c r="D244" s="1100"/>
      <c r="E244" s="1100"/>
      <c r="F244" s="1100"/>
      <c r="G244" s="1100"/>
      <c r="H244" s="1100"/>
      <c r="I244" s="1100"/>
      <c r="J244" s="1100"/>
      <c r="K244" s="1100"/>
      <c r="L244" s="1100"/>
      <c r="M244" s="1100"/>
      <c r="N244" s="1101"/>
    </row>
    <row r="245" spans="1:14" ht="15.75" x14ac:dyDescent="0.25">
      <c r="B245" s="1102" t="s">
        <v>1093</v>
      </c>
      <c r="C245" s="1103">
        <v>31432</v>
      </c>
      <c r="D245" s="1104">
        <v>30723</v>
      </c>
      <c r="E245" s="1104">
        <v>33436</v>
      </c>
      <c r="F245" s="1104">
        <v>27231</v>
      </c>
      <c r="G245" s="1104">
        <v>28302</v>
      </c>
      <c r="H245" s="1104">
        <v>27151</v>
      </c>
      <c r="I245" s="1104">
        <v>25452</v>
      </c>
      <c r="J245" s="1104">
        <v>25746</v>
      </c>
      <c r="K245" s="1104">
        <v>31702</v>
      </c>
      <c r="L245" s="1104">
        <v>22632</v>
      </c>
      <c r="M245" s="1104">
        <v>22465</v>
      </c>
      <c r="N245" s="1103">
        <v>21988</v>
      </c>
    </row>
    <row r="246" spans="1:14" ht="15.75" x14ac:dyDescent="0.25">
      <c r="B246" s="1102" t="s">
        <v>1094</v>
      </c>
      <c r="C246" s="1103">
        <v>5665</v>
      </c>
      <c r="D246" s="1104">
        <v>6598</v>
      </c>
      <c r="E246" s="1104">
        <v>6505</v>
      </c>
      <c r="F246" s="1104">
        <v>5960</v>
      </c>
      <c r="G246" s="1104">
        <v>4554</v>
      </c>
      <c r="H246" s="1104">
        <v>6162</v>
      </c>
      <c r="I246" s="1104">
        <v>6040</v>
      </c>
      <c r="J246" s="1104">
        <v>6076</v>
      </c>
      <c r="K246" s="1104">
        <v>6448</v>
      </c>
      <c r="L246" s="1104">
        <v>5201</v>
      </c>
      <c r="M246" s="1104">
        <v>4055</v>
      </c>
      <c r="N246" s="1103">
        <v>4178</v>
      </c>
    </row>
    <row r="247" spans="1:14" ht="15.75" x14ac:dyDescent="0.25">
      <c r="B247" s="1102" t="s">
        <v>1095</v>
      </c>
      <c r="C247" s="1103">
        <v>14860</v>
      </c>
      <c r="D247" s="1104">
        <v>15432</v>
      </c>
      <c r="E247" s="1104">
        <v>16432</v>
      </c>
      <c r="F247" s="1104">
        <v>13128</v>
      </c>
      <c r="G247" s="1104">
        <v>14633</v>
      </c>
      <c r="H247" s="1104">
        <v>12527</v>
      </c>
      <c r="I247" s="1104">
        <v>10462</v>
      </c>
      <c r="J247" s="1104">
        <v>11688</v>
      </c>
      <c r="K247" s="1104">
        <v>15088</v>
      </c>
      <c r="L247" s="1104">
        <v>12512</v>
      </c>
      <c r="M247" s="1104">
        <v>13565</v>
      </c>
      <c r="N247" s="1103">
        <v>12675</v>
      </c>
    </row>
    <row r="248" spans="1:14" ht="15.75" x14ac:dyDescent="0.25">
      <c r="B248" s="1102" t="s">
        <v>1096</v>
      </c>
      <c r="C248" s="1103">
        <v>10907</v>
      </c>
      <c r="D248" s="1104">
        <v>8693</v>
      </c>
      <c r="E248" s="1104">
        <v>10499</v>
      </c>
      <c r="F248" s="1104">
        <v>8143</v>
      </c>
      <c r="G248" s="1104">
        <v>9115</v>
      </c>
      <c r="H248" s="1104">
        <v>8462</v>
      </c>
      <c r="I248" s="1104">
        <v>8950</v>
      </c>
      <c r="J248" s="1104">
        <v>7982</v>
      </c>
      <c r="K248" s="1104">
        <v>10166</v>
      </c>
      <c r="L248" s="1104">
        <v>4914</v>
      </c>
      <c r="M248" s="1104">
        <v>4845</v>
      </c>
      <c r="N248" s="1103">
        <v>5135</v>
      </c>
    </row>
    <row r="249" spans="1:14" ht="15.75" x14ac:dyDescent="0.25">
      <c r="B249" s="1102"/>
      <c r="C249" s="1103"/>
      <c r="D249" s="1104"/>
      <c r="E249" s="1104"/>
      <c r="F249" s="1104"/>
      <c r="G249" s="1104"/>
      <c r="H249" s="1104"/>
      <c r="I249" s="1104"/>
      <c r="J249" s="1104"/>
      <c r="K249" s="1104"/>
      <c r="L249" s="1104"/>
      <c r="M249" s="1104"/>
      <c r="N249" s="1103"/>
    </row>
    <row r="250" spans="1:14" ht="15.75" x14ac:dyDescent="0.25">
      <c r="B250" s="1102" t="s">
        <v>320</v>
      </c>
      <c r="C250" s="1103">
        <v>16160</v>
      </c>
      <c r="D250" s="1105">
        <v>19240</v>
      </c>
      <c r="E250" s="1105">
        <v>21050</v>
      </c>
      <c r="F250" s="1105">
        <v>25010</v>
      </c>
      <c r="G250" s="1104">
        <v>19710</v>
      </c>
      <c r="H250" s="1104">
        <v>42370</v>
      </c>
      <c r="I250" s="1104">
        <v>61490</v>
      </c>
      <c r="J250" s="1104">
        <v>30000</v>
      </c>
      <c r="K250" s="1104">
        <v>22580</v>
      </c>
      <c r="L250" s="1104">
        <v>8290</v>
      </c>
      <c r="M250" s="1104">
        <v>6020</v>
      </c>
      <c r="N250" s="1103">
        <v>4390</v>
      </c>
    </row>
    <row r="251" spans="1:14" ht="15.75" x14ac:dyDescent="0.25">
      <c r="B251" s="1102" t="s">
        <v>322</v>
      </c>
      <c r="C251" s="1106">
        <v>46000</v>
      </c>
      <c r="D251" s="1105">
        <v>61400</v>
      </c>
      <c r="E251" s="1107">
        <v>61600</v>
      </c>
      <c r="F251" s="1107">
        <v>57900</v>
      </c>
      <c r="G251" s="1107">
        <v>35600</v>
      </c>
      <c r="H251" s="1107">
        <v>61800</v>
      </c>
      <c r="I251" s="1107">
        <v>62700</v>
      </c>
      <c r="J251" s="1107">
        <v>55300</v>
      </c>
      <c r="K251" s="1107">
        <v>58800</v>
      </c>
      <c r="L251" s="1107">
        <v>15500</v>
      </c>
      <c r="M251" s="1107">
        <v>14800</v>
      </c>
      <c r="N251" s="1106">
        <v>4700</v>
      </c>
    </row>
    <row r="252" spans="1:14" ht="15.75" x14ac:dyDescent="0.25">
      <c r="B252" s="1108" t="s">
        <v>323</v>
      </c>
      <c r="C252" s="1106">
        <v>24184</v>
      </c>
      <c r="D252" s="1107">
        <v>20787</v>
      </c>
      <c r="E252" s="1107">
        <v>13290</v>
      </c>
      <c r="F252" s="1107">
        <v>7131</v>
      </c>
      <c r="G252" s="1107">
        <v>5843</v>
      </c>
      <c r="H252" s="1107">
        <v>4637</v>
      </c>
      <c r="I252" s="1107">
        <v>3069</v>
      </c>
      <c r="J252" s="1107">
        <v>8030</v>
      </c>
      <c r="K252" s="1107">
        <v>12007</v>
      </c>
      <c r="L252" s="1107">
        <v>14003</v>
      </c>
      <c r="M252" s="1107">
        <v>19467</v>
      </c>
      <c r="N252" s="1106">
        <v>18284</v>
      </c>
    </row>
    <row r="253" spans="1:14" ht="15.75" x14ac:dyDescent="0.25">
      <c r="B253" s="1109"/>
      <c r="C253" s="1101"/>
      <c r="D253" s="1100"/>
      <c r="E253" s="1100"/>
      <c r="F253" s="1100"/>
      <c r="G253" s="1100"/>
      <c r="H253" s="1100"/>
      <c r="I253" s="1100"/>
      <c r="J253" s="1100"/>
      <c r="K253" s="1100"/>
      <c r="L253" s="1100"/>
      <c r="M253" s="1100"/>
      <c r="N253" s="1101"/>
    </row>
    <row r="254" spans="1:14" ht="15.75" x14ac:dyDescent="0.25">
      <c r="B254" s="1102" t="s">
        <v>324</v>
      </c>
      <c r="C254" s="1110">
        <v>2132.3000000000002</v>
      </c>
      <c r="D254" s="1111">
        <v>2199.4</v>
      </c>
      <c r="E254" s="1111">
        <v>2500.5300000000002</v>
      </c>
      <c r="F254" s="1111">
        <v>1641.2</v>
      </c>
      <c r="G254" s="1111">
        <v>1738.57</v>
      </c>
      <c r="H254" s="1111">
        <v>1639.39</v>
      </c>
      <c r="I254" s="1111">
        <v>1498.77</v>
      </c>
      <c r="J254" s="1111">
        <v>1600.04</v>
      </c>
      <c r="K254" s="1111">
        <v>1834.78</v>
      </c>
      <c r="L254" s="1111">
        <v>1309.8499999999999</v>
      </c>
      <c r="M254" s="1111">
        <v>1474.77</v>
      </c>
      <c r="N254" s="1110">
        <v>1272.57</v>
      </c>
    </row>
    <row r="255" spans="1:14" ht="15.75" x14ac:dyDescent="0.25">
      <c r="B255" s="1112" t="s">
        <v>328</v>
      </c>
      <c r="C255" s="1113">
        <v>326.44</v>
      </c>
      <c r="D255" s="1117">
        <v>435</v>
      </c>
      <c r="E255" s="1114">
        <v>437.36</v>
      </c>
      <c r="F255" s="1114">
        <v>411.09</v>
      </c>
      <c r="G255" s="1114">
        <v>252.76</v>
      </c>
      <c r="H255" s="1114">
        <v>438.78</v>
      </c>
      <c r="I255" s="1114">
        <v>445.17</v>
      </c>
      <c r="J255" s="1114">
        <v>392.63</v>
      </c>
      <c r="K255" s="1114">
        <v>403.28</v>
      </c>
      <c r="L255" s="1114">
        <v>110.05</v>
      </c>
      <c r="M255" s="1114">
        <v>105.08</v>
      </c>
      <c r="N255" s="1113">
        <v>33.369999999999997</v>
      </c>
    </row>
    <row r="256" spans="1:14" ht="15.75" x14ac:dyDescent="0.25">
      <c r="B256" s="1119" t="s">
        <v>326</v>
      </c>
      <c r="C256" s="1116">
        <v>126.25</v>
      </c>
      <c r="D256" s="1117">
        <v>150.32</v>
      </c>
      <c r="E256" s="1117">
        <v>164.45</v>
      </c>
      <c r="F256" s="1117">
        <v>195.39</v>
      </c>
      <c r="G256" s="1118">
        <v>153.97999999999999</v>
      </c>
      <c r="H256" s="1118">
        <v>331.01</v>
      </c>
      <c r="I256" s="1118">
        <v>480.39</v>
      </c>
      <c r="J256" s="1118">
        <v>234.37</v>
      </c>
      <c r="K256" s="1118">
        <v>176.41</v>
      </c>
      <c r="L256" s="1118">
        <v>64.760000000000005</v>
      </c>
      <c r="M256" s="1118">
        <v>47.03</v>
      </c>
      <c r="N256" s="1116">
        <v>34.299999999999997</v>
      </c>
    </row>
    <row r="257" spans="1:14" ht="15.75" x14ac:dyDescent="0.25">
      <c r="B257" s="1109"/>
      <c r="C257" s="1120"/>
      <c r="D257" s="1121"/>
      <c r="E257" s="1121"/>
      <c r="F257" s="1121"/>
      <c r="G257" s="1122"/>
      <c r="H257" s="1122"/>
      <c r="I257" s="1122"/>
      <c r="J257" s="1122"/>
      <c r="K257" s="1122"/>
      <c r="L257" s="1122"/>
      <c r="M257" s="1122"/>
      <c r="N257" s="1120"/>
    </row>
    <row r="258" spans="1:14" ht="15.75" x14ac:dyDescent="0.25">
      <c r="A258" s="930">
        <v>19</v>
      </c>
      <c r="B258" s="1098" t="s">
        <v>1108</v>
      </c>
      <c r="C258" s="473">
        <v>41852</v>
      </c>
      <c r="D258" s="473">
        <v>41883</v>
      </c>
      <c r="E258" s="473">
        <v>41913</v>
      </c>
      <c r="F258" s="473">
        <v>41944</v>
      </c>
      <c r="G258" s="473">
        <v>41974</v>
      </c>
      <c r="H258" s="473">
        <v>42005</v>
      </c>
      <c r="I258" s="473">
        <v>42036</v>
      </c>
      <c r="J258" s="473">
        <v>42064</v>
      </c>
      <c r="K258" s="473">
        <v>42095</v>
      </c>
      <c r="L258" s="473">
        <v>42125</v>
      </c>
      <c r="M258" s="473">
        <v>42156</v>
      </c>
      <c r="N258" s="473">
        <v>42186</v>
      </c>
    </row>
    <row r="259" spans="1:14" ht="15.75" x14ac:dyDescent="0.25">
      <c r="B259" s="1099"/>
      <c r="C259" s="1100"/>
      <c r="D259" s="1100"/>
      <c r="E259" s="1100"/>
      <c r="F259" s="1100"/>
      <c r="G259" s="1100"/>
      <c r="H259" s="1100"/>
      <c r="I259" s="1100"/>
      <c r="J259" s="1100"/>
      <c r="K259" s="1100"/>
      <c r="L259" s="1100"/>
      <c r="M259" s="1100"/>
      <c r="N259" s="1101"/>
    </row>
    <row r="260" spans="1:14" ht="15.75" x14ac:dyDescent="0.25">
      <c r="B260" s="1102" t="s">
        <v>1093</v>
      </c>
      <c r="C260" s="1103">
        <v>25698</v>
      </c>
      <c r="D260" s="1104">
        <v>25723</v>
      </c>
      <c r="E260" s="1104">
        <v>28328</v>
      </c>
      <c r="F260" s="1104">
        <v>23316</v>
      </c>
      <c r="G260" s="1104">
        <v>22429</v>
      </c>
      <c r="H260" s="1104">
        <v>22776</v>
      </c>
      <c r="I260" s="1104">
        <v>23748</v>
      </c>
      <c r="J260" s="1104">
        <v>23139</v>
      </c>
      <c r="K260" s="1104">
        <v>27712</v>
      </c>
      <c r="L260" s="1104">
        <v>19002</v>
      </c>
      <c r="M260" s="1104">
        <v>16703</v>
      </c>
      <c r="N260" s="1103">
        <v>18376</v>
      </c>
    </row>
    <row r="261" spans="1:14" ht="15.75" x14ac:dyDescent="0.25">
      <c r="B261" s="1102" t="s">
        <v>1094</v>
      </c>
      <c r="C261" s="1103">
        <v>5479</v>
      </c>
      <c r="D261" s="1104">
        <v>6473</v>
      </c>
      <c r="E261" s="1104">
        <v>7051</v>
      </c>
      <c r="F261" s="1104">
        <v>5909</v>
      </c>
      <c r="G261" s="1104">
        <v>4680</v>
      </c>
      <c r="H261" s="1104">
        <v>5580</v>
      </c>
      <c r="I261" s="1104">
        <v>6080</v>
      </c>
      <c r="J261" s="1104">
        <v>5489</v>
      </c>
      <c r="K261" s="1104">
        <v>6979</v>
      </c>
      <c r="L261" s="1104">
        <v>4209</v>
      </c>
      <c r="M261" s="1104">
        <v>3187</v>
      </c>
      <c r="N261" s="1103">
        <v>3756</v>
      </c>
    </row>
    <row r="262" spans="1:14" ht="15.75" x14ac:dyDescent="0.25">
      <c r="B262" s="1102" t="s">
        <v>1095</v>
      </c>
      <c r="C262" s="1103">
        <v>13390</v>
      </c>
      <c r="D262" s="1104">
        <v>14090</v>
      </c>
      <c r="E262" s="1104">
        <v>15662</v>
      </c>
      <c r="F262" s="1104">
        <v>12706</v>
      </c>
      <c r="G262" s="1104">
        <v>14178</v>
      </c>
      <c r="H262" s="1104">
        <v>12429</v>
      </c>
      <c r="I262" s="1104">
        <v>12385</v>
      </c>
      <c r="J262" s="1104">
        <v>12865</v>
      </c>
      <c r="K262" s="1104">
        <v>15196</v>
      </c>
      <c r="L262" s="1104">
        <v>12089</v>
      </c>
      <c r="M262" s="1104">
        <v>11541</v>
      </c>
      <c r="N262" s="1103">
        <v>12480</v>
      </c>
    </row>
    <row r="263" spans="1:14" ht="15.75" x14ac:dyDescent="0.25">
      <c r="B263" s="1102" t="s">
        <v>1096</v>
      </c>
      <c r="C263" s="1103">
        <v>6829</v>
      </c>
      <c r="D263" s="1104">
        <v>5160</v>
      </c>
      <c r="E263" s="1104">
        <v>5615</v>
      </c>
      <c r="F263" s="1104">
        <v>4701</v>
      </c>
      <c r="G263" s="1104">
        <v>3571</v>
      </c>
      <c r="H263" s="1104">
        <v>4767</v>
      </c>
      <c r="I263" s="1104">
        <v>5283</v>
      </c>
      <c r="J263" s="1104">
        <v>4785</v>
      </c>
      <c r="K263" s="1104">
        <v>5537</v>
      </c>
      <c r="L263" s="1104">
        <v>2704</v>
      </c>
      <c r="M263" s="1104">
        <v>1975</v>
      </c>
      <c r="N263" s="1103">
        <v>2140</v>
      </c>
    </row>
    <row r="264" spans="1:14" ht="15.75" x14ac:dyDescent="0.25">
      <c r="B264" s="1102"/>
      <c r="C264" s="1103"/>
      <c r="D264" s="1104"/>
      <c r="E264" s="1104"/>
      <c r="F264" s="1104"/>
      <c r="G264" s="1104"/>
      <c r="H264" s="1104"/>
      <c r="I264" s="1104"/>
      <c r="J264" s="1104"/>
      <c r="K264" s="1104"/>
      <c r="L264" s="1104"/>
      <c r="M264" s="1104"/>
      <c r="N264" s="1103"/>
    </row>
    <row r="265" spans="1:14" ht="15.75" x14ac:dyDescent="0.25">
      <c r="B265" s="1102" t="s">
        <v>320</v>
      </c>
      <c r="C265" s="1103">
        <v>7090</v>
      </c>
      <c r="D265" s="1105">
        <v>10100</v>
      </c>
      <c r="E265" s="1105">
        <v>12230</v>
      </c>
      <c r="F265" s="1105">
        <v>27480</v>
      </c>
      <c r="G265" s="1105">
        <v>22220</v>
      </c>
      <c r="H265" s="1123">
        <v>70310</v>
      </c>
      <c r="I265" s="1123">
        <v>73750</v>
      </c>
      <c r="J265" s="1105">
        <v>24070</v>
      </c>
      <c r="K265" s="1123">
        <v>6400</v>
      </c>
      <c r="L265" s="1123">
        <v>1960</v>
      </c>
      <c r="M265" s="1123">
        <v>1840</v>
      </c>
      <c r="N265" s="1103">
        <v>1690</v>
      </c>
    </row>
    <row r="266" spans="1:14" ht="15.75" x14ac:dyDescent="0.25">
      <c r="B266" s="1102" t="s">
        <v>322</v>
      </c>
      <c r="C266" s="1106">
        <v>43600</v>
      </c>
      <c r="D266" s="1107">
        <v>56000</v>
      </c>
      <c r="E266" s="1107">
        <v>54000</v>
      </c>
      <c r="F266" s="1107">
        <v>54600</v>
      </c>
      <c r="G266" s="1107">
        <v>22000</v>
      </c>
      <c r="H266" s="1107">
        <v>50200</v>
      </c>
      <c r="I266" s="1107">
        <v>75900</v>
      </c>
      <c r="J266" s="1107">
        <v>71900</v>
      </c>
      <c r="K266" s="1107">
        <v>69200</v>
      </c>
      <c r="L266" s="1107">
        <v>19300</v>
      </c>
      <c r="M266" s="1107">
        <v>2900</v>
      </c>
      <c r="N266" s="1106">
        <v>5600</v>
      </c>
    </row>
    <row r="267" spans="1:14" ht="15.75" x14ac:dyDescent="0.25">
      <c r="B267" s="1108" t="s">
        <v>323</v>
      </c>
      <c r="C267" s="1106">
        <v>90670</v>
      </c>
      <c r="D267" s="1107">
        <v>87000</v>
      </c>
      <c r="E267" s="1107">
        <v>58900</v>
      </c>
      <c r="F267" s="1107">
        <v>36370</v>
      </c>
      <c r="G267" s="1107">
        <v>34920</v>
      </c>
      <c r="H267" s="1107">
        <v>29920</v>
      </c>
      <c r="I267" s="1107">
        <v>20640</v>
      </c>
      <c r="J267" s="1107">
        <v>26810</v>
      </c>
      <c r="K267" s="1107">
        <v>33920</v>
      </c>
      <c r="L267" s="1107">
        <v>38460</v>
      </c>
      <c r="M267" s="1107">
        <v>19340</v>
      </c>
      <c r="N267" s="1106">
        <v>18740</v>
      </c>
    </row>
    <row r="268" spans="1:14" ht="15.75" x14ac:dyDescent="0.25">
      <c r="B268" s="1109"/>
      <c r="C268" s="1101"/>
      <c r="D268" s="1100"/>
      <c r="E268" s="1100"/>
      <c r="F268" s="1100"/>
      <c r="G268" s="1100"/>
      <c r="H268" s="1100"/>
      <c r="I268" s="1100"/>
      <c r="J268" s="1100"/>
      <c r="K268" s="1100"/>
      <c r="L268" s="1100"/>
      <c r="M268" s="1100"/>
      <c r="N268" s="1101"/>
    </row>
    <row r="269" spans="1:14" ht="15.75" x14ac:dyDescent="0.25">
      <c r="B269" s="1102" t="s">
        <v>324</v>
      </c>
      <c r="C269" s="1110">
        <v>1743.09</v>
      </c>
      <c r="D269" s="1111">
        <v>1841.46</v>
      </c>
      <c r="E269" s="1111">
        <v>2118.52</v>
      </c>
      <c r="F269" s="1111">
        <v>1405.24</v>
      </c>
      <c r="G269" s="1111">
        <v>1377.8</v>
      </c>
      <c r="H269" s="1111">
        <v>1375.23</v>
      </c>
      <c r="I269" s="1111">
        <v>1398.43</v>
      </c>
      <c r="J269" s="1111">
        <v>1438.02</v>
      </c>
      <c r="K269" s="1111">
        <v>1603.85</v>
      </c>
      <c r="L269" s="1111">
        <v>1099.76</v>
      </c>
      <c r="M269" s="1111">
        <v>1096.51</v>
      </c>
      <c r="N269" s="1110">
        <v>1063.53</v>
      </c>
    </row>
    <row r="270" spans="1:14" ht="15.75" x14ac:dyDescent="0.25">
      <c r="B270" s="1112" t="s">
        <v>328</v>
      </c>
      <c r="C270" s="1113">
        <v>309.41000000000003</v>
      </c>
      <c r="D270" s="1114">
        <v>397.6</v>
      </c>
      <c r="E270" s="1114">
        <v>383.4</v>
      </c>
      <c r="F270" s="1114">
        <v>387.66</v>
      </c>
      <c r="G270" s="1114">
        <v>156.19999999999999</v>
      </c>
      <c r="H270" s="1114">
        <v>356.42</v>
      </c>
      <c r="I270" s="1114">
        <v>538.89</v>
      </c>
      <c r="J270" s="1114">
        <v>510.49</v>
      </c>
      <c r="K270" s="1114">
        <v>491.32</v>
      </c>
      <c r="L270" s="1114">
        <v>137.03</v>
      </c>
      <c r="M270" s="1114">
        <v>20.59</v>
      </c>
      <c r="N270" s="1113">
        <v>39.76</v>
      </c>
    </row>
    <row r="271" spans="1:14" ht="15.75" x14ac:dyDescent="0.25">
      <c r="B271" s="1119" t="s">
        <v>326</v>
      </c>
      <c r="C271" s="1116">
        <v>55.39</v>
      </c>
      <c r="D271" s="1117">
        <v>78.91</v>
      </c>
      <c r="E271" s="1117">
        <v>95.55</v>
      </c>
      <c r="F271" s="1117">
        <v>214.69</v>
      </c>
      <c r="G271" s="1117">
        <v>173.59</v>
      </c>
      <c r="H271" s="1118">
        <v>549.29999999999995</v>
      </c>
      <c r="I271" s="1117">
        <v>576.16999999999996</v>
      </c>
      <c r="J271" s="1117">
        <v>188.05</v>
      </c>
      <c r="K271" s="1118">
        <v>50</v>
      </c>
      <c r="L271" s="1118">
        <v>15.32</v>
      </c>
      <c r="M271" s="1118">
        <v>14.38</v>
      </c>
      <c r="N271" s="1116">
        <v>13.2</v>
      </c>
    </row>
    <row r="272" spans="1:14" ht="15.75" x14ac:dyDescent="0.25">
      <c r="B272" s="1109"/>
      <c r="C272" s="1120"/>
      <c r="D272" s="1121"/>
      <c r="E272" s="1121"/>
      <c r="F272" s="1121"/>
      <c r="G272" s="1122"/>
      <c r="H272" s="1122"/>
      <c r="I272" s="1122"/>
      <c r="J272" s="1122"/>
      <c r="K272" s="1122"/>
      <c r="L272" s="1122"/>
      <c r="M272" s="1122"/>
      <c r="N272" s="1120"/>
    </row>
    <row r="273" spans="1:14" ht="15.75" x14ac:dyDescent="0.25">
      <c r="A273" s="930">
        <v>20</v>
      </c>
      <c r="B273" s="1098" t="s">
        <v>1107</v>
      </c>
      <c r="C273" s="473">
        <v>41852</v>
      </c>
      <c r="D273" s="473">
        <v>41883</v>
      </c>
      <c r="E273" s="473">
        <v>41926</v>
      </c>
      <c r="F273" s="473">
        <v>41944</v>
      </c>
      <c r="G273" s="473">
        <v>41987</v>
      </c>
      <c r="H273" s="473">
        <v>42019</v>
      </c>
      <c r="I273" s="473">
        <v>42050</v>
      </c>
      <c r="J273" s="473">
        <v>42078</v>
      </c>
      <c r="K273" s="473">
        <v>42109</v>
      </c>
      <c r="L273" s="473">
        <v>42139</v>
      </c>
      <c r="M273" s="473">
        <v>42170</v>
      </c>
      <c r="N273" s="473">
        <v>42200</v>
      </c>
    </row>
    <row r="274" spans="1:14" ht="15.75" x14ac:dyDescent="0.25">
      <c r="B274" s="1099"/>
      <c r="C274" s="1100"/>
      <c r="D274" s="1100"/>
      <c r="E274" s="1100"/>
      <c r="F274" s="1100"/>
      <c r="G274" s="1100"/>
      <c r="H274" s="1100"/>
      <c r="I274" s="1100"/>
      <c r="J274" s="1100"/>
      <c r="K274" s="1100"/>
      <c r="L274" s="1100"/>
      <c r="M274" s="1100"/>
      <c r="N274" s="1101"/>
    </row>
    <row r="275" spans="1:14" ht="15.75" x14ac:dyDescent="0.25">
      <c r="B275" s="1102" t="s">
        <v>1093</v>
      </c>
      <c r="C275" s="1103">
        <v>44245</v>
      </c>
      <c r="D275" s="1104">
        <v>47094</v>
      </c>
      <c r="E275" s="1104">
        <v>53020</v>
      </c>
      <c r="F275" s="1104">
        <v>44629</v>
      </c>
      <c r="G275" s="1104">
        <v>46112</v>
      </c>
      <c r="H275" s="1104">
        <v>44102</v>
      </c>
      <c r="I275" s="1104">
        <v>44996</v>
      </c>
      <c r="J275" s="1104">
        <v>44367</v>
      </c>
      <c r="K275" s="1104">
        <v>51886</v>
      </c>
      <c r="L275" s="1104">
        <v>38929</v>
      </c>
      <c r="M275" s="1104">
        <v>38420</v>
      </c>
      <c r="N275" s="1103">
        <v>37831</v>
      </c>
    </row>
    <row r="276" spans="1:14" ht="15.75" x14ac:dyDescent="0.25">
      <c r="B276" s="1102" t="s">
        <v>1094</v>
      </c>
      <c r="C276" s="1103">
        <v>11199</v>
      </c>
      <c r="D276" s="1104">
        <v>12266</v>
      </c>
      <c r="E276" s="1104">
        <v>13742</v>
      </c>
      <c r="F276" s="1104">
        <v>11872</v>
      </c>
      <c r="G276" s="1104">
        <v>11653</v>
      </c>
      <c r="H276" s="1104">
        <v>11636</v>
      </c>
      <c r="I276" s="1104">
        <v>12100</v>
      </c>
      <c r="J276" s="1104">
        <v>11429</v>
      </c>
      <c r="K276" s="1104">
        <v>13725</v>
      </c>
      <c r="L276" s="1104">
        <v>9826</v>
      </c>
      <c r="M276" s="1104">
        <v>10353</v>
      </c>
      <c r="N276" s="1103">
        <v>9561</v>
      </c>
    </row>
    <row r="277" spans="1:14" ht="15.75" x14ac:dyDescent="0.25">
      <c r="B277" s="1102" t="s">
        <v>1095</v>
      </c>
      <c r="C277" s="1103">
        <v>14506</v>
      </c>
      <c r="D277" s="1104">
        <v>17453</v>
      </c>
      <c r="E277" s="1104">
        <v>19949</v>
      </c>
      <c r="F277" s="1104">
        <v>16619</v>
      </c>
      <c r="G277" s="1104">
        <v>18980</v>
      </c>
      <c r="H277" s="1104">
        <v>16386</v>
      </c>
      <c r="I277" s="1104">
        <v>16245</v>
      </c>
      <c r="J277" s="1104">
        <v>16838</v>
      </c>
      <c r="K277" s="1104">
        <v>19282</v>
      </c>
      <c r="L277" s="1104">
        <v>16561</v>
      </c>
      <c r="M277" s="1104">
        <v>16279</v>
      </c>
      <c r="N277" s="1103">
        <v>16772</v>
      </c>
    </row>
    <row r="278" spans="1:14" ht="15.75" x14ac:dyDescent="0.25">
      <c r="B278" s="1102" t="s">
        <v>1096</v>
      </c>
      <c r="C278" s="1103">
        <v>18540</v>
      </c>
      <c r="D278" s="1104">
        <v>17375</v>
      </c>
      <c r="E278" s="1104">
        <v>19328</v>
      </c>
      <c r="F278" s="1104">
        <v>16138</v>
      </c>
      <c r="G278" s="1104">
        <v>15479</v>
      </c>
      <c r="H278" s="1104">
        <v>16080</v>
      </c>
      <c r="I278" s="1104">
        <v>16651</v>
      </c>
      <c r="J278" s="1104">
        <v>16100</v>
      </c>
      <c r="K278" s="1104">
        <v>18879</v>
      </c>
      <c r="L278" s="1104">
        <v>12542</v>
      </c>
      <c r="M278" s="1104">
        <v>11788</v>
      </c>
      <c r="N278" s="1103">
        <v>11498</v>
      </c>
    </row>
    <row r="279" spans="1:14" ht="15.75" x14ac:dyDescent="0.25">
      <c r="B279" s="1102"/>
      <c r="C279" s="1103"/>
      <c r="D279" s="1104"/>
      <c r="E279" s="1104"/>
      <c r="F279" s="1104"/>
      <c r="G279" s="1104"/>
      <c r="H279" s="1104"/>
      <c r="I279" s="1104"/>
      <c r="J279" s="1104"/>
      <c r="K279" s="1104"/>
      <c r="L279" s="1104"/>
      <c r="M279" s="1104"/>
      <c r="N279" s="1103"/>
    </row>
    <row r="280" spans="1:14" ht="15.75" x14ac:dyDescent="0.25">
      <c r="B280" s="1102" t="s">
        <v>320</v>
      </c>
      <c r="C280" s="1103">
        <v>12360</v>
      </c>
      <c r="D280" s="1105">
        <v>88760</v>
      </c>
      <c r="E280" s="1105">
        <v>98090</v>
      </c>
      <c r="F280" s="1105">
        <v>73480</v>
      </c>
      <c r="G280" s="1104">
        <v>75810</v>
      </c>
      <c r="H280" s="1104">
        <v>96760</v>
      </c>
      <c r="I280" s="1104">
        <v>97940</v>
      </c>
      <c r="J280" s="1104">
        <v>50950</v>
      </c>
      <c r="K280" s="1104">
        <v>8810</v>
      </c>
      <c r="L280" s="1104">
        <v>10820</v>
      </c>
      <c r="M280" s="1104">
        <v>2980</v>
      </c>
      <c r="N280" s="1103">
        <v>1480</v>
      </c>
    </row>
    <row r="281" spans="1:14" ht="15.75" x14ac:dyDescent="0.25">
      <c r="B281" s="1102" t="s">
        <v>322</v>
      </c>
      <c r="C281" s="1106">
        <v>66600</v>
      </c>
      <c r="D281" s="1107">
        <v>101200</v>
      </c>
      <c r="E281" s="1107">
        <v>97600</v>
      </c>
      <c r="F281" s="1107">
        <v>95900</v>
      </c>
      <c r="G281" s="1107">
        <v>48700</v>
      </c>
      <c r="H281" s="1107">
        <v>87300</v>
      </c>
      <c r="I281" s="1107">
        <v>121900</v>
      </c>
      <c r="J281" s="1107">
        <v>101400</v>
      </c>
      <c r="K281" s="1107">
        <v>109300</v>
      </c>
      <c r="L281" s="1107">
        <v>38200</v>
      </c>
      <c r="M281" s="1107">
        <v>42400</v>
      </c>
      <c r="N281" s="1106">
        <v>15300</v>
      </c>
    </row>
    <row r="282" spans="1:14" ht="15.75" x14ac:dyDescent="0.25">
      <c r="B282" s="1108" t="s">
        <v>323</v>
      </c>
      <c r="C282" s="1106">
        <v>55574</v>
      </c>
      <c r="D282" s="1107">
        <v>50017</v>
      </c>
      <c r="E282" s="1107">
        <v>37051</v>
      </c>
      <c r="F282" s="1107">
        <v>30148</v>
      </c>
      <c r="G282" s="1107">
        <v>29138</v>
      </c>
      <c r="H282" s="1107">
        <v>27972</v>
      </c>
      <c r="I282" s="1107">
        <v>21820</v>
      </c>
      <c r="J282" s="1107">
        <v>26412</v>
      </c>
      <c r="K282" s="1107">
        <v>29447</v>
      </c>
      <c r="L282" s="1107">
        <v>37054</v>
      </c>
      <c r="M282" s="1107">
        <v>46880</v>
      </c>
      <c r="N282" s="1106">
        <v>47976</v>
      </c>
    </row>
    <row r="283" spans="1:14" ht="15.75" x14ac:dyDescent="0.25">
      <c r="B283" s="1109"/>
      <c r="C283" s="1101"/>
      <c r="D283" s="1100"/>
      <c r="E283" s="1100"/>
      <c r="F283" s="1100"/>
      <c r="G283" s="1100"/>
      <c r="H283" s="1100"/>
      <c r="I283" s="1100"/>
      <c r="J283" s="1100"/>
      <c r="K283" s="1100"/>
      <c r="L283" s="1100"/>
      <c r="M283" s="1100"/>
      <c r="N283" s="1101"/>
    </row>
    <row r="284" spans="1:14" ht="15.75" x14ac:dyDescent="0.25">
      <c r="B284" s="1102" t="s">
        <v>324</v>
      </c>
      <c r="C284" s="1110">
        <v>3001.13</v>
      </c>
      <c r="D284" s="1111">
        <v>3371.37</v>
      </c>
      <c r="E284" s="1111">
        <v>3965.13</v>
      </c>
      <c r="F284" s="1111">
        <v>2689.77</v>
      </c>
      <c r="G284" s="1111">
        <v>2832.63</v>
      </c>
      <c r="H284" s="1111">
        <v>2662.91</v>
      </c>
      <c r="I284" s="1111">
        <v>2649.64</v>
      </c>
      <c r="J284" s="1111">
        <v>2757.28</v>
      </c>
      <c r="K284" s="1111">
        <v>3002.94</v>
      </c>
      <c r="L284" s="1111">
        <v>2253.0500000000002</v>
      </c>
      <c r="M284" s="1111">
        <v>2522.1799999999998</v>
      </c>
      <c r="N284" s="1110">
        <v>2189.5</v>
      </c>
    </row>
    <row r="285" spans="1:14" ht="15.75" x14ac:dyDescent="0.25">
      <c r="B285" s="1112" t="s">
        <v>328</v>
      </c>
      <c r="C285" s="1113">
        <v>472.63</v>
      </c>
      <c r="D285" s="1114">
        <v>718.82</v>
      </c>
      <c r="E285" s="1114">
        <v>692.96</v>
      </c>
      <c r="F285" s="1114">
        <v>680.89</v>
      </c>
      <c r="G285" s="1114">
        <v>345.77</v>
      </c>
      <c r="H285" s="1114">
        <v>619.83000000000004</v>
      </c>
      <c r="I285" s="1114">
        <v>865.49</v>
      </c>
      <c r="J285" s="1114">
        <v>719.94</v>
      </c>
      <c r="K285" s="1114">
        <v>776.03</v>
      </c>
      <c r="L285" s="1114">
        <v>271.22000000000003</v>
      </c>
      <c r="M285" s="1114">
        <v>301.04000000000002</v>
      </c>
      <c r="N285" s="1113">
        <v>108.63</v>
      </c>
    </row>
    <row r="286" spans="1:14" ht="15.75" x14ac:dyDescent="0.25">
      <c r="B286" s="1119" t="s">
        <v>326</v>
      </c>
      <c r="C286" s="1116">
        <v>96.56</v>
      </c>
      <c r="D286" s="1117">
        <v>693.5</v>
      </c>
      <c r="E286" s="1117">
        <v>766.3</v>
      </c>
      <c r="F286" s="1117">
        <v>574.1</v>
      </c>
      <c r="G286" s="1118">
        <v>592.20000000000005</v>
      </c>
      <c r="H286" s="1118">
        <v>755.9</v>
      </c>
      <c r="I286" s="1118">
        <v>765.1</v>
      </c>
      <c r="J286" s="1118">
        <v>398.1</v>
      </c>
      <c r="K286" s="1118">
        <v>68.83</v>
      </c>
      <c r="L286" s="1118">
        <v>84.53</v>
      </c>
      <c r="M286" s="1118">
        <v>23.28</v>
      </c>
      <c r="N286" s="1116">
        <v>11.56</v>
      </c>
    </row>
    <row r="287" spans="1:14" ht="15.75" x14ac:dyDescent="0.25">
      <c r="B287" s="1109"/>
      <c r="C287" s="1120"/>
      <c r="D287" s="1121"/>
      <c r="E287" s="1121"/>
      <c r="F287" s="1121"/>
      <c r="G287" s="1122"/>
      <c r="H287" s="1122"/>
      <c r="I287" s="1122"/>
      <c r="J287" s="1122"/>
      <c r="K287" s="1122"/>
      <c r="L287" s="1122"/>
      <c r="M287" s="1122"/>
      <c r="N287" s="1120"/>
    </row>
    <row r="288" spans="1:14" s="345" customFormat="1" x14ac:dyDescent="0.2">
      <c r="A288" s="930">
        <v>21</v>
      </c>
      <c r="B288" s="666" t="s">
        <v>1033</v>
      </c>
    </row>
    <row r="289" spans="1:25" ht="15" x14ac:dyDescent="0.25">
      <c r="A289" s="461"/>
      <c r="B289" s="130" t="s">
        <v>337</v>
      </c>
      <c r="C289" s="131">
        <v>41821</v>
      </c>
      <c r="D289" s="131">
        <v>41852</v>
      </c>
      <c r="E289" s="131">
        <v>41883</v>
      </c>
      <c r="F289" s="131">
        <v>41913</v>
      </c>
      <c r="G289" s="131">
        <v>41944</v>
      </c>
      <c r="H289" s="131">
        <v>41974</v>
      </c>
      <c r="I289" s="131">
        <v>42005</v>
      </c>
      <c r="J289" s="131">
        <v>42036</v>
      </c>
      <c r="K289" s="131">
        <v>42064</v>
      </c>
      <c r="L289" s="131">
        <v>42095</v>
      </c>
      <c r="M289" s="131">
        <v>42125</v>
      </c>
      <c r="N289" s="131">
        <v>42156</v>
      </c>
      <c r="O289" s="131" t="s">
        <v>338</v>
      </c>
      <c r="P289" s="151"/>
      <c r="Q289" s="131"/>
      <c r="R289" s="128"/>
    </row>
    <row r="290" spans="1:25" ht="15" x14ac:dyDescent="0.25">
      <c r="A290" s="461"/>
      <c r="B290" s="135" t="s">
        <v>1034</v>
      </c>
      <c r="C290" s="106">
        <v>60739</v>
      </c>
      <c r="D290" s="106">
        <v>78737</v>
      </c>
      <c r="E290" s="106">
        <v>86657</v>
      </c>
      <c r="F290" s="106">
        <v>75803</v>
      </c>
      <c r="G290" s="106">
        <v>77415</v>
      </c>
      <c r="H290" s="106">
        <v>51474</v>
      </c>
      <c r="I290" s="106">
        <v>78316</v>
      </c>
      <c r="J290" s="106">
        <v>82982</v>
      </c>
      <c r="K290" s="106">
        <v>73544</v>
      </c>
      <c r="L290" s="106">
        <v>74750</v>
      </c>
      <c r="M290" s="106">
        <v>59697</v>
      </c>
      <c r="N290" s="106">
        <v>56519</v>
      </c>
      <c r="O290" s="954">
        <f>SUM(C290:N290)</f>
        <v>856633</v>
      </c>
      <c r="P290" s="136"/>
      <c r="Q290" s="157"/>
      <c r="R290" s="157"/>
    </row>
    <row r="291" spans="1:25" ht="15" x14ac:dyDescent="0.25">
      <c r="A291" s="461"/>
      <c r="B291" s="135" t="s">
        <v>324</v>
      </c>
      <c r="C291" s="955">
        <f>C290*0.072529</f>
        <v>4405.3389309999993</v>
      </c>
      <c r="D291" s="955">
        <f>D290*0.073699</f>
        <v>5802.8381630000003</v>
      </c>
      <c r="E291" s="956">
        <f>E290*0.072532</f>
        <v>6285.4055239999998</v>
      </c>
      <c r="F291" s="956">
        <f>F290*0.0586</f>
        <v>4442.0558000000001</v>
      </c>
      <c r="G291" s="956">
        <f>G290*0.0602</f>
        <v>4660.3829999999998</v>
      </c>
      <c r="H291" s="957">
        <f>H290*0.0629</f>
        <v>3237.7145999999998</v>
      </c>
      <c r="I291" s="957">
        <f>I290*0.0589</f>
        <v>4612.8123999999998</v>
      </c>
      <c r="J291" s="957">
        <f>J290*0.0557</f>
        <v>4622.0973999999997</v>
      </c>
      <c r="K291" s="957">
        <f>K290*0.0596</f>
        <v>4383.2223999999997</v>
      </c>
      <c r="L291" s="957">
        <f>L290*0.0594</f>
        <v>4440.1500000000005</v>
      </c>
      <c r="M291" s="957">
        <f>M290*0.0593</f>
        <v>3540.0320999999999</v>
      </c>
      <c r="N291" s="957">
        <f>N290*0.075</f>
        <v>4238.9250000000002</v>
      </c>
      <c r="O291" s="958">
        <f>SUM(C291:N291)</f>
        <v>54670.975318000004</v>
      </c>
      <c r="P291" s="136"/>
      <c r="Q291" s="157"/>
      <c r="R291" s="157"/>
    </row>
    <row r="292" spans="1:25" ht="15" x14ac:dyDescent="0.25">
      <c r="A292" s="461"/>
      <c r="B292" s="153"/>
      <c r="C292" s="157"/>
      <c r="D292" s="157"/>
      <c r="E292" s="141"/>
      <c r="F292" s="141"/>
      <c r="G292" s="141"/>
      <c r="H292" s="141"/>
      <c r="I292" s="141"/>
      <c r="J292" s="141"/>
      <c r="K292" s="141"/>
      <c r="L292" s="141"/>
      <c r="M292" s="141"/>
      <c r="N292" s="141"/>
      <c r="O292" s="959"/>
      <c r="P292" s="141"/>
      <c r="Q292" s="157"/>
      <c r="R292" s="157"/>
    </row>
    <row r="293" spans="1:25" ht="15" x14ac:dyDescent="0.25">
      <c r="A293" s="461"/>
      <c r="B293" s="153"/>
      <c r="C293" s="157"/>
      <c r="D293" s="157"/>
      <c r="E293" s="141"/>
      <c r="F293" s="141"/>
      <c r="G293" s="141"/>
      <c r="H293" s="141"/>
      <c r="I293" s="141"/>
      <c r="J293" s="141"/>
      <c r="K293" s="141"/>
      <c r="L293" s="141"/>
      <c r="M293" s="141"/>
      <c r="N293" s="141"/>
      <c r="O293" s="959"/>
      <c r="P293" s="141"/>
      <c r="Q293" s="157"/>
      <c r="R293" s="157"/>
    </row>
    <row r="294" spans="1:25" ht="15" x14ac:dyDescent="0.25">
      <c r="A294" s="461"/>
      <c r="B294" s="135" t="s">
        <v>1035</v>
      </c>
      <c r="C294" s="106">
        <v>14690</v>
      </c>
      <c r="D294" s="106">
        <v>114850</v>
      </c>
      <c r="E294" s="106">
        <v>226300</v>
      </c>
      <c r="F294" s="106">
        <v>198250</v>
      </c>
      <c r="G294" s="106">
        <v>167200</v>
      </c>
      <c r="H294" s="106">
        <v>79360</v>
      </c>
      <c r="I294" s="106">
        <v>144200</v>
      </c>
      <c r="J294" s="106">
        <v>197810</v>
      </c>
      <c r="K294" s="106">
        <v>167900</v>
      </c>
      <c r="L294" s="106">
        <v>180230</v>
      </c>
      <c r="M294" s="106">
        <v>55320</v>
      </c>
      <c r="N294" s="106">
        <v>7730</v>
      </c>
      <c r="O294" s="954">
        <f>SUM(C294:N294)</f>
        <v>1553840</v>
      </c>
      <c r="P294" s="728"/>
      <c r="Q294" s="157"/>
      <c r="R294" s="157"/>
    </row>
    <row r="295" spans="1:25" ht="15" x14ac:dyDescent="0.25">
      <c r="A295" s="461"/>
      <c r="B295" s="135" t="s">
        <v>325</v>
      </c>
      <c r="C295" s="955">
        <f>C294/1000*3.1</f>
        <v>45.539000000000001</v>
      </c>
      <c r="D295" s="955">
        <f t="shared" ref="D295:O295" si="5">D294/1000*3.1</f>
        <v>356.03499999999997</v>
      </c>
      <c r="E295" s="955">
        <f t="shared" si="5"/>
        <v>701.53000000000009</v>
      </c>
      <c r="F295" s="955">
        <f t="shared" si="5"/>
        <v>614.57500000000005</v>
      </c>
      <c r="G295" s="955">
        <f t="shared" si="5"/>
        <v>518.31999999999994</v>
      </c>
      <c r="H295" s="955">
        <f t="shared" si="5"/>
        <v>246.01599999999999</v>
      </c>
      <c r="I295" s="955">
        <f t="shared" si="5"/>
        <v>447.02</v>
      </c>
      <c r="J295" s="955">
        <f t="shared" si="5"/>
        <v>613.21100000000001</v>
      </c>
      <c r="K295" s="955">
        <f t="shared" si="5"/>
        <v>520.49</v>
      </c>
      <c r="L295" s="955">
        <f t="shared" si="5"/>
        <v>558.71299999999997</v>
      </c>
      <c r="M295" s="955">
        <f t="shared" si="5"/>
        <v>171.49200000000002</v>
      </c>
      <c r="N295" s="955">
        <f t="shared" si="5"/>
        <v>23.963000000000001</v>
      </c>
      <c r="O295" s="960">
        <f t="shared" si="5"/>
        <v>4816.9039999999995</v>
      </c>
      <c r="P295" s="731"/>
      <c r="Q295" s="157"/>
      <c r="R295" s="157"/>
    </row>
    <row r="296" spans="1:25" ht="15" x14ac:dyDescent="0.25">
      <c r="A296" s="461"/>
      <c r="B296" s="144"/>
      <c r="C296" s="157"/>
      <c r="D296" s="157"/>
      <c r="E296" s="736"/>
      <c r="F296" s="736"/>
      <c r="G296" s="736"/>
      <c r="H296" s="736"/>
      <c r="I296" s="731"/>
      <c r="J296" s="731"/>
      <c r="K296" s="731"/>
      <c r="L296" s="731"/>
      <c r="M296" s="731"/>
      <c r="N296" s="731"/>
      <c r="O296" s="731"/>
      <c r="P296" s="731"/>
      <c r="Q296" s="157"/>
      <c r="R296" s="157"/>
    </row>
    <row r="297" spans="1:25" ht="15" x14ac:dyDescent="0.25">
      <c r="A297" s="461"/>
      <c r="B297" s="195"/>
      <c r="C297" s="157"/>
      <c r="D297" s="157"/>
      <c r="E297" s="731"/>
      <c r="F297" s="731"/>
      <c r="G297" s="731"/>
      <c r="H297" s="731"/>
      <c r="I297" s="731"/>
      <c r="J297" s="731"/>
      <c r="K297" s="731"/>
      <c r="L297" s="731"/>
      <c r="M297" s="731"/>
      <c r="N297" s="731"/>
      <c r="O297" s="731"/>
      <c r="P297" s="731"/>
      <c r="Q297" s="157"/>
      <c r="R297" s="554"/>
      <c r="S297" s="116"/>
      <c r="T297" s="116"/>
      <c r="U297" s="116"/>
      <c r="V297" s="116"/>
      <c r="W297" s="116"/>
      <c r="X297" s="116"/>
    </row>
    <row r="298" spans="1:25" s="125" customFormat="1" ht="15" x14ac:dyDescent="0.25">
      <c r="A298" s="461"/>
      <c r="B298" s="144"/>
      <c r="C298" s="179"/>
      <c r="D298" s="179"/>
      <c r="E298" s="145"/>
      <c r="F298" s="145"/>
      <c r="G298" s="145"/>
      <c r="H298" s="145"/>
      <c r="I298" s="145"/>
      <c r="J298" s="145"/>
      <c r="K298" s="145"/>
      <c r="L298" s="145"/>
      <c r="M298" s="145"/>
      <c r="N298" s="145"/>
      <c r="O298" s="145"/>
      <c r="P298" s="145"/>
      <c r="Q298" s="179"/>
      <c r="R298" s="444"/>
      <c r="S298" s="149"/>
      <c r="T298" s="150"/>
      <c r="U298" s="961"/>
      <c r="V298" s="149"/>
      <c r="W298" s="150"/>
      <c r="X298" s="554"/>
      <c r="Y298" s="157"/>
    </row>
    <row r="299" spans="1:25" s="125" customFormat="1" ht="15" x14ac:dyDescent="0.25">
      <c r="A299" s="461"/>
      <c r="B299" s="180"/>
      <c r="C299" s="179"/>
      <c r="D299" s="179"/>
      <c r="E299" s="179"/>
      <c r="F299" s="179"/>
      <c r="G299" s="179"/>
      <c r="H299" s="179"/>
      <c r="I299" s="179"/>
      <c r="J299" s="179"/>
      <c r="K299" s="179"/>
      <c r="L299" s="179"/>
      <c r="M299" s="179"/>
      <c r="N299" s="179"/>
      <c r="O299" s="179"/>
      <c r="P299" s="179"/>
      <c r="Q299" s="179"/>
      <c r="R299" s="444"/>
      <c r="S299" s="149"/>
      <c r="T299" s="150"/>
      <c r="U299" s="961"/>
      <c r="V299" s="149"/>
      <c r="W299" s="150"/>
      <c r="X299" s="554"/>
      <c r="Y299" s="157"/>
    </row>
    <row r="300" spans="1:25" x14ac:dyDescent="0.2">
      <c r="A300" s="930">
        <v>22</v>
      </c>
      <c r="B300" s="666" t="s">
        <v>1039</v>
      </c>
    </row>
    <row r="301" spans="1:25" ht="6" customHeight="1" x14ac:dyDescent="0.25">
      <c r="N301" s="477"/>
    </row>
    <row r="302" spans="1:25" ht="15.75" x14ac:dyDescent="0.25">
      <c r="B302" s="472" t="s">
        <v>337</v>
      </c>
      <c r="C302" s="473">
        <v>41821</v>
      </c>
      <c r="D302" s="473">
        <v>41852</v>
      </c>
      <c r="E302" s="473">
        <v>41883</v>
      </c>
      <c r="F302" s="473">
        <v>41913</v>
      </c>
      <c r="G302" s="473">
        <v>41944</v>
      </c>
      <c r="H302" s="473">
        <v>41974</v>
      </c>
      <c r="I302" s="473">
        <v>42005</v>
      </c>
      <c r="J302" s="473">
        <v>42036</v>
      </c>
      <c r="K302" s="473">
        <v>42064</v>
      </c>
      <c r="L302" s="473">
        <v>42095</v>
      </c>
      <c r="M302" s="473">
        <v>42125</v>
      </c>
      <c r="N302" s="473">
        <v>42156</v>
      </c>
      <c r="O302" s="474" t="s">
        <v>338</v>
      </c>
    </row>
    <row r="303" spans="1:25" ht="6" customHeight="1" x14ac:dyDescent="0.25">
      <c r="O303" s="477"/>
    </row>
    <row r="304" spans="1:25" ht="15" x14ac:dyDescent="0.25">
      <c r="B304" t="s">
        <v>409</v>
      </c>
      <c r="C304" s="106">
        <v>124350</v>
      </c>
      <c r="D304" s="106">
        <v>124506</v>
      </c>
      <c r="E304" s="106">
        <v>157696</v>
      </c>
      <c r="F304" s="106">
        <v>138410</v>
      </c>
      <c r="G304" s="106">
        <v>115773</v>
      </c>
      <c r="H304" s="106">
        <v>107197</v>
      </c>
      <c r="I304" s="106">
        <v>96118</v>
      </c>
      <c r="J304" s="106">
        <v>110983</v>
      </c>
      <c r="K304" s="965">
        <v>90056</v>
      </c>
      <c r="L304" s="965">
        <v>131594</v>
      </c>
      <c r="M304" s="965">
        <v>122952</v>
      </c>
      <c r="N304" s="965">
        <v>119384</v>
      </c>
      <c r="O304" s="480">
        <f>SUM(C304:N304)</f>
        <v>1439019</v>
      </c>
    </row>
    <row r="305" spans="1:18" ht="15" x14ac:dyDescent="0.25">
      <c r="B305" t="s">
        <v>640</v>
      </c>
      <c r="C305" s="966">
        <f>C304*0.08076</f>
        <v>10042.505999999999</v>
      </c>
      <c r="D305" s="966">
        <f t="shared" ref="D305:N305" si="6">D304*0.08076</f>
        <v>10055.10456</v>
      </c>
      <c r="E305" s="966">
        <f t="shared" si="6"/>
        <v>12735.52896</v>
      </c>
      <c r="F305" s="966">
        <f t="shared" si="6"/>
        <v>11177.991599999999</v>
      </c>
      <c r="G305" s="966">
        <f t="shared" si="6"/>
        <v>9349.8274799999999</v>
      </c>
      <c r="H305" s="966">
        <f t="shared" si="6"/>
        <v>8657.2297199999994</v>
      </c>
      <c r="I305" s="966">
        <f t="shared" si="6"/>
        <v>7762.4896799999997</v>
      </c>
      <c r="J305" s="966">
        <f t="shared" si="6"/>
        <v>8962.987079999999</v>
      </c>
      <c r="K305" s="966">
        <f t="shared" si="6"/>
        <v>7272.92256</v>
      </c>
      <c r="L305" s="966">
        <f t="shared" si="6"/>
        <v>10627.531440000001</v>
      </c>
      <c r="M305" s="966">
        <f t="shared" si="6"/>
        <v>9929.6035200000006</v>
      </c>
      <c r="N305" s="966">
        <f t="shared" si="6"/>
        <v>9641.4518399999997</v>
      </c>
      <c r="O305" s="483">
        <f>SUM(C305:N305)</f>
        <v>116215.17444000002</v>
      </c>
    </row>
    <row r="306" spans="1:18" ht="6" customHeight="1" x14ac:dyDescent="0.25">
      <c r="O306" s="477"/>
    </row>
    <row r="307" spans="1:18" ht="15" x14ac:dyDescent="0.25">
      <c r="B307" t="s">
        <v>641</v>
      </c>
      <c r="C307" s="106">
        <v>878</v>
      </c>
      <c r="D307" s="106">
        <v>1123</v>
      </c>
      <c r="E307" s="106">
        <v>1488</v>
      </c>
      <c r="F307" s="106">
        <v>1741</v>
      </c>
      <c r="G307" s="106">
        <v>1756</v>
      </c>
      <c r="H307" s="106">
        <v>2813</v>
      </c>
      <c r="I307" s="106">
        <v>2829</v>
      </c>
      <c r="J307" s="106">
        <v>3202</v>
      </c>
      <c r="K307" s="106">
        <v>3083</v>
      </c>
      <c r="L307" s="106">
        <v>2150</v>
      </c>
      <c r="M307" s="106">
        <v>1769</v>
      </c>
      <c r="N307" s="106">
        <v>1707</v>
      </c>
      <c r="O307" s="480">
        <f>SUM(C307:N307)</f>
        <v>24539</v>
      </c>
    </row>
    <row r="308" spans="1:18" ht="15" x14ac:dyDescent="0.25">
      <c r="B308" t="s">
        <v>642</v>
      </c>
      <c r="C308" s="485">
        <f>C307*0.4016</f>
        <v>352.60480000000001</v>
      </c>
      <c r="D308" s="485">
        <f t="shared" ref="D308:N308" si="7">D307*0.4016</f>
        <v>450.99680000000001</v>
      </c>
      <c r="E308" s="485">
        <f t="shared" si="7"/>
        <v>597.58080000000007</v>
      </c>
      <c r="F308" s="485">
        <f t="shared" si="7"/>
        <v>699.18560000000002</v>
      </c>
      <c r="G308" s="485">
        <f t="shared" si="7"/>
        <v>705.20960000000002</v>
      </c>
      <c r="H308" s="485">
        <f t="shared" si="7"/>
        <v>1129.7008000000001</v>
      </c>
      <c r="I308" s="485">
        <f t="shared" si="7"/>
        <v>1136.1264000000001</v>
      </c>
      <c r="J308" s="485">
        <f t="shared" si="7"/>
        <v>1285.9232</v>
      </c>
      <c r="K308" s="485">
        <f t="shared" si="7"/>
        <v>1238.1328000000001</v>
      </c>
      <c r="L308" s="485">
        <f t="shared" si="7"/>
        <v>863.44</v>
      </c>
      <c r="M308" s="485">
        <f t="shared" si="7"/>
        <v>710.43040000000008</v>
      </c>
      <c r="N308" s="485">
        <f t="shared" si="7"/>
        <v>685.53120000000001</v>
      </c>
      <c r="O308" s="483">
        <f>SUM(C308:N308)</f>
        <v>9854.8624</v>
      </c>
    </row>
    <row r="309" spans="1:18" ht="15" x14ac:dyDescent="0.25">
      <c r="B309" t="s">
        <v>643</v>
      </c>
      <c r="C309" s="485">
        <f>C307*0.1738</f>
        <v>152.59640000000002</v>
      </c>
      <c r="D309" s="485">
        <f t="shared" ref="D309:K309" si="8">D307*0.1738</f>
        <v>195.17740000000001</v>
      </c>
      <c r="E309" s="485">
        <f t="shared" si="8"/>
        <v>258.61439999999999</v>
      </c>
      <c r="F309" s="485">
        <f t="shared" si="8"/>
        <v>302.58580000000001</v>
      </c>
      <c r="G309" s="485">
        <f t="shared" si="8"/>
        <v>305.19280000000003</v>
      </c>
      <c r="H309" s="485">
        <f t="shared" si="8"/>
        <v>488.89940000000001</v>
      </c>
      <c r="I309" s="485">
        <f t="shared" si="8"/>
        <v>491.68020000000001</v>
      </c>
      <c r="J309" s="485">
        <f t="shared" si="8"/>
        <v>556.50760000000002</v>
      </c>
      <c r="K309" s="485">
        <f t="shared" si="8"/>
        <v>535.82540000000006</v>
      </c>
      <c r="L309" s="485">
        <f>L307*0.1738</f>
        <v>373.67</v>
      </c>
      <c r="M309" s="485">
        <f>M307*0.1738</f>
        <v>307.4522</v>
      </c>
      <c r="N309" s="485">
        <f>N307*0.1738</f>
        <v>296.67660000000001</v>
      </c>
      <c r="O309" s="483">
        <f>SUM(C309:N309)</f>
        <v>4264.8782000000001</v>
      </c>
    </row>
    <row r="310" spans="1:18" ht="15.75" thickBot="1" x14ac:dyDescent="0.3">
      <c r="B310" s="963" t="s">
        <v>644</v>
      </c>
      <c r="C310" s="964">
        <f>SUM(C308:C309)</f>
        <v>505.20120000000003</v>
      </c>
      <c r="D310" s="964">
        <f t="shared" ref="D310:K310" si="9">SUM(D308:D309)</f>
        <v>646.17420000000004</v>
      </c>
      <c r="E310" s="964">
        <f t="shared" si="9"/>
        <v>856.19520000000011</v>
      </c>
      <c r="F310" s="964">
        <f t="shared" si="9"/>
        <v>1001.7714000000001</v>
      </c>
      <c r="G310" s="964">
        <f t="shared" si="9"/>
        <v>1010.4024000000001</v>
      </c>
      <c r="H310" s="964">
        <f t="shared" si="9"/>
        <v>1618.6002000000001</v>
      </c>
      <c r="I310" s="964">
        <f t="shared" si="9"/>
        <v>1627.8066000000001</v>
      </c>
      <c r="J310" s="964">
        <f t="shared" si="9"/>
        <v>1842.4308000000001</v>
      </c>
      <c r="K310" s="964">
        <f t="shared" si="9"/>
        <v>1773.9582</v>
      </c>
      <c r="L310" s="964">
        <f>SUM(L308:L309)</f>
        <v>1237.1100000000001</v>
      </c>
      <c r="M310" s="964">
        <f>SUM(M308:M309)</f>
        <v>1017.8826000000001</v>
      </c>
      <c r="N310" s="964">
        <f>SUM(N308:N309)</f>
        <v>982.20780000000002</v>
      </c>
      <c r="O310" s="964">
        <f>SUM(O308:O309)</f>
        <v>14119.740600000001</v>
      </c>
    </row>
    <row r="311" spans="1:18" ht="6" customHeight="1" thickTop="1" x14ac:dyDescent="0.25">
      <c r="O311" s="477"/>
    </row>
    <row r="312" spans="1:18" ht="15" customHeight="1" x14ac:dyDescent="0.25">
      <c r="B312" t="s">
        <v>1037</v>
      </c>
      <c r="C312" s="106">
        <v>147700</v>
      </c>
      <c r="D312" s="106">
        <v>141500</v>
      </c>
      <c r="E312" s="106">
        <v>131000</v>
      </c>
      <c r="F312" s="106">
        <v>67100</v>
      </c>
      <c r="G312" s="106">
        <v>31250</v>
      </c>
      <c r="H312" s="106">
        <v>18300</v>
      </c>
      <c r="I312" s="106">
        <v>9750</v>
      </c>
      <c r="J312" s="106">
        <v>10120</v>
      </c>
      <c r="K312" s="106">
        <v>26800</v>
      </c>
      <c r="L312" s="106">
        <v>50000</v>
      </c>
      <c r="M312" s="106">
        <v>94225</v>
      </c>
      <c r="N312" s="106">
        <v>120500</v>
      </c>
      <c r="O312" s="480">
        <f>SUM(C312:N312)</f>
        <v>848245</v>
      </c>
    </row>
    <row r="313" spans="1:18" ht="15" customHeight="1" x14ac:dyDescent="0.25">
      <c r="B313" t="s">
        <v>646</v>
      </c>
      <c r="C313" s="962">
        <f>C312*0.02831</f>
        <v>4181.3869999999997</v>
      </c>
      <c r="D313" s="962">
        <f t="shared" ref="D313:N313" si="10">D312*0.02831</f>
        <v>4005.8649999999998</v>
      </c>
      <c r="E313" s="962">
        <f t="shared" si="10"/>
        <v>3708.6099999999997</v>
      </c>
      <c r="F313" s="962">
        <f t="shared" si="10"/>
        <v>1899.6009999999999</v>
      </c>
      <c r="G313" s="962">
        <f t="shared" si="10"/>
        <v>884.6875</v>
      </c>
      <c r="H313" s="962">
        <f t="shared" si="10"/>
        <v>518.07299999999998</v>
      </c>
      <c r="I313" s="962">
        <f t="shared" si="10"/>
        <v>276.02249999999998</v>
      </c>
      <c r="J313" s="962">
        <f t="shared" si="10"/>
        <v>286.49719999999996</v>
      </c>
      <c r="K313" s="962">
        <f t="shared" si="10"/>
        <v>758.70799999999997</v>
      </c>
      <c r="L313" s="962">
        <f t="shared" si="10"/>
        <v>1415.5</v>
      </c>
      <c r="M313" s="962">
        <f t="shared" si="10"/>
        <v>2667.5097499999997</v>
      </c>
      <c r="N313" s="962">
        <f t="shared" si="10"/>
        <v>3411.355</v>
      </c>
      <c r="O313" s="483">
        <f>SUM(C313:N313)</f>
        <v>24013.81595</v>
      </c>
    </row>
    <row r="314" spans="1:18" ht="15" customHeight="1" x14ac:dyDescent="0.2">
      <c r="A314" s="2261" t="s">
        <v>1038</v>
      </c>
      <c r="B314" s="2261"/>
      <c r="C314" s="2261"/>
      <c r="D314" s="2261"/>
      <c r="E314" s="2261"/>
      <c r="F314" s="2261"/>
      <c r="G314" s="2261"/>
      <c r="H314" s="2261"/>
      <c r="I314" s="2261"/>
      <c r="J314" s="2261"/>
      <c r="K314" s="2261"/>
      <c r="L314" s="2261"/>
      <c r="M314" s="2261"/>
      <c r="N314" s="2261"/>
      <c r="O314" s="2261"/>
    </row>
    <row r="316" spans="1:18" x14ac:dyDescent="0.2">
      <c r="A316" s="930">
        <v>23</v>
      </c>
      <c r="B316" s="666" t="s">
        <v>1215</v>
      </c>
      <c r="C316" s="497"/>
    </row>
    <row r="317" spans="1:18" x14ac:dyDescent="0.2">
      <c r="B317" s="130" t="s">
        <v>337</v>
      </c>
      <c r="C317" s="186" t="s">
        <v>977</v>
      </c>
      <c r="D317" s="131">
        <v>41821</v>
      </c>
      <c r="E317" s="131">
        <v>41852</v>
      </c>
      <c r="F317" s="131">
        <v>41883</v>
      </c>
      <c r="G317" s="131">
        <v>41913</v>
      </c>
      <c r="H317" s="131">
        <v>41944</v>
      </c>
      <c r="I317" s="131">
        <v>41974</v>
      </c>
      <c r="J317" s="131">
        <v>42005</v>
      </c>
      <c r="K317" s="131">
        <v>42036</v>
      </c>
      <c r="L317" s="131">
        <v>42064</v>
      </c>
      <c r="M317" s="131">
        <v>42095</v>
      </c>
      <c r="N317" s="131">
        <v>42125</v>
      </c>
      <c r="O317" s="131">
        <v>42156</v>
      </c>
      <c r="P317" s="131">
        <v>42186</v>
      </c>
      <c r="Q317" s="151">
        <v>42217</v>
      </c>
      <c r="R317" s="131">
        <v>42261</v>
      </c>
    </row>
    <row r="318" spans="1:18" x14ac:dyDescent="0.2">
      <c r="B318" s="135" t="s">
        <v>319</v>
      </c>
      <c r="C318" s="599" t="s">
        <v>653</v>
      </c>
      <c r="D318" s="157"/>
      <c r="E318" s="157"/>
      <c r="F318" s="599" t="s">
        <v>653</v>
      </c>
      <c r="G318" s="599" t="s">
        <v>653</v>
      </c>
      <c r="H318" s="599" t="s">
        <v>653</v>
      </c>
      <c r="I318" s="599" t="s">
        <v>653</v>
      </c>
      <c r="J318" s="599" t="s">
        <v>653</v>
      </c>
      <c r="K318" s="599" t="s">
        <v>653</v>
      </c>
      <c r="L318" s="599" t="s">
        <v>653</v>
      </c>
      <c r="M318" s="599" t="s">
        <v>653</v>
      </c>
      <c r="N318" s="599" t="s">
        <v>653</v>
      </c>
      <c r="O318" s="599" t="s">
        <v>653</v>
      </c>
      <c r="P318" s="599" t="s">
        <v>653</v>
      </c>
      <c r="Q318" s="599" t="s">
        <v>653</v>
      </c>
      <c r="R318" s="157"/>
    </row>
    <row r="319" spans="1:18" x14ac:dyDescent="0.2">
      <c r="B319" s="135" t="s">
        <v>343</v>
      </c>
      <c r="C319" s="599"/>
      <c r="D319" s="157"/>
      <c r="E319" s="157"/>
      <c r="F319" s="137"/>
      <c r="G319" s="137"/>
      <c r="H319" s="137"/>
      <c r="I319" s="136"/>
      <c r="J319" s="136"/>
      <c r="K319" s="136"/>
      <c r="L319" s="136"/>
      <c r="M319" s="136"/>
      <c r="N319" s="136"/>
      <c r="O319" s="136"/>
      <c r="P319" s="136"/>
      <c r="Q319" s="136"/>
      <c r="R319" s="157"/>
    </row>
    <row r="320" spans="1:18" x14ac:dyDescent="0.2">
      <c r="B320" s="153" t="s">
        <v>362</v>
      </c>
      <c r="C320" s="599"/>
      <c r="D320" s="157"/>
      <c r="E320" s="157"/>
      <c r="F320" s="141"/>
      <c r="G320" s="141"/>
      <c r="H320" s="141"/>
      <c r="I320" s="141"/>
      <c r="J320" s="141"/>
      <c r="K320" s="141"/>
      <c r="L320" s="141"/>
      <c r="M320" s="141"/>
      <c r="N320" s="141"/>
      <c r="O320" s="141"/>
      <c r="P320" s="141"/>
      <c r="Q320" s="141"/>
      <c r="R320" s="157"/>
    </row>
    <row r="321" spans="1:18" x14ac:dyDescent="0.2">
      <c r="B321" s="153" t="s">
        <v>641</v>
      </c>
      <c r="C321" s="599"/>
      <c r="D321" s="157"/>
      <c r="E321" s="157"/>
      <c r="F321" s="141"/>
      <c r="G321" s="141"/>
      <c r="H321" s="141"/>
      <c r="I321" s="141"/>
      <c r="J321" s="141"/>
      <c r="K321" s="141"/>
      <c r="L321" s="141"/>
      <c r="M321" s="141"/>
      <c r="N321" s="141"/>
      <c r="O321" s="141"/>
      <c r="P321" s="141"/>
      <c r="Q321" s="141"/>
      <c r="R321" s="157"/>
    </row>
    <row r="322" spans="1:18" x14ac:dyDescent="0.2">
      <c r="B322" s="135" t="s">
        <v>864</v>
      </c>
      <c r="C322" s="599"/>
      <c r="D322" s="157"/>
      <c r="E322" s="157"/>
      <c r="F322" s="599" t="s">
        <v>653</v>
      </c>
      <c r="G322" s="599" t="s">
        <v>653</v>
      </c>
      <c r="H322" s="599" t="s">
        <v>653</v>
      </c>
      <c r="I322" s="599" t="s">
        <v>653</v>
      </c>
      <c r="J322" s="599" t="s">
        <v>653</v>
      </c>
      <c r="K322" s="599" t="s">
        <v>653</v>
      </c>
      <c r="L322" s="599" t="s">
        <v>653</v>
      </c>
      <c r="M322" s="599" t="s">
        <v>653</v>
      </c>
      <c r="N322" s="599" t="s">
        <v>653</v>
      </c>
      <c r="O322" s="599" t="s">
        <v>653</v>
      </c>
      <c r="P322" s="599" t="s">
        <v>653</v>
      </c>
      <c r="Q322" s="599" t="s">
        <v>653</v>
      </c>
      <c r="R322" s="157"/>
    </row>
    <row r="323" spans="1:18" x14ac:dyDescent="0.2">
      <c r="B323" s="135" t="s">
        <v>324</v>
      </c>
      <c r="C323" s="599"/>
      <c r="D323" s="157"/>
      <c r="E323" s="157"/>
      <c r="F323" s="599" t="s">
        <v>653</v>
      </c>
      <c r="G323" s="599" t="s">
        <v>653</v>
      </c>
      <c r="H323" s="599" t="s">
        <v>653</v>
      </c>
      <c r="I323" s="599" t="s">
        <v>653</v>
      </c>
      <c r="J323" s="599" t="s">
        <v>653</v>
      </c>
      <c r="K323" s="599" t="s">
        <v>653</v>
      </c>
      <c r="L323" s="599" t="s">
        <v>653</v>
      </c>
      <c r="M323" s="599" t="s">
        <v>653</v>
      </c>
      <c r="N323" s="599" t="s">
        <v>653</v>
      </c>
      <c r="O323" s="599" t="s">
        <v>653</v>
      </c>
      <c r="P323" s="599" t="s">
        <v>653</v>
      </c>
      <c r="Q323" s="599" t="s">
        <v>653</v>
      </c>
      <c r="R323" s="157"/>
    </row>
    <row r="324" spans="1:18" x14ac:dyDescent="0.2">
      <c r="B324" s="144" t="s">
        <v>348</v>
      </c>
      <c r="C324" s="599"/>
      <c r="D324" s="157"/>
      <c r="E324" s="157"/>
      <c r="F324" s="736"/>
      <c r="G324" s="736"/>
      <c r="H324" s="736"/>
      <c r="I324" s="736"/>
      <c r="J324" s="731"/>
      <c r="K324" s="731"/>
      <c r="L324" s="731"/>
      <c r="M324" s="731"/>
      <c r="N324" s="731"/>
      <c r="O324" s="731"/>
      <c r="P324" s="731"/>
      <c r="Q324" s="731"/>
      <c r="R324" s="157"/>
    </row>
    <row r="325" spans="1:18" x14ac:dyDescent="0.2">
      <c r="B325" s="195" t="s">
        <v>1087</v>
      </c>
      <c r="C325" s="599"/>
      <c r="D325" s="157"/>
      <c r="E325" s="157"/>
      <c r="F325" s="731"/>
      <c r="G325" s="731"/>
      <c r="H325" s="731"/>
      <c r="I325" s="731"/>
      <c r="J325" s="731"/>
      <c r="K325" s="731"/>
      <c r="L325" s="731"/>
      <c r="M325" s="731"/>
      <c r="N325" s="731"/>
      <c r="O325" s="731"/>
      <c r="P325" s="731"/>
      <c r="Q325" s="731"/>
      <c r="R325" s="157"/>
    </row>
    <row r="326" spans="1:18" x14ac:dyDescent="0.2">
      <c r="B326" s="144" t="s">
        <v>883</v>
      </c>
      <c r="C326" s="607"/>
      <c r="D326" s="179"/>
      <c r="E326" s="179"/>
      <c r="F326" s="599"/>
      <c r="G326" s="599"/>
      <c r="H326" s="599"/>
      <c r="I326" s="599"/>
      <c r="J326" s="599"/>
      <c r="K326" s="599"/>
      <c r="L326" s="599"/>
      <c r="M326" s="599"/>
      <c r="N326" s="599"/>
      <c r="O326" s="599"/>
      <c r="P326" s="599"/>
      <c r="Q326" s="599"/>
      <c r="R326" s="179"/>
    </row>
    <row r="327" spans="1:18" ht="15" customHeight="1" x14ac:dyDescent="0.2">
      <c r="A327" s="1038"/>
      <c r="B327" s="993"/>
      <c r="C327" s="993"/>
      <c r="D327" s="993"/>
      <c r="E327" s="993"/>
      <c r="F327" s="993"/>
      <c r="G327" s="993"/>
      <c r="H327" s="993"/>
      <c r="I327" s="993"/>
      <c r="J327" s="993"/>
      <c r="K327" s="993"/>
      <c r="L327" s="993"/>
      <c r="M327" s="993"/>
      <c r="N327" s="993"/>
      <c r="O327" s="993"/>
    </row>
    <row r="328" spans="1:18" ht="15" customHeight="1" x14ac:dyDescent="0.2">
      <c r="A328" s="1153">
        <v>24</v>
      </c>
      <c r="B328" s="207" t="s">
        <v>405</v>
      </c>
      <c r="C328" s="993"/>
      <c r="D328" s="993"/>
      <c r="E328" s="993"/>
      <c r="F328" s="993"/>
      <c r="G328" s="993"/>
      <c r="H328" s="993"/>
      <c r="I328" s="993"/>
      <c r="J328" s="993"/>
      <c r="K328" s="993"/>
      <c r="L328" s="993"/>
      <c r="M328" s="993"/>
      <c r="N328" s="993"/>
      <c r="O328" s="993"/>
    </row>
    <row r="329" spans="1:18" ht="15" customHeight="1" x14ac:dyDescent="0.2">
      <c r="A329" s="1153"/>
      <c r="B329" s="993"/>
      <c r="C329" s="993"/>
      <c r="D329" s="993"/>
      <c r="E329" s="993"/>
      <c r="F329" s="993"/>
      <c r="G329" s="993"/>
      <c r="H329" s="993"/>
      <c r="I329" s="993"/>
      <c r="J329" s="993"/>
      <c r="K329" s="993"/>
      <c r="L329" s="993"/>
      <c r="M329" s="993"/>
      <c r="N329" s="993"/>
      <c r="O329" s="993"/>
    </row>
    <row r="330" spans="1:18" ht="15" customHeight="1" x14ac:dyDescent="0.3">
      <c r="A330" s="1153">
        <v>25</v>
      </c>
      <c r="B330" s="1243" t="s">
        <v>1189</v>
      </c>
      <c r="C330" s="497"/>
    </row>
    <row r="331" spans="1:18" ht="15" customHeight="1" x14ac:dyDescent="0.2">
      <c r="A331" s="1153"/>
      <c r="B331" s="130" t="s">
        <v>337</v>
      </c>
      <c r="C331" s="186" t="s">
        <v>977</v>
      </c>
      <c r="D331" s="131">
        <v>41821</v>
      </c>
      <c r="E331" s="131">
        <v>41852</v>
      </c>
      <c r="F331" s="131">
        <v>41883</v>
      </c>
      <c r="G331" s="131">
        <v>41913</v>
      </c>
      <c r="H331" s="131">
        <v>41944</v>
      </c>
      <c r="I331" s="131">
        <v>41974</v>
      </c>
      <c r="J331" s="131">
        <v>42005</v>
      </c>
      <c r="K331" s="131">
        <v>42036</v>
      </c>
      <c r="L331" s="131">
        <v>42064</v>
      </c>
      <c r="M331" s="131">
        <v>42095</v>
      </c>
      <c r="N331" s="131">
        <v>42125</v>
      </c>
      <c r="O331" s="131">
        <v>42156</v>
      </c>
      <c r="P331" s="131">
        <v>42186</v>
      </c>
      <c r="Q331" s="151">
        <v>42217</v>
      </c>
      <c r="R331" s="131">
        <v>42261</v>
      </c>
    </row>
    <row r="332" spans="1:18" ht="15" customHeight="1" x14ac:dyDescent="0.2">
      <c r="A332" s="1153"/>
      <c r="B332" s="135" t="s">
        <v>319</v>
      </c>
      <c r="C332" s="136"/>
      <c r="D332" s="136">
        <v>46151</v>
      </c>
      <c r="E332" s="136">
        <v>49957</v>
      </c>
      <c r="F332" s="136">
        <v>57090</v>
      </c>
      <c r="G332" s="136">
        <v>57474</v>
      </c>
      <c r="H332" s="136">
        <v>52506</v>
      </c>
      <c r="I332" s="136">
        <v>46523</v>
      </c>
      <c r="J332" s="136">
        <v>49953</v>
      </c>
      <c r="K332" s="136">
        <v>50798</v>
      </c>
      <c r="L332" s="136">
        <v>50829</v>
      </c>
      <c r="M332" s="136">
        <v>54029</v>
      </c>
      <c r="N332" s="136">
        <v>50270</v>
      </c>
      <c r="O332" s="136">
        <v>42143</v>
      </c>
      <c r="P332" s="136">
        <v>40760</v>
      </c>
      <c r="Q332" s="136"/>
      <c r="R332" s="157"/>
    </row>
    <row r="333" spans="1:18" ht="15" customHeight="1" x14ac:dyDescent="0.2">
      <c r="A333" s="1153"/>
      <c r="B333" s="135" t="s">
        <v>343</v>
      </c>
      <c r="C333" s="137"/>
      <c r="D333" s="137">
        <v>0</v>
      </c>
      <c r="E333" s="137">
        <v>0</v>
      </c>
      <c r="F333" s="137">
        <v>0</v>
      </c>
      <c r="G333" s="137">
        <v>0</v>
      </c>
      <c r="H333" s="137">
        <v>0</v>
      </c>
      <c r="I333" s="136">
        <v>0</v>
      </c>
      <c r="J333" s="136">
        <v>0</v>
      </c>
      <c r="K333" s="136">
        <v>0</v>
      </c>
      <c r="L333" s="136">
        <v>0</v>
      </c>
      <c r="M333" s="136">
        <v>0</v>
      </c>
      <c r="N333" s="136">
        <v>0</v>
      </c>
      <c r="O333" s="136">
        <v>0</v>
      </c>
      <c r="P333" s="136">
        <v>0</v>
      </c>
      <c r="Q333" s="136"/>
      <c r="R333" s="157"/>
    </row>
    <row r="334" spans="1:18" ht="15" customHeight="1" x14ac:dyDescent="0.2">
      <c r="A334" s="1153"/>
      <c r="B334" s="153" t="s">
        <v>362</v>
      </c>
      <c r="C334" s="141"/>
      <c r="D334" s="141">
        <v>0</v>
      </c>
      <c r="E334" s="141">
        <v>0</v>
      </c>
      <c r="F334" s="141">
        <v>0</v>
      </c>
      <c r="G334" s="141">
        <v>0</v>
      </c>
      <c r="H334" s="141">
        <v>0</v>
      </c>
      <c r="I334" s="141">
        <v>0</v>
      </c>
      <c r="J334" s="141">
        <v>0</v>
      </c>
      <c r="K334" s="141">
        <v>0</v>
      </c>
      <c r="L334" s="141">
        <v>0</v>
      </c>
      <c r="M334" s="141">
        <v>0</v>
      </c>
      <c r="N334" s="141">
        <v>0</v>
      </c>
      <c r="O334" s="141">
        <v>0</v>
      </c>
      <c r="P334" s="141">
        <v>0</v>
      </c>
      <c r="Q334" s="141"/>
      <c r="R334" s="157"/>
    </row>
    <row r="335" spans="1:18" ht="15" customHeight="1" x14ac:dyDescent="0.2">
      <c r="A335" s="1153"/>
      <c r="B335" s="153" t="s">
        <v>641</v>
      </c>
      <c r="C335" s="141"/>
      <c r="D335" s="141">
        <v>0</v>
      </c>
      <c r="E335" s="141">
        <v>0</v>
      </c>
      <c r="F335" s="141">
        <v>0</v>
      </c>
      <c r="G335" s="141">
        <v>0</v>
      </c>
      <c r="H335" s="141">
        <v>0</v>
      </c>
      <c r="I335" s="141">
        <v>0</v>
      </c>
      <c r="J335" s="141">
        <v>0</v>
      </c>
      <c r="K335" s="141">
        <v>0</v>
      </c>
      <c r="L335" s="141">
        <v>0</v>
      </c>
      <c r="M335" s="141">
        <v>0</v>
      </c>
      <c r="N335" s="141">
        <v>0</v>
      </c>
      <c r="O335" s="141">
        <v>0</v>
      </c>
      <c r="P335" s="141">
        <v>0</v>
      </c>
      <c r="Q335" s="141"/>
      <c r="R335" s="157"/>
    </row>
    <row r="336" spans="1:18" ht="15" customHeight="1" x14ac:dyDescent="0.2">
      <c r="A336" s="1153"/>
      <c r="B336" s="135" t="s">
        <v>864</v>
      </c>
      <c r="C336" s="760"/>
      <c r="D336" s="760">
        <v>12794.38</v>
      </c>
      <c r="E336" s="760">
        <v>33655.54</v>
      </c>
      <c r="F336" s="760">
        <v>33655.54</v>
      </c>
      <c r="G336" s="760">
        <v>41491.730000000003</v>
      </c>
      <c r="H336" s="760">
        <v>41491.730000000003</v>
      </c>
      <c r="I336" s="760">
        <v>32685.43</v>
      </c>
      <c r="J336" s="760">
        <v>32685.43</v>
      </c>
      <c r="K336" s="750">
        <v>35705.26</v>
      </c>
      <c r="L336" s="750">
        <v>35705.26</v>
      </c>
      <c r="M336" s="750">
        <v>29886.57</v>
      </c>
      <c r="N336" s="750">
        <v>11631.36</v>
      </c>
      <c r="O336" s="750">
        <v>12968.16</v>
      </c>
      <c r="P336" s="750">
        <v>1278.3800000000001</v>
      </c>
      <c r="Q336" s="728"/>
      <c r="R336" s="157"/>
    </row>
    <row r="337" spans="1:18" ht="15" customHeight="1" x14ac:dyDescent="0.2">
      <c r="A337" s="1153"/>
      <c r="B337" s="135" t="s">
        <v>324</v>
      </c>
      <c r="C337" s="731"/>
      <c r="D337" s="731">
        <v>4859.6899999999996</v>
      </c>
      <c r="E337" s="731">
        <v>5365.42</v>
      </c>
      <c r="F337" s="731">
        <v>6102.94</v>
      </c>
      <c r="G337" s="731">
        <v>6120.96</v>
      </c>
      <c r="H337" s="731">
        <v>5691.63</v>
      </c>
      <c r="I337" s="731">
        <v>5024.47</v>
      </c>
      <c r="J337" s="731">
        <v>5280.02</v>
      </c>
      <c r="K337" s="731">
        <v>5562.35</v>
      </c>
      <c r="L337" s="731">
        <v>5403.08</v>
      </c>
      <c r="M337" s="731">
        <v>5678.49</v>
      </c>
      <c r="N337" s="731">
        <v>5308.49</v>
      </c>
      <c r="O337" s="731">
        <v>4513.5200000000004</v>
      </c>
      <c r="P337" s="731">
        <v>3713.22</v>
      </c>
      <c r="Q337" s="731"/>
      <c r="R337" s="157"/>
    </row>
    <row r="338" spans="1:18" ht="15" customHeight="1" x14ac:dyDescent="0.2">
      <c r="A338" s="1153"/>
      <c r="B338" s="144" t="s">
        <v>348</v>
      </c>
      <c r="C338" s="736"/>
      <c r="D338" s="736">
        <v>0</v>
      </c>
      <c r="E338" s="736">
        <v>0</v>
      </c>
      <c r="F338" s="736">
        <v>0</v>
      </c>
      <c r="G338" s="736">
        <v>0</v>
      </c>
      <c r="H338" s="736">
        <v>0</v>
      </c>
      <c r="I338" s="736">
        <v>0</v>
      </c>
      <c r="J338" s="731">
        <v>0</v>
      </c>
      <c r="K338" s="731">
        <v>0</v>
      </c>
      <c r="L338" s="731">
        <v>0</v>
      </c>
      <c r="M338" s="731">
        <v>0</v>
      </c>
      <c r="N338" s="731">
        <v>0</v>
      </c>
      <c r="O338" s="731">
        <v>0</v>
      </c>
      <c r="P338" s="731">
        <v>0</v>
      </c>
      <c r="Q338" s="731"/>
      <c r="R338" s="157"/>
    </row>
    <row r="339" spans="1:18" ht="15" customHeight="1" x14ac:dyDescent="0.2">
      <c r="A339" s="1153"/>
      <c r="B339" s="195" t="s">
        <v>1087</v>
      </c>
      <c r="C339" s="731"/>
      <c r="D339" s="731">
        <v>0</v>
      </c>
      <c r="E339" s="731">
        <v>0</v>
      </c>
      <c r="F339" s="731">
        <v>0</v>
      </c>
      <c r="G339" s="731">
        <v>0</v>
      </c>
      <c r="H339" s="731">
        <v>0</v>
      </c>
      <c r="I339" s="731">
        <v>0</v>
      </c>
      <c r="J339" s="731">
        <v>0</v>
      </c>
      <c r="K339" s="731">
        <v>0</v>
      </c>
      <c r="L339" s="731">
        <v>0</v>
      </c>
      <c r="M339" s="731">
        <v>0</v>
      </c>
      <c r="N339" s="731">
        <v>0</v>
      </c>
      <c r="O339" s="731">
        <v>0</v>
      </c>
      <c r="P339" s="731">
        <v>0</v>
      </c>
      <c r="Q339" s="731"/>
      <c r="R339" s="157"/>
    </row>
    <row r="340" spans="1:18" ht="15" customHeight="1" x14ac:dyDescent="0.2">
      <c r="A340" s="1153"/>
      <c r="B340" s="144" t="s">
        <v>883</v>
      </c>
      <c r="C340" s="145"/>
      <c r="D340" s="145">
        <v>0</v>
      </c>
      <c r="E340" s="145">
        <v>0</v>
      </c>
      <c r="F340" s="145">
        <v>0</v>
      </c>
      <c r="G340" s="145">
        <v>0</v>
      </c>
      <c r="H340" s="145">
        <v>0</v>
      </c>
      <c r="I340" s="145">
        <v>0</v>
      </c>
      <c r="J340" s="145">
        <v>0</v>
      </c>
      <c r="K340" s="145">
        <v>0</v>
      </c>
      <c r="L340" s="145">
        <v>0</v>
      </c>
      <c r="M340" s="145">
        <v>0</v>
      </c>
      <c r="N340" s="145">
        <v>0</v>
      </c>
      <c r="O340" s="145">
        <v>0</v>
      </c>
      <c r="P340" s="145">
        <v>0</v>
      </c>
      <c r="Q340" s="145"/>
      <c r="R340" s="179"/>
    </row>
    <row r="341" spans="1:18" ht="15" customHeight="1" x14ac:dyDescent="0.2">
      <c r="A341" s="1153"/>
      <c r="B341" s="993"/>
      <c r="C341" s="993"/>
      <c r="D341" s="993"/>
      <c r="E341" s="993"/>
      <c r="F341" s="993"/>
      <c r="G341" s="993"/>
      <c r="H341" s="993"/>
      <c r="I341" s="993"/>
      <c r="J341" s="993"/>
      <c r="K341" s="993"/>
      <c r="L341" s="993"/>
      <c r="M341" s="993"/>
      <c r="N341" s="993"/>
      <c r="O341" s="993"/>
    </row>
    <row r="342" spans="1:18" ht="15" customHeight="1" x14ac:dyDescent="0.2">
      <c r="A342" s="1153">
        <v>26</v>
      </c>
      <c r="B342" s="646" t="s">
        <v>1206</v>
      </c>
      <c r="C342" s="625">
        <v>41829</v>
      </c>
      <c r="D342" s="625">
        <v>41860</v>
      </c>
      <c r="E342" s="625">
        <v>41891</v>
      </c>
      <c r="F342" s="625">
        <v>41921</v>
      </c>
      <c r="G342" s="625">
        <v>41952</v>
      </c>
      <c r="H342" s="625">
        <v>41982</v>
      </c>
      <c r="I342" s="625">
        <v>42013</v>
      </c>
      <c r="J342" s="625">
        <v>42044</v>
      </c>
      <c r="K342" s="625">
        <v>42072</v>
      </c>
      <c r="L342" s="625">
        <v>42103</v>
      </c>
      <c r="M342" s="625">
        <v>42133</v>
      </c>
      <c r="N342" s="625">
        <v>42164</v>
      </c>
      <c r="O342" s="626" t="s">
        <v>752</v>
      </c>
    </row>
    <row r="343" spans="1:18" ht="15" customHeight="1" x14ac:dyDescent="0.2">
      <c r="A343" s="1153"/>
      <c r="B343" s="345" t="s">
        <v>753</v>
      </c>
      <c r="C343" s="345"/>
      <c r="D343" s="345"/>
      <c r="E343" s="345"/>
      <c r="F343" s="345"/>
      <c r="G343" s="345"/>
      <c r="H343" s="345"/>
      <c r="I343" s="345"/>
      <c r="J343" s="345"/>
      <c r="K343" s="345"/>
      <c r="L343" s="345"/>
      <c r="M343" s="345"/>
      <c r="N343" s="345"/>
      <c r="O343" s="345"/>
    </row>
    <row r="344" spans="1:18" ht="15" customHeight="1" x14ac:dyDescent="0.2">
      <c r="A344" s="1153"/>
      <c r="B344" s="345" t="s">
        <v>754</v>
      </c>
      <c r="C344" s="647">
        <v>2370218</v>
      </c>
      <c r="D344" s="647">
        <v>2448422</v>
      </c>
      <c r="E344" s="647">
        <v>2541645</v>
      </c>
      <c r="F344" s="647">
        <v>2651808</v>
      </c>
      <c r="G344" s="647">
        <v>2761074</v>
      </c>
      <c r="H344" s="647">
        <v>2883909</v>
      </c>
      <c r="I344" s="647">
        <v>3019561</v>
      </c>
      <c r="J344" s="647">
        <v>3138775</v>
      </c>
      <c r="K344" s="647">
        <v>3244845</v>
      </c>
      <c r="L344" s="647">
        <v>3348873</v>
      </c>
      <c r="M344" s="647">
        <v>3430743</v>
      </c>
      <c r="N344" s="647">
        <v>3512065</v>
      </c>
      <c r="O344" s="648" t="s">
        <v>798</v>
      </c>
    </row>
    <row r="345" spans="1:18" ht="15" customHeight="1" x14ac:dyDescent="0.2">
      <c r="A345" s="1153"/>
      <c r="B345" s="345" t="s">
        <v>755</v>
      </c>
      <c r="C345" s="647">
        <v>2269373</v>
      </c>
      <c r="D345" s="647">
        <v>2370218</v>
      </c>
      <c r="E345" s="647">
        <v>2448422</v>
      </c>
      <c r="F345" s="647">
        <v>2541645</v>
      </c>
      <c r="G345" s="647">
        <v>2651808</v>
      </c>
      <c r="H345" s="647">
        <v>2761074</v>
      </c>
      <c r="I345" s="647">
        <v>2883909</v>
      </c>
      <c r="J345" s="647">
        <v>3019561</v>
      </c>
      <c r="K345" s="647">
        <v>3138775</v>
      </c>
      <c r="L345" s="647">
        <v>3244845</v>
      </c>
      <c r="M345" s="647">
        <v>3348873</v>
      </c>
      <c r="N345" s="647">
        <v>3430743</v>
      </c>
      <c r="O345" s="648" t="s">
        <v>798</v>
      </c>
    </row>
    <row r="346" spans="1:18" ht="15" customHeight="1" x14ac:dyDescent="0.2">
      <c r="A346" s="1153"/>
      <c r="B346" s="345" t="s">
        <v>756</v>
      </c>
      <c r="C346" s="647">
        <v>100845</v>
      </c>
      <c r="D346" s="647">
        <v>78204</v>
      </c>
      <c r="E346" s="647">
        <v>93223</v>
      </c>
      <c r="F346" s="647">
        <v>110163</v>
      </c>
      <c r="G346" s="647">
        <v>109266</v>
      </c>
      <c r="H346" s="647">
        <v>122835</v>
      </c>
      <c r="I346" s="647">
        <v>135652</v>
      </c>
      <c r="J346" s="647">
        <v>119214</v>
      </c>
      <c r="K346" s="647">
        <v>106070</v>
      </c>
      <c r="L346" s="647">
        <v>104028</v>
      </c>
      <c r="M346" s="647">
        <v>81870</v>
      </c>
      <c r="N346" s="647">
        <v>81322</v>
      </c>
      <c r="O346" s="648" t="s">
        <v>798</v>
      </c>
    </row>
    <row r="347" spans="1:18" ht="15" customHeight="1" x14ac:dyDescent="0.2">
      <c r="A347" s="1153"/>
      <c r="B347" s="345" t="s">
        <v>799</v>
      </c>
      <c r="C347" s="647">
        <v>100845</v>
      </c>
      <c r="D347" s="647">
        <v>78204</v>
      </c>
      <c r="E347" s="647">
        <v>93223</v>
      </c>
      <c r="F347" s="647">
        <v>110163</v>
      </c>
      <c r="G347" s="647">
        <v>109266</v>
      </c>
      <c r="H347" s="647">
        <v>122835</v>
      </c>
      <c r="I347" s="647">
        <v>135652</v>
      </c>
      <c r="J347" s="647">
        <v>119214</v>
      </c>
      <c r="K347" s="647">
        <v>106070</v>
      </c>
      <c r="L347" s="647">
        <v>104028</v>
      </c>
      <c r="M347" s="647">
        <v>81870</v>
      </c>
      <c r="N347" s="647">
        <v>81322</v>
      </c>
      <c r="O347" s="649">
        <f>SUM(C347:N347)</f>
        <v>1242692</v>
      </c>
    </row>
    <row r="348" spans="1:18" ht="15" customHeight="1" x14ac:dyDescent="0.2">
      <c r="A348" s="1153"/>
      <c r="B348" s="345" t="s">
        <v>758</v>
      </c>
      <c r="C348" s="631">
        <v>8.3199999999999996E-2</v>
      </c>
      <c r="D348" s="631">
        <v>8.1600000000000006E-2</v>
      </c>
      <c r="E348" s="631">
        <v>8.09E-2</v>
      </c>
      <c r="F348" s="631">
        <v>7.2400000000000006E-2</v>
      </c>
      <c r="G348" s="631">
        <v>7.6399999999999996E-2</v>
      </c>
      <c r="H348" s="631">
        <v>7.6799999999999993E-2</v>
      </c>
      <c r="I348" s="631">
        <v>7.5499999999999998E-2</v>
      </c>
      <c r="J348" s="631">
        <v>7.3999999999999996E-2</v>
      </c>
      <c r="K348" s="631">
        <v>7.51E-2</v>
      </c>
      <c r="L348" s="631">
        <v>7.6600000000000001E-2</v>
      </c>
      <c r="M348" s="631">
        <v>7.4399999999999994E-2</v>
      </c>
      <c r="N348" s="631">
        <v>8.3299999999999999E-2</v>
      </c>
      <c r="O348" s="650">
        <f>ROUND(+O349/O347,4)</f>
        <v>7.7200000000000005E-2</v>
      </c>
    </row>
    <row r="349" spans="1:18" ht="15" customHeight="1" x14ac:dyDescent="0.2">
      <c r="A349" s="1153"/>
      <c r="B349" s="345" t="s">
        <v>759</v>
      </c>
      <c r="C349" s="651">
        <v>8390.2999999999993</v>
      </c>
      <c r="D349" s="651">
        <v>6381.45</v>
      </c>
      <c r="E349" s="651">
        <v>7541.74</v>
      </c>
      <c r="F349" s="651">
        <v>7975.8</v>
      </c>
      <c r="G349" s="651">
        <v>8347.92</v>
      </c>
      <c r="H349" s="651">
        <v>9433.73</v>
      </c>
      <c r="I349" s="651">
        <v>10241.73</v>
      </c>
      <c r="J349" s="651">
        <v>8821.84</v>
      </c>
      <c r="K349" s="651">
        <v>7965.86</v>
      </c>
      <c r="L349" s="651">
        <v>7968.54</v>
      </c>
      <c r="M349" s="651">
        <v>6091.13</v>
      </c>
      <c r="N349" s="651">
        <v>6774.12</v>
      </c>
      <c r="O349" s="652">
        <f>SUM(C349:N349)</f>
        <v>95934.159999999989</v>
      </c>
    </row>
    <row r="350" spans="1:18" ht="15" customHeight="1" x14ac:dyDescent="0.2">
      <c r="A350" s="1153"/>
      <c r="B350" s="345"/>
      <c r="C350" s="345"/>
      <c r="D350" s="345"/>
      <c r="E350" s="345"/>
      <c r="F350" s="345"/>
      <c r="G350" s="345"/>
      <c r="H350" s="345"/>
      <c r="I350" s="345"/>
      <c r="J350" s="345"/>
      <c r="K350" s="345"/>
      <c r="L350" s="345"/>
      <c r="M350" s="345"/>
      <c r="N350" s="345"/>
      <c r="O350" s="345"/>
    </row>
    <row r="351" spans="1:18" ht="15" customHeight="1" x14ac:dyDescent="0.2">
      <c r="A351" s="1153"/>
      <c r="B351" s="345" t="s">
        <v>763</v>
      </c>
      <c r="C351" s="345"/>
      <c r="D351" s="345"/>
      <c r="E351" s="345"/>
      <c r="F351" s="345"/>
      <c r="G351" s="345"/>
      <c r="H351" s="345"/>
      <c r="I351" s="345"/>
      <c r="J351" s="345"/>
      <c r="K351" s="345"/>
      <c r="L351" s="345"/>
      <c r="M351" s="345"/>
      <c r="N351" s="345"/>
      <c r="O351" s="653"/>
    </row>
    <row r="352" spans="1:18" ht="15" customHeight="1" x14ac:dyDescent="0.2">
      <c r="A352" s="1153"/>
      <c r="B352" s="345" t="s">
        <v>800</v>
      </c>
      <c r="C352" s="647">
        <v>737823</v>
      </c>
      <c r="D352" s="647">
        <v>768831</v>
      </c>
      <c r="E352" s="647">
        <v>813568</v>
      </c>
      <c r="F352" s="647">
        <v>857088</v>
      </c>
      <c r="G352" s="647">
        <v>891595</v>
      </c>
      <c r="H352" s="647">
        <v>920592</v>
      </c>
      <c r="I352" s="647">
        <v>953834</v>
      </c>
      <c r="J352" s="647">
        <v>982581</v>
      </c>
      <c r="K352" s="647">
        <v>1013187</v>
      </c>
      <c r="L352" s="647">
        <v>1045293</v>
      </c>
      <c r="M352" s="647">
        <v>1066106</v>
      </c>
      <c r="N352" s="647">
        <v>1082486</v>
      </c>
      <c r="O352" s="654"/>
    </row>
    <row r="353" spans="1:15" ht="15" customHeight="1" x14ac:dyDescent="0.2">
      <c r="A353" s="1153"/>
      <c r="B353" s="345" t="s">
        <v>755</v>
      </c>
      <c r="C353" s="647">
        <v>708452</v>
      </c>
      <c r="D353" s="647">
        <v>737823</v>
      </c>
      <c r="E353" s="647">
        <v>768831</v>
      </c>
      <c r="F353" s="647">
        <v>813568</v>
      </c>
      <c r="G353" s="647">
        <v>857088</v>
      </c>
      <c r="H353" s="647">
        <v>891595</v>
      </c>
      <c r="I353" s="647">
        <v>920592</v>
      </c>
      <c r="J353" s="647">
        <v>953834</v>
      </c>
      <c r="K353" s="647">
        <v>982581</v>
      </c>
      <c r="L353" s="647">
        <v>1013187</v>
      </c>
      <c r="M353" s="647">
        <v>1045293</v>
      </c>
      <c r="N353" s="647">
        <v>1066106</v>
      </c>
      <c r="O353" s="655"/>
    </row>
    <row r="354" spans="1:15" ht="15" customHeight="1" x14ac:dyDescent="0.2">
      <c r="A354" s="1153"/>
      <c r="B354" s="345" t="s">
        <v>801</v>
      </c>
      <c r="C354" s="647">
        <v>29371</v>
      </c>
      <c r="D354" s="647">
        <v>31008</v>
      </c>
      <c r="E354" s="647">
        <v>44737</v>
      </c>
      <c r="F354" s="647">
        <v>43520</v>
      </c>
      <c r="G354" s="647">
        <v>34507</v>
      </c>
      <c r="H354" s="647">
        <v>28997</v>
      </c>
      <c r="I354" s="647">
        <v>33242</v>
      </c>
      <c r="J354" s="647">
        <v>28747</v>
      </c>
      <c r="K354" s="647">
        <v>30606</v>
      </c>
      <c r="L354" s="647">
        <v>32106</v>
      </c>
      <c r="M354" s="647">
        <v>20813</v>
      </c>
      <c r="N354" s="647">
        <v>16380</v>
      </c>
      <c r="O354" s="345"/>
    </row>
    <row r="355" spans="1:15" ht="15" customHeight="1" x14ac:dyDescent="0.2">
      <c r="A355" s="1153"/>
      <c r="B355" s="345" t="s">
        <v>802</v>
      </c>
      <c r="C355" s="647">
        <v>403760</v>
      </c>
      <c r="D355" s="647">
        <v>433073</v>
      </c>
      <c r="E355" s="647">
        <v>482013</v>
      </c>
      <c r="F355" s="647">
        <v>532290</v>
      </c>
      <c r="G355" s="647">
        <v>580666</v>
      </c>
      <c r="H355" s="647">
        <v>619482</v>
      </c>
      <c r="I355" s="647">
        <v>668825</v>
      </c>
      <c r="J355" s="647">
        <v>719012</v>
      </c>
      <c r="K355" s="647">
        <v>765656</v>
      </c>
      <c r="L355" s="647">
        <v>812123</v>
      </c>
      <c r="M355" s="647">
        <v>835739</v>
      </c>
      <c r="N355" s="647">
        <v>857459</v>
      </c>
      <c r="O355" s="345"/>
    </row>
    <row r="356" spans="1:15" ht="15" customHeight="1" x14ac:dyDescent="0.2">
      <c r="A356" s="1153"/>
      <c r="B356" s="345" t="s">
        <v>755</v>
      </c>
      <c r="C356" s="647">
        <v>373144</v>
      </c>
      <c r="D356" s="647">
        <v>403760</v>
      </c>
      <c r="E356" s="647">
        <v>433073</v>
      </c>
      <c r="F356" s="647">
        <v>482013</v>
      </c>
      <c r="G356" s="647">
        <v>532290</v>
      </c>
      <c r="H356" s="647">
        <v>580666</v>
      </c>
      <c r="I356" s="647">
        <v>619482</v>
      </c>
      <c r="J356" s="647">
        <v>668825</v>
      </c>
      <c r="K356" s="647">
        <v>719012</v>
      </c>
      <c r="L356" s="647">
        <v>765656</v>
      </c>
      <c r="M356" s="647">
        <v>812123</v>
      </c>
      <c r="N356" s="647">
        <v>835739</v>
      </c>
      <c r="O356" s="345"/>
    </row>
    <row r="357" spans="1:15" ht="15" customHeight="1" x14ac:dyDescent="0.2">
      <c r="A357" s="1153"/>
      <c r="B357" s="345" t="s">
        <v>801</v>
      </c>
      <c r="C357" s="647">
        <v>30616</v>
      </c>
      <c r="D357" s="647">
        <v>29313</v>
      </c>
      <c r="E357" s="647">
        <v>48940</v>
      </c>
      <c r="F357" s="647">
        <v>50277</v>
      </c>
      <c r="G357" s="647">
        <v>48376</v>
      </c>
      <c r="H357" s="647">
        <v>38816</v>
      </c>
      <c r="I357" s="647">
        <v>49343</v>
      </c>
      <c r="J357" s="647">
        <v>50187</v>
      </c>
      <c r="K357" s="647">
        <v>46644</v>
      </c>
      <c r="L357" s="647">
        <v>46467</v>
      </c>
      <c r="M357" s="647">
        <v>23616</v>
      </c>
      <c r="N357" s="647">
        <v>21720</v>
      </c>
      <c r="O357" s="651"/>
    </row>
    <row r="358" spans="1:15" ht="15" customHeight="1" x14ac:dyDescent="0.2">
      <c r="A358" s="1153"/>
      <c r="B358" s="345" t="s">
        <v>803</v>
      </c>
      <c r="C358" s="647">
        <v>59987</v>
      </c>
      <c r="D358" s="647">
        <v>60321</v>
      </c>
      <c r="E358" s="647">
        <v>93677</v>
      </c>
      <c r="F358" s="647">
        <v>93797</v>
      </c>
      <c r="G358" s="647">
        <v>82883</v>
      </c>
      <c r="H358" s="647">
        <v>67813</v>
      </c>
      <c r="I358" s="647">
        <v>82585</v>
      </c>
      <c r="J358" s="647">
        <v>78934</v>
      </c>
      <c r="K358" s="647">
        <v>77250</v>
      </c>
      <c r="L358" s="647">
        <v>78573</v>
      </c>
      <c r="M358" s="647">
        <v>44429</v>
      </c>
      <c r="N358" s="647">
        <v>38100</v>
      </c>
      <c r="O358" s="656">
        <f>SUM(C358:N358)</f>
        <v>858349</v>
      </c>
    </row>
    <row r="359" spans="1:15" ht="15" customHeight="1" x14ac:dyDescent="0.2">
      <c r="A359" s="1153"/>
      <c r="B359" s="345" t="s">
        <v>765</v>
      </c>
      <c r="C359" s="636">
        <v>3.8999999999999998E-3</v>
      </c>
      <c r="D359" s="636">
        <v>3.8999999999999998E-3</v>
      </c>
      <c r="E359" s="636">
        <v>3.8999999999999998E-3</v>
      </c>
      <c r="F359" s="636">
        <v>3.8999999999999998E-3</v>
      </c>
      <c r="G359" s="636">
        <v>3.8999999999999998E-3</v>
      </c>
      <c r="H359" s="636">
        <v>3.8999999999999998E-3</v>
      </c>
      <c r="I359" s="636">
        <v>3.8999999999999998E-3</v>
      </c>
      <c r="J359" s="636">
        <v>4.0000000000000001E-3</v>
      </c>
      <c r="K359" s="636">
        <v>4.0000000000000001E-3</v>
      </c>
      <c r="L359" s="636">
        <v>4.1000000000000003E-3</v>
      </c>
      <c r="M359" s="636">
        <v>4.1000000000000003E-3</v>
      </c>
      <c r="N359" s="636">
        <v>4.0000000000000001E-3</v>
      </c>
      <c r="O359" s="657">
        <f>ROUND(+O360/O358,4)</f>
        <v>4.0000000000000001E-3</v>
      </c>
    </row>
    <row r="360" spans="1:15" ht="15" customHeight="1" x14ac:dyDescent="0.2">
      <c r="A360" s="1153"/>
      <c r="B360" s="345" t="s">
        <v>759</v>
      </c>
      <c r="C360" s="651">
        <v>233.95</v>
      </c>
      <c r="D360" s="651">
        <v>235.25</v>
      </c>
      <c r="E360" s="651">
        <v>365.34</v>
      </c>
      <c r="F360" s="651">
        <v>365.81</v>
      </c>
      <c r="G360" s="651">
        <v>323.24</v>
      </c>
      <c r="H360" s="651">
        <v>264.47000000000003</v>
      </c>
      <c r="I360" s="651">
        <v>322.08</v>
      </c>
      <c r="J360" s="651">
        <v>315.74</v>
      </c>
      <c r="K360" s="651">
        <v>309</v>
      </c>
      <c r="L360" s="651">
        <v>322.14999999999998</v>
      </c>
      <c r="M360" s="651">
        <v>182.16</v>
      </c>
      <c r="N360" s="651">
        <v>152.4</v>
      </c>
      <c r="O360" s="652">
        <f>SUM(C360:N360)</f>
        <v>3391.59</v>
      </c>
    </row>
    <row r="361" spans="1:15" ht="15" customHeight="1" x14ac:dyDescent="0.2">
      <c r="A361" s="1153"/>
      <c r="B361" s="345"/>
      <c r="C361" s="658"/>
      <c r="D361" s="658"/>
      <c r="E361" s="658"/>
      <c r="F361" s="658"/>
      <c r="G361" s="658"/>
      <c r="H361" s="658"/>
      <c r="I361" s="658"/>
      <c r="J361" s="658"/>
      <c r="K361" s="658"/>
      <c r="L361" s="658"/>
      <c r="M361" s="658"/>
      <c r="N361" s="658"/>
      <c r="O361" s="656"/>
    </row>
    <row r="362" spans="1:15" ht="15" customHeight="1" x14ac:dyDescent="0.2">
      <c r="A362" s="1153"/>
      <c r="B362" s="345" t="s">
        <v>766</v>
      </c>
      <c r="C362" s="345"/>
      <c r="D362" s="345"/>
      <c r="E362" s="345"/>
      <c r="F362" s="345"/>
      <c r="G362" s="345"/>
      <c r="H362" s="345"/>
      <c r="I362" s="345"/>
      <c r="J362" s="345"/>
      <c r="K362" s="345"/>
      <c r="L362" s="345"/>
      <c r="M362" s="345"/>
      <c r="N362" s="345"/>
      <c r="O362" s="650"/>
    </row>
    <row r="363" spans="1:15" ht="15" customHeight="1" x14ac:dyDescent="0.2">
      <c r="A363" s="1153"/>
      <c r="B363" s="345" t="s">
        <v>765</v>
      </c>
      <c r="C363" s="636">
        <v>5.0000000000000001E-3</v>
      </c>
      <c r="D363" s="636">
        <v>5.4000000000000003E-3</v>
      </c>
      <c r="E363" s="636">
        <v>5.4000000000000003E-3</v>
      </c>
      <c r="F363" s="636">
        <v>5.3E-3</v>
      </c>
      <c r="G363" s="636">
        <v>5.3E-3</v>
      </c>
      <c r="H363" s="636">
        <v>5.7000000000000002E-3</v>
      </c>
      <c r="I363" s="636">
        <v>5.7000000000000002E-3</v>
      </c>
      <c r="J363" s="636">
        <v>4.5999999999999999E-3</v>
      </c>
      <c r="K363" s="636">
        <v>4.5999999999999999E-3</v>
      </c>
      <c r="L363" s="636">
        <v>6.3E-3</v>
      </c>
      <c r="M363" s="636">
        <v>6.3E-3</v>
      </c>
      <c r="N363" s="636">
        <v>4.1999999999999997E-3</v>
      </c>
      <c r="O363" s="659">
        <f>ROUND(O364/O358,4)</f>
        <v>5.3E-3</v>
      </c>
    </row>
    <row r="364" spans="1:15" ht="15" customHeight="1" x14ac:dyDescent="0.2">
      <c r="A364" s="1153"/>
      <c r="B364" s="345" t="s">
        <v>759</v>
      </c>
      <c r="C364" s="651">
        <v>299.94</v>
      </c>
      <c r="D364" s="651">
        <v>325.73</v>
      </c>
      <c r="E364" s="651">
        <v>505.86</v>
      </c>
      <c r="F364" s="651">
        <v>497.12</v>
      </c>
      <c r="G364" s="651">
        <v>439.28</v>
      </c>
      <c r="H364" s="651">
        <v>386.53</v>
      </c>
      <c r="I364" s="651">
        <v>470.73</v>
      </c>
      <c r="J364" s="651">
        <v>363.1</v>
      </c>
      <c r="K364" s="651">
        <v>355.35</v>
      </c>
      <c r="L364" s="651">
        <v>495.01</v>
      </c>
      <c r="M364" s="651">
        <v>279.89999999999998</v>
      </c>
      <c r="N364" s="651">
        <v>160.02000000000001</v>
      </c>
      <c r="O364" s="660">
        <f>SUM(C364:N364)</f>
        <v>4578.57</v>
      </c>
    </row>
    <row r="365" spans="1:15" ht="15" customHeight="1" x14ac:dyDescent="0.2">
      <c r="A365" s="1153"/>
      <c r="B365" s="345"/>
      <c r="C365" s="651"/>
      <c r="D365" s="651"/>
      <c r="E365" s="651"/>
      <c r="F365" s="651"/>
      <c r="G365" s="651"/>
      <c r="H365" s="651"/>
      <c r="I365" s="651"/>
      <c r="J365" s="651"/>
      <c r="K365" s="651"/>
      <c r="L365" s="651"/>
      <c r="M365" s="651"/>
      <c r="N365" s="651"/>
      <c r="O365" s="661"/>
    </row>
    <row r="366" spans="1:15" ht="15" customHeight="1" x14ac:dyDescent="0.2">
      <c r="A366" s="1153"/>
      <c r="B366" s="345"/>
      <c r="C366" s="651"/>
      <c r="D366" s="651"/>
      <c r="E366" s="651"/>
      <c r="F366" s="651"/>
      <c r="G366" s="651"/>
      <c r="H366" s="651"/>
      <c r="I366" s="651"/>
      <c r="J366" s="651"/>
      <c r="K366" s="651"/>
      <c r="L366" s="651"/>
      <c r="M366" s="651"/>
      <c r="N366" s="651"/>
      <c r="O366" s="661"/>
    </row>
    <row r="367" spans="1:15" ht="15" customHeight="1" x14ac:dyDescent="0.2">
      <c r="A367" s="1153"/>
      <c r="B367" s="345" t="s">
        <v>1191</v>
      </c>
      <c r="C367" s="1252">
        <v>185760.63749999975</v>
      </c>
      <c r="D367" s="1252">
        <v>182846.58750000005</v>
      </c>
      <c r="E367" s="1252">
        <v>177215.62500000055</v>
      </c>
      <c r="F367" s="1252">
        <v>195564.5624999998</v>
      </c>
      <c r="G367" s="1252">
        <v>353043.6249999993</v>
      </c>
      <c r="H367" s="1252">
        <v>353908.83749999915</v>
      </c>
      <c r="I367" s="1252">
        <v>422476.13750000054</v>
      </c>
      <c r="J367" s="1252">
        <v>495615.66249999945</v>
      </c>
      <c r="K367" s="1252">
        <v>317742.16249999881</v>
      </c>
      <c r="L367" s="1252">
        <v>195338.19999999998</v>
      </c>
      <c r="M367" s="1252">
        <v>202179.68750000035</v>
      </c>
      <c r="N367" s="1252">
        <v>187366.97500000003</v>
      </c>
      <c r="O367" s="660">
        <f>SUM(C367:N367)</f>
        <v>3269058.6999999983</v>
      </c>
    </row>
    <row r="368" spans="1:15" ht="15" customHeight="1" x14ac:dyDescent="0.2">
      <c r="A368" s="1153"/>
      <c r="B368" s="345" t="s">
        <v>1192</v>
      </c>
      <c r="C368" s="673">
        <v>1991.48</v>
      </c>
      <c r="D368" s="673">
        <v>1230.58</v>
      </c>
      <c r="E368" s="673">
        <v>1424.64</v>
      </c>
      <c r="F368" s="673">
        <v>1651.44</v>
      </c>
      <c r="G368" s="673">
        <v>2368.8000000000002</v>
      </c>
      <c r="H368" s="673">
        <v>3424.12</v>
      </c>
      <c r="I368" s="673">
        <v>2639.52</v>
      </c>
      <c r="J368" s="673">
        <v>1759.68</v>
      </c>
      <c r="K368" s="673">
        <v>2454.0500000000002</v>
      </c>
      <c r="L368" s="673">
        <v>1963.63</v>
      </c>
      <c r="M368" s="673">
        <v>1263.33</v>
      </c>
      <c r="N368" s="673">
        <v>1306.98</v>
      </c>
      <c r="O368" s="660">
        <f>SUM(C368:N368)</f>
        <v>23478.249999999996</v>
      </c>
    </row>
    <row r="369" spans="1:15" ht="15" customHeight="1" x14ac:dyDescent="0.2">
      <c r="A369" s="1153"/>
      <c r="B369" s="345"/>
      <c r="C369" s="673"/>
      <c r="D369" s="673"/>
      <c r="E369" s="673"/>
      <c r="F369" s="673"/>
      <c r="G369" s="673"/>
      <c r="H369" s="673"/>
      <c r="I369" s="673"/>
      <c r="J369" s="673"/>
      <c r="K369" s="673"/>
      <c r="L369" s="673"/>
      <c r="M369" s="673"/>
      <c r="N369" s="673"/>
      <c r="O369" s="660"/>
    </row>
    <row r="370" spans="1:15" ht="15" customHeight="1" x14ac:dyDescent="0.2">
      <c r="A370" s="1153"/>
      <c r="B370" s="345" t="s">
        <v>1193</v>
      </c>
      <c r="C370" s="1252">
        <v>184925.65000000023</v>
      </c>
      <c r="D370" s="1252">
        <v>187610.71458333361</v>
      </c>
      <c r="E370" s="1252">
        <v>161643.91562500002</v>
      </c>
      <c r="F370" s="1252">
        <v>92603.63125000018</v>
      </c>
      <c r="G370" s="1252">
        <v>42747.975000000028</v>
      </c>
      <c r="H370" s="1252">
        <v>24144.979166666682</v>
      </c>
      <c r="I370" s="1252">
        <v>20962.698958333291</v>
      </c>
      <c r="J370" s="1252">
        <v>9090.1406250000182</v>
      </c>
      <c r="K370" s="1252">
        <v>41390.976041666756</v>
      </c>
      <c r="L370" s="1252">
        <v>73507.148958333259</v>
      </c>
      <c r="M370" s="1252">
        <v>122285.9531249999</v>
      </c>
      <c r="N370" s="1252">
        <v>189833.17187500009</v>
      </c>
      <c r="O370" s="660">
        <f>SUM(C370:N370)</f>
        <v>1150746.9552083339</v>
      </c>
    </row>
    <row r="371" spans="1:15" ht="15" customHeight="1" x14ac:dyDescent="0.2">
      <c r="A371" s="1153"/>
      <c r="B371" s="345" t="s">
        <v>1192</v>
      </c>
      <c r="C371" s="651">
        <v>16199.1</v>
      </c>
      <c r="D371" s="651">
        <v>12131.34</v>
      </c>
      <c r="E371" s="651">
        <v>11104.35</v>
      </c>
      <c r="F371" s="651">
        <v>7007.04</v>
      </c>
      <c r="G371" s="651">
        <v>3332.0299999999997</v>
      </c>
      <c r="H371" s="651">
        <v>3691.6</v>
      </c>
      <c r="I371" s="651">
        <v>1790.24</v>
      </c>
      <c r="J371" s="651">
        <v>1136.79</v>
      </c>
      <c r="K371" s="651">
        <v>4071.71</v>
      </c>
      <c r="L371" s="651">
        <v>7374.5099999999993</v>
      </c>
      <c r="M371" s="651">
        <v>8692.64</v>
      </c>
      <c r="N371" s="651">
        <v>10220.77</v>
      </c>
      <c r="O371" s="660">
        <f>SUM(C371:N371)</f>
        <v>86752.12</v>
      </c>
    </row>
    <row r="372" spans="1:15" ht="15" customHeight="1" x14ac:dyDescent="0.2">
      <c r="A372" s="1153"/>
      <c r="B372" s="345"/>
      <c r="C372" s="651"/>
      <c r="D372" s="651"/>
      <c r="E372" s="651"/>
      <c r="F372" s="651"/>
      <c r="G372" s="651"/>
      <c r="H372" s="651"/>
      <c r="I372" s="651"/>
      <c r="J372" s="651"/>
      <c r="K372" s="651"/>
      <c r="L372" s="651"/>
      <c r="M372" s="651"/>
      <c r="N372" s="651"/>
      <c r="O372" s="628"/>
    </row>
    <row r="373" spans="1:15" ht="15" customHeight="1" x14ac:dyDescent="0.2">
      <c r="A373" s="1153"/>
      <c r="B373" s="345"/>
      <c r="C373" s="651"/>
      <c r="D373" s="651"/>
      <c r="E373" s="651"/>
      <c r="F373" s="651"/>
      <c r="G373" s="651"/>
      <c r="H373" s="651"/>
      <c r="I373" s="651"/>
      <c r="J373" s="651"/>
      <c r="K373" s="651"/>
      <c r="L373" s="651"/>
      <c r="M373" s="651"/>
      <c r="N373" s="651"/>
      <c r="O373" s="628"/>
    </row>
    <row r="374" spans="1:15" ht="15" customHeight="1" x14ac:dyDescent="0.2">
      <c r="A374" s="1153"/>
      <c r="B374" s="345" t="s">
        <v>767</v>
      </c>
      <c r="C374" s="651"/>
      <c r="D374" s="651"/>
      <c r="E374" s="651"/>
      <c r="F374" s="651"/>
      <c r="G374" s="651"/>
      <c r="H374" s="651"/>
      <c r="I374" s="651"/>
      <c r="J374" s="651"/>
      <c r="K374" s="651"/>
      <c r="L374" s="651"/>
      <c r="M374" s="651"/>
      <c r="N374" s="651"/>
      <c r="O374" s="628"/>
    </row>
    <row r="375" spans="1:15" ht="15" customHeight="1" x14ac:dyDescent="0.2">
      <c r="A375" s="1153"/>
      <c r="B375" s="345" t="s">
        <v>804</v>
      </c>
      <c r="C375" s="637">
        <v>0</v>
      </c>
      <c r="D375" s="637">
        <v>0</v>
      </c>
      <c r="E375" s="637">
        <v>0</v>
      </c>
      <c r="F375" s="637">
        <v>0</v>
      </c>
      <c r="G375" s="637">
        <v>0</v>
      </c>
      <c r="H375" s="637">
        <v>0</v>
      </c>
      <c r="I375" s="637">
        <v>0</v>
      </c>
      <c r="J375" s="637">
        <v>0</v>
      </c>
      <c r="K375" s="635">
        <v>0</v>
      </c>
      <c r="L375" s="637">
        <v>0</v>
      </c>
      <c r="M375" s="637">
        <v>0</v>
      </c>
      <c r="N375" s="637">
        <v>0</v>
      </c>
      <c r="O375" s="660">
        <f>SUM(C375:N375)</f>
        <v>0</v>
      </c>
    </row>
    <row r="376" spans="1:15" ht="15" customHeight="1" x14ac:dyDescent="0.2">
      <c r="A376" s="1153"/>
      <c r="B376" s="345" t="s">
        <v>759</v>
      </c>
      <c r="C376" s="635">
        <v>0</v>
      </c>
      <c r="D376" s="635">
        <v>0</v>
      </c>
      <c r="E376" s="635">
        <v>0</v>
      </c>
      <c r="F376" s="635">
        <v>0</v>
      </c>
      <c r="G376" s="635">
        <v>0</v>
      </c>
      <c r="H376" s="635">
        <v>0</v>
      </c>
      <c r="I376" s="635">
        <v>0</v>
      </c>
      <c r="J376" s="635">
        <v>0</v>
      </c>
      <c r="K376" s="635">
        <v>0</v>
      </c>
      <c r="L376" s="635">
        <v>0</v>
      </c>
      <c r="M376" s="635">
        <v>0</v>
      </c>
      <c r="N376" s="635">
        <v>0</v>
      </c>
      <c r="O376" s="660">
        <f>SUM(C376:N376)</f>
        <v>0</v>
      </c>
    </row>
    <row r="377" spans="1:15" ht="15" customHeight="1" x14ac:dyDescent="0.2">
      <c r="A377" s="1153"/>
      <c r="B377" s="345"/>
      <c r="C377" s="651"/>
      <c r="D377" s="651"/>
      <c r="E377" s="651"/>
      <c r="F377" s="651"/>
      <c r="G377" s="651"/>
      <c r="H377" s="651"/>
      <c r="I377" s="651"/>
      <c r="J377" s="651"/>
      <c r="K377" s="651"/>
      <c r="L377" s="651"/>
      <c r="M377" s="651"/>
      <c r="N377" s="651"/>
      <c r="O377" s="628"/>
    </row>
    <row r="378" spans="1:15" ht="15" customHeight="1" x14ac:dyDescent="0.2">
      <c r="A378" s="1153"/>
      <c r="B378" s="345" t="s">
        <v>805</v>
      </c>
      <c r="C378" s="653" t="s">
        <v>769</v>
      </c>
      <c r="D378" s="653" t="s">
        <v>769</v>
      </c>
      <c r="E378" s="653" t="s">
        <v>769</v>
      </c>
      <c r="F378" s="653" t="s">
        <v>769</v>
      </c>
      <c r="G378" s="653" t="s">
        <v>769</v>
      </c>
      <c r="H378" s="653" t="s">
        <v>769</v>
      </c>
      <c r="I378" s="653" t="s">
        <v>769</v>
      </c>
      <c r="J378" s="653" t="s">
        <v>769</v>
      </c>
      <c r="K378" s="653" t="s">
        <v>769</v>
      </c>
      <c r="L378" s="653" t="s">
        <v>769</v>
      </c>
      <c r="M378" s="653" t="s">
        <v>769</v>
      </c>
      <c r="N378" s="653" t="s">
        <v>769</v>
      </c>
      <c r="O378" s="653" t="s">
        <v>769</v>
      </c>
    </row>
    <row r="379" spans="1:15" ht="15" customHeight="1" x14ac:dyDescent="0.2">
      <c r="A379" s="1153"/>
      <c r="B379" s="345" t="s">
        <v>775</v>
      </c>
      <c r="C379" s="651">
        <v>8924.19</v>
      </c>
      <c r="D379" s="651">
        <v>6942.43</v>
      </c>
      <c r="E379" s="651">
        <v>8412.94</v>
      </c>
      <c r="F379" s="651">
        <v>8838.7300000000014</v>
      </c>
      <c r="G379" s="651">
        <v>9110.44</v>
      </c>
      <c r="H379" s="651">
        <v>10084.73</v>
      </c>
      <c r="I379" s="651">
        <v>11034.539999999999</v>
      </c>
      <c r="J379" s="651">
        <v>9500.68</v>
      </c>
      <c r="K379" s="651">
        <v>8630.2100000000009</v>
      </c>
      <c r="L379" s="651">
        <v>8785.7000000000007</v>
      </c>
      <c r="M379" s="651">
        <v>6553.19</v>
      </c>
      <c r="N379" s="651">
        <f>SUM(C379:M379,N371,N368,N364,N360,N349)</f>
        <v>115432.07</v>
      </c>
      <c r="O379" s="660">
        <f>SUM(C379:N379)</f>
        <v>212249.85000000003</v>
      </c>
    </row>
    <row r="380" spans="1:15" ht="15" customHeight="1" x14ac:dyDescent="0.2">
      <c r="A380" s="1153"/>
      <c r="B380" s="345"/>
      <c r="C380" s="653" t="s">
        <v>776</v>
      </c>
      <c r="D380" s="653" t="s">
        <v>776</v>
      </c>
      <c r="E380" s="653" t="s">
        <v>776</v>
      </c>
      <c r="F380" s="653" t="s">
        <v>776</v>
      </c>
      <c r="G380" s="653" t="s">
        <v>776</v>
      </c>
      <c r="H380" s="653" t="s">
        <v>776</v>
      </c>
      <c r="I380" s="653" t="s">
        <v>776</v>
      </c>
      <c r="J380" s="653" t="s">
        <v>776</v>
      </c>
      <c r="K380" s="653" t="s">
        <v>776</v>
      </c>
      <c r="L380" s="653" t="s">
        <v>776</v>
      </c>
      <c r="M380" s="653" t="s">
        <v>776</v>
      </c>
      <c r="N380" s="653" t="s">
        <v>776</v>
      </c>
      <c r="O380" s="653" t="s">
        <v>776</v>
      </c>
    </row>
    <row r="381" spans="1:15" ht="15" customHeight="1" x14ac:dyDescent="0.2">
      <c r="A381" s="1153"/>
      <c r="B381" s="345"/>
      <c r="C381" s="345"/>
      <c r="D381" s="345"/>
      <c r="E381" s="345"/>
      <c r="F381" s="345"/>
      <c r="G381" s="345"/>
      <c r="H381" s="345"/>
      <c r="I381" s="345"/>
      <c r="J381" s="345"/>
      <c r="K381" s="345"/>
      <c r="L381" s="345"/>
      <c r="M381" s="345"/>
      <c r="N381" s="345"/>
      <c r="O381" s="628"/>
    </row>
    <row r="382" spans="1:15" ht="15" customHeight="1" x14ac:dyDescent="0.2">
      <c r="A382" s="1153"/>
      <c r="B382" s="345" t="s">
        <v>777</v>
      </c>
      <c r="C382" s="345">
        <v>98.65</v>
      </c>
      <c r="D382" s="345">
        <v>118.38</v>
      </c>
      <c r="E382" s="345">
        <v>177.57</v>
      </c>
      <c r="F382" s="345">
        <v>177.57</v>
      </c>
      <c r="G382" s="345">
        <v>157.84</v>
      </c>
      <c r="H382" s="345">
        <v>138.11000000000001</v>
      </c>
      <c r="I382" s="345">
        <v>157.84</v>
      </c>
      <c r="J382" s="345">
        <v>157.84</v>
      </c>
      <c r="K382" s="345">
        <v>177.57</v>
      </c>
      <c r="L382" s="345">
        <v>177.57</v>
      </c>
      <c r="M382" s="345">
        <v>118.38</v>
      </c>
      <c r="N382" s="345">
        <v>78.92</v>
      </c>
      <c r="O382" s="660">
        <f>SUM(C382:N382)</f>
        <v>1736.2399999999998</v>
      </c>
    </row>
    <row r="383" spans="1:15" ht="15" customHeight="1" x14ac:dyDescent="0.2">
      <c r="A383" s="1153"/>
      <c r="B383" s="345"/>
      <c r="C383" s="651"/>
      <c r="D383" s="651"/>
      <c r="E383" s="651"/>
      <c r="F383" s="651"/>
      <c r="G383" s="651"/>
      <c r="H383" s="651"/>
      <c r="I383" s="651"/>
      <c r="J383" s="651"/>
      <c r="K383" s="651"/>
      <c r="L383" s="651"/>
      <c r="M383" s="651"/>
      <c r="N383" s="651"/>
      <c r="O383" s="628"/>
    </row>
    <row r="384" spans="1:15" ht="15" customHeight="1" x14ac:dyDescent="0.2">
      <c r="A384" s="1153"/>
      <c r="B384" s="345"/>
      <c r="C384" s="651"/>
      <c r="D384" s="651"/>
      <c r="E384" s="651"/>
      <c r="F384" s="651"/>
      <c r="G384" s="651"/>
      <c r="H384" s="651"/>
      <c r="I384" s="651"/>
      <c r="J384" s="651"/>
      <c r="K384" s="651"/>
      <c r="L384" s="651"/>
      <c r="M384" s="651"/>
      <c r="N384" s="651"/>
      <c r="O384" s="628"/>
    </row>
    <row r="385" spans="1:15" ht="15" customHeight="1" x14ac:dyDescent="0.2">
      <c r="A385" s="1153"/>
      <c r="B385" s="345" t="s">
        <v>1194</v>
      </c>
      <c r="C385" s="345" t="s">
        <v>1195</v>
      </c>
      <c r="D385" s="664"/>
      <c r="E385" s="345" t="s">
        <v>1196</v>
      </c>
      <c r="F385" s="664"/>
      <c r="G385" s="345" t="s">
        <v>1197</v>
      </c>
      <c r="H385" s="664"/>
      <c r="I385" s="345" t="s">
        <v>1198</v>
      </c>
      <c r="J385" s="664"/>
      <c r="K385" s="345" t="s">
        <v>1199</v>
      </c>
      <c r="L385" s="664"/>
      <c r="M385" s="664"/>
      <c r="N385" s="664"/>
      <c r="O385" s="345"/>
    </row>
    <row r="386" spans="1:15" ht="15" customHeight="1" x14ac:dyDescent="0.2">
      <c r="A386" s="1153"/>
      <c r="B386" s="345" t="s">
        <v>1200</v>
      </c>
      <c r="C386" s="345" t="s">
        <v>1201</v>
      </c>
      <c r="D386" s="651"/>
      <c r="E386" s="345" t="s">
        <v>1202</v>
      </c>
      <c r="F386" s="651"/>
      <c r="G386" s="345" t="s">
        <v>1203</v>
      </c>
      <c r="H386" s="651"/>
      <c r="I386" s="345" t="s">
        <v>1204</v>
      </c>
      <c r="J386" s="651"/>
      <c r="K386" s="345" t="s">
        <v>1205</v>
      </c>
      <c r="L386" s="651"/>
      <c r="M386" s="651"/>
      <c r="N386" s="651"/>
      <c r="O386" s="345"/>
    </row>
    <row r="387" spans="1:15" ht="15" customHeight="1" x14ac:dyDescent="0.2">
      <c r="A387" s="1153"/>
      <c r="B387" s="993"/>
      <c r="C387" s="993"/>
      <c r="D387" s="993"/>
      <c r="E387" s="993"/>
      <c r="F387" s="993"/>
      <c r="G387" s="993"/>
      <c r="H387" s="993"/>
      <c r="I387" s="993"/>
      <c r="J387" s="993"/>
      <c r="K387" s="993"/>
      <c r="L387" s="993"/>
      <c r="M387" s="993"/>
      <c r="N387" s="993"/>
      <c r="O387" s="993"/>
    </row>
    <row r="388" spans="1:15" ht="15" customHeight="1" x14ac:dyDescent="0.2">
      <c r="A388" s="1153">
        <v>27</v>
      </c>
      <c r="B388" s="207" t="s">
        <v>568</v>
      </c>
      <c r="C388" s="993"/>
      <c r="D388" s="993"/>
      <c r="E388" s="993"/>
      <c r="F388" s="993"/>
      <c r="G388" s="993"/>
      <c r="H388" s="993"/>
      <c r="I388" s="993"/>
      <c r="J388" s="993"/>
      <c r="K388" s="993"/>
      <c r="L388" s="993"/>
      <c r="M388" s="993"/>
      <c r="N388" s="993"/>
      <c r="O388" s="993"/>
    </row>
    <row r="389" spans="1:15" ht="15" customHeight="1" x14ac:dyDescent="0.2">
      <c r="A389" s="1153"/>
      <c r="B389" s="993"/>
      <c r="C389" s="993"/>
      <c r="D389" s="993"/>
      <c r="E389" s="993"/>
      <c r="F389" s="993"/>
      <c r="G389" s="993"/>
      <c r="H389" s="993"/>
      <c r="I389" s="993"/>
      <c r="J389" s="993"/>
      <c r="K389" s="993"/>
      <c r="L389" s="993"/>
      <c r="M389" s="993"/>
      <c r="N389" s="993"/>
      <c r="O389" s="993"/>
    </row>
    <row r="390" spans="1:15" ht="15" customHeight="1" x14ac:dyDescent="0.2">
      <c r="A390" s="1153">
        <v>28</v>
      </c>
      <c r="B390" s="666" t="s">
        <v>1084</v>
      </c>
    </row>
    <row r="391" spans="1:15" ht="15" customHeight="1" x14ac:dyDescent="0.2">
      <c r="A391" s="1153"/>
      <c r="B391" s="130" t="s">
        <v>337</v>
      </c>
      <c r="C391" s="131">
        <v>41821</v>
      </c>
      <c r="D391" s="131">
        <v>41852</v>
      </c>
      <c r="E391" s="131">
        <v>41883</v>
      </c>
      <c r="F391" s="131">
        <v>41913</v>
      </c>
      <c r="G391" s="131">
        <v>41944</v>
      </c>
      <c r="H391" s="131">
        <v>41974</v>
      </c>
      <c r="I391" s="131">
        <v>42005</v>
      </c>
      <c r="J391" s="131">
        <v>42036</v>
      </c>
      <c r="K391" s="131">
        <v>42064</v>
      </c>
      <c r="L391" s="131">
        <v>42095</v>
      </c>
      <c r="M391" s="131">
        <v>42125</v>
      </c>
      <c r="N391" s="131">
        <v>42156</v>
      </c>
      <c r="O391" s="131">
        <v>42186</v>
      </c>
    </row>
    <row r="392" spans="1:15" ht="15" customHeight="1" x14ac:dyDescent="0.2">
      <c r="A392" s="1153"/>
      <c r="B392" s="135" t="s">
        <v>319</v>
      </c>
      <c r="C392" s="136">
        <v>190224.69</v>
      </c>
      <c r="D392" s="136">
        <v>191998.96</v>
      </c>
      <c r="E392" s="136">
        <v>188596.37</v>
      </c>
      <c r="F392" s="136">
        <v>199761.09</v>
      </c>
      <c r="G392" s="136">
        <v>187643.35</v>
      </c>
      <c r="H392" s="136">
        <v>182052.4</v>
      </c>
      <c r="I392" s="136">
        <v>193078.83</v>
      </c>
      <c r="J392" s="136">
        <v>174839.47</v>
      </c>
      <c r="K392" s="136">
        <v>188608.53</v>
      </c>
      <c r="L392" s="136">
        <v>184840.94</v>
      </c>
      <c r="M392" s="136">
        <v>192226.79</v>
      </c>
      <c r="N392" s="136">
        <v>190063.41</v>
      </c>
      <c r="O392" s="136">
        <v>195786.52</v>
      </c>
    </row>
    <row r="393" spans="1:15" ht="15" customHeight="1" x14ac:dyDescent="0.2">
      <c r="A393" s="1153"/>
      <c r="B393" s="135" t="s">
        <v>343</v>
      </c>
      <c r="C393" s="136"/>
      <c r="D393" s="136"/>
      <c r="E393" s="137"/>
      <c r="F393" s="137"/>
      <c r="G393" s="137"/>
      <c r="H393" s="136"/>
      <c r="I393" s="136"/>
      <c r="J393" s="136"/>
      <c r="K393" s="136"/>
      <c r="L393" s="136"/>
      <c r="M393" s="136"/>
      <c r="N393" s="136"/>
      <c r="O393" s="136"/>
    </row>
    <row r="394" spans="1:15" ht="15" customHeight="1" x14ac:dyDescent="0.2">
      <c r="A394" s="1153"/>
      <c r="B394" s="153" t="s">
        <v>1085</v>
      </c>
      <c r="C394" s="136">
        <v>114762</v>
      </c>
      <c r="D394" s="136">
        <v>107728</v>
      </c>
      <c r="E394" s="141">
        <v>102847</v>
      </c>
      <c r="F394" s="141">
        <v>80668</v>
      </c>
      <c r="G394" s="141">
        <v>23516</v>
      </c>
      <c r="H394" s="141">
        <v>22610</v>
      </c>
      <c r="I394" s="141">
        <v>19803</v>
      </c>
      <c r="J394" s="141">
        <v>15782</v>
      </c>
      <c r="K394" s="141">
        <v>28793</v>
      </c>
      <c r="L394" s="141">
        <v>54040</v>
      </c>
      <c r="M394" s="141">
        <v>81870</v>
      </c>
      <c r="N394" s="141">
        <v>115647</v>
      </c>
      <c r="O394" s="141"/>
    </row>
    <row r="395" spans="1:15" ht="15" customHeight="1" x14ac:dyDescent="0.2">
      <c r="A395" s="1153"/>
      <c r="B395" s="153" t="s">
        <v>641</v>
      </c>
      <c r="C395" s="136">
        <v>77.025999999999996</v>
      </c>
      <c r="D395" s="136">
        <v>0</v>
      </c>
      <c r="E395" s="141">
        <v>140.65600000000001</v>
      </c>
      <c r="F395" s="141">
        <v>226.952</v>
      </c>
      <c r="G395" s="141">
        <v>48.165999999999997</v>
      </c>
      <c r="H395" s="141">
        <v>364.77800000000002</v>
      </c>
      <c r="I395" s="141">
        <v>1599.2370000000001</v>
      </c>
      <c r="J395" s="141">
        <v>661.08100000000002</v>
      </c>
      <c r="K395" s="141">
        <v>274.46300000000002</v>
      </c>
      <c r="L395" s="141">
        <v>189.666</v>
      </c>
      <c r="M395" s="141">
        <v>1.835</v>
      </c>
      <c r="N395" s="141">
        <v>60.305999999999997</v>
      </c>
      <c r="O395" s="141">
        <v>52.323</v>
      </c>
    </row>
    <row r="396" spans="1:15" ht="15" customHeight="1" x14ac:dyDescent="0.2">
      <c r="A396" s="1153"/>
      <c r="B396" s="153" t="s">
        <v>1086</v>
      </c>
      <c r="C396" s="136">
        <v>45222</v>
      </c>
      <c r="D396" s="136">
        <v>51661</v>
      </c>
      <c r="E396" s="141">
        <v>62621</v>
      </c>
      <c r="F396" s="141">
        <v>134085</v>
      </c>
      <c r="G396" s="141">
        <v>253880</v>
      </c>
      <c r="H396" s="141">
        <v>186640</v>
      </c>
      <c r="I396" s="141">
        <v>326266</v>
      </c>
      <c r="J396" s="141">
        <v>492071</v>
      </c>
      <c r="K396" s="141">
        <v>177387</v>
      </c>
      <c r="L396" s="141">
        <v>11663</v>
      </c>
      <c r="M396" s="141">
        <v>91807</v>
      </c>
      <c r="N396" s="141">
        <v>60670</v>
      </c>
      <c r="O396" s="141"/>
    </row>
    <row r="397" spans="1:15" ht="15" customHeight="1" x14ac:dyDescent="0.2">
      <c r="A397" s="1153"/>
      <c r="B397" s="135" t="s">
        <v>864</v>
      </c>
      <c r="C397" s="136"/>
      <c r="D397" s="136"/>
      <c r="E397" s="760"/>
      <c r="F397" s="760"/>
      <c r="G397" s="760"/>
      <c r="H397" s="760"/>
      <c r="I397" s="760"/>
      <c r="J397" s="750"/>
      <c r="K397" s="750"/>
      <c r="L397" s="750"/>
      <c r="M397" s="750"/>
      <c r="N397" s="750"/>
      <c r="O397" s="750"/>
    </row>
    <row r="398" spans="1:15" ht="15" customHeight="1" x14ac:dyDescent="0.2">
      <c r="A398" s="1153"/>
      <c r="B398" s="135" t="s">
        <v>324</v>
      </c>
      <c r="C398" s="1059">
        <f>0.0942*C392</f>
        <v>17919.165798000002</v>
      </c>
      <c r="D398" s="1059">
        <f t="shared" ref="D398:O398" si="11">0.0942*D392</f>
        <v>18086.302032</v>
      </c>
      <c r="E398" s="1059">
        <f t="shared" si="11"/>
        <v>17765.778054000002</v>
      </c>
      <c r="F398" s="1059">
        <f t="shared" si="11"/>
        <v>18817.494677999999</v>
      </c>
      <c r="G398" s="1059">
        <f t="shared" si="11"/>
        <v>17676.003570000001</v>
      </c>
      <c r="H398" s="1059">
        <f t="shared" si="11"/>
        <v>17149.336080000001</v>
      </c>
      <c r="I398" s="1059">
        <f t="shared" si="11"/>
        <v>18188.025785999998</v>
      </c>
      <c r="J398" s="1059">
        <f t="shared" si="11"/>
        <v>16469.878074</v>
      </c>
      <c r="K398" s="1059">
        <f t="shared" si="11"/>
        <v>17766.923526000002</v>
      </c>
      <c r="L398" s="1059">
        <f t="shared" si="11"/>
        <v>17412.016548</v>
      </c>
      <c r="M398" s="1059">
        <f t="shared" si="11"/>
        <v>18107.763618000001</v>
      </c>
      <c r="N398" s="1059">
        <f t="shared" si="11"/>
        <v>17903.973222000001</v>
      </c>
      <c r="O398" s="1059">
        <f t="shared" si="11"/>
        <v>18443.090184000001</v>
      </c>
    </row>
    <row r="399" spans="1:15" ht="15" customHeight="1" x14ac:dyDescent="0.2">
      <c r="A399" s="1153"/>
      <c r="B399" s="144" t="s">
        <v>348</v>
      </c>
      <c r="C399" s="136"/>
      <c r="D399" s="136"/>
      <c r="E399" s="736"/>
      <c r="F399" s="736"/>
      <c r="G399" s="736"/>
      <c r="H399" s="736"/>
      <c r="I399" s="731"/>
      <c r="J399" s="731"/>
      <c r="K399" s="731"/>
      <c r="L399" s="731"/>
      <c r="M399" s="731"/>
      <c r="N399" s="731"/>
      <c r="O399" s="731"/>
    </row>
    <row r="400" spans="1:15" ht="15" customHeight="1" x14ac:dyDescent="0.2">
      <c r="A400" s="1153"/>
      <c r="B400" s="195" t="s">
        <v>1087</v>
      </c>
      <c r="C400" s="136"/>
      <c r="D400" s="136"/>
      <c r="E400" s="731"/>
      <c r="F400" s="731"/>
      <c r="G400" s="731"/>
      <c r="H400" s="731"/>
      <c r="I400" s="731"/>
      <c r="J400" s="731"/>
      <c r="K400" s="731"/>
      <c r="L400" s="731"/>
      <c r="M400" s="731"/>
      <c r="N400" s="731"/>
      <c r="O400" s="731"/>
    </row>
    <row r="401" spans="1:18" ht="15" customHeight="1" x14ac:dyDescent="0.2">
      <c r="A401" s="1153"/>
      <c r="B401" s="144" t="s">
        <v>883</v>
      </c>
      <c r="C401" s="1059">
        <f>0.834175519455135*C395</f>
        <v>64.253203561551231</v>
      </c>
      <c r="D401" s="1059">
        <f t="shared" ref="D401:O401" si="12">0.834175519455135*D395</f>
        <v>0</v>
      </c>
      <c r="E401" s="1059">
        <f t="shared" si="12"/>
        <v>117.33179186448147</v>
      </c>
      <c r="F401" s="1059">
        <f t="shared" si="12"/>
        <v>189.3178024913818</v>
      </c>
      <c r="G401" s="1059">
        <f t="shared" si="12"/>
        <v>40.178898070076031</v>
      </c>
      <c r="H401" s="1059">
        <f t="shared" si="12"/>
        <v>304.28887763580525</v>
      </c>
      <c r="I401" s="1059">
        <f t="shared" si="12"/>
        <v>1334.0443552068718</v>
      </c>
      <c r="J401" s="1059">
        <f t="shared" si="12"/>
        <v>551.45758657692011</v>
      </c>
      <c r="K401" s="1059">
        <f t="shared" si="12"/>
        <v>228.95031559621475</v>
      </c>
      <c r="L401" s="1059">
        <f t="shared" si="12"/>
        <v>158.21473407297765</v>
      </c>
      <c r="M401" s="1059">
        <f t="shared" si="12"/>
        <v>1.5307120782001726</v>
      </c>
      <c r="N401" s="1059">
        <f t="shared" si="12"/>
        <v>50.305788876261367</v>
      </c>
      <c r="O401" s="1059">
        <f t="shared" si="12"/>
        <v>43.646565704451028</v>
      </c>
    </row>
    <row r="402" spans="1:18" ht="15" customHeight="1" x14ac:dyDescent="0.2">
      <c r="A402" s="1153"/>
      <c r="B402" s="993"/>
      <c r="C402" s="993"/>
      <c r="D402" s="993"/>
      <c r="E402" s="993"/>
      <c r="F402" s="993"/>
      <c r="G402" s="993"/>
      <c r="H402" s="993"/>
      <c r="I402" s="993"/>
      <c r="J402" s="993"/>
      <c r="K402" s="993"/>
      <c r="L402" s="993"/>
      <c r="M402" s="993"/>
      <c r="N402" s="993"/>
      <c r="O402" s="993"/>
    </row>
    <row r="403" spans="1:18" ht="15" customHeight="1" x14ac:dyDescent="0.2">
      <c r="A403" s="1153">
        <v>29</v>
      </c>
      <c r="B403" s="666" t="s">
        <v>1246</v>
      </c>
      <c r="C403" s="497"/>
    </row>
    <row r="404" spans="1:18" ht="15" customHeight="1" x14ac:dyDescent="0.2">
      <c r="A404" s="1153"/>
      <c r="B404" s="130" t="s">
        <v>337</v>
      </c>
      <c r="C404" s="186" t="s">
        <v>977</v>
      </c>
      <c r="D404" s="131">
        <v>41821</v>
      </c>
      <c r="E404" s="131">
        <v>41852</v>
      </c>
      <c r="F404" s="131">
        <v>41883</v>
      </c>
      <c r="G404" s="131">
        <v>41913</v>
      </c>
      <c r="H404" s="131">
        <v>41944</v>
      </c>
      <c r="I404" s="131">
        <v>41974</v>
      </c>
      <c r="J404" s="131">
        <v>42005</v>
      </c>
      <c r="K404" s="131">
        <v>42036</v>
      </c>
      <c r="L404" s="131">
        <v>42064</v>
      </c>
      <c r="M404" s="131">
        <v>42095</v>
      </c>
      <c r="N404" s="131">
        <v>42125</v>
      </c>
      <c r="O404" s="131">
        <v>42156</v>
      </c>
      <c r="P404" s="131">
        <v>42186</v>
      </c>
      <c r="Q404" s="151">
        <v>42217</v>
      </c>
      <c r="R404" s="131">
        <v>42261</v>
      </c>
    </row>
    <row r="405" spans="1:18" ht="15" customHeight="1" x14ac:dyDescent="0.2">
      <c r="A405" s="1153"/>
      <c r="B405" s="135" t="s">
        <v>319</v>
      </c>
      <c r="C405" s="1324"/>
      <c r="D405" s="1325"/>
      <c r="E405" s="136">
        <v>22640</v>
      </c>
      <c r="F405" s="136">
        <v>30070</v>
      </c>
      <c r="G405" s="136">
        <v>32560</v>
      </c>
      <c r="H405" s="136">
        <v>22040</v>
      </c>
      <c r="I405" s="136">
        <v>25200</v>
      </c>
      <c r="J405" s="136">
        <v>25000</v>
      </c>
      <c r="K405" s="136">
        <v>24040</v>
      </c>
      <c r="L405" s="136">
        <v>25480</v>
      </c>
      <c r="M405" s="136">
        <v>24280</v>
      </c>
      <c r="N405" s="136">
        <v>23760</v>
      </c>
      <c r="O405" s="136">
        <v>22840</v>
      </c>
      <c r="P405" s="136">
        <v>21920</v>
      </c>
      <c r="Q405" s="1324"/>
      <c r="R405" s="1325"/>
    </row>
    <row r="406" spans="1:18" ht="15" customHeight="1" x14ac:dyDescent="0.2">
      <c r="A406" s="1153"/>
      <c r="B406" s="135" t="s">
        <v>343</v>
      </c>
      <c r="C406" s="1326"/>
      <c r="D406" s="1327"/>
      <c r="E406" s="137"/>
      <c r="F406" s="137"/>
      <c r="G406" s="137"/>
      <c r="H406" s="137"/>
      <c r="I406" s="136"/>
      <c r="J406" s="136"/>
      <c r="K406" s="136"/>
      <c r="L406" s="136"/>
      <c r="M406" s="136"/>
      <c r="N406" s="136"/>
      <c r="O406" s="136"/>
      <c r="P406" s="136"/>
      <c r="Q406" s="1328"/>
      <c r="R406" s="1327"/>
    </row>
    <row r="407" spans="1:18" ht="15" customHeight="1" x14ac:dyDescent="0.2">
      <c r="A407" s="1153"/>
      <c r="B407" s="153" t="s">
        <v>362</v>
      </c>
      <c r="C407" s="1329"/>
      <c r="D407" s="1330"/>
      <c r="E407" s="141"/>
      <c r="F407" s="141"/>
      <c r="G407" s="141"/>
      <c r="H407" s="141"/>
      <c r="I407" s="141"/>
      <c r="J407" s="141"/>
      <c r="K407" s="141"/>
      <c r="L407" s="141"/>
      <c r="M407" s="141"/>
      <c r="N407" s="141"/>
      <c r="O407" s="141"/>
      <c r="P407" s="141"/>
      <c r="Q407" s="1329"/>
      <c r="R407" s="1330"/>
    </row>
    <row r="408" spans="1:18" ht="15" customHeight="1" x14ac:dyDescent="0.2">
      <c r="A408" s="1153"/>
      <c r="B408" s="153" t="s">
        <v>641</v>
      </c>
      <c r="C408" s="1329"/>
      <c r="D408" s="1330"/>
      <c r="E408" s="141"/>
      <c r="F408" s="141"/>
      <c r="G408" s="141"/>
      <c r="H408" s="141"/>
      <c r="I408" s="141"/>
      <c r="J408" s="141"/>
      <c r="K408" s="141"/>
      <c r="L408" s="141"/>
      <c r="M408" s="141"/>
      <c r="N408" s="141"/>
      <c r="O408" s="141"/>
      <c r="P408" s="141"/>
      <c r="Q408" s="1329"/>
      <c r="R408" s="1330"/>
    </row>
    <row r="409" spans="1:18" ht="15" customHeight="1" x14ac:dyDescent="0.2">
      <c r="A409" s="1153"/>
      <c r="B409" s="135" t="s">
        <v>345</v>
      </c>
      <c r="C409" s="1331"/>
      <c r="D409" s="1332"/>
      <c r="E409" s="760">
        <v>2390</v>
      </c>
      <c r="F409" s="760">
        <v>2465</v>
      </c>
      <c r="G409" s="760">
        <v>4500</v>
      </c>
      <c r="H409" s="760">
        <v>9480</v>
      </c>
      <c r="I409" s="760">
        <v>8375</v>
      </c>
      <c r="J409" s="760">
        <v>9463</v>
      </c>
      <c r="K409" s="750">
        <v>7783</v>
      </c>
      <c r="L409" s="750">
        <v>11358</v>
      </c>
      <c r="M409" s="750">
        <v>13838</v>
      </c>
      <c r="N409" s="750">
        <v>7592</v>
      </c>
      <c r="O409" s="750">
        <v>3017</v>
      </c>
      <c r="P409" s="750">
        <v>2421</v>
      </c>
      <c r="Q409" s="1333"/>
      <c r="R409" s="1332"/>
    </row>
    <row r="410" spans="1:18" ht="15" customHeight="1" x14ac:dyDescent="0.2">
      <c r="A410" s="1153"/>
      <c r="B410" s="135" t="s">
        <v>324</v>
      </c>
      <c r="C410" s="1334"/>
      <c r="D410" s="1335"/>
      <c r="E410" s="731">
        <f>E405*0.07968</f>
        <v>1803.9552000000001</v>
      </c>
      <c r="F410" s="731">
        <f>F405*0.09344</f>
        <v>2809.7408</v>
      </c>
      <c r="G410" s="731">
        <f>G405*0.07745</f>
        <v>2521.7719999999999</v>
      </c>
      <c r="H410" s="731">
        <f>H405*0.07955</f>
        <v>1753.2819999999999</v>
      </c>
      <c r="I410" s="731">
        <f>I405*0.07479</f>
        <v>1884.7079999999999</v>
      </c>
      <c r="J410" s="731">
        <f>J405*0.07547</f>
        <v>1886.7499999999998</v>
      </c>
      <c r="K410" s="731">
        <f>K405*0.07344</f>
        <v>1765.4976000000001</v>
      </c>
      <c r="L410" s="731">
        <f>L405*0.07722</f>
        <v>1967.5655999999999</v>
      </c>
      <c r="M410" s="731">
        <f>M405*0.07337</f>
        <v>1781.4236000000001</v>
      </c>
      <c r="N410" s="731">
        <f>N405*0.07563</f>
        <v>1796.9688000000001</v>
      </c>
      <c r="O410" s="731">
        <f>O405*0.09167</f>
        <v>2093.7428</v>
      </c>
      <c r="P410" s="731">
        <f>P405*0.085715</f>
        <v>1878.8728000000001</v>
      </c>
      <c r="Q410" s="1334"/>
      <c r="R410" s="1335"/>
    </row>
    <row r="411" spans="1:18" ht="15" customHeight="1" x14ac:dyDescent="0.2">
      <c r="A411" s="1153"/>
      <c r="B411" s="144" t="s">
        <v>348</v>
      </c>
      <c r="C411" s="1336"/>
      <c r="D411" s="1337"/>
      <c r="E411" s="736"/>
      <c r="F411" s="736"/>
      <c r="G411" s="736"/>
      <c r="H411" s="736"/>
      <c r="I411" s="736"/>
      <c r="J411" s="731"/>
      <c r="K411" s="731"/>
      <c r="L411" s="731"/>
      <c r="M411" s="731"/>
      <c r="N411" s="731"/>
      <c r="O411" s="731"/>
      <c r="P411" s="731"/>
      <c r="Q411" s="1334"/>
      <c r="R411" s="1337"/>
    </row>
    <row r="412" spans="1:18" ht="15" customHeight="1" x14ac:dyDescent="0.2">
      <c r="A412" s="1153"/>
      <c r="B412" s="195" t="s">
        <v>1087</v>
      </c>
      <c r="C412" s="1334"/>
      <c r="D412" s="1335"/>
      <c r="E412" s="731"/>
      <c r="F412" s="731"/>
      <c r="G412" s="731"/>
      <c r="H412" s="731"/>
      <c r="I412" s="731"/>
      <c r="J412" s="731"/>
      <c r="K412" s="731"/>
      <c r="L412" s="731"/>
      <c r="M412" s="731"/>
      <c r="N412" s="731"/>
      <c r="O412" s="731"/>
      <c r="P412" s="731"/>
      <c r="Q412" s="1334"/>
      <c r="R412" s="1335"/>
    </row>
    <row r="413" spans="1:18" ht="15" customHeight="1" x14ac:dyDescent="0.2">
      <c r="A413" s="1153"/>
      <c r="B413" s="144" t="s">
        <v>883</v>
      </c>
      <c r="C413" s="1338"/>
      <c r="D413" s="1339"/>
      <c r="E413" s="145"/>
      <c r="F413" s="145"/>
      <c r="G413" s="145"/>
      <c r="H413" s="145"/>
      <c r="I413" s="145"/>
      <c r="J413" s="145"/>
      <c r="K413" s="145"/>
      <c r="L413" s="145"/>
      <c r="M413" s="145"/>
      <c r="N413" s="145"/>
      <c r="O413" s="145"/>
      <c r="P413" s="145"/>
      <c r="Q413" s="1338"/>
      <c r="R413" s="1339"/>
    </row>
    <row r="414" spans="1:18" ht="15" customHeight="1" x14ac:dyDescent="0.2">
      <c r="A414" s="1038"/>
      <c r="B414" s="993"/>
      <c r="C414" s="993"/>
      <c r="D414" s="993"/>
      <c r="E414" s="993"/>
      <c r="F414" s="993"/>
      <c r="G414" s="993"/>
      <c r="H414" s="993"/>
      <c r="I414" s="993"/>
      <c r="J414" s="993"/>
      <c r="K414" s="993"/>
      <c r="L414" s="993"/>
      <c r="M414" s="993"/>
      <c r="N414" s="993"/>
      <c r="O414" s="993"/>
    </row>
    <row r="415" spans="1:18" ht="15" customHeight="1" x14ac:dyDescent="0.25">
      <c r="A415" s="1153">
        <v>30</v>
      </c>
      <c r="B415" s="1224" t="s">
        <v>574</v>
      </c>
      <c r="C415" s="713"/>
      <c r="D415" s="713"/>
      <c r="E415" s="713"/>
      <c r="F415" s="713"/>
      <c r="G415" s="713"/>
      <c r="H415" s="713"/>
      <c r="I415" s="713"/>
      <c r="J415" s="713"/>
      <c r="K415" s="713"/>
      <c r="L415" s="713"/>
      <c r="M415" s="713"/>
      <c r="N415" s="713"/>
      <c r="O415" s="714"/>
      <c r="P415" s="715"/>
      <c r="Q415" s="716"/>
    </row>
    <row r="416" spans="1:18" ht="15" customHeight="1" x14ac:dyDescent="0.25">
      <c r="A416" s="1038"/>
      <c r="B416" s="717" t="s">
        <v>337</v>
      </c>
      <c r="C416" s="718"/>
      <c r="D416" s="719">
        <v>41883</v>
      </c>
      <c r="E416" s="719">
        <v>41913</v>
      </c>
      <c r="F416" s="719">
        <v>41944</v>
      </c>
      <c r="G416" s="719">
        <v>41974</v>
      </c>
      <c r="H416" s="719">
        <v>42005</v>
      </c>
      <c r="I416" s="719">
        <v>42036</v>
      </c>
      <c r="J416" s="719">
        <v>42064</v>
      </c>
      <c r="K416" s="719">
        <v>42095</v>
      </c>
      <c r="L416" s="719">
        <v>42125</v>
      </c>
      <c r="M416" s="719">
        <v>42156</v>
      </c>
      <c r="N416" s="719">
        <v>42186</v>
      </c>
      <c r="O416" s="735"/>
      <c r="P416" s="720" t="s">
        <v>338</v>
      </c>
      <c r="Q416" s="721" t="s">
        <v>339</v>
      </c>
    </row>
    <row r="417" spans="1:17" ht="15" customHeight="1" x14ac:dyDescent="0.25">
      <c r="A417" s="1038"/>
      <c r="B417" s="722" t="s">
        <v>360</v>
      </c>
      <c r="C417" s="713"/>
      <c r="D417" s="1154">
        <v>373878.17382811999</v>
      </c>
      <c r="E417" s="1154">
        <v>383077.88085938001</v>
      </c>
      <c r="F417" s="1154">
        <v>368188.96484375</v>
      </c>
      <c r="G417" s="1154">
        <v>376896.97265625</v>
      </c>
      <c r="H417" s="1154">
        <v>373953.125</v>
      </c>
      <c r="I417" s="1154">
        <v>339479.00390625</v>
      </c>
      <c r="J417" s="1155">
        <v>379661.1328125</v>
      </c>
      <c r="K417" s="723">
        <v>373618.65234375</v>
      </c>
      <c r="L417" s="723">
        <v>372617.1875</v>
      </c>
      <c r="M417" s="723">
        <v>363661.1328125</v>
      </c>
      <c r="N417" s="723">
        <v>370893.06640625</v>
      </c>
      <c r="O417" s="744"/>
      <c r="P417" s="724">
        <f t="shared" ref="P417:P424" si="13">SUM(D417:N417)</f>
        <v>4075925.29296875</v>
      </c>
      <c r="Q417" s="1145" t="s">
        <v>361</v>
      </c>
    </row>
    <row r="418" spans="1:17" ht="15" customHeight="1" x14ac:dyDescent="0.25">
      <c r="A418" s="1038"/>
      <c r="B418" s="722" t="s">
        <v>362</v>
      </c>
      <c r="C418" s="713"/>
      <c r="D418" s="1156">
        <v>1005</v>
      </c>
      <c r="E418" s="1156">
        <v>768.36</v>
      </c>
      <c r="F418" s="1156">
        <v>928.36</v>
      </c>
      <c r="G418" s="1156">
        <v>802.45</v>
      </c>
      <c r="H418" s="1156">
        <v>905.56</v>
      </c>
      <c r="I418" s="1156">
        <v>790.99</v>
      </c>
      <c r="J418" s="1155">
        <v>345.92</v>
      </c>
      <c r="K418" s="1144">
        <v>529.25599999999997</v>
      </c>
      <c r="L418" s="1144">
        <v>850.31200000000001</v>
      </c>
      <c r="M418" s="1144">
        <v>1236.704</v>
      </c>
      <c r="N418" s="1144">
        <v>1341.952</v>
      </c>
      <c r="O418" s="1157"/>
      <c r="P418" s="724">
        <f t="shared" si="13"/>
        <v>9504.8639999999996</v>
      </c>
      <c r="Q418" s="1145" t="s">
        <v>363</v>
      </c>
    </row>
    <row r="419" spans="1:17" ht="15" customHeight="1" x14ac:dyDescent="0.2">
      <c r="A419" s="1038"/>
      <c r="B419" s="722" t="s">
        <v>364</v>
      </c>
      <c r="C419" s="740"/>
      <c r="D419" s="1154">
        <v>358</v>
      </c>
      <c r="E419" s="1154">
        <v>405.296875</v>
      </c>
      <c r="F419" s="1154">
        <v>723.3046875</v>
      </c>
      <c r="G419" s="1154">
        <v>785.5</v>
      </c>
      <c r="H419" s="1154">
        <v>1123.5</v>
      </c>
      <c r="I419" s="1154">
        <v>1139</v>
      </c>
      <c r="J419" s="1155">
        <v>760</v>
      </c>
      <c r="K419" s="1158">
        <v>405.5</v>
      </c>
      <c r="L419" s="1158">
        <v>334.59375</v>
      </c>
      <c r="M419" s="1159">
        <v>299.796875</v>
      </c>
      <c r="N419" s="1158">
        <v>290.8125</v>
      </c>
      <c r="O419" s="1160"/>
      <c r="P419" s="724">
        <f t="shared" si="13"/>
        <v>6625.3046875</v>
      </c>
      <c r="Q419" s="1146" t="s">
        <v>365</v>
      </c>
    </row>
    <row r="420" spans="1:17" ht="15" customHeight="1" x14ac:dyDescent="0.2">
      <c r="A420" s="1038"/>
      <c r="B420" s="728" t="s">
        <v>864</v>
      </c>
      <c r="C420" s="729"/>
      <c r="D420" s="723">
        <v>394</v>
      </c>
      <c r="E420" s="723">
        <v>300</v>
      </c>
      <c r="F420" s="723">
        <v>156</v>
      </c>
      <c r="G420" s="723">
        <v>113</v>
      </c>
      <c r="H420" s="723">
        <v>104</v>
      </c>
      <c r="I420" s="723">
        <v>156</v>
      </c>
      <c r="J420" s="723">
        <v>135</v>
      </c>
      <c r="K420" s="723">
        <v>183</v>
      </c>
      <c r="L420" s="723">
        <v>202</v>
      </c>
      <c r="M420" s="723">
        <v>310</v>
      </c>
      <c r="N420" s="723">
        <v>206</v>
      </c>
      <c r="O420" s="744"/>
      <c r="P420" s="724">
        <f t="shared" si="13"/>
        <v>2259</v>
      </c>
      <c r="Q420" s="1146" t="s">
        <v>379</v>
      </c>
    </row>
    <row r="421" spans="1:17" ht="15" customHeight="1" x14ac:dyDescent="0.25">
      <c r="A421" s="1038"/>
      <c r="B421" s="722" t="s">
        <v>368</v>
      </c>
      <c r="C421" s="713"/>
      <c r="D421" s="731">
        <f>D417*0.084</f>
        <v>31405.766601562082</v>
      </c>
      <c r="E421" s="731">
        <f>E417*0.084</f>
        <v>32178.541992187922</v>
      </c>
      <c r="F421" s="731">
        <f>F417*0.084</f>
        <v>30927.873046875004</v>
      </c>
      <c r="G421" s="731">
        <f>G417*0.087</f>
        <v>32790.03662109375</v>
      </c>
      <c r="H421" s="731">
        <f t="shared" ref="H421:N421" si="14">H417*0.087</f>
        <v>32533.921874999996</v>
      </c>
      <c r="I421" s="731">
        <f t="shared" si="14"/>
        <v>29534.673339843746</v>
      </c>
      <c r="J421" s="731">
        <f t="shared" si="14"/>
        <v>33030.5185546875</v>
      </c>
      <c r="K421" s="731">
        <f t="shared" si="14"/>
        <v>32504.822753906246</v>
      </c>
      <c r="L421" s="731">
        <f t="shared" si="14"/>
        <v>32417.695312499996</v>
      </c>
      <c r="M421" s="731">
        <f t="shared" si="14"/>
        <v>31638.518554687496</v>
      </c>
      <c r="N421" s="731">
        <f t="shared" si="14"/>
        <v>32267.696777343746</v>
      </c>
      <c r="O421" s="745"/>
      <c r="P421" s="724">
        <f t="shared" si="13"/>
        <v>351230.0654296875</v>
      </c>
      <c r="Q421" s="1145" t="s">
        <v>865</v>
      </c>
    </row>
    <row r="422" spans="1:17" ht="15" customHeight="1" x14ac:dyDescent="0.25">
      <c r="A422" s="1038"/>
      <c r="B422" s="722" t="s">
        <v>369</v>
      </c>
      <c r="C422" s="713"/>
      <c r="D422" s="731">
        <f>D418*14.4</f>
        <v>14472</v>
      </c>
      <c r="E422" s="731">
        <f t="shared" ref="E422:N422" si="15">E418*14.4</f>
        <v>11064.384</v>
      </c>
      <c r="F422" s="731">
        <f t="shared" si="15"/>
        <v>13368.384</v>
      </c>
      <c r="G422" s="731">
        <f t="shared" si="15"/>
        <v>11555.28</v>
      </c>
      <c r="H422" s="731">
        <f t="shared" si="15"/>
        <v>13040.064</v>
      </c>
      <c r="I422" s="731">
        <f t="shared" si="15"/>
        <v>11390.256000000001</v>
      </c>
      <c r="J422" s="731">
        <f t="shared" si="15"/>
        <v>4981.2480000000005</v>
      </c>
      <c r="K422" s="731">
        <f t="shared" si="15"/>
        <v>7621.2864</v>
      </c>
      <c r="L422" s="731">
        <f t="shared" si="15"/>
        <v>12244.4928</v>
      </c>
      <c r="M422" s="731">
        <f t="shared" si="15"/>
        <v>17808.5376</v>
      </c>
      <c r="N422" s="731">
        <f t="shared" si="15"/>
        <v>19324.108800000002</v>
      </c>
      <c r="O422" s="745"/>
      <c r="P422" s="724">
        <f t="shared" si="13"/>
        <v>136870.0416</v>
      </c>
      <c r="Q422" s="1145" t="s">
        <v>865</v>
      </c>
    </row>
    <row r="423" spans="1:17" ht="15" customHeight="1" x14ac:dyDescent="0.2">
      <c r="A423" s="1038"/>
      <c r="B423" s="722" t="s">
        <v>326</v>
      </c>
      <c r="C423" s="740"/>
      <c r="D423" s="731">
        <f t="shared" ref="D423:N423" si="16">D419*13.87</f>
        <v>4965.46</v>
      </c>
      <c r="E423" s="731">
        <f t="shared" si="16"/>
        <v>5621.4676562499999</v>
      </c>
      <c r="F423" s="731">
        <f t="shared" si="16"/>
        <v>10032.236015625</v>
      </c>
      <c r="G423" s="731">
        <f t="shared" si="16"/>
        <v>10894.885</v>
      </c>
      <c r="H423" s="731">
        <f t="shared" si="16"/>
        <v>15582.945</v>
      </c>
      <c r="I423" s="731">
        <f t="shared" si="16"/>
        <v>15797.929999999998</v>
      </c>
      <c r="J423" s="731">
        <f t="shared" si="16"/>
        <v>10541.199999999999</v>
      </c>
      <c r="K423" s="731">
        <f t="shared" si="16"/>
        <v>5624.2849999999999</v>
      </c>
      <c r="L423" s="731">
        <f t="shared" si="16"/>
        <v>4640.8153124999999</v>
      </c>
      <c r="M423" s="731">
        <f t="shared" si="16"/>
        <v>4158.18265625</v>
      </c>
      <c r="N423" s="731">
        <f t="shared" si="16"/>
        <v>4033.5693749999996</v>
      </c>
      <c r="O423" s="745"/>
      <c r="P423" s="724">
        <f t="shared" si="13"/>
        <v>91892.976015625012</v>
      </c>
      <c r="Q423" s="1145" t="s">
        <v>865</v>
      </c>
    </row>
    <row r="424" spans="1:17" ht="15" customHeight="1" x14ac:dyDescent="0.25">
      <c r="A424" s="1038"/>
      <c r="B424" s="732" t="s">
        <v>325</v>
      </c>
      <c r="C424" s="740"/>
      <c r="D424" s="731">
        <f>D420*7.86</f>
        <v>3096.84</v>
      </c>
      <c r="E424" s="731">
        <f t="shared" ref="E424:N424" si="17">E420*7.86</f>
        <v>2358</v>
      </c>
      <c r="F424" s="731">
        <f t="shared" si="17"/>
        <v>1226.1600000000001</v>
      </c>
      <c r="G424" s="731">
        <f t="shared" si="17"/>
        <v>888.18000000000006</v>
      </c>
      <c r="H424" s="731">
        <f t="shared" si="17"/>
        <v>817.44</v>
      </c>
      <c r="I424" s="731">
        <f t="shared" si="17"/>
        <v>1226.1600000000001</v>
      </c>
      <c r="J424" s="731">
        <f t="shared" si="17"/>
        <v>1061.1000000000001</v>
      </c>
      <c r="K424" s="731">
        <f t="shared" si="17"/>
        <v>1438.38</v>
      </c>
      <c r="L424" s="731">
        <f t="shared" si="17"/>
        <v>1587.72</v>
      </c>
      <c r="M424" s="731">
        <f t="shared" si="17"/>
        <v>2436.6</v>
      </c>
      <c r="N424" s="731">
        <f t="shared" si="17"/>
        <v>1619.16</v>
      </c>
      <c r="O424" s="745"/>
      <c r="P424" s="140">
        <f t="shared" si="13"/>
        <v>17755.740000000002</v>
      </c>
      <c r="Q424" s="1145" t="s">
        <v>865</v>
      </c>
    </row>
    <row r="425" spans="1:17" ht="15" customHeight="1" x14ac:dyDescent="0.2">
      <c r="A425" s="1038"/>
      <c r="B425" s="993"/>
      <c r="C425" s="993"/>
      <c r="D425" s="993"/>
      <c r="E425" s="993"/>
      <c r="F425" s="993"/>
      <c r="G425" s="993"/>
      <c r="H425" s="993"/>
      <c r="I425" s="993"/>
      <c r="J425" s="993"/>
      <c r="K425" s="993"/>
      <c r="L425" s="993"/>
      <c r="M425" s="993"/>
      <c r="N425" s="993"/>
      <c r="O425" s="993"/>
    </row>
    <row r="426" spans="1:17" s="666" customFormat="1" x14ac:dyDescent="0.2">
      <c r="A426" s="930">
        <v>31</v>
      </c>
      <c r="B426" s="666" t="s">
        <v>1061</v>
      </c>
      <c r="D426" s="666" t="s">
        <v>104</v>
      </c>
    </row>
    <row r="427" spans="1:17" x14ac:dyDescent="0.2">
      <c r="C427" s="968">
        <v>42199</v>
      </c>
      <c r="D427" s="968">
        <v>42230</v>
      </c>
      <c r="E427" s="968">
        <v>42261</v>
      </c>
      <c r="F427" s="968">
        <v>42291</v>
      </c>
      <c r="G427" s="968">
        <v>42322</v>
      </c>
      <c r="H427" s="968">
        <v>42352</v>
      </c>
      <c r="I427" s="968">
        <v>42019</v>
      </c>
      <c r="J427" s="968">
        <v>42050</v>
      </c>
      <c r="K427" s="968">
        <v>42078</v>
      </c>
      <c r="L427" s="968">
        <v>42109</v>
      </c>
      <c r="M427" s="968">
        <v>42139</v>
      </c>
      <c r="N427" s="968">
        <v>42170</v>
      </c>
    </row>
    <row r="428" spans="1:17" x14ac:dyDescent="0.2">
      <c r="B428" t="s">
        <v>694</v>
      </c>
    </row>
    <row r="429" spans="1:17" x14ac:dyDescent="0.2">
      <c r="B429" t="s">
        <v>695</v>
      </c>
      <c r="C429" s="973">
        <v>173510</v>
      </c>
      <c r="D429" s="973">
        <v>179450</v>
      </c>
      <c r="E429" s="973">
        <v>178020</v>
      </c>
      <c r="F429" s="973">
        <v>171290</v>
      </c>
      <c r="G429" s="973">
        <v>152680</v>
      </c>
      <c r="H429" s="973">
        <v>146750</v>
      </c>
      <c r="I429" s="973">
        <v>119470</v>
      </c>
      <c r="J429" s="973">
        <v>137560</v>
      </c>
      <c r="K429" s="973">
        <v>127360</v>
      </c>
      <c r="L429" s="973">
        <v>189280</v>
      </c>
      <c r="M429" s="973">
        <v>180300</v>
      </c>
      <c r="N429" s="973">
        <v>220612</v>
      </c>
    </row>
    <row r="430" spans="1:17" x14ac:dyDescent="0.2">
      <c r="B430" t="s">
        <v>696</v>
      </c>
      <c r="C430" s="973">
        <v>1124</v>
      </c>
      <c r="D430" s="973">
        <v>1391</v>
      </c>
      <c r="E430" s="973">
        <v>1882</v>
      </c>
      <c r="F430" s="973">
        <v>1911</v>
      </c>
      <c r="G430" s="973">
        <v>2927</v>
      </c>
      <c r="H430" s="973">
        <v>3666</v>
      </c>
      <c r="I430" s="973">
        <v>5134</v>
      </c>
      <c r="J430" s="973">
        <v>4366</v>
      </c>
      <c r="K430" s="973">
        <v>3219</v>
      </c>
      <c r="L430" s="973">
        <v>2360</v>
      </c>
      <c r="M430" s="973">
        <v>1947</v>
      </c>
      <c r="N430" s="973">
        <v>1394</v>
      </c>
    </row>
    <row r="431" spans="1:17" x14ac:dyDescent="0.2">
      <c r="B431" t="s">
        <v>697</v>
      </c>
      <c r="C431" s="973">
        <v>25696</v>
      </c>
      <c r="D431" s="973">
        <v>28456</v>
      </c>
      <c r="E431" s="973">
        <v>23223</v>
      </c>
      <c r="F431" s="973">
        <v>16207</v>
      </c>
      <c r="G431" s="973">
        <v>35992</v>
      </c>
      <c r="H431" s="973">
        <v>14311</v>
      </c>
      <c r="I431" s="973">
        <v>25039</v>
      </c>
      <c r="J431" s="973">
        <v>6083</v>
      </c>
      <c r="K431" s="973">
        <v>8008</v>
      </c>
      <c r="L431" s="973">
        <v>20030</v>
      </c>
      <c r="M431" s="973">
        <v>41158</v>
      </c>
      <c r="N431" s="973">
        <v>55695</v>
      </c>
    </row>
    <row r="432" spans="1:17" x14ac:dyDescent="0.2">
      <c r="B432" t="s">
        <v>881</v>
      </c>
    </row>
    <row r="433" spans="1:14" x14ac:dyDescent="0.2">
      <c r="B433" t="s">
        <v>698</v>
      </c>
    </row>
    <row r="434" spans="1:14" x14ac:dyDescent="0.2">
      <c r="B434" t="s">
        <v>699</v>
      </c>
      <c r="C434" s="492">
        <v>12090.635119396084</v>
      </c>
      <c r="D434" s="492">
        <v>12844.720606792716</v>
      </c>
      <c r="E434" s="492">
        <v>12327.222282991204</v>
      </c>
      <c r="F434" s="492">
        <v>10508.318126430206</v>
      </c>
      <c r="G434" s="492">
        <v>8781.4538166666662</v>
      </c>
      <c r="H434" s="492">
        <v>8450.0354522289435</v>
      </c>
      <c r="I434" s="492">
        <v>6662.9675265320338</v>
      </c>
      <c r="J434" s="492">
        <v>7754.5220679982822</v>
      </c>
      <c r="K434" s="492">
        <v>7449.1694154995339</v>
      </c>
      <c r="L434" s="492">
        <v>10563.354380155037</v>
      </c>
      <c r="M434" s="492">
        <v>10133.921994318182</v>
      </c>
      <c r="N434" s="492">
        <v>13846.541064282052</v>
      </c>
    </row>
    <row r="435" spans="1:14" x14ac:dyDescent="0.2">
      <c r="B435" t="s">
        <v>700</v>
      </c>
      <c r="C435" s="492">
        <v>981.88</v>
      </c>
      <c r="D435" s="492">
        <v>1209.9000000000001</v>
      </c>
      <c r="E435" s="492">
        <v>1629.21</v>
      </c>
      <c r="F435" s="492">
        <v>1653.97</v>
      </c>
      <c r="G435" s="492">
        <v>2506</v>
      </c>
      <c r="H435" s="492">
        <v>3137.48</v>
      </c>
      <c r="I435" s="492">
        <v>4142.24</v>
      </c>
      <c r="J435" s="492">
        <v>3256.47</v>
      </c>
      <c r="K435" s="492">
        <v>2053.0100000000002</v>
      </c>
      <c r="L435" s="492">
        <v>0</v>
      </c>
      <c r="M435" s="492">
        <v>955.55</v>
      </c>
      <c r="N435" s="492">
        <v>952.95</v>
      </c>
    </row>
    <row r="436" spans="1:14" x14ac:dyDescent="0.2">
      <c r="B436" t="s">
        <v>701</v>
      </c>
      <c r="C436" s="492">
        <v>1826.4731439052348</v>
      </c>
      <c r="D436" s="492">
        <v>2066.7380624904895</v>
      </c>
      <c r="E436" s="492">
        <v>1689.8919913575178</v>
      </c>
      <c r="F436" s="492">
        <v>1236.2332838709676</v>
      </c>
      <c r="G436" s="492">
        <v>2839.6232284382654</v>
      </c>
      <c r="H436" s="492">
        <v>1214.4957870243636</v>
      </c>
      <c r="I436" s="492">
        <v>2320.4788049411286</v>
      </c>
      <c r="J436" s="492">
        <v>507.29145795698929</v>
      </c>
      <c r="K436" s="492">
        <v>659.61374591887284</v>
      </c>
      <c r="L436" s="492">
        <v>1568.7914086674343</v>
      </c>
      <c r="M436" s="492">
        <v>3135.7883792771472</v>
      </c>
      <c r="N436" s="492">
        <v>4052.3026404963221</v>
      </c>
    </row>
    <row r="437" spans="1:14" x14ac:dyDescent="0.2">
      <c r="L437" t="s">
        <v>1044</v>
      </c>
    </row>
    <row r="439" spans="1:14" ht="15" x14ac:dyDescent="0.2">
      <c r="A439" s="930">
        <v>32</v>
      </c>
      <c r="B439" s="464" t="s">
        <v>1088</v>
      </c>
    </row>
    <row r="440" spans="1:14" x14ac:dyDescent="0.2">
      <c r="B440" s="465" t="s">
        <v>337</v>
      </c>
      <c r="C440" s="91">
        <v>41834</v>
      </c>
      <c r="D440" s="91">
        <v>41865</v>
      </c>
      <c r="E440" s="91">
        <v>41896</v>
      </c>
      <c r="F440" s="91">
        <v>41926</v>
      </c>
      <c r="G440" s="91">
        <v>41957</v>
      </c>
      <c r="H440" s="91">
        <v>41987</v>
      </c>
      <c r="I440" s="91">
        <v>42018</v>
      </c>
      <c r="J440" s="91">
        <v>42049</v>
      </c>
      <c r="K440" s="91">
        <v>42077</v>
      </c>
      <c r="L440" s="91">
        <v>42108</v>
      </c>
      <c r="M440" s="91">
        <v>42138</v>
      </c>
      <c r="N440" s="91">
        <v>42169</v>
      </c>
    </row>
    <row r="442" spans="1:14" x14ac:dyDescent="0.2">
      <c r="B442" s="95" t="s">
        <v>409</v>
      </c>
      <c r="C442" s="96">
        <v>192600</v>
      </c>
      <c r="D442" s="96">
        <v>188400</v>
      </c>
      <c r="E442" s="96">
        <v>206400</v>
      </c>
      <c r="F442" s="96">
        <v>154200</v>
      </c>
      <c r="G442" s="96">
        <v>170800</v>
      </c>
      <c r="H442" s="96">
        <v>165800</v>
      </c>
      <c r="I442" s="96">
        <v>167000</v>
      </c>
      <c r="J442" s="96">
        <v>171800</v>
      </c>
      <c r="K442" s="96">
        <v>170600</v>
      </c>
      <c r="L442" s="96">
        <v>159800</v>
      </c>
      <c r="M442" s="96">
        <v>187400</v>
      </c>
      <c r="N442" s="96">
        <v>194000</v>
      </c>
    </row>
    <row r="443" spans="1:14" x14ac:dyDescent="0.2">
      <c r="B443" s="95" t="s">
        <v>1089</v>
      </c>
      <c r="C443" s="96">
        <v>1161</v>
      </c>
      <c r="D443" s="96">
        <v>1190</v>
      </c>
      <c r="E443" s="96">
        <v>1404</v>
      </c>
      <c r="F443" s="96">
        <v>1379</v>
      </c>
      <c r="G443" s="96">
        <v>1566</v>
      </c>
      <c r="H443" s="96">
        <v>1997</v>
      </c>
      <c r="I443" s="96">
        <v>1716</v>
      </c>
      <c r="J443" s="96">
        <v>1693</v>
      </c>
      <c r="K443" s="96">
        <v>1835</v>
      </c>
      <c r="L443" s="96">
        <v>1666</v>
      </c>
      <c r="M443" s="96">
        <v>1780</v>
      </c>
      <c r="N443" s="96">
        <v>1119</v>
      </c>
    </row>
    <row r="444" spans="1:14" x14ac:dyDescent="0.2">
      <c r="B444" s="95" t="s">
        <v>322</v>
      </c>
      <c r="C444" s="101">
        <v>201000</v>
      </c>
      <c r="D444" s="101">
        <v>188100</v>
      </c>
      <c r="E444" s="101">
        <v>237890</v>
      </c>
      <c r="F444" s="101">
        <v>210120</v>
      </c>
      <c r="G444" s="101">
        <v>231200</v>
      </c>
      <c r="H444" s="101">
        <v>221300</v>
      </c>
      <c r="I444" s="101">
        <v>255000</v>
      </c>
      <c r="J444" s="101">
        <v>266000</v>
      </c>
      <c r="K444" s="101">
        <v>263700</v>
      </c>
      <c r="L444" s="101">
        <v>260400</v>
      </c>
      <c r="M444" s="101">
        <v>313240</v>
      </c>
      <c r="N444" s="101">
        <v>344100</v>
      </c>
    </row>
    <row r="446" spans="1:14" x14ac:dyDescent="0.2">
      <c r="B446" s="95" t="s">
        <v>347</v>
      </c>
      <c r="C446" s="109">
        <v>15850.18</v>
      </c>
      <c r="D446" s="109">
        <v>15546.24</v>
      </c>
      <c r="E446" s="109">
        <v>16838.5</v>
      </c>
      <c r="F446" s="109">
        <v>12947.88</v>
      </c>
      <c r="G446" s="109">
        <v>13953.54</v>
      </c>
      <c r="H446" s="109">
        <v>14184.53</v>
      </c>
      <c r="I446" s="109">
        <v>14604.67</v>
      </c>
      <c r="J446" s="109">
        <v>14923.05</v>
      </c>
      <c r="K446" s="109">
        <v>14541.59</v>
      </c>
      <c r="L446" s="109">
        <v>13785.35</v>
      </c>
      <c r="M446" s="109">
        <v>16256.28</v>
      </c>
      <c r="N446" s="109">
        <v>17028.240000000002</v>
      </c>
    </row>
    <row r="447" spans="1:14" x14ac:dyDescent="0.2">
      <c r="B447" s="112" t="s">
        <v>1090</v>
      </c>
      <c r="C447" s="113">
        <v>1096</v>
      </c>
      <c r="D447" s="113">
        <v>1110.93</v>
      </c>
      <c r="E447" s="113">
        <v>1306.47</v>
      </c>
      <c r="F447" s="113">
        <v>1289.6099999999999</v>
      </c>
      <c r="G447" s="113">
        <v>1446.05</v>
      </c>
      <c r="H447" s="113">
        <v>1750.52</v>
      </c>
      <c r="I447" s="113">
        <v>1413.28</v>
      </c>
      <c r="J447" s="113">
        <v>1192.94</v>
      </c>
      <c r="K447" s="113">
        <v>1187.67</v>
      </c>
      <c r="L447" s="113">
        <v>1090.97</v>
      </c>
      <c r="M447" s="113">
        <v>1284.46</v>
      </c>
      <c r="N447" s="113">
        <v>1019.18</v>
      </c>
    </row>
    <row r="448" spans="1:14" x14ac:dyDescent="0.2">
      <c r="B448" s="112" t="s">
        <v>410</v>
      </c>
      <c r="C448" s="113">
        <v>1381.57</v>
      </c>
      <c r="D448" s="113">
        <v>1312.3</v>
      </c>
      <c r="E448" s="113">
        <v>1579.67</v>
      </c>
      <c r="F448" s="113">
        <v>1454.23</v>
      </c>
      <c r="G448" s="113">
        <v>1543.74</v>
      </c>
      <c r="H448" s="113">
        <v>1513.74</v>
      </c>
      <c r="I448" s="113">
        <v>1676.55</v>
      </c>
      <c r="J448" s="113">
        <v>1735.62</v>
      </c>
      <c r="K448" s="113">
        <v>1718.27</v>
      </c>
      <c r="L448" s="113">
        <v>1727.93</v>
      </c>
      <c r="M448" s="113">
        <v>1984.3</v>
      </c>
      <c r="N448" s="113">
        <v>2180.4</v>
      </c>
    </row>
    <row r="450" spans="1:16" ht="15" x14ac:dyDescent="0.25">
      <c r="A450" s="930">
        <v>33</v>
      </c>
      <c r="B450" s="994" t="s">
        <v>999</v>
      </c>
      <c r="C450" s="995" t="s">
        <v>1068</v>
      </c>
      <c r="D450" s="995" t="s">
        <v>1069</v>
      </c>
      <c r="E450" s="996"/>
      <c r="F450" s="997" t="s">
        <v>1070</v>
      </c>
      <c r="G450" s="997"/>
      <c r="H450" s="997" t="s">
        <v>1071</v>
      </c>
      <c r="I450" s="997" t="s">
        <v>1072</v>
      </c>
      <c r="J450" s="997" t="s">
        <v>1073</v>
      </c>
      <c r="K450" s="997" t="s">
        <v>1074</v>
      </c>
      <c r="L450" s="996"/>
      <c r="M450" s="996"/>
      <c r="N450" s="996"/>
      <c r="O450" s="996"/>
      <c r="P450" s="996"/>
    </row>
    <row r="451" spans="1:16" x14ac:dyDescent="0.2">
      <c r="B451" s="441"/>
      <c r="C451" s="441"/>
      <c r="D451" s="441"/>
      <c r="E451" s="441"/>
      <c r="F451" s="441"/>
      <c r="G451" s="441"/>
      <c r="H451" s="441"/>
      <c r="I451" s="441"/>
      <c r="J451" s="441"/>
      <c r="K451" s="441"/>
      <c r="L451" s="441"/>
      <c r="M451" s="441"/>
      <c r="N451" s="441"/>
      <c r="O451" s="441"/>
      <c r="P451" s="441"/>
    </row>
    <row r="452" spans="1:16" x14ac:dyDescent="0.2">
      <c r="B452" s="441"/>
      <c r="C452" s="998" t="s">
        <v>477</v>
      </c>
      <c r="D452" s="998" t="s">
        <v>478</v>
      </c>
      <c r="E452" s="998" t="s">
        <v>479</v>
      </c>
      <c r="F452" s="998" t="s">
        <v>480</v>
      </c>
      <c r="G452" s="998" t="s">
        <v>481</v>
      </c>
      <c r="H452" s="998" t="s">
        <v>482</v>
      </c>
      <c r="I452" s="998" t="s">
        <v>483</v>
      </c>
      <c r="J452" s="998" t="s">
        <v>484</v>
      </c>
      <c r="K452" s="998" t="s">
        <v>579</v>
      </c>
      <c r="L452" s="998" t="s">
        <v>580</v>
      </c>
      <c r="M452" s="998" t="s">
        <v>581</v>
      </c>
      <c r="N452" s="998" t="s">
        <v>476</v>
      </c>
      <c r="O452" s="998" t="s">
        <v>658</v>
      </c>
      <c r="P452" s="441"/>
    </row>
    <row r="453" spans="1:16" ht="25.5" x14ac:dyDescent="0.2">
      <c r="B453" s="999" t="s">
        <v>593</v>
      </c>
      <c r="C453" s="1000"/>
      <c r="D453" s="1001"/>
      <c r="E453" s="1002"/>
      <c r="F453" s="1002"/>
      <c r="G453" s="1003"/>
      <c r="H453" s="1004" t="s">
        <v>667</v>
      </c>
      <c r="I453" s="1002"/>
      <c r="J453" s="1002"/>
      <c r="K453" s="1002"/>
      <c r="L453" s="1002"/>
      <c r="M453" s="1002"/>
      <c r="N453" s="1005"/>
      <c r="O453" s="1006"/>
      <c r="P453" s="579"/>
    </row>
    <row r="454" spans="1:16" x14ac:dyDescent="0.2">
      <c r="B454" s="1007" t="s">
        <v>1075</v>
      </c>
      <c r="C454" s="1008">
        <v>215</v>
      </c>
      <c r="D454" s="1008">
        <v>255</v>
      </c>
      <c r="E454" s="1008">
        <v>191</v>
      </c>
      <c r="F454" s="1008">
        <v>252</v>
      </c>
      <c r="G454" s="1009">
        <v>134</v>
      </c>
      <c r="H454" s="1008">
        <v>72</v>
      </c>
      <c r="I454" s="1008">
        <v>153</v>
      </c>
      <c r="J454" s="1008">
        <v>110</v>
      </c>
      <c r="K454" s="1008">
        <v>187</v>
      </c>
      <c r="L454" s="1008">
        <v>187</v>
      </c>
      <c r="M454" s="1008">
        <v>137</v>
      </c>
      <c r="N454" s="1010">
        <v>136</v>
      </c>
      <c r="O454" s="1011">
        <f>SUM(C454:N454)</f>
        <v>2029</v>
      </c>
      <c r="P454" s="579"/>
    </row>
    <row r="455" spans="1:16" x14ac:dyDescent="0.2">
      <c r="B455" s="1012" t="s">
        <v>606</v>
      </c>
      <c r="C455" s="1006">
        <v>34</v>
      </c>
      <c r="D455" s="1006">
        <v>30</v>
      </c>
      <c r="E455" s="1006">
        <v>29</v>
      </c>
      <c r="F455" s="1006">
        <v>33</v>
      </c>
      <c r="G455" s="1006">
        <v>29</v>
      </c>
      <c r="H455" s="1006">
        <v>32</v>
      </c>
      <c r="I455" s="1006">
        <v>30</v>
      </c>
      <c r="J455" s="1006">
        <v>29</v>
      </c>
      <c r="K455" s="1006">
        <v>29</v>
      </c>
      <c r="L455" s="1006">
        <v>31</v>
      </c>
      <c r="M455" s="1006">
        <v>30</v>
      </c>
      <c r="N455" s="1013">
        <v>33</v>
      </c>
      <c r="O455" s="1014"/>
      <c r="P455" s="579"/>
    </row>
    <row r="456" spans="1:16" x14ac:dyDescent="0.2">
      <c r="B456" s="1012" t="s">
        <v>607</v>
      </c>
      <c r="C456" s="1014">
        <v>15.69</v>
      </c>
      <c r="D456" s="1012">
        <v>16.79</v>
      </c>
      <c r="E456" s="1014">
        <v>15.03</v>
      </c>
      <c r="F456" s="1014">
        <v>16.7</v>
      </c>
      <c r="G456" s="1014">
        <v>13.91</v>
      </c>
      <c r="H456" s="1012">
        <v>13.91</v>
      </c>
      <c r="I456" s="1014">
        <v>13.99</v>
      </c>
      <c r="J456" s="1012">
        <v>13.91</v>
      </c>
      <c r="K456" s="1014">
        <v>14.92</v>
      </c>
      <c r="L456" s="1014">
        <v>14.92</v>
      </c>
      <c r="M456" s="1014">
        <v>13.91</v>
      </c>
      <c r="N456" s="1015">
        <v>13.91</v>
      </c>
      <c r="O456" s="1014">
        <f>SUM(C456:N456)</f>
        <v>177.58999999999995</v>
      </c>
      <c r="P456" s="579"/>
    </row>
    <row r="457" spans="1:16" x14ac:dyDescent="0.2">
      <c r="B457" s="1012" t="s">
        <v>608</v>
      </c>
      <c r="C457" s="1014">
        <v>19</v>
      </c>
      <c r="D457" s="1014">
        <v>20.13</v>
      </c>
      <c r="E457" s="1014">
        <v>18.329999999999998</v>
      </c>
      <c r="F457" s="1014">
        <v>20.05</v>
      </c>
      <c r="G457" s="1014">
        <v>17.18</v>
      </c>
      <c r="H457" s="1014">
        <v>17.18</v>
      </c>
      <c r="I457" s="1014">
        <v>17.260000000000002</v>
      </c>
      <c r="J457" s="1014">
        <v>17.18</v>
      </c>
      <c r="K457" s="1014">
        <v>18.22</v>
      </c>
      <c r="L457" s="1014">
        <v>18.22</v>
      </c>
      <c r="M457" s="1014">
        <v>17.18</v>
      </c>
      <c r="N457" s="1015">
        <v>17.18</v>
      </c>
      <c r="O457" s="1014">
        <f>SUM(C457:N457)</f>
        <v>217.11</v>
      </c>
      <c r="P457" s="579"/>
    </row>
    <row r="458" spans="1:16" x14ac:dyDescent="0.2">
      <c r="B458" s="1012" t="s">
        <v>338</v>
      </c>
      <c r="C458" s="1014">
        <f t="shared" ref="C458:N458" si="18">SUM(C456:C457)</f>
        <v>34.69</v>
      </c>
      <c r="D458" s="1014">
        <f t="shared" si="18"/>
        <v>36.92</v>
      </c>
      <c r="E458" s="1014">
        <f t="shared" si="18"/>
        <v>33.36</v>
      </c>
      <c r="F458" s="1014">
        <f t="shared" si="18"/>
        <v>36.75</v>
      </c>
      <c r="G458" s="1014">
        <f t="shared" si="18"/>
        <v>31.09</v>
      </c>
      <c r="H458" s="1014">
        <f t="shared" si="18"/>
        <v>31.09</v>
      </c>
      <c r="I458" s="1014">
        <f t="shared" si="18"/>
        <v>31.25</v>
      </c>
      <c r="J458" s="1014">
        <f t="shared" si="18"/>
        <v>31.09</v>
      </c>
      <c r="K458" s="1014">
        <f t="shared" si="18"/>
        <v>33.14</v>
      </c>
      <c r="L458" s="1014">
        <f t="shared" si="18"/>
        <v>33.14</v>
      </c>
      <c r="M458" s="1014">
        <f t="shared" si="18"/>
        <v>31.09</v>
      </c>
      <c r="N458" s="1015">
        <f t="shared" si="18"/>
        <v>31.09</v>
      </c>
      <c r="O458" s="1016">
        <f>SUM(C458:N458)</f>
        <v>394.69999999999993</v>
      </c>
      <c r="P458" s="579"/>
    </row>
    <row r="459" spans="1:16" x14ac:dyDescent="0.2">
      <c r="B459" s="579"/>
      <c r="C459" s="579"/>
      <c r="D459" s="579"/>
      <c r="E459" s="579"/>
      <c r="F459" s="579"/>
      <c r="G459" s="579"/>
      <c r="H459" s="579"/>
      <c r="I459" s="579"/>
      <c r="J459" s="579"/>
      <c r="K459" s="579"/>
      <c r="L459" s="579"/>
      <c r="M459" s="579"/>
      <c r="N459" s="579"/>
      <c r="O459" s="579"/>
      <c r="P459" s="579"/>
    </row>
    <row r="460" spans="1:16" x14ac:dyDescent="0.2">
      <c r="B460" s="579"/>
      <c r="C460" s="579"/>
      <c r="D460" s="579"/>
      <c r="E460" s="579"/>
      <c r="F460" s="579"/>
      <c r="G460" s="579"/>
      <c r="H460" s="579"/>
      <c r="I460" s="579"/>
      <c r="J460" s="579"/>
      <c r="K460" s="579"/>
      <c r="L460" s="579"/>
      <c r="M460" s="579"/>
      <c r="N460" s="579"/>
      <c r="O460" s="579"/>
      <c r="P460" s="579"/>
    </row>
    <row r="461" spans="1:16" x14ac:dyDescent="0.2">
      <c r="B461" s="579"/>
      <c r="C461" s="579"/>
      <c r="D461" s="579"/>
      <c r="E461" s="579"/>
      <c r="F461" s="579"/>
      <c r="G461" s="579"/>
      <c r="H461" s="579"/>
      <c r="I461" s="579"/>
      <c r="J461" s="579"/>
      <c r="K461" s="579"/>
      <c r="L461" s="579"/>
      <c r="M461" s="579"/>
      <c r="N461" s="579"/>
      <c r="O461" s="579"/>
      <c r="P461" s="579"/>
    </row>
    <row r="462" spans="1:16" ht="38.25" x14ac:dyDescent="0.2">
      <c r="B462" s="1017" t="s">
        <v>582</v>
      </c>
      <c r="C462" s="1018"/>
      <c r="D462" s="1018"/>
      <c r="E462" s="1018"/>
      <c r="F462" s="1018"/>
      <c r="G462" s="1018"/>
      <c r="H462" s="1019" t="s">
        <v>1076</v>
      </c>
      <c r="I462" s="1020"/>
      <c r="J462" s="1021"/>
      <c r="K462" s="1021"/>
      <c r="L462" s="1021"/>
      <c r="M462" s="1021"/>
      <c r="N462" s="1021"/>
      <c r="O462" s="1021"/>
      <c r="P462" s="579"/>
    </row>
    <row r="463" spans="1:16" x14ac:dyDescent="0.2">
      <c r="B463" s="1022" t="s">
        <v>583</v>
      </c>
      <c r="C463" s="1023">
        <v>72500</v>
      </c>
      <c r="D463" s="1023">
        <v>64200</v>
      </c>
      <c r="E463" s="1023">
        <v>78300</v>
      </c>
      <c r="F463" s="1023">
        <v>57500</v>
      </c>
      <c r="G463" s="1023">
        <v>46600</v>
      </c>
      <c r="H463" s="1023">
        <v>42400</v>
      </c>
      <c r="I463" s="1023">
        <v>41300</v>
      </c>
      <c r="J463" s="1023">
        <v>45900</v>
      </c>
      <c r="K463" s="1023">
        <v>53900</v>
      </c>
      <c r="L463" s="1023">
        <v>56200</v>
      </c>
      <c r="M463" s="1023">
        <v>60400</v>
      </c>
      <c r="N463" s="1023">
        <v>81900</v>
      </c>
      <c r="O463" s="1024">
        <f>SUM(C463:N463)</f>
        <v>701100</v>
      </c>
      <c r="P463" s="579"/>
    </row>
    <row r="464" spans="1:16" x14ac:dyDescent="0.2">
      <c r="B464" s="1022" t="s">
        <v>584</v>
      </c>
      <c r="C464" s="1023">
        <v>125</v>
      </c>
      <c r="D464" s="1023">
        <v>120</v>
      </c>
      <c r="E464" s="1023">
        <v>132</v>
      </c>
      <c r="F464" s="1023">
        <v>148</v>
      </c>
      <c r="G464" s="1023">
        <v>121</v>
      </c>
      <c r="H464" s="1023">
        <v>109</v>
      </c>
      <c r="I464" s="1023">
        <v>104</v>
      </c>
      <c r="J464" s="1023">
        <v>116</v>
      </c>
      <c r="K464" s="1023">
        <v>126</v>
      </c>
      <c r="L464" s="1023">
        <v>122</v>
      </c>
      <c r="M464" s="1023">
        <v>114</v>
      </c>
      <c r="N464" s="1023">
        <v>147</v>
      </c>
      <c r="O464" s="1023">
        <f>AVERAGE(C464:N464)</f>
        <v>123.66666666666667</v>
      </c>
      <c r="P464" s="579"/>
    </row>
    <row r="465" spans="1:16" x14ac:dyDescent="0.2">
      <c r="B465" s="1022" t="s">
        <v>585</v>
      </c>
      <c r="C465" s="1023">
        <v>30</v>
      </c>
      <c r="D465" s="1023">
        <v>28</v>
      </c>
      <c r="E465" s="1023">
        <v>33</v>
      </c>
      <c r="F465" s="1023">
        <v>29</v>
      </c>
      <c r="G465" s="1023">
        <v>29</v>
      </c>
      <c r="H465" s="1023">
        <v>30</v>
      </c>
      <c r="I465" s="1023">
        <v>33</v>
      </c>
      <c r="J465" s="1023">
        <v>30</v>
      </c>
      <c r="K465" s="1023">
        <v>31</v>
      </c>
      <c r="L465" s="1023">
        <v>30</v>
      </c>
      <c r="M465" s="1023">
        <v>29</v>
      </c>
      <c r="N465" s="1023">
        <v>32</v>
      </c>
      <c r="O465" s="1023"/>
      <c r="P465" s="579"/>
    </row>
    <row r="466" spans="1:16" x14ac:dyDescent="0.2">
      <c r="B466" s="1022" t="s">
        <v>586</v>
      </c>
      <c r="C466" s="1025">
        <v>5040.51</v>
      </c>
      <c r="D466" s="1025">
        <v>4579.16</v>
      </c>
      <c r="E466" s="1025">
        <v>5420.69</v>
      </c>
      <c r="F466" s="1026">
        <v>4157.26</v>
      </c>
      <c r="G466" s="1026">
        <v>3400.43</v>
      </c>
      <c r="H466" s="1026">
        <v>3178.99</v>
      </c>
      <c r="I466" s="1026">
        <v>3122.74</v>
      </c>
      <c r="J466" s="1026">
        <v>3455.04</v>
      </c>
      <c r="K466" s="1026">
        <v>3949.99</v>
      </c>
      <c r="L466" s="1026">
        <v>4085.09</v>
      </c>
      <c r="M466" s="1026">
        <v>4235.71</v>
      </c>
      <c r="N466" s="1026">
        <v>5787.36</v>
      </c>
      <c r="O466" s="1026">
        <f>SUM(C466:N466)</f>
        <v>50412.969999999994</v>
      </c>
      <c r="P466" s="579"/>
    </row>
    <row r="467" spans="1:16" x14ac:dyDescent="0.2">
      <c r="B467" s="1022" t="s">
        <v>587</v>
      </c>
      <c r="C467" s="1025">
        <v>767.92</v>
      </c>
      <c r="D467" s="1025">
        <v>767.92</v>
      </c>
      <c r="E467" s="1025">
        <v>767.92</v>
      </c>
      <c r="F467" s="1026">
        <v>767.92</v>
      </c>
      <c r="G467" s="1026">
        <v>767.92</v>
      </c>
      <c r="H467" s="1026">
        <v>780.41</v>
      </c>
      <c r="I467" s="1026">
        <v>788.9</v>
      </c>
      <c r="J467" s="1026">
        <v>789.01</v>
      </c>
      <c r="K467" s="1026">
        <v>789.01</v>
      </c>
      <c r="L467" s="1026">
        <v>789.01</v>
      </c>
      <c r="M467" s="1026">
        <v>789.01</v>
      </c>
      <c r="N467" s="1026">
        <v>785.97</v>
      </c>
      <c r="O467" s="1026">
        <f>SUM(C467:N467)</f>
        <v>9350.92</v>
      </c>
      <c r="P467" s="579"/>
    </row>
    <row r="468" spans="1:16" x14ac:dyDescent="0.2">
      <c r="B468" s="1022" t="s">
        <v>1077</v>
      </c>
      <c r="C468" s="1025">
        <v>406.59</v>
      </c>
      <c r="D468" s="1025">
        <v>374.3</v>
      </c>
      <c r="E468" s="1025">
        <v>433.2</v>
      </c>
      <c r="F468" s="1026">
        <v>344.76</v>
      </c>
      <c r="G468" s="1026">
        <v>291.77999999999997</v>
      </c>
      <c r="H468" s="1026">
        <v>277.16000000000003</v>
      </c>
      <c r="I468" s="1026">
        <v>273.81</v>
      </c>
      <c r="J468" s="1026">
        <v>297.08</v>
      </c>
      <c r="K468" s="1026">
        <v>331.73</v>
      </c>
      <c r="L468" s="1026">
        <v>341.19</v>
      </c>
      <c r="M468" s="1026">
        <v>351.73</v>
      </c>
      <c r="N468" s="1026">
        <v>460.13</v>
      </c>
      <c r="O468" s="1026">
        <f>SUM(C468:N468)</f>
        <v>4183.46</v>
      </c>
      <c r="P468" s="579"/>
    </row>
    <row r="469" spans="1:16" x14ac:dyDescent="0.2">
      <c r="B469" s="1022" t="s">
        <v>589</v>
      </c>
      <c r="C469" s="1025">
        <f t="shared" ref="C469:N469" si="19">SUM(C466:C468)</f>
        <v>6215.02</v>
      </c>
      <c r="D469" s="1025">
        <f t="shared" si="19"/>
        <v>5721.38</v>
      </c>
      <c r="E469" s="1025">
        <f t="shared" si="19"/>
        <v>6621.8099999999995</v>
      </c>
      <c r="F469" s="1025">
        <f t="shared" si="19"/>
        <v>5269.9400000000005</v>
      </c>
      <c r="G469" s="1026">
        <f t="shared" si="19"/>
        <v>4460.1299999999992</v>
      </c>
      <c r="H469" s="1026">
        <f t="shared" si="19"/>
        <v>4236.5599999999995</v>
      </c>
      <c r="I469" s="1025">
        <f t="shared" si="19"/>
        <v>4185.45</v>
      </c>
      <c r="J469" s="1026">
        <f t="shared" si="19"/>
        <v>4541.13</v>
      </c>
      <c r="K469" s="1026">
        <f t="shared" si="19"/>
        <v>5070.7299999999996</v>
      </c>
      <c r="L469" s="1026">
        <f t="shared" si="19"/>
        <v>5215.29</v>
      </c>
      <c r="M469" s="1026">
        <f>SUM(M466:M468)</f>
        <v>5376.4500000000007</v>
      </c>
      <c r="N469" s="1026">
        <f t="shared" si="19"/>
        <v>7033.46</v>
      </c>
      <c r="O469" s="1027">
        <f>SUM(C469:N469)</f>
        <v>63947.35</v>
      </c>
      <c r="P469" s="579"/>
    </row>
    <row r="470" spans="1:16" x14ac:dyDescent="0.2">
      <c r="B470" s="579"/>
      <c r="C470" s="579"/>
      <c r="D470" s="579"/>
      <c r="E470" s="579"/>
      <c r="F470" s="579"/>
      <c r="G470" s="579"/>
      <c r="H470" s="579"/>
      <c r="I470" s="579"/>
      <c r="J470" s="579"/>
      <c r="K470" s="579"/>
      <c r="L470" s="579"/>
      <c r="M470" s="579"/>
      <c r="N470" s="579"/>
      <c r="O470" s="579"/>
      <c r="P470" s="579"/>
    </row>
    <row r="471" spans="1:16" x14ac:dyDescent="0.2">
      <c r="B471" s="579"/>
      <c r="C471" s="579"/>
      <c r="D471" s="579"/>
      <c r="E471" s="579"/>
      <c r="F471" s="579"/>
      <c r="G471" s="579"/>
      <c r="H471" s="579"/>
      <c r="I471" s="579"/>
      <c r="J471" s="579"/>
      <c r="K471" s="579"/>
      <c r="L471" s="579"/>
      <c r="M471" s="579"/>
      <c r="N471" s="579"/>
      <c r="O471" s="579"/>
      <c r="P471" s="579"/>
    </row>
    <row r="472" spans="1:16" x14ac:dyDescent="0.2">
      <c r="B472" s="579"/>
      <c r="C472" s="579"/>
      <c r="D472" s="579"/>
      <c r="E472" s="579"/>
      <c r="F472" s="579"/>
      <c r="G472" s="579"/>
      <c r="H472" s="579"/>
      <c r="I472" s="579"/>
      <c r="J472" s="579"/>
      <c r="K472" s="579"/>
      <c r="L472" s="579"/>
      <c r="M472" s="579"/>
      <c r="N472" s="579"/>
      <c r="O472" s="579"/>
      <c r="P472" s="579"/>
    </row>
    <row r="473" spans="1:16" ht="38.25" x14ac:dyDescent="0.2">
      <c r="B473" s="1028" t="s">
        <v>1078</v>
      </c>
      <c r="C473" s="579"/>
      <c r="D473" s="579"/>
      <c r="E473" s="579"/>
      <c r="F473" s="579"/>
      <c r="G473" s="579"/>
      <c r="H473" s="1029" t="s">
        <v>664</v>
      </c>
      <c r="I473" s="441"/>
      <c r="J473" s="579"/>
      <c r="K473" s="579"/>
      <c r="L473" s="1030" t="s">
        <v>1079</v>
      </c>
      <c r="M473" s="1030" t="s">
        <v>580</v>
      </c>
      <c r="N473" s="1031" t="s">
        <v>1080</v>
      </c>
      <c r="O473" s="1031" t="s">
        <v>476</v>
      </c>
      <c r="P473" s="1030" t="s">
        <v>338</v>
      </c>
    </row>
    <row r="474" spans="1:16" x14ac:dyDescent="0.2">
      <c r="B474" s="1032" t="s">
        <v>591</v>
      </c>
      <c r="C474" s="579">
        <v>260</v>
      </c>
      <c r="D474" s="579">
        <v>282</v>
      </c>
      <c r="E474" s="579">
        <v>368</v>
      </c>
      <c r="F474" s="579">
        <v>487</v>
      </c>
      <c r="G474" s="579">
        <v>618</v>
      </c>
      <c r="H474" s="579">
        <v>722</v>
      </c>
      <c r="I474" s="579">
        <v>1268</v>
      </c>
      <c r="J474" s="579">
        <v>1416</v>
      </c>
      <c r="K474" s="579">
        <v>1106</v>
      </c>
      <c r="L474" s="1030" t="s">
        <v>1081</v>
      </c>
      <c r="M474" s="1012">
        <v>553</v>
      </c>
      <c r="N474" s="1033">
        <v>558</v>
      </c>
      <c r="O474" s="1033">
        <v>547</v>
      </c>
      <c r="P474" s="1034">
        <f>SUM(C474:O474)</f>
        <v>8185</v>
      </c>
    </row>
    <row r="475" spans="1:16" x14ac:dyDescent="0.2">
      <c r="B475" s="1032" t="s">
        <v>586</v>
      </c>
      <c r="C475" s="1035">
        <v>244.04</v>
      </c>
      <c r="D475" s="1035">
        <v>262.83</v>
      </c>
      <c r="E475" s="1035">
        <v>336.27</v>
      </c>
      <c r="F475" s="1035">
        <v>445.84</v>
      </c>
      <c r="G475" s="1035">
        <v>540.51</v>
      </c>
      <c r="H475" s="1035">
        <v>631.85</v>
      </c>
      <c r="I475" s="1035">
        <v>1004.54</v>
      </c>
      <c r="J475" s="1035">
        <v>1039.1500000000001</v>
      </c>
      <c r="K475" s="1035">
        <v>667.55</v>
      </c>
      <c r="L475" s="1035"/>
      <c r="M475" s="1014">
        <v>353.14</v>
      </c>
      <c r="N475" s="1036">
        <v>361.82</v>
      </c>
      <c r="O475" s="1036">
        <v>405.28</v>
      </c>
      <c r="P475" s="1035">
        <f>SUM(C475:O475)</f>
        <v>6292.8200000000006</v>
      </c>
    </row>
    <row r="476" spans="1:16" x14ac:dyDescent="0.2">
      <c r="B476" s="1032" t="s">
        <v>1082</v>
      </c>
      <c r="C476" s="1035">
        <v>17.079999999999998</v>
      </c>
      <c r="D476" s="1035">
        <v>18.399999999999999</v>
      </c>
      <c r="E476" s="1035">
        <v>23.54</v>
      </c>
      <c r="F476" s="1035">
        <v>31.21</v>
      </c>
      <c r="G476" s="1035">
        <v>37.840000000000003</v>
      </c>
      <c r="H476" s="1035">
        <v>44.23</v>
      </c>
      <c r="I476" s="1035">
        <v>70.319999999999993</v>
      </c>
      <c r="J476" s="1035">
        <v>72.739999999999995</v>
      </c>
      <c r="K476" s="1035">
        <v>46.73</v>
      </c>
      <c r="L476" s="1035"/>
      <c r="M476" s="1014">
        <v>24.72</v>
      </c>
      <c r="N476" s="1036">
        <v>25.33</v>
      </c>
      <c r="O476" s="1036">
        <v>28.37</v>
      </c>
      <c r="P476" s="1035">
        <f>SUM(C476:O476)</f>
        <v>440.50999999999993</v>
      </c>
    </row>
    <row r="477" spans="1:16" x14ac:dyDescent="0.2">
      <c r="B477" s="1032" t="s">
        <v>589</v>
      </c>
      <c r="C477" s="1035">
        <f t="shared" ref="C477:O477" si="20">SUM(C475:C476)</f>
        <v>261.12</v>
      </c>
      <c r="D477" s="1035">
        <f t="shared" si="20"/>
        <v>281.22999999999996</v>
      </c>
      <c r="E477" s="1035">
        <f t="shared" si="20"/>
        <v>359.81</v>
      </c>
      <c r="F477" s="1035">
        <f t="shared" si="20"/>
        <v>477.04999999999995</v>
      </c>
      <c r="G477" s="1035">
        <f t="shared" si="20"/>
        <v>578.35</v>
      </c>
      <c r="H477" s="1035">
        <f t="shared" si="20"/>
        <v>676.08</v>
      </c>
      <c r="I477" s="1035">
        <f t="shared" si="20"/>
        <v>1074.8599999999999</v>
      </c>
      <c r="J477" s="1035">
        <f t="shared" si="20"/>
        <v>1111.8900000000001</v>
      </c>
      <c r="K477" s="1035">
        <f t="shared" si="20"/>
        <v>714.28</v>
      </c>
      <c r="L477" s="1035">
        <v>-287.01</v>
      </c>
      <c r="M477" s="1035">
        <f t="shared" si="20"/>
        <v>377.86</v>
      </c>
      <c r="N477" s="1036">
        <f t="shared" si="20"/>
        <v>387.15</v>
      </c>
      <c r="O477" s="1035">
        <f t="shared" si="20"/>
        <v>433.65</v>
      </c>
      <c r="P477" s="1037">
        <f>SUM(C477:O477)</f>
        <v>6446.3199999999988</v>
      </c>
    </row>
    <row r="478" spans="1:16" x14ac:dyDescent="0.2">
      <c r="B478" s="579"/>
      <c r="C478" s="579"/>
      <c r="D478" s="579"/>
      <c r="E478" s="579"/>
      <c r="F478" s="579"/>
      <c r="G478" s="579"/>
      <c r="H478" s="579"/>
      <c r="I478" s="579"/>
      <c r="J478" s="579"/>
      <c r="K478" s="579"/>
      <c r="L478" s="579"/>
      <c r="M478" s="579"/>
      <c r="N478" s="579"/>
      <c r="O478" s="579"/>
      <c r="P478" s="579"/>
    </row>
    <row r="480" spans="1:16" ht="15" x14ac:dyDescent="0.2">
      <c r="A480" s="930">
        <v>34</v>
      </c>
      <c r="B480" s="127" t="s">
        <v>615</v>
      </c>
    </row>
    <row r="481" spans="1:15" ht="60" x14ac:dyDescent="0.2">
      <c r="B481" s="1132" t="s">
        <v>1119</v>
      </c>
      <c r="C481" s="1132" t="s">
        <v>1120</v>
      </c>
      <c r="D481" s="1132" t="s">
        <v>1121</v>
      </c>
      <c r="E481" s="1132" t="s">
        <v>1122</v>
      </c>
      <c r="F481" s="1132" t="s">
        <v>1123</v>
      </c>
      <c r="G481" s="1132" t="s">
        <v>1124</v>
      </c>
      <c r="H481" s="1132" t="s">
        <v>1125</v>
      </c>
    </row>
    <row r="482" spans="1:15" x14ac:dyDescent="0.2">
      <c r="B482" s="1143" t="s">
        <v>1126</v>
      </c>
      <c r="C482" s="1133">
        <v>1893162.9599082</v>
      </c>
      <c r="D482" s="1134">
        <v>6221463.6000000006</v>
      </c>
      <c r="E482" s="1135">
        <v>2355608.9999082</v>
      </c>
      <c r="F482" s="1136">
        <v>167507.14054999998</v>
      </c>
      <c r="G482" s="1137">
        <v>130664.15999999999</v>
      </c>
      <c r="H482" s="1136">
        <v>30614.170899999997</v>
      </c>
    </row>
    <row r="484" spans="1:15" ht="15" x14ac:dyDescent="0.2">
      <c r="A484" s="930">
        <v>35</v>
      </c>
      <c r="B484" s="127" t="s">
        <v>912</v>
      </c>
    </row>
    <row r="485" spans="1:15" ht="60" x14ac:dyDescent="0.2">
      <c r="B485" s="1132" t="s">
        <v>1119</v>
      </c>
      <c r="C485" s="1132" t="s">
        <v>1120</v>
      </c>
      <c r="D485" s="1132" t="s">
        <v>1121</v>
      </c>
      <c r="E485" s="1132" t="s">
        <v>1122</v>
      </c>
      <c r="F485" s="1132" t="s">
        <v>1123</v>
      </c>
      <c r="G485" s="1132" t="s">
        <v>1124</v>
      </c>
      <c r="H485" s="1132" t="s">
        <v>1125</v>
      </c>
    </row>
    <row r="486" spans="1:15" x14ac:dyDescent="0.2">
      <c r="B486" s="1142" t="s">
        <v>1127</v>
      </c>
      <c r="C486" s="1138">
        <v>1120233.9199264001</v>
      </c>
      <c r="D486" s="1134">
        <v>4900925</v>
      </c>
      <c r="E486" s="1139">
        <v>2745167.9999263999</v>
      </c>
      <c r="F486" s="1140">
        <v>100287.11360000001</v>
      </c>
      <c r="G486" s="1141">
        <v>119841.19999999998</v>
      </c>
      <c r="H486" s="1140">
        <v>32220.936799999996</v>
      </c>
    </row>
    <row r="488" spans="1:15" x14ac:dyDescent="0.2">
      <c r="A488" s="930">
        <v>36</v>
      </c>
      <c r="B488" s="646" t="s">
        <v>1209</v>
      </c>
      <c r="C488" s="625">
        <v>41829</v>
      </c>
      <c r="D488" s="625">
        <v>41860</v>
      </c>
      <c r="E488" s="625">
        <v>41891</v>
      </c>
      <c r="F488" s="625">
        <v>41921</v>
      </c>
      <c r="G488" s="625">
        <v>41952</v>
      </c>
      <c r="H488" s="625">
        <v>41982</v>
      </c>
      <c r="I488" s="625">
        <v>42013</v>
      </c>
      <c r="J488" s="625">
        <v>42044</v>
      </c>
      <c r="K488" s="625">
        <v>42072</v>
      </c>
      <c r="L488" s="625">
        <v>42103</v>
      </c>
      <c r="M488" s="625">
        <v>42133</v>
      </c>
      <c r="N488" s="625">
        <v>42164</v>
      </c>
      <c r="O488" s="666" t="s">
        <v>752</v>
      </c>
    </row>
    <row r="489" spans="1:15" x14ac:dyDescent="0.2">
      <c r="B489" s="345" t="s">
        <v>753</v>
      </c>
      <c r="C489" s="345"/>
      <c r="D489" s="345"/>
      <c r="E489" s="345"/>
      <c r="F489" s="345"/>
      <c r="G489" s="345"/>
      <c r="H489" s="345"/>
      <c r="I489" s="345"/>
      <c r="J489" s="345"/>
      <c r="K489" s="345"/>
      <c r="L489" s="345"/>
      <c r="M489" s="345"/>
      <c r="N489" s="345"/>
      <c r="O489" s="345"/>
    </row>
    <row r="490" spans="1:15" x14ac:dyDescent="0.2">
      <c r="B490" s="667" t="s">
        <v>809</v>
      </c>
      <c r="C490" s="668">
        <v>366800</v>
      </c>
      <c r="D490" s="668">
        <v>369800</v>
      </c>
      <c r="E490" s="668">
        <v>388600</v>
      </c>
      <c r="F490" s="668">
        <v>286000</v>
      </c>
      <c r="G490" s="668">
        <v>250000</v>
      </c>
      <c r="H490" s="668">
        <v>216800</v>
      </c>
      <c r="I490" s="668">
        <v>209000</v>
      </c>
      <c r="J490" s="668">
        <v>204400</v>
      </c>
      <c r="K490" s="668">
        <v>245800</v>
      </c>
      <c r="L490" s="668">
        <v>272800</v>
      </c>
      <c r="M490" s="668">
        <v>331200</v>
      </c>
      <c r="N490" s="668">
        <v>384600</v>
      </c>
      <c r="O490" s="628">
        <f>SUM(C490:N490)</f>
        <v>3525800</v>
      </c>
    </row>
    <row r="491" spans="1:15" x14ac:dyDescent="0.2">
      <c r="B491" s="667" t="s">
        <v>810</v>
      </c>
      <c r="C491" s="633">
        <v>714</v>
      </c>
      <c r="D491" s="633">
        <v>752</v>
      </c>
      <c r="E491" s="633">
        <v>698</v>
      </c>
      <c r="F491" s="633">
        <v>570</v>
      </c>
      <c r="G491" s="633">
        <v>556</v>
      </c>
      <c r="H491" s="1257">
        <v>496</v>
      </c>
      <c r="I491" s="1257">
        <v>446</v>
      </c>
      <c r="J491" s="1257">
        <v>0</v>
      </c>
      <c r="K491" s="1257">
        <v>0</v>
      </c>
      <c r="L491" s="1257">
        <v>0</v>
      </c>
      <c r="M491" s="1257">
        <v>0</v>
      </c>
      <c r="N491" s="1257">
        <v>0</v>
      </c>
      <c r="O491" s="632">
        <f>SUM(C491:N491)</f>
        <v>4232</v>
      </c>
    </row>
    <row r="492" spans="1:15" x14ac:dyDescent="0.2">
      <c r="B492" s="667" t="s">
        <v>759</v>
      </c>
      <c r="C492" s="670">
        <v>27540.53</v>
      </c>
      <c r="D492" s="670">
        <v>28192.91</v>
      </c>
      <c r="E492" s="670">
        <v>28393.57</v>
      </c>
      <c r="F492" s="670">
        <v>20454.03</v>
      </c>
      <c r="G492" s="670">
        <v>17877.04</v>
      </c>
      <c r="H492" s="670">
        <v>16461.45</v>
      </c>
      <c r="I492" s="670">
        <v>15806.64</v>
      </c>
      <c r="J492" s="670">
        <v>14454.17</v>
      </c>
      <c r="K492" s="670">
        <v>17442.59</v>
      </c>
      <c r="L492" s="670">
        <v>19280.93</v>
      </c>
      <c r="M492" s="670">
        <v>22945.360000000001</v>
      </c>
      <c r="N492" s="670">
        <v>29672.26</v>
      </c>
      <c r="O492" s="671">
        <f>SUM(C492:N492)</f>
        <v>258521.48000000004</v>
      </c>
    </row>
    <row r="493" spans="1:15" x14ac:dyDescent="0.2">
      <c r="B493" s="345"/>
      <c r="C493" s="345"/>
      <c r="D493" s="345"/>
      <c r="E493" s="345"/>
      <c r="F493" s="345"/>
      <c r="G493" s="345"/>
      <c r="H493" s="345"/>
      <c r="I493" s="345"/>
      <c r="J493" s="345"/>
      <c r="K493" s="345"/>
      <c r="L493" s="345"/>
      <c r="M493" s="345"/>
      <c r="N493" s="345"/>
      <c r="O493" s="345"/>
    </row>
    <row r="494" spans="1:15" x14ac:dyDescent="0.2">
      <c r="B494" s="345" t="s">
        <v>760</v>
      </c>
      <c r="C494" s="345"/>
      <c r="D494" s="345"/>
      <c r="E494" s="345"/>
      <c r="F494" s="345"/>
      <c r="G494" s="345"/>
      <c r="H494" s="345"/>
      <c r="I494" s="345"/>
      <c r="J494" s="345"/>
      <c r="K494" s="345"/>
      <c r="L494" s="345"/>
      <c r="M494" s="345"/>
      <c r="N494" s="345"/>
      <c r="O494" s="345"/>
    </row>
    <row r="495" spans="1:15" x14ac:dyDescent="0.2">
      <c r="B495" s="345" t="s">
        <v>811</v>
      </c>
      <c r="C495" s="637">
        <v>628.1</v>
      </c>
      <c r="D495" s="637">
        <v>614.70000000000005</v>
      </c>
      <c r="E495" s="637">
        <v>683.6</v>
      </c>
      <c r="F495" s="637">
        <v>765</v>
      </c>
      <c r="G495" s="637">
        <v>874.8</v>
      </c>
      <c r="H495" s="637">
        <v>1261.3</v>
      </c>
      <c r="I495" s="637">
        <v>1183.4000000000001</v>
      </c>
      <c r="J495" s="637">
        <v>1312.6</v>
      </c>
      <c r="K495" s="637">
        <v>1061.3</v>
      </c>
      <c r="L495" s="637">
        <v>918</v>
      </c>
      <c r="M495" s="637">
        <v>809</v>
      </c>
      <c r="N495" s="637">
        <v>759.9</v>
      </c>
      <c r="O495" s="632">
        <f>SUM(C495:N495)</f>
        <v>10871.699999999999</v>
      </c>
    </row>
    <row r="496" spans="1:15" x14ac:dyDescent="0.2">
      <c r="B496" s="345" t="s">
        <v>759</v>
      </c>
      <c r="C496" s="671">
        <v>5582.74</v>
      </c>
      <c r="D496" s="671">
        <v>5467.48</v>
      </c>
      <c r="E496" s="671">
        <v>6073.21</v>
      </c>
      <c r="F496" s="671">
        <v>7190.09</v>
      </c>
      <c r="G496" s="671">
        <v>8071.29</v>
      </c>
      <c r="H496" s="671">
        <v>11596.27</v>
      </c>
      <c r="I496" s="671">
        <v>10014.6</v>
      </c>
      <c r="J496" s="671">
        <v>10147.68</v>
      </c>
      <c r="K496" s="671">
        <v>2069.12</v>
      </c>
      <c r="L496" s="671">
        <v>5485.29</v>
      </c>
      <c r="M496" s="671">
        <v>4943.1099999999997</v>
      </c>
      <c r="N496" s="671">
        <v>5428.9</v>
      </c>
      <c r="O496" s="671">
        <f>SUM(C496:N496)</f>
        <v>82069.779999999984</v>
      </c>
    </row>
    <row r="497" spans="2:15" x14ac:dyDescent="0.2">
      <c r="B497" s="345"/>
      <c r="C497" s="345"/>
      <c r="D497" s="345"/>
      <c r="E497" s="345"/>
      <c r="F497" s="345"/>
      <c r="G497" s="345"/>
      <c r="H497" s="345"/>
      <c r="I497" s="345"/>
      <c r="J497" s="345"/>
      <c r="K497" s="345"/>
      <c r="L497" s="345"/>
      <c r="M497" s="345"/>
      <c r="N497" s="345"/>
      <c r="O497" s="345"/>
    </row>
    <row r="498" spans="2:15" x14ac:dyDescent="0.2">
      <c r="B498" s="345" t="s">
        <v>763</v>
      </c>
      <c r="C498" s="345"/>
      <c r="D498" s="345"/>
      <c r="E498" s="345"/>
      <c r="F498" s="345"/>
      <c r="G498" s="345"/>
      <c r="H498" s="345"/>
      <c r="I498" s="345"/>
      <c r="J498" s="345"/>
      <c r="K498" s="345"/>
      <c r="L498" s="345"/>
      <c r="M498" s="345"/>
      <c r="N498" s="345"/>
      <c r="O498" s="345"/>
    </row>
    <row r="499" spans="2:15" x14ac:dyDescent="0.2">
      <c r="B499" s="345" t="s">
        <v>754</v>
      </c>
      <c r="C499" s="627">
        <v>0</v>
      </c>
      <c r="D499" s="627">
        <v>0</v>
      </c>
      <c r="E499" s="627">
        <v>0</v>
      </c>
      <c r="F499" s="627">
        <v>0</v>
      </c>
      <c r="G499" s="627">
        <v>0</v>
      </c>
      <c r="H499" s="627">
        <v>0</v>
      </c>
      <c r="I499" s="627">
        <v>0</v>
      </c>
      <c r="J499" s="627">
        <v>0</v>
      </c>
      <c r="K499" s="627">
        <v>0</v>
      </c>
      <c r="L499" s="627">
        <v>0</v>
      </c>
      <c r="M499" s="627">
        <v>0</v>
      </c>
      <c r="N499" s="627">
        <v>0</v>
      </c>
      <c r="O499" s="345"/>
    </row>
    <row r="500" spans="2:15" x14ac:dyDescent="0.2">
      <c r="B500" s="345" t="s">
        <v>755</v>
      </c>
      <c r="C500" s="627">
        <v>0</v>
      </c>
      <c r="D500" s="627">
        <v>0</v>
      </c>
      <c r="E500" s="627">
        <v>0</v>
      </c>
      <c r="F500" s="627">
        <v>0</v>
      </c>
      <c r="G500" s="627">
        <v>0</v>
      </c>
      <c r="H500" s="627">
        <v>0</v>
      </c>
      <c r="I500" s="627">
        <v>0</v>
      </c>
      <c r="J500" s="627">
        <v>0</v>
      </c>
      <c r="K500" s="627">
        <v>0</v>
      </c>
      <c r="L500" s="627">
        <v>0</v>
      </c>
      <c r="M500" s="627">
        <v>0</v>
      </c>
      <c r="N500" s="627">
        <v>0</v>
      </c>
      <c r="O500" s="345"/>
    </row>
    <row r="501" spans="2:15" x14ac:dyDescent="0.2">
      <c r="B501" s="345" t="s">
        <v>812</v>
      </c>
      <c r="C501" s="627">
        <v>0</v>
      </c>
      <c r="D501" s="627">
        <v>0</v>
      </c>
      <c r="E501" s="627">
        <v>0</v>
      </c>
      <c r="F501" s="627">
        <v>0</v>
      </c>
      <c r="G501" s="627">
        <v>0</v>
      </c>
      <c r="H501" s="627">
        <v>0</v>
      </c>
      <c r="I501" s="627">
        <v>0</v>
      </c>
      <c r="J501" s="627">
        <v>0</v>
      </c>
      <c r="K501" s="627">
        <v>0</v>
      </c>
      <c r="L501" s="627">
        <v>0</v>
      </c>
      <c r="M501" s="627">
        <v>0</v>
      </c>
      <c r="N501" s="627">
        <v>0</v>
      </c>
      <c r="O501" s="632">
        <f>SUM(C501:N501)</f>
        <v>0</v>
      </c>
    </row>
    <row r="502" spans="2:15" x14ac:dyDescent="0.2">
      <c r="B502" s="345" t="s">
        <v>765</v>
      </c>
      <c r="C502" s="636">
        <v>3.8999999999999998E-3</v>
      </c>
      <c r="D502" s="636">
        <v>3.8999999999999998E-3</v>
      </c>
      <c r="E502" s="636">
        <v>3.8999999999999998E-3</v>
      </c>
      <c r="F502" s="636">
        <v>3.8999999999999998E-3</v>
      </c>
      <c r="G502" s="636">
        <v>3.8999999999999998E-3</v>
      </c>
      <c r="H502" s="636">
        <v>3.8999999999999998E-3</v>
      </c>
      <c r="I502" s="636">
        <v>3.8999999999999998E-3</v>
      </c>
      <c r="J502" s="636">
        <v>3.8999999999999998E-3</v>
      </c>
      <c r="K502" s="636">
        <v>4.0000000000000001E-3</v>
      </c>
      <c r="L502" s="636">
        <v>4.0000000000000001E-3</v>
      </c>
      <c r="M502" s="636">
        <v>4.1000000000000003E-3</v>
      </c>
      <c r="N502" s="636">
        <v>4.0000000000000001E-3</v>
      </c>
      <c r="O502" s="345"/>
    </row>
    <row r="503" spans="2:15" x14ac:dyDescent="0.2">
      <c r="B503" s="345" t="s">
        <v>759</v>
      </c>
      <c r="C503" s="652">
        <v>0</v>
      </c>
      <c r="D503" s="652">
        <v>0</v>
      </c>
      <c r="E503" s="652">
        <v>0</v>
      </c>
      <c r="F503" s="652">
        <v>0</v>
      </c>
      <c r="G503" s="652">
        <v>0</v>
      </c>
      <c r="H503" s="652">
        <v>0</v>
      </c>
      <c r="I503" s="652">
        <v>0</v>
      </c>
      <c r="J503" s="652">
        <v>0</v>
      </c>
      <c r="K503" s="652">
        <v>0</v>
      </c>
      <c r="L503" s="652">
        <v>0</v>
      </c>
      <c r="M503" s="652">
        <v>0</v>
      </c>
      <c r="N503" s="652">
        <v>0</v>
      </c>
      <c r="O503" s="671">
        <f>SUM(C503:N503)</f>
        <v>0</v>
      </c>
    </row>
    <row r="504" spans="2:15" x14ac:dyDescent="0.2">
      <c r="B504" s="345"/>
      <c r="C504" s="345"/>
      <c r="D504" s="345"/>
      <c r="E504" s="345"/>
      <c r="F504" s="345"/>
      <c r="G504" s="345"/>
      <c r="H504" s="345"/>
      <c r="I504" s="345"/>
      <c r="J504" s="345"/>
      <c r="K504" s="345"/>
      <c r="L504" s="345"/>
      <c r="M504" s="345"/>
      <c r="N504" s="345"/>
      <c r="O504" s="345"/>
    </row>
    <row r="505" spans="2:15" x14ac:dyDescent="0.2">
      <c r="B505" s="345" t="s">
        <v>766</v>
      </c>
      <c r="C505" s="345"/>
      <c r="D505" s="345"/>
      <c r="E505" s="345"/>
      <c r="F505" s="345"/>
      <c r="G505" s="345"/>
      <c r="H505" s="345"/>
      <c r="I505" s="345"/>
      <c r="J505" s="345"/>
      <c r="K505" s="345"/>
      <c r="L505" s="345"/>
      <c r="M505" s="345"/>
      <c r="N505" s="345"/>
      <c r="O505" s="345"/>
    </row>
    <row r="506" spans="2:15" x14ac:dyDescent="0.2">
      <c r="B506" s="345" t="s">
        <v>765</v>
      </c>
      <c r="C506" s="636">
        <v>5.0000000000000001E-3</v>
      </c>
      <c r="D506" s="636">
        <v>5.4000000000000003E-3</v>
      </c>
      <c r="E506" s="636">
        <v>5.4000000000000003E-3</v>
      </c>
      <c r="F506" s="636">
        <v>5.3E-3</v>
      </c>
      <c r="G506" s="636">
        <v>5.3E-3</v>
      </c>
      <c r="H506" s="636">
        <v>5.7000000000000002E-3</v>
      </c>
      <c r="I506" s="636">
        <v>5.7000000000000002E-3</v>
      </c>
      <c r="J506" s="636">
        <v>5.7000000000000002E-3</v>
      </c>
      <c r="K506" s="636">
        <v>4.5999999999999999E-3</v>
      </c>
      <c r="L506" s="636">
        <v>4.5999999999999999E-3</v>
      </c>
      <c r="M506" s="636">
        <v>6.3E-3</v>
      </c>
      <c r="N506" s="636">
        <v>4.1999999999999997E-3</v>
      </c>
      <c r="O506" s="345"/>
    </row>
    <row r="507" spans="2:15" x14ac:dyDescent="0.2">
      <c r="B507" s="345" t="s">
        <v>759</v>
      </c>
      <c r="C507" s="652">
        <v>0</v>
      </c>
      <c r="D507" s="652">
        <v>0</v>
      </c>
      <c r="E507" s="652">
        <v>0</v>
      </c>
      <c r="F507" s="652">
        <v>0</v>
      </c>
      <c r="G507" s="652">
        <v>0</v>
      </c>
      <c r="H507" s="652">
        <v>0</v>
      </c>
      <c r="I507" s="652">
        <v>0</v>
      </c>
      <c r="J507" s="652">
        <v>0</v>
      </c>
      <c r="K507" s="652">
        <v>0</v>
      </c>
      <c r="L507" s="652">
        <v>0</v>
      </c>
      <c r="M507" s="652">
        <v>0</v>
      </c>
      <c r="N507" s="652">
        <v>0</v>
      </c>
      <c r="O507" s="671">
        <f>SUM(C507:N507)</f>
        <v>0</v>
      </c>
    </row>
    <row r="508" spans="2:15" x14ac:dyDescent="0.2">
      <c r="B508" s="345"/>
      <c r="C508" s="345"/>
      <c r="D508" s="345"/>
      <c r="E508" s="345"/>
      <c r="F508" s="345"/>
      <c r="G508" s="345"/>
      <c r="H508" s="345"/>
      <c r="I508" s="345"/>
      <c r="J508" s="345"/>
      <c r="K508" s="345"/>
      <c r="L508" s="345"/>
      <c r="M508" s="345"/>
      <c r="N508" s="345"/>
      <c r="O508" s="345"/>
    </row>
    <row r="509" spans="2:15" x14ac:dyDescent="0.2">
      <c r="B509" s="345"/>
      <c r="C509" s="653" t="s">
        <v>769</v>
      </c>
      <c r="D509" s="653" t="s">
        <v>769</v>
      </c>
      <c r="E509" s="653" t="s">
        <v>769</v>
      </c>
      <c r="F509" s="653" t="s">
        <v>769</v>
      </c>
      <c r="G509" s="653" t="s">
        <v>769</v>
      </c>
      <c r="H509" s="653" t="s">
        <v>769</v>
      </c>
      <c r="I509" s="653" t="s">
        <v>769</v>
      </c>
      <c r="J509" s="653" t="s">
        <v>769</v>
      </c>
      <c r="K509" s="653" t="s">
        <v>769</v>
      </c>
      <c r="L509" s="653" t="s">
        <v>769</v>
      </c>
      <c r="M509" s="653" t="s">
        <v>769</v>
      </c>
      <c r="N509" s="653" t="s">
        <v>769</v>
      </c>
      <c r="O509" s="653" t="s">
        <v>769</v>
      </c>
    </row>
    <row r="510" spans="2:15" x14ac:dyDescent="0.2">
      <c r="B510" s="345" t="s">
        <v>775</v>
      </c>
      <c r="C510" s="651">
        <v>33123.269999999997</v>
      </c>
      <c r="D510" s="651">
        <v>33660.39</v>
      </c>
      <c r="E510" s="651">
        <v>34466.78</v>
      </c>
      <c r="F510" s="651">
        <v>27644.12</v>
      </c>
      <c r="G510" s="651">
        <v>25948.33</v>
      </c>
      <c r="H510" s="651">
        <v>28057.72</v>
      </c>
      <c r="I510" s="651">
        <v>25821.239999999998</v>
      </c>
      <c r="J510" s="651">
        <v>24601.85</v>
      </c>
      <c r="K510" s="651">
        <v>19511.71</v>
      </c>
      <c r="L510" s="651">
        <v>24766.22</v>
      </c>
      <c r="M510" s="651">
        <v>27888.47</v>
      </c>
      <c r="N510" s="651">
        <v>35101.159999999996</v>
      </c>
      <c r="O510" s="632">
        <f>SUM(C510:N510)</f>
        <v>340591.25999999995</v>
      </c>
    </row>
    <row r="511" spans="2:15" x14ac:dyDescent="0.2">
      <c r="B511" s="345"/>
      <c r="C511" s="655" t="s">
        <v>776</v>
      </c>
      <c r="D511" s="655" t="s">
        <v>776</v>
      </c>
      <c r="E511" s="655" t="s">
        <v>776</v>
      </c>
      <c r="F511" s="655" t="s">
        <v>776</v>
      </c>
      <c r="G511" s="655" t="s">
        <v>776</v>
      </c>
      <c r="H511" s="655" t="s">
        <v>776</v>
      </c>
      <c r="I511" s="655" t="s">
        <v>776</v>
      </c>
      <c r="J511" s="655" t="s">
        <v>776</v>
      </c>
      <c r="K511" s="655" t="s">
        <v>776</v>
      </c>
      <c r="L511" s="655" t="s">
        <v>776</v>
      </c>
      <c r="M511" s="655" t="s">
        <v>776</v>
      </c>
      <c r="N511" s="655" t="s">
        <v>776</v>
      </c>
      <c r="O511" s="655" t="s">
        <v>776</v>
      </c>
    </row>
    <row r="512" spans="2:15" x14ac:dyDescent="0.2">
      <c r="B512" s="345"/>
      <c r="C512" s="345"/>
      <c r="D512" s="345"/>
      <c r="E512" s="345"/>
      <c r="F512" s="345"/>
      <c r="G512" s="345"/>
      <c r="H512" s="345"/>
      <c r="I512" s="345"/>
      <c r="J512" s="345"/>
      <c r="K512" s="345"/>
      <c r="L512" s="345"/>
      <c r="M512" s="345"/>
      <c r="N512" s="345"/>
      <c r="O512" s="345"/>
    </row>
    <row r="513" spans="2:15" x14ac:dyDescent="0.2">
      <c r="B513" s="345" t="s">
        <v>813</v>
      </c>
      <c r="C513" s="672">
        <v>256.49</v>
      </c>
      <c r="D513" s="672">
        <v>256.49</v>
      </c>
      <c r="E513" s="672">
        <v>256.49</v>
      </c>
      <c r="F513" s="672">
        <v>276.22000000000003</v>
      </c>
      <c r="G513" s="672">
        <v>217.03</v>
      </c>
      <c r="H513" s="672">
        <v>197.3</v>
      </c>
      <c r="I513" s="672">
        <v>177.6</v>
      </c>
      <c r="J513" s="672">
        <v>236.76</v>
      </c>
      <c r="K513" s="672">
        <v>236.76</v>
      </c>
      <c r="L513" s="672">
        <v>256.49</v>
      </c>
      <c r="M513" s="672">
        <v>236.76</v>
      </c>
      <c r="N513" s="672">
        <v>256.49</v>
      </c>
      <c r="O513" s="671">
        <f>SUM(C513:N513)</f>
        <v>2860.88</v>
      </c>
    </row>
    <row r="514" spans="2:15" x14ac:dyDescent="0.2">
      <c r="B514" s="345"/>
      <c r="C514" s="345"/>
      <c r="D514" s="345"/>
      <c r="E514" s="345"/>
      <c r="F514" s="345"/>
      <c r="G514" s="345"/>
      <c r="H514" s="345"/>
      <c r="I514" s="345"/>
      <c r="J514" s="345"/>
      <c r="K514" s="345"/>
      <c r="L514" s="345"/>
      <c r="M514" s="345"/>
      <c r="N514" s="345"/>
      <c r="O514" s="345"/>
    </row>
    <row r="515" spans="2:15" x14ac:dyDescent="0.2">
      <c r="B515" s="646" t="s">
        <v>814</v>
      </c>
      <c r="C515" s="345"/>
      <c r="D515" s="345"/>
      <c r="E515" s="345"/>
      <c r="F515" s="345"/>
      <c r="G515" s="345"/>
      <c r="H515" s="345"/>
      <c r="I515" s="345"/>
      <c r="J515" s="345"/>
      <c r="K515" s="345"/>
      <c r="L515" s="345"/>
      <c r="M515" s="345"/>
      <c r="N515" s="345"/>
      <c r="O515" s="345"/>
    </row>
    <row r="516" spans="2:15" x14ac:dyDescent="0.2">
      <c r="B516" s="345" t="s">
        <v>753</v>
      </c>
      <c r="C516" s="673">
        <v>6885.13</v>
      </c>
      <c r="D516" s="673">
        <v>7048.23</v>
      </c>
      <c r="E516" s="673">
        <v>7098.39</v>
      </c>
      <c r="F516" s="673">
        <v>5113.51</v>
      </c>
      <c r="G516" s="673">
        <v>4469.26</v>
      </c>
      <c r="H516" s="673">
        <v>4115.3599999999997</v>
      </c>
      <c r="I516" s="673">
        <v>3951.66</v>
      </c>
      <c r="J516" s="673">
        <v>3613.54</v>
      </c>
      <c r="K516" s="673">
        <v>4360.6499999999996</v>
      </c>
      <c r="L516" s="673">
        <v>4820.2299999999996</v>
      </c>
      <c r="M516" s="673">
        <v>5736.34</v>
      </c>
      <c r="N516" s="673">
        <v>7418.07</v>
      </c>
      <c r="O516" s="632">
        <f>SUM(C516:N516)</f>
        <v>64630.37</v>
      </c>
    </row>
    <row r="517" spans="2:15" x14ac:dyDescent="0.2">
      <c r="B517" s="345" t="s">
        <v>760</v>
      </c>
      <c r="C517" s="673">
        <v>1395.69</v>
      </c>
      <c r="D517" s="673">
        <v>1366.87</v>
      </c>
      <c r="E517" s="673">
        <v>1518.3</v>
      </c>
      <c r="F517" s="673">
        <v>1797.52</v>
      </c>
      <c r="G517" s="673">
        <v>2017.82</v>
      </c>
      <c r="H517" s="673">
        <v>2899.07</v>
      </c>
      <c r="I517" s="673">
        <v>2503.65</v>
      </c>
      <c r="J517" s="673">
        <v>2536.92</v>
      </c>
      <c r="K517" s="673">
        <v>517.28</v>
      </c>
      <c r="L517" s="673">
        <v>1371.32</v>
      </c>
      <c r="M517" s="673">
        <v>1235.78</v>
      </c>
      <c r="N517" s="673">
        <v>1357.23</v>
      </c>
      <c r="O517" s="632">
        <f>SUM(C517:N517)</f>
        <v>20517.449999999997</v>
      </c>
    </row>
    <row r="518" spans="2:15" x14ac:dyDescent="0.2">
      <c r="B518" s="345" t="s">
        <v>763</v>
      </c>
      <c r="C518" s="673">
        <v>0</v>
      </c>
      <c r="D518" s="673">
        <v>0</v>
      </c>
      <c r="E518" s="673">
        <v>0</v>
      </c>
      <c r="F518" s="673">
        <v>0</v>
      </c>
      <c r="G518" s="673">
        <v>0</v>
      </c>
      <c r="H518" s="673">
        <v>0</v>
      </c>
      <c r="I518" s="673">
        <v>0</v>
      </c>
      <c r="J518" s="673">
        <v>0</v>
      </c>
      <c r="K518" s="673">
        <v>0</v>
      </c>
      <c r="L518" s="673">
        <v>0</v>
      </c>
      <c r="M518" s="673">
        <v>0</v>
      </c>
      <c r="N518" s="673">
        <v>0</v>
      </c>
      <c r="O518" s="632">
        <f>SUM(C518:N518)</f>
        <v>0</v>
      </c>
    </row>
    <row r="519" spans="2:15" x14ac:dyDescent="0.2">
      <c r="B519" s="345" t="s">
        <v>815</v>
      </c>
      <c r="C519" s="673">
        <v>0</v>
      </c>
      <c r="D519" s="673">
        <v>0</v>
      </c>
      <c r="E519" s="673">
        <v>0</v>
      </c>
      <c r="F519" s="673">
        <v>0</v>
      </c>
      <c r="G519" s="673">
        <v>0</v>
      </c>
      <c r="H519" s="673">
        <v>0</v>
      </c>
      <c r="I519" s="673">
        <v>0</v>
      </c>
      <c r="J519" s="673">
        <v>0</v>
      </c>
      <c r="K519" s="673">
        <v>0</v>
      </c>
      <c r="L519" s="673">
        <v>0</v>
      </c>
      <c r="M519" s="673">
        <v>0</v>
      </c>
      <c r="N519" s="673">
        <v>0</v>
      </c>
      <c r="O519" s="632">
        <f>SUM(C519:N519)</f>
        <v>0</v>
      </c>
    </row>
    <row r="520" spans="2:15" x14ac:dyDescent="0.2">
      <c r="B520" s="345"/>
      <c r="C520" s="653" t="s">
        <v>769</v>
      </c>
      <c r="D520" s="653" t="s">
        <v>769</v>
      </c>
      <c r="E520" s="653" t="s">
        <v>769</v>
      </c>
      <c r="F520" s="653" t="s">
        <v>769</v>
      </c>
      <c r="G520" s="653" t="s">
        <v>769</v>
      </c>
      <c r="H520" s="653" t="s">
        <v>769</v>
      </c>
      <c r="I520" s="653" t="s">
        <v>769</v>
      </c>
      <c r="J520" s="653" t="s">
        <v>769</v>
      </c>
      <c r="K520" s="653" t="s">
        <v>769</v>
      </c>
      <c r="L520" s="653" t="s">
        <v>769</v>
      </c>
      <c r="M520" s="653" t="s">
        <v>769</v>
      </c>
      <c r="N520" s="653" t="s">
        <v>769</v>
      </c>
      <c r="O520" s="665" t="s">
        <v>769</v>
      </c>
    </row>
    <row r="521" spans="2:15" x14ac:dyDescent="0.2">
      <c r="B521" s="345" t="s">
        <v>775</v>
      </c>
      <c r="C521" s="673">
        <v>8280.82</v>
      </c>
      <c r="D521" s="673">
        <v>8415.0999999999985</v>
      </c>
      <c r="E521" s="673">
        <v>8616.69</v>
      </c>
      <c r="F521" s="673">
        <v>6911.0300000000007</v>
      </c>
      <c r="G521" s="673">
        <v>6487.08</v>
      </c>
      <c r="H521" s="673">
        <v>7014.43</v>
      </c>
      <c r="I521" s="673">
        <v>6455.3099999999995</v>
      </c>
      <c r="J521" s="673">
        <v>6150.46</v>
      </c>
      <c r="K521" s="673">
        <v>4877.9299999999994</v>
      </c>
      <c r="L521" s="673">
        <v>6191.5499999999993</v>
      </c>
      <c r="M521" s="673">
        <v>6972.12</v>
      </c>
      <c r="N521" s="673">
        <v>8775.2999999999993</v>
      </c>
      <c r="O521" s="632">
        <f>SUM(C521:N521)</f>
        <v>85147.819999999992</v>
      </c>
    </row>
    <row r="522" spans="2:15" x14ac:dyDescent="0.2">
      <c r="B522" s="345"/>
      <c r="C522" s="655" t="s">
        <v>776</v>
      </c>
      <c r="D522" s="655" t="s">
        <v>776</v>
      </c>
      <c r="E522" s="655" t="s">
        <v>776</v>
      </c>
      <c r="F522" s="655" t="s">
        <v>776</v>
      </c>
      <c r="G522" s="655" t="s">
        <v>776</v>
      </c>
      <c r="H522" s="655" t="s">
        <v>776</v>
      </c>
      <c r="I522" s="655" t="s">
        <v>776</v>
      </c>
      <c r="J522" s="655" t="s">
        <v>776</v>
      </c>
      <c r="K522" s="655" t="s">
        <v>776</v>
      </c>
      <c r="L522" s="655" t="s">
        <v>776</v>
      </c>
      <c r="M522" s="655" t="s">
        <v>776</v>
      </c>
      <c r="N522" s="655" t="s">
        <v>776</v>
      </c>
      <c r="O522" s="655" t="s">
        <v>776</v>
      </c>
    </row>
    <row r="523" spans="2:15" x14ac:dyDescent="0.2">
      <c r="B523" s="345"/>
      <c r="C523" s="345"/>
      <c r="D523" s="345"/>
      <c r="E523" s="345"/>
      <c r="F523" s="345"/>
      <c r="G523" s="345"/>
      <c r="H523" s="345"/>
      <c r="I523" s="345"/>
      <c r="J523" s="345"/>
      <c r="K523" s="345"/>
      <c r="L523" s="345"/>
      <c r="M523" s="345"/>
      <c r="N523" s="345"/>
      <c r="O523" s="345"/>
    </row>
    <row r="524" spans="2:15" x14ac:dyDescent="0.2">
      <c r="B524" s="345" t="s">
        <v>777</v>
      </c>
      <c r="C524" s="672">
        <v>64.12</v>
      </c>
      <c r="D524" s="672">
        <v>64.12</v>
      </c>
      <c r="E524" s="672">
        <v>64.12</v>
      </c>
      <c r="F524" s="672">
        <v>69.06</v>
      </c>
      <c r="G524" s="672">
        <v>54.26</v>
      </c>
      <c r="H524" s="672">
        <v>49.33</v>
      </c>
      <c r="I524" s="672">
        <v>44.4</v>
      </c>
      <c r="J524" s="672">
        <v>59.19</v>
      </c>
      <c r="K524" s="672">
        <v>59.19</v>
      </c>
      <c r="L524" s="672">
        <v>64.12</v>
      </c>
      <c r="M524" s="672">
        <v>59.19</v>
      </c>
      <c r="N524" s="672">
        <v>64.12</v>
      </c>
      <c r="O524" s="671">
        <f>SUM(C524:N524)</f>
        <v>715.21999999999991</v>
      </c>
    </row>
    <row r="525" spans="2:15" x14ac:dyDescent="0.2">
      <c r="B525" s="345"/>
      <c r="C525" s="345"/>
      <c r="D525" s="345"/>
      <c r="E525" s="345"/>
      <c r="F525" s="345"/>
      <c r="G525" s="345"/>
      <c r="H525" s="345"/>
      <c r="I525" s="345"/>
      <c r="J525" s="345"/>
      <c r="K525" s="345"/>
      <c r="L525" s="345"/>
      <c r="M525" s="345"/>
      <c r="N525" s="345"/>
      <c r="O525" s="345"/>
    </row>
    <row r="526" spans="2:15" x14ac:dyDescent="0.2">
      <c r="B526" s="646" t="s">
        <v>816</v>
      </c>
      <c r="C526" s="345"/>
      <c r="D526" s="345"/>
      <c r="E526" s="345"/>
      <c r="F526" s="345"/>
      <c r="G526" s="345"/>
      <c r="H526" s="345"/>
      <c r="I526" s="345"/>
      <c r="J526" s="345"/>
      <c r="K526" s="345"/>
      <c r="L526" s="345"/>
      <c r="M526" s="345"/>
      <c r="N526" s="345"/>
      <c r="O526" s="345"/>
    </row>
    <row r="527" spans="2:15" x14ac:dyDescent="0.2">
      <c r="B527" s="345" t="s">
        <v>753</v>
      </c>
      <c r="C527" s="673">
        <v>20655.400000000001</v>
      </c>
      <c r="D527" s="673">
        <v>21144.68</v>
      </c>
      <c r="E527" s="673">
        <v>21295.18</v>
      </c>
      <c r="F527" s="673">
        <v>15340.52</v>
      </c>
      <c r="G527" s="673">
        <v>13407.78</v>
      </c>
      <c r="H527" s="673">
        <v>12346.09</v>
      </c>
      <c r="I527" s="673">
        <v>11854.98</v>
      </c>
      <c r="J527" s="673">
        <v>10840.63</v>
      </c>
      <c r="K527" s="673">
        <v>13081.94</v>
      </c>
      <c r="L527" s="673">
        <v>14460.7</v>
      </c>
      <c r="M527" s="673">
        <v>17209.02</v>
      </c>
      <c r="N527" s="673">
        <v>22254.2</v>
      </c>
      <c r="O527" s="632">
        <f>SUM(C527:N527)</f>
        <v>193891.12</v>
      </c>
    </row>
    <row r="528" spans="2:15" x14ac:dyDescent="0.2">
      <c r="B528" s="345" t="s">
        <v>760</v>
      </c>
      <c r="C528" s="673">
        <v>4187.0600000000004</v>
      </c>
      <c r="D528" s="673">
        <v>4100.6099999999997</v>
      </c>
      <c r="E528" s="673">
        <v>4554.91</v>
      </c>
      <c r="F528" s="673">
        <v>5392.57</v>
      </c>
      <c r="G528" s="673">
        <v>6053.47</v>
      </c>
      <c r="H528" s="673">
        <v>8697.2000000000007</v>
      </c>
      <c r="I528" s="673">
        <v>7510.95</v>
      </c>
      <c r="J528" s="673">
        <v>7610.76</v>
      </c>
      <c r="K528" s="673">
        <v>1551.84</v>
      </c>
      <c r="L528" s="673">
        <v>4113.97</v>
      </c>
      <c r="M528" s="673">
        <v>3707.33</v>
      </c>
      <c r="N528" s="673">
        <v>4071.68</v>
      </c>
      <c r="O528" s="632">
        <f>SUM(C528:N528)</f>
        <v>61552.350000000006</v>
      </c>
    </row>
    <row r="529" spans="1:17" x14ac:dyDescent="0.2">
      <c r="B529" s="345" t="s">
        <v>763</v>
      </c>
      <c r="C529" s="673">
        <v>0</v>
      </c>
      <c r="D529" s="673">
        <v>0</v>
      </c>
      <c r="E529" s="673">
        <v>0</v>
      </c>
      <c r="F529" s="673">
        <v>0</v>
      </c>
      <c r="G529" s="673">
        <v>0</v>
      </c>
      <c r="H529" s="673">
        <v>0</v>
      </c>
      <c r="I529" s="673">
        <v>0</v>
      </c>
      <c r="J529" s="673">
        <v>0</v>
      </c>
      <c r="K529" s="673">
        <v>0</v>
      </c>
      <c r="L529" s="673">
        <v>0</v>
      </c>
      <c r="M529" s="673">
        <v>0</v>
      </c>
      <c r="N529" s="673">
        <v>0</v>
      </c>
      <c r="O529" s="632">
        <f>SUM(C529:N529)</f>
        <v>0</v>
      </c>
    </row>
    <row r="530" spans="1:17" x14ac:dyDescent="0.2">
      <c r="B530" s="345" t="s">
        <v>815</v>
      </c>
      <c r="C530" s="673">
        <v>0</v>
      </c>
      <c r="D530" s="673">
        <v>0</v>
      </c>
      <c r="E530" s="673">
        <v>0</v>
      </c>
      <c r="F530" s="673">
        <v>0</v>
      </c>
      <c r="G530" s="673">
        <v>0</v>
      </c>
      <c r="H530" s="673">
        <v>0</v>
      </c>
      <c r="I530" s="673">
        <v>0</v>
      </c>
      <c r="J530" s="673">
        <v>0</v>
      </c>
      <c r="K530" s="673">
        <v>0</v>
      </c>
      <c r="L530" s="673">
        <v>0</v>
      </c>
      <c r="M530" s="673">
        <v>0</v>
      </c>
      <c r="N530" s="673">
        <v>0</v>
      </c>
      <c r="O530" s="632">
        <f>SUM(C530:N530)</f>
        <v>0</v>
      </c>
    </row>
    <row r="531" spans="1:17" x14ac:dyDescent="0.2">
      <c r="B531" s="345"/>
      <c r="C531" s="653" t="s">
        <v>769</v>
      </c>
      <c r="D531" s="653" t="s">
        <v>769</v>
      </c>
      <c r="E531" s="653" t="s">
        <v>769</v>
      </c>
      <c r="F531" s="653" t="s">
        <v>769</v>
      </c>
      <c r="G531" s="653" t="s">
        <v>769</v>
      </c>
      <c r="H531" s="653" t="s">
        <v>769</v>
      </c>
      <c r="I531" s="653" t="s">
        <v>769</v>
      </c>
      <c r="J531" s="653" t="s">
        <v>769</v>
      </c>
      <c r="K531" s="653" t="s">
        <v>769</v>
      </c>
      <c r="L531" s="653" t="s">
        <v>769</v>
      </c>
      <c r="M531" s="653" t="s">
        <v>769</v>
      </c>
      <c r="N531" s="653" t="s">
        <v>769</v>
      </c>
      <c r="O531" s="665" t="s">
        <v>769</v>
      </c>
    </row>
    <row r="532" spans="1:17" x14ac:dyDescent="0.2">
      <c r="B532" s="345" t="s">
        <v>775</v>
      </c>
      <c r="C532" s="673">
        <v>24842.460000000003</v>
      </c>
      <c r="D532" s="673">
        <v>25245.29</v>
      </c>
      <c r="E532" s="673">
        <v>25850.09</v>
      </c>
      <c r="F532" s="673">
        <v>20733.09</v>
      </c>
      <c r="G532" s="673">
        <v>19461.25</v>
      </c>
      <c r="H532" s="673">
        <v>21043.29</v>
      </c>
      <c r="I532" s="673">
        <v>19365.93</v>
      </c>
      <c r="J532" s="673">
        <v>18451.39</v>
      </c>
      <c r="K532" s="673">
        <v>14633.78</v>
      </c>
      <c r="L532" s="673">
        <v>18574.670000000002</v>
      </c>
      <c r="M532" s="673">
        <v>20916.349999999999</v>
      </c>
      <c r="N532" s="673">
        <v>26325.88</v>
      </c>
      <c r="O532" s="632">
        <f>SUM(C532:N532)</f>
        <v>255443.47</v>
      </c>
    </row>
    <row r="533" spans="1:17" x14ac:dyDescent="0.2">
      <c r="B533" s="345"/>
      <c r="C533" s="655" t="s">
        <v>776</v>
      </c>
      <c r="D533" s="655" t="s">
        <v>776</v>
      </c>
      <c r="E533" s="655" t="s">
        <v>776</v>
      </c>
      <c r="F533" s="655" t="s">
        <v>776</v>
      </c>
      <c r="G533" s="655" t="s">
        <v>776</v>
      </c>
      <c r="H533" s="655" t="s">
        <v>776</v>
      </c>
      <c r="I533" s="655" t="s">
        <v>776</v>
      </c>
      <c r="J533" s="655" t="s">
        <v>776</v>
      </c>
      <c r="K533" s="655" t="s">
        <v>776</v>
      </c>
      <c r="L533" s="655" t="s">
        <v>776</v>
      </c>
      <c r="M533" s="655" t="s">
        <v>776</v>
      </c>
      <c r="N533" s="655" t="s">
        <v>776</v>
      </c>
      <c r="O533" s="655" t="s">
        <v>776</v>
      </c>
    </row>
    <row r="534" spans="1:17" x14ac:dyDescent="0.2">
      <c r="B534" s="345"/>
      <c r="C534" s="651"/>
      <c r="D534" s="651"/>
      <c r="E534" s="651"/>
      <c r="F534" s="651"/>
      <c r="G534" s="651"/>
      <c r="H534" s="651"/>
      <c r="I534" s="651"/>
      <c r="J534" s="651"/>
      <c r="K534" s="651"/>
      <c r="L534" s="651"/>
      <c r="M534" s="651"/>
      <c r="N534" s="651"/>
      <c r="O534" s="345"/>
    </row>
    <row r="535" spans="1:17" x14ac:dyDescent="0.2">
      <c r="B535" s="345" t="s">
        <v>777</v>
      </c>
      <c r="C535" s="672">
        <v>192.37</v>
      </c>
      <c r="D535" s="672">
        <v>192.37</v>
      </c>
      <c r="E535" s="672">
        <v>192.37</v>
      </c>
      <c r="F535" s="672">
        <v>207.17</v>
      </c>
      <c r="G535" s="672">
        <v>162.77000000000001</v>
      </c>
      <c r="H535" s="672">
        <v>147.97999999999999</v>
      </c>
      <c r="I535" s="672">
        <v>133.19999999999999</v>
      </c>
      <c r="J535" s="672">
        <v>177.57</v>
      </c>
      <c r="K535" s="672">
        <v>177.57</v>
      </c>
      <c r="L535" s="672">
        <v>192.37</v>
      </c>
      <c r="M535" s="672">
        <v>177.57</v>
      </c>
      <c r="N535" s="672">
        <v>192.37</v>
      </c>
      <c r="O535" s="671">
        <f>SUM(C535:N535)</f>
        <v>2145.6799999999998</v>
      </c>
    </row>
    <row r="536" spans="1:17" x14ac:dyDescent="0.2">
      <c r="B536" s="345"/>
      <c r="C536" s="345"/>
      <c r="D536" s="345"/>
      <c r="E536" s="345"/>
      <c r="F536" s="345"/>
      <c r="G536" s="345"/>
      <c r="H536" s="345"/>
      <c r="I536" s="345"/>
      <c r="J536" s="345"/>
      <c r="K536" s="345"/>
      <c r="L536" s="345"/>
      <c r="M536" s="345"/>
      <c r="N536" s="345"/>
      <c r="O536" s="345"/>
    </row>
    <row r="537" spans="1:17" x14ac:dyDescent="0.2">
      <c r="B537" s="345" t="s">
        <v>818</v>
      </c>
      <c r="C537" s="345"/>
      <c r="D537" s="345"/>
      <c r="E537" s="345"/>
      <c r="F537" s="345"/>
      <c r="G537" s="345"/>
      <c r="H537" s="345"/>
      <c r="I537" s="345"/>
      <c r="J537" s="345"/>
      <c r="K537" s="345"/>
      <c r="L537" s="345"/>
      <c r="M537" s="345"/>
      <c r="N537" s="345"/>
      <c r="O537" s="345"/>
    </row>
    <row r="538" spans="1:17" x14ac:dyDescent="0.2">
      <c r="B538" s="345" t="s">
        <v>1208</v>
      </c>
      <c r="C538" s="345"/>
      <c r="D538" s="345"/>
      <c r="E538" s="345"/>
      <c r="F538" s="345"/>
      <c r="G538" s="345"/>
      <c r="H538" s="345"/>
      <c r="I538" s="345"/>
      <c r="J538" s="345"/>
      <c r="K538" s="345"/>
      <c r="L538" s="345"/>
      <c r="M538" s="345"/>
      <c r="N538" s="345"/>
      <c r="O538" s="345"/>
    </row>
    <row r="540" spans="1:17" ht="15" x14ac:dyDescent="0.25">
      <c r="A540" s="930">
        <v>37</v>
      </c>
      <c r="B540" s="976" t="s">
        <v>724</v>
      </c>
      <c r="C540" s="975"/>
      <c r="D540" s="975"/>
      <c r="E540" s="975"/>
      <c r="F540" s="975"/>
      <c r="G540" s="975"/>
      <c r="H540" s="975"/>
      <c r="I540" s="975"/>
      <c r="J540" s="975"/>
      <c r="K540" s="975"/>
      <c r="L540" s="975"/>
      <c r="M540" s="975"/>
      <c r="N540" s="975"/>
      <c r="O540" s="975"/>
      <c r="P540" s="975"/>
      <c r="Q540" s="975"/>
    </row>
    <row r="541" spans="1:17" x14ac:dyDescent="0.2">
      <c r="B541" s="977" t="s">
        <v>337</v>
      </c>
      <c r="C541" s="978">
        <v>41791</v>
      </c>
      <c r="D541" s="978">
        <v>41821</v>
      </c>
      <c r="E541" s="978">
        <v>41852</v>
      </c>
      <c r="F541" s="978">
        <v>41883</v>
      </c>
      <c r="G541" s="978">
        <v>41913</v>
      </c>
      <c r="H541" s="978">
        <v>41944</v>
      </c>
      <c r="I541" s="978">
        <v>41974</v>
      </c>
      <c r="J541" s="978">
        <v>42005</v>
      </c>
      <c r="K541" s="978">
        <v>42036</v>
      </c>
      <c r="L541" s="978">
        <v>42064</v>
      </c>
      <c r="M541" s="978">
        <v>42095</v>
      </c>
      <c r="N541" s="978">
        <v>42125</v>
      </c>
      <c r="O541" s="978">
        <v>42156</v>
      </c>
      <c r="P541" s="978">
        <v>42186</v>
      </c>
      <c r="Q541" s="978">
        <v>42217</v>
      </c>
    </row>
    <row r="543" spans="1:17" ht="15" x14ac:dyDescent="0.25">
      <c r="B543" s="979" t="s">
        <v>409</v>
      </c>
      <c r="C543" s="980">
        <v>65400</v>
      </c>
      <c r="D543" s="980">
        <v>62600</v>
      </c>
      <c r="E543" s="980">
        <v>75400</v>
      </c>
      <c r="F543" s="980">
        <v>72000</v>
      </c>
      <c r="G543" s="980">
        <v>75000</v>
      </c>
      <c r="H543" s="980">
        <v>83000</v>
      </c>
      <c r="I543" s="980">
        <v>83000</v>
      </c>
      <c r="J543" s="980">
        <v>87600</v>
      </c>
      <c r="K543" s="980">
        <v>78000</v>
      </c>
      <c r="L543" s="980">
        <v>87200</v>
      </c>
      <c r="M543" s="980">
        <v>88200</v>
      </c>
      <c r="N543" s="980">
        <v>72600</v>
      </c>
      <c r="O543" s="980">
        <v>71200</v>
      </c>
      <c r="P543" s="980">
        <v>77200</v>
      </c>
      <c r="Q543" s="985">
        <v>0</v>
      </c>
    </row>
    <row r="544" spans="1:17" ht="15" x14ac:dyDescent="0.25">
      <c r="B544" s="979" t="s">
        <v>614</v>
      </c>
      <c r="C544" s="981">
        <v>16</v>
      </c>
      <c r="D544" s="981">
        <v>27</v>
      </c>
      <c r="E544" s="981">
        <v>23</v>
      </c>
      <c r="F544" s="981">
        <v>22</v>
      </c>
      <c r="G544" s="981">
        <v>21</v>
      </c>
      <c r="H544" s="981">
        <v>19</v>
      </c>
      <c r="I544" s="981">
        <v>17</v>
      </c>
      <c r="J544" s="981">
        <v>15</v>
      </c>
      <c r="K544" s="981">
        <v>20</v>
      </c>
      <c r="L544" s="981">
        <v>59</v>
      </c>
      <c r="M544" s="981">
        <v>17</v>
      </c>
      <c r="N544" s="981">
        <v>21</v>
      </c>
      <c r="O544" s="981">
        <v>24</v>
      </c>
      <c r="P544" s="981">
        <v>37</v>
      </c>
      <c r="Q544" s="985">
        <v>0</v>
      </c>
    </row>
    <row r="545" spans="1:18" ht="15" x14ac:dyDescent="0.25">
      <c r="B545" s="975"/>
      <c r="C545" s="975"/>
      <c r="D545" s="975"/>
      <c r="E545" s="975"/>
      <c r="F545" s="975"/>
      <c r="G545" s="975"/>
      <c r="H545" s="975"/>
      <c r="I545" s="975"/>
      <c r="J545" s="975"/>
      <c r="K545" s="975"/>
      <c r="L545" s="975"/>
      <c r="M545" s="975"/>
      <c r="N545" s="975"/>
      <c r="O545" s="975"/>
      <c r="P545" s="975"/>
      <c r="Q545" s="986">
        <v>0</v>
      </c>
    </row>
    <row r="546" spans="1:18" x14ac:dyDescent="0.2">
      <c r="B546" s="979" t="s">
        <v>347</v>
      </c>
      <c r="C546" s="982">
        <v>5628.77</v>
      </c>
      <c r="D546" s="982">
        <v>5526.73</v>
      </c>
      <c r="E546" s="982">
        <v>6463.28</v>
      </c>
      <c r="F546" s="982">
        <v>6206.95</v>
      </c>
      <c r="G546" s="982">
        <v>6454.92</v>
      </c>
      <c r="H546" s="982">
        <v>7033.84</v>
      </c>
      <c r="I546" s="982">
        <v>7257.95</v>
      </c>
      <c r="J546" s="982">
        <v>7902.84</v>
      </c>
      <c r="K546" s="982">
        <v>7022.37</v>
      </c>
      <c r="L546" s="982">
        <v>7897.36</v>
      </c>
      <c r="M546" s="982">
        <v>7767.58</v>
      </c>
      <c r="N546" s="982">
        <v>6580.62</v>
      </c>
      <c r="O546" s="982">
        <v>6484.38</v>
      </c>
      <c r="P546" s="982">
        <v>6845.41</v>
      </c>
      <c r="Q546" s="987">
        <v>0</v>
      </c>
    </row>
    <row r="547" spans="1:18" ht="15" x14ac:dyDescent="0.25">
      <c r="B547" s="983" t="s">
        <v>410</v>
      </c>
      <c r="C547" s="984">
        <v>197.87</v>
      </c>
      <c r="D547" s="984">
        <v>304.75</v>
      </c>
      <c r="E547" s="984">
        <v>276.69</v>
      </c>
      <c r="F547" s="984">
        <v>269.68</v>
      </c>
      <c r="G547" s="984">
        <v>262.66000000000003</v>
      </c>
      <c r="H547" s="984">
        <v>248.63</v>
      </c>
      <c r="I547" s="984">
        <v>234.6</v>
      </c>
      <c r="J547" s="984">
        <v>220.57</v>
      </c>
      <c r="K547" s="984">
        <v>255.64999999999998</v>
      </c>
      <c r="L547" s="984">
        <v>529.22</v>
      </c>
      <c r="M547" s="984">
        <v>234.60000000000002</v>
      </c>
      <c r="N547" s="984">
        <v>262.66000000000003</v>
      </c>
      <c r="O547" s="984">
        <v>283.70999999999998</v>
      </c>
      <c r="P547" s="984">
        <v>402.57000000000005</v>
      </c>
      <c r="Q547" s="985">
        <v>0</v>
      </c>
    </row>
    <row r="548" spans="1:18" ht="15" x14ac:dyDescent="0.25">
      <c r="B548" s="988"/>
      <c r="C548" s="989"/>
      <c r="D548" s="989"/>
      <c r="E548" s="989"/>
      <c r="F548" s="989"/>
      <c r="G548" s="989"/>
      <c r="H548" s="989"/>
      <c r="I548" s="989"/>
      <c r="J548" s="989"/>
      <c r="K548" s="989"/>
      <c r="L548" s="989"/>
      <c r="M548" s="989"/>
      <c r="N548" s="989"/>
      <c r="O548" s="989"/>
      <c r="P548" s="989"/>
      <c r="Q548" s="990"/>
    </row>
    <row r="549" spans="1:18" x14ac:dyDescent="0.2">
      <c r="A549" s="930">
        <v>38</v>
      </c>
      <c r="B549" s="666" t="s">
        <v>1216</v>
      </c>
      <c r="C549" s="497"/>
    </row>
    <row r="550" spans="1:18" x14ac:dyDescent="0.2">
      <c r="B550" s="130" t="s">
        <v>337</v>
      </c>
      <c r="C550" s="186" t="s">
        <v>977</v>
      </c>
      <c r="D550" s="131">
        <v>41821</v>
      </c>
      <c r="E550" s="131">
        <v>41852</v>
      </c>
      <c r="F550" s="131">
        <v>41883</v>
      </c>
      <c r="G550" s="131">
        <v>41913</v>
      </c>
      <c r="H550" s="131">
        <v>41944</v>
      </c>
      <c r="I550" s="131">
        <v>41974</v>
      </c>
      <c r="J550" s="131">
        <v>42005</v>
      </c>
      <c r="K550" s="131">
        <v>42036</v>
      </c>
      <c r="L550" s="131">
        <v>42064</v>
      </c>
      <c r="M550" s="131">
        <v>42095</v>
      </c>
      <c r="N550" s="131">
        <v>42125</v>
      </c>
      <c r="O550" s="131">
        <v>42156</v>
      </c>
      <c r="P550" s="131">
        <v>42186</v>
      </c>
      <c r="Q550" s="151">
        <v>42217</v>
      </c>
      <c r="R550" s="131">
        <v>42261</v>
      </c>
    </row>
    <row r="551" spans="1:18" x14ac:dyDescent="0.2">
      <c r="B551" s="135" t="s">
        <v>319</v>
      </c>
      <c r="C551" s="599" t="s">
        <v>653</v>
      </c>
      <c r="D551" s="157"/>
      <c r="E551" s="157"/>
      <c r="F551" s="599" t="s">
        <v>653</v>
      </c>
      <c r="G551" s="599" t="s">
        <v>653</v>
      </c>
      <c r="H551" s="599" t="s">
        <v>653</v>
      </c>
      <c r="I551" s="599" t="s">
        <v>653</v>
      </c>
      <c r="J551" s="599" t="s">
        <v>653</v>
      </c>
      <c r="K551" s="599" t="s">
        <v>653</v>
      </c>
      <c r="L551" s="599" t="s">
        <v>653</v>
      </c>
      <c r="M551" s="599" t="s">
        <v>653</v>
      </c>
      <c r="N551" s="599" t="s">
        <v>653</v>
      </c>
      <c r="O551" s="599" t="s">
        <v>653</v>
      </c>
      <c r="P551" s="599" t="s">
        <v>653</v>
      </c>
      <c r="Q551" s="599" t="s">
        <v>653</v>
      </c>
      <c r="R551" s="157"/>
    </row>
    <row r="552" spans="1:18" x14ac:dyDescent="0.2">
      <c r="B552" s="135" t="s">
        <v>343</v>
      </c>
      <c r="C552" s="599"/>
      <c r="D552" s="157"/>
      <c r="E552" s="157"/>
      <c r="F552" s="137"/>
      <c r="G552" s="137"/>
      <c r="H552" s="137"/>
      <c r="I552" s="136"/>
      <c r="J552" s="136"/>
      <c r="K552" s="136"/>
      <c r="L552" s="136"/>
      <c r="M552" s="136"/>
      <c r="N552" s="136"/>
      <c r="O552" s="136"/>
      <c r="P552" s="136"/>
      <c r="Q552" s="136"/>
      <c r="R552" s="157"/>
    </row>
    <row r="553" spans="1:18" x14ac:dyDescent="0.2">
      <c r="B553" s="153" t="s">
        <v>362</v>
      </c>
      <c r="C553" s="599"/>
      <c r="D553" s="157"/>
      <c r="E553" s="157"/>
      <c r="F553" s="141"/>
      <c r="G553" s="141"/>
      <c r="H553" s="141"/>
      <c r="I553" s="141"/>
      <c r="J553" s="141"/>
      <c r="K553" s="141"/>
      <c r="L553" s="141"/>
      <c r="M553" s="141"/>
      <c r="N553" s="141"/>
      <c r="O553" s="141"/>
      <c r="P553" s="141"/>
      <c r="Q553" s="141"/>
      <c r="R553" s="157"/>
    </row>
    <row r="554" spans="1:18" x14ac:dyDescent="0.2">
      <c r="B554" s="153" t="s">
        <v>641</v>
      </c>
      <c r="C554" s="599"/>
      <c r="D554" s="157"/>
      <c r="E554" s="157"/>
      <c r="F554" s="599" t="s">
        <v>653</v>
      </c>
      <c r="G554" s="599" t="s">
        <v>653</v>
      </c>
      <c r="H554" s="599" t="s">
        <v>653</v>
      </c>
      <c r="I554" s="599" t="s">
        <v>653</v>
      </c>
      <c r="J554" s="599" t="s">
        <v>653</v>
      </c>
      <c r="K554" s="599" t="s">
        <v>653</v>
      </c>
      <c r="L554" s="599" t="s">
        <v>653</v>
      </c>
      <c r="M554" s="599" t="s">
        <v>653</v>
      </c>
      <c r="N554" s="599" t="s">
        <v>653</v>
      </c>
      <c r="O554" s="599" t="s">
        <v>653</v>
      </c>
      <c r="P554" s="599" t="s">
        <v>653</v>
      </c>
      <c r="Q554" s="599" t="s">
        <v>653</v>
      </c>
      <c r="R554" s="157"/>
    </row>
    <row r="555" spans="1:18" x14ac:dyDescent="0.2">
      <c r="B555" s="135" t="s">
        <v>864</v>
      </c>
      <c r="C555" s="599"/>
      <c r="D555" s="157"/>
      <c r="E555" s="157"/>
      <c r="F555" s="599" t="s">
        <v>653</v>
      </c>
      <c r="G555" s="599" t="s">
        <v>653</v>
      </c>
      <c r="H555" s="599" t="s">
        <v>653</v>
      </c>
      <c r="I555" s="599" t="s">
        <v>653</v>
      </c>
      <c r="J555" s="599" t="s">
        <v>653</v>
      </c>
      <c r="K555" s="599" t="s">
        <v>653</v>
      </c>
      <c r="L555" s="599" t="s">
        <v>653</v>
      </c>
      <c r="M555" s="599" t="s">
        <v>653</v>
      </c>
      <c r="N555" s="599" t="s">
        <v>653</v>
      </c>
      <c r="O555" s="599" t="s">
        <v>653</v>
      </c>
      <c r="P555" s="599" t="s">
        <v>653</v>
      </c>
      <c r="Q555" s="599" t="s">
        <v>653</v>
      </c>
      <c r="R555" s="157"/>
    </row>
    <row r="556" spans="1:18" x14ac:dyDescent="0.2">
      <c r="B556" s="135" t="s">
        <v>324</v>
      </c>
      <c r="C556" s="599"/>
      <c r="D556" s="157"/>
      <c r="E556" s="157"/>
      <c r="F556" s="599" t="s">
        <v>653</v>
      </c>
      <c r="G556" s="599" t="s">
        <v>653</v>
      </c>
      <c r="H556" s="599" t="s">
        <v>653</v>
      </c>
      <c r="I556" s="599" t="s">
        <v>653</v>
      </c>
      <c r="J556" s="599" t="s">
        <v>653</v>
      </c>
      <c r="K556" s="599" t="s">
        <v>653</v>
      </c>
      <c r="L556" s="599" t="s">
        <v>653</v>
      </c>
      <c r="M556" s="599" t="s">
        <v>653</v>
      </c>
      <c r="N556" s="599" t="s">
        <v>653</v>
      </c>
      <c r="O556" s="599" t="s">
        <v>653</v>
      </c>
      <c r="P556" s="599" t="s">
        <v>653</v>
      </c>
      <c r="Q556" s="599" t="s">
        <v>653</v>
      </c>
      <c r="R556" s="157"/>
    </row>
    <row r="557" spans="1:18" x14ac:dyDescent="0.2">
      <c r="B557" s="144" t="s">
        <v>348</v>
      </c>
      <c r="C557" s="599"/>
      <c r="D557" s="157"/>
      <c r="E557" s="157"/>
      <c r="F557" s="736"/>
      <c r="G557" s="736"/>
      <c r="H557" s="736"/>
      <c r="I557" s="736"/>
      <c r="J557" s="731"/>
      <c r="K557" s="731"/>
      <c r="L557" s="731"/>
      <c r="M557" s="731"/>
      <c r="N557" s="731"/>
      <c r="O557" s="731"/>
      <c r="P557" s="731"/>
      <c r="Q557" s="731"/>
      <c r="R557" s="157"/>
    </row>
    <row r="558" spans="1:18" x14ac:dyDescent="0.2">
      <c r="B558" s="195" t="s">
        <v>1087</v>
      </c>
      <c r="C558" s="599"/>
      <c r="D558" s="157"/>
      <c r="E558" s="157"/>
      <c r="F558" s="731"/>
      <c r="G558" s="731"/>
      <c r="H558" s="731"/>
      <c r="I558" s="731"/>
      <c r="J558" s="731"/>
      <c r="K558" s="731"/>
      <c r="L558" s="731"/>
      <c r="M558" s="731"/>
      <c r="N558" s="731"/>
      <c r="O558" s="731"/>
      <c r="P558" s="731"/>
      <c r="Q558" s="731"/>
      <c r="R558" s="157"/>
    </row>
    <row r="559" spans="1:18" x14ac:dyDescent="0.2">
      <c r="B559" s="144" t="s">
        <v>883</v>
      </c>
      <c r="C559" s="607"/>
      <c r="D559" s="179"/>
      <c r="E559" s="179"/>
      <c r="F559" s="599" t="s">
        <v>653</v>
      </c>
      <c r="G559" s="599" t="s">
        <v>653</v>
      </c>
      <c r="H559" s="599" t="s">
        <v>653</v>
      </c>
      <c r="I559" s="599" t="s">
        <v>653</v>
      </c>
      <c r="J559" s="599" t="s">
        <v>653</v>
      </c>
      <c r="K559" s="599" t="s">
        <v>653</v>
      </c>
      <c r="L559" s="599" t="s">
        <v>653</v>
      </c>
      <c r="M559" s="599" t="s">
        <v>653</v>
      </c>
      <c r="N559" s="599" t="s">
        <v>653</v>
      </c>
      <c r="O559" s="599" t="s">
        <v>653</v>
      </c>
      <c r="P559" s="599" t="s">
        <v>653</v>
      </c>
      <c r="Q559" s="599" t="s">
        <v>653</v>
      </c>
      <c r="R559" s="179"/>
    </row>
    <row r="560" spans="1:18" ht="15" x14ac:dyDescent="0.25">
      <c r="B560" s="988"/>
      <c r="C560" s="989"/>
      <c r="D560" s="989"/>
      <c r="E560" s="989"/>
      <c r="F560" s="989"/>
      <c r="G560" s="989"/>
      <c r="H560" s="989"/>
      <c r="I560" s="989"/>
      <c r="J560" s="989"/>
      <c r="K560" s="989"/>
      <c r="L560" s="989"/>
      <c r="M560" s="989"/>
      <c r="N560" s="989"/>
      <c r="O560" s="989"/>
      <c r="P560" s="989"/>
      <c r="Q560" s="990"/>
    </row>
    <row r="561" spans="1:17" ht="15" x14ac:dyDescent="0.25">
      <c r="A561" s="930">
        <v>39</v>
      </c>
      <c r="B561" s="624" t="s">
        <v>751</v>
      </c>
      <c r="C561" s="625">
        <v>41829</v>
      </c>
      <c r="D561" s="625">
        <v>41860</v>
      </c>
      <c r="E561" s="625">
        <v>41891</v>
      </c>
      <c r="F561" s="625">
        <v>41921</v>
      </c>
      <c r="G561" s="625">
        <v>41952</v>
      </c>
      <c r="H561" s="625">
        <v>41982</v>
      </c>
      <c r="I561" s="625">
        <v>42013</v>
      </c>
      <c r="J561" s="625">
        <v>42044</v>
      </c>
      <c r="K561" s="625">
        <v>42072</v>
      </c>
      <c r="L561" s="625">
        <v>42103</v>
      </c>
      <c r="M561" s="625">
        <v>42133</v>
      </c>
      <c r="N561" s="625">
        <v>42164</v>
      </c>
      <c r="O561" s="626" t="s">
        <v>752</v>
      </c>
      <c r="P561" s="989"/>
      <c r="Q561" s="990"/>
    </row>
    <row r="562" spans="1:17" ht="15" x14ac:dyDescent="0.25">
      <c r="B562" s="345" t="s">
        <v>753</v>
      </c>
      <c r="C562" s="627"/>
      <c r="D562" s="627"/>
      <c r="E562" s="627"/>
      <c r="F562" s="627"/>
      <c r="G562" s="627"/>
      <c r="H562" s="627"/>
      <c r="I562" s="627"/>
      <c r="J562" s="627"/>
      <c r="K562" s="627"/>
      <c r="L562" s="627"/>
      <c r="M562" s="627"/>
      <c r="N562" s="627"/>
      <c r="O562" s="345"/>
      <c r="P562" s="989"/>
      <c r="Q562" s="990"/>
    </row>
    <row r="563" spans="1:17" ht="15" x14ac:dyDescent="0.25">
      <c r="B563" s="345" t="s">
        <v>754</v>
      </c>
      <c r="C563" s="627">
        <v>26340</v>
      </c>
      <c r="D563" s="627">
        <v>26467</v>
      </c>
      <c r="E563" s="627">
        <v>26621</v>
      </c>
      <c r="F563" s="627">
        <v>26782</v>
      </c>
      <c r="G563" s="627">
        <v>26905</v>
      </c>
      <c r="H563" s="627">
        <v>27033</v>
      </c>
      <c r="I563" s="627">
        <v>27164</v>
      </c>
      <c r="J563" s="627">
        <v>27293</v>
      </c>
      <c r="K563" s="627">
        <v>27426</v>
      </c>
      <c r="L563" s="627">
        <v>27579</v>
      </c>
      <c r="M563" s="627">
        <v>27704</v>
      </c>
      <c r="N563" s="627">
        <v>27844</v>
      </c>
      <c r="O563" s="628"/>
      <c r="P563" s="989"/>
      <c r="Q563" s="990"/>
    </row>
    <row r="564" spans="1:17" ht="15" x14ac:dyDescent="0.25">
      <c r="B564" s="345" t="s">
        <v>755</v>
      </c>
      <c r="C564" s="627">
        <v>26173</v>
      </c>
      <c r="D564" s="627">
        <v>26340</v>
      </c>
      <c r="E564" s="627">
        <v>26467</v>
      </c>
      <c r="F564" s="627">
        <v>26621</v>
      </c>
      <c r="G564" s="627">
        <v>26782</v>
      </c>
      <c r="H564" s="627">
        <v>26905</v>
      </c>
      <c r="I564" s="627">
        <v>27033</v>
      </c>
      <c r="J564" s="627">
        <v>27164</v>
      </c>
      <c r="K564" s="627">
        <v>27293</v>
      </c>
      <c r="L564" s="627">
        <v>27426</v>
      </c>
      <c r="M564" s="627">
        <v>27579</v>
      </c>
      <c r="N564" s="627">
        <v>27704</v>
      </c>
      <c r="O564" s="628"/>
      <c r="P564" s="989"/>
      <c r="Q564" s="990"/>
    </row>
    <row r="565" spans="1:17" ht="15" x14ac:dyDescent="0.25">
      <c r="B565" s="629" t="s">
        <v>756</v>
      </c>
      <c r="C565" s="627">
        <v>167</v>
      </c>
      <c r="D565" s="627">
        <v>127</v>
      </c>
      <c r="E565" s="627">
        <v>154</v>
      </c>
      <c r="F565" s="627">
        <v>161</v>
      </c>
      <c r="G565" s="627">
        <v>123</v>
      </c>
      <c r="H565" s="627">
        <v>128</v>
      </c>
      <c r="I565" s="627">
        <v>131</v>
      </c>
      <c r="J565" s="627">
        <v>129</v>
      </c>
      <c r="K565" s="627">
        <v>133</v>
      </c>
      <c r="L565" s="627">
        <v>153</v>
      </c>
      <c r="M565" s="627">
        <v>125</v>
      </c>
      <c r="N565" s="627">
        <v>140</v>
      </c>
      <c r="O565" s="628"/>
      <c r="P565" s="989"/>
      <c r="Q565" s="990"/>
    </row>
    <row r="566" spans="1:17" ht="15" x14ac:dyDescent="0.25">
      <c r="B566" s="630" t="s">
        <v>757</v>
      </c>
      <c r="C566" s="628">
        <v>167000</v>
      </c>
      <c r="D566" s="628">
        <v>127000</v>
      </c>
      <c r="E566" s="628">
        <v>154000</v>
      </c>
      <c r="F566" s="628">
        <v>161000</v>
      </c>
      <c r="G566" s="628">
        <v>123000</v>
      </c>
      <c r="H566" s="628">
        <v>128000</v>
      </c>
      <c r="I566" s="628">
        <v>131000</v>
      </c>
      <c r="J566" s="628">
        <v>129000</v>
      </c>
      <c r="K566" s="628">
        <v>133000</v>
      </c>
      <c r="L566" s="628">
        <v>153000</v>
      </c>
      <c r="M566" s="628">
        <v>125000</v>
      </c>
      <c r="N566" s="628">
        <v>140000</v>
      </c>
      <c r="O566" s="628">
        <f>SUM(C566:N566)</f>
        <v>1671000</v>
      </c>
      <c r="P566" s="989"/>
      <c r="Q566" s="990"/>
    </row>
    <row r="567" spans="1:17" ht="15" x14ac:dyDescent="0.25">
      <c r="B567" s="345" t="s">
        <v>758</v>
      </c>
      <c r="C567" s="631">
        <v>8.3199999999999996E-2</v>
      </c>
      <c r="D567" s="631">
        <v>8.1600000000000006E-2</v>
      </c>
      <c r="E567" s="631">
        <v>8.09E-2</v>
      </c>
      <c r="F567" s="631">
        <v>7.2400000000000006E-2</v>
      </c>
      <c r="G567" s="631">
        <v>7.6399999999999996E-2</v>
      </c>
      <c r="H567" s="631">
        <v>7.6799999999999993E-2</v>
      </c>
      <c r="I567" s="631">
        <v>7.5499999999999998E-2</v>
      </c>
      <c r="J567" s="631">
        <v>7.3999999999999996E-2</v>
      </c>
      <c r="K567" s="631">
        <v>7.51E-2</v>
      </c>
      <c r="L567" s="631">
        <v>7.6600000000000001E-2</v>
      </c>
      <c r="M567" s="631">
        <v>7.4399999999999994E-2</v>
      </c>
      <c r="N567" s="631">
        <v>8.3299999999999999E-2</v>
      </c>
      <c r="O567" s="631">
        <f>ROUND(O568/O566,4)</f>
        <v>7.7600000000000002E-2</v>
      </c>
      <c r="P567" s="989"/>
      <c r="Q567" s="990"/>
    </row>
    <row r="568" spans="1:17" ht="15" x14ac:dyDescent="0.25">
      <c r="B568" s="632" t="s">
        <v>759</v>
      </c>
      <c r="C568" s="633">
        <v>13894.4</v>
      </c>
      <c r="D568" s="633">
        <v>10363.200000000001</v>
      </c>
      <c r="E568" s="633">
        <v>12458.6</v>
      </c>
      <c r="F568" s="633">
        <v>11656.4</v>
      </c>
      <c r="G568" s="633">
        <v>9397.2000000000007</v>
      </c>
      <c r="H568" s="633">
        <v>9830.4</v>
      </c>
      <c r="I568" s="633">
        <v>9890.5</v>
      </c>
      <c r="J568" s="633">
        <v>9546</v>
      </c>
      <c r="K568" s="633">
        <v>9988.2999999999993</v>
      </c>
      <c r="L568" s="633">
        <v>11719.8</v>
      </c>
      <c r="M568" s="633">
        <v>9300</v>
      </c>
      <c r="N568" s="633">
        <v>11662</v>
      </c>
      <c r="O568" s="632">
        <f>SUM(C568:N568)</f>
        <v>129706.8</v>
      </c>
      <c r="P568" s="989"/>
      <c r="Q568" s="990"/>
    </row>
    <row r="569" spans="1:17" ht="15" x14ac:dyDescent="0.25">
      <c r="B569" s="345"/>
      <c r="C569" s="627"/>
      <c r="D569" s="627"/>
      <c r="E569" s="627"/>
      <c r="F569" s="627"/>
      <c r="G569" s="627"/>
      <c r="H569" s="627"/>
      <c r="I569" s="627"/>
      <c r="J569" s="627"/>
      <c r="K569" s="627"/>
      <c r="L569" s="627"/>
      <c r="M569" s="627"/>
      <c r="N569" s="627"/>
      <c r="O569" s="345"/>
      <c r="P569" s="989"/>
      <c r="Q569" s="990"/>
    </row>
    <row r="570" spans="1:17" ht="15" x14ac:dyDescent="0.25">
      <c r="B570" s="345" t="s">
        <v>760</v>
      </c>
      <c r="C570" s="627"/>
      <c r="D570" s="627"/>
      <c r="E570" s="627"/>
      <c r="F570" s="627"/>
      <c r="G570" s="627"/>
      <c r="H570" s="627"/>
      <c r="I570" s="627"/>
      <c r="J570" s="627"/>
      <c r="K570" s="627"/>
      <c r="L570" s="627"/>
      <c r="M570" s="627"/>
      <c r="N570" s="627"/>
      <c r="O570" s="345"/>
      <c r="P570" s="989"/>
      <c r="Q570" s="990"/>
    </row>
    <row r="571" spans="1:17" ht="15" x14ac:dyDescent="0.25">
      <c r="B571" s="345" t="s">
        <v>754</v>
      </c>
      <c r="C571" s="627">
        <v>11764</v>
      </c>
      <c r="D571" s="627">
        <v>11781</v>
      </c>
      <c r="E571" s="627">
        <v>11802</v>
      </c>
      <c r="F571" s="627">
        <v>11829</v>
      </c>
      <c r="G571" s="627">
        <v>11850</v>
      </c>
      <c r="H571" s="627">
        <v>11865</v>
      </c>
      <c r="I571" s="627">
        <v>11892</v>
      </c>
      <c r="J571" s="627">
        <v>11914</v>
      </c>
      <c r="K571" s="627">
        <v>11935</v>
      </c>
      <c r="L571" s="627">
        <v>11955</v>
      </c>
      <c r="M571" s="627">
        <v>11973</v>
      </c>
      <c r="N571" s="627">
        <v>11987</v>
      </c>
      <c r="O571" s="627"/>
      <c r="P571" s="989"/>
      <c r="Q571" s="990"/>
    </row>
    <row r="572" spans="1:17" ht="15" x14ac:dyDescent="0.25">
      <c r="B572" s="345" t="s">
        <v>755</v>
      </c>
      <c r="C572" s="627">
        <v>11744</v>
      </c>
      <c r="D572" s="627">
        <v>11764</v>
      </c>
      <c r="E572" s="627">
        <v>11781</v>
      </c>
      <c r="F572" s="627">
        <v>11802</v>
      </c>
      <c r="G572" s="627">
        <v>11829</v>
      </c>
      <c r="H572" s="627">
        <v>11850</v>
      </c>
      <c r="I572" s="627">
        <v>11865</v>
      </c>
      <c r="J572" s="627">
        <v>11892</v>
      </c>
      <c r="K572" s="627">
        <v>11914</v>
      </c>
      <c r="L572" s="627">
        <v>11935</v>
      </c>
      <c r="M572" s="627">
        <v>11955</v>
      </c>
      <c r="N572" s="627">
        <v>11973</v>
      </c>
      <c r="O572" s="627"/>
      <c r="P572" s="989"/>
      <c r="Q572" s="990"/>
    </row>
    <row r="573" spans="1:17" ht="15" x14ac:dyDescent="0.25">
      <c r="B573" s="345" t="s">
        <v>761</v>
      </c>
      <c r="C573" s="628">
        <v>20</v>
      </c>
      <c r="D573" s="628">
        <v>17</v>
      </c>
      <c r="E573" s="628">
        <v>21</v>
      </c>
      <c r="F573" s="628">
        <v>27</v>
      </c>
      <c r="G573" s="628">
        <v>21</v>
      </c>
      <c r="H573" s="628">
        <v>15</v>
      </c>
      <c r="I573" s="628">
        <v>27</v>
      </c>
      <c r="J573" s="628">
        <v>22</v>
      </c>
      <c r="K573" s="628">
        <v>21</v>
      </c>
      <c r="L573" s="628">
        <v>20</v>
      </c>
      <c r="M573" s="628">
        <v>18</v>
      </c>
      <c r="N573" s="628">
        <v>14</v>
      </c>
      <c r="O573" s="628">
        <f>SUM(C573:N573)</f>
        <v>243</v>
      </c>
      <c r="P573" s="989"/>
      <c r="Q573" s="990"/>
    </row>
    <row r="574" spans="1:17" ht="15" x14ac:dyDescent="0.25">
      <c r="B574" s="345" t="s">
        <v>762</v>
      </c>
      <c r="C574" s="634">
        <v>5.72</v>
      </c>
      <c r="D574" s="634">
        <v>5.08</v>
      </c>
      <c r="E574" s="634">
        <v>5.25</v>
      </c>
      <c r="F574" s="634">
        <v>5.25</v>
      </c>
      <c r="G574" s="634">
        <v>5.25</v>
      </c>
      <c r="H574" s="634">
        <v>5.86</v>
      </c>
      <c r="I574" s="634">
        <v>4.7</v>
      </c>
      <c r="J574" s="634">
        <v>4.2300000000000004</v>
      </c>
      <c r="K574" s="634">
        <v>4.2699999999999996</v>
      </c>
      <c r="L574" s="634">
        <v>3.71</v>
      </c>
      <c r="M574" s="634">
        <v>3.7</v>
      </c>
      <c r="N574" s="634">
        <v>4.0199999999999996</v>
      </c>
      <c r="O574" s="635">
        <f>ROUND(O575/O573,2)</f>
        <v>4.76</v>
      </c>
      <c r="P574" s="989"/>
      <c r="Q574" s="990"/>
    </row>
    <row r="575" spans="1:17" ht="15" x14ac:dyDescent="0.25">
      <c r="B575" s="632" t="s">
        <v>759</v>
      </c>
      <c r="C575" s="633">
        <v>114.4</v>
      </c>
      <c r="D575" s="633">
        <v>86.36</v>
      </c>
      <c r="E575" s="633">
        <v>110.25</v>
      </c>
      <c r="F575" s="633">
        <v>141.75</v>
      </c>
      <c r="G575" s="633">
        <v>110.25</v>
      </c>
      <c r="H575" s="633">
        <v>87.9</v>
      </c>
      <c r="I575" s="633">
        <v>126.9</v>
      </c>
      <c r="J575" s="633">
        <v>93.06</v>
      </c>
      <c r="K575" s="633">
        <v>89.67</v>
      </c>
      <c r="L575" s="633">
        <v>74.2</v>
      </c>
      <c r="M575" s="633">
        <v>66.599999999999994</v>
      </c>
      <c r="N575" s="633">
        <v>56.28</v>
      </c>
      <c r="O575" s="632">
        <f>SUM(C575:N575)</f>
        <v>1157.6199999999997</v>
      </c>
      <c r="P575" s="989"/>
      <c r="Q575" s="990"/>
    </row>
    <row r="576" spans="1:17" ht="15" x14ac:dyDescent="0.25">
      <c r="B576" s="345"/>
      <c r="C576" s="627"/>
      <c r="D576" s="627"/>
      <c r="E576" s="627"/>
      <c r="F576" s="627"/>
      <c r="G576" s="627"/>
      <c r="H576" s="627"/>
      <c r="I576" s="627"/>
      <c r="J576" s="627"/>
      <c r="K576" s="627"/>
      <c r="L576" s="627"/>
      <c r="M576" s="627"/>
      <c r="N576" s="627"/>
      <c r="O576" s="345"/>
      <c r="P576" s="989"/>
      <c r="Q576" s="990"/>
    </row>
    <row r="577" spans="2:17" ht="15" x14ac:dyDescent="0.25">
      <c r="B577" s="345" t="s">
        <v>763</v>
      </c>
      <c r="C577" s="627"/>
      <c r="D577" s="627"/>
      <c r="E577" s="627"/>
      <c r="F577" s="627"/>
      <c r="G577" s="627"/>
      <c r="H577" s="627"/>
      <c r="I577" s="627"/>
      <c r="J577" s="627"/>
      <c r="K577" s="627"/>
      <c r="L577" s="627"/>
      <c r="M577" s="627"/>
      <c r="N577" s="627"/>
      <c r="O577" s="345"/>
      <c r="P577" s="989"/>
      <c r="Q577" s="990"/>
    </row>
    <row r="578" spans="2:17" ht="15" x14ac:dyDescent="0.25">
      <c r="B578" s="345" t="s">
        <v>754</v>
      </c>
      <c r="C578" s="627">
        <v>32883900</v>
      </c>
      <c r="D578" s="627">
        <v>32997800</v>
      </c>
      <c r="E578" s="627">
        <v>33111300</v>
      </c>
      <c r="F578" s="627">
        <v>33253800</v>
      </c>
      <c r="G578" s="627">
        <v>33338900</v>
      </c>
      <c r="H578" s="627">
        <v>33390800</v>
      </c>
      <c r="I578" s="627">
        <v>33513200</v>
      </c>
      <c r="J578" s="627">
        <v>33651600</v>
      </c>
      <c r="K578" s="627">
        <v>33768000</v>
      </c>
      <c r="L578" s="627">
        <v>33884500</v>
      </c>
      <c r="M578" s="627">
        <v>33951000</v>
      </c>
      <c r="N578" s="627">
        <v>34019600</v>
      </c>
      <c r="O578" s="628"/>
      <c r="P578" s="989"/>
      <c r="Q578" s="990"/>
    </row>
    <row r="579" spans="2:17" ht="15" x14ac:dyDescent="0.25">
      <c r="B579" s="345" t="s">
        <v>755</v>
      </c>
      <c r="C579" s="627">
        <v>32858900</v>
      </c>
      <c r="D579" s="627">
        <v>32883900</v>
      </c>
      <c r="E579" s="627">
        <v>32997800</v>
      </c>
      <c r="F579" s="627">
        <v>33111300</v>
      </c>
      <c r="G579" s="627">
        <v>33253800</v>
      </c>
      <c r="H579" s="627">
        <v>33338900</v>
      </c>
      <c r="I579" s="627">
        <v>33390800</v>
      </c>
      <c r="J579" s="627">
        <v>33513200</v>
      </c>
      <c r="K579" s="627">
        <v>33651600</v>
      </c>
      <c r="L579" s="627">
        <v>33768000</v>
      </c>
      <c r="M579" s="627">
        <v>33884500</v>
      </c>
      <c r="N579" s="627">
        <v>33951000</v>
      </c>
      <c r="O579" s="628"/>
      <c r="P579" s="989"/>
      <c r="Q579" s="990"/>
    </row>
    <row r="580" spans="2:17" ht="15" x14ac:dyDescent="0.25">
      <c r="B580" s="630" t="s">
        <v>764</v>
      </c>
      <c r="C580" s="628">
        <v>25000</v>
      </c>
      <c r="D580" s="628">
        <v>113900</v>
      </c>
      <c r="E580" s="628">
        <v>113500</v>
      </c>
      <c r="F580" s="628">
        <v>142500</v>
      </c>
      <c r="G580" s="628">
        <v>85100</v>
      </c>
      <c r="H580" s="628">
        <v>51900</v>
      </c>
      <c r="I580" s="628">
        <v>122400</v>
      </c>
      <c r="J580" s="628">
        <v>138400</v>
      </c>
      <c r="K580" s="628">
        <v>116400</v>
      </c>
      <c r="L580" s="628">
        <v>116500</v>
      </c>
      <c r="M580" s="628">
        <v>66500</v>
      </c>
      <c r="N580" s="628">
        <v>68600</v>
      </c>
      <c r="O580" s="628" t="e">
        <f>SUM(GALLONS)</f>
        <v>#REF!</v>
      </c>
      <c r="P580" s="989"/>
      <c r="Q580" s="990"/>
    </row>
    <row r="581" spans="2:17" ht="15" x14ac:dyDescent="0.25">
      <c r="B581" s="345" t="s">
        <v>765</v>
      </c>
      <c r="C581" s="636">
        <v>3.8999999999999998E-3</v>
      </c>
      <c r="D581" s="636">
        <v>3.8999999999999998E-3</v>
      </c>
      <c r="E581" s="636">
        <v>3.8999999999999998E-3</v>
      </c>
      <c r="F581" s="636">
        <v>3.8999999999999998E-3</v>
      </c>
      <c r="G581" s="636">
        <v>3.8999999999999998E-3</v>
      </c>
      <c r="H581" s="636">
        <v>3.8999999999999998E-3</v>
      </c>
      <c r="I581" s="636">
        <v>3.8999999999999998E-3</v>
      </c>
      <c r="J581" s="636">
        <v>3.8999999999999998E-3</v>
      </c>
      <c r="K581" s="636">
        <v>4.0000000000000001E-3</v>
      </c>
      <c r="L581" s="636">
        <v>4.0000000000000001E-3</v>
      </c>
      <c r="M581" s="636">
        <v>4.1000000000000003E-3</v>
      </c>
      <c r="N581" s="636">
        <v>4.0000000000000001E-3</v>
      </c>
      <c r="O581" s="631" t="e">
        <f>ROUND(O582/O580,4)</f>
        <v>#REF!</v>
      </c>
      <c r="P581" s="989"/>
      <c r="Q581" s="990"/>
    </row>
    <row r="582" spans="2:17" ht="15" x14ac:dyDescent="0.25">
      <c r="B582" s="632" t="s">
        <v>759</v>
      </c>
      <c r="C582" s="635">
        <v>97.5</v>
      </c>
      <c r="D582" s="635">
        <v>444.21</v>
      </c>
      <c r="E582" s="635">
        <v>442.65</v>
      </c>
      <c r="F582" s="635">
        <v>555.75</v>
      </c>
      <c r="G582" s="635">
        <v>331.89</v>
      </c>
      <c r="H582" s="635">
        <v>202.41</v>
      </c>
      <c r="I582" s="635">
        <v>477.36</v>
      </c>
      <c r="J582" s="635">
        <v>539.76</v>
      </c>
      <c r="K582" s="635">
        <v>465.6</v>
      </c>
      <c r="L582" s="635">
        <v>466</v>
      </c>
      <c r="M582" s="635">
        <v>272.64999999999998</v>
      </c>
      <c r="N582" s="635">
        <v>274.39999999999998</v>
      </c>
      <c r="O582" s="632">
        <f>SUM(C582:N582)</f>
        <v>4570.1799999999994</v>
      </c>
      <c r="P582" s="989"/>
      <c r="Q582" s="990"/>
    </row>
    <row r="583" spans="2:17" ht="15" x14ac:dyDescent="0.25">
      <c r="B583" s="345"/>
      <c r="C583" s="627"/>
      <c r="D583" s="627"/>
      <c r="E583" s="627"/>
      <c r="F583" s="627"/>
      <c r="G583" s="627"/>
      <c r="H583" s="627"/>
      <c r="I583" s="627"/>
      <c r="J583" s="627"/>
      <c r="K583" s="627"/>
      <c r="L583" s="627"/>
      <c r="M583" s="627"/>
      <c r="N583" s="627"/>
      <c r="O583" s="345"/>
      <c r="P583" s="989"/>
      <c r="Q583" s="990"/>
    </row>
    <row r="584" spans="2:17" ht="15" x14ac:dyDescent="0.25">
      <c r="B584" s="345" t="s">
        <v>766</v>
      </c>
      <c r="C584" s="627"/>
      <c r="D584" s="627"/>
      <c r="E584" s="627"/>
      <c r="F584" s="627"/>
      <c r="G584" s="627"/>
      <c r="H584" s="627"/>
      <c r="I584" s="627"/>
      <c r="J584" s="627"/>
      <c r="K584" s="627"/>
      <c r="L584" s="627"/>
      <c r="M584" s="627"/>
      <c r="N584" s="627"/>
      <c r="O584" s="345"/>
      <c r="P584" s="989"/>
      <c r="Q584" s="990"/>
    </row>
    <row r="585" spans="2:17" ht="15" x14ac:dyDescent="0.25">
      <c r="B585" s="345" t="s">
        <v>765</v>
      </c>
      <c r="C585" s="636">
        <v>5.0000000000000001E-3</v>
      </c>
      <c r="D585" s="636">
        <v>5.4000000000000003E-3</v>
      </c>
      <c r="E585" s="636">
        <v>5.4000000000000003E-3</v>
      </c>
      <c r="F585" s="636">
        <v>5.3E-3</v>
      </c>
      <c r="G585" s="636">
        <v>5.3E-3</v>
      </c>
      <c r="H585" s="636">
        <v>5.7000000000000002E-3</v>
      </c>
      <c r="I585" s="636">
        <v>5.7000000000000002E-3</v>
      </c>
      <c r="J585" s="636">
        <v>5.7000000000000002E-3</v>
      </c>
      <c r="K585" s="636">
        <v>4.5999999999999999E-3</v>
      </c>
      <c r="L585" s="636">
        <v>4.5999999999999999E-3</v>
      </c>
      <c r="M585" s="636">
        <v>6.3E-3</v>
      </c>
      <c r="N585" s="636">
        <v>4.1999999999999997E-3</v>
      </c>
      <c r="O585" s="631" t="e">
        <f>ROUND(O586/O580,4)</f>
        <v>#REF!</v>
      </c>
      <c r="P585" s="989"/>
      <c r="Q585" s="990"/>
    </row>
    <row r="586" spans="2:17" ht="15" x14ac:dyDescent="0.25">
      <c r="B586" s="632" t="s">
        <v>759</v>
      </c>
      <c r="C586" s="632">
        <v>125</v>
      </c>
      <c r="D586" s="632">
        <v>615.05999999999995</v>
      </c>
      <c r="E586" s="632">
        <v>612.9</v>
      </c>
      <c r="F586" s="632">
        <v>755.25</v>
      </c>
      <c r="G586" s="632">
        <v>451.03</v>
      </c>
      <c r="H586" s="632">
        <v>295.83</v>
      </c>
      <c r="I586" s="632">
        <v>697.68</v>
      </c>
      <c r="J586" s="632">
        <v>788.88</v>
      </c>
      <c r="K586" s="632">
        <v>535.44000000000005</v>
      </c>
      <c r="L586" s="632">
        <v>535.9</v>
      </c>
      <c r="M586" s="632">
        <v>418.95</v>
      </c>
      <c r="N586" s="632">
        <v>288.12</v>
      </c>
      <c r="O586" s="632">
        <f>SUM(C586:N586)</f>
        <v>6120.0399999999991</v>
      </c>
      <c r="P586" s="989"/>
      <c r="Q586" s="990"/>
    </row>
    <row r="587" spans="2:17" ht="15" x14ac:dyDescent="0.25">
      <c r="B587" s="345"/>
      <c r="C587" s="632"/>
      <c r="D587" s="632"/>
      <c r="E587" s="632"/>
      <c r="F587" s="632"/>
      <c r="G587" s="632"/>
      <c r="H587" s="632"/>
      <c r="I587" s="632"/>
      <c r="J587" s="632"/>
      <c r="K587" s="632"/>
      <c r="L587" s="632"/>
      <c r="M587" s="632"/>
      <c r="N587" s="632"/>
      <c r="O587" s="632"/>
      <c r="P587" s="989"/>
      <c r="Q587" s="990"/>
    </row>
    <row r="588" spans="2:17" ht="15" x14ac:dyDescent="0.25">
      <c r="B588" s="345" t="s">
        <v>1191</v>
      </c>
      <c r="C588" s="632">
        <v>337499.13600000652</v>
      </c>
      <c r="D588" s="632">
        <v>367200.25600000616</v>
      </c>
      <c r="E588" s="632">
        <v>363899.90400000557</v>
      </c>
      <c r="F588" s="632">
        <v>314600.44800000748</v>
      </c>
      <c r="G588" s="632">
        <v>586699.77600000496</v>
      </c>
      <c r="H588" s="632">
        <v>638300.16000000539</v>
      </c>
      <c r="I588" s="632">
        <v>942000.12800002366</v>
      </c>
      <c r="J588" s="632">
        <v>738999.29600001173</v>
      </c>
      <c r="K588" s="632">
        <v>412600.32000000606</v>
      </c>
      <c r="L588" s="632">
        <v>359700.4800000051</v>
      </c>
      <c r="M588" s="632">
        <v>199000.06400000615</v>
      </c>
      <c r="N588" s="632">
        <v>119899.13599999847</v>
      </c>
      <c r="O588" s="632">
        <f>SUM(C588:N588)</f>
        <v>5380399.104000086</v>
      </c>
      <c r="P588" s="989"/>
      <c r="Q588" s="990"/>
    </row>
    <row r="589" spans="2:17" ht="15" x14ac:dyDescent="0.25">
      <c r="B589" s="345" t="s">
        <v>1192</v>
      </c>
      <c r="C589" s="673">
        <v>1618.07</v>
      </c>
      <c r="D589" s="673">
        <v>999.85</v>
      </c>
      <c r="E589" s="673">
        <v>1157.52</v>
      </c>
      <c r="F589" s="673">
        <v>1341.8</v>
      </c>
      <c r="G589" s="673">
        <v>1924.65</v>
      </c>
      <c r="H589" s="673">
        <v>2782.09</v>
      </c>
      <c r="I589" s="673">
        <v>2144.61</v>
      </c>
      <c r="J589" s="673">
        <v>1429.74</v>
      </c>
      <c r="K589" s="673">
        <v>1993.92</v>
      </c>
      <c r="L589" s="673">
        <v>1595.45</v>
      </c>
      <c r="M589" s="673">
        <v>1026.45</v>
      </c>
      <c r="N589" s="673">
        <v>1061.92</v>
      </c>
      <c r="O589" s="632">
        <f>SUM(C589:N589)</f>
        <v>19076.07</v>
      </c>
      <c r="P589" s="989"/>
      <c r="Q589" s="990"/>
    </row>
    <row r="590" spans="2:17" ht="15" x14ac:dyDescent="0.25">
      <c r="B590" s="345"/>
      <c r="C590" s="632"/>
      <c r="D590" s="632"/>
      <c r="E590" s="632"/>
      <c r="F590" s="632"/>
      <c r="G590" s="632"/>
      <c r="H590" s="632"/>
      <c r="I590" s="632"/>
      <c r="J590" s="632"/>
      <c r="K590" s="632"/>
      <c r="L590" s="632"/>
      <c r="M590" s="632"/>
      <c r="N590" s="632"/>
      <c r="O590" s="632"/>
      <c r="P590" s="989"/>
      <c r="Q590" s="990"/>
    </row>
    <row r="591" spans="2:17" ht="15" x14ac:dyDescent="0.25">
      <c r="B591" s="345" t="s">
        <v>1193</v>
      </c>
      <c r="C591" s="632">
        <v>173808.29866666842</v>
      </c>
      <c r="D591" s="632">
        <v>174383.2746666696</v>
      </c>
      <c r="E591" s="632">
        <v>148383.40266666972</v>
      </c>
      <c r="F591" s="632">
        <v>86333.269333333534</v>
      </c>
      <c r="G591" s="632">
        <v>35283.456000000275</v>
      </c>
      <c r="H591" s="632">
        <v>25399.978666666662</v>
      </c>
      <c r="I591" s="632">
        <v>27408.213333333395</v>
      </c>
      <c r="J591" s="632">
        <v>19616.768000000047</v>
      </c>
      <c r="K591" s="632">
        <v>66858.325333333167</v>
      </c>
      <c r="L591" s="632">
        <v>91574.954666666861</v>
      </c>
      <c r="M591" s="632">
        <v>108125.01333333399</v>
      </c>
      <c r="N591" s="632">
        <v>150958.42133333549</v>
      </c>
      <c r="O591" s="632">
        <f>SUM(C591:N591)</f>
        <v>1108133.3760000111</v>
      </c>
      <c r="P591" s="989"/>
      <c r="Q591" s="990"/>
    </row>
    <row r="592" spans="2:17" ht="15" x14ac:dyDescent="0.25">
      <c r="B592" s="345" t="s">
        <v>1192</v>
      </c>
      <c r="C592" s="632">
        <v>13161.77</v>
      </c>
      <c r="D592" s="632">
        <v>9856.7099999999991</v>
      </c>
      <c r="E592" s="632">
        <v>9022.2799999999988</v>
      </c>
      <c r="F592" s="632">
        <v>5693.2199999999993</v>
      </c>
      <c r="G592" s="632">
        <v>2707.2799999999997</v>
      </c>
      <c r="H592" s="632">
        <v>2999.43</v>
      </c>
      <c r="I592" s="632">
        <v>1454.57</v>
      </c>
      <c r="J592" s="632">
        <v>923.64</v>
      </c>
      <c r="K592" s="632">
        <v>3308.26</v>
      </c>
      <c r="L592" s="632">
        <v>5991.79</v>
      </c>
      <c r="M592" s="632">
        <v>7062.77</v>
      </c>
      <c r="N592" s="632">
        <v>8304.3700000000008</v>
      </c>
      <c r="O592" s="632">
        <f>SUM(C592:N592)</f>
        <v>70486.09</v>
      </c>
      <c r="P592" s="989"/>
      <c r="Q592" s="990"/>
    </row>
    <row r="593" spans="2:17" ht="15" x14ac:dyDescent="0.25">
      <c r="B593" s="345"/>
      <c r="C593" s="632"/>
      <c r="D593" s="632"/>
      <c r="E593" s="632"/>
      <c r="F593" s="632"/>
      <c r="G593" s="632"/>
      <c r="H593" s="632"/>
      <c r="I593" s="632"/>
      <c r="J593" s="632"/>
      <c r="K593" s="632"/>
      <c r="L593" s="632"/>
      <c r="M593" s="632"/>
      <c r="N593" s="632"/>
      <c r="O593" s="632"/>
      <c r="P593" s="989"/>
      <c r="Q593" s="990"/>
    </row>
    <row r="594" spans="2:17" ht="15" x14ac:dyDescent="0.25">
      <c r="B594" s="629" t="s">
        <v>767</v>
      </c>
      <c r="C594" s="632"/>
      <c r="D594" s="632"/>
      <c r="E594" s="632"/>
      <c r="F594" s="632"/>
      <c r="G594" s="632"/>
      <c r="H594" s="632"/>
      <c r="I594" s="632"/>
      <c r="J594" s="632"/>
      <c r="K594" s="632"/>
      <c r="L594" s="632"/>
      <c r="M594" s="632"/>
      <c r="N594" s="632"/>
      <c r="O594" s="632"/>
      <c r="P594" s="989"/>
      <c r="Q594" s="990"/>
    </row>
    <row r="595" spans="2:17" ht="15" x14ac:dyDescent="0.25">
      <c r="B595" s="345" t="s">
        <v>768</v>
      </c>
      <c r="C595" s="637">
        <v>0</v>
      </c>
      <c r="D595" s="637">
        <v>0</v>
      </c>
      <c r="E595" s="637">
        <v>0</v>
      </c>
      <c r="F595" s="637">
        <v>0</v>
      </c>
      <c r="G595" s="637">
        <v>0</v>
      </c>
      <c r="H595" s="637">
        <v>0</v>
      </c>
      <c r="I595" s="637">
        <v>0</v>
      </c>
      <c r="J595" s="637">
        <v>0</v>
      </c>
      <c r="K595" s="637">
        <v>0</v>
      </c>
      <c r="L595" s="637">
        <v>0</v>
      </c>
      <c r="M595" s="637">
        <v>0</v>
      </c>
      <c r="N595" s="637">
        <v>0</v>
      </c>
      <c r="O595" s="632">
        <f>SUM(C595:N595)</f>
        <v>0</v>
      </c>
      <c r="P595" s="989"/>
      <c r="Q595" s="990"/>
    </row>
    <row r="596" spans="2:17" ht="15" x14ac:dyDescent="0.25">
      <c r="B596" s="345" t="s">
        <v>759</v>
      </c>
      <c r="C596" s="635">
        <v>0</v>
      </c>
      <c r="D596" s="635">
        <v>0</v>
      </c>
      <c r="E596" s="635">
        <v>0</v>
      </c>
      <c r="F596" s="635">
        <v>0</v>
      </c>
      <c r="G596" s="635">
        <v>0</v>
      </c>
      <c r="H596" s="635">
        <v>0</v>
      </c>
      <c r="I596" s="635">
        <v>0</v>
      </c>
      <c r="J596" s="635">
        <v>0</v>
      </c>
      <c r="K596" s="635">
        <v>0</v>
      </c>
      <c r="L596" s="635">
        <v>0</v>
      </c>
      <c r="M596" s="635">
        <v>0</v>
      </c>
      <c r="N596" s="635">
        <v>0</v>
      </c>
      <c r="O596" s="632">
        <f>SUM(C596:N596)</f>
        <v>0</v>
      </c>
      <c r="P596" s="989"/>
      <c r="Q596" s="990"/>
    </row>
    <row r="597" spans="2:17" ht="15" x14ac:dyDescent="0.25">
      <c r="B597" s="345"/>
      <c r="C597" s="640" t="s">
        <v>769</v>
      </c>
      <c r="D597" s="640" t="s">
        <v>769</v>
      </c>
      <c r="E597" s="640" t="s">
        <v>769</v>
      </c>
      <c r="F597" s="640" t="s">
        <v>769</v>
      </c>
      <c r="G597" s="640" t="s">
        <v>769</v>
      </c>
      <c r="H597" s="640" t="s">
        <v>769</v>
      </c>
      <c r="I597" s="640" t="s">
        <v>769</v>
      </c>
      <c r="J597" s="640" t="s">
        <v>769</v>
      </c>
      <c r="K597" s="640" t="s">
        <v>769</v>
      </c>
      <c r="L597" s="640" t="s">
        <v>769</v>
      </c>
      <c r="M597" s="640" t="s">
        <v>769</v>
      </c>
      <c r="N597" s="640" t="s">
        <v>769</v>
      </c>
      <c r="O597" s="641" t="s">
        <v>769</v>
      </c>
      <c r="P597" s="989"/>
      <c r="Q597" s="990"/>
    </row>
    <row r="598" spans="2:17" ht="15" x14ac:dyDescent="0.25">
      <c r="B598" s="345"/>
      <c r="C598" s="627"/>
      <c r="D598" s="627"/>
      <c r="E598" s="627"/>
      <c r="F598" s="627"/>
      <c r="G598" s="627"/>
      <c r="H598" s="627"/>
      <c r="I598" s="627"/>
      <c r="J598" s="627"/>
      <c r="K598" s="627"/>
      <c r="L598" s="627"/>
      <c r="M598" s="627"/>
      <c r="N598" s="627"/>
      <c r="O598" s="345"/>
      <c r="P598" s="989"/>
      <c r="Q598" s="990"/>
    </row>
    <row r="599" spans="2:17" ht="15" x14ac:dyDescent="0.25">
      <c r="B599" s="632" t="s">
        <v>775</v>
      </c>
      <c r="C599" s="644">
        <f t="shared" ref="C599:M599" si="21">SUM(C589,C586,C582,C575,C568,C592)</f>
        <v>29011.14</v>
      </c>
      <c r="D599" s="644">
        <f t="shared" si="21"/>
        <v>22365.39</v>
      </c>
      <c r="E599" s="644">
        <f t="shared" si="21"/>
        <v>23804.199999999997</v>
      </c>
      <c r="F599" s="644">
        <f t="shared" si="21"/>
        <v>20144.169999999998</v>
      </c>
      <c r="G599" s="644">
        <f t="shared" si="21"/>
        <v>14922.3</v>
      </c>
      <c r="H599" s="644">
        <f t="shared" si="21"/>
        <v>16198.06</v>
      </c>
      <c r="I599" s="644">
        <f t="shared" si="21"/>
        <v>14791.619999999999</v>
      </c>
      <c r="J599" s="644">
        <f t="shared" si="21"/>
        <v>13321.08</v>
      </c>
      <c r="K599" s="644">
        <f t="shared" si="21"/>
        <v>16381.19</v>
      </c>
      <c r="L599" s="644">
        <f t="shared" si="21"/>
        <v>20383.14</v>
      </c>
      <c r="M599" s="644">
        <f t="shared" si="21"/>
        <v>18147.419999999998</v>
      </c>
      <c r="N599" s="644">
        <f>SUM(N589,N586,N582,N575,N568,N592)</f>
        <v>21647.09</v>
      </c>
      <c r="O599" s="632">
        <f>O586+O582+O575+O568+O596+O592+O589</f>
        <v>231116.80000000002</v>
      </c>
      <c r="P599" s="989"/>
      <c r="Q599" s="990"/>
    </row>
    <row r="600" spans="2:17" ht="15" x14ac:dyDescent="0.25">
      <c r="B600" s="345"/>
      <c r="C600" s="640" t="s">
        <v>776</v>
      </c>
      <c r="D600" s="640" t="s">
        <v>776</v>
      </c>
      <c r="E600" s="640" t="s">
        <v>776</v>
      </c>
      <c r="F600" s="640" t="s">
        <v>776</v>
      </c>
      <c r="G600" s="640" t="s">
        <v>776</v>
      </c>
      <c r="H600" s="640" t="s">
        <v>776</v>
      </c>
      <c r="I600" s="640" t="s">
        <v>776</v>
      </c>
      <c r="J600" s="640" t="s">
        <v>776</v>
      </c>
      <c r="K600" s="640" t="s">
        <v>776</v>
      </c>
      <c r="L600" s="640" t="s">
        <v>776</v>
      </c>
      <c r="M600" s="640" t="s">
        <v>776</v>
      </c>
      <c r="N600" s="640" t="s">
        <v>776</v>
      </c>
      <c r="O600" s="641" t="s">
        <v>776</v>
      </c>
      <c r="P600" s="989"/>
      <c r="Q600" s="990"/>
    </row>
    <row r="601" spans="2:17" ht="15" x14ac:dyDescent="0.25">
      <c r="B601" s="345"/>
      <c r="C601" s="627"/>
      <c r="D601" s="627"/>
      <c r="E601" s="627"/>
      <c r="F601" s="627"/>
      <c r="G601" s="627"/>
      <c r="H601" s="627"/>
      <c r="I601" s="627"/>
      <c r="J601" s="627"/>
      <c r="K601" s="627"/>
      <c r="L601" s="627"/>
      <c r="M601" s="627"/>
      <c r="N601" s="627"/>
      <c r="O601" s="345"/>
      <c r="P601" s="989"/>
      <c r="Q601" s="990"/>
    </row>
    <row r="602" spans="2:17" ht="15" x14ac:dyDescent="0.25">
      <c r="B602" s="345" t="s">
        <v>777</v>
      </c>
      <c r="C602" s="627"/>
      <c r="D602" s="627"/>
      <c r="E602" s="627"/>
      <c r="F602" s="627"/>
      <c r="G602" s="627"/>
      <c r="H602" s="627"/>
      <c r="I602" s="627"/>
      <c r="J602" s="627"/>
      <c r="K602" s="627"/>
      <c r="L602" s="627"/>
      <c r="M602" s="627"/>
      <c r="N602" s="627"/>
      <c r="O602" s="345"/>
      <c r="P602" s="989"/>
      <c r="Q602" s="990"/>
    </row>
    <row r="603" spans="2:17" ht="15" x14ac:dyDescent="0.25">
      <c r="B603" s="345" t="s">
        <v>778</v>
      </c>
      <c r="C603" s="635">
        <v>39.46</v>
      </c>
      <c r="D603" s="635">
        <v>39.46</v>
      </c>
      <c r="E603" s="635">
        <v>59.19</v>
      </c>
      <c r="F603" s="635">
        <v>39.46</v>
      </c>
      <c r="G603" s="635">
        <v>39.46</v>
      </c>
      <c r="H603" s="635">
        <v>39.46</v>
      </c>
      <c r="I603" s="635">
        <v>39.46</v>
      </c>
      <c r="J603" s="635">
        <v>39.46</v>
      </c>
      <c r="K603" s="635">
        <v>59.19</v>
      </c>
      <c r="L603" s="635">
        <v>39.46</v>
      </c>
      <c r="M603" s="635">
        <v>39.46</v>
      </c>
      <c r="N603" s="635">
        <v>39.46</v>
      </c>
      <c r="O603" s="644">
        <f>SUM(C603:N603)</f>
        <v>512.9799999999999</v>
      </c>
      <c r="P603" s="989"/>
      <c r="Q603" s="990"/>
    </row>
    <row r="604" spans="2:17" ht="15" x14ac:dyDescent="0.25">
      <c r="B604" s="345" t="s">
        <v>779</v>
      </c>
      <c r="C604" s="635">
        <v>0</v>
      </c>
      <c r="D604" s="635">
        <v>0</v>
      </c>
      <c r="E604" s="635">
        <v>0</v>
      </c>
      <c r="F604" s="635">
        <v>0</v>
      </c>
      <c r="G604" s="635">
        <v>0</v>
      </c>
      <c r="H604" s="635">
        <v>0</v>
      </c>
      <c r="I604" s="635">
        <v>0</v>
      </c>
      <c r="J604" s="635">
        <v>19.73</v>
      </c>
      <c r="K604" s="635">
        <v>0</v>
      </c>
      <c r="L604" s="635">
        <v>0</v>
      </c>
      <c r="M604" s="635">
        <v>0</v>
      </c>
      <c r="N604" s="635">
        <v>0</v>
      </c>
      <c r="O604" s="644">
        <f>SUM(C604:N604)</f>
        <v>19.73</v>
      </c>
      <c r="P604" s="989"/>
      <c r="Q604" s="990"/>
    </row>
    <row r="605" spans="2:17" ht="15" x14ac:dyDescent="0.25">
      <c r="B605" s="345"/>
      <c r="C605" s="645" t="s">
        <v>769</v>
      </c>
      <c r="D605" s="645" t="s">
        <v>769</v>
      </c>
      <c r="E605" s="645" t="s">
        <v>769</v>
      </c>
      <c r="F605" s="645" t="s">
        <v>769</v>
      </c>
      <c r="G605" s="645" t="s">
        <v>769</v>
      </c>
      <c r="H605" s="645" t="s">
        <v>769</v>
      </c>
      <c r="I605" s="645" t="s">
        <v>769</v>
      </c>
      <c r="J605" s="645" t="s">
        <v>769</v>
      </c>
      <c r="K605" s="645" t="s">
        <v>769</v>
      </c>
      <c r="L605" s="645" t="s">
        <v>769</v>
      </c>
      <c r="M605" s="645" t="s">
        <v>769</v>
      </c>
      <c r="N605" s="645" t="s">
        <v>769</v>
      </c>
      <c r="O605" s="641" t="s">
        <v>769</v>
      </c>
      <c r="P605" s="989"/>
      <c r="Q605" s="990"/>
    </row>
    <row r="606" spans="2:17" ht="15" x14ac:dyDescent="0.25">
      <c r="B606" s="629" t="s">
        <v>780</v>
      </c>
      <c r="C606" s="635">
        <v>39.46</v>
      </c>
      <c r="D606" s="635">
        <v>39.46</v>
      </c>
      <c r="E606" s="635">
        <v>59.19</v>
      </c>
      <c r="F606" s="635">
        <v>39.46</v>
      </c>
      <c r="G606" s="635">
        <v>39.46</v>
      </c>
      <c r="H606" s="635">
        <v>39.46</v>
      </c>
      <c r="I606" s="635">
        <v>39.46</v>
      </c>
      <c r="J606" s="635">
        <v>59.19</v>
      </c>
      <c r="K606" s="635">
        <v>59.19</v>
      </c>
      <c r="L606" s="635">
        <v>39.46</v>
      </c>
      <c r="M606" s="635">
        <v>39.46</v>
      </c>
      <c r="N606" s="635">
        <v>39.46</v>
      </c>
      <c r="O606" s="635">
        <f>O603+O604</f>
        <v>532.70999999999992</v>
      </c>
      <c r="P606" s="989"/>
      <c r="Q606" s="990"/>
    </row>
    <row r="607" spans="2:17" ht="15" x14ac:dyDescent="0.25">
      <c r="B607" s="345"/>
      <c r="C607" s="640" t="s">
        <v>776</v>
      </c>
      <c r="D607" s="640" t="s">
        <v>776</v>
      </c>
      <c r="E607" s="640" t="s">
        <v>776</v>
      </c>
      <c r="F607" s="640" t="s">
        <v>776</v>
      </c>
      <c r="G607" s="640" t="s">
        <v>776</v>
      </c>
      <c r="H607" s="640" t="s">
        <v>776</v>
      </c>
      <c r="I607" s="640" t="s">
        <v>776</v>
      </c>
      <c r="J607" s="640" t="s">
        <v>776</v>
      </c>
      <c r="K607" s="640" t="s">
        <v>776</v>
      </c>
      <c r="L607" s="640" t="s">
        <v>776</v>
      </c>
      <c r="M607" s="640" t="s">
        <v>776</v>
      </c>
      <c r="N607" s="640" t="s">
        <v>776</v>
      </c>
      <c r="O607" s="641" t="s">
        <v>776</v>
      </c>
      <c r="P607" s="989"/>
      <c r="Q607" s="990"/>
    </row>
    <row r="608" spans="2:17" ht="15" x14ac:dyDescent="0.25">
      <c r="B608" s="345" t="s">
        <v>781</v>
      </c>
      <c r="C608" s="627"/>
      <c r="D608" s="627"/>
      <c r="E608" s="627"/>
      <c r="F608" s="627"/>
      <c r="G608" s="627"/>
      <c r="H608" s="627"/>
      <c r="I608" s="627"/>
      <c r="J608" s="627"/>
      <c r="K608" s="627"/>
      <c r="L608" s="627"/>
      <c r="M608" s="627"/>
      <c r="N608" s="627"/>
      <c r="O608" s="345"/>
      <c r="P608" s="989"/>
      <c r="Q608" s="990"/>
    </row>
    <row r="609" spans="1:17" ht="15" x14ac:dyDescent="0.25">
      <c r="B609" s="345" t="s">
        <v>782</v>
      </c>
      <c r="C609" s="627"/>
      <c r="D609" s="627"/>
      <c r="E609" s="627"/>
      <c r="F609" s="627"/>
      <c r="G609" s="627"/>
      <c r="H609" s="627"/>
      <c r="I609" s="627"/>
      <c r="J609" s="627"/>
      <c r="K609" s="627"/>
      <c r="L609" s="627"/>
      <c r="M609" s="627"/>
      <c r="N609" s="627"/>
      <c r="O609" s="345"/>
      <c r="P609" s="989"/>
      <c r="Q609" s="990"/>
    </row>
    <row r="610" spans="1:17" ht="15" x14ac:dyDescent="0.25">
      <c r="B610" s="345"/>
      <c r="C610" s="627"/>
      <c r="D610" s="627"/>
      <c r="E610" s="627"/>
      <c r="F610" s="627"/>
      <c r="G610" s="627"/>
      <c r="H610" s="627"/>
      <c r="I610" s="627"/>
      <c r="J610" s="627"/>
      <c r="K610" s="627"/>
      <c r="L610" s="627"/>
      <c r="M610" s="627"/>
      <c r="N610" s="627"/>
      <c r="O610" s="345"/>
      <c r="P610" s="989"/>
      <c r="Q610" s="990"/>
    </row>
    <row r="611" spans="1:17" ht="15" x14ac:dyDescent="0.25">
      <c r="B611" s="345" t="s">
        <v>1211</v>
      </c>
      <c r="C611" s="627"/>
      <c r="D611" s="627"/>
      <c r="E611" s="627"/>
      <c r="F611" s="627"/>
      <c r="G611" s="627"/>
      <c r="H611" s="627"/>
      <c r="I611" s="627"/>
      <c r="J611" s="627"/>
      <c r="K611" s="627"/>
      <c r="L611" s="627"/>
      <c r="M611" s="627"/>
      <c r="N611" s="627"/>
      <c r="O611" s="345"/>
      <c r="P611" s="989"/>
      <c r="Q611" s="990"/>
    </row>
    <row r="612" spans="1:17" ht="15" x14ac:dyDescent="0.25">
      <c r="B612" s="345" t="s">
        <v>1212</v>
      </c>
      <c r="C612" s="627"/>
      <c r="D612" s="627"/>
      <c r="E612" s="627"/>
      <c r="F612" s="627"/>
      <c r="G612" s="627"/>
      <c r="H612" s="627"/>
      <c r="I612" s="627"/>
      <c r="J612" s="627"/>
      <c r="K612" s="627"/>
      <c r="L612" s="627"/>
      <c r="M612" s="627"/>
      <c r="N612" s="627"/>
      <c r="O612" s="345"/>
      <c r="P612" s="989"/>
      <c r="Q612" s="990"/>
    </row>
    <row r="613" spans="1:17" ht="15" x14ac:dyDescent="0.25">
      <c r="B613" s="345"/>
      <c r="C613" s="627"/>
      <c r="D613" s="627"/>
      <c r="E613" s="627"/>
      <c r="F613" s="627"/>
      <c r="G613" s="627"/>
      <c r="H613" s="627"/>
      <c r="I613" s="627"/>
      <c r="J613" s="627"/>
      <c r="K613" s="627"/>
      <c r="L613" s="627"/>
      <c r="M613" s="627"/>
      <c r="N613" s="627"/>
      <c r="O613" s="345"/>
      <c r="P613" s="989"/>
      <c r="Q613" s="990"/>
    </row>
    <row r="614" spans="1:17" ht="15" x14ac:dyDescent="0.25">
      <c r="B614" s="345" t="s">
        <v>1194</v>
      </c>
      <c r="C614" s="345" t="s">
        <v>1195</v>
      </c>
      <c r="D614" s="627"/>
      <c r="E614" s="345" t="s">
        <v>1213</v>
      </c>
      <c r="F614" s="627"/>
      <c r="G614" s="345" t="s">
        <v>1197</v>
      </c>
      <c r="H614" s="627"/>
      <c r="I614" s="345" t="s">
        <v>1198</v>
      </c>
      <c r="J614" s="627"/>
      <c r="K614" s="345" t="s">
        <v>1199</v>
      </c>
      <c r="L614" s="627"/>
      <c r="M614" s="627"/>
      <c r="N614" s="627"/>
      <c r="O614" s="345"/>
      <c r="P614" s="989"/>
      <c r="Q614" s="990"/>
    </row>
    <row r="615" spans="1:17" ht="15" x14ac:dyDescent="0.25">
      <c r="B615" s="345" t="s">
        <v>1200</v>
      </c>
      <c r="C615" s="345" t="s">
        <v>1214</v>
      </c>
      <c r="D615" s="627"/>
      <c r="E615" s="345" t="s">
        <v>1202</v>
      </c>
      <c r="F615" s="627"/>
      <c r="G615" s="345" t="s">
        <v>1203</v>
      </c>
      <c r="H615" s="627"/>
      <c r="I615" s="345" t="s">
        <v>1204</v>
      </c>
      <c r="J615" s="627"/>
      <c r="K615" s="345" t="s">
        <v>1205</v>
      </c>
      <c r="L615" s="627"/>
      <c r="M615" s="627"/>
      <c r="N615" s="627"/>
      <c r="O615" s="345"/>
      <c r="P615" s="989"/>
      <c r="Q615" s="990"/>
    </row>
    <row r="616" spans="1:17" ht="15" x14ac:dyDescent="0.25">
      <c r="B616" s="988"/>
      <c r="C616" s="989"/>
      <c r="D616" s="989"/>
      <c r="E616" s="989"/>
      <c r="F616" s="989"/>
      <c r="G616" s="989"/>
      <c r="H616" s="989"/>
      <c r="I616" s="989"/>
      <c r="J616" s="989"/>
      <c r="K616" s="989"/>
      <c r="L616" s="989"/>
      <c r="M616" s="989"/>
      <c r="N616" s="989"/>
      <c r="O616" s="989"/>
      <c r="P616" s="989"/>
      <c r="Q616" s="990"/>
    </row>
    <row r="617" spans="1:17" ht="15" x14ac:dyDescent="0.25">
      <c r="A617" s="930">
        <v>40</v>
      </c>
      <c r="B617" s="666" t="s">
        <v>1222</v>
      </c>
      <c r="C617" s="497"/>
      <c r="Q617" s="990"/>
    </row>
    <row r="618" spans="1:17" ht="15" x14ac:dyDescent="0.25">
      <c r="B618" s="130" t="s">
        <v>337</v>
      </c>
      <c r="C618" s="1269" t="s">
        <v>977</v>
      </c>
      <c r="D618" s="1270">
        <v>41821</v>
      </c>
      <c r="E618" s="451">
        <v>41852</v>
      </c>
      <c r="F618" s="451">
        <v>41883</v>
      </c>
      <c r="G618" s="451">
        <v>41913</v>
      </c>
      <c r="H618" s="451">
        <v>41944</v>
      </c>
      <c r="I618" s="451">
        <v>41974</v>
      </c>
      <c r="J618" s="451">
        <v>42005</v>
      </c>
      <c r="K618" s="451">
        <v>42036</v>
      </c>
      <c r="L618" s="451">
        <v>42064</v>
      </c>
      <c r="M618" s="451">
        <v>42095</v>
      </c>
      <c r="N618" s="451">
        <v>42125</v>
      </c>
      <c r="O618" s="451">
        <v>42156</v>
      </c>
      <c r="P618" s="451">
        <v>42186</v>
      </c>
      <c r="Q618" s="990"/>
    </row>
    <row r="619" spans="1:17" ht="26.25" x14ac:dyDescent="0.25">
      <c r="B619" s="1271" t="s">
        <v>1223</v>
      </c>
      <c r="C619" s="1272"/>
      <c r="D619" s="1273"/>
      <c r="E619" s="1274">
        <v>90148</v>
      </c>
      <c r="F619" s="1274">
        <v>98775</v>
      </c>
      <c r="G619" s="1274">
        <v>95992</v>
      </c>
      <c r="H619" s="1274">
        <v>90698</v>
      </c>
      <c r="I619" s="1274">
        <v>65871</v>
      </c>
      <c r="J619" s="1274">
        <v>97417</v>
      </c>
      <c r="K619" s="1274">
        <v>90794</v>
      </c>
      <c r="L619" s="1274">
        <v>99425</v>
      </c>
      <c r="M619" s="1274">
        <v>95630</v>
      </c>
      <c r="N619" s="1274">
        <v>179402</v>
      </c>
      <c r="O619" s="1274">
        <v>67828</v>
      </c>
      <c r="P619" s="1275">
        <v>68049</v>
      </c>
      <c r="Q619" s="990"/>
    </row>
    <row r="620" spans="1:17" ht="26.25" x14ac:dyDescent="0.25">
      <c r="B620" s="1276" t="s">
        <v>1224</v>
      </c>
      <c r="C620" s="1277"/>
      <c r="D620" s="1278"/>
      <c r="E620" s="1279">
        <v>4609.7442081406625</v>
      </c>
      <c r="F620" s="1279">
        <v>4992.7298799824257</v>
      </c>
      <c r="G620" s="1279">
        <v>5968.693367495639</v>
      </c>
      <c r="H620" s="1279">
        <v>8884.1676278802697</v>
      </c>
      <c r="I620" s="1279">
        <v>9337.0673507827887</v>
      </c>
      <c r="J620" s="1279">
        <v>10576.020999377944</v>
      </c>
      <c r="K620" s="1279">
        <v>9202.8223731202397</v>
      </c>
      <c r="L620" s="1279">
        <v>7797.3749533458322</v>
      </c>
      <c r="M620" s="1279">
        <v>5759.5345258240059</v>
      </c>
      <c r="N620" s="1279">
        <v>3937.1860363750257</v>
      </c>
      <c r="O620" s="1279">
        <v>3772.6088601592983</v>
      </c>
      <c r="P620" s="1279">
        <v>3816.8572047519824</v>
      </c>
      <c r="Q620" s="990"/>
    </row>
    <row r="621" spans="1:17" ht="26.25" x14ac:dyDescent="0.25">
      <c r="B621" s="1280" t="s">
        <v>1225</v>
      </c>
      <c r="C621" s="1281"/>
      <c r="D621" s="1282"/>
      <c r="E621" s="1283">
        <v>111374.42221170281</v>
      </c>
      <c r="F621" s="1283">
        <v>96537.33895656692</v>
      </c>
      <c r="G621" s="1283">
        <v>71467.210301534913</v>
      </c>
      <c r="H621" s="1283">
        <v>160197.8071316063</v>
      </c>
      <c r="I621" s="1283">
        <v>19567.311350078759</v>
      </c>
      <c r="J621" s="1283">
        <v>17388.774286588025</v>
      </c>
      <c r="K621" s="1283">
        <v>13207.042400465834</v>
      </c>
      <c r="L621" s="1283">
        <v>44098.372955695566</v>
      </c>
      <c r="M621" s="1283">
        <v>64527.85053013674</v>
      </c>
      <c r="N621" s="1283">
        <v>162181.94301501391</v>
      </c>
      <c r="O621" s="1283">
        <v>93334.83530572406</v>
      </c>
      <c r="P621" s="1283">
        <v>111579.65689408158</v>
      </c>
      <c r="Q621" s="990"/>
    </row>
    <row r="622" spans="1:17" ht="26.25" x14ac:dyDescent="0.25">
      <c r="B622" s="1284" t="s">
        <v>1226</v>
      </c>
      <c r="C622" s="1285"/>
      <c r="D622" s="1286"/>
      <c r="E622" s="1287">
        <v>678</v>
      </c>
      <c r="F622" s="1287">
        <v>765</v>
      </c>
      <c r="G622" s="1287">
        <v>765</v>
      </c>
      <c r="H622" s="1287">
        <v>851</v>
      </c>
      <c r="I622" s="1287">
        <v>613</v>
      </c>
      <c r="J622" s="1287">
        <v>999</v>
      </c>
      <c r="K622" s="1287">
        <v>942</v>
      </c>
      <c r="L622" s="1287">
        <v>763</v>
      </c>
      <c r="M622" s="1287">
        <v>1071</v>
      </c>
      <c r="N622" s="1287">
        <v>1126</v>
      </c>
      <c r="O622" s="1287">
        <v>1400</v>
      </c>
      <c r="P622" s="1288">
        <v>2270</v>
      </c>
      <c r="Q622" s="990"/>
    </row>
    <row r="623" spans="1:17" ht="15" x14ac:dyDescent="0.25">
      <c r="B623" s="1289" t="s">
        <v>864</v>
      </c>
      <c r="C623" s="599"/>
      <c r="D623" s="157"/>
      <c r="E623" s="1290">
        <v>99.75</v>
      </c>
      <c r="F623" s="1290">
        <v>106</v>
      </c>
      <c r="G623" s="1290">
        <v>78.790000000000006</v>
      </c>
      <c r="H623" s="1290">
        <v>82.91</v>
      </c>
      <c r="I623" s="1290">
        <v>33.700000000000003</v>
      </c>
      <c r="J623" s="1290">
        <v>99.76</v>
      </c>
      <c r="K623" s="1290">
        <v>81.819999999999993</v>
      </c>
      <c r="L623" s="1290">
        <v>81.819999999999993</v>
      </c>
      <c r="M623" s="1290">
        <v>86.51</v>
      </c>
      <c r="N623" s="1290">
        <v>30.02</v>
      </c>
      <c r="O623" s="1290">
        <v>32.47</v>
      </c>
      <c r="P623" s="1291">
        <v>23.01</v>
      </c>
      <c r="Q623" s="990"/>
    </row>
    <row r="624" spans="1:17" ht="39" x14ac:dyDescent="0.25">
      <c r="B624" s="1271" t="s">
        <v>1227</v>
      </c>
      <c r="C624" s="1272"/>
      <c r="D624" s="1273"/>
      <c r="E624" s="1292">
        <v>6400.5079999999998</v>
      </c>
      <c r="F624" s="1292">
        <v>7013.0249999999996</v>
      </c>
      <c r="G624" s="1292">
        <v>6815.4319999999998</v>
      </c>
      <c r="H624" s="1292">
        <v>6439.5579999999991</v>
      </c>
      <c r="I624" s="1292">
        <v>4676.8409999999994</v>
      </c>
      <c r="J624" s="1292">
        <v>6916.6069999999991</v>
      </c>
      <c r="K624" s="1292">
        <v>6446.3739999999998</v>
      </c>
      <c r="L624" s="1292">
        <v>7059.1749999999993</v>
      </c>
      <c r="M624" s="1292">
        <v>6789.73</v>
      </c>
      <c r="N624" s="1292">
        <v>12737.541999999999</v>
      </c>
      <c r="O624" s="1292">
        <v>4815.7879999999996</v>
      </c>
      <c r="P624" s="1292">
        <v>4831.4789999999994</v>
      </c>
      <c r="Q624" s="990"/>
    </row>
    <row r="625" spans="1:18" ht="26.25" x14ac:dyDescent="0.25">
      <c r="B625" s="1293" t="s">
        <v>1228</v>
      </c>
      <c r="C625" s="1277"/>
      <c r="D625" s="1278"/>
      <c r="E625" s="1294">
        <v>2305.1887588903919</v>
      </c>
      <c r="F625" s="1294">
        <v>2563.2682703549199</v>
      </c>
      <c r="G625" s="1294">
        <v>3062.017111295746</v>
      </c>
      <c r="H625" s="1294">
        <v>4136.1360933083351</v>
      </c>
      <c r="I625" s="1294">
        <v>4879.6141118395008</v>
      </c>
      <c r="J625" s="1294">
        <v>4348.8289694322766</v>
      </c>
      <c r="K625" s="1294">
        <v>3881.8172744831068</v>
      </c>
      <c r="L625" s="1294">
        <v>2986.1674489631682</v>
      </c>
      <c r="M625" s="1294">
        <v>2144.4039407959704</v>
      </c>
      <c r="N625" s="1294">
        <v>1467.4534333552283</v>
      </c>
      <c r="O625" s="1294">
        <v>1529.7069376769921</v>
      </c>
      <c r="P625" s="1294">
        <v>1530.4944082163533</v>
      </c>
      <c r="Q625" s="990"/>
    </row>
    <row r="626" spans="1:18" ht="39" x14ac:dyDescent="0.25">
      <c r="B626" s="1295" t="s">
        <v>1229</v>
      </c>
      <c r="C626" s="1281"/>
      <c r="D626" s="1282"/>
      <c r="E626" s="1296">
        <v>7907.5839770308985</v>
      </c>
      <c r="F626" s="1296">
        <v>6854.1510659162504</v>
      </c>
      <c r="G626" s="1296">
        <v>5074.1719314089787</v>
      </c>
      <c r="H626" s="1296">
        <v>11374.044306344047</v>
      </c>
      <c r="I626" s="1296">
        <v>1389.2791058555918</v>
      </c>
      <c r="J626" s="1296">
        <v>1234.6029743477495</v>
      </c>
      <c r="K626" s="1296">
        <v>937.70001043307411</v>
      </c>
      <c r="L626" s="1296">
        <v>3130.984479854385</v>
      </c>
      <c r="M626" s="1296">
        <v>4581.4773876397085</v>
      </c>
      <c r="N626" s="1296">
        <v>11514.917954065986</v>
      </c>
      <c r="O626" s="1296">
        <v>6626.7733067064073</v>
      </c>
      <c r="P626" s="1296">
        <v>7922.1556394797917</v>
      </c>
      <c r="Q626" s="990"/>
    </row>
    <row r="627" spans="1:18" ht="26.25" x14ac:dyDescent="0.25">
      <c r="B627" s="1297" t="s">
        <v>1230</v>
      </c>
      <c r="C627" s="1298"/>
      <c r="D627" s="1299"/>
      <c r="E627" s="1300">
        <v>601.01</v>
      </c>
      <c r="F627" s="1300">
        <v>675.3</v>
      </c>
      <c r="G627" s="1300">
        <v>691.29</v>
      </c>
      <c r="H627" s="1300">
        <v>735.3</v>
      </c>
      <c r="I627" s="1300">
        <v>546.88</v>
      </c>
      <c r="J627" s="1300">
        <v>798.14</v>
      </c>
      <c r="K627" s="1300">
        <v>702.95</v>
      </c>
      <c r="L627" s="1300">
        <v>466.52</v>
      </c>
      <c r="M627" s="1300">
        <v>663.31</v>
      </c>
      <c r="N627" s="1300">
        <v>699.83</v>
      </c>
      <c r="O627" s="1300">
        <v>1002.98</v>
      </c>
      <c r="P627" s="1301">
        <v>1612.59</v>
      </c>
      <c r="Q627" s="990"/>
    </row>
    <row r="628" spans="1:18" ht="15" x14ac:dyDescent="0.25">
      <c r="B628" s="1302" t="s">
        <v>328</v>
      </c>
      <c r="E628" s="442">
        <v>684.94</v>
      </c>
      <c r="F628" s="442">
        <v>727.79</v>
      </c>
      <c r="G628" s="442">
        <v>587.91999999999996</v>
      </c>
      <c r="H628" s="442">
        <v>617.22</v>
      </c>
      <c r="I628" s="442">
        <v>332.09</v>
      </c>
      <c r="J628" s="442">
        <v>725.2</v>
      </c>
      <c r="K628" s="442">
        <v>619.23500000000001</v>
      </c>
      <c r="L628" s="442">
        <v>619.23500000000001</v>
      </c>
      <c r="M628" s="442">
        <v>639.47</v>
      </c>
      <c r="N628" s="442">
        <v>297.89</v>
      </c>
      <c r="O628" s="442">
        <v>297.76</v>
      </c>
      <c r="P628" s="442">
        <v>246.91</v>
      </c>
      <c r="Q628" s="990"/>
    </row>
    <row r="629" spans="1:18" ht="15" x14ac:dyDescent="0.25">
      <c r="B629" s="988"/>
      <c r="C629" s="989"/>
      <c r="D629" s="989"/>
      <c r="E629" s="989"/>
      <c r="F629" s="989"/>
      <c r="G629" s="989"/>
      <c r="H629" s="989"/>
      <c r="I629" s="989"/>
      <c r="J629" s="989"/>
      <c r="K629" s="989"/>
      <c r="L629" s="989"/>
      <c r="M629" s="989"/>
      <c r="N629" s="989"/>
      <c r="O629" s="989"/>
      <c r="P629" s="989"/>
      <c r="Q629" s="990"/>
    </row>
    <row r="630" spans="1:18" x14ac:dyDescent="0.2">
      <c r="A630" s="930">
        <v>41</v>
      </c>
      <c r="B630" s="666" t="s">
        <v>1008</v>
      </c>
      <c r="C630" s="497"/>
    </row>
    <row r="631" spans="1:18" x14ac:dyDescent="0.2">
      <c r="B631" s="130" t="s">
        <v>337</v>
      </c>
      <c r="C631" s="186" t="s">
        <v>977</v>
      </c>
      <c r="D631" s="131">
        <v>41821</v>
      </c>
      <c r="E631" s="131">
        <v>41852</v>
      </c>
      <c r="F631" s="131">
        <v>41883</v>
      </c>
      <c r="G631" s="131">
        <v>41913</v>
      </c>
      <c r="H631" s="131">
        <v>41944</v>
      </c>
      <c r="I631" s="131">
        <v>41974</v>
      </c>
      <c r="J631" s="131">
        <v>42005</v>
      </c>
      <c r="K631" s="131">
        <v>42036</v>
      </c>
      <c r="L631" s="131">
        <v>42064</v>
      </c>
      <c r="M631" s="131">
        <v>42095</v>
      </c>
      <c r="N631" s="131">
        <v>42125</v>
      </c>
      <c r="O631" s="131">
        <v>42156</v>
      </c>
      <c r="P631" s="131">
        <v>42186</v>
      </c>
      <c r="Q631" s="151">
        <v>42217</v>
      </c>
      <c r="R631" s="131" t="s">
        <v>338</v>
      </c>
    </row>
    <row r="632" spans="1:18" x14ac:dyDescent="0.2">
      <c r="B632" s="135" t="s">
        <v>319</v>
      </c>
      <c r="C632" s="599"/>
      <c r="D632" s="157"/>
      <c r="E632" s="157"/>
      <c r="F632" s="136"/>
      <c r="G632" s="136"/>
      <c r="H632" s="136"/>
      <c r="I632" s="136"/>
      <c r="J632" s="136"/>
      <c r="K632" s="136"/>
      <c r="L632" s="136"/>
      <c r="M632" s="136"/>
      <c r="N632" s="136"/>
      <c r="O632" s="136"/>
      <c r="P632" s="136"/>
      <c r="Q632" s="136"/>
      <c r="R632" s="141">
        <v>282277</v>
      </c>
    </row>
    <row r="633" spans="1:18" x14ac:dyDescent="0.2">
      <c r="B633" s="135" t="s">
        <v>343</v>
      </c>
      <c r="C633" s="599"/>
      <c r="D633" s="157"/>
      <c r="E633" s="157"/>
      <c r="F633" s="137" t="s">
        <v>330</v>
      </c>
      <c r="G633" s="137" t="s">
        <v>330</v>
      </c>
      <c r="H633" s="137" t="s">
        <v>330</v>
      </c>
      <c r="I633" s="137" t="s">
        <v>330</v>
      </c>
      <c r="J633" s="137" t="s">
        <v>330</v>
      </c>
      <c r="K633" s="137" t="s">
        <v>330</v>
      </c>
      <c r="L633" s="137" t="s">
        <v>330</v>
      </c>
      <c r="M633" s="137" t="s">
        <v>330</v>
      </c>
      <c r="N633" s="137" t="s">
        <v>330</v>
      </c>
      <c r="O633" s="137" t="s">
        <v>330</v>
      </c>
      <c r="P633" s="137" t="s">
        <v>330</v>
      </c>
      <c r="Q633" s="137" t="s">
        <v>330</v>
      </c>
      <c r="R633" s="137" t="s">
        <v>330</v>
      </c>
    </row>
    <row r="634" spans="1:18" x14ac:dyDescent="0.2">
      <c r="B634" s="153" t="s">
        <v>362</v>
      </c>
      <c r="C634" s="599"/>
      <c r="D634" s="157"/>
      <c r="E634" s="157"/>
      <c r="F634" s="137" t="s">
        <v>330</v>
      </c>
      <c r="G634" s="137" t="s">
        <v>330</v>
      </c>
      <c r="H634" s="137" t="s">
        <v>330</v>
      </c>
      <c r="I634" s="137" t="s">
        <v>330</v>
      </c>
      <c r="J634" s="137" t="s">
        <v>330</v>
      </c>
      <c r="K634" s="137" t="s">
        <v>330</v>
      </c>
      <c r="L634" s="137" t="s">
        <v>330</v>
      </c>
      <c r="M634" s="137" t="s">
        <v>330</v>
      </c>
      <c r="N634" s="137" t="s">
        <v>330</v>
      </c>
      <c r="O634" s="137" t="s">
        <v>330</v>
      </c>
      <c r="P634" s="137" t="s">
        <v>330</v>
      </c>
      <c r="Q634" s="137" t="s">
        <v>330</v>
      </c>
      <c r="R634" s="137" t="s">
        <v>330</v>
      </c>
    </row>
    <row r="635" spans="1:18" x14ac:dyDescent="0.2">
      <c r="B635" s="153" t="s">
        <v>641</v>
      </c>
      <c r="C635" s="599"/>
      <c r="D635" s="157"/>
      <c r="E635" s="157"/>
      <c r="F635" s="141">
        <v>209</v>
      </c>
      <c r="G635" s="141">
        <v>297</v>
      </c>
      <c r="H635" s="141">
        <v>1409</v>
      </c>
      <c r="I635" s="141">
        <v>1424</v>
      </c>
      <c r="J635" s="141">
        <v>1364</v>
      </c>
      <c r="K635" s="141">
        <v>1765</v>
      </c>
      <c r="L635" s="141">
        <v>369</v>
      </c>
      <c r="M635" s="141">
        <v>179</v>
      </c>
      <c r="N635" s="141">
        <v>75</v>
      </c>
      <c r="O635" s="141">
        <v>146</v>
      </c>
      <c r="P635" s="141">
        <v>54</v>
      </c>
      <c r="Q635" s="141">
        <v>63</v>
      </c>
      <c r="R635" s="141">
        <f>Q635+P635+O635+N635+M635+L635+K635+J635+I635+H635+G635+F635</f>
        <v>7354</v>
      </c>
    </row>
    <row r="636" spans="1:18" x14ac:dyDescent="0.2">
      <c r="B636" s="135" t="s">
        <v>1035</v>
      </c>
      <c r="C636" s="599"/>
      <c r="D636" s="157"/>
      <c r="E636" s="157"/>
      <c r="F636" s="760"/>
      <c r="G636" s="760"/>
      <c r="H636" s="760"/>
      <c r="I636" s="760"/>
      <c r="J636" s="760"/>
      <c r="K636" s="750"/>
      <c r="L636" s="750"/>
      <c r="M636" s="750"/>
      <c r="N636" s="750"/>
      <c r="O636" s="750"/>
      <c r="P636" s="750"/>
      <c r="Q636" s="728"/>
      <c r="R636" s="141">
        <v>154338</v>
      </c>
    </row>
    <row r="637" spans="1:18" x14ac:dyDescent="0.2">
      <c r="B637" s="135" t="s">
        <v>324</v>
      </c>
      <c r="C637" s="599"/>
      <c r="D637" s="157"/>
      <c r="E637" s="157"/>
      <c r="F637" s="731"/>
      <c r="G637" s="731"/>
      <c r="H637" s="731"/>
      <c r="I637" s="731"/>
      <c r="J637" s="731"/>
      <c r="K637" s="731"/>
      <c r="L637" s="731"/>
      <c r="M637" s="731"/>
      <c r="N637" s="731"/>
      <c r="O637" s="731"/>
      <c r="P637" s="731"/>
      <c r="Q637" s="731"/>
      <c r="R637" s="141">
        <v>16996</v>
      </c>
    </row>
    <row r="638" spans="1:18" x14ac:dyDescent="0.2">
      <c r="B638" s="144" t="s">
        <v>348</v>
      </c>
      <c r="C638" s="599"/>
      <c r="D638" s="157"/>
      <c r="E638" s="157"/>
      <c r="F638" s="137" t="s">
        <v>330</v>
      </c>
      <c r="G638" s="137" t="s">
        <v>330</v>
      </c>
      <c r="H638" s="137" t="s">
        <v>330</v>
      </c>
      <c r="I638" s="137" t="s">
        <v>330</v>
      </c>
      <c r="J638" s="137" t="s">
        <v>330</v>
      </c>
      <c r="K638" s="137" t="s">
        <v>330</v>
      </c>
      <c r="L638" s="137" t="s">
        <v>330</v>
      </c>
      <c r="M638" s="137" t="s">
        <v>330</v>
      </c>
      <c r="N638" s="137" t="s">
        <v>330</v>
      </c>
      <c r="O638" s="137" t="s">
        <v>330</v>
      </c>
      <c r="P638" s="137" t="s">
        <v>330</v>
      </c>
      <c r="Q638" s="137" t="s">
        <v>330</v>
      </c>
      <c r="R638" s="137" t="s">
        <v>330</v>
      </c>
    </row>
    <row r="639" spans="1:18" x14ac:dyDescent="0.2">
      <c r="B639" s="195" t="s">
        <v>1087</v>
      </c>
      <c r="C639" s="599"/>
      <c r="D639" s="157"/>
      <c r="E639" s="157"/>
      <c r="F639" s="137" t="s">
        <v>330</v>
      </c>
      <c r="G639" s="137" t="s">
        <v>330</v>
      </c>
      <c r="H639" s="137" t="s">
        <v>330</v>
      </c>
      <c r="I639" s="137" t="s">
        <v>330</v>
      </c>
      <c r="J639" s="137" t="s">
        <v>330</v>
      </c>
      <c r="K639" s="137" t="s">
        <v>330</v>
      </c>
      <c r="L639" s="137" t="s">
        <v>330</v>
      </c>
      <c r="M639" s="137" t="s">
        <v>330</v>
      </c>
      <c r="N639" s="137" t="s">
        <v>330</v>
      </c>
      <c r="O639" s="137" t="s">
        <v>330</v>
      </c>
      <c r="P639" s="137" t="s">
        <v>330</v>
      </c>
      <c r="Q639" s="137" t="s">
        <v>330</v>
      </c>
      <c r="R639" s="137" t="s">
        <v>330</v>
      </c>
    </row>
    <row r="640" spans="1:18" x14ac:dyDescent="0.2">
      <c r="B640" s="1265" t="s">
        <v>883</v>
      </c>
      <c r="C640" s="607"/>
      <c r="D640" s="179"/>
      <c r="E640" s="179"/>
      <c r="F640" s="1266">
        <v>211.96</v>
      </c>
      <c r="G640" s="1266">
        <v>278.95</v>
      </c>
      <c r="H640" s="1266">
        <v>1127.56</v>
      </c>
      <c r="I640" s="1266">
        <v>1139.7</v>
      </c>
      <c r="J640" s="1266">
        <v>1063.67</v>
      </c>
      <c r="K640" s="1266">
        <v>1294.3399999999999</v>
      </c>
      <c r="L640" s="1266">
        <v>300.27</v>
      </c>
      <c r="M640" s="1266">
        <v>155.66999999999999</v>
      </c>
      <c r="N640" s="1266">
        <v>76.11</v>
      </c>
      <c r="O640" s="1266">
        <v>130.26</v>
      </c>
      <c r="P640" s="1266">
        <v>68.790000000000006</v>
      </c>
      <c r="Q640" s="1266">
        <v>77.14</v>
      </c>
      <c r="R640" s="1267">
        <f>Q640+P640+O640+N640+M640+L640+K640+J640+I640+H640+G640+F640</f>
        <v>5924.42</v>
      </c>
    </row>
    <row r="641" spans="1:18" x14ac:dyDescent="0.2">
      <c r="B641" s="441" t="s">
        <v>1219</v>
      </c>
      <c r="C641" s="441"/>
      <c r="D641" s="441"/>
      <c r="E641" s="441"/>
      <c r="F641" s="441"/>
      <c r="G641" s="441"/>
      <c r="H641" s="441"/>
      <c r="I641" s="441"/>
      <c r="J641" s="441"/>
      <c r="K641" s="441"/>
      <c r="L641" s="441"/>
      <c r="M641" s="441"/>
      <c r="N641" s="441"/>
      <c r="O641" s="441"/>
      <c r="P641" s="441"/>
      <c r="Q641" s="441"/>
      <c r="R641" s="593">
        <v>127955</v>
      </c>
    </row>
    <row r="643" spans="1:18" ht="13.15" customHeight="1" x14ac:dyDescent="0.2">
      <c r="B643" s="2268" t="s">
        <v>1220</v>
      </c>
      <c r="C643" s="2268"/>
      <c r="D643" s="2268"/>
      <c r="E643" s="2268"/>
      <c r="F643" s="2268"/>
      <c r="G643" s="2268"/>
      <c r="H643" s="2268"/>
      <c r="I643" s="2268"/>
      <c r="J643" s="2268"/>
      <c r="K643" s="2268"/>
      <c r="L643" s="2268"/>
      <c r="M643" s="2268"/>
      <c r="N643" s="2268"/>
      <c r="O643" s="2268"/>
      <c r="P643" s="2268"/>
      <c r="Q643" s="2268"/>
      <c r="R643" s="2268"/>
    </row>
    <row r="645" spans="1:18" s="666" customFormat="1" x14ac:dyDescent="0.2">
      <c r="A645" s="930">
        <v>42</v>
      </c>
      <c r="B645" s="666" t="s">
        <v>1062</v>
      </c>
      <c r="D645" s="666" t="s">
        <v>62</v>
      </c>
    </row>
    <row r="646" spans="1:18" x14ac:dyDescent="0.2">
      <c r="C646" s="968">
        <v>42199</v>
      </c>
      <c r="D646" s="968">
        <v>42230</v>
      </c>
      <c r="E646" s="968">
        <v>42261</v>
      </c>
      <c r="F646" s="968">
        <v>42291</v>
      </c>
      <c r="G646" s="968">
        <v>42322</v>
      </c>
      <c r="H646" s="968">
        <v>42352</v>
      </c>
      <c r="I646" s="968">
        <v>42019</v>
      </c>
      <c r="J646" s="968">
        <v>42050</v>
      </c>
      <c r="K646" s="968">
        <v>42078</v>
      </c>
      <c r="L646" s="968">
        <v>42109</v>
      </c>
      <c r="M646" s="968">
        <v>42139</v>
      </c>
      <c r="N646" s="968">
        <v>42170</v>
      </c>
    </row>
    <row r="647" spans="1:18" x14ac:dyDescent="0.2">
      <c r="B647" t="s">
        <v>694</v>
      </c>
    </row>
    <row r="648" spans="1:18" x14ac:dyDescent="0.2">
      <c r="B648" t="s">
        <v>695</v>
      </c>
      <c r="C648" s="973">
        <v>143000</v>
      </c>
      <c r="D648" s="973">
        <v>187917</v>
      </c>
      <c r="E648" s="973">
        <v>159676</v>
      </c>
      <c r="F648" s="973">
        <v>202458</v>
      </c>
      <c r="G648" s="973">
        <v>155992</v>
      </c>
      <c r="H648" s="973">
        <v>144957</v>
      </c>
      <c r="I648" s="973">
        <v>136202</v>
      </c>
      <c r="J648" s="973">
        <v>137208</v>
      </c>
      <c r="K648" s="973">
        <v>157337</v>
      </c>
      <c r="L648" s="973">
        <v>157170</v>
      </c>
      <c r="M648" s="973">
        <v>167331</v>
      </c>
      <c r="N648" s="973">
        <v>179152</v>
      </c>
    </row>
    <row r="649" spans="1:18" x14ac:dyDescent="0.2">
      <c r="B649" t="s">
        <v>696</v>
      </c>
      <c r="C649" s="973">
        <v>531</v>
      </c>
      <c r="D649" s="1268" t="s">
        <v>38</v>
      </c>
      <c r="E649" s="973">
        <v>2633</v>
      </c>
      <c r="F649" s="973">
        <v>2708</v>
      </c>
      <c r="G649" s="973">
        <v>4733</v>
      </c>
      <c r="H649" s="973">
        <v>5292</v>
      </c>
      <c r="I649" s="973">
        <v>7672</v>
      </c>
      <c r="J649" s="973">
        <v>6684</v>
      </c>
      <c r="K649" s="973">
        <v>4793</v>
      </c>
      <c r="L649" s="973">
        <v>3129</v>
      </c>
      <c r="M649" s="973">
        <v>1935</v>
      </c>
      <c r="N649" s="973">
        <v>1910</v>
      </c>
    </row>
    <row r="650" spans="1:18" x14ac:dyDescent="0.2">
      <c r="B650" t="s">
        <v>697</v>
      </c>
      <c r="C650" s="973">
        <v>110859.62566844918</v>
      </c>
      <c r="D650" s="973">
        <v>255355.61497326201</v>
      </c>
      <c r="E650" s="973">
        <v>263399.73262032086</v>
      </c>
      <c r="F650" s="973">
        <v>64045.454545454544</v>
      </c>
      <c r="G650" s="973">
        <v>58498.663101604267</v>
      </c>
      <c r="H650" s="973">
        <v>33775.401069518717</v>
      </c>
      <c r="I650" s="973">
        <v>62363.63636363636</v>
      </c>
      <c r="J650" s="973">
        <v>64815.508021390371</v>
      </c>
      <c r="K650" s="973">
        <v>64834.224598930479</v>
      </c>
      <c r="L650" s="973">
        <v>76471.925133689831</v>
      </c>
      <c r="M650" s="973">
        <v>38299.465240641708</v>
      </c>
      <c r="N650" s="973">
        <v>39816.84491978609</v>
      </c>
    </row>
    <row r="652" spans="1:18" x14ac:dyDescent="0.2">
      <c r="B652" t="s">
        <v>698</v>
      </c>
    </row>
    <row r="653" spans="1:18" x14ac:dyDescent="0.2">
      <c r="B653" t="s">
        <v>699</v>
      </c>
      <c r="C653" s="492">
        <v>9964.617728509249</v>
      </c>
      <c r="D653" s="492">
        <v>13450.773821491597</v>
      </c>
      <c r="E653" s="492">
        <v>11056.968572401434</v>
      </c>
      <c r="F653" s="492">
        <v>12420.416085240275</v>
      </c>
      <c r="G653" s="492">
        <v>8971.9448766666665</v>
      </c>
      <c r="H653" s="492">
        <v>8346.7924296337369</v>
      </c>
      <c r="I653" s="492">
        <v>7596.128760766017</v>
      </c>
      <c r="J653" s="492">
        <v>7734.6791502319584</v>
      </c>
      <c r="K653" s="492">
        <v>9202.496610603408</v>
      </c>
      <c r="L653" s="492">
        <v>8771.3567620930226</v>
      </c>
      <c r="M653" s="492">
        <v>9404.9878049431809</v>
      </c>
      <c r="N653" s="492">
        <v>11244.336322358975</v>
      </c>
    </row>
    <row r="654" spans="1:18" x14ac:dyDescent="0.2">
      <c r="B654" t="s">
        <v>700</v>
      </c>
      <c r="C654" s="492">
        <v>475.47</v>
      </c>
      <c r="D654" s="492">
        <v>1718.02</v>
      </c>
      <c r="E654" s="492">
        <v>2270.56</v>
      </c>
      <c r="F654" s="492">
        <v>2334.6</v>
      </c>
      <c r="G654" s="492">
        <v>4039.25</v>
      </c>
      <c r="H654" s="492">
        <v>4519.3100000000004</v>
      </c>
      <c r="I654" s="492">
        <v>6179.08</v>
      </c>
      <c r="J654" s="492">
        <v>4973.72</v>
      </c>
      <c r="K654" s="492">
        <v>3046.12</v>
      </c>
      <c r="L654" s="492"/>
      <c r="M654" s="492">
        <v>610.46</v>
      </c>
      <c r="N654" s="492">
        <v>1297.55</v>
      </c>
    </row>
    <row r="655" spans="1:18" x14ac:dyDescent="0.2">
      <c r="B655" t="s">
        <v>701</v>
      </c>
      <c r="C655" s="492">
        <v>7879.9085082039946</v>
      </c>
      <c r="D655" s="492">
        <v>18546.28791593713</v>
      </c>
      <c r="E655" s="492">
        <v>19167.079993144373</v>
      </c>
      <c r="F655" s="492">
        <v>4885.2423390964441</v>
      </c>
      <c r="G655" s="492">
        <v>4615.3079177567215</v>
      </c>
      <c r="H655" s="492">
        <v>2866.3323530143712</v>
      </c>
      <c r="I655" s="492">
        <v>5779.523798109909</v>
      </c>
      <c r="J655" s="492">
        <v>5405.285806739118</v>
      </c>
      <c r="K655" s="492">
        <v>5340.3528660646934</v>
      </c>
      <c r="L655" s="492">
        <v>5989.4407965048349</v>
      </c>
      <c r="M655" s="492">
        <v>2917.999369117384</v>
      </c>
      <c r="N655" s="492">
        <v>2897.0267672983523</v>
      </c>
    </row>
    <row r="658" spans="1:17" ht="15" x14ac:dyDescent="0.25">
      <c r="A658" s="930">
        <v>43</v>
      </c>
      <c r="B658" s="712" t="s">
        <v>866</v>
      </c>
      <c r="C658" s="713"/>
      <c r="D658" s="713"/>
      <c r="E658" s="713"/>
      <c r="F658" s="713"/>
      <c r="G658" s="713"/>
      <c r="H658" s="713"/>
      <c r="I658" s="713"/>
      <c r="J658" s="713"/>
      <c r="K658" s="713"/>
      <c r="L658" s="713"/>
      <c r="M658" s="713"/>
      <c r="N658" s="713"/>
      <c r="O658" s="714"/>
      <c r="P658" s="715"/>
      <c r="Q658" s="716"/>
    </row>
    <row r="659" spans="1:17" ht="15" x14ac:dyDescent="0.25">
      <c r="B659" s="717" t="s">
        <v>337</v>
      </c>
      <c r="C659" s="718"/>
      <c r="D659" s="719">
        <v>41883</v>
      </c>
      <c r="E659" s="719">
        <v>41913</v>
      </c>
      <c r="F659" s="719">
        <v>41944</v>
      </c>
      <c r="G659" s="719">
        <v>41974</v>
      </c>
      <c r="H659" s="719">
        <v>42005</v>
      </c>
      <c r="I659" s="719">
        <v>42036</v>
      </c>
      <c r="J659" s="719">
        <v>42064</v>
      </c>
      <c r="K659" s="719">
        <v>42095</v>
      </c>
      <c r="L659" s="719">
        <v>42125</v>
      </c>
      <c r="M659" s="719">
        <v>42156</v>
      </c>
      <c r="N659" s="719">
        <v>42186</v>
      </c>
      <c r="O659" s="735"/>
      <c r="P659" s="720" t="s">
        <v>338</v>
      </c>
      <c r="Q659" s="721" t="s">
        <v>339</v>
      </c>
    </row>
    <row r="660" spans="1:17" ht="15" x14ac:dyDescent="0.25">
      <c r="B660" s="722" t="s">
        <v>360</v>
      </c>
      <c r="C660" s="713"/>
      <c r="D660" s="756">
        <v>29200</v>
      </c>
      <c r="E660" s="756">
        <v>23900</v>
      </c>
      <c r="F660" s="756">
        <v>24200</v>
      </c>
      <c r="G660" s="756">
        <v>25900</v>
      </c>
      <c r="H660" s="756">
        <v>28100</v>
      </c>
      <c r="I660" s="756">
        <v>26700</v>
      </c>
      <c r="J660" s="1170">
        <v>33200</v>
      </c>
      <c r="K660" s="1170">
        <v>22200</v>
      </c>
      <c r="L660" s="1170">
        <v>26500</v>
      </c>
      <c r="M660" s="1170">
        <v>29900</v>
      </c>
      <c r="N660" s="1170">
        <v>34000</v>
      </c>
      <c r="O660" s="1171"/>
      <c r="P660" s="724">
        <f t="shared" ref="P660:P665" si="22">SUM(D660:N660)</f>
        <v>303800</v>
      </c>
      <c r="Q660" s="1145" t="s">
        <v>361</v>
      </c>
    </row>
    <row r="661" spans="1:17" x14ac:dyDescent="0.2">
      <c r="B661" s="728" t="s">
        <v>864</v>
      </c>
      <c r="C661" s="729"/>
      <c r="D661" s="750">
        <v>14.676923076923076</v>
      </c>
      <c r="E661" s="750">
        <v>18.751648351648353</v>
      </c>
      <c r="F661" s="750">
        <v>21.285221674876848</v>
      </c>
      <c r="G661" s="750">
        <v>16.470077864293657</v>
      </c>
      <c r="H661" s="750">
        <v>10.258064516129032</v>
      </c>
      <c r="I661" s="750">
        <v>5.6080645161290317</v>
      </c>
      <c r="J661" s="1172">
        <v>5.7214285714285715</v>
      </c>
      <c r="K661" s="1173">
        <v>8.9348214285714285</v>
      </c>
      <c r="L661" s="1173">
        <v>12.771527777777777</v>
      </c>
      <c r="M661" s="1172">
        <v>21.685555555555556</v>
      </c>
      <c r="N661" s="728">
        <v>24</v>
      </c>
      <c r="O661" s="1174"/>
      <c r="P661" s="724">
        <f t="shared" si="22"/>
        <v>160.16333333333333</v>
      </c>
      <c r="Q661" s="1146" t="s">
        <v>379</v>
      </c>
    </row>
    <row r="662" spans="1:17" x14ac:dyDescent="0.2">
      <c r="B662" s="728" t="s">
        <v>861</v>
      </c>
      <c r="C662" s="729"/>
      <c r="D662" s="750">
        <v>193</v>
      </c>
      <c r="E662" s="750">
        <v>375</v>
      </c>
      <c r="F662" s="750">
        <v>1182</v>
      </c>
      <c r="G662" s="750">
        <v>1546</v>
      </c>
      <c r="H662" s="750">
        <v>1495</v>
      </c>
      <c r="I662" s="750">
        <v>2357</v>
      </c>
      <c r="J662" s="728">
        <v>536</v>
      </c>
      <c r="K662" s="728">
        <v>307</v>
      </c>
      <c r="L662" s="728">
        <v>195</v>
      </c>
      <c r="M662" s="728">
        <v>99</v>
      </c>
      <c r="N662" s="728">
        <v>68</v>
      </c>
      <c r="O662" s="1174"/>
      <c r="P662" s="724">
        <f t="shared" si="22"/>
        <v>8353</v>
      </c>
      <c r="Q662" s="1146" t="s">
        <v>354</v>
      </c>
    </row>
    <row r="663" spans="1:17" ht="15" x14ac:dyDescent="0.25">
      <c r="B663" s="722" t="s">
        <v>368</v>
      </c>
      <c r="C663" s="713"/>
      <c r="D663" s="731">
        <v>2676.13</v>
      </c>
      <c r="E663" s="731">
        <v>1930.46</v>
      </c>
      <c r="F663" s="731">
        <v>1915.03</v>
      </c>
      <c r="G663" s="731">
        <v>1983.12</v>
      </c>
      <c r="H663" s="731">
        <v>2187.2600000000002</v>
      </c>
      <c r="I663" s="731">
        <v>2132.69</v>
      </c>
      <c r="J663" s="455">
        <v>2531.1799999999998</v>
      </c>
      <c r="K663" s="455">
        <v>1892.42</v>
      </c>
      <c r="L663" s="455">
        <v>2296.7399999999998</v>
      </c>
      <c r="M663" s="455">
        <v>2862.01</v>
      </c>
      <c r="N663" s="455">
        <v>3057.41</v>
      </c>
      <c r="O663" s="1175"/>
      <c r="P663" s="724">
        <f t="shared" si="22"/>
        <v>25464.45</v>
      </c>
      <c r="Q663" s="1145" t="s">
        <v>865</v>
      </c>
    </row>
    <row r="664" spans="1:17" ht="15" x14ac:dyDescent="0.25">
      <c r="B664" s="732" t="s">
        <v>325</v>
      </c>
      <c r="C664" s="733"/>
      <c r="D664" s="455">
        <f>D661*7.86</f>
        <v>115.36061538461539</v>
      </c>
      <c r="E664" s="455">
        <f t="shared" ref="E664:N664" si="23">E661*7.86</f>
        <v>147.38795604395605</v>
      </c>
      <c r="F664" s="455">
        <f t="shared" si="23"/>
        <v>167.30184236453204</v>
      </c>
      <c r="G664" s="455">
        <f t="shared" si="23"/>
        <v>129.45481201334815</v>
      </c>
      <c r="H664" s="455">
        <f t="shared" si="23"/>
        <v>80.62838709677419</v>
      </c>
      <c r="I664" s="455">
        <f t="shared" si="23"/>
        <v>44.079387096774191</v>
      </c>
      <c r="J664" s="455">
        <f t="shared" si="23"/>
        <v>44.970428571428577</v>
      </c>
      <c r="K664" s="455">
        <f t="shared" si="23"/>
        <v>70.227696428571434</v>
      </c>
      <c r="L664" s="455">
        <f t="shared" si="23"/>
        <v>100.38420833333333</v>
      </c>
      <c r="M664" s="455">
        <f t="shared" si="23"/>
        <v>170.44846666666669</v>
      </c>
      <c r="N664" s="1176">
        <f t="shared" si="23"/>
        <v>188.64000000000001</v>
      </c>
      <c r="O664" s="1175"/>
      <c r="P664" s="724">
        <f t="shared" si="22"/>
        <v>1258.8838000000001</v>
      </c>
      <c r="Q664" s="1145" t="s">
        <v>865</v>
      </c>
    </row>
    <row r="665" spans="1:17" ht="15" x14ac:dyDescent="0.25">
      <c r="B665" s="732" t="s">
        <v>829</v>
      </c>
      <c r="C665" s="733"/>
      <c r="D665" s="455">
        <v>197.25</v>
      </c>
      <c r="E665" s="751">
        <v>350.15</v>
      </c>
      <c r="F665" s="455">
        <v>952.44</v>
      </c>
      <c r="G665" s="455">
        <v>1233.77</v>
      </c>
      <c r="H665" s="751">
        <v>1167.48</v>
      </c>
      <c r="I665" s="455">
        <v>1717.28</v>
      </c>
      <c r="J665" s="455">
        <v>425.16</v>
      </c>
      <c r="K665" s="455">
        <v>253.6</v>
      </c>
      <c r="L665" s="455">
        <v>167.92</v>
      </c>
      <c r="M665" s="455">
        <v>94.38</v>
      </c>
      <c r="N665" s="1176">
        <v>70.599999999999994</v>
      </c>
      <c r="O665" s="1175"/>
      <c r="P665" s="724">
        <f t="shared" si="22"/>
        <v>6630.0300000000007</v>
      </c>
      <c r="Q665" s="1145" t="s">
        <v>865</v>
      </c>
    </row>
    <row r="667" spans="1:17" s="666" customFormat="1" x14ac:dyDescent="0.2">
      <c r="A667" s="930">
        <v>44</v>
      </c>
      <c r="B667" s="666" t="s">
        <v>1063</v>
      </c>
      <c r="D667" s="666" t="s">
        <v>84</v>
      </c>
    </row>
    <row r="668" spans="1:17" x14ac:dyDescent="0.2">
      <c r="C668" s="968">
        <v>42199</v>
      </c>
      <c r="D668" s="968">
        <v>42230</v>
      </c>
      <c r="E668" s="968">
        <v>42261</v>
      </c>
      <c r="F668" s="968">
        <v>42291</v>
      </c>
      <c r="G668" s="968">
        <v>42322</v>
      </c>
      <c r="H668" s="968">
        <v>42352</v>
      </c>
      <c r="I668" s="968">
        <v>42019</v>
      </c>
      <c r="J668" s="968">
        <v>42050</v>
      </c>
      <c r="K668" s="968">
        <v>42078</v>
      </c>
      <c r="L668" s="968">
        <v>42109</v>
      </c>
      <c r="M668" s="968">
        <v>42139</v>
      </c>
      <c r="N668" s="968">
        <v>42170</v>
      </c>
    </row>
    <row r="669" spans="1:17" x14ac:dyDescent="0.2">
      <c r="B669" t="s">
        <v>694</v>
      </c>
    </row>
    <row r="670" spans="1:17" x14ac:dyDescent="0.2">
      <c r="B670" t="s">
        <v>695</v>
      </c>
      <c r="C670" s="973">
        <v>64434</v>
      </c>
      <c r="D670" s="973">
        <v>94275</v>
      </c>
      <c r="E670" s="973">
        <v>101437</v>
      </c>
      <c r="F670" s="973">
        <v>110986</v>
      </c>
      <c r="G670" s="973">
        <v>90523</v>
      </c>
      <c r="H670" s="973">
        <v>83795</v>
      </c>
      <c r="I670" s="973">
        <v>95329</v>
      </c>
      <c r="J670" s="973">
        <v>94561</v>
      </c>
      <c r="K670" s="973">
        <v>97703</v>
      </c>
      <c r="L670" s="973">
        <v>99476</v>
      </c>
      <c r="M670" s="973">
        <v>77330</v>
      </c>
      <c r="N670" s="973">
        <v>70230</v>
      </c>
    </row>
    <row r="671" spans="1:17" x14ac:dyDescent="0.2">
      <c r="B671" t="s">
        <v>696</v>
      </c>
      <c r="C671" s="973">
        <v>96</v>
      </c>
      <c r="D671" s="973">
        <v>191</v>
      </c>
      <c r="E671" s="973">
        <v>663</v>
      </c>
      <c r="F671" s="973">
        <v>598</v>
      </c>
      <c r="G671" s="973">
        <v>764</v>
      </c>
      <c r="H671" s="973">
        <v>583</v>
      </c>
      <c r="I671" s="973">
        <v>762</v>
      </c>
      <c r="J671" s="973">
        <v>961</v>
      </c>
      <c r="K671" s="973">
        <v>772</v>
      </c>
      <c r="L671" s="973">
        <v>878</v>
      </c>
      <c r="M671" s="973">
        <v>449</v>
      </c>
      <c r="N671" s="973">
        <v>72</v>
      </c>
    </row>
    <row r="672" spans="1:17" x14ac:dyDescent="0.2">
      <c r="B672" t="s">
        <v>697</v>
      </c>
      <c r="C672" s="973">
        <v>2075</v>
      </c>
      <c r="D672" s="973">
        <v>23674</v>
      </c>
      <c r="E672" s="973">
        <v>45449</v>
      </c>
      <c r="F672" s="973">
        <v>42205</v>
      </c>
      <c r="G672" s="973">
        <v>36231</v>
      </c>
      <c r="H672" s="973">
        <v>16964</v>
      </c>
      <c r="I672" s="973">
        <v>37109</v>
      </c>
      <c r="J672" s="973">
        <v>33000</v>
      </c>
      <c r="K672" s="973">
        <v>33000</v>
      </c>
      <c r="L672" s="973">
        <v>33225</v>
      </c>
      <c r="M672" s="973">
        <v>11740</v>
      </c>
      <c r="N672" s="973">
        <v>3143</v>
      </c>
    </row>
    <row r="673" spans="1:18" x14ac:dyDescent="0.2">
      <c r="B673" t="s">
        <v>1048</v>
      </c>
      <c r="C673" s="973">
        <v>452</v>
      </c>
      <c r="D673" s="973">
        <v>598</v>
      </c>
      <c r="E673" s="973">
        <v>526</v>
      </c>
      <c r="F673" s="973">
        <v>340</v>
      </c>
      <c r="G673" s="973">
        <v>126</v>
      </c>
      <c r="H673" s="973">
        <v>83</v>
      </c>
      <c r="I673" s="973">
        <v>87</v>
      </c>
      <c r="J673" s="973">
        <v>87</v>
      </c>
      <c r="K673" s="973">
        <v>135</v>
      </c>
      <c r="L673" s="973">
        <v>280</v>
      </c>
      <c r="M673" s="973">
        <v>348</v>
      </c>
      <c r="N673" s="973">
        <v>474</v>
      </c>
    </row>
    <row r="674" spans="1:18" x14ac:dyDescent="0.2">
      <c r="B674" t="s">
        <v>1049</v>
      </c>
      <c r="C674" s="973">
        <v>134</v>
      </c>
      <c r="D674" s="973">
        <v>107</v>
      </c>
      <c r="E674" s="973">
        <v>116</v>
      </c>
      <c r="F674" s="973">
        <v>149</v>
      </c>
      <c r="G674" s="973">
        <v>183</v>
      </c>
      <c r="H674" s="973">
        <v>268</v>
      </c>
      <c r="I674" s="973">
        <v>223</v>
      </c>
      <c r="J674" s="973">
        <v>215</v>
      </c>
      <c r="K674" s="973">
        <v>180</v>
      </c>
      <c r="L674" s="973">
        <v>86</v>
      </c>
      <c r="M674" s="973">
        <v>76</v>
      </c>
      <c r="N674" s="973">
        <v>71</v>
      </c>
    </row>
    <row r="676" spans="1:18" x14ac:dyDescent="0.2">
      <c r="B676" t="s">
        <v>698</v>
      </c>
    </row>
    <row r="677" spans="1:18" x14ac:dyDescent="0.2">
      <c r="B677" t="s">
        <v>699</v>
      </c>
      <c r="C677" s="492">
        <v>4489.9313197116435</v>
      </c>
      <c r="D677" s="492">
        <v>6748.0414332983191</v>
      </c>
      <c r="E677" s="492">
        <v>7024.1346293662436</v>
      </c>
      <c r="F677" s="492">
        <v>6808.7815726544623</v>
      </c>
      <c r="G677" s="492">
        <v>5206.4680629166669</v>
      </c>
      <c r="H677" s="492">
        <v>4825.0134290938622</v>
      </c>
      <c r="I677" s="492">
        <v>5316.5985714972148</v>
      </c>
      <c r="J677" s="492">
        <v>5330.5856446058851</v>
      </c>
      <c r="K677" s="492">
        <v>5714.5587264647529</v>
      </c>
      <c r="L677" s="492">
        <v>5551.5650904496115</v>
      </c>
      <c r="M677" s="492">
        <v>4346.4014854166662</v>
      </c>
      <c r="N677" s="492">
        <v>4407.9314767307687</v>
      </c>
    </row>
    <row r="678" spans="1:18" x14ac:dyDescent="0.2">
      <c r="B678" t="s">
        <v>700</v>
      </c>
      <c r="C678" s="492">
        <v>103.98</v>
      </c>
      <c r="D678" s="492">
        <v>185.11</v>
      </c>
      <c r="E678" s="492">
        <v>588.20000000000005</v>
      </c>
      <c r="F678" s="492">
        <v>532.69000000000005</v>
      </c>
      <c r="G678" s="492">
        <v>670.46</v>
      </c>
      <c r="H678" s="492">
        <v>517.45000000000005</v>
      </c>
      <c r="I678" s="492">
        <v>633.54</v>
      </c>
      <c r="J678" s="492">
        <v>733.94</v>
      </c>
      <c r="K678" s="492">
        <v>509.09</v>
      </c>
      <c r="L678" s="492">
        <v>194.97</v>
      </c>
      <c r="M678" s="492">
        <v>290.86</v>
      </c>
      <c r="N678" s="492">
        <v>70.08</v>
      </c>
    </row>
    <row r="679" spans="1:18" x14ac:dyDescent="0.2">
      <c r="B679" t="s">
        <v>701</v>
      </c>
      <c r="C679" s="492">
        <v>147.49111821308227</v>
      </c>
      <c r="D679" s="492">
        <v>1719.4249680699975</v>
      </c>
      <c r="E679" s="492">
        <v>3307.2342554884308</v>
      </c>
      <c r="F679" s="492">
        <v>3219.3018908974018</v>
      </c>
      <c r="G679" s="492">
        <v>2858.4793617900309</v>
      </c>
      <c r="H679" s="492">
        <v>1439.6412920886944</v>
      </c>
      <c r="I679" s="492">
        <v>3439.0609837677362</v>
      </c>
      <c r="J679" s="492">
        <v>2752.0332258064518</v>
      </c>
      <c r="K679" s="492">
        <v>2718.1885134019485</v>
      </c>
      <c r="L679" s="492">
        <v>2602.2513506228411</v>
      </c>
      <c r="M679" s="492">
        <v>894.4592927915279</v>
      </c>
      <c r="N679" s="492">
        <v>228.68098032282862</v>
      </c>
    </row>
    <row r="680" spans="1:18" x14ac:dyDescent="0.2">
      <c r="B680" t="s">
        <v>1050</v>
      </c>
      <c r="C680" s="492">
        <v>3283.2235474124291</v>
      </c>
      <c r="D680" s="492">
        <v>6324.0973989785998</v>
      </c>
      <c r="E680" s="492">
        <v>5166.6005424094756</v>
      </c>
      <c r="F680" s="492">
        <v>2728.3850093776878</v>
      </c>
      <c r="G680" s="492">
        <v>2340.7604911041103</v>
      </c>
      <c r="H680" s="492">
        <v>1782.0125305384286</v>
      </c>
      <c r="I680" s="492">
        <v>1219.1588467951785</v>
      </c>
      <c r="J680" s="492">
        <v>390.34264924946893</v>
      </c>
      <c r="K680" s="492">
        <v>2281.850639735037</v>
      </c>
      <c r="L680" s="492">
        <v>1476.3234132605683</v>
      </c>
      <c r="M680" s="492">
        <v>1732.9570341485733</v>
      </c>
      <c r="N680" s="492">
        <v>3040.8767021726057</v>
      </c>
    </row>
    <row r="681" spans="1:18" x14ac:dyDescent="0.2">
      <c r="B681" t="s">
        <v>1051</v>
      </c>
      <c r="C681" s="492">
        <v>5556.8311604754945</v>
      </c>
      <c r="D681" s="492">
        <v>2986.3488894113243</v>
      </c>
      <c r="E681" s="492">
        <v>3705.0382347535401</v>
      </c>
      <c r="F681" s="492">
        <v>3014.2207123475609</v>
      </c>
      <c r="G681" s="492">
        <v>3481.9794594152304</v>
      </c>
      <c r="H681" s="492">
        <v>7267.4249466708279</v>
      </c>
      <c r="I681" s="492">
        <v>6064.6243912093569</v>
      </c>
      <c r="J681" s="492">
        <v>3400.5635622337632</v>
      </c>
      <c r="K681" s="492">
        <v>3628.7418750833667</v>
      </c>
      <c r="L681" s="492">
        <v>-306.45480023310023</v>
      </c>
      <c r="M681" s="492">
        <v>1132.023204707792</v>
      </c>
      <c r="N681" s="492">
        <v>1509.3893078668277</v>
      </c>
    </row>
    <row r="682" spans="1:18" x14ac:dyDescent="0.2">
      <c r="C682" s="492"/>
      <c r="D682" s="492"/>
      <c r="E682" s="492"/>
      <c r="F682" s="492"/>
      <c r="G682" s="492"/>
      <c r="H682" s="492"/>
      <c r="I682" s="492"/>
      <c r="J682" s="492"/>
      <c r="K682" s="492"/>
      <c r="L682" s="492"/>
      <c r="M682" s="492"/>
      <c r="N682" s="492"/>
    </row>
    <row r="683" spans="1:18" ht="15" x14ac:dyDescent="0.25">
      <c r="A683" s="930">
        <v>45</v>
      </c>
      <c r="B683" s="712" t="s">
        <v>869</v>
      </c>
      <c r="C683" s="713"/>
      <c r="D683" s="713"/>
      <c r="E683" s="1183"/>
      <c r="F683" s="1183"/>
      <c r="G683" s="1183"/>
      <c r="H683" s="1183"/>
      <c r="I683" s="1183"/>
      <c r="J683" s="1183"/>
      <c r="K683" s="1183"/>
      <c r="L683" s="713"/>
      <c r="M683" s="713"/>
      <c r="N683" s="713"/>
      <c r="O683" s="713"/>
      <c r="P683" s="714"/>
      <c r="Q683" s="715"/>
      <c r="R683" s="716"/>
    </row>
    <row r="684" spans="1:18" ht="15" x14ac:dyDescent="0.25">
      <c r="B684" s="717" t="s">
        <v>337</v>
      </c>
      <c r="C684" s="718"/>
      <c r="D684" s="718"/>
      <c r="E684" s="1184">
        <v>41883</v>
      </c>
      <c r="F684" s="1184">
        <v>41913</v>
      </c>
      <c r="G684" s="1184">
        <v>41944</v>
      </c>
      <c r="H684" s="1184">
        <v>41974</v>
      </c>
      <c r="I684" s="1184">
        <v>42005</v>
      </c>
      <c r="J684" s="1184">
        <v>42036</v>
      </c>
      <c r="K684" s="1184">
        <v>42064</v>
      </c>
      <c r="L684" s="719">
        <v>42095</v>
      </c>
      <c r="M684" s="719">
        <v>42125</v>
      </c>
      <c r="N684" s="719">
        <v>42156</v>
      </c>
      <c r="O684" s="719">
        <v>42186</v>
      </c>
      <c r="P684" s="735"/>
      <c r="Q684" s="720" t="s">
        <v>338</v>
      </c>
      <c r="R684" s="721" t="s">
        <v>339</v>
      </c>
    </row>
    <row r="685" spans="1:18" ht="15" x14ac:dyDescent="0.25">
      <c r="B685" s="722" t="s">
        <v>360</v>
      </c>
      <c r="C685" s="713"/>
      <c r="D685" s="713"/>
      <c r="E685" s="1170">
        <v>40170</v>
      </c>
      <c r="F685" s="1170">
        <v>39189.999580383301</v>
      </c>
      <c r="G685" s="1185">
        <v>37159.000396728494</v>
      </c>
      <c r="H685" s="1186">
        <v>31248.001098632401</v>
      </c>
      <c r="I685" s="1186">
        <v>35535.995483397994</v>
      </c>
      <c r="J685" s="1186">
        <v>35292.999267579005</v>
      </c>
      <c r="K685" s="1186">
        <v>35611.999511718008</v>
      </c>
      <c r="L685" s="1186">
        <v>36420.013427735001</v>
      </c>
      <c r="M685" s="1186">
        <v>35029.998779296991</v>
      </c>
      <c r="N685" s="1186">
        <v>33445.983886718008</v>
      </c>
      <c r="O685" s="756">
        <v>34214.019775390967</v>
      </c>
      <c r="P685" s="1187"/>
      <c r="Q685" s="724">
        <f t="shared" ref="Q685:Q692" si="24">SUM(E685:O685)</f>
        <v>393318.01120758016</v>
      </c>
      <c r="R685" s="1145" t="s">
        <v>361</v>
      </c>
    </row>
    <row r="686" spans="1:18" ht="15" x14ac:dyDescent="0.25">
      <c r="B686" s="722" t="s">
        <v>362</v>
      </c>
      <c r="C686" s="713"/>
      <c r="D686" s="713"/>
      <c r="E686" s="1170">
        <v>286</v>
      </c>
      <c r="F686" s="1170">
        <v>189</v>
      </c>
      <c r="G686" s="1170">
        <v>97</v>
      </c>
      <c r="H686" s="1170">
        <v>83</v>
      </c>
      <c r="I686" s="1170">
        <v>99</v>
      </c>
      <c r="J686" s="1170">
        <v>81</v>
      </c>
      <c r="K686" s="1170">
        <v>112</v>
      </c>
      <c r="L686" s="1170">
        <v>161</v>
      </c>
      <c r="M686" s="1170">
        <v>236</v>
      </c>
      <c r="N686" s="756">
        <v>338</v>
      </c>
      <c r="O686" s="756">
        <v>359</v>
      </c>
      <c r="P686" s="1187"/>
      <c r="Q686" s="724">
        <f t="shared" si="24"/>
        <v>2041</v>
      </c>
      <c r="R686" s="1145" t="s">
        <v>363</v>
      </c>
    </row>
    <row r="687" spans="1:18" ht="15" x14ac:dyDescent="0.25">
      <c r="B687" s="722" t="s">
        <v>364</v>
      </c>
      <c r="C687" s="740"/>
      <c r="D687" s="740"/>
      <c r="E687" s="1188">
        <v>49.850000000000009</v>
      </c>
      <c r="F687" s="1188">
        <v>81.02000000000001</v>
      </c>
      <c r="G687" s="1188">
        <v>148</v>
      </c>
      <c r="H687" s="1188">
        <v>181.1</v>
      </c>
      <c r="I687" s="1188">
        <v>236.26000000000002</v>
      </c>
      <c r="J687" s="1188">
        <v>259</v>
      </c>
      <c r="K687" s="1188">
        <v>184</v>
      </c>
      <c r="L687" s="1188">
        <v>117</v>
      </c>
      <c r="M687" s="1188">
        <v>68</v>
      </c>
      <c r="N687" s="1189">
        <v>41.989760000000096</v>
      </c>
      <c r="O687" s="1188">
        <v>70</v>
      </c>
      <c r="P687" s="1190"/>
      <c r="Q687" s="724">
        <f t="shared" si="24"/>
        <v>1436.2197600000002</v>
      </c>
      <c r="R687" s="1146" t="s">
        <v>365</v>
      </c>
    </row>
    <row r="688" spans="1:18" x14ac:dyDescent="0.2">
      <c r="B688" s="728" t="s">
        <v>864</v>
      </c>
      <c r="C688" s="729"/>
      <c r="D688" s="729"/>
      <c r="E688" s="759">
        <v>100</v>
      </c>
      <c r="F688" s="760">
        <v>81</v>
      </c>
      <c r="G688" s="760">
        <v>80</v>
      </c>
      <c r="H688" s="760">
        <v>43</v>
      </c>
      <c r="I688" s="760">
        <v>63</v>
      </c>
      <c r="J688" s="760">
        <v>80</v>
      </c>
      <c r="K688" s="750">
        <v>57</v>
      </c>
      <c r="L688" s="750">
        <v>72</v>
      </c>
      <c r="M688" s="750">
        <v>51</v>
      </c>
      <c r="N688" s="750">
        <v>41</v>
      </c>
      <c r="O688" s="750">
        <v>34</v>
      </c>
      <c r="P688" s="1191"/>
      <c r="Q688" s="724">
        <f t="shared" si="24"/>
        <v>702</v>
      </c>
      <c r="R688" s="1146" t="s">
        <v>379</v>
      </c>
    </row>
    <row r="689" spans="1:18" ht="15" x14ac:dyDescent="0.25">
      <c r="B689" s="722" t="s">
        <v>368</v>
      </c>
      <c r="C689" s="713"/>
      <c r="D689" s="713"/>
      <c r="E689" s="731">
        <f t="shared" ref="E689:O689" si="25">E685*0.087</f>
        <v>3494.79</v>
      </c>
      <c r="F689" s="731">
        <f t="shared" si="25"/>
        <v>3409.5299634933467</v>
      </c>
      <c r="G689" s="731">
        <f t="shared" si="25"/>
        <v>3232.8330345153786</v>
      </c>
      <c r="H689" s="731">
        <f t="shared" si="25"/>
        <v>2718.5760955810188</v>
      </c>
      <c r="I689" s="731">
        <f t="shared" si="25"/>
        <v>3091.6316070556254</v>
      </c>
      <c r="J689" s="731">
        <f t="shared" si="25"/>
        <v>3070.4909362793733</v>
      </c>
      <c r="K689" s="731">
        <f t="shared" si="25"/>
        <v>3098.2439575194667</v>
      </c>
      <c r="L689" s="731">
        <f t="shared" si="25"/>
        <v>3168.5411682129447</v>
      </c>
      <c r="M689" s="731">
        <f t="shared" si="25"/>
        <v>3047.6098937988381</v>
      </c>
      <c r="N689" s="731">
        <f t="shared" si="25"/>
        <v>2909.8005981444667</v>
      </c>
      <c r="O689" s="731">
        <f t="shared" si="25"/>
        <v>2976.6197204590139</v>
      </c>
      <c r="P689" s="745"/>
      <c r="Q689" s="724">
        <f t="shared" si="24"/>
        <v>34218.666975059474</v>
      </c>
      <c r="R689" s="1145" t="s">
        <v>865</v>
      </c>
    </row>
    <row r="690" spans="1:18" ht="15" x14ac:dyDescent="0.25">
      <c r="B690" s="722" t="s">
        <v>369</v>
      </c>
      <c r="C690" s="713"/>
      <c r="D690" s="713"/>
      <c r="E690" s="731">
        <f t="shared" ref="E690:O690" si="26">E686*14.4</f>
        <v>4118.4000000000005</v>
      </c>
      <c r="F690" s="731">
        <f t="shared" si="26"/>
        <v>2721.6</v>
      </c>
      <c r="G690" s="731">
        <f t="shared" si="26"/>
        <v>1396.8</v>
      </c>
      <c r="H690" s="731">
        <f t="shared" si="26"/>
        <v>1195.2</v>
      </c>
      <c r="I690" s="731">
        <f t="shared" si="26"/>
        <v>1425.6000000000001</v>
      </c>
      <c r="J690" s="731">
        <f t="shared" si="26"/>
        <v>1166.4000000000001</v>
      </c>
      <c r="K690" s="731">
        <f t="shared" si="26"/>
        <v>1612.8</v>
      </c>
      <c r="L690" s="731">
        <f t="shared" si="26"/>
        <v>2318.4</v>
      </c>
      <c r="M690" s="731">
        <f t="shared" si="26"/>
        <v>3398.4</v>
      </c>
      <c r="N690" s="731">
        <f t="shared" si="26"/>
        <v>4867.2</v>
      </c>
      <c r="O690" s="731">
        <f t="shared" si="26"/>
        <v>5169.6000000000004</v>
      </c>
      <c r="P690" s="745"/>
      <c r="Q690" s="724">
        <f t="shared" si="24"/>
        <v>29390.400000000001</v>
      </c>
      <c r="R690" s="1145" t="s">
        <v>865</v>
      </c>
    </row>
    <row r="691" spans="1:18" ht="14.25" x14ac:dyDescent="0.2">
      <c r="B691" s="722" t="s">
        <v>326</v>
      </c>
      <c r="C691" s="740"/>
      <c r="D691" s="740"/>
      <c r="E691" s="731">
        <f>E687*13.87</f>
        <v>691.41950000000008</v>
      </c>
      <c r="F691" s="731">
        <f t="shared" ref="F691:O691" si="27">F687*13.87</f>
        <v>1123.7474</v>
      </c>
      <c r="G691" s="731">
        <f t="shared" si="27"/>
        <v>2052.7599999999998</v>
      </c>
      <c r="H691" s="731">
        <f t="shared" si="27"/>
        <v>2511.857</v>
      </c>
      <c r="I691" s="731">
        <f t="shared" si="27"/>
        <v>3276.9261999999999</v>
      </c>
      <c r="J691" s="731">
        <f t="shared" si="27"/>
        <v>3592.33</v>
      </c>
      <c r="K691" s="731">
        <f t="shared" si="27"/>
        <v>2552.08</v>
      </c>
      <c r="L691" s="731">
        <f t="shared" si="27"/>
        <v>1622.79</v>
      </c>
      <c r="M691" s="731">
        <f t="shared" si="27"/>
        <v>943.16</v>
      </c>
      <c r="N691" s="731">
        <f t="shared" si="27"/>
        <v>582.39797120000128</v>
      </c>
      <c r="O691" s="731">
        <f t="shared" si="27"/>
        <v>970.9</v>
      </c>
      <c r="P691" s="745"/>
      <c r="Q691" s="724">
        <f t="shared" si="24"/>
        <v>19920.368071200002</v>
      </c>
      <c r="R691" s="1145" t="s">
        <v>865</v>
      </c>
    </row>
    <row r="692" spans="1:18" ht="15" x14ac:dyDescent="0.25">
      <c r="B692" s="732" t="s">
        <v>325</v>
      </c>
      <c r="C692" s="733"/>
      <c r="D692" s="733"/>
      <c r="E692" s="455">
        <f t="shared" ref="E692:O692" si="28">E688*7.86</f>
        <v>786</v>
      </c>
      <c r="F692" s="455">
        <f t="shared" si="28"/>
        <v>636.66000000000008</v>
      </c>
      <c r="G692" s="455">
        <f t="shared" si="28"/>
        <v>628.80000000000007</v>
      </c>
      <c r="H692" s="455">
        <f t="shared" si="28"/>
        <v>337.98</v>
      </c>
      <c r="I692" s="455">
        <f t="shared" si="28"/>
        <v>495.18</v>
      </c>
      <c r="J692" s="455">
        <f t="shared" si="28"/>
        <v>628.80000000000007</v>
      </c>
      <c r="K692" s="455">
        <f t="shared" si="28"/>
        <v>448.02000000000004</v>
      </c>
      <c r="L692" s="455">
        <f t="shared" si="28"/>
        <v>565.92000000000007</v>
      </c>
      <c r="M692" s="455">
        <f t="shared" si="28"/>
        <v>400.86</v>
      </c>
      <c r="N692" s="455">
        <f t="shared" si="28"/>
        <v>322.26</v>
      </c>
      <c r="O692" s="455">
        <f t="shared" si="28"/>
        <v>267.24</v>
      </c>
      <c r="P692" s="1175"/>
      <c r="Q692" s="724">
        <f t="shared" si="24"/>
        <v>5517.72</v>
      </c>
      <c r="R692" s="1145" t="s">
        <v>865</v>
      </c>
    </row>
    <row r="693" spans="1:18" x14ac:dyDescent="0.2">
      <c r="C693" s="492"/>
      <c r="D693" s="492"/>
      <c r="E693" s="492"/>
      <c r="F693" s="492"/>
      <c r="G693" s="492"/>
      <c r="H693" s="492"/>
      <c r="I693" s="492"/>
      <c r="J693" s="492"/>
      <c r="K693" s="492"/>
      <c r="L693" s="492"/>
      <c r="M693" s="492"/>
      <c r="N693" s="492"/>
    </row>
    <row r="694" spans="1:18" ht="15" x14ac:dyDescent="0.25">
      <c r="A694" s="930">
        <v>46</v>
      </c>
      <c r="B694" s="712" t="s">
        <v>867</v>
      </c>
      <c r="C694" s="713"/>
      <c r="D694" s="713"/>
      <c r="E694" s="713"/>
      <c r="F694" s="713"/>
      <c r="G694" s="713"/>
      <c r="H694" s="713"/>
      <c r="I694" s="713"/>
      <c r="J694" s="713"/>
      <c r="K694" s="713"/>
      <c r="L694" s="713"/>
      <c r="M694" s="713"/>
      <c r="N694" s="713"/>
      <c r="O694" s="713"/>
      <c r="P694" s="714"/>
      <c r="Q694" s="715"/>
      <c r="R694" s="716"/>
    </row>
    <row r="695" spans="1:18" ht="15" x14ac:dyDescent="0.25">
      <c r="B695" s="717" t="s">
        <v>337</v>
      </c>
      <c r="C695" s="718"/>
      <c r="D695" s="718"/>
      <c r="E695" s="719">
        <v>41883</v>
      </c>
      <c r="F695" s="719">
        <v>41913</v>
      </c>
      <c r="G695" s="719">
        <v>41944</v>
      </c>
      <c r="H695" s="719">
        <v>41974</v>
      </c>
      <c r="I695" s="719">
        <v>42005</v>
      </c>
      <c r="J695" s="719">
        <v>42036</v>
      </c>
      <c r="K695" s="719">
        <v>42064</v>
      </c>
      <c r="L695" s="719">
        <v>42095</v>
      </c>
      <c r="M695" s="719">
        <v>42125</v>
      </c>
      <c r="N695" s="719">
        <v>42156</v>
      </c>
      <c r="O695" s="719">
        <v>42186</v>
      </c>
      <c r="P695" s="735"/>
      <c r="Q695" s="720" t="s">
        <v>338</v>
      </c>
      <c r="R695" s="721" t="s">
        <v>339</v>
      </c>
    </row>
    <row r="696" spans="1:18" ht="15" x14ac:dyDescent="0.25">
      <c r="B696" s="722" t="s">
        <v>360</v>
      </c>
      <c r="C696" s="713"/>
      <c r="D696" s="713"/>
      <c r="E696" s="454">
        <v>141682.98339843191</v>
      </c>
      <c r="F696" s="1170">
        <v>141580.93261719</v>
      </c>
      <c r="G696" s="1192">
        <v>129261.108398435</v>
      </c>
      <c r="H696" s="1192">
        <v>118741.943359375</v>
      </c>
      <c r="I696" s="1192">
        <v>136548.95019532001</v>
      </c>
      <c r="J696" s="1192">
        <v>133772.09472655499</v>
      </c>
      <c r="K696" s="754">
        <v>141210.87646484704</v>
      </c>
      <c r="L696" s="754">
        <v>140703.00292967999</v>
      </c>
      <c r="M696" s="754">
        <v>131492.18750001001</v>
      </c>
      <c r="N696" s="754">
        <v>121101.15559893666</v>
      </c>
      <c r="O696" s="754">
        <v>123175.02593994641</v>
      </c>
      <c r="P696" s="744"/>
      <c r="Q696" s="724">
        <f t="shared" ref="Q696:Q705" si="29">SUM(E696:O696)</f>
        <v>1459270.2611287269</v>
      </c>
      <c r="R696" s="1145" t="s">
        <v>361</v>
      </c>
    </row>
    <row r="697" spans="1:18" ht="15" x14ac:dyDescent="0.25">
      <c r="B697" s="722" t="s">
        <v>362</v>
      </c>
      <c r="C697" s="713"/>
      <c r="D697" s="713"/>
      <c r="E697" s="1170">
        <v>824.96801757812</v>
      </c>
      <c r="F697" s="1170">
        <v>473.84594726563</v>
      </c>
      <c r="G697" s="1170">
        <v>155.57739257812</v>
      </c>
      <c r="H697" s="1170">
        <v>85.073486328130002</v>
      </c>
      <c r="I697" s="1170">
        <v>122.80712890625</v>
      </c>
      <c r="J697" s="1170">
        <v>144.70727539062</v>
      </c>
      <c r="K697" s="1170">
        <v>286.16284179688</v>
      </c>
      <c r="L697" s="1170">
        <v>485.85400390625</v>
      </c>
      <c r="M697" s="1170">
        <v>765.87963867187</v>
      </c>
      <c r="N697" s="756">
        <v>1051.19018554688</v>
      </c>
      <c r="O697" s="756">
        <v>1027.96533203125</v>
      </c>
      <c r="P697" s="1187"/>
      <c r="Q697" s="724">
        <f t="shared" si="29"/>
        <v>5424.03125</v>
      </c>
      <c r="R697" s="1145" t="s">
        <v>363</v>
      </c>
    </row>
    <row r="698" spans="1:18" ht="14.25" x14ac:dyDescent="0.2">
      <c r="B698" s="722" t="s">
        <v>364</v>
      </c>
      <c r="C698" s="740"/>
      <c r="D698" s="740"/>
      <c r="E698" s="1188">
        <v>198.13187988281999</v>
      </c>
      <c r="F698" s="1188">
        <v>303.59217285155995</v>
      </c>
      <c r="G698" s="1188">
        <v>495.39518066406998</v>
      </c>
      <c r="H698" s="1188">
        <v>542.09773437498995</v>
      </c>
      <c r="I698" s="1188">
        <v>714.74405273438003</v>
      </c>
      <c r="J698" s="1188">
        <v>825.05702501562996</v>
      </c>
      <c r="K698" s="723">
        <v>627.20327435937952</v>
      </c>
      <c r="L698" s="723">
        <v>351.67387242186987</v>
      </c>
      <c r="M698" s="723">
        <v>279.33563973437947</v>
      </c>
      <c r="N698" s="723">
        <v>258.14632398437095</v>
      </c>
      <c r="O698" s="756">
        <v>235.05343335937005</v>
      </c>
      <c r="P698" s="1187"/>
      <c r="Q698" s="724">
        <f t="shared" si="29"/>
        <v>4830.4305893828205</v>
      </c>
      <c r="R698" s="1146" t="s">
        <v>365</v>
      </c>
    </row>
    <row r="699" spans="1:18" x14ac:dyDescent="0.2">
      <c r="B699" s="728" t="s">
        <v>864</v>
      </c>
      <c r="C699" s="729"/>
      <c r="D699" s="729"/>
      <c r="E699" s="1193">
        <v>345</v>
      </c>
      <c r="F699" s="1194">
        <v>335</v>
      </c>
      <c r="G699" s="1194">
        <v>335</v>
      </c>
      <c r="H699" s="1194">
        <v>170</v>
      </c>
      <c r="I699" s="1194">
        <v>132</v>
      </c>
      <c r="J699" s="1194">
        <v>134</v>
      </c>
      <c r="K699" s="1195">
        <v>265</v>
      </c>
      <c r="L699" s="750">
        <v>345</v>
      </c>
      <c r="M699" s="750">
        <v>180</v>
      </c>
      <c r="N699" s="750">
        <v>110</v>
      </c>
      <c r="O699" s="750">
        <v>85</v>
      </c>
      <c r="P699" s="1191"/>
      <c r="Q699" s="724">
        <f t="shared" si="29"/>
        <v>2436</v>
      </c>
      <c r="R699" s="1146" t="s">
        <v>379</v>
      </c>
    </row>
    <row r="700" spans="1:18" x14ac:dyDescent="0.2">
      <c r="B700" s="728" t="s">
        <v>1130</v>
      </c>
      <c r="C700" s="729"/>
      <c r="D700" s="729"/>
      <c r="E700" s="759">
        <v>1113</v>
      </c>
      <c r="F700" s="760">
        <v>1377</v>
      </c>
      <c r="G700" s="760">
        <v>1217</v>
      </c>
      <c r="H700" s="760">
        <v>1159</v>
      </c>
      <c r="I700" s="760">
        <v>768</v>
      </c>
      <c r="J700" s="760">
        <v>995</v>
      </c>
      <c r="K700" s="750">
        <v>1220</v>
      </c>
      <c r="L700" s="750">
        <v>1167</v>
      </c>
      <c r="M700" s="750">
        <v>1255</v>
      </c>
      <c r="N700" s="750">
        <v>854</v>
      </c>
      <c r="O700" s="750">
        <v>764</v>
      </c>
      <c r="P700" s="1191"/>
      <c r="Q700" s="724">
        <f t="shared" si="29"/>
        <v>11889</v>
      </c>
      <c r="R700" s="1146" t="s">
        <v>1131</v>
      </c>
    </row>
    <row r="701" spans="1:18" ht="15" x14ac:dyDescent="0.25">
      <c r="B701" s="722" t="s">
        <v>368</v>
      </c>
      <c r="C701" s="713"/>
      <c r="D701" s="713"/>
      <c r="E701" s="731">
        <f t="shared" ref="E701:O701" si="30">E696*0.087</f>
        <v>12326.419555663575</v>
      </c>
      <c r="F701" s="731">
        <f t="shared" si="30"/>
        <v>12317.541137695529</v>
      </c>
      <c r="G701" s="731">
        <f t="shared" si="30"/>
        <v>11245.716430663844</v>
      </c>
      <c r="H701" s="731">
        <f t="shared" si="30"/>
        <v>10330.549072265625</v>
      </c>
      <c r="I701" s="731">
        <f t="shared" si="30"/>
        <v>11879.758666992841</v>
      </c>
      <c r="J701" s="731">
        <f t="shared" si="30"/>
        <v>11638.172241210283</v>
      </c>
      <c r="K701" s="731">
        <f t="shared" si="30"/>
        <v>12285.346252441692</v>
      </c>
      <c r="L701" s="731">
        <f t="shared" si="30"/>
        <v>12241.161254882158</v>
      </c>
      <c r="M701" s="731">
        <f t="shared" si="30"/>
        <v>11439.820312500869</v>
      </c>
      <c r="N701" s="731">
        <f t="shared" si="30"/>
        <v>10535.800537107489</v>
      </c>
      <c r="O701" s="731">
        <f t="shared" si="30"/>
        <v>10716.227256775337</v>
      </c>
      <c r="P701" s="745"/>
      <c r="Q701" s="724">
        <f t="shared" si="29"/>
        <v>126956.51271819924</v>
      </c>
      <c r="R701" s="1145" t="s">
        <v>865</v>
      </c>
    </row>
    <row r="702" spans="1:18" ht="15" x14ac:dyDescent="0.25">
      <c r="B702" s="722" t="s">
        <v>369</v>
      </c>
      <c r="C702" s="713"/>
      <c r="D702" s="713"/>
      <c r="E702" s="731">
        <f t="shared" ref="E702:O702" si="31">E697*14.4</f>
        <v>11879.539453124928</v>
      </c>
      <c r="F702" s="731">
        <f t="shared" si="31"/>
        <v>6823.3816406250726</v>
      </c>
      <c r="G702" s="731">
        <f t="shared" si="31"/>
        <v>2240.3144531249281</v>
      </c>
      <c r="H702" s="731">
        <f t="shared" si="31"/>
        <v>1225.0582031250722</v>
      </c>
      <c r="I702" s="731">
        <f t="shared" si="31"/>
        <v>1768.42265625</v>
      </c>
      <c r="J702" s="731">
        <f t="shared" si="31"/>
        <v>2083.7847656249282</v>
      </c>
      <c r="K702" s="731">
        <f t="shared" si="31"/>
        <v>4120.7449218750726</v>
      </c>
      <c r="L702" s="731">
        <f t="shared" si="31"/>
        <v>6996.2976562499998</v>
      </c>
      <c r="M702" s="731">
        <f t="shared" si="31"/>
        <v>11028.666796874928</v>
      </c>
      <c r="N702" s="731">
        <f t="shared" si="31"/>
        <v>15137.138671875073</v>
      </c>
      <c r="O702" s="731">
        <f t="shared" si="31"/>
        <v>14802.70078125</v>
      </c>
      <c r="P702" s="745"/>
      <c r="Q702" s="724">
        <f t="shared" si="29"/>
        <v>78106.049999999988</v>
      </c>
      <c r="R702" s="1145" t="s">
        <v>865</v>
      </c>
    </row>
    <row r="703" spans="1:18" ht="14.25" x14ac:dyDescent="0.2">
      <c r="B703" s="722" t="s">
        <v>326</v>
      </c>
      <c r="C703" s="740"/>
      <c r="D703" s="740"/>
      <c r="E703" s="731">
        <f t="shared" ref="E703:O703" si="32">E698*13.87</f>
        <v>2748.089173974713</v>
      </c>
      <c r="F703" s="731">
        <f t="shared" si="32"/>
        <v>4210.8234374511367</v>
      </c>
      <c r="G703" s="731">
        <f t="shared" si="32"/>
        <v>6871.1311558106499</v>
      </c>
      <c r="H703" s="731">
        <f t="shared" si="32"/>
        <v>7518.89557578111</v>
      </c>
      <c r="I703" s="731">
        <f t="shared" si="32"/>
        <v>9913.500011425851</v>
      </c>
      <c r="J703" s="731">
        <f t="shared" si="32"/>
        <v>11443.540936966787</v>
      </c>
      <c r="K703" s="731">
        <f t="shared" si="32"/>
        <v>8699.3094153645943</v>
      </c>
      <c r="L703" s="731">
        <f t="shared" si="32"/>
        <v>4877.7166104913349</v>
      </c>
      <c r="M703" s="731">
        <f t="shared" si="32"/>
        <v>3874.3853231158432</v>
      </c>
      <c r="N703" s="731">
        <f t="shared" si="32"/>
        <v>3580.4895136632249</v>
      </c>
      <c r="O703" s="731">
        <f t="shared" si="32"/>
        <v>3260.1911206944624</v>
      </c>
      <c r="P703" s="745"/>
      <c r="Q703" s="724">
        <f t="shared" si="29"/>
        <v>66998.072274739709</v>
      </c>
      <c r="R703" s="1145" t="s">
        <v>865</v>
      </c>
    </row>
    <row r="704" spans="1:18" ht="15" x14ac:dyDescent="0.25">
      <c r="B704" s="732" t="s">
        <v>325</v>
      </c>
      <c r="C704" s="733"/>
      <c r="D704" s="733"/>
      <c r="E704" s="455">
        <f t="shared" ref="E704:O704" si="33">E699*7.86</f>
        <v>2711.7000000000003</v>
      </c>
      <c r="F704" s="455">
        <f t="shared" si="33"/>
        <v>2633.1</v>
      </c>
      <c r="G704" s="455">
        <f t="shared" si="33"/>
        <v>2633.1</v>
      </c>
      <c r="H704" s="455">
        <f t="shared" si="33"/>
        <v>1336.2</v>
      </c>
      <c r="I704" s="455">
        <f t="shared" si="33"/>
        <v>1037.52</v>
      </c>
      <c r="J704" s="455">
        <f t="shared" si="33"/>
        <v>1053.24</v>
      </c>
      <c r="K704" s="455">
        <f t="shared" si="33"/>
        <v>2082.9</v>
      </c>
      <c r="L704" s="455">
        <f t="shared" si="33"/>
        <v>2711.7000000000003</v>
      </c>
      <c r="M704" s="455">
        <f t="shared" si="33"/>
        <v>1414.8</v>
      </c>
      <c r="N704" s="455">
        <f t="shared" si="33"/>
        <v>864.6</v>
      </c>
      <c r="O704" s="455">
        <f t="shared" si="33"/>
        <v>668.1</v>
      </c>
      <c r="P704" s="1175"/>
      <c r="Q704" s="724">
        <f t="shared" si="29"/>
        <v>19146.96</v>
      </c>
      <c r="R704" s="1145" t="s">
        <v>865</v>
      </c>
    </row>
    <row r="705" spans="1:18" ht="15" x14ac:dyDescent="0.25">
      <c r="B705" s="732" t="s">
        <v>829</v>
      </c>
      <c r="C705" s="747"/>
      <c r="D705" s="747"/>
      <c r="E705" s="775">
        <v>1035.18</v>
      </c>
      <c r="F705" s="775">
        <v>1269.93</v>
      </c>
      <c r="G705" s="775">
        <v>1120.1500000000001</v>
      </c>
      <c r="H705" s="775">
        <v>959.37</v>
      </c>
      <c r="I705" s="775">
        <v>626.91999999999996</v>
      </c>
      <c r="J705" s="1147">
        <v>832.28</v>
      </c>
      <c r="K705" s="1147">
        <v>941.44</v>
      </c>
      <c r="L705" s="1147">
        <v>888.38</v>
      </c>
      <c r="M705" s="1147">
        <v>960.95</v>
      </c>
      <c r="N705" s="1147">
        <v>679.15</v>
      </c>
      <c r="O705" s="1147">
        <v>604.79</v>
      </c>
      <c r="P705" s="1148"/>
      <c r="Q705" s="724">
        <f t="shared" si="29"/>
        <v>9918.5400000000009</v>
      </c>
      <c r="R705" s="1145" t="s">
        <v>865</v>
      </c>
    </row>
    <row r="706" spans="1:18" x14ac:dyDescent="0.2">
      <c r="C706" s="492"/>
      <c r="D706" s="492"/>
      <c r="E706" s="492"/>
      <c r="F706" s="492"/>
      <c r="G706" s="492"/>
      <c r="H706" s="492"/>
      <c r="I706" s="492"/>
      <c r="J706" s="492"/>
      <c r="K706" s="492"/>
      <c r="L706" s="492"/>
      <c r="M706" s="492"/>
      <c r="N706" s="492"/>
    </row>
    <row r="707" spans="1:18" ht="15.75" x14ac:dyDescent="0.25">
      <c r="A707" s="930">
        <v>47</v>
      </c>
      <c r="B707" s="1124" t="s">
        <v>1103</v>
      </c>
      <c r="C707" s="1100"/>
      <c r="D707" s="1100"/>
      <c r="E707" s="1100"/>
      <c r="F707" s="1100"/>
      <c r="G707" s="1100"/>
      <c r="H707" s="1100"/>
      <c r="I707" s="1100"/>
      <c r="J707" s="1100"/>
      <c r="K707" s="1100"/>
      <c r="L707" s="1100"/>
      <c r="M707" s="1100"/>
      <c r="N707" s="1101"/>
    </row>
    <row r="708" spans="1:18" ht="15.75" x14ac:dyDescent="0.25">
      <c r="B708" s="1098" t="s">
        <v>732</v>
      </c>
      <c r="C708" s="473">
        <v>41852</v>
      </c>
      <c r="D708" s="473">
        <v>41883</v>
      </c>
      <c r="E708" s="473">
        <v>41913</v>
      </c>
      <c r="F708" s="473">
        <v>41944</v>
      </c>
      <c r="G708" s="473">
        <v>41974</v>
      </c>
      <c r="H708" s="473">
        <v>42019</v>
      </c>
      <c r="I708" s="473">
        <v>42050</v>
      </c>
      <c r="J708" s="473">
        <v>42078</v>
      </c>
      <c r="K708" s="473">
        <v>42109</v>
      </c>
      <c r="L708" s="473">
        <v>42139</v>
      </c>
      <c r="M708" s="473">
        <v>42170</v>
      </c>
      <c r="N708" s="473">
        <v>42200</v>
      </c>
    </row>
    <row r="709" spans="1:18" ht="15.75" x14ac:dyDescent="0.25">
      <c r="B709" s="1099" t="s">
        <v>1098</v>
      </c>
      <c r="C709" s="1100"/>
      <c r="D709" s="1100"/>
      <c r="E709" s="1100"/>
      <c r="F709" s="1100"/>
      <c r="G709" s="1100"/>
      <c r="H709" s="1100"/>
      <c r="I709" s="1100"/>
      <c r="J709" s="1100"/>
      <c r="K709" s="1100"/>
      <c r="L709" s="1100"/>
      <c r="M709" s="1100"/>
      <c r="N709" s="1101"/>
    </row>
    <row r="710" spans="1:18" ht="15.75" x14ac:dyDescent="0.25">
      <c r="B710" s="1102" t="s">
        <v>1093</v>
      </c>
      <c r="C710" s="1106">
        <v>51376</v>
      </c>
      <c r="D710" s="1107">
        <v>67310</v>
      </c>
      <c r="E710" s="1107">
        <v>58835</v>
      </c>
      <c r="F710" s="1107">
        <v>64810</v>
      </c>
      <c r="G710" s="1107">
        <v>75371</v>
      </c>
      <c r="H710" s="1107">
        <v>86365</v>
      </c>
      <c r="I710" s="1107">
        <v>94925</v>
      </c>
      <c r="J710" s="1107">
        <v>71614</v>
      </c>
      <c r="K710" s="1107">
        <v>63508</v>
      </c>
      <c r="L710" s="1107">
        <v>55389</v>
      </c>
      <c r="M710" s="1107">
        <v>80642</v>
      </c>
      <c r="N710" s="1106">
        <v>87080</v>
      </c>
    </row>
    <row r="711" spans="1:18" ht="15.75" x14ac:dyDescent="0.25">
      <c r="B711" s="1102" t="s">
        <v>322</v>
      </c>
      <c r="C711" s="1106">
        <v>33660</v>
      </c>
      <c r="D711" s="1107">
        <v>183582</v>
      </c>
      <c r="E711" s="1107">
        <v>231343</v>
      </c>
      <c r="F711" s="1107">
        <v>259701</v>
      </c>
      <c r="G711" s="1107">
        <v>96269</v>
      </c>
      <c r="H711" s="1107">
        <v>129105</v>
      </c>
      <c r="I711" s="1107">
        <v>210448</v>
      </c>
      <c r="J711" s="1107">
        <v>204478</v>
      </c>
      <c r="K711" s="1107">
        <v>164179</v>
      </c>
      <c r="L711" s="1107">
        <v>179105</v>
      </c>
      <c r="M711" s="1107">
        <v>126865</v>
      </c>
      <c r="N711" s="1106">
        <v>123134</v>
      </c>
    </row>
    <row r="712" spans="1:18" ht="15.75" x14ac:dyDescent="0.25">
      <c r="B712" s="1108" t="s">
        <v>641</v>
      </c>
      <c r="C712" s="1106">
        <v>122</v>
      </c>
      <c r="D712" s="1107">
        <v>465</v>
      </c>
      <c r="E712" s="1107">
        <v>460</v>
      </c>
      <c r="F712" s="1107">
        <v>564</v>
      </c>
      <c r="G712" s="1107">
        <v>569</v>
      </c>
      <c r="H712" s="1107">
        <v>412</v>
      </c>
      <c r="I712" s="1107">
        <v>750</v>
      </c>
      <c r="J712" s="1107">
        <v>742</v>
      </c>
      <c r="K712" s="1107">
        <v>752</v>
      </c>
      <c r="L712" s="1107">
        <v>541</v>
      </c>
      <c r="M712" s="1107">
        <v>452</v>
      </c>
      <c r="N712" s="1106">
        <v>451</v>
      </c>
    </row>
    <row r="713" spans="1:18" ht="15.75" x14ac:dyDescent="0.25">
      <c r="B713" s="1109"/>
      <c r="C713" s="1101"/>
      <c r="D713" s="1100"/>
      <c r="E713" s="1100"/>
      <c r="F713" s="1100"/>
      <c r="G713" s="1100"/>
      <c r="H713" s="1100"/>
      <c r="I713" s="1100"/>
      <c r="J713" s="1100"/>
      <c r="K713" s="1100"/>
      <c r="L713" s="1100"/>
      <c r="M713" s="1100"/>
      <c r="N713" s="1101"/>
    </row>
    <row r="714" spans="1:18" ht="15.75" x14ac:dyDescent="0.25">
      <c r="B714" s="1102" t="s">
        <v>324</v>
      </c>
      <c r="C714" s="1116">
        <v>4890.97</v>
      </c>
      <c r="D714" s="1118">
        <v>5840.79</v>
      </c>
      <c r="E714" s="1118">
        <v>5375.91</v>
      </c>
      <c r="F714" s="1118">
        <v>5689.39</v>
      </c>
      <c r="G714" s="1118">
        <v>6337.58</v>
      </c>
      <c r="H714" s="1118">
        <v>7133.63</v>
      </c>
      <c r="I714" s="1118">
        <v>7684.1</v>
      </c>
      <c r="J714" s="1118">
        <v>6134.2</v>
      </c>
      <c r="K714" s="1118">
        <v>5636.92</v>
      </c>
      <c r="L714" s="1118">
        <v>5138.84</v>
      </c>
      <c r="M714" s="1118">
        <v>6688.05</v>
      </c>
      <c r="N714" s="1116">
        <v>7073.86</v>
      </c>
    </row>
    <row r="715" spans="1:18" ht="15.75" x14ac:dyDescent="0.25">
      <c r="B715" s="1112" t="s">
        <v>328</v>
      </c>
      <c r="C715" s="1116">
        <v>954.95</v>
      </c>
      <c r="D715" s="1118">
        <v>2102.66</v>
      </c>
      <c r="E715" s="1118">
        <v>2468.1</v>
      </c>
      <c r="F715" s="1118">
        <v>2645.08</v>
      </c>
      <c r="G715" s="1118">
        <v>1434.59</v>
      </c>
      <c r="H715" s="1118">
        <v>1685.83</v>
      </c>
      <c r="I715" s="1118">
        <v>2308.2199999999998</v>
      </c>
      <c r="J715" s="1118">
        <v>2262.54</v>
      </c>
      <c r="K715" s="1118">
        <v>1954.2</v>
      </c>
      <c r="L715" s="1118">
        <v>2078.4</v>
      </c>
      <c r="M715" s="1118">
        <v>1678.7</v>
      </c>
      <c r="N715" s="1116">
        <v>1702.41</v>
      </c>
    </row>
    <row r="716" spans="1:18" ht="15.75" x14ac:dyDescent="0.25">
      <c r="B716" s="1119" t="s">
        <v>733</v>
      </c>
      <c r="C716" s="1116">
        <v>135.02000000000001</v>
      </c>
      <c r="D716" s="1118">
        <v>448.45</v>
      </c>
      <c r="E716" s="1118">
        <v>443.88</v>
      </c>
      <c r="F716" s="1118">
        <v>542.05999999999995</v>
      </c>
      <c r="G716" s="1118">
        <v>537.58000000000004</v>
      </c>
      <c r="H716" s="1118">
        <v>387.14</v>
      </c>
      <c r="I716" s="1118">
        <v>635.13</v>
      </c>
      <c r="J716" s="1118">
        <v>575.35</v>
      </c>
      <c r="K716" s="1118">
        <v>225.89</v>
      </c>
      <c r="L716" s="1118">
        <v>372.43</v>
      </c>
      <c r="M716" s="1118">
        <v>331.84</v>
      </c>
      <c r="N716" s="1116">
        <v>361.68</v>
      </c>
    </row>
    <row r="717" spans="1:18" x14ac:dyDescent="0.2">
      <c r="C717" s="492"/>
      <c r="D717" s="492"/>
      <c r="E717" s="492"/>
      <c r="F717" s="492"/>
      <c r="G717" s="492"/>
      <c r="H717" s="492"/>
      <c r="I717" s="492"/>
      <c r="J717" s="492"/>
      <c r="K717" s="492"/>
      <c r="L717" s="492"/>
      <c r="M717" s="492"/>
      <c r="N717" s="492"/>
    </row>
    <row r="718" spans="1:18" ht="15.75" x14ac:dyDescent="0.25">
      <c r="A718" s="930">
        <v>48</v>
      </c>
      <c r="B718" s="1124" t="s">
        <v>1104</v>
      </c>
      <c r="C718" s="1100"/>
      <c r="D718" s="1100"/>
      <c r="E718" s="1100"/>
      <c r="F718" s="1100"/>
      <c r="G718" s="1100"/>
      <c r="H718" s="1100"/>
      <c r="I718" s="1100"/>
      <c r="J718" s="1100"/>
      <c r="K718" s="1100"/>
      <c r="L718" s="1100"/>
      <c r="M718" s="1100"/>
      <c r="N718" s="1101"/>
    </row>
    <row r="719" spans="1:18" ht="15.75" x14ac:dyDescent="0.25">
      <c r="B719" s="1098" t="s">
        <v>735</v>
      </c>
      <c r="C719" s="473">
        <v>41852</v>
      </c>
      <c r="D719" s="473">
        <v>41883</v>
      </c>
      <c r="E719" s="473">
        <v>41913</v>
      </c>
      <c r="F719" s="473">
        <v>41944</v>
      </c>
      <c r="G719" s="473">
        <v>41974</v>
      </c>
      <c r="H719" s="473">
        <v>42019</v>
      </c>
      <c r="I719" s="473">
        <v>42050</v>
      </c>
      <c r="J719" s="473">
        <v>42078</v>
      </c>
      <c r="K719" s="473">
        <v>42109</v>
      </c>
      <c r="L719" s="473">
        <v>42139</v>
      </c>
      <c r="M719" s="473">
        <v>42170</v>
      </c>
      <c r="N719" s="473">
        <v>42200</v>
      </c>
    </row>
    <row r="720" spans="1:18" ht="15.75" x14ac:dyDescent="0.25">
      <c r="B720" s="1099" t="s">
        <v>1101</v>
      </c>
      <c r="C720" s="1100"/>
      <c r="D720" s="1100"/>
      <c r="E720" s="1100"/>
      <c r="F720" s="1100"/>
      <c r="G720" s="1100"/>
      <c r="H720" s="1100"/>
      <c r="I720" s="1100"/>
      <c r="J720" s="1100"/>
      <c r="K720" s="1100"/>
      <c r="L720" s="1100"/>
      <c r="M720" s="1100"/>
      <c r="N720" s="1101"/>
    </row>
    <row r="721" spans="1:14" ht="15.75" x14ac:dyDescent="0.25">
      <c r="B721" s="1102" t="s">
        <v>1093</v>
      </c>
      <c r="C721" s="1106">
        <v>32916</v>
      </c>
      <c r="D721" s="1107">
        <v>41890</v>
      </c>
      <c r="E721" s="1107">
        <v>33239</v>
      </c>
      <c r="F721" s="1107">
        <v>39016</v>
      </c>
      <c r="G721" s="1107">
        <v>55321</v>
      </c>
      <c r="H721" s="1107">
        <v>64709</v>
      </c>
      <c r="I721" s="1107">
        <v>66639</v>
      </c>
      <c r="J721" s="1107">
        <v>46837</v>
      </c>
      <c r="K721" s="1107">
        <v>38846</v>
      </c>
      <c r="L721" s="1107">
        <v>26591</v>
      </c>
      <c r="M721" s="1107">
        <v>29312</v>
      </c>
      <c r="N721" s="1106">
        <v>34899</v>
      </c>
    </row>
    <row r="722" spans="1:14" ht="15.75" x14ac:dyDescent="0.25">
      <c r="B722" s="1102" t="s">
        <v>322</v>
      </c>
      <c r="C722" s="1106">
        <v>2992</v>
      </c>
      <c r="D722" s="1107">
        <v>79105</v>
      </c>
      <c r="E722" s="1107">
        <v>94776</v>
      </c>
      <c r="F722" s="1107">
        <v>99254</v>
      </c>
      <c r="G722" s="1107">
        <v>60448</v>
      </c>
      <c r="H722" s="1107">
        <v>23880</v>
      </c>
      <c r="I722" s="1107">
        <v>94776</v>
      </c>
      <c r="J722" s="1107">
        <v>83582</v>
      </c>
      <c r="K722" s="1107">
        <v>70895</v>
      </c>
      <c r="L722" s="1107">
        <v>80597</v>
      </c>
      <c r="M722" s="1107">
        <v>5970</v>
      </c>
      <c r="N722" s="1106">
        <v>2985</v>
      </c>
    </row>
    <row r="723" spans="1:14" ht="15.75" x14ac:dyDescent="0.25">
      <c r="B723" s="1108" t="s">
        <v>641</v>
      </c>
      <c r="C723" s="1106">
        <v>195</v>
      </c>
      <c r="D723" s="1107">
        <v>257</v>
      </c>
      <c r="E723" s="1107">
        <v>254</v>
      </c>
      <c r="F723" s="1107">
        <v>309</v>
      </c>
      <c r="G723" s="1107">
        <v>327</v>
      </c>
      <c r="H723" s="1107">
        <v>229</v>
      </c>
      <c r="I723" s="1107">
        <v>434</v>
      </c>
      <c r="J723" s="1107">
        <v>428</v>
      </c>
      <c r="K723" s="1107">
        <v>423</v>
      </c>
      <c r="L723" s="1107">
        <v>282</v>
      </c>
      <c r="M723" s="1107">
        <v>71</v>
      </c>
      <c r="N723" s="1106">
        <v>82</v>
      </c>
    </row>
    <row r="724" spans="1:14" ht="15.75" x14ac:dyDescent="0.25">
      <c r="B724" s="1109"/>
      <c r="C724" s="1101"/>
      <c r="D724" s="1100"/>
      <c r="E724" s="1100"/>
      <c r="F724" s="1100"/>
      <c r="G724" s="1100"/>
      <c r="H724" s="1100"/>
      <c r="I724" s="1100"/>
      <c r="J724" s="1100"/>
      <c r="K724" s="1100"/>
      <c r="L724" s="1100"/>
      <c r="M724" s="1100"/>
      <c r="N724" s="1101"/>
    </row>
    <row r="725" spans="1:14" ht="15.75" x14ac:dyDescent="0.25">
      <c r="B725" s="1102" t="s">
        <v>324</v>
      </c>
      <c r="C725" s="1116">
        <v>3046.58</v>
      </c>
      <c r="D725" s="1118">
        <v>3579.35</v>
      </c>
      <c r="E725" s="1118">
        <v>3084.03</v>
      </c>
      <c r="F725" s="1118">
        <v>3404.64</v>
      </c>
      <c r="G725" s="1118">
        <v>4401.5200000000004</v>
      </c>
      <c r="H725" s="1118">
        <v>5053.9399999999996</v>
      </c>
      <c r="I725" s="1118">
        <v>5576.07</v>
      </c>
      <c r="J725" s="1118">
        <v>3900.93</v>
      </c>
      <c r="K725" s="1118">
        <v>3410.71</v>
      </c>
      <c r="L725" s="1118">
        <v>2658.9</v>
      </c>
      <c r="M725" s="1118">
        <v>2825.83</v>
      </c>
      <c r="N725" s="1116">
        <v>3164.91</v>
      </c>
    </row>
    <row r="726" spans="1:14" ht="15.75" x14ac:dyDescent="0.25">
      <c r="B726" s="1112" t="s">
        <v>328</v>
      </c>
      <c r="C726" s="1116">
        <v>720.84</v>
      </c>
      <c r="D726" s="1118">
        <v>1303.26</v>
      </c>
      <c r="E726" s="1118">
        <v>1423.17</v>
      </c>
      <c r="F726" s="1118">
        <v>1457.43</v>
      </c>
      <c r="G726" s="1118">
        <v>1160.51</v>
      </c>
      <c r="H726" s="1118">
        <v>880.72</v>
      </c>
      <c r="I726" s="1118">
        <v>1423.17</v>
      </c>
      <c r="J726" s="1118">
        <v>1337.52</v>
      </c>
      <c r="K726" s="1118">
        <v>1250.45</v>
      </c>
      <c r="L726" s="1118">
        <v>1324.68</v>
      </c>
      <c r="M726" s="1118">
        <v>753.68</v>
      </c>
      <c r="N726" s="1116">
        <v>769.15</v>
      </c>
    </row>
    <row r="727" spans="1:14" ht="15.75" x14ac:dyDescent="0.25">
      <c r="B727" s="1119" t="s">
        <v>733</v>
      </c>
      <c r="C727" s="1116">
        <v>201.73</v>
      </c>
      <c r="D727" s="1118">
        <v>258.38</v>
      </c>
      <c r="E727" s="1118">
        <v>255.63</v>
      </c>
      <c r="F727" s="1118">
        <v>307.63</v>
      </c>
      <c r="G727" s="1118">
        <v>327.08999999999997</v>
      </c>
      <c r="H727" s="1118">
        <v>225.63</v>
      </c>
      <c r="I727" s="1118">
        <v>379.2</v>
      </c>
      <c r="J727" s="1118">
        <v>349.65</v>
      </c>
      <c r="K727" s="1118">
        <v>137.79</v>
      </c>
      <c r="L727" s="1118">
        <v>205.6</v>
      </c>
      <c r="M727" s="1118">
        <v>71.97</v>
      </c>
      <c r="N727" s="1116">
        <v>85.02</v>
      </c>
    </row>
    <row r="728" spans="1:14" x14ac:dyDescent="0.2">
      <c r="C728" s="492"/>
      <c r="D728" s="492"/>
      <c r="E728" s="492"/>
      <c r="F728" s="492"/>
      <c r="G728" s="492"/>
      <c r="H728" s="492"/>
      <c r="I728" s="492"/>
      <c r="J728" s="492"/>
      <c r="K728" s="492"/>
      <c r="L728" s="492"/>
      <c r="M728" s="492"/>
      <c r="N728" s="492"/>
    </row>
    <row r="729" spans="1:14" ht="15.75" x14ac:dyDescent="0.25">
      <c r="A729" s="930">
        <v>49</v>
      </c>
      <c r="B729" s="1124" t="s">
        <v>1105</v>
      </c>
      <c r="C729" s="1100"/>
      <c r="D729" s="1100"/>
      <c r="E729" s="1100"/>
      <c r="F729" s="1100"/>
      <c r="G729" s="1100"/>
      <c r="H729" s="1100"/>
      <c r="I729" s="1100"/>
      <c r="J729" s="1100"/>
      <c r="K729" s="1100"/>
      <c r="L729" s="1100"/>
      <c r="M729" s="1100"/>
      <c r="N729" s="1101"/>
    </row>
    <row r="730" spans="1:14" ht="15.75" x14ac:dyDescent="0.25">
      <c r="B730" s="1098" t="s">
        <v>737</v>
      </c>
      <c r="C730" s="473">
        <v>41852</v>
      </c>
      <c r="D730" s="473">
        <v>41883</v>
      </c>
      <c r="E730" s="473">
        <v>41913</v>
      </c>
      <c r="F730" s="473">
        <v>41944</v>
      </c>
      <c r="G730" s="473">
        <v>41974</v>
      </c>
      <c r="H730" s="473">
        <v>42019</v>
      </c>
      <c r="I730" s="473">
        <v>42050</v>
      </c>
      <c r="J730" s="473">
        <v>42078</v>
      </c>
      <c r="K730" s="473">
        <v>42109</v>
      </c>
      <c r="L730" s="473">
        <v>42139</v>
      </c>
      <c r="M730" s="473">
        <v>42170</v>
      </c>
      <c r="N730" s="473">
        <v>42200</v>
      </c>
    </row>
    <row r="731" spans="1:14" ht="15.75" x14ac:dyDescent="0.25">
      <c r="B731" s="1099" t="s">
        <v>1102</v>
      </c>
      <c r="C731" s="1100"/>
      <c r="D731" s="1100"/>
      <c r="E731" s="1100"/>
      <c r="F731" s="1100"/>
      <c r="G731" s="1100"/>
      <c r="H731" s="1100"/>
      <c r="I731" s="1100"/>
      <c r="J731" s="1100"/>
      <c r="K731" s="1100"/>
      <c r="L731" s="1100"/>
      <c r="M731" s="1100"/>
      <c r="N731" s="1100"/>
    </row>
    <row r="732" spans="1:14" ht="15.75" x14ac:dyDescent="0.25">
      <c r="B732" s="1102" t="s">
        <v>1093</v>
      </c>
      <c r="C732" s="1107">
        <v>39247</v>
      </c>
      <c r="D732" s="1125">
        <v>53964</v>
      </c>
      <c r="E732" s="1107">
        <v>44200</v>
      </c>
      <c r="F732" s="1107">
        <v>51002</v>
      </c>
      <c r="G732" s="1107">
        <v>59338</v>
      </c>
      <c r="H732" s="1107">
        <v>66087</v>
      </c>
      <c r="I732" s="1107">
        <v>69213</v>
      </c>
      <c r="J732" s="1107">
        <v>54411</v>
      </c>
      <c r="K732" s="1107">
        <v>47866</v>
      </c>
      <c r="L732" s="1107">
        <v>35981</v>
      </c>
      <c r="M732" s="1107">
        <v>41225</v>
      </c>
      <c r="N732" s="1107">
        <v>47471</v>
      </c>
    </row>
    <row r="733" spans="1:14" ht="15.75" x14ac:dyDescent="0.25">
      <c r="B733" s="1102" t="s">
        <v>322</v>
      </c>
      <c r="C733" s="1107">
        <v>14212</v>
      </c>
      <c r="D733" s="1107">
        <v>132835</v>
      </c>
      <c r="E733" s="1107">
        <v>169403</v>
      </c>
      <c r="F733" s="1107">
        <v>176119</v>
      </c>
      <c r="G733" s="1107">
        <v>100000</v>
      </c>
      <c r="H733" s="1107">
        <v>63433</v>
      </c>
      <c r="I733" s="1107">
        <v>151492</v>
      </c>
      <c r="J733" s="1107">
        <v>131343</v>
      </c>
      <c r="K733" s="1107">
        <v>117164</v>
      </c>
      <c r="L733" s="1107">
        <v>132836</v>
      </c>
      <c r="M733" s="1107">
        <v>6716</v>
      </c>
      <c r="N733" s="1107">
        <v>6716</v>
      </c>
    </row>
    <row r="734" spans="1:14" ht="15.75" x14ac:dyDescent="0.25">
      <c r="B734" s="1108" t="s">
        <v>641</v>
      </c>
      <c r="C734" s="1107">
        <v>119</v>
      </c>
      <c r="D734" s="1107">
        <v>446</v>
      </c>
      <c r="E734" s="1107">
        <v>430</v>
      </c>
      <c r="F734" s="1107">
        <v>492</v>
      </c>
      <c r="G734" s="1107">
        <v>489</v>
      </c>
      <c r="H734" s="1107">
        <v>287</v>
      </c>
      <c r="I734" s="1107">
        <v>622</v>
      </c>
      <c r="J734" s="1107">
        <v>638</v>
      </c>
      <c r="K734" s="1107">
        <v>602</v>
      </c>
      <c r="L734" s="1107">
        <v>423</v>
      </c>
      <c r="M734" s="1107">
        <v>141</v>
      </c>
      <c r="N734" s="1107">
        <v>143</v>
      </c>
    </row>
    <row r="735" spans="1:14" ht="15.75" x14ac:dyDescent="0.25">
      <c r="B735" s="1109"/>
      <c r="C735" s="1100"/>
      <c r="D735" s="1100"/>
      <c r="E735" s="1100"/>
      <c r="F735" s="1100"/>
      <c r="G735" s="1100"/>
      <c r="H735" s="1100"/>
      <c r="I735" s="1100"/>
      <c r="J735" s="1100"/>
      <c r="K735" s="1100"/>
      <c r="L735" s="1100"/>
      <c r="M735" s="1100"/>
      <c r="N735" s="1100"/>
    </row>
    <row r="736" spans="1:14" ht="15.75" x14ac:dyDescent="0.25">
      <c r="B736" s="1102" t="s">
        <v>324</v>
      </c>
      <c r="C736" s="1118">
        <v>3731.22</v>
      </c>
      <c r="D736" s="1126">
        <v>4611.42</v>
      </c>
      <c r="E736" s="1118">
        <v>4057.39</v>
      </c>
      <c r="F736" s="1118">
        <v>4431.6000000000004</v>
      </c>
      <c r="G736" s="1118">
        <v>4943.22</v>
      </c>
      <c r="H736" s="1118">
        <v>5372.3</v>
      </c>
      <c r="I736" s="1118">
        <v>5576.07</v>
      </c>
      <c r="J736" s="1118">
        <v>4662.3</v>
      </c>
      <c r="K736" s="1118">
        <v>4260.7700000000004</v>
      </c>
      <c r="L736" s="1118">
        <v>3531.66</v>
      </c>
      <c r="M736" s="1118">
        <v>3853.37</v>
      </c>
      <c r="N736" s="1118">
        <v>4231.5600000000004</v>
      </c>
    </row>
    <row r="737" spans="1:18" ht="15.75" x14ac:dyDescent="0.25">
      <c r="B737" s="1112" t="s">
        <v>328</v>
      </c>
      <c r="C737" s="1118">
        <v>806.49</v>
      </c>
      <c r="D737" s="1118">
        <v>1714.38</v>
      </c>
      <c r="E737" s="1118">
        <v>1994</v>
      </c>
      <c r="F737" s="1118">
        <v>2045.56</v>
      </c>
      <c r="G737" s="1118">
        <v>1463.14</v>
      </c>
      <c r="H737" s="1118">
        <v>1183.3499999999999</v>
      </c>
      <c r="I737" s="1118">
        <v>1857.13</v>
      </c>
      <c r="J737" s="1118">
        <v>1702.96</v>
      </c>
      <c r="K737" s="1118">
        <v>1604.47</v>
      </c>
      <c r="L737" s="1118">
        <v>1724.38</v>
      </c>
      <c r="M737" s="1118">
        <v>759.39</v>
      </c>
      <c r="N737" s="1118">
        <v>798.01</v>
      </c>
    </row>
    <row r="738" spans="1:18" ht="15.75" x14ac:dyDescent="0.25">
      <c r="B738" s="1119" t="s">
        <v>733</v>
      </c>
      <c r="C738" s="1118">
        <v>132.27000000000001</v>
      </c>
      <c r="D738" s="1118">
        <v>431.08</v>
      </c>
      <c r="E738" s="1118">
        <v>416.47</v>
      </c>
      <c r="F738" s="1118">
        <v>475.87</v>
      </c>
      <c r="G738" s="1118">
        <v>465.31</v>
      </c>
      <c r="H738" s="1118">
        <v>276.82</v>
      </c>
      <c r="I738" s="1118">
        <v>532.80999999999995</v>
      </c>
      <c r="J738" s="1118">
        <v>559.6</v>
      </c>
      <c r="K738" s="1118">
        <v>165.82</v>
      </c>
      <c r="L738" s="1118">
        <v>296.22000000000003</v>
      </c>
      <c r="M738" s="1118">
        <v>119.71</v>
      </c>
      <c r="N738" s="1118">
        <v>130.75</v>
      </c>
    </row>
    <row r="739" spans="1:18" ht="15.75" x14ac:dyDescent="0.25">
      <c r="B739" s="1109"/>
      <c r="C739" s="1122"/>
      <c r="D739" s="1122"/>
      <c r="E739" s="1122"/>
      <c r="F739" s="1122"/>
      <c r="G739" s="1122"/>
      <c r="H739" s="1122"/>
      <c r="I739" s="1122"/>
      <c r="J739" s="1122"/>
      <c r="K739" s="1122"/>
      <c r="L739" s="1122"/>
      <c r="M739" s="1122"/>
      <c r="N739" s="1122"/>
    </row>
    <row r="740" spans="1:18" ht="15.75" x14ac:dyDescent="0.25">
      <c r="B740" s="1109"/>
      <c r="C740" s="1122"/>
      <c r="D740" s="1122"/>
      <c r="E740" s="1122"/>
      <c r="F740" s="1122"/>
      <c r="G740" s="1122"/>
      <c r="H740" s="1122"/>
      <c r="I740" s="1122"/>
      <c r="J740" s="1122"/>
      <c r="K740" s="1122"/>
      <c r="L740" s="1122"/>
      <c r="M740" s="1122"/>
      <c r="N740" s="1122"/>
    </row>
    <row r="741" spans="1:18" x14ac:dyDescent="0.2">
      <c r="A741" s="930">
        <v>50</v>
      </c>
      <c r="B741" s="666" t="s">
        <v>1233</v>
      </c>
      <c r="C741" s="497"/>
    </row>
    <row r="742" spans="1:18" x14ac:dyDescent="0.2">
      <c r="B742" s="130" t="s">
        <v>337</v>
      </c>
      <c r="C742" s="1269" t="s">
        <v>977</v>
      </c>
      <c r="D742" s="1270">
        <v>41821</v>
      </c>
      <c r="E742" s="451">
        <v>41852</v>
      </c>
      <c r="F742" s="451">
        <v>41883</v>
      </c>
      <c r="G742" s="451">
        <v>41913</v>
      </c>
      <c r="H742" s="451">
        <v>41944</v>
      </c>
      <c r="I742" s="451">
        <v>41974</v>
      </c>
      <c r="J742" s="451">
        <v>42005</v>
      </c>
      <c r="K742" s="451">
        <v>42036</v>
      </c>
      <c r="L742" s="451">
        <v>42064</v>
      </c>
      <c r="M742" s="451">
        <v>42095</v>
      </c>
      <c r="N742" s="451">
        <v>42125</v>
      </c>
      <c r="O742" s="451">
        <v>42156</v>
      </c>
      <c r="P742" s="451">
        <v>42186</v>
      </c>
      <c r="Q742" s="1303">
        <v>42217</v>
      </c>
      <c r="R742" s="1270">
        <v>42261</v>
      </c>
    </row>
    <row r="743" spans="1:18" ht="25.5" x14ac:dyDescent="0.2">
      <c r="B743" s="1271" t="s">
        <v>1223</v>
      </c>
      <c r="C743" s="1272"/>
      <c r="D743" s="1273"/>
      <c r="E743" s="1274">
        <f>71876/2</f>
        <v>35938</v>
      </c>
      <c r="F743" s="1274">
        <v>46762</v>
      </c>
      <c r="G743" s="1274">
        <v>37721</v>
      </c>
      <c r="H743" s="1274">
        <v>36427</v>
      </c>
      <c r="I743" s="1274">
        <v>24293</v>
      </c>
      <c r="J743" s="1274">
        <v>35096</v>
      </c>
      <c r="K743" s="1274">
        <v>43165</v>
      </c>
      <c r="L743" s="1274">
        <v>34692</v>
      </c>
      <c r="M743" s="1274">
        <v>33878.5</v>
      </c>
      <c r="N743" s="1274">
        <v>76057</v>
      </c>
      <c r="O743" s="1274">
        <v>34350</v>
      </c>
      <c r="P743" s="1275">
        <v>36421</v>
      </c>
      <c r="Q743" s="174"/>
      <c r="R743" s="157"/>
    </row>
    <row r="744" spans="1:18" ht="25.5" x14ac:dyDescent="0.2">
      <c r="B744" s="1276" t="s">
        <v>1224</v>
      </c>
      <c r="C744" s="1277"/>
      <c r="D744" s="1278"/>
      <c r="E744" s="1279">
        <v>2677.1659444152024</v>
      </c>
      <c r="F744" s="1279">
        <v>2899.5896086269972</v>
      </c>
      <c r="G744" s="1279">
        <v>3466.392470952615</v>
      </c>
      <c r="H744" s="1279">
        <v>5159.5901950122452</v>
      </c>
      <c r="I744" s="1279">
        <v>5422.6173088049136</v>
      </c>
      <c r="J744" s="1279">
        <v>6142.1549588268817</v>
      </c>
      <c r="K744" s="1279">
        <v>5344.6528782032601</v>
      </c>
      <c r="L744" s="1279">
        <v>4528.4219120161124</v>
      </c>
      <c r="M744" s="1279">
        <v>3344.9208875819436</v>
      </c>
      <c r="N744" s="1279">
        <v>2286.5694705567612</v>
      </c>
      <c r="O744" s="1279">
        <v>2190.9892406137033</v>
      </c>
      <c r="P744" s="1279">
        <v>2216.6870138287736</v>
      </c>
      <c r="Q744" s="174"/>
      <c r="R744" s="157"/>
    </row>
    <row r="745" spans="1:18" ht="25.5" x14ac:dyDescent="0.2">
      <c r="B745" s="1280" t="s">
        <v>1225</v>
      </c>
      <c r="C745" s="1281"/>
      <c r="D745" s="1282"/>
      <c r="E745" s="1283">
        <v>64682.072748751634</v>
      </c>
      <c r="F745" s="1283">
        <v>56065.253200509396</v>
      </c>
      <c r="G745" s="1283">
        <v>41505.466013438789</v>
      </c>
      <c r="H745" s="1283">
        <v>93036.857200308325</v>
      </c>
      <c r="I745" s="1283">
        <v>11363.957999597842</v>
      </c>
      <c r="J745" s="1283">
        <v>10098.745664231375</v>
      </c>
      <c r="K745" s="1283">
        <v>7670.1531678340425</v>
      </c>
      <c r="L745" s="1283">
        <v>25610.675332618383</v>
      </c>
      <c r="M745" s="1283">
        <v>37475.347026961361</v>
      </c>
      <c r="N745" s="1283">
        <v>94189.168646737482</v>
      </c>
      <c r="O745" s="1283">
        <v>54205.35960906867</v>
      </c>
      <c r="P745" s="1283">
        <v>64801.265328094101</v>
      </c>
      <c r="Q745" s="178"/>
      <c r="R745" s="157"/>
    </row>
    <row r="746" spans="1:18" ht="25.5" x14ac:dyDescent="0.2">
      <c r="B746" s="1284" t="s">
        <v>1226</v>
      </c>
      <c r="C746" s="1285"/>
      <c r="D746" s="1286"/>
      <c r="E746" s="1304">
        <v>0</v>
      </c>
      <c r="F746" s="1304">
        <v>0</v>
      </c>
      <c r="G746" s="1304">
        <v>0</v>
      </c>
      <c r="H746" s="1304">
        <v>0</v>
      </c>
      <c r="I746" s="1304">
        <v>0</v>
      </c>
      <c r="J746" s="1304">
        <v>0</v>
      </c>
      <c r="K746" s="1304">
        <v>0</v>
      </c>
      <c r="L746" s="1304">
        <v>0</v>
      </c>
      <c r="M746" s="1304">
        <v>0</v>
      </c>
      <c r="N746" s="1304">
        <v>0</v>
      </c>
      <c r="O746" s="1304">
        <v>0</v>
      </c>
      <c r="P746" s="1304">
        <v>0</v>
      </c>
      <c r="Q746" s="178"/>
      <c r="R746" s="157"/>
    </row>
    <row r="747" spans="1:18" x14ac:dyDescent="0.2">
      <c r="B747" s="135" t="s">
        <v>864</v>
      </c>
      <c r="C747" s="599"/>
      <c r="D747" s="157"/>
      <c r="E747" s="1290">
        <v>413.55</v>
      </c>
      <c r="F747" s="1290">
        <v>280.07</v>
      </c>
      <c r="G747" s="1290">
        <v>318.23</v>
      </c>
      <c r="H747" s="1290">
        <v>242.52</v>
      </c>
      <c r="I747" s="1290">
        <v>88.36</v>
      </c>
      <c r="J747" s="1290">
        <v>207.83</v>
      </c>
      <c r="K747" s="1290">
        <v>214.64</v>
      </c>
      <c r="L747" s="1290">
        <v>214.64</v>
      </c>
      <c r="M747" s="1290">
        <v>312.91000000000003</v>
      </c>
      <c r="N747" s="1290">
        <v>296.62</v>
      </c>
      <c r="O747" s="1290">
        <v>271.37</v>
      </c>
      <c r="P747" s="1305">
        <v>206.02</v>
      </c>
      <c r="Q747" s="730"/>
      <c r="R747" s="157"/>
    </row>
    <row r="748" spans="1:18" ht="38.25" x14ac:dyDescent="0.2">
      <c r="B748" s="1271" t="s">
        <v>1234</v>
      </c>
      <c r="C748" s="1272"/>
      <c r="D748" s="1273"/>
      <c r="E748" s="1292">
        <v>2551.598</v>
      </c>
      <c r="F748" s="1292">
        <v>3320.1019999999999</v>
      </c>
      <c r="G748" s="1292">
        <v>2678.1909999999998</v>
      </c>
      <c r="H748" s="1292">
        <v>2586.3169999999996</v>
      </c>
      <c r="I748" s="1292">
        <v>1724.8029999999999</v>
      </c>
      <c r="J748" s="1292">
        <v>2491.8159999999998</v>
      </c>
      <c r="K748" s="1292">
        <v>3064.7149999999997</v>
      </c>
      <c r="L748" s="1292">
        <v>2463.1319999999996</v>
      </c>
      <c r="M748" s="1292">
        <v>2405.3734999999997</v>
      </c>
      <c r="N748" s="1292">
        <v>5400.0469999999996</v>
      </c>
      <c r="O748" s="1292">
        <v>2438.85</v>
      </c>
      <c r="P748" s="1292">
        <v>2585.8909999999996</v>
      </c>
      <c r="Q748" s="1162"/>
      <c r="R748" s="157"/>
    </row>
    <row r="749" spans="1:18" ht="25.5" x14ac:dyDescent="0.2">
      <c r="B749" s="1293" t="s">
        <v>1228</v>
      </c>
      <c r="C749" s="1277"/>
      <c r="D749" s="1278"/>
      <c r="E749" s="1294">
        <v>1338.7668734095168</v>
      </c>
      <c r="F749" s="1294">
        <v>1488.6497406245787</v>
      </c>
      <c r="G749" s="1294">
        <v>1778.3042966030546</v>
      </c>
      <c r="H749" s="1294">
        <v>2402.1121759677749</v>
      </c>
      <c r="I749" s="1294">
        <v>2833.8962276984375</v>
      </c>
      <c r="J749" s="1294">
        <v>2525.6361935419322</v>
      </c>
      <c r="K749" s="1294">
        <v>2254.4133775007285</v>
      </c>
      <c r="L749" s="1294">
        <v>1734.253667387323</v>
      </c>
      <c r="M749" s="1294">
        <v>1245.3891023346659</v>
      </c>
      <c r="N749" s="1294">
        <v>852.24172522544063</v>
      </c>
      <c r="O749" s="1294">
        <v>888.39621757154714</v>
      </c>
      <c r="P749" s="1294">
        <v>888.85355082367983</v>
      </c>
      <c r="Q749" s="1162"/>
      <c r="R749" s="157"/>
    </row>
    <row r="750" spans="1:18" ht="38.25" x14ac:dyDescent="0.2">
      <c r="B750" s="1295" t="s">
        <v>1229</v>
      </c>
      <c r="C750" s="1281"/>
      <c r="D750" s="1282"/>
      <c r="E750" s="1296">
        <v>4592.4271651613653</v>
      </c>
      <c r="F750" s="1296">
        <v>3980.6329772361669</v>
      </c>
      <c r="G750" s="1296">
        <v>2946.8880869541536</v>
      </c>
      <c r="H750" s="1296">
        <v>6605.6168612218908</v>
      </c>
      <c r="I750" s="1296">
        <v>806.84101797144672</v>
      </c>
      <c r="J750" s="1296">
        <v>717.01094216042759</v>
      </c>
      <c r="K750" s="1296">
        <v>544.580874916217</v>
      </c>
      <c r="L750" s="1296">
        <v>1818.3579486159049</v>
      </c>
      <c r="M750" s="1296">
        <v>2660.7496389142566</v>
      </c>
      <c r="N750" s="1296">
        <v>6687.4309739183609</v>
      </c>
      <c r="O750" s="1296">
        <v>3848.580532243875</v>
      </c>
      <c r="P750" s="1296">
        <v>4600.8898382946809</v>
      </c>
      <c r="Q750" s="1162"/>
      <c r="R750" s="157"/>
    </row>
    <row r="751" spans="1:18" ht="25.5" x14ac:dyDescent="0.2">
      <c r="B751" s="1297" t="s">
        <v>1235</v>
      </c>
      <c r="C751" s="1298"/>
      <c r="D751" s="1299"/>
      <c r="E751" s="1301">
        <v>0</v>
      </c>
      <c r="F751" s="1301">
        <v>0</v>
      </c>
      <c r="G751" s="1301">
        <v>0</v>
      </c>
      <c r="H751" s="1301">
        <v>0</v>
      </c>
      <c r="I751" s="1301">
        <v>0</v>
      </c>
      <c r="J751" s="1301">
        <v>0</v>
      </c>
      <c r="K751" s="1301">
        <v>0</v>
      </c>
      <c r="L751" s="1301">
        <v>0</v>
      </c>
      <c r="M751" s="1301">
        <v>0</v>
      </c>
      <c r="N751" s="1301">
        <v>0</v>
      </c>
      <c r="O751" s="1301">
        <v>0</v>
      </c>
      <c r="P751" s="1301">
        <v>0</v>
      </c>
      <c r="Q751" s="179"/>
      <c r="R751" s="179"/>
    </row>
    <row r="752" spans="1:18" x14ac:dyDescent="0.2">
      <c r="B752" s="153" t="s">
        <v>328</v>
      </c>
      <c r="E752" s="442">
        <v>2226.02</v>
      </c>
      <c r="F752" s="442">
        <v>1646.03</v>
      </c>
      <c r="G752" s="442">
        <v>1896</v>
      </c>
      <c r="H752" s="442">
        <v>1542.01</v>
      </c>
      <c r="I752" s="442">
        <v>669.99</v>
      </c>
      <c r="J752" s="442">
        <v>1381.88</v>
      </c>
      <c r="K752" s="442">
        <v>1273.4100000000001</v>
      </c>
      <c r="L752" s="442">
        <v>1273.4100000000001</v>
      </c>
      <c r="M752" s="442">
        <v>1875.61</v>
      </c>
      <c r="N752" s="442">
        <v>1805.33</v>
      </c>
      <c r="O752" s="442">
        <v>1670.72</v>
      </c>
      <c r="P752" s="1306">
        <v>1369.51</v>
      </c>
      <c r="Q752" s="116"/>
    </row>
    <row r="753" spans="1:17" x14ac:dyDescent="0.2">
      <c r="B753" s="554"/>
      <c r="E753" s="445"/>
      <c r="F753" s="445"/>
      <c r="G753" s="445"/>
      <c r="H753" s="445"/>
      <c r="I753" s="445"/>
      <c r="J753" s="445"/>
      <c r="K753" s="445"/>
      <c r="L753" s="445"/>
      <c r="M753" s="445"/>
      <c r="N753" s="445"/>
      <c r="O753" s="445"/>
      <c r="P753" s="1307"/>
      <c r="Q753" s="116"/>
    </row>
    <row r="754" spans="1:17" x14ac:dyDescent="0.2">
      <c r="A754" s="930">
        <v>51</v>
      </c>
      <c r="C754" s="492"/>
      <c r="D754" s="492"/>
      <c r="E754" s="492"/>
      <c r="F754" s="492"/>
      <c r="G754" s="492"/>
      <c r="H754" s="492"/>
      <c r="I754" s="492"/>
      <c r="J754" s="492"/>
      <c r="K754" s="492"/>
      <c r="L754" s="492"/>
      <c r="M754" s="492"/>
      <c r="N754" s="492"/>
    </row>
    <row r="755" spans="1:17" ht="15" x14ac:dyDescent="0.2">
      <c r="A755" s="1310"/>
      <c r="B755" s="666" t="s">
        <v>1241</v>
      </c>
      <c r="C755" s="1205"/>
      <c r="D755" s="1205"/>
      <c r="E755" s="1205"/>
      <c r="F755" s="1205"/>
      <c r="G755" s="1205"/>
      <c r="H755" s="1205"/>
      <c r="I755" s="1205"/>
      <c r="J755" s="1205"/>
      <c r="K755" s="1205"/>
      <c r="L755" s="1205"/>
      <c r="M755" s="1205"/>
      <c r="N755" s="1205"/>
    </row>
    <row r="756" spans="1:17" x14ac:dyDescent="0.2">
      <c r="A756" s="1311" t="s">
        <v>1242</v>
      </c>
      <c r="B756" s="130" t="s">
        <v>337</v>
      </c>
      <c r="C756" s="1312">
        <v>41821</v>
      </c>
      <c r="D756" s="1312">
        <v>41852</v>
      </c>
      <c r="E756" s="1312">
        <v>41883</v>
      </c>
      <c r="F756" s="1312">
        <v>41913</v>
      </c>
      <c r="G756" s="1312">
        <v>41944</v>
      </c>
      <c r="H756" s="1312">
        <v>41974</v>
      </c>
      <c r="I756" s="1312">
        <v>42005</v>
      </c>
      <c r="J756" s="1312">
        <v>42036</v>
      </c>
      <c r="K756" s="1312">
        <v>42064</v>
      </c>
      <c r="L756" s="1312">
        <v>42095</v>
      </c>
      <c r="M756" s="1312">
        <v>42125</v>
      </c>
      <c r="N756" s="1312">
        <v>42156</v>
      </c>
    </row>
    <row r="757" spans="1:17" x14ac:dyDescent="0.2">
      <c r="A757" s="1311"/>
      <c r="B757" s="135" t="s">
        <v>319</v>
      </c>
      <c r="C757" s="188">
        <v>305600</v>
      </c>
      <c r="D757" s="188">
        <v>314800</v>
      </c>
      <c r="E757" s="1313">
        <v>358400</v>
      </c>
      <c r="F757" s="1313">
        <v>294000</v>
      </c>
      <c r="G757" s="1313">
        <v>258000</v>
      </c>
      <c r="H757" s="1313">
        <v>249600</v>
      </c>
      <c r="I757" s="1313">
        <v>259200</v>
      </c>
      <c r="J757" s="1313">
        <v>238800</v>
      </c>
      <c r="K757" s="1313">
        <v>271200</v>
      </c>
      <c r="L757" s="1313">
        <v>294400</v>
      </c>
      <c r="M757" s="1313">
        <v>280800</v>
      </c>
      <c r="N757" s="1313">
        <v>375600</v>
      </c>
    </row>
    <row r="758" spans="1:17" x14ac:dyDescent="0.2">
      <c r="A758" s="1311">
        <v>1</v>
      </c>
      <c r="B758" s="1314" t="s">
        <v>343</v>
      </c>
      <c r="C758" s="1315" t="s">
        <v>13</v>
      </c>
      <c r="D758" s="1315" t="s">
        <v>13</v>
      </c>
      <c r="E758" s="1315" t="s">
        <v>13</v>
      </c>
      <c r="F758" s="1315" t="s">
        <v>13</v>
      </c>
      <c r="G758" s="1315" t="s">
        <v>13</v>
      </c>
      <c r="H758" s="1315" t="s">
        <v>13</v>
      </c>
      <c r="I758" s="1315" t="s">
        <v>13</v>
      </c>
      <c r="J758" s="1315" t="s">
        <v>13</v>
      </c>
      <c r="K758" s="1315" t="s">
        <v>13</v>
      </c>
      <c r="L758" s="1315" t="s">
        <v>13</v>
      </c>
      <c r="M758" s="1315" t="s">
        <v>13</v>
      </c>
      <c r="N758" s="1315" t="s">
        <v>13</v>
      </c>
    </row>
    <row r="759" spans="1:17" x14ac:dyDescent="0.2">
      <c r="A759" s="1311">
        <v>2</v>
      </c>
      <c r="B759" s="153" t="s">
        <v>362</v>
      </c>
      <c r="C759" s="188"/>
      <c r="D759" s="188"/>
      <c r="E759" s="1316"/>
      <c r="F759" s="1316"/>
      <c r="G759" s="1316"/>
      <c r="H759" s="1316"/>
      <c r="I759" s="1316"/>
      <c r="J759" s="1316"/>
      <c r="K759" s="1316"/>
      <c r="L759" s="1316"/>
      <c r="M759" s="1316"/>
      <c r="N759" s="1316"/>
    </row>
    <row r="760" spans="1:17" x14ac:dyDescent="0.2">
      <c r="A760" s="1311"/>
      <c r="B760" s="153" t="s">
        <v>641</v>
      </c>
      <c r="C760" s="188">
        <v>8429</v>
      </c>
      <c r="D760" s="188">
        <v>10007</v>
      </c>
      <c r="E760" s="1316">
        <v>8611</v>
      </c>
      <c r="F760" s="1316">
        <v>9993</v>
      </c>
      <c r="G760" s="1316">
        <v>12959</v>
      </c>
      <c r="H760" s="1316">
        <v>13657</v>
      </c>
      <c r="I760" s="1316">
        <v>18058</v>
      </c>
      <c r="J760" s="1316">
        <v>17223</v>
      </c>
      <c r="K760" s="1316">
        <v>18541</v>
      </c>
      <c r="L760" s="1316">
        <v>17712</v>
      </c>
      <c r="M760" s="1316">
        <v>14560</v>
      </c>
      <c r="N760" s="1316">
        <v>12141</v>
      </c>
    </row>
    <row r="761" spans="1:17" x14ac:dyDescent="0.2">
      <c r="A761" s="1311">
        <v>3</v>
      </c>
      <c r="B761" s="135" t="s">
        <v>864</v>
      </c>
      <c r="C761" s="188">
        <v>883</v>
      </c>
      <c r="D761" s="188"/>
      <c r="E761" s="1317">
        <v>979</v>
      </c>
      <c r="F761" s="1317"/>
      <c r="G761" s="1317">
        <v>735</v>
      </c>
      <c r="H761" s="1317"/>
      <c r="I761" s="1317">
        <v>389</v>
      </c>
      <c r="J761" s="1317"/>
      <c r="K761" s="1317">
        <v>374</v>
      </c>
      <c r="L761" s="1317"/>
      <c r="M761" s="1317">
        <v>648</v>
      </c>
      <c r="N761" s="1317"/>
    </row>
    <row r="762" spans="1:17" ht="15" x14ac:dyDescent="0.2">
      <c r="A762" s="1318"/>
      <c r="B762" s="135" t="s">
        <v>324</v>
      </c>
      <c r="C762" s="1260">
        <v>25329.439999999999</v>
      </c>
      <c r="D762" s="188">
        <v>25902.54</v>
      </c>
      <c r="E762" s="1319">
        <v>29201.72</v>
      </c>
      <c r="F762" s="1319">
        <v>24706.17</v>
      </c>
      <c r="G762" s="1319">
        <v>21704.77</v>
      </c>
      <c r="H762" s="1319">
        <v>21436.37</v>
      </c>
      <c r="I762" s="1319">
        <v>22465.23</v>
      </c>
      <c r="J762" s="1319">
        <v>20920.68</v>
      </c>
      <c r="K762" s="1319">
        <v>18876.21</v>
      </c>
      <c r="L762" s="1319">
        <v>20686.22</v>
      </c>
      <c r="M762" s="1319">
        <v>20190.830000000002</v>
      </c>
      <c r="N762" s="1319">
        <v>27216.1</v>
      </c>
    </row>
    <row r="763" spans="1:17" ht="15" x14ac:dyDescent="0.2">
      <c r="A763" s="1318"/>
      <c r="B763" s="1320" t="s">
        <v>348</v>
      </c>
      <c r="C763" s="1315" t="s">
        <v>13</v>
      </c>
      <c r="D763" s="1315" t="s">
        <v>13</v>
      </c>
      <c r="E763" s="1315" t="s">
        <v>13</v>
      </c>
      <c r="F763" s="1315" t="s">
        <v>13</v>
      </c>
      <c r="G763" s="1315" t="s">
        <v>13</v>
      </c>
      <c r="H763" s="1315" t="s">
        <v>13</v>
      </c>
      <c r="I763" s="1315" t="s">
        <v>13</v>
      </c>
      <c r="J763" s="1315" t="s">
        <v>13</v>
      </c>
      <c r="K763" s="1315" t="s">
        <v>13</v>
      </c>
      <c r="L763" s="1315" t="s">
        <v>13</v>
      </c>
      <c r="M763" s="1315" t="s">
        <v>13</v>
      </c>
      <c r="N763" s="1315" t="s">
        <v>13</v>
      </c>
    </row>
    <row r="764" spans="1:17" ht="15" x14ac:dyDescent="0.2">
      <c r="A764" s="1318"/>
      <c r="B764" s="195" t="s">
        <v>1087</v>
      </c>
      <c r="C764" s="188"/>
      <c r="D764" s="188"/>
      <c r="E764" s="1319"/>
      <c r="F764" s="1319"/>
      <c r="G764" s="1319"/>
      <c r="H764" s="1319"/>
      <c r="I764" s="1319"/>
      <c r="J764" s="1319"/>
      <c r="K764" s="1319"/>
      <c r="L764" s="1319"/>
      <c r="M764" s="1319"/>
      <c r="N764" s="1319"/>
    </row>
    <row r="765" spans="1:17" ht="15" x14ac:dyDescent="0.2">
      <c r="A765" s="1318"/>
      <c r="B765" s="144" t="s">
        <v>883</v>
      </c>
      <c r="C765" s="1321">
        <v>7725.7</v>
      </c>
      <c r="D765" s="1321">
        <v>9167.6299999999992</v>
      </c>
      <c r="E765" s="1321">
        <v>7892.01</v>
      </c>
      <c r="F765" s="1321">
        <v>9154.83</v>
      </c>
      <c r="G765" s="1321">
        <v>11663.41</v>
      </c>
      <c r="H765" s="1321">
        <v>12254.9</v>
      </c>
      <c r="I765" s="1321">
        <v>16567.86</v>
      </c>
      <c r="J765" s="1321">
        <v>14394.54</v>
      </c>
      <c r="K765" s="1321">
        <v>14545</v>
      </c>
      <c r="L765" s="1321">
        <v>11064.88</v>
      </c>
      <c r="M765" s="1321">
        <v>9343.94</v>
      </c>
      <c r="N765" s="1321">
        <v>7802.47</v>
      </c>
    </row>
    <row r="766" spans="1:17" x14ac:dyDescent="0.2">
      <c r="A766" s="1205"/>
      <c r="C766" s="1205"/>
      <c r="D766" s="1205"/>
      <c r="E766" s="1205"/>
      <c r="F766" s="1205"/>
      <c r="G766" s="1205"/>
      <c r="H766" s="1205"/>
      <c r="I766" s="1205"/>
      <c r="J766" s="1205"/>
      <c r="K766" s="1205"/>
      <c r="L766" s="1205"/>
      <c r="M766" s="1205"/>
      <c r="N766" s="1205"/>
    </row>
    <row r="767" spans="1:17" x14ac:dyDescent="0.2">
      <c r="A767" s="1205"/>
      <c r="C767" s="1205"/>
      <c r="D767" s="1205"/>
      <c r="E767" s="1205"/>
      <c r="F767" s="1205"/>
      <c r="G767" s="1205"/>
      <c r="H767" s="1205"/>
      <c r="I767" s="1205"/>
      <c r="J767" s="1205"/>
      <c r="K767" s="1205"/>
      <c r="L767" s="1205"/>
      <c r="M767" s="1205"/>
      <c r="N767" s="1205"/>
    </row>
    <row r="768" spans="1:17" x14ac:dyDescent="0.2">
      <c r="A768" s="1205"/>
      <c r="C768" s="1205"/>
      <c r="D768" s="1205"/>
      <c r="E768" s="1205"/>
      <c r="F768" s="1205"/>
      <c r="G768" s="1205"/>
      <c r="H768" s="1205"/>
      <c r="I768" s="1205"/>
      <c r="J768" s="1205"/>
      <c r="K768" s="1205"/>
      <c r="L768" s="1205"/>
      <c r="M768" s="1205"/>
      <c r="N768" s="1205"/>
    </row>
    <row r="769" spans="1:15" x14ac:dyDescent="0.2">
      <c r="A769" s="1205"/>
      <c r="C769" s="1205"/>
      <c r="D769" s="1205"/>
      <c r="E769" s="1205"/>
      <c r="F769" s="1205"/>
      <c r="G769" s="1205"/>
      <c r="H769" s="1205"/>
      <c r="I769" s="1205"/>
      <c r="J769" s="1205"/>
      <c r="K769" s="1205"/>
      <c r="L769" s="1205"/>
      <c r="M769" s="1205"/>
      <c r="N769" s="1205"/>
    </row>
    <row r="770" spans="1:15" ht="15" x14ac:dyDescent="0.2">
      <c r="A770" s="1322" t="s">
        <v>1242</v>
      </c>
      <c r="C770" s="1205"/>
      <c r="D770" s="1205"/>
      <c r="E770" s="1205"/>
      <c r="F770" s="1205"/>
      <c r="G770" s="1205"/>
      <c r="H770" s="1205"/>
      <c r="I770" s="1205"/>
      <c r="J770" s="1205"/>
      <c r="K770" s="1205"/>
      <c r="L770" s="1205"/>
      <c r="M770" s="1205"/>
      <c r="N770" s="1205"/>
    </row>
    <row r="771" spans="1:15" x14ac:dyDescent="0.2">
      <c r="A771" s="1205">
        <v>1</v>
      </c>
      <c r="B771" t="s">
        <v>1243</v>
      </c>
      <c r="C771" s="1205"/>
      <c r="D771" s="1205"/>
      <c r="E771" s="1205"/>
      <c r="F771" s="1205"/>
      <c r="G771" s="1205"/>
      <c r="H771" s="1205"/>
      <c r="I771" s="1205"/>
      <c r="J771" s="1205"/>
      <c r="K771" s="1205"/>
      <c r="L771" s="1205"/>
      <c r="M771" s="1205"/>
      <c r="N771" s="1205"/>
    </row>
    <row r="772" spans="1:15" x14ac:dyDescent="0.2">
      <c r="A772" s="1205">
        <v>2</v>
      </c>
      <c r="B772" t="s">
        <v>1244</v>
      </c>
      <c r="C772" s="1205"/>
      <c r="D772" s="1205"/>
      <c r="E772" s="1205"/>
      <c r="F772" s="1205"/>
      <c r="G772" s="1205"/>
      <c r="H772" s="1205"/>
      <c r="I772" s="1205"/>
      <c r="J772" s="1205"/>
      <c r="K772" s="1205"/>
      <c r="L772" s="1205"/>
      <c r="M772" s="1205"/>
      <c r="N772" s="1205"/>
    </row>
    <row r="773" spans="1:15" x14ac:dyDescent="0.2">
      <c r="A773" s="1205">
        <v>3</v>
      </c>
      <c r="B773" t="s">
        <v>1245</v>
      </c>
      <c r="C773" s="1205"/>
      <c r="D773" s="1205"/>
      <c r="E773" s="1205"/>
      <c r="F773" s="1205"/>
      <c r="G773" s="1205"/>
      <c r="H773" s="1205"/>
      <c r="I773" s="1205"/>
      <c r="J773" s="1205"/>
      <c r="K773" s="1205"/>
      <c r="L773" s="1205"/>
      <c r="M773" s="1205"/>
      <c r="N773" s="1205"/>
    </row>
    <row r="774" spans="1:15" x14ac:dyDescent="0.2">
      <c r="C774" s="492"/>
      <c r="D774" s="492"/>
      <c r="E774" s="492"/>
      <c r="F774" s="492"/>
      <c r="G774" s="492"/>
      <c r="H774" s="492"/>
      <c r="I774" s="492"/>
      <c r="J774" s="492"/>
      <c r="K774" s="492"/>
      <c r="L774" s="492"/>
      <c r="M774" s="492"/>
      <c r="N774" s="492"/>
    </row>
    <row r="775" spans="1:15" ht="15" x14ac:dyDescent="0.25">
      <c r="A775" s="930">
        <v>52</v>
      </c>
      <c r="B775" s="1061" t="s">
        <v>635</v>
      </c>
      <c r="C775" s="1060"/>
      <c r="D775" s="1060"/>
      <c r="E775" s="1060"/>
      <c r="F775" s="1060"/>
      <c r="G775" s="1060"/>
      <c r="H775" s="1060"/>
      <c r="I775" s="1060"/>
      <c r="J775" s="1060"/>
      <c r="K775" s="1060"/>
      <c r="L775" s="1060"/>
      <c r="M775" s="1060"/>
      <c r="N775" s="1060"/>
      <c r="O775" s="1060"/>
    </row>
    <row r="776" spans="1:15" x14ac:dyDescent="0.2">
      <c r="B776" s="1062" t="s">
        <v>337</v>
      </c>
      <c r="C776" s="1063">
        <v>41821</v>
      </c>
      <c r="D776" s="1063">
        <v>41852</v>
      </c>
      <c r="E776" s="1063">
        <v>41883</v>
      </c>
      <c r="F776" s="1063">
        <v>41913</v>
      </c>
      <c r="G776" s="1063">
        <v>41944</v>
      </c>
      <c r="H776" s="1063">
        <v>41974</v>
      </c>
      <c r="I776" s="1063">
        <v>42005</v>
      </c>
      <c r="J776" s="1063">
        <v>42036</v>
      </c>
      <c r="K776" s="1063">
        <v>42064</v>
      </c>
      <c r="L776" s="1063">
        <v>42095</v>
      </c>
      <c r="M776" s="1063">
        <v>42125</v>
      </c>
      <c r="N776" s="1063">
        <v>42156</v>
      </c>
      <c r="O776" s="1063">
        <v>42186</v>
      </c>
    </row>
    <row r="777" spans="1:15" x14ac:dyDescent="0.2">
      <c r="B777" s="1064" t="s">
        <v>319</v>
      </c>
      <c r="C777" s="1065">
        <v>44983</v>
      </c>
      <c r="D777" s="1065">
        <v>25635</v>
      </c>
      <c r="E777" s="1065">
        <v>39109</v>
      </c>
      <c r="F777" s="1065">
        <v>37459</v>
      </c>
      <c r="G777" s="1065">
        <v>36155</v>
      </c>
      <c r="H777" s="1065">
        <v>44986</v>
      </c>
      <c r="I777" s="1065">
        <v>34874</v>
      </c>
      <c r="J777" s="1065">
        <v>28796</v>
      </c>
      <c r="K777" s="1065">
        <v>38499</v>
      </c>
      <c r="L777" s="1065">
        <v>40725</v>
      </c>
      <c r="M777" s="1065">
        <v>43798</v>
      </c>
      <c r="N777" s="1065">
        <v>37952</v>
      </c>
      <c r="O777" s="1065">
        <v>45087</v>
      </c>
    </row>
    <row r="778" spans="1:15" x14ac:dyDescent="0.2">
      <c r="B778" s="1064" t="s">
        <v>343</v>
      </c>
      <c r="C778" s="1065"/>
      <c r="D778" s="1065"/>
      <c r="E778" s="1066"/>
      <c r="F778" s="1066"/>
      <c r="G778" s="1066"/>
      <c r="H778" s="1065"/>
      <c r="I778" s="1065"/>
      <c r="J778" s="1065"/>
      <c r="K778" s="1065"/>
      <c r="L778" s="1065"/>
      <c r="M778" s="1065"/>
      <c r="N778" s="1065"/>
      <c r="O778" s="1065"/>
    </row>
    <row r="779" spans="1:15" x14ac:dyDescent="0.2">
      <c r="B779" s="1067" t="s">
        <v>362</v>
      </c>
      <c r="C779" s="1065"/>
      <c r="D779" s="1065"/>
      <c r="E779" s="1068"/>
      <c r="F779" s="1068"/>
      <c r="G779" s="1068"/>
      <c r="H779" s="1068"/>
      <c r="I779" s="1068"/>
      <c r="J779" s="1068"/>
      <c r="K779" s="1068"/>
      <c r="L779" s="1068"/>
      <c r="M779" s="1068"/>
      <c r="N779" s="1068"/>
      <c r="O779" s="1068"/>
    </row>
    <row r="780" spans="1:15" x14ac:dyDescent="0.2">
      <c r="B780" s="1067" t="s">
        <v>641</v>
      </c>
      <c r="C780" s="1065"/>
      <c r="D780" s="1065"/>
      <c r="E780" s="1068"/>
      <c r="F780" s="1068"/>
      <c r="G780" s="1068"/>
      <c r="H780" s="1068"/>
      <c r="I780" s="1068"/>
      <c r="J780" s="1068"/>
      <c r="K780" s="1068"/>
      <c r="L780" s="1068"/>
      <c r="M780" s="1068"/>
      <c r="N780" s="1068"/>
      <c r="O780" s="1068"/>
    </row>
    <row r="781" spans="1:15" x14ac:dyDescent="0.2">
      <c r="B781" s="1064" t="s">
        <v>864</v>
      </c>
      <c r="C781" s="1065"/>
      <c r="D781" s="1065"/>
      <c r="E781" s="1069"/>
      <c r="F781" s="1069"/>
      <c r="G781" s="1069"/>
      <c r="H781" s="1069"/>
      <c r="I781" s="1069"/>
      <c r="J781" s="1070"/>
      <c r="K781" s="1070"/>
      <c r="L781" s="1070"/>
      <c r="M781" s="1070"/>
      <c r="N781" s="1070"/>
      <c r="O781" s="1070"/>
    </row>
    <row r="782" spans="1:15" x14ac:dyDescent="0.2">
      <c r="B782" s="1064" t="s">
        <v>324</v>
      </c>
      <c r="C782" s="1075">
        <v>4237.3986000000004</v>
      </c>
      <c r="D782" s="1075">
        <v>2414.817</v>
      </c>
      <c r="E782" s="1075">
        <v>3684.0678000000003</v>
      </c>
      <c r="F782" s="1075">
        <v>3528.6378000000004</v>
      </c>
      <c r="G782" s="1075">
        <v>3405.8010000000004</v>
      </c>
      <c r="H782" s="1075">
        <v>4237.6812</v>
      </c>
      <c r="I782" s="1075">
        <v>3285.1308000000004</v>
      </c>
      <c r="J782" s="1075">
        <v>2712.5832</v>
      </c>
      <c r="K782" s="1075">
        <v>3626.6058000000003</v>
      </c>
      <c r="L782" s="1075">
        <v>3836.2950000000001</v>
      </c>
      <c r="M782" s="1075">
        <v>4125.7716</v>
      </c>
      <c r="N782" s="1075">
        <v>3575.0784000000003</v>
      </c>
      <c r="O782" s="1075">
        <v>4247.1954000000005</v>
      </c>
    </row>
    <row r="783" spans="1:15" ht="15" x14ac:dyDescent="0.25">
      <c r="B783" s="1071" t="s">
        <v>348</v>
      </c>
      <c r="C783" s="1065"/>
      <c r="D783" s="1065"/>
      <c r="E783" s="1074"/>
      <c r="F783" s="1074"/>
      <c r="G783" s="1074"/>
      <c r="H783" s="1074"/>
      <c r="I783" s="1073"/>
      <c r="J783" s="1073"/>
      <c r="K783" s="1073"/>
      <c r="L783" s="1073"/>
      <c r="M783" s="1073"/>
      <c r="N783" s="1073"/>
      <c r="O783" s="1073"/>
    </row>
    <row r="784" spans="1:15" x14ac:dyDescent="0.2">
      <c r="B784" s="1072" t="s">
        <v>1087</v>
      </c>
      <c r="C784" s="1065"/>
      <c r="D784" s="1065"/>
      <c r="E784" s="1073"/>
      <c r="F784" s="1073"/>
      <c r="G784" s="1073"/>
      <c r="H784" s="1073"/>
      <c r="I784" s="1073"/>
      <c r="J784" s="1073"/>
      <c r="K784" s="1073"/>
      <c r="L784" s="1073"/>
      <c r="M784" s="1073"/>
      <c r="N784" s="1073"/>
      <c r="O784" s="1073"/>
    </row>
    <row r="785" spans="1:18" x14ac:dyDescent="0.2">
      <c r="B785" s="1071" t="s">
        <v>883</v>
      </c>
      <c r="C785" s="1075">
        <v>0</v>
      </c>
      <c r="D785" s="1075">
        <v>0</v>
      </c>
      <c r="E785" s="1075">
        <v>0</v>
      </c>
      <c r="F785" s="1075">
        <v>0</v>
      </c>
      <c r="G785" s="1075">
        <v>0</v>
      </c>
      <c r="H785" s="1075">
        <v>0</v>
      </c>
      <c r="I785" s="1075">
        <v>0</v>
      </c>
      <c r="J785" s="1075">
        <v>0</v>
      </c>
      <c r="K785" s="1075">
        <v>0</v>
      </c>
      <c r="L785" s="1075">
        <v>0</v>
      </c>
      <c r="M785" s="1075">
        <v>0</v>
      </c>
      <c r="N785" s="1075">
        <v>0</v>
      </c>
      <c r="O785" s="1075">
        <v>0</v>
      </c>
    </row>
    <row r="786" spans="1:18" x14ac:dyDescent="0.2">
      <c r="C786" s="492"/>
      <c r="D786" s="492"/>
      <c r="E786" s="492"/>
      <c r="F786" s="492"/>
      <c r="G786" s="492"/>
      <c r="H786" s="492"/>
      <c r="I786" s="492"/>
      <c r="J786" s="492"/>
      <c r="K786" s="492"/>
      <c r="L786" s="492"/>
      <c r="M786" s="492"/>
      <c r="N786" s="492"/>
    </row>
    <row r="787" spans="1:18" ht="15" x14ac:dyDescent="0.25">
      <c r="A787" s="930">
        <v>53</v>
      </c>
      <c r="B787" s="712" t="s">
        <v>1132</v>
      </c>
      <c r="C787" s="713"/>
      <c r="D787" s="713"/>
      <c r="E787" s="713"/>
      <c r="F787" s="713"/>
      <c r="G787" s="713"/>
      <c r="H787" s="713"/>
      <c r="I787" s="713"/>
      <c r="J787" s="713"/>
      <c r="K787" s="713"/>
      <c r="L787" s="713"/>
      <c r="M787" s="713"/>
      <c r="N787" s="713"/>
      <c r="O787" s="713"/>
      <c r="P787" s="714"/>
      <c r="Q787" s="715"/>
      <c r="R787" s="716"/>
    </row>
    <row r="788" spans="1:18" ht="15" x14ac:dyDescent="0.25">
      <c r="B788" s="717" t="s">
        <v>337</v>
      </c>
      <c r="C788" s="718"/>
      <c r="D788" s="719">
        <v>41882</v>
      </c>
      <c r="E788" s="719">
        <v>41883</v>
      </c>
      <c r="F788" s="719">
        <v>41913</v>
      </c>
      <c r="G788" s="719">
        <v>41944</v>
      </c>
      <c r="H788" s="719">
        <v>41974</v>
      </c>
      <c r="I788" s="719">
        <v>42005</v>
      </c>
      <c r="J788" s="719">
        <v>42036</v>
      </c>
      <c r="K788" s="719">
        <v>42064</v>
      </c>
      <c r="L788" s="719">
        <v>42095</v>
      </c>
      <c r="M788" s="719">
        <v>42125</v>
      </c>
      <c r="N788" s="719">
        <v>42156</v>
      </c>
      <c r="O788" s="719">
        <v>42186</v>
      </c>
      <c r="P788" s="735"/>
      <c r="Q788" s="720" t="s">
        <v>338</v>
      </c>
      <c r="R788" s="721" t="s">
        <v>339</v>
      </c>
    </row>
    <row r="789" spans="1:18" ht="15" x14ac:dyDescent="0.25">
      <c r="B789" s="722" t="s">
        <v>360</v>
      </c>
      <c r="C789" s="713"/>
      <c r="D789" s="1170">
        <v>46652.008056639999</v>
      </c>
      <c r="E789" s="1170">
        <v>50276.000976563009</v>
      </c>
      <c r="F789" s="1170">
        <v>50750</v>
      </c>
      <c r="G789" s="1185">
        <v>48268.981933593008</v>
      </c>
      <c r="H789" s="1186">
        <v>43969.024658203976</v>
      </c>
      <c r="I789" s="1186">
        <v>49542.96875</v>
      </c>
      <c r="J789" s="1186">
        <v>45736.022949217957</v>
      </c>
      <c r="K789" s="1186">
        <v>45281.005859375</v>
      </c>
      <c r="L789" s="1196">
        <v>46723.999023438068</v>
      </c>
      <c r="M789" s="1196">
        <v>44320.007324218976</v>
      </c>
      <c r="N789" s="1196">
        <v>41210.998535156024</v>
      </c>
      <c r="O789" s="756">
        <v>43963.989257811932</v>
      </c>
      <c r="P789" s="1187"/>
      <c r="Q789" s="724">
        <f>SUM(D789:O789)</f>
        <v>556695.00732421794</v>
      </c>
      <c r="R789" s="1145" t="s">
        <v>361</v>
      </c>
    </row>
    <row r="790" spans="1:18" ht="15" x14ac:dyDescent="0.25">
      <c r="B790" s="722" t="s">
        <v>362</v>
      </c>
      <c r="C790" s="713"/>
      <c r="D790" s="1170">
        <v>420.55603027344</v>
      </c>
      <c r="E790" s="1170">
        <v>355.39404296875</v>
      </c>
      <c r="F790" s="1170">
        <v>202.36499023437</v>
      </c>
      <c r="G790" s="1170">
        <v>50</v>
      </c>
      <c r="H790" s="1170">
        <v>30</v>
      </c>
      <c r="I790" s="1170">
        <v>27</v>
      </c>
      <c r="J790" s="1170">
        <v>26</v>
      </c>
      <c r="K790" s="1170">
        <v>75</v>
      </c>
      <c r="L790" s="1197">
        <v>160</v>
      </c>
      <c r="M790" s="1197">
        <v>296</v>
      </c>
      <c r="N790" s="756">
        <v>445.91064453125</v>
      </c>
      <c r="O790" s="756">
        <v>458.341796875</v>
      </c>
      <c r="P790" s="1187"/>
      <c r="Q790" s="724">
        <f t="shared" ref="Q790:Q796" si="34">SUM(D790:O790)</f>
        <v>2546.5675048828098</v>
      </c>
      <c r="R790" s="1145" t="s">
        <v>363</v>
      </c>
    </row>
    <row r="791" spans="1:18" ht="15" x14ac:dyDescent="0.25">
      <c r="B791" s="722" t="s">
        <v>364</v>
      </c>
      <c r="C791" s="740"/>
      <c r="D791" s="1188">
        <v>47.399999999999991</v>
      </c>
      <c r="E791" s="1188">
        <v>53.310000000000016</v>
      </c>
      <c r="F791" s="1188">
        <v>81.169999999999973</v>
      </c>
      <c r="G791" s="1188">
        <v>175.52</v>
      </c>
      <c r="H791" s="1188">
        <v>213.94</v>
      </c>
      <c r="I791" s="1188">
        <v>263</v>
      </c>
      <c r="J791" s="1188">
        <v>289</v>
      </c>
      <c r="K791" s="1188">
        <v>277</v>
      </c>
      <c r="L791" s="1198">
        <v>133</v>
      </c>
      <c r="M791" s="1198">
        <v>82</v>
      </c>
      <c r="N791" s="1198">
        <v>44.919936000000376</v>
      </c>
      <c r="O791" s="1198">
        <v>80.780287999999786</v>
      </c>
      <c r="P791" s="1199"/>
      <c r="Q791" s="724">
        <f t="shared" si="34"/>
        <v>1741.0402240000001</v>
      </c>
      <c r="R791" s="1146" t="s">
        <v>365</v>
      </c>
    </row>
    <row r="792" spans="1:18" x14ac:dyDescent="0.2">
      <c r="B792" s="728" t="s">
        <v>864</v>
      </c>
      <c r="C792" s="729"/>
      <c r="D792" s="1193">
        <v>189</v>
      </c>
      <c r="E792" s="1193">
        <v>228</v>
      </c>
      <c r="F792" s="1194">
        <v>169</v>
      </c>
      <c r="G792" s="1194">
        <v>169</v>
      </c>
      <c r="H792" s="1194">
        <v>87</v>
      </c>
      <c r="I792" s="1194">
        <v>126</v>
      </c>
      <c r="J792" s="1194">
        <v>158</v>
      </c>
      <c r="K792" s="1200">
        <v>116</v>
      </c>
      <c r="L792" s="1200">
        <v>141</v>
      </c>
      <c r="M792" s="1200">
        <v>103</v>
      </c>
      <c r="N792" s="1200">
        <v>253</v>
      </c>
      <c r="O792" s="1200">
        <v>163</v>
      </c>
      <c r="P792" s="1201"/>
      <c r="Q792" s="724">
        <f t="shared" si="34"/>
        <v>1902</v>
      </c>
      <c r="R792" s="1146" t="s">
        <v>379</v>
      </c>
    </row>
    <row r="793" spans="1:18" ht="15" x14ac:dyDescent="0.25">
      <c r="B793" s="722" t="s">
        <v>368</v>
      </c>
      <c r="C793" s="713"/>
      <c r="D793" s="731">
        <f t="shared" ref="D793:O793" si="35">D789*0.087</f>
        <v>4058.7247009276798</v>
      </c>
      <c r="E793" s="731">
        <f t="shared" si="35"/>
        <v>4374.0120849609812</v>
      </c>
      <c r="F793" s="731">
        <f t="shared" si="35"/>
        <v>4415.25</v>
      </c>
      <c r="G793" s="731">
        <f t="shared" si="35"/>
        <v>4199.4014282225917</v>
      </c>
      <c r="H793" s="731">
        <f t="shared" si="35"/>
        <v>3825.3051452637455</v>
      </c>
      <c r="I793" s="731">
        <f t="shared" si="35"/>
        <v>4310.23828125</v>
      </c>
      <c r="J793" s="731">
        <f t="shared" si="35"/>
        <v>3979.0339965819621</v>
      </c>
      <c r="K793" s="731">
        <f t="shared" si="35"/>
        <v>3939.4475097656245</v>
      </c>
      <c r="L793" s="731">
        <f t="shared" si="35"/>
        <v>4064.9879150391116</v>
      </c>
      <c r="M793" s="731">
        <f t="shared" si="35"/>
        <v>3855.8406372070508</v>
      </c>
      <c r="N793" s="731">
        <f t="shared" si="35"/>
        <v>3585.3568725585737</v>
      </c>
      <c r="O793" s="731">
        <f t="shared" si="35"/>
        <v>3824.8670654296379</v>
      </c>
      <c r="P793" s="745"/>
      <c r="Q793" s="724">
        <f t="shared" si="34"/>
        <v>48432.465637206958</v>
      </c>
      <c r="R793" s="1145" t="s">
        <v>865</v>
      </c>
    </row>
    <row r="794" spans="1:18" ht="15" x14ac:dyDescent="0.25">
      <c r="B794" s="722" t="s">
        <v>369</v>
      </c>
      <c r="C794" s="713"/>
      <c r="D794" s="731">
        <f t="shared" ref="D794:O794" si="36">D790*14.4</f>
        <v>6056.0068359375364</v>
      </c>
      <c r="E794" s="731">
        <f t="shared" si="36"/>
        <v>5117.6742187500004</v>
      </c>
      <c r="F794" s="731">
        <f t="shared" si="36"/>
        <v>2914.0558593749279</v>
      </c>
      <c r="G794" s="731">
        <f t="shared" si="36"/>
        <v>720</v>
      </c>
      <c r="H794" s="731">
        <f t="shared" si="36"/>
        <v>432</v>
      </c>
      <c r="I794" s="731">
        <f t="shared" si="36"/>
        <v>388.8</v>
      </c>
      <c r="J794" s="731">
        <f t="shared" si="36"/>
        <v>374.40000000000003</v>
      </c>
      <c r="K794" s="731">
        <f t="shared" si="36"/>
        <v>1080</v>
      </c>
      <c r="L794" s="731">
        <f t="shared" si="36"/>
        <v>2304</v>
      </c>
      <c r="M794" s="731">
        <f t="shared" si="36"/>
        <v>4262.4000000000005</v>
      </c>
      <c r="N794" s="731">
        <f t="shared" si="36"/>
        <v>6421.11328125</v>
      </c>
      <c r="O794" s="731">
        <f t="shared" si="36"/>
        <v>6600.1218749999998</v>
      </c>
      <c r="P794" s="745"/>
      <c r="Q794" s="724">
        <f t="shared" si="34"/>
        <v>36670.572070312461</v>
      </c>
      <c r="R794" s="1145" t="s">
        <v>865</v>
      </c>
    </row>
    <row r="795" spans="1:18" ht="14.25" x14ac:dyDescent="0.2">
      <c r="B795" s="722" t="s">
        <v>326</v>
      </c>
      <c r="C795" s="740"/>
      <c r="D795" s="731">
        <f>D791*13.87</f>
        <v>657.43799999999987</v>
      </c>
      <c r="E795" s="731">
        <f>E791*13.87</f>
        <v>739.40970000000016</v>
      </c>
      <c r="F795" s="731">
        <f t="shared" ref="F795:O795" si="37">F791*13.87</f>
        <v>1125.8278999999995</v>
      </c>
      <c r="G795" s="731">
        <f t="shared" si="37"/>
        <v>2434.4623999999999</v>
      </c>
      <c r="H795" s="731">
        <f t="shared" si="37"/>
        <v>2967.3478</v>
      </c>
      <c r="I795" s="731">
        <f t="shared" si="37"/>
        <v>3647.81</v>
      </c>
      <c r="J795" s="731">
        <f t="shared" si="37"/>
        <v>4008.43</v>
      </c>
      <c r="K795" s="731">
        <f t="shared" si="37"/>
        <v>3841.99</v>
      </c>
      <c r="L795" s="731">
        <f t="shared" si="37"/>
        <v>1844.7099999999998</v>
      </c>
      <c r="M795" s="731">
        <f t="shared" si="37"/>
        <v>1137.3399999999999</v>
      </c>
      <c r="N795" s="731">
        <f t="shared" si="37"/>
        <v>623.0395123200052</v>
      </c>
      <c r="O795" s="731">
        <f t="shared" si="37"/>
        <v>1120.4225945599969</v>
      </c>
      <c r="P795" s="745"/>
      <c r="Q795" s="724">
        <f t="shared" si="34"/>
        <v>24148.227906880002</v>
      </c>
      <c r="R795" s="1145" t="s">
        <v>865</v>
      </c>
    </row>
    <row r="796" spans="1:18" ht="15" x14ac:dyDescent="0.25">
      <c r="B796" s="732" t="s">
        <v>325</v>
      </c>
      <c r="C796" s="733"/>
      <c r="D796" s="455">
        <f t="shared" ref="D796:O796" si="38">D792*7.86</f>
        <v>1485.54</v>
      </c>
      <c r="E796" s="455">
        <f t="shared" si="38"/>
        <v>1792.0800000000002</v>
      </c>
      <c r="F796" s="455">
        <f t="shared" si="38"/>
        <v>1328.3400000000001</v>
      </c>
      <c r="G796" s="455">
        <f t="shared" si="38"/>
        <v>1328.3400000000001</v>
      </c>
      <c r="H796" s="455">
        <f t="shared" si="38"/>
        <v>683.82</v>
      </c>
      <c r="I796" s="455">
        <f t="shared" si="38"/>
        <v>990.36</v>
      </c>
      <c r="J796" s="455">
        <f t="shared" si="38"/>
        <v>1241.8800000000001</v>
      </c>
      <c r="K796" s="455">
        <f t="shared" si="38"/>
        <v>911.76</v>
      </c>
      <c r="L796" s="455">
        <f t="shared" si="38"/>
        <v>1108.26</v>
      </c>
      <c r="M796" s="455">
        <f t="shared" si="38"/>
        <v>809.58</v>
      </c>
      <c r="N796" s="455">
        <f t="shared" si="38"/>
        <v>1988.5800000000002</v>
      </c>
      <c r="O796" s="455">
        <f t="shared" si="38"/>
        <v>1281.18</v>
      </c>
      <c r="P796" s="1175"/>
      <c r="Q796" s="724">
        <f t="shared" si="34"/>
        <v>14949.720000000001</v>
      </c>
      <c r="R796" s="1145" t="s">
        <v>865</v>
      </c>
    </row>
    <row r="797" spans="1:18" x14ac:dyDescent="0.2">
      <c r="C797" s="492"/>
      <c r="D797" s="492"/>
      <c r="E797" s="492"/>
      <c r="F797" s="492"/>
      <c r="G797" s="492"/>
      <c r="H797" s="492"/>
      <c r="I797" s="492"/>
      <c r="J797" s="492"/>
      <c r="K797" s="492"/>
      <c r="L797" s="492"/>
      <c r="M797" s="492"/>
      <c r="N797" s="492"/>
    </row>
    <row r="798" spans="1:18" ht="15.75" x14ac:dyDescent="0.25">
      <c r="A798" s="930">
        <v>54</v>
      </c>
      <c r="B798" s="1124" t="s">
        <v>1106</v>
      </c>
      <c r="C798" s="1100"/>
      <c r="D798" s="1100"/>
      <c r="E798" s="1100"/>
      <c r="F798" s="1100"/>
      <c r="G798" s="1100"/>
      <c r="H798" s="1100"/>
      <c r="I798" s="1100"/>
      <c r="J798" s="1100"/>
      <c r="K798" s="1100"/>
      <c r="L798" s="1100"/>
      <c r="M798" s="1100"/>
      <c r="N798" s="1101"/>
    </row>
    <row r="799" spans="1:18" ht="15.75" x14ac:dyDescent="0.25">
      <c r="B799" s="1098" t="s">
        <v>1099</v>
      </c>
      <c r="C799" s="473">
        <v>41852</v>
      </c>
      <c r="D799" s="473">
        <v>41883</v>
      </c>
      <c r="E799" s="473">
        <v>41913</v>
      </c>
      <c r="F799" s="473">
        <v>41944</v>
      </c>
      <c r="G799" s="473">
        <v>41974</v>
      </c>
      <c r="H799" s="473">
        <v>42019</v>
      </c>
      <c r="I799" s="473">
        <v>42050</v>
      </c>
      <c r="J799" s="473">
        <v>42078</v>
      </c>
      <c r="K799" s="473">
        <v>42109</v>
      </c>
      <c r="L799" s="473">
        <v>42139</v>
      </c>
      <c r="M799" s="473">
        <v>42170</v>
      </c>
      <c r="N799" s="473">
        <v>42200</v>
      </c>
    </row>
    <row r="800" spans="1:18" ht="15.75" x14ac:dyDescent="0.25">
      <c r="B800" s="1099" t="s">
        <v>1100</v>
      </c>
      <c r="C800" s="1100"/>
      <c r="D800" s="1100"/>
      <c r="E800" s="1100"/>
      <c r="F800" s="1100"/>
      <c r="G800" s="1100"/>
      <c r="H800" s="1100"/>
      <c r="I800" s="1100"/>
      <c r="J800" s="1100"/>
      <c r="K800" s="1100"/>
      <c r="L800" s="1100"/>
      <c r="M800" s="1100"/>
      <c r="N800" s="1100"/>
    </row>
    <row r="801" spans="1:14" ht="15.75" x14ac:dyDescent="0.25">
      <c r="B801" s="1102" t="s">
        <v>1093</v>
      </c>
      <c r="C801" s="1125">
        <v>61500</v>
      </c>
      <c r="D801" s="1125">
        <v>75600</v>
      </c>
      <c r="E801" s="1107">
        <v>60000</v>
      </c>
      <c r="F801" s="1107">
        <v>63600</v>
      </c>
      <c r="G801" s="1107">
        <v>72900</v>
      </c>
      <c r="H801" s="1107">
        <v>84900</v>
      </c>
      <c r="I801" s="1107">
        <v>90300</v>
      </c>
      <c r="J801" s="1107">
        <v>72900</v>
      </c>
      <c r="K801" s="1107">
        <v>64200</v>
      </c>
      <c r="L801" s="1107">
        <v>44400</v>
      </c>
      <c r="M801" s="1107">
        <v>48413</v>
      </c>
      <c r="N801" s="1107">
        <v>54581</v>
      </c>
    </row>
    <row r="802" spans="1:14" ht="15.75" x14ac:dyDescent="0.25">
      <c r="B802" s="1102" t="s">
        <v>322</v>
      </c>
      <c r="C802" s="1125">
        <v>91044</v>
      </c>
      <c r="D802" s="1107">
        <v>160448</v>
      </c>
      <c r="E802" s="1107">
        <v>199253</v>
      </c>
      <c r="F802" s="1107">
        <v>163433</v>
      </c>
      <c r="G802" s="1107">
        <v>167164</v>
      </c>
      <c r="H802" s="1107">
        <v>35075</v>
      </c>
      <c r="I802" s="1107">
        <v>200746</v>
      </c>
      <c r="J802" s="1107">
        <v>178358</v>
      </c>
      <c r="K802" s="1107">
        <v>161194</v>
      </c>
      <c r="L802" s="1107">
        <v>176866</v>
      </c>
      <c r="M802" s="1107">
        <v>2985</v>
      </c>
      <c r="N802" s="1107">
        <v>5224</v>
      </c>
    </row>
    <row r="803" spans="1:14" ht="15.75" x14ac:dyDescent="0.25">
      <c r="B803" s="1108" t="s">
        <v>641</v>
      </c>
      <c r="C803" s="1107">
        <v>195</v>
      </c>
      <c r="D803" s="1107">
        <v>411</v>
      </c>
      <c r="E803" s="1107">
        <v>417</v>
      </c>
      <c r="F803" s="1107">
        <v>512</v>
      </c>
      <c r="G803" s="1107">
        <v>535</v>
      </c>
      <c r="H803" s="1107">
        <v>301</v>
      </c>
      <c r="I803" s="1107">
        <v>699</v>
      </c>
      <c r="J803" s="1107">
        <v>668</v>
      </c>
      <c r="K803" s="1107">
        <v>671</v>
      </c>
      <c r="L803" s="1107">
        <v>451</v>
      </c>
      <c r="M803" s="1107">
        <v>69</v>
      </c>
      <c r="N803" s="1107">
        <v>84</v>
      </c>
    </row>
    <row r="804" spans="1:14" ht="15.75" x14ac:dyDescent="0.25">
      <c r="B804" s="1109"/>
      <c r="C804" s="1100"/>
      <c r="D804" s="1100"/>
      <c r="E804" s="1100"/>
      <c r="F804" s="1100"/>
      <c r="G804" s="1100"/>
      <c r="H804" s="1100"/>
      <c r="I804" s="1100"/>
      <c r="J804" s="1100"/>
      <c r="K804" s="1100"/>
      <c r="L804" s="1100"/>
      <c r="M804" s="1100"/>
      <c r="N804" s="1100"/>
    </row>
    <row r="805" spans="1:14" ht="15.75" x14ac:dyDescent="0.25">
      <c r="B805" s="1102" t="s">
        <v>324</v>
      </c>
      <c r="C805" s="1126">
        <v>5691.85</v>
      </c>
      <c r="D805" s="1126">
        <v>6551.91</v>
      </c>
      <c r="E805" s="1118">
        <v>5631.65</v>
      </c>
      <c r="F805" s="1118">
        <v>5800.03</v>
      </c>
      <c r="G805" s="1118">
        <v>6388.19</v>
      </c>
      <c r="H805" s="1118">
        <v>6954.93</v>
      </c>
      <c r="I805" s="1118">
        <v>7266.4</v>
      </c>
      <c r="J805" s="1118">
        <v>6214.87</v>
      </c>
      <c r="K805" s="1118">
        <v>5689.1</v>
      </c>
      <c r="L805" s="1118">
        <v>4492.54</v>
      </c>
      <c r="M805" s="1118">
        <v>4735.0600000000004</v>
      </c>
      <c r="N805" s="1118">
        <v>5102.08</v>
      </c>
    </row>
    <row r="806" spans="1:14" ht="15.75" x14ac:dyDescent="0.25">
      <c r="B806" s="1112" t="s">
        <v>328</v>
      </c>
      <c r="C806" s="1126">
        <v>1394.62</v>
      </c>
      <c r="D806" s="1118">
        <v>1925.65</v>
      </c>
      <c r="E806" s="1118">
        <v>2222.5700000000002</v>
      </c>
      <c r="F806" s="1118">
        <v>1948.49</v>
      </c>
      <c r="G806" s="1118">
        <v>1977.04</v>
      </c>
      <c r="H806" s="1118">
        <v>966.37</v>
      </c>
      <c r="I806" s="1118">
        <v>2233.9899999999998</v>
      </c>
      <c r="J806" s="1118">
        <v>2062.69</v>
      </c>
      <c r="K806" s="1118">
        <v>1931.36</v>
      </c>
      <c r="L806" s="1118">
        <v>2061.27</v>
      </c>
      <c r="M806" s="1118">
        <v>730.84</v>
      </c>
      <c r="N806" s="1118">
        <v>786.59</v>
      </c>
    </row>
    <row r="807" spans="1:14" ht="15.75" x14ac:dyDescent="0.25">
      <c r="B807" s="1119" t="s">
        <v>733</v>
      </c>
      <c r="C807" s="1118">
        <v>201.73</v>
      </c>
      <c r="D807" s="1118">
        <v>399.1</v>
      </c>
      <c r="E807" s="1118">
        <v>404.58</v>
      </c>
      <c r="F807" s="1118">
        <v>494.25</v>
      </c>
      <c r="G807" s="1118">
        <v>506.87</v>
      </c>
      <c r="H807" s="1118">
        <v>289.18</v>
      </c>
      <c r="I807" s="1118">
        <v>595.63</v>
      </c>
      <c r="J807" s="1118">
        <v>526.58000000000004</v>
      </c>
      <c r="K807" s="1118">
        <v>197.99</v>
      </c>
      <c r="L807" s="1118">
        <v>314.48</v>
      </c>
      <c r="M807" s="1118">
        <v>70.599999999999994</v>
      </c>
      <c r="N807" s="1118">
        <v>86.52</v>
      </c>
    </row>
    <row r="808" spans="1:14" x14ac:dyDescent="0.2">
      <c r="C808" s="492"/>
      <c r="D808" s="492"/>
      <c r="E808" s="492"/>
      <c r="F808" s="492"/>
      <c r="G808" s="492"/>
      <c r="H808" s="492"/>
      <c r="I808" s="492"/>
      <c r="J808" s="492"/>
      <c r="K808" s="492"/>
      <c r="L808" s="492"/>
      <c r="M808" s="492"/>
      <c r="N808" s="492"/>
    </row>
    <row r="809" spans="1:14" s="666" customFormat="1" x14ac:dyDescent="0.2">
      <c r="A809" s="930">
        <v>55</v>
      </c>
      <c r="B809" s="666" t="s">
        <v>979</v>
      </c>
      <c r="D809" s="666" t="s">
        <v>138</v>
      </c>
    </row>
    <row r="810" spans="1:14" x14ac:dyDescent="0.2">
      <c r="C810" s="968">
        <v>42199</v>
      </c>
      <c r="D810" s="968">
        <v>42230</v>
      </c>
      <c r="E810" s="968">
        <v>42261</v>
      </c>
      <c r="F810" s="968">
        <v>42291</v>
      </c>
      <c r="G810" s="968">
        <v>42322</v>
      </c>
      <c r="H810" s="968">
        <v>42352</v>
      </c>
      <c r="I810" s="968">
        <v>42019</v>
      </c>
      <c r="J810" s="968">
        <v>42050</v>
      </c>
      <c r="K810" s="968">
        <v>42078</v>
      </c>
      <c r="L810" s="968">
        <v>42109</v>
      </c>
      <c r="M810" s="968">
        <v>42139</v>
      </c>
      <c r="N810" s="968">
        <v>42170</v>
      </c>
    </row>
    <row r="811" spans="1:14" x14ac:dyDescent="0.2">
      <c r="B811" t="s">
        <v>694</v>
      </c>
    </row>
    <row r="812" spans="1:14" x14ac:dyDescent="0.2">
      <c r="B812" t="s">
        <v>695</v>
      </c>
      <c r="C812" s="973">
        <v>67060</v>
      </c>
      <c r="D812" s="973">
        <v>80854</v>
      </c>
      <c r="E812" s="973">
        <v>88878</v>
      </c>
      <c r="F812" s="973">
        <v>82852</v>
      </c>
      <c r="G812" s="973">
        <v>74272</v>
      </c>
      <c r="H812" s="973">
        <v>75624</v>
      </c>
      <c r="I812" s="973">
        <v>76572</v>
      </c>
      <c r="J812" s="973">
        <v>62522</v>
      </c>
      <c r="K812" s="973">
        <v>70095</v>
      </c>
      <c r="L812" s="973">
        <v>71961</v>
      </c>
      <c r="M812" s="973">
        <v>72570</v>
      </c>
      <c r="N812" s="973">
        <v>75048</v>
      </c>
    </row>
    <row r="813" spans="1:14" x14ac:dyDescent="0.2">
      <c r="B813" t="s">
        <v>696</v>
      </c>
      <c r="C813" s="973">
        <v>32</v>
      </c>
      <c r="D813" s="973">
        <v>85</v>
      </c>
      <c r="E813" s="973">
        <v>164</v>
      </c>
      <c r="F813" s="973">
        <v>170</v>
      </c>
      <c r="G813" s="973">
        <v>354</v>
      </c>
      <c r="H813" s="973">
        <v>480</v>
      </c>
      <c r="I813" s="973">
        <v>294</v>
      </c>
      <c r="J813" s="973">
        <v>102</v>
      </c>
      <c r="K813" s="973">
        <v>119</v>
      </c>
      <c r="L813" s="973">
        <v>265</v>
      </c>
      <c r="M813" s="973">
        <v>141</v>
      </c>
      <c r="N813" s="973">
        <v>38</v>
      </c>
    </row>
    <row r="814" spans="1:14" x14ac:dyDescent="0.2">
      <c r="B814" t="s">
        <v>697</v>
      </c>
      <c r="C814" s="973">
        <v>250</v>
      </c>
      <c r="D814" s="973">
        <v>280</v>
      </c>
      <c r="E814" s="973">
        <v>267</v>
      </c>
      <c r="F814" s="973">
        <v>271</v>
      </c>
      <c r="G814" s="973">
        <v>941</v>
      </c>
      <c r="H814" s="973">
        <v>219</v>
      </c>
      <c r="I814" s="973">
        <v>6598</v>
      </c>
      <c r="J814" s="973">
        <v>995</v>
      </c>
      <c r="K814" s="973">
        <v>1537</v>
      </c>
      <c r="L814" s="973">
        <v>1457</v>
      </c>
      <c r="M814" s="973">
        <v>266</v>
      </c>
      <c r="N814" s="973">
        <v>150</v>
      </c>
    </row>
    <row r="815" spans="1:14" x14ac:dyDescent="0.2">
      <c r="B815" t="s">
        <v>1048</v>
      </c>
      <c r="C815" s="973">
        <v>544</v>
      </c>
      <c r="D815" s="973">
        <v>488</v>
      </c>
      <c r="E815" s="973">
        <v>603</v>
      </c>
      <c r="F815" s="973">
        <v>322</v>
      </c>
      <c r="G815" s="973">
        <v>87</v>
      </c>
      <c r="H815" s="973">
        <v>55</v>
      </c>
      <c r="I815" s="973">
        <v>56</v>
      </c>
      <c r="J815" s="973">
        <v>61</v>
      </c>
      <c r="K815" s="973">
        <v>164</v>
      </c>
      <c r="L815" s="973">
        <v>325</v>
      </c>
      <c r="M815" s="973">
        <v>569</v>
      </c>
      <c r="N815" s="973">
        <v>695</v>
      </c>
    </row>
    <row r="816" spans="1:14" x14ac:dyDescent="0.2">
      <c r="B816" t="s">
        <v>1049</v>
      </c>
      <c r="C816" s="973">
        <v>243</v>
      </c>
      <c r="D816" s="973">
        <v>143</v>
      </c>
      <c r="E816" s="973">
        <v>258</v>
      </c>
      <c r="F816" s="973">
        <v>333</v>
      </c>
      <c r="G816" s="973">
        <v>391</v>
      </c>
      <c r="H816" s="973">
        <v>504</v>
      </c>
      <c r="I816" s="973">
        <v>444</v>
      </c>
      <c r="J816" s="973">
        <v>442</v>
      </c>
      <c r="K816" s="973">
        <v>364</v>
      </c>
      <c r="L816" s="973">
        <v>319</v>
      </c>
      <c r="M816" s="973">
        <v>285</v>
      </c>
      <c r="N816" s="973">
        <v>241</v>
      </c>
    </row>
    <row r="818" spans="1:18" x14ac:dyDescent="0.2">
      <c r="B818" t="s">
        <v>698</v>
      </c>
    </row>
    <row r="819" spans="1:18" x14ac:dyDescent="0.2">
      <c r="B819" t="s">
        <v>699</v>
      </c>
      <c r="C819" s="492">
        <v>4672.9179361806309</v>
      </c>
      <c r="D819" s="492">
        <v>5787.389467492997</v>
      </c>
      <c r="E819" s="492">
        <v>6154.4706328934517</v>
      </c>
      <c r="F819" s="492">
        <v>5082.8137860411898</v>
      </c>
      <c r="G819" s="492">
        <v>4271.7850266666665</v>
      </c>
      <c r="H819" s="492">
        <v>4354.5177583602153</v>
      </c>
      <c r="I819" s="492">
        <v>4270.5009579108637</v>
      </c>
      <c r="J819" s="492">
        <v>3524.485524392182</v>
      </c>
      <c r="K819" s="492">
        <v>4099.7921653536414</v>
      </c>
      <c r="L819" s="492">
        <v>4016.0056242093019</v>
      </c>
      <c r="M819" s="492">
        <v>4078.8614482954545</v>
      </c>
      <c r="N819" s="492">
        <v>4710.3295096923075</v>
      </c>
    </row>
    <row r="820" spans="1:18" x14ac:dyDescent="0.2">
      <c r="B820" t="s">
        <v>700</v>
      </c>
      <c r="C820" s="492">
        <v>49.33</v>
      </c>
      <c r="D820" s="492">
        <v>94.59</v>
      </c>
      <c r="E820" s="492">
        <v>162.05000000000001</v>
      </c>
      <c r="F820" s="492">
        <v>167.18</v>
      </c>
      <c r="G820" s="492">
        <v>322.47000000000003</v>
      </c>
      <c r="H820" s="492">
        <v>429.92</v>
      </c>
      <c r="I820" s="492">
        <v>257.95</v>
      </c>
      <c r="J820" s="492">
        <v>97.56</v>
      </c>
      <c r="K820" s="492">
        <v>97.08</v>
      </c>
      <c r="L820" s="492">
        <v>27.93</v>
      </c>
      <c r="M820" s="492">
        <v>106.43</v>
      </c>
      <c r="N820" s="492">
        <v>47.38</v>
      </c>
    </row>
    <row r="821" spans="1:18" x14ac:dyDescent="0.2">
      <c r="B821" t="s">
        <v>701</v>
      </c>
      <c r="C821" s="492">
        <v>17.770014242540032</v>
      </c>
      <c r="D821" s="492">
        <v>20.33619122495562</v>
      </c>
      <c r="E821" s="492">
        <v>19.429064362591276</v>
      </c>
      <c r="F821" s="492">
        <v>20.671266732216466</v>
      </c>
      <c r="G821" s="492">
        <v>74.241094075361403</v>
      </c>
      <c r="H821" s="492">
        <v>18.58532439091158</v>
      </c>
      <c r="I821" s="492">
        <v>611.46687787058454</v>
      </c>
      <c r="J821" s="492">
        <v>82.977971505376345</v>
      </c>
      <c r="K821" s="492">
        <v>126.60168924541803</v>
      </c>
      <c r="L821" s="492">
        <v>114.11528119962315</v>
      </c>
      <c r="M821" s="492">
        <v>20.266283806009064</v>
      </c>
      <c r="N821" s="492">
        <v>10.913823432524433</v>
      </c>
    </row>
    <row r="822" spans="1:18" x14ac:dyDescent="0.2">
      <c r="B822" t="s">
        <v>1050</v>
      </c>
      <c r="C822" s="492">
        <v>2562.2343765492478</v>
      </c>
      <c r="D822" s="492">
        <v>1153.7824197514396</v>
      </c>
      <c r="E822" s="492">
        <v>1991.8849127927035</v>
      </c>
      <c r="F822" s="492">
        <v>1433.5291410407062</v>
      </c>
      <c r="G822" s="492">
        <v>1261.465187862982</v>
      </c>
      <c r="H822" s="492">
        <v>456.44069013540792</v>
      </c>
      <c r="I822" s="492">
        <v>222.6938369291573</v>
      </c>
      <c r="J822" s="492">
        <v>429.60795087677775</v>
      </c>
      <c r="K822" s="492">
        <v>530.75048910630539</v>
      </c>
      <c r="L822" s="492">
        <v>1051.7921278021295</v>
      </c>
      <c r="M822" s="492">
        <v>2928.2109049608539</v>
      </c>
      <c r="N822" s="492">
        <v>4172.5599157979086</v>
      </c>
    </row>
    <row r="823" spans="1:18" x14ac:dyDescent="0.2">
      <c r="B823" t="s">
        <v>1051</v>
      </c>
      <c r="C823" s="492">
        <v>1816.2704796706514</v>
      </c>
      <c r="D823" s="492">
        <v>894.64801137191557</v>
      </c>
      <c r="E823" s="492">
        <v>1692.6702602977282</v>
      </c>
      <c r="F823" s="492">
        <v>1680.1661678112553</v>
      </c>
      <c r="G823" s="492">
        <v>1930.0289368009849</v>
      </c>
      <c r="H823" s="492">
        <v>2023.7920956445334</v>
      </c>
      <c r="I823" s="492">
        <v>1835.8460360191343</v>
      </c>
      <c r="J823" s="492">
        <v>1509.1532808621103</v>
      </c>
      <c r="K823" s="492">
        <v>1474.2816369336078</v>
      </c>
      <c r="L823" s="492">
        <v>793.40425124384865</v>
      </c>
      <c r="M823" s="492">
        <v>1086.9955561856825</v>
      </c>
      <c r="N823" s="492">
        <v>1320.11494009887</v>
      </c>
    </row>
    <row r="824" spans="1:18" x14ac:dyDescent="0.2">
      <c r="C824" s="492"/>
      <c r="D824" s="492"/>
      <c r="E824" s="492"/>
      <c r="F824" s="492"/>
      <c r="G824" s="492"/>
      <c r="H824" s="492"/>
      <c r="I824" s="492"/>
      <c r="J824" s="492"/>
      <c r="K824" s="492"/>
      <c r="L824" s="492"/>
      <c r="M824" s="492"/>
      <c r="N824" s="492"/>
    </row>
    <row r="825" spans="1:18" s="697" customFormat="1" ht="15" x14ac:dyDescent="0.25">
      <c r="A825" s="1209">
        <v>56</v>
      </c>
      <c r="B825" s="1225" t="s">
        <v>1133</v>
      </c>
      <c r="C825" s="1210"/>
      <c r="D825" s="1210"/>
      <c r="E825" s="729"/>
      <c r="F825" s="729"/>
      <c r="G825" s="729"/>
      <c r="H825" s="729"/>
      <c r="I825" s="729"/>
      <c r="J825" s="729"/>
      <c r="K825" s="729"/>
      <c r="L825" s="1210"/>
      <c r="M825" s="1210"/>
      <c r="N825" s="1210"/>
      <c r="O825" s="1210"/>
      <c r="P825" s="714"/>
      <c r="Q825" s="1211"/>
      <c r="R825" s="1212"/>
    </row>
    <row r="826" spans="1:18" s="697" customFormat="1" ht="15" x14ac:dyDescent="0.25">
      <c r="A826" s="1209"/>
      <c r="B826" s="1213" t="s">
        <v>337</v>
      </c>
      <c r="C826" s="718"/>
      <c r="D826" s="1214">
        <v>41882</v>
      </c>
      <c r="E826" s="1214">
        <v>41883</v>
      </c>
      <c r="F826" s="1214">
        <v>41913</v>
      </c>
      <c r="G826" s="1214">
        <v>41944</v>
      </c>
      <c r="H826" s="1214">
        <v>41974</v>
      </c>
      <c r="I826" s="1214">
        <v>42005</v>
      </c>
      <c r="J826" s="1214">
        <v>42036</v>
      </c>
      <c r="K826" s="1214">
        <v>42064</v>
      </c>
      <c r="L826" s="1215">
        <v>42095</v>
      </c>
      <c r="M826" s="1215">
        <v>42125</v>
      </c>
      <c r="N826" s="1215">
        <v>42156</v>
      </c>
      <c r="O826" s="1215">
        <v>42186</v>
      </c>
      <c r="P826" s="735"/>
      <c r="Q826" s="1216" t="s">
        <v>338</v>
      </c>
      <c r="R826" s="1217" t="s">
        <v>339</v>
      </c>
    </row>
    <row r="827" spans="1:18" s="697" customFormat="1" ht="15" x14ac:dyDescent="0.25">
      <c r="A827" s="1209"/>
      <c r="B827" s="728" t="s">
        <v>360</v>
      </c>
      <c r="C827" s="1210"/>
      <c r="D827" s="1170">
        <v>42294.998168945996</v>
      </c>
      <c r="E827" s="1170">
        <v>42239.990234375029</v>
      </c>
      <c r="F827" s="1170">
        <v>42876.007080077958</v>
      </c>
      <c r="G827" s="1218">
        <v>41388.000488281024</v>
      </c>
      <c r="H827" s="1186">
        <v>39213.989257813009</v>
      </c>
      <c r="I827" s="1186">
        <v>42395.99609375</v>
      </c>
      <c r="J827" s="1186">
        <v>40167.999267578009</v>
      </c>
      <c r="K827" s="1186">
        <v>40778.991699218976</v>
      </c>
      <c r="L827" s="1186">
        <v>41736.999511717957</v>
      </c>
      <c r="M827" s="1186">
        <v>38388.000488282043</v>
      </c>
      <c r="N827" s="1186">
        <v>39009.033203125</v>
      </c>
      <c r="O827" s="756">
        <v>40076.965332031024</v>
      </c>
      <c r="P827" s="1187"/>
      <c r="Q827" s="1219">
        <f>SUM(D827:O827)</f>
        <v>490566.97082519601</v>
      </c>
      <c r="R827" s="1146" t="s">
        <v>361</v>
      </c>
    </row>
    <row r="828" spans="1:18" s="697" customFormat="1" ht="15" x14ac:dyDescent="0.25">
      <c r="A828" s="1209"/>
      <c r="B828" s="728" t="s">
        <v>362</v>
      </c>
      <c r="C828" s="1210"/>
      <c r="D828" s="1170">
        <v>346.39501953125</v>
      </c>
      <c r="E828" s="1170">
        <v>260.73791503906</v>
      </c>
      <c r="F828" s="1170">
        <v>131.94799804688</v>
      </c>
      <c r="G828" s="1170">
        <v>27</v>
      </c>
      <c r="H828" s="1170">
        <v>18</v>
      </c>
      <c r="I828" s="1170">
        <v>12</v>
      </c>
      <c r="J828" s="1170">
        <v>13</v>
      </c>
      <c r="K828" s="1170">
        <v>44</v>
      </c>
      <c r="L828" s="1170">
        <v>109</v>
      </c>
      <c r="M828" s="1170">
        <v>228</v>
      </c>
      <c r="N828" s="756">
        <v>389.77392578125</v>
      </c>
      <c r="O828" s="756">
        <v>480.826171875</v>
      </c>
      <c r="P828" s="1187"/>
      <c r="Q828" s="1219">
        <f t="shared" ref="Q828:Q834" si="39">SUM(D828:O828)</f>
        <v>2060.6810302734402</v>
      </c>
      <c r="R828" s="1146" t="s">
        <v>363</v>
      </c>
    </row>
    <row r="829" spans="1:18" s="697" customFormat="1" ht="15" x14ac:dyDescent="0.25">
      <c r="A829" s="1209"/>
      <c r="B829" s="728" t="s">
        <v>364</v>
      </c>
      <c r="C829" s="1220"/>
      <c r="D829" s="1192">
        <v>47.879999999999995</v>
      </c>
      <c r="E829" s="1192">
        <v>48.069999999999993</v>
      </c>
      <c r="F829" s="1192">
        <v>95.13</v>
      </c>
      <c r="G829" s="1192">
        <v>203</v>
      </c>
      <c r="H829" s="1192">
        <v>250</v>
      </c>
      <c r="I829" s="1192">
        <v>300</v>
      </c>
      <c r="J829" s="1192">
        <v>317</v>
      </c>
      <c r="K829" s="1192">
        <v>193</v>
      </c>
      <c r="L829" s="1192">
        <v>102</v>
      </c>
      <c r="M829" s="1192">
        <v>62</v>
      </c>
      <c r="N829" s="1207">
        <v>40.679936000000183</v>
      </c>
      <c r="O829" s="1192">
        <v>97.909888000000109</v>
      </c>
      <c r="P829" s="1190"/>
      <c r="Q829" s="1219">
        <f t="shared" si="39"/>
        <v>1756.6698240000003</v>
      </c>
      <c r="R829" s="1146" t="s">
        <v>365</v>
      </c>
    </row>
    <row r="830" spans="1:18" s="697" customFormat="1" x14ac:dyDescent="0.2">
      <c r="A830" s="1209"/>
      <c r="B830" s="728" t="s">
        <v>864</v>
      </c>
      <c r="C830" s="729"/>
      <c r="D830" s="1193">
        <v>83</v>
      </c>
      <c r="E830" s="1193">
        <v>117</v>
      </c>
      <c r="F830" s="1194">
        <v>89</v>
      </c>
      <c r="G830" s="1194">
        <v>88</v>
      </c>
      <c r="H830" s="1194">
        <v>53</v>
      </c>
      <c r="I830" s="1194">
        <v>78</v>
      </c>
      <c r="J830" s="1194">
        <v>97</v>
      </c>
      <c r="K830" s="1200">
        <v>69</v>
      </c>
      <c r="L830" s="1200">
        <v>85</v>
      </c>
      <c r="M830" s="1200">
        <v>65</v>
      </c>
      <c r="N830" s="750">
        <v>59</v>
      </c>
      <c r="O830" s="750">
        <v>40</v>
      </c>
      <c r="P830" s="1191"/>
      <c r="Q830" s="1219">
        <f t="shared" si="39"/>
        <v>923</v>
      </c>
      <c r="R830" s="1146" t="s">
        <v>379</v>
      </c>
    </row>
    <row r="831" spans="1:18" s="697" customFormat="1" ht="15" x14ac:dyDescent="0.25">
      <c r="A831" s="1209"/>
      <c r="B831" s="728" t="s">
        <v>368</v>
      </c>
      <c r="C831" s="1210"/>
      <c r="D831" s="1208">
        <f t="shared" ref="D831:O831" si="40">D827*0.087</f>
        <v>3679.6648406983013</v>
      </c>
      <c r="E831" s="1208">
        <f t="shared" si="40"/>
        <v>3674.8791503906273</v>
      </c>
      <c r="F831" s="1208">
        <f t="shared" si="40"/>
        <v>3730.2126159667819</v>
      </c>
      <c r="G831" s="1208">
        <f t="shared" si="40"/>
        <v>3600.7560424804487</v>
      </c>
      <c r="H831" s="1208">
        <f t="shared" si="40"/>
        <v>3411.6170654297316</v>
      </c>
      <c r="I831" s="1208">
        <f t="shared" si="40"/>
        <v>3688.4516601562495</v>
      </c>
      <c r="J831" s="1208">
        <f t="shared" si="40"/>
        <v>3494.6159362792864</v>
      </c>
      <c r="K831" s="1208">
        <f t="shared" si="40"/>
        <v>3547.7722778320508</v>
      </c>
      <c r="L831" s="1208">
        <f t="shared" si="40"/>
        <v>3631.1189575194621</v>
      </c>
      <c r="M831" s="1208">
        <f t="shared" si="40"/>
        <v>3339.7560424805374</v>
      </c>
      <c r="N831" s="1208">
        <f t="shared" si="40"/>
        <v>3393.7858886718745</v>
      </c>
      <c r="O831" s="1208">
        <f t="shared" si="40"/>
        <v>3486.6959838866987</v>
      </c>
      <c r="P831" s="745"/>
      <c r="Q831" s="1219">
        <f t="shared" si="39"/>
        <v>42679.32646179205</v>
      </c>
      <c r="R831" s="1146" t="s">
        <v>865</v>
      </c>
    </row>
    <row r="832" spans="1:18" s="697" customFormat="1" ht="15" x14ac:dyDescent="0.25">
      <c r="A832" s="1209"/>
      <c r="B832" s="728" t="s">
        <v>369</v>
      </c>
      <c r="C832" s="1210"/>
      <c r="D832" s="1208">
        <f t="shared" ref="D832:O832" si="41">D828*14.4</f>
        <v>4988.0882812500004</v>
      </c>
      <c r="E832" s="1208">
        <f t="shared" si="41"/>
        <v>3754.6259765624641</v>
      </c>
      <c r="F832" s="1208">
        <f t="shared" si="41"/>
        <v>1900.051171875072</v>
      </c>
      <c r="G832" s="1208">
        <f t="shared" si="41"/>
        <v>388.8</v>
      </c>
      <c r="H832" s="1208">
        <f t="shared" si="41"/>
        <v>259.2</v>
      </c>
      <c r="I832" s="1208">
        <f t="shared" si="41"/>
        <v>172.8</v>
      </c>
      <c r="J832" s="1208">
        <f t="shared" si="41"/>
        <v>187.20000000000002</v>
      </c>
      <c r="K832" s="1208">
        <f t="shared" si="41"/>
        <v>633.6</v>
      </c>
      <c r="L832" s="1208">
        <f t="shared" si="41"/>
        <v>1569.6000000000001</v>
      </c>
      <c r="M832" s="1208">
        <f t="shared" si="41"/>
        <v>3283.2000000000003</v>
      </c>
      <c r="N832" s="1208">
        <f t="shared" si="41"/>
        <v>5612.7445312500004</v>
      </c>
      <c r="O832" s="1208">
        <f t="shared" si="41"/>
        <v>6923.8968750000004</v>
      </c>
      <c r="P832" s="745"/>
      <c r="Q832" s="1219">
        <f t="shared" si="39"/>
        <v>29673.806835937532</v>
      </c>
      <c r="R832" s="1146" t="s">
        <v>865</v>
      </c>
    </row>
    <row r="833" spans="1:18" s="697" customFormat="1" ht="14.25" x14ac:dyDescent="0.2">
      <c r="A833" s="1209"/>
      <c r="B833" s="728" t="s">
        <v>326</v>
      </c>
      <c r="C833" s="1220"/>
      <c r="D833" s="1208">
        <f>D829*13.87</f>
        <v>664.09559999999988</v>
      </c>
      <c r="E833" s="1208">
        <f>E829*13.87</f>
        <v>666.73089999999991</v>
      </c>
      <c r="F833" s="1208">
        <f t="shared" ref="F833:O833" si="42">F829*13.87</f>
        <v>1319.4530999999999</v>
      </c>
      <c r="G833" s="1208">
        <f t="shared" si="42"/>
        <v>2815.6099999999997</v>
      </c>
      <c r="H833" s="1208">
        <f t="shared" si="42"/>
        <v>3467.5</v>
      </c>
      <c r="I833" s="1208">
        <f t="shared" si="42"/>
        <v>4161</v>
      </c>
      <c r="J833" s="1208">
        <f t="shared" si="42"/>
        <v>4396.79</v>
      </c>
      <c r="K833" s="1208">
        <f t="shared" si="42"/>
        <v>2676.91</v>
      </c>
      <c r="L833" s="1208">
        <f t="shared" si="42"/>
        <v>1414.74</v>
      </c>
      <c r="M833" s="1208">
        <f t="shared" si="42"/>
        <v>859.93999999999994</v>
      </c>
      <c r="N833" s="1208">
        <f t="shared" si="42"/>
        <v>564.23071232000245</v>
      </c>
      <c r="O833" s="1208">
        <f t="shared" si="42"/>
        <v>1358.0101465600014</v>
      </c>
      <c r="P833" s="745"/>
      <c r="Q833" s="1219">
        <f t="shared" si="39"/>
        <v>24365.010458880002</v>
      </c>
      <c r="R833" s="1146" t="s">
        <v>865</v>
      </c>
    </row>
    <row r="834" spans="1:18" s="697" customFormat="1" ht="15" x14ac:dyDescent="0.25">
      <c r="A834" s="1209"/>
      <c r="B834" s="1221" t="s">
        <v>325</v>
      </c>
      <c r="C834" s="1222"/>
      <c r="D834" s="1176">
        <f t="shared" ref="D834:O834" si="43">D830*7.86</f>
        <v>652.38</v>
      </c>
      <c r="E834" s="1176">
        <f t="shared" si="43"/>
        <v>919.62</v>
      </c>
      <c r="F834" s="1176">
        <f t="shared" si="43"/>
        <v>699.54000000000008</v>
      </c>
      <c r="G834" s="1176">
        <f t="shared" si="43"/>
        <v>691.68000000000006</v>
      </c>
      <c r="H834" s="1176">
        <f t="shared" si="43"/>
        <v>416.58000000000004</v>
      </c>
      <c r="I834" s="1176">
        <f t="shared" si="43"/>
        <v>613.08000000000004</v>
      </c>
      <c r="J834" s="1176">
        <f t="shared" si="43"/>
        <v>762.42000000000007</v>
      </c>
      <c r="K834" s="1176">
        <f t="shared" si="43"/>
        <v>542.34</v>
      </c>
      <c r="L834" s="1176">
        <f t="shared" si="43"/>
        <v>668.1</v>
      </c>
      <c r="M834" s="1176">
        <f t="shared" si="43"/>
        <v>510.90000000000003</v>
      </c>
      <c r="N834" s="1176">
        <f t="shared" si="43"/>
        <v>463.74</v>
      </c>
      <c r="O834" s="1176">
        <f t="shared" si="43"/>
        <v>314.40000000000003</v>
      </c>
      <c r="P834" s="1175"/>
      <c r="Q834" s="1219">
        <f t="shared" si="39"/>
        <v>7254.78</v>
      </c>
      <c r="R834" s="1146" t="s">
        <v>865</v>
      </c>
    </row>
    <row r="835" spans="1:18" x14ac:dyDescent="0.2">
      <c r="C835" s="492"/>
      <c r="D835" s="492"/>
      <c r="E835" s="492"/>
      <c r="F835" s="492"/>
      <c r="G835" s="492"/>
      <c r="H835" s="492"/>
      <c r="I835" s="492"/>
      <c r="J835" s="492"/>
      <c r="K835" s="492"/>
      <c r="L835" s="492"/>
      <c r="M835" s="492"/>
      <c r="N835" s="492"/>
    </row>
    <row r="836" spans="1:18" x14ac:dyDescent="0.2">
      <c r="A836" s="930">
        <v>57</v>
      </c>
      <c r="B836" s="666" t="s">
        <v>1240</v>
      </c>
      <c r="C836" s="497"/>
    </row>
    <row r="837" spans="1:18" x14ac:dyDescent="0.2">
      <c r="B837" s="130" t="s">
        <v>337</v>
      </c>
      <c r="C837" s="186" t="s">
        <v>977</v>
      </c>
      <c r="D837" s="131">
        <v>41821</v>
      </c>
      <c r="E837" s="451">
        <v>41852</v>
      </c>
      <c r="F837" s="451">
        <v>41883</v>
      </c>
      <c r="G837" s="451">
        <v>41913</v>
      </c>
      <c r="H837" s="451">
        <v>41944</v>
      </c>
      <c r="I837" s="451">
        <v>41974</v>
      </c>
      <c r="J837" s="451">
        <v>42005</v>
      </c>
      <c r="K837" s="451">
        <v>42036</v>
      </c>
      <c r="L837" s="451">
        <v>42064</v>
      </c>
      <c r="M837" s="451">
        <v>42095</v>
      </c>
      <c r="N837" s="451">
        <v>42125</v>
      </c>
      <c r="O837" s="451">
        <v>42156</v>
      </c>
      <c r="P837" s="451">
        <v>42186</v>
      </c>
      <c r="Q837" s="553">
        <v>42217</v>
      </c>
      <c r="R837" s="131">
        <v>42261</v>
      </c>
    </row>
    <row r="838" spans="1:18" ht="25.5" x14ac:dyDescent="0.2">
      <c r="B838" s="1271" t="s">
        <v>1223</v>
      </c>
      <c r="C838" s="1272"/>
      <c r="D838" s="1273"/>
      <c r="E838" s="1308">
        <v>35080.333333333336</v>
      </c>
      <c r="F838" s="1275">
        <v>35080.333333333336</v>
      </c>
      <c r="G838" s="1275">
        <v>38443</v>
      </c>
      <c r="H838" s="1275">
        <v>30014.9</v>
      </c>
      <c r="I838" s="1275">
        <v>27611</v>
      </c>
      <c r="J838" s="1275">
        <v>39068</v>
      </c>
      <c r="K838" s="1275">
        <v>36579</v>
      </c>
      <c r="L838" s="1275">
        <v>42433</v>
      </c>
      <c r="M838" s="1275">
        <v>39707.1</v>
      </c>
      <c r="N838" s="1275">
        <v>82201</v>
      </c>
      <c r="O838" s="1275">
        <v>119513</v>
      </c>
      <c r="P838" s="1275">
        <v>36485</v>
      </c>
      <c r="Q838" s="174"/>
      <c r="R838" s="157"/>
    </row>
    <row r="839" spans="1:18" ht="25.5" x14ac:dyDescent="0.2">
      <c r="B839" s="1276" t="s">
        <v>1224</v>
      </c>
      <c r="C839" s="1277"/>
      <c r="D839" s="1278"/>
      <c r="E839" s="1279">
        <v>1823.953456323434</v>
      </c>
      <c r="F839" s="1279">
        <v>1975.4907235419757</v>
      </c>
      <c r="G839" s="1279">
        <v>2361.6535768195126</v>
      </c>
      <c r="H839" s="1279">
        <v>3515.2293749429059</v>
      </c>
      <c r="I839" s="1279">
        <v>3694.4297768865031</v>
      </c>
      <c r="J839" s="1279">
        <v>4184.6508580451791</v>
      </c>
      <c r="K839" s="1279">
        <v>3641.3126016277847</v>
      </c>
      <c r="L839" s="1279">
        <v>3085.2143533884628</v>
      </c>
      <c r="M839" s="1279">
        <v>2278.894973530013</v>
      </c>
      <c r="N839" s="1279">
        <v>1557.8400351483147</v>
      </c>
      <c r="O839" s="1279">
        <v>1492.7212138348639</v>
      </c>
      <c r="P839" s="1279">
        <v>1510.2291095905309</v>
      </c>
      <c r="Q839" s="174"/>
      <c r="R839" s="157"/>
    </row>
    <row r="840" spans="1:18" ht="25.5" x14ac:dyDescent="0.2">
      <c r="B840" s="1280" t="s">
        <v>1225</v>
      </c>
      <c r="C840" s="1281"/>
      <c r="D840" s="1282"/>
      <c r="E840" s="1283">
        <v>44067.903373102316</v>
      </c>
      <c r="F840" s="1283">
        <v>38197.263254465637</v>
      </c>
      <c r="G840" s="1283">
        <v>28277.678621099905</v>
      </c>
      <c r="H840" s="1283">
        <v>63386.021180334465</v>
      </c>
      <c r="I840" s="1283">
        <v>7742.2658517376594</v>
      </c>
      <c r="J840" s="1283">
        <v>6880.2765466336004</v>
      </c>
      <c r="K840" s="1283">
        <v>5225.6762081504075</v>
      </c>
      <c r="L840" s="1283">
        <v>17448.555958644727</v>
      </c>
      <c r="M840" s="1283">
        <v>25531.958106421127</v>
      </c>
      <c r="N840" s="1283">
        <v>64171.091097221761</v>
      </c>
      <c r="O840" s="1283">
        <v>36930.117543315799</v>
      </c>
      <c r="P840" s="1283">
        <v>44149.109290693392</v>
      </c>
      <c r="Q840" s="178"/>
      <c r="R840" s="157"/>
    </row>
    <row r="841" spans="1:18" ht="25.5" x14ac:dyDescent="0.2">
      <c r="B841" s="1284" t="s">
        <v>1226</v>
      </c>
      <c r="C841" s="1285"/>
      <c r="D841" s="1286"/>
      <c r="E841" s="1304">
        <v>0</v>
      </c>
      <c r="F841" s="1304">
        <v>0</v>
      </c>
      <c r="G841" s="1304">
        <v>0</v>
      </c>
      <c r="H841" s="1304">
        <v>0</v>
      </c>
      <c r="I841" s="1304">
        <v>0</v>
      </c>
      <c r="J841" s="1304">
        <v>0</v>
      </c>
      <c r="K841" s="1304">
        <v>0</v>
      </c>
      <c r="L841" s="1304">
        <v>0</v>
      </c>
      <c r="M841" s="1304">
        <v>0</v>
      </c>
      <c r="N841" s="1304">
        <v>0</v>
      </c>
      <c r="O841" s="1304">
        <v>0</v>
      </c>
      <c r="P841" s="1304">
        <v>0</v>
      </c>
      <c r="Q841" s="178"/>
      <c r="R841" s="157"/>
    </row>
    <row r="842" spans="1:18" x14ac:dyDescent="0.2">
      <c r="B842" s="135" t="s">
        <v>864</v>
      </c>
      <c r="C842" s="599"/>
      <c r="D842" s="157"/>
      <c r="E842" s="594">
        <v>23.1</v>
      </c>
      <c r="F842" s="594">
        <v>29.7</v>
      </c>
      <c r="G842" s="594">
        <v>24.1</v>
      </c>
      <c r="H842" s="594">
        <v>23.8</v>
      </c>
      <c r="I842" s="594">
        <v>10.4</v>
      </c>
      <c r="J842" s="594">
        <v>24.7</v>
      </c>
      <c r="K842" s="594">
        <v>23.75</v>
      </c>
      <c r="L842" s="594">
        <v>23.75</v>
      </c>
      <c r="M842" s="594">
        <v>27.3</v>
      </c>
      <c r="N842" s="594">
        <v>12.5</v>
      </c>
      <c r="O842" s="594">
        <v>11.9</v>
      </c>
      <c r="P842" s="1309">
        <v>11.4</v>
      </c>
      <c r="Q842" s="730"/>
      <c r="R842" s="157"/>
    </row>
    <row r="843" spans="1:18" ht="38.25" x14ac:dyDescent="0.2">
      <c r="B843" s="1271" t="s">
        <v>1234</v>
      </c>
      <c r="C843" s="1272"/>
      <c r="D843" s="1273"/>
      <c r="E843" s="1292">
        <v>2490.7036666666668</v>
      </c>
      <c r="F843" s="1292">
        <v>2490.7036666666668</v>
      </c>
      <c r="G843" s="1292">
        <v>2729.453</v>
      </c>
      <c r="H843" s="1292">
        <v>2131.0578999999998</v>
      </c>
      <c r="I843" s="1292">
        <v>1960.3809999999999</v>
      </c>
      <c r="J843" s="1292">
        <v>2773.828</v>
      </c>
      <c r="K843" s="1292">
        <v>2597.1089999999999</v>
      </c>
      <c r="L843" s="1292">
        <v>3012.7429999999999</v>
      </c>
      <c r="M843" s="1292">
        <v>2819.2040999999995</v>
      </c>
      <c r="N843" s="1292">
        <v>5836.2709999999997</v>
      </c>
      <c r="O843" s="1292">
        <v>8485.4229999999989</v>
      </c>
      <c r="P843" s="1292">
        <v>2590.4349999999999</v>
      </c>
      <c r="Q843" s="1162"/>
      <c r="R843" s="157"/>
    </row>
    <row r="844" spans="1:18" ht="25.5" x14ac:dyDescent="0.2">
      <c r="B844" s="1293" t="s">
        <v>1228</v>
      </c>
      <c r="C844" s="1277"/>
      <c r="D844" s="1278"/>
      <c r="E844" s="1294">
        <v>912.10202007107955</v>
      </c>
      <c r="F844" s="1294">
        <v>1014.2172342104462</v>
      </c>
      <c r="G844" s="1294">
        <v>1211.5589154830936</v>
      </c>
      <c r="H844" s="1294">
        <v>1636.5592932230743</v>
      </c>
      <c r="I844" s="1294">
        <v>1930.7338157932513</v>
      </c>
      <c r="J844" s="1294">
        <v>1720.7162201641704</v>
      </c>
      <c r="K844" s="1294">
        <v>1535.9320853651641</v>
      </c>
      <c r="L844" s="1294">
        <v>1181.547216888591</v>
      </c>
      <c r="M844" s="1294">
        <v>848.48373423002135</v>
      </c>
      <c r="N844" s="1294">
        <v>580.63238238582232</v>
      </c>
      <c r="O844" s="1294">
        <v>605.26444205095629</v>
      </c>
      <c r="P844" s="1294">
        <v>605.57602324660797</v>
      </c>
      <c r="Q844" s="1162"/>
      <c r="R844" s="157"/>
    </row>
    <row r="845" spans="1:18" ht="38.25" x14ac:dyDescent="0.2">
      <c r="B845" s="1295" t="s">
        <v>1229</v>
      </c>
      <c r="C845" s="1281"/>
      <c r="D845" s="1282"/>
      <c r="E845" s="1296">
        <v>3128.8211394902642</v>
      </c>
      <c r="F845" s="1296">
        <v>2712.0056910670601</v>
      </c>
      <c r="G845" s="1296">
        <v>2007.715182098093</v>
      </c>
      <c r="H845" s="1296">
        <v>4500.4075038037463</v>
      </c>
      <c r="I845" s="1296">
        <v>549.7008754733738</v>
      </c>
      <c r="J845" s="1296">
        <v>488.49963481098558</v>
      </c>
      <c r="K845" s="1296">
        <v>371.02301077867889</v>
      </c>
      <c r="L845" s="1296">
        <v>1238.8474730637756</v>
      </c>
      <c r="M845" s="1296">
        <v>1812.7690255558998</v>
      </c>
      <c r="N845" s="1296">
        <v>4556.1474679027442</v>
      </c>
      <c r="O845" s="1296">
        <v>2622.0383455754213</v>
      </c>
      <c r="P845" s="1296">
        <v>3134.5867596392304</v>
      </c>
      <c r="Q845" s="1162"/>
      <c r="R845" s="157"/>
    </row>
    <row r="846" spans="1:18" ht="25.5" x14ac:dyDescent="0.2">
      <c r="B846" s="1297" t="s">
        <v>1235</v>
      </c>
      <c r="C846" s="1298"/>
      <c r="D846" s="1299"/>
      <c r="E846" s="1301">
        <v>0</v>
      </c>
      <c r="F846" s="1301">
        <v>0</v>
      </c>
      <c r="G846" s="1301">
        <v>0</v>
      </c>
      <c r="H846" s="1301">
        <v>0</v>
      </c>
      <c r="I846" s="1301">
        <v>0</v>
      </c>
      <c r="J846" s="1301">
        <v>0</v>
      </c>
      <c r="K846" s="1301">
        <v>0</v>
      </c>
      <c r="L846" s="1301">
        <v>0</v>
      </c>
      <c r="M846" s="1301">
        <v>0</v>
      </c>
      <c r="N846" s="1301">
        <v>0</v>
      </c>
      <c r="O846" s="1301">
        <v>0</v>
      </c>
      <c r="P846" s="1301">
        <v>0</v>
      </c>
      <c r="Q846" s="179"/>
      <c r="R846" s="179"/>
    </row>
    <row r="847" spans="1:18" x14ac:dyDescent="0.2">
      <c r="B847" s="153" t="s">
        <v>328</v>
      </c>
      <c r="E847" s="442">
        <v>151.86000000000001</v>
      </c>
      <c r="F847" s="442">
        <v>192.47</v>
      </c>
      <c r="G847" s="442">
        <v>166.39</v>
      </c>
      <c r="H847" s="442">
        <v>165.38</v>
      </c>
      <c r="I847" s="442">
        <v>86.73</v>
      </c>
      <c r="J847" s="442">
        <v>171.78</v>
      </c>
      <c r="K847" s="442">
        <v>169.35499999999999</v>
      </c>
      <c r="L847" s="442">
        <v>169.35499999999999</v>
      </c>
      <c r="M847" s="442">
        <v>187.01</v>
      </c>
      <c r="N847" s="442">
        <v>97.2</v>
      </c>
      <c r="O847" s="442">
        <v>90.14</v>
      </c>
      <c r="P847" s="1306">
        <v>88.71</v>
      </c>
    </row>
    <row r="848" spans="1:18" x14ac:dyDescent="0.2">
      <c r="C848" s="492"/>
      <c r="D848" s="492"/>
      <c r="E848" s="492"/>
      <c r="F848" s="492"/>
      <c r="G848" s="492"/>
      <c r="H848" s="492"/>
      <c r="I848" s="492"/>
      <c r="J848" s="492"/>
      <c r="K848" s="492"/>
      <c r="L848" s="492"/>
      <c r="M848" s="492"/>
      <c r="N848" s="492"/>
    </row>
    <row r="849" spans="1:18" ht="15" x14ac:dyDescent="0.25">
      <c r="A849" s="930">
        <v>58</v>
      </c>
      <c r="B849" s="1224" t="s">
        <v>1134</v>
      </c>
      <c r="C849" s="713"/>
      <c r="D849" s="713"/>
      <c r="E849" s="1183"/>
      <c r="F849" s="1183"/>
      <c r="G849" s="1183"/>
      <c r="H849" s="1183"/>
      <c r="I849" s="1183"/>
      <c r="J849" s="1183"/>
      <c r="K849" s="1183"/>
      <c r="L849" s="713"/>
      <c r="M849" s="713"/>
      <c r="N849" s="713"/>
      <c r="O849" s="713"/>
      <c r="P849" s="714"/>
      <c r="Q849" s="715"/>
      <c r="R849" s="716"/>
    </row>
    <row r="850" spans="1:18" ht="15" x14ac:dyDescent="0.25">
      <c r="B850" s="717" t="s">
        <v>337</v>
      </c>
      <c r="C850" s="718"/>
      <c r="D850" s="1184">
        <v>41882</v>
      </c>
      <c r="E850" s="1184">
        <v>41883</v>
      </c>
      <c r="F850" s="1184">
        <v>41913</v>
      </c>
      <c r="G850" s="1184">
        <v>41944</v>
      </c>
      <c r="H850" s="1184">
        <v>41974</v>
      </c>
      <c r="I850" s="1184">
        <v>42005</v>
      </c>
      <c r="J850" s="1184">
        <v>42036</v>
      </c>
      <c r="K850" s="1184">
        <v>42064</v>
      </c>
      <c r="L850" s="719">
        <v>42095</v>
      </c>
      <c r="M850" s="719">
        <v>42125</v>
      </c>
      <c r="N850" s="719">
        <v>42156</v>
      </c>
      <c r="O850" s="719">
        <v>42186</v>
      </c>
      <c r="P850" s="735"/>
      <c r="Q850" s="720" t="s">
        <v>338</v>
      </c>
      <c r="R850" s="721" t="s">
        <v>339</v>
      </c>
    </row>
    <row r="851" spans="1:18" s="697" customFormat="1" ht="15" x14ac:dyDescent="0.25">
      <c r="A851" s="1209"/>
      <c r="B851" s="728" t="s">
        <v>360</v>
      </c>
      <c r="C851" s="1210"/>
      <c r="D851" s="1170">
        <v>31869.003295898012</v>
      </c>
      <c r="E851" s="1170">
        <v>33372.985839843976</v>
      </c>
      <c r="F851" s="1170">
        <v>31777.008056641022</v>
      </c>
      <c r="G851" s="1218">
        <v>29947.998046875</v>
      </c>
      <c r="H851" s="1186">
        <v>26263.000488280966</v>
      </c>
      <c r="I851" s="1186">
        <v>26403.015136719034</v>
      </c>
      <c r="J851" s="1186">
        <v>37998.010158539211</v>
      </c>
      <c r="K851" s="1186">
        <v>30710.001468658407</v>
      </c>
      <c r="L851" s="1186">
        <v>32835.994720458999</v>
      </c>
      <c r="M851" s="1186">
        <v>30931.007385253408</v>
      </c>
      <c r="N851" s="1186">
        <v>29625.999450684005</v>
      </c>
      <c r="O851" s="756">
        <v>29063.003540038979</v>
      </c>
      <c r="P851" s="1187"/>
      <c r="Q851" s="1219">
        <f>SUM(D851:O851)</f>
        <v>370797.02758789103</v>
      </c>
      <c r="R851" s="1146" t="s">
        <v>361</v>
      </c>
    </row>
    <row r="852" spans="1:18" ht="15" x14ac:dyDescent="0.25">
      <c r="B852" s="722" t="s">
        <v>362</v>
      </c>
      <c r="C852" s="713"/>
      <c r="D852" s="1170">
        <v>277.80529785156</v>
      </c>
      <c r="E852" s="1170">
        <v>226.11694335937</v>
      </c>
      <c r="F852" s="1170">
        <v>108.40100097657</v>
      </c>
      <c r="G852" s="1170">
        <v>26</v>
      </c>
      <c r="H852" s="1170">
        <v>16</v>
      </c>
      <c r="I852" s="1170">
        <v>10.491943359369998</v>
      </c>
      <c r="J852" s="1170">
        <v>11.402099609380002</v>
      </c>
      <c r="K852" s="1170">
        <v>42</v>
      </c>
      <c r="L852" s="1170">
        <v>98</v>
      </c>
      <c r="M852" s="1170">
        <v>194</v>
      </c>
      <c r="N852" s="756">
        <v>325.251953125</v>
      </c>
      <c r="O852" s="756">
        <v>337.26098632812</v>
      </c>
      <c r="P852" s="1187"/>
      <c r="Q852" s="724">
        <f t="shared" ref="Q852:Q858" si="44">SUM(D852:O852)</f>
        <v>1672.73022460937</v>
      </c>
      <c r="R852" s="1145" t="s">
        <v>363</v>
      </c>
    </row>
    <row r="853" spans="1:18" ht="15" x14ac:dyDescent="0.25">
      <c r="B853" s="722" t="s">
        <v>364</v>
      </c>
      <c r="C853" s="740"/>
      <c r="D853" s="1188">
        <v>44.53</v>
      </c>
      <c r="E853" s="1188">
        <v>57.480000000000004</v>
      </c>
      <c r="F853" s="1188">
        <v>80.060000000000016</v>
      </c>
      <c r="G853" s="1188">
        <v>141</v>
      </c>
      <c r="H853" s="1188">
        <v>161</v>
      </c>
      <c r="I853" s="1188">
        <v>181</v>
      </c>
      <c r="J853" s="1188">
        <v>211</v>
      </c>
      <c r="K853" s="1188">
        <v>143</v>
      </c>
      <c r="L853" s="1188">
        <v>86</v>
      </c>
      <c r="M853" s="1188">
        <v>57</v>
      </c>
      <c r="N853" s="1189">
        <v>52.519936000000015</v>
      </c>
      <c r="O853" s="1188">
        <v>45.830016000000029</v>
      </c>
      <c r="P853" s="1190"/>
      <c r="Q853" s="724">
        <f t="shared" si="44"/>
        <v>1260.4199520000002</v>
      </c>
      <c r="R853" s="1146" t="s">
        <v>365</v>
      </c>
    </row>
    <row r="854" spans="1:18" x14ac:dyDescent="0.2">
      <c r="B854" s="728" t="s">
        <v>864</v>
      </c>
      <c r="C854" s="729"/>
      <c r="D854" s="1193">
        <v>38</v>
      </c>
      <c r="E854" s="1193">
        <v>61</v>
      </c>
      <c r="F854" s="1194">
        <v>584</v>
      </c>
      <c r="G854" s="1194">
        <v>55</v>
      </c>
      <c r="H854" s="1194">
        <v>23</v>
      </c>
      <c r="I854" s="1194">
        <v>39</v>
      </c>
      <c r="J854" s="1194">
        <v>53</v>
      </c>
      <c r="K854" s="1200">
        <v>39</v>
      </c>
      <c r="L854" s="750">
        <v>54</v>
      </c>
      <c r="M854" s="750">
        <v>28</v>
      </c>
      <c r="N854" s="750">
        <v>24</v>
      </c>
      <c r="O854" s="750">
        <v>15</v>
      </c>
      <c r="P854" s="1191"/>
      <c r="Q854" s="724">
        <f t="shared" si="44"/>
        <v>1013</v>
      </c>
      <c r="R854" s="1146" t="s">
        <v>379</v>
      </c>
    </row>
    <row r="855" spans="1:18" ht="15" x14ac:dyDescent="0.25">
      <c r="B855" s="722" t="s">
        <v>368</v>
      </c>
      <c r="C855" s="713"/>
      <c r="D855" s="731">
        <f t="shared" ref="D855:O855" si="45">D851*0.087</f>
        <v>2772.6032867431268</v>
      </c>
      <c r="E855" s="731">
        <f t="shared" si="45"/>
        <v>2903.4497680664258</v>
      </c>
      <c r="F855" s="731">
        <f t="shared" si="45"/>
        <v>2764.5997009277685</v>
      </c>
      <c r="G855" s="731">
        <f t="shared" si="45"/>
        <v>2605.475830078125</v>
      </c>
      <c r="H855" s="731">
        <f t="shared" si="45"/>
        <v>2284.8810424804437</v>
      </c>
      <c r="I855" s="731">
        <f t="shared" si="45"/>
        <v>2297.0623168945558</v>
      </c>
      <c r="J855" s="731">
        <f t="shared" si="45"/>
        <v>3305.8268837929113</v>
      </c>
      <c r="K855" s="731">
        <f t="shared" si="45"/>
        <v>2671.7701277732813</v>
      </c>
      <c r="L855" s="731">
        <f t="shared" si="45"/>
        <v>2856.7315406799326</v>
      </c>
      <c r="M855" s="731">
        <f t="shared" si="45"/>
        <v>2690.9976425170462</v>
      </c>
      <c r="N855" s="731">
        <f t="shared" si="45"/>
        <v>2577.4619522095081</v>
      </c>
      <c r="O855" s="731">
        <f t="shared" si="45"/>
        <v>2528.4813079833912</v>
      </c>
      <c r="P855" s="745"/>
      <c r="Q855" s="724">
        <f t="shared" si="44"/>
        <v>32259.341400146513</v>
      </c>
      <c r="R855" s="1145" t="s">
        <v>865</v>
      </c>
    </row>
    <row r="856" spans="1:18" ht="15" x14ac:dyDescent="0.25">
      <c r="B856" s="722" t="s">
        <v>369</v>
      </c>
      <c r="C856" s="713"/>
      <c r="D856" s="731">
        <f t="shared" ref="D856:O856" si="46">D852*14.4</f>
        <v>4000.3962890624639</v>
      </c>
      <c r="E856" s="731">
        <f t="shared" si="46"/>
        <v>3256.0839843749281</v>
      </c>
      <c r="F856" s="731">
        <f t="shared" si="46"/>
        <v>1560.974414062608</v>
      </c>
      <c r="G856" s="731">
        <f t="shared" si="46"/>
        <v>374.40000000000003</v>
      </c>
      <c r="H856" s="731">
        <f t="shared" si="46"/>
        <v>230.4</v>
      </c>
      <c r="I856" s="731">
        <f t="shared" si="46"/>
        <v>151.08398437492798</v>
      </c>
      <c r="J856" s="731">
        <f t="shared" si="46"/>
        <v>164.19023437507204</v>
      </c>
      <c r="K856" s="731">
        <f t="shared" si="46"/>
        <v>604.80000000000007</v>
      </c>
      <c r="L856" s="731">
        <f t="shared" si="46"/>
        <v>1411.2</v>
      </c>
      <c r="M856" s="731">
        <f t="shared" si="46"/>
        <v>2793.6</v>
      </c>
      <c r="N856" s="731">
        <f t="shared" si="46"/>
        <v>4683.6281250000002</v>
      </c>
      <c r="O856" s="731">
        <f t="shared" si="46"/>
        <v>4856.5582031249278</v>
      </c>
      <c r="P856" s="745"/>
      <c r="Q856" s="724">
        <f t="shared" si="44"/>
        <v>24087.315234374928</v>
      </c>
      <c r="R856" s="1145" t="s">
        <v>865</v>
      </c>
    </row>
    <row r="857" spans="1:18" ht="14.25" x14ac:dyDescent="0.2">
      <c r="B857" s="722" t="s">
        <v>326</v>
      </c>
      <c r="C857" s="740"/>
      <c r="D857" s="731">
        <f>D853*13.87</f>
        <v>617.63109999999995</v>
      </c>
      <c r="E857" s="731">
        <f>E853*13.87</f>
        <v>797.24760000000003</v>
      </c>
      <c r="F857" s="731">
        <f t="shared" ref="F857:O857" si="47">F853*13.87</f>
        <v>1110.4322000000002</v>
      </c>
      <c r="G857" s="731">
        <f t="shared" si="47"/>
        <v>1955.6699999999998</v>
      </c>
      <c r="H857" s="731">
        <f t="shared" si="47"/>
        <v>2233.0699999999997</v>
      </c>
      <c r="I857" s="731">
        <f t="shared" si="47"/>
        <v>2510.4699999999998</v>
      </c>
      <c r="J857" s="731">
        <f t="shared" si="47"/>
        <v>2926.5699999999997</v>
      </c>
      <c r="K857" s="731">
        <f t="shared" si="47"/>
        <v>1983.4099999999999</v>
      </c>
      <c r="L857" s="731">
        <f t="shared" si="47"/>
        <v>1192.82</v>
      </c>
      <c r="M857" s="731">
        <f t="shared" si="47"/>
        <v>790.58999999999992</v>
      </c>
      <c r="N857" s="731">
        <f t="shared" si="47"/>
        <v>728.45151232000012</v>
      </c>
      <c r="O857" s="731">
        <f t="shared" si="47"/>
        <v>635.66232192000041</v>
      </c>
      <c r="P857" s="745"/>
      <c r="Q857" s="724">
        <f t="shared" si="44"/>
        <v>17482.02473424</v>
      </c>
      <c r="R857" s="1145" t="s">
        <v>865</v>
      </c>
    </row>
    <row r="858" spans="1:18" ht="15" x14ac:dyDescent="0.25">
      <c r="B858" s="732" t="s">
        <v>325</v>
      </c>
      <c r="C858" s="733"/>
      <c r="D858" s="455">
        <f t="shared" ref="D858:O858" si="48">D854*7.86</f>
        <v>298.68</v>
      </c>
      <c r="E858" s="455">
        <f t="shared" si="48"/>
        <v>479.46000000000004</v>
      </c>
      <c r="F858" s="455">
        <f t="shared" si="48"/>
        <v>4590.24</v>
      </c>
      <c r="G858" s="455">
        <f t="shared" si="48"/>
        <v>432.3</v>
      </c>
      <c r="H858" s="455">
        <f t="shared" si="48"/>
        <v>180.78</v>
      </c>
      <c r="I858" s="455">
        <f t="shared" si="48"/>
        <v>306.54000000000002</v>
      </c>
      <c r="J858" s="455">
        <f t="shared" si="48"/>
        <v>416.58000000000004</v>
      </c>
      <c r="K858" s="455">
        <f t="shared" si="48"/>
        <v>306.54000000000002</v>
      </c>
      <c r="L858" s="455">
        <f t="shared" si="48"/>
        <v>424.44</v>
      </c>
      <c r="M858" s="455">
        <f t="shared" si="48"/>
        <v>220.08</v>
      </c>
      <c r="N858" s="455">
        <f t="shared" si="48"/>
        <v>188.64000000000001</v>
      </c>
      <c r="O858" s="455">
        <f t="shared" si="48"/>
        <v>117.9</v>
      </c>
      <c r="P858" s="1175"/>
      <c r="Q858" s="724">
        <f t="shared" si="44"/>
        <v>7962.1799999999994</v>
      </c>
      <c r="R858" s="1145" t="s">
        <v>865</v>
      </c>
    </row>
    <row r="859" spans="1:18" x14ac:dyDescent="0.2">
      <c r="C859" s="492"/>
      <c r="D859" s="492"/>
      <c r="E859" s="492"/>
      <c r="F859" s="492"/>
      <c r="G859" s="492"/>
      <c r="H859" s="492"/>
      <c r="I859" s="492"/>
      <c r="J859" s="492"/>
      <c r="K859" s="492"/>
      <c r="L859" s="492"/>
      <c r="M859" s="492"/>
      <c r="N859" s="492"/>
    </row>
    <row r="860" spans="1:18" ht="15" x14ac:dyDescent="0.25">
      <c r="A860" s="930">
        <v>59</v>
      </c>
      <c r="B860" s="1224" t="s">
        <v>1135</v>
      </c>
      <c r="C860" s="713"/>
      <c r="D860" s="713"/>
      <c r="E860" s="1183"/>
      <c r="F860" s="1183"/>
      <c r="G860" s="1183"/>
      <c r="H860" s="1183"/>
      <c r="I860" s="1183"/>
      <c r="J860" s="1183"/>
      <c r="K860" s="1183"/>
      <c r="L860" s="713"/>
      <c r="M860" s="713"/>
      <c r="N860" s="713"/>
      <c r="O860" s="713"/>
      <c r="P860" s="714"/>
      <c r="Q860" s="715"/>
      <c r="R860" s="716"/>
    </row>
    <row r="861" spans="1:18" ht="15" x14ac:dyDescent="0.25">
      <c r="B861" s="717" t="s">
        <v>337</v>
      </c>
      <c r="C861" s="718"/>
      <c r="D861" s="1184">
        <v>41882</v>
      </c>
      <c r="E861" s="1184">
        <v>41883</v>
      </c>
      <c r="F861" s="1184">
        <v>41913</v>
      </c>
      <c r="G861" s="1184">
        <v>41944</v>
      </c>
      <c r="H861" s="1184">
        <v>41974</v>
      </c>
      <c r="I861" s="1184">
        <v>42005</v>
      </c>
      <c r="J861" s="1184">
        <v>42036</v>
      </c>
      <c r="K861" s="1184">
        <v>42064</v>
      </c>
      <c r="L861" s="719">
        <v>42095</v>
      </c>
      <c r="M861" s="719">
        <v>42125</v>
      </c>
      <c r="N861" s="719">
        <v>42156</v>
      </c>
      <c r="O861" s="719">
        <v>42186</v>
      </c>
      <c r="P861" s="735"/>
      <c r="Q861" s="720" t="s">
        <v>338</v>
      </c>
      <c r="R861" s="721" t="s">
        <v>339</v>
      </c>
    </row>
    <row r="862" spans="1:18" ht="15" x14ac:dyDescent="0.25">
      <c r="B862" s="722" t="s">
        <v>360</v>
      </c>
      <c r="C862" s="713"/>
      <c r="D862" s="1170">
        <v>33423.004150389999</v>
      </c>
      <c r="E862" s="1170">
        <v>31042.007446290001</v>
      </c>
      <c r="F862" s="1170">
        <v>30466.003417968011</v>
      </c>
      <c r="G862" s="1202">
        <v>30248.992919921988</v>
      </c>
      <c r="H862" s="1186">
        <v>29457.000732421988</v>
      </c>
      <c r="I862" s="1186">
        <v>21910.980224609033</v>
      </c>
      <c r="J862" s="1186">
        <v>19745.025634765967</v>
      </c>
      <c r="K862" s="1186">
        <v>30752.990722656024</v>
      </c>
      <c r="L862" s="1186">
        <v>29761.993408203012</v>
      </c>
      <c r="M862" s="1186">
        <v>32721.008300781989</v>
      </c>
      <c r="N862" s="1186">
        <v>33212.005615234033</v>
      </c>
      <c r="O862" s="756">
        <v>37614.013671875</v>
      </c>
      <c r="P862" s="1187"/>
      <c r="Q862" s="724">
        <f>SUM(D862:O862)</f>
        <v>360355.02624511701</v>
      </c>
      <c r="R862" s="1145" t="s">
        <v>361</v>
      </c>
    </row>
    <row r="863" spans="1:18" ht="15" x14ac:dyDescent="0.25">
      <c r="B863" s="722" t="s">
        <v>362</v>
      </c>
      <c r="C863" s="713"/>
      <c r="D863" s="1170">
        <v>268.70587158202898</v>
      </c>
      <c r="E863" s="1170">
        <v>202.57299804687</v>
      </c>
      <c r="F863" s="1170">
        <v>91.81396484375</v>
      </c>
      <c r="G863" s="1170">
        <v>17</v>
      </c>
      <c r="H863" s="1170">
        <v>13</v>
      </c>
      <c r="I863" s="1170">
        <v>10.25</v>
      </c>
      <c r="J863" s="1170">
        <v>7</v>
      </c>
      <c r="K863" s="1170">
        <v>40</v>
      </c>
      <c r="L863" s="1170">
        <v>89</v>
      </c>
      <c r="M863" s="1170">
        <v>209</v>
      </c>
      <c r="N863" s="756">
        <v>335.64013671875</v>
      </c>
      <c r="O863" s="756">
        <v>345.44702148438</v>
      </c>
      <c r="P863" s="1187"/>
      <c r="Q863" s="724">
        <f t="shared" ref="Q863:Q869" si="49">SUM(D863:O863)</f>
        <v>1629.429992675779</v>
      </c>
      <c r="R863" s="1145" t="s">
        <v>363</v>
      </c>
    </row>
    <row r="864" spans="1:18" ht="15" x14ac:dyDescent="0.25">
      <c r="B864" s="722" t="s">
        <v>364</v>
      </c>
      <c r="C864" s="740"/>
      <c r="D864" s="1188">
        <v>54.899999999999991</v>
      </c>
      <c r="E864" s="1188">
        <v>47.379999999999981</v>
      </c>
      <c r="F864" s="1188">
        <v>115.62</v>
      </c>
      <c r="G864" s="1188">
        <v>288</v>
      </c>
      <c r="H864" s="1188">
        <v>176</v>
      </c>
      <c r="I864" s="1188">
        <v>223.43800000000002</v>
      </c>
      <c r="J864" s="1188">
        <v>263.6458368000001</v>
      </c>
      <c r="K864" s="1188">
        <v>169.72423679999986</v>
      </c>
      <c r="L864" s="1188">
        <v>89.171840000000302</v>
      </c>
      <c r="M864" s="1188">
        <v>61.864140799999291</v>
      </c>
      <c r="N864" s="1189">
        <v>59.495961600000427</v>
      </c>
      <c r="O864" s="1188">
        <v>53.657983999999971</v>
      </c>
      <c r="P864" s="1190"/>
      <c r="Q864" s="724">
        <f t="shared" si="49"/>
        <v>1602.8979999999995</v>
      </c>
      <c r="R864" s="1146" t="s">
        <v>365</v>
      </c>
    </row>
    <row r="865" spans="1:18" x14ac:dyDescent="0.2">
      <c r="B865" s="728" t="s">
        <v>864</v>
      </c>
      <c r="C865" s="729"/>
      <c r="D865" s="1193">
        <v>38</v>
      </c>
      <c r="E865" s="1193">
        <v>20</v>
      </c>
      <c r="F865" s="1194">
        <v>10</v>
      </c>
      <c r="G865" s="1194">
        <v>8</v>
      </c>
      <c r="H865" s="1194">
        <v>4</v>
      </c>
      <c r="I865" s="1194">
        <v>5</v>
      </c>
      <c r="J865" s="1194">
        <v>12</v>
      </c>
      <c r="K865" s="1200">
        <v>22</v>
      </c>
      <c r="L865" s="750">
        <v>9</v>
      </c>
      <c r="M865" s="750">
        <v>21</v>
      </c>
      <c r="N865" s="750">
        <v>29</v>
      </c>
      <c r="O865" s="750">
        <v>36</v>
      </c>
      <c r="P865" s="1191"/>
      <c r="Q865" s="724">
        <f t="shared" si="49"/>
        <v>214</v>
      </c>
      <c r="R865" s="1146" t="s">
        <v>379</v>
      </c>
    </row>
    <row r="866" spans="1:18" ht="15" x14ac:dyDescent="0.25">
      <c r="B866" s="722" t="s">
        <v>368</v>
      </c>
      <c r="C866" s="713"/>
      <c r="D866" s="731">
        <f t="shared" ref="D866:O866" si="50">D862*0.087</f>
        <v>2907.8013610839298</v>
      </c>
      <c r="E866" s="731">
        <f t="shared" si="50"/>
        <v>2700.6546478272298</v>
      </c>
      <c r="F866" s="731">
        <f t="shared" si="50"/>
        <v>2650.5422973632167</v>
      </c>
      <c r="G866" s="731">
        <f t="shared" si="50"/>
        <v>2631.6623840332127</v>
      </c>
      <c r="H866" s="731">
        <f t="shared" si="50"/>
        <v>2562.7590637207127</v>
      </c>
      <c r="I866" s="731">
        <f t="shared" si="50"/>
        <v>1906.2552795409858</v>
      </c>
      <c r="J866" s="731">
        <f t="shared" si="50"/>
        <v>1717.8172302246389</v>
      </c>
      <c r="K866" s="731">
        <f t="shared" si="50"/>
        <v>2675.5101928710737</v>
      </c>
      <c r="L866" s="731">
        <f t="shared" si="50"/>
        <v>2589.2934265136619</v>
      </c>
      <c r="M866" s="731">
        <f t="shared" si="50"/>
        <v>2846.7277221680329</v>
      </c>
      <c r="N866" s="731">
        <f t="shared" si="50"/>
        <v>2889.4444885253606</v>
      </c>
      <c r="O866" s="731">
        <f t="shared" si="50"/>
        <v>3272.419189453125</v>
      </c>
      <c r="P866" s="745"/>
      <c r="Q866" s="724">
        <f t="shared" si="49"/>
        <v>31350.887283325184</v>
      </c>
      <c r="R866" s="1145" t="s">
        <v>865</v>
      </c>
    </row>
    <row r="867" spans="1:18" ht="15" x14ac:dyDescent="0.25">
      <c r="B867" s="722" t="s">
        <v>369</v>
      </c>
      <c r="C867" s="713"/>
      <c r="D867" s="731">
        <f t="shared" ref="D867:O867" si="51">D863*14.4</f>
        <v>3869.3645507812175</v>
      </c>
      <c r="E867" s="731">
        <f t="shared" si="51"/>
        <v>2917.0511718749281</v>
      </c>
      <c r="F867" s="731">
        <f t="shared" si="51"/>
        <v>1322.12109375</v>
      </c>
      <c r="G867" s="731">
        <f t="shared" si="51"/>
        <v>244.8</v>
      </c>
      <c r="H867" s="731">
        <f t="shared" si="51"/>
        <v>187.20000000000002</v>
      </c>
      <c r="I867" s="731">
        <f t="shared" si="51"/>
        <v>147.6</v>
      </c>
      <c r="J867" s="731">
        <f t="shared" si="51"/>
        <v>100.8</v>
      </c>
      <c r="K867" s="731">
        <f t="shared" si="51"/>
        <v>576</v>
      </c>
      <c r="L867" s="731">
        <f t="shared" si="51"/>
        <v>1281.6000000000001</v>
      </c>
      <c r="M867" s="731">
        <f t="shared" si="51"/>
        <v>3009.6</v>
      </c>
      <c r="N867" s="731">
        <f t="shared" si="51"/>
        <v>4833.2179687500002</v>
      </c>
      <c r="O867" s="731">
        <f t="shared" si="51"/>
        <v>4974.4371093750724</v>
      </c>
      <c r="P867" s="745"/>
      <c r="Q867" s="724">
        <f t="shared" si="49"/>
        <v>23463.791894531219</v>
      </c>
      <c r="R867" s="1145" t="s">
        <v>865</v>
      </c>
    </row>
    <row r="868" spans="1:18" ht="14.25" x14ac:dyDescent="0.2">
      <c r="B868" s="722" t="s">
        <v>326</v>
      </c>
      <c r="C868" s="740"/>
      <c r="D868" s="731">
        <f>D864*13.87</f>
        <v>761.46299999999985</v>
      </c>
      <c r="E868" s="731">
        <f>E864*13.87</f>
        <v>657.1605999999997</v>
      </c>
      <c r="F868" s="731">
        <f t="shared" ref="F868:O868" si="52">F864*13.87</f>
        <v>1603.6494</v>
      </c>
      <c r="G868" s="731">
        <f t="shared" si="52"/>
        <v>3994.56</v>
      </c>
      <c r="H868" s="731">
        <f t="shared" si="52"/>
        <v>2441.12</v>
      </c>
      <c r="I868" s="731">
        <f t="shared" si="52"/>
        <v>3099.0850599999999</v>
      </c>
      <c r="J868" s="731">
        <f t="shared" si="52"/>
        <v>3656.7677564160012</v>
      </c>
      <c r="K868" s="731">
        <f t="shared" si="52"/>
        <v>2354.0751644159977</v>
      </c>
      <c r="L868" s="731">
        <f t="shared" si="52"/>
        <v>1236.8134208000042</v>
      </c>
      <c r="M868" s="731">
        <f t="shared" si="52"/>
        <v>858.05563289599013</v>
      </c>
      <c r="N868" s="731">
        <f t="shared" si="52"/>
        <v>825.20898739200584</v>
      </c>
      <c r="O868" s="731">
        <f t="shared" si="52"/>
        <v>744.23623807999957</v>
      </c>
      <c r="P868" s="745"/>
      <c r="Q868" s="724">
        <f t="shared" si="49"/>
        <v>22232.195259999997</v>
      </c>
      <c r="R868" s="1145" t="s">
        <v>865</v>
      </c>
    </row>
    <row r="869" spans="1:18" ht="15" x14ac:dyDescent="0.25">
      <c r="B869" s="732" t="s">
        <v>325</v>
      </c>
      <c r="C869" s="733"/>
      <c r="D869" s="455">
        <f t="shared" ref="D869:O869" si="53">D865*7.86</f>
        <v>298.68</v>
      </c>
      <c r="E869" s="455">
        <f t="shared" si="53"/>
        <v>157.20000000000002</v>
      </c>
      <c r="F869" s="455">
        <f t="shared" si="53"/>
        <v>78.600000000000009</v>
      </c>
      <c r="G869" s="455">
        <f t="shared" si="53"/>
        <v>62.88</v>
      </c>
      <c r="H869" s="455">
        <f t="shared" si="53"/>
        <v>31.44</v>
      </c>
      <c r="I869" s="455">
        <f t="shared" si="53"/>
        <v>39.300000000000004</v>
      </c>
      <c r="J869" s="455">
        <f t="shared" si="53"/>
        <v>94.320000000000007</v>
      </c>
      <c r="K869" s="455">
        <f t="shared" si="53"/>
        <v>172.92000000000002</v>
      </c>
      <c r="L869" s="455">
        <f t="shared" si="53"/>
        <v>70.740000000000009</v>
      </c>
      <c r="M869" s="455">
        <f t="shared" si="53"/>
        <v>165.06</v>
      </c>
      <c r="N869" s="455">
        <f t="shared" si="53"/>
        <v>227.94</v>
      </c>
      <c r="O869" s="455">
        <f t="shared" si="53"/>
        <v>282.96000000000004</v>
      </c>
      <c r="P869" s="1175"/>
      <c r="Q869" s="724">
        <f t="shared" si="49"/>
        <v>1682.0400000000002</v>
      </c>
      <c r="R869" s="1145" t="s">
        <v>865</v>
      </c>
    </row>
    <row r="870" spans="1:18" x14ac:dyDescent="0.2">
      <c r="C870" s="492"/>
      <c r="D870" s="492"/>
      <c r="E870" s="492"/>
      <c r="F870" s="492"/>
      <c r="G870" s="492"/>
      <c r="H870" s="492"/>
      <c r="I870" s="492"/>
      <c r="J870" s="492"/>
      <c r="K870" s="492"/>
      <c r="L870" s="492"/>
      <c r="M870" s="492"/>
      <c r="N870" s="492"/>
    </row>
    <row r="871" spans="1:18" x14ac:dyDescent="0.2">
      <c r="A871" s="930">
        <v>60</v>
      </c>
      <c r="B871" s="666" t="s">
        <v>1014</v>
      </c>
      <c r="C871" s="492"/>
      <c r="D871" s="492"/>
      <c r="E871" s="492"/>
      <c r="F871" s="492"/>
      <c r="G871" s="492"/>
      <c r="H871" s="492"/>
      <c r="I871" s="492"/>
      <c r="J871" s="492"/>
      <c r="K871" s="492"/>
      <c r="L871" s="492"/>
      <c r="M871" s="492"/>
      <c r="N871" s="492"/>
    </row>
    <row r="872" spans="1:18" x14ac:dyDescent="0.2">
      <c r="C872" s="492"/>
      <c r="D872" s="492"/>
      <c r="E872" s="492"/>
      <c r="F872" s="492"/>
      <c r="G872" s="492"/>
      <c r="H872" s="492"/>
      <c r="I872" s="492"/>
      <c r="J872" s="492"/>
      <c r="K872" s="492"/>
      <c r="L872" s="492"/>
      <c r="M872" s="492"/>
      <c r="N872" s="492"/>
    </row>
    <row r="873" spans="1:18" x14ac:dyDescent="0.2">
      <c r="C873" s="492"/>
      <c r="D873" s="492"/>
      <c r="E873" s="492"/>
      <c r="F873" s="492"/>
      <c r="G873" s="492"/>
      <c r="H873" s="492"/>
      <c r="I873" s="492"/>
      <c r="J873" s="492"/>
      <c r="K873" s="492"/>
      <c r="L873" s="492"/>
      <c r="M873" s="492"/>
      <c r="N873" s="492"/>
    </row>
    <row r="874" spans="1:18" x14ac:dyDescent="0.2">
      <c r="C874" s="492"/>
      <c r="D874" s="492"/>
      <c r="E874" s="492"/>
      <c r="F874" s="492"/>
      <c r="G874" s="492"/>
      <c r="H874" s="492"/>
      <c r="I874" s="492"/>
      <c r="J874" s="492"/>
      <c r="K874" s="492"/>
      <c r="L874" s="492"/>
      <c r="M874" s="492"/>
      <c r="N874" s="492"/>
    </row>
    <row r="875" spans="1:18" x14ac:dyDescent="0.2">
      <c r="C875" s="492"/>
      <c r="D875" s="492"/>
      <c r="E875" s="492"/>
      <c r="F875" s="492"/>
      <c r="G875" s="492"/>
      <c r="H875" s="492"/>
      <c r="I875" s="492"/>
      <c r="J875" s="492"/>
      <c r="K875" s="492"/>
      <c r="L875" s="492"/>
      <c r="M875" s="492"/>
      <c r="N875" s="492"/>
    </row>
    <row r="876" spans="1:18" x14ac:dyDescent="0.2">
      <c r="C876" s="492"/>
      <c r="D876" s="492"/>
      <c r="E876" s="492"/>
      <c r="F876" s="492"/>
      <c r="G876" s="492"/>
      <c r="H876" s="492"/>
      <c r="I876" s="492"/>
      <c r="J876" s="492"/>
      <c r="K876" s="492"/>
      <c r="L876" s="492"/>
      <c r="M876" s="492"/>
      <c r="N876" s="492"/>
    </row>
    <row r="877" spans="1:18" x14ac:dyDescent="0.2">
      <c r="C877" s="492"/>
      <c r="D877" s="492"/>
      <c r="E877" s="492"/>
      <c r="F877" s="492"/>
      <c r="G877" s="492"/>
      <c r="H877" s="492"/>
      <c r="I877" s="492"/>
      <c r="J877" s="492"/>
      <c r="K877" s="492"/>
      <c r="L877" s="492"/>
      <c r="M877" s="492"/>
      <c r="N877" s="492"/>
    </row>
    <row r="878" spans="1:18" x14ac:dyDescent="0.2">
      <c r="C878" s="492"/>
      <c r="D878" s="492"/>
      <c r="E878" s="492"/>
      <c r="F878" s="492"/>
      <c r="G878" s="492"/>
      <c r="H878" s="492"/>
      <c r="I878" s="492"/>
      <c r="J878" s="492"/>
      <c r="K878" s="492"/>
      <c r="L878" s="492"/>
      <c r="M878" s="492"/>
      <c r="N878" s="492"/>
    </row>
    <row r="879" spans="1:18" x14ac:dyDescent="0.2">
      <c r="C879" s="492"/>
      <c r="D879" s="492"/>
      <c r="E879" s="492"/>
      <c r="F879" s="492"/>
      <c r="G879" s="492"/>
      <c r="H879" s="492"/>
      <c r="I879" s="492"/>
      <c r="J879" s="492"/>
      <c r="K879" s="492"/>
      <c r="L879" s="492"/>
      <c r="M879" s="492"/>
      <c r="N879" s="492"/>
    </row>
    <row r="891" spans="1:14" s="666" customFormat="1" x14ac:dyDescent="0.2">
      <c r="A891" s="930">
        <v>61</v>
      </c>
      <c r="B891" s="666" t="s">
        <v>1015</v>
      </c>
      <c r="D891" s="666" t="s">
        <v>1052</v>
      </c>
    </row>
    <row r="892" spans="1:14" x14ac:dyDescent="0.2">
      <c r="C892" s="968">
        <v>42199</v>
      </c>
      <c r="D892" s="968">
        <v>42230</v>
      </c>
      <c r="E892" s="968">
        <v>42261</v>
      </c>
      <c r="F892" s="968">
        <v>42291</v>
      </c>
      <c r="G892" s="968">
        <v>42322</v>
      </c>
      <c r="H892" s="968">
        <v>42352</v>
      </c>
      <c r="I892" s="968">
        <v>42019</v>
      </c>
      <c r="J892" s="968">
        <v>42050</v>
      </c>
      <c r="K892" s="968">
        <v>42078</v>
      </c>
      <c r="L892" s="968">
        <v>42109</v>
      </c>
      <c r="M892" s="968">
        <v>42139</v>
      </c>
      <c r="N892" s="968">
        <v>42170</v>
      </c>
    </row>
    <row r="893" spans="1:14" x14ac:dyDescent="0.2">
      <c r="B893" t="s">
        <v>694</v>
      </c>
    </row>
    <row r="894" spans="1:14" x14ac:dyDescent="0.2">
      <c r="B894" t="s">
        <v>695</v>
      </c>
      <c r="C894" s="972">
        <v>0</v>
      </c>
      <c r="D894" s="973">
        <v>133266</v>
      </c>
      <c r="E894" s="973">
        <v>235067</v>
      </c>
      <c r="F894" s="973">
        <v>119199</v>
      </c>
      <c r="G894" s="973">
        <v>159826</v>
      </c>
      <c r="H894" s="973">
        <v>141346</v>
      </c>
      <c r="I894" s="973">
        <v>131900</v>
      </c>
      <c r="J894" s="973">
        <v>130400</v>
      </c>
      <c r="K894" s="973">
        <v>140609</v>
      </c>
      <c r="L894" s="973">
        <v>162851</v>
      </c>
      <c r="M894" s="973">
        <v>169035</v>
      </c>
      <c r="N894" s="973">
        <v>164385</v>
      </c>
    </row>
    <row r="895" spans="1:14" x14ac:dyDescent="0.2">
      <c r="B895" t="s">
        <v>696</v>
      </c>
      <c r="C895" s="972"/>
      <c r="D895" s="973">
        <v>1540</v>
      </c>
      <c r="E895" s="973">
        <v>1999</v>
      </c>
      <c r="F895" s="973">
        <v>2358</v>
      </c>
      <c r="G895" s="973">
        <v>3838</v>
      </c>
      <c r="H895" s="973">
        <v>4971</v>
      </c>
      <c r="I895" s="973">
        <v>7224</v>
      </c>
      <c r="J895" s="973">
        <v>6667</v>
      </c>
      <c r="K895" s="973">
        <v>4630</v>
      </c>
      <c r="L895" s="973">
        <v>3142</v>
      </c>
      <c r="M895" s="973">
        <v>2264</v>
      </c>
      <c r="N895" s="973">
        <v>1800</v>
      </c>
    </row>
    <row r="896" spans="1:14" x14ac:dyDescent="0.2">
      <c r="B896" t="s">
        <v>697</v>
      </c>
      <c r="C896" s="972">
        <v>0</v>
      </c>
      <c r="D896" s="973">
        <v>41013</v>
      </c>
      <c r="E896" s="973">
        <v>60816</v>
      </c>
      <c r="F896" s="973">
        <v>64336</v>
      </c>
      <c r="G896" s="973">
        <v>48323</v>
      </c>
      <c r="H896" s="973">
        <v>26879</v>
      </c>
      <c r="I896" s="973">
        <v>32356</v>
      </c>
      <c r="J896" s="973">
        <v>33538</v>
      </c>
      <c r="K896" s="973">
        <v>35992</v>
      </c>
      <c r="L896" s="973">
        <v>42514</v>
      </c>
      <c r="M896" s="973">
        <v>21915</v>
      </c>
      <c r="N896" s="973">
        <v>26888</v>
      </c>
    </row>
    <row r="898" spans="2:14" x14ac:dyDescent="0.2">
      <c r="B898" t="s">
        <v>698</v>
      </c>
    </row>
    <row r="899" spans="2:14" x14ac:dyDescent="0.2">
      <c r="B899" t="s">
        <v>699</v>
      </c>
      <c r="C899" s="492">
        <v>0</v>
      </c>
      <c r="D899" s="492">
        <v>9538.9497708823528</v>
      </c>
      <c r="E899" s="492">
        <v>16277.514663497885</v>
      </c>
      <c r="F899" s="492">
        <v>7312.6336175629294</v>
      </c>
      <c r="G899" s="492">
        <v>9192.4589841666657</v>
      </c>
      <c r="H899" s="492">
        <v>8138.8668554054666</v>
      </c>
      <c r="I899" s="492">
        <v>7356.2016970752093</v>
      </c>
      <c r="J899" s="492">
        <v>7350.8990816151199</v>
      </c>
      <c r="K899" s="492">
        <v>8224.0912558415039</v>
      </c>
      <c r="L899" s="492">
        <v>9088.4024945193796</v>
      </c>
      <c r="M899" s="492">
        <v>9500.7626417613628</v>
      </c>
      <c r="N899" s="492">
        <v>10317.497021249999</v>
      </c>
    </row>
    <row r="900" spans="2:14" x14ac:dyDescent="0.2">
      <c r="B900" t="s">
        <v>700</v>
      </c>
      <c r="C900" s="492"/>
      <c r="D900" s="492">
        <v>1430.74</v>
      </c>
      <c r="E900" s="492">
        <v>1850.17</v>
      </c>
      <c r="F900" s="492">
        <v>2178.21</v>
      </c>
      <c r="G900" s="492">
        <v>3509.17</v>
      </c>
      <c r="H900" s="492">
        <v>4543.78</v>
      </c>
      <c r="I900" s="492">
        <v>6226.92</v>
      </c>
      <c r="J900" s="492">
        <v>5308.41</v>
      </c>
      <c r="K900" s="492">
        <v>3149.3</v>
      </c>
      <c r="L900" s="492"/>
      <c r="M900" s="492">
        <v>1196.68</v>
      </c>
      <c r="N900" s="492">
        <v>1224.0899999999999</v>
      </c>
    </row>
    <row r="901" spans="2:14" x14ac:dyDescent="0.2">
      <c r="B901" t="s">
        <v>701</v>
      </c>
      <c r="C901" s="492">
        <v>0</v>
      </c>
      <c r="D901" s="492">
        <v>2978.743609675374</v>
      </c>
      <c r="E901" s="492">
        <v>4425.4605927915773</v>
      </c>
      <c r="F901" s="492">
        <v>4907.4044888704002</v>
      </c>
      <c r="G901" s="492">
        <v>3812.489255051742</v>
      </c>
      <c r="H901" s="492">
        <v>2281.0727593758556</v>
      </c>
      <c r="I901" s="492">
        <v>2998.5787057260736</v>
      </c>
      <c r="J901" s="492">
        <v>2796.8997068817207</v>
      </c>
      <c r="K901" s="492">
        <v>2964.6376052837254</v>
      </c>
      <c r="L901" s="492">
        <v>3329.7852195750024</v>
      </c>
      <c r="M901" s="492">
        <v>1669.6827428898071</v>
      </c>
      <c r="N901" s="492">
        <v>1956.3392296914465</v>
      </c>
    </row>
    <row r="902" spans="2:14" x14ac:dyDescent="0.2">
      <c r="D902" t="s">
        <v>1053</v>
      </c>
    </row>
  </sheetData>
  <mergeCells count="4">
    <mergeCell ref="A314:O314"/>
    <mergeCell ref="E59:F59"/>
    <mergeCell ref="B171:G171"/>
    <mergeCell ref="B643:R643"/>
  </mergeCells>
  <pageMargins left="0.7" right="0.7" top="0.75" bottom="0.75" header="0.3" footer="0.3"/>
  <pageSetup orientation="portrait" r:id="rId1"/>
  <drawing r:id="rId2"/>
  <legacyDrawing r:id="rId3"/>
  <tableParts count="3">
    <tablePart r:id="rId4"/>
    <tablePart r:id="rId5"/>
    <tablePart r:id="rId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2017 Summary</vt:lpstr>
      <vt:lpstr>16.17 Meter Data</vt:lpstr>
      <vt:lpstr>16.17 Raw Meter</vt:lpstr>
      <vt:lpstr>2016 Summary</vt:lpstr>
      <vt:lpstr>15.16 Meter Data</vt:lpstr>
      <vt:lpstr>15.16 Raw Meter</vt:lpstr>
      <vt:lpstr>2015 Summary</vt:lpstr>
      <vt:lpstr>14.15 Meter Data</vt:lpstr>
      <vt:lpstr>14.15 Raw Meter</vt:lpstr>
      <vt:lpstr>2014 Summary</vt:lpstr>
      <vt:lpstr>13.14 Meter Data</vt:lpstr>
      <vt:lpstr>13.14 Raw Meter</vt:lpstr>
      <vt:lpstr>12.13 Meter Data</vt:lpstr>
      <vt:lpstr>12.13 Raw Meter</vt:lpstr>
      <vt:lpstr>11.12 Meter Data</vt:lpstr>
      <vt:lpstr>11.12 Raw Meter</vt:lpstr>
      <vt:lpstr>'2017 Summary'!Print_Area</vt:lpstr>
      <vt:lpstr>'2017 Summary'!Print_Titles</vt:lpstr>
    </vt:vector>
  </TitlesOfParts>
  <Company>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lthagard</dc:creator>
  <cp:lastModifiedBy>Hahnel, LeaAnne</cp:lastModifiedBy>
  <cp:lastPrinted>2016-09-23T19:26:19Z</cp:lastPrinted>
  <dcterms:created xsi:type="dcterms:W3CDTF">2010-10-28T17:56:56Z</dcterms:created>
  <dcterms:modified xsi:type="dcterms:W3CDTF">2017-09-27T12:38:11Z</dcterms:modified>
</cp:coreProperties>
</file>